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omments4.xml" ContentType="application/vnd.openxmlformats-officedocument.spreadsheetml.comments+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comments5.xml" ContentType="application/vnd.openxmlformats-officedocument.spreadsheetml.comments+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mc:AlternateContent xmlns:mc="http://schemas.openxmlformats.org/markup-compatibility/2006">
    <mc:Choice Requires="x15">
      <x15ac:absPath xmlns:x15ac="http://schemas.microsoft.com/office/spreadsheetml/2010/11/ac" url="C:\Users\jjavi\OneDrive\Documentos\Programacion\VisualStudio Projects\Python\DNPCardCreator\ExcelFiles\"/>
    </mc:Choice>
  </mc:AlternateContent>
  <xr:revisionPtr revIDLastSave="0" documentId="13_ncr:1_{F2BA9B1F-C282-4552-8693-C7BF7BCB7AE6}" xr6:coauthVersionLast="37" xr6:coauthVersionMax="47" xr10:uidLastSave="{00000000-0000-0000-0000-000000000000}"/>
  <bookViews>
    <workbookView xWindow="0" yWindow="0" windowWidth="19200" windowHeight="6820" tabRatio="872" firstSheet="4" activeTab="4" xr2:uid="{50CED8E2-A0DC-42D4-A36E-45AF667E255A}"/>
  </bookViews>
  <sheets>
    <sheet name="MDM vs IDF" sheetId="2" state="hidden" r:id="rId1"/>
    <sheet name="Paso a paso" sheetId="22" state="hidden" r:id="rId2"/>
    <sheet name="Diccionario2026" sheetId="24" state="hidden" r:id="rId3"/>
    <sheet name="Contrastes_Mun1" sheetId="26" state="hidden" r:id="rId4"/>
    <sheet name="Municipios" sheetId="53" r:id="rId5"/>
    <sheet name="Tablero_Dptos" sheetId="39" r:id="rId6"/>
    <sheet name="IC_mun" sheetId="61" state="hidden" r:id="rId7"/>
    <sheet name="Departamentos" sheetId="4" state="hidden" r:id="rId8"/>
    <sheet name="Comparativos_Mun" sheetId="42" state="hidden" r:id="rId9"/>
    <sheet name="Contrastes_Mun2" sheetId="31" state="hidden" r:id="rId10"/>
    <sheet name="Caja y bigotes" sheetId="54" state="hidden" r:id="rId11"/>
    <sheet name="Ponderador_Mun 2024 2025P" sheetId="8" state="hidden" r:id="rId12"/>
    <sheet name="Rangos amb etnico" sheetId="55" state="hidden" r:id="rId13"/>
    <sheet name="Cortes naturales" sheetId="10" state="hidden" r:id="rId14"/>
    <sheet name="Comparativos_Dptos" sheetId="18" state="hidden" r:id="rId15"/>
    <sheet name="Ponderador_Dptos 2024 vs 2025p" sheetId="17" state="hidden" r:id="rId16"/>
    <sheet name="Contrastes_Dptos2" sheetId="35" state="hidden" r:id="rId17"/>
    <sheet name="San Andrés" sheetId="60" state="hidden" r:id="rId18"/>
    <sheet name="EAT" sheetId="58" state="hidden" r:id="rId19"/>
    <sheet name="Resultados" sheetId="59" state="hidden" r:id="rId20"/>
    <sheet name="Contrastes_Dptos1" sheetId="29" state="hidden" r:id="rId21"/>
  </sheets>
  <externalReferences>
    <externalReference r:id="rId22"/>
    <externalReference r:id="rId23"/>
  </externalReferences>
  <definedNames>
    <definedName name="_xlnm._FilterDatabase" localSheetId="10" hidden="1">'Caja y bigotes'!$K$1:$Q$2208</definedName>
    <definedName name="_xlnm._FilterDatabase" localSheetId="9" hidden="1">Contrastes_Mun2!$A$254:$J$254</definedName>
    <definedName name="_xlnm._FilterDatabase" localSheetId="7" hidden="1">Departamentos!$A$3:$CL$35</definedName>
    <definedName name="_xlnm._FilterDatabase" localSheetId="18" hidden="1">EAT!$A$1:$E$675</definedName>
    <definedName name="_xlnm._FilterDatabase" localSheetId="4" hidden="1">Municipios!$A$2:$DD$1105</definedName>
    <definedName name="_xlchart.v1.0" hidden="1">'Caja y bigotes'!$T$2:$T$2208</definedName>
    <definedName name="_xlchart.v1.1" hidden="1">'Caja y bigotes'!$U$2:$U$2208</definedName>
    <definedName name="_xlchart.v1.2" hidden="1">'Caja y bigotes'!$K$2:$K$2208</definedName>
    <definedName name="_xlchart.v1.3" hidden="1">'Caja y bigotes'!$L$2:$L$2208</definedName>
    <definedName name="_xlchart.v1.4" hidden="1">'Caja y bigotes'!$A$2:$A$2208</definedName>
    <definedName name="_xlchart.v1.5" hidden="1">'Caja y bigotes'!$B$1</definedName>
    <definedName name="_xlchart.v1.6" hidden="1">'Caja y bigotes'!$B$2:$B$2208</definedName>
  </definedNames>
  <calcPr calcId="191028"/>
  <pivotCaches>
    <pivotCache cacheId="0" r:id="rId24"/>
    <pivotCache cacheId="1" r:id="rId25"/>
    <pivotCache cacheId="2"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I72" i="39" l="1"/>
  <c r="D46" i="39"/>
  <c r="C46" i="39"/>
  <c r="H36" i="39"/>
  <c r="G36" i="39"/>
  <c r="F36" i="39"/>
  <c r="E36" i="39"/>
  <c r="D36" i="39"/>
  <c r="C36" i="39"/>
  <c r="F26" i="39"/>
  <c r="E26" i="39"/>
  <c r="D26" i="39"/>
  <c r="C26" i="39"/>
  <c r="N3" i="53"/>
  <c r="BG30" i="4" l="1"/>
  <c r="CI2" i="4"/>
  <c r="CL5" i="4" s="1"/>
  <c r="I40" i="35"/>
  <c r="H40" i="35"/>
  <c r="G40" i="35"/>
  <c r="F40" i="35"/>
  <c r="E40" i="35"/>
  <c r="D40" i="35"/>
  <c r="C40" i="35"/>
  <c r="C27" i="35"/>
  <c r="D27" i="35"/>
  <c r="F40" i="42"/>
  <c r="E34" i="42"/>
  <c r="E35" i="42"/>
  <c r="E36" i="42"/>
  <c r="E37" i="42"/>
  <c r="E38" i="42"/>
  <c r="E39" i="42"/>
  <c r="E33" i="42"/>
  <c r="D8" i="42"/>
  <c r="AH5" i="53"/>
  <c r="AH6" i="53"/>
  <c r="AH11" i="53"/>
  <c r="AH12" i="53"/>
  <c r="AH14" i="53"/>
  <c r="AH19" i="53"/>
  <c r="U314" i="31"/>
  <c r="U297" i="31"/>
  <c r="U298" i="31"/>
  <c r="U299" i="31"/>
  <c r="U302" i="31"/>
  <c r="U303" i="31"/>
  <c r="U304" i="31"/>
  <c r="U305" i="31"/>
  <c r="U306" i="31"/>
  <c r="U307" i="31"/>
  <c r="U308" i="31"/>
  <c r="U309" i="31"/>
  <c r="U310" i="31"/>
  <c r="U311" i="31"/>
  <c r="U312" i="31"/>
  <c r="U313" i="31"/>
  <c r="U301" i="31"/>
  <c r="CI1101" i="53"/>
  <c r="CL15" i="4" l="1"/>
  <c r="CL22" i="4"/>
  <c r="CL35" i="4"/>
  <c r="CL17" i="4"/>
  <c r="CL32" i="4"/>
  <c r="CL14" i="4"/>
  <c r="CL13" i="4"/>
  <c r="CL12" i="4"/>
  <c r="CL19" i="4"/>
  <c r="CL16" i="4"/>
  <c r="CL28" i="4"/>
  <c r="CL11" i="4"/>
  <c r="CL20" i="4"/>
  <c r="CL34" i="4"/>
  <c r="CL33" i="4"/>
  <c r="CL29" i="4"/>
  <c r="CL27" i="4"/>
  <c r="CL10" i="4"/>
  <c r="CL30" i="4"/>
  <c r="CL26" i="4"/>
  <c r="CL9" i="4"/>
  <c r="CL4" i="4"/>
  <c r="CL25" i="4"/>
  <c r="CL8" i="4"/>
  <c r="CL18" i="4"/>
  <c r="CL24" i="4"/>
  <c r="CL7" i="4"/>
  <c r="CL31" i="4"/>
  <c r="CL23" i="4"/>
  <c r="CL6" i="4"/>
  <c r="CL21" i="4"/>
  <c r="E41" i="42"/>
  <c r="CD1" i="53"/>
  <c r="CL1" i="53"/>
  <c r="CH1" i="53"/>
  <c r="CF3" i="53"/>
  <c r="CM4" i="53"/>
  <c r="CN4" i="53" s="1"/>
  <c r="CM5" i="53"/>
  <c r="CN5" i="53" s="1"/>
  <c r="CM6" i="53"/>
  <c r="CN6" i="53" s="1"/>
  <c r="CM7" i="53"/>
  <c r="CN7" i="53" s="1"/>
  <c r="CM8" i="53"/>
  <c r="CN8" i="53" s="1"/>
  <c r="CM9" i="53"/>
  <c r="CN9" i="53" s="1"/>
  <c r="CM10" i="53"/>
  <c r="CN10" i="53" s="1"/>
  <c r="CM11" i="53"/>
  <c r="CN11" i="53" s="1"/>
  <c r="CM12" i="53"/>
  <c r="CN12" i="53" s="1"/>
  <c r="CM13" i="53"/>
  <c r="CN13" i="53" s="1"/>
  <c r="CM14" i="53"/>
  <c r="CN14" i="53" s="1"/>
  <c r="CM15" i="53"/>
  <c r="CN15" i="53" s="1"/>
  <c r="CM16" i="53"/>
  <c r="CN16" i="53" s="1"/>
  <c r="CM17" i="53"/>
  <c r="CN17" i="53" s="1"/>
  <c r="CM18" i="53"/>
  <c r="CN18" i="53" s="1"/>
  <c r="CM19" i="53"/>
  <c r="CN19" i="53" s="1"/>
  <c r="CM20" i="53"/>
  <c r="CN20" i="53" s="1"/>
  <c r="CM21" i="53"/>
  <c r="CN21" i="53" s="1"/>
  <c r="CM22" i="53"/>
  <c r="CN22" i="53" s="1"/>
  <c r="CM23" i="53"/>
  <c r="CN23" i="53" s="1"/>
  <c r="CM24" i="53"/>
  <c r="CN24" i="53" s="1"/>
  <c r="CM25" i="53"/>
  <c r="CN25" i="53" s="1"/>
  <c r="CM26" i="53"/>
  <c r="CN26" i="53" s="1"/>
  <c r="CM27" i="53"/>
  <c r="CN27" i="53" s="1"/>
  <c r="CM28" i="53"/>
  <c r="CN28" i="53" s="1"/>
  <c r="CM29" i="53"/>
  <c r="CN29" i="53" s="1"/>
  <c r="CM30" i="53"/>
  <c r="CN30" i="53" s="1"/>
  <c r="CM31" i="53"/>
  <c r="CN31" i="53" s="1"/>
  <c r="CM32" i="53"/>
  <c r="CN32" i="53" s="1"/>
  <c r="CM33" i="53"/>
  <c r="CN33" i="53" s="1"/>
  <c r="CM34" i="53"/>
  <c r="CN34" i="53" s="1"/>
  <c r="CM35" i="53"/>
  <c r="CN35" i="53" s="1"/>
  <c r="CM36" i="53"/>
  <c r="CN36" i="53" s="1"/>
  <c r="CM37" i="53"/>
  <c r="CN37" i="53" s="1"/>
  <c r="CM38" i="53"/>
  <c r="CN38" i="53" s="1"/>
  <c r="CM39" i="53"/>
  <c r="CN39" i="53" s="1"/>
  <c r="CM40" i="53"/>
  <c r="CN40" i="53" s="1"/>
  <c r="CM41" i="53"/>
  <c r="CN41" i="53" s="1"/>
  <c r="CM42" i="53"/>
  <c r="CN42" i="53" s="1"/>
  <c r="CM43" i="53"/>
  <c r="CN43" i="53" s="1"/>
  <c r="CM44" i="53"/>
  <c r="CN44" i="53" s="1"/>
  <c r="CM45" i="53"/>
  <c r="CN45" i="53" s="1"/>
  <c r="CM46" i="53"/>
  <c r="CN46" i="53" s="1"/>
  <c r="CM47" i="53"/>
  <c r="CN47" i="53" s="1"/>
  <c r="CM48" i="53"/>
  <c r="CN48" i="53" s="1"/>
  <c r="CM49" i="53"/>
  <c r="CN49" i="53" s="1"/>
  <c r="CM50" i="53"/>
  <c r="CN50" i="53" s="1"/>
  <c r="CM51" i="53"/>
  <c r="CN51" i="53" s="1"/>
  <c r="CM52" i="53"/>
  <c r="CN52" i="53" s="1"/>
  <c r="CM53" i="53"/>
  <c r="CN53" i="53" s="1"/>
  <c r="CM54" i="53"/>
  <c r="CN54" i="53" s="1"/>
  <c r="CM55" i="53"/>
  <c r="CN55" i="53" s="1"/>
  <c r="CM56" i="53"/>
  <c r="CN56" i="53" s="1"/>
  <c r="CM57" i="53"/>
  <c r="CN57" i="53" s="1"/>
  <c r="CM58" i="53"/>
  <c r="CN58" i="53" s="1"/>
  <c r="CM59" i="53"/>
  <c r="CN59" i="53" s="1"/>
  <c r="CM60" i="53"/>
  <c r="CN60" i="53" s="1"/>
  <c r="CM61" i="53"/>
  <c r="CN61" i="53" s="1"/>
  <c r="CM62" i="53"/>
  <c r="CN62" i="53" s="1"/>
  <c r="CM63" i="53"/>
  <c r="CN63" i="53" s="1"/>
  <c r="CM64" i="53"/>
  <c r="CN64" i="53" s="1"/>
  <c r="CM65" i="53"/>
  <c r="CN65" i="53" s="1"/>
  <c r="CM66" i="53"/>
  <c r="CN66" i="53" s="1"/>
  <c r="CM67" i="53"/>
  <c r="CN67" i="53" s="1"/>
  <c r="CM68" i="53"/>
  <c r="CN68" i="53" s="1"/>
  <c r="CM69" i="53"/>
  <c r="CN69" i="53" s="1"/>
  <c r="CM70" i="53"/>
  <c r="CN70" i="53" s="1"/>
  <c r="CM71" i="53"/>
  <c r="CN71" i="53" s="1"/>
  <c r="CM72" i="53"/>
  <c r="CN72" i="53" s="1"/>
  <c r="CM73" i="53"/>
  <c r="CN73" i="53" s="1"/>
  <c r="CM74" i="53"/>
  <c r="CN74" i="53" s="1"/>
  <c r="CM75" i="53"/>
  <c r="CN75" i="53" s="1"/>
  <c r="CM76" i="53"/>
  <c r="CN76" i="53" s="1"/>
  <c r="CM77" i="53"/>
  <c r="CN77" i="53" s="1"/>
  <c r="CM78" i="53"/>
  <c r="CN78" i="53" s="1"/>
  <c r="CM79" i="53"/>
  <c r="CN79" i="53" s="1"/>
  <c r="CM80" i="53"/>
  <c r="CN80" i="53" s="1"/>
  <c r="CM81" i="53"/>
  <c r="CN81" i="53" s="1"/>
  <c r="CM82" i="53"/>
  <c r="CN82" i="53" s="1"/>
  <c r="CM83" i="53"/>
  <c r="CN83" i="53" s="1"/>
  <c r="CM84" i="53"/>
  <c r="CN84" i="53" s="1"/>
  <c r="CM85" i="53"/>
  <c r="CN85" i="53" s="1"/>
  <c r="CM86" i="53"/>
  <c r="CN86" i="53" s="1"/>
  <c r="CM87" i="53"/>
  <c r="CN87" i="53" s="1"/>
  <c r="CM88" i="53"/>
  <c r="CN88" i="53" s="1"/>
  <c r="CM89" i="53"/>
  <c r="CN89" i="53" s="1"/>
  <c r="CM90" i="53"/>
  <c r="CN90" i="53" s="1"/>
  <c r="CM91" i="53"/>
  <c r="CN91" i="53" s="1"/>
  <c r="CM92" i="53"/>
  <c r="CN92" i="53" s="1"/>
  <c r="CM93" i="53"/>
  <c r="CN93" i="53" s="1"/>
  <c r="CM94" i="53"/>
  <c r="CN94" i="53" s="1"/>
  <c r="CM95" i="53"/>
  <c r="CN95" i="53" s="1"/>
  <c r="CM96" i="53"/>
  <c r="CN96" i="53" s="1"/>
  <c r="CM97" i="53"/>
  <c r="CN97" i="53" s="1"/>
  <c r="CM98" i="53"/>
  <c r="CN98" i="53" s="1"/>
  <c r="CM99" i="53"/>
  <c r="CN99" i="53" s="1"/>
  <c r="CM100" i="53"/>
  <c r="CN100" i="53" s="1"/>
  <c r="CM101" i="53"/>
  <c r="CN101" i="53" s="1"/>
  <c r="CM102" i="53"/>
  <c r="CN102" i="53" s="1"/>
  <c r="CM103" i="53"/>
  <c r="CN103" i="53" s="1"/>
  <c r="CM104" i="53"/>
  <c r="CN104" i="53" s="1"/>
  <c r="CM105" i="53"/>
  <c r="CN105" i="53" s="1"/>
  <c r="CM106" i="53"/>
  <c r="CN106" i="53" s="1"/>
  <c r="CM107" i="53"/>
  <c r="CN107" i="53" s="1"/>
  <c r="CM108" i="53"/>
  <c r="CN108" i="53" s="1"/>
  <c r="CM109" i="53"/>
  <c r="CN109" i="53" s="1"/>
  <c r="CM110" i="53"/>
  <c r="CN110" i="53" s="1"/>
  <c r="CM111" i="53"/>
  <c r="CN111" i="53" s="1"/>
  <c r="CM112" i="53"/>
  <c r="CN112" i="53" s="1"/>
  <c r="CM113" i="53"/>
  <c r="CN113" i="53" s="1"/>
  <c r="CM114" i="53"/>
  <c r="CN114" i="53" s="1"/>
  <c r="CM115" i="53"/>
  <c r="CN115" i="53" s="1"/>
  <c r="CM116" i="53"/>
  <c r="CN116" i="53" s="1"/>
  <c r="CM117" i="53"/>
  <c r="CN117" i="53" s="1"/>
  <c r="CM118" i="53"/>
  <c r="CN118" i="53" s="1"/>
  <c r="CM119" i="53"/>
  <c r="CN119" i="53" s="1"/>
  <c r="CM120" i="53"/>
  <c r="CN120" i="53" s="1"/>
  <c r="CM121" i="53"/>
  <c r="CN121" i="53" s="1"/>
  <c r="CM122" i="53"/>
  <c r="CN122" i="53" s="1"/>
  <c r="CM123" i="53"/>
  <c r="CN123" i="53" s="1"/>
  <c r="CM124" i="53"/>
  <c r="CN124" i="53" s="1"/>
  <c r="CM125" i="53"/>
  <c r="CN125" i="53" s="1"/>
  <c r="CM126" i="53"/>
  <c r="CN126" i="53" s="1"/>
  <c r="CM127" i="53"/>
  <c r="CN127" i="53" s="1"/>
  <c r="CM128" i="53"/>
  <c r="CN128" i="53" s="1"/>
  <c r="CM129" i="53"/>
  <c r="CN129" i="53" s="1"/>
  <c r="CM130" i="53"/>
  <c r="CN130" i="53" s="1"/>
  <c r="CM131" i="53"/>
  <c r="CN131" i="53" s="1"/>
  <c r="CM132" i="53"/>
  <c r="CN132" i="53" s="1"/>
  <c r="CM133" i="53"/>
  <c r="CN133" i="53" s="1"/>
  <c r="CM134" i="53"/>
  <c r="CN134" i="53" s="1"/>
  <c r="CM135" i="53"/>
  <c r="CN135" i="53" s="1"/>
  <c r="CM136" i="53"/>
  <c r="CN136" i="53" s="1"/>
  <c r="CM137" i="53"/>
  <c r="CN137" i="53" s="1"/>
  <c r="CM138" i="53"/>
  <c r="CN138" i="53" s="1"/>
  <c r="CM139" i="53"/>
  <c r="CN139" i="53" s="1"/>
  <c r="CM140" i="53"/>
  <c r="CN140" i="53" s="1"/>
  <c r="CM141" i="53"/>
  <c r="CN141" i="53" s="1"/>
  <c r="CM142" i="53"/>
  <c r="CN142" i="53" s="1"/>
  <c r="CM143" i="53"/>
  <c r="CN143" i="53" s="1"/>
  <c r="CM144" i="53"/>
  <c r="CN144" i="53" s="1"/>
  <c r="CM145" i="53"/>
  <c r="CN145" i="53" s="1"/>
  <c r="CM146" i="53"/>
  <c r="CN146" i="53" s="1"/>
  <c r="CM147" i="53"/>
  <c r="CN147" i="53" s="1"/>
  <c r="CM148" i="53"/>
  <c r="CN148" i="53" s="1"/>
  <c r="CM149" i="53"/>
  <c r="CN149" i="53" s="1"/>
  <c r="CM150" i="53"/>
  <c r="CN150" i="53" s="1"/>
  <c r="CM151" i="53"/>
  <c r="CN151" i="53" s="1"/>
  <c r="CM152" i="53"/>
  <c r="CN152" i="53" s="1"/>
  <c r="CM153" i="53"/>
  <c r="CN153" i="53" s="1"/>
  <c r="CM154" i="53"/>
  <c r="CN154" i="53" s="1"/>
  <c r="CM155" i="53"/>
  <c r="CN155" i="53" s="1"/>
  <c r="CM156" i="53"/>
  <c r="CN156" i="53" s="1"/>
  <c r="CM157" i="53"/>
  <c r="CN157" i="53" s="1"/>
  <c r="CM158" i="53"/>
  <c r="CN158" i="53" s="1"/>
  <c r="CM159" i="53"/>
  <c r="CN159" i="53" s="1"/>
  <c r="CM160" i="53"/>
  <c r="CN160" i="53" s="1"/>
  <c r="CM161" i="53"/>
  <c r="CN161" i="53" s="1"/>
  <c r="CM162" i="53"/>
  <c r="CN162" i="53" s="1"/>
  <c r="CM163" i="53"/>
  <c r="CN163" i="53" s="1"/>
  <c r="CM164" i="53"/>
  <c r="CN164" i="53" s="1"/>
  <c r="CM165" i="53"/>
  <c r="CN165" i="53" s="1"/>
  <c r="CM166" i="53"/>
  <c r="CN166" i="53" s="1"/>
  <c r="CM167" i="53"/>
  <c r="CN167" i="53" s="1"/>
  <c r="CM168" i="53"/>
  <c r="CN168" i="53" s="1"/>
  <c r="CM169" i="53"/>
  <c r="CN169" i="53" s="1"/>
  <c r="CM170" i="53"/>
  <c r="CN170" i="53" s="1"/>
  <c r="CM171" i="53"/>
  <c r="CN171" i="53" s="1"/>
  <c r="CM172" i="53"/>
  <c r="CN172" i="53" s="1"/>
  <c r="CM173" i="53"/>
  <c r="CN173" i="53" s="1"/>
  <c r="CM174" i="53"/>
  <c r="CN174" i="53" s="1"/>
  <c r="CM175" i="53"/>
  <c r="CN175" i="53" s="1"/>
  <c r="CM176" i="53"/>
  <c r="CN176" i="53" s="1"/>
  <c r="CM177" i="53"/>
  <c r="CN177" i="53" s="1"/>
  <c r="CM178" i="53"/>
  <c r="CN178" i="53" s="1"/>
  <c r="CM179" i="53"/>
  <c r="CN179" i="53" s="1"/>
  <c r="CM180" i="53"/>
  <c r="CN180" i="53" s="1"/>
  <c r="CM181" i="53"/>
  <c r="CN181" i="53" s="1"/>
  <c r="CM182" i="53"/>
  <c r="CN182" i="53" s="1"/>
  <c r="CM183" i="53"/>
  <c r="CN183" i="53" s="1"/>
  <c r="CM184" i="53"/>
  <c r="CN184" i="53" s="1"/>
  <c r="CM185" i="53"/>
  <c r="CN185" i="53" s="1"/>
  <c r="CM186" i="53"/>
  <c r="CN186" i="53" s="1"/>
  <c r="CM187" i="53"/>
  <c r="CN187" i="53" s="1"/>
  <c r="CM188" i="53"/>
  <c r="CN188" i="53" s="1"/>
  <c r="CM189" i="53"/>
  <c r="CN189" i="53" s="1"/>
  <c r="CM190" i="53"/>
  <c r="CN190" i="53" s="1"/>
  <c r="CM191" i="53"/>
  <c r="CN191" i="53" s="1"/>
  <c r="CM192" i="53"/>
  <c r="CN192" i="53" s="1"/>
  <c r="CM193" i="53"/>
  <c r="CN193" i="53" s="1"/>
  <c r="CM194" i="53"/>
  <c r="CN194" i="53" s="1"/>
  <c r="CM195" i="53"/>
  <c r="CN195" i="53" s="1"/>
  <c r="CM196" i="53"/>
  <c r="CN196" i="53" s="1"/>
  <c r="CM197" i="53"/>
  <c r="CN197" i="53" s="1"/>
  <c r="CM198" i="53"/>
  <c r="CN198" i="53" s="1"/>
  <c r="CM199" i="53"/>
  <c r="CN199" i="53" s="1"/>
  <c r="CM200" i="53"/>
  <c r="CN200" i="53" s="1"/>
  <c r="CM201" i="53"/>
  <c r="CN201" i="53" s="1"/>
  <c r="CM202" i="53"/>
  <c r="CN202" i="53" s="1"/>
  <c r="CM203" i="53"/>
  <c r="CN203" i="53" s="1"/>
  <c r="CM204" i="53"/>
  <c r="CN204" i="53" s="1"/>
  <c r="CM205" i="53"/>
  <c r="CN205" i="53" s="1"/>
  <c r="CM206" i="53"/>
  <c r="CN206" i="53" s="1"/>
  <c r="CM207" i="53"/>
  <c r="CN207" i="53" s="1"/>
  <c r="CM208" i="53"/>
  <c r="CN208" i="53" s="1"/>
  <c r="CM209" i="53"/>
  <c r="CN209" i="53" s="1"/>
  <c r="CM210" i="53"/>
  <c r="CN210" i="53" s="1"/>
  <c r="CM211" i="53"/>
  <c r="CN211" i="53" s="1"/>
  <c r="CM212" i="53"/>
  <c r="CN212" i="53" s="1"/>
  <c r="CM213" i="53"/>
  <c r="CN213" i="53" s="1"/>
  <c r="CM214" i="53"/>
  <c r="CN214" i="53" s="1"/>
  <c r="CM215" i="53"/>
  <c r="CN215" i="53" s="1"/>
  <c r="CM216" i="53"/>
  <c r="CN216" i="53" s="1"/>
  <c r="CM217" i="53"/>
  <c r="CN217" i="53" s="1"/>
  <c r="CM218" i="53"/>
  <c r="CN218" i="53" s="1"/>
  <c r="CM219" i="53"/>
  <c r="CN219" i="53" s="1"/>
  <c r="CM220" i="53"/>
  <c r="CN220" i="53" s="1"/>
  <c r="CM221" i="53"/>
  <c r="CN221" i="53" s="1"/>
  <c r="CM222" i="53"/>
  <c r="CN222" i="53" s="1"/>
  <c r="CM223" i="53"/>
  <c r="CN223" i="53" s="1"/>
  <c r="CM224" i="53"/>
  <c r="CN224" i="53" s="1"/>
  <c r="CM225" i="53"/>
  <c r="CN225" i="53" s="1"/>
  <c r="CM226" i="53"/>
  <c r="CN226" i="53" s="1"/>
  <c r="CM227" i="53"/>
  <c r="CN227" i="53" s="1"/>
  <c r="CM228" i="53"/>
  <c r="CN228" i="53" s="1"/>
  <c r="CM229" i="53"/>
  <c r="CN229" i="53" s="1"/>
  <c r="CM230" i="53"/>
  <c r="CN230" i="53" s="1"/>
  <c r="CM231" i="53"/>
  <c r="CN231" i="53" s="1"/>
  <c r="CM232" i="53"/>
  <c r="CN232" i="53" s="1"/>
  <c r="CM233" i="53"/>
  <c r="CN233" i="53" s="1"/>
  <c r="CM234" i="53"/>
  <c r="CN234" i="53" s="1"/>
  <c r="CM235" i="53"/>
  <c r="CN235" i="53" s="1"/>
  <c r="CM236" i="53"/>
  <c r="CN236" i="53" s="1"/>
  <c r="CM237" i="53"/>
  <c r="CN237" i="53" s="1"/>
  <c r="CM238" i="53"/>
  <c r="CN238" i="53" s="1"/>
  <c r="CM239" i="53"/>
  <c r="CN239" i="53" s="1"/>
  <c r="CM240" i="53"/>
  <c r="CN240" i="53" s="1"/>
  <c r="CM241" i="53"/>
  <c r="CN241" i="53" s="1"/>
  <c r="CM242" i="53"/>
  <c r="CN242" i="53" s="1"/>
  <c r="CM243" i="53"/>
  <c r="CN243" i="53" s="1"/>
  <c r="CM244" i="53"/>
  <c r="CN244" i="53" s="1"/>
  <c r="CM245" i="53"/>
  <c r="CN245" i="53" s="1"/>
  <c r="CM246" i="53"/>
  <c r="CN246" i="53" s="1"/>
  <c r="CM247" i="53"/>
  <c r="CN247" i="53" s="1"/>
  <c r="CM248" i="53"/>
  <c r="CN248" i="53" s="1"/>
  <c r="CM249" i="53"/>
  <c r="CN249" i="53" s="1"/>
  <c r="CM250" i="53"/>
  <c r="CN250" i="53" s="1"/>
  <c r="CM251" i="53"/>
  <c r="CN251" i="53" s="1"/>
  <c r="CM252" i="53"/>
  <c r="CN252" i="53" s="1"/>
  <c r="CM253" i="53"/>
  <c r="CN253" i="53" s="1"/>
  <c r="CM254" i="53"/>
  <c r="CN254" i="53" s="1"/>
  <c r="CM255" i="53"/>
  <c r="CN255" i="53" s="1"/>
  <c r="CM256" i="53"/>
  <c r="CN256" i="53" s="1"/>
  <c r="CM257" i="53"/>
  <c r="CN257" i="53" s="1"/>
  <c r="CM258" i="53"/>
  <c r="CN258" i="53" s="1"/>
  <c r="CM259" i="53"/>
  <c r="CN259" i="53" s="1"/>
  <c r="CM260" i="53"/>
  <c r="CN260" i="53" s="1"/>
  <c r="CM261" i="53"/>
  <c r="CN261" i="53" s="1"/>
  <c r="CM262" i="53"/>
  <c r="CN262" i="53" s="1"/>
  <c r="CM263" i="53"/>
  <c r="CN263" i="53" s="1"/>
  <c r="CM264" i="53"/>
  <c r="CN264" i="53" s="1"/>
  <c r="CM265" i="53"/>
  <c r="CN265" i="53" s="1"/>
  <c r="CM266" i="53"/>
  <c r="CN266" i="53" s="1"/>
  <c r="CM267" i="53"/>
  <c r="CN267" i="53" s="1"/>
  <c r="CM268" i="53"/>
  <c r="CN268" i="53" s="1"/>
  <c r="CM269" i="53"/>
  <c r="CN269" i="53" s="1"/>
  <c r="CM270" i="53"/>
  <c r="CN270" i="53" s="1"/>
  <c r="CM271" i="53"/>
  <c r="CN271" i="53" s="1"/>
  <c r="CM272" i="53"/>
  <c r="CN272" i="53" s="1"/>
  <c r="CM273" i="53"/>
  <c r="CN273" i="53" s="1"/>
  <c r="CM274" i="53"/>
  <c r="CN274" i="53" s="1"/>
  <c r="CM275" i="53"/>
  <c r="CN275" i="53" s="1"/>
  <c r="CM276" i="53"/>
  <c r="CN276" i="53" s="1"/>
  <c r="CM277" i="53"/>
  <c r="CN277" i="53" s="1"/>
  <c r="CM278" i="53"/>
  <c r="CN278" i="53" s="1"/>
  <c r="CM279" i="53"/>
  <c r="CN279" i="53" s="1"/>
  <c r="CM280" i="53"/>
  <c r="CN280" i="53" s="1"/>
  <c r="CM281" i="53"/>
  <c r="CN281" i="53" s="1"/>
  <c r="CM282" i="53"/>
  <c r="CN282" i="53" s="1"/>
  <c r="CM283" i="53"/>
  <c r="CN283" i="53" s="1"/>
  <c r="CM284" i="53"/>
  <c r="CN284" i="53" s="1"/>
  <c r="CM285" i="53"/>
  <c r="CN285" i="53" s="1"/>
  <c r="CM286" i="53"/>
  <c r="CN286" i="53" s="1"/>
  <c r="CM287" i="53"/>
  <c r="CN287" i="53" s="1"/>
  <c r="CM288" i="53"/>
  <c r="CN288" i="53" s="1"/>
  <c r="CM289" i="53"/>
  <c r="CN289" i="53" s="1"/>
  <c r="CM290" i="53"/>
  <c r="CN290" i="53" s="1"/>
  <c r="CM291" i="53"/>
  <c r="CN291" i="53" s="1"/>
  <c r="CM292" i="53"/>
  <c r="CN292" i="53" s="1"/>
  <c r="CM293" i="53"/>
  <c r="CN293" i="53" s="1"/>
  <c r="CM294" i="53"/>
  <c r="CN294" i="53" s="1"/>
  <c r="CM295" i="53"/>
  <c r="CN295" i="53" s="1"/>
  <c r="CM296" i="53"/>
  <c r="CN296" i="53" s="1"/>
  <c r="CM297" i="53"/>
  <c r="CN297" i="53" s="1"/>
  <c r="CM298" i="53"/>
  <c r="CN298" i="53" s="1"/>
  <c r="CM299" i="53"/>
  <c r="CN299" i="53" s="1"/>
  <c r="CM300" i="53"/>
  <c r="CN300" i="53" s="1"/>
  <c r="CM301" i="53"/>
  <c r="CN301" i="53" s="1"/>
  <c r="CM302" i="53"/>
  <c r="CN302" i="53" s="1"/>
  <c r="CM303" i="53"/>
  <c r="CN303" i="53" s="1"/>
  <c r="CM304" i="53"/>
  <c r="CN304" i="53" s="1"/>
  <c r="CM305" i="53"/>
  <c r="CN305" i="53" s="1"/>
  <c r="CM306" i="53"/>
  <c r="CN306" i="53" s="1"/>
  <c r="CM307" i="53"/>
  <c r="CN307" i="53" s="1"/>
  <c r="CM308" i="53"/>
  <c r="CN308" i="53" s="1"/>
  <c r="CM309" i="53"/>
  <c r="CN309" i="53" s="1"/>
  <c r="CM310" i="53"/>
  <c r="CN310" i="53" s="1"/>
  <c r="CM311" i="53"/>
  <c r="CN311" i="53" s="1"/>
  <c r="CM312" i="53"/>
  <c r="CN312" i="53" s="1"/>
  <c r="CM313" i="53"/>
  <c r="CN313" i="53" s="1"/>
  <c r="CM314" i="53"/>
  <c r="CN314" i="53" s="1"/>
  <c r="CM315" i="53"/>
  <c r="CN315" i="53" s="1"/>
  <c r="CM316" i="53"/>
  <c r="CN316" i="53" s="1"/>
  <c r="CM317" i="53"/>
  <c r="CN317" i="53" s="1"/>
  <c r="CM318" i="53"/>
  <c r="CN318" i="53" s="1"/>
  <c r="CM319" i="53"/>
  <c r="CN319" i="53" s="1"/>
  <c r="CM320" i="53"/>
  <c r="CN320" i="53" s="1"/>
  <c r="CM321" i="53"/>
  <c r="CN321" i="53" s="1"/>
  <c r="CM322" i="53"/>
  <c r="CN322" i="53" s="1"/>
  <c r="CM323" i="53"/>
  <c r="CN323" i="53" s="1"/>
  <c r="CM324" i="53"/>
  <c r="CN324" i="53" s="1"/>
  <c r="CM325" i="53"/>
  <c r="CN325" i="53" s="1"/>
  <c r="CM326" i="53"/>
  <c r="CN326" i="53" s="1"/>
  <c r="CM327" i="53"/>
  <c r="CN327" i="53" s="1"/>
  <c r="CM328" i="53"/>
  <c r="CN328" i="53" s="1"/>
  <c r="CM329" i="53"/>
  <c r="CN329" i="53" s="1"/>
  <c r="CM330" i="53"/>
  <c r="CN330" i="53" s="1"/>
  <c r="CM331" i="53"/>
  <c r="CN331" i="53" s="1"/>
  <c r="CM332" i="53"/>
  <c r="CN332" i="53" s="1"/>
  <c r="CM333" i="53"/>
  <c r="CN333" i="53" s="1"/>
  <c r="CM334" i="53"/>
  <c r="CN334" i="53" s="1"/>
  <c r="CM335" i="53"/>
  <c r="CN335" i="53" s="1"/>
  <c r="CM336" i="53"/>
  <c r="CN336" i="53" s="1"/>
  <c r="CM337" i="53"/>
  <c r="CN337" i="53" s="1"/>
  <c r="CM338" i="53"/>
  <c r="CN338" i="53" s="1"/>
  <c r="CM339" i="53"/>
  <c r="CN339" i="53" s="1"/>
  <c r="CM340" i="53"/>
  <c r="CN340" i="53" s="1"/>
  <c r="CM341" i="53"/>
  <c r="CN341" i="53" s="1"/>
  <c r="CM342" i="53"/>
  <c r="CN342" i="53" s="1"/>
  <c r="CM343" i="53"/>
  <c r="CN343" i="53" s="1"/>
  <c r="CM344" i="53"/>
  <c r="CN344" i="53" s="1"/>
  <c r="CM345" i="53"/>
  <c r="CN345" i="53" s="1"/>
  <c r="CM346" i="53"/>
  <c r="CN346" i="53" s="1"/>
  <c r="CM347" i="53"/>
  <c r="CN347" i="53" s="1"/>
  <c r="CM348" i="53"/>
  <c r="CN348" i="53" s="1"/>
  <c r="CM349" i="53"/>
  <c r="CN349" i="53" s="1"/>
  <c r="CM350" i="53"/>
  <c r="CN350" i="53" s="1"/>
  <c r="CM351" i="53"/>
  <c r="CN351" i="53" s="1"/>
  <c r="CM352" i="53"/>
  <c r="CN352" i="53" s="1"/>
  <c r="CM353" i="53"/>
  <c r="CN353" i="53" s="1"/>
  <c r="CM354" i="53"/>
  <c r="CN354" i="53" s="1"/>
  <c r="CM355" i="53"/>
  <c r="CN355" i="53" s="1"/>
  <c r="CM356" i="53"/>
  <c r="CN356" i="53" s="1"/>
  <c r="CM357" i="53"/>
  <c r="CN357" i="53" s="1"/>
  <c r="CM358" i="53"/>
  <c r="CN358" i="53" s="1"/>
  <c r="CM359" i="53"/>
  <c r="CN359" i="53" s="1"/>
  <c r="CM360" i="53"/>
  <c r="CN360" i="53" s="1"/>
  <c r="CM361" i="53"/>
  <c r="CN361" i="53" s="1"/>
  <c r="CM362" i="53"/>
  <c r="CN362" i="53" s="1"/>
  <c r="CM363" i="53"/>
  <c r="CN363" i="53" s="1"/>
  <c r="CM364" i="53"/>
  <c r="CN364" i="53" s="1"/>
  <c r="CM365" i="53"/>
  <c r="CN365" i="53" s="1"/>
  <c r="CM366" i="53"/>
  <c r="CN366" i="53" s="1"/>
  <c r="CM367" i="53"/>
  <c r="CN367" i="53" s="1"/>
  <c r="CM368" i="53"/>
  <c r="CN368" i="53" s="1"/>
  <c r="CM369" i="53"/>
  <c r="CN369" i="53" s="1"/>
  <c r="CM370" i="53"/>
  <c r="CN370" i="53" s="1"/>
  <c r="CM371" i="53"/>
  <c r="CN371" i="53" s="1"/>
  <c r="CM372" i="53"/>
  <c r="CN372" i="53" s="1"/>
  <c r="CM373" i="53"/>
  <c r="CN373" i="53" s="1"/>
  <c r="CM374" i="53"/>
  <c r="CN374" i="53" s="1"/>
  <c r="CM375" i="53"/>
  <c r="CN375" i="53" s="1"/>
  <c r="CM376" i="53"/>
  <c r="CN376" i="53" s="1"/>
  <c r="CM377" i="53"/>
  <c r="CN377" i="53" s="1"/>
  <c r="CM378" i="53"/>
  <c r="CN378" i="53" s="1"/>
  <c r="CM379" i="53"/>
  <c r="CN379" i="53" s="1"/>
  <c r="CM380" i="53"/>
  <c r="CN380" i="53" s="1"/>
  <c r="CM381" i="53"/>
  <c r="CN381" i="53" s="1"/>
  <c r="CM382" i="53"/>
  <c r="CN382" i="53" s="1"/>
  <c r="CM383" i="53"/>
  <c r="CN383" i="53" s="1"/>
  <c r="CM384" i="53"/>
  <c r="CN384" i="53" s="1"/>
  <c r="CM385" i="53"/>
  <c r="CN385" i="53" s="1"/>
  <c r="CM386" i="53"/>
  <c r="CN386" i="53" s="1"/>
  <c r="CM387" i="53"/>
  <c r="CN387" i="53" s="1"/>
  <c r="CM388" i="53"/>
  <c r="CN388" i="53" s="1"/>
  <c r="CM389" i="53"/>
  <c r="CN389" i="53" s="1"/>
  <c r="CM390" i="53"/>
  <c r="CN390" i="53" s="1"/>
  <c r="CM391" i="53"/>
  <c r="CN391" i="53" s="1"/>
  <c r="CM392" i="53"/>
  <c r="CN392" i="53" s="1"/>
  <c r="CM393" i="53"/>
  <c r="CN393" i="53" s="1"/>
  <c r="CM394" i="53"/>
  <c r="CN394" i="53" s="1"/>
  <c r="CM395" i="53"/>
  <c r="CN395" i="53" s="1"/>
  <c r="CM396" i="53"/>
  <c r="CN396" i="53" s="1"/>
  <c r="CM397" i="53"/>
  <c r="CN397" i="53" s="1"/>
  <c r="CM398" i="53"/>
  <c r="CN398" i="53" s="1"/>
  <c r="CM399" i="53"/>
  <c r="CN399" i="53" s="1"/>
  <c r="CM400" i="53"/>
  <c r="CN400" i="53" s="1"/>
  <c r="CM401" i="53"/>
  <c r="CN401" i="53" s="1"/>
  <c r="CM402" i="53"/>
  <c r="CN402" i="53" s="1"/>
  <c r="CM403" i="53"/>
  <c r="CN403" i="53" s="1"/>
  <c r="CM404" i="53"/>
  <c r="CN404" i="53" s="1"/>
  <c r="CM405" i="53"/>
  <c r="CN405" i="53" s="1"/>
  <c r="CM406" i="53"/>
  <c r="CN406" i="53" s="1"/>
  <c r="CM407" i="53"/>
  <c r="CN407" i="53" s="1"/>
  <c r="CM408" i="53"/>
  <c r="CN408" i="53" s="1"/>
  <c r="CM409" i="53"/>
  <c r="CN409" i="53" s="1"/>
  <c r="CM410" i="53"/>
  <c r="CN410" i="53" s="1"/>
  <c r="CM411" i="53"/>
  <c r="CN411" i="53" s="1"/>
  <c r="CM412" i="53"/>
  <c r="CN412" i="53" s="1"/>
  <c r="CM413" i="53"/>
  <c r="CN413" i="53" s="1"/>
  <c r="CM414" i="53"/>
  <c r="CN414" i="53" s="1"/>
  <c r="CM415" i="53"/>
  <c r="CN415" i="53" s="1"/>
  <c r="CM416" i="53"/>
  <c r="CN416" i="53" s="1"/>
  <c r="CM417" i="53"/>
  <c r="CN417" i="53" s="1"/>
  <c r="CM418" i="53"/>
  <c r="CN418" i="53" s="1"/>
  <c r="CM419" i="53"/>
  <c r="CN419" i="53" s="1"/>
  <c r="CM420" i="53"/>
  <c r="CN420" i="53" s="1"/>
  <c r="CM421" i="53"/>
  <c r="CN421" i="53" s="1"/>
  <c r="CM422" i="53"/>
  <c r="CN422" i="53" s="1"/>
  <c r="CM423" i="53"/>
  <c r="CN423" i="53" s="1"/>
  <c r="CM424" i="53"/>
  <c r="CN424" i="53" s="1"/>
  <c r="CM425" i="53"/>
  <c r="CN425" i="53" s="1"/>
  <c r="CM426" i="53"/>
  <c r="CN426" i="53" s="1"/>
  <c r="CM427" i="53"/>
  <c r="CN427" i="53" s="1"/>
  <c r="CM428" i="53"/>
  <c r="CN428" i="53" s="1"/>
  <c r="CM429" i="53"/>
  <c r="CN429" i="53" s="1"/>
  <c r="CM430" i="53"/>
  <c r="CN430" i="53" s="1"/>
  <c r="CM431" i="53"/>
  <c r="CN431" i="53" s="1"/>
  <c r="CM432" i="53"/>
  <c r="CN432" i="53" s="1"/>
  <c r="CM433" i="53"/>
  <c r="CN433" i="53" s="1"/>
  <c r="CM434" i="53"/>
  <c r="CN434" i="53" s="1"/>
  <c r="CM435" i="53"/>
  <c r="CN435" i="53" s="1"/>
  <c r="CM436" i="53"/>
  <c r="CN436" i="53" s="1"/>
  <c r="CM437" i="53"/>
  <c r="CN437" i="53" s="1"/>
  <c r="CM438" i="53"/>
  <c r="CN438" i="53" s="1"/>
  <c r="CM439" i="53"/>
  <c r="CN439" i="53" s="1"/>
  <c r="CM440" i="53"/>
  <c r="CN440" i="53" s="1"/>
  <c r="CM441" i="53"/>
  <c r="CN441" i="53" s="1"/>
  <c r="CM442" i="53"/>
  <c r="CN442" i="53" s="1"/>
  <c r="CM443" i="53"/>
  <c r="CN443" i="53" s="1"/>
  <c r="CM444" i="53"/>
  <c r="CN444" i="53" s="1"/>
  <c r="CM445" i="53"/>
  <c r="CN445" i="53" s="1"/>
  <c r="CM446" i="53"/>
  <c r="CN446" i="53" s="1"/>
  <c r="CM447" i="53"/>
  <c r="CN447" i="53" s="1"/>
  <c r="CM448" i="53"/>
  <c r="CN448" i="53" s="1"/>
  <c r="CM449" i="53"/>
  <c r="CN449" i="53" s="1"/>
  <c r="CM450" i="53"/>
  <c r="CN450" i="53" s="1"/>
  <c r="CM451" i="53"/>
  <c r="CN451" i="53" s="1"/>
  <c r="CM452" i="53"/>
  <c r="CN452" i="53" s="1"/>
  <c r="CM453" i="53"/>
  <c r="CN453" i="53" s="1"/>
  <c r="CM454" i="53"/>
  <c r="CN454" i="53" s="1"/>
  <c r="CM455" i="53"/>
  <c r="CN455" i="53" s="1"/>
  <c r="CM456" i="53"/>
  <c r="CN456" i="53" s="1"/>
  <c r="CM457" i="53"/>
  <c r="CN457" i="53" s="1"/>
  <c r="CM458" i="53"/>
  <c r="CN458" i="53" s="1"/>
  <c r="CM459" i="53"/>
  <c r="CN459" i="53" s="1"/>
  <c r="CM460" i="53"/>
  <c r="CN460" i="53" s="1"/>
  <c r="CM461" i="53"/>
  <c r="CN461" i="53" s="1"/>
  <c r="CM462" i="53"/>
  <c r="CN462" i="53" s="1"/>
  <c r="CM463" i="53"/>
  <c r="CN463" i="53" s="1"/>
  <c r="CM464" i="53"/>
  <c r="CN464" i="53" s="1"/>
  <c r="CM465" i="53"/>
  <c r="CN465" i="53" s="1"/>
  <c r="CM466" i="53"/>
  <c r="CN466" i="53" s="1"/>
  <c r="CM467" i="53"/>
  <c r="CN467" i="53" s="1"/>
  <c r="CM468" i="53"/>
  <c r="CN468" i="53" s="1"/>
  <c r="CM469" i="53"/>
  <c r="CN469" i="53" s="1"/>
  <c r="CM470" i="53"/>
  <c r="CN470" i="53" s="1"/>
  <c r="CM471" i="53"/>
  <c r="CN471" i="53" s="1"/>
  <c r="CM472" i="53"/>
  <c r="CN472" i="53" s="1"/>
  <c r="CM473" i="53"/>
  <c r="CN473" i="53" s="1"/>
  <c r="CM474" i="53"/>
  <c r="CN474" i="53" s="1"/>
  <c r="CM475" i="53"/>
  <c r="CN475" i="53" s="1"/>
  <c r="CM476" i="53"/>
  <c r="CN476" i="53" s="1"/>
  <c r="CM477" i="53"/>
  <c r="CN477" i="53" s="1"/>
  <c r="CM478" i="53"/>
  <c r="CN478" i="53" s="1"/>
  <c r="CM479" i="53"/>
  <c r="CN479" i="53" s="1"/>
  <c r="CM480" i="53"/>
  <c r="CN480" i="53" s="1"/>
  <c r="CM481" i="53"/>
  <c r="CN481" i="53" s="1"/>
  <c r="CM482" i="53"/>
  <c r="CN482" i="53" s="1"/>
  <c r="CM483" i="53"/>
  <c r="CN483" i="53" s="1"/>
  <c r="CM484" i="53"/>
  <c r="CN484" i="53" s="1"/>
  <c r="CM485" i="53"/>
  <c r="CN485" i="53" s="1"/>
  <c r="CM486" i="53"/>
  <c r="CN486" i="53" s="1"/>
  <c r="CM487" i="53"/>
  <c r="CN487" i="53" s="1"/>
  <c r="CM488" i="53"/>
  <c r="CN488" i="53" s="1"/>
  <c r="CM489" i="53"/>
  <c r="CN489" i="53" s="1"/>
  <c r="CM490" i="53"/>
  <c r="CN490" i="53" s="1"/>
  <c r="CM491" i="53"/>
  <c r="CN491" i="53" s="1"/>
  <c r="CM492" i="53"/>
  <c r="CN492" i="53" s="1"/>
  <c r="CM493" i="53"/>
  <c r="CN493" i="53" s="1"/>
  <c r="CM494" i="53"/>
  <c r="CN494" i="53" s="1"/>
  <c r="CM495" i="53"/>
  <c r="CN495" i="53" s="1"/>
  <c r="CM496" i="53"/>
  <c r="CN496" i="53" s="1"/>
  <c r="CM497" i="53"/>
  <c r="CN497" i="53" s="1"/>
  <c r="CM498" i="53"/>
  <c r="CN498" i="53" s="1"/>
  <c r="CM499" i="53"/>
  <c r="CN499" i="53" s="1"/>
  <c r="CM500" i="53"/>
  <c r="CN500" i="53" s="1"/>
  <c r="CM501" i="53"/>
  <c r="CN501" i="53" s="1"/>
  <c r="CM502" i="53"/>
  <c r="CN502" i="53" s="1"/>
  <c r="CM503" i="53"/>
  <c r="CN503" i="53" s="1"/>
  <c r="CM504" i="53"/>
  <c r="CN504" i="53" s="1"/>
  <c r="CM505" i="53"/>
  <c r="CN505" i="53" s="1"/>
  <c r="CM506" i="53"/>
  <c r="CN506" i="53" s="1"/>
  <c r="CM507" i="53"/>
  <c r="CN507" i="53" s="1"/>
  <c r="CM508" i="53"/>
  <c r="CN508" i="53" s="1"/>
  <c r="CM509" i="53"/>
  <c r="CN509" i="53" s="1"/>
  <c r="CM510" i="53"/>
  <c r="CN510" i="53" s="1"/>
  <c r="CM511" i="53"/>
  <c r="CN511" i="53" s="1"/>
  <c r="CM512" i="53"/>
  <c r="CN512" i="53" s="1"/>
  <c r="CM513" i="53"/>
  <c r="CN513" i="53" s="1"/>
  <c r="CM514" i="53"/>
  <c r="CN514" i="53" s="1"/>
  <c r="CM515" i="53"/>
  <c r="CN515" i="53" s="1"/>
  <c r="CM516" i="53"/>
  <c r="CN516" i="53" s="1"/>
  <c r="CM517" i="53"/>
  <c r="CN517" i="53" s="1"/>
  <c r="CM518" i="53"/>
  <c r="CN518" i="53" s="1"/>
  <c r="CM519" i="53"/>
  <c r="CN519" i="53" s="1"/>
  <c r="CM520" i="53"/>
  <c r="CN520" i="53" s="1"/>
  <c r="CM521" i="53"/>
  <c r="CN521" i="53" s="1"/>
  <c r="CM522" i="53"/>
  <c r="CN522" i="53" s="1"/>
  <c r="CM523" i="53"/>
  <c r="CN523" i="53" s="1"/>
  <c r="CM524" i="53"/>
  <c r="CN524" i="53" s="1"/>
  <c r="CM525" i="53"/>
  <c r="CN525" i="53" s="1"/>
  <c r="CM526" i="53"/>
  <c r="CN526" i="53" s="1"/>
  <c r="CM527" i="53"/>
  <c r="CN527" i="53" s="1"/>
  <c r="CM528" i="53"/>
  <c r="CN528" i="53" s="1"/>
  <c r="CM529" i="53"/>
  <c r="CN529" i="53" s="1"/>
  <c r="CM530" i="53"/>
  <c r="CN530" i="53" s="1"/>
  <c r="CM531" i="53"/>
  <c r="CN531" i="53" s="1"/>
  <c r="CM532" i="53"/>
  <c r="CN532" i="53" s="1"/>
  <c r="CM533" i="53"/>
  <c r="CN533" i="53" s="1"/>
  <c r="CM534" i="53"/>
  <c r="CN534" i="53" s="1"/>
  <c r="CM535" i="53"/>
  <c r="CN535" i="53" s="1"/>
  <c r="CM536" i="53"/>
  <c r="CN536" i="53" s="1"/>
  <c r="CM537" i="53"/>
  <c r="CN537" i="53" s="1"/>
  <c r="CM538" i="53"/>
  <c r="CN538" i="53" s="1"/>
  <c r="CM539" i="53"/>
  <c r="CN539" i="53" s="1"/>
  <c r="CM540" i="53"/>
  <c r="CN540" i="53" s="1"/>
  <c r="CM541" i="53"/>
  <c r="CN541" i="53" s="1"/>
  <c r="CM542" i="53"/>
  <c r="CN542" i="53" s="1"/>
  <c r="CM543" i="53"/>
  <c r="CN543" i="53" s="1"/>
  <c r="CM544" i="53"/>
  <c r="CN544" i="53" s="1"/>
  <c r="CM545" i="53"/>
  <c r="CN545" i="53" s="1"/>
  <c r="CM546" i="53"/>
  <c r="CN546" i="53" s="1"/>
  <c r="CM547" i="53"/>
  <c r="CN547" i="53" s="1"/>
  <c r="CM548" i="53"/>
  <c r="CN548" i="53" s="1"/>
  <c r="CM549" i="53"/>
  <c r="CN549" i="53" s="1"/>
  <c r="CM550" i="53"/>
  <c r="CN550" i="53" s="1"/>
  <c r="CM551" i="53"/>
  <c r="CN551" i="53" s="1"/>
  <c r="CM552" i="53"/>
  <c r="CN552" i="53" s="1"/>
  <c r="CM553" i="53"/>
  <c r="CN553" i="53" s="1"/>
  <c r="CM554" i="53"/>
  <c r="CN554" i="53" s="1"/>
  <c r="CM555" i="53"/>
  <c r="CN555" i="53" s="1"/>
  <c r="CM556" i="53"/>
  <c r="CN556" i="53" s="1"/>
  <c r="CM557" i="53"/>
  <c r="CN557" i="53" s="1"/>
  <c r="CM558" i="53"/>
  <c r="CN558" i="53" s="1"/>
  <c r="CM559" i="53"/>
  <c r="CN559" i="53" s="1"/>
  <c r="CM560" i="53"/>
  <c r="CN560" i="53" s="1"/>
  <c r="CM561" i="53"/>
  <c r="CN561" i="53" s="1"/>
  <c r="CM562" i="53"/>
  <c r="CN562" i="53" s="1"/>
  <c r="CM563" i="53"/>
  <c r="CN563" i="53" s="1"/>
  <c r="CM564" i="53"/>
  <c r="CN564" i="53" s="1"/>
  <c r="CM565" i="53"/>
  <c r="CN565" i="53" s="1"/>
  <c r="CM566" i="53"/>
  <c r="CN566" i="53" s="1"/>
  <c r="CM567" i="53"/>
  <c r="CN567" i="53" s="1"/>
  <c r="CM568" i="53"/>
  <c r="CN568" i="53" s="1"/>
  <c r="CM569" i="53"/>
  <c r="CN569" i="53" s="1"/>
  <c r="CM570" i="53"/>
  <c r="CN570" i="53" s="1"/>
  <c r="CM571" i="53"/>
  <c r="CN571" i="53" s="1"/>
  <c r="CM572" i="53"/>
  <c r="CN572" i="53" s="1"/>
  <c r="CM573" i="53"/>
  <c r="CN573" i="53" s="1"/>
  <c r="CM574" i="53"/>
  <c r="CN574" i="53" s="1"/>
  <c r="CM575" i="53"/>
  <c r="CN575" i="53" s="1"/>
  <c r="CM576" i="53"/>
  <c r="CN576" i="53" s="1"/>
  <c r="CM577" i="53"/>
  <c r="CN577" i="53" s="1"/>
  <c r="CM578" i="53"/>
  <c r="CN578" i="53" s="1"/>
  <c r="CM579" i="53"/>
  <c r="CN579" i="53" s="1"/>
  <c r="CM580" i="53"/>
  <c r="CN580" i="53" s="1"/>
  <c r="CM581" i="53"/>
  <c r="CN581" i="53" s="1"/>
  <c r="CM582" i="53"/>
  <c r="CN582" i="53" s="1"/>
  <c r="CM583" i="53"/>
  <c r="CN583" i="53" s="1"/>
  <c r="CM584" i="53"/>
  <c r="CN584" i="53" s="1"/>
  <c r="CM585" i="53"/>
  <c r="CN585" i="53" s="1"/>
  <c r="CM586" i="53"/>
  <c r="CN586" i="53" s="1"/>
  <c r="CM587" i="53"/>
  <c r="CN587" i="53" s="1"/>
  <c r="CM588" i="53"/>
  <c r="CN588" i="53" s="1"/>
  <c r="CM589" i="53"/>
  <c r="CN589" i="53" s="1"/>
  <c r="CM590" i="53"/>
  <c r="CN590" i="53" s="1"/>
  <c r="CM591" i="53"/>
  <c r="CN591" i="53" s="1"/>
  <c r="CM592" i="53"/>
  <c r="CN592" i="53" s="1"/>
  <c r="CM593" i="53"/>
  <c r="CN593" i="53" s="1"/>
  <c r="CM594" i="53"/>
  <c r="CN594" i="53" s="1"/>
  <c r="CM595" i="53"/>
  <c r="CN595" i="53" s="1"/>
  <c r="CM596" i="53"/>
  <c r="CN596" i="53" s="1"/>
  <c r="CM597" i="53"/>
  <c r="CN597" i="53" s="1"/>
  <c r="CM598" i="53"/>
  <c r="CN598" i="53" s="1"/>
  <c r="CM599" i="53"/>
  <c r="CN599" i="53" s="1"/>
  <c r="CM600" i="53"/>
  <c r="CN600" i="53" s="1"/>
  <c r="CM601" i="53"/>
  <c r="CN601" i="53" s="1"/>
  <c r="CM602" i="53"/>
  <c r="CN602" i="53" s="1"/>
  <c r="CM603" i="53"/>
  <c r="CN603" i="53" s="1"/>
  <c r="CM604" i="53"/>
  <c r="CN604" i="53" s="1"/>
  <c r="CM605" i="53"/>
  <c r="CN605" i="53" s="1"/>
  <c r="CM606" i="53"/>
  <c r="CN606" i="53" s="1"/>
  <c r="CM607" i="53"/>
  <c r="CN607" i="53" s="1"/>
  <c r="CM608" i="53"/>
  <c r="CN608" i="53" s="1"/>
  <c r="CM609" i="53"/>
  <c r="CN609" i="53" s="1"/>
  <c r="CM610" i="53"/>
  <c r="CN610" i="53" s="1"/>
  <c r="CM611" i="53"/>
  <c r="CN611" i="53" s="1"/>
  <c r="CM612" i="53"/>
  <c r="CN612" i="53" s="1"/>
  <c r="CM613" i="53"/>
  <c r="CN613" i="53" s="1"/>
  <c r="CM614" i="53"/>
  <c r="CN614" i="53" s="1"/>
  <c r="CM615" i="53"/>
  <c r="CN615" i="53" s="1"/>
  <c r="CM616" i="53"/>
  <c r="CN616" i="53" s="1"/>
  <c r="CM617" i="53"/>
  <c r="CN617" i="53" s="1"/>
  <c r="CM618" i="53"/>
  <c r="CN618" i="53" s="1"/>
  <c r="CM619" i="53"/>
  <c r="CN619" i="53" s="1"/>
  <c r="CM620" i="53"/>
  <c r="CN620" i="53" s="1"/>
  <c r="CM621" i="53"/>
  <c r="CN621" i="53" s="1"/>
  <c r="CM622" i="53"/>
  <c r="CN622" i="53" s="1"/>
  <c r="CM623" i="53"/>
  <c r="CN623" i="53" s="1"/>
  <c r="CM624" i="53"/>
  <c r="CN624" i="53" s="1"/>
  <c r="CM625" i="53"/>
  <c r="CN625" i="53" s="1"/>
  <c r="CM626" i="53"/>
  <c r="CN626" i="53" s="1"/>
  <c r="CM627" i="53"/>
  <c r="CN627" i="53" s="1"/>
  <c r="CM628" i="53"/>
  <c r="CN628" i="53" s="1"/>
  <c r="CM629" i="53"/>
  <c r="CN629" i="53" s="1"/>
  <c r="CM630" i="53"/>
  <c r="CN630" i="53" s="1"/>
  <c r="CM631" i="53"/>
  <c r="CN631" i="53" s="1"/>
  <c r="CM632" i="53"/>
  <c r="CN632" i="53" s="1"/>
  <c r="CM633" i="53"/>
  <c r="CN633" i="53" s="1"/>
  <c r="CM634" i="53"/>
  <c r="CN634" i="53" s="1"/>
  <c r="CM635" i="53"/>
  <c r="CN635" i="53" s="1"/>
  <c r="CM636" i="53"/>
  <c r="CN636" i="53" s="1"/>
  <c r="CM637" i="53"/>
  <c r="CN637" i="53" s="1"/>
  <c r="CM638" i="53"/>
  <c r="CN638" i="53" s="1"/>
  <c r="CM639" i="53"/>
  <c r="CN639" i="53" s="1"/>
  <c r="CM640" i="53"/>
  <c r="CN640" i="53" s="1"/>
  <c r="CM641" i="53"/>
  <c r="CN641" i="53" s="1"/>
  <c r="CM642" i="53"/>
  <c r="CN642" i="53" s="1"/>
  <c r="CM643" i="53"/>
  <c r="CN643" i="53" s="1"/>
  <c r="CM644" i="53"/>
  <c r="CN644" i="53" s="1"/>
  <c r="CM645" i="53"/>
  <c r="CN645" i="53" s="1"/>
  <c r="CM646" i="53"/>
  <c r="CN646" i="53" s="1"/>
  <c r="CM647" i="53"/>
  <c r="CN647" i="53" s="1"/>
  <c r="CM648" i="53"/>
  <c r="CN648" i="53" s="1"/>
  <c r="CM649" i="53"/>
  <c r="CN649" i="53" s="1"/>
  <c r="CM650" i="53"/>
  <c r="CN650" i="53" s="1"/>
  <c r="CM651" i="53"/>
  <c r="CN651" i="53" s="1"/>
  <c r="CM652" i="53"/>
  <c r="CN652" i="53" s="1"/>
  <c r="CM653" i="53"/>
  <c r="CN653" i="53" s="1"/>
  <c r="CM654" i="53"/>
  <c r="CN654" i="53" s="1"/>
  <c r="CM655" i="53"/>
  <c r="CN655" i="53" s="1"/>
  <c r="CM656" i="53"/>
  <c r="CN656" i="53" s="1"/>
  <c r="CM657" i="53"/>
  <c r="CN657" i="53" s="1"/>
  <c r="CM658" i="53"/>
  <c r="CN658" i="53" s="1"/>
  <c r="CM659" i="53"/>
  <c r="CN659" i="53" s="1"/>
  <c r="CM660" i="53"/>
  <c r="CN660" i="53" s="1"/>
  <c r="CM661" i="53"/>
  <c r="CN661" i="53" s="1"/>
  <c r="CM662" i="53"/>
  <c r="CN662" i="53" s="1"/>
  <c r="CM663" i="53"/>
  <c r="CN663" i="53" s="1"/>
  <c r="CM664" i="53"/>
  <c r="CN664" i="53" s="1"/>
  <c r="CM665" i="53"/>
  <c r="CN665" i="53" s="1"/>
  <c r="CM666" i="53"/>
  <c r="CN666" i="53" s="1"/>
  <c r="CM667" i="53"/>
  <c r="CN667" i="53" s="1"/>
  <c r="CM668" i="53"/>
  <c r="CN668" i="53" s="1"/>
  <c r="CM669" i="53"/>
  <c r="CN669" i="53" s="1"/>
  <c r="CM670" i="53"/>
  <c r="CN670" i="53" s="1"/>
  <c r="CM671" i="53"/>
  <c r="CN671" i="53" s="1"/>
  <c r="CM672" i="53"/>
  <c r="CN672" i="53" s="1"/>
  <c r="CM673" i="53"/>
  <c r="CN673" i="53" s="1"/>
  <c r="CM674" i="53"/>
  <c r="CN674" i="53" s="1"/>
  <c r="CM675" i="53"/>
  <c r="CN675" i="53" s="1"/>
  <c r="CM676" i="53"/>
  <c r="CN676" i="53" s="1"/>
  <c r="CM677" i="53"/>
  <c r="CN677" i="53" s="1"/>
  <c r="CM678" i="53"/>
  <c r="CN678" i="53" s="1"/>
  <c r="CM679" i="53"/>
  <c r="CN679" i="53" s="1"/>
  <c r="CM680" i="53"/>
  <c r="CN680" i="53" s="1"/>
  <c r="CM681" i="53"/>
  <c r="CN681" i="53" s="1"/>
  <c r="CM682" i="53"/>
  <c r="CN682" i="53" s="1"/>
  <c r="CM683" i="53"/>
  <c r="CN683" i="53" s="1"/>
  <c r="CM684" i="53"/>
  <c r="CN684" i="53" s="1"/>
  <c r="CM685" i="53"/>
  <c r="CN685" i="53" s="1"/>
  <c r="CM686" i="53"/>
  <c r="CN686" i="53" s="1"/>
  <c r="CM687" i="53"/>
  <c r="CN687" i="53" s="1"/>
  <c r="CM688" i="53"/>
  <c r="CN688" i="53" s="1"/>
  <c r="CM689" i="53"/>
  <c r="CN689" i="53" s="1"/>
  <c r="CM690" i="53"/>
  <c r="CN690" i="53" s="1"/>
  <c r="CM691" i="53"/>
  <c r="CN691" i="53" s="1"/>
  <c r="CM692" i="53"/>
  <c r="CN692" i="53" s="1"/>
  <c r="CM693" i="53"/>
  <c r="CN693" i="53" s="1"/>
  <c r="CM694" i="53"/>
  <c r="CN694" i="53" s="1"/>
  <c r="CM695" i="53"/>
  <c r="CN695" i="53" s="1"/>
  <c r="CM696" i="53"/>
  <c r="CN696" i="53" s="1"/>
  <c r="CM697" i="53"/>
  <c r="CN697" i="53" s="1"/>
  <c r="CM698" i="53"/>
  <c r="CN698" i="53" s="1"/>
  <c r="CM699" i="53"/>
  <c r="CN699" i="53" s="1"/>
  <c r="CM700" i="53"/>
  <c r="CN700" i="53" s="1"/>
  <c r="CM701" i="53"/>
  <c r="CN701" i="53" s="1"/>
  <c r="CM702" i="53"/>
  <c r="CN702" i="53" s="1"/>
  <c r="CM703" i="53"/>
  <c r="CN703" i="53" s="1"/>
  <c r="CM704" i="53"/>
  <c r="CN704" i="53" s="1"/>
  <c r="CM705" i="53"/>
  <c r="CN705" i="53" s="1"/>
  <c r="CM706" i="53"/>
  <c r="CN706" i="53" s="1"/>
  <c r="CM707" i="53"/>
  <c r="CN707" i="53" s="1"/>
  <c r="CM708" i="53"/>
  <c r="CN708" i="53" s="1"/>
  <c r="CM709" i="53"/>
  <c r="CN709" i="53" s="1"/>
  <c r="CM710" i="53"/>
  <c r="CN710" i="53" s="1"/>
  <c r="CM711" i="53"/>
  <c r="CN711" i="53" s="1"/>
  <c r="CM712" i="53"/>
  <c r="CN712" i="53" s="1"/>
  <c r="CM713" i="53"/>
  <c r="CN713" i="53" s="1"/>
  <c r="CM714" i="53"/>
  <c r="CN714" i="53" s="1"/>
  <c r="CM715" i="53"/>
  <c r="CN715" i="53" s="1"/>
  <c r="CM716" i="53"/>
  <c r="CN716" i="53" s="1"/>
  <c r="CM717" i="53"/>
  <c r="CN717" i="53" s="1"/>
  <c r="CM718" i="53"/>
  <c r="CN718" i="53" s="1"/>
  <c r="CM719" i="53"/>
  <c r="CN719" i="53" s="1"/>
  <c r="CM720" i="53"/>
  <c r="CN720" i="53" s="1"/>
  <c r="CM721" i="53"/>
  <c r="CN721" i="53" s="1"/>
  <c r="CM722" i="53"/>
  <c r="CN722" i="53" s="1"/>
  <c r="CM723" i="53"/>
  <c r="CN723" i="53" s="1"/>
  <c r="CM724" i="53"/>
  <c r="CN724" i="53" s="1"/>
  <c r="CM725" i="53"/>
  <c r="CN725" i="53" s="1"/>
  <c r="CM726" i="53"/>
  <c r="CN726" i="53" s="1"/>
  <c r="CM727" i="53"/>
  <c r="CN727" i="53" s="1"/>
  <c r="CM728" i="53"/>
  <c r="CN728" i="53" s="1"/>
  <c r="CM729" i="53"/>
  <c r="CN729" i="53" s="1"/>
  <c r="CM730" i="53"/>
  <c r="CN730" i="53" s="1"/>
  <c r="CM731" i="53"/>
  <c r="CN731" i="53" s="1"/>
  <c r="CM732" i="53"/>
  <c r="CN732" i="53" s="1"/>
  <c r="CM733" i="53"/>
  <c r="CN733" i="53" s="1"/>
  <c r="CM734" i="53"/>
  <c r="CN734" i="53" s="1"/>
  <c r="CM735" i="53"/>
  <c r="CN735" i="53" s="1"/>
  <c r="CM736" i="53"/>
  <c r="CN736" i="53" s="1"/>
  <c r="CM737" i="53"/>
  <c r="CN737" i="53" s="1"/>
  <c r="CM738" i="53"/>
  <c r="CN738" i="53" s="1"/>
  <c r="CM739" i="53"/>
  <c r="CN739" i="53" s="1"/>
  <c r="CM740" i="53"/>
  <c r="CN740" i="53" s="1"/>
  <c r="CM741" i="53"/>
  <c r="CN741" i="53" s="1"/>
  <c r="CM742" i="53"/>
  <c r="CN742" i="53" s="1"/>
  <c r="CM743" i="53"/>
  <c r="CN743" i="53" s="1"/>
  <c r="CM744" i="53"/>
  <c r="CN744" i="53" s="1"/>
  <c r="CM745" i="53"/>
  <c r="CN745" i="53" s="1"/>
  <c r="CM746" i="53"/>
  <c r="CN746" i="53" s="1"/>
  <c r="CM747" i="53"/>
  <c r="CN747" i="53" s="1"/>
  <c r="CM748" i="53"/>
  <c r="CN748" i="53" s="1"/>
  <c r="CM749" i="53"/>
  <c r="CN749" i="53" s="1"/>
  <c r="CM750" i="53"/>
  <c r="CN750" i="53" s="1"/>
  <c r="CM751" i="53"/>
  <c r="CN751" i="53" s="1"/>
  <c r="CM752" i="53"/>
  <c r="CN752" i="53" s="1"/>
  <c r="CM753" i="53"/>
  <c r="CN753" i="53" s="1"/>
  <c r="CM754" i="53"/>
  <c r="CN754" i="53" s="1"/>
  <c r="CM755" i="53"/>
  <c r="CN755" i="53" s="1"/>
  <c r="CM756" i="53"/>
  <c r="CN756" i="53" s="1"/>
  <c r="CM757" i="53"/>
  <c r="CN757" i="53" s="1"/>
  <c r="CM758" i="53"/>
  <c r="CN758" i="53" s="1"/>
  <c r="CM759" i="53"/>
  <c r="CN759" i="53" s="1"/>
  <c r="CM760" i="53"/>
  <c r="CN760" i="53" s="1"/>
  <c r="CM761" i="53"/>
  <c r="CN761" i="53" s="1"/>
  <c r="CM762" i="53"/>
  <c r="CN762" i="53" s="1"/>
  <c r="CM763" i="53"/>
  <c r="CN763" i="53" s="1"/>
  <c r="CM764" i="53"/>
  <c r="CN764" i="53" s="1"/>
  <c r="CM765" i="53"/>
  <c r="CN765" i="53" s="1"/>
  <c r="CM766" i="53"/>
  <c r="CN766" i="53" s="1"/>
  <c r="CM767" i="53"/>
  <c r="CN767" i="53" s="1"/>
  <c r="CM768" i="53"/>
  <c r="CN768" i="53" s="1"/>
  <c r="CM769" i="53"/>
  <c r="CN769" i="53" s="1"/>
  <c r="CM770" i="53"/>
  <c r="CN770" i="53" s="1"/>
  <c r="CM771" i="53"/>
  <c r="CN771" i="53" s="1"/>
  <c r="CM772" i="53"/>
  <c r="CN772" i="53" s="1"/>
  <c r="CM773" i="53"/>
  <c r="CN773" i="53" s="1"/>
  <c r="CM774" i="53"/>
  <c r="CN774" i="53" s="1"/>
  <c r="CM775" i="53"/>
  <c r="CN775" i="53" s="1"/>
  <c r="CM776" i="53"/>
  <c r="CN776" i="53" s="1"/>
  <c r="CM777" i="53"/>
  <c r="CN777" i="53" s="1"/>
  <c r="CM778" i="53"/>
  <c r="CN778" i="53" s="1"/>
  <c r="CM779" i="53"/>
  <c r="CN779" i="53" s="1"/>
  <c r="CM780" i="53"/>
  <c r="CN780" i="53" s="1"/>
  <c r="CM781" i="53"/>
  <c r="CN781" i="53" s="1"/>
  <c r="CM782" i="53"/>
  <c r="CN782" i="53" s="1"/>
  <c r="CM783" i="53"/>
  <c r="CN783" i="53" s="1"/>
  <c r="CM784" i="53"/>
  <c r="CN784" i="53" s="1"/>
  <c r="CM785" i="53"/>
  <c r="CN785" i="53" s="1"/>
  <c r="CM786" i="53"/>
  <c r="CN786" i="53" s="1"/>
  <c r="CM787" i="53"/>
  <c r="CN787" i="53" s="1"/>
  <c r="CM788" i="53"/>
  <c r="CN788" i="53" s="1"/>
  <c r="CM789" i="53"/>
  <c r="CN789" i="53" s="1"/>
  <c r="CM790" i="53"/>
  <c r="CN790" i="53" s="1"/>
  <c r="CM791" i="53"/>
  <c r="CN791" i="53" s="1"/>
  <c r="CM792" i="53"/>
  <c r="CN792" i="53" s="1"/>
  <c r="CM793" i="53"/>
  <c r="CN793" i="53" s="1"/>
  <c r="CM794" i="53"/>
  <c r="CN794" i="53" s="1"/>
  <c r="CM795" i="53"/>
  <c r="CN795" i="53" s="1"/>
  <c r="CM796" i="53"/>
  <c r="CN796" i="53" s="1"/>
  <c r="CM797" i="53"/>
  <c r="CN797" i="53" s="1"/>
  <c r="CM798" i="53"/>
  <c r="CN798" i="53" s="1"/>
  <c r="CM799" i="53"/>
  <c r="CN799" i="53" s="1"/>
  <c r="CM800" i="53"/>
  <c r="CN800" i="53" s="1"/>
  <c r="CM801" i="53"/>
  <c r="CN801" i="53" s="1"/>
  <c r="CM802" i="53"/>
  <c r="CN802" i="53" s="1"/>
  <c r="CM803" i="53"/>
  <c r="CN803" i="53" s="1"/>
  <c r="CM804" i="53"/>
  <c r="CN804" i="53" s="1"/>
  <c r="CM805" i="53"/>
  <c r="CN805" i="53" s="1"/>
  <c r="CM806" i="53"/>
  <c r="CN806" i="53" s="1"/>
  <c r="CM807" i="53"/>
  <c r="CN807" i="53" s="1"/>
  <c r="CM808" i="53"/>
  <c r="CN808" i="53" s="1"/>
  <c r="CM809" i="53"/>
  <c r="CN809" i="53" s="1"/>
  <c r="CM810" i="53"/>
  <c r="CN810" i="53" s="1"/>
  <c r="CM811" i="53"/>
  <c r="CN811" i="53" s="1"/>
  <c r="CM812" i="53"/>
  <c r="CN812" i="53" s="1"/>
  <c r="CM813" i="53"/>
  <c r="CN813" i="53" s="1"/>
  <c r="CM814" i="53"/>
  <c r="CN814" i="53" s="1"/>
  <c r="CM815" i="53"/>
  <c r="CN815" i="53" s="1"/>
  <c r="CM816" i="53"/>
  <c r="CN816" i="53" s="1"/>
  <c r="CM817" i="53"/>
  <c r="CN817" i="53" s="1"/>
  <c r="CM818" i="53"/>
  <c r="CN818" i="53" s="1"/>
  <c r="CM819" i="53"/>
  <c r="CN819" i="53" s="1"/>
  <c r="CM820" i="53"/>
  <c r="CN820" i="53" s="1"/>
  <c r="CM821" i="53"/>
  <c r="CN821" i="53" s="1"/>
  <c r="CM822" i="53"/>
  <c r="CN822" i="53" s="1"/>
  <c r="CM823" i="53"/>
  <c r="CN823" i="53" s="1"/>
  <c r="CM824" i="53"/>
  <c r="CN824" i="53" s="1"/>
  <c r="CM825" i="53"/>
  <c r="CN825" i="53" s="1"/>
  <c r="CM826" i="53"/>
  <c r="CN826" i="53" s="1"/>
  <c r="CM827" i="53"/>
  <c r="CN827" i="53" s="1"/>
  <c r="CM828" i="53"/>
  <c r="CN828" i="53" s="1"/>
  <c r="CM829" i="53"/>
  <c r="CN829" i="53" s="1"/>
  <c r="CM830" i="53"/>
  <c r="CN830" i="53" s="1"/>
  <c r="CM831" i="53"/>
  <c r="CN831" i="53" s="1"/>
  <c r="CM832" i="53"/>
  <c r="CN832" i="53" s="1"/>
  <c r="CM833" i="53"/>
  <c r="CN833" i="53" s="1"/>
  <c r="CM834" i="53"/>
  <c r="CN834" i="53" s="1"/>
  <c r="CM835" i="53"/>
  <c r="CN835" i="53" s="1"/>
  <c r="CM836" i="53"/>
  <c r="CN836" i="53" s="1"/>
  <c r="CM837" i="53"/>
  <c r="CN837" i="53" s="1"/>
  <c r="CM838" i="53"/>
  <c r="CN838" i="53" s="1"/>
  <c r="CM839" i="53"/>
  <c r="CN839" i="53" s="1"/>
  <c r="CM840" i="53"/>
  <c r="CN840" i="53" s="1"/>
  <c r="CM841" i="53"/>
  <c r="CN841" i="53" s="1"/>
  <c r="CM842" i="53"/>
  <c r="CN842" i="53" s="1"/>
  <c r="CM843" i="53"/>
  <c r="CN843" i="53" s="1"/>
  <c r="CM844" i="53"/>
  <c r="CN844" i="53" s="1"/>
  <c r="CM845" i="53"/>
  <c r="CN845" i="53" s="1"/>
  <c r="CM846" i="53"/>
  <c r="CN846" i="53" s="1"/>
  <c r="CM847" i="53"/>
  <c r="CN847" i="53" s="1"/>
  <c r="CM848" i="53"/>
  <c r="CN848" i="53" s="1"/>
  <c r="CM849" i="53"/>
  <c r="CN849" i="53" s="1"/>
  <c r="CM850" i="53"/>
  <c r="CN850" i="53" s="1"/>
  <c r="CM851" i="53"/>
  <c r="CN851" i="53" s="1"/>
  <c r="CM852" i="53"/>
  <c r="CN852" i="53" s="1"/>
  <c r="CM853" i="53"/>
  <c r="CN853" i="53" s="1"/>
  <c r="CM854" i="53"/>
  <c r="CN854" i="53" s="1"/>
  <c r="CM855" i="53"/>
  <c r="CN855" i="53" s="1"/>
  <c r="CM856" i="53"/>
  <c r="CN856" i="53" s="1"/>
  <c r="CM857" i="53"/>
  <c r="CN857" i="53" s="1"/>
  <c r="CM858" i="53"/>
  <c r="CN858" i="53" s="1"/>
  <c r="CM859" i="53"/>
  <c r="CN859" i="53" s="1"/>
  <c r="CM860" i="53"/>
  <c r="CN860" i="53" s="1"/>
  <c r="CM861" i="53"/>
  <c r="CN861" i="53" s="1"/>
  <c r="CM862" i="53"/>
  <c r="CN862" i="53" s="1"/>
  <c r="CM863" i="53"/>
  <c r="CN863" i="53" s="1"/>
  <c r="CM864" i="53"/>
  <c r="CN864" i="53" s="1"/>
  <c r="CM865" i="53"/>
  <c r="CN865" i="53" s="1"/>
  <c r="CM866" i="53"/>
  <c r="CN866" i="53" s="1"/>
  <c r="CM867" i="53"/>
  <c r="CN867" i="53" s="1"/>
  <c r="CM868" i="53"/>
  <c r="CN868" i="53" s="1"/>
  <c r="CM869" i="53"/>
  <c r="CN869" i="53" s="1"/>
  <c r="CM870" i="53"/>
  <c r="CN870" i="53" s="1"/>
  <c r="CM871" i="53"/>
  <c r="CN871" i="53" s="1"/>
  <c r="CM872" i="53"/>
  <c r="CN872" i="53" s="1"/>
  <c r="CM873" i="53"/>
  <c r="CN873" i="53" s="1"/>
  <c r="CM874" i="53"/>
  <c r="CN874" i="53" s="1"/>
  <c r="CM875" i="53"/>
  <c r="CN875" i="53" s="1"/>
  <c r="CM876" i="53"/>
  <c r="CN876" i="53" s="1"/>
  <c r="CM877" i="53"/>
  <c r="CN877" i="53" s="1"/>
  <c r="CM878" i="53"/>
  <c r="CN878" i="53" s="1"/>
  <c r="CM879" i="53"/>
  <c r="CN879" i="53" s="1"/>
  <c r="CM880" i="53"/>
  <c r="CN880" i="53" s="1"/>
  <c r="CM881" i="53"/>
  <c r="CN881" i="53" s="1"/>
  <c r="CM882" i="53"/>
  <c r="CN882" i="53" s="1"/>
  <c r="CM883" i="53"/>
  <c r="CN883" i="53" s="1"/>
  <c r="CM884" i="53"/>
  <c r="CN884" i="53" s="1"/>
  <c r="CM885" i="53"/>
  <c r="CN885" i="53" s="1"/>
  <c r="CM886" i="53"/>
  <c r="CN886" i="53" s="1"/>
  <c r="CM887" i="53"/>
  <c r="CN887" i="53" s="1"/>
  <c r="CM888" i="53"/>
  <c r="CN888" i="53" s="1"/>
  <c r="CM889" i="53"/>
  <c r="CN889" i="53" s="1"/>
  <c r="CM890" i="53"/>
  <c r="CN890" i="53" s="1"/>
  <c r="CM891" i="53"/>
  <c r="CN891" i="53" s="1"/>
  <c r="CM892" i="53"/>
  <c r="CN892" i="53" s="1"/>
  <c r="CM893" i="53"/>
  <c r="CN893" i="53" s="1"/>
  <c r="CM894" i="53"/>
  <c r="CN894" i="53" s="1"/>
  <c r="CM895" i="53"/>
  <c r="CN895" i="53" s="1"/>
  <c r="CM896" i="53"/>
  <c r="CN896" i="53" s="1"/>
  <c r="CM897" i="53"/>
  <c r="CN897" i="53" s="1"/>
  <c r="CM898" i="53"/>
  <c r="CN898" i="53" s="1"/>
  <c r="CM899" i="53"/>
  <c r="CN899" i="53" s="1"/>
  <c r="CM900" i="53"/>
  <c r="CN900" i="53" s="1"/>
  <c r="CM901" i="53"/>
  <c r="CN901" i="53" s="1"/>
  <c r="CM902" i="53"/>
  <c r="CN902" i="53" s="1"/>
  <c r="CM903" i="53"/>
  <c r="CN903" i="53" s="1"/>
  <c r="CM904" i="53"/>
  <c r="CN904" i="53" s="1"/>
  <c r="CM905" i="53"/>
  <c r="CN905" i="53" s="1"/>
  <c r="CM906" i="53"/>
  <c r="CN906" i="53" s="1"/>
  <c r="CM907" i="53"/>
  <c r="CN907" i="53" s="1"/>
  <c r="CM908" i="53"/>
  <c r="CN908" i="53" s="1"/>
  <c r="CM909" i="53"/>
  <c r="CN909" i="53" s="1"/>
  <c r="CM910" i="53"/>
  <c r="CN910" i="53" s="1"/>
  <c r="CM911" i="53"/>
  <c r="CN911" i="53" s="1"/>
  <c r="CM912" i="53"/>
  <c r="CN912" i="53" s="1"/>
  <c r="CM913" i="53"/>
  <c r="CN913" i="53" s="1"/>
  <c r="CM914" i="53"/>
  <c r="CN914" i="53" s="1"/>
  <c r="CM915" i="53"/>
  <c r="CN915" i="53" s="1"/>
  <c r="CM916" i="53"/>
  <c r="CN916" i="53" s="1"/>
  <c r="CM917" i="53"/>
  <c r="CN917" i="53" s="1"/>
  <c r="CM918" i="53"/>
  <c r="CN918" i="53" s="1"/>
  <c r="CM919" i="53"/>
  <c r="CN919" i="53" s="1"/>
  <c r="CM920" i="53"/>
  <c r="CN920" i="53" s="1"/>
  <c r="CM921" i="53"/>
  <c r="CN921" i="53" s="1"/>
  <c r="CM922" i="53"/>
  <c r="CN922" i="53" s="1"/>
  <c r="CM923" i="53"/>
  <c r="CN923" i="53" s="1"/>
  <c r="CM924" i="53"/>
  <c r="CN924" i="53" s="1"/>
  <c r="CM925" i="53"/>
  <c r="CN925" i="53" s="1"/>
  <c r="CM926" i="53"/>
  <c r="CN926" i="53" s="1"/>
  <c r="CM927" i="53"/>
  <c r="CN927" i="53" s="1"/>
  <c r="CM928" i="53"/>
  <c r="CN928" i="53" s="1"/>
  <c r="CM929" i="53"/>
  <c r="CN929" i="53" s="1"/>
  <c r="CM930" i="53"/>
  <c r="CN930" i="53" s="1"/>
  <c r="CM931" i="53"/>
  <c r="CN931" i="53" s="1"/>
  <c r="CM932" i="53"/>
  <c r="CN932" i="53" s="1"/>
  <c r="CM933" i="53"/>
  <c r="CN933" i="53" s="1"/>
  <c r="CM934" i="53"/>
  <c r="CN934" i="53" s="1"/>
  <c r="CM935" i="53"/>
  <c r="CN935" i="53" s="1"/>
  <c r="CM936" i="53"/>
  <c r="CN936" i="53" s="1"/>
  <c r="CM937" i="53"/>
  <c r="CN937" i="53" s="1"/>
  <c r="CM938" i="53"/>
  <c r="CN938" i="53" s="1"/>
  <c r="CM939" i="53"/>
  <c r="CN939" i="53" s="1"/>
  <c r="CM940" i="53"/>
  <c r="CN940" i="53" s="1"/>
  <c r="CM941" i="53"/>
  <c r="CN941" i="53" s="1"/>
  <c r="CM942" i="53"/>
  <c r="CN942" i="53" s="1"/>
  <c r="CM943" i="53"/>
  <c r="CN943" i="53" s="1"/>
  <c r="CM944" i="53"/>
  <c r="CN944" i="53" s="1"/>
  <c r="CM945" i="53"/>
  <c r="CN945" i="53" s="1"/>
  <c r="CM946" i="53"/>
  <c r="CN946" i="53" s="1"/>
  <c r="CM947" i="53"/>
  <c r="CN947" i="53" s="1"/>
  <c r="CM948" i="53"/>
  <c r="CN948" i="53" s="1"/>
  <c r="CM949" i="53"/>
  <c r="CN949" i="53" s="1"/>
  <c r="CM950" i="53"/>
  <c r="CN950" i="53" s="1"/>
  <c r="CM951" i="53"/>
  <c r="CN951" i="53" s="1"/>
  <c r="CM952" i="53"/>
  <c r="CN952" i="53" s="1"/>
  <c r="CM953" i="53"/>
  <c r="CN953" i="53" s="1"/>
  <c r="CM954" i="53"/>
  <c r="CN954" i="53" s="1"/>
  <c r="CM955" i="53"/>
  <c r="CN955" i="53" s="1"/>
  <c r="CM956" i="53"/>
  <c r="CN956" i="53" s="1"/>
  <c r="CM957" i="53"/>
  <c r="CN957" i="53" s="1"/>
  <c r="CM958" i="53"/>
  <c r="CN958" i="53" s="1"/>
  <c r="CM959" i="53"/>
  <c r="CN959" i="53" s="1"/>
  <c r="CM960" i="53"/>
  <c r="CN960" i="53" s="1"/>
  <c r="CM961" i="53"/>
  <c r="CN961" i="53" s="1"/>
  <c r="CM962" i="53"/>
  <c r="CN962" i="53" s="1"/>
  <c r="CM963" i="53"/>
  <c r="CN963" i="53" s="1"/>
  <c r="CM964" i="53"/>
  <c r="CN964" i="53" s="1"/>
  <c r="CM965" i="53"/>
  <c r="CN965" i="53" s="1"/>
  <c r="CM966" i="53"/>
  <c r="CN966" i="53" s="1"/>
  <c r="CM967" i="53"/>
  <c r="CN967" i="53" s="1"/>
  <c r="CM968" i="53"/>
  <c r="CN968" i="53" s="1"/>
  <c r="CM969" i="53"/>
  <c r="CN969" i="53" s="1"/>
  <c r="CM970" i="53"/>
  <c r="CN970" i="53" s="1"/>
  <c r="CM971" i="53"/>
  <c r="CN971" i="53" s="1"/>
  <c r="CM972" i="53"/>
  <c r="CN972" i="53" s="1"/>
  <c r="CM973" i="53"/>
  <c r="CN973" i="53" s="1"/>
  <c r="CM974" i="53"/>
  <c r="CN974" i="53" s="1"/>
  <c r="CM975" i="53"/>
  <c r="CN975" i="53" s="1"/>
  <c r="CM976" i="53"/>
  <c r="CN976" i="53" s="1"/>
  <c r="CM977" i="53"/>
  <c r="CN977" i="53" s="1"/>
  <c r="CM978" i="53"/>
  <c r="CN978" i="53" s="1"/>
  <c r="CM979" i="53"/>
  <c r="CN979" i="53" s="1"/>
  <c r="CM980" i="53"/>
  <c r="CN980" i="53" s="1"/>
  <c r="CM981" i="53"/>
  <c r="CN981" i="53" s="1"/>
  <c r="CM982" i="53"/>
  <c r="CN982" i="53" s="1"/>
  <c r="CM983" i="53"/>
  <c r="CN983" i="53" s="1"/>
  <c r="CM984" i="53"/>
  <c r="CN984" i="53" s="1"/>
  <c r="CM985" i="53"/>
  <c r="CN985" i="53" s="1"/>
  <c r="CM986" i="53"/>
  <c r="CN986" i="53" s="1"/>
  <c r="CM987" i="53"/>
  <c r="CN987" i="53" s="1"/>
  <c r="CM988" i="53"/>
  <c r="CN988" i="53" s="1"/>
  <c r="CM989" i="53"/>
  <c r="CN989" i="53" s="1"/>
  <c r="CM990" i="53"/>
  <c r="CN990" i="53" s="1"/>
  <c r="CM991" i="53"/>
  <c r="CN991" i="53" s="1"/>
  <c r="CM992" i="53"/>
  <c r="CN992" i="53" s="1"/>
  <c r="CM993" i="53"/>
  <c r="CN993" i="53" s="1"/>
  <c r="CM994" i="53"/>
  <c r="CN994" i="53" s="1"/>
  <c r="CM995" i="53"/>
  <c r="CN995" i="53" s="1"/>
  <c r="CM996" i="53"/>
  <c r="CN996" i="53" s="1"/>
  <c r="CM997" i="53"/>
  <c r="CN997" i="53" s="1"/>
  <c r="CM998" i="53"/>
  <c r="CN998" i="53" s="1"/>
  <c r="CM999" i="53"/>
  <c r="CN999" i="53" s="1"/>
  <c r="CM1000" i="53"/>
  <c r="CN1000" i="53" s="1"/>
  <c r="CM1001" i="53"/>
  <c r="CN1001" i="53" s="1"/>
  <c r="CM1002" i="53"/>
  <c r="CN1002" i="53" s="1"/>
  <c r="CM1003" i="53"/>
  <c r="CN1003" i="53" s="1"/>
  <c r="CM1004" i="53"/>
  <c r="CN1004" i="53" s="1"/>
  <c r="CM1005" i="53"/>
  <c r="CN1005" i="53" s="1"/>
  <c r="CM1006" i="53"/>
  <c r="CN1006" i="53" s="1"/>
  <c r="CM1007" i="53"/>
  <c r="CN1007" i="53" s="1"/>
  <c r="CM1008" i="53"/>
  <c r="CN1008" i="53" s="1"/>
  <c r="CM1009" i="53"/>
  <c r="CN1009" i="53" s="1"/>
  <c r="CM1010" i="53"/>
  <c r="CN1010" i="53" s="1"/>
  <c r="CM1011" i="53"/>
  <c r="CN1011" i="53" s="1"/>
  <c r="CM1012" i="53"/>
  <c r="CN1012" i="53" s="1"/>
  <c r="CM1013" i="53"/>
  <c r="CN1013" i="53" s="1"/>
  <c r="CM1014" i="53"/>
  <c r="CN1014" i="53" s="1"/>
  <c r="CM1015" i="53"/>
  <c r="CN1015" i="53" s="1"/>
  <c r="CM1016" i="53"/>
  <c r="CN1016" i="53" s="1"/>
  <c r="CM1017" i="53"/>
  <c r="CN1017" i="53" s="1"/>
  <c r="CM1018" i="53"/>
  <c r="CN1018" i="53" s="1"/>
  <c r="CM1019" i="53"/>
  <c r="CN1019" i="53" s="1"/>
  <c r="CM1020" i="53"/>
  <c r="CN1020" i="53" s="1"/>
  <c r="CM1021" i="53"/>
  <c r="CN1021" i="53" s="1"/>
  <c r="CM1022" i="53"/>
  <c r="CN1022" i="53" s="1"/>
  <c r="CM1023" i="53"/>
  <c r="CN1023" i="53" s="1"/>
  <c r="CM1024" i="53"/>
  <c r="CN1024" i="53" s="1"/>
  <c r="CM1025" i="53"/>
  <c r="CN1025" i="53" s="1"/>
  <c r="CM1026" i="53"/>
  <c r="CN1026" i="53" s="1"/>
  <c r="CM1027" i="53"/>
  <c r="CN1027" i="53" s="1"/>
  <c r="CM1028" i="53"/>
  <c r="CN1028" i="53" s="1"/>
  <c r="CM1029" i="53"/>
  <c r="CN1029" i="53" s="1"/>
  <c r="CM1030" i="53"/>
  <c r="CN1030" i="53" s="1"/>
  <c r="CM1031" i="53"/>
  <c r="CN1031" i="53" s="1"/>
  <c r="CM1032" i="53"/>
  <c r="CN1032" i="53" s="1"/>
  <c r="CM1033" i="53"/>
  <c r="CN1033" i="53" s="1"/>
  <c r="CM1034" i="53"/>
  <c r="CN1034" i="53" s="1"/>
  <c r="CM1035" i="53"/>
  <c r="CN1035" i="53" s="1"/>
  <c r="CM1036" i="53"/>
  <c r="CN1036" i="53" s="1"/>
  <c r="CM1037" i="53"/>
  <c r="CN1037" i="53" s="1"/>
  <c r="CM1038" i="53"/>
  <c r="CN1038" i="53" s="1"/>
  <c r="CM1039" i="53"/>
  <c r="CN1039" i="53" s="1"/>
  <c r="CM1040" i="53"/>
  <c r="CN1040" i="53" s="1"/>
  <c r="CM1041" i="53"/>
  <c r="CN1041" i="53" s="1"/>
  <c r="CM1042" i="53"/>
  <c r="CN1042" i="53" s="1"/>
  <c r="CM1043" i="53"/>
  <c r="CN1043" i="53" s="1"/>
  <c r="CM1044" i="53"/>
  <c r="CN1044" i="53" s="1"/>
  <c r="CM1045" i="53"/>
  <c r="CN1045" i="53" s="1"/>
  <c r="CM1046" i="53"/>
  <c r="CN1046" i="53" s="1"/>
  <c r="CM1047" i="53"/>
  <c r="CN1047" i="53" s="1"/>
  <c r="CM1048" i="53"/>
  <c r="CN1048" i="53" s="1"/>
  <c r="CM1049" i="53"/>
  <c r="CN1049" i="53" s="1"/>
  <c r="CM1050" i="53"/>
  <c r="CN1050" i="53" s="1"/>
  <c r="CM1051" i="53"/>
  <c r="CN1051" i="53" s="1"/>
  <c r="CM1052" i="53"/>
  <c r="CN1052" i="53" s="1"/>
  <c r="CM1053" i="53"/>
  <c r="CN1053" i="53" s="1"/>
  <c r="CM1054" i="53"/>
  <c r="CN1054" i="53" s="1"/>
  <c r="CM1055" i="53"/>
  <c r="CN1055" i="53" s="1"/>
  <c r="CM1056" i="53"/>
  <c r="CN1056" i="53" s="1"/>
  <c r="CM1057" i="53"/>
  <c r="CN1057" i="53" s="1"/>
  <c r="CM1058" i="53"/>
  <c r="CN1058" i="53" s="1"/>
  <c r="CM1059" i="53"/>
  <c r="CN1059" i="53" s="1"/>
  <c r="CM1060" i="53"/>
  <c r="CN1060" i="53" s="1"/>
  <c r="CM1061" i="53"/>
  <c r="CN1061" i="53" s="1"/>
  <c r="CM1062" i="53"/>
  <c r="CN1062" i="53" s="1"/>
  <c r="CM1063" i="53"/>
  <c r="CN1063" i="53" s="1"/>
  <c r="CM1064" i="53"/>
  <c r="CN1064" i="53" s="1"/>
  <c r="CM1065" i="53"/>
  <c r="CN1065" i="53" s="1"/>
  <c r="CM1066" i="53"/>
  <c r="CN1066" i="53" s="1"/>
  <c r="CM1067" i="53"/>
  <c r="CN1067" i="53" s="1"/>
  <c r="CM1068" i="53"/>
  <c r="CN1068" i="53" s="1"/>
  <c r="CM1069" i="53"/>
  <c r="CN1069" i="53" s="1"/>
  <c r="CM1070" i="53"/>
  <c r="CN1070" i="53" s="1"/>
  <c r="CM1071" i="53"/>
  <c r="CN1071" i="53" s="1"/>
  <c r="CM1072" i="53"/>
  <c r="CN1072" i="53" s="1"/>
  <c r="CM1073" i="53"/>
  <c r="CN1073" i="53" s="1"/>
  <c r="CM1074" i="53"/>
  <c r="CN1074" i="53" s="1"/>
  <c r="CM1075" i="53"/>
  <c r="CN1075" i="53" s="1"/>
  <c r="CM1076" i="53"/>
  <c r="CN1076" i="53" s="1"/>
  <c r="CM1077" i="53"/>
  <c r="CN1077" i="53" s="1"/>
  <c r="CM1078" i="53"/>
  <c r="CN1078" i="53" s="1"/>
  <c r="CM1079" i="53"/>
  <c r="CN1079" i="53" s="1"/>
  <c r="CM1080" i="53"/>
  <c r="CN1080" i="53" s="1"/>
  <c r="CM1081" i="53"/>
  <c r="CN1081" i="53" s="1"/>
  <c r="CM1082" i="53"/>
  <c r="CN1082" i="53" s="1"/>
  <c r="CM1083" i="53"/>
  <c r="CN1083" i="53" s="1"/>
  <c r="CM1084" i="53"/>
  <c r="CN1084" i="53" s="1"/>
  <c r="CM1085" i="53"/>
  <c r="CN1085" i="53" s="1"/>
  <c r="CM1086" i="53"/>
  <c r="CN1086" i="53" s="1"/>
  <c r="CM1087" i="53"/>
  <c r="CN1087" i="53" s="1"/>
  <c r="CM1088" i="53"/>
  <c r="CN1088" i="53" s="1"/>
  <c r="CM1089" i="53"/>
  <c r="CN1089" i="53" s="1"/>
  <c r="CM1090" i="53"/>
  <c r="CN1090" i="53" s="1"/>
  <c r="CM1091" i="53"/>
  <c r="CN1091" i="53" s="1"/>
  <c r="CM1092" i="53"/>
  <c r="CN1092" i="53" s="1"/>
  <c r="CM1093" i="53"/>
  <c r="CN1093" i="53" s="1"/>
  <c r="CM1094" i="53"/>
  <c r="CN1094" i="53" s="1"/>
  <c r="CM1095" i="53"/>
  <c r="CN1095" i="53" s="1"/>
  <c r="CM1096" i="53"/>
  <c r="CN1096" i="53" s="1"/>
  <c r="CM1097" i="53"/>
  <c r="CN1097" i="53" s="1"/>
  <c r="CM1098" i="53"/>
  <c r="CN1098" i="53" s="1"/>
  <c r="CM1099" i="53"/>
  <c r="CN1099" i="53" s="1"/>
  <c r="CM1100" i="53"/>
  <c r="CN1100" i="53" s="1"/>
  <c r="CN1101" i="53"/>
  <c r="CM1102" i="53"/>
  <c r="CN1102" i="53" s="1"/>
  <c r="CM1103" i="53"/>
  <c r="CN1103" i="53" s="1"/>
  <c r="CM1104" i="53"/>
  <c r="CN1104" i="53" s="1"/>
  <c r="CM1105" i="53"/>
  <c r="CN1105" i="53" s="1"/>
  <c r="CM3" i="53"/>
  <c r="CN3" i="53" s="1"/>
  <c r="E32" i="31"/>
  <c r="F32" i="31"/>
  <c r="G32" i="31"/>
  <c r="H32" i="31"/>
  <c r="I32" i="31"/>
  <c r="J32" i="31"/>
  <c r="D32" i="31"/>
  <c r="D22" i="31"/>
  <c r="CR3" i="53"/>
  <c r="CR7" i="53"/>
  <c r="CK4" i="53" l="1"/>
  <c r="CK1101" i="53"/>
  <c r="CO4" i="53"/>
  <c r="CO20" i="53"/>
  <c r="CO36" i="53"/>
  <c r="CO52" i="53"/>
  <c r="CO68" i="53"/>
  <c r="CO84" i="53"/>
  <c r="CO100" i="53"/>
  <c r="CO116" i="53"/>
  <c r="CO132" i="53"/>
  <c r="CO148" i="53"/>
  <c r="CO164" i="53"/>
  <c r="CO180" i="53"/>
  <c r="CO196" i="53"/>
  <c r="CO212" i="53"/>
  <c r="CO228" i="53"/>
  <c r="CO244" i="53"/>
  <c r="CO260" i="53"/>
  <c r="CO276" i="53"/>
  <c r="CO292" i="53"/>
  <c r="CO308" i="53"/>
  <c r="CO324" i="53"/>
  <c r="CO340" i="53"/>
  <c r="CO356" i="53"/>
  <c r="CO372" i="53"/>
  <c r="CO388" i="53"/>
  <c r="CO404" i="53"/>
  <c r="CO420" i="53"/>
  <c r="CO436" i="53"/>
  <c r="CO452" i="53"/>
  <c r="CO468" i="53"/>
  <c r="CO484" i="53"/>
  <c r="CO500" i="53"/>
  <c r="CO516" i="53"/>
  <c r="CO532" i="53"/>
  <c r="CO548" i="53"/>
  <c r="CO564" i="53"/>
  <c r="CO580" i="53"/>
  <c r="CO596" i="53"/>
  <c r="CO612" i="53"/>
  <c r="CO628" i="53"/>
  <c r="CO644" i="53"/>
  <c r="CO660" i="53"/>
  <c r="CO676" i="53"/>
  <c r="CO692" i="53"/>
  <c r="CO708" i="53"/>
  <c r="CO724" i="53"/>
  <c r="CO740" i="53"/>
  <c r="CO756" i="53"/>
  <c r="CO772" i="53"/>
  <c r="CO788" i="53"/>
  <c r="CO804" i="53"/>
  <c r="CO820" i="53"/>
  <c r="CO836" i="53"/>
  <c r="CO852" i="53"/>
  <c r="CO868" i="53"/>
  <c r="CO884" i="53"/>
  <c r="CO900" i="53"/>
  <c r="CO916" i="53"/>
  <c r="CO932" i="53"/>
  <c r="CO948" i="53"/>
  <c r="CO964" i="53"/>
  <c r="CO980" i="53"/>
  <c r="CO996" i="53"/>
  <c r="CO1012" i="53"/>
  <c r="CO1028" i="53"/>
  <c r="CO1044" i="53"/>
  <c r="CO1060" i="53"/>
  <c r="CO1076" i="53"/>
  <c r="CO1092" i="53"/>
  <c r="CO1094" i="53"/>
  <c r="CO957" i="53"/>
  <c r="CO1054" i="53"/>
  <c r="CO1105" i="53"/>
  <c r="CO51" i="53"/>
  <c r="CO275" i="53"/>
  <c r="CO403" i="53"/>
  <c r="CO579" i="53"/>
  <c r="CO707" i="53"/>
  <c r="CO899" i="53"/>
  <c r="CO1091" i="53"/>
  <c r="CO5" i="53"/>
  <c r="CO21" i="53"/>
  <c r="CO37" i="53"/>
  <c r="CO53" i="53"/>
  <c r="CO69" i="53"/>
  <c r="CO85" i="53"/>
  <c r="CO101" i="53"/>
  <c r="CO117" i="53"/>
  <c r="CO133" i="53"/>
  <c r="CO149" i="53"/>
  <c r="CO165" i="53"/>
  <c r="CO181" i="53"/>
  <c r="CO197" i="53"/>
  <c r="CO213" i="53"/>
  <c r="CO229" i="53"/>
  <c r="CO245" i="53"/>
  <c r="CO261" i="53"/>
  <c r="CO277" i="53"/>
  <c r="CO293" i="53"/>
  <c r="CO309" i="53"/>
  <c r="CO325" i="53"/>
  <c r="CO341" i="53"/>
  <c r="CO357" i="53"/>
  <c r="CO373" i="53"/>
  <c r="CO389" i="53"/>
  <c r="CO405" i="53"/>
  <c r="CO421" i="53"/>
  <c r="CO437" i="53"/>
  <c r="CO453" i="53"/>
  <c r="CO469" i="53"/>
  <c r="CO485" i="53"/>
  <c r="CO501" i="53"/>
  <c r="CO517" i="53"/>
  <c r="CO533" i="53"/>
  <c r="CO549" i="53"/>
  <c r="CO565" i="53"/>
  <c r="CO581" i="53"/>
  <c r="CO597" i="53"/>
  <c r="CO613" i="53"/>
  <c r="CO629" i="53"/>
  <c r="CO645" i="53"/>
  <c r="CO661" i="53"/>
  <c r="CO677" i="53"/>
  <c r="CO693" i="53"/>
  <c r="CO709" i="53"/>
  <c r="CO725" i="53"/>
  <c r="CO741" i="53"/>
  <c r="CO757" i="53"/>
  <c r="CO773" i="53"/>
  <c r="CO789" i="53"/>
  <c r="CO805" i="53"/>
  <c r="CO821" i="53"/>
  <c r="CO837" i="53"/>
  <c r="CO853" i="53"/>
  <c r="CO869" i="53"/>
  <c r="CO885" i="53"/>
  <c r="CO901" i="53"/>
  <c r="CO917" i="53"/>
  <c r="CO933" i="53"/>
  <c r="CO949" i="53"/>
  <c r="CO965" i="53"/>
  <c r="CO981" i="53"/>
  <c r="CO997" i="53"/>
  <c r="CO1013" i="53"/>
  <c r="CO1029" i="53"/>
  <c r="CO1045" i="53"/>
  <c r="CO1061" i="53"/>
  <c r="CO1077" i="53"/>
  <c r="CO1093" i="53"/>
  <c r="CO1011" i="53"/>
  <c r="CO6" i="53"/>
  <c r="CO22" i="53"/>
  <c r="CO38" i="53"/>
  <c r="CO54" i="53"/>
  <c r="CO70" i="53"/>
  <c r="CO86" i="53"/>
  <c r="CO102" i="53"/>
  <c r="CO118" i="53"/>
  <c r="CO134" i="53"/>
  <c r="CO150" i="53"/>
  <c r="CO166" i="53"/>
  <c r="CO182" i="53"/>
  <c r="CO198" i="53"/>
  <c r="CO214" i="53"/>
  <c r="CO230" i="53"/>
  <c r="CO246" i="53"/>
  <c r="CO262" i="53"/>
  <c r="CO278" i="53"/>
  <c r="CO294" i="53"/>
  <c r="CO310" i="53"/>
  <c r="CO326" i="53"/>
  <c r="CO342" i="53"/>
  <c r="CO358" i="53"/>
  <c r="CO374" i="53"/>
  <c r="CO390" i="53"/>
  <c r="CO406" i="53"/>
  <c r="CO422" i="53"/>
  <c r="CO438" i="53"/>
  <c r="CO454" i="53"/>
  <c r="CO470" i="53"/>
  <c r="CO486" i="53"/>
  <c r="CO502" i="53"/>
  <c r="CO518" i="53"/>
  <c r="CO534" i="53"/>
  <c r="CO550" i="53"/>
  <c r="CO566" i="53"/>
  <c r="CO582" i="53"/>
  <c r="CO598" i="53"/>
  <c r="CO614" i="53"/>
  <c r="CO630" i="53"/>
  <c r="CO646" i="53"/>
  <c r="CO662" i="53"/>
  <c r="CO678" i="53"/>
  <c r="CO694" i="53"/>
  <c r="CO710" i="53"/>
  <c r="CO726" i="53"/>
  <c r="CO742" i="53"/>
  <c r="CO758" i="53"/>
  <c r="CO774" i="53"/>
  <c r="CO790" i="53"/>
  <c r="CO806" i="53"/>
  <c r="CO822" i="53"/>
  <c r="CO838" i="53"/>
  <c r="CO854" i="53"/>
  <c r="CO870" i="53"/>
  <c r="CO886" i="53"/>
  <c r="CO902" i="53"/>
  <c r="CO918" i="53"/>
  <c r="CO934" i="53"/>
  <c r="CO950" i="53"/>
  <c r="CO966" i="53"/>
  <c r="CO982" i="53"/>
  <c r="CO998" i="53"/>
  <c r="CO1014" i="53"/>
  <c r="CO1030" i="53"/>
  <c r="CO1046" i="53"/>
  <c r="CO1062" i="53"/>
  <c r="CO1078" i="53"/>
  <c r="CO973" i="53"/>
  <c r="CO1053" i="53"/>
  <c r="CO1086" i="53"/>
  <c r="CO1074" i="53"/>
  <c r="CO163" i="53"/>
  <c r="CO323" i="53"/>
  <c r="CO419" i="53"/>
  <c r="CO643" i="53"/>
  <c r="CO851" i="53"/>
  <c r="CO1075" i="53"/>
  <c r="CO7" i="53"/>
  <c r="CO23" i="53"/>
  <c r="CO39" i="53"/>
  <c r="CO55" i="53"/>
  <c r="CO71" i="53"/>
  <c r="CO87" i="53"/>
  <c r="CO103" i="53"/>
  <c r="CO119" i="53"/>
  <c r="CO135" i="53"/>
  <c r="CO151" i="53"/>
  <c r="CO167" i="53"/>
  <c r="CO183" i="53"/>
  <c r="CO199" i="53"/>
  <c r="CO215" i="53"/>
  <c r="CO231" i="53"/>
  <c r="CO247" i="53"/>
  <c r="CO263" i="53"/>
  <c r="CO279" i="53"/>
  <c r="CO295" i="53"/>
  <c r="CO311" i="53"/>
  <c r="CO327" i="53"/>
  <c r="CO343" i="53"/>
  <c r="CO359" i="53"/>
  <c r="CO375" i="53"/>
  <c r="CO391" i="53"/>
  <c r="CO407" i="53"/>
  <c r="CO423" i="53"/>
  <c r="CO439" i="53"/>
  <c r="CO455" i="53"/>
  <c r="CO471" i="53"/>
  <c r="CO487" i="53"/>
  <c r="CO503" i="53"/>
  <c r="CO519" i="53"/>
  <c r="CO535" i="53"/>
  <c r="CO551" i="53"/>
  <c r="CO567" i="53"/>
  <c r="CO583" i="53"/>
  <c r="CO599" i="53"/>
  <c r="CO615" i="53"/>
  <c r="CO631" i="53"/>
  <c r="CO647" i="53"/>
  <c r="CO663" i="53"/>
  <c r="CO679" i="53"/>
  <c r="CO695" i="53"/>
  <c r="CO711" i="53"/>
  <c r="CO727" i="53"/>
  <c r="CO743" i="53"/>
  <c r="CO759" i="53"/>
  <c r="CO775" i="53"/>
  <c r="CO791" i="53"/>
  <c r="CO807" i="53"/>
  <c r="CO823" i="53"/>
  <c r="CO839" i="53"/>
  <c r="CO855" i="53"/>
  <c r="CO871" i="53"/>
  <c r="CO887" i="53"/>
  <c r="CO903" i="53"/>
  <c r="CO919" i="53"/>
  <c r="CO935" i="53"/>
  <c r="CO951" i="53"/>
  <c r="CO967" i="53"/>
  <c r="CO983" i="53"/>
  <c r="CO999" i="53"/>
  <c r="CO1015" i="53"/>
  <c r="CO1031" i="53"/>
  <c r="CO1047" i="53"/>
  <c r="CO1063" i="53"/>
  <c r="CO1079" i="53"/>
  <c r="CO1095" i="53"/>
  <c r="CO1005" i="53"/>
  <c r="CO1038" i="53"/>
  <c r="CO3" i="53"/>
  <c r="CO115" i="53"/>
  <c r="CO515" i="53"/>
  <c r="CO803" i="53"/>
  <c r="CO8" i="53"/>
  <c r="CO24" i="53"/>
  <c r="CO40" i="53"/>
  <c r="CO56" i="53"/>
  <c r="CO72" i="53"/>
  <c r="CO88" i="53"/>
  <c r="CO104" i="53"/>
  <c r="CO120" i="53"/>
  <c r="CO136" i="53"/>
  <c r="CO152" i="53"/>
  <c r="CO168" i="53"/>
  <c r="CO184" i="53"/>
  <c r="CO200" i="53"/>
  <c r="CO216" i="53"/>
  <c r="CO232" i="53"/>
  <c r="CO248" i="53"/>
  <c r="CO264" i="53"/>
  <c r="CO280" i="53"/>
  <c r="CO296" i="53"/>
  <c r="CO312" i="53"/>
  <c r="CO328" i="53"/>
  <c r="CO344" i="53"/>
  <c r="CO360" i="53"/>
  <c r="CO376" i="53"/>
  <c r="CO392" i="53"/>
  <c r="CO408" i="53"/>
  <c r="CO424" i="53"/>
  <c r="CO440" i="53"/>
  <c r="CO456" i="53"/>
  <c r="CO472" i="53"/>
  <c r="CO488" i="53"/>
  <c r="CO504" i="53"/>
  <c r="CO520" i="53"/>
  <c r="CO536" i="53"/>
  <c r="CO552" i="53"/>
  <c r="CO568" i="53"/>
  <c r="CO584" i="53"/>
  <c r="CO600" i="53"/>
  <c r="CO616" i="53"/>
  <c r="CO632" i="53"/>
  <c r="CO648" i="53"/>
  <c r="CO664" i="53"/>
  <c r="CO680" i="53"/>
  <c r="CO696" i="53"/>
  <c r="CO712" i="53"/>
  <c r="CO728" i="53"/>
  <c r="CO744" i="53"/>
  <c r="CO760" i="53"/>
  <c r="CO776" i="53"/>
  <c r="CO792" i="53"/>
  <c r="CO808" i="53"/>
  <c r="CO824" i="53"/>
  <c r="CO840" i="53"/>
  <c r="CO856" i="53"/>
  <c r="CO872" i="53"/>
  <c r="CO888" i="53"/>
  <c r="CO904" i="53"/>
  <c r="CO920" i="53"/>
  <c r="CO936" i="53"/>
  <c r="CO952" i="53"/>
  <c r="CO968" i="53"/>
  <c r="CO984" i="53"/>
  <c r="CO1000" i="53"/>
  <c r="CO1016" i="53"/>
  <c r="CO1032" i="53"/>
  <c r="CO1048" i="53"/>
  <c r="CO1064" i="53"/>
  <c r="CO1080" i="53"/>
  <c r="CO1096" i="53"/>
  <c r="CO1065" i="53"/>
  <c r="CO1097" i="53"/>
  <c r="CO1052" i="53"/>
  <c r="CO861" i="53"/>
  <c r="CO1101" i="53"/>
  <c r="CO1090" i="53"/>
  <c r="CO211" i="53"/>
  <c r="CO467" i="53"/>
  <c r="CO755" i="53"/>
  <c r="CO1027" i="53"/>
  <c r="CO9" i="53"/>
  <c r="CO25" i="53"/>
  <c r="CO41" i="53"/>
  <c r="CO57" i="53"/>
  <c r="CO73" i="53"/>
  <c r="CO89" i="53"/>
  <c r="CO105" i="53"/>
  <c r="CO121" i="53"/>
  <c r="CO137" i="53"/>
  <c r="CO153" i="53"/>
  <c r="CO169" i="53"/>
  <c r="CO185" i="53"/>
  <c r="CO201" i="53"/>
  <c r="CO217" i="53"/>
  <c r="CO233" i="53"/>
  <c r="CO249" i="53"/>
  <c r="CO265" i="53"/>
  <c r="CO281" i="53"/>
  <c r="CO297" i="53"/>
  <c r="CO313" i="53"/>
  <c r="CO329" i="53"/>
  <c r="CO345" i="53"/>
  <c r="CO361" i="53"/>
  <c r="CO377" i="53"/>
  <c r="CO393" i="53"/>
  <c r="CO409" i="53"/>
  <c r="CO425" i="53"/>
  <c r="CO441" i="53"/>
  <c r="CO457" i="53"/>
  <c r="CO473" i="53"/>
  <c r="CO489" i="53"/>
  <c r="CO505" i="53"/>
  <c r="CO521" i="53"/>
  <c r="CO537" i="53"/>
  <c r="CO553" i="53"/>
  <c r="CO569" i="53"/>
  <c r="CO585" i="53"/>
  <c r="CO601" i="53"/>
  <c r="CO617" i="53"/>
  <c r="CO633" i="53"/>
  <c r="CO649" i="53"/>
  <c r="CO665" i="53"/>
  <c r="CO681" i="53"/>
  <c r="CO697" i="53"/>
  <c r="CO713" i="53"/>
  <c r="CO729" i="53"/>
  <c r="CO745" i="53"/>
  <c r="CO761" i="53"/>
  <c r="CO777" i="53"/>
  <c r="CO793" i="53"/>
  <c r="CO809" i="53"/>
  <c r="CO825" i="53"/>
  <c r="CO841" i="53"/>
  <c r="CO857" i="53"/>
  <c r="CO873" i="53"/>
  <c r="CO889" i="53"/>
  <c r="CO905" i="53"/>
  <c r="CO921" i="53"/>
  <c r="CO937" i="53"/>
  <c r="CO953" i="53"/>
  <c r="CO969" i="53"/>
  <c r="CO985" i="53"/>
  <c r="CO1001" i="53"/>
  <c r="CO1017" i="53"/>
  <c r="CO1033" i="53"/>
  <c r="CO1049" i="53"/>
  <c r="CO1081" i="53"/>
  <c r="CO1084" i="53"/>
  <c r="CO909" i="53"/>
  <c r="CO1085" i="53"/>
  <c r="CO1103" i="53"/>
  <c r="CO1041" i="53"/>
  <c r="CO227" i="53"/>
  <c r="CO243" i="53"/>
  <c r="CO307" i="53"/>
  <c r="CO387" i="53"/>
  <c r="CO547" i="53"/>
  <c r="CO691" i="53"/>
  <c r="CO835" i="53"/>
  <c r="CO995" i="53"/>
  <c r="CO10" i="53"/>
  <c r="CO26" i="53"/>
  <c r="CO42" i="53"/>
  <c r="CO58" i="53"/>
  <c r="CO74" i="53"/>
  <c r="CO90" i="53"/>
  <c r="CO106" i="53"/>
  <c r="CO122" i="53"/>
  <c r="CO138" i="53"/>
  <c r="CO154" i="53"/>
  <c r="CO170" i="53"/>
  <c r="CO186" i="53"/>
  <c r="CO202" i="53"/>
  <c r="CO218" i="53"/>
  <c r="CO234" i="53"/>
  <c r="CO250" i="53"/>
  <c r="CO266" i="53"/>
  <c r="CO282" i="53"/>
  <c r="CO298" i="53"/>
  <c r="CO314" i="53"/>
  <c r="CO330" i="53"/>
  <c r="CO346" i="53"/>
  <c r="CO362" i="53"/>
  <c r="CO378" i="53"/>
  <c r="CO394" i="53"/>
  <c r="CO410" i="53"/>
  <c r="CO426" i="53"/>
  <c r="CO442" i="53"/>
  <c r="CO458" i="53"/>
  <c r="CO474" i="53"/>
  <c r="CO490" i="53"/>
  <c r="CO506" i="53"/>
  <c r="CO522" i="53"/>
  <c r="CO538" i="53"/>
  <c r="CO554" i="53"/>
  <c r="CO570" i="53"/>
  <c r="CO586" i="53"/>
  <c r="CO602" i="53"/>
  <c r="CO618" i="53"/>
  <c r="CO634" i="53"/>
  <c r="CO650" i="53"/>
  <c r="CO666" i="53"/>
  <c r="CO682" i="53"/>
  <c r="CO698" i="53"/>
  <c r="CO714" i="53"/>
  <c r="CO730" i="53"/>
  <c r="CO746" i="53"/>
  <c r="CO762" i="53"/>
  <c r="CO778" i="53"/>
  <c r="CO794" i="53"/>
  <c r="CO810" i="53"/>
  <c r="CO826" i="53"/>
  <c r="CO842" i="53"/>
  <c r="CO858" i="53"/>
  <c r="CO874" i="53"/>
  <c r="CO890" i="53"/>
  <c r="CO906" i="53"/>
  <c r="CO922" i="53"/>
  <c r="CO938" i="53"/>
  <c r="CO954" i="53"/>
  <c r="CO970" i="53"/>
  <c r="CO986" i="53"/>
  <c r="CO1002" i="53"/>
  <c r="CO1018" i="53"/>
  <c r="CO1034" i="53"/>
  <c r="CO1050" i="53"/>
  <c r="CO1066" i="53"/>
  <c r="CO1082" i="53"/>
  <c r="CO1098" i="53"/>
  <c r="CO1035" i="53"/>
  <c r="CO1051" i="53"/>
  <c r="CO1083" i="53"/>
  <c r="CO1036" i="53"/>
  <c r="CO877" i="53"/>
  <c r="CO1021" i="53"/>
  <c r="CO1104" i="53"/>
  <c r="CO67" i="53"/>
  <c r="CO595" i="53"/>
  <c r="CO1043" i="53"/>
  <c r="CO11" i="53"/>
  <c r="CO27" i="53"/>
  <c r="CO43" i="53"/>
  <c r="CO59" i="53"/>
  <c r="CO75" i="53"/>
  <c r="CO91" i="53"/>
  <c r="CO107" i="53"/>
  <c r="CO123" i="53"/>
  <c r="CO139" i="53"/>
  <c r="CO155" i="53"/>
  <c r="CO171" i="53"/>
  <c r="CO187" i="53"/>
  <c r="CO203" i="53"/>
  <c r="CO219" i="53"/>
  <c r="CO235" i="53"/>
  <c r="CO251" i="53"/>
  <c r="CO267" i="53"/>
  <c r="CO283" i="53"/>
  <c r="CO299" i="53"/>
  <c r="CO315" i="53"/>
  <c r="CO331" i="53"/>
  <c r="CO347" i="53"/>
  <c r="CO363" i="53"/>
  <c r="CO379" i="53"/>
  <c r="CO395" i="53"/>
  <c r="CO411" i="53"/>
  <c r="CO427" i="53"/>
  <c r="CO443" i="53"/>
  <c r="CO459" i="53"/>
  <c r="CO475" i="53"/>
  <c r="CO491" i="53"/>
  <c r="CO507" i="53"/>
  <c r="CO523" i="53"/>
  <c r="CO539" i="53"/>
  <c r="CO555" i="53"/>
  <c r="CO571" i="53"/>
  <c r="CO587" i="53"/>
  <c r="CO603" i="53"/>
  <c r="CO619" i="53"/>
  <c r="CO635" i="53"/>
  <c r="CO651" i="53"/>
  <c r="CO667" i="53"/>
  <c r="CO683" i="53"/>
  <c r="CO699" i="53"/>
  <c r="CO715" i="53"/>
  <c r="CO731" i="53"/>
  <c r="CO747" i="53"/>
  <c r="CO763" i="53"/>
  <c r="CO779" i="53"/>
  <c r="CO795" i="53"/>
  <c r="CO811" i="53"/>
  <c r="CO827" i="53"/>
  <c r="CO843" i="53"/>
  <c r="CO859" i="53"/>
  <c r="CO875" i="53"/>
  <c r="CO891" i="53"/>
  <c r="CO907" i="53"/>
  <c r="CO923" i="53"/>
  <c r="CO939" i="53"/>
  <c r="CO955" i="53"/>
  <c r="CO971" i="53"/>
  <c r="CO987" i="53"/>
  <c r="CO1003" i="53"/>
  <c r="CO1019" i="53"/>
  <c r="CO1067" i="53"/>
  <c r="CO1099" i="53"/>
  <c r="CO1100" i="53"/>
  <c r="CO925" i="53"/>
  <c r="CO1069" i="53"/>
  <c r="CO1056" i="53"/>
  <c r="CO99" i="53"/>
  <c r="CO259" i="53"/>
  <c r="CO371" i="53"/>
  <c r="CO531" i="53"/>
  <c r="CO723" i="53"/>
  <c r="CO915" i="53"/>
  <c r="CO12" i="53"/>
  <c r="CO28" i="53"/>
  <c r="CO44" i="53"/>
  <c r="CO60" i="53"/>
  <c r="CO76" i="53"/>
  <c r="CO92" i="53"/>
  <c r="CO108" i="53"/>
  <c r="CO124" i="53"/>
  <c r="CO140" i="53"/>
  <c r="CO156" i="53"/>
  <c r="CO172" i="53"/>
  <c r="CO188" i="53"/>
  <c r="CO204" i="53"/>
  <c r="CO220" i="53"/>
  <c r="CO236" i="53"/>
  <c r="CO252" i="53"/>
  <c r="CO268" i="53"/>
  <c r="CO284" i="53"/>
  <c r="CO300" i="53"/>
  <c r="CO316" i="53"/>
  <c r="CO332" i="53"/>
  <c r="CO348" i="53"/>
  <c r="CO364" i="53"/>
  <c r="CO380" i="53"/>
  <c r="CO396" i="53"/>
  <c r="CO412" i="53"/>
  <c r="CO428" i="53"/>
  <c r="CO444" i="53"/>
  <c r="CO460" i="53"/>
  <c r="CO476" i="53"/>
  <c r="CO492" i="53"/>
  <c r="CO508" i="53"/>
  <c r="CO524" i="53"/>
  <c r="CO540" i="53"/>
  <c r="CO556" i="53"/>
  <c r="CO572" i="53"/>
  <c r="CO588" i="53"/>
  <c r="CO604" i="53"/>
  <c r="CO620" i="53"/>
  <c r="CO636" i="53"/>
  <c r="CO652" i="53"/>
  <c r="CO668" i="53"/>
  <c r="CO684" i="53"/>
  <c r="CO700" i="53"/>
  <c r="CO716" i="53"/>
  <c r="CO732" i="53"/>
  <c r="CO748" i="53"/>
  <c r="CO764" i="53"/>
  <c r="CO780" i="53"/>
  <c r="CO796" i="53"/>
  <c r="CO812" i="53"/>
  <c r="CO828" i="53"/>
  <c r="CO844" i="53"/>
  <c r="CO860" i="53"/>
  <c r="CO876" i="53"/>
  <c r="CO892" i="53"/>
  <c r="CO908" i="53"/>
  <c r="CO924" i="53"/>
  <c r="CO940" i="53"/>
  <c r="CO956" i="53"/>
  <c r="CO972" i="53"/>
  <c r="CO988" i="53"/>
  <c r="CO1004" i="53"/>
  <c r="CO1020" i="53"/>
  <c r="CO1068" i="53"/>
  <c r="CO941" i="53"/>
  <c r="CO1037" i="53"/>
  <c r="CO1070" i="53"/>
  <c r="CO1073" i="53"/>
  <c r="CO35" i="53"/>
  <c r="CO355" i="53"/>
  <c r="CO563" i="53"/>
  <c r="CO771" i="53"/>
  <c r="CO979" i="53"/>
  <c r="CO13" i="53"/>
  <c r="CO29" i="53"/>
  <c r="CO45" i="53"/>
  <c r="CO61" i="53"/>
  <c r="CO77" i="53"/>
  <c r="CO93" i="53"/>
  <c r="CO109" i="53"/>
  <c r="CO125" i="53"/>
  <c r="CO141" i="53"/>
  <c r="CO157" i="53"/>
  <c r="CO173" i="53"/>
  <c r="CO189" i="53"/>
  <c r="CO205" i="53"/>
  <c r="CO221" i="53"/>
  <c r="CO237" i="53"/>
  <c r="CO253" i="53"/>
  <c r="CO269" i="53"/>
  <c r="CO285" i="53"/>
  <c r="CO301" i="53"/>
  <c r="CO317" i="53"/>
  <c r="CO333" i="53"/>
  <c r="CO349" i="53"/>
  <c r="CO365" i="53"/>
  <c r="CO381" i="53"/>
  <c r="CO397" i="53"/>
  <c r="CO413" i="53"/>
  <c r="CO429" i="53"/>
  <c r="CO445" i="53"/>
  <c r="CO461" i="53"/>
  <c r="CO477" i="53"/>
  <c r="CO493" i="53"/>
  <c r="CO509" i="53"/>
  <c r="CO525" i="53"/>
  <c r="CO541" i="53"/>
  <c r="CO557" i="53"/>
  <c r="CO573" i="53"/>
  <c r="CO589" i="53"/>
  <c r="CO605" i="53"/>
  <c r="CO621" i="53"/>
  <c r="CO637" i="53"/>
  <c r="CO653" i="53"/>
  <c r="CO669" i="53"/>
  <c r="CO685" i="53"/>
  <c r="CO701" i="53"/>
  <c r="CO717" i="53"/>
  <c r="CO733" i="53"/>
  <c r="CO749" i="53"/>
  <c r="CO765" i="53"/>
  <c r="CO781" i="53"/>
  <c r="CO797" i="53"/>
  <c r="CO813" i="53"/>
  <c r="CO829" i="53"/>
  <c r="CO845" i="53"/>
  <c r="CO893" i="53"/>
  <c r="CO989" i="53"/>
  <c r="CO1102" i="53"/>
  <c r="CO1089" i="53"/>
  <c r="CO19" i="53"/>
  <c r="CO291" i="53"/>
  <c r="CO435" i="53"/>
  <c r="CO659" i="53"/>
  <c r="CO867" i="53"/>
  <c r="CO14" i="53"/>
  <c r="CO30" i="53"/>
  <c r="CO46" i="53"/>
  <c r="CO62" i="53"/>
  <c r="CO78" i="53"/>
  <c r="CO94" i="53"/>
  <c r="CO110" i="53"/>
  <c r="CO126" i="53"/>
  <c r="CO142" i="53"/>
  <c r="CO158" i="53"/>
  <c r="CO174" i="53"/>
  <c r="CO190" i="53"/>
  <c r="CO206" i="53"/>
  <c r="CO222" i="53"/>
  <c r="CO238" i="53"/>
  <c r="CO254" i="53"/>
  <c r="CO270" i="53"/>
  <c r="CO286" i="53"/>
  <c r="CO302" i="53"/>
  <c r="CO318" i="53"/>
  <c r="CO334" i="53"/>
  <c r="CO350" i="53"/>
  <c r="CO366" i="53"/>
  <c r="CO382" i="53"/>
  <c r="CO398" i="53"/>
  <c r="CO414" i="53"/>
  <c r="CO430" i="53"/>
  <c r="CO446" i="53"/>
  <c r="CO462" i="53"/>
  <c r="CO478" i="53"/>
  <c r="CO494" i="53"/>
  <c r="CO510" i="53"/>
  <c r="CO526" i="53"/>
  <c r="CO542" i="53"/>
  <c r="CO558" i="53"/>
  <c r="CO574" i="53"/>
  <c r="CO590" i="53"/>
  <c r="CO606" i="53"/>
  <c r="CO622" i="53"/>
  <c r="CO638" i="53"/>
  <c r="CO654" i="53"/>
  <c r="CO670" i="53"/>
  <c r="CO686" i="53"/>
  <c r="CO702" i="53"/>
  <c r="CO718" i="53"/>
  <c r="CO734" i="53"/>
  <c r="CO750" i="53"/>
  <c r="CO766" i="53"/>
  <c r="CO782" i="53"/>
  <c r="CO798" i="53"/>
  <c r="CO814" i="53"/>
  <c r="CO830" i="53"/>
  <c r="CO846" i="53"/>
  <c r="CO862" i="53"/>
  <c r="CO878" i="53"/>
  <c r="CO894" i="53"/>
  <c r="CO910" i="53"/>
  <c r="CO926" i="53"/>
  <c r="CO942" i="53"/>
  <c r="CO958" i="53"/>
  <c r="CO974" i="53"/>
  <c r="CO990" i="53"/>
  <c r="CO1006" i="53"/>
  <c r="CO1022" i="53"/>
  <c r="CO1057" i="53"/>
  <c r="CO147" i="53"/>
  <c r="CO339" i="53"/>
  <c r="CO451" i="53"/>
  <c r="CO675" i="53"/>
  <c r="CO819" i="53"/>
  <c r="CO931" i="53"/>
  <c r="CO15" i="53"/>
  <c r="CO31" i="53"/>
  <c r="CO47" i="53"/>
  <c r="CO63" i="53"/>
  <c r="CO79" i="53"/>
  <c r="CO95" i="53"/>
  <c r="CO111" i="53"/>
  <c r="CO127" i="53"/>
  <c r="CO143" i="53"/>
  <c r="CO159" i="53"/>
  <c r="CO175" i="53"/>
  <c r="CO191" i="53"/>
  <c r="CO207" i="53"/>
  <c r="CO223" i="53"/>
  <c r="CO239" i="53"/>
  <c r="CO255" i="53"/>
  <c r="CO271" i="53"/>
  <c r="CO287" i="53"/>
  <c r="CO303" i="53"/>
  <c r="CO319" i="53"/>
  <c r="CO335" i="53"/>
  <c r="CO351" i="53"/>
  <c r="CO367" i="53"/>
  <c r="CO383" i="53"/>
  <c r="CO399" i="53"/>
  <c r="CO415" i="53"/>
  <c r="CO431" i="53"/>
  <c r="CO447" i="53"/>
  <c r="CO463" i="53"/>
  <c r="CO479" i="53"/>
  <c r="CO495" i="53"/>
  <c r="CO511" i="53"/>
  <c r="CO527" i="53"/>
  <c r="CO543" i="53"/>
  <c r="CO559" i="53"/>
  <c r="CO575" i="53"/>
  <c r="CO591" i="53"/>
  <c r="CO607" i="53"/>
  <c r="CO623" i="53"/>
  <c r="CO639" i="53"/>
  <c r="CO655" i="53"/>
  <c r="CO671" i="53"/>
  <c r="CO687" i="53"/>
  <c r="CO703" i="53"/>
  <c r="CO719" i="53"/>
  <c r="CO735" i="53"/>
  <c r="CO751" i="53"/>
  <c r="CO767" i="53"/>
  <c r="CO783" i="53"/>
  <c r="CO799" i="53"/>
  <c r="CO815" i="53"/>
  <c r="CO831" i="53"/>
  <c r="CO847" i="53"/>
  <c r="CO863" i="53"/>
  <c r="CO879" i="53"/>
  <c r="CO895" i="53"/>
  <c r="CO911" i="53"/>
  <c r="CO927" i="53"/>
  <c r="CO943" i="53"/>
  <c r="CO959" i="53"/>
  <c r="CO975" i="53"/>
  <c r="CO991" i="53"/>
  <c r="CO1007" i="53"/>
  <c r="CO1023" i="53"/>
  <c r="CO1039" i="53"/>
  <c r="CO1055" i="53"/>
  <c r="CO1071" i="53"/>
  <c r="CO1087" i="53"/>
  <c r="CO1088" i="53"/>
  <c r="CO131" i="53"/>
  <c r="CO627" i="53"/>
  <c r="CO883" i="53"/>
  <c r="CO16" i="53"/>
  <c r="CO32" i="53"/>
  <c r="CO48" i="53"/>
  <c r="CO64" i="53"/>
  <c r="CO80" i="53"/>
  <c r="CO96" i="53"/>
  <c r="CO112" i="53"/>
  <c r="CO128" i="53"/>
  <c r="CO144" i="53"/>
  <c r="CO160" i="53"/>
  <c r="CO176" i="53"/>
  <c r="CO192" i="53"/>
  <c r="CO208" i="53"/>
  <c r="CO224" i="53"/>
  <c r="CO240" i="53"/>
  <c r="CO256" i="53"/>
  <c r="CO272" i="53"/>
  <c r="CO288" i="53"/>
  <c r="CO304" i="53"/>
  <c r="CO320" i="53"/>
  <c r="CO336" i="53"/>
  <c r="CO352" i="53"/>
  <c r="CO368" i="53"/>
  <c r="CO384" i="53"/>
  <c r="CO400" i="53"/>
  <c r="CO416" i="53"/>
  <c r="CO432" i="53"/>
  <c r="CO448" i="53"/>
  <c r="CO464" i="53"/>
  <c r="CO480" i="53"/>
  <c r="CO496" i="53"/>
  <c r="CO512" i="53"/>
  <c r="CO528" i="53"/>
  <c r="CO544" i="53"/>
  <c r="CO560" i="53"/>
  <c r="CO576" i="53"/>
  <c r="CO592" i="53"/>
  <c r="CO608" i="53"/>
  <c r="CO624" i="53"/>
  <c r="CO640" i="53"/>
  <c r="CO656" i="53"/>
  <c r="CO672" i="53"/>
  <c r="CO688" i="53"/>
  <c r="CO704" i="53"/>
  <c r="CO720" i="53"/>
  <c r="CO736" i="53"/>
  <c r="CO752" i="53"/>
  <c r="CO768" i="53"/>
  <c r="CO784" i="53"/>
  <c r="CO800" i="53"/>
  <c r="CO816" i="53"/>
  <c r="CO832" i="53"/>
  <c r="CO848" i="53"/>
  <c r="CO864" i="53"/>
  <c r="CO880" i="53"/>
  <c r="CO896" i="53"/>
  <c r="CO912" i="53"/>
  <c r="CO928" i="53"/>
  <c r="CO944" i="53"/>
  <c r="CO960" i="53"/>
  <c r="CO976" i="53"/>
  <c r="CO992" i="53"/>
  <c r="CO1008" i="53"/>
  <c r="CO1024" i="53"/>
  <c r="CO1040" i="53"/>
  <c r="CO1072" i="53"/>
  <c r="CO83" i="53"/>
  <c r="CO611" i="53"/>
  <c r="CO963" i="53"/>
  <c r="CO17" i="53"/>
  <c r="CO33" i="53"/>
  <c r="CO49" i="53"/>
  <c r="CO65" i="53"/>
  <c r="CO81" i="53"/>
  <c r="CO97" i="53"/>
  <c r="CO113" i="53"/>
  <c r="CO129" i="53"/>
  <c r="CO145" i="53"/>
  <c r="CO161" i="53"/>
  <c r="CO177" i="53"/>
  <c r="CO193" i="53"/>
  <c r="CO209" i="53"/>
  <c r="CO225" i="53"/>
  <c r="CO241" i="53"/>
  <c r="CO257" i="53"/>
  <c r="CO273" i="53"/>
  <c r="CO289" i="53"/>
  <c r="CO305" i="53"/>
  <c r="CO321" i="53"/>
  <c r="CO337" i="53"/>
  <c r="CO353" i="53"/>
  <c r="CO369" i="53"/>
  <c r="CO385" i="53"/>
  <c r="CO401" i="53"/>
  <c r="CO417" i="53"/>
  <c r="CO433" i="53"/>
  <c r="CO449" i="53"/>
  <c r="CO465" i="53"/>
  <c r="CO481" i="53"/>
  <c r="CO497" i="53"/>
  <c r="CO513" i="53"/>
  <c r="CO529" i="53"/>
  <c r="CO545" i="53"/>
  <c r="CO561" i="53"/>
  <c r="CO577" i="53"/>
  <c r="CO593" i="53"/>
  <c r="CO609" i="53"/>
  <c r="CO625" i="53"/>
  <c r="CO641" i="53"/>
  <c r="CO657" i="53"/>
  <c r="CO673" i="53"/>
  <c r="CO689" i="53"/>
  <c r="CO705" i="53"/>
  <c r="CO721" i="53"/>
  <c r="CO737" i="53"/>
  <c r="CO753" i="53"/>
  <c r="CO769" i="53"/>
  <c r="CO785" i="53"/>
  <c r="CO801" i="53"/>
  <c r="CO817" i="53"/>
  <c r="CO833" i="53"/>
  <c r="CO849" i="53"/>
  <c r="CO865" i="53"/>
  <c r="CO881" i="53"/>
  <c r="CO897" i="53"/>
  <c r="CO913" i="53"/>
  <c r="CO929" i="53"/>
  <c r="CO945" i="53"/>
  <c r="CO961" i="53"/>
  <c r="CO977" i="53"/>
  <c r="CO993" i="53"/>
  <c r="CO1009" i="53"/>
  <c r="CO1025" i="53"/>
  <c r="CO179" i="53"/>
  <c r="CO499" i="53"/>
  <c r="CO787" i="53"/>
  <c r="CO1059" i="53"/>
  <c r="CO18" i="53"/>
  <c r="CO34" i="53"/>
  <c r="CO50" i="53"/>
  <c r="CO66" i="53"/>
  <c r="CO82" i="53"/>
  <c r="CO98" i="53"/>
  <c r="CO114" i="53"/>
  <c r="CO130" i="53"/>
  <c r="CO146" i="53"/>
  <c r="CO162" i="53"/>
  <c r="CO178" i="53"/>
  <c r="CO194" i="53"/>
  <c r="CO210" i="53"/>
  <c r="CO226" i="53"/>
  <c r="CO242" i="53"/>
  <c r="CO258" i="53"/>
  <c r="CO274" i="53"/>
  <c r="CO290" i="53"/>
  <c r="CO306" i="53"/>
  <c r="CO322" i="53"/>
  <c r="CO338" i="53"/>
  <c r="CO354" i="53"/>
  <c r="CO370" i="53"/>
  <c r="CO386" i="53"/>
  <c r="CO402" i="53"/>
  <c r="CO418" i="53"/>
  <c r="CO434" i="53"/>
  <c r="CO450" i="53"/>
  <c r="CO466" i="53"/>
  <c r="CO482" i="53"/>
  <c r="CO498" i="53"/>
  <c r="CO514" i="53"/>
  <c r="CO530" i="53"/>
  <c r="CO546" i="53"/>
  <c r="CO562" i="53"/>
  <c r="CO578" i="53"/>
  <c r="CO594" i="53"/>
  <c r="CO610" i="53"/>
  <c r="CO626" i="53"/>
  <c r="CO642" i="53"/>
  <c r="CO658" i="53"/>
  <c r="CO674" i="53"/>
  <c r="CO690" i="53"/>
  <c r="CO706" i="53"/>
  <c r="CO722" i="53"/>
  <c r="CO738" i="53"/>
  <c r="CO754" i="53"/>
  <c r="CO770" i="53"/>
  <c r="CO786" i="53"/>
  <c r="CO802" i="53"/>
  <c r="CO818" i="53"/>
  <c r="CO834" i="53"/>
  <c r="CO850" i="53"/>
  <c r="CO866" i="53"/>
  <c r="CO882" i="53"/>
  <c r="CO898" i="53"/>
  <c r="CO914" i="53"/>
  <c r="CO930" i="53"/>
  <c r="CO946" i="53"/>
  <c r="CO962" i="53"/>
  <c r="CO978" i="53"/>
  <c r="CO994" i="53"/>
  <c r="CO1010" i="53"/>
  <c r="CO1026" i="53"/>
  <c r="CO1042" i="53"/>
  <c r="CO1058" i="53"/>
  <c r="CO195" i="53"/>
  <c r="CO483" i="53"/>
  <c r="CO739" i="53"/>
  <c r="CO947" i="53"/>
  <c r="CK1026" i="53"/>
  <c r="CK898" i="53"/>
  <c r="CK770" i="53"/>
  <c r="CK642" i="53"/>
  <c r="CK514" i="53"/>
  <c r="CK386" i="53"/>
  <c r="CK258" i="53"/>
  <c r="CK130" i="53"/>
  <c r="CK1025" i="53"/>
  <c r="CK897" i="53"/>
  <c r="CK769" i="53"/>
  <c r="CK641" i="53"/>
  <c r="CK513" i="53"/>
  <c r="CK385" i="53"/>
  <c r="CK257" i="53"/>
  <c r="CK129" i="53"/>
  <c r="CK1010" i="53"/>
  <c r="CK882" i="53"/>
  <c r="CK754" i="53"/>
  <c r="CK626" i="53"/>
  <c r="CK498" i="53"/>
  <c r="CK370" i="53"/>
  <c r="CK242" i="53"/>
  <c r="CK114" i="53"/>
  <c r="CK1009" i="53"/>
  <c r="CK881" i="53"/>
  <c r="CK753" i="53"/>
  <c r="CK625" i="53"/>
  <c r="CK497" i="53"/>
  <c r="CK369" i="53"/>
  <c r="CK241" i="53"/>
  <c r="CK113" i="53"/>
  <c r="CK994" i="53"/>
  <c r="CK866" i="53"/>
  <c r="CK738" i="53"/>
  <c r="CK610" i="53"/>
  <c r="CK482" i="53"/>
  <c r="CK354" i="53"/>
  <c r="CK226" i="53"/>
  <c r="CK98" i="53"/>
  <c r="CK993" i="53"/>
  <c r="CK865" i="53"/>
  <c r="CK737" i="53"/>
  <c r="CK609" i="53"/>
  <c r="CK481" i="53"/>
  <c r="CK353" i="53"/>
  <c r="CK225" i="53"/>
  <c r="CK97" i="53"/>
  <c r="CK3" i="53"/>
  <c r="CK978" i="53"/>
  <c r="CK850" i="53"/>
  <c r="CK722" i="53"/>
  <c r="CK594" i="53"/>
  <c r="CK466" i="53"/>
  <c r="CK338" i="53"/>
  <c r="CK210" i="53"/>
  <c r="CK82" i="53"/>
  <c r="CK1105" i="53"/>
  <c r="CK977" i="53"/>
  <c r="CK849" i="53"/>
  <c r="CK721" i="53"/>
  <c r="CK593" i="53"/>
  <c r="CK465" i="53"/>
  <c r="CK337" i="53"/>
  <c r="CK209" i="53"/>
  <c r="CK81" i="53"/>
  <c r="CK1090" i="53"/>
  <c r="CK962" i="53"/>
  <c r="CK834" i="53"/>
  <c r="CK706" i="53"/>
  <c r="CK578" i="53"/>
  <c r="CK450" i="53"/>
  <c r="CK322" i="53"/>
  <c r="CK194" i="53"/>
  <c r="CK66" i="53"/>
  <c r="CK1089" i="53"/>
  <c r="CK961" i="53"/>
  <c r="CK833" i="53"/>
  <c r="CK705" i="53"/>
  <c r="CK577" i="53"/>
  <c r="CK449" i="53"/>
  <c r="CK321" i="53"/>
  <c r="CK193" i="53"/>
  <c r="CK65" i="53"/>
  <c r="CK1074" i="53"/>
  <c r="CK946" i="53"/>
  <c r="CK818" i="53"/>
  <c r="CK690" i="53"/>
  <c r="CK562" i="53"/>
  <c r="CK434" i="53"/>
  <c r="CK306" i="53"/>
  <c r="CK178" i="53"/>
  <c r="CK50" i="53"/>
  <c r="CK1073" i="53"/>
  <c r="CK945" i="53"/>
  <c r="CK817" i="53"/>
  <c r="CK689" i="53"/>
  <c r="CK561" i="53"/>
  <c r="CK433" i="53"/>
  <c r="CK305" i="53"/>
  <c r="CK177" i="53"/>
  <c r="CK49" i="53"/>
  <c r="CK1058" i="53"/>
  <c r="CK930" i="53"/>
  <c r="CK802" i="53"/>
  <c r="CK674" i="53"/>
  <c r="CK546" i="53"/>
  <c r="CK418" i="53"/>
  <c r="CK290" i="53"/>
  <c r="CK162" i="53"/>
  <c r="CK34" i="53"/>
  <c r="CK1057" i="53"/>
  <c r="CK929" i="53"/>
  <c r="CK801" i="53"/>
  <c r="CK673" i="53"/>
  <c r="CK545" i="53"/>
  <c r="CK417" i="53"/>
  <c r="CK289" i="53"/>
  <c r="CK161" i="53"/>
  <c r="CK33" i="53"/>
  <c r="CK1042" i="53"/>
  <c r="CK914" i="53"/>
  <c r="CK786" i="53"/>
  <c r="CK658" i="53"/>
  <c r="CK530" i="53"/>
  <c r="CK402" i="53"/>
  <c r="CK274" i="53"/>
  <c r="CK146" i="53"/>
  <c r="CK18" i="53"/>
  <c r="CK1041" i="53"/>
  <c r="CK913" i="53"/>
  <c r="CK785" i="53"/>
  <c r="CK657" i="53"/>
  <c r="CK529" i="53"/>
  <c r="CK401" i="53"/>
  <c r="CK273" i="53"/>
  <c r="CK145" i="53"/>
  <c r="CK17" i="53"/>
  <c r="CK1091" i="53"/>
  <c r="CK1075" i="53"/>
  <c r="CK1059" i="53"/>
  <c r="CK1043" i="53"/>
  <c r="CK1027" i="53"/>
  <c r="CK1011" i="53"/>
  <c r="CK995" i="53"/>
  <c r="CK979" i="53"/>
  <c r="CK963" i="53"/>
  <c r="CK947" i="53"/>
  <c r="CK931" i="53"/>
  <c r="CK915" i="53"/>
  <c r="CK899" i="53"/>
  <c r="CK883" i="53"/>
  <c r="CK867" i="53"/>
  <c r="CK851" i="53"/>
  <c r="CK835" i="53"/>
  <c r="CK819" i="53"/>
  <c r="CK803" i="53"/>
  <c r="CK787" i="53"/>
  <c r="CK771" i="53"/>
  <c r="CK755" i="53"/>
  <c r="CK739" i="53"/>
  <c r="CK723" i="53"/>
  <c r="CK707" i="53"/>
  <c r="CK691" i="53"/>
  <c r="CK675" i="53"/>
  <c r="CK659" i="53"/>
  <c r="CK643" i="53"/>
  <c r="CK627" i="53"/>
  <c r="CK611" i="53"/>
  <c r="CK595" i="53"/>
  <c r="CK579" i="53"/>
  <c r="CK563" i="53"/>
  <c r="CK547" i="53"/>
  <c r="CK531" i="53"/>
  <c r="CK515" i="53"/>
  <c r="CK499" i="53"/>
  <c r="CK483" i="53"/>
  <c r="CK467" i="53"/>
  <c r="CK451" i="53"/>
  <c r="CK435" i="53"/>
  <c r="CK419" i="53"/>
  <c r="CK403" i="53"/>
  <c r="CK387" i="53"/>
  <c r="CK371" i="53"/>
  <c r="CK355" i="53"/>
  <c r="CK339" i="53"/>
  <c r="CK323" i="53"/>
  <c r="CK307" i="53"/>
  <c r="CK291" i="53"/>
  <c r="CK275" i="53"/>
  <c r="CK259" i="53"/>
  <c r="CK243" i="53"/>
  <c r="CK227" i="53"/>
  <c r="CK211" i="53"/>
  <c r="CK195" i="53"/>
  <c r="CK179" i="53"/>
  <c r="CK163" i="53"/>
  <c r="CK147" i="53"/>
  <c r="CK131" i="53"/>
  <c r="CK115" i="53"/>
  <c r="CK99" i="53"/>
  <c r="CK83" i="53"/>
  <c r="CK67" i="53"/>
  <c r="CK51" i="53"/>
  <c r="CK35" i="53"/>
  <c r="CK19" i="53"/>
  <c r="CK1104" i="53"/>
  <c r="CK1088" i="53"/>
  <c r="CK1072" i="53"/>
  <c r="CK1056" i="53"/>
  <c r="CK1040" i="53"/>
  <c r="CK1024" i="53"/>
  <c r="CK1008" i="53"/>
  <c r="CK992" i="53"/>
  <c r="CK976" i="53"/>
  <c r="CK960" i="53"/>
  <c r="CK944" i="53"/>
  <c r="CK928" i="53"/>
  <c r="CK912" i="53"/>
  <c r="CK896" i="53"/>
  <c r="CK880" i="53"/>
  <c r="CK864" i="53"/>
  <c r="CK848" i="53"/>
  <c r="CK832" i="53"/>
  <c r="CK816" i="53"/>
  <c r="CK800" i="53"/>
  <c r="CK784" i="53"/>
  <c r="CK768" i="53"/>
  <c r="CK752" i="53"/>
  <c r="CK736" i="53"/>
  <c r="CK720" i="53"/>
  <c r="CK704" i="53"/>
  <c r="CK688" i="53"/>
  <c r="CK672" i="53"/>
  <c r="CK656" i="53"/>
  <c r="CK640" i="53"/>
  <c r="CK624" i="53"/>
  <c r="CK608" i="53"/>
  <c r="CK592" i="53"/>
  <c r="CK576" i="53"/>
  <c r="CK560" i="53"/>
  <c r="CK544" i="53"/>
  <c r="CK528" i="53"/>
  <c r="CK512" i="53"/>
  <c r="CK496" i="53"/>
  <c r="CK480" i="53"/>
  <c r="CK464" i="53"/>
  <c r="CK448" i="53"/>
  <c r="CK432" i="53"/>
  <c r="CK416" i="53"/>
  <c r="CK400" i="53"/>
  <c r="CK384" i="53"/>
  <c r="CK368" i="53"/>
  <c r="CK352" i="53"/>
  <c r="CK336" i="53"/>
  <c r="CK320" i="53"/>
  <c r="CK304" i="53"/>
  <c r="CK288" i="53"/>
  <c r="CK272" i="53"/>
  <c r="CK256" i="53"/>
  <c r="CK240" i="53"/>
  <c r="CK224" i="53"/>
  <c r="CK208" i="53"/>
  <c r="CK192" i="53"/>
  <c r="CK176" i="53"/>
  <c r="CK160" i="53"/>
  <c r="CK144" i="53"/>
  <c r="CK128" i="53"/>
  <c r="CK112" i="53"/>
  <c r="CK96" i="53"/>
  <c r="CK80" i="53"/>
  <c r="CK64" i="53"/>
  <c r="CK48" i="53"/>
  <c r="CK32" i="53"/>
  <c r="CK16" i="53"/>
  <c r="CK1103" i="53"/>
  <c r="CK1087" i="53"/>
  <c r="CK1071" i="53"/>
  <c r="CK1055" i="53"/>
  <c r="CK1039" i="53"/>
  <c r="CK1023" i="53"/>
  <c r="CK1007" i="53"/>
  <c r="CK991" i="53"/>
  <c r="CK975" i="53"/>
  <c r="CK959" i="53"/>
  <c r="CK943" i="53"/>
  <c r="CK927" i="53"/>
  <c r="CK911" i="53"/>
  <c r="CK895" i="53"/>
  <c r="CK879" i="53"/>
  <c r="CK863" i="53"/>
  <c r="CK847" i="53"/>
  <c r="CK831" i="53"/>
  <c r="CK815" i="53"/>
  <c r="CK799" i="53"/>
  <c r="CK783" i="53"/>
  <c r="CK767" i="53"/>
  <c r="CK751" i="53"/>
  <c r="CK735" i="53"/>
  <c r="CK719" i="53"/>
  <c r="CK703" i="53"/>
  <c r="CK687" i="53"/>
  <c r="CK671" i="53"/>
  <c r="CK655" i="53"/>
  <c r="CK639" i="53"/>
  <c r="CK623" i="53"/>
  <c r="CK607" i="53"/>
  <c r="CK591" i="53"/>
  <c r="CK575" i="53"/>
  <c r="CK559" i="53"/>
  <c r="CK543" i="53"/>
  <c r="CK527" i="53"/>
  <c r="CK511" i="53"/>
  <c r="CK495" i="53"/>
  <c r="CK479" i="53"/>
  <c r="CK463" i="53"/>
  <c r="CK447" i="53"/>
  <c r="CK431" i="53"/>
  <c r="CK415" i="53"/>
  <c r="CK399" i="53"/>
  <c r="CK383" i="53"/>
  <c r="CK367" i="53"/>
  <c r="CK351" i="53"/>
  <c r="CK335" i="53"/>
  <c r="CK319" i="53"/>
  <c r="CK303" i="53"/>
  <c r="CK287" i="53"/>
  <c r="CK271" i="53"/>
  <c r="CK255" i="53"/>
  <c r="CK239" i="53"/>
  <c r="CK223" i="53"/>
  <c r="CK207" i="53"/>
  <c r="CK191" i="53"/>
  <c r="CK175" i="53"/>
  <c r="CK159" i="53"/>
  <c r="CK143" i="53"/>
  <c r="CK127" i="53"/>
  <c r="CK111" i="53"/>
  <c r="CK95" i="53"/>
  <c r="CK79" i="53"/>
  <c r="CK63" i="53"/>
  <c r="CK47" i="53"/>
  <c r="CK31" i="53"/>
  <c r="CK15" i="53"/>
  <c r="CK1102" i="53"/>
  <c r="CK1086" i="53"/>
  <c r="CK1070" i="53"/>
  <c r="CK1054" i="53"/>
  <c r="CK1038" i="53"/>
  <c r="CK1022" i="53"/>
  <c r="CK1006" i="53"/>
  <c r="CK990" i="53"/>
  <c r="CK974" i="53"/>
  <c r="CK958" i="53"/>
  <c r="CK942" i="53"/>
  <c r="CK926" i="53"/>
  <c r="CK910" i="53"/>
  <c r="CK894" i="53"/>
  <c r="CK878" i="53"/>
  <c r="CK862" i="53"/>
  <c r="CK846" i="53"/>
  <c r="CK830" i="53"/>
  <c r="CK814" i="53"/>
  <c r="CK798" i="53"/>
  <c r="CK782" i="53"/>
  <c r="CK766" i="53"/>
  <c r="CK750" i="53"/>
  <c r="CK734" i="53"/>
  <c r="CK718" i="53"/>
  <c r="CK702" i="53"/>
  <c r="CK686" i="53"/>
  <c r="CK670" i="53"/>
  <c r="CK654" i="53"/>
  <c r="CK638" i="53"/>
  <c r="CK622" i="53"/>
  <c r="CK606" i="53"/>
  <c r="CK590" i="53"/>
  <c r="CK574" i="53"/>
  <c r="CK558" i="53"/>
  <c r="CK542" i="53"/>
  <c r="CK526" i="53"/>
  <c r="CK510" i="53"/>
  <c r="CK494" i="53"/>
  <c r="CK478" i="53"/>
  <c r="CK462" i="53"/>
  <c r="CK446" i="53"/>
  <c r="CK430" i="53"/>
  <c r="CK414" i="53"/>
  <c r="CK398" i="53"/>
  <c r="CK382" i="53"/>
  <c r="CK366" i="53"/>
  <c r="CK350" i="53"/>
  <c r="CK334" i="53"/>
  <c r="CK318" i="53"/>
  <c r="CK302" i="53"/>
  <c r="CK286" i="53"/>
  <c r="CK270" i="53"/>
  <c r="CK254" i="53"/>
  <c r="CK238" i="53"/>
  <c r="CK222" i="53"/>
  <c r="CK206" i="53"/>
  <c r="CK190" i="53"/>
  <c r="CK174" i="53"/>
  <c r="CK158" i="53"/>
  <c r="CK142" i="53"/>
  <c r="CK126" i="53"/>
  <c r="CK110" i="53"/>
  <c r="CK94" i="53"/>
  <c r="CK78" i="53"/>
  <c r="CK62" i="53"/>
  <c r="CK46" i="53"/>
  <c r="CK30" i="53"/>
  <c r="CK14" i="53"/>
  <c r="CK1085" i="53"/>
  <c r="CK1069" i="53"/>
  <c r="CK1053" i="53"/>
  <c r="CK1037" i="53"/>
  <c r="CK1021" i="53"/>
  <c r="CK1005" i="53"/>
  <c r="CK989" i="53"/>
  <c r="CK973" i="53"/>
  <c r="CK957" i="53"/>
  <c r="CK941" i="53"/>
  <c r="CK925" i="53"/>
  <c r="CK909" i="53"/>
  <c r="CK893" i="53"/>
  <c r="CK877" i="53"/>
  <c r="CK861" i="53"/>
  <c r="CK845" i="53"/>
  <c r="CK829" i="53"/>
  <c r="CK813" i="53"/>
  <c r="CK797" i="53"/>
  <c r="CK781" i="53"/>
  <c r="CK765" i="53"/>
  <c r="CK749" i="53"/>
  <c r="CK733" i="53"/>
  <c r="CK717" i="53"/>
  <c r="CK701" i="53"/>
  <c r="CK685" i="53"/>
  <c r="CK669" i="53"/>
  <c r="CK653" i="53"/>
  <c r="CK637" i="53"/>
  <c r="CK621" i="53"/>
  <c r="CK605" i="53"/>
  <c r="CK589" i="53"/>
  <c r="CK573" i="53"/>
  <c r="CK557" i="53"/>
  <c r="CK541" i="53"/>
  <c r="CK525" i="53"/>
  <c r="CK509" i="53"/>
  <c r="CK493" i="53"/>
  <c r="CK477" i="53"/>
  <c r="CK461" i="53"/>
  <c r="CK445" i="53"/>
  <c r="CK429" i="53"/>
  <c r="CK413" i="53"/>
  <c r="CK397" i="53"/>
  <c r="CK381" i="53"/>
  <c r="CK365" i="53"/>
  <c r="CK349" i="53"/>
  <c r="CK333" i="53"/>
  <c r="CK317" i="53"/>
  <c r="CK301" i="53"/>
  <c r="CK285" i="53"/>
  <c r="CK269" i="53"/>
  <c r="CK253" i="53"/>
  <c r="CK237" i="53"/>
  <c r="CK221" i="53"/>
  <c r="CK205" i="53"/>
  <c r="CK189" i="53"/>
  <c r="CK173" i="53"/>
  <c r="CK157" i="53"/>
  <c r="CK141" i="53"/>
  <c r="CK125" i="53"/>
  <c r="CK109" i="53"/>
  <c r="CK93" i="53"/>
  <c r="CK77" i="53"/>
  <c r="CK61" i="53"/>
  <c r="CK45" i="53"/>
  <c r="CK29" i="53"/>
  <c r="CK13" i="53"/>
  <c r="CK1100" i="53"/>
  <c r="CK1084" i="53"/>
  <c r="CK1068" i="53"/>
  <c r="CK1052" i="53"/>
  <c r="CK1036" i="53"/>
  <c r="CK1020" i="53"/>
  <c r="CK1004" i="53"/>
  <c r="CK988" i="53"/>
  <c r="CK972" i="53"/>
  <c r="CK956" i="53"/>
  <c r="CK940" i="53"/>
  <c r="CK924" i="53"/>
  <c r="CK908" i="53"/>
  <c r="CK892" i="53"/>
  <c r="CK876" i="53"/>
  <c r="CK860" i="53"/>
  <c r="CK844" i="53"/>
  <c r="CK828" i="53"/>
  <c r="CK812" i="53"/>
  <c r="CK796" i="53"/>
  <c r="CK780" i="53"/>
  <c r="CK764" i="53"/>
  <c r="CK748" i="53"/>
  <c r="CK732" i="53"/>
  <c r="CK716" i="53"/>
  <c r="CK700" i="53"/>
  <c r="CK684" i="53"/>
  <c r="CK668" i="53"/>
  <c r="CK652" i="53"/>
  <c r="CK636" i="53"/>
  <c r="CK620" i="53"/>
  <c r="CK604" i="53"/>
  <c r="CK588" i="53"/>
  <c r="CK572" i="53"/>
  <c r="CK556" i="53"/>
  <c r="CK540" i="53"/>
  <c r="CK524" i="53"/>
  <c r="CK508" i="53"/>
  <c r="CK492" i="53"/>
  <c r="CK476" i="53"/>
  <c r="CK460" i="53"/>
  <c r="CK444" i="53"/>
  <c r="CK428" i="53"/>
  <c r="CK412" i="53"/>
  <c r="CK396" i="53"/>
  <c r="CK380" i="53"/>
  <c r="CK364" i="53"/>
  <c r="CK348" i="53"/>
  <c r="CK332" i="53"/>
  <c r="CK316" i="53"/>
  <c r="CK300" i="53"/>
  <c r="CK284" i="53"/>
  <c r="CK268" i="53"/>
  <c r="CK252" i="53"/>
  <c r="CK236" i="53"/>
  <c r="CK220" i="53"/>
  <c r="CK204" i="53"/>
  <c r="CK188" i="53"/>
  <c r="CK172" i="53"/>
  <c r="CK156" i="53"/>
  <c r="CK140" i="53"/>
  <c r="CK124" i="53"/>
  <c r="CK108" i="53"/>
  <c r="CK92" i="53"/>
  <c r="CK76" i="53"/>
  <c r="CK60" i="53"/>
  <c r="CK44" i="53"/>
  <c r="CK28" i="53"/>
  <c r="CK12" i="53"/>
  <c r="CK1099" i="53"/>
  <c r="CK1083" i="53"/>
  <c r="CK1067" i="53"/>
  <c r="CK1051" i="53"/>
  <c r="CK1035" i="53"/>
  <c r="CK1019" i="53"/>
  <c r="CK1003" i="53"/>
  <c r="CK987" i="53"/>
  <c r="CK971" i="53"/>
  <c r="CK955" i="53"/>
  <c r="CK939" i="53"/>
  <c r="CK923" i="53"/>
  <c r="CK907" i="53"/>
  <c r="CK891" i="53"/>
  <c r="CK875" i="53"/>
  <c r="CK859" i="53"/>
  <c r="CK843" i="53"/>
  <c r="CK827" i="53"/>
  <c r="CK811" i="53"/>
  <c r="CK795" i="53"/>
  <c r="CK779" i="53"/>
  <c r="CK763" i="53"/>
  <c r="CK747" i="53"/>
  <c r="CK731" i="53"/>
  <c r="CK715" i="53"/>
  <c r="CK699" i="53"/>
  <c r="CK683" i="53"/>
  <c r="CK667" i="53"/>
  <c r="CK651" i="53"/>
  <c r="CK635" i="53"/>
  <c r="CK619" i="53"/>
  <c r="CK603" i="53"/>
  <c r="CK587" i="53"/>
  <c r="CK571" i="53"/>
  <c r="CK555" i="53"/>
  <c r="CK539" i="53"/>
  <c r="CK523" i="53"/>
  <c r="CK507" i="53"/>
  <c r="CK491" i="53"/>
  <c r="CK475" i="53"/>
  <c r="CK459" i="53"/>
  <c r="CK443" i="53"/>
  <c r="CK427" i="53"/>
  <c r="CK411" i="53"/>
  <c r="CK395" i="53"/>
  <c r="CK379" i="53"/>
  <c r="CK363" i="53"/>
  <c r="CK347" i="53"/>
  <c r="CK331" i="53"/>
  <c r="CK315" i="53"/>
  <c r="CK299" i="53"/>
  <c r="CK283" i="53"/>
  <c r="CK267" i="53"/>
  <c r="CK251" i="53"/>
  <c r="CK235" i="53"/>
  <c r="CK219" i="53"/>
  <c r="CK203" i="53"/>
  <c r="CK187" i="53"/>
  <c r="CK171" i="53"/>
  <c r="CK155" i="53"/>
  <c r="CK139" i="53"/>
  <c r="CK123" i="53"/>
  <c r="CK107" i="53"/>
  <c r="CK91" i="53"/>
  <c r="CK75" i="53"/>
  <c r="CK59" i="53"/>
  <c r="CK43" i="53"/>
  <c r="CK27" i="53"/>
  <c r="CK11" i="53"/>
  <c r="CK1098" i="53"/>
  <c r="CK1082" i="53"/>
  <c r="CK1066" i="53"/>
  <c r="CK1050" i="53"/>
  <c r="CK1034" i="53"/>
  <c r="CK1018" i="53"/>
  <c r="CK1002" i="53"/>
  <c r="CK986" i="53"/>
  <c r="CK970" i="53"/>
  <c r="CK954" i="53"/>
  <c r="CK938" i="53"/>
  <c r="CK922" i="53"/>
  <c r="CK906" i="53"/>
  <c r="CK890" i="53"/>
  <c r="CK874" i="53"/>
  <c r="CK858" i="53"/>
  <c r="CK842" i="53"/>
  <c r="CK826" i="53"/>
  <c r="CK810" i="53"/>
  <c r="CK794" i="53"/>
  <c r="CK778" i="53"/>
  <c r="CK762" i="53"/>
  <c r="CK746" i="53"/>
  <c r="CK730" i="53"/>
  <c r="CK714" i="53"/>
  <c r="CK698" i="53"/>
  <c r="CK682" i="53"/>
  <c r="CK666" i="53"/>
  <c r="CK650" i="53"/>
  <c r="CK634" i="53"/>
  <c r="CK618" i="53"/>
  <c r="CK602" i="53"/>
  <c r="CK586" i="53"/>
  <c r="CK570" i="53"/>
  <c r="CK554" i="53"/>
  <c r="CK538" i="53"/>
  <c r="CK522" i="53"/>
  <c r="CK506" i="53"/>
  <c r="CK490" i="53"/>
  <c r="CK474" i="53"/>
  <c r="CK458" i="53"/>
  <c r="CK442" i="53"/>
  <c r="CK426" i="53"/>
  <c r="CK410" i="53"/>
  <c r="CK394" i="53"/>
  <c r="CK378" i="53"/>
  <c r="CK362" i="53"/>
  <c r="CK346" i="53"/>
  <c r="CK330" i="53"/>
  <c r="CK314" i="53"/>
  <c r="CK298" i="53"/>
  <c r="CK282" i="53"/>
  <c r="CK266" i="53"/>
  <c r="CK250" i="53"/>
  <c r="CK234" i="53"/>
  <c r="CK218" i="53"/>
  <c r="CK202" i="53"/>
  <c r="CK186" i="53"/>
  <c r="CK170" i="53"/>
  <c r="CK154" i="53"/>
  <c r="CK138" i="53"/>
  <c r="CK122" i="53"/>
  <c r="CK106" i="53"/>
  <c r="CK90" i="53"/>
  <c r="CK74" i="53"/>
  <c r="CK58" i="53"/>
  <c r="CK42" i="53"/>
  <c r="CK26" i="53"/>
  <c r="CK10" i="53"/>
  <c r="CK1097" i="53"/>
  <c r="CK1081" i="53"/>
  <c r="CK1065" i="53"/>
  <c r="CK1049" i="53"/>
  <c r="CK1033" i="53"/>
  <c r="CK1017" i="53"/>
  <c r="CK1001" i="53"/>
  <c r="CK985" i="53"/>
  <c r="CK969" i="53"/>
  <c r="CK953" i="53"/>
  <c r="CK937" i="53"/>
  <c r="CK921" i="53"/>
  <c r="CK905" i="53"/>
  <c r="CK889" i="53"/>
  <c r="CK873" i="53"/>
  <c r="CK857" i="53"/>
  <c r="CK841" i="53"/>
  <c r="CK825" i="53"/>
  <c r="CK809" i="53"/>
  <c r="CK793" i="53"/>
  <c r="CK777" i="53"/>
  <c r="CK761" i="53"/>
  <c r="CK745" i="53"/>
  <c r="CK729" i="53"/>
  <c r="CK713" i="53"/>
  <c r="CK697" i="53"/>
  <c r="CK681" i="53"/>
  <c r="CK665" i="53"/>
  <c r="CK649" i="53"/>
  <c r="CK633" i="53"/>
  <c r="CK617" i="53"/>
  <c r="CK601" i="53"/>
  <c r="CK585" i="53"/>
  <c r="CK569" i="53"/>
  <c r="CK553" i="53"/>
  <c r="CK537" i="53"/>
  <c r="CK521" i="53"/>
  <c r="CK505" i="53"/>
  <c r="CK489" i="53"/>
  <c r="CK473" i="53"/>
  <c r="CK457" i="53"/>
  <c r="CK441" i="53"/>
  <c r="CK425" i="53"/>
  <c r="CK409" i="53"/>
  <c r="CK393" i="53"/>
  <c r="CK377" i="53"/>
  <c r="CK361" i="53"/>
  <c r="CK345" i="53"/>
  <c r="CK329" i="53"/>
  <c r="CK313" i="53"/>
  <c r="CK297" i="53"/>
  <c r="CK281" i="53"/>
  <c r="CK265" i="53"/>
  <c r="CK249" i="53"/>
  <c r="CK233" i="53"/>
  <c r="CK217" i="53"/>
  <c r="CK201" i="53"/>
  <c r="CK185" i="53"/>
  <c r="CK169" i="53"/>
  <c r="CK153" i="53"/>
  <c r="CK137" i="53"/>
  <c r="CK121" i="53"/>
  <c r="CK105" i="53"/>
  <c r="CK89" i="53"/>
  <c r="CK73" i="53"/>
  <c r="CK57" i="53"/>
  <c r="CK41" i="53"/>
  <c r="CK25" i="53"/>
  <c r="CK9" i="53"/>
  <c r="CK1096" i="53"/>
  <c r="CK1080" i="53"/>
  <c r="CK1064" i="53"/>
  <c r="CK1048" i="53"/>
  <c r="CK1032" i="53"/>
  <c r="CK1016" i="53"/>
  <c r="CK1000" i="53"/>
  <c r="CK984" i="53"/>
  <c r="CK968" i="53"/>
  <c r="CK952" i="53"/>
  <c r="CK936" i="53"/>
  <c r="CK920" i="53"/>
  <c r="CK904" i="53"/>
  <c r="CK888" i="53"/>
  <c r="CK872" i="53"/>
  <c r="CK856" i="53"/>
  <c r="CK840" i="53"/>
  <c r="CK824" i="53"/>
  <c r="CK808" i="53"/>
  <c r="CK792" i="53"/>
  <c r="CK776" i="53"/>
  <c r="CK760" i="53"/>
  <c r="CK744" i="53"/>
  <c r="CK728" i="53"/>
  <c r="CK712" i="53"/>
  <c r="CK696" i="53"/>
  <c r="CK680" i="53"/>
  <c r="CK664" i="53"/>
  <c r="CK648" i="53"/>
  <c r="CK632" i="53"/>
  <c r="CK616" i="53"/>
  <c r="CK600" i="53"/>
  <c r="CK584" i="53"/>
  <c r="CK568" i="53"/>
  <c r="CK552" i="53"/>
  <c r="CK536" i="53"/>
  <c r="CK520" i="53"/>
  <c r="CK504" i="53"/>
  <c r="CK488" i="53"/>
  <c r="CK472" i="53"/>
  <c r="CK456" i="53"/>
  <c r="CK440" i="53"/>
  <c r="CK424" i="53"/>
  <c r="CK408" i="53"/>
  <c r="CK392" i="53"/>
  <c r="CK376" i="53"/>
  <c r="CK360" i="53"/>
  <c r="CK344" i="53"/>
  <c r="CK328" i="53"/>
  <c r="CK312" i="53"/>
  <c r="CK296" i="53"/>
  <c r="CK280" i="53"/>
  <c r="CK264" i="53"/>
  <c r="CK248" i="53"/>
  <c r="CK232" i="53"/>
  <c r="CK216" i="53"/>
  <c r="CK200" i="53"/>
  <c r="CK184" i="53"/>
  <c r="CK168" i="53"/>
  <c r="CK152" i="53"/>
  <c r="CK136" i="53"/>
  <c r="CK120" i="53"/>
  <c r="CK104" i="53"/>
  <c r="CK88" i="53"/>
  <c r="CK72" i="53"/>
  <c r="CK56" i="53"/>
  <c r="CK40" i="53"/>
  <c r="CK24" i="53"/>
  <c r="CK8" i="53"/>
  <c r="CK1095" i="53"/>
  <c r="CK1079" i="53"/>
  <c r="CK1063" i="53"/>
  <c r="CK1047" i="53"/>
  <c r="CK1031" i="53"/>
  <c r="CK1015" i="53"/>
  <c r="CK999" i="53"/>
  <c r="CK983" i="53"/>
  <c r="CK967" i="53"/>
  <c r="CK951" i="53"/>
  <c r="CK935" i="53"/>
  <c r="CK919" i="53"/>
  <c r="CK903" i="53"/>
  <c r="CK887" i="53"/>
  <c r="CK871" i="53"/>
  <c r="CK855" i="53"/>
  <c r="CK839" i="53"/>
  <c r="CK823" i="53"/>
  <c r="CK807" i="53"/>
  <c r="CK791" i="53"/>
  <c r="CK775" i="53"/>
  <c r="CK759" i="53"/>
  <c r="CK743" i="53"/>
  <c r="CK727" i="53"/>
  <c r="CK711" i="53"/>
  <c r="CK695" i="53"/>
  <c r="CK679" i="53"/>
  <c r="CK663" i="53"/>
  <c r="CK647" i="53"/>
  <c r="CK631" i="53"/>
  <c r="CK615" i="53"/>
  <c r="CK599" i="53"/>
  <c r="CK583" i="53"/>
  <c r="CK567" i="53"/>
  <c r="CK551" i="53"/>
  <c r="CK535" i="53"/>
  <c r="CK519" i="53"/>
  <c r="CK503" i="53"/>
  <c r="CK487" i="53"/>
  <c r="CK471" i="53"/>
  <c r="CK455" i="53"/>
  <c r="CK439" i="53"/>
  <c r="CK423" i="53"/>
  <c r="CK407" i="53"/>
  <c r="CK391" i="53"/>
  <c r="CK375" i="53"/>
  <c r="CK359" i="53"/>
  <c r="CK343" i="53"/>
  <c r="CK327" i="53"/>
  <c r="CK311" i="53"/>
  <c r="CK295" i="53"/>
  <c r="CK279" i="53"/>
  <c r="CK263" i="53"/>
  <c r="CK247" i="53"/>
  <c r="CK231" i="53"/>
  <c r="CK215" i="53"/>
  <c r="CK199" i="53"/>
  <c r="CK183" i="53"/>
  <c r="CK167" i="53"/>
  <c r="CK151" i="53"/>
  <c r="CK135" i="53"/>
  <c r="CK119" i="53"/>
  <c r="CK103" i="53"/>
  <c r="CK87" i="53"/>
  <c r="CK71" i="53"/>
  <c r="CK55" i="53"/>
  <c r="CK39" i="53"/>
  <c r="CK23" i="53"/>
  <c r="CK7" i="53"/>
  <c r="CK1094" i="53"/>
  <c r="CK1078" i="53"/>
  <c r="CK1062" i="53"/>
  <c r="CK1046" i="53"/>
  <c r="CK1030" i="53"/>
  <c r="CK1014" i="53"/>
  <c r="CK998" i="53"/>
  <c r="CK982" i="53"/>
  <c r="CK966" i="53"/>
  <c r="CK950" i="53"/>
  <c r="CK934" i="53"/>
  <c r="CK918" i="53"/>
  <c r="CK902" i="53"/>
  <c r="CK886" i="53"/>
  <c r="CK870" i="53"/>
  <c r="CK854" i="53"/>
  <c r="CK838" i="53"/>
  <c r="CK822" i="53"/>
  <c r="CK806" i="53"/>
  <c r="CK790" i="53"/>
  <c r="CK774" i="53"/>
  <c r="CK758" i="53"/>
  <c r="CK742" i="53"/>
  <c r="CK726" i="53"/>
  <c r="CK710" i="53"/>
  <c r="CK694" i="53"/>
  <c r="CK678" i="53"/>
  <c r="CK662" i="53"/>
  <c r="CK646" i="53"/>
  <c r="CK630" i="53"/>
  <c r="CK614" i="53"/>
  <c r="CK598" i="53"/>
  <c r="CK582" i="53"/>
  <c r="CK566" i="53"/>
  <c r="CK550" i="53"/>
  <c r="CK534" i="53"/>
  <c r="CK518" i="53"/>
  <c r="CK502" i="53"/>
  <c r="CK486" i="53"/>
  <c r="CK470" i="53"/>
  <c r="CK454" i="53"/>
  <c r="CK438" i="53"/>
  <c r="CK422" i="53"/>
  <c r="CK406" i="53"/>
  <c r="CK390" i="53"/>
  <c r="CK374" i="53"/>
  <c r="CK358" i="53"/>
  <c r="CK342" i="53"/>
  <c r="CK326" i="53"/>
  <c r="CK310" i="53"/>
  <c r="CK294" i="53"/>
  <c r="CK278" i="53"/>
  <c r="CK262" i="53"/>
  <c r="CK246" i="53"/>
  <c r="CK230" i="53"/>
  <c r="CK214" i="53"/>
  <c r="CK198" i="53"/>
  <c r="CK182" i="53"/>
  <c r="CK166" i="53"/>
  <c r="CK150" i="53"/>
  <c r="CK134" i="53"/>
  <c r="CK118" i="53"/>
  <c r="CK102" i="53"/>
  <c r="CK86" i="53"/>
  <c r="CK70" i="53"/>
  <c r="CK54" i="53"/>
  <c r="CK38" i="53"/>
  <c r="CK22" i="53"/>
  <c r="CK6" i="53"/>
  <c r="CK1093" i="53"/>
  <c r="CK1077" i="53"/>
  <c r="CK1061" i="53"/>
  <c r="CK1045" i="53"/>
  <c r="CK1029" i="53"/>
  <c r="CK1013" i="53"/>
  <c r="CK997" i="53"/>
  <c r="CK981" i="53"/>
  <c r="CK965" i="53"/>
  <c r="CK949" i="53"/>
  <c r="CK933" i="53"/>
  <c r="CK917" i="53"/>
  <c r="CK901" i="53"/>
  <c r="CK885" i="53"/>
  <c r="CK869" i="53"/>
  <c r="CK853" i="53"/>
  <c r="CK837" i="53"/>
  <c r="CK821" i="53"/>
  <c r="CK805" i="53"/>
  <c r="CK789" i="53"/>
  <c r="CK773" i="53"/>
  <c r="CK757" i="53"/>
  <c r="CK741" i="53"/>
  <c r="CK725" i="53"/>
  <c r="CK709" i="53"/>
  <c r="CK693" i="53"/>
  <c r="CK677" i="53"/>
  <c r="CK661" i="53"/>
  <c r="CK645" i="53"/>
  <c r="CK629" i="53"/>
  <c r="CK613" i="53"/>
  <c r="CK597" i="53"/>
  <c r="CK581" i="53"/>
  <c r="CK565" i="53"/>
  <c r="CK549" i="53"/>
  <c r="CK533" i="53"/>
  <c r="CK517" i="53"/>
  <c r="CK501" i="53"/>
  <c r="CK485" i="53"/>
  <c r="CK469" i="53"/>
  <c r="CK453" i="53"/>
  <c r="CK437" i="53"/>
  <c r="CK421" i="53"/>
  <c r="CK405" i="53"/>
  <c r="CK389" i="53"/>
  <c r="CK373" i="53"/>
  <c r="CK357" i="53"/>
  <c r="CK341" i="53"/>
  <c r="CK325" i="53"/>
  <c r="CK309" i="53"/>
  <c r="CK293" i="53"/>
  <c r="CK277" i="53"/>
  <c r="CK261" i="53"/>
  <c r="CK245" i="53"/>
  <c r="CK229" i="53"/>
  <c r="CK213" i="53"/>
  <c r="CK197" i="53"/>
  <c r="CK181" i="53"/>
  <c r="CK165" i="53"/>
  <c r="CK149" i="53"/>
  <c r="CK133" i="53"/>
  <c r="CK117" i="53"/>
  <c r="CK101" i="53"/>
  <c r="CK85" i="53"/>
  <c r="CK69" i="53"/>
  <c r="CK53" i="53"/>
  <c r="CK37" i="53"/>
  <c r="CK21" i="53"/>
  <c r="CK5" i="53"/>
  <c r="CK1092" i="53"/>
  <c r="CK1076" i="53"/>
  <c r="CK1060" i="53"/>
  <c r="CK1044" i="53"/>
  <c r="CK1028" i="53"/>
  <c r="CK1012" i="53"/>
  <c r="CK996" i="53"/>
  <c r="CK980" i="53"/>
  <c r="CK964" i="53"/>
  <c r="CK948" i="53"/>
  <c r="CK932" i="53"/>
  <c r="CK916" i="53"/>
  <c r="CK900" i="53"/>
  <c r="CK884" i="53"/>
  <c r="CK868" i="53"/>
  <c r="CK852" i="53"/>
  <c r="CK836" i="53"/>
  <c r="CK820" i="53"/>
  <c r="CK804" i="53"/>
  <c r="CK788" i="53"/>
  <c r="CK772" i="53"/>
  <c r="CK756" i="53"/>
  <c r="CK740" i="53"/>
  <c r="CK724" i="53"/>
  <c r="CK708" i="53"/>
  <c r="CK692" i="53"/>
  <c r="CK676" i="53"/>
  <c r="CK660" i="53"/>
  <c r="CK644" i="53"/>
  <c r="CK628" i="53"/>
  <c r="CK612" i="53"/>
  <c r="CK596" i="53"/>
  <c r="CK580" i="53"/>
  <c r="CK564" i="53"/>
  <c r="CK548" i="53"/>
  <c r="CK532" i="53"/>
  <c r="CK516" i="53"/>
  <c r="CK500" i="53"/>
  <c r="CK484" i="53"/>
  <c r="CK468" i="53"/>
  <c r="CK452" i="53"/>
  <c r="CK436" i="53"/>
  <c r="CK420" i="53"/>
  <c r="CK404" i="53"/>
  <c r="CK388" i="53"/>
  <c r="CK372" i="53"/>
  <c r="CK356" i="53"/>
  <c r="CK340" i="53"/>
  <c r="CK324" i="53"/>
  <c r="CK308" i="53"/>
  <c r="CK292" i="53"/>
  <c r="CK276" i="53"/>
  <c r="CK260" i="53"/>
  <c r="CK244" i="53"/>
  <c r="CK228" i="53"/>
  <c r="CK212" i="53"/>
  <c r="CK196" i="53"/>
  <c r="CK180" i="53"/>
  <c r="CK164" i="53"/>
  <c r="CK148" i="53"/>
  <c r="CK132" i="53"/>
  <c r="CK116" i="53"/>
  <c r="CK100" i="53"/>
  <c r="CK84" i="53"/>
  <c r="CK68" i="53"/>
  <c r="CK52" i="53"/>
  <c r="CK36" i="53"/>
  <c r="CK20" i="53"/>
  <c r="CS3" i="53" l="1"/>
  <c r="P256" i="31" l="1"/>
  <c r="C4" i="39"/>
  <c r="F13" i="35"/>
  <c r="C13" i="35"/>
  <c r="V28" i="4" l="1"/>
  <c r="F76" i="10" l="1"/>
  <c r="F77" i="10"/>
  <c r="F75" i="10"/>
  <c r="G76" i="10"/>
  <c r="G77" i="10"/>
  <c r="G75" i="10"/>
  <c r="L288" i="31" l="1"/>
  <c r="R255" i="31"/>
  <c r="L255" i="31"/>
  <c r="N255" i="31"/>
  <c r="O255" i="31"/>
  <c r="P255" i="31"/>
  <c r="Q255" i="31"/>
  <c r="S255" i="31"/>
  <c r="N256" i="31"/>
  <c r="O256" i="31"/>
  <c r="Q256" i="31"/>
  <c r="R256" i="31"/>
  <c r="S256" i="31"/>
  <c r="N257" i="31"/>
  <c r="O257" i="31"/>
  <c r="P257" i="31"/>
  <c r="Q257" i="31"/>
  <c r="R257" i="31"/>
  <c r="S257" i="31"/>
  <c r="N258" i="31"/>
  <c r="O258" i="31"/>
  <c r="P258" i="31"/>
  <c r="Q258" i="31"/>
  <c r="R258" i="31"/>
  <c r="S258" i="31"/>
  <c r="N259" i="31"/>
  <c r="O259" i="31"/>
  <c r="P259" i="31"/>
  <c r="Q259" i="31"/>
  <c r="R259" i="31"/>
  <c r="S259" i="31"/>
  <c r="N260" i="31"/>
  <c r="O260" i="31"/>
  <c r="P260" i="31"/>
  <c r="Q260" i="31"/>
  <c r="R260" i="31"/>
  <c r="S260" i="31"/>
  <c r="N261" i="31"/>
  <c r="O261" i="31"/>
  <c r="P261" i="31"/>
  <c r="Q261" i="31"/>
  <c r="R261" i="31"/>
  <c r="S261" i="31"/>
  <c r="N262" i="31"/>
  <c r="O262" i="31"/>
  <c r="P262" i="31"/>
  <c r="Q262" i="31"/>
  <c r="R262" i="31"/>
  <c r="S262" i="31"/>
  <c r="N263" i="31"/>
  <c r="O263" i="31"/>
  <c r="P263" i="31"/>
  <c r="Q263" i="31"/>
  <c r="R263" i="31"/>
  <c r="S263" i="31"/>
  <c r="N264" i="31"/>
  <c r="O264" i="31"/>
  <c r="P264" i="31"/>
  <c r="Q264" i="31"/>
  <c r="R264" i="31"/>
  <c r="S264" i="31"/>
  <c r="N265" i="31"/>
  <c r="O265" i="31"/>
  <c r="P265" i="31"/>
  <c r="Q265" i="31"/>
  <c r="R265" i="31"/>
  <c r="S265" i="31"/>
  <c r="N266" i="31"/>
  <c r="O266" i="31"/>
  <c r="P266" i="31"/>
  <c r="Q266" i="31"/>
  <c r="R266" i="31"/>
  <c r="S266" i="31"/>
  <c r="N267" i="31"/>
  <c r="O267" i="31"/>
  <c r="P267" i="31"/>
  <c r="Q267" i="31"/>
  <c r="R267" i="31"/>
  <c r="S267" i="31"/>
  <c r="N268" i="31"/>
  <c r="O268" i="31"/>
  <c r="P268" i="31"/>
  <c r="Q268" i="31"/>
  <c r="R268" i="31"/>
  <c r="S268" i="31"/>
  <c r="N269" i="31"/>
  <c r="O269" i="31"/>
  <c r="P269" i="31"/>
  <c r="Q269" i="31"/>
  <c r="R269" i="31"/>
  <c r="S269" i="31"/>
  <c r="N270" i="31"/>
  <c r="O270" i="31"/>
  <c r="P270" i="31"/>
  <c r="Q270" i="31"/>
  <c r="R270" i="31"/>
  <c r="S270" i="31"/>
  <c r="N271" i="31"/>
  <c r="O271" i="31"/>
  <c r="P271" i="31"/>
  <c r="Q271" i="31"/>
  <c r="R271" i="31"/>
  <c r="S271" i="31"/>
  <c r="N272" i="31"/>
  <c r="O272" i="31"/>
  <c r="P272" i="31"/>
  <c r="Q272" i="31"/>
  <c r="R272" i="31"/>
  <c r="S272" i="31"/>
  <c r="N273" i="31"/>
  <c r="O273" i="31"/>
  <c r="P273" i="31"/>
  <c r="Q273" i="31"/>
  <c r="R273" i="31"/>
  <c r="S273" i="31"/>
  <c r="N274" i="31"/>
  <c r="O274" i="31"/>
  <c r="P274" i="31"/>
  <c r="Q274" i="31"/>
  <c r="R274" i="31"/>
  <c r="S274" i="31"/>
  <c r="N275" i="31"/>
  <c r="O275" i="31"/>
  <c r="P275" i="31"/>
  <c r="Q275" i="31"/>
  <c r="R275" i="31"/>
  <c r="S275" i="31"/>
  <c r="N276" i="31"/>
  <c r="O276" i="31"/>
  <c r="P276" i="31"/>
  <c r="Q276" i="31"/>
  <c r="R276" i="31"/>
  <c r="S276" i="31"/>
  <c r="N277" i="31"/>
  <c r="O277" i="31"/>
  <c r="P277" i="31"/>
  <c r="Q277" i="31"/>
  <c r="R277" i="31"/>
  <c r="S277" i="31"/>
  <c r="N278" i="31"/>
  <c r="O278" i="31"/>
  <c r="P278" i="31"/>
  <c r="Q278" i="31"/>
  <c r="R278" i="31"/>
  <c r="S278" i="31"/>
  <c r="N279" i="31"/>
  <c r="O279" i="31"/>
  <c r="P279" i="31"/>
  <c r="Q279" i="31"/>
  <c r="R279" i="31"/>
  <c r="S279" i="31"/>
  <c r="N280" i="31"/>
  <c r="O280" i="31"/>
  <c r="P280" i="31"/>
  <c r="Q280" i="31"/>
  <c r="R280" i="31"/>
  <c r="S280" i="31"/>
  <c r="N281" i="31"/>
  <c r="O281" i="31"/>
  <c r="P281" i="31"/>
  <c r="Q281" i="31"/>
  <c r="R281" i="31"/>
  <c r="S281" i="31"/>
  <c r="N282" i="31"/>
  <c r="O282" i="31"/>
  <c r="P282" i="31"/>
  <c r="Q282" i="31"/>
  <c r="R282" i="31"/>
  <c r="S282" i="31"/>
  <c r="N283" i="31"/>
  <c r="O283" i="31"/>
  <c r="P283" i="31"/>
  <c r="Q283" i="31"/>
  <c r="R283" i="31"/>
  <c r="S283" i="31"/>
  <c r="N284" i="31"/>
  <c r="O284" i="31"/>
  <c r="P284" i="31"/>
  <c r="Q284" i="31"/>
  <c r="R284" i="31"/>
  <c r="S284" i="31"/>
  <c r="N285" i="31"/>
  <c r="O285" i="31"/>
  <c r="P285" i="31"/>
  <c r="Q285" i="31"/>
  <c r="R285" i="31"/>
  <c r="S285" i="31"/>
  <c r="N286" i="31"/>
  <c r="O286" i="31"/>
  <c r="P286" i="31"/>
  <c r="Q286" i="31"/>
  <c r="R286" i="31"/>
  <c r="S286" i="31"/>
  <c r="N287" i="31"/>
  <c r="O287" i="31"/>
  <c r="P287" i="31"/>
  <c r="Q287" i="31"/>
  <c r="R287" i="31"/>
  <c r="S287" i="31"/>
  <c r="N288" i="31"/>
  <c r="O288" i="31"/>
  <c r="P288" i="31"/>
  <c r="Q288" i="31"/>
  <c r="R288" i="31"/>
  <c r="S288" i="31"/>
  <c r="M255" i="31"/>
  <c r="M256" i="31"/>
  <c r="M257" i="31"/>
  <c r="M258" i="31"/>
  <c r="M259" i="31"/>
  <c r="M260" i="31"/>
  <c r="M261" i="31"/>
  <c r="M262" i="31"/>
  <c r="M263" i="31"/>
  <c r="M264" i="31"/>
  <c r="M265" i="31"/>
  <c r="M266" i="31"/>
  <c r="M267" i="31"/>
  <c r="M268" i="31"/>
  <c r="M269" i="31"/>
  <c r="M270" i="31"/>
  <c r="M271" i="31"/>
  <c r="M272" i="31"/>
  <c r="M273" i="31"/>
  <c r="M274" i="31"/>
  <c r="M275" i="31"/>
  <c r="M276" i="31"/>
  <c r="M277" i="31"/>
  <c r="M278" i="31"/>
  <c r="M279" i="31"/>
  <c r="M280" i="31"/>
  <c r="M281" i="31"/>
  <c r="M282" i="31"/>
  <c r="M283" i="31"/>
  <c r="M284" i="31"/>
  <c r="M285" i="31"/>
  <c r="M286" i="31"/>
  <c r="M287" i="31"/>
  <c r="M288" i="31"/>
  <c r="L256" i="31"/>
  <c r="L257" i="31"/>
  <c r="L258" i="31"/>
  <c r="L259" i="31"/>
  <c r="L260" i="31"/>
  <c r="L261" i="31"/>
  <c r="L262" i="31"/>
  <c r="L263" i="31"/>
  <c r="L264" i="31"/>
  <c r="L265" i="31"/>
  <c r="L266" i="31"/>
  <c r="L267" i="31"/>
  <c r="L268" i="31"/>
  <c r="L269" i="31"/>
  <c r="L270" i="31"/>
  <c r="L271" i="31"/>
  <c r="L272" i="31"/>
  <c r="L273" i="31"/>
  <c r="L274" i="31"/>
  <c r="L275" i="31"/>
  <c r="L276" i="31"/>
  <c r="L277" i="31"/>
  <c r="L278" i="31"/>
  <c r="L279" i="31"/>
  <c r="L280" i="31"/>
  <c r="L281" i="31"/>
  <c r="L282" i="31"/>
  <c r="L283" i="31"/>
  <c r="L284" i="31"/>
  <c r="L285" i="31"/>
  <c r="L286" i="31"/>
  <c r="L287" i="31"/>
  <c r="V5" i="53"/>
  <c r="V6" i="53"/>
  <c r="V11" i="53"/>
  <c r="V12" i="53"/>
  <c r="V14" i="53"/>
  <c r="V19" i="53"/>
  <c r="Y5" i="53"/>
  <c r="Y6" i="53"/>
  <c r="Y11" i="53"/>
  <c r="Y12" i="53"/>
  <c r="Y14" i="53"/>
  <c r="Y19" i="53"/>
  <c r="CF4" i="53"/>
  <c r="CF5" i="53"/>
  <c r="CF6" i="53"/>
  <c r="CF7" i="53"/>
  <c r="CF8" i="53"/>
  <c r="CF9" i="53"/>
  <c r="CF10" i="53"/>
  <c r="CF11" i="53"/>
  <c r="CF12" i="53"/>
  <c r="CF13" i="53"/>
  <c r="CF14" i="53"/>
  <c r="CF15" i="53"/>
  <c r="CF16" i="53"/>
  <c r="CF17" i="53"/>
  <c r="CF18" i="53"/>
  <c r="CF19" i="53"/>
  <c r="CF20" i="53"/>
  <c r="CF21" i="53"/>
  <c r="CF22" i="53"/>
  <c r="CF23" i="53"/>
  <c r="CF24" i="53"/>
  <c r="CF25" i="53"/>
  <c r="CF26" i="53"/>
  <c r="CF27" i="53"/>
  <c r="CF28" i="53"/>
  <c r="CF29" i="53"/>
  <c r="CF30" i="53"/>
  <c r="CF31" i="53"/>
  <c r="CF32" i="53"/>
  <c r="CF33" i="53"/>
  <c r="CF34" i="53"/>
  <c r="CF35" i="53"/>
  <c r="CF36" i="53"/>
  <c r="CF37" i="53"/>
  <c r="CF38" i="53"/>
  <c r="CF39" i="53"/>
  <c r="CF40" i="53"/>
  <c r="CF41" i="53"/>
  <c r="CF42" i="53"/>
  <c r="CF43" i="53"/>
  <c r="CF44" i="53"/>
  <c r="CF45" i="53"/>
  <c r="CF46" i="53"/>
  <c r="CF47" i="53"/>
  <c r="CF48" i="53"/>
  <c r="CF49" i="53"/>
  <c r="CF50" i="53"/>
  <c r="CF51" i="53"/>
  <c r="CF52" i="53"/>
  <c r="CF53" i="53"/>
  <c r="CF54" i="53"/>
  <c r="CF55" i="53"/>
  <c r="CF56" i="53"/>
  <c r="CF57" i="53"/>
  <c r="CF58" i="53"/>
  <c r="CF59" i="53"/>
  <c r="CF60" i="53"/>
  <c r="CF61" i="53"/>
  <c r="CF62" i="53"/>
  <c r="CF63" i="53"/>
  <c r="CF64" i="53"/>
  <c r="CF65" i="53"/>
  <c r="CF66" i="53"/>
  <c r="CF67" i="53"/>
  <c r="CF68" i="53"/>
  <c r="CF69" i="53"/>
  <c r="CF70" i="53"/>
  <c r="CF71" i="53"/>
  <c r="CF72" i="53"/>
  <c r="CF73" i="53"/>
  <c r="CF74" i="53"/>
  <c r="CF75" i="53"/>
  <c r="CF76" i="53"/>
  <c r="CF77" i="53"/>
  <c r="CF78" i="53"/>
  <c r="CF79" i="53"/>
  <c r="CF80" i="53"/>
  <c r="CF81" i="53"/>
  <c r="CF82" i="53"/>
  <c r="CF83" i="53"/>
  <c r="CF84" i="53"/>
  <c r="CF85" i="53"/>
  <c r="CF86" i="53"/>
  <c r="CF87" i="53"/>
  <c r="CF88" i="53"/>
  <c r="CF89" i="53"/>
  <c r="CF90" i="53"/>
  <c r="CF91" i="53"/>
  <c r="CF92" i="53"/>
  <c r="CF93" i="53"/>
  <c r="CF94" i="53"/>
  <c r="CF95" i="53"/>
  <c r="CF96" i="53"/>
  <c r="CF97" i="53"/>
  <c r="CF98" i="53"/>
  <c r="CF99" i="53"/>
  <c r="CF100" i="53"/>
  <c r="CF101" i="53"/>
  <c r="CF102" i="53"/>
  <c r="CF103" i="53"/>
  <c r="CF104" i="53"/>
  <c r="CF105" i="53"/>
  <c r="CF106" i="53"/>
  <c r="CF107" i="53"/>
  <c r="CF108" i="53"/>
  <c r="CF109" i="53"/>
  <c r="CF110" i="53"/>
  <c r="CF111" i="53"/>
  <c r="CF112" i="53"/>
  <c r="CF113" i="53"/>
  <c r="CF114" i="53"/>
  <c r="CF115" i="53"/>
  <c r="CF116" i="53"/>
  <c r="CF117" i="53"/>
  <c r="CF118" i="53"/>
  <c r="CF119" i="53"/>
  <c r="CF120" i="53"/>
  <c r="CF121" i="53"/>
  <c r="CF122" i="53"/>
  <c r="CF123" i="53"/>
  <c r="CF124" i="53"/>
  <c r="CF125" i="53"/>
  <c r="CF126" i="53"/>
  <c r="CF127" i="53"/>
  <c r="CF128" i="53"/>
  <c r="CF129" i="53"/>
  <c r="CF130" i="53"/>
  <c r="CF131" i="53"/>
  <c r="CF132" i="53"/>
  <c r="CF133" i="53"/>
  <c r="CF134" i="53"/>
  <c r="CF135" i="53"/>
  <c r="CF136" i="53"/>
  <c r="CF137" i="53"/>
  <c r="CF138" i="53"/>
  <c r="CF139" i="53"/>
  <c r="CF140" i="53"/>
  <c r="CF141" i="53"/>
  <c r="CF142" i="53"/>
  <c r="CF143" i="53"/>
  <c r="CF144" i="53"/>
  <c r="CF145" i="53"/>
  <c r="CF146" i="53"/>
  <c r="CF147" i="53"/>
  <c r="CF148" i="53"/>
  <c r="CF149" i="53"/>
  <c r="CF150" i="53"/>
  <c r="CF151" i="53"/>
  <c r="CF152" i="53"/>
  <c r="CF153" i="53"/>
  <c r="CF154" i="53"/>
  <c r="CF155" i="53"/>
  <c r="CF156" i="53"/>
  <c r="CF157" i="53"/>
  <c r="CF158" i="53"/>
  <c r="CF159" i="53"/>
  <c r="CF160" i="53"/>
  <c r="CF161" i="53"/>
  <c r="CF162" i="53"/>
  <c r="CF163" i="53"/>
  <c r="CF164" i="53"/>
  <c r="CF165" i="53"/>
  <c r="CF166" i="53"/>
  <c r="CF167" i="53"/>
  <c r="CF168" i="53"/>
  <c r="CF169" i="53"/>
  <c r="CF170" i="53"/>
  <c r="CF171" i="53"/>
  <c r="CF172" i="53"/>
  <c r="CF173" i="53"/>
  <c r="CF174" i="53"/>
  <c r="CF175" i="53"/>
  <c r="CF176" i="53"/>
  <c r="CF177" i="53"/>
  <c r="CF178" i="53"/>
  <c r="CF179" i="53"/>
  <c r="CF180" i="53"/>
  <c r="CF181" i="53"/>
  <c r="CF182" i="53"/>
  <c r="CF183" i="53"/>
  <c r="CF184" i="53"/>
  <c r="CF185" i="53"/>
  <c r="CF186" i="53"/>
  <c r="CF187" i="53"/>
  <c r="CF188" i="53"/>
  <c r="CF189" i="53"/>
  <c r="CF190" i="53"/>
  <c r="CF191" i="53"/>
  <c r="CF192" i="53"/>
  <c r="CF193" i="53"/>
  <c r="CF194" i="53"/>
  <c r="CF195" i="53"/>
  <c r="CF196" i="53"/>
  <c r="CF197" i="53"/>
  <c r="CF198" i="53"/>
  <c r="CF199" i="53"/>
  <c r="CF200" i="53"/>
  <c r="CF201" i="53"/>
  <c r="CF202" i="53"/>
  <c r="CF203" i="53"/>
  <c r="CF204" i="53"/>
  <c r="CF205" i="53"/>
  <c r="CF206" i="53"/>
  <c r="CF207" i="53"/>
  <c r="CF208" i="53"/>
  <c r="CF209" i="53"/>
  <c r="CF210" i="53"/>
  <c r="CF211" i="53"/>
  <c r="CF212" i="53"/>
  <c r="CF213" i="53"/>
  <c r="CF214" i="53"/>
  <c r="CF215" i="53"/>
  <c r="CF216" i="53"/>
  <c r="CF217" i="53"/>
  <c r="CF218" i="53"/>
  <c r="CF219" i="53"/>
  <c r="CF220" i="53"/>
  <c r="CF221" i="53"/>
  <c r="CF222" i="53"/>
  <c r="CF223" i="53"/>
  <c r="CF224" i="53"/>
  <c r="CF225" i="53"/>
  <c r="CF226" i="53"/>
  <c r="CF227" i="53"/>
  <c r="CF228" i="53"/>
  <c r="CF229" i="53"/>
  <c r="CF230" i="53"/>
  <c r="CF231" i="53"/>
  <c r="CF232" i="53"/>
  <c r="CF233" i="53"/>
  <c r="CF234" i="53"/>
  <c r="CF235" i="53"/>
  <c r="CF236" i="53"/>
  <c r="CF237" i="53"/>
  <c r="CF238" i="53"/>
  <c r="CF239" i="53"/>
  <c r="CF240" i="53"/>
  <c r="CF241" i="53"/>
  <c r="CF242" i="53"/>
  <c r="CF243" i="53"/>
  <c r="CF244" i="53"/>
  <c r="CF245" i="53"/>
  <c r="CF246" i="53"/>
  <c r="CF247" i="53"/>
  <c r="CF248" i="53"/>
  <c r="CF249" i="53"/>
  <c r="CF250" i="53"/>
  <c r="CF251" i="53"/>
  <c r="CF252" i="53"/>
  <c r="CF253" i="53"/>
  <c r="CF254" i="53"/>
  <c r="CF255" i="53"/>
  <c r="CF256" i="53"/>
  <c r="CF257" i="53"/>
  <c r="CF258" i="53"/>
  <c r="CF259" i="53"/>
  <c r="CF260" i="53"/>
  <c r="CF261" i="53"/>
  <c r="CF262" i="53"/>
  <c r="CF263" i="53"/>
  <c r="CF264" i="53"/>
  <c r="CF265" i="53"/>
  <c r="CF266" i="53"/>
  <c r="CF267" i="53"/>
  <c r="CF268" i="53"/>
  <c r="CF269" i="53"/>
  <c r="CF270" i="53"/>
  <c r="CF271" i="53"/>
  <c r="CF272" i="53"/>
  <c r="CF273" i="53"/>
  <c r="CF274" i="53"/>
  <c r="CF275" i="53"/>
  <c r="CF276" i="53"/>
  <c r="CF277" i="53"/>
  <c r="CF278" i="53"/>
  <c r="CF279" i="53"/>
  <c r="CF280" i="53"/>
  <c r="CF281" i="53"/>
  <c r="CF282" i="53"/>
  <c r="CF283" i="53"/>
  <c r="CF284" i="53"/>
  <c r="CF285" i="53"/>
  <c r="CF286" i="53"/>
  <c r="CF287" i="53"/>
  <c r="CF288" i="53"/>
  <c r="CF289" i="53"/>
  <c r="CF290" i="53"/>
  <c r="CF291" i="53"/>
  <c r="CF292" i="53"/>
  <c r="CF293" i="53"/>
  <c r="CF294" i="53"/>
  <c r="CF295" i="53"/>
  <c r="CF296" i="53"/>
  <c r="CF297" i="53"/>
  <c r="CF298" i="53"/>
  <c r="CF299" i="53"/>
  <c r="CF300" i="53"/>
  <c r="CF301" i="53"/>
  <c r="CF302" i="53"/>
  <c r="CF303" i="53"/>
  <c r="CF304" i="53"/>
  <c r="CF305" i="53"/>
  <c r="CF306" i="53"/>
  <c r="CF307" i="53"/>
  <c r="CF308" i="53"/>
  <c r="CF309" i="53"/>
  <c r="CF310" i="53"/>
  <c r="CF311" i="53"/>
  <c r="CF312" i="53"/>
  <c r="CF313" i="53"/>
  <c r="CF314" i="53"/>
  <c r="CF315" i="53"/>
  <c r="CF316" i="53"/>
  <c r="CF317" i="53"/>
  <c r="CF318" i="53"/>
  <c r="CF319" i="53"/>
  <c r="CF320" i="53"/>
  <c r="CF321" i="53"/>
  <c r="CF322" i="53"/>
  <c r="CF323" i="53"/>
  <c r="CF324" i="53"/>
  <c r="CF325" i="53"/>
  <c r="CF326" i="53"/>
  <c r="CF327" i="53"/>
  <c r="CF328" i="53"/>
  <c r="CF329" i="53"/>
  <c r="CF330" i="53"/>
  <c r="CF331" i="53"/>
  <c r="CF332" i="53"/>
  <c r="CF333" i="53"/>
  <c r="CF334" i="53"/>
  <c r="CF335" i="53"/>
  <c r="CF336" i="53"/>
  <c r="CF337" i="53"/>
  <c r="CF338" i="53"/>
  <c r="CF339" i="53"/>
  <c r="CF340" i="53"/>
  <c r="CF341" i="53"/>
  <c r="CF342" i="53"/>
  <c r="CF343" i="53"/>
  <c r="CF344" i="53"/>
  <c r="CF345" i="53"/>
  <c r="CF346" i="53"/>
  <c r="CF347" i="53"/>
  <c r="CF348" i="53"/>
  <c r="CF349" i="53"/>
  <c r="CF350" i="53"/>
  <c r="CF351" i="53"/>
  <c r="CF352" i="53"/>
  <c r="CF353" i="53"/>
  <c r="CF354" i="53"/>
  <c r="CF355" i="53"/>
  <c r="CF356" i="53"/>
  <c r="CF357" i="53"/>
  <c r="CF358" i="53"/>
  <c r="CF359" i="53"/>
  <c r="CF360" i="53"/>
  <c r="CF361" i="53"/>
  <c r="CF362" i="53"/>
  <c r="CF363" i="53"/>
  <c r="CF364" i="53"/>
  <c r="CF365" i="53"/>
  <c r="CF366" i="53"/>
  <c r="CF367" i="53"/>
  <c r="CF368" i="53"/>
  <c r="CF369" i="53"/>
  <c r="CF370" i="53"/>
  <c r="CF371" i="53"/>
  <c r="CF372" i="53"/>
  <c r="CF373" i="53"/>
  <c r="CF374" i="53"/>
  <c r="CF375" i="53"/>
  <c r="CF376" i="53"/>
  <c r="CF377" i="53"/>
  <c r="CF378" i="53"/>
  <c r="CF379" i="53"/>
  <c r="CF380" i="53"/>
  <c r="CF381" i="53"/>
  <c r="CF382" i="53"/>
  <c r="CF383" i="53"/>
  <c r="CF384" i="53"/>
  <c r="CF385" i="53"/>
  <c r="CF386" i="53"/>
  <c r="CF387" i="53"/>
  <c r="CF388" i="53"/>
  <c r="CF389" i="53"/>
  <c r="CF390" i="53"/>
  <c r="CF391" i="53"/>
  <c r="CF392" i="53"/>
  <c r="CF393" i="53"/>
  <c r="CF394" i="53"/>
  <c r="CF395" i="53"/>
  <c r="CF396" i="53"/>
  <c r="CF397" i="53"/>
  <c r="CF398" i="53"/>
  <c r="CF399" i="53"/>
  <c r="CF400" i="53"/>
  <c r="CF401" i="53"/>
  <c r="CF402" i="53"/>
  <c r="CF403" i="53"/>
  <c r="CF404" i="53"/>
  <c r="CF405" i="53"/>
  <c r="CF406" i="53"/>
  <c r="CF407" i="53"/>
  <c r="CF408" i="53"/>
  <c r="CF409" i="53"/>
  <c r="CF410" i="53"/>
  <c r="CF411" i="53"/>
  <c r="CF412" i="53"/>
  <c r="CF413" i="53"/>
  <c r="CF414" i="53"/>
  <c r="CF415" i="53"/>
  <c r="CF416" i="53"/>
  <c r="CF417" i="53"/>
  <c r="CF418" i="53"/>
  <c r="CF419" i="53"/>
  <c r="CF420" i="53"/>
  <c r="CF421" i="53"/>
  <c r="CF422" i="53"/>
  <c r="CF423" i="53"/>
  <c r="CF424" i="53"/>
  <c r="CF425" i="53"/>
  <c r="CF426" i="53"/>
  <c r="CF427" i="53"/>
  <c r="CF428" i="53"/>
  <c r="CF429" i="53"/>
  <c r="CF430" i="53"/>
  <c r="CF431" i="53"/>
  <c r="CF432" i="53"/>
  <c r="CF433" i="53"/>
  <c r="CF434" i="53"/>
  <c r="CF435" i="53"/>
  <c r="CF436" i="53"/>
  <c r="CF437" i="53"/>
  <c r="CF438" i="53"/>
  <c r="CF439" i="53"/>
  <c r="CF440" i="53"/>
  <c r="CF441" i="53"/>
  <c r="CF442" i="53"/>
  <c r="CF443" i="53"/>
  <c r="CF444" i="53"/>
  <c r="CF445" i="53"/>
  <c r="CF446" i="53"/>
  <c r="CF447" i="53"/>
  <c r="CF448" i="53"/>
  <c r="CF449" i="53"/>
  <c r="CF450" i="53"/>
  <c r="CF451" i="53"/>
  <c r="CF452" i="53"/>
  <c r="CF453" i="53"/>
  <c r="CF454" i="53"/>
  <c r="CF455" i="53"/>
  <c r="CF456" i="53"/>
  <c r="CF457" i="53"/>
  <c r="CF458" i="53"/>
  <c r="CF459" i="53"/>
  <c r="CF460" i="53"/>
  <c r="CF461" i="53"/>
  <c r="CF462" i="53"/>
  <c r="CF463" i="53"/>
  <c r="CF464" i="53"/>
  <c r="CF465" i="53"/>
  <c r="CF466" i="53"/>
  <c r="CF467" i="53"/>
  <c r="CF468" i="53"/>
  <c r="CF469" i="53"/>
  <c r="CF470" i="53"/>
  <c r="CF471" i="53"/>
  <c r="CF472" i="53"/>
  <c r="CF473" i="53"/>
  <c r="CF474" i="53"/>
  <c r="CF475" i="53"/>
  <c r="CF476" i="53"/>
  <c r="CF477" i="53"/>
  <c r="CF478" i="53"/>
  <c r="CF479" i="53"/>
  <c r="CF480" i="53"/>
  <c r="CF481" i="53"/>
  <c r="CF482" i="53"/>
  <c r="CF483" i="53"/>
  <c r="CF484" i="53"/>
  <c r="CF485" i="53"/>
  <c r="CF486" i="53"/>
  <c r="CF487" i="53"/>
  <c r="CF488" i="53"/>
  <c r="CF489" i="53"/>
  <c r="CF490" i="53"/>
  <c r="CF491" i="53"/>
  <c r="CF492" i="53"/>
  <c r="CF493" i="53"/>
  <c r="CF494" i="53"/>
  <c r="CF495" i="53"/>
  <c r="CF496" i="53"/>
  <c r="CF497" i="53"/>
  <c r="CF498" i="53"/>
  <c r="CF499" i="53"/>
  <c r="CF500" i="53"/>
  <c r="CF501" i="53"/>
  <c r="CF502" i="53"/>
  <c r="CF503" i="53"/>
  <c r="CF504" i="53"/>
  <c r="CF505" i="53"/>
  <c r="CF506" i="53"/>
  <c r="CF507" i="53"/>
  <c r="CF508" i="53"/>
  <c r="CF509" i="53"/>
  <c r="CF510" i="53"/>
  <c r="CF511" i="53"/>
  <c r="CF512" i="53"/>
  <c r="CF513" i="53"/>
  <c r="CF514" i="53"/>
  <c r="CF515" i="53"/>
  <c r="CF516" i="53"/>
  <c r="CF517" i="53"/>
  <c r="CF518" i="53"/>
  <c r="CF519" i="53"/>
  <c r="CF520" i="53"/>
  <c r="CF521" i="53"/>
  <c r="CF522" i="53"/>
  <c r="CF523" i="53"/>
  <c r="CF524" i="53"/>
  <c r="CF525" i="53"/>
  <c r="CF526" i="53"/>
  <c r="CF527" i="53"/>
  <c r="CF528" i="53"/>
  <c r="CF529" i="53"/>
  <c r="CF530" i="53"/>
  <c r="CF531" i="53"/>
  <c r="CF532" i="53"/>
  <c r="CF533" i="53"/>
  <c r="CF534" i="53"/>
  <c r="CF535" i="53"/>
  <c r="CF536" i="53"/>
  <c r="CF537" i="53"/>
  <c r="CF538" i="53"/>
  <c r="CF539" i="53"/>
  <c r="CF540" i="53"/>
  <c r="CF541" i="53"/>
  <c r="CF542" i="53"/>
  <c r="CF543" i="53"/>
  <c r="CF544" i="53"/>
  <c r="CF545" i="53"/>
  <c r="CF546" i="53"/>
  <c r="CF547" i="53"/>
  <c r="CF548" i="53"/>
  <c r="CF549" i="53"/>
  <c r="CF550" i="53"/>
  <c r="CF551" i="53"/>
  <c r="CF552" i="53"/>
  <c r="CF553" i="53"/>
  <c r="CF554" i="53"/>
  <c r="CF555" i="53"/>
  <c r="CF556" i="53"/>
  <c r="CF557" i="53"/>
  <c r="CF558" i="53"/>
  <c r="CF559" i="53"/>
  <c r="CF560" i="53"/>
  <c r="CF561" i="53"/>
  <c r="CF562" i="53"/>
  <c r="CF563" i="53"/>
  <c r="CF564" i="53"/>
  <c r="CF565" i="53"/>
  <c r="CF566" i="53"/>
  <c r="CF567" i="53"/>
  <c r="CF568" i="53"/>
  <c r="CF569" i="53"/>
  <c r="CF570" i="53"/>
  <c r="CF571" i="53"/>
  <c r="CF572" i="53"/>
  <c r="CF573" i="53"/>
  <c r="CF574" i="53"/>
  <c r="CF575" i="53"/>
  <c r="CF576" i="53"/>
  <c r="CF577" i="53"/>
  <c r="CF578" i="53"/>
  <c r="CF579" i="53"/>
  <c r="CF580" i="53"/>
  <c r="CF581" i="53"/>
  <c r="CF582" i="53"/>
  <c r="CF583" i="53"/>
  <c r="CF584" i="53"/>
  <c r="CF585" i="53"/>
  <c r="CF586" i="53"/>
  <c r="CF587" i="53"/>
  <c r="CF588" i="53"/>
  <c r="CF589" i="53"/>
  <c r="CF590" i="53"/>
  <c r="CF591" i="53"/>
  <c r="CF592" i="53"/>
  <c r="CF593" i="53"/>
  <c r="CF594" i="53"/>
  <c r="CF595" i="53"/>
  <c r="CF596" i="53"/>
  <c r="CF597" i="53"/>
  <c r="CF598" i="53"/>
  <c r="CF599" i="53"/>
  <c r="CF600" i="53"/>
  <c r="CF601" i="53"/>
  <c r="CF602" i="53"/>
  <c r="CF603" i="53"/>
  <c r="CF604" i="53"/>
  <c r="CF605" i="53"/>
  <c r="CF606" i="53"/>
  <c r="CF607" i="53"/>
  <c r="CF608" i="53"/>
  <c r="CF609" i="53"/>
  <c r="CF610" i="53"/>
  <c r="CF611" i="53"/>
  <c r="CF612" i="53"/>
  <c r="CF613" i="53"/>
  <c r="CF614" i="53"/>
  <c r="CF615" i="53"/>
  <c r="CF616" i="53"/>
  <c r="CF617" i="53"/>
  <c r="CF618" i="53"/>
  <c r="CF619" i="53"/>
  <c r="CF620" i="53"/>
  <c r="CF621" i="53"/>
  <c r="CF622" i="53"/>
  <c r="CF623" i="53"/>
  <c r="CF624" i="53"/>
  <c r="CF625" i="53"/>
  <c r="CF626" i="53"/>
  <c r="CF627" i="53"/>
  <c r="CF628" i="53"/>
  <c r="CF629" i="53"/>
  <c r="CF630" i="53"/>
  <c r="CF631" i="53"/>
  <c r="CF632" i="53"/>
  <c r="CF633" i="53"/>
  <c r="CF634" i="53"/>
  <c r="CF635" i="53"/>
  <c r="CF636" i="53"/>
  <c r="CF637" i="53"/>
  <c r="CF638" i="53"/>
  <c r="CF639" i="53"/>
  <c r="CF640" i="53"/>
  <c r="CF641" i="53"/>
  <c r="CF642" i="53"/>
  <c r="CF643" i="53"/>
  <c r="CF644" i="53"/>
  <c r="CF645" i="53"/>
  <c r="CF646" i="53"/>
  <c r="CF647" i="53"/>
  <c r="CF648" i="53"/>
  <c r="CF649" i="53"/>
  <c r="CF650" i="53"/>
  <c r="CF651" i="53"/>
  <c r="CF652" i="53"/>
  <c r="CF653" i="53"/>
  <c r="CF654" i="53"/>
  <c r="CF655" i="53"/>
  <c r="CF656" i="53"/>
  <c r="CF657" i="53"/>
  <c r="CF658" i="53"/>
  <c r="CF659" i="53"/>
  <c r="CF660" i="53"/>
  <c r="CF661" i="53"/>
  <c r="CF662" i="53"/>
  <c r="CF663" i="53"/>
  <c r="CF664" i="53"/>
  <c r="CF665" i="53"/>
  <c r="CF666" i="53"/>
  <c r="CF667" i="53"/>
  <c r="CF668" i="53"/>
  <c r="CF669" i="53"/>
  <c r="CF670" i="53"/>
  <c r="CF671" i="53"/>
  <c r="CF672" i="53"/>
  <c r="CF673" i="53"/>
  <c r="CF674" i="53"/>
  <c r="CF675" i="53"/>
  <c r="CF676" i="53"/>
  <c r="CF677" i="53"/>
  <c r="CF678" i="53"/>
  <c r="CF679" i="53"/>
  <c r="CF680" i="53"/>
  <c r="CF681" i="53"/>
  <c r="CF682" i="53"/>
  <c r="CF683" i="53"/>
  <c r="CF684" i="53"/>
  <c r="CF685" i="53"/>
  <c r="CF686" i="53"/>
  <c r="CF687" i="53"/>
  <c r="CF688" i="53"/>
  <c r="CF689" i="53"/>
  <c r="CF690" i="53"/>
  <c r="CF691" i="53"/>
  <c r="CF692" i="53"/>
  <c r="CF693" i="53"/>
  <c r="CF694" i="53"/>
  <c r="CF695" i="53"/>
  <c r="CF696" i="53"/>
  <c r="CF697" i="53"/>
  <c r="CF698" i="53"/>
  <c r="CF699" i="53"/>
  <c r="CF700" i="53"/>
  <c r="CF701" i="53"/>
  <c r="CF702" i="53"/>
  <c r="CF703" i="53"/>
  <c r="CF704" i="53"/>
  <c r="CF705" i="53"/>
  <c r="CF706" i="53"/>
  <c r="CF707" i="53"/>
  <c r="CF708" i="53"/>
  <c r="CF709" i="53"/>
  <c r="CF710" i="53"/>
  <c r="CF711" i="53"/>
  <c r="CF712" i="53"/>
  <c r="CF713" i="53"/>
  <c r="CF714" i="53"/>
  <c r="CF715" i="53"/>
  <c r="CF716" i="53"/>
  <c r="CF717" i="53"/>
  <c r="CF718" i="53"/>
  <c r="CF719" i="53"/>
  <c r="CF720" i="53"/>
  <c r="CF721" i="53"/>
  <c r="CF722" i="53"/>
  <c r="CF723" i="53"/>
  <c r="CF724" i="53"/>
  <c r="CF725" i="53"/>
  <c r="CF726" i="53"/>
  <c r="CF727" i="53"/>
  <c r="CF728" i="53"/>
  <c r="CF729" i="53"/>
  <c r="CF730" i="53"/>
  <c r="CF731" i="53"/>
  <c r="CF732" i="53"/>
  <c r="CF733" i="53"/>
  <c r="CF734" i="53"/>
  <c r="CF735" i="53"/>
  <c r="CF736" i="53"/>
  <c r="CF737" i="53"/>
  <c r="CF738" i="53"/>
  <c r="CF739" i="53"/>
  <c r="CF740" i="53"/>
  <c r="CF741" i="53"/>
  <c r="CF742" i="53"/>
  <c r="CF743" i="53"/>
  <c r="CF744" i="53"/>
  <c r="CF745" i="53"/>
  <c r="CF746" i="53"/>
  <c r="CF747" i="53"/>
  <c r="CF748" i="53"/>
  <c r="CF749" i="53"/>
  <c r="CF750" i="53"/>
  <c r="CF751" i="53"/>
  <c r="CF752" i="53"/>
  <c r="CF753" i="53"/>
  <c r="CF754" i="53"/>
  <c r="CF755" i="53"/>
  <c r="CF756" i="53"/>
  <c r="CF757" i="53"/>
  <c r="CF758" i="53"/>
  <c r="CF759" i="53"/>
  <c r="CF760" i="53"/>
  <c r="CF761" i="53"/>
  <c r="CF762" i="53"/>
  <c r="CF763" i="53"/>
  <c r="CF764" i="53"/>
  <c r="CF765" i="53"/>
  <c r="CF766" i="53"/>
  <c r="CF767" i="53"/>
  <c r="CF768" i="53"/>
  <c r="CF769" i="53"/>
  <c r="CF770" i="53"/>
  <c r="CF771" i="53"/>
  <c r="CF772" i="53"/>
  <c r="CF773" i="53"/>
  <c r="CF774" i="53"/>
  <c r="CF775" i="53"/>
  <c r="CF776" i="53"/>
  <c r="CF777" i="53"/>
  <c r="CF778" i="53"/>
  <c r="CF779" i="53"/>
  <c r="CF780" i="53"/>
  <c r="CF781" i="53"/>
  <c r="CF782" i="53"/>
  <c r="CF783" i="53"/>
  <c r="CF784" i="53"/>
  <c r="CF785" i="53"/>
  <c r="CF786" i="53"/>
  <c r="CF787" i="53"/>
  <c r="CF788" i="53"/>
  <c r="CF789" i="53"/>
  <c r="CF790" i="53"/>
  <c r="CF791" i="53"/>
  <c r="CF792" i="53"/>
  <c r="CF793" i="53"/>
  <c r="CF794" i="53"/>
  <c r="CF795" i="53"/>
  <c r="CF796" i="53"/>
  <c r="CF797" i="53"/>
  <c r="CF798" i="53"/>
  <c r="CF799" i="53"/>
  <c r="CF800" i="53"/>
  <c r="CF801" i="53"/>
  <c r="CF802" i="53"/>
  <c r="CF803" i="53"/>
  <c r="CF804" i="53"/>
  <c r="CF805" i="53"/>
  <c r="CF806" i="53"/>
  <c r="CF807" i="53"/>
  <c r="CF808" i="53"/>
  <c r="CF809" i="53"/>
  <c r="CF810" i="53"/>
  <c r="CF811" i="53"/>
  <c r="CF812" i="53"/>
  <c r="CF813" i="53"/>
  <c r="CF814" i="53"/>
  <c r="CF815" i="53"/>
  <c r="CF816" i="53"/>
  <c r="CF817" i="53"/>
  <c r="CF818" i="53"/>
  <c r="CF819" i="53"/>
  <c r="CF820" i="53"/>
  <c r="CF821" i="53"/>
  <c r="CF822" i="53"/>
  <c r="CF823" i="53"/>
  <c r="CF824" i="53"/>
  <c r="CF825" i="53"/>
  <c r="CF826" i="53"/>
  <c r="CF827" i="53"/>
  <c r="CF828" i="53"/>
  <c r="CF829" i="53"/>
  <c r="CF830" i="53"/>
  <c r="CF831" i="53"/>
  <c r="CF832" i="53"/>
  <c r="CF833" i="53"/>
  <c r="CF834" i="53"/>
  <c r="CF835" i="53"/>
  <c r="CF836" i="53"/>
  <c r="CF837" i="53"/>
  <c r="CF838" i="53"/>
  <c r="CF839" i="53"/>
  <c r="CF840" i="53"/>
  <c r="CF841" i="53"/>
  <c r="CF842" i="53"/>
  <c r="CF843" i="53"/>
  <c r="CF844" i="53"/>
  <c r="CF845" i="53"/>
  <c r="CF846" i="53"/>
  <c r="CF847" i="53"/>
  <c r="CF848" i="53"/>
  <c r="CF849" i="53"/>
  <c r="CF850" i="53"/>
  <c r="CF851" i="53"/>
  <c r="CF852" i="53"/>
  <c r="CF853" i="53"/>
  <c r="CF854" i="53"/>
  <c r="CF855" i="53"/>
  <c r="CF856" i="53"/>
  <c r="CF857" i="53"/>
  <c r="CF858" i="53"/>
  <c r="CF859" i="53"/>
  <c r="CF860" i="53"/>
  <c r="CF861" i="53"/>
  <c r="CF862" i="53"/>
  <c r="CF863" i="53"/>
  <c r="CF864" i="53"/>
  <c r="CF865" i="53"/>
  <c r="CF866" i="53"/>
  <c r="CF867" i="53"/>
  <c r="CF868" i="53"/>
  <c r="CF869" i="53"/>
  <c r="CF870" i="53"/>
  <c r="CF871" i="53"/>
  <c r="CF872" i="53"/>
  <c r="CF873" i="53"/>
  <c r="CF874" i="53"/>
  <c r="CF875" i="53"/>
  <c r="CF876" i="53"/>
  <c r="CF877" i="53"/>
  <c r="CF878" i="53"/>
  <c r="CF879" i="53"/>
  <c r="CF880" i="53"/>
  <c r="CF881" i="53"/>
  <c r="CF882" i="53"/>
  <c r="CF883" i="53"/>
  <c r="CF884" i="53"/>
  <c r="CF885" i="53"/>
  <c r="CF886" i="53"/>
  <c r="CF887" i="53"/>
  <c r="CF888" i="53"/>
  <c r="CF889" i="53"/>
  <c r="CF890" i="53"/>
  <c r="CF891" i="53"/>
  <c r="CF892" i="53"/>
  <c r="CF893" i="53"/>
  <c r="CF894" i="53"/>
  <c r="CF895" i="53"/>
  <c r="CF896" i="53"/>
  <c r="CF897" i="53"/>
  <c r="CF898" i="53"/>
  <c r="CF899" i="53"/>
  <c r="CF900" i="53"/>
  <c r="CF901" i="53"/>
  <c r="CF902" i="53"/>
  <c r="CF903" i="53"/>
  <c r="CF904" i="53"/>
  <c r="CF905" i="53"/>
  <c r="CF906" i="53"/>
  <c r="CF907" i="53"/>
  <c r="CF908" i="53"/>
  <c r="CF909" i="53"/>
  <c r="CF910" i="53"/>
  <c r="CF911" i="53"/>
  <c r="CF912" i="53"/>
  <c r="CF913" i="53"/>
  <c r="CF914" i="53"/>
  <c r="CF915" i="53"/>
  <c r="CF916" i="53"/>
  <c r="CF917" i="53"/>
  <c r="CF918" i="53"/>
  <c r="CF919" i="53"/>
  <c r="CF920" i="53"/>
  <c r="CF921" i="53"/>
  <c r="CF922" i="53"/>
  <c r="CF923" i="53"/>
  <c r="CF924" i="53"/>
  <c r="CF925" i="53"/>
  <c r="CF926" i="53"/>
  <c r="CF927" i="53"/>
  <c r="CF928" i="53"/>
  <c r="CF929" i="53"/>
  <c r="CF930" i="53"/>
  <c r="CF931" i="53"/>
  <c r="CF932" i="53"/>
  <c r="CF933" i="53"/>
  <c r="CF934" i="53"/>
  <c r="CF935" i="53"/>
  <c r="CF936" i="53"/>
  <c r="CF937" i="53"/>
  <c r="CF938" i="53"/>
  <c r="CF939" i="53"/>
  <c r="CF940" i="53"/>
  <c r="CF941" i="53"/>
  <c r="CF942" i="53"/>
  <c r="CF943" i="53"/>
  <c r="CF944" i="53"/>
  <c r="CF945" i="53"/>
  <c r="CF946" i="53"/>
  <c r="CF947" i="53"/>
  <c r="CF948" i="53"/>
  <c r="CF949" i="53"/>
  <c r="CF950" i="53"/>
  <c r="CF951" i="53"/>
  <c r="CF952" i="53"/>
  <c r="CF953" i="53"/>
  <c r="CF954" i="53"/>
  <c r="CF955" i="53"/>
  <c r="CF956" i="53"/>
  <c r="CF957" i="53"/>
  <c r="CF958" i="53"/>
  <c r="CF959" i="53"/>
  <c r="CF960" i="53"/>
  <c r="CF961" i="53"/>
  <c r="CF962" i="53"/>
  <c r="CF963" i="53"/>
  <c r="CF964" i="53"/>
  <c r="CF965" i="53"/>
  <c r="CF966" i="53"/>
  <c r="CF967" i="53"/>
  <c r="CF968" i="53"/>
  <c r="CF969" i="53"/>
  <c r="CF970" i="53"/>
  <c r="CF971" i="53"/>
  <c r="CF972" i="53"/>
  <c r="CF973" i="53"/>
  <c r="CF974" i="53"/>
  <c r="CF975" i="53"/>
  <c r="CF976" i="53"/>
  <c r="CF977" i="53"/>
  <c r="CF978" i="53"/>
  <c r="CF979" i="53"/>
  <c r="CF980" i="53"/>
  <c r="CF981" i="53"/>
  <c r="CF982" i="53"/>
  <c r="CF983" i="53"/>
  <c r="CF984" i="53"/>
  <c r="CF985" i="53"/>
  <c r="CF986" i="53"/>
  <c r="CF987" i="53"/>
  <c r="CF988" i="53"/>
  <c r="CF989" i="53"/>
  <c r="CF990" i="53"/>
  <c r="CF991" i="53"/>
  <c r="CF992" i="53"/>
  <c r="CF993" i="53"/>
  <c r="CF994" i="53"/>
  <c r="CF995" i="53"/>
  <c r="CF996" i="53"/>
  <c r="CF997" i="53"/>
  <c r="CF998" i="53"/>
  <c r="CF999" i="53"/>
  <c r="CF1000" i="53"/>
  <c r="CF1001" i="53"/>
  <c r="CF1002" i="53"/>
  <c r="CF1003" i="53"/>
  <c r="CF1004" i="53"/>
  <c r="CF1005" i="53"/>
  <c r="CF1006" i="53"/>
  <c r="CF1007" i="53"/>
  <c r="CF1008" i="53"/>
  <c r="CF1009" i="53"/>
  <c r="CF1010" i="53"/>
  <c r="CF1011" i="53"/>
  <c r="CF1012" i="53"/>
  <c r="CF1013" i="53"/>
  <c r="CF1014" i="53"/>
  <c r="CF1015" i="53"/>
  <c r="CF1016" i="53"/>
  <c r="CF1017" i="53"/>
  <c r="CF1018" i="53"/>
  <c r="CF1019" i="53"/>
  <c r="CF1020" i="53"/>
  <c r="CF1021" i="53"/>
  <c r="CF1022" i="53"/>
  <c r="CF1023" i="53"/>
  <c r="CF1024" i="53"/>
  <c r="CF1025" i="53"/>
  <c r="CF1026" i="53"/>
  <c r="CF1027" i="53"/>
  <c r="CF1028" i="53"/>
  <c r="CF1029" i="53"/>
  <c r="CF1030" i="53"/>
  <c r="CF1031" i="53"/>
  <c r="CF1032" i="53"/>
  <c r="CF1033" i="53"/>
  <c r="CF1034" i="53"/>
  <c r="CF1035" i="53"/>
  <c r="CF1036" i="53"/>
  <c r="CF1037" i="53"/>
  <c r="CF1038" i="53"/>
  <c r="CF1039" i="53"/>
  <c r="CF1040" i="53"/>
  <c r="CF1041" i="53"/>
  <c r="CF1042" i="53"/>
  <c r="CF1043" i="53"/>
  <c r="CF1044" i="53"/>
  <c r="CF1045" i="53"/>
  <c r="CF1046" i="53"/>
  <c r="CF1047" i="53"/>
  <c r="CF1048" i="53"/>
  <c r="CF1049" i="53"/>
  <c r="CF1050" i="53"/>
  <c r="CF1051" i="53"/>
  <c r="CF1052" i="53"/>
  <c r="CF1053" i="53"/>
  <c r="CF1054" i="53"/>
  <c r="CF1055" i="53"/>
  <c r="CF1056" i="53"/>
  <c r="CF1057" i="53"/>
  <c r="CF1058" i="53"/>
  <c r="CF1059" i="53"/>
  <c r="CF1060" i="53"/>
  <c r="CF1061" i="53"/>
  <c r="CF1062" i="53"/>
  <c r="CF1063" i="53"/>
  <c r="CF1064" i="53"/>
  <c r="CF1065" i="53"/>
  <c r="CF1066" i="53"/>
  <c r="CF1067" i="53"/>
  <c r="CF1068" i="53"/>
  <c r="CF1069" i="53"/>
  <c r="CF1070" i="53"/>
  <c r="CF1071" i="53"/>
  <c r="CF1072" i="53"/>
  <c r="CF1073" i="53"/>
  <c r="CF1074" i="53"/>
  <c r="CF1075" i="53"/>
  <c r="CF1076" i="53"/>
  <c r="CF1077" i="53"/>
  <c r="CF1078" i="53"/>
  <c r="CF1079" i="53"/>
  <c r="CF1080" i="53"/>
  <c r="CF1081" i="53"/>
  <c r="CF1082" i="53"/>
  <c r="CF1083" i="53"/>
  <c r="CF1084" i="53"/>
  <c r="CF1085" i="53"/>
  <c r="CF1086" i="53"/>
  <c r="CF1087" i="53"/>
  <c r="CF1088" i="53"/>
  <c r="CF1089" i="53"/>
  <c r="CF1090" i="53"/>
  <c r="CF1091" i="53"/>
  <c r="CF1092" i="53"/>
  <c r="CF1093" i="53"/>
  <c r="CF1094" i="53"/>
  <c r="CF1095" i="53"/>
  <c r="CF1096" i="53"/>
  <c r="CF1097" i="53"/>
  <c r="CF1098" i="53"/>
  <c r="CF1099" i="53"/>
  <c r="CF1100" i="53"/>
  <c r="CF1101" i="53"/>
  <c r="CF1102" i="53"/>
  <c r="CF1103" i="53"/>
  <c r="CF1104" i="53"/>
  <c r="CF1105" i="53"/>
  <c r="BS5" i="4"/>
  <c r="CJ5" i="4" s="1"/>
  <c r="CK5" i="4" s="1"/>
  <c r="BS6" i="4"/>
  <c r="CJ6" i="4" s="1"/>
  <c r="CK6" i="4" s="1"/>
  <c r="BS7" i="4"/>
  <c r="CJ7" i="4" s="1"/>
  <c r="CK7" i="4" s="1"/>
  <c r="BS8" i="4"/>
  <c r="CJ8" i="4" s="1"/>
  <c r="CK8" i="4" s="1"/>
  <c r="BS9" i="4"/>
  <c r="CJ9" i="4" s="1"/>
  <c r="CK9" i="4" s="1"/>
  <c r="BS10" i="4"/>
  <c r="CJ10" i="4" s="1"/>
  <c r="CK10" i="4" s="1"/>
  <c r="BS11" i="4"/>
  <c r="CJ11" i="4" s="1"/>
  <c r="CK11" i="4" s="1"/>
  <c r="BS12" i="4"/>
  <c r="CJ12" i="4" s="1"/>
  <c r="CK12" i="4" s="1"/>
  <c r="BS13" i="4"/>
  <c r="CJ13" i="4" s="1"/>
  <c r="CK13" i="4" s="1"/>
  <c r="BS14" i="4"/>
  <c r="CJ14" i="4" s="1"/>
  <c r="CK14" i="4" s="1"/>
  <c r="BS15" i="4"/>
  <c r="CJ15" i="4" s="1"/>
  <c r="BS16" i="4"/>
  <c r="CJ16" i="4" s="1"/>
  <c r="CK16" i="4" s="1"/>
  <c r="BS17" i="4"/>
  <c r="CJ17" i="4" s="1"/>
  <c r="BS18" i="4"/>
  <c r="CJ18" i="4" s="1"/>
  <c r="CK18" i="4" s="1"/>
  <c r="BS19" i="4"/>
  <c r="CJ19" i="4" s="1"/>
  <c r="CK19" i="4" s="1"/>
  <c r="BS20" i="4"/>
  <c r="CJ20" i="4" s="1"/>
  <c r="CK20" i="4" s="1"/>
  <c r="BS21" i="4"/>
  <c r="CJ21" i="4" s="1"/>
  <c r="CK21" i="4" s="1"/>
  <c r="BS22" i="4"/>
  <c r="CJ22" i="4" s="1"/>
  <c r="CK22" i="4" s="1"/>
  <c r="BS23" i="4"/>
  <c r="CJ23" i="4" s="1"/>
  <c r="BS24" i="4"/>
  <c r="CJ24" i="4" s="1"/>
  <c r="CK24" i="4" s="1"/>
  <c r="BS25" i="4"/>
  <c r="CJ25" i="4" s="1"/>
  <c r="CK25" i="4" s="1"/>
  <c r="BS26" i="4"/>
  <c r="CJ26" i="4" s="1"/>
  <c r="CK26" i="4" s="1"/>
  <c r="BS27" i="4"/>
  <c r="CJ27" i="4" s="1"/>
  <c r="CK27" i="4" s="1"/>
  <c r="BS28" i="4"/>
  <c r="CJ28" i="4" s="1"/>
  <c r="CK28" i="4" s="1"/>
  <c r="BS29" i="4"/>
  <c r="CJ29" i="4" s="1"/>
  <c r="CK29" i="4" s="1"/>
  <c r="BS30" i="4"/>
  <c r="CJ30" i="4" s="1"/>
  <c r="CK30" i="4" s="1"/>
  <c r="BS31" i="4"/>
  <c r="CJ31" i="4" s="1"/>
  <c r="CK31" i="4" s="1"/>
  <c r="BS32" i="4"/>
  <c r="CJ32" i="4" s="1"/>
  <c r="CK32" i="4" s="1"/>
  <c r="BS33" i="4"/>
  <c r="CJ33" i="4" s="1"/>
  <c r="CK33" i="4" s="1"/>
  <c r="BS34" i="4"/>
  <c r="CJ34" i="4" s="1"/>
  <c r="CK34" i="4" s="1"/>
  <c r="BS35" i="4"/>
  <c r="CJ35" i="4" s="1"/>
  <c r="CK35" i="4" s="1"/>
  <c r="BS4" i="4"/>
  <c r="CJ4" i="4" s="1"/>
  <c r="CK4" i="4" s="1"/>
  <c r="BX26" i="4" l="1"/>
  <c r="BY26" i="4" s="1"/>
  <c r="BU26" i="4"/>
  <c r="BV26" i="4" s="1"/>
  <c r="BU10" i="4"/>
  <c r="BV10" i="4" s="1"/>
  <c r="BX10" i="4"/>
  <c r="BY10" i="4" s="1"/>
  <c r="BU25" i="4"/>
  <c r="BV25" i="4" s="1"/>
  <c r="BX25" i="4"/>
  <c r="BY25" i="4" s="1"/>
  <c r="BU9" i="4"/>
  <c r="BV9" i="4" s="1"/>
  <c r="BX9" i="4"/>
  <c r="BY9" i="4" s="1"/>
  <c r="BU24" i="4"/>
  <c r="BV24" i="4" s="1"/>
  <c r="BX24" i="4"/>
  <c r="BY24" i="4" s="1"/>
  <c r="BU8" i="4"/>
  <c r="BV8" i="4" s="1"/>
  <c r="BX8" i="4"/>
  <c r="BY8" i="4" s="1"/>
  <c r="BU23" i="4"/>
  <c r="BV23" i="4" s="1"/>
  <c r="BX23" i="4"/>
  <c r="BY23" i="4" s="1"/>
  <c r="BU7" i="4"/>
  <c r="BV7" i="4" s="1"/>
  <c r="BX7" i="4"/>
  <c r="BY7" i="4" s="1"/>
  <c r="BU22" i="4"/>
  <c r="BV22" i="4" s="1"/>
  <c r="BX22" i="4"/>
  <c r="BY22" i="4" s="1"/>
  <c r="BU6" i="4"/>
  <c r="BV6" i="4" s="1"/>
  <c r="BX6" i="4"/>
  <c r="BY6" i="4" s="1"/>
  <c r="BU21" i="4"/>
  <c r="BV21" i="4" s="1"/>
  <c r="BX21" i="4"/>
  <c r="BY21" i="4" s="1"/>
  <c r="BU5" i="4"/>
  <c r="BV5" i="4" s="1"/>
  <c r="BX5" i="4"/>
  <c r="BY5" i="4" s="1"/>
  <c r="BU11" i="4"/>
  <c r="BV11" i="4" s="1"/>
  <c r="BX11" i="4"/>
  <c r="BY11" i="4" s="1"/>
  <c r="BX4" i="4"/>
  <c r="BY4" i="4" s="1"/>
  <c r="BU4" i="4"/>
  <c r="BV4" i="4" s="1"/>
  <c r="BX20" i="4"/>
  <c r="BY20" i="4" s="1"/>
  <c r="BU20" i="4"/>
  <c r="BV20" i="4" s="1"/>
  <c r="BX19" i="4"/>
  <c r="BY19" i="4" s="1"/>
  <c r="BU19" i="4"/>
  <c r="BV19" i="4" s="1"/>
  <c r="BU34" i="4"/>
  <c r="BV34" i="4" s="1"/>
  <c r="BX34" i="4"/>
  <c r="BY34" i="4" s="1"/>
  <c r="BU18" i="4"/>
  <c r="BV18" i="4" s="1"/>
  <c r="BX18" i="4"/>
  <c r="BY18" i="4" s="1"/>
  <c r="BU33" i="4"/>
  <c r="BV33" i="4" s="1"/>
  <c r="BX33" i="4"/>
  <c r="BY33" i="4" s="1"/>
  <c r="BX17" i="4"/>
  <c r="BY17" i="4" s="1"/>
  <c r="BU17" i="4"/>
  <c r="BV17" i="4" s="1"/>
  <c r="BU27" i="4"/>
  <c r="BV27" i="4" s="1"/>
  <c r="BX27" i="4"/>
  <c r="BY27" i="4" s="1"/>
  <c r="BU32" i="4"/>
  <c r="BV32" i="4" s="1"/>
  <c r="BX32" i="4"/>
  <c r="BY32" i="4" s="1"/>
  <c r="BX16" i="4"/>
  <c r="BY16" i="4" s="1"/>
  <c r="BU16" i="4"/>
  <c r="BV16" i="4" s="1"/>
  <c r="BU31" i="4"/>
  <c r="BV31" i="4" s="1"/>
  <c r="BX31" i="4"/>
  <c r="BY31" i="4" s="1"/>
  <c r="BU15" i="4"/>
  <c r="BV15" i="4" s="1"/>
  <c r="BX15" i="4"/>
  <c r="BY15" i="4" s="1"/>
  <c r="BU30" i="4"/>
  <c r="BV30" i="4" s="1"/>
  <c r="BX30" i="4"/>
  <c r="BY30" i="4" s="1"/>
  <c r="BU14" i="4"/>
  <c r="BV14" i="4" s="1"/>
  <c r="BX14" i="4"/>
  <c r="BY14" i="4" s="1"/>
  <c r="BU29" i="4"/>
  <c r="BV29" i="4" s="1"/>
  <c r="BX29" i="4"/>
  <c r="BY29" i="4" s="1"/>
  <c r="BX13" i="4"/>
  <c r="BU13" i="4"/>
  <c r="BV13" i="4" s="1"/>
  <c r="BU35" i="4"/>
  <c r="BV35" i="4" s="1"/>
  <c r="BX35" i="4"/>
  <c r="BY35" i="4" s="1"/>
  <c r="BX28" i="4"/>
  <c r="BY28" i="4" s="1"/>
  <c r="BU28" i="4"/>
  <c r="BV28" i="4" s="1"/>
  <c r="BU12" i="4"/>
  <c r="BV12" i="4" s="1"/>
  <c r="BX12" i="4"/>
  <c r="BY12" i="4" s="1"/>
  <c r="CI4" i="53"/>
  <c r="CJ4" i="53" s="1"/>
  <c r="CI5" i="53"/>
  <c r="CJ5" i="53" s="1"/>
  <c r="CI6" i="53"/>
  <c r="CJ6" i="53" s="1"/>
  <c r="CI7" i="53"/>
  <c r="CJ7" i="53" s="1"/>
  <c r="CI8" i="53"/>
  <c r="CJ8" i="53" s="1"/>
  <c r="CI9" i="53"/>
  <c r="CJ9" i="53" s="1"/>
  <c r="CI10" i="53"/>
  <c r="CJ10" i="53" s="1"/>
  <c r="CI11" i="53"/>
  <c r="CJ11" i="53" s="1"/>
  <c r="CI12" i="53"/>
  <c r="CJ12" i="53" s="1"/>
  <c r="CI13" i="53"/>
  <c r="CJ13" i="53" s="1"/>
  <c r="CI14" i="53"/>
  <c r="CJ14" i="53" s="1"/>
  <c r="CI15" i="53"/>
  <c r="CJ15" i="53" s="1"/>
  <c r="CI16" i="53"/>
  <c r="CJ16" i="53" s="1"/>
  <c r="CI17" i="53"/>
  <c r="CJ17" i="53" s="1"/>
  <c r="CI18" i="53"/>
  <c r="CJ18" i="53" s="1"/>
  <c r="CI19" i="53"/>
  <c r="CJ19" i="53" s="1"/>
  <c r="CI20" i="53"/>
  <c r="CJ20" i="53" s="1"/>
  <c r="CI21" i="53"/>
  <c r="CJ21" i="53" s="1"/>
  <c r="CI22" i="53"/>
  <c r="CJ22" i="53" s="1"/>
  <c r="CI23" i="53"/>
  <c r="CJ23" i="53" s="1"/>
  <c r="CI24" i="53"/>
  <c r="CJ24" i="53" s="1"/>
  <c r="CI25" i="53"/>
  <c r="CJ25" i="53" s="1"/>
  <c r="CI26" i="53"/>
  <c r="CJ26" i="53" s="1"/>
  <c r="CI27" i="53"/>
  <c r="CJ27" i="53" s="1"/>
  <c r="CI28" i="53"/>
  <c r="CJ28" i="53" s="1"/>
  <c r="CI29" i="53"/>
  <c r="CJ29" i="53" s="1"/>
  <c r="CI30" i="53"/>
  <c r="CJ30" i="53" s="1"/>
  <c r="CI31" i="53"/>
  <c r="CJ31" i="53" s="1"/>
  <c r="CI32" i="53"/>
  <c r="CJ32" i="53" s="1"/>
  <c r="CI33" i="53"/>
  <c r="CJ33" i="53" s="1"/>
  <c r="CI34" i="53"/>
  <c r="CJ34" i="53" s="1"/>
  <c r="CI35" i="53"/>
  <c r="CJ35" i="53" s="1"/>
  <c r="CI36" i="53"/>
  <c r="CJ36" i="53" s="1"/>
  <c r="CI37" i="53"/>
  <c r="CJ37" i="53" s="1"/>
  <c r="CI38" i="53"/>
  <c r="CJ38" i="53" s="1"/>
  <c r="CI39" i="53"/>
  <c r="CJ39" i="53" s="1"/>
  <c r="CI40" i="53"/>
  <c r="CJ40" i="53" s="1"/>
  <c r="CI41" i="53"/>
  <c r="CJ41" i="53" s="1"/>
  <c r="CI42" i="53"/>
  <c r="CJ42" i="53" s="1"/>
  <c r="CI43" i="53"/>
  <c r="CJ43" i="53" s="1"/>
  <c r="CI44" i="53"/>
  <c r="CJ44" i="53" s="1"/>
  <c r="CI45" i="53"/>
  <c r="CJ45" i="53" s="1"/>
  <c r="CI46" i="53"/>
  <c r="CJ46" i="53" s="1"/>
  <c r="CI47" i="53"/>
  <c r="CJ47" i="53" s="1"/>
  <c r="CI48" i="53"/>
  <c r="CJ48" i="53" s="1"/>
  <c r="CI49" i="53"/>
  <c r="CJ49" i="53" s="1"/>
  <c r="CI50" i="53"/>
  <c r="CJ50" i="53" s="1"/>
  <c r="CI51" i="53"/>
  <c r="CJ51" i="53" s="1"/>
  <c r="CI52" i="53"/>
  <c r="CJ52" i="53" s="1"/>
  <c r="CI53" i="53"/>
  <c r="CJ53" i="53" s="1"/>
  <c r="CI54" i="53"/>
  <c r="CJ54" i="53" s="1"/>
  <c r="CI55" i="53"/>
  <c r="CJ55" i="53" s="1"/>
  <c r="CI56" i="53"/>
  <c r="CJ56" i="53" s="1"/>
  <c r="CI57" i="53"/>
  <c r="CJ57" i="53" s="1"/>
  <c r="CI58" i="53"/>
  <c r="CJ58" i="53" s="1"/>
  <c r="CI59" i="53"/>
  <c r="CJ59" i="53" s="1"/>
  <c r="CI60" i="53"/>
  <c r="CJ60" i="53" s="1"/>
  <c r="CI61" i="53"/>
  <c r="CJ61" i="53" s="1"/>
  <c r="CI62" i="53"/>
  <c r="CJ62" i="53" s="1"/>
  <c r="CI63" i="53"/>
  <c r="CJ63" i="53" s="1"/>
  <c r="CI64" i="53"/>
  <c r="CJ64" i="53" s="1"/>
  <c r="CI65" i="53"/>
  <c r="CJ65" i="53" s="1"/>
  <c r="CI66" i="53"/>
  <c r="CJ66" i="53" s="1"/>
  <c r="CI67" i="53"/>
  <c r="CJ67" i="53" s="1"/>
  <c r="CI68" i="53"/>
  <c r="CJ68" i="53" s="1"/>
  <c r="CI69" i="53"/>
  <c r="CJ69" i="53" s="1"/>
  <c r="CI70" i="53"/>
  <c r="CJ70" i="53" s="1"/>
  <c r="CI71" i="53"/>
  <c r="CJ71" i="53" s="1"/>
  <c r="CI72" i="53"/>
  <c r="CJ72" i="53" s="1"/>
  <c r="CI73" i="53"/>
  <c r="CJ73" i="53" s="1"/>
  <c r="CI74" i="53"/>
  <c r="CJ74" i="53" s="1"/>
  <c r="CI75" i="53"/>
  <c r="CJ75" i="53" s="1"/>
  <c r="CI76" i="53"/>
  <c r="CJ76" i="53" s="1"/>
  <c r="CI77" i="53"/>
  <c r="CJ77" i="53" s="1"/>
  <c r="CI78" i="53"/>
  <c r="CJ78" i="53" s="1"/>
  <c r="CI79" i="53"/>
  <c r="CJ79" i="53" s="1"/>
  <c r="CI80" i="53"/>
  <c r="CJ80" i="53" s="1"/>
  <c r="CI81" i="53"/>
  <c r="CJ81" i="53" s="1"/>
  <c r="CI82" i="53"/>
  <c r="CJ82" i="53" s="1"/>
  <c r="CI83" i="53"/>
  <c r="CJ83" i="53" s="1"/>
  <c r="CI84" i="53"/>
  <c r="CJ84" i="53" s="1"/>
  <c r="CI85" i="53"/>
  <c r="CJ85" i="53" s="1"/>
  <c r="CI86" i="53"/>
  <c r="CJ86" i="53" s="1"/>
  <c r="CI87" i="53"/>
  <c r="CJ87" i="53" s="1"/>
  <c r="CI88" i="53"/>
  <c r="CJ88" i="53" s="1"/>
  <c r="CI89" i="53"/>
  <c r="CJ89" i="53" s="1"/>
  <c r="CI90" i="53"/>
  <c r="CJ90" i="53" s="1"/>
  <c r="CI91" i="53"/>
  <c r="CJ91" i="53" s="1"/>
  <c r="CI92" i="53"/>
  <c r="CJ92" i="53" s="1"/>
  <c r="CI93" i="53"/>
  <c r="CJ93" i="53" s="1"/>
  <c r="CI94" i="53"/>
  <c r="CJ94" i="53" s="1"/>
  <c r="CI95" i="53"/>
  <c r="CJ95" i="53" s="1"/>
  <c r="CI96" i="53"/>
  <c r="CJ96" i="53" s="1"/>
  <c r="CI97" i="53"/>
  <c r="CJ97" i="53" s="1"/>
  <c r="CI98" i="53"/>
  <c r="CJ98" i="53" s="1"/>
  <c r="CI99" i="53"/>
  <c r="CJ99" i="53" s="1"/>
  <c r="CI100" i="53"/>
  <c r="CJ100" i="53" s="1"/>
  <c r="CI101" i="53"/>
  <c r="CJ101" i="53" s="1"/>
  <c r="CI102" i="53"/>
  <c r="CJ102" i="53" s="1"/>
  <c r="CI103" i="53"/>
  <c r="CJ103" i="53" s="1"/>
  <c r="CI104" i="53"/>
  <c r="CJ104" i="53" s="1"/>
  <c r="CI105" i="53"/>
  <c r="CJ105" i="53" s="1"/>
  <c r="CI106" i="53"/>
  <c r="CJ106" i="53" s="1"/>
  <c r="CI107" i="53"/>
  <c r="CJ107" i="53" s="1"/>
  <c r="CI108" i="53"/>
  <c r="CJ108" i="53" s="1"/>
  <c r="CI109" i="53"/>
  <c r="CJ109" i="53" s="1"/>
  <c r="CI110" i="53"/>
  <c r="CJ110" i="53" s="1"/>
  <c r="CI111" i="53"/>
  <c r="CJ111" i="53" s="1"/>
  <c r="CI112" i="53"/>
  <c r="CJ112" i="53" s="1"/>
  <c r="CI113" i="53"/>
  <c r="CJ113" i="53" s="1"/>
  <c r="CI114" i="53"/>
  <c r="CJ114" i="53" s="1"/>
  <c r="CI115" i="53"/>
  <c r="CJ115" i="53" s="1"/>
  <c r="CI116" i="53"/>
  <c r="CJ116" i="53" s="1"/>
  <c r="CI117" i="53"/>
  <c r="CJ117" i="53" s="1"/>
  <c r="CI118" i="53"/>
  <c r="CJ118" i="53" s="1"/>
  <c r="CI119" i="53"/>
  <c r="CJ119" i="53" s="1"/>
  <c r="CI120" i="53"/>
  <c r="CJ120" i="53" s="1"/>
  <c r="CI121" i="53"/>
  <c r="CJ121" i="53" s="1"/>
  <c r="CI122" i="53"/>
  <c r="CJ122" i="53" s="1"/>
  <c r="CI123" i="53"/>
  <c r="CJ123" i="53" s="1"/>
  <c r="CI124" i="53"/>
  <c r="CJ124" i="53" s="1"/>
  <c r="CI125" i="53"/>
  <c r="CJ125" i="53" s="1"/>
  <c r="CI126" i="53"/>
  <c r="CJ126" i="53" s="1"/>
  <c r="CI127" i="53"/>
  <c r="CJ127" i="53" s="1"/>
  <c r="CI128" i="53"/>
  <c r="CJ128" i="53" s="1"/>
  <c r="CI129" i="53"/>
  <c r="CJ129" i="53" s="1"/>
  <c r="CI130" i="53"/>
  <c r="CJ130" i="53" s="1"/>
  <c r="CI131" i="53"/>
  <c r="CJ131" i="53" s="1"/>
  <c r="CI132" i="53"/>
  <c r="CJ132" i="53" s="1"/>
  <c r="CI133" i="53"/>
  <c r="CJ133" i="53" s="1"/>
  <c r="CI134" i="53"/>
  <c r="CJ134" i="53" s="1"/>
  <c r="CI135" i="53"/>
  <c r="CJ135" i="53" s="1"/>
  <c r="CI136" i="53"/>
  <c r="CJ136" i="53" s="1"/>
  <c r="CI137" i="53"/>
  <c r="CJ137" i="53" s="1"/>
  <c r="CI138" i="53"/>
  <c r="CJ138" i="53" s="1"/>
  <c r="CI139" i="53"/>
  <c r="CJ139" i="53" s="1"/>
  <c r="CI140" i="53"/>
  <c r="CJ140" i="53" s="1"/>
  <c r="CI141" i="53"/>
  <c r="CJ141" i="53" s="1"/>
  <c r="CI142" i="53"/>
  <c r="CJ142" i="53" s="1"/>
  <c r="CI143" i="53"/>
  <c r="CJ143" i="53" s="1"/>
  <c r="CI144" i="53"/>
  <c r="CJ144" i="53" s="1"/>
  <c r="CI145" i="53"/>
  <c r="CJ145" i="53" s="1"/>
  <c r="CI146" i="53"/>
  <c r="CJ146" i="53" s="1"/>
  <c r="CI147" i="53"/>
  <c r="CJ147" i="53" s="1"/>
  <c r="CI148" i="53"/>
  <c r="CJ148" i="53" s="1"/>
  <c r="CI149" i="53"/>
  <c r="CJ149" i="53" s="1"/>
  <c r="CI150" i="53"/>
  <c r="CJ150" i="53" s="1"/>
  <c r="CI151" i="53"/>
  <c r="CJ151" i="53" s="1"/>
  <c r="CI152" i="53"/>
  <c r="CJ152" i="53" s="1"/>
  <c r="CI153" i="53"/>
  <c r="CJ153" i="53" s="1"/>
  <c r="CI154" i="53"/>
  <c r="CJ154" i="53" s="1"/>
  <c r="CI155" i="53"/>
  <c r="CJ155" i="53" s="1"/>
  <c r="CI156" i="53"/>
  <c r="CJ156" i="53" s="1"/>
  <c r="CI157" i="53"/>
  <c r="CJ157" i="53" s="1"/>
  <c r="CI158" i="53"/>
  <c r="CJ158" i="53" s="1"/>
  <c r="CI159" i="53"/>
  <c r="CJ159" i="53" s="1"/>
  <c r="CI160" i="53"/>
  <c r="CJ160" i="53" s="1"/>
  <c r="CI161" i="53"/>
  <c r="CJ161" i="53" s="1"/>
  <c r="CI162" i="53"/>
  <c r="CJ162" i="53" s="1"/>
  <c r="CI163" i="53"/>
  <c r="CJ163" i="53" s="1"/>
  <c r="CI164" i="53"/>
  <c r="CJ164" i="53" s="1"/>
  <c r="CI165" i="53"/>
  <c r="CJ165" i="53" s="1"/>
  <c r="CI166" i="53"/>
  <c r="CJ166" i="53" s="1"/>
  <c r="CI167" i="53"/>
  <c r="CJ167" i="53" s="1"/>
  <c r="CI168" i="53"/>
  <c r="CJ168" i="53" s="1"/>
  <c r="CI169" i="53"/>
  <c r="CJ169" i="53" s="1"/>
  <c r="CI170" i="53"/>
  <c r="CJ170" i="53" s="1"/>
  <c r="CI171" i="53"/>
  <c r="CJ171" i="53" s="1"/>
  <c r="CI172" i="53"/>
  <c r="CJ172" i="53" s="1"/>
  <c r="CI173" i="53"/>
  <c r="CJ173" i="53" s="1"/>
  <c r="CI174" i="53"/>
  <c r="CJ174" i="53" s="1"/>
  <c r="CI175" i="53"/>
  <c r="CJ175" i="53" s="1"/>
  <c r="CI176" i="53"/>
  <c r="CJ176" i="53" s="1"/>
  <c r="CI177" i="53"/>
  <c r="CJ177" i="53" s="1"/>
  <c r="CI178" i="53"/>
  <c r="CJ178" i="53" s="1"/>
  <c r="CI179" i="53"/>
  <c r="CJ179" i="53" s="1"/>
  <c r="CI180" i="53"/>
  <c r="CJ180" i="53" s="1"/>
  <c r="CI181" i="53"/>
  <c r="CJ181" i="53" s="1"/>
  <c r="CI182" i="53"/>
  <c r="CJ182" i="53" s="1"/>
  <c r="CI183" i="53"/>
  <c r="CJ183" i="53" s="1"/>
  <c r="CI184" i="53"/>
  <c r="CJ184" i="53" s="1"/>
  <c r="CI185" i="53"/>
  <c r="CJ185" i="53" s="1"/>
  <c r="CI186" i="53"/>
  <c r="CJ186" i="53" s="1"/>
  <c r="CI187" i="53"/>
  <c r="CJ187" i="53" s="1"/>
  <c r="CI188" i="53"/>
  <c r="CJ188" i="53" s="1"/>
  <c r="CI189" i="53"/>
  <c r="CJ189" i="53" s="1"/>
  <c r="CI190" i="53"/>
  <c r="CJ190" i="53" s="1"/>
  <c r="CI191" i="53"/>
  <c r="CJ191" i="53" s="1"/>
  <c r="CI192" i="53"/>
  <c r="CJ192" i="53" s="1"/>
  <c r="CI193" i="53"/>
  <c r="CJ193" i="53" s="1"/>
  <c r="CI194" i="53"/>
  <c r="CJ194" i="53" s="1"/>
  <c r="CI195" i="53"/>
  <c r="CJ195" i="53" s="1"/>
  <c r="CI196" i="53"/>
  <c r="CJ196" i="53" s="1"/>
  <c r="CI197" i="53"/>
  <c r="CJ197" i="53" s="1"/>
  <c r="CI198" i="53"/>
  <c r="CJ198" i="53" s="1"/>
  <c r="CI199" i="53"/>
  <c r="CJ199" i="53" s="1"/>
  <c r="CI200" i="53"/>
  <c r="CJ200" i="53" s="1"/>
  <c r="CI201" i="53"/>
  <c r="CJ201" i="53" s="1"/>
  <c r="CI202" i="53"/>
  <c r="CJ202" i="53" s="1"/>
  <c r="CI203" i="53"/>
  <c r="CJ203" i="53" s="1"/>
  <c r="CI204" i="53"/>
  <c r="CJ204" i="53" s="1"/>
  <c r="CI205" i="53"/>
  <c r="CJ205" i="53" s="1"/>
  <c r="CI206" i="53"/>
  <c r="CJ206" i="53" s="1"/>
  <c r="CI207" i="53"/>
  <c r="CJ207" i="53" s="1"/>
  <c r="CI208" i="53"/>
  <c r="CJ208" i="53" s="1"/>
  <c r="CI209" i="53"/>
  <c r="CJ209" i="53" s="1"/>
  <c r="CI210" i="53"/>
  <c r="CJ210" i="53" s="1"/>
  <c r="CI211" i="53"/>
  <c r="CJ211" i="53" s="1"/>
  <c r="CI212" i="53"/>
  <c r="CJ212" i="53" s="1"/>
  <c r="CI213" i="53"/>
  <c r="CJ213" i="53" s="1"/>
  <c r="CI214" i="53"/>
  <c r="CJ214" i="53" s="1"/>
  <c r="CI215" i="53"/>
  <c r="CJ215" i="53" s="1"/>
  <c r="CI216" i="53"/>
  <c r="CJ216" i="53" s="1"/>
  <c r="CI217" i="53"/>
  <c r="CJ217" i="53" s="1"/>
  <c r="CI218" i="53"/>
  <c r="CJ218" i="53" s="1"/>
  <c r="CI219" i="53"/>
  <c r="CJ219" i="53" s="1"/>
  <c r="CI220" i="53"/>
  <c r="CJ220" i="53" s="1"/>
  <c r="CI221" i="53"/>
  <c r="CJ221" i="53" s="1"/>
  <c r="CI222" i="53"/>
  <c r="CJ222" i="53" s="1"/>
  <c r="CI223" i="53"/>
  <c r="CJ223" i="53" s="1"/>
  <c r="CI224" i="53"/>
  <c r="CJ224" i="53" s="1"/>
  <c r="CI225" i="53"/>
  <c r="CJ225" i="53" s="1"/>
  <c r="CI226" i="53"/>
  <c r="CJ226" i="53" s="1"/>
  <c r="CI227" i="53"/>
  <c r="CJ227" i="53" s="1"/>
  <c r="CI228" i="53"/>
  <c r="CJ228" i="53" s="1"/>
  <c r="CI229" i="53"/>
  <c r="CJ229" i="53" s="1"/>
  <c r="CI230" i="53"/>
  <c r="CJ230" i="53" s="1"/>
  <c r="CI231" i="53"/>
  <c r="CJ231" i="53" s="1"/>
  <c r="CI232" i="53"/>
  <c r="CJ232" i="53" s="1"/>
  <c r="CI233" i="53"/>
  <c r="CJ233" i="53" s="1"/>
  <c r="CI234" i="53"/>
  <c r="CJ234" i="53" s="1"/>
  <c r="CI235" i="53"/>
  <c r="CJ235" i="53" s="1"/>
  <c r="CI236" i="53"/>
  <c r="CJ236" i="53" s="1"/>
  <c r="CI237" i="53"/>
  <c r="CJ237" i="53" s="1"/>
  <c r="CI238" i="53"/>
  <c r="CJ238" i="53" s="1"/>
  <c r="CI239" i="53"/>
  <c r="CJ239" i="53" s="1"/>
  <c r="CI240" i="53"/>
  <c r="CJ240" i="53" s="1"/>
  <c r="CI241" i="53"/>
  <c r="CJ241" i="53" s="1"/>
  <c r="CI242" i="53"/>
  <c r="CJ242" i="53" s="1"/>
  <c r="CI243" i="53"/>
  <c r="CJ243" i="53" s="1"/>
  <c r="CI244" i="53"/>
  <c r="CJ244" i="53" s="1"/>
  <c r="CI245" i="53"/>
  <c r="CJ245" i="53" s="1"/>
  <c r="CI246" i="53"/>
  <c r="CJ246" i="53" s="1"/>
  <c r="CI247" i="53"/>
  <c r="CJ247" i="53" s="1"/>
  <c r="CI248" i="53"/>
  <c r="CJ248" i="53" s="1"/>
  <c r="CI249" i="53"/>
  <c r="CJ249" i="53" s="1"/>
  <c r="CI250" i="53"/>
  <c r="CJ250" i="53" s="1"/>
  <c r="CI251" i="53"/>
  <c r="CJ251" i="53" s="1"/>
  <c r="CI252" i="53"/>
  <c r="CJ252" i="53" s="1"/>
  <c r="CI253" i="53"/>
  <c r="CJ253" i="53" s="1"/>
  <c r="CI254" i="53"/>
  <c r="CJ254" i="53" s="1"/>
  <c r="CI255" i="53"/>
  <c r="CJ255" i="53" s="1"/>
  <c r="CI256" i="53"/>
  <c r="CJ256" i="53" s="1"/>
  <c r="CI257" i="53"/>
  <c r="CJ257" i="53" s="1"/>
  <c r="CI258" i="53"/>
  <c r="CJ258" i="53" s="1"/>
  <c r="CI259" i="53"/>
  <c r="CJ259" i="53" s="1"/>
  <c r="CI260" i="53"/>
  <c r="CJ260" i="53" s="1"/>
  <c r="CI261" i="53"/>
  <c r="CJ261" i="53" s="1"/>
  <c r="CI262" i="53"/>
  <c r="CJ262" i="53" s="1"/>
  <c r="CI263" i="53"/>
  <c r="CJ263" i="53" s="1"/>
  <c r="CI264" i="53"/>
  <c r="CJ264" i="53" s="1"/>
  <c r="CI265" i="53"/>
  <c r="CJ265" i="53" s="1"/>
  <c r="CI266" i="53"/>
  <c r="CJ266" i="53" s="1"/>
  <c r="CI267" i="53"/>
  <c r="CJ267" i="53" s="1"/>
  <c r="CI268" i="53"/>
  <c r="CJ268" i="53" s="1"/>
  <c r="CI269" i="53"/>
  <c r="CJ269" i="53" s="1"/>
  <c r="CI270" i="53"/>
  <c r="CJ270" i="53" s="1"/>
  <c r="CI271" i="53"/>
  <c r="CJ271" i="53" s="1"/>
  <c r="CI272" i="53"/>
  <c r="CJ272" i="53" s="1"/>
  <c r="CI273" i="53"/>
  <c r="CJ273" i="53" s="1"/>
  <c r="CI274" i="53"/>
  <c r="CJ274" i="53" s="1"/>
  <c r="CI275" i="53"/>
  <c r="CJ275" i="53" s="1"/>
  <c r="CI276" i="53"/>
  <c r="CJ276" i="53" s="1"/>
  <c r="CI277" i="53"/>
  <c r="CJ277" i="53" s="1"/>
  <c r="CI278" i="53"/>
  <c r="CJ278" i="53" s="1"/>
  <c r="CI279" i="53"/>
  <c r="CJ279" i="53" s="1"/>
  <c r="CI280" i="53"/>
  <c r="CJ280" i="53" s="1"/>
  <c r="CI281" i="53"/>
  <c r="CJ281" i="53" s="1"/>
  <c r="CI282" i="53"/>
  <c r="CJ282" i="53" s="1"/>
  <c r="CI283" i="53"/>
  <c r="CJ283" i="53" s="1"/>
  <c r="CI284" i="53"/>
  <c r="CJ284" i="53" s="1"/>
  <c r="CI285" i="53"/>
  <c r="CJ285" i="53" s="1"/>
  <c r="CI286" i="53"/>
  <c r="CJ286" i="53" s="1"/>
  <c r="CI287" i="53"/>
  <c r="CJ287" i="53" s="1"/>
  <c r="CI288" i="53"/>
  <c r="CJ288" i="53" s="1"/>
  <c r="CI289" i="53"/>
  <c r="CJ289" i="53" s="1"/>
  <c r="CI290" i="53"/>
  <c r="CJ290" i="53" s="1"/>
  <c r="CI291" i="53"/>
  <c r="CJ291" i="53" s="1"/>
  <c r="CI292" i="53"/>
  <c r="CJ292" i="53" s="1"/>
  <c r="CI293" i="53"/>
  <c r="CJ293" i="53" s="1"/>
  <c r="CI294" i="53"/>
  <c r="CJ294" i="53" s="1"/>
  <c r="CI295" i="53"/>
  <c r="CJ295" i="53" s="1"/>
  <c r="CI296" i="53"/>
  <c r="CJ296" i="53" s="1"/>
  <c r="CI297" i="53"/>
  <c r="CJ297" i="53" s="1"/>
  <c r="CI298" i="53"/>
  <c r="CJ298" i="53" s="1"/>
  <c r="CI299" i="53"/>
  <c r="CJ299" i="53" s="1"/>
  <c r="CI300" i="53"/>
  <c r="CJ300" i="53" s="1"/>
  <c r="CI301" i="53"/>
  <c r="CJ301" i="53" s="1"/>
  <c r="CI302" i="53"/>
  <c r="CJ302" i="53" s="1"/>
  <c r="CI303" i="53"/>
  <c r="CJ303" i="53" s="1"/>
  <c r="CI304" i="53"/>
  <c r="CJ304" i="53" s="1"/>
  <c r="CI305" i="53"/>
  <c r="CJ305" i="53" s="1"/>
  <c r="CI306" i="53"/>
  <c r="CJ306" i="53" s="1"/>
  <c r="CI307" i="53"/>
  <c r="CJ307" i="53" s="1"/>
  <c r="CI308" i="53"/>
  <c r="CJ308" i="53" s="1"/>
  <c r="CI309" i="53"/>
  <c r="CJ309" i="53" s="1"/>
  <c r="CI310" i="53"/>
  <c r="CJ310" i="53" s="1"/>
  <c r="CI311" i="53"/>
  <c r="CJ311" i="53" s="1"/>
  <c r="CI312" i="53"/>
  <c r="CJ312" i="53" s="1"/>
  <c r="CI313" i="53"/>
  <c r="CJ313" i="53" s="1"/>
  <c r="CI314" i="53"/>
  <c r="CJ314" i="53" s="1"/>
  <c r="CI315" i="53"/>
  <c r="CJ315" i="53" s="1"/>
  <c r="CI316" i="53"/>
  <c r="CJ316" i="53" s="1"/>
  <c r="CI317" i="53"/>
  <c r="CJ317" i="53" s="1"/>
  <c r="CI318" i="53"/>
  <c r="CJ318" i="53" s="1"/>
  <c r="CI319" i="53"/>
  <c r="CJ319" i="53" s="1"/>
  <c r="CI320" i="53"/>
  <c r="CJ320" i="53" s="1"/>
  <c r="CI321" i="53"/>
  <c r="CJ321" i="53" s="1"/>
  <c r="CI322" i="53"/>
  <c r="CJ322" i="53" s="1"/>
  <c r="CI323" i="53"/>
  <c r="CJ323" i="53" s="1"/>
  <c r="CI324" i="53"/>
  <c r="CJ324" i="53" s="1"/>
  <c r="CI325" i="53"/>
  <c r="CJ325" i="53" s="1"/>
  <c r="CI326" i="53"/>
  <c r="CJ326" i="53" s="1"/>
  <c r="CI327" i="53"/>
  <c r="CJ327" i="53" s="1"/>
  <c r="CI328" i="53"/>
  <c r="CJ328" i="53" s="1"/>
  <c r="CI329" i="53"/>
  <c r="CJ329" i="53" s="1"/>
  <c r="CI330" i="53"/>
  <c r="CJ330" i="53" s="1"/>
  <c r="CI331" i="53"/>
  <c r="CJ331" i="53" s="1"/>
  <c r="CI332" i="53"/>
  <c r="CJ332" i="53" s="1"/>
  <c r="CI333" i="53"/>
  <c r="CJ333" i="53" s="1"/>
  <c r="CI334" i="53"/>
  <c r="CJ334" i="53" s="1"/>
  <c r="CI335" i="53"/>
  <c r="CJ335" i="53" s="1"/>
  <c r="CI336" i="53"/>
  <c r="CJ336" i="53" s="1"/>
  <c r="CI337" i="53"/>
  <c r="CJ337" i="53" s="1"/>
  <c r="CI338" i="53"/>
  <c r="CJ338" i="53" s="1"/>
  <c r="CI339" i="53"/>
  <c r="CJ339" i="53" s="1"/>
  <c r="CI340" i="53"/>
  <c r="CJ340" i="53" s="1"/>
  <c r="CI341" i="53"/>
  <c r="CJ341" i="53" s="1"/>
  <c r="CI342" i="53"/>
  <c r="CJ342" i="53" s="1"/>
  <c r="CI343" i="53"/>
  <c r="CJ343" i="53" s="1"/>
  <c r="CI344" i="53"/>
  <c r="CJ344" i="53" s="1"/>
  <c r="CI345" i="53"/>
  <c r="CJ345" i="53" s="1"/>
  <c r="CI346" i="53"/>
  <c r="CJ346" i="53" s="1"/>
  <c r="CI347" i="53"/>
  <c r="CJ347" i="53" s="1"/>
  <c r="CI348" i="53"/>
  <c r="CJ348" i="53" s="1"/>
  <c r="CI349" i="53"/>
  <c r="CJ349" i="53" s="1"/>
  <c r="CI350" i="53"/>
  <c r="CJ350" i="53" s="1"/>
  <c r="CI351" i="53"/>
  <c r="CJ351" i="53" s="1"/>
  <c r="CI352" i="53"/>
  <c r="CJ352" i="53" s="1"/>
  <c r="CI353" i="53"/>
  <c r="CJ353" i="53" s="1"/>
  <c r="CI354" i="53"/>
  <c r="CJ354" i="53" s="1"/>
  <c r="CI355" i="53"/>
  <c r="CJ355" i="53" s="1"/>
  <c r="CI356" i="53"/>
  <c r="CJ356" i="53" s="1"/>
  <c r="CI357" i="53"/>
  <c r="CJ357" i="53" s="1"/>
  <c r="CI358" i="53"/>
  <c r="CJ358" i="53" s="1"/>
  <c r="CI359" i="53"/>
  <c r="CJ359" i="53" s="1"/>
  <c r="CI360" i="53"/>
  <c r="CJ360" i="53" s="1"/>
  <c r="CI361" i="53"/>
  <c r="CJ361" i="53" s="1"/>
  <c r="CI362" i="53"/>
  <c r="CJ362" i="53" s="1"/>
  <c r="CI363" i="53"/>
  <c r="CJ363" i="53" s="1"/>
  <c r="CI364" i="53"/>
  <c r="CJ364" i="53" s="1"/>
  <c r="CI365" i="53"/>
  <c r="CJ365" i="53" s="1"/>
  <c r="CI366" i="53"/>
  <c r="CJ366" i="53" s="1"/>
  <c r="CI367" i="53"/>
  <c r="CJ367" i="53" s="1"/>
  <c r="CI368" i="53"/>
  <c r="CJ368" i="53" s="1"/>
  <c r="CI369" i="53"/>
  <c r="CJ369" i="53" s="1"/>
  <c r="CI370" i="53"/>
  <c r="CJ370" i="53" s="1"/>
  <c r="CI371" i="53"/>
  <c r="CJ371" i="53" s="1"/>
  <c r="CI372" i="53"/>
  <c r="CJ372" i="53" s="1"/>
  <c r="CI373" i="53"/>
  <c r="CJ373" i="53" s="1"/>
  <c r="CI374" i="53"/>
  <c r="CJ374" i="53" s="1"/>
  <c r="CI375" i="53"/>
  <c r="CJ375" i="53" s="1"/>
  <c r="CI376" i="53"/>
  <c r="CJ376" i="53" s="1"/>
  <c r="CI377" i="53"/>
  <c r="CJ377" i="53" s="1"/>
  <c r="CI378" i="53"/>
  <c r="CJ378" i="53" s="1"/>
  <c r="CI379" i="53"/>
  <c r="CJ379" i="53" s="1"/>
  <c r="CI380" i="53"/>
  <c r="CJ380" i="53" s="1"/>
  <c r="CI381" i="53"/>
  <c r="CJ381" i="53" s="1"/>
  <c r="CI382" i="53"/>
  <c r="CJ382" i="53" s="1"/>
  <c r="CI383" i="53"/>
  <c r="CJ383" i="53" s="1"/>
  <c r="CI384" i="53"/>
  <c r="CJ384" i="53" s="1"/>
  <c r="CI385" i="53"/>
  <c r="CJ385" i="53" s="1"/>
  <c r="CI386" i="53"/>
  <c r="CJ386" i="53" s="1"/>
  <c r="CI387" i="53"/>
  <c r="CJ387" i="53" s="1"/>
  <c r="CI388" i="53"/>
  <c r="CJ388" i="53" s="1"/>
  <c r="CI389" i="53"/>
  <c r="CJ389" i="53" s="1"/>
  <c r="CI390" i="53"/>
  <c r="CJ390" i="53" s="1"/>
  <c r="CI391" i="53"/>
  <c r="CJ391" i="53" s="1"/>
  <c r="CI392" i="53"/>
  <c r="CJ392" i="53" s="1"/>
  <c r="CI393" i="53"/>
  <c r="CJ393" i="53" s="1"/>
  <c r="CI394" i="53"/>
  <c r="CJ394" i="53" s="1"/>
  <c r="CI395" i="53"/>
  <c r="CJ395" i="53" s="1"/>
  <c r="CI396" i="53"/>
  <c r="CJ396" i="53" s="1"/>
  <c r="CI397" i="53"/>
  <c r="CJ397" i="53" s="1"/>
  <c r="CI398" i="53"/>
  <c r="CJ398" i="53" s="1"/>
  <c r="CI399" i="53"/>
  <c r="CJ399" i="53" s="1"/>
  <c r="CI400" i="53"/>
  <c r="CJ400" i="53" s="1"/>
  <c r="CI401" i="53"/>
  <c r="CJ401" i="53" s="1"/>
  <c r="CI402" i="53"/>
  <c r="CJ402" i="53" s="1"/>
  <c r="CI403" i="53"/>
  <c r="CJ403" i="53" s="1"/>
  <c r="CI404" i="53"/>
  <c r="CJ404" i="53" s="1"/>
  <c r="CI405" i="53"/>
  <c r="CJ405" i="53" s="1"/>
  <c r="CI406" i="53"/>
  <c r="CJ406" i="53" s="1"/>
  <c r="CI407" i="53"/>
  <c r="CJ407" i="53" s="1"/>
  <c r="CI408" i="53"/>
  <c r="CJ408" i="53" s="1"/>
  <c r="CI409" i="53"/>
  <c r="CJ409" i="53" s="1"/>
  <c r="CI410" i="53"/>
  <c r="CJ410" i="53" s="1"/>
  <c r="CI411" i="53"/>
  <c r="CJ411" i="53" s="1"/>
  <c r="CI412" i="53"/>
  <c r="CJ412" i="53" s="1"/>
  <c r="CI413" i="53"/>
  <c r="CJ413" i="53" s="1"/>
  <c r="CI414" i="53"/>
  <c r="CJ414" i="53" s="1"/>
  <c r="CI415" i="53"/>
  <c r="CJ415" i="53" s="1"/>
  <c r="CI416" i="53"/>
  <c r="CJ416" i="53" s="1"/>
  <c r="CI417" i="53"/>
  <c r="CJ417" i="53" s="1"/>
  <c r="CI418" i="53"/>
  <c r="CJ418" i="53" s="1"/>
  <c r="CI419" i="53"/>
  <c r="CJ419" i="53" s="1"/>
  <c r="CI420" i="53"/>
  <c r="CJ420" i="53" s="1"/>
  <c r="CI421" i="53"/>
  <c r="CJ421" i="53" s="1"/>
  <c r="CI422" i="53"/>
  <c r="CJ422" i="53" s="1"/>
  <c r="CI423" i="53"/>
  <c r="CJ423" i="53" s="1"/>
  <c r="CI424" i="53"/>
  <c r="CJ424" i="53" s="1"/>
  <c r="CI425" i="53"/>
  <c r="CJ425" i="53" s="1"/>
  <c r="CI426" i="53"/>
  <c r="CJ426" i="53" s="1"/>
  <c r="CI427" i="53"/>
  <c r="CJ427" i="53" s="1"/>
  <c r="CI428" i="53"/>
  <c r="CJ428" i="53" s="1"/>
  <c r="CI429" i="53"/>
  <c r="CJ429" i="53" s="1"/>
  <c r="CI430" i="53"/>
  <c r="CJ430" i="53" s="1"/>
  <c r="CI431" i="53"/>
  <c r="CJ431" i="53" s="1"/>
  <c r="CI432" i="53"/>
  <c r="CJ432" i="53" s="1"/>
  <c r="CI433" i="53"/>
  <c r="CJ433" i="53" s="1"/>
  <c r="CI434" i="53"/>
  <c r="CJ434" i="53" s="1"/>
  <c r="CI435" i="53"/>
  <c r="CJ435" i="53" s="1"/>
  <c r="CI436" i="53"/>
  <c r="CJ436" i="53" s="1"/>
  <c r="CI437" i="53"/>
  <c r="CJ437" i="53" s="1"/>
  <c r="CI438" i="53"/>
  <c r="CJ438" i="53" s="1"/>
  <c r="CI439" i="53"/>
  <c r="CJ439" i="53" s="1"/>
  <c r="CI440" i="53"/>
  <c r="CJ440" i="53" s="1"/>
  <c r="CI441" i="53"/>
  <c r="CJ441" i="53" s="1"/>
  <c r="CI442" i="53"/>
  <c r="CJ442" i="53" s="1"/>
  <c r="CI443" i="53"/>
  <c r="CJ443" i="53" s="1"/>
  <c r="CI444" i="53"/>
  <c r="CJ444" i="53" s="1"/>
  <c r="CI445" i="53"/>
  <c r="CJ445" i="53" s="1"/>
  <c r="CI446" i="53"/>
  <c r="CJ446" i="53" s="1"/>
  <c r="CI447" i="53"/>
  <c r="CJ447" i="53" s="1"/>
  <c r="CI448" i="53"/>
  <c r="CJ448" i="53" s="1"/>
  <c r="CI449" i="53"/>
  <c r="CJ449" i="53" s="1"/>
  <c r="CI450" i="53"/>
  <c r="CJ450" i="53" s="1"/>
  <c r="CI451" i="53"/>
  <c r="CJ451" i="53" s="1"/>
  <c r="CI452" i="53"/>
  <c r="CJ452" i="53" s="1"/>
  <c r="CI453" i="53"/>
  <c r="CJ453" i="53" s="1"/>
  <c r="CI454" i="53"/>
  <c r="CJ454" i="53" s="1"/>
  <c r="CI455" i="53"/>
  <c r="CJ455" i="53" s="1"/>
  <c r="CI456" i="53"/>
  <c r="CJ456" i="53" s="1"/>
  <c r="CI457" i="53"/>
  <c r="CJ457" i="53" s="1"/>
  <c r="CI458" i="53"/>
  <c r="CJ458" i="53" s="1"/>
  <c r="CI459" i="53"/>
  <c r="CJ459" i="53" s="1"/>
  <c r="CI460" i="53"/>
  <c r="CJ460" i="53" s="1"/>
  <c r="CI461" i="53"/>
  <c r="CJ461" i="53" s="1"/>
  <c r="CI462" i="53"/>
  <c r="CJ462" i="53" s="1"/>
  <c r="CI463" i="53"/>
  <c r="CJ463" i="53" s="1"/>
  <c r="CI464" i="53"/>
  <c r="CJ464" i="53" s="1"/>
  <c r="CI465" i="53"/>
  <c r="CJ465" i="53" s="1"/>
  <c r="CI466" i="53"/>
  <c r="CJ466" i="53" s="1"/>
  <c r="CI467" i="53"/>
  <c r="CJ467" i="53" s="1"/>
  <c r="CI468" i="53"/>
  <c r="CJ468" i="53" s="1"/>
  <c r="CI469" i="53"/>
  <c r="CJ469" i="53" s="1"/>
  <c r="CI470" i="53"/>
  <c r="CJ470" i="53" s="1"/>
  <c r="CI471" i="53"/>
  <c r="CJ471" i="53" s="1"/>
  <c r="CI472" i="53"/>
  <c r="CJ472" i="53" s="1"/>
  <c r="CI473" i="53"/>
  <c r="CJ473" i="53" s="1"/>
  <c r="CI474" i="53"/>
  <c r="CJ474" i="53" s="1"/>
  <c r="CI475" i="53"/>
  <c r="CJ475" i="53" s="1"/>
  <c r="CI476" i="53"/>
  <c r="CJ476" i="53" s="1"/>
  <c r="CI477" i="53"/>
  <c r="CJ477" i="53" s="1"/>
  <c r="CI478" i="53"/>
  <c r="CJ478" i="53" s="1"/>
  <c r="CI479" i="53"/>
  <c r="CJ479" i="53" s="1"/>
  <c r="CI480" i="53"/>
  <c r="CJ480" i="53" s="1"/>
  <c r="CI481" i="53"/>
  <c r="CJ481" i="53" s="1"/>
  <c r="CI482" i="53"/>
  <c r="CJ482" i="53" s="1"/>
  <c r="CI483" i="53"/>
  <c r="CJ483" i="53" s="1"/>
  <c r="CI484" i="53"/>
  <c r="CJ484" i="53" s="1"/>
  <c r="CI485" i="53"/>
  <c r="CJ485" i="53" s="1"/>
  <c r="CI486" i="53"/>
  <c r="CJ486" i="53" s="1"/>
  <c r="CI487" i="53"/>
  <c r="CJ487" i="53" s="1"/>
  <c r="CI488" i="53"/>
  <c r="CJ488" i="53" s="1"/>
  <c r="CI489" i="53"/>
  <c r="CJ489" i="53" s="1"/>
  <c r="CI490" i="53"/>
  <c r="CJ490" i="53" s="1"/>
  <c r="CI491" i="53"/>
  <c r="CJ491" i="53" s="1"/>
  <c r="CI492" i="53"/>
  <c r="CJ492" i="53" s="1"/>
  <c r="CI493" i="53"/>
  <c r="CJ493" i="53" s="1"/>
  <c r="CI494" i="53"/>
  <c r="CJ494" i="53" s="1"/>
  <c r="CI495" i="53"/>
  <c r="CJ495" i="53" s="1"/>
  <c r="CI496" i="53"/>
  <c r="CJ496" i="53" s="1"/>
  <c r="CI497" i="53"/>
  <c r="CJ497" i="53" s="1"/>
  <c r="CI498" i="53"/>
  <c r="CJ498" i="53" s="1"/>
  <c r="CI499" i="53"/>
  <c r="CJ499" i="53" s="1"/>
  <c r="CI500" i="53"/>
  <c r="CJ500" i="53" s="1"/>
  <c r="CI501" i="53"/>
  <c r="CJ501" i="53" s="1"/>
  <c r="CI502" i="53"/>
  <c r="CJ502" i="53" s="1"/>
  <c r="CI503" i="53"/>
  <c r="CJ503" i="53" s="1"/>
  <c r="CI504" i="53"/>
  <c r="CJ504" i="53" s="1"/>
  <c r="CI505" i="53"/>
  <c r="CJ505" i="53" s="1"/>
  <c r="CI506" i="53"/>
  <c r="CJ506" i="53" s="1"/>
  <c r="CI507" i="53"/>
  <c r="CJ507" i="53" s="1"/>
  <c r="CI508" i="53"/>
  <c r="CJ508" i="53" s="1"/>
  <c r="CI509" i="53"/>
  <c r="CJ509" i="53" s="1"/>
  <c r="CI510" i="53"/>
  <c r="CJ510" i="53" s="1"/>
  <c r="CI511" i="53"/>
  <c r="CJ511" i="53" s="1"/>
  <c r="CI512" i="53"/>
  <c r="CJ512" i="53" s="1"/>
  <c r="CI513" i="53"/>
  <c r="CJ513" i="53" s="1"/>
  <c r="CI514" i="53"/>
  <c r="CJ514" i="53" s="1"/>
  <c r="CI515" i="53"/>
  <c r="CJ515" i="53" s="1"/>
  <c r="CI516" i="53"/>
  <c r="CJ516" i="53" s="1"/>
  <c r="CI517" i="53"/>
  <c r="CJ517" i="53" s="1"/>
  <c r="CI518" i="53"/>
  <c r="CJ518" i="53" s="1"/>
  <c r="CI519" i="53"/>
  <c r="CJ519" i="53" s="1"/>
  <c r="CI520" i="53"/>
  <c r="CJ520" i="53" s="1"/>
  <c r="CI521" i="53"/>
  <c r="CJ521" i="53" s="1"/>
  <c r="CI522" i="53"/>
  <c r="CJ522" i="53" s="1"/>
  <c r="CI523" i="53"/>
  <c r="CJ523" i="53" s="1"/>
  <c r="CI524" i="53"/>
  <c r="CJ524" i="53" s="1"/>
  <c r="CI525" i="53"/>
  <c r="CJ525" i="53" s="1"/>
  <c r="CI526" i="53"/>
  <c r="CJ526" i="53" s="1"/>
  <c r="CI527" i="53"/>
  <c r="CJ527" i="53" s="1"/>
  <c r="CI528" i="53"/>
  <c r="CJ528" i="53" s="1"/>
  <c r="CI529" i="53"/>
  <c r="CJ529" i="53" s="1"/>
  <c r="CI530" i="53"/>
  <c r="CJ530" i="53" s="1"/>
  <c r="CI531" i="53"/>
  <c r="CJ531" i="53" s="1"/>
  <c r="CI532" i="53"/>
  <c r="CJ532" i="53" s="1"/>
  <c r="CI533" i="53"/>
  <c r="CJ533" i="53" s="1"/>
  <c r="CI534" i="53"/>
  <c r="CJ534" i="53" s="1"/>
  <c r="CI535" i="53"/>
  <c r="CJ535" i="53" s="1"/>
  <c r="CI536" i="53"/>
  <c r="CJ536" i="53" s="1"/>
  <c r="CI537" i="53"/>
  <c r="CJ537" i="53" s="1"/>
  <c r="CI538" i="53"/>
  <c r="CJ538" i="53" s="1"/>
  <c r="CI539" i="53"/>
  <c r="CJ539" i="53" s="1"/>
  <c r="CI540" i="53"/>
  <c r="CJ540" i="53" s="1"/>
  <c r="CI541" i="53"/>
  <c r="CJ541" i="53" s="1"/>
  <c r="CI542" i="53"/>
  <c r="CJ542" i="53" s="1"/>
  <c r="CI543" i="53"/>
  <c r="CJ543" i="53" s="1"/>
  <c r="CI544" i="53"/>
  <c r="CJ544" i="53" s="1"/>
  <c r="CI545" i="53"/>
  <c r="CJ545" i="53" s="1"/>
  <c r="CI546" i="53"/>
  <c r="CJ546" i="53" s="1"/>
  <c r="CI547" i="53"/>
  <c r="CJ547" i="53" s="1"/>
  <c r="CI548" i="53"/>
  <c r="CJ548" i="53" s="1"/>
  <c r="CI549" i="53"/>
  <c r="CJ549" i="53" s="1"/>
  <c r="CI550" i="53"/>
  <c r="CJ550" i="53" s="1"/>
  <c r="CI551" i="53"/>
  <c r="CJ551" i="53" s="1"/>
  <c r="CI552" i="53"/>
  <c r="CJ552" i="53" s="1"/>
  <c r="CI553" i="53"/>
  <c r="CJ553" i="53" s="1"/>
  <c r="CI554" i="53"/>
  <c r="CJ554" i="53" s="1"/>
  <c r="CI555" i="53"/>
  <c r="CJ555" i="53" s="1"/>
  <c r="CI556" i="53"/>
  <c r="CJ556" i="53" s="1"/>
  <c r="CI557" i="53"/>
  <c r="CJ557" i="53" s="1"/>
  <c r="CI558" i="53"/>
  <c r="CJ558" i="53" s="1"/>
  <c r="CI559" i="53"/>
  <c r="CJ559" i="53" s="1"/>
  <c r="CI560" i="53"/>
  <c r="CJ560" i="53" s="1"/>
  <c r="CI561" i="53"/>
  <c r="CJ561" i="53" s="1"/>
  <c r="CI562" i="53"/>
  <c r="CJ562" i="53" s="1"/>
  <c r="CI563" i="53"/>
  <c r="CJ563" i="53" s="1"/>
  <c r="CI564" i="53"/>
  <c r="CJ564" i="53" s="1"/>
  <c r="CI565" i="53"/>
  <c r="CJ565" i="53" s="1"/>
  <c r="CI566" i="53"/>
  <c r="CJ566" i="53" s="1"/>
  <c r="CI567" i="53"/>
  <c r="CJ567" i="53" s="1"/>
  <c r="CI568" i="53"/>
  <c r="CJ568" i="53" s="1"/>
  <c r="CI569" i="53"/>
  <c r="CJ569" i="53" s="1"/>
  <c r="CI570" i="53"/>
  <c r="CJ570" i="53" s="1"/>
  <c r="CI571" i="53"/>
  <c r="CJ571" i="53" s="1"/>
  <c r="CI572" i="53"/>
  <c r="CJ572" i="53" s="1"/>
  <c r="CI573" i="53"/>
  <c r="CJ573" i="53" s="1"/>
  <c r="CI574" i="53"/>
  <c r="CJ574" i="53" s="1"/>
  <c r="CI575" i="53"/>
  <c r="CJ575" i="53" s="1"/>
  <c r="CI576" i="53"/>
  <c r="CJ576" i="53" s="1"/>
  <c r="CI577" i="53"/>
  <c r="CJ577" i="53" s="1"/>
  <c r="CI578" i="53"/>
  <c r="CJ578" i="53" s="1"/>
  <c r="CI579" i="53"/>
  <c r="CJ579" i="53" s="1"/>
  <c r="CI580" i="53"/>
  <c r="CJ580" i="53" s="1"/>
  <c r="CI581" i="53"/>
  <c r="CJ581" i="53" s="1"/>
  <c r="CI582" i="53"/>
  <c r="CJ582" i="53" s="1"/>
  <c r="CI583" i="53"/>
  <c r="CJ583" i="53" s="1"/>
  <c r="CI584" i="53"/>
  <c r="CJ584" i="53" s="1"/>
  <c r="CI585" i="53"/>
  <c r="CJ585" i="53" s="1"/>
  <c r="CI586" i="53"/>
  <c r="CJ586" i="53" s="1"/>
  <c r="CI587" i="53"/>
  <c r="CJ587" i="53" s="1"/>
  <c r="CI588" i="53"/>
  <c r="CJ588" i="53" s="1"/>
  <c r="CI589" i="53"/>
  <c r="CJ589" i="53" s="1"/>
  <c r="CI590" i="53"/>
  <c r="CJ590" i="53" s="1"/>
  <c r="CI591" i="53"/>
  <c r="CJ591" i="53" s="1"/>
  <c r="CI592" i="53"/>
  <c r="CJ592" i="53" s="1"/>
  <c r="CI593" i="53"/>
  <c r="CJ593" i="53" s="1"/>
  <c r="CI594" i="53"/>
  <c r="CJ594" i="53" s="1"/>
  <c r="CI595" i="53"/>
  <c r="CJ595" i="53" s="1"/>
  <c r="CI596" i="53"/>
  <c r="CJ596" i="53" s="1"/>
  <c r="CI597" i="53"/>
  <c r="CJ597" i="53" s="1"/>
  <c r="CI598" i="53"/>
  <c r="CJ598" i="53" s="1"/>
  <c r="CI599" i="53"/>
  <c r="CJ599" i="53" s="1"/>
  <c r="CI600" i="53"/>
  <c r="CJ600" i="53" s="1"/>
  <c r="CI601" i="53"/>
  <c r="CJ601" i="53" s="1"/>
  <c r="CI602" i="53"/>
  <c r="CJ602" i="53" s="1"/>
  <c r="CI603" i="53"/>
  <c r="CJ603" i="53" s="1"/>
  <c r="CI604" i="53"/>
  <c r="CJ604" i="53" s="1"/>
  <c r="CI605" i="53"/>
  <c r="CJ605" i="53" s="1"/>
  <c r="CI606" i="53"/>
  <c r="CJ606" i="53" s="1"/>
  <c r="CI607" i="53"/>
  <c r="CJ607" i="53" s="1"/>
  <c r="CI608" i="53"/>
  <c r="CJ608" i="53" s="1"/>
  <c r="CI609" i="53"/>
  <c r="CJ609" i="53" s="1"/>
  <c r="CI610" i="53"/>
  <c r="CJ610" i="53" s="1"/>
  <c r="CI611" i="53"/>
  <c r="CJ611" i="53" s="1"/>
  <c r="CI612" i="53"/>
  <c r="CJ612" i="53" s="1"/>
  <c r="CI613" i="53"/>
  <c r="CJ613" i="53" s="1"/>
  <c r="CI614" i="53"/>
  <c r="CJ614" i="53" s="1"/>
  <c r="CI615" i="53"/>
  <c r="CJ615" i="53" s="1"/>
  <c r="CI616" i="53"/>
  <c r="CJ616" i="53" s="1"/>
  <c r="CI617" i="53"/>
  <c r="CJ617" i="53" s="1"/>
  <c r="CI618" i="53"/>
  <c r="CJ618" i="53" s="1"/>
  <c r="CI619" i="53"/>
  <c r="CJ619" i="53" s="1"/>
  <c r="CI620" i="53"/>
  <c r="CJ620" i="53" s="1"/>
  <c r="CI621" i="53"/>
  <c r="CJ621" i="53" s="1"/>
  <c r="CI622" i="53"/>
  <c r="CJ622" i="53" s="1"/>
  <c r="CI623" i="53"/>
  <c r="CJ623" i="53" s="1"/>
  <c r="CI624" i="53"/>
  <c r="CJ624" i="53" s="1"/>
  <c r="CI625" i="53"/>
  <c r="CJ625" i="53" s="1"/>
  <c r="CI626" i="53"/>
  <c r="CJ626" i="53" s="1"/>
  <c r="CI627" i="53"/>
  <c r="CJ627" i="53" s="1"/>
  <c r="CI628" i="53"/>
  <c r="CJ628" i="53" s="1"/>
  <c r="CI629" i="53"/>
  <c r="CJ629" i="53" s="1"/>
  <c r="CI630" i="53"/>
  <c r="CJ630" i="53" s="1"/>
  <c r="CI631" i="53"/>
  <c r="CJ631" i="53" s="1"/>
  <c r="CI632" i="53"/>
  <c r="CJ632" i="53" s="1"/>
  <c r="CI633" i="53"/>
  <c r="CJ633" i="53" s="1"/>
  <c r="CI634" i="53"/>
  <c r="CJ634" i="53" s="1"/>
  <c r="CI635" i="53"/>
  <c r="CJ635" i="53" s="1"/>
  <c r="CI636" i="53"/>
  <c r="CJ636" i="53" s="1"/>
  <c r="CI637" i="53"/>
  <c r="CJ637" i="53" s="1"/>
  <c r="CI638" i="53"/>
  <c r="CJ638" i="53" s="1"/>
  <c r="CI639" i="53"/>
  <c r="CJ639" i="53" s="1"/>
  <c r="CI640" i="53"/>
  <c r="CJ640" i="53" s="1"/>
  <c r="CI641" i="53"/>
  <c r="CJ641" i="53" s="1"/>
  <c r="CI642" i="53"/>
  <c r="CJ642" i="53" s="1"/>
  <c r="CI643" i="53"/>
  <c r="CJ643" i="53" s="1"/>
  <c r="CI644" i="53"/>
  <c r="CJ644" i="53" s="1"/>
  <c r="CI645" i="53"/>
  <c r="CJ645" i="53" s="1"/>
  <c r="CI646" i="53"/>
  <c r="CJ646" i="53" s="1"/>
  <c r="CI647" i="53"/>
  <c r="CJ647" i="53" s="1"/>
  <c r="CI648" i="53"/>
  <c r="CJ648" i="53" s="1"/>
  <c r="CI649" i="53"/>
  <c r="CJ649" i="53" s="1"/>
  <c r="CI650" i="53"/>
  <c r="CJ650" i="53" s="1"/>
  <c r="CI651" i="53"/>
  <c r="CJ651" i="53" s="1"/>
  <c r="CI652" i="53"/>
  <c r="CJ652" i="53" s="1"/>
  <c r="CI653" i="53"/>
  <c r="CJ653" i="53" s="1"/>
  <c r="CI654" i="53"/>
  <c r="CJ654" i="53" s="1"/>
  <c r="CI655" i="53"/>
  <c r="CJ655" i="53" s="1"/>
  <c r="CI656" i="53"/>
  <c r="CJ656" i="53" s="1"/>
  <c r="CI657" i="53"/>
  <c r="CJ657" i="53" s="1"/>
  <c r="CI658" i="53"/>
  <c r="CJ658" i="53" s="1"/>
  <c r="CI659" i="53"/>
  <c r="CJ659" i="53" s="1"/>
  <c r="CI660" i="53"/>
  <c r="CJ660" i="53" s="1"/>
  <c r="CI661" i="53"/>
  <c r="CJ661" i="53" s="1"/>
  <c r="CI662" i="53"/>
  <c r="CJ662" i="53" s="1"/>
  <c r="CI663" i="53"/>
  <c r="CJ663" i="53" s="1"/>
  <c r="CI664" i="53"/>
  <c r="CJ664" i="53" s="1"/>
  <c r="CI665" i="53"/>
  <c r="CJ665" i="53" s="1"/>
  <c r="CI666" i="53"/>
  <c r="CJ666" i="53" s="1"/>
  <c r="CI667" i="53"/>
  <c r="CJ667" i="53" s="1"/>
  <c r="CI668" i="53"/>
  <c r="CJ668" i="53" s="1"/>
  <c r="CI669" i="53"/>
  <c r="CJ669" i="53" s="1"/>
  <c r="CI670" i="53"/>
  <c r="CJ670" i="53" s="1"/>
  <c r="CI671" i="53"/>
  <c r="CJ671" i="53" s="1"/>
  <c r="CI672" i="53"/>
  <c r="CJ672" i="53" s="1"/>
  <c r="CI673" i="53"/>
  <c r="CJ673" i="53" s="1"/>
  <c r="CI674" i="53"/>
  <c r="CJ674" i="53" s="1"/>
  <c r="CI675" i="53"/>
  <c r="CJ675" i="53" s="1"/>
  <c r="CI676" i="53"/>
  <c r="CJ676" i="53" s="1"/>
  <c r="CI677" i="53"/>
  <c r="CJ677" i="53" s="1"/>
  <c r="CI678" i="53"/>
  <c r="CJ678" i="53" s="1"/>
  <c r="CI679" i="53"/>
  <c r="CJ679" i="53" s="1"/>
  <c r="CI680" i="53"/>
  <c r="CJ680" i="53" s="1"/>
  <c r="CI681" i="53"/>
  <c r="CJ681" i="53" s="1"/>
  <c r="CI682" i="53"/>
  <c r="CJ682" i="53" s="1"/>
  <c r="CI683" i="53"/>
  <c r="CJ683" i="53" s="1"/>
  <c r="CI684" i="53"/>
  <c r="CJ684" i="53" s="1"/>
  <c r="CI685" i="53"/>
  <c r="CJ685" i="53" s="1"/>
  <c r="CI686" i="53"/>
  <c r="CJ686" i="53" s="1"/>
  <c r="CI687" i="53"/>
  <c r="CJ687" i="53" s="1"/>
  <c r="CI688" i="53"/>
  <c r="CJ688" i="53" s="1"/>
  <c r="CI689" i="53"/>
  <c r="CJ689" i="53" s="1"/>
  <c r="CI690" i="53"/>
  <c r="CJ690" i="53" s="1"/>
  <c r="CI691" i="53"/>
  <c r="CJ691" i="53" s="1"/>
  <c r="CI692" i="53"/>
  <c r="CJ692" i="53" s="1"/>
  <c r="CI693" i="53"/>
  <c r="CJ693" i="53" s="1"/>
  <c r="CI694" i="53"/>
  <c r="CJ694" i="53" s="1"/>
  <c r="CI695" i="53"/>
  <c r="CJ695" i="53" s="1"/>
  <c r="CI696" i="53"/>
  <c r="CJ696" i="53" s="1"/>
  <c r="CI697" i="53"/>
  <c r="CJ697" i="53" s="1"/>
  <c r="CI698" i="53"/>
  <c r="CJ698" i="53" s="1"/>
  <c r="CI699" i="53"/>
  <c r="CJ699" i="53" s="1"/>
  <c r="CI700" i="53"/>
  <c r="CJ700" i="53" s="1"/>
  <c r="CI701" i="53"/>
  <c r="CJ701" i="53" s="1"/>
  <c r="CI702" i="53"/>
  <c r="CJ702" i="53" s="1"/>
  <c r="CI703" i="53"/>
  <c r="CJ703" i="53" s="1"/>
  <c r="CI704" i="53"/>
  <c r="CJ704" i="53" s="1"/>
  <c r="CI705" i="53"/>
  <c r="CJ705" i="53" s="1"/>
  <c r="CI706" i="53"/>
  <c r="CJ706" i="53" s="1"/>
  <c r="CI707" i="53"/>
  <c r="CJ707" i="53" s="1"/>
  <c r="CI708" i="53"/>
  <c r="CJ708" i="53" s="1"/>
  <c r="CI709" i="53"/>
  <c r="CJ709" i="53" s="1"/>
  <c r="CI710" i="53"/>
  <c r="CJ710" i="53" s="1"/>
  <c r="CI711" i="53"/>
  <c r="CJ711" i="53" s="1"/>
  <c r="CI712" i="53"/>
  <c r="CJ712" i="53" s="1"/>
  <c r="CI713" i="53"/>
  <c r="CJ713" i="53" s="1"/>
  <c r="CI714" i="53"/>
  <c r="CJ714" i="53" s="1"/>
  <c r="CI715" i="53"/>
  <c r="CJ715" i="53" s="1"/>
  <c r="CI716" i="53"/>
  <c r="CJ716" i="53" s="1"/>
  <c r="CI717" i="53"/>
  <c r="CJ717" i="53" s="1"/>
  <c r="CI718" i="53"/>
  <c r="CJ718" i="53" s="1"/>
  <c r="CI719" i="53"/>
  <c r="CJ719" i="53" s="1"/>
  <c r="CI720" i="53"/>
  <c r="CJ720" i="53" s="1"/>
  <c r="CI721" i="53"/>
  <c r="CJ721" i="53" s="1"/>
  <c r="CI722" i="53"/>
  <c r="CJ722" i="53" s="1"/>
  <c r="CI723" i="53"/>
  <c r="CJ723" i="53" s="1"/>
  <c r="CI724" i="53"/>
  <c r="CJ724" i="53" s="1"/>
  <c r="CI725" i="53"/>
  <c r="CJ725" i="53" s="1"/>
  <c r="CI726" i="53"/>
  <c r="CJ726" i="53" s="1"/>
  <c r="CI727" i="53"/>
  <c r="CJ727" i="53" s="1"/>
  <c r="CI728" i="53"/>
  <c r="CJ728" i="53" s="1"/>
  <c r="CI729" i="53"/>
  <c r="CJ729" i="53" s="1"/>
  <c r="CI730" i="53"/>
  <c r="CJ730" i="53" s="1"/>
  <c r="CI731" i="53"/>
  <c r="CJ731" i="53" s="1"/>
  <c r="CI732" i="53"/>
  <c r="CJ732" i="53" s="1"/>
  <c r="CI733" i="53"/>
  <c r="CJ733" i="53" s="1"/>
  <c r="CI734" i="53"/>
  <c r="CJ734" i="53" s="1"/>
  <c r="CI735" i="53"/>
  <c r="CJ735" i="53" s="1"/>
  <c r="CI736" i="53"/>
  <c r="CJ736" i="53" s="1"/>
  <c r="CI737" i="53"/>
  <c r="CJ737" i="53" s="1"/>
  <c r="CI738" i="53"/>
  <c r="CJ738" i="53" s="1"/>
  <c r="CI739" i="53"/>
  <c r="CJ739" i="53" s="1"/>
  <c r="CI740" i="53"/>
  <c r="CJ740" i="53" s="1"/>
  <c r="CI741" i="53"/>
  <c r="CJ741" i="53" s="1"/>
  <c r="CI742" i="53"/>
  <c r="CJ742" i="53" s="1"/>
  <c r="CI743" i="53"/>
  <c r="CJ743" i="53" s="1"/>
  <c r="CI744" i="53"/>
  <c r="CJ744" i="53" s="1"/>
  <c r="CI745" i="53"/>
  <c r="CJ745" i="53" s="1"/>
  <c r="CI746" i="53"/>
  <c r="CJ746" i="53" s="1"/>
  <c r="CI747" i="53"/>
  <c r="CJ747" i="53" s="1"/>
  <c r="CI748" i="53"/>
  <c r="CJ748" i="53" s="1"/>
  <c r="CI749" i="53"/>
  <c r="CJ749" i="53" s="1"/>
  <c r="CI750" i="53"/>
  <c r="CJ750" i="53" s="1"/>
  <c r="CI751" i="53"/>
  <c r="CJ751" i="53" s="1"/>
  <c r="CI752" i="53"/>
  <c r="CJ752" i="53" s="1"/>
  <c r="CI753" i="53"/>
  <c r="CJ753" i="53" s="1"/>
  <c r="CI754" i="53"/>
  <c r="CJ754" i="53" s="1"/>
  <c r="CI755" i="53"/>
  <c r="CJ755" i="53" s="1"/>
  <c r="CI756" i="53"/>
  <c r="CJ756" i="53" s="1"/>
  <c r="CI757" i="53"/>
  <c r="CJ757" i="53" s="1"/>
  <c r="CI758" i="53"/>
  <c r="CJ758" i="53" s="1"/>
  <c r="CI759" i="53"/>
  <c r="CJ759" i="53" s="1"/>
  <c r="CI760" i="53"/>
  <c r="CJ760" i="53" s="1"/>
  <c r="CI761" i="53"/>
  <c r="CJ761" i="53" s="1"/>
  <c r="CI762" i="53"/>
  <c r="CJ762" i="53" s="1"/>
  <c r="CI763" i="53"/>
  <c r="CJ763" i="53" s="1"/>
  <c r="CI764" i="53"/>
  <c r="CJ764" i="53" s="1"/>
  <c r="CI765" i="53"/>
  <c r="CJ765" i="53" s="1"/>
  <c r="CI766" i="53"/>
  <c r="CJ766" i="53" s="1"/>
  <c r="CI767" i="53"/>
  <c r="CJ767" i="53" s="1"/>
  <c r="CI768" i="53"/>
  <c r="CJ768" i="53" s="1"/>
  <c r="CI769" i="53"/>
  <c r="CJ769" i="53" s="1"/>
  <c r="CI770" i="53"/>
  <c r="CJ770" i="53" s="1"/>
  <c r="CI771" i="53"/>
  <c r="CJ771" i="53" s="1"/>
  <c r="CI772" i="53"/>
  <c r="CJ772" i="53" s="1"/>
  <c r="CI773" i="53"/>
  <c r="CJ773" i="53" s="1"/>
  <c r="CI774" i="53"/>
  <c r="CJ774" i="53" s="1"/>
  <c r="CI775" i="53"/>
  <c r="CJ775" i="53" s="1"/>
  <c r="CI776" i="53"/>
  <c r="CJ776" i="53" s="1"/>
  <c r="CI777" i="53"/>
  <c r="CJ777" i="53" s="1"/>
  <c r="CI778" i="53"/>
  <c r="CJ778" i="53" s="1"/>
  <c r="CI779" i="53"/>
  <c r="CJ779" i="53" s="1"/>
  <c r="CI780" i="53"/>
  <c r="CJ780" i="53" s="1"/>
  <c r="CI781" i="53"/>
  <c r="CJ781" i="53" s="1"/>
  <c r="CI782" i="53"/>
  <c r="CJ782" i="53" s="1"/>
  <c r="CI783" i="53"/>
  <c r="CJ783" i="53" s="1"/>
  <c r="CI784" i="53"/>
  <c r="CJ784" i="53" s="1"/>
  <c r="CI785" i="53"/>
  <c r="CJ785" i="53" s="1"/>
  <c r="CI786" i="53"/>
  <c r="CJ786" i="53" s="1"/>
  <c r="CI787" i="53"/>
  <c r="CJ787" i="53" s="1"/>
  <c r="CI788" i="53"/>
  <c r="CJ788" i="53" s="1"/>
  <c r="CI789" i="53"/>
  <c r="CJ789" i="53" s="1"/>
  <c r="CI790" i="53"/>
  <c r="CJ790" i="53" s="1"/>
  <c r="CI791" i="53"/>
  <c r="CJ791" i="53" s="1"/>
  <c r="CI792" i="53"/>
  <c r="CJ792" i="53" s="1"/>
  <c r="CI793" i="53"/>
  <c r="CJ793" i="53" s="1"/>
  <c r="CI794" i="53"/>
  <c r="CJ794" i="53" s="1"/>
  <c r="CI795" i="53"/>
  <c r="CJ795" i="53" s="1"/>
  <c r="CI796" i="53"/>
  <c r="CJ796" i="53" s="1"/>
  <c r="CI797" i="53"/>
  <c r="CJ797" i="53" s="1"/>
  <c r="CI798" i="53"/>
  <c r="CJ798" i="53" s="1"/>
  <c r="CI799" i="53"/>
  <c r="CJ799" i="53" s="1"/>
  <c r="CI800" i="53"/>
  <c r="CJ800" i="53" s="1"/>
  <c r="CI801" i="53"/>
  <c r="CJ801" i="53" s="1"/>
  <c r="CI802" i="53"/>
  <c r="CJ802" i="53" s="1"/>
  <c r="CI803" i="53"/>
  <c r="CJ803" i="53" s="1"/>
  <c r="CI804" i="53"/>
  <c r="CJ804" i="53" s="1"/>
  <c r="CI805" i="53"/>
  <c r="CJ805" i="53" s="1"/>
  <c r="CI806" i="53"/>
  <c r="CJ806" i="53" s="1"/>
  <c r="CI807" i="53"/>
  <c r="CJ807" i="53" s="1"/>
  <c r="CI808" i="53"/>
  <c r="CJ808" i="53" s="1"/>
  <c r="CI809" i="53"/>
  <c r="CJ809" i="53" s="1"/>
  <c r="CI810" i="53"/>
  <c r="CJ810" i="53" s="1"/>
  <c r="CI811" i="53"/>
  <c r="CJ811" i="53" s="1"/>
  <c r="CI812" i="53"/>
  <c r="CJ812" i="53" s="1"/>
  <c r="CI813" i="53"/>
  <c r="CJ813" i="53" s="1"/>
  <c r="CI814" i="53"/>
  <c r="CJ814" i="53" s="1"/>
  <c r="CI815" i="53"/>
  <c r="CJ815" i="53" s="1"/>
  <c r="CI816" i="53"/>
  <c r="CJ816" i="53" s="1"/>
  <c r="CI817" i="53"/>
  <c r="CJ817" i="53" s="1"/>
  <c r="CI818" i="53"/>
  <c r="CJ818" i="53" s="1"/>
  <c r="CI819" i="53"/>
  <c r="CJ819" i="53" s="1"/>
  <c r="CI820" i="53"/>
  <c r="CJ820" i="53" s="1"/>
  <c r="CI821" i="53"/>
  <c r="CJ821" i="53" s="1"/>
  <c r="CI822" i="53"/>
  <c r="CJ822" i="53" s="1"/>
  <c r="CI823" i="53"/>
  <c r="CJ823" i="53" s="1"/>
  <c r="CI824" i="53"/>
  <c r="CJ824" i="53" s="1"/>
  <c r="CI825" i="53"/>
  <c r="CJ825" i="53" s="1"/>
  <c r="CI826" i="53"/>
  <c r="CJ826" i="53" s="1"/>
  <c r="CI827" i="53"/>
  <c r="CJ827" i="53" s="1"/>
  <c r="CI828" i="53"/>
  <c r="CJ828" i="53" s="1"/>
  <c r="CI829" i="53"/>
  <c r="CJ829" i="53" s="1"/>
  <c r="CI830" i="53"/>
  <c r="CJ830" i="53" s="1"/>
  <c r="CI831" i="53"/>
  <c r="CJ831" i="53" s="1"/>
  <c r="CI832" i="53"/>
  <c r="CJ832" i="53" s="1"/>
  <c r="CI833" i="53"/>
  <c r="CJ833" i="53" s="1"/>
  <c r="CI834" i="53"/>
  <c r="CJ834" i="53" s="1"/>
  <c r="CI835" i="53"/>
  <c r="CJ835" i="53" s="1"/>
  <c r="CI836" i="53"/>
  <c r="CJ836" i="53" s="1"/>
  <c r="CI837" i="53"/>
  <c r="CJ837" i="53" s="1"/>
  <c r="CI838" i="53"/>
  <c r="CJ838" i="53" s="1"/>
  <c r="CI839" i="53"/>
  <c r="CJ839" i="53" s="1"/>
  <c r="CI840" i="53"/>
  <c r="CJ840" i="53" s="1"/>
  <c r="CI841" i="53"/>
  <c r="CJ841" i="53" s="1"/>
  <c r="CI842" i="53"/>
  <c r="CJ842" i="53" s="1"/>
  <c r="CI843" i="53"/>
  <c r="CJ843" i="53" s="1"/>
  <c r="CI844" i="53"/>
  <c r="CJ844" i="53" s="1"/>
  <c r="CI845" i="53"/>
  <c r="CJ845" i="53" s="1"/>
  <c r="CI846" i="53"/>
  <c r="CJ846" i="53" s="1"/>
  <c r="CI847" i="53"/>
  <c r="CJ847" i="53" s="1"/>
  <c r="CI848" i="53"/>
  <c r="CJ848" i="53" s="1"/>
  <c r="CI849" i="53"/>
  <c r="CJ849" i="53" s="1"/>
  <c r="CI850" i="53"/>
  <c r="CJ850" i="53" s="1"/>
  <c r="CI851" i="53"/>
  <c r="CJ851" i="53" s="1"/>
  <c r="CI852" i="53"/>
  <c r="CJ852" i="53" s="1"/>
  <c r="CI853" i="53"/>
  <c r="CJ853" i="53" s="1"/>
  <c r="CI854" i="53"/>
  <c r="CJ854" i="53" s="1"/>
  <c r="CI855" i="53"/>
  <c r="CJ855" i="53" s="1"/>
  <c r="CI856" i="53"/>
  <c r="CJ856" i="53" s="1"/>
  <c r="CI857" i="53"/>
  <c r="CJ857" i="53" s="1"/>
  <c r="CI858" i="53"/>
  <c r="CJ858" i="53" s="1"/>
  <c r="CI859" i="53"/>
  <c r="CJ859" i="53" s="1"/>
  <c r="CI860" i="53"/>
  <c r="CJ860" i="53" s="1"/>
  <c r="CI861" i="53"/>
  <c r="CJ861" i="53" s="1"/>
  <c r="CI862" i="53"/>
  <c r="CJ862" i="53" s="1"/>
  <c r="CI863" i="53"/>
  <c r="CJ863" i="53" s="1"/>
  <c r="CI864" i="53"/>
  <c r="CJ864" i="53" s="1"/>
  <c r="CI865" i="53"/>
  <c r="CJ865" i="53" s="1"/>
  <c r="CI866" i="53"/>
  <c r="CJ866" i="53" s="1"/>
  <c r="CI867" i="53"/>
  <c r="CJ867" i="53" s="1"/>
  <c r="CI868" i="53"/>
  <c r="CJ868" i="53" s="1"/>
  <c r="CI869" i="53"/>
  <c r="CJ869" i="53" s="1"/>
  <c r="CI870" i="53"/>
  <c r="CJ870" i="53" s="1"/>
  <c r="CI871" i="53"/>
  <c r="CJ871" i="53" s="1"/>
  <c r="CI872" i="53"/>
  <c r="CJ872" i="53" s="1"/>
  <c r="CI873" i="53"/>
  <c r="CJ873" i="53" s="1"/>
  <c r="CI874" i="53"/>
  <c r="CJ874" i="53" s="1"/>
  <c r="CI875" i="53"/>
  <c r="CJ875" i="53" s="1"/>
  <c r="CI876" i="53"/>
  <c r="CJ876" i="53" s="1"/>
  <c r="CI877" i="53"/>
  <c r="CJ877" i="53" s="1"/>
  <c r="CI878" i="53"/>
  <c r="CJ878" i="53" s="1"/>
  <c r="CI879" i="53"/>
  <c r="CJ879" i="53" s="1"/>
  <c r="CI880" i="53"/>
  <c r="CJ880" i="53" s="1"/>
  <c r="CI881" i="53"/>
  <c r="CJ881" i="53" s="1"/>
  <c r="CI882" i="53"/>
  <c r="CJ882" i="53" s="1"/>
  <c r="CI883" i="53"/>
  <c r="CJ883" i="53" s="1"/>
  <c r="CI884" i="53"/>
  <c r="CJ884" i="53" s="1"/>
  <c r="CI885" i="53"/>
  <c r="CJ885" i="53" s="1"/>
  <c r="CI886" i="53"/>
  <c r="CJ886" i="53" s="1"/>
  <c r="CI887" i="53"/>
  <c r="CJ887" i="53" s="1"/>
  <c r="CI888" i="53"/>
  <c r="CJ888" i="53" s="1"/>
  <c r="CI889" i="53"/>
  <c r="CJ889" i="53" s="1"/>
  <c r="CI890" i="53"/>
  <c r="CJ890" i="53" s="1"/>
  <c r="CI891" i="53"/>
  <c r="CJ891" i="53" s="1"/>
  <c r="CI892" i="53"/>
  <c r="CJ892" i="53" s="1"/>
  <c r="CI893" i="53"/>
  <c r="CJ893" i="53" s="1"/>
  <c r="CI894" i="53"/>
  <c r="CJ894" i="53" s="1"/>
  <c r="CI895" i="53"/>
  <c r="CJ895" i="53" s="1"/>
  <c r="CI896" i="53"/>
  <c r="CJ896" i="53" s="1"/>
  <c r="CI897" i="53"/>
  <c r="CJ897" i="53" s="1"/>
  <c r="CI898" i="53"/>
  <c r="CJ898" i="53" s="1"/>
  <c r="CI899" i="53"/>
  <c r="CJ899" i="53" s="1"/>
  <c r="CI900" i="53"/>
  <c r="CJ900" i="53" s="1"/>
  <c r="CI901" i="53"/>
  <c r="CJ901" i="53" s="1"/>
  <c r="CI902" i="53"/>
  <c r="CJ902" i="53" s="1"/>
  <c r="CI903" i="53"/>
  <c r="CJ903" i="53" s="1"/>
  <c r="CI904" i="53"/>
  <c r="CJ904" i="53" s="1"/>
  <c r="CI905" i="53"/>
  <c r="CJ905" i="53" s="1"/>
  <c r="CI906" i="53"/>
  <c r="CJ906" i="53" s="1"/>
  <c r="CI907" i="53"/>
  <c r="CJ907" i="53" s="1"/>
  <c r="CI908" i="53"/>
  <c r="CJ908" i="53" s="1"/>
  <c r="CI909" i="53"/>
  <c r="CJ909" i="53" s="1"/>
  <c r="CI910" i="53"/>
  <c r="CJ910" i="53" s="1"/>
  <c r="CI911" i="53"/>
  <c r="CJ911" i="53" s="1"/>
  <c r="CI912" i="53"/>
  <c r="CJ912" i="53" s="1"/>
  <c r="CI913" i="53"/>
  <c r="CJ913" i="53" s="1"/>
  <c r="CI914" i="53"/>
  <c r="CJ914" i="53" s="1"/>
  <c r="CI915" i="53"/>
  <c r="CJ915" i="53" s="1"/>
  <c r="CI916" i="53"/>
  <c r="CJ916" i="53" s="1"/>
  <c r="CI917" i="53"/>
  <c r="CJ917" i="53" s="1"/>
  <c r="CI918" i="53"/>
  <c r="CJ918" i="53" s="1"/>
  <c r="CI919" i="53"/>
  <c r="CJ919" i="53" s="1"/>
  <c r="CI920" i="53"/>
  <c r="CJ920" i="53" s="1"/>
  <c r="CI921" i="53"/>
  <c r="CJ921" i="53" s="1"/>
  <c r="CI922" i="53"/>
  <c r="CJ922" i="53" s="1"/>
  <c r="CI923" i="53"/>
  <c r="CJ923" i="53" s="1"/>
  <c r="CI924" i="53"/>
  <c r="CJ924" i="53" s="1"/>
  <c r="CI925" i="53"/>
  <c r="CJ925" i="53" s="1"/>
  <c r="CI926" i="53"/>
  <c r="CJ926" i="53" s="1"/>
  <c r="CI927" i="53"/>
  <c r="CJ927" i="53" s="1"/>
  <c r="CI928" i="53"/>
  <c r="CJ928" i="53" s="1"/>
  <c r="CI929" i="53"/>
  <c r="CJ929" i="53" s="1"/>
  <c r="CI930" i="53"/>
  <c r="CJ930" i="53" s="1"/>
  <c r="CI931" i="53"/>
  <c r="CJ931" i="53" s="1"/>
  <c r="CI932" i="53"/>
  <c r="CJ932" i="53" s="1"/>
  <c r="CI933" i="53"/>
  <c r="CJ933" i="53" s="1"/>
  <c r="CI934" i="53"/>
  <c r="CJ934" i="53" s="1"/>
  <c r="CI935" i="53"/>
  <c r="CJ935" i="53" s="1"/>
  <c r="CI936" i="53"/>
  <c r="CJ936" i="53" s="1"/>
  <c r="CI937" i="53"/>
  <c r="CJ937" i="53" s="1"/>
  <c r="CI938" i="53"/>
  <c r="CJ938" i="53" s="1"/>
  <c r="CI939" i="53"/>
  <c r="CJ939" i="53" s="1"/>
  <c r="CI940" i="53"/>
  <c r="CJ940" i="53" s="1"/>
  <c r="CI941" i="53"/>
  <c r="CJ941" i="53" s="1"/>
  <c r="CI942" i="53"/>
  <c r="CJ942" i="53" s="1"/>
  <c r="CI943" i="53"/>
  <c r="CJ943" i="53" s="1"/>
  <c r="CI944" i="53"/>
  <c r="CJ944" i="53" s="1"/>
  <c r="CI945" i="53"/>
  <c r="CJ945" i="53" s="1"/>
  <c r="CI946" i="53"/>
  <c r="CJ946" i="53" s="1"/>
  <c r="CI947" i="53"/>
  <c r="CJ947" i="53" s="1"/>
  <c r="CI948" i="53"/>
  <c r="CJ948" i="53" s="1"/>
  <c r="CI949" i="53"/>
  <c r="CJ949" i="53" s="1"/>
  <c r="CI950" i="53"/>
  <c r="CJ950" i="53" s="1"/>
  <c r="CI951" i="53"/>
  <c r="CJ951" i="53" s="1"/>
  <c r="CI952" i="53"/>
  <c r="CJ952" i="53" s="1"/>
  <c r="CI953" i="53"/>
  <c r="CJ953" i="53" s="1"/>
  <c r="CI954" i="53"/>
  <c r="CJ954" i="53" s="1"/>
  <c r="CI955" i="53"/>
  <c r="CJ955" i="53" s="1"/>
  <c r="CI956" i="53"/>
  <c r="CJ956" i="53" s="1"/>
  <c r="CI957" i="53"/>
  <c r="CJ957" i="53" s="1"/>
  <c r="CI958" i="53"/>
  <c r="CJ958" i="53" s="1"/>
  <c r="CI959" i="53"/>
  <c r="CJ959" i="53" s="1"/>
  <c r="CI960" i="53"/>
  <c r="CJ960" i="53" s="1"/>
  <c r="CI961" i="53"/>
  <c r="CJ961" i="53" s="1"/>
  <c r="CI962" i="53"/>
  <c r="CJ962" i="53" s="1"/>
  <c r="CI963" i="53"/>
  <c r="CJ963" i="53" s="1"/>
  <c r="CI964" i="53"/>
  <c r="CJ964" i="53" s="1"/>
  <c r="CI965" i="53"/>
  <c r="CJ965" i="53" s="1"/>
  <c r="CI966" i="53"/>
  <c r="CJ966" i="53" s="1"/>
  <c r="CI967" i="53"/>
  <c r="CJ967" i="53" s="1"/>
  <c r="CI968" i="53"/>
  <c r="CJ968" i="53" s="1"/>
  <c r="CI969" i="53"/>
  <c r="CJ969" i="53" s="1"/>
  <c r="CI970" i="53"/>
  <c r="CJ970" i="53" s="1"/>
  <c r="CI971" i="53"/>
  <c r="CJ971" i="53" s="1"/>
  <c r="CI972" i="53"/>
  <c r="CJ972" i="53" s="1"/>
  <c r="CI973" i="53"/>
  <c r="CJ973" i="53" s="1"/>
  <c r="CI974" i="53"/>
  <c r="CJ974" i="53" s="1"/>
  <c r="CI975" i="53"/>
  <c r="CJ975" i="53" s="1"/>
  <c r="CI976" i="53"/>
  <c r="CJ976" i="53" s="1"/>
  <c r="CI977" i="53"/>
  <c r="CJ977" i="53" s="1"/>
  <c r="CI978" i="53"/>
  <c r="CJ978" i="53" s="1"/>
  <c r="CI979" i="53"/>
  <c r="CJ979" i="53" s="1"/>
  <c r="CI980" i="53"/>
  <c r="CJ980" i="53" s="1"/>
  <c r="CI981" i="53"/>
  <c r="CJ981" i="53" s="1"/>
  <c r="CI982" i="53"/>
  <c r="CJ982" i="53" s="1"/>
  <c r="CI983" i="53"/>
  <c r="CJ983" i="53" s="1"/>
  <c r="CI984" i="53"/>
  <c r="CJ984" i="53" s="1"/>
  <c r="CI985" i="53"/>
  <c r="CJ985" i="53" s="1"/>
  <c r="CI986" i="53"/>
  <c r="CJ986" i="53" s="1"/>
  <c r="CI987" i="53"/>
  <c r="CJ987" i="53" s="1"/>
  <c r="CI988" i="53"/>
  <c r="CJ988" i="53" s="1"/>
  <c r="CI989" i="53"/>
  <c r="CJ989" i="53" s="1"/>
  <c r="CI990" i="53"/>
  <c r="CJ990" i="53" s="1"/>
  <c r="CI991" i="53"/>
  <c r="CJ991" i="53" s="1"/>
  <c r="CI992" i="53"/>
  <c r="CJ992" i="53" s="1"/>
  <c r="CI993" i="53"/>
  <c r="CJ993" i="53" s="1"/>
  <c r="CI994" i="53"/>
  <c r="CJ994" i="53" s="1"/>
  <c r="CI995" i="53"/>
  <c r="CJ995" i="53" s="1"/>
  <c r="CI996" i="53"/>
  <c r="CJ996" i="53" s="1"/>
  <c r="CI997" i="53"/>
  <c r="CJ997" i="53" s="1"/>
  <c r="CI998" i="53"/>
  <c r="CJ998" i="53" s="1"/>
  <c r="CI999" i="53"/>
  <c r="CJ999" i="53" s="1"/>
  <c r="CI1000" i="53"/>
  <c r="CJ1000" i="53" s="1"/>
  <c r="CI1001" i="53"/>
  <c r="CJ1001" i="53" s="1"/>
  <c r="CI1002" i="53"/>
  <c r="CJ1002" i="53" s="1"/>
  <c r="CI1003" i="53"/>
  <c r="CJ1003" i="53" s="1"/>
  <c r="CI1004" i="53"/>
  <c r="CJ1004" i="53" s="1"/>
  <c r="CI1005" i="53"/>
  <c r="CJ1005" i="53" s="1"/>
  <c r="CI1006" i="53"/>
  <c r="CJ1006" i="53" s="1"/>
  <c r="CI1007" i="53"/>
  <c r="CJ1007" i="53" s="1"/>
  <c r="CI1008" i="53"/>
  <c r="CJ1008" i="53" s="1"/>
  <c r="CI1009" i="53"/>
  <c r="CJ1009" i="53" s="1"/>
  <c r="CI1010" i="53"/>
  <c r="CJ1010" i="53" s="1"/>
  <c r="CI1011" i="53"/>
  <c r="CJ1011" i="53" s="1"/>
  <c r="CI1012" i="53"/>
  <c r="CJ1012" i="53" s="1"/>
  <c r="CI1013" i="53"/>
  <c r="CJ1013" i="53" s="1"/>
  <c r="CI1014" i="53"/>
  <c r="CJ1014" i="53" s="1"/>
  <c r="CI1015" i="53"/>
  <c r="CJ1015" i="53" s="1"/>
  <c r="CI1016" i="53"/>
  <c r="CJ1016" i="53" s="1"/>
  <c r="CI1017" i="53"/>
  <c r="CJ1017" i="53" s="1"/>
  <c r="CI1018" i="53"/>
  <c r="CJ1018" i="53" s="1"/>
  <c r="CI1019" i="53"/>
  <c r="CJ1019" i="53" s="1"/>
  <c r="CI1020" i="53"/>
  <c r="CJ1020" i="53" s="1"/>
  <c r="CI1021" i="53"/>
  <c r="CJ1021" i="53" s="1"/>
  <c r="CI1022" i="53"/>
  <c r="CJ1022" i="53" s="1"/>
  <c r="CI1023" i="53"/>
  <c r="CJ1023" i="53" s="1"/>
  <c r="CI1024" i="53"/>
  <c r="CJ1024" i="53" s="1"/>
  <c r="CI1025" i="53"/>
  <c r="CJ1025" i="53" s="1"/>
  <c r="CI1026" i="53"/>
  <c r="CJ1026" i="53" s="1"/>
  <c r="CI1027" i="53"/>
  <c r="CJ1027" i="53" s="1"/>
  <c r="CI1028" i="53"/>
  <c r="CJ1028" i="53" s="1"/>
  <c r="CI1029" i="53"/>
  <c r="CJ1029" i="53" s="1"/>
  <c r="CI1030" i="53"/>
  <c r="CJ1030" i="53" s="1"/>
  <c r="CI1031" i="53"/>
  <c r="CJ1031" i="53" s="1"/>
  <c r="CI1032" i="53"/>
  <c r="CJ1032" i="53" s="1"/>
  <c r="CI1033" i="53"/>
  <c r="CJ1033" i="53" s="1"/>
  <c r="CI1034" i="53"/>
  <c r="CJ1034" i="53" s="1"/>
  <c r="CI1035" i="53"/>
  <c r="CJ1035" i="53" s="1"/>
  <c r="CI1036" i="53"/>
  <c r="CJ1036" i="53" s="1"/>
  <c r="CI1037" i="53"/>
  <c r="CJ1037" i="53" s="1"/>
  <c r="CI1038" i="53"/>
  <c r="CJ1038" i="53" s="1"/>
  <c r="CI1039" i="53"/>
  <c r="CJ1039" i="53" s="1"/>
  <c r="CI1040" i="53"/>
  <c r="CJ1040" i="53" s="1"/>
  <c r="CI1041" i="53"/>
  <c r="CJ1041" i="53" s="1"/>
  <c r="CI1042" i="53"/>
  <c r="CJ1042" i="53" s="1"/>
  <c r="CI1043" i="53"/>
  <c r="CJ1043" i="53" s="1"/>
  <c r="CI1044" i="53"/>
  <c r="CJ1044" i="53" s="1"/>
  <c r="CI1045" i="53"/>
  <c r="CJ1045" i="53" s="1"/>
  <c r="CI1046" i="53"/>
  <c r="CJ1046" i="53" s="1"/>
  <c r="CI1047" i="53"/>
  <c r="CJ1047" i="53" s="1"/>
  <c r="CI1048" i="53"/>
  <c r="CJ1048" i="53" s="1"/>
  <c r="CI1049" i="53"/>
  <c r="CJ1049" i="53" s="1"/>
  <c r="CI1050" i="53"/>
  <c r="CJ1050" i="53" s="1"/>
  <c r="CI1051" i="53"/>
  <c r="CJ1051" i="53" s="1"/>
  <c r="CI1052" i="53"/>
  <c r="CJ1052" i="53" s="1"/>
  <c r="CI1053" i="53"/>
  <c r="CJ1053" i="53" s="1"/>
  <c r="CI1054" i="53"/>
  <c r="CJ1054" i="53" s="1"/>
  <c r="CI1055" i="53"/>
  <c r="CJ1055" i="53" s="1"/>
  <c r="CI1056" i="53"/>
  <c r="CJ1056" i="53" s="1"/>
  <c r="CI1057" i="53"/>
  <c r="CJ1057" i="53" s="1"/>
  <c r="CI1058" i="53"/>
  <c r="CJ1058" i="53" s="1"/>
  <c r="CI1059" i="53"/>
  <c r="CJ1059" i="53" s="1"/>
  <c r="CI1060" i="53"/>
  <c r="CJ1060" i="53" s="1"/>
  <c r="CI1061" i="53"/>
  <c r="CJ1061" i="53" s="1"/>
  <c r="CI1062" i="53"/>
  <c r="CJ1062" i="53" s="1"/>
  <c r="CI1063" i="53"/>
  <c r="CJ1063" i="53" s="1"/>
  <c r="CI1064" i="53"/>
  <c r="CJ1064" i="53" s="1"/>
  <c r="CI1065" i="53"/>
  <c r="CJ1065" i="53" s="1"/>
  <c r="CI1066" i="53"/>
  <c r="CJ1066" i="53" s="1"/>
  <c r="CI1067" i="53"/>
  <c r="CJ1067" i="53" s="1"/>
  <c r="CI1068" i="53"/>
  <c r="CJ1068" i="53" s="1"/>
  <c r="CI1069" i="53"/>
  <c r="CJ1069" i="53" s="1"/>
  <c r="CI1070" i="53"/>
  <c r="CJ1070" i="53" s="1"/>
  <c r="CI1071" i="53"/>
  <c r="CJ1071" i="53" s="1"/>
  <c r="CI1072" i="53"/>
  <c r="CJ1072" i="53" s="1"/>
  <c r="CI1073" i="53"/>
  <c r="CJ1073" i="53" s="1"/>
  <c r="CI1074" i="53"/>
  <c r="CJ1074" i="53" s="1"/>
  <c r="CI1075" i="53"/>
  <c r="CJ1075" i="53" s="1"/>
  <c r="CI1076" i="53"/>
  <c r="CJ1076" i="53" s="1"/>
  <c r="CI1077" i="53"/>
  <c r="CJ1077" i="53" s="1"/>
  <c r="CI1078" i="53"/>
  <c r="CJ1078" i="53" s="1"/>
  <c r="CI1079" i="53"/>
  <c r="CJ1079" i="53" s="1"/>
  <c r="CI1080" i="53"/>
  <c r="CJ1080" i="53" s="1"/>
  <c r="CI1081" i="53"/>
  <c r="CJ1081" i="53" s="1"/>
  <c r="CI1082" i="53"/>
  <c r="CJ1082" i="53" s="1"/>
  <c r="CI1083" i="53"/>
  <c r="CJ1083" i="53" s="1"/>
  <c r="CI1084" i="53"/>
  <c r="CJ1084" i="53" s="1"/>
  <c r="CI1085" i="53"/>
  <c r="CJ1085" i="53" s="1"/>
  <c r="CI1086" i="53"/>
  <c r="CJ1086" i="53" s="1"/>
  <c r="CI1087" i="53"/>
  <c r="CJ1087" i="53" s="1"/>
  <c r="CI1088" i="53"/>
  <c r="CJ1088" i="53" s="1"/>
  <c r="CI1089" i="53"/>
  <c r="CJ1089" i="53" s="1"/>
  <c r="CI1090" i="53"/>
  <c r="CJ1090" i="53" s="1"/>
  <c r="CI1091" i="53"/>
  <c r="CJ1091" i="53" s="1"/>
  <c r="CI1092" i="53"/>
  <c r="CJ1092" i="53" s="1"/>
  <c r="CI1093" i="53"/>
  <c r="CJ1093" i="53" s="1"/>
  <c r="CI1094" i="53"/>
  <c r="CJ1094" i="53" s="1"/>
  <c r="CI1095" i="53"/>
  <c r="CJ1095" i="53" s="1"/>
  <c r="CI1096" i="53"/>
  <c r="CJ1096" i="53" s="1"/>
  <c r="CI1097" i="53"/>
  <c r="CJ1097" i="53" s="1"/>
  <c r="CI1098" i="53"/>
  <c r="CJ1098" i="53" s="1"/>
  <c r="CI1099" i="53"/>
  <c r="CJ1099" i="53" s="1"/>
  <c r="CI1100" i="53"/>
  <c r="CJ1100" i="53" s="1"/>
  <c r="CJ1101" i="53"/>
  <c r="CI1102" i="53"/>
  <c r="CJ1102" i="53" s="1"/>
  <c r="CI1103" i="53"/>
  <c r="CJ1103" i="53" s="1"/>
  <c r="CI1104" i="53"/>
  <c r="CJ1104" i="53" s="1"/>
  <c r="CI1105" i="53"/>
  <c r="CJ1105" i="53" s="1"/>
  <c r="CI3" i="53"/>
  <c r="CJ3" i="53" s="1"/>
  <c r="E5" i="18" l="1"/>
  <c r="E6" i="18"/>
  <c r="E4" i="18"/>
  <c r="BH5" i="4" l="1"/>
  <c r="BH6" i="4"/>
  <c r="BH7" i="4"/>
  <c r="BH8" i="4"/>
  <c r="BH9" i="4"/>
  <c r="BH10" i="4"/>
  <c r="BH11" i="4"/>
  <c r="BH12" i="4"/>
  <c r="BH13" i="4"/>
  <c r="BH14" i="4"/>
  <c r="BH15" i="4"/>
  <c r="BH16" i="4"/>
  <c r="BH17" i="4"/>
  <c r="BH18" i="4"/>
  <c r="BH19" i="4"/>
  <c r="BH20" i="4"/>
  <c r="BH21" i="4"/>
  <c r="BH22" i="4"/>
  <c r="BH23" i="4"/>
  <c r="BH24" i="4"/>
  <c r="BH25" i="4"/>
  <c r="BH26" i="4"/>
  <c r="BH27" i="4"/>
  <c r="BH28" i="4"/>
  <c r="BH29" i="4"/>
  <c r="BH30" i="4"/>
  <c r="BH31" i="4"/>
  <c r="BH32" i="4"/>
  <c r="BH33" i="4"/>
  <c r="BH34" i="4"/>
  <c r="BH35" i="4"/>
  <c r="BH4" i="4"/>
  <c r="D34" i="35" s="1"/>
  <c r="BG5" i="4"/>
  <c r="BG6" i="4"/>
  <c r="BG7" i="4"/>
  <c r="BG8" i="4"/>
  <c r="BG9" i="4"/>
  <c r="BG10" i="4"/>
  <c r="BG11" i="4"/>
  <c r="BG12" i="4"/>
  <c r="BG13" i="4"/>
  <c r="BG14" i="4"/>
  <c r="BG15" i="4"/>
  <c r="BG16" i="4"/>
  <c r="BG17" i="4"/>
  <c r="BG18" i="4"/>
  <c r="BG19" i="4"/>
  <c r="BG20" i="4"/>
  <c r="BG21" i="4"/>
  <c r="BG22" i="4"/>
  <c r="BG23" i="4"/>
  <c r="BG24" i="4"/>
  <c r="BG25" i="4"/>
  <c r="BG26" i="4"/>
  <c r="BG27" i="4"/>
  <c r="BG28" i="4"/>
  <c r="BG29" i="4"/>
  <c r="BG31" i="4"/>
  <c r="BG32" i="4"/>
  <c r="BG33" i="4"/>
  <c r="BG34" i="4"/>
  <c r="BG35" i="4"/>
  <c r="BG4" i="4"/>
  <c r="AW5" i="4"/>
  <c r="AW6" i="4"/>
  <c r="AW7" i="4"/>
  <c r="AW8" i="4"/>
  <c r="AW9" i="4"/>
  <c r="AW10" i="4"/>
  <c r="AW11" i="4"/>
  <c r="AW12" i="4"/>
  <c r="AW13" i="4"/>
  <c r="AW14" i="4"/>
  <c r="AW15" i="4"/>
  <c r="AW16" i="4"/>
  <c r="AW17" i="4"/>
  <c r="AW18" i="4"/>
  <c r="AW19" i="4"/>
  <c r="AW20" i="4"/>
  <c r="AW21" i="4"/>
  <c r="AW22" i="4"/>
  <c r="AW23" i="4"/>
  <c r="AW24" i="4"/>
  <c r="AW25" i="4"/>
  <c r="AW26" i="4"/>
  <c r="AW27" i="4"/>
  <c r="AW28" i="4"/>
  <c r="AW29" i="4"/>
  <c r="AW30" i="4"/>
  <c r="AW31" i="4"/>
  <c r="AW32" i="4"/>
  <c r="AW33" i="4"/>
  <c r="AW34" i="4"/>
  <c r="AW35" i="4"/>
  <c r="AW4" i="4"/>
  <c r="C34" i="35" l="1"/>
  <c r="E34" i="35" s="1"/>
  <c r="E54" i="31"/>
  <c r="D54" i="31"/>
  <c r="D43" i="31"/>
  <c r="E43" i="31"/>
  <c r="I43" i="31"/>
  <c r="H43" i="31"/>
  <c r="G43" i="31"/>
  <c r="F43" i="31"/>
  <c r="E22" i="31"/>
  <c r="F22" i="31"/>
  <c r="AP3" i="53"/>
  <c r="R3" i="53"/>
  <c r="O3" i="53"/>
  <c r="AB5" i="4"/>
  <c r="AC5" i="4" s="1"/>
  <c r="AB6" i="4"/>
  <c r="AC6" i="4" s="1"/>
  <c r="AB7" i="4"/>
  <c r="AC7" i="4" s="1"/>
  <c r="AB8" i="4"/>
  <c r="AC8" i="4" s="1"/>
  <c r="AB9" i="4"/>
  <c r="AC9" i="4" s="1"/>
  <c r="AB10" i="4"/>
  <c r="AC10" i="4" s="1"/>
  <c r="AB11" i="4"/>
  <c r="AC11" i="4" s="1"/>
  <c r="AB12" i="4"/>
  <c r="AC12" i="4" s="1"/>
  <c r="AB13" i="4"/>
  <c r="AC13" i="4" s="1"/>
  <c r="AB14" i="4"/>
  <c r="AC14" i="4" s="1"/>
  <c r="AB15" i="4"/>
  <c r="AC15" i="4" s="1"/>
  <c r="AB16" i="4"/>
  <c r="AC16" i="4" s="1"/>
  <c r="AB17" i="4"/>
  <c r="AC17" i="4" s="1"/>
  <c r="AB18" i="4"/>
  <c r="AC18" i="4" s="1"/>
  <c r="AB19" i="4"/>
  <c r="AC19" i="4" s="1"/>
  <c r="AB20" i="4"/>
  <c r="AC20" i="4" s="1"/>
  <c r="AB21" i="4"/>
  <c r="AC21" i="4" s="1"/>
  <c r="AB22" i="4"/>
  <c r="AC22" i="4" s="1"/>
  <c r="AB23" i="4"/>
  <c r="AC23" i="4" s="1"/>
  <c r="AB24" i="4"/>
  <c r="AC24" i="4" s="1"/>
  <c r="AB25" i="4"/>
  <c r="AC25" i="4" s="1"/>
  <c r="AB26" i="4"/>
  <c r="AC26" i="4" s="1"/>
  <c r="AB27" i="4"/>
  <c r="AC27" i="4" s="1"/>
  <c r="AB28" i="4"/>
  <c r="AC28" i="4" s="1"/>
  <c r="AB29" i="4"/>
  <c r="AC29" i="4" s="1"/>
  <c r="AB30" i="4"/>
  <c r="AC30" i="4" s="1"/>
  <c r="AB31" i="4"/>
  <c r="AC31" i="4" s="1"/>
  <c r="AB32" i="4"/>
  <c r="AC32" i="4" s="1"/>
  <c r="AB33" i="4"/>
  <c r="AC33" i="4" s="1"/>
  <c r="AB34" i="4"/>
  <c r="AC34" i="4" s="1"/>
  <c r="AB35" i="4"/>
  <c r="AC35" i="4" s="1"/>
  <c r="AB4" i="4"/>
  <c r="AC4" i="4" s="1"/>
  <c r="S3" i="53" l="1"/>
  <c r="D6" i="18"/>
  <c r="D5" i="18"/>
  <c r="D4" i="18"/>
  <c r="F54" i="31"/>
  <c r="P3" i="53"/>
  <c r="U3" i="53" l="1"/>
  <c r="V34" i="4"/>
  <c r="V18" i="4"/>
  <c r="V33" i="4"/>
  <c r="V17" i="4"/>
  <c r="V32" i="4"/>
  <c r="V16" i="4"/>
  <c r="V31" i="4"/>
  <c r="V15" i="4"/>
  <c r="V30" i="4"/>
  <c r="V14" i="4"/>
  <c r="V29" i="4"/>
  <c r="V13" i="4"/>
  <c r="V12" i="4"/>
  <c r="V27" i="4"/>
  <c r="V11" i="4"/>
  <c r="V26" i="4"/>
  <c r="V10" i="4"/>
  <c r="V25" i="4"/>
  <c r="V9" i="4"/>
  <c r="V24" i="4"/>
  <c r="V8" i="4"/>
  <c r="V23" i="4"/>
  <c r="V7" i="4"/>
  <c r="V22" i="4"/>
  <c r="V6" i="4"/>
  <c r="V21" i="4"/>
  <c r="V5" i="4"/>
  <c r="V4" i="4"/>
  <c r="V20" i="4"/>
  <c r="V35" i="4"/>
  <c r="V19" i="4"/>
  <c r="W29" i="4" l="1"/>
  <c r="W30" i="4"/>
  <c r="G7" i="35"/>
  <c r="Y3" i="53"/>
  <c r="AH3" i="53"/>
  <c r="V3" i="53"/>
  <c r="W4" i="4"/>
  <c r="R5" i="4" l="1"/>
  <c r="S5" i="4"/>
  <c r="R6" i="4"/>
  <c r="S6" i="4"/>
  <c r="R7" i="4"/>
  <c r="S7" i="4"/>
  <c r="R8" i="4"/>
  <c r="S8" i="4"/>
  <c r="R9" i="4"/>
  <c r="S9" i="4"/>
  <c r="R10" i="4"/>
  <c r="S10" i="4"/>
  <c r="R11" i="4"/>
  <c r="S11" i="4"/>
  <c r="R12" i="4"/>
  <c r="S12" i="4"/>
  <c r="R13" i="4"/>
  <c r="S13" i="4"/>
  <c r="R14" i="4"/>
  <c r="S14" i="4"/>
  <c r="R15" i="4"/>
  <c r="S15" i="4"/>
  <c r="R16" i="4"/>
  <c r="S16" i="4"/>
  <c r="R17" i="4"/>
  <c r="S17" i="4"/>
  <c r="R18" i="4"/>
  <c r="S18" i="4"/>
  <c r="R19" i="4"/>
  <c r="S19" i="4"/>
  <c r="R20" i="4"/>
  <c r="S20" i="4"/>
  <c r="R21" i="4"/>
  <c r="S21" i="4"/>
  <c r="R22" i="4"/>
  <c r="S22" i="4"/>
  <c r="R23" i="4"/>
  <c r="S23" i="4"/>
  <c r="R24" i="4"/>
  <c r="S24" i="4"/>
  <c r="R25" i="4"/>
  <c r="S25" i="4"/>
  <c r="R26" i="4"/>
  <c r="S26" i="4"/>
  <c r="R27" i="4"/>
  <c r="S27" i="4"/>
  <c r="R28" i="4"/>
  <c r="S28" i="4"/>
  <c r="R29" i="4"/>
  <c r="S29" i="4"/>
  <c r="R30" i="4"/>
  <c r="S30" i="4"/>
  <c r="R31" i="4"/>
  <c r="S31" i="4"/>
  <c r="R32" i="4"/>
  <c r="S32" i="4"/>
  <c r="R33" i="4"/>
  <c r="S33" i="4"/>
  <c r="R34" i="4"/>
  <c r="S34" i="4"/>
  <c r="R35" i="4"/>
  <c r="S35" i="4"/>
  <c r="S4" i="4"/>
  <c r="D7" i="35" s="1"/>
  <c r="R4" i="4"/>
  <c r="E7" i="35" l="1"/>
  <c r="T4" i="4"/>
  <c r="T35" i="4"/>
  <c r="AN4" i="4" l="1"/>
  <c r="AF35" i="4"/>
  <c r="AN35" i="4"/>
  <c r="X4" i="4"/>
  <c r="AF4" i="4"/>
  <c r="CR4" i="53"/>
  <c r="CS4" i="53" s="1"/>
  <c r="CR5" i="53"/>
  <c r="CS5" i="53" s="1"/>
  <c r="CR6" i="53"/>
  <c r="CS6" i="53" s="1"/>
  <c r="CS7" i="53"/>
  <c r="CR8" i="53"/>
  <c r="CS8" i="53" s="1"/>
  <c r="CR9" i="53"/>
  <c r="CS9" i="53" s="1"/>
  <c r="CR10" i="53"/>
  <c r="CS10" i="53" s="1"/>
  <c r="CR11" i="53"/>
  <c r="CS11" i="53" s="1"/>
  <c r="CR12" i="53"/>
  <c r="CS12" i="53" s="1"/>
  <c r="CR13" i="53"/>
  <c r="CS13" i="53" s="1"/>
  <c r="CR14" i="53"/>
  <c r="CS14" i="53" s="1"/>
  <c r="CR15" i="53"/>
  <c r="CS15" i="53" s="1"/>
  <c r="CR16" i="53"/>
  <c r="CS16" i="53" s="1"/>
  <c r="CR17" i="53"/>
  <c r="CS17" i="53" s="1"/>
  <c r="CR18" i="53"/>
  <c r="CS18" i="53" s="1"/>
  <c r="CR19" i="53"/>
  <c r="CS19" i="53" s="1"/>
  <c r="CR20" i="53"/>
  <c r="CS20" i="53" s="1"/>
  <c r="CR21" i="53"/>
  <c r="CS21" i="53" s="1"/>
  <c r="CR22" i="53"/>
  <c r="CS22" i="53" s="1"/>
  <c r="CR23" i="53"/>
  <c r="CS23" i="53" s="1"/>
  <c r="CR24" i="53"/>
  <c r="CS24" i="53" s="1"/>
  <c r="CR26" i="53"/>
  <c r="CS26" i="53" s="1"/>
  <c r="CR27" i="53"/>
  <c r="CS27" i="53" s="1"/>
  <c r="CR28" i="53"/>
  <c r="CS28" i="53" s="1"/>
  <c r="CR29" i="53"/>
  <c r="CS29" i="53" s="1"/>
  <c r="CR30" i="53"/>
  <c r="CS30" i="53" s="1"/>
  <c r="CR31" i="53"/>
  <c r="CS31" i="53" s="1"/>
  <c r="CR32" i="53"/>
  <c r="CS32" i="53" s="1"/>
  <c r="CR33" i="53"/>
  <c r="CS33" i="53" s="1"/>
  <c r="CR34" i="53"/>
  <c r="CS34" i="53" s="1"/>
  <c r="CR35" i="53"/>
  <c r="CS35" i="53" s="1"/>
  <c r="CR36" i="53"/>
  <c r="CS36" i="53" s="1"/>
  <c r="CR37" i="53"/>
  <c r="CS37" i="53" s="1"/>
  <c r="CR38" i="53"/>
  <c r="CS38" i="53" s="1"/>
  <c r="CR39" i="53"/>
  <c r="CS39" i="53" s="1"/>
  <c r="CR40" i="53"/>
  <c r="CS40" i="53" s="1"/>
  <c r="CR41" i="53"/>
  <c r="CS41" i="53" s="1"/>
  <c r="CR42" i="53"/>
  <c r="CS42" i="53" s="1"/>
  <c r="CR43" i="53"/>
  <c r="CS43" i="53" s="1"/>
  <c r="CR44" i="53"/>
  <c r="CS44" i="53" s="1"/>
  <c r="CR45" i="53"/>
  <c r="CS45" i="53" s="1"/>
  <c r="CR46" i="53"/>
  <c r="CS46" i="53" s="1"/>
  <c r="CR47" i="53"/>
  <c r="CS47" i="53" s="1"/>
  <c r="CR48" i="53"/>
  <c r="CS48" i="53" s="1"/>
  <c r="CR49" i="53"/>
  <c r="CS49" i="53" s="1"/>
  <c r="CR50" i="53"/>
  <c r="CS50" i="53" s="1"/>
  <c r="CR51" i="53"/>
  <c r="CS51" i="53" s="1"/>
  <c r="CR52" i="53"/>
  <c r="CS52" i="53" s="1"/>
  <c r="CR53" i="53"/>
  <c r="CS53" i="53" s="1"/>
  <c r="CR54" i="53"/>
  <c r="CS54" i="53" s="1"/>
  <c r="CR55" i="53"/>
  <c r="CS55" i="53" s="1"/>
  <c r="CR56" i="53"/>
  <c r="CS56" i="53" s="1"/>
  <c r="CR57" i="53"/>
  <c r="CS57" i="53" s="1"/>
  <c r="CR58" i="53"/>
  <c r="CS58" i="53" s="1"/>
  <c r="CR59" i="53"/>
  <c r="CS59" i="53" s="1"/>
  <c r="CR60" i="53"/>
  <c r="CS60" i="53" s="1"/>
  <c r="CR61" i="53"/>
  <c r="CS61" i="53" s="1"/>
  <c r="CR62" i="53"/>
  <c r="CS62" i="53" s="1"/>
  <c r="CR63" i="53"/>
  <c r="CS63" i="53" s="1"/>
  <c r="CR64" i="53"/>
  <c r="CS64" i="53" s="1"/>
  <c r="CR65" i="53"/>
  <c r="CS65" i="53" s="1"/>
  <c r="CR66" i="53"/>
  <c r="CS66" i="53" s="1"/>
  <c r="CR67" i="53"/>
  <c r="CS67" i="53" s="1"/>
  <c r="CR68" i="53"/>
  <c r="CS68" i="53" s="1"/>
  <c r="CR69" i="53"/>
  <c r="CS69" i="53" s="1"/>
  <c r="CR70" i="53"/>
  <c r="CS70" i="53" s="1"/>
  <c r="CR71" i="53"/>
  <c r="CS71" i="53" s="1"/>
  <c r="CR72" i="53"/>
  <c r="CS72" i="53" s="1"/>
  <c r="CR73" i="53"/>
  <c r="CS73" i="53" s="1"/>
  <c r="CR74" i="53"/>
  <c r="CS74" i="53" s="1"/>
  <c r="CR75" i="53"/>
  <c r="CS75" i="53" s="1"/>
  <c r="CR76" i="53"/>
  <c r="CS76" i="53" s="1"/>
  <c r="CR77" i="53"/>
  <c r="CS77" i="53" s="1"/>
  <c r="CR78" i="53"/>
  <c r="CS78" i="53" s="1"/>
  <c r="CR79" i="53"/>
  <c r="CS79" i="53" s="1"/>
  <c r="CR80" i="53"/>
  <c r="CS80" i="53" s="1"/>
  <c r="CR81" i="53"/>
  <c r="CS81" i="53" s="1"/>
  <c r="CR82" i="53"/>
  <c r="CS82" i="53" s="1"/>
  <c r="CR83" i="53"/>
  <c r="CS83" i="53" s="1"/>
  <c r="CR84" i="53"/>
  <c r="CS84" i="53" s="1"/>
  <c r="CR85" i="53"/>
  <c r="CS85" i="53" s="1"/>
  <c r="CR86" i="53"/>
  <c r="CS86" i="53" s="1"/>
  <c r="CR87" i="53"/>
  <c r="CS87" i="53" s="1"/>
  <c r="CR88" i="53"/>
  <c r="CS88" i="53" s="1"/>
  <c r="CR89" i="53"/>
  <c r="CS89" i="53" s="1"/>
  <c r="CR90" i="53"/>
  <c r="CS90" i="53" s="1"/>
  <c r="CR91" i="53"/>
  <c r="CS91" i="53" s="1"/>
  <c r="CR92" i="53"/>
  <c r="CS92" i="53" s="1"/>
  <c r="CR93" i="53"/>
  <c r="CS93" i="53" s="1"/>
  <c r="CR94" i="53"/>
  <c r="CS94" i="53" s="1"/>
  <c r="CR95" i="53"/>
  <c r="CS95" i="53" s="1"/>
  <c r="CR96" i="53"/>
  <c r="CS96" i="53" s="1"/>
  <c r="CR97" i="53"/>
  <c r="CS97" i="53" s="1"/>
  <c r="CR98" i="53"/>
  <c r="CS98" i="53" s="1"/>
  <c r="CR99" i="53"/>
  <c r="CS99" i="53" s="1"/>
  <c r="CR100" i="53"/>
  <c r="CS100" i="53" s="1"/>
  <c r="CR101" i="53"/>
  <c r="CS101" i="53" s="1"/>
  <c r="CR102" i="53"/>
  <c r="CS102" i="53" s="1"/>
  <c r="CR103" i="53"/>
  <c r="CS103" i="53" s="1"/>
  <c r="CR104" i="53"/>
  <c r="CS104" i="53" s="1"/>
  <c r="CR105" i="53"/>
  <c r="CS105" i="53" s="1"/>
  <c r="CR106" i="53"/>
  <c r="CS106" i="53" s="1"/>
  <c r="CR107" i="53"/>
  <c r="CS107" i="53" s="1"/>
  <c r="CR108" i="53"/>
  <c r="CS108" i="53" s="1"/>
  <c r="CR109" i="53"/>
  <c r="CS109" i="53" s="1"/>
  <c r="CR110" i="53"/>
  <c r="CS110" i="53" s="1"/>
  <c r="CR111" i="53"/>
  <c r="CS111" i="53" s="1"/>
  <c r="CR112" i="53"/>
  <c r="CS112" i="53" s="1"/>
  <c r="CR113" i="53"/>
  <c r="CS113" i="53" s="1"/>
  <c r="CR114" i="53"/>
  <c r="CS114" i="53" s="1"/>
  <c r="CR115" i="53"/>
  <c r="CS115" i="53" s="1"/>
  <c r="CR116" i="53"/>
  <c r="CS116" i="53" s="1"/>
  <c r="CR117" i="53"/>
  <c r="CS117" i="53" s="1"/>
  <c r="CR118" i="53"/>
  <c r="CS118" i="53" s="1"/>
  <c r="CR119" i="53"/>
  <c r="CS119" i="53" s="1"/>
  <c r="CR120" i="53"/>
  <c r="CS120" i="53" s="1"/>
  <c r="CR121" i="53"/>
  <c r="CS121" i="53" s="1"/>
  <c r="CR122" i="53"/>
  <c r="CS122" i="53" s="1"/>
  <c r="CR123" i="53"/>
  <c r="CS123" i="53" s="1"/>
  <c r="CR124" i="53"/>
  <c r="CS124" i="53" s="1"/>
  <c r="CR125" i="53"/>
  <c r="CS125" i="53" s="1"/>
  <c r="CR126" i="53"/>
  <c r="CS126" i="53" s="1"/>
  <c r="CR127" i="53"/>
  <c r="CS127" i="53" s="1"/>
  <c r="CR128" i="53"/>
  <c r="CS128" i="53" s="1"/>
  <c r="CR129" i="53"/>
  <c r="CS129" i="53" s="1"/>
  <c r="CR130" i="53"/>
  <c r="CS130" i="53" s="1"/>
  <c r="CR131" i="53"/>
  <c r="CS131" i="53" s="1"/>
  <c r="CR132" i="53"/>
  <c r="CS132" i="53" s="1"/>
  <c r="CR133" i="53"/>
  <c r="CS133" i="53" s="1"/>
  <c r="CR134" i="53"/>
  <c r="CS134" i="53" s="1"/>
  <c r="CR135" i="53"/>
  <c r="CS135" i="53" s="1"/>
  <c r="CR136" i="53"/>
  <c r="CS136" i="53" s="1"/>
  <c r="CR137" i="53"/>
  <c r="CS137" i="53" s="1"/>
  <c r="CR138" i="53"/>
  <c r="CS138" i="53" s="1"/>
  <c r="CR139" i="53"/>
  <c r="CS139" i="53" s="1"/>
  <c r="CR140" i="53"/>
  <c r="CS140" i="53" s="1"/>
  <c r="CR141" i="53"/>
  <c r="CS141" i="53" s="1"/>
  <c r="CR142" i="53"/>
  <c r="CS142" i="53" s="1"/>
  <c r="CR143" i="53"/>
  <c r="CS143" i="53" s="1"/>
  <c r="CR144" i="53"/>
  <c r="CS144" i="53" s="1"/>
  <c r="CR145" i="53"/>
  <c r="CS145" i="53" s="1"/>
  <c r="CR146" i="53"/>
  <c r="CS146" i="53" s="1"/>
  <c r="CR147" i="53"/>
  <c r="CS147" i="53" s="1"/>
  <c r="CR148" i="53"/>
  <c r="CS148" i="53" s="1"/>
  <c r="CR149" i="53"/>
  <c r="CS149" i="53" s="1"/>
  <c r="CR150" i="53"/>
  <c r="CS150" i="53" s="1"/>
  <c r="CR151" i="53"/>
  <c r="CS151" i="53" s="1"/>
  <c r="CR152" i="53"/>
  <c r="CS152" i="53" s="1"/>
  <c r="CR153" i="53"/>
  <c r="CS153" i="53" s="1"/>
  <c r="CR154" i="53"/>
  <c r="CS154" i="53" s="1"/>
  <c r="CR155" i="53"/>
  <c r="CS155" i="53" s="1"/>
  <c r="CR156" i="53"/>
  <c r="CS156" i="53" s="1"/>
  <c r="CR157" i="53"/>
  <c r="CS157" i="53" s="1"/>
  <c r="CR158" i="53"/>
  <c r="CS158" i="53" s="1"/>
  <c r="CR159" i="53"/>
  <c r="CS159" i="53" s="1"/>
  <c r="CR160" i="53"/>
  <c r="CS160" i="53" s="1"/>
  <c r="CR161" i="53"/>
  <c r="CS161" i="53" s="1"/>
  <c r="CR162" i="53"/>
  <c r="CS162" i="53" s="1"/>
  <c r="CR163" i="53"/>
  <c r="CS163" i="53" s="1"/>
  <c r="CR164" i="53"/>
  <c r="CS164" i="53" s="1"/>
  <c r="CR165" i="53"/>
  <c r="CS165" i="53" s="1"/>
  <c r="CR166" i="53"/>
  <c r="CS166" i="53" s="1"/>
  <c r="CR167" i="53"/>
  <c r="CS167" i="53" s="1"/>
  <c r="CR168" i="53"/>
  <c r="CS168" i="53" s="1"/>
  <c r="CR169" i="53"/>
  <c r="CS169" i="53" s="1"/>
  <c r="CR170" i="53"/>
  <c r="CS170" i="53" s="1"/>
  <c r="CR171" i="53"/>
  <c r="CS171" i="53" s="1"/>
  <c r="CR172" i="53"/>
  <c r="CS172" i="53" s="1"/>
  <c r="CR173" i="53"/>
  <c r="CS173" i="53" s="1"/>
  <c r="CR174" i="53"/>
  <c r="CS174" i="53" s="1"/>
  <c r="CR175" i="53"/>
  <c r="CS175" i="53" s="1"/>
  <c r="CR176" i="53"/>
  <c r="CS176" i="53" s="1"/>
  <c r="CR177" i="53"/>
  <c r="CS177" i="53" s="1"/>
  <c r="CR178" i="53"/>
  <c r="CS178" i="53" s="1"/>
  <c r="CR179" i="53"/>
  <c r="CS179" i="53" s="1"/>
  <c r="CR180" i="53"/>
  <c r="CS180" i="53" s="1"/>
  <c r="CR181" i="53"/>
  <c r="CS181" i="53" s="1"/>
  <c r="CR182" i="53"/>
  <c r="CS182" i="53" s="1"/>
  <c r="CR183" i="53"/>
  <c r="CS183" i="53" s="1"/>
  <c r="CR184" i="53"/>
  <c r="CS184" i="53" s="1"/>
  <c r="CR185" i="53"/>
  <c r="CS185" i="53" s="1"/>
  <c r="CR186" i="53"/>
  <c r="CS186" i="53" s="1"/>
  <c r="CR187" i="53"/>
  <c r="CS187" i="53" s="1"/>
  <c r="CR188" i="53"/>
  <c r="CS188" i="53" s="1"/>
  <c r="CR189" i="53"/>
  <c r="CS189" i="53" s="1"/>
  <c r="CR190" i="53"/>
  <c r="CS190" i="53" s="1"/>
  <c r="CR191" i="53"/>
  <c r="CS191" i="53" s="1"/>
  <c r="CR192" i="53"/>
  <c r="CS192" i="53" s="1"/>
  <c r="CR193" i="53"/>
  <c r="CS193" i="53" s="1"/>
  <c r="CR194" i="53"/>
  <c r="CS194" i="53" s="1"/>
  <c r="CR195" i="53"/>
  <c r="CS195" i="53" s="1"/>
  <c r="CR196" i="53"/>
  <c r="CS196" i="53" s="1"/>
  <c r="CR197" i="53"/>
  <c r="CS197" i="53" s="1"/>
  <c r="CR198" i="53"/>
  <c r="CS198" i="53" s="1"/>
  <c r="CR199" i="53"/>
  <c r="CS199" i="53" s="1"/>
  <c r="CR200" i="53"/>
  <c r="CS200" i="53" s="1"/>
  <c r="CR201" i="53"/>
  <c r="CS201" i="53" s="1"/>
  <c r="CR202" i="53"/>
  <c r="CS202" i="53" s="1"/>
  <c r="CR203" i="53"/>
  <c r="CS203" i="53" s="1"/>
  <c r="CR204" i="53"/>
  <c r="CS204" i="53" s="1"/>
  <c r="CR205" i="53"/>
  <c r="CS205" i="53" s="1"/>
  <c r="CR206" i="53"/>
  <c r="CS206" i="53" s="1"/>
  <c r="CR207" i="53"/>
  <c r="CS207" i="53" s="1"/>
  <c r="CR208" i="53"/>
  <c r="CS208" i="53" s="1"/>
  <c r="CR209" i="53"/>
  <c r="CS209" i="53" s="1"/>
  <c r="CR210" i="53"/>
  <c r="CS210" i="53" s="1"/>
  <c r="CR211" i="53"/>
  <c r="CS211" i="53" s="1"/>
  <c r="CR212" i="53"/>
  <c r="CS212" i="53" s="1"/>
  <c r="CR213" i="53"/>
  <c r="CS213" i="53" s="1"/>
  <c r="CR214" i="53"/>
  <c r="CS214" i="53" s="1"/>
  <c r="CR215" i="53"/>
  <c r="CS215" i="53" s="1"/>
  <c r="CR216" i="53"/>
  <c r="CS216" i="53" s="1"/>
  <c r="CR217" i="53"/>
  <c r="CS217" i="53" s="1"/>
  <c r="CR218" i="53"/>
  <c r="CS218" i="53" s="1"/>
  <c r="CR219" i="53"/>
  <c r="CS219" i="53" s="1"/>
  <c r="CR220" i="53"/>
  <c r="CS220" i="53" s="1"/>
  <c r="CR221" i="53"/>
  <c r="CS221" i="53" s="1"/>
  <c r="CR222" i="53"/>
  <c r="CS222" i="53" s="1"/>
  <c r="CR223" i="53"/>
  <c r="CS223" i="53" s="1"/>
  <c r="CR224" i="53"/>
  <c r="CS224" i="53" s="1"/>
  <c r="CR225" i="53"/>
  <c r="CS225" i="53" s="1"/>
  <c r="CR226" i="53"/>
  <c r="CS226" i="53" s="1"/>
  <c r="CR227" i="53"/>
  <c r="CS227" i="53" s="1"/>
  <c r="CR228" i="53"/>
  <c r="CS228" i="53" s="1"/>
  <c r="CR229" i="53"/>
  <c r="CS229" i="53" s="1"/>
  <c r="CR230" i="53"/>
  <c r="CS230" i="53" s="1"/>
  <c r="CR231" i="53"/>
  <c r="CS231" i="53" s="1"/>
  <c r="CR232" i="53"/>
  <c r="CS232" i="53" s="1"/>
  <c r="CR233" i="53"/>
  <c r="CS233" i="53" s="1"/>
  <c r="CR234" i="53"/>
  <c r="CS234" i="53" s="1"/>
  <c r="CR235" i="53"/>
  <c r="CS235" i="53" s="1"/>
  <c r="CR236" i="53"/>
  <c r="CS236" i="53" s="1"/>
  <c r="CR237" i="53"/>
  <c r="CS237" i="53" s="1"/>
  <c r="CR238" i="53"/>
  <c r="CS238" i="53" s="1"/>
  <c r="CR239" i="53"/>
  <c r="CS239" i="53" s="1"/>
  <c r="CR240" i="53"/>
  <c r="CS240" i="53" s="1"/>
  <c r="CR241" i="53"/>
  <c r="CS241" i="53" s="1"/>
  <c r="CR242" i="53"/>
  <c r="CS242" i="53" s="1"/>
  <c r="CR243" i="53"/>
  <c r="CS243" i="53" s="1"/>
  <c r="CR244" i="53"/>
  <c r="CS244" i="53" s="1"/>
  <c r="CR245" i="53"/>
  <c r="CS245" i="53" s="1"/>
  <c r="CR246" i="53"/>
  <c r="CS246" i="53" s="1"/>
  <c r="CR247" i="53"/>
  <c r="CS247" i="53" s="1"/>
  <c r="CR248" i="53"/>
  <c r="CS248" i="53" s="1"/>
  <c r="CR249" i="53"/>
  <c r="CS249" i="53" s="1"/>
  <c r="CR250" i="53"/>
  <c r="CS250" i="53" s="1"/>
  <c r="CR251" i="53"/>
  <c r="CS251" i="53" s="1"/>
  <c r="CR252" i="53"/>
  <c r="CS252" i="53" s="1"/>
  <c r="CR253" i="53"/>
  <c r="CS253" i="53" s="1"/>
  <c r="CR254" i="53"/>
  <c r="CS254" i="53" s="1"/>
  <c r="CR255" i="53"/>
  <c r="CS255" i="53" s="1"/>
  <c r="CR256" i="53"/>
  <c r="CS256" i="53" s="1"/>
  <c r="CR257" i="53"/>
  <c r="CS257" i="53" s="1"/>
  <c r="CR258" i="53"/>
  <c r="CS258" i="53" s="1"/>
  <c r="CR259" i="53"/>
  <c r="CS259" i="53" s="1"/>
  <c r="CR260" i="53"/>
  <c r="CS260" i="53" s="1"/>
  <c r="CR261" i="53"/>
  <c r="CS261" i="53" s="1"/>
  <c r="CR262" i="53"/>
  <c r="CS262" i="53" s="1"/>
  <c r="CR263" i="53"/>
  <c r="CS263" i="53" s="1"/>
  <c r="CR264" i="53"/>
  <c r="CS264" i="53" s="1"/>
  <c r="CR265" i="53"/>
  <c r="CS265" i="53" s="1"/>
  <c r="CR266" i="53"/>
  <c r="CS266" i="53" s="1"/>
  <c r="CR267" i="53"/>
  <c r="CS267" i="53" s="1"/>
  <c r="CR268" i="53"/>
  <c r="CS268" i="53" s="1"/>
  <c r="CR269" i="53"/>
  <c r="CS269" i="53" s="1"/>
  <c r="CR270" i="53"/>
  <c r="CS270" i="53" s="1"/>
  <c r="CR271" i="53"/>
  <c r="CS271" i="53" s="1"/>
  <c r="CR272" i="53"/>
  <c r="CS272" i="53" s="1"/>
  <c r="CR273" i="53"/>
  <c r="CS273" i="53" s="1"/>
  <c r="CR274" i="53"/>
  <c r="CS274" i="53" s="1"/>
  <c r="CR275" i="53"/>
  <c r="CS275" i="53" s="1"/>
  <c r="CR276" i="53"/>
  <c r="CS276" i="53" s="1"/>
  <c r="CR277" i="53"/>
  <c r="CS277" i="53" s="1"/>
  <c r="CR278" i="53"/>
  <c r="CS278" i="53" s="1"/>
  <c r="CR279" i="53"/>
  <c r="CS279" i="53" s="1"/>
  <c r="CR280" i="53"/>
  <c r="CS280" i="53" s="1"/>
  <c r="CR281" i="53"/>
  <c r="CS281" i="53" s="1"/>
  <c r="CR282" i="53"/>
  <c r="CS282" i="53" s="1"/>
  <c r="CR283" i="53"/>
  <c r="CS283" i="53" s="1"/>
  <c r="CR284" i="53"/>
  <c r="CS284" i="53" s="1"/>
  <c r="CR285" i="53"/>
  <c r="CS285" i="53" s="1"/>
  <c r="CR286" i="53"/>
  <c r="CS286" i="53" s="1"/>
  <c r="CR287" i="53"/>
  <c r="CS287" i="53" s="1"/>
  <c r="CR288" i="53"/>
  <c r="CS288" i="53" s="1"/>
  <c r="CR289" i="53"/>
  <c r="CS289" i="53" s="1"/>
  <c r="CR290" i="53"/>
  <c r="CS290" i="53" s="1"/>
  <c r="CR291" i="53"/>
  <c r="CS291" i="53" s="1"/>
  <c r="CR292" i="53"/>
  <c r="CS292" i="53" s="1"/>
  <c r="CR293" i="53"/>
  <c r="CS293" i="53" s="1"/>
  <c r="CR294" i="53"/>
  <c r="CS294" i="53" s="1"/>
  <c r="CR295" i="53"/>
  <c r="CS295" i="53" s="1"/>
  <c r="CR296" i="53"/>
  <c r="CS296" i="53" s="1"/>
  <c r="CR297" i="53"/>
  <c r="CS297" i="53" s="1"/>
  <c r="CR298" i="53"/>
  <c r="CS298" i="53" s="1"/>
  <c r="CR299" i="53"/>
  <c r="CS299" i="53" s="1"/>
  <c r="CR300" i="53"/>
  <c r="CS300" i="53" s="1"/>
  <c r="CR301" i="53"/>
  <c r="CS301" i="53" s="1"/>
  <c r="CR302" i="53"/>
  <c r="CS302" i="53" s="1"/>
  <c r="CR303" i="53"/>
  <c r="CS303" i="53" s="1"/>
  <c r="CR304" i="53"/>
  <c r="CS304" i="53" s="1"/>
  <c r="CR305" i="53"/>
  <c r="CS305" i="53" s="1"/>
  <c r="CR306" i="53"/>
  <c r="CS306" i="53" s="1"/>
  <c r="CR307" i="53"/>
  <c r="CS307" i="53" s="1"/>
  <c r="CR308" i="53"/>
  <c r="CS308" i="53" s="1"/>
  <c r="CR309" i="53"/>
  <c r="CS309" i="53" s="1"/>
  <c r="CR310" i="53"/>
  <c r="CS310" i="53" s="1"/>
  <c r="CR311" i="53"/>
  <c r="CS311" i="53" s="1"/>
  <c r="CR312" i="53"/>
  <c r="CS312" i="53" s="1"/>
  <c r="CR313" i="53"/>
  <c r="CS313" i="53" s="1"/>
  <c r="CR314" i="53"/>
  <c r="CS314" i="53" s="1"/>
  <c r="CR315" i="53"/>
  <c r="CS315" i="53" s="1"/>
  <c r="CR316" i="53"/>
  <c r="CS316" i="53" s="1"/>
  <c r="CR317" i="53"/>
  <c r="CS317" i="53" s="1"/>
  <c r="CR318" i="53"/>
  <c r="CS318" i="53" s="1"/>
  <c r="CR319" i="53"/>
  <c r="CS319" i="53" s="1"/>
  <c r="CR320" i="53"/>
  <c r="CS320" i="53" s="1"/>
  <c r="CR321" i="53"/>
  <c r="CS321" i="53" s="1"/>
  <c r="CR322" i="53"/>
  <c r="CS322" i="53" s="1"/>
  <c r="CR323" i="53"/>
  <c r="CS323" i="53" s="1"/>
  <c r="CR324" i="53"/>
  <c r="CS324" i="53" s="1"/>
  <c r="CR325" i="53"/>
  <c r="CS325" i="53" s="1"/>
  <c r="CR326" i="53"/>
  <c r="CS326" i="53" s="1"/>
  <c r="CR327" i="53"/>
  <c r="CS327" i="53" s="1"/>
  <c r="CR328" i="53"/>
  <c r="CS328" i="53" s="1"/>
  <c r="CR329" i="53"/>
  <c r="CS329" i="53" s="1"/>
  <c r="CR330" i="53"/>
  <c r="CS330" i="53" s="1"/>
  <c r="CR331" i="53"/>
  <c r="CS331" i="53" s="1"/>
  <c r="CR332" i="53"/>
  <c r="CS332" i="53" s="1"/>
  <c r="CR333" i="53"/>
  <c r="CS333" i="53" s="1"/>
  <c r="CR334" i="53"/>
  <c r="CS334" i="53" s="1"/>
  <c r="CR335" i="53"/>
  <c r="CS335" i="53" s="1"/>
  <c r="CR336" i="53"/>
  <c r="CS336" i="53" s="1"/>
  <c r="CR337" i="53"/>
  <c r="CS337" i="53" s="1"/>
  <c r="CR338" i="53"/>
  <c r="CS338" i="53" s="1"/>
  <c r="CR339" i="53"/>
  <c r="CS339" i="53" s="1"/>
  <c r="CR340" i="53"/>
  <c r="CS340" i="53" s="1"/>
  <c r="CR341" i="53"/>
  <c r="CS341" i="53" s="1"/>
  <c r="CR342" i="53"/>
  <c r="CS342" i="53" s="1"/>
  <c r="CR343" i="53"/>
  <c r="CS343" i="53" s="1"/>
  <c r="CR344" i="53"/>
  <c r="CS344" i="53" s="1"/>
  <c r="CR345" i="53"/>
  <c r="CS345" i="53" s="1"/>
  <c r="CR346" i="53"/>
  <c r="CS346" i="53" s="1"/>
  <c r="CR347" i="53"/>
  <c r="CS347" i="53" s="1"/>
  <c r="CR348" i="53"/>
  <c r="CS348" i="53" s="1"/>
  <c r="CR349" i="53"/>
  <c r="CS349" i="53" s="1"/>
  <c r="CR350" i="53"/>
  <c r="CS350" i="53" s="1"/>
  <c r="CR351" i="53"/>
  <c r="CS351" i="53" s="1"/>
  <c r="CR352" i="53"/>
  <c r="CS352" i="53" s="1"/>
  <c r="CR353" i="53"/>
  <c r="CS353" i="53" s="1"/>
  <c r="CR354" i="53"/>
  <c r="CS354" i="53" s="1"/>
  <c r="CR355" i="53"/>
  <c r="CS355" i="53" s="1"/>
  <c r="CR356" i="53"/>
  <c r="CS356" i="53" s="1"/>
  <c r="CR357" i="53"/>
  <c r="CS357" i="53" s="1"/>
  <c r="CR358" i="53"/>
  <c r="CS358" i="53" s="1"/>
  <c r="CR359" i="53"/>
  <c r="CS359" i="53" s="1"/>
  <c r="CR360" i="53"/>
  <c r="CS360" i="53" s="1"/>
  <c r="CR361" i="53"/>
  <c r="CS361" i="53" s="1"/>
  <c r="CR362" i="53"/>
  <c r="CS362" i="53" s="1"/>
  <c r="CR363" i="53"/>
  <c r="CS363" i="53" s="1"/>
  <c r="CR364" i="53"/>
  <c r="CS364" i="53" s="1"/>
  <c r="CR365" i="53"/>
  <c r="CS365" i="53" s="1"/>
  <c r="CR366" i="53"/>
  <c r="CS366" i="53" s="1"/>
  <c r="CR367" i="53"/>
  <c r="CS367" i="53" s="1"/>
  <c r="CR368" i="53"/>
  <c r="CS368" i="53" s="1"/>
  <c r="CR369" i="53"/>
  <c r="CS369" i="53" s="1"/>
  <c r="CR370" i="53"/>
  <c r="CS370" i="53" s="1"/>
  <c r="CR371" i="53"/>
  <c r="CS371" i="53" s="1"/>
  <c r="CR372" i="53"/>
  <c r="CS372" i="53" s="1"/>
  <c r="CR373" i="53"/>
  <c r="CS373" i="53" s="1"/>
  <c r="CR374" i="53"/>
  <c r="CS374" i="53" s="1"/>
  <c r="CR375" i="53"/>
  <c r="CS375" i="53" s="1"/>
  <c r="CR376" i="53"/>
  <c r="CS376" i="53" s="1"/>
  <c r="CR377" i="53"/>
  <c r="CS377" i="53" s="1"/>
  <c r="CR378" i="53"/>
  <c r="CS378" i="53" s="1"/>
  <c r="CR379" i="53"/>
  <c r="CS379" i="53" s="1"/>
  <c r="CR380" i="53"/>
  <c r="CS380" i="53" s="1"/>
  <c r="CR381" i="53"/>
  <c r="CS381" i="53" s="1"/>
  <c r="CR382" i="53"/>
  <c r="CS382" i="53" s="1"/>
  <c r="CR383" i="53"/>
  <c r="CS383" i="53" s="1"/>
  <c r="CR384" i="53"/>
  <c r="CS384" i="53" s="1"/>
  <c r="CR385" i="53"/>
  <c r="CS385" i="53" s="1"/>
  <c r="CR386" i="53"/>
  <c r="CS386" i="53" s="1"/>
  <c r="CR387" i="53"/>
  <c r="CS387" i="53" s="1"/>
  <c r="CR388" i="53"/>
  <c r="CS388" i="53" s="1"/>
  <c r="CR389" i="53"/>
  <c r="CS389" i="53" s="1"/>
  <c r="CR390" i="53"/>
  <c r="CS390" i="53" s="1"/>
  <c r="CR391" i="53"/>
  <c r="CS391" i="53" s="1"/>
  <c r="CR392" i="53"/>
  <c r="CS392" i="53" s="1"/>
  <c r="CR393" i="53"/>
  <c r="CS393" i="53" s="1"/>
  <c r="CR394" i="53"/>
  <c r="CS394" i="53" s="1"/>
  <c r="CR395" i="53"/>
  <c r="CS395" i="53" s="1"/>
  <c r="CR396" i="53"/>
  <c r="CS396" i="53" s="1"/>
  <c r="CR397" i="53"/>
  <c r="CS397" i="53" s="1"/>
  <c r="CR398" i="53"/>
  <c r="CS398" i="53" s="1"/>
  <c r="CR399" i="53"/>
  <c r="CS399" i="53" s="1"/>
  <c r="CR400" i="53"/>
  <c r="CS400" i="53" s="1"/>
  <c r="CR401" i="53"/>
  <c r="CS401" i="53" s="1"/>
  <c r="CR402" i="53"/>
  <c r="CS402" i="53" s="1"/>
  <c r="CR403" i="53"/>
  <c r="CS403" i="53" s="1"/>
  <c r="CR404" i="53"/>
  <c r="CS404" i="53" s="1"/>
  <c r="CR405" i="53"/>
  <c r="CS405" i="53" s="1"/>
  <c r="CR406" i="53"/>
  <c r="CS406" i="53" s="1"/>
  <c r="CR407" i="53"/>
  <c r="CS407" i="53" s="1"/>
  <c r="CR408" i="53"/>
  <c r="CS408" i="53" s="1"/>
  <c r="CR409" i="53"/>
  <c r="CS409" i="53" s="1"/>
  <c r="CR410" i="53"/>
  <c r="CS410" i="53" s="1"/>
  <c r="CR411" i="53"/>
  <c r="CS411" i="53" s="1"/>
  <c r="CR412" i="53"/>
  <c r="CS412" i="53" s="1"/>
  <c r="CR413" i="53"/>
  <c r="CS413" i="53" s="1"/>
  <c r="CR414" i="53"/>
  <c r="CS414" i="53" s="1"/>
  <c r="CR415" i="53"/>
  <c r="CS415" i="53" s="1"/>
  <c r="CR416" i="53"/>
  <c r="CS416" i="53" s="1"/>
  <c r="CR417" i="53"/>
  <c r="CS417" i="53" s="1"/>
  <c r="CR418" i="53"/>
  <c r="CS418" i="53" s="1"/>
  <c r="CR419" i="53"/>
  <c r="CS419" i="53" s="1"/>
  <c r="CR420" i="53"/>
  <c r="CS420" i="53" s="1"/>
  <c r="CR421" i="53"/>
  <c r="CS421" i="53" s="1"/>
  <c r="CR422" i="53"/>
  <c r="CS422" i="53" s="1"/>
  <c r="CR423" i="53"/>
  <c r="CS423" i="53" s="1"/>
  <c r="CR424" i="53"/>
  <c r="CS424" i="53" s="1"/>
  <c r="CR425" i="53"/>
  <c r="CS425" i="53" s="1"/>
  <c r="CR426" i="53"/>
  <c r="CS426" i="53" s="1"/>
  <c r="CR427" i="53"/>
  <c r="CS427" i="53" s="1"/>
  <c r="CR428" i="53"/>
  <c r="CS428" i="53" s="1"/>
  <c r="CR429" i="53"/>
  <c r="CS429" i="53" s="1"/>
  <c r="CR430" i="53"/>
  <c r="CS430" i="53" s="1"/>
  <c r="CR431" i="53"/>
  <c r="CS431" i="53" s="1"/>
  <c r="CR432" i="53"/>
  <c r="CS432" i="53" s="1"/>
  <c r="CR433" i="53"/>
  <c r="CS433" i="53" s="1"/>
  <c r="CR434" i="53"/>
  <c r="CS434" i="53" s="1"/>
  <c r="CR435" i="53"/>
  <c r="CS435" i="53" s="1"/>
  <c r="CR436" i="53"/>
  <c r="CS436" i="53" s="1"/>
  <c r="CR437" i="53"/>
  <c r="CS437" i="53" s="1"/>
  <c r="CR438" i="53"/>
  <c r="CS438" i="53" s="1"/>
  <c r="CR439" i="53"/>
  <c r="CS439" i="53" s="1"/>
  <c r="CR440" i="53"/>
  <c r="CS440" i="53" s="1"/>
  <c r="CR441" i="53"/>
  <c r="CS441" i="53" s="1"/>
  <c r="CR442" i="53"/>
  <c r="CS442" i="53" s="1"/>
  <c r="CR443" i="53"/>
  <c r="CS443" i="53" s="1"/>
  <c r="CR444" i="53"/>
  <c r="CS444" i="53" s="1"/>
  <c r="CR445" i="53"/>
  <c r="CS445" i="53" s="1"/>
  <c r="CR446" i="53"/>
  <c r="CS446" i="53" s="1"/>
  <c r="CR447" i="53"/>
  <c r="CS447" i="53" s="1"/>
  <c r="CR448" i="53"/>
  <c r="CS448" i="53" s="1"/>
  <c r="CR449" i="53"/>
  <c r="CS449" i="53" s="1"/>
  <c r="CR450" i="53"/>
  <c r="CS450" i="53" s="1"/>
  <c r="CR451" i="53"/>
  <c r="CS451" i="53" s="1"/>
  <c r="CR452" i="53"/>
  <c r="CS452" i="53" s="1"/>
  <c r="CR453" i="53"/>
  <c r="CS453" i="53" s="1"/>
  <c r="CR454" i="53"/>
  <c r="CS454" i="53" s="1"/>
  <c r="CR455" i="53"/>
  <c r="CS455" i="53" s="1"/>
  <c r="CR456" i="53"/>
  <c r="CS456" i="53" s="1"/>
  <c r="CR457" i="53"/>
  <c r="CS457" i="53" s="1"/>
  <c r="CR458" i="53"/>
  <c r="CS458" i="53" s="1"/>
  <c r="CR459" i="53"/>
  <c r="CS459" i="53" s="1"/>
  <c r="CR460" i="53"/>
  <c r="CS460" i="53" s="1"/>
  <c r="CR461" i="53"/>
  <c r="CS461" i="53" s="1"/>
  <c r="CR462" i="53"/>
  <c r="CS462" i="53" s="1"/>
  <c r="CR463" i="53"/>
  <c r="CS463" i="53" s="1"/>
  <c r="CR464" i="53"/>
  <c r="CS464" i="53" s="1"/>
  <c r="CR465" i="53"/>
  <c r="CS465" i="53" s="1"/>
  <c r="CR466" i="53"/>
  <c r="CS466" i="53" s="1"/>
  <c r="CR467" i="53"/>
  <c r="CS467" i="53" s="1"/>
  <c r="CR468" i="53"/>
  <c r="CS468" i="53" s="1"/>
  <c r="CR469" i="53"/>
  <c r="CS469" i="53" s="1"/>
  <c r="CR470" i="53"/>
  <c r="CS470" i="53" s="1"/>
  <c r="CR471" i="53"/>
  <c r="CS471" i="53" s="1"/>
  <c r="CR472" i="53"/>
  <c r="CS472" i="53" s="1"/>
  <c r="CR473" i="53"/>
  <c r="CS473" i="53" s="1"/>
  <c r="CR474" i="53"/>
  <c r="CS474" i="53" s="1"/>
  <c r="CR475" i="53"/>
  <c r="CS475" i="53" s="1"/>
  <c r="CR476" i="53"/>
  <c r="CS476" i="53" s="1"/>
  <c r="CR477" i="53"/>
  <c r="CS477" i="53" s="1"/>
  <c r="CR478" i="53"/>
  <c r="CS478" i="53" s="1"/>
  <c r="CR479" i="53"/>
  <c r="CS479" i="53" s="1"/>
  <c r="CR480" i="53"/>
  <c r="CS480" i="53" s="1"/>
  <c r="CR481" i="53"/>
  <c r="CS481" i="53" s="1"/>
  <c r="CR482" i="53"/>
  <c r="CS482" i="53" s="1"/>
  <c r="CR483" i="53"/>
  <c r="CS483" i="53" s="1"/>
  <c r="CR484" i="53"/>
  <c r="CS484" i="53" s="1"/>
  <c r="CR485" i="53"/>
  <c r="CS485" i="53" s="1"/>
  <c r="CR486" i="53"/>
  <c r="CS486" i="53" s="1"/>
  <c r="CR487" i="53"/>
  <c r="CS487" i="53" s="1"/>
  <c r="CR488" i="53"/>
  <c r="CS488" i="53" s="1"/>
  <c r="CR489" i="53"/>
  <c r="CS489" i="53" s="1"/>
  <c r="CR490" i="53"/>
  <c r="CS490" i="53" s="1"/>
  <c r="CR491" i="53"/>
  <c r="CS491" i="53" s="1"/>
  <c r="CR492" i="53"/>
  <c r="CS492" i="53" s="1"/>
  <c r="CR493" i="53"/>
  <c r="CS493" i="53" s="1"/>
  <c r="CR494" i="53"/>
  <c r="CS494" i="53" s="1"/>
  <c r="CR495" i="53"/>
  <c r="CS495" i="53" s="1"/>
  <c r="CR496" i="53"/>
  <c r="CS496" i="53" s="1"/>
  <c r="CR497" i="53"/>
  <c r="CS497" i="53" s="1"/>
  <c r="CR498" i="53"/>
  <c r="CS498" i="53" s="1"/>
  <c r="CR499" i="53"/>
  <c r="CS499" i="53" s="1"/>
  <c r="CR500" i="53"/>
  <c r="CS500" i="53" s="1"/>
  <c r="CR501" i="53"/>
  <c r="CS501" i="53" s="1"/>
  <c r="CR502" i="53"/>
  <c r="CS502" i="53" s="1"/>
  <c r="CR503" i="53"/>
  <c r="CS503" i="53" s="1"/>
  <c r="CR504" i="53"/>
  <c r="CS504" i="53" s="1"/>
  <c r="CR505" i="53"/>
  <c r="CS505" i="53" s="1"/>
  <c r="CR506" i="53"/>
  <c r="CS506" i="53" s="1"/>
  <c r="CR507" i="53"/>
  <c r="CS507" i="53" s="1"/>
  <c r="CR508" i="53"/>
  <c r="CS508" i="53" s="1"/>
  <c r="CR509" i="53"/>
  <c r="CS509" i="53" s="1"/>
  <c r="CR510" i="53"/>
  <c r="CS510" i="53" s="1"/>
  <c r="CR511" i="53"/>
  <c r="CS511" i="53" s="1"/>
  <c r="CR512" i="53"/>
  <c r="CS512" i="53" s="1"/>
  <c r="CR513" i="53"/>
  <c r="CS513" i="53" s="1"/>
  <c r="CR514" i="53"/>
  <c r="CS514" i="53" s="1"/>
  <c r="CR515" i="53"/>
  <c r="CS515" i="53" s="1"/>
  <c r="CR516" i="53"/>
  <c r="CS516" i="53" s="1"/>
  <c r="CR517" i="53"/>
  <c r="CS517" i="53" s="1"/>
  <c r="CR518" i="53"/>
  <c r="CS518" i="53" s="1"/>
  <c r="CR519" i="53"/>
  <c r="CS519" i="53" s="1"/>
  <c r="CR520" i="53"/>
  <c r="CS520" i="53" s="1"/>
  <c r="CR521" i="53"/>
  <c r="CS521" i="53" s="1"/>
  <c r="CR522" i="53"/>
  <c r="CS522" i="53" s="1"/>
  <c r="CR523" i="53"/>
  <c r="CS523" i="53" s="1"/>
  <c r="CR524" i="53"/>
  <c r="CS524" i="53" s="1"/>
  <c r="CR525" i="53"/>
  <c r="CS525" i="53" s="1"/>
  <c r="CR526" i="53"/>
  <c r="CS526" i="53" s="1"/>
  <c r="CR527" i="53"/>
  <c r="CS527" i="53" s="1"/>
  <c r="CR528" i="53"/>
  <c r="CS528" i="53" s="1"/>
  <c r="CR529" i="53"/>
  <c r="CS529" i="53" s="1"/>
  <c r="CR530" i="53"/>
  <c r="CS530" i="53" s="1"/>
  <c r="CR531" i="53"/>
  <c r="CS531" i="53" s="1"/>
  <c r="CR532" i="53"/>
  <c r="CS532" i="53" s="1"/>
  <c r="CR533" i="53"/>
  <c r="CS533" i="53" s="1"/>
  <c r="CR534" i="53"/>
  <c r="CS534" i="53" s="1"/>
  <c r="CR535" i="53"/>
  <c r="CS535" i="53" s="1"/>
  <c r="CR536" i="53"/>
  <c r="CS536" i="53" s="1"/>
  <c r="CR537" i="53"/>
  <c r="CS537" i="53" s="1"/>
  <c r="CR538" i="53"/>
  <c r="CS538" i="53" s="1"/>
  <c r="CR539" i="53"/>
  <c r="CS539" i="53" s="1"/>
  <c r="CR540" i="53"/>
  <c r="CS540" i="53" s="1"/>
  <c r="CR541" i="53"/>
  <c r="CS541" i="53" s="1"/>
  <c r="CR542" i="53"/>
  <c r="CS542" i="53" s="1"/>
  <c r="CR543" i="53"/>
  <c r="CS543" i="53" s="1"/>
  <c r="CR544" i="53"/>
  <c r="CS544" i="53" s="1"/>
  <c r="CR545" i="53"/>
  <c r="CS545" i="53" s="1"/>
  <c r="CR546" i="53"/>
  <c r="CS546" i="53" s="1"/>
  <c r="CR547" i="53"/>
  <c r="CS547" i="53" s="1"/>
  <c r="CR548" i="53"/>
  <c r="CS548" i="53" s="1"/>
  <c r="CR549" i="53"/>
  <c r="CS549" i="53" s="1"/>
  <c r="CR550" i="53"/>
  <c r="CS550" i="53" s="1"/>
  <c r="CR551" i="53"/>
  <c r="CS551" i="53" s="1"/>
  <c r="CR552" i="53"/>
  <c r="CS552" i="53" s="1"/>
  <c r="CR553" i="53"/>
  <c r="CS553" i="53" s="1"/>
  <c r="CR554" i="53"/>
  <c r="CS554" i="53" s="1"/>
  <c r="CR555" i="53"/>
  <c r="CS555" i="53" s="1"/>
  <c r="CR556" i="53"/>
  <c r="CS556" i="53" s="1"/>
  <c r="CR557" i="53"/>
  <c r="CS557" i="53" s="1"/>
  <c r="CR558" i="53"/>
  <c r="CS558" i="53" s="1"/>
  <c r="CR559" i="53"/>
  <c r="CS559" i="53" s="1"/>
  <c r="CR560" i="53"/>
  <c r="CS560" i="53" s="1"/>
  <c r="CR561" i="53"/>
  <c r="CS561" i="53" s="1"/>
  <c r="CR562" i="53"/>
  <c r="CS562" i="53" s="1"/>
  <c r="CR563" i="53"/>
  <c r="CS563" i="53" s="1"/>
  <c r="CR564" i="53"/>
  <c r="CS564" i="53" s="1"/>
  <c r="CR565" i="53"/>
  <c r="CS565" i="53" s="1"/>
  <c r="CR566" i="53"/>
  <c r="CS566" i="53" s="1"/>
  <c r="CR567" i="53"/>
  <c r="CS567" i="53" s="1"/>
  <c r="CR568" i="53"/>
  <c r="CS568" i="53" s="1"/>
  <c r="CR569" i="53"/>
  <c r="CS569" i="53" s="1"/>
  <c r="CR570" i="53"/>
  <c r="CS570" i="53" s="1"/>
  <c r="CR571" i="53"/>
  <c r="CS571" i="53" s="1"/>
  <c r="CR572" i="53"/>
  <c r="CS572" i="53" s="1"/>
  <c r="CR573" i="53"/>
  <c r="CS573" i="53" s="1"/>
  <c r="CR574" i="53"/>
  <c r="CS574" i="53" s="1"/>
  <c r="CR575" i="53"/>
  <c r="CS575" i="53" s="1"/>
  <c r="CR576" i="53"/>
  <c r="CS576" i="53" s="1"/>
  <c r="CR577" i="53"/>
  <c r="CS577" i="53" s="1"/>
  <c r="CR578" i="53"/>
  <c r="CS578" i="53" s="1"/>
  <c r="CR579" i="53"/>
  <c r="CS579" i="53" s="1"/>
  <c r="CR580" i="53"/>
  <c r="CS580" i="53" s="1"/>
  <c r="CR581" i="53"/>
  <c r="CS581" i="53" s="1"/>
  <c r="CR582" i="53"/>
  <c r="CS582" i="53" s="1"/>
  <c r="CR583" i="53"/>
  <c r="CS583" i="53" s="1"/>
  <c r="CR584" i="53"/>
  <c r="CS584" i="53" s="1"/>
  <c r="CR585" i="53"/>
  <c r="CS585" i="53" s="1"/>
  <c r="CR586" i="53"/>
  <c r="CS586" i="53" s="1"/>
  <c r="CR587" i="53"/>
  <c r="CS587" i="53" s="1"/>
  <c r="CR588" i="53"/>
  <c r="CS588" i="53" s="1"/>
  <c r="CR589" i="53"/>
  <c r="CS589" i="53" s="1"/>
  <c r="CR590" i="53"/>
  <c r="CS590" i="53" s="1"/>
  <c r="CR591" i="53"/>
  <c r="CS591" i="53" s="1"/>
  <c r="CR592" i="53"/>
  <c r="CS592" i="53" s="1"/>
  <c r="CR593" i="53"/>
  <c r="CS593" i="53" s="1"/>
  <c r="CR594" i="53"/>
  <c r="CS594" i="53" s="1"/>
  <c r="CR595" i="53"/>
  <c r="CS595" i="53" s="1"/>
  <c r="CR596" i="53"/>
  <c r="CS596" i="53" s="1"/>
  <c r="CR597" i="53"/>
  <c r="CS597" i="53" s="1"/>
  <c r="CR598" i="53"/>
  <c r="CS598" i="53" s="1"/>
  <c r="CR599" i="53"/>
  <c r="CS599" i="53" s="1"/>
  <c r="CR600" i="53"/>
  <c r="CS600" i="53" s="1"/>
  <c r="CR601" i="53"/>
  <c r="CS601" i="53" s="1"/>
  <c r="CR602" i="53"/>
  <c r="CS602" i="53" s="1"/>
  <c r="CR603" i="53"/>
  <c r="CS603" i="53" s="1"/>
  <c r="CR604" i="53"/>
  <c r="CS604" i="53" s="1"/>
  <c r="CR605" i="53"/>
  <c r="CS605" i="53" s="1"/>
  <c r="CR606" i="53"/>
  <c r="CS606" i="53" s="1"/>
  <c r="CR607" i="53"/>
  <c r="CS607" i="53" s="1"/>
  <c r="CR608" i="53"/>
  <c r="CS608" i="53" s="1"/>
  <c r="CR609" i="53"/>
  <c r="CS609" i="53" s="1"/>
  <c r="CR610" i="53"/>
  <c r="CS610" i="53" s="1"/>
  <c r="CR611" i="53"/>
  <c r="CS611" i="53" s="1"/>
  <c r="CR612" i="53"/>
  <c r="CS612" i="53" s="1"/>
  <c r="CR613" i="53"/>
  <c r="CS613" i="53" s="1"/>
  <c r="CR614" i="53"/>
  <c r="CS614" i="53" s="1"/>
  <c r="CR615" i="53"/>
  <c r="CS615" i="53" s="1"/>
  <c r="CR616" i="53"/>
  <c r="CS616" i="53" s="1"/>
  <c r="CR617" i="53"/>
  <c r="CS617" i="53" s="1"/>
  <c r="CR618" i="53"/>
  <c r="CS618" i="53" s="1"/>
  <c r="CR619" i="53"/>
  <c r="CS619" i="53" s="1"/>
  <c r="CR620" i="53"/>
  <c r="CS620" i="53" s="1"/>
  <c r="CR621" i="53"/>
  <c r="CS621" i="53" s="1"/>
  <c r="CR622" i="53"/>
  <c r="CS622" i="53" s="1"/>
  <c r="CR623" i="53"/>
  <c r="CS623" i="53" s="1"/>
  <c r="CR624" i="53"/>
  <c r="CS624" i="53" s="1"/>
  <c r="CR625" i="53"/>
  <c r="CS625" i="53" s="1"/>
  <c r="CR626" i="53"/>
  <c r="CS626" i="53" s="1"/>
  <c r="CR627" i="53"/>
  <c r="CS627" i="53" s="1"/>
  <c r="CR628" i="53"/>
  <c r="CS628" i="53" s="1"/>
  <c r="CR629" i="53"/>
  <c r="CS629" i="53" s="1"/>
  <c r="CR630" i="53"/>
  <c r="CS630" i="53" s="1"/>
  <c r="CR631" i="53"/>
  <c r="CS631" i="53" s="1"/>
  <c r="CR632" i="53"/>
  <c r="CS632" i="53" s="1"/>
  <c r="CR633" i="53"/>
  <c r="CS633" i="53" s="1"/>
  <c r="CR634" i="53"/>
  <c r="CS634" i="53" s="1"/>
  <c r="CR635" i="53"/>
  <c r="CS635" i="53" s="1"/>
  <c r="CR636" i="53"/>
  <c r="CS636" i="53" s="1"/>
  <c r="CR637" i="53"/>
  <c r="CS637" i="53" s="1"/>
  <c r="CR638" i="53"/>
  <c r="CS638" i="53" s="1"/>
  <c r="CR639" i="53"/>
  <c r="CS639" i="53" s="1"/>
  <c r="CR640" i="53"/>
  <c r="CS640" i="53" s="1"/>
  <c r="CR641" i="53"/>
  <c r="CS641" i="53" s="1"/>
  <c r="CR642" i="53"/>
  <c r="CS642" i="53" s="1"/>
  <c r="CR643" i="53"/>
  <c r="CS643" i="53" s="1"/>
  <c r="CR644" i="53"/>
  <c r="CS644" i="53" s="1"/>
  <c r="CR645" i="53"/>
  <c r="CS645" i="53" s="1"/>
  <c r="CR646" i="53"/>
  <c r="CS646" i="53" s="1"/>
  <c r="CR647" i="53"/>
  <c r="CS647" i="53" s="1"/>
  <c r="CR648" i="53"/>
  <c r="CS648" i="53" s="1"/>
  <c r="CR649" i="53"/>
  <c r="CS649" i="53" s="1"/>
  <c r="CR650" i="53"/>
  <c r="CS650" i="53" s="1"/>
  <c r="CR651" i="53"/>
  <c r="CS651" i="53" s="1"/>
  <c r="CR652" i="53"/>
  <c r="CS652" i="53" s="1"/>
  <c r="CR653" i="53"/>
  <c r="CS653" i="53" s="1"/>
  <c r="CR654" i="53"/>
  <c r="CS654" i="53" s="1"/>
  <c r="CR655" i="53"/>
  <c r="CS655" i="53" s="1"/>
  <c r="CR656" i="53"/>
  <c r="CS656" i="53" s="1"/>
  <c r="CR657" i="53"/>
  <c r="CS657" i="53" s="1"/>
  <c r="CR658" i="53"/>
  <c r="CS658" i="53" s="1"/>
  <c r="CR659" i="53"/>
  <c r="CS659" i="53" s="1"/>
  <c r="CR660" i="53"/>
  <c r="CS660" i="53" s="1"/>
  <c r="CR661" i="53"/>
  <c r="CS661" i="53" s="1"/>
  <c r="CR662" i="53"/>
  <c r="CS662" i="53" s="1"/>
  <c r="CR663" i="53"/>
  <c r="CS663" i="53" s="1"/>
  <c r="CR664" i="53"/>
  <c r="CS664" i="53" s="1"/>
  <c r="CR665" i="53"/>
  <c r="CS665" i="53" s="1"/>
  <c r="CR666" i="53"/>
  <c r="CS666" i="53" s="1"/>
  <c r="CR667" i="53"/>
  <c r="CS667" i="53" s="1"/>
  <c r="CR668" i="53"/>
  <c r="CS668" i="53" s="1"/>
  <c r="CR669" i="53"/>
  <c r="CS669" i="53" s="1"/>
  <c r="CR670" i="53"/>
  <c r="CS670" i="53" s="1"/>
  <c r="CR671" i="53"/>
  <c r="CS671" i="53" s="1"/>
  <c r="CR672" i="53"/>
  <c r="CS672" i="53" s="1"/>
  <c r="CR673" i="53"/>
  <c r="CS673" i="53" s="1"/>
  <c r="CR674" i="53"/>
  <c r="CS674" i="53" s="1"/>
  <c r="CR675" i="53"/>
  <c r="CS675" i="53" s="1"/>
  <c r="CR676" i="53"/>
  <c r="CS676" i="53" s="1"/>
  <c r="CR677" i="53"/>
  <c r="CS677" i="53" s="1"/>
  <c r="CR678" i="53"/>
  <c r="CS678" i="53" s="1"/>
  <c r="CR679" i="53"/>
  <c r="CS679" i="53" s="1"/>
  <c r="CR680" i="53"/>
  <c r="CS680" i="53" s="1"/>
  <c r="CR681" i="53"/>
  <c r="CS681" i="53" s="1"/>
  <c r="CR682" i="53"/>
  <c r="CS682" i="53" s="1"/>
  <c r="CR683" i="53"/>
  <c r="CS683" i="53" s="1"/>
  <c r="CR684" i="53"/>
  <c r="CS684" i="53" s="1"/>
  <c r="CR685" i="53"/>
  <c r="CS685" i="53" s="1"/>
  <c r="CR686" i="53"/>
  <c r="CS686" i="53" s="1"/>
  <c r="CR687" i="53"/>
  <c r="CS687" i="53" s="1"/>
  <c r="CR688" i="53"/>
  <c r="CS688" i="53" s="1"/>
  <c r="CR689" i="53"/>
  <c r="CS689" i="53" s="1"/>
  <c r="CR690" i="53"/>
  <c r="CS690" i="53" s="1"/>
  <c r="CR691" i="53"/>
  <c r="CS691" i="53" s="1"/>
  <c r="CR692" i="53"/>
  <c r="CS692" i="53" s="1"/>
  <c r="CR693" i="53"/>
  <c r="CS693" i="53" s="1"/>
  <c r="CR694" i="53"/>
  <c r="CS694" i="53" s="1"/>
  <c r="CR695" i="53"/>
  <c r="CS695" i="53" s="1"/>
  <c r="CR696" i="53"/>
  <c r="CS696" i="53" s="1"/>
  <c r="CR697" i="53"/>
  <c r="CS697" i="53" s="1"/>
  <c r="CR698" i="53"/>
  <c r="CS698" i="53" s="1"/>
  <c r="CR699" i="53"/>
  <c r="CS699" i="53" s="1"/>
  <c r="CR700" i="53"/>
  <c r="CS700" i="53" s="1"/>
  <c r="CR701" i="53"/>
  <c r="CS701" i="53" s="1"/>
  <c r="CR702" i="53"/>
  <c r="CS702" i="53" s="1"/>
  <c r="CR703" i="53"/>
  <c r="CS703" i="53" s="1"/>
  <c r="CR704" i="53"/>
  <c r="CS704" i="53" s="1"/>
  <c r="CR705" i="53"/>
  <c r="CS705" i="53" s="1"/>
  <c r="CR706" i="53"/>
  <c r="CS706" i="53" s="1"/>
  <c r="CR707" i="53"/>
  <c r="CS707" i="53" s="1"/>
  <c r="CR708" i="53"/>
  <c r="CS708" i="53" s="1"/>
  <c r="CR709" i="53"/>
  <c r="CS709" i="53" s="1"/>
  <c r="CR710" i="53"/>
  <c r="CS710" i="53" s="1"/>
  <c r="CR711" i="53"/>
  <c r="CS711" i="53" s="1"/>
  <c r="CR712" i="53"/>
  <c r="CS712" i="53" s="1"/>
  <c r="CR713" i="53"/>
  <c r="CS713" i="53" s="1"/>
  <c r="CR714" i="53"/>
  <c r="CS714" i="53" s="1"/>
  <c r="CR715" i="53"/>
  <c r="CS715" i="53" s="1"/>
  <c r="CR716" i="53"/>
  <c r="CS716" i="53" s="1"/>
  <c r="CR717" i="53"/>
  <c r="CS717" i="53" s="1"/>
  <c r="CR718" i="53"/>
  <c r="CS718" i="53" s="1"/>
  <c r="CR719" i="53"/>
  <c r="CS719" i="53" s="1"/>
  <c r="CR720" i="53"/>
  <c r="CS720" i="53" s="1"/>
  <c r="CR721" i="53"/>
  <c r="CS721" i="53" s="1"/>
  <c r="CR722" i="53"/>
  <c r="CS722" i="53" s="1"/>
  <c r="CR723" i="53"/>
  <c r="CS723" i="53" s="1"/>
  <c r="CR724" i="53"/>
  <c r="CS724" i="53" s="1"/>
  <c r="CR725" i="53"/>
  <c r="CS725" i="53" s="1"/>
  <c r="CR726" i="53"/>
  <c r="CS726" i="53" s="1"/>
  <c r="CR727" i="53"/>
  <c r="CS727" i="53" s="1"/>
  <c r="CR728" i="53"/>
  <c r="CS728" i="53" s="1"/>
  <c r="CR729" i="53"/>
  <c r="CS729" i="53" s="1"/>
  <c r="CR730" i="53"/>
  <c r="CS730" i="53" s="1"/>
  <c r="CR731" i="53"/>
  <c r="CS731" i="53" s="1"/>
  <c r="CR732" i="53"/>
  <c r="CS732" i="53" s="1"/>
  <c r="CR733" i="53"/>
  <c r="CS733" i="53" s="1"/>
  <c r="CR734" i="53"/>
  <c r="CS734" i="53" s="1"/>
  <c r="CR735" i="53"/>
  <c r="CS735" i="53" s="1"/>
  <c r="CR736" i="53"/>
  <c r="CS736" i="53" s="1"/>
  <c r="CR737" i="53"/>
  <c r="CS737" i="53" s="1"/>
  <c r="CR738" i="53"/>
  <c r="CS738" i="53" s="1"/>
  <c r="CR739" i="53"/>
  <c r="CS739" i="53" s="1"/>
  <c r="CR740" i="53"/>
  <c r="CS740" i="53" s="1"/>
  <c r="CR741" i="53"/>
  <c r="CS741" i="53" s="1"/>
  <c r="CR742" i="53"/>
  <c r="CS742" i="53" s="1"/>
  <c r="CR743" i="53"/>
  <c r="CS743" i="53" s="1"/>
  <c r="CR744" i="53"/>
  <c r="CS744" i="53" s="1"/>
  <c r="CR745" i="53"/>
  <c r="CS745" i="53" s="1"/>
  <c r="CR746" i="53"/>
  <c r="CS746" i="53" s="1"/>
  <c r="CR747" i="53"/>
  <c r="CS747" i="53" s="1"/>
  <c r="CR748" i="53"/>
  <c r="CS748" i="53" s="1"/>
  <c r="CR749" i="53"/>
  <c r="CS749" i="53" s="1"/>
  <c r="CR750" i="53"/>
  <c r="CS750" i="53" s="1"/>
  <c r="CR751" i="53"/>
  <c r="CS751" i="53" s="1"/>
  <c r="CR752" i="53"/>
  <c r="CS752" i="53" s="1"/>
  <c r="CR753" i="53"/>
  <c r="CS753" i="53" s="1"/>
  <c r="CR754" i="53"/>
  <c r="CS754" i="53" s="1"/>
  <c r="CR755" i="53"/>
  <c r="CS755" i="53" s="1"/>
  <c r="CR756" i="53"/>
  <c r="CS756" i="53" s="1"/>
  <c r="CR757" i="53"/>
  <c r="CS757" i="53" s="1"/>
  <c r="CR758" i="53"/>
  <c r="CS758" i="53" s="1"/>
  <c r="CR759" i="53"/>
  <c r="CS759" i="53" s="1"/>
  <c r="CR760" i="53"/>
  <c r="CS760" i="53" s="1"/>
  <c r="CR761" i="53"/>
  <c r="CS761" i="53" s="1"/>
  <c r="CR762" i="53"/>
  <c r="CS762" i="53" s="1"/>
  <c r="CR763" i="53"/>
  <c r="CS763" i="53" s="1"/>
  <c r="CR764" i="53"/>
  <c r="CS764" i="53" s="1"/>
  <c r="CR765" i="53"/>
  <c r="CS765" i="53" s="1"/>
  <c r="CR766" i="53"/>
  <c r="CS766" i="53" s="1"/>
  <c r="CR767" i="53"/>
  <c r="CS767" i="53" s="1"/>
  <c r="CR768" i="53"/>
  <c r="CS768" i="53" s="1"/>
  <c r="CR769" i="53"/>
  <c r="CS769" i="53" s="1"/>
  <c r="CR770" i="53"/>
  <c r="CS770" i="53" s="1"/>
  <c r="CR771" i="53"/>
  <c r="CS771" i="53" s="1"/>
  <c r="CR772" i="53"/>
  <c r="CS772" i="53" s="1"/>
  <c r="CR773" i="53"/>
  <c r="CS773" i="53" s="1"/>
  <c r="CR774" i="53"/>
  <c r="CS774" i="53" s="1"/>
  <c r="CR775" i="53"/>
  <c r="CS775" i="53" s="1"/>
  <c r="CR776" i="53"/>
  <c r="CS776" i="53" s="1"/>
  <c r="CR777" i="53"/>
  <c r="CS777" i="53" s="1"/>
  <c r="CR778" i="53"/>
  <c r="CS778" i="53" s="1"/>
  <c r="CR779" i="53"/>
  <c r="CS779" i="53" s="1"/>
  <c r="CR780" i="53"/>
  <c r="CS780" i="53" s="1"/>
  <c r="CR781" i="53"/>
  <c r="CS781" i="53" s="1"/>
  <c r="CR782" i="53"/>
  <c r="CS782" i="53" s="1"/>
  <c r="CR783" i="53"/>
  <c r="CS783" i="53" s="1"/>
  <c r="CR784" i="53"/>
  <c r="CS784" i="53" s="1"/>
  <c r="CR785" i="53"/>
  <c r="CS785" i="53" s="1"/>
  <c r="CR786" i="53"/>
  <c r="CS786" i="53" s="1"/>
  <c r="CR787" i="53"/>
  <c r="CS787" i="53" s="1"/>
  <c r="CR788" i="53"/>
  <c r="CS788" i="53" s="1"/>
  <c r="CR789" i="53"/>
  <c r="CS789" i="53" s="1"/>
  <c r="CR790" i="53"/>
  <c r="CS790" i="53" s="1"/>
  <c r="CR791" i="53"/>
  <c r="CS791" i="53" s="1"/>
  <c r="CR792" i="53"/>
  <c r="CS792" i="53" s="1"/>
  <c r="CR793" i="53"/>
  <c r="CS793" i="53" s="1"/>
  <c r="CR794" i="53"/>
  <c r="CS794" i="53" s="1"/>
  <c r="CR795" i="53"/>
  <c r="CS795" i="53" s="1"/>
  <c r="CR796" i="53"/>
  <c r="CS796" i="53" s="1"/>
  <c r="CR797" i="53"/>
  <c r="CS797" i="53" s="1"/>
  <c r="CR798" i="53"/>
  <c r="CS798" i="53" s="1"/>
  <c r="CR799" i="53"/>
  <c r="CS799" i="53" s="1"/>
  <c r="CR800" i="53"/>
  <c r="CS800" i="53" s="1"/>
  <c r="CR801" i="53"/>
  <c r="CS801" i="53" s="1"/>
  <c r="CR802" i="53"/>
  <c r="CS802" i="53" s="1"/>
  <c r="CR803" i="53"/>
  <c r="CS803" i="53" s="1"/>
  <c r="CR804" i="53"/>
  <c r="CS804" i="53" s="1"/>
  <c r="CR805" i="53"/>
  <c r="CS805" i="53" s="1"/>
  <c r="CR806" i="53"/>
  <c r="CS806" i="53" s="1"/>
  <c r="CR807" i="53"/>
  <c r="CS807" i="53" s="1"/>
  <c r="CR808" i="53"/>
  <c r="CS808" i="53" s="1"/>
  <c r="CR809" i="53"/>
  <c r="CS809" i="53" s="1"/>
  <c r="CR810" i="53"/>
  <c r="CS810" i="53" s="1"/>
  <c r="CR811" i="53"/>
  <c r="CS811" i="53" s="1"/>
  <c r="CR812" i="53"/>
  <c r="CS812" i="53" s="1"/>
  <c r="CR813" i="53"/>
  <c r="CS813" i="53" s="1"/>
  <c r="CR814" i="53"/>
  <c r="CS814" i="53" s="1"/>
  <c r="CR815" i="53"/>
  <c r="CS815" i="53" s="1"/>
  <c r="CR816" i="53"/>
  <c r="CS816" i="53" s="1"/>
  <c r="CR817" i="53"/>
  <c r="CS817" i="53" s="1"/>
  <c r="CR818" i="53"/>
  <c r="CS818" i="53" s="1"/>
  <c r="CR819" i="53"/>
  <c r="CS819" i="53" s="1"/>
  <c r="CR820" i="53"/>
  <c r="CS820" i="53" s="1"/>
  <c r="CR821" i="53"/>
  <c r="CS821" i="53" s="1"/>
  <c r="CR822" i="53"/>
  <c r="CS822" i="53" s="1"/>
  <c r="CR823" i="53"/>
  <c r="CS823" i="53" s="1"/>
  <c r="CR824" i="53"/>
  <c r="CS824" i="53" s="1"/>
  <c r="CR825" i="53"/>
  <c r="CS825" i="53" s="1"/>
  <c r="CR826" i="53"/>
  <c r="CS826" i="53" s="1"/>
  <c r="CR827" i="53"/>
  <c r="CS827" i="53" s="1"/>
  <c r="CR828" i="53"/>
  <c r="CS828" i="53" s="1"/>
  <c r="CR829" i="53"/>
  <c r="CS829" i="53" s="1"/>
  <c r="CR830" i="53"/>
  <c r="CS830" i="53" s="1"/>
  <c r="CR831" i="53"/>
  <c r="CS831" i="53" s="1"/>
  <c r="CR832" i="53"/>
  <c r="CS832" i="53" s="1"/>
  <c r="CR833" i="53"/>
  <c r="CS833" i="53" s="1"/>
  <c r="CR834" i="53"/>
  <c r="CS834" i="53" s="1"/>
  <c r="CR835" i="53"/>
  <c r="CS835" i="53" s="1"/>
  <c r="CR836" i="53"/>
  <c r="CS836" i="53" s="1"/>
  <c r="CR837" i="53"/>
  <c r="CS837" i="53" s="1"/>
  <c r="CR838" i="53"/>
  <c r="CS838" i="53" s="1"/>
  <c r="CR839" i="53"/>
  <c r="CS839" i="53" s="1"/>
  <c r="CR840" i="53"/>
  <c r="CS840" i="53" s="1"/>
  <c r="CR841" i="53"/>
  <c r="CS841" i="53" s="1"/>
  <c r="CR842" i="53"/>
  <c r="CS842" i="53" s="1"/>
  <c r="CR843" i="53"/>
  <c r="CS843" i="53" s="1"/>
  <c r="CR844" i="53"/>
  <c r="CS844" i="53" s="1"/>
  <c r="CR845" i="53"/>
  <c r="CS845" i="53" s="1"/>
  <c r="CR846" i="53"/>
  <c r="CS846" i="53" s="1"/>
  <c r="CR847" i="53"/>
  <c r="CS847" i="53" s="1"/>
  <c r="CR848" i="53"/>
  <c r="CS848" i="53" s="1"/>
  <c r="CR849" i="53"/>
  <c r="CS849" i="53" s="1"/>
  <c r="CR850" i="53"/>
  <c r="CS850" i="53" s="1"/>
  <c r="CR851" i="53"/>
  <c r="CS851" i="53" s="1"/>
  <c r="CR852" i="53"/>
  <c r="CS852" i="53" s="1"/>
  <c r="CR853" i="53"/>
  <c r="CS853" i="53" s="1"/>
  <c r="CR854" i="53"/>
  <c r="CS854" i="53" s="1"/>
  <c r="CR855" i="53"/>
  <c r="CS855" i="53" s="1"/>
  <c r="CR856" i="53"/>
  <c r="CS856" i="53" s="1"/>
  <c r="CR857" i="53"/>
  <c r="CS857" i="53" s="1"/>
  <c r="CR858" i="53"/>
  <c r="CS858" i="53" s="1"/>
  <c r="CR859" i="53"/>
  <c r="CS859" i="53" s="1"/>
  <c r="CR860" i="53"/>
  <c r="CS860" i="53" s="1"/>
  <c r="CR861" i="53"/>
  <c r="CS861" i="53" s="1"/>
  <c r="CR862" i="53"/>
  <c r="CS862" i="53" s="1"/>
  <c r="CR863" i="53"/>
  <c r="CS863" i="53" s="1"/>
  <c r="CR864" i="53"/>
  <c r="CS864" i="53" s="1"/>
  <c r="CR865" i="53"/>
  <c r="CS865" i="53" s="1"/>
  <c r="CR866" i="53"/>
  <c r="CS866" i="53" s="1"/>
  <c r="CR867" i="53"/>
  <c r="CS867" i="53" s="1"/>
  <c r="CR868" i="53"/>
  <c r="CS868" i="53" s="1"/>
  <c r="CR869" i="53"/>
  <c r="CS869" i="53" s="1"/>
  <c r="CR870" i="53"/>
  <c r="CS870" i="53" s="1"/>
  <c r="CR871" i="53"/>
  <c r="CS871" i="53" s="1"/>
  <c r="CR872" i="53"/>
  <c r="CS872" i="53" s="1"/>
  <c r="CR873" i="53"/>
  <c r="CS873" i="53" s="1"/>
  <c r="CR874" i="53"/>
  <c r="CS874" i="53" s="1"/>
  <c r="CR875" i="53"/>
  <c r="CS875" i="53" s="1"/>
  <c r="CR876" i="53"/>
  <c r="CS876" i="53" s="1"/>
  <c r="CR877" i="53"/>
  <c r="CS877" i="53" s="1"/>
  <c r="CR878" i="53"/>
  <c r="CS878" i="53" s="1"/>
  <c r="CR879" i="53"/>
  <c r="CS879" i="53" s="1"/>
  <c r="CR880" i="53"/>
  <c r="CS880" i="53" s="1"/>
  <c r="CR881" i="53"/>
  <c r="CS881" i="53" s="1"/>
  <c r="CR882" i="53"/>
  <c r="CS882" i="53" s="1"/>
  <c r="CR883" i="53"/>
  <c r="CS883" i="53" s="1"/>
  <c r="CR884" i="53"/>
  <c r="CS884" i="53" s="1"/>
  <c r="CR885" i="53"/>
  <c r="CS885" i="53" s="1"/>
  <c r="CR886" i="53"/>
  <c r="CS886" i="53" s="1"/>
  <c r="CR887" i="53"/>
  <c r="CS887" i="53" s="1"/>
  <c r="CR888" i="53"/>
  <c r="CS888" i="53" s="1"/>
  <c r="CR889" i="53"/>
  <c r="CS889" i="53" s="1"/>
  <c r="CR890" i="53"/>
  <c r="CS890" i="53" s="1"/>
  <c r="CR891" i="53"/>
  <c r="CS891" i="53" s="1"/>
  <c r="CR892" i="53"/>
  <c r="CS892" i="53" s="1"/>
  <c r="CR893" i="53"/>
  <c r="CS893" i="53" s="1"/>
  <c r="CR894" i="53"/>
  <c r="CS894" i="53" s="1"/>
  <c r="CR895" i="53"/>
  <c r="CS895" i="53" s="1"/>
  <c r="CR896" i="53"/>
  <c r="CS896" i="53" s="1"/>
  <c r="CR897" i="53"/>
  <c r="CS897" i="53" s="1"/>
  <c r="CR898" i="53"/>
  <c r="CS898" i="53" s="1"/>
  <c r="CR899" i="53"/>
  <c r="CS899" i="53" s="1"/>
  <c r="CR900" i="53"/>
  <c r="CS900" i="53" s="1"/>
  <c r="CR901" i="53"/>
  <c r="CS901" i="53" s="1"/>
  <c r="CR902" i="53"/>
  <c r="CS902" i="53" s="1"/>
  <c r="CR903" i="53"/>
  <c r="CS903" i="53" s="1"/>
  <c r="CR904" i="53"/>
  <c r="CS904" i="53" s="1"/>
  <c r="CR905" i="53"/>
  <c r="CS905" i="53" s="1"/>
  <c r="CR906" i="53"/>
  <c r="CS906" i="53" s="1"/>
  <c r="CR907" i="53"/>
  <c r="CS907" i="53" s="1"/>
  <c r="CR908" i="53"/>
  <c r="CS908" i="53" s="1"/>
  <c r="CR909" i="53"/>
  <c r="CS909" i="53" s="1"/>
  <c r="CR910" i="53"/>
  <c r="CS910" i="53" s="1"/>
  <c r="CR911" i="53"/>
  <c r="CS911" i="53" s="1"/>
  <c r="CR912" i="53"/>
  <c r="CS912" i="53" s="1"/>
  <c r="CR913" i="53"/>
  <c r="CS913" i="53" s="1"/>
  <c r="CR914" i="53"/>
  <c r="CS914" i="53" s="1"/>
  <c r="CR915" i="53"/>
  <c r="CS915" i="53" s="1"/>
  <c r="CR916" i="53"/>
  <c r="CS916" i="53" s="1"/>
  <c r="CR917" i="53"/>
  <c r="CS917" i="53" s="1"/>
  <c r="CR918" i="53"/>
  <c r="CS918" i="53" s="1"/>
  <c r="CR919" i="53"/>
  <c r="CS919" i="53" s="1"/>
  <c r="CR920" i="53"/>
  <c r="CS920" i="53" s="1"/>
  <c r="CR921" i="53"/>
  <c r="CS921" i="53" s="1"/>
  <c r="CR922" i="53"/>
  <c r="CS922" i="53" s="1"/>
  <c r="CR923" i="53"/>
  <c r="CS923" i="53" s="1"/>
  <c r="CR924" i="53"/>
  <c r="CS924" i="53" s="1"/>
  <c r="CR925" i="53"/>
  <c r="CS925" i="53" s="1"/>
  <c r="CR926" i="53"/>
  <c r="CS926" i="53" s="1"/>
  <c r="CR927" i="53"/>
  <c r="CS927" i="53" s="1"/>
  <c r="CR928" i="53"/>
  <c r="CS928" i="53" s="1"/>
  <c r="CR929" i="53"/>
  <c r="CS929" i="53" s="1"/>
  <c r="CR930" i="53"/>
  <c r="CS930" i="53" s="1"/>
  <c r="CR931" i="53"/>
  <c r="CS931" i="53" s="1"/>
  <c r="CR932" i="53"/>
  <c r="CS932" i="53" s="1"/>
  <c r="CR933" i="53"/>
  <c r="CS933" i="53" s="1"/>
  <c r="CR934" i="53"/>
  <c r="CS934" i="53" s="1"/>
  <c r="CR935" i="53"/>
  <c r="CS935" i="53" s="1"/>
  <c r="CR936" i="53"/>
  <c r="CS936" i="53" s="1"/>
  <c r="CR937" i="53"/>
  <c r="CS937" i="53" s="1"/>
  <c r="CR938" i="53"/>
  <c r="CS938" i="53" s="1"/>
  <c r="CR939" i="53"/>
  <c r="CS939" i="53" s="1"/>
  <c r="CR940" i="53"/>
  <c r="CS940" i="53" s="1"/>
  <c r="CR941" i="53"/>
  <c r="CS941" i="53" s="1"/>
  <c r="CR942" i="53"/>
  <c r="CS942" i="53" s="1"/>
  <c r="CR943" i="53"/>
  <c r="CS943" i="53" s="1"/>
  <c r="CR944" i="53"/>
  <c r="CS944" i="53" s="1"/>
  <c r="CR945" i="53"/>
  <c r="CS945" i="53" s="1"/>
  <c r="CR946" i="53"/>
  <c r="CS946" i="53" s="1"/>
  <c r="CR947" i="53"/>
  <c r="CS947" i="53" s="1"/>
  <c r="CR948" i="53"/>
  <c r="CS948" i="53" s="1"/>
  <c r="CR949" i="53"/>
  <c r="CS949" i="53" s="1"/>
  <c r="CR950" i="53"/>
  <c r="CS950" i="53" s="1"/>
  <c r="CR951" i="53"/>
  <c r="CS951" i="53" s="1"/>
  <c r="CR952" i="53"/>
  <c r="CS952" i="53" s="1"/>
  <c r="CR953" i="53"/>
  <c r="CS953" i="53" s="1"/>
  <c r="CR954" i="53"/>
  <c r="CS954" i="53" s="1"/>
  <c r="CR955" i="53"/>
  <c r="CS955" i="53" s="1"/>
  <c r="CR956" i="53"/>
  <c r="CS956" i="53" s="1"/>
  <c r="CR957" i="53"/>
  <c r="CS957" i="53" s="1"/>
  <c r="CR958" i="53"/>
  <c r="CS958" i="53" s="1"/>
  <c r="CR959" i="53"/>
  <c r="CS959" i="53" s="1"/>
  <c r="CR960" i="53"/>
  <c r="CS960" i="53" s="1"/>
  <c r="CR961" i="53"/>
  <c r="CS961" i="53" s="1"/>
  <c r="CR962" i="53"/>
  <c r="CS962" i="53" s="1"/>
  <c r="CR963" i="53"/>
  <c r="CS963" i="53" s="1"/>
  <c r="CR964" i="53"/>
  <c r="CS964" i="53" s="1"/>
  <c r="CR965" i="53"/>
  <c r="CS965" i="53" s="1"/>
  <c r="CR966" i="53"/>
  <c r="CS966" i="53" s="1"/>
  <c r="CR967" i="53"/>
  <c r="CS967" i="53" s="1"/>
  <c r="CR968" i="53"/>
  <c r="CS968" i="53" s="1"/>
  <c r="CR969" i="53"/>
  <c r="CS969" i="53" s="1"/>
  <c r="CR970" i="53"/>
  <c r="CS970" i="53" s="1"/>
  <c r="CR971" i="53"/>
  <c r="CS971" i="53" s="1"/>
  <c r="CR972" i="53"/>
  <c r="CS972" i="53" s="1"/>
  <c r="CR973" i="53"/>
  <c r="CS973" i="53" s="1"/>
  <c r="CR974" i="53"/>
  <c r="CS974" i="53" s="1"/>
  <c r="CR975" i="53"/>
  <c r="CS975" i="53" s="1"/>
  <c r="CR976" i="53"/>
  <c r="CS976" i="53" s="1"/>
  <c r="CR977" i="53"/>
  <c r="CS977" i="53" s="1"/>
  <c r="CR978" i="53"/>
  <c r="CS978" i="53" s="1"/>
  <c r="CR979" i="53"/>
  <c r="CS979" i="53" s="1"/>
  <c r="CR980" i="53"/>
  <c r="CS980" i="53" s="1"/>
  <c r="CR981" i="53"/>
  <c r="CS981" i="53" s="1"/>
  <c r="CR982" i="53"/>
  <c r="CS982" i="53" s="1"/>
  <c r="CR983" i="53"/>
  <c r="CS983" i="53" s="1"/>
  <c r="CR984" i="53"/>
  <c r="CS984" i="53" s="1"/>
  <c r="CR985" i="53"/>
  <c r="CS985" i="53" s="1"/>
  <c r="CR986" i="53"/>
  <c r="CS986" i="53" s="1"/>
  <c r="CR987" i="53"/>
  <c r="CS987" i="53" s="1"/>
  <c r="CR988" i="53"/>
  <c r="CS988" i="53" s="1"/>
  <c r="CR989" i="53"/>
  <c r="CS989" i="53" s="1"/>
  <c r="CR990" i="53"/>
  <c r="CS990" i="53" s="1"/>
  <c r="CR991" i="53"/>
  <c r="CS991" i="53" s="1"/>
  <c r="CR992" i="53"/>
  <c r="CS992" i="53" s="1"/>
  <c r="CR993" i="53"/>
  <c r="CS993" i="53" s="1"/>
  <c r="CR994" i="53"/>
  <c r="CS994" i="53" s="1"/>
  <c r="CR995" i="53"/>
  <c r="CS995" i="53" s="1"/>
  <c r="CR996" i="53"/>
  <c r="CS996" i="53" s="1"/>
  <c r="CR997" i="53"/>
  <c r="CS997" i="53" s="1"/>
  <c r="CR998" i="53"/>
  <c r="CS998" i="53" s="1"/>
  <c r="CR999" i="53"/>
  <c r="CS999" i="53" s="1"/>
  <c r="CR1000" i="53"/>
  <c r="CS1000" i="53" s="1"/>
  <c r="CR1001" i="53"/>
  <c r="CS1001" i="53" s="1"/>
  <c r="CR1002" i="53"/>
  <c r="CS1002" i="53" s="1"/>
  <c r="CR1003" i="53"/>
  <c r="CS1003" i="53" s="1"/>
  <c r="CR1004" i="53"/>
  <c r="CS1004" i="53" s="1"/>
  <c r="CR1005" i="53"/>
  <c r="CS1005" i="53" s="1"/>
  <c r="CR1006" i="53"/>
  <c r="CS1006" i="53" s="1"/>
  <c r="CR1007" i="53"/>
  <c r="CS1007" i="53" s="1"/>
  <c r="CR1008" i="53"/>
  <c r="CS1008" i="53" s="1"/>
  <c r="CR1009" i="53"/>
  <c r="CS1009" i="53" s="1"/>
  <c r="CR1010" i="53"/>
  <c r="CS1010" i="53" s="1"/>
  <c r="CR1011" i="53"/>
  <c r="CS1011" i="53" s="1"/>
  <c r="CR1012" i="53"/>
  <c r="CS1012" i="53" s="1"/>
  <c r="CR1013" i="53"/>
  <c r="CS1013" i="53" s="1"/>
  <c r="CR1014" i="53"/>
  <c r="CS1014" i="53" s="1"/>
  <c r="CR1015" i="53"/>
  <c r="CS1015" i="53" s="1"/>
  <c r="CR1016" i="53"/>
  <c r="CS1016" i="53" s="1"/>
  <c r="CR1017" i="53"/>
  <c r="CS1017" i="53" s="1"/>
  <c r="CR1018" i="53"/>
  <c r="CS1018" i="53" s="1"/>
  <c r="CR1019" i="53"/>
  <c r="CS1019" i="53" s="1"/>
  <c r="CR1020" i="53"/>
  <c r="CS1020" i="53" s="1"/>
  <c r="CR1021" i="53"/>
  <c r="CS1021" i="53" s="1"/>
  <c r="CR1022" i="53"/>
  <c r="CS1022" i="53" s="1"/>
  <c r="CR1023" i="53"/>
  <c r="CS1023" i="53" s="1"/>
  <c r="CR1024" i="53"/>
  <c r="CS1024" i="53" s="1"/>
  <c r="CR1025" i="53"/>
  <c r="CS1025" i="53" s="1"/>
  <c r="CR1026" i="53"/>
  <c r="CS1026" i="53" s="1"/>
  <c r="CR1027" i="53"/>
  <c r="CS1027" i="53" s="1"/>
  <c r="CR1028" i="53"/>
  <c r="CS1028" i="53" s="1"/>
  <c r="CR1029" i="53"/>
  <c r="CS1029" i="53" s="1"/>
  <c r="CR1030" i="53"/>
  <c r="CS1030" i="53" s="1"/>
  <c r="CR1031" i="53"/>
  <c r="CS1031" i="53" s="1"/>
  <c r="CR1032" i="53"/>
  <c r="CS1032" i="53" s="1"/>
  <c r="CR1033" i="53"/>
  <c r="CS1033" i="53" s="1"/>
  <c r="CR1034" i="53"/>
  <c r="CS1034" i="53" s="1"/>
  <c r="CR1035" i="53"/>
  <c r="CS1035" i="53" s="1"/>
  <c r="CR1036" i="53"/>
  <c r="CS1036" i="53" s="1"/>
  <c r="CR1037" i="53"/>
  <c r="CS1037" i="53" s="1"/>
  <c r="CR1038" i="53"/>
  <c r="CS1038" i="53" s="1"/>
  <c r="CR1039" i="53"/>
  <c r="CS1039" i="53" s="1"/>
  <c r="CR1040" i="53"/>
  <c r="CS1040" i="53" s="1"/>
  <c r="CR1041" i="53"/>
  <c r="CS1041" i="53" s="1"/>
  <c r="CR1042" i="53"/>
  <c r="CS1042" i="53" s="1"/>
  <c r="CR1043" i="53"/>
  <c r="CS1043" i="53" s="1"/>
  <c r="CR1044" i="53"/>
  <c r="CS1044" i="53" s="1"/>
  <c r="CR1045" i="53"/>
  <c r="CS1045" i="53" s="1"/>
  <c r="CR1046" i="53"/>
  <c r="CS1046" i="53" s="1"/>
  <c r="CR1047" i="53"/>
  <c r="CS1047" i="53" s="1"/>
  <c r="CR1048" i="53"/>
  <c r="CS1048" i="53" s="1"/>
  <c r="CR1049" i="53"/>
  <c r="CS1049" i="53" s="1"/>
  <c r="CR1050" i="53"/>
  <c r="CS1050" i="53" s="1"/>
  <c r="CR1051" i="53"/>
  <c r="CS1051" i="53" s="1"/>
  <c r="CR1052" i="53"/>
  <c r="CS1052" i="53" s="1"/>
  <c r="CR1053" i="53"/>
  <c r="CS1053" i="53" s="1"/>
  <c r="CR1054" i="53"/>
  <c r="CS1054" i="53" s="1"/>
  <c r="CR1055" i="53"/>
  <c r="CS1055" i="53" s="1"/>
  <c r="CR1056" i="53"/>
  <c r="CS1056" i="53" s="1"/>
  <c r="CR1057" i="53"/>
  <c r="CS1057" i="53" s="1"/>
  <c r="CR1058" i="53"/>
  <c r="CS1058" i="53" s="1"/>
  <c r="CR1059" i="53"/>
  <c r="CS1059" i="53" s="1"/>
  <c r="CR1060" i="53"/>
  <c r="CS1060" i="53" s="1"/>
  <c r="CR1061" i="53"/>
  <c r="CS1061" i="53" s="1"/>
  <c r="CR1062" i="53"/>
  <c r="CS1062" i="53" s="1"/>
  <c r="CR1063" i="53"/>
  <c r="CS1063" i="53" s="1"/>
  <c r="CR1064" i="53"/>
  <c r="CS1064" i="53" s="1"/>
  <c r="CR1065" i="53"/>
  <c r="CS1065" i="53" s="1"/>
  <c r="CR1066" i="53"/>
  <c r="CS1066" i="53" s="1"/>
  <c r="CR1067" i="53"/>
  <c r="CS1067" i="53" s="1"/>
  <c r="CR1068" i="53"/>
  <c r="CS1068" i="53" s="1"/>
  <c r="CR1069" i="53"/>
  <c r="CS1069" i="53" s="1"/>
  <c r="CR1070" i="53"/>
  <c r="CS1070" i="53" s="1"/>
  <c r="CR1071" i="53"/>
  <c r="CS1071" i="53" s="1"/>
  <c r="CR1072" i="53"/>
  <c r="CS1072" i="53" s="1"/>
  <c r="CR1073" i="53"/>
  <c r="CS1073" i="53" s="1"/>
  <c r="CR1074" i="53"/>
  <c r="CS1074" i="53" s="1"/>
  <c r="CR1075" i="53"/>
  <c r="CS1075" i="53" s="1"/>
  <c r="CR1076" i="53"/>
  <c r="CS1076" i="53" s="1"/>
  <c r="CR1077" i="53"/>
  <c r="CS1077" i="53" s="1"/>
  <c r="CR1078" i="53"/>
  <c r="CS1078" i="53" s="1"/>
  <c r="CR1079" i="53"/>
  <c r="CS1079" i="53" s="1"/>
  <c r="CR1080" i="53"/>
  <c r="CS1080" i="53" s="1"/>
  <c r="CR1081" i="53"/>
  <c r="CS1081" i="53" s="1"/>
  <c r="CR1082" i="53"/>
  <c r="CS1082" i="53" s="1"/>
  <c r="CR1083" i="53"/>
  <c r="CS1083" i="53" s="1"/>
  <c r="CR1084" i="53"/>
  <c r="CS1084" i="53" s="1"/>
  <c r="CR1085" i="53"/>
  <c r="CS1085" i="53" s="1"/>
  <c r="CR1086" i="53"/>
  <c r="CS1086" i="53" s="1"/>
  <c r="CR1087" i="53"/>
  <c r="CS1087" i="53" s="1"/>
  <c r="CR1088" i="53"/>
  <c r="CS1088" i="53" s="1"/>
  <c r="CR1089" i="53"/>
  <c r="CS1089" i="53" s="1"/>
  <c r="CR1090" i="53"/>
  <c r="CS1090" i="53" s="1"/>
  <c r="CR1091" i="53"/>
  <c r="CS1091" i="53" s="1"/>
  <c r="CR1092" i="53"/>
  <c r="CS1092" i="53" s="1"/>
  <c r="CR1093" i="53"/>
  <c r="CS1093" i="53" s="1"/>
  <c r="CR1094" i="53"/>
  <c r="CS1094" i="53" s="1"/>
  <c r="CR1095" i="53"/>
  <c r="CS1095" i="53" s="1"/>
  <c r="CR1096" i="53"/>
  <c r="CS1096" i="53" s="1"/>
  <c r="CR1097" i="53"/>
  <c r="CS1097" i="53" s="1"/>
  <c r="CR1098" i="53"/>
  <c r="CS1098" i="53" s="1"/>
  <c r="CR1099" i="53"/>
  <c r="CS1099" i="53" s="1"/>
  <c r="CR1100" i="53"/>
  <c r="CS1100" i="53" s="1"/>
  <c r="CR1101" i="53"/>
  <c r="CS1101" i="53" s="1"/>
  <c r="CR1102" i="53"/>
  <c r="CS1102" i="53" s="1"/>
  <c r="CR1103" i="53"/>
  <c r="CS1103" i="53" s="1"/>
  <c r="CR1104" i="53"/>
  <c r="CS1104" i="53" s="1"/>
  <c r="CR1105" i="53"/>
  <c r="CS1105" i="53" s="1"/>
  <c r="AO4" i="4" l="1"/>
  <c r="AP4" i="4" s="1"/>
  <c r="Y4" i="4"/>
  <c r="AL4" i="4" l="1"/>
  <c r="AM4" i="4"/>
  <c r="AE4" i="4"/>
  <c r="AD4" i="4"/>
  <c r="BQ4" i="53"/>
  <c r="BR4" i="53"/>
  <c r="BQ5" i="53"/>
  <c r="BR5" i="53"/>
  <c r="BQ6" i="53"/>
  <c r="BR6" i="53"/>
  <c r="BQ7" i="53"/>
  <c r="BR7" i="53"/>
  <c r="BQ8" i="53"/>
  <c r="BR8" i="53"/>
  <c r="BQ9" i="53"/>
  <c r="BR9" i="53"/>
  <c r="BQ10" i="53"/>
  <c r="BR10" i="53"/>
  <c r="BQ11" i="53"/>
  <c r="BR11" i="53"/>
  <c r="BQ12" i="53"/>
  <c r="BR12" i="53"/>
  <c r="BQ13" i="53"/>
  <c r="BR13" i="53"/>
  <c r="BQ14" i="53"/>
  <c r="BR14" i="53"/>
  <c r="BQ15" i="53"/>
  <c r="BR15" i="53"/>
  <c r="BQ16" i="53"/>
  <c r="BR16" i="53"/>
  <c r="BQ17" i="53"/>
  <c r="BR17" i="53"/>
  <c r="BQ18" i="53"/>
  <c r="BR18" i="53"/>
  <c r="BQ19" i="53"/>
  <c r="BR19" i="53"/>
  <c r="BQ20" i="53"/>
  <c r="BR20" i="53"/>
  <c r="BQ21" i="53"/>
  <c r="BR21" i="53"/>
  <c r="BQ22" i="53"/>
  <c r="BR22" i="53"/>
  <c r="BQ23" i="53"/>
  <c r="BR23" i="53"/>
  <c r="BQ24" i="53"/>
  <c r="BR24" i="53"/>
  <c r="BQ25" i="53"/>
  <c r="BR25" i="53"/>
  <c r="BQ26" i="53"/>
  <c r="BR26" i="53"/>
  <c r="BQ27" i="53"/>
  <c r="BR27" i="53"/>
  <c r="BQ28" i="53"/>
  <c r="BR28" i="53"/>
  <c r="BQ29" i="53"/>
  <c r="BR29" i="53"/>
  <c r="BQ30" i="53"/>
  <c r="BR30" i="53"/>
  <c r="BQ31" i="53"/>
  <c r="BR31" i="53"/>
  <c r="BQ32" i="53"/>
  <c r="BR32" i="53"/>
  <c r="BQ33" i="53"/>
  <c r="BR33" i="53"/>
  <c r="BQ34" i="53"/>
  <c r="BR34" i="53"/>
  <c r="BQ35" i="53"/>
  <c r="BR35" i="53"/>
  <c r="BQ36" i="53"/>
  <c r="BR36" i="53"/>
  <c r="BQ37" i="53"/>
  <c r="BR37" i="53"/>
  <c r="BQ38" i="53"/>
  <c r="BR38" i="53"/>
  <c r="BQ39" i="53"/>
  <c r="BR39" i="53"/>
  <c r="BQ40" i="53"/>
  <c r="BR40" i="53"/>
  <c r="BQ41" i="53"/>
  <c r="BR41" i="53"/>
  <c r="BQ42" i="53"/>
  <c r="BR42" i="53"/>
  <c r="BQ43" i="53"/>
  <c r="BR43" i="53"/>
  <c r="BQ44" i="53"/>
  <c r="BR44" i="53"/>
  <c r="BQ45" i="53"/>
  <c r="BR45" i="53"/>
  <c r="BQ46" i="53"/>
  <c r="BR46" i="53"/>
  <c r="BQ47" i="53"/>
  <c r="BR47" i="53"/>
  <c r="BQ48" i="53"/>
  <c r="BR48" i="53"/>
  <c r="BQ49" i="53"/>
  <c r="BR49" i="53"/>
  <c r="BQ50" i="53"/>
  <c r="BR50" i="53"/>
  <c r="BQ51" i="53"/>
  <c r="BR51" i="53"/>
  <c r="BQ52" i="53"/>
  <c r="BR52" i="53"/>
  <c r="BQ53" i="53"/>
  <c r="BR53" i="53"/>
  <c r="BQ54" i="53"/>
  <c r="BR54" i="53"/>
  <c r="BQ55" i="53"/>
  <c r="BR55" i="53"/>
  <c r="BQ56" i="53"/>
  <c r="BR56" i="53"/>
  <c r="BQ57" i="53"/>
  <c r="BR57" i="53"/>
  <c r="BQ58" i="53"/>
  <c r="BR58" i="53"/>
  <c r="BQ59" i="53"/>
  <c r="BR59" i="53"/>
  <c r="BQ60" i="53"/>
  <c r="BR60" i="53"/>
  <c r="BQ61" i="53"/>
  <c r="BR61" i="53"/>
  <c r="BQ62" i="53"/>
  <c r="BR62" i="53"/>
  <c r="BQ63" i="53"/>
  <c r="BR63" i="53"/>
  <c r="BQ64" i="53"/>
  <c r="BR64" i="53"/>
  <c r="BQ65" i="53"/>
  <c r="BR65" i="53"/>
  <c r="BQ66" i="53"/>
  <c r="BR66" i="53"/>
  <c r="BQ67" i="53"/>
  <c r="BR67" i="53"/>
  <c r="BQ68" i="53"/>
  <c r="BR68" i="53"/>
  <c r="BQ69" i="53"/>
  <c r="BR69" i="53"/>
  <c r="BQ70" i="53"/>
  <c r="BR70" i="53"/>
  <c r="BQ71" i="53"/>
  <c r="BR71" i="53"/>
  <c r="BQ72" i="53"/>
  <c r="BR72" i="53"/>
  <c r="BQ73" i="53"/>
  <c r="BR73" i="53"/>
  <c r="BQ74" i="53"/>
  <c r="BR74" i="53"/>
  <c r="BQ75" i="53"/>
  <c r="BR75" i="53"/>
  <c r="BQ76" i="53"/>
  <c r="BR76" i="53"/>
  <c r="BQ77" i="53"/>
  <c r="BR77" i="53"/>
  <c r="BQ78" i="53"/>
  <c r="BR78" i="53"/>
  <c r="BQ79" i="53"/>
  <c r="BR79" i="53"/>
  <c r="BQ80" i="53"/>
  <c r="BR80" i="53"/>
  <c r="BQ81" i="53"/>
  <c r="BR81" i="53"/>
  <c r="BQ82" i="53"/>
  <c r="BR82" i="53"/>
  <c r="BQ83" i="53"/>
  <c r="BR83" i="53"/>
  <c r="BQ84" i="53"/>
  <c r="BR84" i="53"/>
  <c r="BQ85" i="53"/>
  <c r="BR85" i="53"/>
  <c r="BQ86" i="53"/>
  <c r="BR86" i="53"/>
  <c r="BQ87" i="53"/>
  <c r="BR87" i="53"/>
  <c r="BQ88" i="53"/>
  <c r="BR88" i="53"/>
  <c r="BQ89" i="53"/>
  <c r="BR89" i="53"/>
  <c r="BQ90" i="53"/>
  <c r="BR90" i="53"/>
  <c r="BQ91" i="53"/>
  <c r="BR91" i="53"/>
  <c r="BQ92" i="53"/>
  <c r="BR92" i="53"/>
  <c r="BQ93" i="53"/>
  <c r="BR93" i="53"/>
  <c r="BQ94" i="53"/>
  <c r="BR94" i="53"/>
  <c r="BQ95" i="53"/>
  <c r="BR95" i="53"/>
  <c r="BQ96" i="53"/>
  <c r="BR96" i="53"/>
  <c r="BQ97" i="53"/>
  <c r="BR97" i="53"/>
  <c r="BQ98" i="53"/>
  <c r="BR98" i="53"/>
  <c r="BQ99" i="53"/>
  <c r="BR99" i="53"/>
  <c r="BQ100" i="53"/>
  <c r="BR100" i="53"/>
  <c r="BQ101" i="53"/>
  <c r="BR101" i="53"/>
  <c r="BQ102" i="53"/>
  <c r="BR102" i="53"/>
  <c r="BQ103" i="53"/>
  <c r="BR103" i="53"/>
  <c r="BQ104" i="53"/>
  <c r="BR104" i="53"/>
  <c r="BQ105" i="53"/>
  <c r="BR105" i="53"/>
  <c r="BQ106" i="53"/>
  <c r="BR106" i="53"/>
  <c r="BQ107" i="53"/>
  <c r="BR107" i="53"/>
  <c r="BQ108" i="53"/>
  <c r="BR108" i="53"/>
  <c r="BQ109" i="53"/>
  <c r="BR109" i="53"/>
  <c r="BQ110" i="53"/>
  <c r="BR110" i="53"/>
  <c r="BQ111" i="53"/>
  <c r="BR111" i="53"/>
  <c r="BQ112" i="53"/>
  <c r="BR112" i="53"/>
  <c r="BQ113" i="53"/>
  <c r="BR113" i="53"/>
  <c r="BQ114" i="53"/>
  <c r="BR114" i="53"/>
  <c r="BQ115" i="53"/>
  <c r="BR115" i="53"/>
  <c r="BQ116" i="53"/>
  <c r="BR116" i="53"/>
  <c r="BQ117" i="53"/>
  <c r="BR117" i="53"/>
  <c r="BQ118" i="53"/>
  <c r="BR118" i="53"/>
  <c r="BQ119" i="53"/>
  <c r="BR119" i="53"/>
  <c r="BQ120" i="53"/>
  <c r="BR120" i="53"/>
  <c r="BQ121" i="53"/>
  <c r="BR121" i="53"/>
  <c r="BQ122" i="53"/>
  <c r="BR122" i="53"/>
  <c r="BQ123" i="53"/>
  <c r="BR123" i="53"/>
  <c r="BQ124" i="53"/>
  <c r="BR124" i="53"/>
  <c r="BQ125" i="53"/>
  <c r="BR125" i="53"/>
  <c r="BQ126" i="53"/>
  <c r="BR126" i="53"/>
  <c r="BQ127" i="53"/>
  <c r="BR127" i="53"/>
  <c r="BQ128" i="53"/>
  <c r="BR128" i="53"/>
  <c r="BQ129" i="53"/>
  <c r="BR129" i="53"/>
  <c r="BQ130" i="53"/>
  <c r="BR130" i="53"/>
  <c r="BQ131" i="53"/>
  <c r="BR131" i="53"/>
  <c r="BQ132" i="53"/>
  <c r="BR132" i="53"/>
  <c r="BQ133" i="53"/>
  <c r="BR133" i="53"/>
  <c r="BQ134" i="53"/>
  <c r="BR134" i="53"/>
  <c r="BQ135" i="53"/>
  <c r="BR135" i="53"/>
  <c r="BQ136" i="53"/>
  <c r="BR136" i="53"/>
  <c r="BQ137" i="53"/>
  <c r="BR137" i="53"/>
  <c r="BQ138" i="53"/>
  <c r="BR138" i="53"/>
  <c r="BQ139" i="53"/>
  <c r="BR139" i="53"/>
  <c r="BQ140" i="53"/>
  <c r="BR140" i="53"/>
  <c r="BQ141" i="53"/>
  <c r="BR141" i="53"/>
  <c r="BQ142" i="53"/>
  <c r="BR142" i="53"/>
  <c r="BQ143" i="53"/>
  <c r="BR143" i="53"/>
  <c r="BQ144" i="53"/>
  <c r="BR144" i="53"/>
  <c r="BQ145" i="53"/>
  <c r="BR145" i="53"/>
  <c r="BQ146" i="53"/>
  <c r="BR146" i="53"/>
  <c r="BQ147" i="53"/>
  <c r="BR147" i="53"/>
  <c r="BQ148" i="53"/>
  <c r="BR148" i="53"/>
  <c r="BQ149" i="53"/>
  <c r="BR149" i="53"/>
  <c r="BQ150" i="53"/>
  <c r="BR150" i="53"/>
  <c r="BQ151" i="53"/>
  <c r="BR151" i="53"/>
  <c r="BQ152" i="53"/>
  <c r="BR152" i="53"/>
  <c r="BQ153" i="53"/>
  <c r="BR153" i="53"/>
  <c r="BQ154" i="53"/>
  <c r="BR154" i="53"/>
  <c r="BQ155" i="53"/>
  <c r="BR155" i="53"/>
  <c r="BQ156" i="53"/>
  <c r="BR156" i="53"/>
  <c r="BQ157" i="53"/>
  <c r="BR157" i="53"/>
  <c r="BQ158" i="53"/>
  <c r="BR158" i="53"/>
  <c r="BQ159" i="53"/>
  <c r="BR159" i="53"/>
  <c r="BQ160" i="53"/>
  <c r="BR160" i="53"/>
  <c r="BQ161" i="53"/>
  <c r="BR161" i="53"/>
  <c r="BQ162" i="53"/>
  <c r="BR162" i="53"/>
  <c r="BQ163" i="53"/>
  <c r="BR163" i="53"/>
  <c r="BQ164" i="53"/>
  <c r="BR164" i="53"/>
  <c r="BQ165" i="53"/>
  <c r="BR165" i="53"/>
  <c r="BQ166" i="53"/>
  <c r="BR166" i="53"/>
  <c r="BQ167" i="53"/>
  <c r="BR167" i="53"/>
  <c r="BQ168" i="53"/>
  <c r="BR168" i="53"/>
  <c r="BQ169" i="53"/>
  <c r="BR169" i="53"/>
  <c r="BQ170" i="53"/>
  <c r="BR170" i="53"/>
  <c r="BQ171" i="53"/>
  <c r="BR171" i="53"/>
  <c r="BQ172" i="53"/>
  <c r="BR172" i="53"/>
  <c r="BQ173" i="53"/>
  <c r="BR173" i="53"/>
  <c r="BQ174" i="53"/>
  <c r="BR174" i="53"/>
  <c r="BQ175" i="53"/>
  <c r="BR175" i="53"/>
  <c r="BQ176" i="53"/>
  <c r="BR176" i="53"/>
  <c r="BQ177" i="53"/>
  <c r="BR177" i="53"/>
  <c r="BQ178" i="53"/>
  <c r="BR178" i="53"/>
  <c r="BQ179" i="53"/>
  <c r="BR179" i="53"/>
  <c r="BQ180" i="53"/>
  <c r="BR180" i="53"/>
  <c r="BQ181" i="53"/>
  <c r="BR181" i="53"/>
  <c r="BQ182" i="53"/>
  <c r="BR182" i="53"/>
  <c r="BQ183" i="53"/>
  <c r="BR183" i="53"/>
  <c r="BQ184" i="53"/>
  <c r="BR184" i="53"/>
  <c r="BQ185" i="53"/>
  <c r="BR185" i="53"/>
  <c r="BQ186" i="53"/>
  <c r="BR186" i="53"/>
  <c r="BQ187" i="53"/>
  <c r="BR187" i="53"/>
  <c r="BQ188" i="53"/>
  <c r="BR188" i="53"/>
  <c r="BQ189" i="53"/>
  <c r="BR189" i="53"/>
  <c r="BQ190" i="53"/>
  <c r="BR190" i="53"/>
  <c r="BQ191" i="53"/>
  <c r="BR191" i="53"/>
  <c r="BQ192" i="53"/>
  <c r="BR192" i="53"/>
  <c r="BQ193" i="53"/>
  <c r="BR193" i="53"/>
  <c r="BQ194" i="53"/>
  <c r="BR194" i="53"/>
  <c r="BQ195" i="53"/>
  <c r="BR195" i="53"/>
  <c r="BQ196" i="53"/>
  <c r="BR196" i="53"/>
  <c r="BQ197" i="53"/>
  <c r="BR197" i="53"/>
  <c r="BQ198" i="53"/>
  <c r="BR198" i="53"/>
  <c r="BQ199" i="53"/>
  <c r="BR199" i="53"/>
  <c r="BQ200" i="53"/>
  <c r="BR200" i="53"/>
  <c r="BQ201" i="53"/>
  <c r="BR201" i="53"/>
  <c r="BQ202" i="53"/>
  <c r="BR202" i="53"/>
  <c r="BQ203" i="53"/>
  <c r="BR203" i="53"/>
  <c r="BQ204" i="53"/>
  <c r="BR204" i="53"/>
  <c r="BQ205" i="53"/>
  <c r="BR205" i="53"/>
  <c r="BQ206" i="53"/>
  <c r="BR206" i="53"/>
  <c r="BQ207" i="53"/>
  <c r="BR207" i="53"/>
  <c r="BQ208" i="53"/>
  <c r="BR208" i="53"/>
  <c r="BQ209" i="53"/>
  <c r="BR209" i="53"/>
  <c r="BQ210" i="53"/>
  <c r="BR210" i="53"/>
  <c r="BQ211" i="53"/>
  <c r="BR211" i="53"/>
  <c r="BQ212" i="53"/>
  <c r="BR212" i="53"/>
  <c r="BQ213" i="53"/>
  <c r="BR213" i="53"/>
  <c r="BQ214" i="53"/>
  <c r="BR214" i="53"/>
  <c r="BQ215" i="53"/>
  <c r="BR215" i="53"/>
  <c r="BQ216" i="53"/>
  <c r="BR216" i="53"/>
  <c r="BQ217" i="53"/>
  <c r="BR217" i="53"/>
  <c r="BQ218" i="53"/>
  <c r="BR218" i="53"/>
  <c r="BQ219" i="53"/>
  <c r="BR219" i="53"/>
  <c r="BQ220" i="53"/>
  <c r="BR220" i="53"/>
  <c r="BQ221" i="53"/>
  <c r="BR221" i="53"/>
  <c r="BQ222" i="53"/>
  <c r="BR222" i="53"/>
  <c r="BQ223" i="53"/>
  <c r="BR223" i="53"/>
  <c r="BQ224" i="53"/>
  <c r="BR224" i="53"/>
  <c r="BQ225" i="53"/>
  <c r="BR225" i="53"/>
  <c r="BQ226" i="53"/>
  <c r="BR226" i="53"/>
  <c r="BQ227" i="53"/>
  <c r="BR227" i="53"/>
  <c r="BQ228" i="53"/>
  <c r="BR228" i="53"/>
  <c r="BQ229" i="53"/>
  <c r="BR229" i="53"/>
  <c r="BQ230" i="53"/>
  <c r="BR230" i="53"/>
  <c r="BQ231" i="53"/>
  <c r="BR231" i="53"/>
  <c r="BQ232" i="53"/>
  <c r="BR232" i="53"/>
  <c r="BQ233" i="53"/>
  <c r="BR233" i="53"/>
  <c r="BQ234" i="53"/>
  <c r="BR234" i="53"/>
  <c r="BQ235" i="53"/>
  <c r="BR235" i="53"/>
  <c r="BQ236" i="53"/>
  <c r="BR236" i="53"/>
  <c r="BQ237" i="53"/>
  <c r="BR237" i="53"/>
  <c r="BQ238" i="53"/>
  <c r="BR238" i="53"/>
  <c r="BQ239" i="53"/>
  <c r="BR239" i="53"/>
  <c r="BQ240" i="53"/>
  <c r="BR240" i="53"/>
  <c r="BQ241" i="53"/>
  <c r="BR241" i="53"/>
  <c r="BQ242" i="53"/>
  <c r="BR242" i="53"/>
  <c r="BQ243" i="53"/>
  <c r="BR243" i="53"/>
  <c r="BQ244" i="53"/>
  <c r="BR244" i="53"/>
  <c r="BQ245" i="53"/>
  <c r="BR245" i="53"/>
  <c r="BQ246" i="53"/>
  <c r="BR246" i="53"/>
  <c r="BQ247" i="53"/>
  <c r="BR247" i="53"/>
  <c r="BQ248" i="53"/>
  <c r="BR248" i="53"/>
  <c r="BQ249" i="53"/>
  <c r="BR249" i="53"/>
  <c r="BQ250" i="53"/>
  <c r="BR250" i="53"/>
  <c r="BQ251" i="53"/>
  <c r="BR251" i="53"/>
  <c r="BQ252" i="53"/>
  <c r="BR252" i="53"/>
  <c r="BQ253" i="53"/>
  <c r="BR253" i="53"/>
  <c r="BQ254" i="53"/>
  <c r="BR254" i="53"/>
  <c r="BQ255" i="53"/>
  <c r="BR255" i="53"/>
  <c r="BQ256" i="53"/>
  <c r="BR256" i="53"/>
  <c r="BQ257" i="53"/>
  <c r="BR257" i="53"/>
  <c r="BQ258" i="53"/>
  <c r="BR258" i="53"/>
  <c r="BQ259" i="53"/>
  <c r="BR259" i="53"/>
  <c r="BQ260" i="53"/>
  <c r="BR260" i="53"/>
  <c r="BQ261" i="53"/>
  <c r="BR261" i="53"/>
  <c r="BQ262" i="53"/>
  <c r="BR262" i="53"/>
  <c r="BQ263" i="53"/>
  <c r="BR263" i="53"/>
  <c r="BQ264" i="53"/>
  <c r="BR264" i="53"/>
  <c r="BQ265" i="53"/>
  <c r="BR265" i="53"/>
  <c r="BQ266" i="53"/>
  <c r="BR266" i="53"/>
  <c r="BQ267" i="53"/>
  <c r="BR267" i="53"/>
  <c r="BQ268" i="53"/>
  <c r="BR268" i="53"/>
  <c r="BQ269" i="53"/>
  <c r="BR269" i="53"/>
  <c r="BQ270" i="53"/>
  <c r="BR270" i="53"/>
  <c r="BQ271" i="53"/>
  <c r="BR271" i="53"/>
  <c r="BQ272" i="53"/>
  <c r="BR272" i="53"/>
  <c r="BQ273" i="53"/>
  <c r="BR273" i="53"/>
  <c r="BQ274" i="53"/>
  <c r="BR274" i="53"/>
  <c r="BQ275" i="53"/>
  <c r="BR275" i="53"/>
  <c r="BQ276" i="53"/>
  <c r="BR276" i="53"/>
  <c r="BQ277" i="53"/>
  <c r="BR277" i="53"/>
  <c r="BQ278" i="53"/>
  <c r="BR278" i="53"/>
  <c r="BQ279" i="53"/>
  <c r="BR279" i="53"/>
  <c r="BQ280" i="53"/>
  <c r="BR280" i="53"/>
  <c r="BQ281" i="53"/>
  <c r="BR281" i="53"/>
  <c r="BQ282" i="53"/>
  <c r="BR282" i="53"/>
  <c r="BQ283" i="53"/>
  <c r="BR283" i="53"/>
  <c r="BQ284" i="53"/>
  <c r="BR284" i="53"/>
  <c r="BQ285" i="53"/>
  <c r="BR285" i="53"/>
  <c r="BQ286" i="53"/>
  <c r="BR286" i="53"/>
  <c r="BQ287" i="53"/>
  <c r="BR287" i="53"/>
  <c r="BQ288" i="53"/>
  <c r="BR288" i="53"/>
  <c r="BQ289" i="53"/>
  <c r="BR289" i="53"/>
  <c r="BQ290" i="53"/>
  <c r="BR290" i="53"/>
  <c r="BQ291" i="53"/>
  <c r="BR291" i="53"/>
  <c r="BQ292" i="53"/>
  <c r="BR292" i="53"/>
  <c r="BQ293" i="53"/>
  <c r="BR293" i="53"/>
  <c r="BQ294" i="53"/>
  <c r="BR294" i="53"/>
  <c r="BQ295" i="53"/>
  <c r="BR295" i="53"/>
  <c r="BQ296" i="53"/>
  <c r="BR296" i="53"/>
  <c r="BQ297" i="53"/>
  <c r="BR297" i="53"/>
  <c r="BQ298" i="53"/>
  <c r="BR298" i="53"/>
  <c r="BQ299" i="53"/>
  <c r="BR299" i="53"/>
  <c r="BQ300" i="53"/>
  <c r="BR300" i="53"/>
  <c r="BQ301" i="53"/>
  <c r="BR301" i="53"/>
  <c r="BQ302" i="53"/>
  <c r="BR302" i="53"/>
  <c r="BQ303" i="53"/>
  <c r="BR303" i="53"/>
  <c r="BQ304" i="53"/>
  <c r="BR304" i="53"/>
  <c r="BQ305" i="53"/>
  <c r="BR305" i="53"/>
  <c r="BQ306" i="53"/>
  <c r="BR306" i="53"/>
  <c r="BQ307" i="53"/>
  <c r="BR307" i="53"/>
  <c r="BQ308" i="53"/>
  <c r="BR308" i="53"/>
  <c r="BQ309" i="53"/>
  <c r="BR309" i="53"/>
  <c r="BQ310" i="53"/>
  <c r="BR310" i="53"/>
  <c r="BQ311" i="53"/>
  <c r="BR311" i="53"/>
  <c r="BQ312" i="53"/>
  <c r="BR312" i="53"/>
  <c r="BQ313" i="53"/>
  <c r="BR313" i="53"/>
  <c r="BQ314" i="53"/>
  <c r="BR314" i="53"/>
  <c r="BQ315" i="53"/>
  <c r="BR315" i="53"/>
  <c r="BQ316" i="53"/>
  <c r="BR316" i="53"/>
  <c r="BQ317" i="53"/>
  <c r="BR317" i="53"/>
  <c r="BQ318" i="53"/>
  <c r="BR318" i="53"/>
  <c r="BQ319" i="53"/>
  <c r="BR319" i="53"/>
  <c r="BQ320" i="53"/>
  <c r="BR320" i="53"/>
  <c r="BQ321" i="53"/>
  <c r="BR321" i="53"/>
  <c r="BQ322" i="53"/>
  <c r="BR322" i="53"/>
  <c r="BQ323" i="53"/>
  <c r="BR323" i="53"/>
  <c r="BQ324" i="53"/>
  <c r="BR324" i="53"/>
  <c r="BQ325" i="53"/>
  <c r="BR325" i="53"/>
  <c r="BQ326" i="53"/>
  <c r="BR326" i="53"/>
  <c r="BQ327" i="53"/>
  <c r="BR327" i="53"/>
  <c r="BQ328" i="53"/>
  <c r="BR328" i="53"/>
  <c r="BQ329" i="53"/>
  <c r="BR329" i="53"/>
  <c r="BQ330" i="53"/>
  <c r="BR330" i="53"/>
  <c r="BQ331" i="53"/>
  <c r="BR331" i="53"/>
  <c r="BQ332" i="53"/>
  <c r="BR332" i="53"/>
  <c r="BQ333" i="53"/>
  <c r="BR333" i="53"/>
  <c r="BQ334" i="53"/>
  <c r="BR334" i="53"/>
  <c r="BQ335" i="53"/>
  <c r="BR335" i="53"/>
  <c r="BQ336" i="53"/>
  <c r="BR336" i="53"/>
  <c r="BQ337" i="53"/>
  <c r="BR337" i="53"/>
  <c r="BQ338" i="53"/>
  <c r="BR338" i="53"/>
  <c r="BQ339" i="53"/>
  <c r="BR339" i="53"/>
  <c r="BQ340" i="53"/>
  <c r="BR340" i="53"/>
  <c r="BQ341" i="53"/>
  <c r="BR341" i="53"/>
  <c r="BQ342" i="53"/>
  <c r="BR342" i="53"/>
  <c r="BQ343" i="53"/>
  <c r="BR343" i="53"/>
  <c r="BQ344" i="53"/>
  <c r="BR344" i="53"/>
  <c r="BQ345" i="53"/>
  <c r="BR345" i="53"/>
  <c r="BQ346" i="53"/>
  <c r="BR346" i="53"/>
  <c r="BQ347" i="53"/>
  <c r="BR347" i="53"/>
  <c r="BQ348" i="53"/>
  <c r="BR348" i="53"/>
  <c r="BQ349" i="53"/>
  <c r="BR349" i="53"/>
  <c r="BQ350" i="53"/>
  <c r="BR350" i="53"/>
  <c r="BQ351" i="53"/>
  <c r="BR351" i="53"/>
  <c r="BQ352" i="53"/>
  <c r="BR352" i="53"/>
  <c r="BQ353" i="53"/>
  <c r="BR353" i="53"/>
  <c r="BQ354" i="53"/>
  <c r="BR354" i="53"/>
  <c r="BQ355" i="53"/>
  <c r="BR355" i="53"/>
  <c r="BQ356" i="53"/>
  <c r="BR356" i="53"/>
  <c r="BQ357" i="53"/>
  <c r="BR357" i="53"/>
  <c r="BQ358" i="53"/>
  <c r="BR358" i="53"/>
  <c r="BQ359" i="53"/>
  <c r="BR359" i="53"/>
  <c r="BQ360" i="53"/>
  <c r="BR360" i="53"/>
  <c r="BQ361" i="53"/>
  <c r="BR361" i="53"/>
  <c r="BQ362" i="53"/>
  <c r="BR362" i="53"/>
  <c r="BQ363" i="53"/>
  <c r="BR363" i="53"/>
  <c r="BQ364" i="53"/>
  <c r="BR364" i="53"/>
  <c r="BQ365" i="53"/>
  <c r="BR365" i="53"/>
  <c r="BQ366" i="53"/>
  <c r="BR366" i="53"/>
  <c r="BQ367" i="53"/>
  <c r="BR367" i="53"/>
  <c r="BQ368" i="53"/>
  <c r="BR368" i="53"/>
  <c r="BQ369" i="53"/>
  <c r="BR369" i="53"/>
  <c r="BQ370" i="53"/>
  <c r="BR370" i="53"/>
  <c r="BQ371" i="53"/>
  <c r="BR371" i="53"/>
  <c r="BQ372" i="53"/>
  <c r="BR372" i="53"/>
  <c r="BQ373" i="53"/>
  <c r="BR373" i="53"/>
  <c r="BQ374" i="53"/>
  <c r="BR374" i="53"/>
  <c r="BQ375" i="53"/>
  <c r="BR375" i="53"/>
  <c r="BQ376" i="53"/>
  <c r="BR376" i="53"/>
  <c r="BQ377" i="53"/>
  <c r="BR377" i="53"/>
  <c r="BQ378" i="53"/>
  <c r="BR378" i="53"/>
  <c r="BQ379" i="53"/>
  <c r="BR379" i="53"/>
  <c r="BQ380" i="53"/>
  <c r="BR380" i="53"/>
  <c r="BQ381" i="53"/>
  <c r="BR381" i="53"/>
  <c r="BQ382" i="53"/>
  <c r="BR382" i="53"/>
  <c r="BQ383" i="53"/>
  <c r="BR383" i="53"/>
  <c r="BQ384" i="53"/>
  <c r="BR384" i="53"/>
  <c r="BQ385" i="53"/>
  <c r="BR385" i="53"/>
  <c r="BQ386" i="53"/>
  <c r="BR386" i="53"/>
  <c r="BQ387" i="53"/>
  <c r="BR387" i="53"/>
  <c r="BQ388" i="53"/>
  <c r="BR388" i="53"/>
  <c r="BQ389" i="53"/>
  <c r="BR389" i="53"/>
  <c r="BQ390" i="53"/>
  <c r="BR390" i="53"/>
  <c r="BQ391" i="53"/>
  <c r="BR391" i="53"/>
  <c r="BQ392" i="53"/>
  <c r="BR392" i="53"/>
  <c r="BQ393" i="53"/>
  <c r="BR393" i="53"/>
  <c r="BQ394" i="53"/>
  <c r="BR394" i="53"/>
  <c r="BQ395" i="53"/>
  <c r="BR395" i="53"/>
  <c r="BQ396" i="53"/>
  <c r="BR396" i="53"/>
  <c r="BQ397" i="53"/>
  <c r="BR397" i="53"/>
  <c r="BQ398" i="53"/>
  <c r="BR398" i="53"/>
  <c r="BQ399" i="53"/>
  <c r="BR399" i="53"/>
  <c r="BQ400" i="53"/>
  <c r="BR400" i="53"/>
  <c r="BQ401" i="53"/>
  <c r="BR401" i="53"/>
  <c r="BQ402" i="53"/>
  <c r="BR402" i="53"/>
  <c r="BQ403" i="53"/>
  <c r="BR403" i="53"/>
  <c r="BQ404" i="53"/>
  <c r="BR404" i="53"/>
  <c r="BQ405" i="53"/>
  <c r="BR405" i="53"/>
  <c r="BQ406" i="53"/>
  <c r="BR406" i="53"/>
  <c r="BQ407" i="53"/>
  <c r="BR407" i="53"/>
  <c r="BQ408" i="53"/>
  <c r="BR408" i="53"/>
  <c r="BQ409" i="53"/>
  <c r="BR409" i="53"/>
  <c r="BQ410" i="53"/>
  <c r="BR410" i="53"/>
  <c r="BQ411" i="53"/>
  <c r="BR411" i="53"/>
  <c r="BQ412" i="53"/>
  <c r="BR412" i="53"/>
  <c r="BQ413" i="53"/>
  <c r="BR413" i="53"/>
  <c r="BQ414" i="53"/>
  <c r="BR414" i="53"/>
  <c r="BQ415" i="53"/>
  <c r="BR415" i="53"/>
  <c r="BQ416" i="53"/>
  <c r="BR416" i="53"/>
  <c r="BQ417" i="53"/>
  <c r="BR417" i="53"/>
  <c r="BQ418" i="53"/>
  <c r="BR418" i="53"/>
  <c r="BQ419" i="53"/>
  <c r="BR419" i="53"/>
  <c r="BQ420" i="53"/>
  <c r="BR420" i="53"/>
  <c r="BQ421" i="53"/>
  <c r="BR421" i="53"/>
  <c r="BQ422" i="53"/>
  <c r="BR422" i="53"/>
  <c r="BQ423" i="53"/>
  <c r="BR423" i="53"/>
  <c r="BQ424" i="53"/>
  <c r="BR424" i="53"/>
  <c r="BQ425" i="53"/>
  <c r="BR425" i="53"/>
  <c r="BQ426" i="53"/>
  <c r="BR426" i="53"/>
  <c r="BQ427" i="53"/>
  <c r="BR427" i="53"/>
  <c r="BQ428" i="53"/>
  <c r="BR428" i="53"/>
  <c r="BQ429" i="53"/>
  <c r="BR429" i="53"/>
  <c r="BQ430" i="53"/>
  <c r="BR430" i="53"/>
  <c r="BQ431" i="53"/>
  <c r="BR431" i="53"/>
  <c r="BQ432" i="53"/>
  <c r="BR432" i="53"/>
  <c r="BQ433" i="53"/>
  <c r="BR433" i="53"/>
  <c r="BQ434" i="53"/>
  <c r="BR434" i="53"/>
  <c r="BQ435" i="53"/>
  <c r="BR435" i="53"/>
  <c r="BQ436" i="53"/>
  <c r="BR436" i="53"/>
  <c r="BQ437" i="53"/>
  <c r="BR437" i="53"/>
  <c r="BQ438" i="53"/>
  <c r="BR438" i="53"/>
  <c r="BQ439" i="53"/>
  <c r="BR439" i="53"/>
  <c r="BQ440" i="53"/>
  <c r="BR440" i="53"/>
  <c r="BQ441" i="53"/>
  <c r="BR441" i="53"/>
  <c r="BQ442" i="53"/>
  <c r="BR442" i="53"/>
  <c r="BQ443" i="53"/>
  <c r="BR443" i="53"/>
  <c r="BQ444" i="53"/>
  <c r="BR444" i="53"/>
  <c r="BQ445" i="53"/>
  <c r="BR445" i="53"/>
  <c r="BQ446" i="53"/>
  <c r="BR446" i="53"/>
  <c r="BQ447" i="53"/>
  <c r="BR447" i="53"/>
  <c r="BQ448" i="53"/>
  <c r="BR448" i="53"/>
  <c r="BQ449" i="53"/>
  <c r="BR449" i="53"/>
  <c r="BQ450" i="53"/>
  <c r="BR450" i="53"/>
  <c r="BQ451" i="53"/>
  <c r="BR451" i="53"/>
  <c r="BQ452" i="53"/>
  <c r="BR452" i="53"/>
  <c r="BQ453" i="53"/>
  <c r="BR453" i="53"/>
  <c r="BQ454" i="53"/>
  <c r="BR454" i="53"/>
  <c r="BQ455" i="53"/>
  <c r="BR455" i="53"/>
  <c r="BQ456" i="53"/>
  <c r="BR456" i="53"/>
  <c r="BQ457" i="53"/>
  <c r="BR457" i="53"/>
  <c r="BQ458" i="53"/>
  <c r="BR458" i="53"/>
  <c r="BQ459" i="53"/>
  <c r="BR459" i="53"/>
  <c r="BQ460" i="53"/>
  <c r="BR460" i="53"/>
  <c r="BQ461" i="53"/>
  <c r="BR461" i="53"/>
  <c r="BQ462" i="53"/>
  <c r="BR462" i="53"/>
  <c r="BQ463" i="53"/>
  <c r="BR463" i="53"/>
  <c r="BQ464" i="53"/>
  <c r="BR464" i="53"/>
  <c r="BQ465" i="53"/>
  <c r="BR465" i="53"/>
  <c r="BQ466" i="53"/>
  <c r="BR466" i="53"/>
  <c r="BQ467" i="53"/>
  <c r="BR467" i="53"/>
  <c r="BQ468" i="53"/>
  <c r="BR468" i="53"/>
  <c r="BQ469" i="53"/>
  <c r="BR469" i="53"/>
  <c r="BQ470" i="53"/>
  <c r="BR470" i="53"/>
  <c r="BQ471" i="53"/>
  <c r="BR471" i="53"/>
  <c r="BQ472" i="53"/>
  <c r="BR472" i="53"/>
  <c r="BQ473" i="53"/>
  <c r="BR473" i="53"/>
  <c r="BQ474" i="53"/>
  <c r="BR474" i="53"/>
  <c r="BQ475" i="53"/>
  <c r="BR475" i="53"/>
  <c r="BQ476" i="53"/>
  <c r="BR476" i="53"/>
  <c r="BQ477" i="53"/>
  <c r="BR477" i="53"/>
  <c r="BQ478" i="53"/>
  <c r="BR478" i="53"/>
  <c r="BQ479" i="53"/>
  <c r="BR479" i="53"/>
  <c r="BQ480" i="53"/>
  <c r="BR480" i="53"/>
  <c r="BQ481" i="53"/>
  <c r="BR481" i="53"/>
  <c r="BQ482" i="53"/>
  <c r="BR482" i="53"/>
  <c r="BQ483" i="53"/>
  <c r="BR483" i="53"/>
  <c r="BQ484" i="53"/>
  <c r="BR484" i="53"/>
  <c r="BQ485" i="53"/>
  <c r="BR485" i="53"/>
  <c r="BQ486" i="53"/>
  <c r="BR486" i="53"/>
  <c r="BQ487" i="53"/>
  <c r="BR487" i="53"/>
  <c r="BQ488" i="53"/>
  <c r="BR488" i="53"/>
  <c r="BQ489" i="53"/>
  <c r="BR489" i="53"/>
  <c r="BQ490" i="53"/>
  <c r="BR490" i="53"/>
  <c r="BQ491" i="53"/>
  <c r="BR491" i="53"/>
  <c r="BQ492" i="53"/>
  <c r="BR492" i="53"/>
  <c r="BQ493" i="53"/>
  <c r="BR493" i="53"/>
  <c r="BQ494" i="53"/>
  <c r="BR494" i="53"/>
  <c r="BQ495" i="53"/>
  <c r="BR495" i="53"/>
  <c r="BQ496" i="53"/>
  <c r="BR496" i="53"/>
  <c r="BQ497" i="53"/>
  <c r="BR497" i="53"/>
  <c r="BQ498" i="53"/>
  <c r="BR498" i="53"/>
  <c r="BQ499" i="53"/>
  <c r="BR499" i="53"/>
  <c r="BQ500" i="53"/>
  <c r="BR500" i="53"/>
  <c r="BQ501" i="53"/>
  <c r="BR501" i="53"/>
  <c r="BQ502" i="53"/>
  <c r="BR502" i="53"/>
  <c r="BQ503" i="53"/>
  <c r="BR503" i="53"/>
  <c r="BQ504" i="53"/>
  <c r="BR504" i="53"/>
  <c r="BQ505" i="53"/>
  <c r="BR505" i="53"/>
  <c r="BQ506" i="53"/>
  <c r="BR506" i="53"/>
  <c r="BQ507" i="53"/>
  <c r="BR507" i="53"/>
  <c r="BQ508" i="53"/>
  <c r="BR508" i="53"/>
  <c r="BQ509" i="53"/>
  <c r="BR509" i="53"/>
  <c r="BQ510" i="53"/>
  <c r="BR510" i="53"/>
  <c r="BQ511" i="53"/>
  <c r="BR511" i="53"/>
  <c r="BQ512" i="53"/>
  <c r="BR512" i="53"/>
  <c r="BQ513" i="53"/>
  <c r="BR513" i="53"/>
  <c r="BQ514" i="53"/>
  <c r="BR514" i="53"/>
  <c r="BQ515" i="53"/>
  <c r="BR515" i="53"/>
  <c r="BQ516" i="53"/>
  <c r="BR516" i="53"/>
  <c r="BQ517" i="53"/>
  <c r="BR517" i="53"/>
  <c r="BQ518" i="53"/>
  <c r="BR518" i="53"/>
  <c r="BQ519" i="53"/>
  <c r="BR519" i="53"/>
  <c r="BQ520" i="53"/>
  <c r="BR520" i="53"/>
  <c r="BQ521" i="53"/>
  <c r="BR521" i="53"/>
  <c r="BQ522" i="53"/>
  <c r="BR522" i="53"/>
  <c r="BQ523" i="53"/>
  <c r="BR523" i="53"/>
  <c r="BQ524" i="53"/>
  <c r="BR524" i="53"/>
  <c r="BQ525" i="53"/>
  <c r="BR525" i="53"/>
  <c r="BQ526" i="53"/>
  <c r="BR526" i="53"/>
  <c r="BQ527" i="53"/>
  <c r="BR527" i="53"/>
  <c r="BQ528" i="53"/>
  <c r="BR528" i="53"/>
  <c r="BQ529" i="53"/>
  <c r="BR529" i="53"/>
  <c r="BQ530" i="53"/>
  <c r="BR530" i="53"/>
  <c r="BQ531" i="53"/>
  <c r="BR531" i="53"/>
  <c r="BQ532" i="53"/>
  <c r="BR532" i="53"/>
  <c r="BQ533" i="53"/>
  <c r="BR533" i="53"/>
  <c r="BQ534" i="53"/>
  <c r="BR534" i="53"/>
  <c r="BQ535" i="53"/>
  <c r="BR535" i="53"/>
  <c r="BQ536" i="53"/>
  <c r="BR536" i="53"/>
  <c r="BQ537" i="53"/>
  <c r="BR537" i="53"/>
  <c r="BQ538" i="53"/>
  <c r="BR538" i="53"/>
  <c r="BQ539" i="53"/>
  <c r="BR539" i="53"/>
  <c r="BQ540" i="53"/>
  <c r="BR540" i="53"/>
  <c r="BQ541" i="53"/>
  <c r="BR541" i="53"/>
  <c r="BQ542" i="53"/>
  <c r="BR542" i="53"/>
  <c r="BQ543" i="53"/>
  <c r="BR543" i="53"/>
  <c r="BQ544" i="53"/>
  <c r="BR544" i="53"/>
  <c r="BQ545" i="53"/>
  <c r="BR545" i="53"/>
  <c r="BQ546" i="53"/>
  <c r="BR546" i="53"/>
  <c r="BQ547" i="53"/>
  <c r="BR547" i="53"/>
  <c r="BQ548" i="53"/>
  <c r="BR548" i="53"/>
  <c r="BQ549" i="53"/>
  <c r="BR549" i="53"/>
  <c r="BQ550" i="53"/>
  <c r="BR550" i="53"/>
  <c r="BQ551" i="53"/>
  <c r="BR551" i="53"/>
  <c r="BQ552" i="53"/>
  <c r="BR552" i="53"/>
  <c r="BQ553" i="53"/>
  <c r="BR553" i="53"/>
  <c r="BQ554" i="53"/>
  <c r="BR554" i="53"/>
  <c r="BQ555" i="53"/>
  <c r="BR555" i="53"/>
  <c r="BQ556" i="53"/>
  <c r="BR556" i="53"/>
  <c r="BQ557" i="53"/>
  <c r="BR557" i="53"/>
  <c r="BQ558" i="53"/>
  <c r="BR558" i="53"/>
  <c r="BQ559" i="53"/>
  <c r="BR559" i="53"/>
  <c r="BQ560" i="53"/>
  <c r="BR560" i="53"/>
  <c r="BQ561" i="53"/>
  <c r="BR561" i="53"/>
  <c r="BQ562" i="53"/>
  <c r="BR562" i="53"/>
  <c r="BQ563" i="53"/>
  <c r="BR563" i="53"/>
  <c r="BQ564" i="53"/>
  <c r="BR564" i="53"/>
  <c r="BQ565" i="53"/>
  <c r="BR565" i="53"/>
  <c r="BQ566" i="53"/>
  <c r="BR566" i="53"/>
  <c r="BQ567" i="53"/>
  <c r="BR567" i="53"/>
  <c r="BQ568" i="53"/>
  <c r="BR568" i="53"/>
  <c r="BQ569" i="53"/>
  <c r="BR569" i="53"/>
  <c r="BQ570" i="53"/>
  <c r="BR570" i="53"/>
  <c r="BQ571" i="53"/>
  <c r="BR571" i="53"/>
  <c r="BQ572" i="53"/>
  <c r="BR572" i="53"/>
  <c r="BQ573" i="53"/>
  <c r="BR573" i="53"/>
  <c r="BQ574" i="53"/>
  <c r="BR574" i="53"/>
  <c r="BQ575" i="53"/>
  <c r="BR575" i="53"/>
  <c r="BQ576" i="53"/>
  <c r="BR576" i="53"/>
  <c r="BQ577" i="53"/>
  <c r="BR577" i="53"/>
  <c r="BQ578" i="53"/>
  <c r="BR578" i="53"/>
  <c r="BQ579" i="53"/>
  <c r="BR579" i="53"/>
  <c r="BQ580" i="53"/>
  <c r="BR580" i="53"/>
  <c r="BQ581" i="53"/>
  <c r="BR581" i="53"/>
  <c r="BQ582" i="53"/>
  <c r="BR582" i="53"/>
  <c r="BQ583" i="53"/>
  <c r="BR583" i="53"/>
  <c r="BQ584" i="53"/>
  <c r="BR584" i="53"/>
  <c r="BQ585" i="53"/>
  <c r="BR585" i="53"/>
  <c r="BQ586" i="53"/>
  <c r="BR586" i="53"/>
  <c r="BQ587" i="53"/>
  <c r="BR587" i="53"/>
  <c r="BQ588" i="53"/>
  <c r="BR588" i="53"/>
  <c r="BQ589" i="53"/>
  <c r="BR589" i="53"/>
  <c r="BQ590" i="53"/>
  <c r="BR590" i="53"/>
  <c r="BQ591" i="53"/>
  <c r="BR591" i="53"/>
  <c r="BQ592" i="53"/>
  <c r="BR592" i="53"/>
  <c r="BQ593" i="53"/>
  <c r="BR593" i="53"/>
  <c r="BQ594" i="53"/>
  <c r="BR594" i="53"/>
  <c r="BQ595" i="53"/>
  <c r="BR595" i="53"/>
  <c r="BQ596" i="53"/>
  <c r="BR596" i="53"/>
  <c r="BQ597" i="53"/>
  <c r="BR597" i="53"/>
  <c r="BQ598" i="53"/>
  <c r="BR598" i="53"/>
  <c r="BQ599" i="53"/>
  <c r="BR599" i="53"/>
  <c r="BQ600" i="53"/>
  <c r="BR600" i="53"/>
  <c r="BQ601" i="53"/>
  <c r="BR601" i="53"/>
  <c r="BQ602" i="53"/>
  <c r="BR602" i="53"/>
  <c r="BQ603" i="53"/>
  <c r="BR603" i="53"/>
  <c r="BQ604" i="53"/>
  <c r="BR604" i="53"/>
  <c r="BQ605" i="53"/>
  <c r="BR605" i="53"/>
  <c r="BQ606" i="53"/>
  <c r="BR606" i="53"/>
  <c r="BQ607" i="53"/>
  <c r="BR607" i="53"/>
  <c r="BQ608" i="53"/>
  <c r="BR608" i="53"/>
  <c r="BQ609" i="53"/>
  <c r="BR609" i="53"/>
  <c r="BQ610" i="53"/>
  <c r="BR610" i="53"/>
  <c r="BQ611" i="53"/>
  <c r="BR611" i="53"/>
  <c r="BQ612" i="53"/>
  <c r="BR612" i="53"/>
  <c r="BQ613" i="53"/>
  <c r="BR613" i="53"/>
  <c r="BQ614" i="53"/>
  <c r="BR614" i="53"/>
  <c r="BQ615" i="53"/>
  <c r="BR615" i="53"/>
  <c r="BQ616" i="53"/>
  <c r="BR616" i="53"/>
  <c r="BQ617" i="53"/>
  <c r="BR617" i="53"/>
  <c r="BQ618" i="53"/>
  <c r="BR618" i="53"/>
  <c r="BQ619" i="53"/>
  <c r="BR619" i="53"/>
  <c r="BQ620" i="53"/>
  <c r="BR620" i="53"/>
  <c r="BQ621" i="53"/>
  <c r="BR621" i="53"/>
  <c r="BQ622" i="53"/>
  <c r="BR622" i="53"/>
  <c r="BQ623" i="53"/>
  <c r="BR623" i="53"/>
  <c r="BQ624" i="53"/>
  <c r="BR624" i="53"/>
  <c r="BQ625" i="53"/>
  <c r="BR625" i="53"/>
  <c r="BQ626" i="53"/>
  <c r="BR626" i="53"/>
  <c r="BQ627" i="53"/>
  <c r="BR627" i="53"/>
  <c r="BQ628" i="53"/>
  <c r="BR628" i="53"/>
  <c r="BQ629" i="53"/>
  <c r="BR629" i="53"/>
  <c r="BQ630" i="53"/>
  <c r="BR630" i="53"/>
  <c r="BQ631" i="53"/>
  <c r="BR631" i="53"/>
  <c r="BQ632" i="53"/>
  <c r="BR632" i="53"/>
  <c r="BQ633" i="53"/>
  <c r="BR633" i="53"/>
  <c r="BQ634" i="53"/>
  <c r="BR634" i="53"/>
  <c r="BQ635" i="53"/>
  <c r="BR635" i="53"/>
  <c r="BQ636" i="53"/>
  <c r="BR636" i="53"/>
  <c r="BQ637" i="53"/>
  <c r="BR637" i="53"/>
  <c r="BQ638" i="53"/>
  <c r="BR638" i="53"/>
  <c r="BQ639" i="53"/>
  <c r="BR639" i="53"/>
  <c r="BQ640" i="53"/>
  <c r="BR640" i="53"/>
  <c r="BQ641" i="53"/>
  <c r="BR641" i="53"/>
  <c r="BQ642" i="53"/>
  <c r="BR642" i="53"/>
  <c r="BQ643" i="53"/>
  <c r="BR643" i="53"/>
  <c r="BQ644" i="53"/>
  <c r="BR644" i="53"/>
  <c r="BQ645" i="53"/>
  <c r="BR645" i="53"/>
  <c r="BQ646" i="53"/>
  <c r="BR646" i="53"/>
  <c r="BQ647" i="53"/>
  <c r="BR647" i="53"/>
  <c r="BQ648" i="53"/>
  <c r="BR648" i="53"/>
  <c r="BQ649" i="53"/>
  <c r="BR649" i="53"/>
  <c r="BQ650" i="53"/>
  <c r="BR650" i="53"/>
  <c r="BQ651" i="53"/>
  <c r="BR651" i="53"/>
  <c r="BQ652" i="53"/>
  <c r="BR652" i="53"/>
  <c r="BQ653" i="53"/>
  <c r="BR653" i="53"/>
  <c r="BQ654" i="53"/>
  <c r="BR654" i="53"/>
  <c r="BQ655" i="53"/>
  <c r="BR655" i="53"/>
  <c r="BQ656" i="53"/>
  <c r="BR656" i="53"/>
  <c r="BQ657" i="53"/>
  <c r="BR657" i="53"/>
  <c r="BQ658" i="53"/>
  <c r="BR658" i="53"/>
  <c r="BQ659" i="53"/>
  <c r="BR659" i="53"/>
  <c r="BQ660" i="53"/>
  <c r="BR660" i="53"/>
  <c r="BQ661" i="53"/>
  <c r="BR661" i="53"/>
  <c r="BQ662" i="53"/>
  <c r="BR662" i="53"/>
  <c r="BQ663" i="53"/>
  <c r="BR663" i="53"/>
  <c r="BQ664" i="53"/>
  <c r="BR664" i="53"/>
  <c r="BQ665" i="53"/>
  <c r="BR665" i="53"/>
  <c r="BQ666" i="53"/>
  <c r="BR666" i="53"/>
  <c r="BQ667" i="53"/>
  <c r="BR667" i="53"/>
  <c r="BQ668" i="53"/>
  <c r="BR668" i="53"/>
  <c r="BQ669" i="53"/>
  <c r="BR669" i="53"/>
  <c r="BQ670" i="53"/>
  <c r="BR670" i="53"/>
  <c r="BQ671" i="53"/>
  <c r="BR671" i="53"/>
  <c r="BQ672" i="53"/>
  <c r="BR672" i="53"/>
  <c r="BQ673" i="53"/>
  <c r="BR673" i="53"/>
  <c r="BQ674" i="53"/>
  <c r="BR674" i="53"/>
  <c r="BQ675" i="53"/>
  <c r="BR675" i="53"/>
  <c r="BQ676" i="53"/>
  <c r="BR676" i="53"/>
  <c r="BQ677" i="53"/>
  <c r="BR677" i="53"/>
  <c r="BQ678" i="53"/>
  <c r="BR678" i="53"/>
  <c r="BQ679" i="53"/>
  <c r="BR679" i="53"/>
  <c r="BQ680" i="53"/>
  <c r="BR680" i="53"/>
  <c r="BQ681" i="53"/>
  <c r="BR681" i="53"/>
  <c r="BQ682" i="53"/>
  <c r="BR682" i="53"/>
  <c r="BQ683" i="53"/>
  <c r="BR683" i="53"/>
  <c r="BQ684" i="53"/>
  <c r="BR684" i="53"/>
  <c r="BQ685" i="53"/>
  <c r="BR685" i="53"/>
  <c r="BQ686" i="53"/>
  <c r="BR686" i="53"/>
  <c r="BQ687" i="53"/>
  <c r="BR687" i="53"/>
  <c r="BQ688" i="53"/>
  <c r="BR688" i="53"/>
  <c r="BQ689" i="53"/>
  <c r="BR689" i="53"/>
  <c r="BQ690" i="53"/>
  <c r="BR690" i="53"/>
  <c r="BQ691" i="53"/>
  <c r="BR691" i="53"/>
  <c r="BQ692" i="53"/>
  <c r="BR692" i="53"/>
  <c r="BQ693" i="53"/>
  <c r="BR693" i="53"/>
  <c r="BQ694" i="53"/>
  <c r="BR694" i="53"/>
  <c r="BQ695" i="53"/>
  <c r="BR695" i="53"/>
  <c r="BQ696" i="53"/>
  <c r="BR696" i="53"/>
  <c r="BQ697" i="53"/>
  <c r="BR697" i="53"/>
  <c r="BQ698" i="53"/>
  <c r="BR698" i="53"/>
  <c r="BQ699" i="53"/>
  <c r="BR699" i="53"/>
  <c r="BQ700" i="53"/>
  <c r="BR700" i="53"/>
  <c r="BQ701" i="53"/>
  <c r="BR701" i="53"/>
  <c r="BQ702" i="53"/>
  <c r="BR702" i="53"/>
  <c r="BQ703" i="53"/>
  <c r="BR703" i="53"/>
  <c r="BQ704" i="53"/>
  <c r="BR704" i="53"/>
  <c r="BQ705" i="53"/>
  <c r="BR705" i="53"/>
  <c r="BQ706" i="53"/>
  <c r="BR706" i="53"/>
  <c r="BQ707" i="53"/>
  <c r="BR707" i="53"/>
  <c r="BQ708" i="53"/>
  <c r="BR708" i="53"/>
  <c r="BQ709" i="53"/>
  <c r="BR709" i="53"/>
  <c r="BQ710" i="53"/>
  <c r="BR710" i="53"/>
  <c r="BQ711" i="53"/>
  <c r="BR711" i="53"/>
  <c r="BQ712" i="53"/>
  <c r="BR712" i="53"/>
  <c r="BQ713" i="53"/>
  <c r="BR713" i="53"/>
  <c r="BQ714" i="53"/>
  <c r="BR714" i="53"/>
  <c r="BQ715" i="53"/>
  <c r="BR715" i="53"/>
  <c r="BQ716" i="53"/>
  <c r="BR716" i="53"/>
  <c r="BQ717" i="53"/>
  <c r="BR717" i="53"/>
  <c r="BQ718" i="53"/>
  <c r="BR718" i="53"/>
  <c r="BQ719" i="53"/>
  <c r="BR719" i="53"/>
  <c r="BQ720" i="53"/>
  <c r="BR720" i="53"/>
  <c r="BQ721" i="53"/>
  <c r="BR721" i="53"/>
  <c r="BQ722" i="53"/>
  <c r="BR722" i="53"/>
  <c r="BQ723" i="53"/>
  <c r="BR723" i="53"/>
  <c r="BQ724" i="53"/>
  <c r="BR724" i="53"/>
  <c r="BQ725" i="53"/>
  <c r="BR725" i="53"/>
  <c r="BQ726" i="53"/>
  <c r="BR726" i="53"/>
  <c r="BQ727" i="53"/>
  <c r="BR727" i="53"/>
  <c r="BQ728" i="53"/>
  <c r="BR728" i="53"/>
  <c r="BQ729" i="53"/>
  <c r="BR729" i="53"/>
  <c r="BQ730" i="53"/>
  <c r="BR730" i="53"/>
  <c r="BQ731" i="53"/>
  <c r="BR731" i="53"/>
  <c r="BQ732" i="53"/>
  <c r="BR732" i="53"/>
  <c r="BQ733" i="53"/>
  <c r="BR733" i="53"/>
  <c r="BQ734" i="53"/>
  <c r="BR734" i="53"/>
  <c r="BQ735" i="53"/>
  <c r="BR735" i="53"/>
  <c r="BQ736" i="53"/>
  <c r="BR736" i="53"/>
  <c r="BQ737" i="53"/>
  <c r="BR737" i="53"/>
  <c r="BQ738" i="53"/>
  <c r="BR738" i="53"/>
  <c r="BQ739" i="53"/>
  <c r="BR739" i="53"/>
  <c r="BQ740" i="53"/>
  <c r="BR740" i="53"/>
  <c r="BQ741" i="53"/>
  <c r="BR741" i="53"/>
  <c r="BQ742" i="53"/>
  <c r="BR742" i="53"/>
  <c r="BQ743" i="53"/>
  <c r="BR743" i="53"/>
  <c r="BQ744" i="53"/>
  <c r="BR744" i="53"/>
  <c r="BQ745" i="53"/>
  <c r="BR745" i="53"/>
  <c r="BQ746" i="53"/>
  <c r="BR746" i="53"/>
  <c r="BQ747" i="53"/>
  <c r="BR747" i="53"/>
  <c r="BQ748" i="53"/>
  <c r="BR748" i="53"/>
  <c r="BQ749" i="53"/>
  <c r="BR749" i="53"/>
  <c r="BQ750" i="53"/>
  <c r="BR750" i="53"/>
  <c r="BQ751" i="53"/>
  <c r="BR751" i="53"/>
  <c r="BQ752" i="53"/>
  <c r="BR752" i="53"/>
  <c r="BQ753" i="53"/>
  <c r="BR753" i="53"/>
  <c r="BQ754" i="53"/>
  <c r="BR754" i="53"/>
  <c r="BQ755" i="53"/>
  <c r="BR755" i="53"/>
  <c r="BQ756" i="53"/>
  <c r="BR756" i="53"/>
  <c r="BQ757" i="53"/>
  <c r="BR757" i="53"/>
  <c r="BQ758" i="53"/>
  <c r="BR758" i="53"/>
  <c r="BQ759" i="53"/>
  <c r="BR759" i="53"/>
  <c r="BQ760" i="53"/>
  <c r="BR760" i="53"/>
  <c r="BQ761" i="53"/>
  <c r="BR761" i="53"/>
  <c r="BQ762" i="53"/>
  <c r="BR762" i="53"/>
  <c r="BQ763" i="53"/>
  <c r="BR763" i="53"/>
  <c r="BQ764" i="53"/>
  <c r="BR764" i="53"/>
  <c r="BQ765" i="53"/>
  <c r="BR765" i="53"/>
  <c r="BQ766" i="53"/>
  <c r="BR766" i="53"/>
  <c r="BQ767" i="53"/>
  <c r="BR767" i="53"/>
  <c r="BQ768" i="53"/>
  <c r="BR768" i="53"/>
  <c r="BQ769" i="53"/>
  <c r="BR769" i="53"/>
  <c r="BQ770" i="53"/>
  <c r="BR770" i="53"/>
  <c r="BQ771" i="53"/>
  <c r="BR771" i="53"/>
  <c r="BQ772" i="53"/>
  <c r="BR772" i="53"/>
  <c r="BQ773" i="53"/>
  <c r="BR773" i="53"/>
  <c r="BQ774" i="53"/>
  <c r="BR774" i="53"/>
  <c r="BQ775" i="53"/>
  <c r="BR775" i="53"/>
  <c r="BQ776" i="53"/>
  <c r="BR776" i="53"/>
  <c r="BQ777" i="53"/>
  <c r="BR777" i="53"/>
  <c r="BQ778" i="53"/>
  <c r="BR778" i="53"/>
  <c r="BQ779" i="53"/>
  <c r="BR779" i="53"/>
  <c r="BQ780" i="53"/>
  <c r="BR780" i="53"/>
  <c r="BQ781" i="53"/>
  <c r="BR781" i="53"/>
  <c r="BQ782" i="53"/>
  <c r="BR782" i="53"/>
  <c r="BQ783" i="53"/>
  <c r="BR783" i="53"/>
  <c r="BQ784" i="53"/>
  <c r="BR784" i="53"/>
  <c r="BQ785" i="53"/>
  <c r="BR785" i="53"/>
  <c r="BQ786" i="53"/>
  <c r="BR786" i="53"/>
  <c r="BQ787" i="53"/>
  <c r="BR787" i="53"/>
  <c r="BQ788" i="53"/>
  <c r="BR788" i="53"/>
  <c r="BQ789" i="53"/>
  <c r="BR789" i="53"/>
  <c r="BQ790" i="53"/>
  <c r="BR790" i="53"/>
  <c r="BQ791" i="53"/>
  <c r="BR791" i="53"/>
  <c r="BQ792" i="53"/>
  <c r="BR792" i="53"/>
  <c r="BQ793" i="53"/>
  <c r="BR793" i="53"/>
  <c r="BQ794" i="53"/>
  <c r="BR794" i="53"/>
  <c r="BQ795" i="53"/>
  <c r="BR795" i="53"/>
  <c r="BQ796" i="53"/>
  <c r="BR796" i="53"/>
  <c r="BQ797" i="53"/>
  <c r="BR797" i="53"/>
  <c r="BQ798" i="53"/>
  <c r="BR798" i="53"/>
  <c r="BQ799" i="53"/>
  <c r="BR799" i="53"/>
  <c r="BQ800" i="53"/>
  <c r="BR800" i="53"/>
  <c r="BQ801" i="53"/>
  <c r="BR801" i="53"/>
  <c r="BQ802" i="53"/>
  <c r="BR802" i="53"/>
  <c r="BQ803" i="53"/>
  <c r="BR803" i="53"/>
  <c r="BQ804" i="53"/>
  <c r="BR804" i="53"/>
  <c r="BQ805" i="53"/>
  <c r="BR805" i="53"/>
  <c r="BQ806" i="53"/>
  <c r="BR806" i="53"/>
  <c r="BQ807" i="53"/>
  <c r="BR807" i="53"/>
  <c r="BQ808" i="53"/>
  <c r="BR808" i="53"/>
  <c r="BQ809" i="53"/>
  <c r="BR809" i="53"/>
  <c r="BQ810" i="53"/>
  <c r="BR810" i="53"/>
  <c r="BQ811" i="53"/>
  <c r="BR811" i="53"/>
  <c r="BQ812" i="53"/>
  <c r="BR812" i="53"/>
  <c r="BQ813" i="53"/>
  <c r="BR813" i="53"/>
  <c r="BQ814" i="53"/>
  <c r="BR814" i="53"/>
  <c r="BQ815" i="53"/>
  <c r="BR815" i="53"/>
  <c r="BQ816" i="53"/>
  <c r="BR816" i="53"/>
  <c r="BQ817" i="53"/>
  <c r="BR817" i="53"/>
  <c r="BQ818" i="53"/>
  <c r="BR818" i="53"/>
  <c r="BQ819" i="53"/>
  <c r="BR819" i="53"/>
  <c r="BQ820" i="53"/>
  <c r="BR820" i="53"/>
  <c r="BQ821" i="53"/>
  <c r="BR821" i="53"/>
  <c r="BQ822" i="53"/>
  <c r="BR822" i="53"/>
  <c r="BQ823" i="53"/>
  <c r="BR823" i="53"/>
  <c r="BQ824" i="53"/>
  <c r="BR824" i="53"/>
  <c r="BQ825" i="53"/>
  <c r="BR825" i="53"/>
  <c r="BQ826" i="53"/>
  <c r="BR826" i="53"/>
  <c r="BQ827" i="53"/>
  <c r="BR827" i="53"/>
  <c r="BQ828" i="53"/>
  <c r="BR828" i="53"/>
  <c r="BQ829" i="53"/>
  <c r="BR829" i="53"/>
  <c r="BQ830" i="53"/>
  <c r="BR830" i="53"/>
  <c r="BQ831" i="53"/>
  <c r="BR831" i="53"/>
  <c r="BQ832" i="53"/>
  <c r="BR832" i="53"/>
  <c r="BQ833" i="53"/>
  <c r="BR833" i="53"/>
  <c r="BQ834" i="53"/>
  <c r="BR834" i="53"/>
  <c r="BQ835" i="53"/>
  <c r="BR835" i="53"/>
  <c r="BQ836" i="53"/>
  <c r="BR836" i="53"/>
  <c r="BQ837" i="53"/>
  <c r="BR837" i="53"/>
  <c r="BQ838" i="53"/>
  <c r="BR838" i="53"/>
  <c r="BQ839" i="53"/>
  <c r="BR839" i="53"/>
  <c r="BQ840" i="53"/>
  <c r="BR840" i="53"/>
  <c r="BQ841" i="53"/>
  <c r="BR841" i="53"/>
  <c r="BQ842" i="53"/>
  <c r="BR842" i="53"/>
  <c r="BQ843" i="53"/>
  <c r="BR843" i="53"/>
  <c r="BQ844" i="53"/>
  <c r="BR844" i="53"/>
  <c r="BQ845" i="53"/>
  <c r="BR845" i="53"/>
  <c r="BQ846" i="53"/>
  <c r="BR846" i="53"/>
  <c r="BQ847" i="53"/>
  <c r="BR847" i="53"/>
  <c r="BQ848" i="53"/>
  <c r="BR848" i="53"/>
  <c r="BQ849" i="53"/>
  <c r="BR849" i="53"/>
  <c r="BQ850" i="53"/>
  <c r="BR850" i="53"/>
  <c r="BQ851" i="53"/>
  <c r="BR851" i="53"/>
  <c r="BQ852" i="53"/>
  <c r="BR852" i="53"/>
  <c r="BQ853" i="53"/>
  <c r="BR853" i="53"/>
  <c r="BQ854" i="53"/>
  <c r="BR854" i="53"/>
  <c r="BQ855" i="53"/>
  <c r="BR855" i="53"/>
  <c r="BQ856" i="53"/>
  <c r="BR856" i="53"/>
  <c r="BQ857" i="53"/>
  <c r="BR857" i="53"/>
  <c r="BQ858" i="53"/>
  <c r="BR858" i="53"/>
  <c r="BQ859" i="53"/>
  <c r="BR859" i="53"/>
  <c r="BQ860" i="53"/>
  <c r="BR860" i="53"/>
  <c r="BQ861" i="53"/>
  <c r="BR861" i="53"/>
  <c r="BQ862" i="53"/>
  <c r="BR862" i="53"/>
  <c r="BQ863" i="53"/>
  <c r="BR863" i="53"/>
  <c r="BQ864" i="53"/>
  <c r="BR864" i="53"/>
  <c r="BQ865" i="53"/>
  <c r="BR865" i="53"/>
  <c r="BQ866" i="53"/>
  <c r="BR866" i="53"/>
  <c r="BQ867" i="53"/>
  <c r="BR867" i="53"/>
  <c r="BQ868" i="53"/>
  <c r="BR868" i="53"/>
  <c r="BQ869" i="53"/>
  <c r="BR869" i="53"/>
  <c r="BQ870" i="53"/>
  <c r="BR870" i="53"/>
  <c r="BQ871" i="53"/>
  <c r="BR871" i="53"/>
  <c r="BQ872" i="53"/>
  <c r="BR872" i="53"/>
  <c r="BQ873" i="53"/>
  <c r="BR873" i="53"/>
  <c r="BQ874" i="53"/>
  <c r="BR874" i="53"/>
  <c r="BQ875" i="53"/>
  <c r="BR875" i="53"/>
  <c r="BQ876" i="53"/>
  <c r="BR876" i="53"/>
  <c r="BQ877" i="53"/>
  <c r="BR877" i="53"/>
  <c r="BQ878" i="53"/>
  <c r="BR878" i="53"/>
  <c r="BQ879" i="53"/>
  <c r="BR879" i="53"/>
  <c r="BQ880" i="53"/>
  <c r="BR880" i="53"/>
  <c r="BQ881" i="53"/>
  <c r="BR881" i="53"/>
  <c r="BQ882" i="53"/>
  <c r="BR882" i="53"/>
  <c r="BQ883" i="53"/>
  <c r="BR883" i="53"/>
  <c r="BQ884" i="53"/>
  <c r="BR884" i="53"/>
  <c r="BQ885" i="53"/>
  <c r="BR885" i="53"/>
  <c r="BQ886" i="53"/>
  <c r="BR886" i="53"/>
  <c r="BQ887" i="53"/>
  <c r="BR887" i="53"/>
  <c r="BQ888" i="53"/>
  <c r="BR888" i="53"/>
  <c r="BQ889" i="53"/>
  <c r="BR889" i="53"/>
  <c r="BQ890" i="53"/>
  <c r="BR890" i="53"/>
  <c r="BQ891" i="53"/>
  <c r="BR891" i="53"/>
  <c r="BQ892" i="53"/>
  <c r="BR892" i="53"/>
  <c r="BQ893" i="53"/>
  <c r="BR893" i="53"/>
  <c r="BQ894" i="53"/>
  <c r="BR894" i="53"/>
  <c r="BQ895" i="53"/>
  <c r="BR895" i="53"/>
  <c r="BQ896" i="53"/>
  <c r="BR896" i="53"/>
  <c r="BQ897" i="53"/>
  <c r="BR897" i="53"/>
  <c r="BQ898" i="53"/>
  <c r="BR898" i="53"/>
  <c r="BQ899" i="53"/>
  <c r="BR899" i="53"/>
  <c r="BQ900" i="53"/>
  <c r="BR900" i="53"/>
  <c r="BQ901" i="53"/>
  <c r="BR901" i="53"/>
  <c r="BQ902" i="53"/>
  <c r="BR902" i="53"/>
  <c r="BQ903" i="53"/>
  <c r="BR903" i="53"/>
  <c r="BQ904" i="53"/>
  <c r="BR904" i="53"/>
  <c r="BQ905" i="53"/>
  <c r="BR905" i="53"/>
  <c r="BQ906" i="53"/>
  <c r="BR906" i="53"/>
  <c r="BQ907" i="53"/>
  <c r="BR907" i="53"/>
  <c r="BQ908" i="53"/>
  <c r="BR908" i="53"/>
  <c r="BQ909" i="53"/>
  <c r="BR909" i="53"/>
  <c r="BQ910" i="53"/>
  <c r="BR910" i="53"/>
  <c r="BQ911" i="53"/>
  <c r="BR911" i="53"/>
  <c r="BQ912" i="53"/>
  <c r="BR912" i="53"/>
  <c r="BQ913" i="53"/>
  <c r="BR913" i="53"/>
  <c r="BQ914" i="53"/>
  <c r="BR914" i="53"/>
  <c r="BQ915" i="53"/>
  <c r="BR915" i="53"/>
  <c r="BQ916" i="53"/>
  <c r="BR916" i="53"/>
  <c r="BQ917" i="53"/>
  <c r="BR917" i="53"/>
  <c r="BQ918" i="53"/>
  <c r="BR918" i="53"/>
  <c r="BQ919" i="53"/>
  <c r="BR919" i="53"/>
  <c r="BQ920" i="53"/>
  <c r="BR920" i="53"/>
  <c r="BQ921" i="53"/>
  <c r="BR921" i="53"/>
  <c r="BQ922" i="53"/>
  <c r="BR922" i="53"/>
  <c r="BQ923" i="53"/>
  <c r="BR923" i="53"/>
  <c r="BQ924" i="53"/>
  <c r="BR924" i="53"/>
  <c r="BQ925" i="53"/>
  <c r="BR925" i="53"/>
  <c r="BQ926" i="53"/>
  <c r="BR926" i="53"/>
  <c r="BQ927" i="53"/>
  <c r="BR927" i="53"/>
  <c r="BQ928" i="53"/>
  <c r="BR928" i="53"/>
  <c r="BQ929" i="53"/>
  <c r="BR929" i="53"/>
  <c r="BQ930" i="53"/>
  <c r="BR930" i="53"/>
  <c r="BQ931" i="53"/>
  <c r="BR931" i="53"/>
  <c r="BQ932" i="53"/>
  <c r="BR932" i="53"/>
  <c r="BQ933" i="53"/>
  <c r="BR933" i="53"/>
  <c r="BQ934" i="53"/>
  <c r="BR934" i="53"/>
  <c r="BQ935" i="53"/>
  <c r="BR935" i="53"/>
  <c r="BQ936" i="53"/>
  <c r="BR936" i="53"/>
  <c r="BQ937" i="53"/>
  <c r="BR937" i="53"/>
  <c r="BQ938" i="53"/>
  <c r="BR938" i="53"/>
  <c r="BQ939" i="53"/>
  <c r="BR939" i="53"/>
  <c r="BQ940" i="53"/>
  <c r="BR940" i="53"/>
  <c r="BQ941" i="53"/>
  <c r="BR941" i="53"/>
  <c r="BQ942" i="53"/>
  <c r="BR942" i="53"/>
  <c r="BQ943" i="53"/>
  <c r="BR943" i="53"/>
  <c r="BQ944" i="53"/>
  <c r="BR944" i="53"/>
  <c r="BQ945" i="53"/>
  <c r="BR945" i="53"/>
  <c r="BQ946" i="53"/>
  <c r="BR946" i="53"/>
  <c r="BQ947" i="53"/>
  <c r="BR947" i="53"/>
  <c r="BQ948" i="53"/>
  <c r="BR948" i="53"/>
  <c r="BQ949" i="53"/>
  <c r="BR949" i="53"/>
  <c r="BQ950" i="53"/>
  <c r="BR950" i="53"/>
  <c r="BQ951" i="53"/>
  <c r="BR951" i="53"/>
  <c r="BQ952" i="53"/>
  <c r="BR952" i="53"/>
  <c r="BQ953" i="53"/>
  <c r="BR953" i="53"/>
  <c r="BQ954" i="53"/>
  <c r="BR954" i="53"/>
  <c r="BQ955" i="53"/>
  <c r="BR955" i="53"/>
  <c r="BQ956" i="53"/>
  <c r="BR956" i="53"/>
  <c r="BQ957" i="53"/>
  <c r="BR957" i="53"/>
  <c r="BQ958" i="53"/>
  <c r="BR958" i="53"/>
  <c r="BQ959" i="53"/>
  <c r="BR959" i="53"/>
  <c r="BQ960" i="53"/>
  <c r="BR960" i="53"/>
  <c r="BQ961" i="53"/>
  <c r="BR961" i="53"/>
  <c r="BQ962" i="53"/>
  <c r="BR962" i="53"/>
  <c r="BQ963" i="53"/>
  <c r="BR963" i="53"/>
  <c r="BQ964" i="53"/>
  <c r="BR964" i="53"/>
  <c r="BQ965" i="53"/>
  <c r="BR965" i="53"/>
  <c r="BQ966" i="53"/>
  <c r="BR966" i="53"/>
  <c r="BQ967" i="53"/>
  <c r="BR967" i="53"/>
  <c r="BQ968" i="53"/>
  <c r="BR968" i="53"/>
  <c r="BQ969" i="53"/>
  <c r="BR969" i="53"/>
  <c r="BQ970" i="53"/>
  <c r="BR970" i="53"/>
  <c r="BQ971" i="53"/>
  <c r="BR971" i="53"/>
  <c r="BQ972" i="53"/>
  <c r="BR972" i="53"/>
  <c r="BQ973" i="53"/>
  <c r="BR973" i="53"/>
  <c r="BQ974" i="53"/>
  <c r="BR974" i="53"/>
  <c r="BQ975" i="53"/>
  <c r="BR975" i="53"/>
  <c r="BQ976" i="53"/>
  <c r="BR976" i="53"/>
  <c r="BQ977" i="53"/>
  <c r="BR977" i="53"/>
  <c r="BQ978" i="53"/>
  <c r="BR978" i="53"/>
  <c r="BQ979" i="53"/>
  <c r="BR979" i="53"/>
  <c r="BQ980" i="53"/>
  <c r="BR980" i="53"/>
  <c r="BQ981" i="53"/>
  <c r="BR981" i="53"/>
  <c r="BQ982" i="53"/>
  <c r="BR982" i="53"/>
  <c r="BQ983" i="53"/>
  <c r="BR983" i="53"/>
  <c r="BQ984" i="53"/>
  <c r="BR984" i="53"/>
  <c r="BQ985" i="53"/>
  <c r="BR985" i="53"/>
  <c r="BQ986" i="53"/>
  <c r="BR986" i="53"/>
  <c r="BQ987" i="53"/>
  <c r="BR987" i="53"/>
  <c r="BQ988" i="53"/>
  <c r="BR988" i="53"/>
  <c r="BQ989" i="53"/>
  <c r="BR989" i="53"/>
  <c r="BQ990" i="53"/>
  <c r="BR990" i="53"/>
  <c r="BQ991" i="53"/>
  <c r="BR991" i="53"/>
  <c r="BQ992" i="53"/>
  <c r="BR992" i="53"/>
  <c r="BQ993" i="53"/>
  <c r="BR993" i="53"/>
  <c r="BQ994" i="53"/>
  <c r="BR994" i="53"/>
  <c r="BQ995" i="53"/>
  <c r="BR995" i="53"/>
  <c r="BQ996" i="53"/>
  <c r="BR996" i="53"/>
  <c r="BQ997" i="53"/>
  <c r="BR997" i="53"/>
  <c r="BQ998" i="53"/>
  <c r="BR998" i="53"/>
  <c r="BQ999" i="53"/>
  <c r="BR999" i="53"/>
  <c r="BQ1000" i="53"/>
  <c r="BR1000" i="53"/>
  <c r="BQ1001" i="53"/>
  <c r="BR1001" i="53"/>
  <c r="BQ1002" i="53"/>
  <c r="BR1002" i="53"/>
  <c r="BQ1003" i="53"/>
  <c r="BR1003" i="53"/>
  <c r="BQ1004" i="53"/>
  <c r="BR1004" i="53"/>
  <c r="BQ1005" i="53"/>
  <c r="BR1005" i="53"/>
  <c r="BQ1006" i="53"/>
  <c r="BR1006" i="53"/>
  <c r="BQ1007" i="53"/>
  <c r="BR1007" i="53"/>
  <c r="BQ1008" i="53"/>
  <c r="BR1008" i="53"/>
  <c r="BQ1009" i="53"/>
  <c r="BR1009" i="53"/>
  <c r="BQ1010" i="53"/>
  <c r="BR1010" i="53"/>
  <c r="BQ1011" i="53"/>
  <c r="BR1011" i="53"/>
  <c r="BQ1012" i="53"/>
  <c r="BR1012" i="53"/>
  <c r="BQ1013" i="53"/>
  <c r="BR1013" i="53"/>
  <c r="BQ1014" i="53"/>
  <c r="BR1014" i="53"/>
  <c r="BQ1015" i="53"/>
  <c r="BR1015" i="53"/>
  <c r="BQ1016" i="53"/>
  <c r="BR1016" i="53"/>
  <c r="BQ1017" i="53"/>
  <c r="BR1017" i="53"/>
  <c r="BQ1018" i="53"/>
  <c r="BR1018" i="53"/>
  <c r="BQ1019" i="53"/>
  <c r="BR1019" i="53"/>
  <c r="BQ1020" i="53"/>
  <c r="BR1020" i="53"/>
  <c r="BQ1021" i="53"/>
  <c r="BR1021" i="53"/>
  <c r="BQ1022" i="53"/>
  <c r="BR1022" i="53"/>
  <c r="BQ1023" i="53"/>
  <c r="BR1023" i="53"/>
  <c r="BQ1024" i="53"/>
  <c r="BR1024" i="53"/>
  <c r="BQ1025" i="53"/>
  <c r="BR1025" i="53"/>
  <c r="BQ1026" i="53"/>
  <c r="BR1026" i="53"/>
  <c r="BQ1027" i="53"/>
  <c r="BR1027" i="53"/>
  <c r="BQ1028" i="53"/>
  <c r="BR1028" i="53"/>
  <c r="BQ1029" i="53"/>
  <c r="BR1029" i="53"/>
  <c r="BQ1030" i="53"/>
  <c r="BR1030" i="53"/>
  <c r="BQ1031" i="53"/>
  <c r="BR1031" i="53"/>
  <c r="BQ1032" i="53"/>
  <c r="BR1032" i="53"/>
  <c r="BQ1033" i="53"/>
  <c r="BR1033" i="53"/>
  <c r="BQ1034" i="53"/>
  <c r="BR1034" i="53"/>
  <c r="BQ1035" i="53"/>
  <c r="BR1035" i="53"/>
  <c r="BQ1036" i="53"/>
  <c r="BR1036" i="53"/>
  <c r="BQ1037" i="53"/>
  <c r="BR1037" i="53"/>
  <c r="BQ1038" i="53"/>
  <c r="BR1038" i="53"/>
  <c r="BQ1039" i="53"/>
  <c r="BR1039" i="53"/>
  <c r="BQ1040" i="53"/>
  <c r="BR1040" i="53"/>
  <c r="BQ1041" i="53"/>
  <c r="BR1041" i="53"/>
  <c r="BQ1042" i="53"/>
  <c r="BR1042" i="53"/>
  <c r="BQ1043" i="53"/>
  <c r="BR1043" i="53"/>
  <c r="BQ1044" i="53"/>
  <c r="BR1044" i="53"/>
  <c r="BQ1045" i="53"/>
  <c r="BR1045" i="53"/>
  <c r="BQ1046" i="53"/>
  <c r="BR1046" i="53"/>
  <c r="BQ1047" i="53"/>
  <c r="BR1047" i="53"/>
  <c r="BQ1048" i="53"/>
  <c r="BR1048" i="53"/>
  <c r="BQ1049" i="53"/>
  <c r="BR1049" i="53"/>
  <c r="BQ1050" i="53"/>
  <c r="BR1050" i="53"/>
  <c r="BQ1051" i="53"/>
  <c r="BR1051" i="53"/>
  <c r="BQ1052" i="53"/>
  <c r="BR1052" i="53"/>
  <c r="BQ1053" i="53"/>
  <c r="BR1053" i="53"/>
  <c r="BQ1054" i="53"/>
  <c r="BR1054" i="53"/>
  <c r="BQ1055" i="53"/>
  <c r="BR1055" i="53"/>
  <c r="BQ1056" i="53"/>
  <c r="BR1056" i="53"/>
  <c r="BQ1057" i="53"/>
  <c r="BR1057" i="53"/>
  <c r="BQ1058" i="53"/>
  <c r="BR1058" i="53"/>
  <c r="BQ1059" i="53"/>
  <c r="BR1059" i="53"/>
  <c r="BQ1060" i="53"/>
  <c r="BR1060" i="53"/>
  <c r="BQ1061" i="53"/>
  <c r="BR1061" i="53"/>
  <c r="BQ1062" i="53"/>
  <c r="BR1062" i="53"/>
  <c r="BQ1063" i="53"/>
  <c r="BR1063" i="53"/>
  <c r="BQ1064" i="53"/>
  <c r="BR1064" i="53"/>
  <c r="BQ1065" i="53"/>
  <c r="BR1065" i="53"/>
  <c r="BQ1066" i="53"/>
  <c r="BR1066" i="53"/>
  <c r="BQ1067" i="53"/>
  <c r="BR1067" i="53"/>
  <c r="BQ1068" i="53"/>
  <c r="BR1068" i="53"/>
  <c r="BQ1069" i="53"/>
  <c r="BR1069" i="53"/>
  <c r="BQ1070" i="53"/>
  <c r="BR1070" i="53"/>
  <c r="BQ1071" i="53"/>
  <c r="BR1071" i="53"/>
  <c r="BQ1072" i="53"/>
  <c r="BR1072" i="53"/>
  <c r="BQ1073" i="53"/>
  <c r="BR1073" i="53"/>
  <c r="BQ1074" i="53"/>
  <c r="BR1074" i="53"/>
  <c r="BQ1075" i="53"/>
  <c r="BR1075" i="53"/>
  <c r="BQ1076" i="53"/>
  <c r="BR1076" i="53"/>
  <c r="BQ1077" i="53"/>
  <c r="BR1077" i="53"/>
  <c r="BQ1078" i="53"/>
  <c r="BR1078" i="53"/>
  <c r="BQ1079" i="53"/>
  <c r="BR1079" i="53"/>
  <c r="BQ1080" i="53"/>
  <c r="BR1080" i="53"/>
  <c r="BQ1081" i="53"/>
  <c r="BR1081" i="53"/>
  <c r="BQ1082" i="53"/>
  <c r="BR1082" i="53"/>
  <c r="BQ1083" i="53"/>
  <c r="BR1083" i="53"/>
  <c r="BQ1084" i="53"/>
  <c r="BR1084" i="53"/>
  <c r="BQ1085" i="53"/>
  <c r="BR1085" i="53"/>
  <c r="BQ1086" i="53"/>
  <c r="BR1086" i="53"/>
  <c r="BQ1087" i="53"/>
  <c r="BR1087" i="53"/>
  <c r="BQ1088" i="53"/>
  <c r="BR1088" i="53"/>
  <c r="BQ1089" i="53"/>
  <c r="BR1089" i="53"/>
  <c r="BQ1090" i="53"/>
  <c r="BR1090" i="53"/>
  <c r="BQ1091" i="53"/>
  <c r="BR1091" i="53"/>
  <c r="BQ1092" i="53"/>
  <c r="BR1092" i="53"/>
  <c r="BQ1093" i="53"/>
  <c r="BR1093" i="53"/>
  <c r="BQ1094" i="53"/>
  <c r="BR1094" i="53"/>
  <c r="BQ1095" i="53"/>
  <c r="BR1095" i="53"/>
  <c r="BQ1096" i="53"/>
  <c r="BR1096" i="53"/>
  <c r="BQ1097" i="53"/>
  <c r="BR1097" i="53"/>
  <c r="BQ1098" i="53"/>
  <c r="BR1098" i="53"/>
  <c r="BQ1099" i="53"/>
  <c r="BR1099" i="53"/>
  <c r="BQ1100" i="53"/>
  <c r="BR1100" i="53"/>
  <c r="BQ1101" i="53"/>
  <c r="BR1101" i="53"/>
  <c r="BQ1102" i="53"/>
  <c r="BR1102" i="53"/>
  <c r="BQ1103" i="53"/>
  <c r="BR1103" i="53"/>
  <c r="BQ1104" i="53"/>
  <c r="BR1104" i="53"/>
  <c r="BQ1105" i="53"/>
  <c r="BR1105" i="53"/>
  <c r="BR3" i="53"/>
  <c r="BQ3" i="53"/>
  <c r="CR25" i="53"/>
  <c r="CS25" i="53" s="1"/>
  <c r="AB1110" i="53"/>
  <c r="D28" i="42" a="1"/>
  <c r="D28" i="42" s="1"/>
  <c r="E28" i="42" a="1"/>
  <c r="E28" i="42" s="1"/>
  <c r="F28" i="42" a="1"/>
  <c r="F28" i="42" s="1"/>
  <c r="G28" i="42" a="1"/>
  <c r="G28" i="42" s="1"/>
  <c r="H28" i="42" a="1"/>
  <c r="H28" i="42" s="1"/>
  <c r="I28" i="42" a="1"/>
  <c r="I28" i="42" s="1"/>
  <c r="J28" i="42" a="1"/>
  <c r="J28" i="42" s="1"/>
  <c r="K28" i="42" a="1"/>
  <c r="K28" i="42" s="1"/>
  <c r="E46" i="39" l="1"/>
  <c r="F46" i="39"/>
  <c r="D65" i="31"/>
  <c r="E65" i="31"/>
  <c r="AQ4" i="4"/>
  <c r="U3" i="54"/>
  <c r="U4" i="54"/>
  <c r="U5" i="54"/>
  <c r="U6" i="54"/>
  <c r="U7" i="54"/>
  <c r="U8" i="54"/>
  <c r="U9" i="54"/>
  <c r="U10" i="54"/>
  <c r="U11" i="54"/>
  <c r="U12" i="54"/>
  <c r="U13" i="54"/>
  <c r="U14" i="54"/>
  <c r="U15" i="54"/>
  <c r="U16" i="54"/>
  <c r="U17" i="54"/>
  <c r="U18" i="54"/>
  <c r="U19" i="54"/>
  <c r="U20" i="54"/>
  <c r="U21" i="54"/>
  <c r="U22" i="54"/>
  <c r="U23" i="54"/>
  <c r="U24" i="54"/>
  <c r="U25" i="54"/>
  <c r="U26" i="54"/>
  <c r="U27" i="54"/>
  <c r="U28" i="54"/>
  <c r="U29" i="54"/>
  <c r="U30" i="54"/>
  <c r="U31" i="54"/>
  <c r="U32" i="54"/>
  <c r="U33" i="54"/>
  <c r="U34" i="54"/>
  <c r="U35" i="54"/>
  <c r="U36" i="54"/>
  <c r="U37" i="54"/>
  <c r="U38" i="54"/>
  <c r="U39" i="54"/>
  <c r="U40" i="54"/>
  <c r="U41" i="54"/>
  <c r="U42" i="54"/>
  <c r="U43" i="54"/>
  <c r="U44" i="54"/>
  <c r="U45" i="54"/>
  <c r="U46" i="54"/>
  <c r="U47" i="54"/>
  <c r="U48" i="54"/>
  <c r="U49" i="54"/>
  <c r="U50" i="54"/>
  <c r="U51" i="54"/>
  <c r="U52" i="54"/>
  <c r="U53" i="54"/>
  <c r="U54" i="54"/>
  <c r="U55" i="54"/>
  <c r="U56" i="54"/>
  <c r="U57" i="54"/>
  <c r="U58" i="54"/>
  <c r="U59" i="54"/>
  <c r="U60" i="54"/>
  <c r="U61" i="54"/>
  <c r="U62" i="54"/>
  <c r="U63" i="54"/>
  <c r="U64" i="54"/>
  <c r="U65" i="54"/>
  <c r="U66" i="54"/>
  <c r="U67" i="54"/>
  <c r="U68" i="54"/>
  <c r="U69" i="54"/>
  <c r="U70" i="54"/>
  <c r="U71" i="54"/>
  <c r="U72" i="54"/>
  <c r="U73" i="54"/>
  <c r="U74" i="54"/>
  <c r="U75" i="54"/>
  <c r="U76" i="54"/>
  <c r="U77" i="54"/>
  <c r="U78" i="54"/>
  <c r="U79" i="54"/>
  <c r="U80" i="54"/>
  <c r="U81" i="54"/>
  <c r="U82" i="54"/>
  <c r="U83" i="54"/>
  <c r="U84" i="54"/>
  <c r="U85" i="54"/>
  <c r="U86" i="54"/>
  <c r="U87" i="54"/>
  <c r="U88" i="54"/>
  <c r="U89" i="54"/>
  <c r="U90" i="54"/>
  <c r="U91" i="54"/>
  <c r="U92" i="54"/>
  <c r="U93" i="54"/>
  <c r="U94" i="54"/>
  <c r="U95" i="54"/>
  <c r="U96" i="54"/>
  <c r="U97" i="54"/>
  <c r="U98" i="54"/>
  <c r="U99" i="54"/>
  <c r="U100" i="54"/>
  <c r="U101" i="54"/>
  <c r="U102" i="54"/>
  <c r="U103" i="54"/>
  <c r="U104" i="54"/>
  <c r="U105" i="54"/>
  <c r="U106" i="54"/>
  <c r="U107" i="54"/>
  <c r="U108" i="54"/>
  <c r="U109" i="54"/>
  <c r="U110" i="54"/>
  <c r="U111" i="54"/>
  <c r="U112" i="54"/>
  <c r="U113" i="54"/>
  <c r="U114" i="54"/>
  <c r="U115" i="54"/>
  <c r="U116" i="54"/>
  <c r="U117" i="54"/>
  <c r="U118" i="54"/>
  <c r="U119" i="54"/>
  <c r="U120" i="54"/>
  <c r="U121" i="54"/>
  <c r="U122" i="54"/>
  <c r="U123" i="54"/>
  <c r="U124" i="54"/>
  <c r="U125" i="54"/>
  <c r="U126" i="54"/>
  <c r="U127" i="54"/>
  <c r="U128" i="54"/>
  <c r="U129" i="54"/>
  <c r="U130" i="54"/>
  <c r="U131" i="54"/>
  <c r="U132" i="54"/>
  <c r="U133" i="54"/>
  <c r="U134" i="54"/>
  <c r="U135" i="54"/>
  <c r="U136" i="54"/>
  <c r="U137" i="54"/>
  <c r="U138" i="54"/>
  <c r="U139" i="54"/>
  <c r="U140" i="54"/>
  <c r="U141" i="54"/>
  <c r="U142" i="54"/>
  <c r="U143" i="54"/>
  <c r="U144" i="54"/>
  <c r="U145" i="54"/>
  <c r="U146" i="54"/>
  <c r="U147" i="54"/>
  <c r="U148" i="54"/>
  <c r="U149" i="54"/>
  <c r="U150" i="54"/>
  <c r="U151" i="54"/>
  <c r="U152" i="54"/>
  <c r="U153" i="54"/>
  <c r="U154" i="54"/>
  <c r="U155" i="54"/>
  <c r="U156" i="54"/>
  <c r="U157" i="54"/>
  <c r="U158" i="54"/>
  <c r="U159" i="54"/>
  <c r="U160" i="54"/>
  <c r="U161" i="54"/>
  <c r="U162" i="54"/>
  <c r="U163" i="54"/>
  <c r="U164" i="54"/>
  <c r="U165" i="54"/>
  <c r="U166" i="54"/>
  <c r="U167" i="54"/>
  <c r="U168" i="54"/>
  <c r="U169" i="54"/>
  <c r="U170" i="54"/>
  <c r="U171" i="54"/>
  <c r="U172" i="54"/>
  <c r="U173" i="54"/>
  <c r="U174" i="54"/>
  <c r="U175" i="54"/>
  <c r="U176" i="54"/>
  <c r="U177" i="54"/>
  <c r="U178" i="54"/>
  <c r="U179" i="54"/>
  <c r="U180" i="54"/>
  <c r="U181" i="54"/>
  <c r="U182" i="54"/>
  <c r="U183" i="54"/>
  <c r="U184" i="54"/>
  <c r="U185" i="54"/>
  <c r="U186" i="54"/>
  <c r="U187" i="54"/>
  <c r="U188" i="54"/>
  <c r="U189" i="54"/>
  <c r="U190" i="54"/>
  <c r="U191" i="54"/>
  <c r="U192" i="54"/>
  <c r="U193" i="54"/>
  <c r="U194" i="54"/>
  <c r="U195" i="54"/>
  <c r="U196" i="54"/>
  <c r="U197" i="54"/>
  <c r="U198" i="54"/>
  <c r="U199" i="54"/>
  <c r="U200" i="54"/>
  <c r="U201" i="54"/>
  <c r="U202" i="54"/>
  <c r="U203" i="54"/>
  <c r="U204" i="54"/>
  <c r="U205" i="54"/>
  <c r="U206" i="54"/>
  <c r="U207" i="54"/>
  <c r="U208" i="54"/>
  <c r="U209" i="54"/>
  <c r="U210" i="54"/>
  <c r="U211" i="54"/>
  <c r="U212" i="54"/>
  <c r="U213" i="54"/>
  <c r="U214" i="54"/>
  <c r="U215" i="54"/>
  <c r="U216" i="54"/>
  <c r="U217" i="54"/>
  <c r="U218" i="54"/>
  <c r="U219" i="54"/>
  <c r="U220" i="54"/>
  <c r="U221" i="54"/>
  <c r="U222" i="54"/>
  <c r="U223" i="54"/>
  <c r="U224" i="54"/>
  <c r="U225" i="54"/>
  <c r="U226" i="54"/>
  <c r="U227" i="54"/>
  <c r="U228" i="54"/>
  <c r="U229" i="54"/>
  <c r="U230" i="54"/>
  <c r="U231" i="54"/>
  <c r="U232" i="54"/>
  <c r="U233" i="54"/>
  <c r="U234" i="54"/>
  <c r="U235" i="54"/>
  <c r="U236" i="54"/>
  <c r="U237" i="54"/>
  <c r="U238" i="54"/>
  <c r="U239" i="54"/>
  <c r="U240" i="54"/>
  <c r="U241" i="54"/>
  <c r="U242" i="54"/>
  <c r="U243" i="54"/>
  <c r="U244" i="54"/>
  <c r="U245" i="54"/>
  <c r="U246" i="54"/>
  <c r="U247" i="54"/>
  <c r="U248" i="54"/>
  <c r="U249" i="54"/>
  <c r="U250" i="54"/>
  <c r="U251" i="54"/>
  <c r="U252" i="54"/>
  <c r="U253" i="54"/>
  <c r="U254" i="54"/>
  <c r="U255" i="54"/>
  <c r="U256" i="54"/>
  <c r="U257" i="54"/>
  <c r="U258" i="54"/>
  <c r="U259" i="54"/>
  <c r="U260" i="54"/>
  <c r="U261" i="54"/>
  <c r="U262" i="54"/>
  <c r="U263" i="54"/>
  <c r="U264" i="54"/>
  <c r="U265" i="54"/>
  <c r="U266" i="54"/>
  <c r="U267" i="54"/>
  <c r="U268" i="54"/>
  <c r="U269" i="54"/>
  <c r="U270" i="54"/>
  <c r="U271" i="54"/>
  <c r="U272" i="54"/>
  <c r="U273" i="54"/>
  <c r="U274" i="54"/>
  <c r="U275" i="54"/>
  <c r="U276" i="54"/>
  <c r="U277" i="54"/>
  <c r="U278" i="54"/>
  <c r="U279" i="54"/>
  <c r="U280" i="54"/>
  <c r="U281" i="54"/>
  <c r="U282" i="54"/>
  <c r="U283" i="54"/>
  <c r="U284" i="54"/>
  <c r="U285" i="54"/>
  <c r="U286" i="54"/>
  <c r="U287" i="54"/>
  <c r="U288" i="54"/>
  <c r="U289" i="54"/>
  <c r="U290" i="54"/>
  <c r="U291" i="54"/>
  <c r="U292" i="54"/>
  <c r="U293" i="54"/>
  <c r="U294" i="54"/>
  <c r="U295" i="54"/>
  <c r="U296" i="54"/>
  <c r="U297" i="54"/>
  <c r="U298" i="54"/>
  <c r="U299" i="54"/>
  <c r="U300" i="54"/>
  <c r="U301" i="54"/>
  <c r="U302" i="54"/>
  <c r="U303" i="54"/>
  <c r="U304" i="54"/>
  <c r="U305" i="54"/>
  <c r="U306" i="54"/>
  <c r="U307" i="54"/>
  <c r="U308" i="54"/>
  <c r="U309" i="54"/>
  <c r="U310" i="54"/>
  <c r="U311" i="54"/>
  <c r="U312" i="54"/>
  <c r="U313" i="54"/>
  <c r="U314" i="54"/>
  <c r="U315" i="54"/>
  <c r="U316" i="54"/>
  <c r="U317" i="54"/>
  <c r="U318" i="54"/>
  <c r="U319" i="54"/>
  <c r="U320" i="54"/>
  <c r="U321" i="54"/>
  <c r="U322" i="54"/>
  <c r="U323" i="54"/>
  <c r="U324" i="54"/>
  <c r="U325" i="54"/>
  <c r="U326" i="54"/>
  <c r="U327" i="54"/>
  <c r="U328" i="54"/>
  <c r="U329" i="54"/>
  <c r="U330" i="54"/>
  <c r="U331" i="54"/>
  <c r="U332" i="54"/>
  <c r="U333" i="54"/>
  <c r="U334" i="54"/>
  <c r="U335" i="54"/>
  <c r="U336" i="54"/>
  <c r="U337" i="54"/>
  <c r="U338" i="54"/>
  <c r="U339" i="54"/>
  <c r="U340" i="54"/>
  <c r="U341" i="54"/>
  <c r="U342" i="54"/>
  <c r="U343" i="54"/>
  <c r="U344" i="54"/>
  <c r="U345" i="54"/>
  <c r="U346" i="54"/>
  <c r="U347" i="54"/>
  <c r="U348" i="54"/>
  <c r="U349" i="54"/>
  <c r="U350" i="54"/>
  <c r="U351" i="54"/>
  <c r="U352" i="54"/>
  <c r="U353" i="54"/>
  <c r="U354" i="54"/>
  <c r="U355" i="54"/>
  <c r="U356" i="54"/>
  <c r="U357" i="54"/>
  <c r="U358" i="54"/>
  <c r="U359" i="54"/>
  <c r="U360" i="54"/>
  <c r="U361" i="54"/>
  <c r="U362" i="54"/>
  <c r="U363" i="54"/>
  <c r="U364" i="54"/>
  <c r="U365" i="54"/>
  <c r="U366" i="54"/>
  <c r="U367" i="54"/>
  <c r="U368" i="54"/>
  <c r="U369" i="54"/>
  <c r="U370" i="54"/>
  <c r="U371" i="54"/>
  <c r="U372" i="54"/>
  <c r="U373" i="54"/>
  <c r="U374" i="54"/>
  <c r="U375" i="54"/>
  <c r="U376" i="54"/>
  <c r="U377" i="54"/>
  <c r="U378" i="54"/>
  <c r="U379" i="54"/>
  <c r="U380" i="54"/>
  <c r="U381" i="54"/>
  <c r="U382" i="54"/>
  <c r="U383" i="54"/>
  <c r="U384" i="54"/>
  <c r="U385" i="54"/>
  <c r="U386" i="54"/>
  <c r="U387" i="54"/>
  <c r="U388" i="54"/>
  <c r="U389" i="54"/>
  <c r="U390" i="54"/>
  <c r="U391" i="54"/>
  <c r="U392" i="54"/>
  <c r="U393" i="54"/>
  <c r="U394" i="54"/>
  <c r="U395" i="54"/>
  <c r="U396" i="54"/>
  <c r="U397" i="54"/>
  <c r="U398" i="54"/>
  <c r="U399" i="54"/>
  <c r="U400" i="54"/>
  <c r="U401" i="54"/>
  <c r="U402" i="54"/>
  <c r="U403" i="54"/>
  <c r="U404" i="54"/>
  <c r="U405" i="54"/>
  <c r="U406" i="54"/>
  <c r="U407" i="54"/>
  <c r="U408" i="54"/>
  <c r="U409" i="54"/>
  <c r="U410" i="54"/>
  <c r="U411" i="54"/>
  <c r="U412" i="54"/>
  <c r="U413" i="54"/>
  <c r="U414" i="54"/>
  <c r="U415" i="54"/>
  <c r="U416" i="54"/>
  <c r="U417" i="54"/>
  <c r="U418" i="54"/>
  <c r="U419" i="54"/>
  <c r="U420" i="54"/>
  <c r="U421" i="54"/>
  <c r="U422" i="54"/>
  <c r="U423" i="54"/>
  <c r="U424" i="54"/>
  <c r="U425" i="54"/>
  <c r="U426" i="54"/>
  <c r="U427" i="54"/>
  <c r="U428" i="54"/>
  <c r="U429" i="54"/>
  <c r="U430" i="54"/>
  <c r="U431" i="54"/>
  <c r="U432" i="54"/>
  <c r="U433" i="54"/>
  <c r="U434" i="54"/>
  <c r="U435" i="54"/>
  <c r="U436" i="54"/>
  <c r="U437" i="54"/>
  <c r="U438" i="54"/>
  <c r="U439" i="54"/>
  <c r="U440" i="54"/>
  <c r="U441" i="54"/>
  <c r="U442" i="54"/>
  <c r="U443" i="54"/>
  <c r="U444" i="54"/>
  <c r="U445" i="54"/>
  <c r="U446" i="54"/>
  <c r="U447" i="54"/>
  <c r="U448" i="54"/>
  <c r="U449" i="54"/>
  <c r="U450" i="54"/>
  <c r="U451" i="54"/>
  <c r="U452" i="54"/>
  <c r="U453" i="54"/>
  <c r="U454" i="54"/>
  <c r="U455" i="54"/>
  <c r="U456" i="54"/>
  <c r="U457" i="54"/>
  <c r="U458" i="54"/>
  <c r="U459" i="54"/>
  <c r="U460" i="54"/>
  <c r="U461" i="54"/>
  <c r="U462" i="54"/>
  <c r="U463" i="54"/>
  <c r="U464" i="54"/>
  <c r="U465" i="54"/>
  <c r="U466" i="54"/>
  <c r="U467" i="54"/>
  <c r="U468" i="54"/>
  <c r="U469" i="54"/>
  <c r="U470" i="54"/>
  <c r="U471" i="54"/>
  <c r="U472" i="54"/>
  <c r="U473" i="54"/>
  <c r="U474" i="54"/>
  <c r="U475" i="54"/>
  <c r="U476" i="54"/>
  <c r="U477" i="54"/>
  <c r="U478" i="54"/>
  <c r="U479" i="54"/>
  <c r="U480" i="54"/>
  <c r="U481" i="54"/>
  <c r="U482" i="54"/>
  <c r="U483" i="54"/>
  <c r="U484" i="54"/>
  <c r="U485" i="54"/>
  <c r="U486" i="54"/>
  <c r="U487" i="54"/>
  <c r="U488" i="54"/>
  <c r="U489" i="54"/>
  <c r="U490" i="54"/>
  <c r="U491" i="54"/>
  <c r="U492" i="54"/>
  <c r="U493" i="54"/>
  <c r="U494" i="54"/>
  <c r="U495" i="54"/>
  <c r="U496" i="54"/>
  <c r="U497" i="54"/>
  <c r="U498" i="54"/>
  <c r="U499" i="54"/>
  <c r="U500" i="54"/>
  <c r="U501" i="54"/>
  <c r="U502" i="54"/>
  <c r="U503" i="54"/>
  <c r="U504" i="54"/>
  <c r="U505" i="54"/>
  <c r="U506" i="54"/>
  <c r="U507" i="54"/>
  <c r="U508" i="54"/>
  <c r="U509" i="54"/>
  <c r="U510" i="54"/>
  <c r="U511" i="54"/>
  <c r="U512" i="54"/>
  <c r="U513" i="54"/>
  <c r="U514" i="54"/>
  <c r="U515" i="54"/>
  <c r="U516" i="54"/>
  <c r="U517" i="54"/>
  <c r="U518" i="54"/>
  <c r="U519" i="54"/>
  <c r="U520" i="54"/>
  <c r="U521" i="54"/>
  <c r="U522" i="54"/>
  <c r="U523" i="54"/>
  <c r="U524" i="54"/>
  <c r="U525" i="54"/>
  <c r="U526" i="54"/>
  <c r="U527" i="54"/>
  <c r="U528" i="54"/>
  <c r="U529" i="54"/>
  <c r="U530" i="54"/>
  <c r="U531" i="54"/>
  <c r="U532" i="54"/>
  <c r="U533" i="54"/>
  <c r="U534" i="54"/>
  <c r="U535" i="54"/>
  <c r="U536" i="54"/>
  <c r="U537" i="54"/>
  <c r="U538" i="54"/>
  <c r="U539" i="54"/>
  <c r="U540" i="54"/>
  <c r="U541" i="54"/>
  <c r="U542" i="54"/>
  <c r="U543" i="54"/>
  <c r="U544" i="54"/>
  <c r="U545" i="54"/>
  <c r="U546" i="54"/>
  <c r="U547" i="54"/>
  <c r="U548" i="54"/>
  <c r="U549" i="54"/>
  <c r="U550" i="54"/>
  <c r="U551" i="54"/>
  <c r="U552" i="54"/>
  <c r="U553" i="54"/>
  <c r="U554" i="54"/>
  <c r="U555" i="54"/>
  <c r="U556" i="54"/>
  <c r="U557" i="54"/>
  <c r="U558" i="54"/>
  <c r="U559" i="54"/>
  <c r="U560" i="54"/>
  <c r="U561" i="54"/>
  <c r="U562" i="54"/>
  <c r="U563" i="54"/>
  <c r="U564" i="54"/>
  <c r="U565" i="54"/>
  <c r="U566" i="54"/>
  <c r="U567" i="54"/>
  <c r="U568" i="54"/>
  <c r="U569" i="54"/>
  <c r="U570" i="54"/>
  <c r="U571" i="54"/>
  <c r="U572" i="54"/>
  <c r="U573" i="54"/>
  <c r="U574" i="54"/>
  <c r="U575" i="54"/>
  <c r="U576" i="54"/>
  <c r="U577" i="54"/>
  <c r="U578" i="54"/>
  <c r="U579" i="54"/>
  <c r="U580" i="54"/>
  <c r="U581" i="54"/>
  <c r="U582" i="54"/>
  <c r="U583" i="54"/>
  <c r="U584" i="54"/>
  <c r="U585" i="54"/>
  <c r="U586" i="54"/>
  <c r="U587" i="54"/>
  <c r="U588" i="54"/>
  <c r="U589" i="54"/>
  <c r="U590" i="54"/>
  <c r="U591" i="54"/>
  <c r="U592" i="54"/>
  <c r="U593" i="54"/>
  <c r="U594" i="54"/>
  <c r="U595" i="54"/>
  <c r="U596" i="54"/>
  <c r="U597" i="54"/>
  <c r="U598" i="54"/>
  <c r="U599" i="54"/>
  <c r="U600" i="54"/>
  <c r="U601" i="54"/>
  <c r="U602" i="54"/>
  <c r="U603" i="54"/>
  <c r="U604" i="54"/>
  <c r="U605" i="54"/>
  <c r="U606" i="54"/>
  <c r="U607" i="54"/>
  <c r="U608" i="54"/>
  <c r="U609" i="54"/>
  <c r="U610" i="54"/>
  <c r="U611" i="54"/>
  <c r="U612" i="54"/>
  <c r="U613" i="54"/>
  <c r="U614" i="54"/>
  <c r="U615" i="54"/>
  <c r="U616" i="54"/>
  <c r="U617" i="54"/>
  <c r="U618" i="54"/>
  <c r="U619" i="54"/>
  <c r="U620" i="54"/>
  <c r="U621" i="54"/>
  <c r="U622" i="54"/>
  <c r="U623" i="54"/>
  <c r="U624" i="54"/>
  <c r="U625" i="54"/>
  <c r="U626" i="54"/>
  <c r="U627" i="54"/>
  <c r="U628" i="54"/>
  <c r="U629" i="54"/>
  <c r="U630" i="54"/>
  <c r="U631" i="54"/>
  <c r="U632" i="54"/>
  <c r="U633" i="54"/>
  <c r="U634" i="54"/>
  <c r="U635" i="54"/>
  <c r="U636" i="54"/>
  <c r="U637" i="54"/>
  <c r="U638" i="54"/>
  <c r="U639" i="54"/>
  <c r="U640" i="54"/>
  <c r="U641" i="54"/>
  <c r="U642" i="54"/>
  <c r="U643" i="54"/>
  <c r="U644" i="54"/>
  <c r="U645" i="54"/>
  <c r="U646" i="54"/>
  <c r="U647" i="54"/>
  <c r="U648" i="54"/>
  <c r="U649" i="54"/>
  <c r="U650" i="54"/>
  <c r="U651" i="54"/>
  <c r="U652" i="54"/>
  <c r="U653" i="54"/>
  <c r="U654" i="54"/>
  <c r="U655" i="54"/>
  <c r="U656" i="54"/>
  <c r="U657" i="54"/>
  <c r="U658" i="54"/>
  <c r="U659" i="54"/>
  <c r="U660" i="54"/>
  <c r="U661" i="54"/>
  <c r="U662" i="54"/>
  <c r="U663" i="54"/>
  <c r="U664" i="54"/>
  <c r="U665" i="54"/>
  <c r="U666" i="54"/>
  <c r="U667" i="54"/>
  <c r="U668" i="54"/>
  <c r="U669" i="54"/>
  <c r="U670" i="54"/>
  <c r="U671" i="54"/>
  <c r="U672" i="54"/>
  <c r="U673" i="54"/>
  <c r="U674" i="54"/>
  <c r="U675" i="54"/>
  <c r="U676" i="54"/>
  <c r="U677" i="54"/>
  <c r="U678" i="54"/>
  <c r="U679" i="54"/>
  <c r="U680" i="54"/>
  <c r="U681" i="54"/>
  <c r="U682" i="54"/>
  <c r="U683" i="54"/>
  <c r="U684" i="54"/>
  <c r="U685" i="54"/>
  <c r="U686" i="54"/>
  <c r="U687" i="54"/>
  <c r="U688" i="54"/>
  <c r="U689" i="54"/>
  <c r="U690" i="54"/>
  <c r="U691" i="54"/>
  <c r="U692" i="54"/>
  <c r="U693" i="54"/>
  <c r="U694" i="54"/>
  <c r="U695" i="54"/>
  <c r="U696" i="54"/>
  <c r="U697" i="54"/>
  <c r="U698" i="54"/>
  <c r="U699" i="54"/>
  <c r="U700" i="54"/>
  <c r="U701" i="54"/>
  <c r="U702" i="54"/>
  <c r="U703" i="54"/>
  <c r="U704" i="54"/>
  <c r="U705" i="54"/>
  <c r="U706" i="54"/>
  <c r="U707" i="54"/>
  <c r="U708" i="54"/>
  <c r="U709" i="54"/>
  <c r="U710" i="54"/>
  <c r="U711" i="54"/>
  <c r="U712" i="54"/>
  <c r="U713" i="54"/>
  <c r="U714" i="54"/>
  <c r="U715" i="54"/>
  <c r="U716" i="54"/>
  <c r="U717" i="54"/>
  <c r="U718" i="54"/>
  <c r="U719" i="54"/>
  <c r="U720" i="54"/>
  <c r="U721" i="54"/>
  <c r="U722" i="54"/>
  <c r="U723" i="54"/>
  <c r="U724" i="54"/>
  <c r="U725" i="54"/>
  <c r="U726" i="54"/>
  <c r="U727" i="54"/>
  <c r="U728" i="54"/>
  <c r="U729" i="54"/>
  <c r="U730" i="54"/>
  <c r="U731" i="54"/>
  <c r="U732" i="54"/>
  <c r="U733" i="54"/>
  <c r="U734" i="54"/>
  <c r="U735" i="54"/>
  <c r="U736" i="54"/>
  <c r="U737" i="54"/>
  <c r="U738" i="54"/>
  <c r="U739" i="54"/>
  <c r="U740" i="54"/>
  <c r="U741" i="54"/>
  <c r="U742" i="54"/>
  <c r="U743" i="54"/>
  <c r="U744" i="54"/>
  <c r="U745" i="54"/>
  <c r="U746" i="54"/>
  <c r="U747" i="54"/>
  <c r="U748" i="54"/>
  <c r="U749" i="54"/>
  <c r="U750" i="54"/>
  <c r="U751" i="54"/>
  <c r="U752" i="54"/>
  <c r="U753" i="54"/>
  <c r="U754" i="54"/>
  <c r="U755" i="54"/>
  <c r="U756" i="54"/>
  <c r="U757" i="54"/>
  <c r="U758" i="54"/>
  <c r="U759" i="54"/>
  <c r="U760" i="54"/>
  <c r="U761" i="54"/>
  <c r="U762" i="54"/>
  <c r="U763" i="54"/>
  <c r="U764" i="54"/>
  <c r="U765" i="54"/>
  <c r="U766" i="54"/>
  <c r="U767" i="54"/>
  <c r="U768" i="54"/>
  <c r="U769" i="54"/>
  <c r="U770" i="54"/>
  <c r="U771" i="54"/>
  <c r="U772" i="54"/>
  <c r="U773" i="54"/>
  <c r="U774" i="54"/>
  <c r="U775" i="54"/>
  <c r="U776" i="54"/>
  <c r="U777" i="54"/>
  <c r="U778" i="54"/>
  <c r="U779" i="54"/>
  <c r="U780" i="54"/>
  <c r="U781" i="54"/>
  <c r="U782" i="54"/>
  <c r="U783" i="54"/>
  <c r="U784" i="54"/>
  <c r="U785" i="54"/>
  <c r="U786" i="54"/>
  <c r="U787" i="54"/>
  <c r="U788" i="54"/>
  <c r="U789" i="54"/>
  <c r="U790" i="54"/>
  <c r="U791" i="54"/>
  <c r="U792" i="54"/>
  <c r="U793" i="54"/>
  <c r="U794" i="54"/>
  <c r="U795" i="54"/>
  <c r="U796" i="54"/>
  <c r="U797" i="54"/>
  <c r="U798" i="54"/>
  <c r="U799" i="54"/>
  <c r="U800" i="54"/>
  <c r="U801" i="54"/>
  <c r="U802" i="54"/>
  <c r="U803" i="54"/>
  <c r="U804" i="54"/>
  <c r="U805" i="54"/>
  <c r="U806" i="54"/>
  <c r="U807" i="54"/>
  <c r="U808" i="54"/>
  <c r="U809" i="54"/>
  <c r="U810" i="54"/>
  <c r="U811" i="54"/>
  <c r="U812" i="54"/>
  <c r="U813" i="54"/>
  <c r="U814" i="54"/>
  <c r="U815" i="54"/>
  <c r="U816" i="54"/>
  <c r="U817" i="54"/>
  <c r="U818" i="54"/>
  <c r="U819" i="54"/>
  <c r="U820" i="54"/>
  <c r="U821" i="54"/>
  <c r="U822" i="54"/>
  <c r="U823" i="54"/>
  <c r="U824" i="54"/>
  <c r="U825" i="54"/>
  <c r="U826" i="54"/>
  <c r="U827" i="54"/>
  <c r="U828" i="54"/>
  <c r="U829" i="54"/>
  <c r="U830" i="54"/>
  <c r="U831" i="54"/>
  <c r="U832" i="54"/>
  <c r="U833" i="54"/>
  <c r="U834" i="54"/>
  <c r="U835" i="54"/>
  <c r="U836" i="54"/>
  <c r="U837" i="54"/>
  <c r="U838" i="54"/>
  <c r="U839" i="54"/>
  <c r="U840" i="54"/>
  <c r="U841" i="54"/>
  <c r="U842" i="54"/>
  <c r="U843" i="54"/>
  <c r="U844" i="54"/>
  <c r="U845" i="54"/>
  <c r="U846" i="54"/>
  <c r="U847" i="54"/>
  <c r="U848" i="54"/>
  <c r="U849" i="54"/>
  <c r="U850" i="54"/>
  <c r="U851" i="54"/>
  <c r="U852" i="54"/>
  <c r="U853" i="54"/>
  <c r="U854" i="54"/>
  <c r="U855" i="54"/>
  <c r="U856" i="54"/>
  <c r="U857" i="54"/>
  <c r="U858" i="54"/>
  <c r="U859" i="54"/>
  <c r="U860" i="54"/>
  <c r="U861" i="54"/>
  <c r="U862" i="54"/>
  <c r="U863" i="54"/>
  <c r="U864" i="54"/>
  <c r="U865" i="54"/>
  <c r="U866" i="54"/>
  <c r="U867" i="54"/>
  <c r="U868" i="54"/>
  <c r="U869" i="54"/>
  <c r="U870" i="54"/>
  <c r="U871" i="54"/>
  <c r="U872" i="54"/>
  <c r="U873" i="54"/>
  <c r="U874" i="54"/>
  <c r="U875" i="54"/>
  <c r="U876" i="54"/>
  <c r="U877" i="54"/>
  <c r="U878" i="54"/>
  <c r="U879" i="54"/>
  <c r="U880" i="54"/>
  <c r="U881" i="54"/>
  <c r="U882" i="54"/>
  <c r="U883" i="54"/>
  <c r="U884" i="54"/>
  <c r="U885" i="54"/>
  <c r="U886" i="54"/>
  <c r="U887" i="54"/>
  <c r="U888" i="54"/>
  <c r="U889" i="54"/>
  <c r="U890" i="54"/>
  <c r="U891" i="54"/>
  <c r="U892" i="54"/>
  <c r="U893" i="54"/>
  <c r="U894" i="54"/>
  <c r="U895" i="54"/>
  <c r="U896" i="54"/>
  <c r="U897" i="54"/>
  <c r="U898" i="54"/>
  <c r="U899" i="54"/>
  <c r="U900" i="54"/>
  <c r="U901" i="54"/>
  <c r="U902" i="54"/>
  <c r="U903" i="54"/>
  <c r="U904" i="54"/>
  <c r="U905" i="54"/>
  <c r="U906" i="54"/>
  <c r="U907" i="54"/>
  <c r="U908" i="54"/>
  <c r="U909" i="54"/>
  <c r="U910" i="54"/>
  <c r="U911" i="54"/>
  <c r="U912" i="54"/>
  <c r="U913" i="54"/>
  <c r="U914" i="54"/>
  <c r="U915" i="54"/>
  <c r="U916" i="54"/>
  <c r="U917" i="54"/>
  <c r="U918" i="54"/>
  <c r="U919" i="54"/>
  <c r="U920" i="54"/>
  <c r="U921" i="54"/>
  <c r="U922" i="54"/>
  <c r="U923" i="54"/>
  <c r="U924" i="54"/>
  <c r="U925" i="54"/>
  <c r="U926" i="54"/>
  <c r="U927" i="54"/>
  <c r="U928" i="54"/>
  <c r="U929" i="54"/>
  <c r="U930" i="54"/>
  <c r="U931" i="54"/>
  <c r="U932" i="54"/>
  <c r="U933" i="54"/>
  <c r="U934" i="54"/>
  <c r="U935" i="54"/>
  <c r="U936" i="54"/>
  <c r="U937" i="54"/>
  <c r="U938" i="54"/>
  <c r="U939" i="54"/>
  <c r="U940" i="54"/>
  <c r="U941" i="54"/>
  <c r="U942" i="54"/>
  <c r="U943" i="54"/>
  <c r="U944" i="54"/>
  <c r="U945" i="54"/>
  <c r="U946" i="54"/>
  <c r="U947" i="54"/>
  <c r="U948" i="54"/>
  <c r="U949" i="54"/>
  <c r="U950" i="54"/>
  <c r="U951" i="54"/>
  <c r="U952" i="54"/>
  <c r="U953" i="54"/>
  <c r="U954" i="54"/>
  <c r="U955" i="54"/>
  <c r="U956" i="54"/>
  <c r="U957" i="54"/>
  <c r="U958" i="54"/>
  <c r="U959" i="54"/>
  <c r="U960" i="54"/>
  <c r="U961" i="54"/>
  <c r="U962" i="54"/>
  <c r="U963" i="54"/>
  <c r="U964" i="54"/>
  <c r="U965" i="54"/>
  <c r="U966" i="54"/>
  <c r="U967" i="54"/>
  <c r="U968" i="54"/>
  <c r="U969" i="54"/>
  <c r="U970" i="54"/>
  <c r="U971" i="54"/>
  <c r="U972" i="54"/>
  <c r="U973" i="54"/>
  <c r="U974" i="54"/>
  <c r="U975" i="54"/>
  <c r="U976" i="54"/>
  <c r="U977" i="54"/>
  <c r="U978" i="54"/>
  <c r="U979" i="54"/>
  <c r="U980" i="54"/>
  <c r="U981" i="54"/>
  <c r="U982" i="54"/>
  <c r="U983" i="54"/>
  <c r="U984" i="54"/>
  <c r="U985" i="54"/>
  <c r="U986" i="54"/>
  <c r="U987" i="54"/>
  <c r="U988" i="54"/>
  <c r="U989" i="54"/>
  <c r="U990" i="54"/>
  <c r="U991" i="54"/>
  <c r="U992" i="54"/>
  <c r="U993" i="54"/>
  <c r="U994" i="54"/>
  <c r="U995" i="54"/>
  <c r="U996" i="54"/>
  <c r="U997" i="54"/>
  <c r="U998" i="54"/>
  <c r="U999" i="54"/>
  <c r="U1000" i="54"/>
  <c r="U1001" i="54"/>
  <c r="U1002" i="54"/>
  <c r="U1003" i="54"/>
  <c r="U1004" i="54"/>
  <c r="U1005" i="54"/>
  <c r="U1006" i="54"/>
  <c r="U1007" i="54"/>
  <c r="U1008" i="54"/>
  <c r="U1009" i="54"/>
  <c r="U1010" i="54"/>
  <c r="U1011" i="54"/>
  <c r="U1012" i="54"/>
  <c r="U1013" i="54"/>
  <c r="U1014" i="54"/>
  <c r="U1015" i="54"/>
  <c r="U1016" i="54"/>
  <c r="U1017" i="54"/>
  <c r="U1018" i="54"/>
  <c r="U1019" i="54"/>
  <c r="U1020" i="54"/>
  <c r="U1021" i="54"/>
  <c r="U1022" i="54"/>
  <c r="U1023" i="54"/>
  <c r="U1024" i="54"/>
  <c r="U1025" i="54"/>
  <c r="U1026" i="54"/>
  <c r="U1027" i="54"/>
  <c r="U1028" i="54"/>
  <c r="U1029" i="54"/>
  <c r="U1030" i="54"/>
  <c r="U1031" i="54"/>
  <c r="U1032" i="54"/>
  <c r="U1033" i="54"/>
  <c r="U1034" i="54"/>
  <c r="U1035" i="54"/>
  <c r="U1036" i="54"/>
  <c r="U1037" i="54"/>
  <c r="U1038" i="54"/>
  <c r="U1039" i="54"/>
  <c r="U1040" i="54"/>
  <c r="U1041" i="54"/>
  <c r="U1042" i="54"/>
  <c r="U1043" i="54"/>
  <c r="U1044" i="54"/>
  <c r="U1045" i="54"/>
  <c r="U1046" i="54"/>
  <c r="U1047" i="54"/>
  <c r="U1048" i="54"/>
  <c r="U1049" i="54"/>
  <c r="U1050" i="54"/>
  <c r="U1051" i="54"/>
  <c r="U1052" i="54"/>
  <c r="U1053" i="54"/>
  <c r="U1054" i="54"/>
  <c r="U1055" i="54"/>
  <c r="U1056" i="54"/>
  <c r="U1057" i="54"/>
  <c r="U1058" i="54"/>
  <c r="U1059" i="54"/>
  <c r="U1060" i="54"/>
  <c r="U1061" i="54"/>
  <c r="U1062" i="54"/>
  <c r="U1063" i="54"/>
  <c r="U1064" i="54"/>
  <c r="U1065" i="54"/>
  <c r="U1066" i="54"/>
  <c r="U1067" i="54"/>
  <c r="U1068" i="54"/>
  <c r="U1069" i="54"/>
  <c r="U1070" i="54"/>
  <c r="U1071" i="54"/>
  <c r="U1072" i="54"/>
  <c r="U1073" i="54"/>
  <c r="U1074" i="54"/>
  <c r="U1075" i="54"/>
  <c r="U1076" i="54"/>
  <c r="U1077" i="54"/>
  <c r="U1078" i="54"/>
  <c r="U1079" i="54"/>
  <c r="U1080" i="54"/>
  <c r="U1081" i="54"/>
  <c r="U1082" i="54"/>
  <c r="U1083" i="54"/>
  <c r="U1084" i="54"/>
  <c r="U1085" i="54"/>
  <c r="U1086" i="54"/>
  <c r="U1087" i="54"/>
  <c r="U1088" i="54"/>
  <c r="U1089" i="54"/>
  <c r="U1090" i="54"/>
  <c r="U1091" i="54"/>
  <c r="U1092" i="54"/>
  <c r="U1093" i="54"/>
  <c r="U1094" i="54"/>
  <c r="U1095" i="54"/>
  <c r="U1096" i="54"/>
  <c r="U1097" i="54"/>
  <c r="U1098" i="54"/>
  <c r="U1099" i="54"/>
  <c r="U1100" i="54"/>
  <c r="U1101" i="54"/>
  <c r="U1102" i="54"/>
  <c r="U1103" i="54"/>
  <c r="U1104" i="54"/>
  <c r="U2" i="54"/>
  <c r="L3" i="54"/>
  <c r="L4" i="54"/>
  <c r="L5" i="54"/>
  <c r="L6" i="54"/>
  <c r="L7" i="54"/>
  <c r="L8" i="54"/>
  <c r="L9" i="54"/>
  <c r="L10" i="54"/>
  <c r="L11" i="54"/>
  <c r="L12" i="54"/>
  <c r="L13" i="54"/>
  <c r="L14" i="54"/>
  <c r="L15" i="54"/>
  <c r="L16" i="54"/>
  <c r="L17" i="54"/>
  <c r="L18" i="54"/>
  <c r="L19" i="54"/>
  <c r="L20" i="54"/>
  <c r="L21" i="54"/>
  <c r="L22" i="54"/>
  <c r="L23" i="54"/>
  <c r="L24" i="54"/>
  <c r="L25" i="54"/>
  <c r="L26" i="54"/>
  <c r="L27" i="54"/>
  <c r="L28" i="54"/>
  <c r="L29" i="54"/>
  <c r="L30" i="54"/>
  <c r="L31" i="54"/>
  <c r="L32" i="54"/>
  <c r="L33" i="54"/>
  <c r="L34" i="54"/>
  <c r="L35" i="54"/>
  <c r="L36" i="54"/>
  <c r="L37" i="54"/>
  <c r="L38" i="54"/>
  <c r="L39" i="54"/>
  <c r="L40" i="54"/>
  <c r="L41" i="54"/>
  <c r="L42" i="54"/>
  <c r="L43" i="54"/>
  <c r="L44" i="54"/>
  <c r="L45" i="54"/>
  <c r="L46" i="54"/>
  <c r="L47" i="54"/>
  <c r="L48" i="54"/>
  <c r="L49" i="54"/>
  <c r="L50" i="54"/>
  <c r="L51" i="54"/>
  <c r="L52" i="54"/>
  <c r="L53" i="54"/>
  <c r="L54" i="54"/>
  <c r="L55" i="54"/>
  <c r="L56" i="54"/>
  <c r="L57" i="54"/>
  <c r="L58" i="54"/>
  <c r="L59" i="54"/>
  <c r="L60" i="54"/>
  <c r="L61" i="54"/>
  <c r="L62" i="54"/>
  <c r="L63" i="54"/>
  <c r="L64" i="54"/>
  <c r="L65" i="54"/>
  <c r="L66" i="54"/>
  <c r="L67" i="54"/>
  <c r="L68" i="54"/>
  <c r="L69" i="54"/>
  <c r="L70" i="54"/>
  <c r="L71" i="54"/>
  <c r="L72" i="54"/>
  <c r="L73" i="54"/>
  <c r="L74" i="54"/>
  <c r="L75" i="54"/>
  <c r="L76" i="54"/>
  <c r="L77" i="54"/>
  <c r="L78" i="54"/>
  <c r="L79" i="54"/>
  <c r="L80" i="54"/>
  <c r="L81" i="54"/>
  <c r="L82" i="54"/>
  <c r="L83" i="54"/>
  <c r="L84" i="54"/>
  <c r="L85" i="54"/>
  <c r="L86" i="54"/>
  <c r="L87" i="54"/>
  <c r="L88" i="54"/>
  <c r="L89" i="54"/>
  <c r="L90" i="54"/>
  <c r="L91" i="54"/>
  <c r="L92" i="54"/>
  <c r="L93" i="54"/>
  <c r="L94" i="54"/>
  <c r="L95" i="54"/>
  <c r="L96" i="54"/>
  <c r="L97" i="54"/>
  <c r="L98" i="54"/>
  <c r="L99" i="54"/>
  <c r="L100" i="54"/>
  <c r="L101" i="54"/>
  <c r="L102" i="54"/>
  <c r="L103" i="54"/>
  <c r="L104" i="54"/>
  <c r="L105" i="54"/>
  <c r="L106" i="54"/>
  <c r="L107" i="54"/>
  <c r="L108" i="54"/>
  <c r="L109" i="54"/>
  <c r="L110" i="54"/>
  <c r="L111" i="54"/>
  <c r="L112" i="54"/>
  <c r="L113" i="54"/>
  <c r="L114" i="54"/>
  <c r="L115" i="54"/>
  <c r="L116" i="54"/>
  <c r="L117" i="54"/>
  <c r="L118" i="54"/>
  <c r="L119" i="54"/>
  <c r="L120" i="54"/>
  <c r="L121" i="54"/>
  <c r="L122" i="54"/>
  <c r="L123" i="54"/>
  <c r="L124" i="54"/>
  <c r="L125" i="54"/>
  <c r="L126" i="54"/>
  <c r="L127" i="54"/>
  <c r="L128" i="54"/>
  <c r="L129" i="54"/>
  <c r="L130" i="54"/>
  <c r="L131" i="54"/>
  <c r="L132" i="54"/>
  <c r="L133" i="54"/>
  <c r="L134" i="54"/>
  <c r="L135" i="54"/>
  <c r="L136" i="54"/>
  <c r="L137" i="54"/>
  <c r="L138" i="54"/>
  <c r="L139" i="54"/>
  <c r="L140" i="54"/>
  <c r="L141" i="54"/>
  <c r="L142" i="54"/>
  <c r="L143" i="54"/>
  <c r="L144" i="54"/>
  <c r="L145" i="54"/>
  <c r="L146" i="54"/>
  <c r="L147" i="54"/>
  <c r="L148" i="54"/>
  <c r="L149" i="54"/>
  <c r="L150" i="54"/>
  <c r="L151" i="54"/>
  <c r="L152" i="54"/>
  <c r="L153" i="54"/>
  <c r="L154" i="54"/>
  <c r="L155" i="54"/>
  <c r="L156" i="54"/>
  <c r="L157" i="54"/>
  <c r="L158" i="54"/>
  <c r="L159" i="54"/>
  <c r="L160" i="54"/>
  <c r="L161" i="54"/>
  <c r="L162" i="54"/>
  <c r="L163" i="54"/>
  <c r="L164" i="54"/>
  <c r="L165" i="54"/>
  <c r="L166" i="54"/>
  <c r="L167" i="54"/>
  <c r="L168" i="54"/>
  <c r="L169" i="54"/>
  <c r="L170" i="54"/>
  <c r="L171" i="54"/>
  <c r="L172" i="54"/>
  <c r="L173" i="54"/>
  <c r="L174" i="54"/>
  <c r="L175" i="54"/>
  <c r="L176" i="54"/>
  <c r="L177" i="54"/>
  <c r="L178" i="54"/>
  <c r="L179" i="54"/>
  <c r="L180" i="54"/>
  <c r="L181" i="54"/>
  <c r="L182" i="54"/>
  <c r="L183" i="54"/>
  <c r="L184" i="54"/>
  <c r="L185" i="54"/>
  <c r="L186" i="54"/>
  <c r="L187" i="54"/>
  <c r="L188" i="54"/>
  <c r="L189" i="54"/>
  <c r="L190" i="54"/>
  <c r="L191" i="54"/>
  <c r="L192" i="54"/>
  <c r="L193" i="54"/>
  <c r="L194" i="54"/>
  <c r="L195" i="54"/>
  <c r="L196" i="54"/>
  <c r="L197" i="54"/>
  <c r="L198" i="54"/>
  <c r="L199" i="54"/>
  <c r="L200" i="54"/>
  <c r="L201" i="54"/>
  <c r="L202" i="54"/>
  <c r="L203" i="54"/>
  <c r="L204" i="54"/>
  <c r="L205" i="54"/>
  <c r="L206" i="54"/>
  <c r="L207" i="54"/>
  <c r="L208" i="54"/>
  <c r="L209" i="54"/>
  <c r="L210" i="54"/>
  <c r="L211" i="54"/>
  <c r="L212" i="54"/>
  <c r="L213" i="54"/>
  <c r="L214" i="54"/>
  <c r="L215" i="54"/>
  <c r="L216" i="54"/>
  <c r="L217" i="54"/>
  <c r="L218" i="54"/>
  <c r="L219" i="54"/>
  <c r="L220" i="54"/>
  <c r="L221" i="54"/>
  <c r="L222" i="54"/>
  <c r="L223" i="54"/>
  <c r="L224" i="54"/>
  <c r="L225" i="54"/>
  <c r="L226" i="54"/>
  <c r="L227" i="54"/>
  <c r="L228" i="54"/>
  <c r="L229" i="54"/>
  <c r="L230" i="54"/>
  <c r="L231" i="54"/>
  <c r="L232" i="54"/>
  <c r="L233" i="54"/>
  <c r="L234" i="54"/>
  <c r="L235" i="54"/>
  <c r="L236" i="54"/>
  <c r="L237" i="54"/>
  <c r="L238" i="54"/>
  <c r="L239" i="54"/>
  <c r="L240" i="54"/>
  <c r="L241" i="54"/>
  <c r="L242" i="54"/>
  <c r="L243" i="54"/>
  <c r="L244" i="54"/>
  <c r="L245" i="54"/>
  <c r="L246" i="54"/>
  <c r="L247" i="54"/>
  <c r="L248" i="54"/>
  <c r="L249" i="54"/>
  <c r="L250" i="54"/>
  <c r="L251" i="54"/>
  <c r="L252" i="54"/>
  <c r="L253" i="54"/>
  <c r="L254" i="54"/>
  <c r="L255" i="54"/>
  <c r="L256" i="54"/>
  <c r="L257" i="54"/>
  <c r="L258" i="54"/>
  <c r="L259" i="54"/>
  <c r="L260" i="54"/>
  <c r="L261" i="54"/>
  <c r="L262" i="54"/>
  <c r="L263" i="54"/>
  <c r="L264" i="54"/>
  <c r="L265" i="54"/>
  <c r="L266" i="54"/>
  <c r="L267" i="54"/>
  <c r="L268" i="54"/>
  <c r="L269" i="54"/>
  <c r="L270" i="54"/>
  <c r="L271" i="54"/>
  <c r="L272" i="54"/>
  <c r="L273" i="54"/>
  <c r="L274" i="54"/>
  <c r="L275" i="54"/>
  <c r="L276" i="54"/>
  <c r="L277" i="54"/>
  <c r="L278" i="54"/>
  <c r="L279" i="54"/>
  <c r="L280" i="54"/>
  <c r="L281" i="54"/>
  <c r="L282" i="54"/>
  <c r="L283" i="54"/>
  <c r="L284" i="54"/>
  <c r="L285" i="54"/>
  <c r="L286" i="54"/>
  <c r="L287" i="54"/>
  <c r="L288" i="54"/>
  <c r="L289" i="54"/>
  <c r="L290" i="54"/>
  <c r="L291" i="54"/>
  <c r="L292" i="54"/>
  <c r="L293" i="54"/>
  <c r="L294" i="54"/>
  <c r="L295" i="54"/>
  <c r="L296" i="54"/>
  <c r="L297" i="54"/>
  <c r="L298" i="54"/>
  <c r="L299" i="54"/>
  <c r="L300" i="54"/>
  <c r="L301" i="54"/>
  <c r="L302" i="54"/>
  <c r="L303" i="54"/>
  <c r="L304" i="54"/>
  <c r="L305" i="54"/>
  <c r="L306" i="54"/>
  <c r="L307" i="54"/>
  <c r="L308" i="54"/>
  <c r="L309" i="54"/>
  <c r="L310" i="54"/>
  <c r="L311" i="54"/>
  <c r="L312" i="54"/>
  <c r="L313" i="54"/>
  <c r="L314" i="54"/>
  <c r="L315" i="54"/>
  <c r="L316" i="54"/>
  <c r="L317" i="54"/>
  <c r="L318" i="54"/>
  <c r="L319" i="54"/>
  <c r="L320" i="54"/>
  <c r="L321" i="54"/>
  <c r="L322" i="54"/>
  <c r="L323" i="54"/>
  <c r="L324" i="54"/>
  <c r="L325" i="54"/>
  <c r="L326" i="54"/>
  <c r="L327" i="54"/>
  <c r="L328" i="54"/>
  <c r="L329" i="54"/>
  <c r="L330" i="54"/>
  <c r="L331" i="54"/>
  <c r="L332" i="54"/>
  <c r="L333" i="54"/>
  <c r="L334" i="54"/>
  <c r="L335" i="54"/>
  <c r="L336" i="54"/>
  <c r="L337" i="54"/>
  <c r="L338" i="54"/>
  <c r="L339" i="54"/>
  <c r="L340" i="54"/>
  <c r="L341" i="54"/>
  <c r="L342" i="54"/>
  <c r="L343" i="54"/>
  <c r="L344" i="54"/>
  <c r="L345" i="54"/>
  <c r="L346" i="54"/>
  <c r="L347" i="54"/>
  <c r="L348" i="54"/>
  <c r="L349" i="54"/>
  <c r="L350" i="54"/>
  <c r="L351" i="54"/>
  <c r="L352" i="54"/>
  <c r="L353" i="54"/>
  <c r="L354" i="54"/>
  <c r="L355" i="54"/>
  <c r="L356" i="54"/>
  <c r="L357" i="54"/>
  <c r="L358" i="54"/>
  <c r="L359" i="54"/>
  <c r="L360" i="54"/>
  <c r="L361" i="54"/>
  <c r="L362" i="54"/>
  <c r="L363" i="54"/>
  <c r="L364" i="54"/>
  <c r="L365" i="54"/>
  <c r="L366" i="54"/>
  <c r="L367" i="54"/>
  <c r="L368" i="54"/>
  <c r="L369" i="54"/>
  <c r="L370" i="54"/>
  <c r="L371" i="54"/>
  <c r="L372" i="54"/>
  <c r="L373" i="54"/>
  <c r="L374" i="54"/>
  <c r="L375" i="54"/>
  <c r="L376" i="54"/>
  <c r="L377" i="54"/>
  <c r="L378" i="54"/>
  <c r="L379" i="54"/>
  <c r="L380" i="54"/>
  <c r="L381" i="54"/>
  <c r="L382" i="54"/>
  <c r="L383" i="54"/>
  <c r="L384" i="54"/>
  <c r="L385" i="54"/>
  <c r="L386" i="54"/>
  <c r="L387" i="54"/>
  <c r="L388" i="54"/>
  <c r="L389" i="54"/>
  <c r="L390" i="54"/>
  <c r="L391" i="54"/>
  <c r="L392" i="54"/>
  <c r="L393" i="54"/>
  <c r="L394" i="54"/>
  <c r="L395" i="54"/>
  <c r="L396" i="54"/>
  <c r="L397" i="54"/>
  <c r="L398" i="54"/>
  <c r="L399" i="54"/>
  <c r="L400" i="54"/>
  <c r="L401" i="54"/>
  <c r="L402" i="54"/>
  <c r="L403" i="54"/>
  <c r="L404" i="54"/>
  <c r="L405" i="54"/>
  <c r="L406" i="54"/>
  <c r="L407" i="54"/>
  <c r="L408" i="54"/>
  <c r="L409" i="54"/>
  <c r="L410" i="54"/>
  <c r="L411" i="54"/>
  <c r="L412" i="54"/>
  <c r="L413" i="54"/>
  <c r="L414" i="54"/>
  <c r="L415" i="54"/>
  <c r="L416" i="54"/>
  <c r="L417" i="54"/>
  <c r="L418" i="54"/>
  <c r="L419" i="54"/>
  <c r="L420" i="54"/>
  <c r="L421" i="54"/>
  <c r="L422" i="54"/>
  <c r="L423" i="54"/>
  <c r="L424" i="54"/>
  <c r="L425" i="54"/>
  <c r="L426" i="54"/>
  <c r="L427" i="54"/>
  <c r="L428" i="54"/>
  <c r="L429" i="54"/>
  <c r="L430" i="54"/>
  <c r="L431" i="54"/>
  <c r="L432" i="54"/>
  <c r="L433" i="54"/>
  <c r="L434" i="54"/>
  <c r="L435" i="54"/>
  <c r="L436" i="54"/>
  <c r="L437" i="54"/>
  <c r="L438" i="54"/>
  <c r="L439" i="54"/>
  <c r="L440" i="54"/>
  <c r="L441" i="54"/>
  <c r="L442" i="54"/>
  <c r="L443" i="54"/>
  <c r="L444" i="54"/>
  <c r="L445" i="54"/>
  <c r="L446" i="54"/>
  <c r="L447" i="54"/>
  <c r="L448" i="54"/>
  <c r="L449" i="54"/>
  <c r="L450" i="54"/>
  <c r="L451" i="54"/>
  <c r="L452" i="54"/>
  <c r="L453" i="54"/>
  <c r="L454" i="54"/>
  <c r="L455" i="54"/>
  <c r="L456" i="54"/>
  <c r="L457" i="54"/>
  <c r="L458" i="54"/>
  <c r="L459" i="54"/>
  <c r="L460" i="54"/>
  <c r="L461" i="54"/>
  <c r="L462" i="54"/>
  <c r="L463" i="54"/>
  <c r="L464" i="54"/>
  <c r="L465" i="54"/>
  <c r="L466" i="54"/>
  <c r="L467" i="54"/>
  <c r="L468" i="54"/>
  <c r="L469" i="54"/>
  <c r="L470" i="54"/>
  <c r="L471" i="54"/>
  <c r="L472" i="54"/>
  <c r="L473" i="54"/>
  <c r="L474" i="54"/>
  <c r="L475" i="54"/>
  <c r="L476" i="54"/>
  <c r="L477" i="54"/>
  <c r="L478" i="54"/>
  <c r="L479" i="54"/>
  <c r="L480" i="54"/>
  <c r="L481" i="54"/>
  <c r="L482" i="54"/>
  <c r="L483" i="54"/>
  <c r="L484" i="54"/>
  <c r="L485" i="54"/>
  <c r="L486" i="54"/>
  <c r="L487" i="54"/>
  <c r="L488" i="54"/>
  <c r="L489" i="54"/>
  <c r="L490" i="54"/>
  <c r="L491" i="54"/>
  <c r="L492" i="54"/>
  <c r="L493" i="54"/>
  <c r="L494" i="54"/>
  <c r="L495" i="54"/>
  <c r="L496" i="54"/>
  <c r="L497" i="54"/>
  <c r="L498" i="54"/>
  <c r="L499" i="54"/>
  <c r="L500" i="54"/>
  <c r="L501" i="54"/>
  <c r="L502" i="54"/>
  <c r="L503" i="54"/>
  <c r="L504" i="54"/>
  <c r="L505" i="54"/>
  <c r="L506" i="54"/>
  <c r="L507" i="54"/>
  <c r="L508" i="54"/>
  <c r="L509" i="54"/>
  <c r="L510" i="54"/>
  <c r="L511" i="54"/>
  <c r="L512" i="54"/>
  <c r="L513" i="54"/>
  <c r="L514" i="54"/>
  <c r="L515" i="54"/>
  <c r="L516" i="54"/>
  <c r="L517" i="54"/>
  <c r="L518" i="54"/>
  <c r="L519" i="54"/>
  <c r="L520" i="54"/>
  <c r="L521" i="54"/>
  <c r="L522" i="54"/>
  <c r="L523" i="54"/>
  <c r="L524" i="54"/>
  <c r="L525" i="54"/>
  <c r="L526" i="54"/>
  <c r="L527" i="54"/>
  <c r="L528" i="54"/>
  <c r="L529" i="54"/>
  <c r="L530" i="54"/>
  <c r="L531" i="54"/>
  <c r="L532" i="54"/>
  <c r="L533" i="54"/>
  <c r="L534" i="54"/>
  <c r="L535" i="54"/>
  <c r="L536" i="54"/>
  <c r="L537" i="54"/>
  <c r="L538" i="54"/>
  <c r="L539" i="54"/>
  <c r="L540" i="54"/>
  <c r="L541" i="54"/>
  <c r="L542" i="54"/>
  <c r="L543" i="54"/>
  <c r="L544" i="54"/>
  <c r="L545" i="54"/>
  <c r="L546" i="54"/>
  <c r="L547" i="54"/>
  <c r="L548" i="54"/>
  <c r="L549" i="54"/>
  <c r="L550" i="54"/>
  <c r="L551" i="54"/>
  <c r="L552" i="54"/>
  <c r="L553" i="54"/>
  <c r="L554" i="54"/>
  <c r="L555" i="54"/>
  <c r="L556" i="54"/>
  <c r="L557" i="54"/>
  <c r="L558" i="54"/>
  <c r="L559" i="54"/>
  <c r="L560" i="54"/>
  <c r="L561" i="54"/>
  <c r="L562" i="54"/>
  <c r="L563" i="54"/>
  <c r="L564" i="54"/>
  <c r="L565" i="54"/>
  <c r="L566" i="54"/>
  <c r="L567" i="54"/>
  <c r="L568" i="54"/>
  <c r="L569" i="54"/>
  <c r="L570" i="54"/>
  <c r="L571" i="54"/>
  <c r="L572" i="54"/>
  <c r="L573" i="54"/>
  <c r="L574" i="54"/>
  <c r="L575" i="54"/>
  <c r="L576" i="54"/>
  <c r="L577" i="54"/>
  <c r="L578" i="54"/>
  <c r="L579" i="54"/>
  <c r="L580" i="54"/>
  <c r="L581" i="54"/>
  <c r="L582" i="54"/>
  <c r="L583" i="54"/>
  <c r="L584" i="54"/>
  <c r="L585" i="54"/>
  <c r="L586" i="54"/>
  <c r="L587" i="54"/>
  <c r="L588" i="54"/>
  <c r="L589" i="54"/>
  <c r="L590" i="54"/>
  <c r="L591" i="54"/>
  <c r="L592" i="54"/>
  <c r="L593" i="54"/>
  <c r="L594" i="54"/>
  <c r="L595" i="54"/>
  <c r="L596" i="54"/>
  <c r="L597" i="54"/>
  <c r="L598" i="54"/>
  <c r="L599" i="54"/>
  <c r="L600" i="54"/>
  <c r="L601" i="54"/>
  <c r="L602" i="54"/>
  <c r="L603" i="54"/>
  <c r="L604" i="54"/>
  <c r="L605" i="54"/>
  <c r="L606" i="54"/>
  <c r="L607" i="54"/>
  <c r="L608" i="54"/>
  <c r="L609" i="54"/>
  <c r="L610" i="54"/>
  <c r="L611" i="54"/>
  <c r="L612" i="54"/>
  <c r="L613" i="54"/>
  <c r="L614" i="54"/>
  <c r="L615" i="54"/>
  <c r="L616" i="54"/>
  <c r="L617" i="54"/>
  <c r="L618" i="54"/>
  <c r="L619" i="54"/>
  <c r="L620" i="54"/>
  <c r="L621" i="54"/>
  <c r="L622" i="54"/>
  <c r="L623" i="54"/>
  <c r="L624" i="54"/>
  <c r="L625" i="54"/>
  <c r="L626" i="54"/>
  <c r="L627" i="54"/>
  <c r="L628" i="54"/>
  <c r="L629" i="54"/>
  <c r="L630" i="54"/>
  <c r="L631" i="54"/>
  <c r="L632" i="54"/>
  <c r="L633" i="54"/>
  <c r="L634" i="54"/>
  <c r="L635" i="54"/>
  <c r="L636" i="54"/>
  <c r="L637" i="54"/>
  <c r="L638" i="54"/>
  <c r="L639" i="54"/>
  <c r="L640" i="54"/>
  <c r="L641" i="54"/>
  <c r="L642" i="54"/>
  <c r="L643" i="54"/>
  <c r="L644" i="54"/>
  <c r="L645" i="54"/>
  <c r="L646" i="54"/>
  <c r="L647" i="54"/>
  <c r="L648" i="54"/>
  <c r="L649" i="54"/>
  <c r="L650" i="54"/>
  <c r="L651" i="54"/>
  <c r="L652" i="54"/>
  <c r="L653" i="54"/>
  <c r="L654" i="54"/>
  <c r="L655" i="54"/>
  <c r="L656" i="54"/>
  <c r="L657" i="54"/>
  <c r="L658" i="54"/>
  <c r="L659" i="54"/>
  <c r="L660" i="54"/>
  <c r="L661" i="54"/>
  <c r="L662" i="54"/>
  <c r="L663" i="54"/>
  <c r="L664" i="54"/>
  <c r="L665" i="54"/>
  <c r="L666" i="54"/>
  <c r="L667" i="54"/>
  <c r="L668" i="54"/>
  <c r="L669" i="54"/>
  <c r="L670" i="54"/>
  <c r="L671" i="54"/>
  <c r="L672" i="54"/>
  <c r="L673" i="54"/>
  <c r="L674" i="54"/>
  <c r="L675" i="54"/>
  <c r="L676" i="54"/>
  <c r="L677" i="54"/>
  <c r="L678" i="54"/>
  <c r="L679" i="54"/>
  <c r="L680" i="54"/>
  <c r="L681" i="54"/>
  <c r="L682" i="54"/>
  <c r="L683" i="54"/>
  <c r="L684" i="54"/>
  <c r="L685" i="54"/>
  <c r="L686" i="54"/>
  <c r="L687" i="54"/>
  <c r="L688" i="54"/>
  <c r="L689" i="54"/>
  <c r="L690" i="54"/>
  <c r="L691" i="54"/>
  <c r="L692" i="54"/>
  <c r="L693" i="54"/>
  <c r="L694" i="54"/>
  <c r="L695" i="54"/>
  <c r="L696" i="54"/>
  <c r="L697" i="54"/>
  <c r="L698" i="54"/>
  <c r="L699" i="54"/>
  <c r="L700" i="54"/>
  <c r="L701" i="54"/>
  <c r="L702" i="54"/>
  <c r="L703" i="54"/>
  <c r="L704" i="54"/>
  <c r="L705" i="54"/>
  <c r="L706" i="54"/>
  <c r="L707" i="54"/>
  <c r="L708" i="54"/>
  <c r="L709" i="54"/>
  <c r="L710" i="54"/>
  <c r="L711" i="54"/>
  <c r="L712" i="54"/>
  <c r="L713" i="54"/>
  <c r="L714" i="54"/>
  <c r="L715" i="54"/>
  <c r="L716" i="54"/>
  <c r="L717" i="54"/>
  <c r="L718" i="54"/>
  <c r="L719" i="54"/>
  <c r="L720" i="54"/>
  <c r="L721" i="54"/>
  <c r="L722" i="54"/>
  <c r="L723" i="54"/>
  <c r="L724" i="54"/>
  <c r="L725" i="54"/>
  <c r="L726" i="54"/>
  <c r="L727" i="54"/>
  <c r="L728" i="54"/>
  <c r="L729" i="54"/>
  <c r="L730" i="54"/>
  <c r="L731" i="54"/>
  <c r="L732" i="54"/>
  <c r="L733" i="54"/>
  <c r="L734" i="54"/>
  <c r="L735" i="54"/>
  <c r="L736" i="54"/>
  <c r="L737" i="54"/>
  <c r="L738" i="54"/>
  <c r="L739" i="54"/>
  <c r="L740" i="54"/>
  <c r="L741" i="54"/>
  <c r="L742" i="54"/>
  <c r="L743" i="54"/>
  <c r="L744" i="54"/>
  <c r="L745" i="54"/>
  <c r="L746" i="54"/>
  <c r="L747" i="54"/>
  <c r="L748" i="54"/>
  <c r="L749" i="54"/>
  <c r="L750" i="54"/>
  <c r="L751" i="54"/>
  <c r="L752" i="54"/>
  <c r="L753" i="54"/>
  <c r="L754" i="54"/>
  <c r="L755" i="54"/>
  <c r="L756" i="54"/>
  <c r="L757" i="54"/>
  <c r="L758" i="54"/>
  <c r="L759" i="54"/>
  <c r="L760" i="54"/>
  <c r="L761" i="54"/>
  <c r="L762" i="54"/>
  <c r="L763" i="54"/>
  <c r="L764" i="54"/>
  <c r="L765" i="54"/>
  <c r="L766" i="54"/>
  <c r="L767" i="54"/>
  <c r="L768" i="54"/>
  <c r="L769" i="54"/>
  <c r="L770" i="54"/>
  <c r="L771" i="54"/>
  <c r="L772" i="54"/>
  <c r="L773" i="54"/>
  <c r="L774" i="54"/>
  <c r="L775" i="54"/>
  <c r="L776" i="54"/>
  <c r="L777" i="54"/>
  <c r="L778" i="54"/>
  <c r="L779" i="54"/>
  <c r="L780" i="54"/>
  <c r="L781" i="54"/>
  <c r="L782" i="54"/>
  <c r="L783" i="54"/>
  <c r="L784" i="54"/>
  <c r="L785" i="54"/>
  <c r="L786" i="54"/>
  <c r="L787" i="54"/>
  <c r="L788" i="54"/>
  <c r="L789" i="54"/>
  <c r="L790" i="54"/>
  <c r="L791" i="54"/>
  <c r="L792" i="54"/>
  <c r="L793" i="54"/>
  <c r="L794" i="54"/>
  <c r="L795" i="54"/>
  <c r="L796" i="54"/>
  <c r="L797" i="54"/>
  <c r="L798" i="54"/>
  <c r="L799" i="54"/>
  <c r="L800" i="54"/>
  <c r="L801" i="54"/>
  <c r="L802" i="54"/>
  <c r="L803" i="54"/>
  <c r="L804" i="54"/>
  <c r="L805" i="54"/>
  <c r="L806" i="54"/>
  <c r="L807" i="54"/>
  <c r="L808" i="54"/>
  <c r="L809" i="54"/>
  <c r="L810" i="54"/>
  <c r="L811" i="54"/>
  <c r="L812" i="54"/>
  <c r="L813" i="54"/>
  <c r="L814" i="54"/>
  <c r="L815" i="54"/>
  <c r="L816" i="54"/>
  <c r="L817" i="54"/>
  <c r="L818" i="54"/>
  <c r="L819" i="54"/>
  <c r="L820" i="54"/>
  <c r="L821" i="54"/>
  <c r="L822" i="54"/>
  <c r="L823" i="54"/>
  <c r="L824" i="54"/>
  <c r="L825" i="54"/>
  <c r="L826" i="54"/>
  <c r="L827" i="54"/>
  <c r="L828" i="54"/>
  <c r="L829" i="54"/>
  <c r="L830" i="54"/>
  <c r="L831" i="54"/>
  <c r="L832" i="54"/>
  <c r="L833" i="54"/>
  <c r="L834" i="54"/>
  <c r="L835" i="54"/>
  <c r="L836" i="54"/>
  <c r="L837" i="54"/>
  <c r="L838" i="54"/>
  <c r="L839" i="54"/>
  <c r="L840" i="54"/>
  <c r="L841" i="54"/>
  <c r="L842" i="54"/>
  <c r="L843" i="54"/>
  <c r="L844" i="54"/>
  <c r="L845" i="54"/>
  <c r="L846" i="54"/>
  <c r="L847" i="54"/>
  <c r="L848" i="54"/>
  <c r="L849" i="54"/>
  <c r="L850" i="54"/>
  <c r="L851" i="54"/>
  <c r="L852" i="54"/>
  <c r="L853" i="54"/>
  <c r="L854" i="54"/>
  <c r="L855" i="54"/>
  <c r="L856" i="54"/>
  <c r="L857" i="54"/>
  <c r="L858" i="54"/>
  <c r="L859" i="54"/>
  <c r="L860" i="54"/>
  <c r="L861" i="54"/>
  <c r="L862" i="54"/>
  <c r="L863" i="54"/>
  <c r="L864" i="54"/>
  <c r="L865" i="54"/>
  <c r="L866" i="54"/>
  <c r="L867" i="54"/>
  <c r="L868" i="54"/>
  <c r="L869" i="54"/>
  <c r="L870" i="54"/>
  <c r="L871" i="54"/>
  <c r="L872" i="54"/>
  <c r="L873" i="54"/>
  <c r="L874" i="54"/>
  <c r="L875" i="54"/>
  <c r="L876" i="54"/>
  <c r="L877" i="54"/>
  <c r="L878" i="54"/>
  <c r="L879" i="54"/>
  <c r="L880" i="54"/>
  <c r="L881" i="54"/>
  <c r="L882" i="54"/>
  <c r="L883" i="54"/>
  <c r="L884" i="54"/>
  <c r="L885" i="54"/>
  <c r="L886" i="54"/>
  <c r="L887" i="54"/>
  <c r="L888" i="54"/>
  <c r="L889" i="54"/>
  <c r="L890" i="54"/>
  <c r="L891" i="54"/>
  <c r="L892" i="54"/>
  <c r="L893" i="54"/>
  <c r="L894" i="54"/>
  <c r="L895" i="54"/>
  <c r="L896" i="54"/>
  <c r="L897" i="54"/>
  <c r="L898" i="54"/>
  <c r="L899" i="54"/>
  <c r="L900" i="54"/>
  <c r="L901" i="54"/>
  <c r="L902" i="54"/>
  <c r="L903" i="54"/>
  <c r="L904" i="54"/>
  <c r="L905" i="54"/>
  <c r="L906" i="54"/>
  <c r="L907" i="54"/>
  <c r="L908" i="54"/>
  <c r="L909" i="54"/>
  <c r="L910" i="54"/>
  <c r="L911" i="54"/>
  <c r="L912" i="54"/>
  <c r="L913" i="54"/>
  <c r="L914" i="54"/>
  <c r="L915" i="54"/>
  <c r="L916" i="54"/>
  <c r="L917" i="54"/>
  <c r="L918" i="54"/>
  <c r="L919" i="54"/>
  <c r="L920" i="54"/>
  <c r="L921" i="54"/>
  <c r="L922" i="54"/>
  <c r="L923" i="54"/>
  <c r="L924" i="54"/>
  <c r="L925" i="54"/>
  <c r="L926" i="54"/>
  <c r="L927" i="54"/>
  <c r="L928" i="54"/>
  <c r="L929" i="54"/>
  <c r="L930" i="54"/>
  <c r="L931" i="54"/>
  <c r="L932" i="54"/>
  <c r="L933" i="54"/>
  <c r="L934" i="54"/>
  <c r="L935" i="54"/>
  <c r="L936" i="54"/>
  <c r="L937" i="54"/>
  <c r="L938" i="54"/>
  <c r="L939" i="54"/>
  <c r="L940" i="54"/>
  <c r="L941" i="54"/>
  <c r="L942" i="54"/>
  <c r="L943" i="54"/>
  <c r="L944" i="54"/>
  <c r="L945" i="54"/>
  <c r="L946" i="54"/>
  <c r="L947" i="54"/>
  <c r="L948" i="54"/>
  <c r="L949" i="54"/>
  <c r="L950" i="54"/>
  <c r="L951" i="54"/>
  <c r="L952" i="54"/>
  <c r="L953" i="54"/>
  <c r="L954" i="54"/>
  <c r="L955" i="54"/>
  <c r="L956" i="54"/>
  <c r="L957" i="54"/>
  <c r="L958" i="54"/>
  <c r="L959" i="54"/>
  <c r="L960" i="54"/>
  <c r="L961" i="54"/>
  <c r="L962" i="54"/>
  <c r="L963" i="54"/>
  <c r="L964" i="54"/>
  <c r="L965" i="54"/>
  <c r="L966" i="54"/>
  <c r="L967" i="54"/>
  <c r="L968" i="54"/>
  <c r="L969" i="54"/>
  <c r="L970" i="54"/>
  <c r="L971" i="54"/>
  <c r="L972" i="54"/>
  <c r="L973" i="54"/>
  <c r="L974" i="54"/>
  <c r="L975" i="54"/>
  <c r="L976" i="54"/>
  <c r="L977" i="54"/>
  <c r="L978" i="54"/>
  <c r="L979" i="54"/>
  <c r="L980" i="54"/>
  <c r="L981" i="54"/>
  <c r="L982" i="54"/>
  <c r="L983" i="54"/>
  <c r="L984" i="54"/>
  <c r="L985" i="54"/>
  <c r="L986" i="54"/>
  <c r="L987" i="54"/>
  <c r="L988" i="54"/>
  <c r="L989" i="54"/>
  <c r="L990" i="54"/>
  <c r="L991" i="54"/>
  <c r="L992" i="54"/>
  <c r="L993" i="54"/>
  <c r="L994" i="54"/>
  <c r="L995" i="54"/>
  <c r="L996" i="54"/>
  <c r="L997" i="54"/>
  <c r="L998" i="54"/>
  <c r="L999" i="54"/>
  <c r="L1000" i="54"/>
  <c r="L1001" i="54"/>
  <c r="L1002" i="54"/>
  <c r="L1003" i="54"/>
  <c r="L1004" i="54"/>
  <c r="L1005" i="54"/>
  <c r="L1006" i="54"/>
  <c r="L1007" i="54"/>
  <c r="L1008" i="54"/>
  <c r="L1009" i="54"/>
  <c r="L1010" i="54"/>
  <c r="L1011" i="54"/>
  <c r="L1012" i="54"/>
  <c r="L1013" i="54"/>
  <c r="L1014" i="54"/>
  <c r="L1015" i="54"/>
  <c r="L1016" i="54"/>
  <c r="L1017" i="54"/>
  <c r="L1018" i="54"/>
  <c r="L1019" i="54"/>
  <c r="L1020" i="54"/>
  <c r="L1021" i="54"/>
  <c r="L1022" i="54"/>
  <c r="L1023" i="54"/>
  <c r="L1024" i="54"/>
  <c r="L1025" i="54"/>
  <c r="L1026" i="54"/>
  <c r="L1027" i="54"/>
  <c r="L1028" i="54"/>
  <c r="L1029" i="54"/>
  <c r="L1030" i="54"/>
  <c r="L1031" i="54"/>
  <c r="L1032" i="54"/>
  <c r="L1033" i="54"/>
  <c r="L1034" i="54"/>
  <c r="L1035" i="54"/>
  <c r="L1036" i="54"/>
  <c r="L1037" i="54"/>
  <c r="L1038" i="54"/>
  <c r="L1039" i="54"/>
  <c r="L1040" i="54"/>
  <c r="L1041" i="54"/>
  <c r="L1042" i="54"/>
  <c r="L1043" i="54"/>
  <c r="L1044" i="54"/>
  <c r="L1045" i="54"/>
  <c r="L1046" i="54"/>
  <c r="L1047" i="54"/>
  <c r="L1048" i="54"/>
  <c r="L1049" i="54"/>
  <c r="L1050" i="54"/>
  <c r="L1051" i="54"/>
  <c r="L1052" i="54"/>
  <c r="L1053" i="54"/>
  <c r="L1054" i="54"/>
  <c r="L1055" i="54"/>
  <c r="L1056" i="54"/>
  <c r="L1057" i="54"/>
  <c r="L1058" i="54"/>
  <c r="L1059" i="54"/>
  <c r="L1060" i="54"/>
  <c r="L1061" i="54"/>
  <c r="L1062" i="54"/>
  <c r="L1063" i="54"/>
  <c r="L1064" i="54"/>
  <c r="L1065" i="54"/>
  <c r="L1066" i="54"/>
  <c r="L1067" i="54"/>
  <c r="L1068" i="54"/>
  <c r="L1069" i="54"/>
  <c r="L1070" i="54"/>
  <c r="L1071" i="54"/>
  <c r="L1072" i="54"/>
  <c r="L1073" i="54"/>
  <c r="L1074" i="54"/>
  <c r="L1075" i="54"/>
  <c r="L1076" i="54"/>
  <c r="L1077" i="54"/>
  <c r="L1078" i="54"/>
  <c r="L1079" i="54"/>
  <c r="L1080" i="54"/>
  <c r="L1081" i="54"/>
  <c r="L1082" i="54"/>
  <c r="L1083" i="54"/>
  <c r="L1084" i="54"/>
  <c r="L1085" i="54"/>
  <c r="L1086" i="54"/>
  <c r="L1087" i="54"/>
  <c r="L1088" i="54"/>
  <c r="L1089" i="54"/>
  <c r="L1090" i="54"/>
  <c r="L1091" i="54"/>
  <c r="L1092" i="54"/>
  <c r="L1093" i="54"/>
  <c r="L1094" i="54"/>
  <c r="L1095" i="54"/>
  <c r="L1096" i="54"/>
  <c r="L1097" i="54"/>
  <c r="L1098" i="54"/>
  <c r="L1099" i="54"/>
  <c r="L1100" i="54"/>
  <c r="L1101" i="54"/>
  <c r="L1102" i="54"/>
  <c r="L1103" i="54"/>
  <c r="L1104" i="54"/>
  <c r="L2" i="54"/>
  <c r="B3" i="54"/>
  <c r="B4" i="54"/>
  <c r="B5"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3" i="54"/>
  <c r="B94" i="54"/>
  <c r="B95" i="54"/>
  <c r="B96" i="54"/>
  <c r="B97" i="54"/>
  <c r="B98" i="54"/>
  <c r="B99" i="54"/>
  <c r="B100" i="54"/>
  <c r="B101" i="54"/>
  <c r="B102" i="54"/>
  <c r="B103" i="54"/>
  <c r="B104" i="54"/>
  <c r="B105" i="54"/>
  <c r="B106" i="54"/>
  <c r="B107" i="54"/>
  <c r="B108" i="54"/>
  <c r="B109" i="54"/>
  <c r="B110" i="54"/>
  <c r="B111" i="54"/>
  <c r="B112" i="54"/>
  <c r="B113" i="54"/>
  <c r="B114" i="54"/>
  <c r="B115" i="54"/>
  <c r="B116" i="54"/>
  <c r="B117" i="54"/>
  <c r="B118" i="54"/>
  <c r="B119" i="54"/>
  <c r="B120" i="54"/>
  <c r="B121" i="54"/>
  <c r="B122" i="54"/>
  <c r="B123" i="54"/>
  <c r="B124" i="54"/>
  <c r="B125" i="54"/>
  <c r="B126" i="54"/>
  <c r="B127" i="54"/>
  <c r="B128" i="54"/>
  <c r="B129" i="54"/>
  <c r="B130" i="54"/>
  <c r="B131" i="54"/>
  <c r="B132" i="54"/>
  <c r="B133" i="54"/>
  <c r="B134" i="54"/>
  <c r="B135" i="54"/>
  <c r="B136" i="54"/>
  <c r="B137" i="54"/>
  <c r="B138" i="54"/>
  <c r="B139" i="54"/>
  <c r="B140" i="54"/>
  <c r="B141" i="54"/>
  <c r="B142" i="54"/>
  <c r="B143" i="54"/>
  <c r="B144" i="54"/>
  <c r="B145" i="54"/>
  <c r="B146" i="54"/>
  <c r="B147" i="54"/>
  <c r="B148" i="54"/>
  <c r="B149" i="54"/>
  <c r="B150" i="54"/>
  <c r="B151" i="54"/>
  <c r="B152" i="54"/>
  <c r="B153" i="54"/>
  <c r="B154" i="54"/>
  <c r="B155" i="54"/>
  <c r="B156" i="54"/>
  <c r="B157" i="54"/>
  <c r="B158" i="54"/>
  <c r="B159" i="54"/>
  <c r="B160" i="54"/>
  <c r="B161" i="54"/>
  <c r="B162" i="54"/>
  <c r="B163" i="54"/>
  <c r="B164" i="54"/>
  <c r="B165" i="54"/>
  <c r="B166" i="54"/>
  <c r="B167" i="54"/>
  <c r="B168" i="54"/>
  <c r="B169" i="54"/>
  <c r="B170" i="54"/>
  <c r="B171" i="54"/>
  <c r="B172" i="54"/>
  <c r="B173" i="54"/>
  <c r="B174" i="54"/>
  <c r="B175" i="54"/>
  <c r="B176" i="54"/>
  <c r="B177" i="54"/>
  <c r="B178" i="54"/>
  <c r="B179" i="54"/>
  <c r="B180" i="54"/>
  <c r="B181" i="54"/>
  <c r="B182" i="54"/>
  <c r="B183" i="54"/>
  <c r="B184" i="54"/>
  <c r="B185" i="54"/>
  <c r="B186" i="54"/>
  <c r="B187" i="54"/>
  <c r="B188" i="54"/>
  <c r="B189" i="54"/>
  <c r="B190" i="54"/>
  <c r="B191" i="54"/>
  <c r="B192" i="54"/>
  <c r="B193" i="54"/>
  <c r="B194" i="54"/>
  <c r="B195" i="54"/>
  <c r="B196" i="54"/>
  <c r="B197" i="54"/>
  <c r="B198" i="54"/>
  <c r="B199" i="54"/>
  <c r="B200" i="54"/>
  <c r="B201" i="54"/>
  <c r="B202" i="54"/>
  <c r="B203" i="54"/>
  <c r="B204" i="54"/>
  <c r="B205" i="54"/>
  <c r="B206" i="54"/>
  <c r="B207" i="54"/>
  <c r="B208" i="54"/>
  <c r="B209" i="54"/>
  <c r="B210" i="54"/>
  <c r="B211" i="54"/>
  <c r="B212" i="54"/>
  <c r="B213" i="54"/>
  <c r="B214" i="54"/>
  <c r="B215" i="54"/>
  <c r="B216" i="54"/>
  <c r="B217" i="54"/>
  <c r="B218" i="54"/>
  <c r="B219" i="54"/>
  <c r="B220" i="54"/>
  <c r="B221" i="54"/>
  <c r="B222" i="54"/>
  <c r="B223" i="54"/>
  <c r="B224" i="54"/>
  <c r="B225" i="54"/>
  <c r="B226" i="54"/>
  <c r="B227" i="54"/>
  <c r="B228" i="54"/>
  <c r="B229" i="54"/>
  <c r="B230" i="54"/>
  <c r="B231" i="54"/>
  <c r="B232" i="54"/>
  <c r="B233" i="54"/>
  <c r="B234" i="54"/>
  <c r="B235" i="54"/>
  <c r="B236" i="54"/>
  <c r="B237" i="54"/>
  <c r="B238" i="54"/>
  <c r="B239" i="54"/>
  <c r="B240" i="54"/>
  <c r="B241" i="54"/>
  <c r="B242" i="54"/>
  <c r="B243" i="54"/>
  <c r="B244" i="54"/>
  <c r="B245" i="54"/>
  <c r="B246" i="54"/>
  <c r="B247" i="54"/>
  <c r="B248" i="54"/>
  <c r="B249" i="54"/>
  <c r="B250" i="54"/>
  <c r="B251" i="54"/>
  <c r="B252" i="54"/>
  <c r="B253" i="54"/>
  <c r="B254" i="54"/>
  <c r="B255" i="54"/>
  <c r="B256" i="54"/>
  <c r="B257" i="54"/>
  <c r="B258" i="54"/>
  <c r="B259" i="54"/>
  <c r="B260" i="54"/>
  <c r="B261" i="54"/>
  <c r="B262" i="54"/>
  <c r="B263" i="54"/>
  <c r="B264" i="54"/>
  <c r="B265" i="54"/>
  <c r="B266" i="54"/>
  <c r="B267" i="54"/>
  <c r="B268" i="54"/>
  <c r="B269" i="54"/>
  <c r="B270" i="54"/>
  <c r="B271" i="54"/>
  <c r="B272" i="54"/>
  <c r="B273" i="54"/>
  <c r="B274" i="54"/>
  <c r="B275" i="54"/>
  <c r="B276" i="54"/>
  <c r="B277" i="54"/>
  <c r="B278" i="54"/>
  <c r="B279" i="54"/>
  <c r="B280" i="54"/>
  <c r="B281" i="54"/>
  <c r="B282" i="54"/>
  <c r="B283" i="54"/>
  <c r="B284" i="54"/>
  <c r="B285" i="54"/>
  <c r="B286" i="54"/>
  <c r="B287" i="54"/>
  <c r="B288" i="54"/>
  <c r="B289" i="54"/>
  <c r="B290" i="54"/>
  <c r="B291" i="54"/>
  <c r="B292" i="54"/>
  <c r="B293" i="54"/>
  <c r="B294" i="54"/>
  <c r="B295" i="54"/>
  <c r="B296" i="54"/>
  <c r="B297" i="54"/>
  <c r="B298" i="54"/>
  <c r="B299" i="54"/>
  <c r="B300" i="54"/>
  <c r="B301" i="54"/>
  <c r="B302" i="54"/>
  <c r="B303" i="54"/>
  <c r="B304" i="54"/>
  <c r="B305" i="54"/>
  <c r="B306" i="54"/>
  <c r="B307" i="54"/>
  <c r="B308" i="54"/>
  <c r="B309" i="54"/>
  <c r="B310" i="54"/>
  <c r="B311" i="54"/>
  <c r="B312" i="54"/>
  <c r="B313" i="54"/>
  <c r="B314" i="54"/>
  <c r="B315" i="54"/>
  <c r="B316" i="54"/>
  <c r="B317" i="54"/>
  <c r="B318" i="54"/>
  <c r="B319" i="54"/>
  <c r="B320" i="54"/>
  <c r="B321" i="54"/>
  <c r="B322" i="54"/>
  <c r="B323" i="54"/>
  <c r="B324" i="54"/>
  <c r="B325" i="54"/>
  <c r="B326" i="54"/>
  <c r="B327" i="54"/>
  <c r="B328" i="54"/>
  <c r="B329" i="54"/>
  <c r="B330" i="54"/>
  <c r="B331" i="54"/>
  <c r="B332" i="54"/>
  <c r="B333" i="54"/>
  <c r="B334" i="54"/>
  <c r="B335" i="54"/>
  <c r="B336" i="54"/>
  <c r="B337" i="54"/>
  <c r="B338" i="54"/>
  <c r="B339" i="54"/>
  <c r="B340" i="54"/>
  <c r="B341" i="54"/>
  <c r="B342" i="54"/>
  <c r="B343" i="54"/>
  <c r="B344" i="54"/>
  <c r="B345" i="54"/>
  <c r="B346" i="54"/>
  <c r="B347" i="54"/>
  <c r="B348" i="54"/>
  <c r="B349" i="54"/>
  <c r="B350" i="54"/>
  <c r="B351" i="54"/>
  <c r="B352" i="54"/>
  <c r="B353" i="54"/>
  <c r="B354" i="54"/>
  <c r="B355" i="54"/>
  <c r="B356" i="54"/>
  <c r="B357" i="54"/>
  <c r="B358" i="54"/>
  <c r="B359" i="54"/>
  <c r="B360" i="54"/>
  <c r="B361" i="54"/>
  <c r="B362" i="54"/>
  <c r="B363" i="54"/>
  <c r="B364" i="54"/>
  <c r="B365" i="54"/>
  <c r="B366" i="54"/>
  <c r="B367" i="54"/>
  <c r="B368" i="54"/>
  <c r="B369" i="54"/>
  <c r="B370" i="54"/>
  <c r="B371" i="54"/>
  <c r="B372" i="54"/>
  <c r="B373" i="54"/>
  <c r="B374" i="54"/>
  <c r="B375" i="54"/>
  <c r="B376" i="54"/>
  <c r="B377" i="54"/>
  <c r="B378" i="54"/>
  <c r="B379" i="54"/>
  <c r="B380" i="54"/>
  <c r="B381" i="54"/>
  <c r="B382" i="54"/>
  <c r="B383" i="54"/>
  <c r="B384" i="54"/>
  <c r="B385" i="54"/>
  <c r="B386" i="54"/>
  <c r="B387" i="54"/>
  <c r="B388" i="54"/>
  <c r="B389" i="54"/>
  <c r="B390" i="54"/>
  <c r="B391" i="54"/>
  <c r="B392" i="54"/>
  <c r="B393" i="54"/>
  <c r="B394" i="54"/>
  <c r="B395" i="54"/>
  <c r="B396" i="54"/>
  <c r="B397" i="54"/>
  <c r="B398" i="54"/>
  <c r="B399" i="54"/>
  <c r="B400" i="54"/>
  <c r="B401" i="54"/>
  <c r="B402" i="54"/>
  <c r="B403" i="54"/>
  <c r="B404" i="54"/>
  <c r="B405" i="54"/>
  <c r="B406" i="54"/>
  <c r="B407" i="54"/>
  <c r="B408" i="54"/>
  <c r="B409" i="54"/>
  <c r="B410" i="54"/>
  <c r="B411" i="54"/>
  <c r="B412" i="54"/>
  <c r="B413" i="54"/>
  <c r="B414" i="54"/>
  <c r="B415" i="54"/>
  <c r="B416" i="54"/>
  <c r="B417" i="54"/>
  <c r="B418" i="54"/>
  <c r="B419" i="54"/>
  <c r="B420" i="54"/>
  <c r="B421" i="54"/>
  <c r="B422" i="54"/>
  <c r="B423" i="54"/>
  <c r="B424" i="54"/>
  <c r="B425" i="54"/>
  <c r="B426" i="54"/>
  <c r="B427" i="54"/>
  <c r="B428" i="54"/>
  <c r="B429" i="54"/>
  <c r="B430" i="54"/>
  <c r="B431" i="54"/>
  <c r="B432" i="54"/>
  <c r="B433" i="54"/>
  <c r="B434" i="54"/>
  <c r="B435" i="54"/>
  <c r="B436" i="54"/>
  <c r="B437" i="54"/>
  <c r="B438" i="54"/>
  <c r="B439" i="54"/>
  <c r="B440" i="54"/>
  <c r="B441" i="54"/>
  <c r="B442" i="54"/>
  <c r="B443" i="54"/>
  <c r="B444" i="54"/>
  <c r="B445" i="54"/>
  <c r="B446" i="54"/>
  <c r="B447" i="54"/>
  <c r="B448" i="54"/>
  <c r="B449" i="54"/>
  <c r="B450" i="54"/>
  <c r="B451" i="54"/>
  <c r="B452" i="54"/>
  <c r="B453" i="54"/>
  <c r="B454" i="54"/>
  <c r="B455" i="54"/>
  <c r="B456" i="54"/>
  <c r="B457" i="54"/>
  <c r="B458" i="54"/>
  <c r="B459" i="54"/>
  <c r="B460" i="54"/>
  <c r="B461" i="54"/>
  <c r="B462" i="54"/>
  <c r="B463" i="54"/>
  <c r="B464" i="54"/>
  <c r="B465" i="54"/>
  <c r="B466" i="54"/>
  <c r="B467" i="54"/>
  <c r="B468" i="54"/>
  <c r="B469" i="54"/>
  <c r="B470" i="54"/>
  <c r="B471" i="54"/>
  <c r="B472" i="54"/>
  <c r="B473" i="54"/>
  <c r="B474" i="54"/>
  <c r="B475" i="54"/>
  <c r="B476" i="54"/>
  <c r="B477" i="54"/>
  <c r="B478" i="54"/>
  <c r="B479" i="54"/>
  <c r="B480" i="54"/>
  <c r="B481" i="54"/>
  <c r="B482" i="54"/>
  <c r="B483" i="54"/>
  <c r="B484" i="54"/>
  <c r="B485" i="54"/>
  <c r="B486" i="54"/>
  <c r="B487" i="54"/>
  <c r="B488" i="54"/>
  <c r="B489" i="54"/>
  <c r="B490" i="54"/>
  <c r="B491" i="54"/>
  <c r="B492" i="54"/>
  <c r="B493" i="54"/>
  <c r="B494" i="54"/>
  <c r="B495" i="54"/>
  <c r="B496" i="54"/>
  <c r="B497" i="54"/>
  <c r="B498" i="54"/>
  <c r="B499" i="54"/>
  <c r="B500" i="54"/>
  <c r="B501" i="54"/>
  <c r="B502" i="54"/>
  <c r="B503" i="54"/>
  <c r="B504" i="54"/>
  <c r="B505" i="54"/>
  <c r="B506" i="54"/>
  <c r="B507" i="54"/>
  <c r="B508" i="54"/>
  <c r="B509" i="54"/>
  <c r="B510" i="54"/>
  <c r="B511" i="54"/>
  <c r="B512" i="54"/>
  <c r="B513" i="54"/>
  <c r="B514" i="54"/>
  <c r="B515" i="54"/>
  <c r="B516" i="54"/>
  <c r="B517" i="54"/>
  <c r="B518" i="54"/>
  <c r="B519" i="54"/>
  <c r="B520" i="54"/>
  <c r="B521" i="54"/>
  <c r="B522" i="54"/>
  <c r="B523" i="54"/>
  <c r="B524" i="54"/>
  <c r="B525" i="54"/>
  <c r="B526" i="54"/>
  <c r="B527" i="54"/>
  <c r="B528" i="54"/>
  <c r="B529" i="54"/>
  <c r="B530" i="54"/>
  <c r="B531" i="54"/>
  <c r="B532" i="54"/>
  <c r="B533" i="54"/>
  <c r="B534" i="54"/>
  <c r="B535" i="54"/>
  <c r="B536" i="54"/>
  <c r="B537" i="54"/>
  <c r="B538" i="54"/>
  <c r="B539" i="54"/>
  <c r="B540" i="54"/>
  <c r="B541" i="54"/>
  <c r="B542" i="54"/>
  <c r="B543" i="54"/>
  <c r="B544" i="54"/>
  <c r="B545" i="54"/>
  <c r="B546" i="54"/>
  <c r="B547" i="54"/>
  <c r="B548" i="54"/>
  <c r="B549" i="54"/>
  <c r="B550" i="54"/>
  <c r="B551" i="54"/>
  <c r="B552" i="54"/>
  <c r="B553" i="54"/>
  <c r="B554" i="54"/>
  <c r="B555" i="54"/>
  <c r="B556" i="54"/>
  <c r="B557" i="54"/>
  <c r="B558" i="54"/>
  <c r="B559" i="54"/>
  <c r="B560" i="54"/>
  <c r="B561" i="54"/>
  <c r="B562" i="54"/>
  <c r="B563" i="54"/>
  <c r="B564" i="54"/>
  <c r="B565" i="54"/>
  <c r="B566" i="54"/>
  <c r="B567" i="54"/>
  <c r="B568" i="54"/>
  <c r="B569" i="54"/>
  <c r="B570" i="54"/>
  <c r="B571" i="54"/>
  <c r="B572" i="54"/>
  <c r="B573" i="54"/>
  <c r="B574" i="54"/>
  <c r="B575" i="54"/>
  <c r="B576" i="54"/>
  <c r="B577" i="54"/>
  <c r="B578" i="54"/>
  <c r="B579" i="54"/>
  <c r="B580" i="54"/>
  <c r="B581" i="54"/>
  <c r="B582" i="54"/>
  <c r="B583" i="54"/>
  <c r="B584" i="54"/>
  <c r="B585" i="54"/>
  <c r="B586" i="54"/>
  <c r="B587" i="54"/>
  <c r="B588" i="54"/>
  <c r="B589" i="54"/>
  <c r="B590" i="54"/>
  <c r="B591" i="54"/>
  <c r="B592" i="54"/>
  <c r="B593" i="54"/>
  <c r="B594" i="54"/>
  <c r="B595" i="54"/>
  <c r="B596" i="54"/>
  <c r="B597" i="54"/>
  <c r="B598" i="54"/>
  <c r="B599" i="54"/>
  <c r="B600" i="54"/>
  <c r="B601" i="54"/>
  <c r="B602" i="54"/>
  <c r="B603" i="54"/>
  <c r="B604" i="54"/>
  <c r="B605" i="54"/>
  <c r="B606" i="54"/>
  <c r="B607" i="54"/>
  <c r="B608" i="54"/>
  <c r="B609" i="54"/>
  <c r="B610" i="54"/>
  <c r="B611" i="54"/>
  <c r="B612" i="54"/>
  <c r="B613" i="54"/>
  <c r="B614" i="54"/>
  <c r="B615" i="54"/>
  <c r="B616" i="54"/>
  <c r="B617" i="54"/>
  <c r="B618" i="54"/>
  <c r="B619" i="54"/>
  <c r="B620" i="54"/>
  <c r="B621" i="54"/>
  <c r="B622" i="54"/>
  <c r="B623" i="54"/>
  <c r="B624" i="54"/>
  <c r="B625" i="54"/>
  <c r="B626" i="54"/>
  <c r="B627" i="54"/>
  <c r="B628" i="54"/>
  <c r="B629" i="54"/>
  <c r="B630" i="54"/>
  <c r="B631" i="54"/>
  <c r="B632" i="54"/>
  <c r="B633" i="54"/>
  <c r="B634" i="54"/>
  <c r="B635" i="54"/>
  <c r="B636" i="54"/>
  <c r="B637" i="54"/>
  <c r="B638" i="54"/>
  <c r="B639" i="54"/>
  <c r="B640" i="54"/>
  <c r="B641" i="54"/>
  <c r="B642" i="54"/>
  <c r="B643" i="54"/>
  <c r="B644" i="54"/>
  <c r="B645" i="54"/>
  <c r="B646" i="54"/>
  <c r="B647" i="54"/>
  <c r="B648" i="54"/>
  <c r="B649" i="54"/>
  <c r="B650" i="54"/>
  <c r="B651" i="54"/>
  <c r="B652" i="54"/>
  <c r="B653" i="54"/>
  <c r="B654" i="54"/>
  <c r="B655" i="54"/>
  <c r="B656" i="54"/>
  <c r="B657" i="54"/>
  <c r="B658" i="54"/>
  <c r="B659" i="54"/>
  <c r="B660" i="54"/>
  <c r="B661" i="54"/>
  <c r="B662" i="54"/>
  <c r="B663" i="54"/>
  <c r="B664" i="54"/>
  <c r="B665" i="54"/>
  <c r="B666" i="54"/>
  <c r="B667" i="54"/>
  <c r="B668" i="54"/>
  <c r="B669" i="54"/>
  <c r="B670" i="54"/>
  <c r="B671" i="54"/>
  <c r="B672" i="54"/>
  <c r="B673" i="54"/>
  <c r="B674" i="54"/>
  <c r="B675" i="54"/>
  <c r="B676" i="54"/>
  <c r="B677" i="54"/>
  <c r="B678" i="54"/>
  <c r="B679" i="54"/>
  <c r="B680" i="54"/>
  <c r="B681" i="54"/>
  <c r="B682" i="54"/>
  <c r="B683" i="54"/>
  <c r="B684" i="54"/>
  <c r="B685" i="54"/>
  <c r="B686" i="54"/>
  <c r="B687" i="54"/>
  <c r="B688" i="54"/>
  <c r="B689" i="54"/>
  <c r="B690" i="54"/>
  <c r="B691" i="54"/>
  <c r="B692" i="54"/>
  <c r="B693" i="54"/>
  <c r="B694" i="54"/>
  <c r="B695" i="54"/>
  <c r="B696" i="54"/>
  <c r="B697" i="54"/>
  <c r="B698" i="54"/>
  <c r="B699" i="54"/>
  <c r="B700" i="54"/>
  <c r="B701" i="54"/>
  <c r="B702" i="54"/>
  <c r="B703" i="54"/>
  <c r="B704" i="54"/>
  <c r="B705" i="54"/>
  <c r="B706" i="54"/>
  <c r="B707" i="54"/>
  <c r="B708" i="54"/>
  <c r="B709" i="54"/>
  <c r="B710" i="54"/>
  <c r="B711" i="54"/>
  <c r="B712" i="54"/>
  <c r="B713" i="54"/>
  <c r="B714" i="54"/>
  <c r="B715" i="54"/>
  <c r="B716" i="54"/>
  <c r="B717" i="54"/>
  <c r="B718" i="54"/>
  <c r="B719" i="54"/>
  <c r="B720" i="54"/>
  <c r="B721" i="54"/>
  <c r="B722" i="54"/>
  <c r="B723" i="54"/>
  <c r="B724" i="54"/>
  <c r="B725" i="54"/>
  <c r="B726" i="54"/>
  <c r="B727" i="54"/>
  <c r="B728" i="54"/>
  <c r="B729" i="54"/>
  <c r="B730" i="54"/>
  <c r="B731" i="54"/>
  <c r="B732" i="54"/>
  <c r="B733" i="54"/>
  <c r="B734" i="54"/>
  <c r="B735" i="54"/>
  <c r="B736" i="54"/>
  <c r="B737" i="54"/>
  <c r="B738" i="54"/>
  <c r="B739" i="54"/>
  <c r="B740" i="54"/>
  <c r="B741" i="54"/>
  <c r="B742" i="54"/>
  <c r="B743" i="54"/>
  <c r="B744" i="54"/>
  <c r="B745" i="54"/>
  <c r="B746" i="54"/>
  <c r="B747" i="54"/>
  <c r="B748" i="54"/>
  <c r="B749" i="54"/>
  <c r="B750" i="54"/>
  <c r="B751" i="54"/>
  <c r="B752" i="54"/>
  <c r="B753" i="54"/>
  <c r="B754" i="54"/>
  <c r="B755" i="54"/>
  <c r="B756" i="54"/>
  <c r="B757" i="54"/>
  <c r="B758" i="54"/>
  <c r="B759" i="54"/>
  <c r="B760" i="54"/>
  <c r="B761" i="54"/>
  <c r="B762" i="54"/>
  <c r="B763" i="54"/>
  <c r="B764" i="54"/>
  <c r="B765" i="54"/>
  <c r="B766" i="54"/>
  <c r="B767" i="54"/>
  <c r="B768" i="54"/>
  <c r="B769" i="54"/>
  <c r="B770" i="54"/>
  <c r="B771" i="54"/>
  <c r="B772" i="54"/>
  <c r="B773" i="54"/>
  <c r="B774" i="54"/>
  <c r="B775" i="54"/>
  <c r="B776" i="54"/>
  <c r="B777" i="54"/>
  <c r="B778" i="54"/>
  <c r="B779" i="54"/>
  <c r="B780" i="54"/>
  <c r="B781" i="54"/>
  <c r="B782" i="54"/>
  <c r="B783" i="54"/>
  <c r="B784" i="54"/>
  <c r="B785" i="54"/>
  <c r="B786" i="54"/>
  <c r="B787" i="54"/>
  <c r="B788" i="54"/>
  <c r="B789" i="54"/>
  <c r="B790" i="54"/>
  <c r="B791" i="54"/>
  <c r="B792" i="54"/>
  <c r="B793" i="54"/>
  <c r="B794" i="54"/>
  <c r="B795" i="54"/>
  <c r="B796" i="54"/>
  <c r="B797" i="54"/>
  <c r="B798" i="54"/>
  <c r="B799" i="54"/>
  <c r="B800" i="54"/>
  <c r="B801" i="54"/>
  <c r="B802" i="54"/>
  <c r="B803" i="54"/>
  <c r="B804" i="54"/>
  <c r="B805" i="54"/>
  <c r="B806" i="54"/>
  <c r="B807" i="54"/>
  <c r="B808" i="54"/>
  <c r="B809" i="54"/>
  <c r="B810" i="54"/>
  <c r="B811" i="54"/>
  <c r="B812" i="54"/>
  <c r="B813" i="54"/>
  <c r="B814" i="54"/>
  <c r="B815" i="54"/>
  <c r="B816" i="54"/>
  <c r="B817" i="54"/>
  <c r="B818" i="54"/>
  <c r="B819" i="54"/>
  <c r="B820" i="54"/>
  <c r="B821" i="54"/>
  <c r="B822" i="54"/>
  <c r="B823" i="54"/>
  <c r="B824" i="54"/>
  <c r="B825" i="54"/>
  <c r="B826" i="54"/>
  <c r="B827" i="54"/>
  <c r="B828" i="54"/>
  <c r="B829" i="54"/>
  <c r="B830" i="54"/>
  <c r="B831" i="54"/>
  <c r="B832" i="54"/>
  <c r="B833" i="54"/>
  <c r="B834" i="54"/>
  <c r="B835" i="54"/>
  <c r="B836" i="54"/>
  <c r="B837" i="54"/>
  <c r="B838" i="54"/>
  <c r="B839" i="54"/>
  <c r="B840" i="54"/>
  <c r="B841" i="54"/>
  <c r="B842" i="54"/>
  <c r="B843" i="54"/>
  <c r="B844" i="54"/>
  <c r="B845" i="54"/>
  <c r="B846" i="54"/>
  <c r="B847" i="54"/>
  <c r="B848" i="54"/>
  <c r="B849" i="54"/>
  <c r="B850" i="54"/>
  <c r="B851" i="54"/>
  <c r="B852" i="54"/>
  <c r="B853" i="54"/>
  <c r="B854" i="54"/>
  <c r="B855" i="54"/>
  <c r="B856" i="54"/>
  <c r="B857" i="54"/>
  <c r="B858" i="54"/>
  <c r="B859" i="54"/>
  <c r="B860" i="54"/>
  <c r="B861" i="54"/>
  <c r="B862" i="54"/>
  <c r="B863" i="54"/>
  <c r="B864" i="54"/>
  <c r="B865" i="54"/>
  <c r="B866" i="54"/>
  <c r="B867" i="54"/>
  <c r="B868" i="54"/>
  <c r="B869" i="54"/>
  <c r="B870" i="54"/>
  <c r="B871" i="54"/>
  <c r="B872" i="54"/>
  <c r="B873" i="54"/>
  <c r="B874" i="54"/>
  <c r="B875" i="54"/>
  <c r="B876" i="54"/>
  <c r="B877" i="54"/>
  <c r="B878" i="54"/>
  <c r="B879" i="54"/>
  <c r="B880" i="54"/>
  <c r="B881" i="54"/>
  <c r="B882" i="54"/>
  <c r="B883" i="54"/>
  <c r="B884" i="54"/>
  <c r="B885" i="54"/>
  <c r="B886" i="54"/>
  <c r="B887" i="54"/>
  <c r="B888" i="54"/>
  <c r="B889" i="54"/>
  <c r="B890" i="54"/>
  <c r="B891" i="54"/>
  <c r="B892" i="54"/>
  <c r="B893" i="54"/>
  <c r="B894" i="54"/>
  <c r="B895" i="54"/>
  <c r="B896" i="54"/>
  <c r="B897" i="54"/>
  <c r="B898" i="54"/>
  <c r="B899" i="54"/>
  <c r="B900" i="54"/>
  <c r="B901" i="54"/>
  <c r="B902" i="54"/>
  <c r="B903" i="54"/>
  <c r="B904" i="54"/>
  <c r="B905" i="54"/>
  <c r="B906" i="54"/>
  <c r="B907" i="54"/>
  <c r="B908" i="54"/>
  <c r="B909" i="54"/>
  <c r="B910" i="54"/>
  <c r="B911" i="54"/>
  <c r="B912" i="54"/>
  <c r="B913" i="54"/>
  <c r="B914" i="54"/>
  <c r="B915" i="54"/>
  <c r="B916" i="54"/>
  <c r="B917" i="54"/>
  <c r="B918" i="54"/>
  <c r="B919" i="54"/>
  <c r="B920" i="54"/>
  <c r="B921" i="54"/>
  <c r="B922" i="54"/>
  <c r="B923" i="54"/>
  <c r="B924" i="54"/>
  <c r="B925" i="54"/>
  <c r="B926" i="54"/>
  <c r="B927" i="54"/>
  <c r="B928" i="54"/>
  <c r="B929" i="54"/>
  <c r="B930" i="54"/>
  <c r="B931" i="54"/>
  <c r="B932" i="54"/>
  <c r="B933" i="54"/>
  <c r="B934" i="54"/>
  <c r="B935" i="54"/>
  <c r="B936" i="54"/>
  <c r="B937" i="54"/>
  <c r="B938" i="54"/>
  <c r="B939" i="54"/>
  <c r="B940" i="54"/>
  <c r="B941" i="54"/>
  <c r="B942" i="54"/>
  <c r="B943" i="54"/>
  <c r="B944" i="54"/>
  <c r="B945" i="54"/>
  <c r="B946" i="54"/>
  <c r="B947" i="54"/>
  <c r="B948" i="54"/>
  <c r="B949" i="54"/>
  <c r="B950" i="54"/>
  <c r="B951" i="54"/>
  <c r="B952" i="54"/>
  <c r="B953" i="54"/>
  <c r="B954" i="54"/>
  <c r="B955" i="54"/>
  <c r="B956" i="54"/>
  <c r="B957" i="54"/>
  <c r="B958" i="54"/>
  <c r="B959" i="54"/>
  <c r="B960" i="54"/>
  <c r="B961" i="54"/>
  <c r="B962" i="54"/>
  <c r="B963" i="54"/>
  <c r="B964" i="54"/>
  <c r="B965" i="54"/>
  <c r="B966" i="54"/>
  <c r="B967" i="54"/>
  <c r="B968" i="54"/>
  <c r="B969" i="54"/>
  <c r="B970" i="54"/>
  <c r="B971" i="54"/>
  <c r="B972" i="54"/>
  <c r="B973" i="54"/>
  <c r="B974" i="54"/>
  <c r="B975" i="54"/>
  <c r="B976" i="54"/>
  <c r="B977" i="54"/>
  <c r="B978" i="54"/>
  <c r="B979" i="54"/>
  <c r="B980" i="54"/>
  <c r="B981" i="54"/>
  <c r="B982" i="54"/>
  <c r="B983" i="54"/>
  <c r="B984" i="54"/>
  <c r="B985" i="54"/>
  <c r="B986" i="54"/>
  <c r="B987" i="54"/>
  <c r="B988" i="54"/>
  <c r="B989" i="54"/>
  <c r="B990" i="54"/>
  <c r="B991" i="54"/>
  <c r="B992" i="54"/>
  <c r="B993" i="54"/>
  <c r="B994" i="54"/>
  <c r="B995" i="54"/>
  <c r="B996" i="54"/>
  <c r="B997" i="54"/>
  <c r="B998" i="54"/>
  <c r="B999" i="54"/>
  <c r="B1000" i="54"/>
  <c r="B1001" i="54"/>
  <c r="B1002" i="54"/>
  <c r="B1003" i="54"/>
  <c r="B1004" i="54"/>
  <c r="B1005" i="54"/>
  <c r="B1006" i="54"/>
  <c r="B1007" i="54"/>
  <c r="B1008" i="54"/>
  <c r="B1009" i="54"/>
  <c r="B1010" i="54"/>
  <c r="B1011" i="54"/>
  <c r="B1012" i="54"/>
  <c r="B1013" i="54"/>
  <c r="B1014" i="54"/>
  <c r="B1015" i="54"/>
  <c r="B1016" i="54"/>
  <c r="B1017" i="54"/>
  <c r="B1018" i="54"/>
  <c r="B1019" i="54"/>
  <c r="B1020" i="54"/>
  <c r="B1021" i="54"/>
  <c r="B1022" i="54"/>
  <c r="B1023" i="54"/>
  <c r="B1024" i="54"/>
  <c r="B1025" i="54"/>
  <c r="B1026" i="54"/>
  <c r="B1027" i="54"/>
  <c r="B1028" i="54"/>
  <c r="B1029" i="54"/>
  <c r="B1030" i="54"/>
  <c r="B1031" i="54"/>
  <c r="B1032" i="54"/>
  <c r="B1033" i="54"/>
  <c r="B1034" i="54"/>
  <c r="B1035" i="54"/>
  <c r="B1036" i="54"/>
  <c r="B1037" i="54"/>
  <c r="B1038" i="54"/>
  <c r="B1039" i="54"/>
  <c r="B1040" i="54"/>
  <c r="B1041" i="54"/>
  <c r="B1042" i="54"/>
  <c r="B1043" i="54"/>
  <c r="B1044" i="54"/>
  <c r="B1045" i="54"/>
  <c r="B1046" i="54"/>
  <c r="B1047" i="54"/>
  <c r="B1048" i="54"/>
  <c r="B1049" i="54"/>
  <c r="B1050" i="54"/>
  <c r="B1051" i="54"/>
  <c r="B1052" i="54"/>
  <c r="B1053" i="54"/>
  <c r="B1054" i="54"/>
  <c r="B1055" i="54"/>
  <c r="B1056" i="54"/>
  <c r="B1057" i="54"/>
  <c r="B1058" i="54"/>
  <c r="B1059" i="54"/>
  <c r="B1060" i="54"/>
  <c r="B1061" i="54"/>
  <c r="B1062" i="54"/>
  <c r="B1063" i="54"/>
  <c r="B1064" i="54"/>
  <c r="B1065" i="54"/>
  <c r="B1066" i="54"/>
  <c r="B1067" i="54"/>
  <c r="B1068" i="54"/>
  <c r="B1069" i="54"/>
  <c r="B1070" i="54"/>
  <c r="B1071" i="54"/>
  <c r="B1072" i="54"/>
  <c r="B1073" i="54"/>
  <c r="B1074" i="54"/>
  <c r="B1075" i="54"/>
  <c r="B1076" i="54"/>
  <c r="B1077" i="54"/>
  <c r="B1078" i="54"/>
  <c r="B1079" i="54"/>
  <c r="B1080" i="54"/>
  <c r="B1081" i="54"/>
  <c r="B1082" i="54"/>
  <c r="B1083" i="54"/>
  <c r="B1084" i="54"/>
  <c r="B1085" i="54"/>
  <c r="B1086" i="54"/>
  <c r="B1087" i="54"/>
  <c r="B1088" i="54"/>
  <c r="B1089" i="54"/>
  <c r="B1090" i="54"/>
  <c r="B1091" i="54"/>
  <c r="B1092" i="54"/>
  <c r="B1093" i="54"/>
  <c r="B1094" i="54"/>
  <c r="B1095" i="54"/>
  <c r="B1096" i="54"/>
  <c r="B1097" i="54"/>
  <c r="B1098" i="54"/>
  <c r="B1099" i="54"/>
  <c r="B1100" i="54"/>
  <c r="B1101" i="54"/>
  <c r="B1102" i="54"/>
  <c r="B1103" i="54"/>
  <c r="B1104" i="54"/>
  <c r="B2" i="54"/>
  <c r="F65" i="31" l="1"/>
  <c r="E27" i="42" a="1"/>
  <c r="E27" i="42" s="1"/>
  <c r="F27" i="42" a="1"/>
  <c r="F27" i="42" s="1"/>
  <c r="G27" i="42" a="1"/>
  <c r="G27" i="42" s="1"/>
  <c r="H27" i="42" a="1"/>
  <c r="H27" i="42" s="1"/>
  <c r="I27" i="42" a="1"/>
  <c r="I27" i="42" s="1"/>
  <c r="J27" i="42" a="1"/>
  <c r="J27" i="42" s="1"/>
  <c r="K27" i="42" a="1"/>
  <c r="K27" i="42" s="1"/>
  <c r="D27" i="42" a="1"/>
  <c r="D27" i="42" s="1"/>
  <c r="N1094" i="53" l="1"/>
  <c r="AP75" i="53"/>
  <c r="AO11" i="53" l="1"/>
  <c r="AT11" i="53" s="1"/>
  <c r="AV11" i="53"/>
  <c r="AD11" i="53"/>
  <c r="AJ11" i="53" s="1"/>
  <c r="AO5" i="53"/>
  <c r="AV5" i="53"/>
  <c r="AD5" i="53"/>
  <c r="AO6" i="53"/>
  <c r="AT6" i="53" s="1"/>
  <c r="AV6" i="53"/>
  <c r="AD6" i="53"/>
  <c r="AJ6" i="53" s="1"/>
  <c r="AO14" i="53"/>
  <c r="AT14" i="53" s="1"/>
  <c r="AV14" i="53"/>
  <c r="AD14" i="53"/>
  <c r="AJ14" i="53" s="1"/>
  <c r="AO12" i="53"/>
  <c r="AT12" i="53" s="1"/>
  <c r="AV12" i="53"/>
  <c r="AD12" i="53"/>
  <c r="AJ12" i="53" s="1"/>
  <c r="AV19" i="53"/>
  <c r="AO19" i="53"/>
  <c r="AT19" i="53" s="1"/>
  <c r="AD19" i="53"/>
  <c r="AJ19" i="53" s="1"/>
  <c r="R1100" i="53"/>
  <c r="R1102" i="53"/>
  <c r="AF3" i="53" l="1"/>
  <c r="AT5" i="53"/>
  <c r="AJ5" i="53"/>
  <c r="AP1094" i="53"/>
  <c r="AP11" i="53"/>
  <c r="AP12" i="53"/>
  <c r="AP13" i="53"/>
  <c r="AP14" i="53"/>
  <c r="AP15" i="53"/>
  <c r="AP16" i="53"/>
  <c r="AP17" i="53"/>
  <c r="AP18" i="53"/>
  <c r="AP19" i="53"/>
  <c r="AP20" i="53"/>
  <c r="AP21" i="53"/>
  <c r="AP22" i="53"/>
  <c r="AP23" i="53"/>
  <c r="AP24" i="53"/>
  <c r="AP25" i="53"/>
  <c r="AP26" i="53"/>
  <c r="AP27" i="53"/>
  <c r="AP28" i="53"/>
  <c r="AP29" i="53"/>
  <c r="AP30" i="53"/>
  <c r="AP31" i="53"/>
  <c r="AP32" i="53"/>
  <c r="AP33" i="53"/>
  <c r="AP34" i="53"/>
  <c r="AP35" i="53"/>
  <c r="AP36" i="53"/>
  <c r="AP37" i="53"/>
  <c r="AP38" i="53"/>
  <c r="AP39" i="53"/>
  <c r="AP40" i="53"/>
  <c r="AP41" i="53"/>
  <c r="AP42" i="53"/>
  <c r="AP43" i="53"/>
  <c r="AP44" i="53"/>
  <c r="AP45" i="53"/>
  <c r="AP46" i="53"/>
  <c r="AP47" i="53"/>
  <c r="AP48" i="53"/>
  <c r="AP49" i="53"/>
  <c r="AP50" i="53"/>
  <c r="AP51" i="53"/>
  <c r="AP52" i="53"/>
  <c r="AP53" i="53"/>
  <c r="AP54" i="53"/>
  <c r="AP55" i="53"/>
  <c r="AP56" i="53"/>
  <c r="AP57" i="53"/>
  <c r="AP58" i="53"/>
  <c r="AP59" i="53"/>
  <c r="AP60" i="53"/>
  <c r="AP61" i="53"/>
  <c r="AP62" i="53"/>
  <c r="AP63" i="53"/>
  <c r="AP64" i="53"/>
  <c r="AP65" i="53"/>
  <c r="AP66" i="53"/>
  <c r="AP67" i="53"/>
  <c r="AP68" i="53"/>
  <c r="AP69" i="53"/>
  <c r="AP70" i="53"/>
  <c r="AP71" i="53"/>
  <c r="AP72" i="53"/>
  <c r="AP73" i="53"/>
  <c r="AP74" i="53"/>
  <c r="AP76" i="53"/>
  <c r="AP77" i="53"/>
  <c r="AP78" i="53"/>
  <c r="AP79" i="53"/>
  <c r="AP80" i="53"/>
  <c r="AP81" i="53"/>
  <c r="AP82" i="53"/>
  <c r="AP83" i="53"/>
  <c r="AP84" i="53"/>
  <c r="AP85" i="53"/>
  <c r="AP86" i="53"/>
  <c r="AP87" i="53"/>
  <c r="AP88" i="53"/>
  <c r="AP89" i="53"/>
  <c r="AP90" i="53"/>
  <c r="AP91" i="53"/>
  <c r="AP92" i="53"/>
  <c r="AP93" i="53"/>
  <c r="AP94" i="53"/>
  <c r="AP95" i="53"/>
  <c r="AP96" i="53"/>
  <c r="AP97" i="53"/>
  <c r="AP98" i="53"/>
  <c r="AP99" i="53"/>
  <c r="AP100" i="53"/>
  <c r="AP101" i="53"/>
  <c r="AP102" i="53"/>
  <c r="AP103" i="53"/>
  <c r="AP104" i="53"/>
  <c r="AP105" i="53"/>
  <c r="AP106" i="53"/>
  <c r="AP107" i="53"/>
  <c r="AP108" i="53"/>
  <c r="AP109" i="53"/>
  <c r="AP110" i="53"/>
  <c r="AP111" i="53"/>
  <c r="AP112" i="53"/>
  <c r="AP113" i="53"/>
  <c r="AP114" i="53"/>
  <c r="AP115" i="53"/>
  <c r="AP116" i="53"/>
  <c r="AP117" i="53"/>
  <c r="AP118" i="53"/>
  <c r="AP119" i="53"/>
  <c r="AP120" i="53"/>
  <c r="AP121" i="53"/>
  <c r="AP122" i="53"/>
  <c r="AP123" i="53"/>
  <c r="AP124" i="53"/>
  <c r="AP125" i="53"/>
  <c r="AP126" i="53"/>
  <c r="AP127" i="53"/>
  <c r="AP128" i="53"/>
  <c r="AP129" i="53"/>
  <c r="AP130" i="53"/>
  <c r="AP131" i="53"/>
  <c r="AP132" i="53"/>
  <c r="AP133" i="53"/>
  <c r="AP134" i="53"/>
  <c r="AP135" i="53"/>
  <c r="AP136" i="53"/>
  <c r="AP137" i="53"/>
  <c r="AP138" i="53"/>
  <c r="AP139" i="53"/>
  <c r="AP140" i="53"/>
  <c r="AP141" i="53"/>
  <c r="AP142" i="53"/>
  <c r="AP143" i="53"/>
  <c r="AP144" i="53"/>
  <c r="AP145" i="53"/>
  <c r="AP146" i="53"/>
  <c r="AP147" i="53"/>
  <c r="AP148" i="53"/>
  <c r="AP149" i="53"/>
  <c r="AP150" i="53"/>
  <c r="AP151" i="53"/>
  <c r="AP152" i="53"/>
  <c r="AP153" i="53"/>
  <c r="AP154" i="53"/>
  <c r="AP155" i="53"/>
  <c r="AP156" i="53"/>
  <c r="AP157" i="53"/>
  <c r="AP158" i="53"/>
  <c r="AP159" i="53"/>
  <c r="AP160" i="53"/>
  <c r="AP161" i="53"/>
  <c r="AP162" i="53"/>
  <c r="AP163" i="53"/>
  <c r="AP164" i="53"/>
  <c r="AP165" i="53"/>
  <c r="AP166" i="53"/>
  <c r="AP167" i="53"/>
  <c r="AP168" i="53"/>
  <c r="AP169" i="53"/>
  <c r="AP170" i="53"/>
  <c r="AP171" i="53"/>
  <c r="AP172" i="53"/>
  <c r="AP173" i="53"/>
  <c r="AP174" i="53"/>
  <c r="AP175" i="53"/>
  <c r="AP176" i="53"/>
  <c r="AP177" i="53"/>
  <c r="AP178" i="53"/>
  <c r="AP179" i="53"/>
  <c r="AP180" i="53"/>
  <c r="AP181" i="53"/>
  <c r="AP182" i="53"/>
  <c r="AP183" i="53"/>
  <c r="AP184" i="53"/>
  <c r="AP185" i="53"/>
  <c r="AP186" i="53"/>
  <c r="AP187" i="53"/>
  <c r="AP188" i="53"/>
  <c r="AP189" i="53"/>
  <c r="AP190" i="53"/>
  <c r="AP191" i="53"/>
  <c r="AP192" i="53"/>
  <c r="AP193" i="53"/>
  <c r="AP194" i="53"/>
  <c r="AP195" i="53"/>
  <c r="AP196" i="53"/>
  <c r="AP197" i="53"/>
  <c r="AP198" i="53"/>
  <c r="AP199" i="53"/>
  <c r="AP200" i="53"/>
  <c r="AP201" i="53"/>
  <c r="AP202" i="53"/>
  <c r="AP203" i="53"/>
  <c r="AP204" i="53"/>
  <c r="AP205" i="53"/>
  <c r="AP206" i="53"/>
  <c r="AP207" i="53"/>
  <c r="AP208" i="53"/>
  <c r="AP209" i="53"/>
  <c r="AP210" i="53"/>
  <c r="AP211" i="53"/>
  <c r="AP212" i="53"/>
  <c r="AP213" i="53"/>
  <c r="AP214" i="53"/>
  <c r="AP215" i="53"/>
  <c r="AP216" i="53"/>
  <c r="AP217" i="53"/>
  <c r="AP218" i="53"/>
  <c r="AP219" i="53"/>
  <c r="AP220" i="53"/>
  <c r="AP221" i="53"/>
  <c r="AP222" i="53"/>
  <c r="AP223" i="53"/>
  <c r="AP224" i="53"/>
  <c r="AP225" i="53"/>
  <c r="AP226" i="53"/>
  <c r="AP227" i="53"/>
  <c r="AP228" i="53"/>
  <c r="AP229" i="53"/>
  <c r="AP230" i="53"/>
  <c r="AP231" i="53"/>
  <c r="AP232" i="53"/>
  <c r="AP233" i="53"/>
  <c r="AP234" i="53"/>
  <c r="AP235" i="53"/>
  <c r="AP236" i="53"/>
  <c r="AP237" i="53"/>
  <c r="AP238" i="53"/>
  <c r="AP239" i="53"/>
  <c r="AP240" i="53"/>
  <c r="AP241" i="53"/>
  <c r="AP242" i="53"/>
  <c r="AP243" i="53"/>
  <c r="AP244" i="53"/>
  <c r="AP245" i="53"/>
  <c r="AP246" i="53"/>
  <c r="AP247" i="53"/>
  <c r="AP248" i="53"/>
  <c r="AP249" i="53"/>
  <c r="AP250" i="53"/>
  <c r="AP251" i="53"/>
  <c r="AP252" i="53"/>
  <c r="AP253" i="53"/>
  <c r="AP254" i="53"/>
  <c r="AP255" i="53"/>
  <c r="AP256" i="53"/>
  <c r="AP257" i="53"/>
  <c r="AP258" i="53"/>
  <c r="AP259" i="53"/>
  <c r="AP260" i="53"/>
  <c r="AP261" i="53"/>
  <c r="AP262" i="53"/>
  <c r="AP263" i="53"/>
  <c r="AP264" i="53"/>
  <c r="AP265" i="53"/>
  <c r="AP266" i="53"/>
  <c r="AP267" i="53"/>
  <c r="AP268" i="53"/>
  <c r="AP269" i="53"/>
  <c r="AP270" i="53"/>
  <c r="AP271" i="53"/>
  <c r="AP272" i="53"/>
  <c r="AP273" i="53"/>
  <c r="AP274" i="53"/>
  <c r="AP275" i="53"/>
  <c r="AP276" i="53"/>
  <c r="AP277" i="53"/>
  <c r="AP278" i="53"/>
  <c r="AP279" i="53"/>
  <c r="AP280" i="53"/>
  <c r="AP281" i="53"/>
  <c r="AP282" i="53"/>
  <c r="AP283" i="53"/>
  <c r="AP284" i="53"/>
  <c r="AP285" i="53"/>
  <c r="AP286" i="53"/>
  <c r="AP287" i="53"/>
  <c r="AP288" i="53"/>
  <c r="AP289" i="53"/>
  <c r="AP290" i="53"/>
  <c r="AP291" i="53"/>
  <c r="AP292" i="53"/>
  <c r="AP293" i="53"/>
  <c r="AP294" i="53"/>
  <c r="AP295" i="53"/>
  <c r="AP296" i="53"/>
  <c r="AP297" i="53"/>
  <c r="AP298" i="53"/>
  <c r="AP299" i="53"/>
  <c r="AP300" i="53"/>
  <c r="AP301" i="53"/>
  <c r="AP302" i="53"/>
  <c r="AP303" i="53"/>
  <c r="AP304" i="53"/>
  <c r="AP305" i="53"/>
  <c r="AP306" i="53"/>
  <c r="AP307" i="53"/>
  <c r="AP308" i="53"/>
  <c r="AP309" i="53"/>
  <c r="AP310" i="53"/>
  <c r="AP311" i="53"/>
  <c r="AP312" i="53"/>
  <c r="AP313" i="53"/>
  <c r="AP314" i="53"/>
  <c r="AP315" i="53"/>
  <c r="AP316" i="53"/>
  <c r="AP317" i="53"/>
  <c r="AP318" i="53"/>
  <c r="AP319" i="53"/>
  <c r="AP320" i="53"/>
  <c r="AP321" i="53"/>
  <c r="AP322" i="53"/>
  <c r="AP323" i="53"/>
  <c r="AP324" i="53"/>
  <c r="AP325" i="53"/>
  <c r="AP326" i="53"/>
  <c r="AP327" i="53"/>
  <c r="AP328" i="53"/>
  <c r="AP329" i="53"/>
  <c r="AP330" i="53"/>
  <c r="AP331" i="53"/>
  <c r="AP332" i="53"/>
  <c r="AP333" i="53"/>
  <c r="AP334" i="53"/>
  <c r="AP335" i="53"/>
  <c r="AP336" i="53"/>
  <c r="AP337" i="53"/>
  <c r="AP338" i="53"/>
  <c r="AP339" i="53"/>
  <c r="AP340" i="53"/>
  <c r="AP341" i="53"/>
  <c r="AP342" i="53"/>
  <c r="AP343" i="53"/>
  <c r="AP344" i="53"/>
  <c r="AP345" i="53"/>
  <c r="AP346" i="53"/>
  <c r="AP347" i="53"/>
  <c r="AP348" i="53"/>
  <c r="AP349" i="53"/>
  <c r="AP350" i="53"/>
  <c r="AP351" i="53"/>
  <c r="AP352" i="53"/>
  <c r="AP353" i="53"/>
  <c r="AP354" i="53"/>
  <c r="AP355" i="53"/>
  <c r="AP356" i="53"/>
  <c r="AP357" i="53"/>
  <c r="AP358" i="53"/>
  <c r="AP359" i="53"/>
  <c r="AP360" i="53"/>
  <c r="AP361" i="53"/>
  <c r="AP362" i="53"/>
  <c r="AP363" i="53"/>
  <c r="AP364" i="53"/>
  <c r="AP365" i="53"/>
  <c r="AP366" i="53"/>
  <c r="AP367" i="53"/>
  <c r="AP368" i="53"/>
  <c r="AP369" i="53"/>
  <c r="AP370" i="53"/>
  <c r="AP371" i="53"/>
  <c r="AP372" i="53"/>
  <c r="AP373" i="53"/>
  <c r="AP374" i="53"/>
  <c r="AP375" i="53"/>
  <c r="AP376" i="53"/>
  <c r="AP377" i="53"/>
  <c r="AP378" i="53"/>
  <c r="AP379" i="53"/>
  <c r="AP380" i="53"/>
  <c r="AP381" i="53"/>
  <c r="AP382" i="53"/>
  <c r="AP383" i="53"/>
  <c r="AP384" i="53"/>
  <c r="AP385" i="53"/>
  <c r="AP386" i="53"/>
  <c r="AP387" i="53"/>
  <c r="AP388" i="53"/>
  <c r="AP389" i="53"/>
  <c r="AP390" i="53"/>
  <c r="AP391" i="53"/>
  <c r="AP392" i="53"/>
  <c r="AP393" i="53"/>
  <c r="AP394" i="53"/>
  <c r="AP395" i="53"/>
  <c r="AP396" i="53"/>
  <c r="AP397" i="53"/>
  <c r="AP398" i="53"/>
  <c r="AP399" i="53"/>
  <c r="AP400" i="53"/>
  <c r="AP401" i="53"/>
  <c r="AP402" i="53"/>
  <c r="AP403" i="53"/>
  <c r="AP404" i="53"/>
  <c r="AP405" i="53"/>
  <c r="AP406" i="53"/>
  <c r="AP407" i="53"/>
  <c r="AP408" i="53"/>
  <c r="AP409" i="53"/>
  <c r="AP410" i="53"/>
  <c r="AP411" i="53"/>
  <c r="AP412" i="53"/>
  <c r="AP413" i="53"/>
  <c r="AP414" i="53"/>
  <c r="AP415" i="53"/>
  <c r="AP416" i="53"/>
  <c r="AP417" i="53"/>
  <c r="AP418" i="53"/>
  <c r="AP419" i="53"/>
  <c r="AP420" i="53"/>
  <c r="AP421" i="53"/>
  <c r="AP422" i="53"/>
  <c r="AP423" i="53"/>
  <c r="AP424" i="53"/>
  <c r="AP425" i="53"/>
  <c r="AP426" i="53"/>
  <c r="AP427" i="53"/>
  <c r="AP428" i="53"/>
  <c r="AP429" i="53"/>
  <c r="AP430" i="53"/>
  <c r="AP431" i="53"/>
  <c r="AP432" i="53"/>
  <c r="AP433" i="53"/>
  <c r="AP434" i="53"/>
  <c r="AP435" i="53"/>
  <c r="AP436" i="53"/>
  <c r="AP437" i="53"/>
  <c r="AP438" i="53"/>
  <c r="AP439" i="53"/>
  <c r="AP440" i="53"/>
  <c r="AP441" i="53"/>
  <c r="AP442" i="53"/>
  <c r="AP443" i="53"/>
  <c r="AP444" i="53"/>
  <c r="AP445" i="53"/>
  <c r="AP446" i="53"/>
  <c r="AP447" i="53"/>
  <c r="AP448" i="53"/>
  <c r="AP449" i="53"/>
  <c r="AP450" i="53"/>
  <c r="AP451" i="53"/>
  <c r="AP452" i="53"/>
  <c r="AP453" i="53"/>
  <c r="AP454" i="53"/>
  <c r="AP455" i="53"/>
  <c r="AP456" i="53"/>
  <c r="AP457" i="53"/>
  <c r="AP458" i="53"/>
  <c r="AP459" i="53"/>
  <c r="AP460" i="53"/>
  <c r="AP461" i="53"/>
  <c r="AP462" i="53"/>
  <c r="AP463" i="53"/>
  <c r="AP464" i="53"/>
  <c r="AP465" i="53"/>
  <c r="AP466" i="53"/>
  <c r="AP467" i="53"/>
  <c r="AP468" i="53"/>
  <c r="AP469" i="53"/>
  <c r="AP470" i="53"/>
  <c r="AP471" i="53"/>
  <c r="AP472" i="53"/>
  <c r="AP473" i="53"/>
  <c r="AP474" i="53"/>
  <c r="AP475" i="53"/>
  <c r="AP476" i="53"/>
  <c r="AP477" i="53"/>
  <c r="AP478" i="53"/>
  <c r="AP479" i="53"/>
  <c r="AP480" i="53"/>
  <c r="AP481" i="53"/>
  <c r="AP482" i="53"/>
  <c r="AP483" i="53"/>
  <c r="AP484" i="53"/>
  <c r="AP485" i="53"/>
  <c r="AP486" i="53"/>
  <c r="AP487" i="53"/>
  <c r="AP488" i="53"/>
  <c r="AP489" i="53"/>
  <c r="AP490" i="53"/>
  <c r="AP491" i="53"/>
  <c r="AP492" i="53"/>
  <c r="AP493" i="53"/>
  <c r="AP494" i="53"/>
  <c r="AP495" i="53"/>
  <c r="AP496" i="53"/>
  <c r="AP497" i="53"/>
  <c r="AP498" i="53"/>
  <c r="AP499" i="53"/>
  <c r="AP500" i="53"/>
  <c r="AP501" i="53"/>
  <c r="AP502" i="53"/>
  <c r="AP503" i="53"/>
  <c r="AP504" i="53"/>
  <c r="AP505" i="53"/>
  <c r="AP506" i="53"/>
  <c r="AP507" i="53"/>
  <c r="AP508" i="53"/>
  <c r="AP509" i="53"/>
  <c r="AP510" i="53"/>
  <c r="AP511" i="53"/>
  <c r="AP512" i="53"/>
  <c r="AP513" i="53"/>
  <c r="AP514" i="53"/>
  <c r="AP515" i="53"/>
  <c r="AP516" i="53"/>
  <c r="AP517" i="53"/>
  <c r="AP518" i="53"/>
  <c r="AP519" i="53"/>
  <c r="AP520" i="53"/>
  <c r="AP521" i="53"/>
  <c r="AP522" i="53"/>
  <c r="AP523" i="53"/>
  <c r="AP524" i="53"/>
  <c r="AP525" i="53"/>
  <c r="AP526" i="53"/>
  <c r="AP527" i="53"/>
  <c r="AP528" i="53"/>
  <c r="AP529" i="53"/>
  <c r="AP530" i="53"/>
  <c r="AP531" i="53"/>
  <c r="AP532" i="53"/>
  <c r="AP533" i="53"/>
  <c r="AP534" i="53"/>
  <c r="AP535" i="53"/>
  <c r="AP536" i="53"/>
  <c r="AP537" i="53"/>
  <c r="AP538" i="53"/>
  <c r="AP539" i="53"/>
  <c r="AP540" i="53"/>
  <c r="AP541" i="53"/>
  <c r="AP542" i="53"/>
  <c r="AP543" i="53"/>
  <c r="AP544" i="53"/>
  <c r="AP545" i="53"/>
  <c r="AP546" i="53"/>
  <c r="AP547" i="53"/>
  <c r="AP548" i="53"/>
  <c r="AP549" i="53"/>
  <c r="AP550" i="53"/>
  <c r="AP551" i="53"/>
  <c r="AP552" i="53"/>
  <c r="AP553" i="53"/>
  <c r="AP554" i="53"/>
  <c r="AP555" i="53"/>
  <c r="AP556" i="53"/>
  <c r="AP557" i="53"/>
  <c r="AP558" i="53"/>
  <c r="AP559" i="53"/>
  <c r="AP560" i="53"/>
  <c r="AP561" i="53"/>
  <c r="AP562" i="53"/>
  <c r="AP563" i="53"/>
  <c r="AP564" i="53"/>
  <c r="AP565" i="53"/>
  <c r="AP566" i="53"/>
  <c r="AP567" i="53"/>
  <c r="AP568" i="53"/>
  <c r="AP569" i="53"/>
  <c r="AP570" i="53"/>
  <c r="AP571" i="53"/>
  <c r="AP572" i="53"/>
  <c r="AP573" i="53"/>
  <c r="AP574" i="53"/>
  <c r="AP575" i="53"/>
  <c r="AP576" i="53"/>
  <c r="AP577" i="53"/>
  <c r="AP578" i="53"/>
  <c r="AP579" i="53"/>
  <c r="AP580" i="53"/>
  <c r="AP581" i="53"/>
  <c r="AP582" i="53"/>
  <c r="AP583" i="53"/>
  <c r="AP584" i="53"/>
  <c r="AP585" i="53"/>
  <c r="AP586" i="53"/>
  <c r="AP587" i="53"/>
  <c r="AP588" i="53"/>
  <c r="AP589" i="53"/>
  <c r="AP590" i="53"/>
  <c r="AP591" i="53"/>
  <c r="AP592" i="53"/>
  <c r="AP593" i="53"/>
  <c r="AP594" i="53"/>
  <c r="AP595" i="53"/>
  <c r="AP596" i="53"/>
  <c r="AP597" i="53"/>
  <c r="AP598" i="53"/>
  <c r="AP599" i="53"/>
  <c r="AP600" i="53"/>
  <c r="AP601" i="53"/>
  <c r="AP602" i="53"/>
  <c r="AP603" i="53"/>
  <c r="AP604" i="53"/>
  <c r="AP605" i="53"/>
  <c r="AP606" i="53"/>
  <c r="AP607" i="53"/>
  <c r="AP608" i="53"/>
  <c r="AP609" i="53"/>
  <c r="AP610" i="53"/>
  <c r="AP611" i="53"/>
  <c r="AP612" i="53"/>
  <c r="AP613" i="53"/>
  <c r="AP614" i="53"/>
  <c r="AP615" i="53"/>
  <c r="AP616" i="53"/>
  <c r="AP617" i="53"/>
  <c r="AP618" i="53"/>
  <c r="AP619" i="53"/>
  <c r="AP620" i="53"/>
  <c r="AP621" i="53"/>
  <c r="AP622" i="53"/>
  <c r="AP623" i="53"/>
  <c r="AP624" i="53"/>
  <c r="AP625" i="53"/>
  <c r="AP626" i="53"/>
  <c r="AP627" i="53"/>
  <c r="AP628" i="53"/>
  <c r="AP629" i="53"/>
  <c r="AP630" i="53"/>
  <c r="AP631" i="53"/>
  <c r="AP632" i="53"/>
  <c r="AP633" i="53"/>
  <c r="AP634" i="53"/>
  <c r="AP635" i="53"/>
  <c r="AP636" i="53"/>
  <c r="AP637" i="53"/>
  <c r="AP638" i="53"/>
  <c r="AP639" i="53"/>
  <c r="AP640" i="53"/>
  <c r="AP641" i="53"/>
  <c r="AP642" i="53"/>
  <c r="AP643" i="53"/>
  <c r="AP644" i="53"/>
  <c r="AP645" i="53"/>
  <c r="AP646" i="53"/>
  <c r="AP647" i="53"/>
  <c r="AP648" i="53"/>
  <c r="AP649" i="53"/>
  <c r="AP650" i="53"/>
  <c r="AP651" i="53"/>
  <c r="AP652" i="53"/>
  <c r="AP653" i="53"/>
  <c r="AP654" i="53"/>
  <c r="AP655" i="53"/>
  <c r="AP656" i="53"/>
  <c r="AP657" i="53"/>
  <c r="AP658" i="53"/>
  <c r="AP659" i="53"/>
  <c r="AP660" i="53"/>
  <c r="AP661" i="53"/>
  <c r="AP662" i="53"/>
  <c r="AP663" i="53"/>
  <c r="AP664" i="53"/>
  <c r="AP665" i="53"/>
  <c r="AP666" i="53"/>
  <c r="AP667" i="53"/>
  <c r="AP668" i="53"/>
  <c r="AP669" i="53"/>
  <c r="AP670" i="53"/>
  <c r="AP671" i="53"/>
  <c r="AP672" i="53"/>
  <c r="AP673" i="53"/>
  <c r="AP674" i="53"/>
  <c r="AP675" i="53"/>
  <c r="AP676" i="53"/>
  <c r="AP677" i="53"/>
  <c r="AP678" i="53"/>
  <c r="AP679" i="53"/>
  <c r="AP680" i="53"/>
  <c r="AP681" i="53"/>
  <c r="AP682" i="53"/>
  <c r="AP683" i="53"/>
  <c r="AP684" i="53"/>
  <c r="AP685" i="53"/>
  <c r="AP686" i="53"/>
  <c r="AP687" i="53"/>
  <c r="AP688" i="53"/>
  <c r="AP689" i="53"/>
  <c r="AP690" i="53"/>
  <c r="AP691" i="53"/>
  <c r="AP692" i="53"/>
  <c r="AP693" i="53"/>
  <c r="AP694" i="53"/>
  <c r="AP695" i="53"/>
  <c r="AP696" i="53"/>
  <c r="AP697" i="53"/>
  <c r="AP698" i="53"/>
  <c r="AP699" i="53"/>
  <c r="AP700" i="53"/>
  <c r="AP701" i="53"/>
  <c r="AP702" i="53"/>
  <c r="AP703" i="53"/>
  <c r="AP704" i="53"/>
  <c r="AP705" i="53"/>
  <c r="AP706" i="53"/>
  <c r="AP707" i="53"/>
  <c r="AP708" i="53"/>
  <c r="AP709" i="53"/>
  <c r="AP710" i="53"/>
  <c r="AP711" i="53"/>
  <c r="AP712" i="53"/>
  <c r="AP713" i="53"/>
  <c r="AP714" i="53"/>
  <c r="AP715" i="53"/>
  <c r="AP716" i="53"/>
  <c r="AP717" i="53"/>
  <c r="AP718" i="53"/>
  <c r="AP719" i="53"/>
  <c r="AP720" i="53"/>
  <c r="AP721" i="53"/>
  <c r="AP722" i="53"/>
  <c r="AP723" i="53"/>
  <c r="AP724" i="53"/>
  <c r="AP725" i="53"/>
  <c r="AP726" i="53"/>
  <c r="AP727" i="53"/>
  <c r="AP728" i="53"/>
  <c r="AP729" i="53"/>
  <c r="AP730" i="53"/>
  <c r="AP731" i="53"/>
  <c r="AP732" i="53"/>
  <c r="AP733" i="53"/>
  <c r="AP734" i="53"/>
  <c r="AP735" i="53"/>
  <c r="AP736" i="53"/>
  <c r="AP737" i="53"/>
  <c r="AP738" i="53"/>
  <c r="AP739" i="53"/>
  <c r="AP740" i="53"/>
  <c r="AP741" i="53"/>
  <c r="AP742" i="53"/>
  <c r="AP743" i="53"/>
  <c r="AP744" i="53"/>
  <c r="AP745" i="53"/>
  <c r="AP746" i="53"/>
  <c r="AP747" i="53"/>
  <c r="AP748" i="53"/>
  <c r="AP749" i="53"/>
  <c r="AP750" i="53"/>
  <c r="AP751" i="53"/>
  <c r="AP752" i="53"/>
  <c r="AP753" i="53"/>
  <c r="AP754" i="53"/>
  <c r="AP755" i="53"/>
  <c r="AP756" i="53"/>
  <c r="AP757" i="53"/>
  <c r="AP758" i="53"/>
  <c r="AP759" i="53"/>
  <c r="AP760" i="53"/>
  <c r="AP761" i="53"/>
  <c r="AP762" i="53"/>
  <c r="AP763" i="53"/>
  <c r="AP764" i="53"/>
  <c r="AP765" i="53"/>
  <c r="AP766" i="53"/>
  <c r="AP767" i="53"/>
  <c r="AP768" i="53"/>
  <c r="AP769" i="53"/>
  <c r="AP770" i="53"/>
  <c r="AP771" i="53"/>
  <c r="AP772" i="53"/>
  <c r="AP773" i="53"/>
  <c r="AP774" i="53"/>
  <c r="AP775" i="53"/>
  <c r="AP776" i="53"/>
  <c r="AP777" i="53"/>
  <c r="AP778" i="53"/>
  <c r="AP779" i="53"/>
  <c r="AP780" i="53"/>
  <c r="AP781" i="53"/>
  <c r="AP782" i="53"/>
  <c r="AP783" i="53"/>
  <c r="AP784" i="53"/>
  <c r="AP785" i="53"/>
  <c r="AP786" i="53"/>
  <c r="AP787" i="53"/>
  <c r="AP788" i="53"/>
  <c r="AP789" i="53"/>
  <c r="AP790" i="53"/>
  <c r="AP791" i="53"/>
  <c r="AP792" i="53"/>
  <c r="AP793" i="53"/>
  <c r="AP794" i="53"/>
  <c r="AP795" i="53"/>
  <c r="AP796" i="53"/>
  <c r="AP797" i="53"/>
  <c r="AP798" i="53"/>
  <c r="AP799" i="53"/>
  <c r="AP800" i="53"/>
  <c r="AP801" i="53"/>
  <c r="AP802" i="53"/>
  <c r="AP803" i="53"/>
  <c r="AP804" i="53"/>
  <c r="AP805" i="53"/>
  <c r="AP806" i="53"/>
  <c r="AP807" i="53"/>
  <c r="AP808" i="53"/>
  <c r="AP809" i="53"/>
  <c r="AP810" i="53"/>
  <c r="AP811" i="53"/>
  <c r="AP812" i="53"/>
  <c r="AP813" i="53"/>
  <c r="AP814" i="53"/>
  <c r="AP815" i="53"/>
  <c r="AP816" i="53"/>
  <c r="AP817" i="53"/>
  <c r="AP818" i="53"/>
  <c r="AP819" i="53"/>
  <c r="AP820" i="53"/>
  <c r="AP821" i="53"/>
  <c r="AP822" i="53"/>
  <c r="AP823" i="53"/>
  <c r="AP824" i="53"/>
  <c r="AP825" i="53"/>
  <c r="AP826" i="53"/>
  <c r="AP827" i="53"/>
  <c r="AP828" i="53"/>
  <c r="AP829" i="53"/>
  <c r="AP830" i="53"/>
  <c r="AP831" i="53"/>
  <c r="AP832" i="53"/>
  <c r="AP833" i="53"/>
  <c r="AP834" i="53"/>
  <c r="AP835" i="53"/>
  <c r="AP836" i="53"/>
  <c r="AP837" i="53"/>
  <c r="AP838" i="53"/>
  <c r="AP839" i="53"/>
  <c r="AP840" i="53"/>
  <c r="AP841" i="53"/>
  <c r="AP842" i="53"/>
  <c r="AP843" i="53"/>
  <c r="AP844" i="53"/>
  <c r="AP845" i="53"/>
  <c r="AP846" i="53"/>
  <c r="AP847" i="53"/>
  <c r="AP848" i="53"/>
  <c r="AP849" i="53"/>
  <c r="AP850" i="53"/>
  <c r="AP851" i="53"/>
  <c r="AP852" i="53"/>
  <c r="AP853" i="53"/>
  <c r="AP854" i="53"/>
  <c r="AP855" i="53"/>
  <c r="AP856" i="53"/>
  <c r="AP857" i="53"/>
  <c r="AP858" i="53"/>
  <c r="AP859" i="53"/>
  <c r="AP860" i="53"/>
  <c r="AP861" i="53"/>
  <c r="AP862" i="53"/>
  <c r="AP863" i="53"/>
  <c r="AP864" i="53"/>
  <c r="AP865" i="53"/>
  <c r="AP866" i="53"/>
  <c r="AP867" i="53"/>
  <c r="AP868" i="53"/>
  <c r="AP869" i="53"/>
  <c r="AP870" i="53"/>
  <c r="AP871" i="53"/>
  <c r="AP872" i="53"/>
  <c r="AP873" i="53"/>
  <c r="AP874" i="53"/>
  <c r="AP875" i="53"/>
  <c r="AP876" i="53"/>
  <c r="AP877" i="53"/>
  <c r="AP878" i="53"/>
  <c r="AP879" i="53"/>
  <c r="AP880" i="53"/>
  <c r="AP881" i="53"/>
  <c r="AP882" i="53"/>
  <c r="AP883" i="53"/>
  <c r="AP884" i="53"/>
  <c r="AP885" i="53"/>
  <c r="AP886" i="53"/>
  <c r="AP887" i="53"/>
  <c r="AP888" i="53"/>
  <c r="AP889" i="53"/>
  <c r="AP890" i="53"/>
  <c r="AP891" i="53"/>
  <c r="AP892" i="53"/>
  <c r="AP893" i="53"/>
  <c r="AP894" i="53"/>
  <c r="AP895" i="53"/>
  <c r="AP896" i="53"/>
  <c r="AP897" i="53"/>
  <c r="AP898" i="53"/>
  <c r="AP899" i="53"/>
  <c r="AP900" i="53"/>
  <c r="AP901" i="53"/>
  <c r="AP902" i="53"/>
  <c r="AP903" i="53"/>
  <c r="AP904" i="53"/>
  <c r="AP905" i="53"/>
  <c r="AP906" i="53"/>
  <c r="AP907" i="53"/>
  <c r="AP908" i="53"/>
  <c r="AP909" i="53"/>
  <c r="AP910" i="53"/>
  <c r="AP911" i="53"/>
  <c r="AP912" i="53"/>
  <c r="AP913" i="53"/>
  <c r="AP914" i="53"/>
  <c r="AP915" i="53"/>
  <c r="AP916" i="53"/>
  <c r="AP917" i="53"/>
  <c r="AP918" i="53"/>
  <c r="AP919" i="53"/>
  <c r="AP920" i="53"/>
  <c r="AP921" i="53"/>
  <c r="AP922" i="53"/>
  <c r="AP923" i="53"/>
  <c r="AP924" i="53"/>
  <c r="AP925" i="53"/>
  <c r="AP926" i="53"/>
  <c r="AP927" i="53"/>
  <c r="AP928" i="53"/>
  <c r="AP929" i="53"/>
  <c r="AP930" i="53"/>
  <c r="AP931" i="53"/>
  <c r="AP932" i="53"/>
  <c r="AP933" i="53"/>
  <c r="AP934" i="53"/>
  <c r="AP935" i="53"/>
  <c r="AP936" i="53"/>
  <c r="AP937" i="53"/>
  <c r="AP938" i="53"/>
  <c r="AP939" i="53"/>
  <c r="AP940" i="53"/>
  <c r="AP941" i="53"/>
  <c r="AP942" i="53"/>
  <c r="AP943" i="53"/>
  <c r="AP944" i="53"/>
  <c r="AP945" i="53"/>
  <c r="AP946" i="53"/>
  <c r="AP947" i="53"/>
  <c r="AP948" i="53"/>
  <c r="AP949" i="53"/>
  <c r="AP950" i="53"/>
  <c r="AP951" i="53"/>
  <c r="AP952" i="53"/>
  <c r="AP953" i="53"/>
  <c r="AP954" i="53"/>
  <c r="AP955" i="53"/>
  <c r="AP956" i="53"/>
  <c r="AP957" i="53"/>
  <c r="AP958" i="53"/>
  <c r="AP959" i="53"/>
  <c r="AP960" i="53"/>
  <c r="AP961" i="53"/>
  <c r="AP962" i="53"/>
  <c r="AP963" i="53"/>
  <c r="AP964" i="53"/>
  <c r="AP965" i="53"/>
  <c r="AP966" i="53"/>
  <c r="AP967" i="53"/>
  <c r="AP968" i="53"/>
  <c r="AP969" i="53"/>
  <c r="AP970" i="53"/>
  <c r="AP971" i="53"/>
  <c r="AP972" i="53"/>
  <c r="AP973" i="53"/>
  <c r="AP974" i="53"/>
  <c r="AP975" i="53"/>
  <c r="AP976" i="53"/>
  <c r="AP977" i="53"/>
  <c r="AP978" i="53"/>
  <c r="AP979" i="53"/>
  <c r="AP980" i="53"/>
  <c r="AP981" i="53"/>
  <c r="AP982" i="53"/>
  <c r="AP983" i="53"/>
  <c r="AP984" i="53"/>
  <c r="AP985" i="53"/>
  <c r="AP986" i="53"/>
  <c r="AP987" i="53"/>
  <c r="AP988" i="53"/>
  <c r="AP989" i="53"/>
  <c r="AP990" i="53"/>
  <c r="AP991" i="53"/>
  <c r="AP992" i="53"/>
  <c r="AP993" i="53"/>
  <c r="AP994" i="53"/>
  <c r="AP995" i="53"/>
  <c r="AP996" i="53"/>
  <c r="AP997" i="53"/>
  <c r="AP998" i="53"/>
  <c r="AP999" i="53"/>
  <c r="AP1000" i="53"/>
  <c r="AP1001" i="53"/>
  <c r="AP1002" i="53"/>
  <c r="AP1003" i="53"/>
  <c r="AP1004" i="53"/>
  <c r="AP1005" i="53"/>
  <c r="AP1006" i="53"/>
  <c r="AP1007" i="53"/>
  <c r="AP1008" i="53"/>
  <c r="AP1009" i="53"/>
  <c r="AP1010" i="53"/>
  <c r="AP1011" i="53"/>
  <c r="AP1012" i="53"/>
  <c r="AP1013" i="53"/>
  <c r="AP1014" i="53"/>
  <c r="AP1015" i="53"/>
  <c r="AP1016" i="53"/>
  <c r="AP1017" i="53"/>
  <c r="AP1018" i="53"/>
  <c r="AP1019" i="53"/>
  <c r="AP1020" i="53"/>
  <c r="AP1021" i="53"/>
  <c r="AP1022" i="53"/>
  <c r="AP1023" i="53"/>
  <c r="AP1024" i="53"/>
  <c r="AP1025" i="53"/>
  <c r="AP1026" i="53"/>
  <c r="AP1027" i="53"/>
  <c r="AP1028" i="53"/>
  <c r="AP1029" i="53"/>
  <c r="AP1030" i="53"/>
  <c r="AP1031" i="53"/>
  <c r="AP1032" i="53"/>
  <c r="AP1033" i="53"/>
  <c r="AP1034" i="53"/>
  <c r="AP1035" i="53"/>
  <c r="AP1036" i="53"/>
  <c r="AP1037" i="53"/>
  <c r="AP1038" i="53"/>
  <c r="AP1039" i="53"/>
  <c r="AP1040" i="53"/>
  <c r="AP1041" i="53"/>
  <c r="AP1042" i="53"/>
  <c r="AP1043" i="53"/>
  <c r="AP1044" i="53"/>
  <c r="AP1045" i="53"/>
  <c r="AP1046" i="53"/>
  <c r="AP1047" i="53"/>
  <c r="AP1048" i="53"/>
  <c r="AP1049" i="53"/>
  <c r="AP1050" i="53"/>
  <c r="AP1051" i="53"/>
  <c r="AP1052" i="53"/>
  <c r="AP1053" i="53"/>
  <c r="AP1054" i="53"/>
  <c r="AP1055" i="53"/>
  <c r="AP1056" i="53"/>
  <c r="AP1057" i="53"/>
  <c r="AP1058" i="53"/>
  <c r="AP1059" i="53"/>
  <c r="AP1060" i="53"/>
  <c r="AP1061" i="53"/>
  <c r="AP1062" i="53"/>
  <c r="AP1063" i="53"/>
  <c r="AP1064" i="53"/>
  <c r="AP1065" i="53"/>
  <c r="AP1066" i="53"/>
  <c r="AP1067" i="53"/>
  <c r="AP1068" i="53"/>
  <c r="AP1069" i="53"/>
  <c r="AP1070" i="53"/>
  <c r="AP1071" i="53"/>
  <c r="AP1072" i="53"/>
  <c r="AP1073" i="53"/>
  <c r="AP1074" i="53"/>
  <c r="AP1075" i="53"/>
  <c r="AP1076" i="53"/>
  <c r="AP1077" i="53"/>
  <c r="AP1078" i="53"/>
  <c r="AP1079" i="53"/>
  <c r="AP1080" i="53"/>
  <c r="AP1081" i="53"/>
  <c r="AP1082" i="53"/>
  <c r="AP1083" i="53"/>
  <c r="AP1084" i="53"/>
  <c r="AP1085" i="53"/>
  <c r="AP1086" i="53"/>
  <c r="AP1087" i="53"/>
  <c r="AP1088" i="53"/>
  <c r="AP1089" i="53"/>
  <c r="AP1090" i="53"/>
  <c r="AP1091" i="53"/>
  <c r="AP1092" i="53"/>
  <c r="AP1093" i="53"/>
  <c r="AP1095" i="53"/>
  <c r="AP1096" i="53"/>
  <c r="AP1097" i="53"/>
  <c r="AP1098" i="53"/>
  <c r="AP1099" i="53"/>
  <c r="AP1100" i="53"/>
  <c r="AP1101" i="53"/>
  <c r="AP1102" i="53"/>
  <c r="AP1103" i="53"/>
  <c r="AP1104" i="53"/>
  <c r="AP1105" i="53"/>
  <c r="AP4" i="53"/>
  <c r="AP5" i="53"/>
  <c r="AP6" i="53"/>
  <c r="AP7" i="53"/>
  <c r="AP8" i="53"/>
  <c r="AP9" i="53"/>
  <c r="AP10" i="53"/>
  <c r="F15" i="10"/>
  <c r="F16" i="10"/>
  <c r="F17" i="10"/>
  <c r="F18" i="10"/>
  <c r="F19" i="10"/>
  <c r="E16" i="10"/>
  <c r="E17" i="10"/>
  <c r="E18" i="10"/>
  <c r="E19" i="10"/>
  <c r="E15" i="10"/>
  <c r="F10" i="42" l="1"/>
  <c r="E8" i="42"/>
  <c r="F8" i="42"/>
  <c r="G8" i="42"/>
  <c r="H8" i="42"/>
  <c r="I8" i="42"/>
  <c r="J8" i="42"/>
  <c r="K8" i="42"/>
  <c r="E9" i="42"/>
  <c r="F9" i="42"/>
  <c r="G9" i="42"/>
  <c r="H9" i="42"/>
  <c r="I9" i="42"/>
  <c r="J9" i="42"/>
  <c r="K9" i="42"/>
  <c r="E10" i="42"/>
  <c r="G10" i="42"/>
  <c r="H10" i="42"/>
  <c r="I10" i="42"/>
  <c r="J10" i="42"/>
  <c r="K10" i="42"/>
  <c r="D10" i="42"/>
  <c r="D9" i="42"/>
  <c r="M9" i="42" l="1"/>
  <c r="M8" i="42"/>
  <c r="M10" i="42"/>
  <c r="O1105" i="53" l="1"/>
  <c r="N1105" i="53"/>
  <c r="O1104" i="53"/>
  <c r="N1104" i="53"/>
  <c r="O1103" i="53"/>
  <c r="N1103" i="53"/>
  <c r="O1102" i="53"/>
  <c r="N1102" i="53"/>
  <c r="O1101" i="53"/>
  <c r="N1101" i="53"/>
  <c r="O1100" i="53"/>
  <c r="N1100" i="53"/>
  <c r="O1099" i="53"/>
  <c r="N1099" i="53"/>
  <c r="O1098" i="53"/>
  <c r="N1098" i="53"/>
  <c r="O1097" i="53"/>
  <c r="N1097" i="53"/>
  <c r="O1096" i="53"/>
  <c r="N1096" i="53"/>
  <c r="O1095" i="53"/>
  <c r="N1095" i="53"/>
  <c r="O1094" i="53"/>
  <c r="O1093" i="53"/>
  <c r="N1093" i="53"/>
  <c r="O1092" i="53"/>
  <c r="N1092" i="53"/>
  <c r="O1091" i="53"/>
  <c r="N1091" i="53"/>
  <c r="O1090" i="53"/>
  <c r="N1090" i="53"/>
  <c r="O1089" i="53"/>
  <c r="N1089" i="53"/>
  <c r="O1088" i="53"/>
  <c r="N1088" i="53"/>
  <c r="O1087" i="53"/>
  <c r="N1087" i="53"/>
  <c r="O1086" i="53"/>
  <c r="N1086" i="53"/>
  <c r="O1085" i="53"/>
  <c r="N1085" i="53"/>
  <c r="O1084" i="53"/>
  <c r="N1084" i="53"/>
  <c r="O1083" i="53"/>
  <c r="N1083" i="53"/>
  <c r="O1082" i="53"/>
  <c r="N1082" i="53"/>
  <c r="O1081" i="53"/>
  <c r="N1081" i="53"/>
  <c r="O1080" i="53"/>
  <c r="N1080" i="53"/>
  <c r="O1079" i="53"/>
  <c r="N1079" i="53"/>
  <c r="O1078" i="53"/>
  <c r="N1078" i="53"/>
  <c r="O1077" i="53"/>
  <c r="N1077" i="53"/>
  <c r="O1076" i="53"/>
  <c r="N1076" i="53"/>
  <c r="O1075" i="53"/>
  <c r="N1075" i="53"/>
  <c r="O1074" i="53"/>
  <c r="N1074" i="53"/>
  <c r="O1073" i="53"/>
  <c r="N1073" i="53"/>
  <c r="O1072" i="53"/>
  <c r="N1072" i="53"/>
  <c r="O1071" i="53"/>
  <c r="N1071" i="53"/>
  <c r="O1070" i="53"/>
  <c r="N1070" i="53"/>
  <c r="O1069" i="53"/>
  <c r="N1069" i="53"/>
  <c r="O1068" i="53"/>
  <c r="N1068" i="53"/>
  <c r="O1067" i="53"/>
  <c r="N1067" i="53"/>
  <c r="O1066" i="53"/>
  <c r="N1066" i="53"/>
  <c r="O1065" i="53"/>
  <c r="N1065" i="53"/>
  <c r="O1064" i="53"/>
  <c r="N1064" i="53"/>
  <c r="O1063" i="53"/>
  <c r="N1063" i="53"/>
  <c r="O1062" i="53"/>
  <c r="N1062" i="53"/>
  <c r="O1061" i="53"/>
  <c r="N1061" i="53"/>
  <c r="O1060" i="53"/>
  <c r="N1060" i="53"/>
  <c r="O1059" i="53"/>
  <c r="N1059" i="53"/>
  <c r="O1058" i="53"/>
  <c r="N1058" i="53"/>
  <c r="O1057" i="53"/>
  <c r="N1057" i="53"/>
  <c r="O1056" i="53"/>
  <c r="N1056" i="53"/>
  <c r="O1055" i="53"/>
  <c r="N1055" i="53"/>
  <c r="O1054" i="53"/>
  <c r="N1054" i="53"/>
  <c r="O1053" i="53"/>
  <c r="N1053" i="53"/>
  <c r="O1052" i="53"/>
  <c r="N1052" i="53"/>
  <c r="O1051" i="53"/>
  <c r="N1051" i="53"/>
  <c r="O1050" i="53"/>
  <c r="N1050" i="53"/>
  <c r="O1049" i="53"/>
  <c r="N1049" i="53"/>
  <c r="O1048" i="53"/>
  <c r="N1048" i="53"/>
  <c r="O1047" i="53"/>
  <c r="N1047" i="53"/>
  <c r="O1046" i="53"/>
  <c r="N1046" i="53"/>
  <c r="O1045" i="53"/>
  <c r="N1045" i="53"/>
  <c r="O1044" i="53"/>
  <c r="N1044" i="53"/>
  <c r="O1043" i="53"/>
  <c r="N1043" i="53"/>
  <c r="O1042" i="53"/>
  <c r="N1042" i="53"/>
  <c r="O1041" i="53"/>
  <c r="N1041" i="53"/>
  <c r="O1040" i="53"/>
  <c r="N1040" i="53"/>
  <c r="O1039" i="53"/>
  <c r="N1039" i="53"/>
  <c r="O1038" i="53"/>
  <c r="N1038" i="53"/>
  <c r="O1037" i="53"/>
  <c r="N1037" i="53"/>
  <c r="O1036" i="53"/>
  <c r="N1036" i="53"/>
  <c r="O1035" i="53"/>
  <c r="N1035" i="53"/>
  <c r="O1034" i="53"/>
  <c r="N1034" i="53"/>
  <c r="O1033" i="53"/>
  <c r="N1033" i="53"/>
  <c r="O1032" i="53"/>
  <c r="N1032" i="53"/>
  <c r="O1031" i="53"/>
  <c r="N1031" i="53"/>
  <c r="O1030" i="53"/>
  <c r="N1030" i="53"/>
  <c r="O1029" i="53"/>
  <c r="N1029" i="53"/>
  <c r="O1028" i="53"/>
  <c r="N1028" i="53"/>
  <c r="O1027" i="53"/>
  <c r="N1027" i="53"/>
  <c r="O1026" i="53"/>
  <c r="N1026" i="53"/>
  <c r="O1025" i="53"/>
  <c r="N1025" i="53"/>
  <c r="O1024" i="53"/>
  <c r="N1024" i="53"/>
  <c r="O1023" i="53"/>
  <c r="N1023" i="53"/>
  <c r="O1022" i="53"/>
  <c r="N1022" i="53"/>
  <c r="O1021" i="53"/>
  <c r="N1021" i="53"/>
  <c r="O1020" i="53"/>
  <c r="N1020" i="53"/>
  <c r="O1019" i="53"/>
  <c r="N1019" i="53"/>
  <c r="O1018" i="53"/>
  <c r="N1018" i="53"/>
  <c r="O1017" i="53"/>
  <c r="N1017" i="53"/>
  <c r="O1016" i="53"/>
  <c r="N1016" i="53"/>
  <c r="O1015" i="53"/>
  <c r="N1015" i="53"/>
  <c r="O1014" i="53"/>
  <c r="N1014" i="53"/>
  <c r="O1013" i="53"/>
  <c r="N1013" i="53"/>
  <c r="O1012" i="53"/>
  <c r="N1012" i="53"/>
  <c r="O1011" i="53"/>
  <c r="N1011" i="53"/>
  <c r="O1010" i="53"/>
  <c r="N1010" i="53"/>
  <c r="O1009" i="53"/>
  <c r="N1009" i="53"/>
  <c r="O1008" i="53"/>
  <c r="N1008" i="53"/>
  <c r="O1007" i="53"/>
  <c r="N1007" i="53"/>
  <c r="O1006" i="53"/>
  <c r="N1006" i="53"/>
  <c r="O1005" i="53"/>
  <c r="N1005" i="53"/>
  <c r="O1004" i="53"/>
  <c r="N1004" i="53"/>
  <c r="O1003" i="53"/>
  <c r="N1003" i="53"/>
  <c r="O1002" i="53"/>
  <c r="N1002" i="53"/>
  <c r="O1001" i="53"/>
  <c r="N1001" i="53"/>
  <c r="O1000" i="53"/>
  <c r="N1000" i="53"/>
  <c r="O999" i="53"/>
  <c r="N999" i="53"/>
  <c r="O998" i="53"/>
  <c r="N998" i="53"/>
  <c r="O997" i="53"/>
  <c r="N997" i="53"/>
  <c r="O996" i="53"/>
  <c r="N996" i="53"/>
  <c r="O995" i="53"/>
  <c r="N995" i="53"/>
  <c r="O994" i="53"/>
  <c r="N994" i="53"/>
  <c r="O993" i="53"/>
  <c r="N993" i="53"/>
  <c r="O992" i="53"/>
  <c r="N992" i="53"/>
  <c r="O991" i="53"/>
  <c r="N991" i="53"/>
  <c r="O990" i="53"/>
  <c r="N990" i="53"/>
  <c r="O989" i="53"/>
  <c r="N989" i="53"/>
  <c r="O988" i="53"/>
  <c r="N988" i="53"/>
  <c r="O987" i="53"/>
  <c r="N987" i="53"/>
  <c r="O986" i="53"/>
  <c r="N986" i="53"/>
  <c r="O985" i="53"/>
  <c r="N985" i="53"/>
  <c r="O984" i="53"/>
  <c r="N984" i="53"/>
  <c r="O983" i="53"/>
  <c r="N983" i="53"/>
  <c r="O982" i="53"/>
  <c r="N982" i="53"/>
  <c r="O981" i="53"/>
  <c r="N981" i="53"/>
  <c r="O980" i="53"/>
  <c r="N980" i="53"/>
  <c r="O979" i="53"/>
  <c r="N979" i="53"/>
  <c r="O978" i="53"/>
  <c r="N978" i="53"/>
  <c r="O977" i="53"/>
  <c r="N977" i="53"/>
  <c r="O976" i="53"/>
  <c r="N976" i="53"/>
  <c r="O975" i="53"/>
  <c r="N975" i="53"/>
  <c r="O974" i="53"/>
  <c r="N974" i="53"/>
  <c r="O973" i="53"/>
  <c r="N973" i="53"/>
  <c r="O972" i="53"/>
  <c r="N972" i="53"/>
  <c r="O971" i="53"/>
  <c r="N971" i="53"/>
  <c r="O970" i="53"/>
  <c r="N970" i="53"/>
  <c r="O969" i="53"/>
  <c r="N969" i="53"/>
  <c r="O968" i="53"/>
  <c r="N968" i="53"/>
  <c r="O967" i="53"/>
  <c r="N967" i="53"/>
  <c r="O966" i="53"/>
  <c r="N966" i="53"/>
  <c r="O965" i="53"/>
  <c r="N965" i="53"/>
  <c r="O964" i="53"/>
  <c r="N964" i="53"/>
  <c r="O963" i="53"/>
  <c r="N963" i="53"/>
  <c r="O962" i="53"/>
  <c r="N962" i="53"/>
  <c r="O961" i="53"/>
  <c r="N961" i="53"/>
  <c r="O960" i="53"/>
  <c r="N960" i="53"/>
  <c r="O959" i="53"/>
  <c r="N959" i="53"/>
  <c r="O958" i="53"/>
  <c r="N958" i="53"/>
  <c r="O957" i="53"/>
  <c r="N957" i="53"/>
  <c r="O956" i="53"/>
  <c r="N956" i="53"/>
  <c r="O955" i="53"/>
  <c r="N955" i="53"/>
  <c r="O954" i="53"/>
  <c r="N954" i="53"/>
  <c r="O953" i="53"/>
  <c r="N953" i="53"/>
  <c r="O952" i="53"/>
  <c r="N952" i="53"/>
  <c r="O951" i="53"/>
  <c r="N951" i="53"/>
  <c r="O950" i="53"/>
  <c r="N950" i="53"/>
  <c r="O949" i="53"/>
  <c r="N949" i="53"/>
  <c r="O948" i="53"/>
  <c r="N948" i="53"/>
  <c r="O947" i="53"/>
  <c r="N947" i="53"/>
  <c r="O946" i="53"/>
  <c r="N946" i="53"/>
  <c r="O945" i="53"/>
  <c r="N945" i="53"/>
  <c r="O944" i="53"/>
  <c r="N944" i="53"/>
  <c r="O943" i="53"/>
  <c r="N943" i="53"/>
  <c r="O942" i="53"/>
  <c r="N942" i="53"/>
  <c r="O941" i="53"/>
  <c r="N941" i="53"/>
  <c r="O940" i="53"/>
  <c r="N940" i="53"/>
  <c r="O939" i="53"/>
  <c r="N939" i="53"/>
  <c r="O938" i="53"/>
  <c r="N938" i="53"/>
  <c r="O937" i="53"/>
  <c r="N937" i="53"/>
  <c r="O936" i="53"/>
  <c r="N936" i="53"/>
  <c r="O935" i="53"/>
  <c r="N935" i="53"/>
  <c r="O934" i="53"/>
  <c r="N934" i="53"/>
  <c r="O933" i="53"/>
  <c r="N933" i="53"/>
  <c r="O932" i="53"/>
  <c r="N932" i="53"/>
  <c r="O931" i="53"/>
  <c r="N931" i="53"/>
  <c r="O930" i="53"/>
  <c r="N930" i="53"/>
  <c r="O929" i="53"/>
  <c r="N929" i="53"/>
  <c r="O928" i="53"/>
  <c r="N928" i="53"/>
  <c r="O927" i="53"/>
  <c r="N927" i="53"/>
  <c r="O926" i="53"/>
  <c r="N926" i="53"/>
  <c r="O925" i="53"/>
  <c r="N925" i="53"/>
  <c r="O924" i="53"/>
  <c r="N924" i="53"/>
  <c r="O923" i="53"/>
  <c r="N923" i="53"/>
  <c r="O922" i="53"/>
  <c r="N922" i="53"/>
  <c r="O921" i="53"/>
  <c r="N921" i="53"/>
  <c r="O920" i="53"/>
  <c r="N920" i="53"/>
  <c r="O919" i="53"/>
  <c r="N919" i="53"/>
  <c r="O918" i="53"/>
  <c r="N918" i="53"/>
  <c r="O917" i="53"/>
  <c r="N917" i="53"/>
  <c r="O916" i="53"/>
  <c r="N916" i="53"/>
  <c r="O915" i="53"/>
  <c r="N915" i="53"/>
  <c r="O914" i="53"/>
  <c r="N914" i="53"/>
  <c r="O913" i="53"/>
  <c r="N913" i="53"/>
  <c r="O912" i="53"/>
  <c r="N912" i="53"/>
  <c r="O911" i="53"/>
  <c r="N911" i="53"/>
  <c r="O910" i="53"/>
  <c r="N910" i="53"/>
  <c r="O909" i="53"/>
  <c r="N909" i="53"/>
  <c r="O908" i="53"/>
  <c r="N908" i="53"/>
  <c r="O907" i="53"/>
  <c r="N907" i="53"/>
  <c r="O906" i="53"/>
  <c r="N906" i="53"/>
  <c r="O905" i="53"/>
  <c r="N905" i="53"/>
  <c r="O904" i="53"/>
  <c r="N904" i="53"/>
  <c r="O903" i="53"/>
  <c r="N903" i="53"/>
  <c r="O902" i="53"/>
  <c r="N902" i="53"/>
  <c r="O901" i="53"/>
  <c r="N901" i="53"/>
  <c r="O900" i="53"/>
  <c r="N900" i="53"/>
  <c r="O899" i="53"/>
  <c r="N899" i="53"/>
  <c r="O898" i="53"/>
  <c r="N898" i="53"/>
  <c r="O897" i="53"/>
  <c r="N897" i="53"/>
  <c r="O896" i="53"/>
  <c r="N896" i="53"/>
  <c r="O895" i="53"/>
  <c r="N895" i="53"/>
  <c r="O894" i="53"/>
  <c r="N894" i="53"/>
  <c r="O893" i="53"/>
  <c r="N893" i="53"/>
  <c r="O892" i="53"/>
  <c r="N892" i="53"/>
  <c r="O891" i="53"/>
  <c r="N891" i="53"/>
  <c r="O890" i="53"/>
  <c r="N890" i="53"/>
  <c r="O889" i="53"/>
  <c r="N889" i="53"/>
  <c r="O888" i="53"/>
  <c r="N888" i="53"/>
  <c r="O887" i="53"/>
  <c r="N887" i="53"/>
  <c r="O886" i="53"/>
  <c r="N886" i="53"/>
  <c r="O885" i="53"/>
  <c r="N885" i="53"/>
  <c r="O884" i="53"/>
  <c r="N884" i="53"/>
  <c r="O883" i="53"/>
  <c r="N883" i="53"/>
  <c r="O882" i="53"/>
  <c r="N882" i="53"/>
  <c r="O881" i="53"/>
  <c r="N881" i="53"/>
  <c r="O880" i="53"/>
  <c r="N880" i="53"/>
  <c r="O879" i="53"/>
  <c r="N879" i="53"/>
  <c r="O878" i="53"/>
  <c r="N878" i="53"/>
  <c r="O877" i="53"/>
  <c r="N877" i="53"/>
  <c r="O876" i="53"/>
  <c r="N876" i="53"/>
  <c r="O875" i="53"/>
  <c r="N875" i="53"/>
  <c r="O874" i="53"/>
  <c r="N874" i="53"/>
  <c r="O873" i="53"/>
  <c r="N873" i="53"/>
  <c r="O872" i="53"/>
  <c r="N872" i="53"/>
  <c r="O871" i="53"/>
  <c r="N871" i="53"/>
  <c r="O870" i="53"/>
  <c r="N870" i="53"/>
  <c r="O869" i="53"/>
  <c r="N869" i="53"/>
  <c r="O868" i="53"/>
  <c r="N868" i="53"/>
  <c r="O867" i="53"/>
  <c r="N867" i="53"/>
  <c r="O866" i="53"/>
  <c r="N866" i="53"/>
  <c r="O865" i="53"/>
  <c r="N865" i="53"/>
  <c r="O864" i="53"/>
  <c r="N864" i="53"/>
  <c r="O863" i="53"/>
  <c r="N863" i="53"/>
  <c r="O862" i="53"/>
  <c r="N862" i="53"/>
  <c r="O861" i="53"/>
  <c r="N861" i="53"/>
  <c r="O860" i="53"/>
  <c r="N860" i="53"/>
  <c r="O859" i="53"/>
  <c r="N859" i="53"/>
  <c r="O858" i="53"/>
  <c r="N858" i="53"/>
  <c r="O857" i="53"/>
  <c r="N857" i="53"/>
  <c r="O856" i="53"/>
  <c r="N856" i="53"/>
  <c r="O855" i="53"/>
  <c r="N855" i="53"/>
  <c r="O854" i="53"/>
  <c r="N854" i="53"/>
  <c r="O853" i="53"/>
  <c r="N853" i="53"/>
  <c r="O852" i="53"/>
  <c r="N852" i="53"/>
  <c r="O851" i="53"/>
  <c r="N851" i="53"/>
  <c r="O850" i="53"/>
  <c r="N850" i="53"/>
  <c r="O849" i="53"/>
  <c r="N849" i="53"/>
  <c r="O848" i="53"/>
  <c r="N848" i="53"/>
  <c r="O847" i="53"/>
  <c r="N847" i="53"/>
  <c r="O846" i="53"/>
  <c r="N846" i="53"/>
  <c r="O845" i="53"/>
  <c r="N845" i="53"/>
  <c r="O844" i="53"/>
  <c r="N844" i="53"/>
  <c r="O843" i="53"/>
  <c r="N843" i="53"/>
  <c r="O842" i="53"/>
  <c r="N842" i="53"/>
  <c r="O841" i="53"/>
  <c r="N841" i="53"/>
  <c r="O840" i="53"/>
  <c r="N840" i="53"/>
  <c r="O839" i="53"/>
  <c r="N839" i="53"/>
  <c r="O838" i="53"/>
  <c r="N838" i="53"/>
  <c r="O837" i="53"/>
  <c r="N837" i="53"/>
  <c r="O836" i="53"/>
  <c r="N836" i="53"/>
  <c r="O835" i="53"/>
  <c r="N835" i="53"/>
  <c r="O834" i="53"/>
  <c r="N834" i="53"/>
  <c r="O833" i="53"/>
  <c r="N833" i="53"/>
  <c r="O832" i="53"/>
  <c r="N832" i="53"/>
  <c r="O831" i="53"/>
  <c r="N831" i="53"/>
  <c r="O830" i="53"/>
  <c r="N830" i="53"/>
  <c r="O829" i="53"/>
  <c r="N829" i="53"/>
  <c r="O828" i="53"/>
  <c r="N828" i="53"/>
  <c r="O827" i="53"/>
  <c r="N827" i="53"/>
  <c r="O826" i="53"/>
  <c r="N826" i="53"/>
  <c r="O825" i="53"/>
  <c r="N825" i="53"/>
  <c r="O824" i="53"/>
  <c r="N824" i="53"/>
  <c r="O823" i="53"/>
  <c r="N823" i="53"/>
  <c r="O822" i="53"/>
  <c r="N822" i="53"/>
  <c r="O821" i="53"/>
  <c r="N821" i="53"/>
  <c r="O820" i="53"/>
  <c r="N820" i="53"/>
  <c r="O819" i="53"/>
  <c r="N819" i="53"/>
  <c r="O818" i="53"/>
  <c r="N818" i="53"/>
  <c r="O817" i="53"/>
  <c r="N817" i="53"/>
  <c r="O816" i="53"/>
  <c r="N816" i="53"/>
  <c r="O815" i="53"/>
  <c r="N815" i="53"/>
  <c r="O814" i="53"/>
  <c r="N814" i="53"/>
  <c r="O813" i="53"/>
  <c r="N813" i="53"/>
  <c r="O812" i="53"/>
  <c r="N812" i="53"/>
  <c r="O811" i="53"/>
  <c r="N811" i="53"/>
  <c r="O810" i="53"/>
  <c r="N810" i="53"/>
  <c r="O809" i="53"/>
  <c r="N809" i="53"/>
  <c r="O808" i="53"/>
  <c r="N808" i="53"/>
  <c r="O807" i="53"/>
  <c r="N807" i="53"/>
  <c r="O806" i="53"/>
  <c r="N806" i="53"/>
  <c r="O805" i="53"/>
  <c r="N805" i="53"/>
  <c r="O804" i="53"/>
  <c r="N804" i="53"/>
  <c r="O803" i="53"/>
  <c r="N803" i="53"/>
  <c r="O802" i="53"/>
  <c r="N802" i="53"/>
  <c r="O801" i="53"/>
  <c r="N801" i="53"/>
  <c r="O800" i="53"/>
  <c r="N800" i="53"/>
  <c r="O799" i="53"/>
  <c r="N799" i="53"/>
  <c r="O798" i="53"/>
  <c r="N798" i="53"/>
  <c r="O797" i="53"/>
  <c r="N797" i="53"/>
  <c r="O796" i="53"/>
  <c r="N796" i="53"/>
  <c r="O795" i="53"/>
  <c r="N795" i="53"/>
  <c r="O794" i="53"/>
  <c r="N794" i="53"/>
  <c r="O793" i="53"/>
  <c r="N793" i="53"/>
  <c r="O792" i="53"/>
  <c r="N792" i="53"/>
  <c r="O791" i="53"/>
  <c r="N791" i="53"/>
  <c r="O790" i="53"/>
  <c r="N790" i="53"/>
  <c r="O789" i="53"/>
  <c r="N789" i="53"/>
  <c r="O788" i="53"/>
  <c r="N788" i="53"/>
  <c r="O787" i="53"/>
  <c r="N787" i="53"/>
  <c r="O786" i="53"/>
  <c r="N786" i="53"/>
  <c r="O785" i="53"/>
  <c r="N785" i="53"/>
  <c r="O784" i="53"/>
  <c r="N784" i="53"/>
  <c r="O783" i="53"/>
  <c r="N783" i="53"/>
  <c r="O782" i="53"/>
  <c r="N782" i="53"/>
  <c r="O781" i="53"/>
  <c r="N781" i="53"/>
  <c r="O780" i="53"/>
  <c r="N780" i="53"/>
  <c r="O779" i="53"/>
  <c r="N779" i="53"/>
  <c r="O778" i="53"/>
  <c r="N778" i="53"/>
  <c r="O777" i="53"/>
  <c r="N777" i="53"/>
  <c r="O776" i="53"/>
  <c r="N776" i="53"/>
  <c r="O775" i="53"/>
  <c r="N775" i="53"/>
  <c r="O774" i="53"/>
  <c r="N774" i="53"/>
  <c r="O773" i="53"/>
  <c r="N773" i="53"/>
  <c r="O772" i="53"/>
  <c r="N772" i="53"/>
  <c r="O771" i="53"/>
  <c r="N771" i="53"/>
  <c r="O770" i="53"/>
  <c r="N770" i="53"/>
  <c r="O769" i="53"/>
  <c r="N769" i="53"/>
  <c r="O768" i="53"/>
  <c r="N768" i="53"/>
  <c r="O767" i="53"/>
  <c r="N767" i="53"/>
  <c r="O766" i="53"/>
  <c r="N766" i="53"/>
  <c r="O765" i="53"/>
  <c r="N765" i="53"/>
  <c r="O764" i="53"/>
  <c r="N764" i="53"/>
  <c r="O763" i="53"/>
  <c r="N763" i="53"/>
  <c r="O762" i="53"/>
  <c r="N762" i="53"/>
  <c r="O761" i="53"/>
  <c r="N761" i="53"/>
  <c r="O760" i="53"/>
  <c r="N760" i="53"/>
  <c r="O759" i="53"/>
  <c r="N759" i="53"/>
  <c r="O758" i="53"/>
  <c r="N758" i="53"/>
  <c r="O757" i="53"/>
  <c r="N757" i="53"/>
  <c r="O756" i="53"/>
  <c r="N756" i="53"/>
  <c r="O755" i="53"/>
  <c r="N755" i="53"/>
  <c r="O754" i="53"/>
  <c r="N754" i="53"/>
  <c r="O753" i="53"/>
  <c r="N753" i="53"/>
  <c r="O752" i="53"/>
  <c r="N752" i="53"/>
  <c r="O751" i="53"/>
  <c r="N751" i="53"/>
  <c r="O750" i="53"/>
  <c r="N750" i="53"/>
  <c r="O749" i="53"/>
  <c r="N749" i="53"/>
  <c r="O748" i="53"/>
  <c r="N748" i="53"/>
  <c r="O747" i="53"/>
  <c r="N747" i="53"/>
  <c r="O746" i="53"/>
  <c r="N746" i="53"/>
  <c r="O745" i="53"/>
  <c r="N745" i="53"/>
  <c r="O744" i="53"/>
  <c r="N744" i="53"/>
  <c r="O743" i="53"/>
  <c r="N743" i="53"/>
  <c r="O742" i="53"/>
  <c r="N742" i="53"/>
  <c r="O741" i="53"/>
  <c r="N741" i="53"/>
  <c r="O740" i="53"/>
  <c r="N740" i="53"/>
  <c r="O739" i="53"/>
  <c r="N739" i="53"/>
  <c r="O738" i="53"/>
  <c r="N738" i="53"/>
  <c r="O737" i="53"/>
  <c r="N737" i="53"/>
  <c r="O736" i="53"/>
  <c r="N736" i="53"/>
  <c r="O735" i="53"/>
  <c r="N735" i="53"/>
  <c r="O734" i="53"/>
  <c r="N734" i="53"/>
  <c r="O733" i="53"/>
  <c r="N733" i="53"/>
  <c r="O732" i="53"/>
  <c r="N732" i="53"/>
  <c r="O731" i="53"/>
  <c r="N731" i="53"/>
  <c r="O730" i="53"/>
  <c r="N730" i="53"/>
  <c r="O729" i="53"/>
  <c r="N729" i="53"/>
  <c r="O728" i="53"/>
  <c r="N728" i="53"/>
  <c r="O727" i="53"/>
  <c r="N727" i="53"/>
  <c r="O726" i="53"/>
  <c r="N726" i="53"/>
  <c r="O725" i="53"/>
  <c r="N725" i="53"/>
  <c r="O724" i="53"/>
  <c r="N724" i="53"/>
  <c r="O723" i="53"/>
  <c r="N723" i="53"/>
  <c r="O722" i="53"/>
  <c r="N722" i="53"/>
  <c r="O721" i="53"/>
  <c r="N721" i="53"/>
  <c r="O720" i="53"/>
  <c r="N720" i="53"/>
  <c r="O719" i="53"/>
  <c r="N719" i="53"/>
  <c r="O718" i="53"/>
  <c r="N718" i="53"/>
  <c r="O717" i="53"/>
  <c r="N717" i="53"/>
  <c r="O716" i="53"/>
  <c r="N716" i="53"/>
  <c r="O715" i="53"/>
  <c r="N715" i="53"/>
  <c r="O714" i="53"/>
  <c r="N714" i="53"/>
  <c r="O713" i="53"/>
  <c r="N713" i="53"/>
  <c r="O712" i="53"/>
  <c r="N712" i="53"/>
  <c r="O711" i="53"/>
  <c r="N711" i="53"/>
  <c r="O710" i="53"/>
  <c r="N710" i="53"/>
  <c r="O709" i="53"/>
  <c r="N709" i="53"/>
  <c r="O708" i="53"/>
  <c r="N708" i="53"/>
  <c r="O707" i="53"/>
  <c r="N707" i="53"/>
  <c r="O706" i="53"/>
  <c r="N706" i="53"/>
  <c r="O705" i="53"/>
  <c r="N705" i="53"/>
  <c r="O704" i="53"/>
  <c r="N704" i="53"/>
  <c r="O703" i="53"/>
  <c r="N703" i="53"/>
  <c r="O702" i="53"/>
  <c r="N702" i="53"/>
  <c r="O701" i="53"/>
  <c r="N701" i="53"/>
  <c r="O700" i="53"/>
  <c r="N700" i="53"/>
  <c r="O699" i="53"/>
  <c r="N699" i="53"/>
  <c r="O698" i="53"/>
  <c r="N698" i="53"/>
  <c r="O697" i="53"/>
  <c r="N697" i="53"/>
  <c r="O696" i="53"/>
  <c r="N696" i="53"/>
  <c r="O695" i="53"/>
  <c r="N695" i="53"/>
  <c r="O694" i="53"/>
  <c r="N694" i="53"/>
  <c r="O693" i="53"/>
  <c r="N693" i="53"/>
  <c r="O692" i="53"/>
  <c r="N692" i="53"/>
  <c r="O691" i="53"/>
  <c r="N691" i="53"/>
  <c r="O690" i="53"/>
  <c r="N690" i="53"/>
  <c r="O689" i="53"/>
  <c r="N689" i="53"/>
  <c r="O688" i="53"/>
  <c r="N688" i="53"/>
  <c r="O687" i="53"/>
  <c r="N687" i="53"/>
  <c r="O686" i="53"/>
  <c r="N686" i="53"/>
  <c r="O685" i="53"/>
  <c r="N685" i="53"/>
  <c r="O684" i="53"/>
  <c r="N684" i="53"/>
  <c r="O683" i="53"/>
  <c r="N683" i="53"/>
  <c r="O682" i="53"/>
  <c r="N682" i="53"/>
  <c r="O681" i="53"/>
  <c r="N681" i="53"/>
  <c r="O680" i="53"/>
  <c r="N680" i="53"/>
  <c r="O679" i="53"/>
  <c r="N679" i="53"/>
  <c r="O678" i="53"/>
  <c r="N678" i="53"/>
  <c r="O677" i="53"/>
  <c r="N677" i="53"/>
  <c r="O676" i="53"/>
  <c r="N676" i="53"/>
  <c r="O675" i="53"/>
  <c r="N675" i="53"/>
  <c r="O674" i="53"/>
  <c r="N674" i="53"/>
  <c r="O673" i="53"/>
  <c r="N673" i="53"/>
  <c r="O672" i="53"/>
  <c r="N672" i="53"/>
  <c r="O671" i="53"/>
  <c r="N671" i="53"/>
  <c r="O670" i="53"/>
  <c r="N670" i="53"/>
  <c r="O669" i="53"/>
  <c r="N669" i="53"/>
  <c r="O668" i="53"/>
  <c r="N668" i="53"/>
  <c r="O667" i="53"/>
  <c r="N667" i="53"/>
  <c r="O666" i="53"/>
  <c r="N666" i="53"/>
  <c r="O665" i="53"/>
  <c r="N665" i="53"/>
  <c r="O664" i="53"/>
  <c r="N664" i="53"/>
  <c r="O663" i="53"/>
  <c r="N663" i="53"/>
  <c r="O662" i="53"/>
  <c r="N662" i="53"/>
  <c r="O661" i="53"/>
  <c r="N661" i="53"/>
  <c r="O660" i="53"/>
  <c r="N660" i="53"/>
  <c r="O659" i="53"/>
  <c r="N659" i="53"/>
  <c r="O658" i="53"/>
  <c r="N658" i="53"/>
  <c r="O657" i="53"/>
  <c r="N657" i="53"/>
  <c r="O656" i="53"/>
  <c r="N656" i="53"/>
  <c r="O655" i="53"/>
  <c r="N655" i="53"/>
  <c r="O654" i="53"/>
  <c r="N654" i="53"/>
  <c r="O653" i="53"/>
  <c r="N653" i="53"/>
  <c r="O652" i="53"/>
  <c r="N652" i="53"/>
  <c r="O651" i="53"/>
  <c r="N651" i="53"/>
  <c r="O650" i="53"/>
  <c r="N650" i="53"/>
  <c r="O649" i="53"/>
  <c r="N649" i="53"/>
  <c r="O648" i="53"/>
  <c r="N648" i="53"/>
  <c r="O647" i="53"/>
  <c r="N647" i="53"/>
  <c r="O646" i="53"/>
  <c r="N646" i="53"/>
  <c r="O645" i="53"/>
  <c r="N645" i="53"/>
  <c r="O644" i="53"/>
  <c r="N644" i="53"/>
  <c r="O643" i="53"/>
  <c r="N643" i="53"/>
  <c r="O642" i="53"/>
  <c r="N642" i="53"/>
  <c r="O641" i="53"/>
  <c r="N641" i="53"/>
  <c r="O640" i="53"/>
  <c r="N640" i="53"/>
  <c r="O639" i="53"/>
  <c r="N639" i="53"/>
  <c r="O638" i="53"/>
  <c r="N638" i="53"/>
  <c r="O637" i="53"/>
  <c r="N637" i="53"/>
  <c r="O636" i="53"/>
  <c r="N636" i="53"/>
  <c r="O635" i="53"/>
  <c r="N635" i="53"/>
  <c r="O634" i="53"/>
  <c r="N634" i="53"/>
  <c r="O633" i="53"/>
  <c r="N633" i="53"/>
  <c r="O632" i="53"/>
  <c r="N632" i="53"/>
  <c r="O631" i="53"/>
  <c r="N631" i="53"/>
  <c r="O630" i="53"/>
  <c r="N630" i="53"/>
  <c r="O629" i="53"/>
  <c r="N629" i="53"/>
  <c r="O628" i="53"/>
  <c r="N628" i="53"/>
  <c r="O627" i="53"/>
  <c r="N627" i="53"/>
  <c r="O626" i="53"/>
  <c r="N626" i="53"/>
  <c r="O625" i="53"/>
  <c r="N625" i="53"/>
  <c r="O624" i="53"/>
  <c r="N624" i="53"/>
  <c r="O623" i="53"/>
  <c r="N623" i="53"/>
  <c r="O622" i="53"/>
  <c r="N622" i="53"/>
  <c r="O621" i="53"/>
  <c r="N621" i="53"/>
  <c r="O620" i="53"/>
  <c r="N620" i="53"/>
  <c r="O619" i="53"/>
  <c r="N619" i="53"/>
  <c r="O618" i="53"/>
  <c r="N618" i="53"/>
  <c r="O617" i="53"/>
  <c r="N617" i="53"/>
  <c r="O616" i="53"/>
  <c r="N616" i="53"/>
  <c r="O615" i="53"/>
  <c r="N615" i="53"/>
  <c r="O614" i="53"/>
  <c r="N614" i="53"/>
  <c r="O613" i="53"/>
  <c r="N613" i="53"/>
  <c r="O612" i="53"/>
  <c r="N612" i="53"/>
  <c r="O611" i="53"/>
  <c r="N611" i="53"/>
  <c r="O610" i="53"/>
  <c r="N610" i="53"/>
  <c r="O609" i="53"/>
  <c r="N609" i="53"/>
  <c r="O608" i="53"/>
  <c r="N608" i="53"/>
  <c r="O607" i="53"/>
  <c r="N607" i="53"/>
  <c r="O606" i="53"/>
  <c r="N606" i="53"/>
  <c r="O605" i="53"/>
  <c r="N605" i="53"/>
  <c r="O604" i="53"/>
  <c r="N604" i="53"/>
  <c r="O603" i="53"/>
  <c r="N603" i="53"/>
  <c r="O602" i="53"/>
  <c r="N602" i="53"/>
  <c r="O601" i="53"/>
  <c r="N601" i="53"/>
  <c r="O600" i="53"/>
  <c r="N600" i="53"/>
  <c r="O599" i="53"/>
  <c r="N599" i="53"/>
  <c r="O598" i="53"/>
  <c r="N598" i="53"/>
  <c r="O597" i="53"/>
  <c r="N597" i="53"/>
  <c r="O596" i="53"/>
  <c r="N596" i="53"/>
  <c r="O595" i="53"/>
  <c r="N595" i="53"/>
  <c r="O594" i="53"/>
  <c r="N594" i="53"/>
  <c r="O593" i="53"/>
  <c r="N593" i="53"/>
  <c r="O592" i="53"/>
  <c r="N592" i="53"/>
  <c r="O591" i="53"/>
  <c r="N591" i="53"/>
  <c r="O590" i="53"/>
  <c r="N590" i="53"/>
  <c r="O589" i="53"/>
  <c r="N589" i="53"/>
  <c r="O588" i="53"/>
  <c r="N588" i="53"/>
  <c r="O587" i="53"/>
  <c r="N587" i="53"/>
  <c r="O586" i="53"/>
  <c r="N586" i="53"/>
  <c r="O585" i="53"/>
  <c r="N585" i="53"/>
  <c r="O584" i="53"/>
  <c r="N584" i="53"/>
  <c r="O583" i="53"/>
  <c r="N583" i="53"/>
  <c r="O582" i="53"/>
  <c r="N582" i="53"/>
  <c r="O581" i="53"/>
  <c r="N581" i="53"/>
  <c r="O580" i="53"/>
  <c r="N580" i="53"/>
  <c r="O579" i="53"/>
  <c r="N579" i="53"/>
  <c r="O578" i="53"/>
  <c r="N578" i="53"/>
  <c r="O577" i="53"/>
  <c r="N577" i="53"/>
  <c r="O576" i="53"/>
  <c r="N576" i="53"/>
  <c r="O575" i="53"/>
  <c r="N575" i="53"/>
  <c r="O574" i="53"/>
  <c r="N574" i="53"/>
  <c r="O573" i="53"/>
  <c r="N573" i="53"/>
  <c r="O572" i="53"/>
  <c r="N572" i="53"/>
  <c r="O571" i="53"/>
  <c r="N571" i="53"/>
  <c r="O570" i="53"/>
  <c r="N570" i="53"/>
  <c r="O569" i="53"/>
  <c r="N569" i="53"/>
  <c r="O568" i="53"/>
  <c r="N568" i="53"/>
  <c r="O567" i="53"/>
  <c r="N567" i="53"/>
  <c r="O566" i="53"/>
  <c r="N566" i="53"/>
  <c r="O565" i="53"/>
  <c r="N565" i="53"/>
  <c r="O564" i="53"/>
  <c r="N564" i="53"/>
  <c r="O563" i="53"/>
  <c r="N563" i="53"/>
  <c r="O562" i="53"/>
  <c r="N562" i="53"/>
  <c r="O561" i="53"/>
  <c r="N561" i="53"/>
  <c r="O560" i="53"/>
  <c r="N560" i="53"/>
  <c r="O559" i="53"/>
  <c r="N559" i="53"/>
  <c r="O558" i="53"/>
  <c r="N558" i="53"/>
  <c r="O557" i="53"/>
  <c r="N557" i="53"/>
  <c r="O556" i="53"/>
  <c r="N556" i="53"/>
  <c r="O555" i="53"/>
  <c r="N555" i="53"/>
  <c r="O554" i="53"/>
  <c r="N554" i="53"/>
  <c r="O553" i="53"/>
  <c r="N553" i="53"/>
  <c r="O552" i="53"/>
  <c r="N552" i="53"/>
  <c r="O551" i="53"/>
  <c r="N551" i="53"/>
  <c r="O550" i="53"/>
  <c r="N550" i="53"/>
  <c r="O549" i="53"/>
  <c r="N549" i="53"/>
  <c r="O548" i="53"/>
  <c r="N548" i="53"/>
  <c r="O547" i="53"/>
  <c r="N547" i="53"/>
  <c r="O546" i="53"/>
  <c r="N546" i="53"/>
  <c r="O545" i="53"/>
  <c r="N545" i="53"/>
  <c r="O544" i="53"/>
  <c r="N544" i="53"/>
  <c r="O543" i="53"/>
  <c r="N543" i="53"/>
  <c r="O542" i="53"/>
  <c r="N542" i="53"/>
  <c r="O541" i="53"/>
  <c r="N541" i="53"/>
  <c r="O540" i="53"/>
  <c r="N540" i="53"/>
  <c r="O539" i="53"/>
  <c r="N539" i="53"/>
  <c r="O538" i="53"/>
  <c r="N538" i="53"/>
  <c r="O537" i="53"/>
  <c r="N537" i="53"/>
  <c r="O536" i="53"/>
  <c r="N536" i="53"/>
  <c r="O535" i="53"/>
  <c r="N535" i="53"/>
  <c r="O534" i="53"/>
  <c r="N534" i="53"/>
  <c r="O533" i="53"/>
  <c r="N533" i="53"/>
  <c r="O532" i="53"/>
  <c r="N532" i="53"/>
  <c r="O531" i="53"/>
  <c r="N531" i="53"/>
  <c r="O530" i="53"/>
  <c r="N530" i="53"/>
  <c r="O529" i="53"/>
  <c r="N529" i="53"/>
  <c r="O528" i="53"/>
  <c r="N528" i="53"/>
  <c r="O527" i="53"/>
  <c r="N527" i="53"/>
  <c r="O526" i="53"/>
  <c r="N526" i="53"/>
  <c r="O525" i="53"/>
  <c r="N525" i="53"/>
  <c r="O524" i="53"/>
  <c r="N524" i="53"/>
  <c r="O523" i="53"/>
  <c r="N523" i="53"/>
  <c r="O522" i="53"/>
  <c r="N522" i="53"/>
  <c r="O521" i="53"/>
  <c r="N521" i="53"/>
  <c r="O520" i="53"/>
  <c r="N520" i="53"/>
  <c r="O519" i="53"/>
  <c r="N519" i="53"/>
  <c r="O518" i="53"/>
  <c r="N518" i="53"/>
  <c r="O517" i="53"/>
  <c r="N517" i="53"/>
  <c r="O516" i="53"/>
  <c r="N516" i="53"/>
  <c r="O515" i="53"/>
  <c r="N515" i="53"/>
  <c r="O514" i="53"/>
  <c r="N514" i="53"/>
  <c r="O513" i="53"/>
  <c r="N513" i="53"/>
  <c r="O512" i="53"/>
  <c r="N512" i="53"/>
  <c r="O511" i="53"/>
  <c r="N511" i="53"/>
  <c r="O510" i="53"/>
  <c r="N510" i="53"/>
  <c r="O509" i="53"/>
  <c r="N509" i="53"/>
  <c r="O508" i="53"/>
  <c r="N508" i="53"/>
  <c r="O507" i="53"/>
  <c r="N507" i="53"/>
  <c r="O506" i="53"/>
  <c r="N506" i="53"/>
  <c r="O505" i="53"/>
  <c r="N505" i="53"/>
  <c r="O504" i="53"/>
  <c r="N504" i="53"/>
  <c r="O503" i="53"/>
  <c r="N503" i="53"/>
  <c r="O502" i="53"/>
  <c r="N502" i="53"/>
  <c r="O501" i="53"/>
  <c r="N501" i="53"/>
  <c r="O500" i="53"/>
  <c r="N500" i="53"/>
  <c r="O499" i="53"/>
  <c r="N499" i="53"/>
  <c r="O498" i="53"/>
  <c r="N498" i="53"/>
  <c r="O497" i="53"/>
  <c r="N497" i="53"/>
  <c r="O496" i="53"/>
  <c r="N496" i="53"/>
  <c r="O495" i="53"/>
  <c r="N495" i="53"/>
  <c r="O494" i="53"/>
  <c r="N494" i="53"/>
  <c r="O493" i="53"/>
  <c r="N493" i="53"/>
  <c r="O492" i="53"/>
  <c r="N492" i="53"/>
  <c r="O491" i="53"/>
  <c r="N491" i="53"/>
  <c r="O490" i="53"/>
  <c r="N490" i="53"/>
  <c r="O489" i="53"/>
  <c r="N489" i="53"/>
  <c r="O488" i="53"/>
  <c r="N488" i="53"/>
  <c r="O487" i="53"/>
  <c r="N487" i="53"/>
  <c r="O486" i="53"/>
  <c r="N486" i="53"/>
  <c r="O485" i="53"/>
  <c r="N485" i="53"/>
  <c r="O484" i="53"/>
  <c r="N484" i="53"/>
  <c r="O483" i="53"/>
  <c r="N483" i="53"/>
  <c r="O482" i="53"/>
  <c r="N482" i="53"/>
  <c r="O481" i="53"/>
  <c r="N481" i="53"/>
  <c r="O480" i="53"/>
  <c r="N480" i="53"/>
  <c r="O479" i="53"/>
  <c r="N479" i="53"/>
  <c r="O478" i="53"/>
  <c r="N478" i="53"/>
  <c r="O477" i="53"/>
  <c r="N477" i="53"/>
  <c r="O476" i="53"/>
  <c r="N476" i="53"/>
  <c r="O475" i="53"/>
  <c r="N475" i="53"/>
  <c r="O474" i="53"/>
  <c r="N474" i="53"/>
  <c r="O473" i="53"/>
  <c r="N473" i="53"/>
  <c r="O472" i="53"/>
  <c r="N472" i="53"/>
  <c r="O471" i="53"/>
  <c r="N471" i="53"/>
  <c r="O470" i="53"/>
  <c r="N470" i="53"/>
  <c r="O469" i="53"/>
  <c r="N469" i="53"/>
  <c r="O468" i="53"/>
  <c r="N468" i="53"/>
  <c r="O467" i="53"/>
  <c r="N467" i="53"/>
  <c r="O466" i="53"/>
  <c r="N466" i="53"/>
  <c r="O465" i="53"/>
  <c r="N465" i="53"/>
  <c r="O464" i="53"/>
  <c r="N464" i="53"/>
  <c r="O463" i="53"/>
  <c r="N463" i="53"/>
  <c r="O462" i="53"/>
  <c r="N462" i="53"/>
  <c r="O461" i="53"/>
  <c r="N461" i="53"/>
  <c r="O460" i="53"/>
  <c r="N460" i="53"/>
  <c r="O459" i="53"/>
  <c r="N459" i="53"/>
  <c r="O458" i="53"/>
  <c r="N458" i="53"/>
  <c r="O457" i="53"/>
  <c r="N457" i="53"/>
  <c r="O456" i="53"/>
  <c r="N456" i="53"/>
  <c r="O455" i="53"/>
  <c r="N455" i="53"/>
  <c r="O454" i="53"/>
  <c r="N454" i="53"/>
  <c r="O453" i="53"/>
  <c r="N453" i="53"/>
  <c r="O452" i="53"/>
  <c r="N452" i="53"/>
  <c r="O451" i="53"/>
  <c r="N451" i="53"/>
  <c r="O450" i="53"/>
  <c r="N450" i="53"/>
  <c r="O449" i="53"/>
  <c r="N449" i="53"/>
  <c r="O448" i="53"/>
  <c r="N448" i="53"/>
  <c r="O447" i="53"/>
  <c r="N447" i="53"/>
  <c r="O446" i="53"/>
  <c r="N446" i="53"/>
  <c r="O445" i="53"/>
  <c r="N445" i="53"/>
  <c r="O444" i="53"/>
  <c r="N444" i="53"/>
  <c r="O443" i="53"/>
  <c r="N443" i="53"/>
  <c r="O442" i="53"/>
  <c r="N442" i="53"/>
  <c r="O441" i="53"/>
  <c r="N441" i="53"/>
  <c r="O440" i="53"/>
  <c r="N440" i="53"/>
  <c r="O439" i="53"/>
  <c r="N439" i="53"/>
  <c r="O438" i="53"/>
  <c r="N438" i="53"/>
  <c r="O437" i="53"/>
  <c r="N437" i="53"/>
  <c r="O436" i="53"/>
  <c r="N436" i="53"/>
  <c r="O435" i="53"/>
  <c r="N435" i="53"/>
  <c r="O434" i="53"/>
  <c r="N434" i="53"/>
  <c r="O433" i="53"/>
  <c r="N433" i="53"/>
  <c r="O432" i="53"/>
  <c r="N432" i="53"/>
  <c r="O431" i="53"/>
  <c r="N431" i="53"/>
  <c r="O430" i="53"/>
  <c r="N430" i="53"/>
  <c r="O429" i="53"/>
  <c r="N429" i="53"/>
  <c r="O428" i="53"/>
  <c r="N428" i="53"/>
  <c r="O427" i="53"/>
  <c r="N427" i="53"/>
  <c r="O426" i="53"/>
  <c r="N426" i="53"/>
  <c r="O425" i="53"/>
  <c r="N425" i="53"/>
  <c r="O424" i="53"/>
  <c r="N424" i="53"/>
  <c r="O423" i="53"/>
  <c r="N423" i="53"/>
  <c r="O422" i="53"/>
  <c r="N422" i="53"/>
  <c r="O421" i="53"/>
  <c r="N421" i="53"/>
  <c r="O420" i="53"/>
  <c r="N420" i="53"/>
  <c r="O419" i="53"/>
  <c r="N419" i="53"/>
  <c r="O418" i="53"/>
  <c r="N418" i="53"/>
  <c r="O417" i="53"/>
  <c r="N417" i="53"/>
  <c r="O416" i="53"/>
  <c r="N416" i="53"/>
  <c r="O415" i="53"/>
  <c r="N415" i="53"/>
  <c r="O414" i="53"/>
  <c r="N414" i="53"/>
  <c r="O413" i="53"/>
  <c r="N413" i="53"/>
  <c r="O412" i="53"/>
  <c r="N412" i="53"/>
  <c r="O411" i="53"/>
  <c r="N411" i="53"/>
  <c r="O410" i="53"/>
  <c r="N410" i="53"/>
  <c r="O409" i="53"/>
  <c r="N409" i="53"/>
  <c r="O408" i="53"/>
  <c r="N408" i="53"/>
  <c r="O407" i="53"/>
  <c r="N407" i="53"/>
  <c r="O406" i="53"/>
  <c r="N406" i="53"/>
  <c r="O405" i="53"/>
  <c r="N405" i="53"/>
  <c r="O404" i="53"/>
  <c r="N404" i="53"/>
  <c r="O403" i="53"/>
  <c r="N403" i="53"/>
  <c r="O402" i="53"/>
  <c r="N402" i="53"/>
  <c r="O401" i="53"/>
  <c r="N401" i="53"/>
  <c r="O400" i="53"/>
  <c r="N400" i="53"/>
  <c r="O399" i="53"/>
  <c r="N399" i="53"/>
  <c r="O398" i="53"/>
  <c r="N398" i="53"/>
  <c r="O397" i="53"/>
  <c r="N397" i="53"/>
  <c r="O396" i="53"/>
  <c r="N396" i="53"/>
  <c r="O395" i="53"/>
  <c r="N395" i="53"/>
  <c r="O394" i="53"/>
  <c r="N394" i="53"/>
  <c r="O393" i="53"/>
  <c r="N393" i="53"/>
  <c r="O392" i="53"/>
  <c r="N392" i="53"/>
  <c r="O391" i="53"/>
  <c r="N391" i="53"/>
  <c r="O390" i="53"/>
  <c r="N390" i="53"/>
  <c r="O389" i="53"/>
  <c r="N389" i="53"/>
  <c r="O388" i="53"/>
  <c r="N388" i="53"/>
  <c r="O387" i="53"/>
  <c r="N387" i="53"/>
  <c r="O386" i="53"/>
  <c r="N386" i="53"/>
  <c r="O385" i="53"/>
  <c r="N385" i="53"/>
  <c r="O384" i="53"/>
  <c r="N384" i="53"/>
  <c r="O383" i="53"/>
  <c r="N383" i="53"/>
  <c r="O382" i="53"/>
  <c r="N382" i="53"/>
  <c r="O381" i="53"/>
  <c r="N381" i="53"/>
  <c r="O380" i="53"/>
  <c r="N380" i="53"/>
  <c r="O379" i="53"/>
  <c r="N379" i="53"/>
  <c r="O378" i="53"/>
  <c r="N378" i="53"/>
  <c r="O377" i="53"/>
  <c r="N377" i="53"/>
  <c r="O376" i="53"/>
  <c r="N376" i="53"/>
  <c r="O375" i="53"/>
  <c r="N375" i="53"/>
  <c r="O374" i="53"/>
  <c r="N374" i="53"/>
  <c r="O373" i="53"/>
  <c r="N373" i="53"/>
  <c r="O372" i="53"/>
  <c r="N372" i="53"/>
  <c r="O371" i="53"/>
  <c r="N371" i="53"/>
  <c r="O370" i="53"/>
  <c r="N370" i="53"/>
  <c r="O369" i="53"/>
  <c r="N369" i="53"/>
  <c r="O368" i="53"/>
  <c r="N368" i="53"/>
  <c r="O367" i="53"/>
  <c r="N367" i="53"/>
  <c r="O366" i="53"/>
  <c r="N366" i="53"/>
  <c r="O365" i="53"/>
  <c r="N365" i="53"/>
  <c r="O364" i="53"/>
  <c r="N364" i="53"/>
  <c r="O363" i="53"/>
  <c r="N363" i="53"/>
  <c r="O362" i="53"/>
  <c r="N362" i="53"/>
  <c r="O361" i="53"/>
  <c r="N361" i="53"/>
  <c r="O360" i="53"/>
  <c r="N360" i="53"/>
  <c r="O359" i="53"/>
  <c r="N359" i="53"/>
  <c r="O358" i="53"/>
  <c r="N358" i="53"/>
  <c r="O357" i="53"/>
  <c r="N357" i="53"/>
  <c r="O356" i="53"/>
  <c r="N356" i="53"/>
  <c r="O355" i="53"/>
  <c r="N355" i="53"/>
  <c r="O354" i="53"/>
  <c r="N354" i="53"/>
  <c r="O353" i="53"/>
  <c r="N353" i="53"/>
  <c r="O352" i="53"/>
  <c r="N352" i="53"/>
  <c r="O351" i="53"/>
  <c r="N351" i="53"/>
  <c r="O350" i="53"/>
  <c r="N350" i="53"/>
  <c r="O349" i="53"/>
  <c r="N349" i="53"/>
  <c r="O348" i="53"/>
  <c r="N348" i="53"/>
  <c r="O347" i="53"/>
  <c r="N347" i="53"/>
  <c r="O346" i="53"/>
  <c r="N346" i="53"/>
  <c r="O345" i="53"/>
  <c r="N345" i="53"/>
  <c r="O344" i="53"/>
  <c r="N344" i="53"/>
  <c r="O343" i="53"/>
  <c r="N343" i="53"/>
  <c r="O342" i="53"/>
  <c r="N342" i="53"/>
  <c r="O341" i="53"/>
  <c r="N341" i="53"/>
  <c r="O340" i="53"/>
  <c r="N340" i="53"/>
  <c r="O339" i="53"/>
  <c r="N339" i="53"/>
  <c r="O338" i="53"/>
  <c r="N338" i="53"/>
  <c r="O337" i="53"/>
  <c r="N337" i="53"/>
  <c r="O336" i="53"/>
  <c r="N336" i="53"/>
  <c r="O335" i="53"/>
  <c r="N335" i="53"/>
  <c r="O334" i="53"/>
  <c r="N334" i="53"/>
  <c r="O333" i="53"/>
  <c r="N333" i="53"/>
  <c r="O332" i="53"/>
  <c r="N332" i="53"/>
  <c r="O331" i="53"/>
  <c r="N331" i="53"/>
  <c r="O330" i="53"/>
  <c r="N330" i="53"/>
  <c r="O329" i="53"/>
  <c r="N329" i="53"/>
  <c r="O328" i="53"/>
  <c r="N328" i="53"/>
  <c r="O327" i="53"/>
  <c r="N327" i="53"/>
  <c r="O326" i="53"/>
  <c r="N326" i="53"/>
  <c r="O325" i="53"/>
  <c r="N325" i="53"/>
  <c r="O324" i="53"/>
  <c r="N324" i="53"/>
  <c r="O323" i="53"/>
  <c r="N323" i="53"/>
  <c r="O322" i="53"/>
  <c r="N322" i="53"/>
  <c r="O321" i="53"/>
  <c r="N321" i="53"/>
  <c r="O320" i="53"/>
  <c r="N320" i="53"/>
  <c r="O319" i="53"/>
  <c r="N319" i="53"/>
  <c r="O318" i="53"/>
  <c r="N318" i="53"/>
  <c r="O317" i="53"/>
  <c r="N317" i="53"/>
  <c r="O316" i="53"/>
  <c r="N316" i="53"/>
  <c r="O315" i="53"/>
  <c r="N315" i="53"/>
  <c r="O314" i="53"/>
  <c r="N314" i="53"/>
  <c r="O313" i="53"/>
  <c r="N313" i="53"/>
  <c r="O312" i="53"/>
  <c r="N312" i="53"/>
  <c r="O311" i="53"/>
  <c r="N311" i="53"/>
  <c r="O310" i="53"/>
  <c r="N310" i="53"/>
  <c r="O309" i="53"/>
  <c r="N309" i="53"/>
  <c r="O308" i="53"/>
  <c r="N308" i="53"/>
  <c r="O307" i="53"/>
  <c r="N307" i="53"/>
  <c r="O306" i="53"/>
  <c r="N306" i="53"/>
  <c r="O305" i="53"/>
  <c r="N305" i="53"/>
  <c r="O304" i="53"/>
  <c r="N304" i="53"/>
  <c r="O303" i="53"/>
  <c r="N303" i="53"/>
  <c r="O302" i="53"/>
  <c r="N302" i="53"/>
  <c r="O301" i="53"/>
  <c r="N301" i="53"/>
  <c r="O300" i="53"/>
  <c r="N300" i="53"/>
  <c r="O299" i="53"/>
  <c r="N299" i="53"/>
  <c r="O298" i="53"/>
  <c r="N298" i="53"/>
  <c r="O297" i="53"/>
  <c r="N297" i="53"/>
  <c r="O296" i="53"/>
  <c r="N296" i="53"/>
  <c r="O295" i="53"/>
  <c r="N295" i="53"/>
  <c r="O294" i="53"/>
  <c r="N294" i="53"/>
  <c r="O293" i="53"/>
  <c r="N293" i="53"/>
  <c r="O292" i="53"/>
  <c r="N292" i="53"/>
  <c r="O291" i="53"/>
  <c r="N291" i="53"/>
  <c r="O290" i="53"/>
  <c r="N290" i="53"/>
  <c r="O289" i="53"/>
  <c r="N289" i="53"/>
  <c r="O288" i="53"/>
  <c r="N288" i="53"/>
  <c r="O287" i="53"/>
  <c r="N287" i="53"/>
  <c r="O286" i="53"/>
  <c r="N286" i="53"/>
  <c r="O285" i="53"/>
  <c r="N285" i="53"/>
  <c r="O284" i="53"/>
  <c r="N284" i="53"/>
  <c r="O283" i="53"/>
  <c r="N283" i="53"/>
  <c r="O282" i="53"/>
  <c r="N282" i="53"/>
  <c r="O281" i="53"/>
  <c r="N281" i="53"/>
  <c r="O280" i="53"/>
  <c r="N280" i="53"/>
  <c r="O279" i="53"/>
  <c r="N279" i="53"/>
  <c r="O278" i="53"/>
  <c r="N278" i="53"/>
  <c r="O277" i="53"/>
  <c r="N277" i="53"/>
  <c r="O276" i="53"/>
  <c r="N276" i="53"/>
  <c r="O275" i="53"/>
  <c r="N275" i="53"/>
  <c r="O274" i="53"/>
  <c r="N274" i="53"/>
  <c r="O273" i="53"/>
  <c r="N273" i="53"/>
  <c r="O272" i="53"/>
  <c r="N272" i="53"/>
  <c r="O271" i="53"/>
  <c r="N271" i="53"/>
  <c r="O270" i="53"/>
  <c r="N270" i="53"/>
  <c r="O269" i="53"/>
  <c r="N269" i="53"/>
  <c r="O268" i="53"/>
  <c r="N268" i="53"/>
  <c r="O267" i="53"/>
  <c r="N267" i="53"/>
  <c r="O266" i="53"/>
  <c r="N266" i="53"/>
  <c r="O265" i="53"/>
  <c r="N265" i="53"/>
  <c r="O264" i="53"/>
  <c r="N264" i="53"/>
  <c r="O263" i="53"/>
  <c r="N263" i="53"/>
  <c r="O262" i="53"/>
  <c r="N262" i="53"/>
  <c r="O261" i="53"/>
  <c r="N261" i="53"/>
  <c r="O260" i="53"/>
  <c r="N260" i="53"/>
  <c r="O259" i="53"/>
  <c r="N259" i="53"/>
  <c r="O258" i="53"/>
  <c r="N258" i="53"/>
  <c r="O257" i="53"/>
  <c r="N257" i="53"/>
  <c r="O256" i="53"/>
  <c r="N256" i="53"/>
  <c r="O255" i="53"/>
  <c r="N255" i="53"/>
  <c r="O254" i="53"/>
  <c r="N254" i="53"/>
  <c r="O253" i="53"/>
  <c r="N253" i="53"/>
  <c r="O252" i="53"/>
  <c r="N252" i="53"/>
  <c r="O251" i="53"/>
  <c r="N251" i="53"/>
  <c r="O250" i="53"/>
  <c r="N250" i="53"/>
  <c r="O249" i="53"/>
  <c r="N249" i="53"/>
  <c r="O248" i="53"/>
  <c r="N248" i="53"/>
  <c r="O247" i="53"/>
  <c r="N247" i="53"/>
  <c r="O246" i="53"/>
  <c r="N246" i="53"/>
  <c r="O245" i="53"/>
  <c r="N245" i="53"/>
  <c r="O244" i="53"/>
  <c r="N244" i="53"/>
  <c r="O243" i="53"/>
  <c r="N243" i="53"/>
  <c r="O242" i="53"/>
  <c r="N242" i="53"/>
  <c r="O241" i="53"/>
  <c r="N241" i="53"/>
  <c r="O240" i="53"/>
  <c r="N240" i="53"/>
  <c r="O239" i="53"/>
  <c r="N239" i="53"/>
  <c r="O238" i="53"/>
  <c r="N238" i="53"/>
  <c r="O237" i="53"/>
  <c r="N237" i="53"/>
  <c r="O236" i="53"/>
  <c r="N236" i="53"/>
  <c r="O235" i="53"/>
  <c r="N235" i="53"/>
  <c r="O234" i="53"/>
  <c r="N234" i="53"/>
  <c r="O233" i="53"/>
  <c r="N233" i="53"/>
  <c r="O232" i="53"/>
  <c r="N232" i="53"/>
  <c r="O231" i="53"/>
  <c r="N231" i="53"/>
  <c r="O230" i="53"/>
  <c r="N230" i="53"/>
  <c r="O229" i="53"/>
  <c r="N229" i="53"/>
  <c r="O228" i="53"/>
  <c r="N228" i="53"/>
  <c r="O227" i="53"/>
  <c r="N227" i="53"/>
  <c r="O226" i="53"/>
  <c r="N226" i="53"/>
  <c r="O225" i="53"/>
  <c r="N225" i="53"/>
  <c r="O224" i="53"/>
  <c r="N224" i="53"/>
  <c r="O223" i="53"/>
  <c r="N223" i="53"/>
  <c r="O222" i="53"/>
  <c r="N222" i="53"/>
  <c r="O221" i="53"/>
  <c r="N221" i="53"/>
  <c r="O220" i="53"/>
  <c r="N220" i="53"/>
  <c r="O219" i="53"/>
  <c r="N219" i="53"/>
  <c r="O218" i="53"/>
  <c r="N218" i="53"/>
  <c r="O217" i="53"/>
  <c r="N217" i="53"/>
  <c r="O216" i="53"/>
  <c r="N216" i="53"/>
  <c r="O215" i="53"/>
  <c r="N215" i="53"/>
  <c r="O214" i="53"/>
  <c r="N214" i="53"/>
  <c r="O213" i="53"/>
  <c r="N213" i="53"/>
  <c r="O212" i="53"/>
  <c r="N212" i="53"/>
  <c r="O211" i="53"/>
  <c r="N211" i="53"/>
  <c r="O210" i="53"/>
  <c r="N210" i="53"/>
  <c r="O209" i="53"/>
  <c r="N209" i="53"/>
  <c r="O208" i="53"/>
  <c r="N208" i="53"/>
  <c r="O207" i="53"/>
  <c r="N207" i="53"/>
  <c r="O206" i="53"/>
  <c r="N206" i="53"/>
  <c r="O205" i="53"/>
  <c r="N205" i="53"/>
  <c r="O204" i="53"/>
  <c r="N204" i="53"/>
  <c r="O203" i="53"/>
  <c r="N203" i="53"/>
  <c r="O202" i="53"/>
  <c r="N202" i="53"/>
  <c r="O201" i="53"/>
  <c r="N201" i="53"/>
  <c r="O200" i="53"/>
  <c r="N200" i="53"/>
  <c r="O199" i="53"/>
  <c r="N199" i="53"/>
  <c r="O198" i="53"/>
  <c r="N198" i="53"/>
  <c r="O197" i="53"/>
  <c r="N197" i="53"/>
  <c r="O196" i="53"/>
  <c r="N196" i="53"/>
  <c r="O195" i="53"/>
  <c r="N195" i="53"/>
  <c r="O194" i="53"/>
  <c r="N194" i="53"/>
  <c r="O193" i="53"/>
  <c r="N193" i="53"/>
  <c r="O192" i="53"/>
  <c r="N192" i="53"/>
  <c r="O191" i="53"/>
  <c r="N191" i="53"/>
  <c r="O190" i="53"/>
  <c r="N190" i="53"/>
  <c r="O189" i="53"/>
  <c r="N189" i="53"/>
  <c r="O188" i="53"/>
  <c r="N188" i="53"/>
  <c r="O187" i="53"/>
  <c r="N187" i="53"/>
  <c r="O186" i="53"/>
  <c r="N186" i="53"/>
  <c r="O185" i="53"/>
  <c r="N185" i="53"/>
  <c r="O184" i="53"/>
  <c r="N184" i="53"/>
  <c r="O183" i="53"/>
  <c r="N183" i="53"/>
  <c r="O182" i="53"/>
  <c r="N182" i="53"/>
  <c r="O181" i="53"/>
  <c r="N181" i="53"/>
  <c r="O180" i="53"/>
  <c r="N180" i="53"/>
  <c r="O179" i="53"/>
  <c r="N179" i="53"/>
  <c r="O178" i="53"/>
  <c r="N178" i="53"/>
  <c r="O177" i="53"/>
  <c r="N177" i="53"/>
  <c r="O176" i="53"/>
  <c r="N176" i="53"/>
  <c r="O175" i="53"/>
  <c r="N175" i="53"/>
  <c r="O174" i="53"/>
  <c r="N174" i="53"/>
  <c r="O173" i="53"/>
  <c r="N173" i="53"/>
  <c r="O172" i="53"/>
  <c r="N172" i="53"/>
  <c r="O171" i="53"/>
  <c r="N171" i="53"/>
  <c r="O170" i="53"/>
  <c r="N170" i="53"/>
  <c r="O169" i="53"/>
  <c r="N169" i="53"/>
  <c r="O168" i="53"/>
  <c r="N168" i="53"/>
  <c r="O167" i="53"/>
  <c r="N167" i="53"/>
  <c r="O166" i="53"/>
  <c r="N166" i="53"/>
  <c r="O165" i="53"/>
  <c r="N165" i="53"/>
  <c r="O164" i="53"/>
  <c r="N164" i="53"/>
  <c r="O163" i="53"/>
  <c r="N163" i="53"/>
  <c r="O162" i="53"/>
  <c r="N162" i="53"/>
  <c r="O161" i="53"/>
  <c r="N161" i="53"/>
  <c r="O160" i="53"/>
  <c r="N160" i="53"/>
  <c r="O159" i="53"/>
  <c r="N159" i="53"/>
  <c r="O158" i="53"/>
  <c r="N158" i="53"/>
  <c r="O157" i="53"/>
  <c r="N157" i="53"/>
  <c r="O156" i="53"/>
  <c r="N156" i="53"/>
  <c r="O155" i="53"/>
  <c r="N155" i="53"/>
  <c r="O154" i="53"/>
  <c r="N154" i="53"/>
  <c r="O153" i="53"/>
  <c r="N153" i="53"/>
  <c r="O152" i="53"/>
  <c r="N152" i="53"/>
  <c r="O151" i="53"/>
  <c r="N151" i="53"/>
  <c r="O150" i="53"/>
  <c r="N150" i="53"/>
  <c r="O149" i="53"/>
  <c r="N149" i="53"/>
  <c r="O148" i="53"/>
  <c r="N148" i="53"/>
  <c r="O147" i="53"/>
  <c r="N147" i="53"/>
  <c r="O146" i="53"/>
  <c r="N146" i="53"/>
  <c r="O145" i="53"/>
  <c r="N145" i="53"/>
  <c r="O144" i="53"/>
  <c r="N144" i="53"/>
  <c r="O143" i="53"/>
  <c r="N143" i="53"/>
  <c r="O142" i="53"/>
  <c r="N142" i="53"/>
  <c r="O141" i="53"/>
  <c r="N141" i="53"/>
  <c r="O140" i="53"/>
  <c r="N140" i="53"/>
  <c r="O139" i="53"/>
  <c r="N139" i="53"/>
  <c r="O138" i="53"/>
  <c r="N138" i="53"/>
  <c r="O137" i="53"/>
  <c r="N137" i="53"/>
  <c r="O136" i="53"/>
  <c r="N136" i="53"/>
  <c r="O135" i="53"/>
  <c r="N135" i="53"/>
  <c r="O134" i="53"/>
  <c r="N134" i="53"/>
  <c r="O133" i="53"/>
  <c r="N133" i="53"/>
  <c r="O132" i="53"/>
  <c r="N132" i="53"/>
  <c r="O131" i="53"/>
  <c r="N131" i="53"/>
  <c r="O130" i="53"/>
  <c r="N130" i="53"/>
  <c r="O129" i="53"/>
  <c r="N129" i="53"/>
  <c r="O128" i="53"/>
  <c r="N128" i="53"/>
  <c r="O127" i="53"/>
  <c r="N127" i="53"/>
  <c r="O126" i="53"/>
  <c r="N126" i="53"/>
  <c r="O125" i="53"/>
  <c r="N125" i="53"/>
  <c r="O124" i="53"/>
  <c r="N124" i="53"/>
  <c r="O123" i="53"/>
  <c r="N123" i="53"/>
  <c r="O122" i="53"/>
  <c r="N122" i="53"/>
  <c r="O121" i="53"/>
  <c r="N121" i="53"/>
  <c r="O120" i="53"/>
  <c r="N120" i="53"/>
  <c r="O119" i="53"/>
  <c r="N119" i="53"/>
  <c r="O118" i="53"/>
  <c r="N118" i="53"/>
  <c r="O117" i="53"/>
  <c r="N117" i="53"/>
  <c r="O116" i="53"/>
  <c r="N116" i="53"/>
  <c r="O115" i="53"/>
  <c r="N115" i="53"/>
  <c r="O114" i="53"/>
  <c r="N114" i="53"/>
  <c r="O113" i="53"/>
  <c r="N113" i="53"/>
  <c r="O112" i="53"/>
  <c r="N112" i="53"/>
  <c r="O111" i="53"/>
  <c r="N111" i="53"/>
  <c r="O110" i="53"/>
  <c r="N110" i="53"/>
  <c r="O109" i="53"/>
  <c r="N109" i="53"/>
  <c r="O108" i="53"/>
  <c r="N108" i="53"/>
  <c r="O107" i="53"/>
  <c r="N107" i="53"/>
  <c r="O106" i="53"/>
  <c r="N106" i="53"/>
  <c r="O105" i="53"/>
  <c r="N105" i="53"/>
  <c r="O104" i="53"/>
  <c r="N104" i="53"/>
  <c r="O103" i="53"/>
  <c r="N103" i="53"/>
  <c r="O102" i="53"/>
  <c r="N102" i="53"/>
  <c r="O101" i="53"/>
  <c r="N101" i="53"/>
  <c r="O100" i="53"/>
  <c r="N100" i="53"/>
  <c r="O99" i="53"/>
  <c r="N99" i="53"/>
  <c r="O98" i="53"/>
  <c r="N98" i="53"/>
  <c r="O97" i="53"/>
  <c r="N97" i="53"/>
  <c r="O96" i="53"/>
  <c r="N96" i="53"/>
  <c r="O95" i="53"/>
  <c r="N95" i="53"/>
  <c r="O94" i="53"/>
  <c r="N94" i="53"/>
  <c r="O93" i="53"/>
  <c r="N93" i="53"/>
  <c r="O92" i="53"/>
  <c r="N92" i="53"/>
  <c r="O91" i="53"/>
  <c r="N91" i="53"/>
  <c r="O90" i="53"/>
  <c r="N90" i="53"/>
  <c r="O89" i="53"/>
  <c r="N89" i="53"/>
  <c r="O88" i="53"/>
  <c r="N88" i="53"/>
  <c r="O87" i="53"/>
  <c r="N87" i="53"/>
  <c r="O86" i="53"/>
  <c r="N86" i="53"/>
  <c r="O85" i="53"/>
  <c r="N85" i="53"/>
  <c r="O84" i="53"/>
  <c r="N84" i="53"/>
  <c r="O83" i="53"/>
  <c r="N83" i="53"/>
  <c r="O82" i="53"/>
  <c r="N82" i="53"/>
  <c r="O81" i="53"/>
  <c r="N81" i="53"/>
  <c r="O80" i="53"/>
  <c r="N80" i="53"/>
  <c r="O79" i="53"/>
  <c r="N79" i="53"/>
  <c r="O78" i="53"/>
  <c r="N78" i="53"/>
  <c r="O77" i="53"/>
  <c r="N77" i="53"/>
  <c r="O76" i="53"/>
  <c r="N76" i="53"/>
  <c r="O75" i="53"/>
  <c r="N75" i="53"/>
  <c r="O74" i="53"/>
  <c r="N74" i="53"/>
  <c r="O73" i="53"/>
  <c r="N73" i="53"/>
  <c r="O72" i="53"/>
  <c r="N72" i="53"/>
  <c r="O71" i="53"/>
  <c r="N71" i="53"/>
  <c r="O70" i="53"/>
  <c r="N70" i="53"/>
  <c r="O69" i="53"/>
  <c r="N69" i="53"/>
  <c r="O68" i="53"/>
  <c r="N68" i="53"/>
  <c r="O67" i="53"/>
  <c r="N67" i="53"/>
  <c r="O66" i="53"/>
  <c r="N66" i="53"/>
  <c r="O65" i="53"/>
  <c r="N65" i="53"/>
  <c r="O64" i="53"/>
  <c r="N64" i="53"/>
  <c r="O63" i="53"/>
  <c r="N63" i="53"/>
  <c r="O62" i="53"/>
  <c r="N62" i="53"/>
  <c r="O61" i="53"/>
  <c r="N61" i="53"/>
  <c r="O60" i="53"/>
  <c r="N60" i="53"/>
  <c r="O59" i="53"/>
  <c r="N59" i="53"/>
  <c r="O58" i="53"/>
  <c r="N58" i="53"/>
  <c r="O57" i="53"/>
  <c r="N57" i="53"/>
  <c r="O56" i="53"/>
  <c r="N56" i="53"/>
  <c r="O55" i="53"/>
  <c r="N55" i="53"/>
  <c r="O54" i="53"/>
  <c r="N54" i="53"/>
  <c r="O53" i="53"/>
  <c r="N53" i="53"/>
  <c r="O52" i="53"/>
  <c r="N52" i="53"/>
  <c r="O51" i="53"/>
  <c r="N51" i="53"/>
  <c r="O50" i="53"/>
  <c r="N50" i="53"/>
  <c r="O49" i="53"/>
  <c r="N49" i="53"/>
  <c r="O48" i="53"/>
  <c r="N48" i="53"/>
  <c r="O47" i="53"/>
  <c r="N47" i="53"/>
  <c r="O46" i="53"/>
  <c r="N46" i="53"/>
  <c r="O45" i="53"/>
  <c r="N45" i="53"/>
  <c r="O44" i="53"/>
  <c r="N44" i="53"/>
  <c r="O43" i="53"/>
  <c r="N43" i="53"/>
  <c r="O42" i="53"/>
  <c r="N42" i="53"/>
  <c r="O41" i="53"/>
  <c r="N41" i="53"/>
  <c r="O40" i="53"/>
  <c r="N40" i="53"/>
  <c r="O39" i="53"/>
  <c r="N39" i="53"/>
  <c r="O38" i="53"/>
  <c r="N38" i="53"/>
  <c r="O37" i="53"/>
  <c r="N37" i="53"/>
  <c r="O36" i="53"/>
  <c r="N36" i="53"/>
  <c r="O35" i="53"/>
  <c r="N35" i="53"/>
  <c r="O34" i="53"/>
  <c r="N34" i="53"/>
  <c r="O33" i="53"/>
  <c r="N33" i="53"/>
  <c r="O32" i="53"/>
  <c r="N32" i="53"/>
  <c r="O31" i="53"/>
  <c r="N31" i="53"/>
  <c r="O30" i="53"/>
  <c r="N30" i="53"/>
  <c r="O29" i="53"/>
  <c r="N29" i="53"/>
  <c r="O28" i="53"/>
  <c r="N28" i="53"/>
  <c r="O27" i="53"/>
  <c r="N27" i="53"/>
  <c r="O26" i="53"/>
  <c r="N26" i="53"/>
  <c r="O25" i="53"/>
  <c r="N25" i="53"/>
  <c r="O24" i="53"/>
  <c r="N24" i="53"/>
  <c r="O23" i="53"/>
  <c r="N23" i="53"/>
  <c r="O22" i="53"/>
  <c r="N22" i="53"/>
  <c r="O21" i="53"/>
  <c r="N21" i="53"/>
  <c r="O20" i="53"/>
  <c r="N20" i="53"/>
  <c r="O19" i="53"/>
  <c r="N19" i="53"/>
  <c r="O18" i="53"/>
  <c r="N18" i="53"/>
  <c r="O17" i="53"/>
  <c r="N17" i="53"/>
  <c r="O16" i="53"/>
  <c r="N16" i="53"/>
  <c r="O15" i="53"/>
  <c r="N15" i="53"/>
  <c r="O14" i="53"/>
  <c r="N14" i="53"/>
  <c r="O13" i="53"/>
  <c r="N13" i="53"/>
  <c r="O12" i="53"/>
  <c r="N12" i="53"/>
  <c r="O11" i="53"/>
  <c r="N11" i="53"/>
  <c r="O10" i="53"/>
  <c r="N10" i="53"/>
  <c r="O9" i="53"/>
  <c r="N9" i="53"/>
  <c r="O8" i="53"/>
  <c r="N8" i="53"/>
  <c r="O7" i="53"/>
  <c r="N7" i="53"/>
  <c r="O6" i="53"/>
  <c r="N6" i="53"/>
  <c r="O5" i="53"/>
  <c r="N5" i="53"/>
  <c r="O4" i="53"/>
  <c r="N4" i="53"/>
  <c r="F173" i="31" l="1"/>
  <c r="F171" i="31"/>
  <c r="E171" i="31"/>
  <c r="E173" i="31"/>
  <c r="E159" i="31"/>
  <c r="E10" i="31"/>
  <c r="F10" i="31"/>
  <c r="F147" i="31"/>
  <c r="F159" i="31"/>
  <c r="F135" i="31"/>
  <c r="E147" i="31"/>
  <c r="E135" i="31"/>
  <c r="F123" i="31"/>
  <c r="E123" i="31"/>
  <c r="E111" i="31"/>
  <c r="F111" i="31"/>
  <c r="X5" i="53"/>
  <c r="R11" i="53"/>
  <c r="S11" i="53" s="1"/>
  <c r="R27" i="53"/>
  <c r="S27" i="53" s="1"/>
  <c r="R43" i="53"/>
  <c r="S43" i="53" s="1"/>
  <c r="R59" i="53"/>
  <c r="S59" i="53" s="1"/>
  <c r="R75" i="53"/>
  <c r="S75" i="53" s="1"/>
  <c r="AF75" i="53" s="1"/>
  <c r="R91" i="53"/>
  <c r="S91" i="53" s="1"/>
  <c r="R107" i="53"/>
  <c r="S107" i="53" s="1"/>
  <c r="R123" i="53"/>
  <c r="S123" i="53" s="1"/>
  <c r="R139" i="53"/>
  <c r="S139" i="53" s="1"/>
  <c r="R155" i="53"/>
  <c r="S155" i="53" s="1"/>
  <c r="R171" i="53"/>
  <c r="S171" i="53" s="1"/>
  <c r="R187" i="53"/>
  <c r="S187" i="53" s="1"/>
  <c r="R203" i="53"/>
  <c r="S203" i="53" s="1"/>
  <c r="R219" i="53"/>
  <c r="S219" i="53" s="1"/>
  <c r="R235" i="53"/>
  <c r="S235" i="53" s="1"/>
  <c r="R251" i="53"/>
  <c r="S251" i="53" s="1"/>
  <c r="R267" i="53"/>
  <c r="S267" i="53" s="1"/>
  <c r="R283" i="53"/>
  <c r="S283" i="53" s="1"/>
  <c r="R299" i="53"/>
  <c r="S299" i="53" s="1"/>
  <c r="R315" i="53"/>
  <c r="S315" i="53" s="1"/>
  <c r="R331" i="53"/>
  <c r="S331" i="53" s="1"/>
  <c r="R347" i="53"/>
  <c r="S347" i="53" s="1"/>
  <c r="R363" i="53"/>
  <c r="S363" i="53" s="1"/>
  <c r="R379" i="53"/>
  <c r="S379" i="53" s="1"/>
  <c r="R395" i="53"/>
  <c r="S395" i="53" s="1"/>
  <c r="R411" i="53"/>
  <c r="S411" i="53" s="1"/>
  <c r="R427" i="53"/>
  <c r="S427" i="53" s="1"/>
  <c r="R443" i="53"/>
  <c r="S443" i="53" s="1"/>
  <c r="R459" i="53"/>
  <c r="S459" i="53" s="1"/>
  <c r="R475" i="53"/>
  <c r="S475" i="53" s="1"/>
  <c r="R491" i="53"/>
  <c r="S491" i="53" s="1"/>
  <c r="R507" i="53"/>
  <c r="S507" i="53" s="1"/>
  <c r="R523" i="53"/>
  <c r="S523" i="53" s="1"/>
  <c r="R539" i="53"/>
  <c r="S539" i="53" s="1"/>
  <c r="R555" i="53"/>
  <c r="S555" i="53" s="1"/>
  <c r="R571" i="53"/>
  <c r="S571" i="53" s="1"/>
  <c r="R587" i="53"/>
  <c r="S587" i="53" s="1"/>
  <c r="R603" i="53"/>
  <c r="S603" i="53" s="1"/>
  <c r="R619" i="53"/>
  <c r="S619" i="53" s="1"/>
  <c r="R635" i="53"/>
  <c r="S635" i="53" s="1"/>
  <c r="R651" i="53"/>
  <c r="S651" i="53" s="1"/>
  <c r="R667" i="53"/>
  <c r="S667" i="53" s="1"/>
  <c r="R683" i="53"/>
  <c r="S683" i="53" s="1"/>
  <c r="R699" i="53"/>
  <c r="S699" i="53" s="1"/>
  <c r="R715" i="53"/>
  <c r="S715" i="53" s="1"/>
  <c r="R731" i="53"/>
  <c r="S731" i="53" s="1"/>
  <c r="R747" i="53"/>
  <c r="S747" i="53" s="1"/>
  <c r="R763" i="53"/>
  <c r="S763" i="53" s="1"/>
  <c r="R779" i="53"/>
  <c r="S779" i="53" s="1"/>
  <c r="R795" i="53"/>
  <c r="S795" i="53" s="1"/>
  <c r="R811" i="53"/>
  <c r="S811" i="53" s="1"/>
  <c r="R827" i="53"/>
  <c r="S827" i="53" s="1"/>
  <c r="R843" i="53"/>
  <c r="S843" i="53" s="1"/>
  <c r="R859" i="53"/>
  <c r="S859" i="53" s="1"/>
  <c r="R875" i="53"/>
  <c r="S875" i="53" s="1"/>
  <c r="R891" i="53"/>
  <c r="S891" i="53" s="1"/>
  <c r="R907" i="53"/>
  <c r="S907" i="53" s="1"/>
  <c r="R923" i="53"/>
  <c r="S923" i="53" s="1"/>
  <c r="R939" i="53"/>
  <c r="S939" i="53" s="1"/>
  <c r="R955" i="53"/>
  <c r="S955" i="53" s="1"/>
  <c r="R971" i="53"/>
  <c r="S971" i="53" s="1"/>
  <c r="R12" i="53"/>
  <c r="R28" i="53"/>
  <c r="S28" i="53" s="1"/>
  <c r="R44" i="53"/>
  <c r="S44" i="53" s="1"/>
  <c r="R60" i="53"/>
  <c r="S60" i="53" s="1"/>
  <c r="R76" i="53"/>
  <c r="S76" i="53" s="1"/>
  <c r="R92" i="53"/>
  <c r="S92" i="53" s="1"/>
  <c r="R108" i="53"/>
  <c r="S108" i="53" s="1"/>
  <c r="R124" i="53"/>
  <c r="S124" i="53" s="1"/>
  <c r="R140" i="53"/>
  <c r="S140" i="53" s="1"/>
  <c r="R156" i="53"/>
  <c r="S156" i="53" s="1"/>
  <c r="R172" i="53"/>
  <c r="S172" i="53" s="1"/>
  <c r="R188" i="53"/>
  <c r="S188" i="53" s="1"/>
  <c r="R204" i="53"/>
  <c r="S204" i="53" s="1"/>
  <c r="R220" i="53"/>
  <c r="S220" i="53" s="1"/>
  <c r="R236" i="53"/>
  <c r="S236" i="53" s="1"/>
  <c r="R252" i="53"/>
  <c r="S252" i="53" s="1"/>
  <c r="R268" i="53"/>
  <c r="S268" i="53" s="1"/>
  <c r="R284" i="53"/>
  <c r="S284" i="53" s="1"/>
  <c r="R300" i="53"/>
  <c r="S300" i="53" s="1"/>
  <c r="R316" i="53"/>
  <c r="S316" i="53" s="1"/>
  <c r="R332" i="53"/>
  <c r="S332" i="53" s="1"/>
  <c r="R348" i="53"/>
  <c r="S348" i="53" s="1"/>
  <c r="R364" i="53"/>
  <c r="S364" i="53" s="1"/>
  <c r="R380" i="53"/>
  <c r="S380" i="53" s="1"/>
  <c r="R396" i="53"/>
  <c r="S396" i="53" s="1"/>
  <c r="R412" i="53"/>
  <c r="S412" i="53" s="1"/>
  <c r="R428" i="53"/>
  <c r="S428" i="53" s="1"/>
  <c r="R444" i="53"/>
  <c r="S444" i="53" s="1"/>
  <c r="R460" i="53"/>
  <c r="S460" i="53" s="1"/>
  <c r="R476" i="53"/>
  <c r="S476" i="53" s="1"/>
  <c r="R492" i="53"/>
  <c r="S492" i="53" s="1"/>
  <c r="R508" i="53"/>
  <c r="S508" i="53" s="1"/>
  <c r="R524" i="53"/>
  <c r="S524" i="53" s="1"/>
  <c r="R540" i="53"/>
  <c r="S540" i="53" s="1"/>
  <c r="R556" i="53"/>
  <c r="S556" i="53" s="1"/>
  <c r="R572" i="53"/>
  <c r="S572" i="53" s="1"/>
  <c r="R588" i="53"/>
  <c r="S588" i="53" s="1"/>
  <c r="R604" i="53"/>
  <c r="S604" i="53" s="1"/>
  <c r="R620" i="53"/>
  <c r="S620" i="53" s="1"/>
  <c r="R636" i="53"/>
  <c r="S636" i="53" s="1"/>
  <c r="R652" i="53"/>
  <c r="S652" i="53" s="1"/>
  <c r="R668" i="53"/>
  <c r="S668" i="53" s="1"/>
  <c r="R684" i="53"/>
  <c r="S684" i="53" s="1"/>
  <c r="R700" i="53"/>
  <c r="S700" i="53" s="1"/>
  <c r="R13" i="53"/>
  <c r="R29" i="53"/>
  <c r="S29" i="53" s="1"/>
  <c r="R45" i="53"/>
  <c r="S45" i="53" s="1"/>
  <c r="AF45" i="53" s="1"/>
  <c r="R61" i="53"/>
  <c r="S61" i="53" s="1"/>
  <c r="R77" i="53"/>
  <c r="S77" i="53" s="1"/>
  <c r="R93" i="53"/>
  <c r="S93" i="53" s="1"/>
  <c r="R109" i="53"/>
  <c r="S109" i="53" s="1"/>
  <c r="R125" i="53"/>
  <c r="S125" i="53" s="1"/>
  <c r="R141" i="53"/>
  <c r="S141" i="53" s="1"/>
  <c r="R157" i="53"/>
  <c r="S157" i="53" s="1"/>
  <c r="R173" i="53"/>
  <c r="S173" i="53" s="1"/>
  <c r="R189" i="53"/>
  <c r="S189" i="53" s="1"/>
  <c r="R205" i="53"/>
  <c r="S205" i="53" s="1"/>
  <c r="R221" i="53"/>
  <c r="S221" i="53" s="1"/>
  <c r="R237" i="53"/>
  <c r="S237" i="53" s="1"/>
  <c r="R253" i="53"/>
  <c r="S253" i="53" s="1"/>
  <c r="R269" i="53"/>
  <c r="S269" i="53" s="1"/>
  <c r="R285" i="53"/>
  <c r="S285" i="53" s="1"/>
  <c r="R301" i="53"/>
  <c r="S301" i="53" s="1"/>
  <c r="R317" i="53"/>
  <c r="S317" i="53" s="1"/>
  <c r="R333" i="53"/>
  <c r="S333" i="53" s="1"/>
  <c r="R349" i="53"/>
  <c r="S349" i="53" s="1"/>
  <c r="R365" i="53"/>
  <c r="S365" i="53" s="1"/>
  <c r="R381" i="53"/>
  <c r="S381" i="53" s="1"/>
  <c r="R397" i="53"/>
  <c r="S397" i="53" s="1"/>
  <c r="R413" i="53"/>
  <c r="S413" i="53" s="1"/>
  <c r="R429" i="53"/>
  <c r="S429" i="53" s="1"/>
  <c r="R445" i="53"/>
  <c r="S445" i="53" s="1"/>
  <c r="R461" i="53"/>
  <c r="S461" i="53" s="1"/>
  <c r="R477" i="53"/>
  <c r="S477" i="53" s="1"/>
  <c r="R493" i="53"/>
  <c r="S493" i="53" s="1"/>
  <c r="R509" i="53"/>
  <c r="S509" i="53" s="1"/>
  <c r="R525" i="53"/>
  <c r="S525" i="53" s="1"/>
  <c r="R541" i="53"/>
  <c r="S541" i="53" s="1"/>
  <c r="R557" i="53"/>
  <c r="S557" i="53" s="1"/>
  <c r="R573" i="53"/>
  <c r="S573" i="53" s="1"/>
  <c r="R589" i="53"/>
  <c r="S589" i="53" s="1"/>
  <c r="R605" i="53"/>
  <c r="S605" i="53" s="1"/>
  <c r="R621" i="53"/>
  <c r="S621" i="53" s="1"/>
  <c r="R637" i="53"/>
  <c r="S637" i="53" s="1"/>
  <c r="R653" i="53"/>
  <c r="S653" i="53" s="1"/>
  <c r="R669" i="53"/>
  <c r="S669" i="53" s="1"/>
  <c r="R685" i="53"/>
  <c r="S685" i="53" s="1"/>
  <c r="R701" i="53"/>
  <c r="S701" i="53" s="1"/>
  <c r="R717" i="53"/>
  <c r="S717" i="53" s="1"/>
  <c r="R733" i="53"/>
  <c r="S733" i="53" s="1"/>
  <c r="R14" i="53"/>
  <c r="S14" i="53" s="1"/>
  <c r="R30" i="53"/>
  <c r="S30" i="53" s="1"/>
  <c r="R46" i="53"/>
  <c r="S46" i="53" s="1"/>
  <c r="R62" i="53"/>
  <c r="S62" i="53" s="1"/>
  <c r="R78" i="53"/>
  <c r="S78" i="53" s="1"/>
  <c r="R94" i="53"/>
  <c r="S94" i="53" s="1"/>
  <c r="R110" i="53"/>
  <c r="R126" i="53"/>
  <c r="S126" i="53" s="1"/>
  <c r="R142" i="53"/>
  <c r="S142" i="53" s="1"/>
  <c r="R158" i="53"/>
  <c r="S158" i="53" s="1"/>
  <c r="R174" i="53"/>
  <c r="S174" i="53" s="1"/>
  <c r="R190" i="53"/>
  <c r="S190" i="53" s="1"/>
  <c r="R206" i="53"/>
  <c r="S206" i="53" s="1"/>
  <c r="R222" i="53"/>
  <c r="S222" i="53" s="1"/>
  <c r="R238" i="53"/>
  <c r="S238" i="53" s="1"/>
  <c r="R254" i="53"/>
  <c r="S254" i="53" s="1"/>
  <c r="R270" i="53"/>
  <c r="S270" i="53" s="1"/>
  <c r="R286" i="53"/>
  <c r="S286" i="53" s="1"/>
  <c r="R302" i="53"/>
  <c r="S302" i="53" s="1"/>
  <c r="R318" i="53"/>
  <c r="S318" i="53" s="1"/>
  <c r="R334" i="53"/>
  <c r="S334" i="53" s="1"/>
  <c r="R350" i="53"/>
  <c r="S350" i="53" s="1"/>
  <c r="R366" i="53"/>
  <c r="S366" i="53" s="1"/>
  <c r="R382" i="53"/>
  <c r="S382" i="53" s="1"/>
  <c r="R398" i="53"/>
  <c r="S398" i="53" s="1"/>
  <c r="R414" i="53"/>
  <c r="S414" i="53" s="1"/>
  <c r="R430" i="53"/>
  <c r="S430" i="53" s="1"/>
  <c r="R446" i="53"/>
  <c r="S446" i="53" s="1"/>
  <c r="R462" i="53"/>
  <c r="S462" i="53" s="1"/>
  <c r="R478" i="53"/>
  <c r="S478" i="53" s="1"/>
  <c r="R494" i="53"/>
  <c r="S494" i="53" s="1"/>
  <c r="R510" i="53"/>
  <c r="S510" i="53" s="1"/>
  <c r="R526" i="53"/>
  <c r="S526" i="53" s="1"/>
  <c r="R542" i="53"/>
  <c r="S542" i="53" s="1"/>
  <c r="R558" i="53"/>
  <c r="S558" i="53" s="1"/>
  <c r="R574" i="53"/>
  <c r="S574" i="53" s="1"/>
  <c r="R590" i="53"/>
  <c r="S590" i="53" s="1"/>
  <c r="R606" i="53"/>
  <c r="S606" i="53" s="1"/>
  <c r="R622" i="53"/>
  <c r="S622" i="53" s="1"/>
  <c r="R638" i="53"/>
  <c r="S638" i="53" s="1"/>
  <c r="R654" i="53"/>
  <c r="S654" i="53" s="1"/>
  <c r="R670" i="53"/>
  <c r="S670" i="53" s="1"/>
  <c r="R686" i="53"/>
  <c r="S686" i="53" s="1"/>
  <c r="R702" i="53"/>
  <c r="S702" i="53" s="1"/>
  <c r="R718" i="53"/>
  <c r="S718" i="53" s="1"/>
  <c r="R734" i="53"/>
  <c r="S734" i="53" s="1"/>
  <c r="R750" i="53"/>
  <c r="S750" i="53" s="1"/>
  <c r="R766" i="53"/>
  <c r="S766" i="53" s="1"/>
  <c r="R15" i="53"/>
  <c r="S15" i="53" s="1"/>
  <c r="R31" i="53"/>
  <c r="S31" i="53" s="1"/>
  <c r="R47" i="53"/>
  <c r="S47" i="53" s="1"/>
  <c r="R63" i="53"/>
  <c r="S63" i="53" s="1"/>
  <c r="R79" i="53"/>
  <c r="S79" i="53" s="1"/>
  <c r="R95" i="53"/>
  <c r="S95" i="53" s="1"/>
  <c r="R111" i="53"/>
  <c r="S111" i="53" s="1"/>
  <c r="R127" i="53"/>
  <c r="S127" i="53" s="1"/>
  <c r="R143" i="53"/>
  <c r="S143" i="53" s="1"/>
  <c r="R159" i="53"/>
  <c r="S159" i="53" s="1"/>
  <c r="R175" i="53"/>
  <c r="S175" i="53" s="1"/>
  <c r="R191" i="53"/>
  <c r="S191" i="53" s="1"/>
  <c r="R207" i="53"/>
  <c r="S207" i="53" s="1"/>
  <c r="R223" i="53"/>
  <c r="S223" i="53" s="1"/>
  <c r="R239" i="53"/>
  <c r="S239" i="53" s="1"/>
  <c r="R255" i="53"/>
  <c r="S255" i="53" s="1"/>
  <c r="R271" i="53"/>
  <c r="S271" i="53" s="1"/>
  <c r="R287" i="53"/>
  <c r="S287" i="53" s="1"/>
  <c r="R303" i="53"/>
  <c r="S303" i="53" s="1"/>
  <c r="R319" i="53"/>
  <c r="S319" i="53" s="1"/>
  <c r="R335" i="53"/>
  <c r="S335" i="53" s="1"/>
  <c r="R351" i="53"/>
  <c r="S351" i="53" s="1"/>
  <c r="R367" i="53"/>
  <c r="S367" i="53" s="1"/>
  <c r="R383" i="53"/>
  <c r="S383" i="53" s="1"/>
  <c r="R399" i="53"/>
  <c r="S399" i="53" s="1"/>
  <c r="R415" i="53"/>
  <c r="S415" i="53" s="1"/>
  <c r="R431" i="53"/>
  <c r="S431" i="53" s="1"/>
  <c r="R447" i="53"/>
  <c r="S447" i="53" s="1"/>
  <c r="R463" i="53"/>
  <c r="S463" i="53" s="1"/>
  <c r="R479" i="53"/>
  <c r="S479" i="53" s="1"/>
  <c r="R495" i="53"/>
  <c r="S495" i="53" s="1"/>
  <c r="R511" i="53"/>
  <c r="S511" i="53" s="1"/>
  <c r="R527" i="53"/>
  <c r="S527" i="53" s="1"/>
  <c r="R543" i="53"/>
  <c r="S543" i="53" s="1"/>
  <c r="R559" i="53"/>
  <c r="S559" i="53" s="1"/>
  <c r="R16" i="53"/>
  <c r="S16" i="53" s="1"/>
  <c r="R32" i="53"/>
  <c r="S32" i="53" s="1"/>
  <c r="R48" i="53"/>
  <c r="S48" i="53" s="1"/>
  <c r="R64" i="53"/>
  <c r="S64" i="53" s="1"/>
  <c r="R80" i="53"/>
  <c r="S80" i="53" s="1"/>
  <c r="R96" i="53"/>
  <c r="S96" i="53" s="1"/>
  <c r="R112" i="53"/>
  <c r="S112" i="53" s="1"/>
  <c r="R128" i="53"/>
  <c r="S128" i="53" s="1"/>
  <c r="R144" i="53"/>
  <c r="S144" i="53" s="1"/>
  <c r="R160" i="53"/>
  <c r="S160" i="53" s="1"/>
  <c r="R176" i="53"/>
  <c r="S176" i="53" s="1"/>
  <c r="R192" i="53"/>
  <c r="S192" i="53" s="1"/>
  <c r="R208" i="53"/>
  <c r="S208" i="53" s="1"/>
  <c r="R224" i="53"/>
  <c r="S224" i="53" s="1"/>
  <c r="R240" i="53"/>
  <c r="S240" i="53" s="1"/>
  <c r="R256" i="53"/>
  <c r="S256" i="53" s="1"/>
  <c r="R272" i="53"/>
  <c r="S272" i="53" s="1"/>
  <c r="R288" i="53"/>
  <c r="S288" i="53" s="1"/>
  <c r="R304" i="53"/>
  <c r="S304" i="53" s="1"/>
  <c r="R320" i="53"/>
  <c r="S320" i="53" s="1"/>
  <c r="R336" i="53"/>
  <c r="S336" i="53" s="1"/>
  <c r="R352" i="53"/>
  <c r="S352" i="53" s="1"/>
  <c r="R368" i="53"/>
  <c r="S368" i="53" s="1"/>
  <c r="R384" i="53"/>
  <c r="S384" i="53" s="1"/>
  <c r="R400" i="53"/>
  <c r="S400" i="53" s="1"/>
  <c r="R416" i="53"/>
  <c r="S416" i="53" s="1"/>
  <c r="R432" i="53"/>
  <c r="S432" i="53" s="1"/>
  <c r="R448" i="53"/>
  <c r="S448" i="53" s="1"/>
  <c r="R464" i="53"/>
  <c r="S464" i="53" s="1"/>
  <c r="R480" i="53"/>
  <c r="S480" i="53" s="1"/>
  <c r="R496" i="53"/>
  <c r="S496" i="53" s="1"/>
  <c r="R512" i="53"/>
  <c r="S512" i="53" s="1"/>
  <c r="R528" i="53"/>
  <c r="S528" i="53" s="1"/>
  <c r="R544" i="53"/>
  <c r="S544" i="53" s="1"/>
  <c r="R560" i="53"/>
  <c r="S560" i="53" s="1"/>
  <c r="R576" i="53"/>
  <c r="S576" i="53" s="1"/>
  <c r="R592" i="53"/>
  <c r="S592" i="53" s="1"/>
  <c r="R17" i="53"/>
  <c r="S17" i="53" s="1"/>
  <c r="R33" i="53"/>
  <c r="S33" i="53" s="1"/>
  <c r="R49" i="53"/>
  <c r="S49" i="53" s="1"/>
  <c r="R65" i="53"/>
  <c r="S65" i="53" s="1"/>
  <c r="R81" i="53"/>
  <c r="S81" i="53" s="1"/>
  <c r="R97" i="53"/>
  <c r="S97" i="53" s="1"/>
  <c r="R113" i="53"/>
  <c r="S113" i="53" s="1"/>
  <c r="R129" i="53"/>
  <c r="S129" i="53" s="1"/>
  <c r="R145" i="53"/>
  <c r="S145" i="53" s="1"/>
  <c r="R161" i="53"/>
  <c r="S161" i="53" s="1"/>
  <c r="R177" i="53"/>
  <c r="S177" i="53" s="1"/>
  <c r="R193" i="53"/>
  <c r="S193" i="53" s="1"/>
  <c r="R209" i="53"/>
  <c r="S209" i="53" s="1"/>
  <c r="R225" i="53"/>
  <c r="S225" i="53" s="1"/>
  <c r="R241" i="53"/>
  <c r="S241" i="53" s="1"/>
  <c r="R257" i="53"/>
  <c r="S257" i="53" s="1"/>
  <c r="R273" i="53"/>
  <c r="S273" i="53" s="1"/>
  <c r="R289" i="53"/>
  <c r="S289" i="53" s="1"/>
  <c r="R305" i="53"/>
  <c r="S305" i="53" s="1"/>
  <c r="R321" i="53"/>
  <c r="S321" i="53" s="1"/>
  <c r="R337" i="53"/>
  <c r="S337" i="53" s="1"/>
  <c r="R353" i="53"/>
  <c r="S353" i="53" s="1"/>
  <c r="R369" i="53"/>
  <c r="S369" i="53" s="1"/>
  <c r="R385" i="53"/>
  <c r="S385" i="53" s="1"/>
  <c r="R401" i="53"/>
  <c r="S401" i="53" s="1"/>
  <c r="R417" i="53"/>
  <c r="S417" i="53" s="1"/>
  <c r="R433" i="53"/>
  <c r="S433" i="53" s="1"/>
  <c r="R449" i="53"/>
  <c r="S449" i="53" s="1"/>
  <c r="R465" i="53"/>
  <c r="S465" i="53" s="1"/>
  <c r="R481" i="53"/>
  <c r="S481" i="53" s="1"/>
  <c r="R497" i="53"/>
  <c r="S497" i="53" s="1"/>
  <c r="R513" i="53"/>
  <c r="S513" i="53" s="1"/>
  <c r="R529" i="53"/>
  <c r="S529" i="53" s="1"/>
  <c r="R545" i="53"/>
  <c r="S545" i="53" s="1"/>
  <c r="R561" i="53"/>
  <c r="S561" i="53" s="1"/>
  <c r="R577" i="53"/>
  <c r="S577" i="53" s="1"/>
  <c r="R593" i="53"/>
  <c r="S593" i="53" s="1"/>
  <c r="R609" i="53"/>
  <c r="S609" i="53" s="1"/>
  <c r="R625" i="53"/>
  <c r="S625" i="53" s="1"/>
  <c r="R18" i="53"/>
  <c r="S18" i="53" s="1"/>
  <c r="R34" i="53"/>
  <c r="S34" i="53" s="1"/>
  <c r="R50" i="53"/>
  <c r="S50" i="53" s="1"/>
  <c r="R66" i="53"/>
  <c r="S66" i="53" s="1"/>
  <c r="R82" i="53"/>
  <c r="S82" i="53" s="1"/>
  <c r="R98" i="53"/>
  <c r="S98" i="53" s="1"/>
  <c r="R114" i="53"/>
  <c r="S114" i="53" s="1"/>
  <c r="R130" i="53"/>
  <c r="S130" i="53" s="1"/>
  <c r="R146" i="53"/>
  <c r="S146" i="53" s="1"/>
  <c r="R162" i="53"/>
  <c r="S162" i="53" s="1"/>
  <c r="R178" i="53"/>
  <c r="S178" i="53" s="1"/>
  <c r="R194" i="53"/>
  <c r="S194" i="53" s="1"/>
  <c r="R210" i="53"/>
  <c r="S210" i="53" s="1"/>
  <c r="R226" i="53"/>
  <c r="S226" i="53" s="1"/>
  <c r="R242" i="53"/>
  <c r="S242" i="53" s="1"/>
  <c r="R258" i="53"/>
  <c r="S258" i="53" s="1"/>
  <c r="R274" i="53"/>
  <c r="S274" i="53" s="1"/>
  <c r="R290" i="53"/>
  <c r="S290" i="53" s="1"/>
  <c r="R306" i="53"/>
  <c r="S306" i="53" s="1"/>
  <c r="R322" i="53"/>
  <c r="S322" i="53" s="1"/>
  <c r="R338" i="53"/>
  <c r="S338" i="53" s="1"/>
  <c r="R354" i="53"/>
  <c r="S354" i="53" s="1"/>
  <c r="R370" i="53"/>
  <c r="S370" i="53" s="1"/>
  <c r="R386" i="53"/>
  <c r="S386" i="53" s="1"/>
  <c r="R402" i="53"/>
  <c r="S402" i="53" s="1"/>
  <c r="R418" i="53"/>
  <c r="S418" i="53" s="1"/>
  <c r="R434" i="53"/>
  <c r="S434" i="53" s="1"/>
  <c r="R450" i="53"/>
  <c r="S450" i="53" s="1"/>
  <c r="R466" i="53"/>
  <c r="S466" i="53" s="1"/>
  <c r="R482" i="53"/>
  <c r="S482" i="53" s="1"/>
  <c r="R498" i="53"/>
  <c r="S498" i="53" s="1"/>
  <c r="R514" i="53"/>
  <c r="S514" i="53" s="1"/>
  <c r="R530" i="53"/>
  <c r="S530" i="53" s="1"/>
  <c r="R546" i="53"/>
  <c r="S546" i="53" s="1"/>
  <c r="R562" i="53"/>
  <c r="S562" i="53" s="1"/>
  <c r="R578" i="53"/>
  <c r="S578" i="53" s="1"/>
  <c r="R594" i="53"/>
  <c r="S594" i="53" s="1"/>
  <c r="R610" i="53"/>
  <c r="S610" i="53" s="1"/>
  <c r="R626" i="53"/>
  <c r="S626" i="53" s="1"/>
  <c r="R642" i="53"/>
  <c r="S642" i="53" s="1"/>
  <c r="R658" i="53"/>
  <c r="S658" i="53" s="1"/>
  <c r="R19" i="53"/>
  <c r="S19" i="53" s="1"/>
  <c r="R35" i="53"/>
  <c r="S35" i="53" s="1"/>
  <c r="R51" i="53"/>
  <c r="S51" i="53" s="1"/>
  <c r="R67" i="53"/>
  <c r="S67" i="53" s="1"/>
  <c r="R83" i="53"/>
  <c r="S83" i="53" s="1"/>
  <c r="R99" i="53"/>
  <c r="S99" i="53" s="1"/>
  <c r="R115" i="53"/>
  <c r="S115" i="53" s="1"/>
  <c r="R131" i="53"/>
  <c r="S131" i="53" s="1"/>
  <c r="R147" i="53"/>
  <c r="S147" i="53" s="1"/>
  <c r="R163" i="53"/>
  <c r="S163" i="53" s="1"/>
  <c r="R179" i="53"/>
  <c r="S179" i="53" s="1"/>
  <c r="R195" i="53"/>
  <c r="S195" i="53" s="1"/>
  <c r="R211" i="53"/>
  <c r="S211" i="53" s="1"/>
  <c r="R227" i="53"/>
  <c r="S227" i="53" s="1"/>
  <c r="R243" i="53"/>
  <c r="S243" i="53" s="1"/>
  <c r="R259" i="53"/>
  <c r="S259" i="53" s="1"/>
  <c r="R275" i="53"/>
  <c r="S275" i="53" s="1"/>
  <c r="R291" i="53"/>
  <c r="S291" i="53" s="1"/>
  <c r="R307" i="53"/>
  <c r="S307" i="53" s="1"/>
  <c r="R323" i="53"/>
  <c r="S323" i="53" s="1"/>
  <c r="R339" i="53"/>
  <c r="S339" i="53" s="1"/>
  <c r="R355" i="53"/>
  <c r="S355" i="53" s="1"/>
  <c r="R371" i="53"/>
  <c r="S371" i="53" s="1"/>
  <c r="R387" i="53"/>
  <c r="S387" i="53" s="1"/>
  <c r="R403" i="53"/>
  <c r="S403" i="53" s="1"/>
  <c r="R419" i="53"/>
  <c r="S419" i="53" s="1"/>
  <c r="R435" i="53"/>
  <c r="S435" i="53" s="1"/>
  <c r="R451" i="53"/>
  <c r="S451" i="53" s="1"/>
  <c r="R467" i="53"/>
  <c r="S467" i="53" s="1"/>
  <c r="R483" i="53"/>
  <c r="S483" i="53" s="1"/>
  <c r="R499" i="53"/>
  <c r="S499" i="53" s="1"/>
  <c r="R515" i="53"/>
  <c r="S515" i="53" s="1"/>
  <c r="R531" i="53"/>
  <c r="S531" i="53" s="1"/>
  <c r="R547" i="53"/>
  <c r="S547" i="53" s="1"/>
  <c r="R563" i="53"/>
  <c r="S563" i="53" s="1"/>
  <c r="R579" i="53"/>
  <c r="S579" i="53" s="1"/>
  <c r="R595" i="53"/>
  <c r="S595" i="53" s="1"/>
  <c r="R611" i="53"/>
  <c r="S611" i="53" s="1"/>
  <c r="R4" i="53"/>
  <c r="R20" i="53"/>
  <c r="S20" i="53" s="1"/>
  <c r="R36" i="53"/>
  <c r="S36" i="53" s="1"/>
  <c r="R52" i="53"/>
  <c r="S52" i="53" s="1"/>
  <c r="R68" i="53"/>
  <c r="S68" i="53" s="1"/>
  <c r="R84" i="53"/>
  <c r="S84" i="53" s="1"/>
  <c r="R100" i="53"/>
  <c r="S100" i="53" s="1"/>
  <c r="R116" i="53"/>
  <c r="S116" i="53" s="1"/>
  <c r="R132" i="53"/>
  <c r="S132" i="53" s="1"/>
  <c r="R148" i="53"/>
  <c r="S148" i="53" s="1"/>
  <c r="R164" i="53"/>
  <c r="S164" i="53" s="1"/>
  <c r="R180" i="53"/>
  <c r="S180" i="53" s="1"/>
  <c r="R196" i="53"/>
  <c r="S196" i="53" s="1"/>
  <c r="R212" i="53"/>
  <c r="S212" i="53" s="1"/>
  <c r="R228" i="53"/>
  <c r="S228" i="53" s="1"/>
  <c r="R244" i="53"/>
  <c r="S244" i="53" s="1"/>
  <c r="R260" i="53"/>
  <c r="S260" i="53" s="1"/>
  <c r="R276" i="53"/>
  <c r="S276" i="53" s="1"/>
  <c r="R292" i="53"/>
  <c r="S292" i="53" s="1"/>
  <c r="R308" i="53"/>
  <c r="S308" i="53" s="1"/>
  <c r="R324" i="53"/>
  <c r="S324" i="53" s="1"/>
  <c r="R340" i="53"/>
  <c r="S340" i="53" s="1"/>
  <c r="R356" i="53"/>
  <c r="S356" i="53" s="1"/>
  <c r="R372" i="53"/>
  <c r="S372" i="53" s="1"/>
  <c r="R388" i="53"/>
  <c r="S388" i="53" s="1"/>
  <c r="R404" i="53"/>
  <c r="S404" i="53" s="1"/>
  <c r="R420" i="53"/>
  <c r="S420" i="53" s="1"/>
  <c r="R436" i="53"/>
  <c r="S436" i="53" s="1"/>
  <c r="R452" i="53"/>
  <c r="S452" i="53" s="1"/>
  <c r="R468" i="53"/>
  <c r="S468" i="53" s="1"/>
  <c r="R484" i="53"/>
  <c r="S484" i="53" s="1"/>
  <c r="R5" i="53"/>
  <c r="R21" i="53"/>
  <c r="S21" i="53" s="1"/>
  <c r="R37" i="53"/>
  <c r="S37" i="53" s="1"/>
  <c r="R53" i="53"/>
  <c r="S53" i="53" s="1"/>
  <c r="R69" i="53"/>
  <c r="S69" i="53" s="1"/>
  <c r="R85" i="53"/>
  <c r="S85" i="53" s="1"/>
  <c r="R101" i="53"/>
  <c r="S101" i="53" s="1"/>
  <c r="R117" i="53"/>
  <c r="S117" i="53" s="1"/>
  <c r="R133" i="53"/>
  <c r="S133" i="53" s="1"/>
  <c r="R149" i="53"/>
  <c r="S149" i="53" s="1"/>
  <c r="R165" i="53"/>
  <c r="S165" i="53" s="1"/>
  <c r="R181" i="53"/>
  <c r="S181" i="53" s="1"/>
  <c r="R197" i="53"/>
  <c r="S197" i="53" s="1"/>
  <c r="R213" i="53"/>
  <c r="S213" i="53" s="1"/>
  <c r="R229" i="53"/>
  <c r="S229" i="53" s="1"/>
  <c r="R245" i="53"/>
  <c r="S245" i="53" s="1"/>
  <c r="R261" i="53"/>
  <c r="S261" i="53" s="1"/>
  <c r="R277" i="53"/>
  <c r="S277" i="53" s="1"/>
  <c r="R293" i="53"/>
  <c r="S293" i="53" s="1"/>
  <c r="R309" i="53"/>
  <c r="S309" i="53" s="1"/>
  <c r="R325" i="53"/>
  <c r="S325" i="53" s="1"/>
  <c r="R341" i="53"/>
  <c r="S341" i="53" s="1"/>
  <c r="R357" i="53"/>
  <c r="S357" i="53" s="1"/>
  <c r="R6" i="53"/>
  <c r="S6" i="53" s="1"/>
  <c r="R22" i="53"/>
  <c r="S22" i="53" s="1"/>
  <c r="R38" i="53"/>
  <c r="S38" i="53" s="1"/>
  <c r="R54" i="53"/>
  <c r="S54" i="53" s="1"/>
  <c r="R70" i="53"/>
  <c r="S70" i="53" s="1"/>
  <c r="R86" i="53"/>
  <c r="S86" i="53" s="1"/>
  <c r="R102" i="53"/>
  <c r="S102" i="53" s="1"/>
  <c r="R118" i="53"/>
  <c r="S118" i="53" s="1"/>
  <c r="R134" i="53"/>
  <c r="S134" i="53" s="1"/>
  <c r="R150" i="53"/>
  <c r="S150" i="53" s="1"/>
  <c r="R166" i="53"/>
  <c r="S166" i="53" s="1"/>
  <c r="R182" i="53"/>
  <c r="S182" i="53" s="1"/>
  <c r="R198" i="53"/>
  <c r="S198" i="53" s="1"/>
  <c r="R214" i="53"/>
  <c r="S214" i="53" s="1"/>
  <c r="R7" i="53"/>
  <c r="S7" i="53" s="1"/>
  <c r="R23" i="53"/>
  <c r="S23" i="53" s="1"/>
  <c r="R39" i="53"/>
  <c r="S39" i="53" s="1"/>
  <c r="R55" i="53"/>
  <c r="S55" i="53" s="1"/>
  <c r="R71" i="53"/>
  <c r="S71" i="53" s="1"/>
  <c r="R8" i="53"/>
  <c r="S8" i="53" s="1"/>
  <c r="R24" i="53"/>
  <c r="S24" i="53" s="1"/>
  <c r="R40" i="53"/>
  <c r="S40" i="53" s="1"/>
  <c r="R56" i="53"/>
  <c r="S56" i="53" s="1"/>
  <c r="R72" i="53"/>
  <c r="S72" i="53" s="1"/>
  <c r="R88" i="53"/>
  <c r="S88" i="53" s="1"/>
  <c r="R104" i="53"/>
  <c r="S104" i="53" s="1"/>
  <c r="R120" i="53"/>
  <c r="S120" i="53" s="1"/>
  <c r="R136" i="53"/>
  <c r="S136" i="53" s="1"/>
  <c r="R152" i="53"/>
  <c r="S152" i="53" s="1"/>
  <c r="R168" i="53"/>
  <c r="S168" i="53" s="1"/>
  <c r="R184" i="53"/>
  <c r="S184" i="53" s="1"/>
  <c r="R200" i="53"/>
  <c r="S200" i="53" s="1"/>
  <c r="R216" i="53"/>
  <c r="S216" i="53" s="1"/>
  <c r="R232" i="53"/>
  <c r="S232" i="53" s="1"/>
  <c r="R248" i="53"/>
  <c r="S248" i="53" s="1"/>
  <c r="R264" i="53"/>
  <c r="S264" i="53" s="1"/>
  <c r="R280" i="53"/>
  <c r="S280" i="53" s="1"/>
  <c r="R296" i="53"/>
  <c r="S296" i="53" s="1"/>
  <c r="R312" i="53"/>
  <c r="S312" i="53" s="1"/>
  <c r="R42" i="53"/>
  <c r="S42" i="53" s="1"/>
  <c r="R138" i="53"/>
  <c r="S138" i="53" s="1"/>
  <c r="R230" i="53"/>
  <c r="S230" i="53" s="1"/>
  <c r="R294" i="53"/>
  <c r="S294" i="53" s="1"/>
  <c r="R345" i="53"/>
  <c r="S345" i="53" s="1"/>
  <c r="R392" i="53"/>
  <c r="S392" i="53" s="1"/>
  <c r="R438" i="53"/>
  <c r="S438" i="53" s="1"/>
  <c r="R474" i="53"/>
  <c r="S474" i="53" s="1"/>
  <c r="R518" i="53"/>
  <c r="S518" i="53" s="1"/>
  <c r="R552" i="53"/>
  <c r="S552" i="53" s="1"/>
  <c r="R585" i="53"/>
  <c r="S585" i="53" s="1"/>
  <c r="R616" i="53"/>
  <c r="S616" i="53" s="1"/>
  <c r="R643" i="53"/>
  <c r="S643" i="53" s="1"/>
  <c r="R664" i="53"/>
  <c r="S664" i="53" s="1"/>
  <c r="R688" i="53"/>
  <c r="S688" i="53" s="1"/>
  <c r="R708" i="53"/>
  <c r="S708" i="53" s="1"/>
  <c r="R727" i="53"/>
  <c r="S727" i="53" s="1"/>
  <c r="R746" i="53"/>
  <c r="S746" i="53" s="1"/>
  <c r="R765" i="53"/>
  <c r="S765" i="53" s="1"/>
  <c r="R783" i="53"/>
  <c r="S783" i="53" s="1"/>
  <c r="R800" i="53"/>
  <c r="S800" i="53" s="1"/>
  <c r="R817" i="53"/>
  <c r="S817" i="53" s="1"/>
  <c r="R834" i="53"/>
  <c r="S834" i="53" s="1"/>
  <c r="R851" i="53"/>
  <c r="S851" i="53" s="1"/>
  <c r="R868" i="53"/>
  <c r="S868" i="53" s="1"/>
  <c r="R885" i="53"/>
  <c r="S885" i="53" s="1"/>
  <c r="R902" i="53"/>
  <c r="S902" i="53" s="1"/>
  <c r="R919" i="53"/>
  <c r="S919" i="53" s="1"/>
  <c r="R936" i="53"/>
  <c r="S936" i="53" s="1"/>
  <c r="R953" i="53"/>
  <c r="S953" i="53" s="1"/>
  <c r="R970" i="53"/>
  <c r="S970" i="53" s="1"/>
  <c r="R987" i="53"/>
  <c r="S987" i="53" s="1"/>
  <c r="R1003" i="53"/>
  <c r="S1003" i="53" s="1"/>
  <c r="R1019" i="53"/>
  <c r="S1019" i="53" s="1"/>
  <c r="R1035" i="53"/>
  <c r="S1035" i="53" s="1"/>
  <c r="R1051" i="53"/>
  <c r="S1051" i="53" s="1"/>
  <c r="R1067" i="53"/>
  <c r="S1067" i="53" s="1"/>
  <c r="R1083" i="53"/>
  <c r="S1083" i="53" s="1"/>
  <c r="R1099" i="53"/>
  <c r="S1099" i="53" s="1"/>
  <c r="R886" i="53"/>
  <c r="S886" i="53" s="1"/>
  <c r="R937" i="53"/>
  <c r="S937" i="53" s="1"/>
  <c r="R972" i="53"/>
  <c r="S972" i="53" s="1"/>
  <c r="R1004" i="53"/>
  <c r="S1004" i="53" s="1"/>
  <c r="R1036" i="53"/>
  <c r="S1036" i="53" s="1"/>
  <c r="R1068" i="53"/>
  <c r="S1068" i="53" s="1"/>
  <c r="S1100" i="53"/>
  <c r="R1069" i="53"/>
  <c r="S1069" i="53" s="1"/>
  <c r="R958" i="53"/>
  <c r="S958" i="53" s="1"/>
  <c r="R1039" i="53"/>
  <c r="S1039" i="53" s="1"/>
  <c r="R1103" i="53"/>
  <c r="S1103" i="53" s="1"/>
  <c r="R1057" i="53"/>
  <c r="S1057" i="53" s="1"/>
  <c r="R1042" i="53"/>
  <c r="S1042" i="53" s="1"/>
  <c r="R1045" i="53"/>
  <c r="S1045" i="53" s="1"/>
  <c r="R948" i="53"/>
  <c r="S948" i="53" s="1"/>
  <c r="R742" i="53"/>
  <c r="S742" i="53" s="1"/>
  <c r="R1031" i="53"/>
  <c r="S1031" i="53" s="1"/>
  <c r="R215" i="53"/>
  <c r="S215" i="53" s="1"/>
  <c r="R471" i="53"/>
  <c r="S471" i="53" s="1"/>
  <c r="R681" i="53"/>
  <c r="S681" i="53" s="1"/>
  <c r="R899" i="53"/>
  <c r="S899" i="53" s="1"/>
  <c r="R1080" i="53"/>
  <c r="S1080" i="53" s="1"/>
  <c r="R867" i="53"/>
  <c r="S867" i="53" s="1"/>
  <c r="R57" i="53"/>
  <c r="S57" i="53" s="1"/>
  <c r="R151" i="53"/>
  <c r="S151" i="53" s="1"/>
  <c r="R231" i="53"/>
  <c r="S231" i="53" s="1"/>
  <c r="R295" i="53"/>
  <c r="S295" i="53" s="1"/>
  <c r="R346" i="53"/>
  <c r="S346" i="53" s="1"/>
  <c r="R393" i="53"/>
  <c r="S393" i="53" s="1"/>
  <c r="R439" i="53"/>
  <c r="S439" i="53" s="1"/>
  <c r="R485" i="53"/>
  <c r="S485" i="53" s="1"/>
  <c r="R519" i="53"/>
  <c r="S519" i="53" s="1"/>
  <c r="R553" i="53"/>
  <c r="S553" i="53" s="1"/>
  <c r="R586" i="53"/>
  <c r="S586" i="53" s="1"/>
  <c r="R617" i="53"/>
  <c r="S617" i="53" s="1"/>
  <c r="R644" i="53"/>
  <c r="S644" i="53" s="1"/>
  <c r="R665" i="53"/>
  <c r="S665" i="53" s="1"/>
  <c r="R689" i="53"/>
  <c r="S689" i="53" s="1"/>
  <c r="R709" i="53"/>
  <c r="S709" i="53" s="1"/>
  <c r="R728" i="53"/>
  <c r="S728" i="53" s="1"/>
  <c r="R748" i="53"/>
  <c r="S748" i="53" s="1"/>
  <c r="R767" i="53"/>
  <c r="S767" i="53" s="1"/>
  <c r="R784" i="53"/>
  <c r="S784" i="53" s="1"/>
  <c r="R801" i="53"/>
  <c r="S801" i="53" s="1"/>
  <c r="R818" i="53"/>
  <c r="S818" i="53" s="1"/>
  <c r="R835" i="53"/>
  <c r="S835" i="53" s="1"/>
  <c r="R852" i="53"/>
  <c r="S852" i="53" s="1"/>
  <c r="R869" i="53"/>
  <c r="S869" i="53" s="1"/>
  <c r="R903" i="53"/>
  <c r="S903" i="53" s="1"/>
  <c r="R920" i="53"/>
  <c r="S920" i="53" s="1"/>
  <c r="R954" i="53"/>
  <c r="S954" i="53" s="1"/>
  <c r="R988" i="53"/>
  <c r="S988" i="53" s="1"/>
  <c r="R1020" i="53"/>
  <c r="S1020" i="53" s="1"/>
  <c r="R1052" i="53"/>
  <c r="S1052" i="53" s="1"/>
  <c r="R1084" i="53"/>
  <c r="S1084" i="53" s="1"/>
  <c r="R1085" i="53"/>
  <c r="S1085" i="53" s="1"/>
  <c r="R975" i="53"/>
  <c r="S975" i="53" s="1"/>
  <c r="R1071" i="53"/>
  <c r="S1071" i="53" s="1"/>
  <c r="R1041" i="53"/>
  <c r="S1041" i="53" s="1"/>
  <c r="R994" i="53"/>
  <c r="S994" i="53" s="1"/>
  <c r="R1059" i="53"/>
  <c r="S1059" i="53" s="1"/>
  <c r="R1028" i="53"/>
  <c r="S1028" i="53" s="1"/>
  <c r="R1013" i="53"/>
  <c r="S1013" i="53" s="1"/>
  <c r="R914" i="53"/>
  <c r="S914" i="53" s="1"/>
  <c r="R660" i="53"/>
  <c r="S660" i="53" s="1"/>
  <c r="R932" i="53"/>
  <c r="S932" i="53" s="1"/>
  <c r="R743" i="53"/>
  <c r="S743" i="53" s="1"/>
  <c r="R1032" i="53"/>
  <c r="S1032" i="53" s="1"/>
  <c r="R391" i="53"/>
  <c r="S391" i="53" s="1"/>
  <c r="R584" i="53"/>
  <c r="S584" i="53" s="1"/>
  <c r="R833" i="53"/>
  <c r="S833" i="53" s="1"/>
  <c r="R1082" i="53"/>
  <c r="S1082" i="53" s="1"/>
  <c r="R58" i="53"/>
  <c r="S58" i="53" s="1"/>
  <c r="R153" i="53"/>
  <c r="S153" i="53" s="1"/>
  <c r="R233" i="53"/>
  <c r="S233" i="53" s="1"/>
  <c r="R297" i="53"/>
  <c r="S297" i="53" s="1"/>
  <c r="R358" i="53"/>
  <c r="S358" i="53" s="1"/>
  <c r="R394" i="53"/>
  <c r="S394" i="53" s="1"/>
  <c r="R440" i="53"/>
  <c r="S440" i="53" s="1"/>
  <c r="R486" i="53"/>
  <c r="S486" i="53" s="1"/>
  <c r="R520" i="53"/>
  <c r="S520" i="53" s="1"/>
  <c r="R554" i="53"/>
  <c r="S554" i="53" s="1"/>
  <c r="R591" i="53"/>
  <c r="S591" i="53" s="1"/>
  <c r="R618" i="53"/>
  <c r="S618" i="53" s="1"/>
  <c r="R645" i="53"/>
  <c r="S645" i="53" s="1"/>
  <c r="R666" i="53"/>
  <c r="S666" i="53" s="1"/>
  <c r="R690" i="53"/>
  <c r="S690" i="53" s="1"/>
  <c r="R710" i="53"/>
  <c r="S710" i="53" s="1"/>
  <c r="R729" i="53"/>
  <c r="S729" i="53" s="1"/>
  <c r="R749" i="53"/>
  <c r="S749" i="53" s="1"/>
  <c r="R768" i="53"/>
  <c r="S768" i="53" s="1"/>
  <c r="R785" i="53"/>
  <c r="S785" i="53" s="1"/>
  <c r="R802" i="53"/>
  <c r="S802" i="53" s="1"/>
  <c r="R819" i="53"/>
  <c r="S819" i="53" s="1"/>
  <c r="R836" i="53"/>
  <c r="S836" i="53" s="1"/>
  <c r="R853" i="53"/>
  <c r="S853" i="53" s="1"/>
  <c r="R870" i="53"/>
  <c r="S870" i="53" s="1"/>
  <c r="R887" i="53"/>
  <c r="S887" i="53" s="1"/>
  <c r="R904" i="53"/>
  <c r="S904" i="53" s="1"/>
  <c r="R921" i="53"/>
  <c r="S921" i="53" s="1"/>
  <c r="R938" i="53"/>
  <c r="S938" i="53" s="1"/>
  <c r="R956" i="53"/>
  <c r="S956" i="53" s="1"/>
  <c r="R973" i="53"/>
  <c r="S973" i="53" s="1"/>
  <c r="R989" i="53"/>
  <c r="S989" i="53" s="1"/>
  <c r="R1005" i="53"/>
  <c r="S1005" i="53" s="1"/>
  <c r="R1021" i="53"/>
  <c r="S1021" i="53" s="1"/>
  <c r="R1037" i="53"/>
  <c r="S1037" i="53" s="1"/>
  <c r="R1053" i="53"/>
  <c r="S1053" i="53" s="1"/>
  <c r="R1101" i="53"/>
  <c r="S1101" i="53" s="1"/>
  <c r="R1023" i="53"/>
  <c r="S1023" i="53" s="1"/>
  <c r="R1087" i="53"/>
  <c r="S1087" i="53" s="1"/>
  <c r="R1025" i="53"/>
  <c r="S1025" i="53" s="1"/>
  <c r="R978" i="53"/>
  <c r="S978" i="53" s="1"/>
  <c r="R1075" i="53"/>
  <c r="S1075" i="53" s="1"/>
  <c r="R1012" i="53"/>
  <c r="S1012" i="53" s="1"/>
  <c r="R947" i="53"/>
  <c r="S947" i="53" s="1"/>
  <c r="R965" i="53"/>
  <c r="S965" i="53" s="1"/>
  <c r="R612" i="53"/>
  <c r="S612" i="53" s="1"/>
  <c r="R1015" i="53"/>
  <c r="S1015" i="53" s="1"/>
  <c r="R122" i="53"/>
  <c r="S122" i="53" s="1"/>
  <c r="R639" i="53"/>
  <c r="S639" i="53" s="1"/>
  <c r="R950" i="53"/>
  <c r="S950" i="53" s="1"/>
  <c r="R517" i="53"/>
  <c r="S517" i="53" s="1"/>
  <c r="R901" i="53"/>
  <c r="S901" i="53" s="1"/>
  <c r="R73" i="53"/>
  <c r="S73" i="53" s="1"/>
  <c r="R154" i="53"/>
  <c r="S154" i="53" s="1"/>
  <c r="R234" i="53"/>
  <c r="S234" i="53" s="1"/>
  <c r="R298" i="53"/>
  <c r="S298" i="53" s="1"/>
  <c r="R359" i="53"/>
  <c r="S359" i="53" s="1"/>
  <c r="R405" i="53"/>
  <c r="S405" i="53" s="1"/>
  <c r="R441" i="53"/>
  <c r="S441" i="53" s="1"/>
  <c r="R487" i="53"/>
  <c r="S487" i="53" s="1"/>
  <c r="R521" i="53"/>
  <c r="S521" i="53" s="1"/>
  <c r="R564" i="53"/>
  <c r="S564" i="53" s="1"/>
  <c r="R596" i="53"/>
  <c r="S596" i="53" s="1"/>
  <c r="R623" i="53"/>
  <c r="S623" i="53" s="1"/>
  <c r="R646" i="53"/>
  <c r="S646" i="53" s="1"/>
  <c r="R671" i="53"/>
  <c r="S671" i="53" s="1"/>
  <c r="R691" i="53"/>
  <c r="S691" i="53" s="1"/>
  <c r="R711" i="53"/>
  <c r="S711" i="53" s="1"/>
  <c r="R730" i="53"/>
  <c r="S730" i="53" s="1"/>
  <c r="R751" i="53"/>
  <c r="S751" i="53" s="1"/>
  <c r="R769" i="53"/>
  <c r="S769" i="53" s="1"/>
  <c r="R786" i="53"/>
  <c r="S786" i="53" s="1"/>
  <c r="R803" i="53"/>
  <c r="S803" i="53" s="1"/>
  <c r="R820" i="53"/>
  <c r="S820" i="53" s="1"/>
  <c r="R837" i="53"/>
  <c r="S837" i="53" s="1"/>
  <c r="R854" i="53"/>
  <c r="S854" i="53" s="1"/>
  <c r="R871" i="53"/>
  <c r="S871" i="53" s="1"/>
  <c r="R888" i="53"/>
  <c r="S888" i="53" s="1"/>
  <c r="R905" i="53"/>
  <c r="S905" i="53" s="1"/>
  <c r="R922" i="53"/>
  <c r="S922" i="53" s="1"/>
  <c r="R940" i="53"/>
  <c r="S940" i="53" s="1"/>
  <c r="R957" i="53"/>
  <c r="S957" i="53" s="1"/>
  <c r="R974" i="53"/>
  <c r="S974" i="53" s="1"/>
  <c r="R990" i="53"/>
  <c r="S990" i="53" s="1"/>
  <c r="R1006" i="53"/>
  <c r="S1006" i="53" s="1"/>
  <c r="R1022" i="53"/>
  <c r="S1022" i="53" s="1"/>
  <c r="R1038" i="53"/>
  <c r="S1038" i="53" s="1"/>
  <c r="R1054" i="53"/>
  <c r="S1054" i="53" s="1"/>
  <c r="R1070" i="53"/>
  <c r="S1070" i="53" s="1"/>
  <c r="R1086" i="53"/>
  <c r="S1086" i="53" s="1"/>
  <c r="S1102" i="53"/>
  <c r="R1007" i="53"/>
  <c r="S1007" i="53" s="1"/>
  <c r="R993" i="53"/>
  <c r="S993" i="53" s="1"/>
  <c r="R1105" i="53"/>
  <c r="S1105" i="53" s="1"/>
  <c r="R1090" i="53"/>
  <c r="S1090" i="53" s="1"/>
  <c r="R995" i="53"/>
  <c r="S995" i="53" s="1"/>
  <c r="R1060" i="53"/>
  <c r="S1060" i="53" s="1"/>
  <c r="R997" i="53"/>
  <c r="S997" i="53" s="1"/>
  <c r="R863" i="53"/>
  <c r="S863" i="53" s="1"/>
  <c r="R1078" i="53"/>
  <c r="S1078" i="53" s="1"/>
  <c r="R830" i="53"/>
  <c r="S830" i="53" s="1"/>
  <c r="R864" i="53"/>
  <c r="S864" i="53" s="1"/>
  <c r="R1063" i="53"/>
  <c r="S1063" i="53" s="1"/>
  <c r="R814" i="53"/>
  <c r="S814" i="53" s="1"/>
  <c r="R437" i="53"/>
  <c r="S437" i="53" s="1"/>
  <c r="R816" i="53"/>
  <c r="S816" i="53" s="1"/>
  <c r="R1034" i="53"/>
  <c r="S1034" i="53" s="1"/>
  <c r="R74" i="53"/>
  <c r="S74" i="53" s="1"/>
  <c r="R167" i="53"/>
  <c r="S167" i="53" s="1"/>
  <c r="R246" i="53"/>
  <c r="S246" i="53" s="1"/>
  <c r="R310" i="53"/>
  <c r="S310" i="53" s="1"/>
  <c r="R360" i="53"/>
  <c r="S360" i="53" s="1"/>
  <c r="R406" i="53"/>
  <c r="S406" i="53" s="1"/>
  <c r="R442" i="53"/>
  <c r="S442" i="53" s="1"/>
  <c r="R488" i="53"/>
  <c r="S488" i="53" s="1"/>
  <c r="R522" i="53"/>
  <c r="S522" i="53" s="1"/>
  <c r="R565" i="53"/>
  <c r="S565" i="53" s="1"/>
  <c r="R597" i="53"/>
  <c r="S597" i="53" s="1"/>
  <c r="R624" i="53"/>
  <c r="S624" i="53" s="1"/>
  <c r="R647" i="53"/>
  <c r="S647" i="53" s="1"/>
  <c r="R672" i="53"/>
  <c r="S672" i="53" s="1"/>
  <c r="R692" i="53"/>
  <c r="S692" i="53" s="1"/>
  <c r="R712" i="53"/>
  <c r="S712" i="53" s="1"/>
  <c r="R732" i="53"/>
  <c r="S732" i="53" s="1"/>
  <c r="R752" i="53"/>
  <c r="S752" i="53" s="1"/>
  <c r="R770" i="53"/>
  <c r="S770" i="53" s="1"/>
  <c r="R787" i="53"/>
  <c r="S787" i="53" s="1"/>
  <c r="R804" i="53"/>
  <c r="S804" i="53" s="1"/>
  <c r="R821" i="53"/>
  <c r="S821" i="53" s="1"/>
  <c r="R838" i="53"/>
  <c r="S838" i="53" s="1"/>
  <c r="R855" i="53"/>
  <c r="S855" i="53" s="1"/>
  <c r="R872" i="53"/>
  <c r="S872" i="53" s="1"/>
  <c r="R889" i="53"/>
  <c r="S889" i="53" s="1"/>
  <c r="R906" i="53"/>
  <c r="S906" i="53" s="1"/>
  <c r="R924" i="53"/>
  <c r="S924" i="53" s="1"/>
  <c r="R941" i="53"/>
  <c r="S941" i="53" s="1"/>
  <c r="R991" i="53"/>
  <c r="S991" i="53" s="1"/>
  <c r="R1055" i="53"/>
  <c r="S1055" i="53" s="1"/>
  <c r="R1009" i="53"/>
  <c r="S1009" i="53" s="1"/>
  <c r="R1026" i="53"/>
  <c r="S1026" i="53" s="1"/>
  <c r="R1043" i="53"/>
  <c r="S1043" i="53" s="1"/>
  <c r="R980" i="53"/>
  <c r="S980" i="53" s="1"/>
  <c r="R930" i="53"/>
  <c r="S930" i="53" s="1"/>
  <c r="R1077" i="53"/>
  <c r="S1077" i="53" s="1"/>
  <c r="R1046" i="53"/>
  <c r="S1046" i="53" s="1"/>
  <c r="R581" i="53"/>
  <c r="S581" i="53" s="1"/>
  <c r="R1079" i="53"/>
  <c r="S1079" i="53" s="1"/>
  <c r="R342" i="53"/>
  <c r="S342" i="53" s="1"/>
  <c r="R425" i="53"/>
  <c r="S425" i="53" s="1"/>
  <c r="R661" i="53"/>
  <c r="S661" i="53" s="1"/>
  <c r="R831" i="53"/>
  <c r="S831" i="53" s="1"/>
  <c r="R984" i="53"/>
  <c r="S984" i="53" s="1"/>
  <c r="R1033" i="53"/>
  <c r="S1033" i="53" s="1"/>
  <c r="R282" i="53"/>
  <c r="S282" i="53" s="1"/>
  <c r="R663" i="53"/>
  <c r="S663" i="53" s="1"/>
  <c r="R884" i="53"/>
  <c r="S884" i="53" s="1"/>
  <c r="R1098" i="53"/>
  <c r="S1098" i="53" s="1"/>
  <c r="R87" i="53"/>
  <c r="S87" i="53" s="1"/>
  <c r="R169" i="53"/>
  <c r="S169" i="53" s="1"/>
  <c r="R247" i="53"/>
  <c r="S247" i="53" s="1"/>
  <c r="R311" i="53"/>
  <c r="S311" i="53" s="1"/>
  <c r="R361" i="53"/>
  <c r="S361" i="53" s="1"/>
  <c r="R407" i="53"/>
  <c r="S407" i="53" s="1"/>
  <c r="R453" i="53"/>
  <c r="S453" i="53" s="1"/>
  <c r="R489" i="53"/>
  <c r="S489" i="53" s="1"/>
  <c r="R532" i="53"/>
  <c r="S532" i="53" s="1"/>
  <c r="R566" i="53"/>
  <c r="S566" i="53" s="1"/>
  <c r="R598" i="53"/>
  <c r="S598" i="53" s="1"/>
  <c r="R627" i="53"/>
  <c r="S627" i="53" s="1"/>
  <c r="R648" i="53"/>
  <c r="S648" i="53" s="1"/>
  <c r="R673" i="53"/>
  <c r="S673" i="53" s="1"/>
  <c r="R693" i="53"/>
  <c r="S693" i="53" s="1"/>
  <c r="R713" i="53"/>
  <c r="S713" i="53" s="1"/>
  <c r="R735" i="53"/>
  <c r="S735" i="53" s="1"/>
  <c r="R753" i="53"/>
  <c r="S753" i="53" s="1"/>
  <c r="R771" i="53"/>
  <c r="S771" i="53" s="1"/>
  <c r="R788" i="53"/>
  <c r="S788" i="53" s="1"/>
  <c r="R805" i="53"/>
  <c r="S805" i="53" s="1"/>
  <c r="R822" i="53"/>
  <c r="S822" i="53" s="1"/>
  <c r="R839" i="53"/>
  <c r="S839" i="53" s="1"/>
  <c r="R856" i="53"/>
  <c r="S856" i="53" s="1"/>
  <c r="R873" i="53"/>
  <c r="S873" i="53" s="1"/>
  <c r="R890" i="53"/>
  <c r="S890" i="53" s="1"/>
  <c r="R908" i="53"/>
  <c r="S908" i="53" s="1"/>
  <c r="R925" i="53"/>
  <c r="S925" i="53" s="1"/>
  <c r="R942" i="53"/>
  <c r="S942" i="53" s="1"/>
  <c r="R959" i="53"/>
  <c r="S959" i="53" s="1"/>
  <c r="R976" i="53"/>
  <c r="S976" i="53" s="1"/>
  <c r="R992" i="53"/>
  <c r="S992" i="53" s="1"/>
  <c r="R1008" i="53"/>
  <c r="S1008" i="53" s="1"/>
  <c r="R1024" i="53"/>
  <c r="S1024" i="53" s="1"/>
  <c r="R1040" i="53"/>
  <c r="S1040" i="53" s="1"/>
  <c r="R1056" i="53"/>
  <c r="S1056" i="53" s="1"/>
  <c r="R1072" i="53"/>
  <c r="S1072" i="53" s="1"/>
  <c r="R1088" i="53"/>
  <c r="S1088" i="53" s="1"/>
  <c r="R1104" i="53"/>
  <c r="S1104" i="53" s="1"/>
  <c r="R1089" i="53"/>
  <c r="S1089" i="53" s="1"/>
  <c r="R1010" i="53"/>
  <c r="S1010" i="53" s="1"/>
  <c r="R1011" i="53"/>
  <c r="S1011" i="53" s="1"/>
  <c r="R996" i="53"/>
  <c r="S996" i="53" s="1"/>
  <c r="R896" i="53"/>
  <c r="S896" i="53" s="1"/>
  <c r="R998" i="53"/>
  <c r="S998" i="53" s="1"/>
  <c r="R634" i="53"/>
  <c r="S634" i="53" s="1"/>
  <c r="R1047" i="53"/>
  <c r="S1047" i="53" s="1"/>
  <c r="R279" i="53"/>
  <c r="S279" i="53" s="1"/>
  <c r="R389" i="53"/>
  <c r="S389" i="53" s="1"/>
  <c r="R582" i="53"/>
  <c r="S582" i="53" s="1"/>
  <c r="R724" i="53"/>
  <c r="S724" i="53" s="1"/>
  <c r="R916" i="53"/>
  <c r="S916" i="53" s="1"/>
  <c r="R1016" i="53"/>
  <c r="S1016" i="53" s="1"/>
  <c r="R1049" i="53"/>
  <c r="S1049" i="53" s="1"/>
  <c r="R344" i="53"/>
  <c r="S344" i="53" s="1"/>
  <c r="R641" i="53"/>
  <c r="S641" i="53" s="1"/>
  <c r="R850" i="53"/>
  <c r="S850" i="53" s="1"/>
  <c r="R1050" i="53"/>
  <c r="S1050" i="53" s="1"/>
  <c r="R89" i="53"/>
  <c r="S89" i="53" s="1"/>
  <c r="R170" i="53"/>
  <c r="S170" i="53" s="1"/>
  <c r="R249" i="53"/>
  <c r="S249" i="53" s="1"/>
  <c r="R313" i="53"/>
  <c r="S313" i="53" s="1"/>
  <c r="R362" i="53"/>
  <c r="S362" i="53" s="1"/>
  <c r="R408" i="53"/>
  <c r="S408" i="53" s="1"/>
  <c r="R454" i="53"/>
  <c r="S454" i="53" s="1"/>
  <c r="R490" i="53"/>
  <c r="S490" i="53" s="1"/>
  <c r="R533" i="53"/>
  <c r="S533" i="53" s="1"/>
  <c r="R567" i="53"/>
  <c r="S567" i="53" s="1"/>
  <c r="R599" i="53"/>
  <c r="S599" i="53" s="1"/>
  <c r="R628" i="53"/>
  <c r="S628" i="53" s="1"/>
  <c r="R649" i="53"/>
  <c r="S649" i="53" s="1"/>
  <c r="R674" i="53"/>
  <c r="S674" i="53" s="1"/>
  <c r="R694" i="53"/>
  <c r="S694" i="53" s="1"/>
  <c r="R714" i="53"/>
  <c r="S714" i="53" s="1"/>
  <c r="R736" i="53"/>
  <c r="S736" i="53" s="1"/>
  <c r="R754" i="53"/>
  <c r="S754" i="53" s="1"/>
  <c r="R772" i="53"/>
  <c r="S772" i="53" s="1"/>
  <c r="R789" i="53"/>
  <c r="S789" i="53" s="1"/>
  <c r="R806" i="53"/>
  <c r="S806" i="53" s="1"/>
  <c r="R823" i="53"/>
  <c r="S823" i="53" s="1"/>
  <c r="R840" i="53"/>
  <c r="S840" i="53" s="1"/>
  <c r="R857" i="53"/>
  <c r="S857" i="53" s="1"/>
  <c r="R874" i="53"/>
  <c r="S874" i="53" s="1"/>
  <c r="R892" i="53"/>
  <c r="S892" i="53" s="1"/>
  <c r="R909" i="53"/>
  <c r="S909" i="53" s="1"/>
  <c r="R926" i="53"/>
  <c r="S926" i="53" s="1"/>
  <c r="R943" i="53"/>
  <c r="S943" i="53" s="1"/>
  <c r="R960" i="53"/>
  <c r="S960" i="53" s="1"/>
  <c r="R977" i="53"/>
  <c r="S977" i="53" s="1"/>
  <c r="R1073" i="53"/>
  <c r="S1073" i="53" s="1"/>
  <c r="R1074" i="53"/>
  <c r="S1074" i="53" s="1"/>
  <c r="R1027" i="53"/>
  <c r="S1027" i="53" s="1"/>
  <c r="R1044" i="53"/>
  <c r="S1044" i="53" s="1"/>
  <c r="R913" i="53"/>
  <c r="S913" i="53" s="1"/>
  <c r="R1093" i="53"/>
  <c r="S1093" i="53" s="1"/>
  <c r="R1030" i="53"/>
  <c r="S1030" i="53" s="1"/>
  <c r="R704" i="53"/>
  <c r="S704" i="53" s="1"/>
  <c r="R983" i="53"/>
  <c r="S983" i="53" s="1"/>
  <c r="R613" i="53"/>
  <c r="S613" i="53" s="1"/>
  <c r="R848" i="53"/>
  <c r="S848" i="53" s="1"/>
  <c r="R1000" i="53"/>
  <c r="S1000" i="53" s="1"/>
  <c r="R1065" i="53"/>
  <c r="S1065" i="53" s="1"/>
  <c r="R137" i="53"/>
  <c r="S137" i="53" s="1"/>
  <c r="R615" i="53"/>
  <c r="S615" i="53" s="1"/>
  <c r="R918" i="53"/>
  <c r="S918" i="53" s="1"/>
  <c r="R90" i="53"/>
  <c r="R183" i="53"/>
  <c r="S183" i="53" s="1"/>
  <c r="R250" i="53"/>
  <c r="S250" i="53" s="1"/>
  <c r="R314" i="53"/>
  <c r="S314" i="53" s="1"/>
  <c r="R373" i="53"/>
  <c r="S373" i="53" s="1"/>
  <c r="R409" i="53"/>
  <c r="S409" i="53" s="1"/>
  <c r="R455" i="53"/>
  <c r="S455" i="53" s="1"/>
  <c r="R500" i="53"/>
  <c r="S500" i="53" s="1"/>
  <c r="R534" i="53"/>
  <c r="S534" i="53" s="1"/>
  <c r="R568" i="53"/>
  <c r="S568" i="53" s="1"/>
  <c r="R600" i="53"/>
  <c r="S600" i="53" s="1"/>
  <c r="R629" i="53"/>
  <c r="S629" i="53" s="1"/>
  <c r="R650" i="53"/>
  <c r="S650" i="53" s="1"/>
  <c r="R675" i="53"/>
  <c r="S675" i="53" s="1"/>
  <c r="R695" i="53"/>
  <c r="S695" i="53" s="1"/>
  <c r="R716" i="53"/>
  <c r="S716" i="53" s="1"/>
  <c r="R737" i="53"/>
  <c r="S737" i="53" s="1"/>
  <c r="R755" i="53"/>
  <c r="S755" i="53" s="1"/>
  <c r="R773" i="53"/>
  <c r="S773" i="53" s="1"/>
  <c r="R790" i="53"/>
  <c r="S790" i="53" s="1"/>
  <c r="R807" i="53"/>
  <c r="S807" i="53" s="1"/>
  <c r="R824" i="53"/>
  <c r="S824" i="53" s="1"/>
  <c r="R841" i="53"/>
  <c r="S841" i="53" s="1"/>
  <c r="R858" i="53"/>
  <c r="S858" i="53" s="1"/>
  <c r="R876" i="53"/>
  <c r="S876" i="53" s="1"/>
  <c r="R893" i="53"/>
  <c r="S893" i="53" s="1"/>
  <c r="R910" i="53"/>
  <c r="S910" i="53" s="1"/>
  <c r="R927" i="53"/>
  <c r="S927" i="53" s="1"/>
  <c r="R944" i="53"/>
  <c r="S944" i="53" s="1"/>
  <c r="R961" i="53"/>
  <c r="S961" i="53" s="1"/>
  <c r="R1058" i="53"/>
  <c r="S1058" i="53" s="1"/>
  <c r="R946" i="53"/>
  <c r="S946" i="53" s="1"/>
  <c r="R1076" i="53"/>
  <c r="S1076" i="53" s="1"/>
  <c r="R1061" i="53"/>
  <c r="S1061" i="53" s="1"/>
  <c r="R931" i="53"/>
  <c r="S931" i="53" s="1"/>
  <c r="R760" i="53"/>
  <c r="S760" i="53" s="1"/>
  <c r="R898" i="53"/>
  <c r="S898" i="53" s="1"/>
  <c r="R549" i="53"/>
  <c r="S549" i="53" s="1"/>
  <c r="R933" i="53"/>
  <c r="S933" i="53" s="1"/>
  <c r="R1064" i="53"/>
  <c r="S1064" i="53" s="1"/>
  <c r="R1097" i="53"/>
  <c r="S1097" i="53" s="1"/>
  <c r="R218" i="53"/>
  <c r="S218" i="53" s="1"/>
  <c r="R726" i="53"/>
  <c r="S726" i="53" s="1"/>
  <c r="R935" i="53"/>
  <c r="S935" i="53" s="1"/>
  <c r="R103" i="53"/>
  <c r="S103" i="53" s="1"/>
  <c r="R185" i="53"/>
  <c r="S185" i="53" s="1"/>
  <c r="R262" i="53"/>
  <c r="S262" i="53" s="1"/>
  <c r="R326" i="53"/>
  <c r="S326" i="53" s="1"/>
  <c r="R374" i="53"/>
  <c r="S374" i="53" s="1"/>
  <c r="R410" i="53"/>
  <c r="S410" i="53" s="1"/>
  <c r="R456" i="53"/>
  <c r="S456" i="53" s="1"/>
  <c r="R501" i="53"/>
  <c r="S501" i="53" s="1"/>
  <c r="R535" i="53"/>
  <c r="S535" i="53" s="1"/>
  <c r="R569" i="53"/>
  <c r="S569" i="53" s="1"/>
  <c r="R601" i="53"/>
  <c r="S601" i="53" s="1"/>
  <c r="R630" i="53"/>
  <c r="S630" i="53" s="1"/>
  <c r="R655" i="53"/>
  <c r="S655" i="53" s="1"/>
  <c r="R676" i="53"/>
  <c r="S676" i="53" s="1"/>
  <c r="R696" i="53"/>
  <c r="S696" i="53" s="1"/>
  <c r="R719" i="53"/>
  <c r="S719" i="53" s="1"/>
  <c r="R738" i="53"/>
  <c r="S738" i="53" s="1"/>
  <c r="R756" i="53"/>
  <c r="S756" i="53" s="1"/>
  <c r="R774" i="53"/>
  <c r="S774" i="53" s="1"/>
  <c r="R791" i="53"/>
  <c r="S791" i="53" s="1"/>
  <c r="R808" i="53"/>
  <c r="S808" i="53" s="1"/>
  <c r="R825" i="53"/>
  <c r="S825" i="53" s="1"/>
  <c r="R842" i="53"/>
  <c r="S842" i="53" s="1"/>
  <c r="R860" i="53"/>
  <c r="S860" i="53" s="1"/>
  <c r="R877" i="53"/>
  <c r="S877" i="53" s="1"/>
  <c r="R894" i="53"/>
  <c r="S894" i="53" s="1"/>
  <c r="R911" i="53"/>
  <c r="S911" i="53" s="1"/>
  <c r="R928" i="53"/>
  <c r="S928" i="53" s="1"/>
  <c r="R945" i="53"/>
  <c r="S945" i="53" s="1"/>
  <c r="R962" i="53"/>
  <c r="S962" i="53" s="1"/>
  <c r="R979" i="53"/>
  <c r="S979" i="53" s="1"/>
  <c r="R1091" i="53"/>
  <c r="S1091" i="53" s="1"/>
  <c r="R1092" i="53"/>
  <c r="S1092" i="53" s="1"/>
  <c r="R964" i="53"/>
  <c r="S964" i="53" s="1"/>
  <c r="R897" i="53"/>
  <c r="S897" i="53" s="1"/>
  <c r="R1062" i="53"/>
  <c r="S1062" i="53" s="1"/>
  <c r="R813" i="53"/>
  <c r="S813" i="53" s="1"/>
  <c r="R847" i="53"/>
  <c r="S847" i="53" s="1"/>
  <c r="R999" i="53"/>
  <c r="S999" i="53" s="1"/>
  <c r="R780" i="53"/>
  <c r="S780" i="53" s="1"/>
  <c r="R1048" i="53"/>
  <c r="S1048" i="53" s="1"/>
  <c r="R707" i="53"/>
  <c r="S707" i="53" s="1"/>
  <c r="R969" i="53"/>
  <c r="S969" i="53" s="1"/>
  <c r="R105" i="53"/>
  <c r="S105" i="53" s="1"/>
  <c r="R186" i="53"/>
  <c r="S186" i="53" s="1"/>
  <c r="R263" i="53"/>
  <c r="S263" i="53" s="1"/>
  <c r="R327" i="53"/>
  <c r="S327" i="53" s="1"/>
  <c r="R375" i="53"/>
  <c r="S375" i="53" s="1"/>
  <c r="R421" i="53"/>
  <c r="S421" i="53" s="1"/>
  <c r="R457" i="53"/>
  <c r="S457" i="53" s="1"/>
  <c r="R502" i="53"/>
  <c r="S502" i="53" s="1"/>
  <c r="R536" i="53"/>
  <c r="S536" i="53" s="1"/>
  <c r="R570" i="53"/>
  <c r="S570" i="53" s="1"/>
  <c r="R602" i="53"/>
  <c r="S602" i="53" s="1"/>
  <c r="R631" i="53"/>
  <c r="S631" i="53" s="1"/>
  <c r="R656" i="53"/>
  <c r="S656" i="53" s="1"/>
  <c r="R677" i="53"/>
  <c r="S677" i="53" s="1"/>
  <c r="R697" i="53"/>
  <c r="S697" i="53" s="1"/>
  <c r="R720" i="53"/>
  <c r="S720" i="53" s="1"/>
  <c r="R739" i="53"/>
  <c r="S739" i="53" s="1"/>
  <c r="R757" i="53"/>
  <c r="S757" i="53" s="1"/>
  <c r="R775" i="53"/>
  <c r="S775" i="53" s="1"/>
  <c r="R792" i="53"/>
  <c r="S792" i="53" s="1"/>
  <c r="R809" i="53"/>
  <c r="S809" i="53" s="1"/>
  <c r="R826" i="53"/>
  <c r="S826" i="53" s="1"/>
  <c r="R844" i="53"/>
  <c r="S844" i="53" s="1"/>
  <c r="R861" i="53"/>
  <c r="S861" i="53" s="1"/>
  <c r="R878" i="53"/>
  <c r="S878" i="53" s="1"/>
  <c r="R895" i="53"/>
  <c r="S895" i="53" s="1"/>
  <c r="R912" i="53"/>
  <c r="S912" i="53" s="1"/>
  <c r="R929" i="53"/>
  <c r="S929" i="53" s="1"/>
  <c r="R963" i="53"/>
  <c r="S963" i="53" s="1"/>
  <c r="R1029" i="53"/>
  <c r="S1029" i="53" s="1"/>
  <c r="R880" i="53"/>
  <c r="S880" i="53" s="1"/>
  <c r="R723" i="53"/>
  <c r="S723" i="53" s="1"/>
  <c r="R881" i="53"/>
  <c r="S881" i="53" s="1"/>
  <c r="R761" i="53"/>
  <c r="S761" i="53" s="1"/>
  <c r="R41" i="53"/>
  <c r="S41" i="53" s="1"/>
  <c r="R551" i="53"/>
  <c r="S551" i="53" s="1"/>
  <c r="R799" i="53"/>
  <c r="S799" i="53" s="1"/>
  <c r="R986" i="53"/>
  <c r="S986" i="53" s="1"/>
  <c r="R106" i="53"/>
  <c r="S106" i="53" s="1"/>
  <c r="R199" i="53"/>
  <c r="S199" i="53" s="1"/>
  <c r="R265" i="53"/>
  <c r="S265" i="53" s="1"/>
  <c r="R328" i="53"/>
  <c r="S328" i="53" s="1"/>
  <c r="R376" i="53"/>
  <c r="S376" i="53" s="1"/>
  <c r="R422" i="53"/>
  <c r="S422" i="53" s="1"/>
  <c r="R458" i="53"/>
  <c r="S458" i="53" s="1"/>
  <c r="R503" i="53"/>
  <c r="S503" i="53" s="1"/>
  <c r="R537" i="53"/>
  <c r="S537" i="53" s="1"/>
  <c r="R575" i="53"/>
  <c r="S575" i="53" s="1"/>
  <c r="R607" i="53"/>
  <c r="S607" i="53" s="1"/>
  <c r="R632" i="53"/>
  <c r="S632" i="53" s="1"/>
  <c r="R657" i="53"/>
  <c r="S657" i="53" s="1"/>
  <c r="R678" i="53"/>
  <c r="S678" i="53" s="1"/>
  <c r="R698" i="53"/>
  <c r="S698" i="53" s="1"/>
  <c r="R721" i="53"/>
  <c r="S721" i="53" s="1"/>
  <c r="R740" i="53"/>
  <c r="S740" i="53" s="1"/>
  <c r="R758" i="53"/>
  <c r="S758" i="53" s="1"/>
  <c r="R776" i="53"/>
  <c r="S776" i="53" s="1"/>
  <c r="R793" i="53"/>
  <c r="S793" i="53" s="1"/>
  <c r="R810" i="53"/>
  <c r="S810" i="53" s="1"/>
  <c r="R828" i="53"/>
  <c r="S828" i="53" s="1"/>
  <c r="R845" i="53"/>
  <c r="S845" i="53" s="1"/>
  <c r="R862" i="53"/>
  <c r="S862" i="53" s="1"/>
  <c r="R879" i="53"/>
  <c r="S879" i="53" s="1"/>
  <c r="R981" i="53"/>
  <c r="S981" i="53" s="1"/>
  <c r="R982" i="53"/>
  <c r="S982" i="53" s="1"/>
  <c r="R1094" i="53"/>
  <c r="S1094" i="53" s="1"/>
  <c r="R778" i="53"/>
  <c r="S778" i="53" s="1"/>
  <c r="R949" i="53"/>
  <c r="S949" i="53" s="1"/>
  <c r="R797" i="53"/>
  <c r="S797" i="53" s="1"/>
  <c r="R687" i="53"/>
  <c r="S687" i="53" s="1"/>
  <c r="R1018" i="53"/>
  <c r="S1018" i="53" s="1"/>
  <c r="R9" i="53"/>
  <c r="S9" i="53" s="1"/>
  <c r="R119" i="53"/>
  <c r="S119" i="53" s="1"/>
  <c r="R201" i="53"/>
  <c r="S201" i="53" s="1"/>
  <c r="R266" i="53"/>
  <c r="S266" i="53" s="1"/>
  <c r="R329" i="53"/>
  <c r="S329" i="53" s="1"/>
  <c r="R377" i="53"/>
  <c r="S377" i="53" s="1"/>
  <c r="R423" i="53"/>
  <c r="S423" i="53" s="1"/>
  <c r="R469" i="53"/>
  <c r="S469" i="53" s="1"/>
  <c r="R504" i="53"/>
  <c r="S504" i="53" s="1"/>
  <c r="R538" i="53"/>
  <c r="S538" i="53" s="1"/>
  <c r="R580" i="53"/>
  <c r="S580" i="53" s="1"/>
  <c r="R608" i="53"/>
  <c r="S608" i="53" s="1"/>
  <c r="R633" i="53"/>
  <c r="S633" i="53" s="1"/>
  <c r="R659" i="53"/>
  <c r="S659" i="53" s="1"/>
  <c r="R679" i="53"/>
  <c r="S679" i="53" s="1"/>
  <c r="R703" i="53"/>
  <c r="S703" i="53" s="1"/>
  <c r="R722" i="53"/>
  <c r="S722" i="53" s="1"/>
  <c r="R741" i="53"/>
  <c r="S741" i="53" s="1"/>
  <c r="R759" i="53"/>
  <c r="S759" i="53" s="1"/>
  <c r="R777" i="53"/>
  <c r="S777" i="53" s="1"/>
  <c r="R794" i="53"/>
  <c r="S794" i="53" s="1"/>
  <c r="R812" i="53"/>
  <c r="S812" i="53" s="1"/>
  <c r="R829" i="53"/>
  <c r="S829" i="53" s="1"/>
  <c r="R846" i="53"/>
  <c r="S846" i="53" s="1"/>
  <c r="R1014" i="53"/>
  <c r="S1014" i="53" s="1"/>
  <c r="R796" i="53"/>
  <c r="S796" i="53" s="1"/>
  <c r="R915" i="53"/>
  <c r="S915" i="53" s="1"/>
  <c r="R1095" i="53"/>
  <c r="S1095" i="53" s="1"/>
  <c r="R865" i="53"/>
  <c r="S865" i="53" s="1"/>
  <c r="R473" i="53"/>
  <c r="S473" i="53" s="1"/>
  <c r="R782" i="53"/>
  <c r="S782" i="53" s="1"/>
  <c r="R1002" i="53"/>
  <c r="S1002" i="53" s="1"/>
  <c r="R10" i="53"/>
  <c r="S10" i="53" s="1"/>
  <c r="R121" i="53"/>
  <c r="S121" i="53" s="1"/>
  <c r="R202" i="53"/>
  <c r="S202" i="53" s="1"/>
  <c r="R278" i="53"/>
  <c r="S278" i="53" s="1"/>
  <c r="R330" i="53"/>
  <c r="S330" i="53" s="1"/>
  <c r="R378" i="53"/>
  <c r="S378" i="53" s="1"/>
  <c r="R424" i="53"/>
  <c r="S424" i="53" s="1"/>
  <c r="R470" i="53"/>
  <c r="S470" i="53" s="1"/>
  <c r="R505" i="53"/>
  <c r="S505" i="53" s="1"/>
  <c r="R548" i="53"/>
  <c r="S548" i="53" s="1"/>
  <c r="R680" i="53"/>
  <c r="S680" i="53" s="1"/>
  <c r="R966" i="53"/>
  <c r="S966" i="53" s="1"/>
  <c r="R25" i="53"/>
  <c r="S25" i="53" s="1"/>
  <c r="R506" i="53"/>
  <c r="S506" i="53" s="1"/>
  <c r="R705" i="53"/>
  <c r="S705" i="53" s="1"/>
  <c r="R882" i="53"/>
  <c r="S882" i="53" s="1"/>
  <c r="R967" i="53"/>
  <c r="S967" i="53" s="1"/>
  <c r="R1096" i="53"/>
  <c r="S1096" i="53" s="1"/>
  <c r="R1081" i="53"/>
  <c r="S1081" i="53" s="1"/>
  <c r="R764" i="53"/>
  <c r="S764" i="53" s="1"/>
  <c r="R952" i="53"/>
  <c r="S952" i="53" s="1"/>
  <c r="R26" i="53"/>
  <c r="S26" i="53" s="1"/>
  <c r="R135" i="53"/>
  <c r="S135" i="53" s="1"/>
  <c r="R217" i="53"/>
  <c r="S217" i="53" s="1"/>
  <c r="R281" i="53"/>
  <c r="S281" i="53" s="1"/>
  <c r="R343" i="53"/>
  <c r="S343" i="53" s="1"/>
  <c r="R390" i="53"/>
  <c r="S390" i="53" s="1"/>
  <c r="R426" i="53"/>
  <c r="S426" i="53" s="1"/>
  <c r="R472" i="53"/>
  <c r="S472" i="53" s="1"/>
  <c r="R516" i="53"/>
  <c r="S516" i="53" s="1"/>
  <c r="R550" i="53"/>
  <c r="S550" i="53" s="1"/>
  <c r="R583" i="53"/>
  <c r="S583" i="53" s="1"/>
  <c r="R614" i="53"/>
  <c r="S614" i="53" s="1"/>
  <c r="R640" i="53"/>
  <c r="S640" i="53" s="1"/>
  <c r="R662" i="53"/>
  <c r="S662" i="53" s="1"/>
  <c r="R682" i="53"/>
  <c r="S682" i="53" s="1"/>
  <c r="R706" i="53"/>
  <c r="S706" i="53" s="1"/>
  <c r="R725" i="53"/>
  <c r="S725" i="53" s="1"/>
  <c r="R744" i="53"/>
  <c r="S744" i="53" s="1"/>
  <c r="R762" i="53"/>
  <c r="S762" i="53" s="1"/>
  <c r="R781" i="53"/>
  <c r="S781" i="53" s="1"/>
  <c r="R798" i="53"/>
  <c r="S798" i="53" s="1"/>
  <c r="R815" i="53"/>
  <c r="S815" i="53" s="1"/>
  <c r="R832" i="53"/>
  <c r="S832" i="53" s="1"/>
  <c r="R849" i="53"/>
  <c r="S849" i="53" s="1"/>
  <c r="R866" i="53"/>
  <c r="S866" i="53" s="1"/>
  <c r="R883" i="53"/>
  <c r="S883" i="53" s="1"/>
  <c r="R900" i="53"/>
  <c r="S900" i="53" s="1"/>
  <c r="R917" i="53"/>
  <c r="S917" i="53" s="1"/>
  <c r="R934" i="53"/>
  <c r="S934" i="53" s="1"/>
  <c r="R951" i="53"/>
  <c r="S951" i="53" s="1"/>
  <c r="R968" i="53"/>
  <c r="S968" i="53" s="1"/>
  <c r="R985" i="53"/>
  <c r="S985" i="53" s="1"/>
  <c r="R1001" i="53"/>
  <c r="S1001" i="53" s="1"/>
  <c r="R1017" i="53"/>
  <c r="S1017" i="53" s="1"/>
  <c r="R745" i="53"/>
  <c r="S745" i="53" s="1"/>
  <c r="R1066" i="53"/>
  <c r="S1066" i="53" s="1"/>
  <c r="P967" i="53"/>
  <c r="P999" i="53"/>
  <c r="P477" i="53"/>
  <c r="P493" i="53"/>
  <c r="P509" i="53"/>
  <c r="P525" i="53"/>
  <c r="P857" i="53"/>
  <c r="P1097" i="53"/>
  <c r="P1092" i="53"/>
  <c r="P199" i="53"/>
  <c r="P215" i="53"/>
  <c r="P247" i="53"/>
  <c r="P263" i="53"/>
  <c r="P279" i="53"/>
  <c r="P311" i="53"/>
  <c r="P327" i="53"/>
  <c r="P375" i="53"/>
  <c r="P391" i="53"/>
  <c r="P407" i="53"/>
  <c r="P455" i="53"/>
  <c r="P781" i="53"/>
  <c r="P808" i="53"/>
  <c r="P824" i="53"/>
  <c r="P1102" i="53"/>
  <c r="P687" i="53"/>
  <c r="P719" i="53"/>
  <c r="P751" i="53"/>
  <c r="U751" i="53" s="1"/>
  <c r="AH751" i="53" s="1"/>
  <c r="P873" i="53"/>
  <c r="U873" i="53" s="1"/>
  <c r="AH873" i="53" s="1"/>
  <c r="P889" i="53"/>
  <c r="P905" i="53"/>
  <c r="P1033" i="53"/>
  <c r="P1049" i="53"/>
  <c r="P1024" i="53"/>
  <c r="P201" i="53"/>
  <c r="P217" i="53"/>
  <c r="P233" i="53"/>
  <c r="P457" i="53"/>
  <c r="P521" i="53"/>
  <c r="P537" i="53"/>
  <c r="P569" i="53"/>
  <c r="P633" i="53"/>
  <c r="P649" i="53"/>
  <c r="P681" i="53"/>
  <c r="P697" i="53"/>
  <c r="P713" i="53"/>
  <c r="P761" i="53"/>
  <c r="P832" i="53"/>
  <c r="P1040" i="53"/>
  <c r="P81" i="53"/>
  <c r="P113" i="53"/>
  <c r="P497" i="53"/>
  <c r="P609" i="53"/>
  <c r="P625" i="53"/>
  <c r="P801" i="53"/>
  <c r="P170" i="53"/>
  <c r="P202" i="53"/>
  <c r="P362" i="53"/>
  <c r="P378" i="53"/>
  <c r="P458" i="53"/>
  <c r="P474" i="53"/>
  <c r="U474" i="53" s="1"/>
  <c r="AH474" i="53" s="1"/>
  <c r="P132" i="53"/>
  <c r="P148" i="53"/>
  <c r="P164" i="53"/>
  <c r="P180" i="53"/>
  <c r="P260" i="53"/>
  <c r="P292" i="53"/>
  <c r="P324" i="53"/>
  <c r="P356" i="53"/>
  <c r="P372" i="53"/>
  <c r="P388" i="53"/>
  <c r="P404" i="53"/>
  <c r="P420" i="53"/>
  <c r="P436" i="53"/>
  <c r="P452" i="53"/>
  <c r="P181" i="53"/>
  <c r="P261" i="53"/>
  <c r="P293" i="53"/>
  <c r="U293" i="53" s="1"/>
  <c r="AH293" i="53" s="1"/>
  <c r="P325" i="53"/>
  <c r="P341" i="53"/>
  <c r="P357" i="53"/>
  <c r="P421" i="53"/>
  <c r="P460" i="53"/>
  <c r="P27" i="53"/>
  <c r="P43" i="53"/>
  <c r="P75" i="53"/>
  <c r="P107" i="53"/>
  <c r="P283" i="53"/>
  <c r="P411" i="53"/>
  <c r="P491" i="53"/>
  <c r="P635" i="53"/>
  <c r="U635" i="53" s="1"/>
  <c r="AH635" i="53" s="1"/>
  <c r="P651" i="53"/>
  <c r="U651" i="53" s="1"/>
  <c r="AH651" i="53" s="1"/>
  <c r="P306" i="53"/>
  <c r="P351" i="53"/>
  <c r="P415" i="53"/>
  <c r="P469" i="53"/>
  <c r="P501" i="53"/>
  <c r="P565" i="53"/>
  <c r="P581" i="53"/>
  <c r="P613" i="53"/>
  <c r="P629" i="53"/>
  <c r="P645" i="53"/>
  <c r="P661" i="53"/>
  <c r="P172" i="53"/>
  <c r="P812" i="53"/>
  <c r="P844" i="53"/>
  <c r="P1055" i="53"/>
  <c r="P32" i="53"/>
  <c r="P48" i="53"/>
  <c r="P80" i="53"/>
  <c r="P96" i="53"/>
  <c r="P288" i="53"/>
  <c r="P320" i="53"/>
  <c r="P368" i="53"/>
  <c r="P400" i="53"/>
  <c r="P486" i="53"/>
  <c r="P518" i="53"/>
  <c r="P550" i="53"/>
  <c r="P582" i="53"/>
  <c r="P646" i="53"/>
  <c r="P710" i="53"/>
  <c r="P742" i="53"/>
  <c r="P714" i="53"/>
  <c r="U714" i="53" s="1"/>
  <c r="AH714" i="53" s="1"/>
  <c r="P746" i="53"/>
  <c r="P126" i="53"/>
  <c r="P142" i="53"/>
  <c r="P500" i="53"/>
  <c r="P516" i="53"/>
  <c r="P548" i="53"/>
  <c r="P580" i="53"/>
  <c r="P756" i="53"/>
  <c r="P820" i="53"/>
  <c r="P106" i="53"/>
  <c r="P40" i="53"/>
  <c r="P72" i="53"/>
  <c r="P120" i="53"/>
  <c r="P184" i="53"/>
  <c r="P232" i="53"/>
  <c r="P296" i="53"/>
  <c r="P392" i="53"/>
  <c r="P408" i="53"/>
  <c r="P526" i="53"/>
  <c r="P542" i="53"/>
  <c r="P798" i="53"/>
  <c r="P830" i="53"/>
  <c r="P1038" i="53"/>
  <c r="U1038" i="53" s="1"/>
  <c r="AH1038" i="53" s="1"/>
  <c r="P188" i="53"/>
  <c r="P316" i="53"/>
  <c r="P332" i="53"/>
  <c r="U332" i="53" s="1"/>
  <c r="AH332" i="53" s="1"/>
  <c r="P348" i="53"/>
  <c r="U348" i="53" s="1"/>
  <c r="AH348" i="53" s="1"/>
  <c r="P380" i="53"/>
  <c r="P412" i="53"/>
  <c r="P444" i="53"/>
  <c r="P466" i="53"/>
  <c r="P482" i="53"/>
  <c r="P741" i="53"/>
  <c r="P754" i="53"/>
  <c r="U754" i="53" s="1"/>
  <c r="AH754" i="53" s="1"/>
  <c r="P757" i="53"/>
  <c r="P792" i="53"/>
  <c r="P837" i="53"/>
  <c r="P853" i="53"/>
  <c r="P869" i="53"/>
  <c r="P885" i="53"/>
  <c r="P901" i="53"/>
  <c r="P917" i="53"/>
  <c r="P933" i="53"/>
  <c r="P949" i="53"/>
  <c r="P1016" i="53"/>
  <c r="P1029" i="53"/>
  <c r="P13" i="53"/>
  <c r="P16" i="53"/>
  <c r="P35" i="53"/>
  <c r="P51" i="53"/>
  <c r="P67" i="53"/>
  <c r="P83" i="53"/>
  <c r="P99" i="53"/>
  <c r="P169" i="53"/>
  <c r="P700" i="53"/>
  <c r="P716" i="53"/>
  <c r="P732" i="53"/>
  <c r="P748" i="53"/>
  <c r="U748" i="53" s="1"/>
  <c r="AH748" i="53" s="1"/>
  <c r="P895" i="53"/>
  <c r="P959" i="53"/>
  <c r="P962" i="53"/>
  <c r="P975" i="53"/>
  <c r="P991" i="53"/>
  <c r="P1007" i="53"/>
  <c r="P1023" i="53"/>
  <c r="U1023" i="53" s="1"/>
  <c r="AH1023" i="53" s="1"/>
  <c r="P1087" i="53"/>
  <c r="P355" i="53"/>
  <c r="P435" i="53"/>
  <c r="P173" i="53"/>
  <c r="P205" i="53"/>
  <c r="P221" i="53"/>
  <c r="U221" i="53" s="1"/>
  <c r="AH221" i="53" s="1"/>
  <c r="P253" i="53"/>
  <c r="P269" i="53"/>
  <c r="P285" i="53"/>
  <c r="P301" i="53"/>
  <c r="P445" i="53"/>
  <c r="P515" i="53"/>
  <c r="P531" i="53"/>
  <c r="P595" i="53"/>
  <c r="P659" i="53"/>
  <c r="P707" i="53"/>
  <c r="P758" i="53"/>
  <c r="P998" i="53"/>
  <c r="P1078" i="53"/>
  <c r="P410" i="53"/>
  <c r="P480" i="53"/>
  <c r="P496" i="53"/>
  <c r="P512" i="53"/>
  <c r="P528" i="53"/>
  <c r="P624" i="53"/>
  <c r="P640" i="53"/>
  <c r="P672" i="53"/>
  <c r="P688" i="53"/>
  <c r="P1101" i="53"/>
  <c r="U1101" i="53" s="1"/>
  <c r="AH1101" i="53" s="1"/>
  <c r="P30" i="53"/>
  <c r="P46" i="53"/>
  <c r="P62" i="53"/>
  <c r="P78" i="53"/>
  <c r="P94" i="53"/>
  <c r="P177" i="53"/>
  <c r="P193" i="53"/>
  <c r="P209" i="53"/>
  <c r="P257" i="53"/>
  <c r="U257" i="53" s="1"/>
  <c r="AH257" i="53" s="1"/>
  <c r="P273" i="53"/>
  <c r="U273" i="53" s="1"/>
  <c r="AH273" i="53" s="1"/>
  <c r="P522" i="53"/>
  <c r="P599" i="53"/>
  <c r="P615" i="53"/>
  <c r="P695" i="53"/>
  <c r="P797" i="53"/>
  <c r="P874" i="53"/>
  <c r="P890" i="53"/>
  <c r="P906" i="53"/>
  <c r="U906" i="53" s="1"/>
  <c r="AH906" i="53" s="1"/>
  <c r="P922" i="53"/>
  <c r="P938" i="53"/>
  <c r="P954" i="53"/>
  <c r="P1047" i="53"/>
  <c r="P1057" i="53"/>
  <c r="P31" i="53"/>
  <c r="P47" i="53"/>
  <c r="U47" i="53" s="1"/>
  <c r="AH47" i="53" s="1"/>
  <c r="P63" i="53"/>
  <c r="P79" i="53"/>
  <c r="P95" i="53"/>
  <c r="P146" i="53"/>
  <c r="P520" i="53"/>
  <c r="P536" i="53"/>
  <c r="P600" i="53"/>
  <c r="P632" i="53"/>
  <c r="P648" i="53"/>
  <c r="P680" i="53"/>
  <c r="P859" i="53"/>
  <c r="P891" i="53"/>
  <c r="P907" i="53"/>
  <c r="P923" i="53"/>
  <c r="P939" i="53"/>
  <c r="P955" i="53"/>
  <c r="P1035" i="53"/>
  <c r="P1083" i="53"/>
  <c r="P834" i="53"/>
  <c r="P6" i="53"/>
  <c r="P21" i="53"/>
  <c r="P53" i="53"/>
  <c r="P69" i="53"/>
  <c r="P85" i="53"/>
  <c r="P136" i="53"/>
  <c r="U136" i="53" s="1"/>
  <c r="AH136" i="53" s="1"/>
  <c r="P139" i="53"/>
  <c r="U139" i="53" s="1"/>
  <c r="AH139" i="53" s="1"/>
  <c r="P152" i="53"/>
  <c r="P168" i="53"/>
  <c r="P174" i="53"/>
  <c r="P206" i="53"/>
  <c r="P222" i="53"/>
  <c r="P270" i="53"/>
  <c r="U270" i="53" s="1"/>
  <c r="AH270" i="53" s="1"/>
  <c r="P337" i="53"/>
  <c r="P369" i="53"/>
  <c r="P417" i="53"/>
  <c r="P471" i="53"/>
  <c r="P554" i="53"/>
  <c r="P621" i="53"/>
  <c r="P669" i="53"/>
  <c r="P701" i="53"/>
  <c r="P704" i="53"/>
  <c r="P720" i="53"/>
  <c r="P752" i="53"/>
  <c r="P972" i="53"/>
  <c r="P988" i="53"/>
  <c r="P1004" i="53"/>
  <c r="U1004" i="53" s="1"/>
  <c r="AH1004" i="53" s="1"/>
  <c r="P1039" i="53"/>
  <c r="P1058" i="53"/>
  <c r="P1093" i="53"/>
  <c r="P1096" i="53"/>
  <c r="P1103" i="53"/>
  <c r="P15" i="53"/>
  <c r="P50" i="53"/>
  <c r="P114" i="53"/>
  <c r="P165" i="53"/>
  <c r="P187" i="53"/>
  <c r="P267" i="53"/>
  <c r="P286" i="53"/>
  <c r="P430" i="53"/>
  <c r="P484" i="53"/>
  <c r="P535" i="53"/>
  <c r="U535" i="53" s="1"/>
  <c r="AH535" i="53" s="1"/>
  <c r="P634" i="53"/>
  <c r="P666" i="53"/>
  <c r="P682" i="53"/>
  <c r="P717" i="53"/>
  <c r="P733" i="53"/>
  <c r="P749" i="53"/>
  <c r="P784" i="53"/>
  <c r="P822" i="53"/>
  <c r="U822" i="53" s="1"/>
  <c r="AH822" i="53" s="1"/>
  <c r="P841" i="53"/>
  <c r="P92" i="53"/>
  <c r="P108" i="53"/>
  <c r="P127" i="53"/>
  <c r="P159" i="53"/>
  <c r="P197" i="53"/>
  <c r="P229" i="53"/>
  <c r="P379" i="53"/>
  <c r="P443" i="53"/>
  <c r="P462" i="53"/>
  <c r="P494" i="53"/>
  <c r="P513" i="53"/>
  <c r="P529" i="53"/>
  <c r="P545" i="53"/>
  <c r="P596" i="53"/>
  <c r="P612" i="53"/>
  <c r="P676" i="53"/>
  <c r="P727" i="53"/>
  <c r="P743" i="53"/>
  <c r="P835" i="53"/>
  <c r="U835" i="53" s="1"/>
  <c r="AH835" i="53" s="1"/>
  <c r="P851" i="53"/>
  <c r="P867" i="53"/>
  <c r="P931" i="53"/>
  <c r="P947" i="53"/>
  <c r="P1065" i="53"/>
  <c r="P1081" i="53"/>
  <c r="P25" i="53"/>
  <c r="P124" i="53"/>
  <c r="P140" i="53"/>
  <c r="P156" i="53"/>
  <c r="P226" i="53"/>
  <c r="P242" i="53"/>
  <c r="P258" i="53"/>
  <c r="P274" i="53"/>
  <c r="P440" i="53"/>
  <c r="P4" i="53"/>
  <c r="P10" i="53"/>
  <c r="P19" i="53"/>
  <c r="P22" i="53"/>
  <c r="P54" i="53"/>
  <c r="P70" i="53"/>
  <c r="P86" i="53"/>
  <c r="P102" i="53"/>
  <c r="P118" i="53"/>
  <c r="P121" i="53"/>
  <c r="P137" i="53"/>
  <c r="P207" i="53"/>
  <c r="P271" i="53"/>
  <c r="P450" i="53"/>
  <c r="P523" i="53"/>
  <c r="P539" i="53"/>
  <c r="P555" i="53"/>
  <c r="P571" i="53"/>
  <c r="P654" i="53"/>
  <c r="P670" i="53"/>
  <c r="P721" i="53"/>
  <c r="P807" i="53"/>
  <c r="P909" i="53"/>
  <c r="P925" i="53"/>
  <c r="P941" i="53"/>
  <c r="P957" i="53"/>
  <c r="P973" i="53"/>
  <c r="P989" i="53"/>
  <c r="P1005" i="53"/>
  <c r="P1008" i="53"/>
  <c r="P1021" i="53"/>
  <c r="P1059" i="53"/>
  <c r="P504" i="53"/>
  <c r="P699" i="53"/>
  <c r="P1069" i="53"/>
  <c r="P1072" i="53"/>
  <c r="P1088" i="53"/>
  <c r="P29" i="53"/>
  <c r="P45" i="53"/>
  <c r="P61" i="53"/>
  <c r="P77" i="53"/>
  <c r="P112" i="53"/>
  <c r="P160" i="53"/>
  <c r="P198" i="53"/>
  <c r="P297" i="53"/>
  <c r="P345" i="53"/>
  <c r="P377" i="53"/>
  <c r="P409" i="53"/>
  <c r="P425" i="53"/>
  <c r="P441" i="53"/>
  <c r="P479" i="53"/>
  <c r="P495" i="53"/>
  <c r="P498" i="53"/>
  <c r="P514" i="53"/>
  <c r="P546" i="53"/>
  <c r="P562" i="53"/>
  <c r="P578" i="53"/>
  <c r="P594" i="53"/>
  <c r="P597" i="53"/>
  <c r="P817" i="53"/>
  <c r="P836" i="53"/>
  <c r="P852" i="53"/>
  <c r="P868" i="53"/>
  <c r="P884" i="53"/>
  <c r="P887" i="53"/>
  <c r="P900" i="53"/>
  <c r="P916" i="53"/>
  <c r="P932" i="53"/>
  <c r="U932" i="53" s="1"/>
  <c r="AH932" i="53" s="1"/>
  <c r="P948" i="53"/>
  <c r="P1031" i="53"/>
  <c r="P1066" i="53"/>
  <c r="P42" i="53"/>
  <c r="P58" i="53"/>
  <c r="P74" i="53"/>
  <c r="P157" i="53"/>
  <c r="P195" i="53"/>
  <c r="P275" i="53"/>
  <c r="P342" i="53"/>
  <c r="P374" i="53"/>
  <c r="P406" i="53"/>
  <c r="P422" i="53"/>
  <c r="P438" i="53"/>
  <c r="U438" i="53" s="1"/>
  <c r="AH438" i="53" s="1"/>
  <c r="P476" i="53"/>
  <c r="P492" i="53"/>
  <c r="P511" i="53"/>
  <c r="P527" i="53"/>
  <c r="P559" i="53"/>
  <c r="P575" i="53"/>
  <c r="P591" i="53"/>
  <c r="P610" i="53"/>
  <c r="P706" i="53"/>
  <c r="P709" i="53"/>
  <c r="P725" i="53"/>
  <c r="P760" i="53"/>
  <c r="P763" i="53"/>
  <c r="P779" i="53"/>
  <c r="P814" i="53"/>
  <c r="P833" i="53"/>
  <c r="P1041" i="53"/>
  <c r="P154" i="53"/>
  <c r="U154" i="53" s="1"/>
  <c r="AH154" i="53" s="1"/>
  <c r="P272" i="53"/>
  <c r="P291" i="53"/>
  <c r="P307" i="53"/>
  <c r="P473" i="53"/>
  <c r="P489" i="53"/>
  <c r="P524" i="53"/>
  <c r="P540" i="53"/>
  <c r="P572" i="53"/>
  <c r="P607" i="53"/>
  <c r="P623" i="53"/>
  <c r="P639" i="53"/>
  <c r="P671" i="53"/>
  <c r="P317" i="53"/>
  <c r="P333" i="53"/>
  <c r="P365" i="53"/>
  <c r="P505" i="53"/>
  <c r="P786" i="53"/>
  <c r="P968" i="53"/>
  <c r="P984" i="53"/>
  <c r="P1000" i="53"/>
  <c r="P1048" i="53"/>
  <c r="P467" i="53"/>
  <c r="P783" i="53"/>
  <c r="P598" i="53"/>
  <c r="P614" i="53"/>
  <c r="P994" i="53"/>
  <c r="P1010" i="53"/>
  <c r="P1013" i="53"/>
  <c r="P1064" i="53"/>
  <c r="P1080" i="53"/>
  <c r="P245" i="53"/>
  <c r="P248" i="53"/>
  <c r="P278" i="53"/>
  <c r="P322" i="53"/>
  <c r="P354" i="53"/>
  <c r="P395" i="53"/>
  <c r="P439" i="53"/>
  <c r="P442" i="53"/>
  <c r="P507" i="53"/>
  <c r="P586" i="53"/>
  <c r="P618" i="53"/>
  <c r="P662" i="53"/>
  <c r="P684" i="53"/>
  <c r="P703" i="53"/>
  <c r="P722" i="53"/>
  <c r="P747" i="53"/>
  <c r="P782" i="53"/>
  <c r="P785" i="53"/>
  <c r="P788" i="53"/>
  <c r="P791" i="53"/>
  <c r="P794" i="53"/>
  <c r="P828" i="53"/>
  <c r="P850" i="53"/>
  <c r="P866" i="53"/>
  <c r="P914" i="53"/>
  <c r="P930" i="53"/>
  <c r="P946" i="53"/>
  <c r="P965" i="53"/>
  <c r="P981" i="53"/>
  <c r="P997" i="53"/>
  <c r="P1025" i="53"/>
  <c r="P1062" i="53"/>
  <c r="P213" i="53"/>
  <c r="P451" i="53"/>
  <c r="U451" i="53" s="1"/>
  <c r="AH451" i="53" s="1"/>
  <c r="P847" i="53"/>
  <c r="P303" i="53"/>
  <c r="P1056" i="53"/>
  <c r="P1075" i="53"/>
  <c r="P637" i="53"/>
  <c r="P37" i="53"/>
  <c r="P176" i="53"/>
  <c r="P593" i="53"/>
  <c r="P773" i="53"/>
  <c r="P908" i="53"/>
  <c r="P376" i="53"/>
  <c r="P776" i="53"/>
  <c r="U776" i="53" s="1"/>
  <c r="AH776" i="53" s="1"/>
  <c r="P66" i="53"/>
  <c r="P82" i="53"/>
  <c r="P104" i="53"/>
  <c r="P310" i="53"/>
  <c r="P590" i="53"/>
  <c r="U590" i="53" s="1"/>
  <c r="AH590" i="53" s="1"/>
  <c r="P691" i="53"/>
  <c r="P770" i="53"/>
  <c r="P804" i="53"/>
  <c r="P838" i="53"/>
  <c r="P870" i="53"/>
  <c r="P886" i="53"/>
  <c r="P902" i="53"/>
  <c r="P918" i="53"/>
  <c r="P934" i="53"/>
  <c r="P950" i="53"/>
  <c r="P969" i="53"/>
  <c r="P985" i="53"/>
  <c r="P1001" i="53"/>
  <c r="P1032" i="53"/>
  <c r="P1094" i="53"/>
  <c r="P135" i="53"/>
  <c r="P220" i="53"/>
  <c r="P564" i="53"/>
  <c r="P28" i="53"/>
  <c r="U28" i="53" s="1"/>
  <c r="AH28" i="53" s="1"/>
  <c r="P44" i="53"/>
  <c r="U44" i="53" s="1"/>
  <c r="AH44" i="53" s="1"/>
  <c r="P60" i="53"/>
  <c r="P183" i="53"/>
  <c r="P186" i="53"/>
  <c r="P192" i="53"/>
  <c r="P208" i="53"/>
  <c r="P224" i="53"/>
  <c r="P227" i="53"/>
  <c r="P230" i="53"/>
  <c r="P249" i="53"/>
  <c r="P252" i="53"/>
  <c r="P295" i="53"/>
  <c r="P298" i="53"/>
  <c r="P323" i="53"/>
  <c r="P358" i="53"/>
  <c r="P396" i="53"/>
  <c r="P399" i="53"/>
  <c r="U399" i="53" s="1"/>
  <c r="AH399" i="53" s="1"/>
  <c r="P405" i="53"/>
  <c r="P468" i="53"/>
  <c r="P533" i="53"/>
  <c r="P584" i="53"/>
  <c r="P587" i="53"/>
  <c r="P644" i="53"/>
  <c r="P647" i="53"/>
  <c r="P663" i="53"/>
  <c r="P685" i="53"/>
  <c r="P726" i="53"/>
  <c r="P764" i="53"/>
  <c r="P915" i="53"/>
  <c r="P966" i="53"/>
  <c r="P982" i="53"/>
  <c r="P1020" i="53"/>
  <c r="P823" i="53"/>
  <c r="P826" i="53"/>
  <c r="P848" i="53"/>
  <c r="U848" i="53" s="1"/>
  <c r="AH848" i="53" s="1"/>
  <c r="P896" i="53"/>
  <c r="P928" i="53"/>
  <c r="P960" i="53"/>
  <c r="P979" i="53"/>
  <c r="P995" i="53"/>
  <c r="P1011" i="53"/>
  <c r="U1011" i="53" s="1"/>
  <c r="AH1011" i="53" s="1"/>
  <c r="P1060" i="53"/>
  <c r="P73" i="53"/>
  <c r="P387" i="53"/>
  <c r="U387" i="53" s="1"/>
  <c r="AH387" i="53" s="1"/>
  <c r="P638" i="53"/>
  <c r="P679" i="53"/>
  <c r="P845" i="53"/>
  <c r="P861" i="53"/>
  <c r="P877" i="53"/>
  <c r="P1076" i="53"/>
  <c r="P1051" i="53"/>
  <c r="P352" i="53"/>
  <c r="P289" i="53"/>
  <c r="P970" i="53"/>
  <c r="P1002" i="53"/>
  <c r="P1042" i="53"/>
  <c r="P1067" i="53"/>
  <c r="U1067" i="53" s="1"/>
  <c r="AH1067" i="53" s="1"/>
  <c r="P49" i="53"/>
  <c r="P384" i="53"/>
  <c r="P434" i="53"/>
  <c r="P736" i="53"/>
  <c r="P105" i="53"/>
  <c r="P237" i="53"/>
  <c r="P196" i="53"/>
  <c r="P262" i="53"/>
  <c r="P428" i="53"/>
  <c r="P472" i="53"/>
  <c r="P475" i="53"/>
  <c r="P481" i="53"/>
  <c r="P626" i="53"/>
  <c r="P26" i="53"/>
  <c r="P231" i="53"/>
  <c r="P250" i="53"/>
  <c r="P397" i="53"/>
  <c r="P620" i="53"/>
  <c r="P705" i="53"/>
  <c r="P708" i="53"/>
  <c r="P897" i="53"/>
  <c r="P913" i="53"/>
  <c r="P964" i="53"/>
  <c r="P980" i="53"/>
  <c r="P1012" i="53"/>
  <c r="P1015" i="53"/>
  <c r="P1018" i="53"/>
  <c r="P155" i="53"/>
  <c r="P349" i="53"/>
  <c r="P490" i="53"/>
  <c r="P23" i="53"/>
  <c r="P39" i="53"/>
  <c r="P71" i="53"/>
  <c r="P90" i="53"/>
  <c r="P131" i="53"/>
  <c r="U131" i="53" s="1"/>
  <c r="AH131" i="53" s="1"/>
  <c r="P134" i="53"/>
  <c r="P150" i="53"/>
  <c r="P153" i="53"/>
  <c r="P178" i="53"/>
  <c r="P203" i="53"/>
  <c r="P219" i="53"/>
  <c r="P290" i="53"/>
  <c r="P318" i="53"/>
  <c r="P334" i="53"/>
  <c r="P366" i="53"/>
  <c r="P463" i="53"/>
  <c r="P566" i="53"/>
  <c r="P617" i="53"/>
  <c r="P658" i="53"/>
  <c r="P718" i="53"/>
  <c r="P737" i="53"/>
  <c r="P740" i="53"/>
  <c r="P759" i="53"/>
  <c r="P846" i="53"/>
  <c r="P862" i="53"/>
  <c r="P878" i="53"/>
  <c r="P894" i="53"/>
  <c r="P910" i="53"/>
  <c r="P926" i="53"/>
  <c r="P942" i="53"/>
  <c r="P977" i="53"/>
  <c r="P993" i="53"/>
  <c r="P1009" i="53"/>
  <c r="P1089" i="53"/>
  <c r="P393" i="53"/>
  <c r="P89" i="53"/>
  <c r="P431" i="53"/>
  <c r="P14" i="53"/>
  <c r="P17" i="53"/>
  <c r="P20" i="53"/>
  <c r="P68" i="53"/>
  <c r="P84" i="53"/>
  <c r="P87" i="53"/>
  <c r="P166" i="53"/>
  <c r="P200" i="53"/>
  <c r="P216" i="53"/>
  <c r="P315" i="53"/>
  <c r="P331" i="53"/>
  <c r="P347" i="53"/>
  <c r="P363" i="53"/>
  <c r="U363" i="53" s="1"/>
  <c r="AH363" i="53" s="1"/>
  <c r="P416" i="53"/>
  <c r="P541" i="53"/>
  <c r="P563" i="53"/>
  <c r="P576" i="53"/>
  <c r="P630" i="53"/>
  <c r="P693" i="53"/>
  <c r="P734" i="53"/>
  <c r="P806" i="53"/>
  <c r="P1071" i="53"/>
  <c r="P1074" i="53"/>
  <c r="P573" i="53"/>
  <c r="P627" i="53"/>
  <c r="P690" i="53"/>
  <c r="P712" i="53"/>
  <c r="P728" i="53"/>
  <c r="P920" i="53"/>
  <c r="P936" i="53"/>
  <c r="P952" i="53"/>
  <c r="P971" i="53"/>
  <c r="P987" i="53"/>
  <c r="P1068" i="53"/>
  <c r="P731" i="53"/>
  <c r="P210" i="53"/>
  <c r="P294" i="53"/>
  <c r="P419" i="53"/>
  <c r="P465" i="53"/>
  <c r="P483" i="53"/>
  <c r="P547" i="53"/>
  <c r="P882" i="53"/>
  <c r="P767" i="53"/>
  <c r="P204" i="53"/>
  <c r="P234" i="53"/>
  <c r="U234" i="53" s="1"/>
  <c r="AH234" i="53" s="1"/>
  <c r="P7" i="53"/>
  <c r="P110" i="53"/>
  <c r="P162" i="53"/>
  <c r="P171" i="53"/>
  <c r="P189" i="53"/>
  <c r="P276" i="53"/>
  <c r="P282" i="53"/>
  <c r="P328" i="53"/>
  <c r="P383" i="53"/>
  <c r="P386" i="53"/>
  <c r="P389" i="53"/>
  <c r="P398" i="53"/>
  <c r="P401" i="53"/>
  <c r="P413" i="53"/>
  <c r="P447" i="53"/>
  <c r="P453" i="53"/>
  <c r="P456" i="53"/>
  <c r="P459" i="53"/>
  <c r="P517" i="53"/>
  <c r="P532" i="53"/>
  <c r="P538" i="53"/>
  <c r="P544" i="53"/>
  <c r="P664" i="53"/>
  <c r="P667" i="53"/>
  <c r="P673" i="53"/>
  <c r="P876" i="53"/>
  <c r="P892" i="53"/>
  <c r="P911" i="53"/>
  <c r="P927" i="53"/>
  <c r="P34" i="53"/>
  <c r="P98" i="53"/>
  <c r="P101" i="53"/>
  <c r="P147" i="53"/>
  <c r="U147" i="53" s="1"/>
  <c r="AH147" i="53" s="1"/>
  <c r="P241" i="53"/>
  <c r="P244" i="53"/>
  <c r="P256" i="53"/>
  <c r="P259" i="53"/>
  <c r="P265" i="53"/>
  <c r="P268" i="53"/>
  <c r="P304" i="53"/>
  <c r="P313" i="53"/>
  <c r="P319" i="53"/>
  <c r="P338" i="53"/>
  <c r="P344" i="53"/>
  <c r="P350" i="53"/>
  <c r="P353" i="53"/>
  <c r="P359" i="53"/>
  <c r="P371" i="53"/>
  <c r="P426" i="53"/>
  <c r="P429" i="53"/>
  <c r="P432" i="53"/>
  <c r="P502" i="53"/>
  <c r="P508" i="53"/>
  <c r="U508" i="53" s="1"/>
  <c r="AH508" i="53" s="1"/>
  <c r="P551" i="53"/>
  <c r="P585" i="53"/>
  <c r="P588" i="53"/>
  <c r="P603" i="53"/>
  <c r="P606" i="53"/>
  <c r="P655" i="53"/>
  <c r="P698" i="53"/>
  <c r="P56" i="53"/>
  <c r="P59" i="53"/>
  <c r="P65" i="53"/>
  <c r="P117" i="53"/>
  <c r="P123" i="53"/>
  <c r="U123" i="53" s="1"/>
  <c r="AH123" i="53" s="1"/>
  <c r="P129" i="53"/>
  <c r="U129" i="53" s="1"/>
  <c r="AH129" i="53" s="1"/>
  <c r="P138" i="53"/>
  <c r="P141" i="53"/>
  <c r="P144" i="53"/>
  <c r="P211" i="53"/>
  <c r="P214" i="53"/>
  <c r="P223" i="53"/>
  <c r="P235" i="53"/>
  <c r="P238" i="53"/>
  <c r="P335" i="53"/>
  <c r="P423" i="53"/>
  <c r="P478" i="53"/>
  <c r="P499" i="53"/>
  <c r="P652" i="53"/>
  <c r="P692" i="53"/>
  <c r="P723" i="53"/>
  <c r="P744" i="53"/>
  <c r="P750" i="53"/>
  <c r="P753" i="53"/>
  <c r="P762" i="53"/>
  <c r="P765" i="53"/>
  <c r="P883" i="53"/>
  <c r="P899" i="53"/>
  <c r="P5" i="53"/>
  <c r="P602" i="53"/>
  <c r="P8" i="53"/>
  <c r="P11" i="53"/>
  <c r="P38" i="53"/>
  <c r="P41" i="53"/>
  <c r="P111" i="53"/>
  <c r="P163" i="53"/>
  <c r="P175" i="53"/>
  <c r="P277" i="53"/>
  <c r="P280" i="53"/>
  <c r="P329" i="53"/>
  <c r="P390" i="53"/>
  <c r="P402" i="53"/>
  <c r="P414" i="53"/>
  <c r="P448" i="53"/>
  <c r="P454" i="53"/>
  <c r="P487" i="53"/>
  <c r="P628" i="53"/>
  <c r="P631" i="53"/>
  <c r="P643" i="53"/>
  <c r="P665" i="53"/>
  <c r="P668" i="53"/>
  <c r="U668" i="53" s="1"/>
  <c r="AH668" i="53" s="1"/>
  <c r="P674" i="53"/>
  <c r="P686" i="53"/>
  <c r="P689" i="53"/>
  <c r="P711" i="53"/>
  <c r="P893" i="53"/>
  <c r="P912" i="53"/>
  <c r="P944" i="53"/>
  <c r="P93" i="53"/>
  <c r="U93" i="53" s="1"/>
  <c r="AH93" i="53" s="1"/>
  <c r="P151" i="53"/>
  <c r="P326" i="53"/>
  <c r="P381" i="53"/>
  <c r="P558" i="53"/>
  <c r="P589" i="53"/>
  <c r="P592" i="53"/>
  <c r="P604" i="53"/>
  <c r="P616" i="53"/>
  <c r="P619" i="53"/>
  <c r="U619" i="53" s="1"/>
  <c r="AH619" i="53" s="1"/>
  <c r="P622" i="53"/>
  <c r="P702" i="53"/>
  <c r="P18" i="53"/>
  <c r="U18" i="53" s="1"/>
  <c r="AH18" i="53" s="1"/>
  <c r="P130" i="53"/>
  <c r="P133" i="53"/>
  <c r="U133" i="53" s="1"/>
  <c r="AH133" i="53" s="1"/>
  <c r="P145" i="53"/>
  <c r="P236" i="53"/>
  <c r="P239" i="53"/>
  <c r="P251" i="53"/>
  <c r="P254" i="53"/>
  <c r="P266" i="53"/>
  <c r="P299" i="53"/>
  <c r="P302" i="53"/>
  <c r="P305" i="53"/>
  <c r="P308" i="53"/>
  <c r="P314" i="53"/>
  <c r="P336" i="53"/>
  <c r="P339" i="53"/>
  <c r="P360" i="53"/>
  <c r="P424" i="53"/>
  <c r="P427" i="53"/>
  <c r="P433" i="53"/>
  <c r="P583" i="53"/>
  <c r="P601" i="53"/>
  <c r="P653" i="53"/>
  <c r="P766" i="53"/>
  <c r="P787" i="53"/>
  <c r="P903" i="53"/>
  <c r="P57" i="53"/>
  <c r="P212" i="53"/>
  <c r="P696" i="53"/>
  <c r="P724" i="53"/>
  <c r="P730" i="53"/>
  <c r="P881" i="53"/>
  <c r="P115" i="53"/>
  <c r="P167" i="53"/>
  <c r="P179" i="53"/>
  <c r="P182" i="53"/>
  <c r="P185" i="53"/>
  <c r="P191" i="53"/>
  <c r="P194" i="53"/>
  <c r="P218" i="53"/>
  <c r="P281" i="53"/>
  <c r="P287" i="53"/>
  <c r="P461" i="53"/>
  <c r="P534" i="53"/>
  <c r="P543" i="53"/>
  <c r="P568" i="53"/>
  <c r="P574" i="53"/>
  <c r="P577" i="53"/>
  <c r="P650" i="53"/>
  <c r="P678" i="53"/>
  <c r="P715" i="53"/>
  <c r="U715" i="53" s="1"/>
  <c r="AH715" i="53" s="1"/>
  <c r="P9" i="53"/>
  <c r="P12" i="53"/>
  <c r="P36" i="53"/>
  <c r="P88" i="53"/>
  <c r="P103" i="53"/>
  <c r="P109" i="53"/>
  <c r="P161" i="53"/>
  <c r="P446" i="53"/>
  <c r="P449" i="53"/>
  <c r="P641" i="53"/>
  <c r="P675" i="53"/>
  <c r="P875" i="53"/>
  <c r="U875" i="53" s="1"/>
  <c r="AH875" i="53" s="1"/>
  <c r="P929" i="53"/>
  <c r="P24" i="53"/>
  <c r="P33" i="53"/>
  <c r="P76" i="53"/>
  <c r="P91" i="53"/>
  <c r="P97" i="53"/>
  <c r="P100" i="53"/>
  <c r="P149" i="53"/>
  <c r="P158" i="53"/>
  <c r="P340" i="53"/>
  <c r="P343" i="53"/>
  <c r="P346" i="53"/>
  <c r="P361" i="53"/>
  <c r="P364" i="53"/>
  <c r="P367" i="53"/>
  <c r="P370" i="53"/>
  <c r="P373" i="53"/>
  <c r="P437" i="53"/>
  <c r="P510" i="53"/>
  <c r="P553" i="53"/>
  <c r="P605" i="53"/>
  <c r="P608" i="53"/>
  <c r="P611" i="53"/>
  <c r="P657" i="53"/>
  <c r="P660" i="53"/>
  <c r="P872" i="53"/>
  <c r="P888" i="53"/>
  <c r="P904" i="53"/>
  <c r="P1034" i="53"/>
  <c r="P1037" i="53"/>
  <c r="P1046" i="53"/>
  <c r="P1043" i="53"/>
  <c r="P1052" i="53"/>
  <c r="P1061" i="53"/>
  <c r="P858" i="53"/>
  <c r="P921" i="53"/>
  <c r="U921" i="53" s="1"/>
  <c r="AH921" i="53" s="1"/>
  <c r="P924" i="53"/>
  <c r="P945" i="53"/>
  <c r="P810" i="53"/>
  <c r="P816" i="53"/>
  <c r="P819" i="53"/>
  <c r="P825" i="53"/>
  <c r="P831" i="53"/>
  <c r="P840" i="53"/>
  <c r="P843" i="53"/>
  <c r="P849" i="53"/>
  <c r="P951" i="53"/>
  <c r="P963" i="53"/>
  <c r="P990" i="53"/>
  <c r="P996" i="53"/>
  <c r="P1014" i="53"/>
  <c r="P1017" i="53"/>
  <c r="P1070" i="53"/>
  <c r="P1073" i="53"/>
  <c r="P1079" i="53"/>
  <c r="P1082" i="53"/>
  <c r="P1085" i="53"/>
  <c r="P1091" i="53"/>
  <c r="U1091" i="53" s="1"/>
  <c r="AH1091" i="53" s="1"/>
  <c r="P1100" i="53"/>
  <c r="P735" i="53"/>
  <c r="P738" i="53"/>
  <c r="P768" i="53"/>
  <c r="P771" i="53"/>
  <c r="P774" i="53"/>
  <c r="P777" i="53"/>
  <c r="P780" i="53"/>
  <c r="P789" i="53"/>
  <c r="U789" i="53" s="1"/>
  <c r="AH789" i="53" s="1"/>
  <c r="P795" i="53"/>
  <c r="P1026" i="53"/>
  <c r="P1044" i="53"/>
  <c r="P1050" i="53"/>
  <c r="P1053" i="53"/>
  <c r="P1104" i="53"/>
  <c r="P871" i="53"/>
  <c r="P880" i="53"/>
  <c r="P898" i="53"/>
  <c r="P943" i="53"/>
  <c r="P856" i="53"/>
  <c r="P919" i="53"/>
  <c r="P937" i="53"/>
  <c r="P940" i="53"/>
  <c r="P976" i="53"/>
  <c r="P1003" i="53"/>
  <c r="P1006" i="53"/>
  <c r="P739" i="53"/>
  <c r="P769" i="53"/>
  <c r="U769" i="53" s="1"/>
  <c r="AH769" i="53" s="1"/>
  <c r="P772" i="53"/>
  <c r="P775" i="53"/>
  <c r="P790" i="53"/>
  <c r="P793" i="53"/>
  <c r="P796" i="53"/>
  <c r="P799" i="53"/>
  <c r="P802" i="53"/>
  <c r="U802" i="53" s="1"/>
  <c r="AH802" i="53" s="1"/>
  <c r="P805" i="53"/>
  <c r="P811" i="53"/>
  <c r="P961" i="53"/>
  <c r="P1030" i="53"/>
  <c r="P1086" i="53"/>
  <c r="U1086" i="53" s="1"/>
  <c r="AH1086" i="53" s="1"/>
  <c r="P1095" i="53"/>
  <c r="P1098" i="53"/>
  <c r="P1036" i="53"/>
  <c r="P1054" i="53"/>
  <c r="P1105" i="53"/>
  <c r="P860" i="53"/>
  <c r="P935" i="53"/>
  <c r="P992" i="53"/>
  <c r="P1063" i="53"/>
  <c r="P321" i="53"/>
  <c r="P418" i="53"/>
  <c r="P579" i="53"/>
  <c r="P52" i="53"/>
  <c r="P55" i="53"/>
  <c r="P64" i="53"/>
  <c r="P116" i="53"/>
  <c r="P119" i="53"/>
  <c r="P122" i="53"/>
  <c r="P125" i="53"/>
  <c r="P128" i="53"/>
  <c r="P143" i="53"/>
  <c r="U143" i="53" s="1"/>
  <c r="AH143" i="53" s="1"/>
  <c r="P225" i="53"/>
  <c r="P228" i="53"/>
  <c r="P240" i="53"/>
  <c r="P243" i="53"/>
  <c r="P246" i="53"/>
  <c r="P255" i="53"/>
  <c r="P264" i="53"/>
  <c r="P300" i="53"/>
  <c r="P309" i="53"/>
  <c r="U309" i="53" s="1"/>
  <c r="AH309" i="53" s="1"/>
  <c r="P312" i="53"/>
  <c r="P382" i="53"/>
  <c r="P385" i="53"/>
  <c r="P394" i="53"/>
  <c r="P403" i="53"/>
  <c r="P464" i="53"/>
  <c r="U464" i="53" s="1"/>
  <c r="AH464" i="53" s="1"/>
  <c r="P470" i="53"/>
  <c r="P485" i="53"/>
  <c r="P488" i="53"/>
  <c r="P506" i="53"/>
  <c r="P530" i="53"/>
  <c r="P561" i="53"/>
  <c r="P567" i="53"/>
  <c r="P570" i="53"/>
  <c r="P636" i="53"/>
  <c r="P642" i="53"/>
  <c r="P694" i="53"/>
  <c r="U694" i="53" s="1"/>
  <c r="AH694" i="53" s="1"/>
  <c r="P800" i="53"/>
  <c r="U800" i="53" s="1"/>
  <c r="AH800" i="53" s="1"/>
  <c r="P803" i="53"/>
  <c r="P809" i="53"/>
  <c r="P815" i="53"/>
  <c r="P818" i="53"/>
  <c r="P821" i="53"/>
  <c r="P827" i="53"/>
  <c r="P854" i="53"/>
  <c r="P953" i="53"/>
  <c r="P956" i="53"/>
  <c r="P974" i="53"/>
  <c r="P1019" i="53"/>
  <c r="P1022" i="53"/>
  <c r="U1022" i="53" s="1"/>
  <c r="AH1022" i="53" s="1"/>
  <c r="P1028" i="53"/>
  <c r="U1028" i="53" s="1"/>
  <c r="AH1028" i="53" s="1"/>
  <c r="P1084" i="53"/>
  <c r="P1090" i="53"/>
  <c r="P1099" i="53"/>
  <c r="P190" i="53"/>
  <c r="P284" i="53"/>
  <c r="P330" i="53"/>
  <c r="P519" i="53"/>
  <c r="P503" i="53"/>
  <c r="P556" i="53"/>
  <c r="P552" i="53"/>
  <c r="P560" i="53"/>
  <c r="P557" i="53"/>
  <c r="P549" i="53"/>
  <c r="P656" i="53"/>
  <c r="P677" i="53"/>
  <c r="P683" i="53"/>
  <c r="P729" i="53"/>
  <c r="P778" i="53"/>
  <c r="P755" i="53"/>
  <c r="P745" i="53"/>
  <c r="P813" i="53"/>
  <c r="P829" i="53"/>
  <c r="P842" i="53"/>
  <c r="P864" i="53"/>
  <c r="P865" i="53"/>
  <c r="P839" i="53"/>
  <c r="P855" i="53"/>
  <c r="P863" i="53"/>
  <c r="U863" i="53" s="1"/>
  <c r="AH863" i="53" s="1"/>
  <c r="P879" i="53"/>
  <c r="P958" i="53"/>
  <c r="P978" i="53"/>
  <c r="P983" i="53"/>
  <c r="P986" i="53"/>
  <c r="P1027" i="53"/>
  <c r="U1027" i="53" s="1"/>
  <c r="AH1027" i="53" s="1"/>
  <c r="P1045" i="53"/>
  <c r="U1045" i="53" s="1"/>
  <c r="AH1045" i="53" s="1"/>
  <c r="P1077" i="53"/>
  <c r="U427" i="53" l="1"/>
  <c r="AH427" i="53" s="1"/>
  <c r="U303" i="53"/>
  <c r="AH303" i="53" s="1"/>
  <c r="U923" i="53"/>
  <c r="AH923" i="53" s="1"/>
  <c r="U558" i="53"/>
  <c r="AH558" i="53" s="1"/>
  <c r="U443" i="53"/>
  <c r="AH443" i="53" s="1"/>
  <c r="U837" i="53"/>
  <c r="AH837" i="53" s="1"/>
  <c r="U288" i="53"/>
  <c r="AH288" i="53" s="1"/>
  <c r="U152" i="53"/>
  <c r="AH152" i="53" s="1"/>
  <c r="U1087" i="53"/>
  <c r="AH1087" i="53" s="1"/>
  <c r="U392" i="53"/>
  <c r="AH392" i="53" s="1"/>
  <c r="U171" i="53"/>
  <c r="AH171" i="53" s="1"/>
  <c r="U939" i="53"/>
  <c r="AH939" i="53" s="1"/>
  <c r="U683" i="53"/>
  <c r="AH683" i="53" s="1"/>
  <c r="U46" i="53"/>
  <c r="AH46" i="53" s="1"/>
  <c r="U204" i="53"/>
  <c r="AH204" i="53" s="1"/>
  <c r="U411" i="53"/>
  <c r="AH411" i="53" s="1"/>
  <c r="U302" i="53"/>
  <c r="AH302" i="53" s="1"/>
  <c r="U155" i="53"/>
  <c r="AH155" i="53" s="1"/>
  <c r="U525" i="53"/>
  <c r="AH525" i="53" s="1"/>
  <c r="U269" i="53"/>
  <c r="AH269" i="53" s="1"/>
  <c r="U324" i="53"/>
  <c r="AH324" i="53" s="1"/>
  <c r="U667" i="53"/>
  <c r="AH667" i="53" s="1"/>
  <c r="U460" i="53"/>
  <c r="AH460" i="53" s="1"/>
  <c r="U61" i="53"/>
  <c r="AH61" i="53" s="1"/>
  <c r="U585" i="53"/>
  <c r="AH585" i="53" s="1"/>
  <c r="U211" i="53"/>
  <c r="AH211" i="53" s="1"/>
  <c r="U544" i="53"/>
  <c r="AH544" i="53" s="1"/>
  <c r="U354" i="53"/>
  <c r="AH354" i="53" s="1"/>
  <c r="U45" i="53"/>
  <c r="AH45" i="53" s="1"/>
  <c r="U209" i="53"/>
  <c r="AH209" i="53" s="1"/>
  <c r="U971" i="53"/>
  <c r="AH971" i="53" s="1"/>
  <c r="U904" i="53"/>
  <c r="AH904" i="53" s="1"/>
  <c r="U459" i="53"/>
  <c r="AH459" i="53" s="1"/>
  <c r="U673" i="53"/>
  <c r="AH673" i="53" s="1"/>
  <c r="U225" i="53"/>
  <c r="AH225" i="53" s="1"/>
  <c r="U1012" i="53"/>
  <c r="AH1012" i="53" s="1"/>
  <c r="U467" i="53"/>
  <c r="AH467" i="53" s="1"/>
  <c r="U610" i="53"/>
  <c r="AH610" i="53" s="1"/>
  <c r="U79" i="53"/>
  <c r="AH79" i="53" s="1"/>
  <c r="U304" i="53"/>
  <c r="AH304" i="53" s="1"/>
  <c r="U203" i="53"/>
  <c r="AH203" i="53" s="1"/>
  <c r="U313" i="53"/>
  <c r="AH313" i="53" s="1"/>
  <c r="U100" i="53"/>
  <c r="AH100" i="53" s="1"/>
  <c r="U591" i="53"/>
  <c r="AH591" i="53" s="1"/>
  <c r="U885" i="53"/>
  <c r="AH885" i="53" s="1"/>
  <c r="U236" i="53"/>
  <c r="AH236" i="53" s="1"/>
  <c r="U955" i="53"/>
  <c r="AH955" i="53" s="1"/>
  <c r="U492" i="53"/>
  <c r="AH492" i="53" s="1"/>
  <c r="U972" i="53"/>
  <c r="AH972" i="53" s="1"/>
  <c r="U954" i="53"/>
  <c r="AH954" i="53" s="1"/>
  <c r="U78" i="53"/>
  <c r="AH78" i="53" s="1"/>
  <c r="S13" i="53"/>
  <c r="AF13" i="53" s="1"/>
  <c r="H173" i="31"/>
  <c r="U441" i="53"/>
  <c r="AH441" i="53" s="1"/>
  <c r="U699" i="53"/>
  <c r="AH699" i="53" s="1"/>
  <c r="U32" i="53"/>
  <c r="AH32" i="53" s="1"/>
  <c r="U117" i="53"/>
  <c r="AH117" i="53" s="1"/>
  <c r="U617" i="53"/>
  <c r="AH617" i="53" s="1"/>
  <c r="U39" i="53"/>
  <c r="AH39" i="53" s="1"/>
  <c r="G171" i="31"/>
  <c r="U98" i="53"/>
  <c r="AH98" i="53" s="1"/>
  <c r="U743" i="53"/>
  <c r="AH743" i="53" s="1"/>
  <c r="U187" i="53"/>
  <c r="AH187" i="53" s="1"/>
  <c r="G173" i="31"/>
  <c r="U1034" i="53"/>
  <c r="AH1034" i="53" s="1"/>
  <c r="U712" i="53"/>
  <c r="AH712" i="53" s="1"/>
  <c r="U1102" i="53"/>
  <c r="AH1102" i="53" s="1"/>
  <c r="H171" i="31"/>
  <c r="U557" i="53"/>
  <c r="AH557" i="53" s="1"/>
  <c r="U216" i="53"/>
  <c r="AH216" i="53" s="1"/>
  <c r="U334" i="53"/>
  <c r="AH334" i="53" s="1"/>
  <c r="U335" i="53"/>
  <c r="AH335" i="53" s="1"/>
  <c r="U471" i="53"/>
  <c r="AH471" i="53" s="1"/>
  <c r="U301" i="53"/>
  <c r="AH301" i="53" s="1"/>
  <c r="U6" i="53"/>
  <c r="AQ6" i="53" s="1"/>
  <c r="AS6" i="53" s="1"/>
  <c r="U552" i="53"/>
  <c r="AH552" i="53" s="1"/>
  <c r="U465" i="53"/>
  <c r="AH465" i="53" s="1"/>
  <c r="U356" i="53"/>
  <c r="AH356" i="53" s="1"/>
  <c r="U929" i="53"/>
  <c r="AH929" i="53" s="1"/>
  <c r="U1026" i="53"/>
  <c r="AH1026" i="53" s="1"/>
  <c r="U693" i="53"/>
  <c r="AH693" i="53" s="1"/>
  <c r="U94" i="53"/>
  <c r="AH94" i="53" s="1"/>
  <c r="U351" i="53"/>
  <c r="AH351" i="53" s="1"/>
  <c r="U252" i="53"/>
  <c r="AH252" i="53" s="1"/>
  <c r="U48" i="53"/>
  <c r="AH48" i="53" s="1"/>
  <c r="U370" i="53"/>
  <c r="AH370" i="53" s="1"/>
  <c r="U317" i="53"/>
  <c r="AH317" i="53" s="1"/>
  <c r="U227" i="53"/>
  <c r="AH227" i="53" s="1"/>
  <c r="U350" i="53"/>
  <c r="AH350" i="53" s="1"/>
  <c r="U481" i="53"/>
  <c r="AH481" i="53" s="1"/>
  <c r="U618" i="53"/>
  <c r="AH618" i="53" s="1"/>
  <c r="U483" i="53"/>
  <c r="AH483" i="53" s="1"/>
  <c r="U573" i="53"/>
  <c r="AH573" i="53" s="1"/>
  <c r="U902" i="53"/>
  <c r="AH902" i="53" s="1"/>
  <c r="U372" i="53"/>
  <c r="AH372" i="53" s="1"/>
  <c r="U560" i="53"/>
  <c r="AH560" i="53" s="1"/>
  <c r="U854" i="53"/>
  <c r="AH854" i="53" s="1"/>
  <c r="U487" i="53"/>
  <c r="AH487" i="53" s="1"/>
  <c r="U606" i="53"/>
  <c r="AH606" i="53" s="1"/>
  <c r="U95" i="53"/>
  <c r="AH95" i="53" s="1"/>
  <c r="U220" i="53"/>
  <c r="AH220" i="53" s="1"/>
  <c r="U29" i="53"/>
  <c r="AH29" i="53" s="1"/>
  <c r="U193" i="53"/>
  <c r="AH193" i="53" s="1"/>
  <c r="U62" i="53"/>
  <c r="AH62" i="53" s="1"/>
  <c r="U476" i="53"/>
  <c r="AH476" i="53" s="1"/>
  <c r="U449" i="53"/>
  <c r="AH449" i="53" s="1"/>
  <c r="U340" i="53"/>
  <c r="AH340" i="53" s="1"/>
  <c r="U338" i="53"/>
  <c r="AH338" i="53" s="1"/>
  <c r="U318" i="53"/>
  <c r="AH318" i="53" s="1"/>
  <c r="U195" i="53"/>
  <c r="AH195" i="53" s="1"/>
  <c r="U541" i="53"/>
  <c r="AH541" i="53" s="1"/>
  <c r="U285" i="53"/>
  <c r="AH285" i="53" s="1"/>
  <c r="U578" i="53"/>
  <c r="AH578" i="53" s="1"/>
  <c r="U512" i="53"/>
  <c r="AH512" i="53" s="1"/>
  <c r="U433" i="53"/>
  <c r="AH433" i="53" s="1"/>
  <c r="U559" i="53"/>
  <c r="AH559" i="53" s="1"/>
  <c r="U322" i="53"/>
  <c r="AH322" i="53" s="1"/>
  <c r="U256" i="53"/>
  <c r="AH256" i="53" s="1"/>
  <c r="U177" i="53"/>
  <c r="AH177" i="53" s="1"/>
  <c r="U66" i="53"/>
  <c r="AH66" i="53" s="1"/>
  <c r="U660" i="53"/>
  <c r="AH660" i="53" s="1"/>
  <c r="U886" i="53"/>
  <c r="AH886" i="53" s="1"/>
  <c r="U817" i="53"/>
  <c r="AH817" i="53" s="1"/>
  <c r="U198" i="53"/>
  <c r="AH198" i="53" s="1"/>
  <c r="U15" i="53"/>
  <c r="AH15" i="53" s="1"/>
  <c r="U146" i="53"/>
  <c r="AH146" i="53" s="1"/>
  <c r="U509" i="53"/>
  <c r="AH509" i="53" s="1"/>
  <c r="U684" i="53"/>
  <c r="AH684" i="53" s="1"/>
  <c r="U819" i="53"/>
  <c r="AH819" i="53" s="1"/>
  <c r="U766" i="53"/>
  <c r="AH766" i="53" s="1"/>
  <c r="U914" i="53"/>
  <c r="AH914" i="53" s="1"/>
  <c r="U597" i="53"/>
  <c r="AH597" i="53" s="1"/>
  <c r="U156" i="53"/>
  <c r="AH156" i="53" s="1"/>
  <c r="U417" i="53"/>
  <c r="AH417" i="53" s="1"/>
  <c r="U834" i="53"/>
  <c r="AH834" i="53" s="1"/>
  <c r="U624" i="53"/>
  <c r="AH624" i="53" s="1"/>
  <c r="U493" i="53"/>
  <c r="AH493" i="53" s="1"/>
  <c r="U240" i="53"/>
  <c r="AH240" i="53" s="1"/>
  <c r="U254" i="53"/>
  <c r="AH254" i="53" s="1"/>
  <c r="U290" i="53"/>
  <c r="AH290" i="53" s="1"/>
  <c r="U485" i="53"/>
  <c r="AH485" i="53" s="1"/>
  <c r="U326" i="53"/>
  <c r="AH326" i="53" s="1"/>
  <c r="U419" i="53"/>
  <c r="AH419" i="53" s="1"/>
  <c r="U428" i="53"/>
  <c r="AH428" i="53" s="1"/>
  <c r="U870" i="53"/>
  <c r="AH870" i="53" s="1"/>
  <c r="U37" i="53"/>
  <c r="AH37" i="53" s="1"/>
  <c r="U733" i="53"/>
  <c r="AH733" i="53" s="1"/>
  <c r="U1083" i="53"/>
  <c r="AH1083" i="53" s="1"/>
  <c r="U486" i="53"/>
  <c r="AH486" i="53" s="1"/>
  <c r="U477" i="53"/>
  <c r="AH477" i="53" s="1"/>
  <c r="U1013" i="53"/>
  <c r="AH1013" i="53" s="1"/>
  <c r="U440" i="53"/>
  <c r="AH440" i="53" s="1"/>
  <c r="U30" i="53"/>
  <c r="AH30" i="53" s="1"/>
  <c r="U224" i="53"/>
  <c r="AH224" i="53" s="1"/>
  <c r="U8" i="53"/>
  <c r="AH8" i="53" s="1"/>
  <c r="U896" i="53"/>
  <c r="AH896" i="53" s="1"/>
  <c r="U864" i="53"/>
  <c r="AH864" i="53" s="1"/>
  <c r="U1050" i="53"/>
  <c r="AH1050" i="53" s="1"/>
  <c r="U36" i="53"/>
  <c r="AH36" i="53" s="1"/>
  <c r="U850" i="53"/>
  <c r="AH850" i="53" s="1"/>
  <c r="U439" i="53"/>
  <c r="AH439" i="53" s="1"/>
  <c r="U513" i="53"/>
  <c r="AH513" i="53" s="1"/>
  <c r="U253" i="53"/>
  <c r="AH253" i="53" s="1"/>
  <c r="U188" i="53"/>
  <c r="AH188" i="53" s="1"/>
  <c r="U292" i="53"/>
  <c r="AH292" i="53" s="1"/>
  <c r="U395" i="53"/>
  <c r="AH395" i="53" s="1"/>
  <c r="U1070" i="53"/>
  <c r="AH1070" i="53" s="1"/>
  <c r="U924" i="53"/>
  <c r="AH924" i="53" s="1"/>
  <c r="U182" i="53"/>
  <c r="AH182" i="53" s="1"/>
  <c r="U145" i="53"/>
  <c r="AH145" i="53" s="1"/>
  <c r="U276" i="53"/>
  <c r="AH276" i="53" s="1"/>
  <c r="U20" i="53"/>
  <c r="AH20" i="53" s="1"/>
  <c r="U237" i="53"/>
  <c r="AH237" i="53" s="1"/>
  <c r="U546" i="53"/>
  <c r="AH546" i="53" s="1"/>
  <c r="U480" i="53"/>
  <c r="AH480" i="53" s="1"/>
  <c r="U403" i="53"/>
  <c r="AH403" i="53" s="1"/>
  <c r="U394" i="53"/>
  <c r="AH394" i="53" s="1"/>
  <c r="U791" i="53"/>
  <c r="AH791" i="53" s="1"/>
  <c r="U527" i="53"/>
  <c r="AH527" i="53" s="1"/>
  <c r="U700" i="53"/>
  <c r="AH700" i="53" s="1"/>
  <c r="U385" i="53"/>
  <c r="AH385" i="53" s="1"/>
  <c r="U510" i="53"/>
  <c r="AH510" i="53" s="1"/>
  <c r="U532" i="53"/>
  <c r="AH532" i="53" s="1"/>
  <c r="U14" i="53"/>
  <c r="AQ14" i="53" s="1"/>
  <c r="AS14" i="53" s="1"/>
  <c r="U511" i="53"/>
  <c r="AH511" i="53" s="1"/>
  <c r="U948" i="53"/>
  <c r="AH948" i="53" s="1"/>
  <c r="U379" i="53"/>
  <c r="AH379" i="53" s="1"/>
  <c r="U907" i="53"/>
  <c r="AH907" i="53" s="1"/>
  <c r="U891" i="53"/>
  <c r="AH891" i="53" s="1"/>
  <c r="U526" i="53"/>
  <c r="AH526" i="53" s="1"/>
  <c r="U444" i="53"/>
  <c r="AH444" i="53" s="1"/>
  <c r="U255" i="53"/>
  <c r="AH255" i="53" s="1"/>
  <c r="U401" i="53"/>
  <c r="AH401" i="53" s="1"/>
  <c r="U208" i="53"/>
  <c r="AH208" i="53" s="1"/>
  <c r="U852" i="53"/>
  <c r="AH852" i="53" s="1"/>
  <c r="U345" i="53"/>
  <c r="AH345" i="53" s="1"/>
  <c r="U53" i="53"/>
  <c r="AH53" i="53" s="1"/>
  <c r="U412" i="53"/>
  <c r="AH412" i="53" s="1"/>
  <c r="U172" i="53"/>
  <c r="AH172" i="53" s="1"/>
  <c r="U34" i="53"/>
  <c r="AH34" i="53" s="1"/>
  <c r="U1010" i="53"/>
  <c r="AH1010" i="53" s="1"/>
  <c r="U274" i="53"/>
  <c r="AH274" i="53" s="1"/>
  <c r="U977" i="53"/>
  <c r="AH977" i="53" s="1"/>
  <c r="U530" i="53"/>
  <c r="AH530" i="53" s="1"/>
  <c r="U1063" i="53"/>
  <c r="AH1063" i="53" s="1"/>
  <c r="U831" i="53"/>
  <c r="AH831" i="53" s="1"/>
  <c r="U161" i="53"/>
  <c r="AH161" i="53" s="1"/>
  <c r="U287" i="53"/>
  <c r="AH287" i="53" s="1"/>
  <c r="U918" i="53"/>
  <c r="AH918" i="53" s="1"/>
  <c r="U836" i="53"/>
  <c r="AH836" i="53" s="1"/>
  <c r="U271" i="53"/>
  <c r="AH271" i="53" s="1"/>
  <c r="U661" i="53"/>
  <c r="AH661" i="53" s="1"/>
  <c r="U107" i="53"/>
  <c r="AH107" i="53" s="1"/>
  <c r="U941" i="53"/>
  <c r="AH941" i="53" s="1"/>
  <c r="U519" i="53"/>
  <c r="AH519" i="53" s="1"/>
  <c r="U1054" i="53"/>
  <c r="AH1054" i="53" s="1"/>
  <c r="U214" i="53"/>
  <c r="AH214" i="53" s="1"/>
  <c r="U562" i="53"/>
  <c r="AH562" i="53" s="1"/>
  <c r="U496" i="53"/>
  <c r="AH496" i="53" s="1"/>
  <c r="U869" i="53"/>
  <c r="AH869" i="53" s="1"/>
  <c r="U31" i="53"/>
  <c r="AH31" i="53" s="1"/>
  <c r="U853" i="53"/>
  <c r="AH853" i="53" s="1"/>
  <c r="U298" i="53"/>
  <c r="AH298" i="53" s="1"/>
  <c r="U786" i="53"/>
  <c r="AH786" i="53" s="1"/>
  <c r="U542" i="53"/>
  <c r="AH542" i="53" s="1"/>
  <c r="U325" i="53"/>
  <c r="AH325" i="53" s="1"/>
  <c r="U1099" i="53"/>
  <c r="AH1099" i="53" s="1"/>
  <c r="U168" i="53"/>
  <c r="AH168" i="53" s="1"/>
  <c r="U996" i="53"/>
  <c r="AH996" i="53" s="1"/>
  <c r="U306" i="53"/>
  <c r="AH306" i="53" s="1"/>
  <c r="U286" i="53"/>
  <c r="AH286" i="53" s="1"/>
  <c r="U163" i="53"/>
  <c r="AH163" i="53" s="1"/>
  <c r="U1025" i="53"/>
  <c r="AH1025" i="53" s="1"/>
  <c r="U814" i="53"/>
  <c r="AH814" i="53" s="1"/>
  <c r="U543" i="53"/>
  <c r="AH543" i="53" s="1"/>
  <c r="U308" i="53"/>
  <c r="AH308" i="53" s="1"/>
  <c r="U647" i="53"/>
  <c r="AH647" i="53" s="1"/>
  <c r="U742" i="53"/>
  <c r="AH742" i="53" s="1"/>
  <c r="U52" i="53"/>
  <c r="AH52" i="53" s="1"/>
  <c r="U69" i="53"/>
  <c r="AH69" i="53" s="1"/>
  <c r="U50" i="53"/>
  <c r="AH50" i="53" s="1"/>
  <c r="U424" i="53"/>
  <c r="AH424" i="53" s="1"/>
  <c r="U780" i="53"/>
  <c r="AH780" i="53" s="1"/>
  <c r="U959" i="53"/>
  <c r="AH959" i="53" s="1"/>
  <c r="U170" i="53"/>
  <c r="AH170" i="53" s="1"/>
  <c r="U389" i="53"/>
  <c r="AH389" i="53" s="1"/>
  <c r="U540" i="53"/>
  <c r="AH540" i="53" s="1"/>
  <c r="U235" i="53"/>
  <c r="AH235" i="53" s="1"/>
  <c r="U383" i="53"/>
  <c r="AH383" i="53" s="1"/>
  <c r="U605" i="53"/>
  <c r="AH605" i="53" s="1"/>
  <c r="U564" i="53"/>
  <c r="AH564" i="53" s="1"/>
  <c r="U666" i="53"/>
  <c r="Y666" i="53" s="1"/>
  <c r="U402" i="53"/>
  <c r="U284" i="53"/>
  <c r="U259" i="53"/>
  <c r="U1068" i="53"/>
  <c r="U638" i="53"/>
  <c r="U54" i="53"/>
  <c r="U148" i="53"/>
  <c r="U80" i="53"/>
  <c r="U382" i="53"/>
  <c r="U1052" i="53"/>
  <c r="AH1052" i="53" s="1"/>
  <c r="U689" i="53"/>
  <c r="AH689" i="53" s="1"/>
  <c r="U126" i="53"/>
  <c r="AH126" i="53" s="1"/>
  <c r="U936" i="53"/>
  <c r="AH936" i="53" s="1"/>
  <c r="U747" i="53"/>
  <c r="AH747" i="53" s="1"/>
  <c r="U1080" i="53"/>
  <c r="AH1080" i="53" s="1"/>
  <c r="U127" i="53"/>
  <c r="U336" i="53"/>
  <c r="U491" i="53"/>
  <c r="U165" i="53"/>
  <c r="U264" i="53"/>
  <c r="U592" i="53"/>
  <c r="U643" i="53"/>
  <c r="U349" i="53"/>
  <c r="U515" i="53"/>
  <c r="U404" i="53"/>
  <c r="U658" i="53"/>
  <c r="AH658" i="53" s="1"/>
  <c r="U755" i="53"/>
  <c r="AH755" i="53" s="1"/>
  <c r="U1061" i="53"/>
  <c r="AH1061" i="53" s="1"/>
  <c r="U89" i="53"/>
  <c r="AH89" i="53" s="1"/>
  <c r="U598" i="53"/>
  <c r="AH598" i="53" s="1"/>
  <c r="U951" i="53"/>
  <c r="AH951" i="53" s="1"/>
  <c r="U806" i="53"/>
  <c r="Y806" i="53" s="1"/>
  <c r="U1093" i="53"/>
  <c r="U880" i="53"/>
  <c r="U868" i="53"/>
  <c r="U68" i="53"/>
  <c r="U553" i="53"/>
  <c r="U179" i="53"/>
  <c r="U1031" i="53"/>
  <c r="U341" i="53"/>
  <c r="U1033" i="53"/>
  <c r="Y1033" i="53" s="1"/>
  <c r="U803" i="53"/>
  <c r="U435" i="53"/>
  <c r="U437" i="53"/>
  <c r="U851" i="53"/>
  <c r="U7" i="53"/>
  <c r="U978" i="53"/>
  <c r="U991" i="53"/>
  <c r="U359" i="53"/>
  <c r="U85" i="53"/>
  <c r="U184" i="53"/>
  <c r="U903" i="53"/>
  <c r="U627" i="53"/>
  <c r="U773" i="53"/>
  <c r="U520" i="53"/>
  <c r="U672" i="53"/>
  <c r="U878" i="53"/>
  <c r="U716" i="53"/>
  <c r="U998" i="53"/>
  <c r="U946" i="53"/>
  <c r="U631" i="53"/>
  <c r="U877" i="53"/>
  <c r="U999" i="53"/>
  <c r="Y999" i="53" s="1"/>
  <c r="U925" i="53"/>
  <c r="U931" i="53"/>
  <c r="U250" i="53"/>
  <c r="U251" i="53"/>
  <c r="AH251" i="53" s="1"/>
  <c r="U894" i="53"/>
  <c r="U74" i="53"/>
  <c r="U732" i="53"/>
  <c r="U947" i="53"/>
  <c r="U988" i="53"/>
  <c r="U1047" i="53"/>
  <c r="U976" i="53"/>
  <c r="U22" i="53"/>
  <c r="U55" i="53"/>
  <c r="U681" i="53"/>
  <c r="U116" i="53"/>
  <c r="U1032" i="53"/>
  <c r="U1007" i="53"/>
  <c r="U884" i="53"/>
  <c r="U409" i="53"/>
  <c r="U232" i="53"/>
  <c r="U362" i="53"/>
  <c r="U770" i="53"/>
  <c r="U469" i="53"/>
  <c r="AH469" i="53" s="1"/>
  <c r="U644" i="53"/>
  <c r="U879" i="53"/>
  <c r="U549" i="53"/>
  <c r="U626" i="53"/>
  <c r="U114" i="53"/>
  <c r="U824" i="53"/>
  <c r="U910" i="53"/>
  <c r="U697" i="53"/>
  <c r="U707" i="53"/>
  <c r="U656" i="53"/>
  <c r="U569" i="53"/>
  <c r="U953" i="53"/>
  <c r="AH953" i="53" s="1"/>
  <c r="U109" i="53"/>
  <c r="AH109" i="53" s="1"/>
  <c r="U787" i="53"/>
  <c r="AH787" i="53" s="1"/>
  <c r="U655" i="53"/>
  <c r="AH655" i="53" s="1"/>
  <c r="U352" i="53"/>
  <c r="AH352" i="53" s="1"/>
  <c r="U186" i="53"/>
  <c r="AH186" i="53" s="1"/>
  <c r="U930" i="53"/>
  <c r="AH930" i="53" s="1"/>
  <c r="U709" i="53"/>
  <c r="AH709" i="53" s="1"/>
  <c r="U596" i="53"/>
  <c r="AH596" i="53" s="1"/>
  <c r="U135" i="53"/>
  <c r="U760" i="53"/>
  <c r="U200" i="53"/>
  <c r="U586" i="53"/>
  <c r="U790" i="53"/>
  <c r="V790" i="53" s="1"/>
  <c r="U319" i="53"/>
  <c r="U816" i="53"/>
  <c r="U405" i="53"/>
  <c r="U594" i="53"/>
  <c r="U528" i="53"/>
  <c r="U820" i="53"/>
  <c r="U518" i="53"/>
  <c r="U860" i="53"/>
  <c r="U772" i="53"/>
  <c r="U84" i="53"/>
  <c r="U63" i="53"/>
  <c r="U1075" i="53"/>
  <c r="U282" i="53"/>
  <c r="U501" i="53"/>
  <c r="U357" i="53"/>
  <c r="U1044" i="53"/>
  <c r="U272" i="53"/>
  <c r="U937" i="53"/>
  <c r="U963" i="53"/>
  <c r="U574" i="53"/>
  <c r="U249" i="53"/>
  <c r="U82" i="53"/>
  <c r="U215" i="53"/>
  <c r="U314" i="53"/>
  <c r="U692" i="53"/>
  <c r="U101" i="53"/>
  <c r="U920" i="53"/>
  <c r="U887" i="53"/>
  <c r="U648" i="53"/>
  <c r="U16" i="53"/>
  <c r="U1055" i="53"/>
  <c r="U23" i="53"/>
  <c r="Y23" i="53" s="1"/>
  <c r="U942" i="53"/>
  <c r="U554" i="53"/>
  <c r="U87" i="53"/>
  <c r="U454" i="53"/>
  <c r="U1105" i="53"/>
  <c r="U980" i="53"/>
  <c r="U739" i="53"/>
  <c r="U630" i="53"/>
  <c r="U105" i="53"/>
  <c r="U858" i="53"/>
  <c r="U500" i="53"/>
  <c r="U642" i="53"/>
  <c r="AH642" i="53" s="1"/>
  <c r="U622" i="53"/>
  <c r="AH622" i="53" s="1"/>
  <c r="U71" i="53"/>
  <c r="AH71" i="53" s="1"/>
  <c r="U333" i="53"/>
  <c r="AH333" i="53" s="1"/>
  <c r="U1064" i="53"/>
  <c r="U704" i="53"/>
  <c r="U367" i="53"/>
  <c r="U919" i="53"/>
  <c r="U246" i="53"/>
  <c r="U735" i="53"/>
  <c r="U840" i="53"/>
  <c r="U1008" i="53"/>
  <c r="U956" i="53"/>
  <c r="U888" i="53"/>
  <c r="U584" i="53"/>
  <c r="U612" i="53"/>
  <c r="U556" i="53"/>
  <c r="AH556" i="53" s="1"/>
  <c r="U529" i="53"/>
  <c r="AH529" i="53" s="1"/>
  <c r="U842" i="53"/>
  <c r="U456" i="53"/>
  <c r="U422" i="53"/>
  <c r="Y422" i="53" s="1"/>
  <c r="U892" i="53"/>
  <c r="U121" i="53"/>
  <c r="U952" i="53"/>
  <c r="U913" i="53"/>
  <c r="U634" i="53"/>
  <c r="U373" i="53"/>
  <c r="U663" i="53"/>
  <c r="U1009" i="53"/>
  <c r="U982" i="53"/>
  <c r="U881" i="53"/>
  <c r="U928" i="53"/>
  <c r="U607" i="53"/>
  <c r="U1076" i="53"/>
  <c r="U566" i="53"/>
  <c r="U890" i="53"/>
  <c r="U810" i="53"/>
  <c r="U984" i="53"/>
  <c r="U736" i="53"/>
  <c r="U908" i="53"/>
  <c r="U538" i="53"/>
  <c r="U828" i="53"/>
  <c r="U330" i="53"/>
  <c r="U794" i="53"/>
  <c r="U329" i="53"/>
  <c r="U807" i="53"/>
  <c r="U1029" i="53"/>
  <c r="U677" i="53"/>
  <c r="U898" i="53"/>
  <c r="U423" i="53"/>
  <c r="U706" i="53"/>
  <c r="U377" i="53"/>
  <c r="U1073" i="53"/>
  <c r="U265" i="53"/>
  <c r="U119" i="53"/>
  <c r="U737" i="53"/>
  <c r="U813" i="53"/>
  <c r="U472" i="53"/>
  <c r="U328" i="53"/>
  <c r="U1062" i="53"/>
  <c r="U374" i="53"/>
  <c r="U570" i="53"/>
  <c r="U536" i="53"/>
  <c r="U537" i="53"/>
  <c r="AH537" i="53" s="1"/>
  <c r="U808" i="53"/>
  <c r="U26" i="53"/>
  <c r="U503" i="53"/>
  <c r="U1048" i="53"/>
  <c r="U741" i="53"/>
  <c r="U876" i="53"/>
  <c r="AH876" i="53" s="1"/>
  <c r="U1015" i="53"/>
  <c r="AH1015" i="53" s="1"/>
  <c r="U507" i="53"/>
  <c r="AH507" i="53" s="1"/>
  <c r="U973" i="53"/>
  <c r="AH973" i="53" s="1"/>
  <c r="U664" i="53"/>
  <c r="AH664" i="53" s="1"/>
  <c r="U1024" i="53"/>
  <c r="AH1024" i="53" s="1"/>
  <c r="U169" i="53"/>
  <c r="AH169" i="53" s="1"/>
  <c r="U637" i="53"/>
  <c r="U945" i="53"/>
  <c r="AH945" i="53" s="1"/>
  <c r="U17" i="53"/>
  <c r="AH17" i="53" s="1"/>
  <c r="U70" i="53"/>
  <c r="AH70" i="53" s="1"/>
  <c r="U164" i="53"/>
  <c r="AH164" i="53" s="1"/>
  <c r="U753" i="53"/>
  <c r="AH753" i="53" s="1"/>
  <c r="U96" i="53"/>
  <c r="AH96" i="53" s="1"/>
  <c r="U905" i="53"/>
  <c r="AH905" i="53" s="1"/>
  <c r="U24" i="53"/>
  <c r="AH24" i="53" s="1"/>
  <c r="U280" i="53"/>
  <c r="AH280" i="53" s="1"/>
  <c r="U162" i="53"/>
  <c r="AH162" i="53" s="1"/>
  <c r="U1094" i="53"/>
  <c r="AH1094" i="53" s="1"/>
  <c r="U310" i="53"/>
  <c r="AH310" i="53" s="1"/>
  <c r="U757" i="53"/>
  <c r="AH757" i="53" s="1"/>
  <c r="U142" i="53"/>
  <c r="AH142" i="53" s="1"/>
  <c r="U365" i="53"/>
  <c r="U654" i="53"/>
  <c r="U19" i="53"/>
  <c r="AI19" i="53" s="1"/>
  <c r="U867" i="53"/>
  <c r="U1090" i="53"/>
  <c r="U1084" i="53"/>
  <c r="AH1084" i="53" s="1"/>
  <c r="U833" i="53"/>
  <c r="AH833" i="53" s="1"/>
  <c r="U680" i="53"/>
  <c r="AH680" i="53" s="1"/>
  <c r="U181" i="53"/>
  <c r="AH181" i="53" s="1"/>
  <c r="U983" i="53"/>
  <c r="AH983" i="53" s="1"/>
  <c r="U779" i="53"/>
  <c r="U632" i="53"/>
  <c r="AH632" i="53" s="1"/>
  <c r="U418" i="53"/>
  <c r="AH418" i="53" s="1"/>
  <c r="U534" i="53"/>
  <c r="AH534" i="53" s="1"/>
  <c r="U490" i="53"/>
  <c r="AH490" i="53" s="1"/>
  <c r="U763" i="53"/>
  <c r="AH763" i="53" s="1"/>
  <c r="U531" i="53"/>
  <c r="AH531" i="53" s="1"/>
  <c r="U420" i="53"/>
  <c r="AH420" i="53" s="1"/>
  <c r="U1097" i="53"/>
  <c r="AH1097" i="53" s="1"/>
  <c r="U267" i="53"/>
  <c r="U690" i="53"/>
  <c r="AH690" i="53" s="1"/>
  <c r="U621" i="53"/>
  <c r="AH621" i="53" s="1"/>
  <c r="U857" i="53"/>
  <c r="AH857" i="53" s="1"/>
  <c r="U300" i="53"/>
  <c r="AH300" i="53" s="1"/>
  <c r="U1100" i="53"/>
  <c r="AH1100" i="53" s="1"/>
  <c r="U11" i="53"/>
  <c r="AQ11" i="53" s="1"/>
  <c r="AS11" i="53" s="1"/>
  <c r="U398" i="53"/>
  <c r="AH398" i="53" s="1"/>
  <c r="U547" i="53"/>
  <c r="U289" i="53"/>
  <c r="U275" i="53"/>
  <c r="AH275" i="53" s="1"/>
  <c r="U582" i="53"/>
  <c r="AH582" i="53" s="1"/>
  <c r="U194" i="53"/>
  <c r="U653" i="53"/>
  <c r="U27" i="53"/>
  <c r="U128" i="53"/>
  <c r="U196" i="53"/>
  <c r="U102" i="53"/>
  <c r="U25" i="53"/>
  <c r="U580" i="53"/>
  <c r="AH580" i="53" s="1"/>
  <c r="U151" i="53"/>
  <c r="U815" i="53"/>
  <c r="AH815" i="53" s="1"/>
  <c r="U551" i="53"/>
  <c r="U1056" i="53"/>
  <c r="U307" i="53"/>
  <c r="U327" i="53"/>
  <c r="U311" i="53"/>
  <c r="U821" i="53"/>
  <c r="U58" i="53"/>
  <c r="U795" i="53"/>
  <c r="U76" i="53"/>
  <c r="U390" i="53"/>
  <c r="AH390" i="53" s="1"/>
  <c r="U678" i="53"/>
  <c r="U141" i="53"/>
  <c r="U987" i="53"/>
  <c r="U708" i="53"/>
  <c r="U915" i="53"/>
  <c r="AH915" i="53" s="1"/>
  <c r="U788" i="53"/>
  <c r="U174" i="53"/>
  <c r="U792" i="53"/>
  <c r="U761" i="53"/>
  <c r="AH761" i="53" s="1"/>
  <c r="U865" i="53"/>
  <c r="U588" i="53"/>
  <c r="U563" i="53"/>
  <c r="U431" i="53"/>
  <c r="U213" i="53"/>
  <c r="U916" i="53"/>
  <c r="U430" i="53"/>
  <c r="U51" i="53"/>
  <c r="U940" i="53"/>
  <c r="U384" i="53"/>
  <c r="U1046" i="53"/>
  <c r="U985" i="53"/>
  <c r="G10" i="31"/>
  <c r="U452" i="53"/>
  <c r="U312" i="53"/>
  <c r="U729" i="53"/>
  <c r="U686" i="53"/>
  <c r="U397" i="53"/>
  <c r="U406" i="53"/>
  <c r="U539" i="53"/>
  <c r="U633" i="53"/>
  <c r="U175" i="53"/>
  <c r="U1060" i="53"/>
  <c r="U696" i="53"/>
  <c r="U958" i="53"/>
  <c r="U567" i="53"/>
  <c r="U305" i="53"/>
  <c r="U979" i="53"/>
  <c r="U639" i="53"/>
  <c r="U600" i="53"/>
  <c r="U975" i="53"/>
  <c r="H10" i="31"/>
  <c r="U726" i="53"/>
  <c r="U49" i="53"/>
  <c r="U849" i="53"/>
  <c r="U561" i="53"/>
  <c r="U56" i="53"/>
  <c r="U450" i="53"/>
  <c r="U646" i="53"/>
  <c r="U283" i="53"/>
  <c r="U1005" i="53"/>
  <c r="U949" i="53"/>
  <c r="U201" i="53"/>
  <c r="AH201" i="53" s="1"/>
  <c r="U725" i="53"/>
  <c r="U504" i="53"/>
  <c r="AH504" i="53" s="1"/>
  <c r="U299" i="53"/>
  <c r="U698" i="53"/>
  <c r="U72" i="53"/>
  <c r="U506" i="53"/>
  <c r="U843" i="53"/>
  <c r="AH843" i="53" s="1"/>
  <c r="U331" i="53"/>
  <c r="AH331" i="53" s="1"/>
  <c r="P184" i="31"/>
  <c r="P196" i="31"/>
  <c r="V207" i="31"/>
  <c r="U846" i="53"/>
  <c r="U343" i="53"/>
  <c r="AH343" i="53" s="1"/>
  <c r="U796" i="53"/>
  <c r="U812" i="53"/>
  <c r="U1019" i="53"/>
  <c r="U738" i="53"/>
  <c r="AH738" i="53" s="1"/>
  <c r="U361" i="53"/>
  <c r="U212" i="53"/>
  <c r="U604" i="53"/>
  <c r="U59" i="53"/>
  <c r="U413" i="53"/>
  <c r="U767" i="53"/>
  <c r="U463" i="53"/>
  <c r="U950" i="53"/>
  <c r="U1021" i="53"/>
  <c r="U727" i="53"/>
  <c r="U92" i="53"/>
  <c r="U669" i="53"/>
  <c r="U974" i="53"/>
  <c r="U321" i="53"/>
  <c r="U799" i="53"/>
  <c r="U446" i="53"/>
  <c r="U927" i="53"/>
  <c r="U315" i="53"/>
  <c r="U797" i="53"/>
  <c r="U1016" i="53"/>
  <c r="U784" i="53"/>
  <c r="U488" i="53"/>
  <c r="U228" i="53"/>
  <c r="U935" i="53"/>
  <c r="U103" i="53"/>
  <c r="U468" i="53"/>
  <c r="U157" i="53"/>
  <c r="U160" i="53"/>
  <c r="U749" i="53"/>
  <c r="U1103" i="53"/>
  <c r="U599" i="53"/>
  <c r="U629" i="53"/>
  <c r="U43" i="53"/>
  <c r="U233" i="53"/>
  <c r="U442" i="53"/>
  <c r="U855" i="53"/>
  <c r="U826" i="53"/>
  <c r="AH826" i="53" s="1"/>
  <c r="U407" i="53"/>
  <c r="U1079" i="53"/>
  <c r="U191" i="53"/>
  <c r="U838" i="53"/>
  <c r="U118" i="53"/>
  <c r="U337" i="53"/>
  <c r="U400" i="53"/>
  <c r="U581" i="53"/>
  <c r="U88" i="53"/>
  <c r="U1071" i="53"/>
  <c r="U957" i="53"/>
  <c r="U210" i="53"/>
  <c r="U1000" i="53"/>
  <c r="U42" i="53"/>
  <c r="U421" i="53"/>
  <c r="AH421" i="53" s="1"/>
  <c r="U81" i="53"/>
  <c r="U944" i="53"/>
  <c r="U153" i="53"/>
  <c r="U845" i="53"/>
  <c r="U909" i="53"/>
  <c r="U462" i="53"/>
  <c r="U1039" i="53"/>
  <c r="U1049" i="53"/>
  <c r="U207" i="53"/>
  <c r="U809" i="53"/>
  <c r="U144" i="53"/>
  <c r="U679" i="53"/>
  <c r="AH679" i="53" s="1"/>
  <c r="U323" i="53"/>
  <c r="U691" i="53"/>
  <c r="U1065" i="53"/>
  <c r="U206" i="53"/>
  <c r="U173" i="53"/>
  <c r="U628" i="53"/>
  <c r="U190" i="53"/>
  <c r="U1003" i="53"/>
  <c r="U134" i="53"/>
  <c r="U1088" i="53"/>
  <c r="U721" i="53"/>
  <c r="AH721" i="53" s="1"/>
  <c r="U83" i="53"/>
  <c r="U229" i="53"/>
  <c r="U593" i="53"/>
  <c r="U702" i="53"/>
  <c r="U429" i="53"/>
  <c r="U718" i="53"/>
  <c r="U620" i="53"/>
  <c r="U782" i="53"/>
  <c r="AH782" i="53" s="1"/>
  <c r="U245" i="53"/>
  <c r="U1041" i="53"/>
  <c r="U517" i="53"/>
  <c r="U1072" i="53"/>
  <c r="U484" i="53"/>
  <c r="U67" i="53"/>
  <c r="U577" i="53"/>
  <c r="U986" i="53"/>
  <c r="U416" i="53"/>
  <c r="U685" i="53"/>
  <c r="U1001" i="53"/>
  <c r="U571" i="53"/>
  <c r="U746" i="53"/>
  <c r="U458" i="53"/>
  <c r="U550" i="53"/>
  <c r="AH550" i="53" s="1"/>
  <c r="U339" i="53"/>
  <c r="U811" i="53"/>
  <c r="U555" i="53"/>
  <c r="U482" i="53"/>
  <c r="U378" i="53"/>
  <c r="U719" i="53"/>
  <c r="U926" i="53"/>
  <c r="U226" i="53"/>
  <c r="U827" i="53"/>
  <c r="U650" i="53"/>
  <c r="U138" i="53"/>
  <c r="U705" i="53"/>
  <c r="AH705" i="53" s="1"/>
  <c r="U295" i="53"/>
  <c r="U579" i="53"/>
  <c r="U805" i="53"/>
  <c r="U768" i="53"/>
  <c r="U1037" i="53"/>
  <c r="U364" i="53"/>
  <c r="U65" i="53"/>
  <c r="U447" i="53"/>
  <c r="U231" i="53"/>
  <c r="U997" i="53"/>
  <c r="U671" i="53"/>
  <c r="U108" i="53"/>
  <c r="U595" i="53"/>
  <c r="U466" i="53"/>
  <c r="U687" i="53"/>
  <c r="AH687" i="53" s="1"/>
  <c r="U1092" i="53"/>
  <c r="U120" i="53"/>
  <c r="U192" i="53"/>
  <c r="U614" i="53"/>
  <c r="AH614" i="53" s="1"/>
  <c r="U297" i="53"/>
  <c r="AH297" i="53" s="1"/>
  <c r="U695" i="53"/>
  <c r="U445" i="53"/>
  <c r="AH445" i="53" s="1"/>
  <c r="U380" i="53"/>
  <c r="AH380" i="53" s="1"/>
  <c r="U801" i="53"/>
  <c r="AH801" i="53" s="1"/>
  <c r="U625" i="53"/>
  <c r="U238" i="53"/>
  <c r="U166" i="53"/>
  <c r="U1051" i="53"/>
  <c r="U783" i="53"/>
  <c r="U603" i="53"/>
  <c r="U866" i="53"/>
  <c r="U140" i="53"/>
  <c r="U1096" i="53"/>
  <c r="U369" i="53"/>
  <c r="U258" i="53"/>
  <c r="U615" i="53"/>
  <c r="U470" i="53"/>
  <c r="U611" i="53"/>
  <c r="AH611" i="53" s="1"/>
  <c r="U239" i="53"/>
  <c r="U448" i="53"/>
  <c r="U223" i="53"/>
  <c r="AH223" i="53" s="1"/>
  <c r="U294" i="53"/>
  <c r="U262" i="53"/>
  <c r="U489" i="53"/>
  <c r="U124" i="53"/>
  <c r="AH124" i="53" s="1"/>
  <c r="U717" i="53"/>
  <c r="U1035" i="53"/>
  <c r="AH1035" i="53" s="1"/>
  <c r="U113" i="53"/>
  <c r="U21" i="53"/>
  <c r="U818" i="53"/>
  <c r="U883" i="53"/>
  <c r="AH883" i="53" s="1"/>
  <c r="U861" i="53"/>
  <c r="U396" i="53"/>
  <c r="U473" i="53"/>
  <c r="U494" i="53"/>
  <c r="U1058" i="53"/>
  <c r="U565" i="53"/>
  <c r="U260" i="53"/>
  <c r="U375" i="53"/>
  <c r="U967" i="53"/>
  <c r="AH967" i="53" s="1"/>
  <c r="U960" i="53"/>
  <c r="U9" i="53"/>
  <c r="U358" i="53"/>
  <c r="U205" i="53"/>
  <c r="U830" i="53"/>
  <c r="U1006" i="53"/>
  <c r="U516" i="53"/>
  <c r="U897" i="53"/>
  <c r="U745" i="53"/>
  <c r="AH745" i="53" s="1"/>
  <c r="U115" i="53"/>
  <c r="U750" i="53"/>
  <c r="U432" i="53"/>
  <c r="AH432" i="53" s="1"/>
  <c r="U495" i="53"/>
  <c r="U889" i="53"/>
  <c r="U461" i="53"/>
  <c r="U277" i="53"/>
  <c r="U73" i="53"/>
  <c r="U859" i="53"/>
  <c r="U758" i="53"/>
  <c r="U242" i="53"/>
  <c r="AH242" i="53" s="1"/>
  <c r="U514" i="53"/>
  <c r="U502" i="53"/>
  <c r="U774" i="53"/>
  <c r="U730" i="53"/>
  <c r="U393" i="53"/>
  <c r="U10" i="53"/>
  <c r="U344" i="53"/>
  <c r="AH344" i="53" s="1"/>
  <c r="U91" i="53"/>
  <c r="U636" i="53"/>
  <c r="AH636" i="53" s="1"/>
  <c r="U674" i="53"/>
  <c r="U371" i="53"/>
  <c r="U1089" i="53"/>
  <c r="U230" i="53"/>
  <c r="AH230" i="53" s="1"/>
  <c r="U722" i="53"/>
  <c r="AH722" i="53" s="1"/>
  <c r="U425" i="53"/>
  <c r="U659" i="53"/>
  <c r="U199" i="53"/>
  <c r="U856" i="53"/>
  <c r="U641" i="53"/>
  <c r="U652" i="53"/>
  <c r="U347" i="53"/>
  <c r="U1042" i="53"/>
  <c r="U1059" i="53"/>
  <c r="U701" i="53"/>
  <c r="AH701" i="53" s="1"/>
  <c r="U793" i="53"/>
  <c r="U825" i="53"/>
  <c r="U872" i="53"/>
  <c r="AH872" i="53" s="1"/>
  <c r="U266" i="53"/>
  <c r="U1018" i="53"/>
  <c r="AH1018" i="53" s="1"/>
  <c r="U533" i="53"/>
  <c r="U572" i="53"/>
  <c r="U989" i="53"/>
  <c r="U895" i="53"/>
  <c r="U40" i="53"/>
  <c r="U75" i="53"/>
  <c r="AH75" i="53" s="1"/>
  <c r="U457" i="53"/>
  <c r="AH457" i="53" s="1"/>
  <c r="U839" i="53"/>
  <c r="AH839" i="53" s="1"/>
  <c r="U1104" i="53"/>
  <c r="AH1104" i="53" s="1"/>
  <c r="U1085" i="53"/>
  <c r="U158" i="53"/>
  <c r="U218" i="53"/>
  <c r="U381" i="53"/>
  <c r="U602" i="53"/>
  <c r="U1074" i="53"/>
  <c r="U183" i="53"/>
  <c r="U176" i="53"/>
  <c r="AH176" i="53" s="1"/>
  <c r="U137" i="53"/>
  <c r="AH137" i="53" s="1"/>
  <c r="U545" i="53"/>
  <c r="U917" i="53"/>
  <c r="AH917" i="53" s="1"/>
  <c r="U106" i="53"/>
  <c r="AH106" i="53" s="1"/>
  <c r="U609" i="53"/>
  <c r="AH609" i="53" s="1"/>
  <c r="U775" i="53"/>
  <c r="U1053" i="53"/>
  <c r="AH1053" i="53" s="1"/>
  <c r="U1082" i="53"/>
  <c r="U657" i="53"/>
  <c r="U60" i="53"/>
  <c r="U112" i="53"/>
  <c r="U522" i="53"/>
  <c r="AH522" i="53" s="1"/>
  <c r="U901" i="53"/>
  <c r="AH901" i="53" s="1"/>
  <c r="U316" i="53"/>
  <c r="U613" i="53"/>
  <c r="U217" i="53"/>
  <c r="AH217" i="53" s="1"/>
  <c r="U756" i="53"/>
  <c r="AH756" i="53" s="1"/>
  <c r="U608" i="53"/>
  <c r="U97" i="53"/>
  <c r="U185" i="53"/>
  <c r="U583" i="53"/>
  <c r="AH583" i="53" s="1"/>
  <c r="U414" i="53"/>
  <c r="U734" i="53"/>
  <c r="U862" i="53"/>
  <c r="U178" i="53"/>
  <c r="U964" i="53"/>
  <c r="AH964" i="53" s="1"/>
  <c r="U804" i="53"/>
  <c r="U368" i="53"/>
  <c r="U829" i="53"/>
  <c r="U125" i="53"/>
  <c r="U765" i="53"/>
  <c r="AH765" i="53" s="1"/>
  <c r="U86" i="53"/>
  <c r="U1081" i="53"/>
  <c r="U222" i="53"/>
  <c r="AH222" i="53" s="1"/>
  <c r="U180" i="53"/>
  <c r="U1040" i="53"/>
  <c r="AI14" i="53"/>
  <c r="U122" i="53"/>
  <c r="U1017" i="53"/>
  <c r="U912" i="53"/>
  <c r="U762" i="53"/>
  <c r="AH762" i="53" s="1"/>
  <c r="U189" i="53"/>
  <c r="AH189" i="53" s="1"/>
  <c r="U759" i="53"/>
  <c r="U150" i="53"/>
  <c r="AH150" i="53" s="1"/>
  <c r="U966" i="53"/>
  <c r="U291" i="53"/>
  <c r="U1057" i="53"/>
  <c r="AH1057" i="53" s="1"/>
  <c r="U410" i="53"/>
  <c r="U99" i="53"/>
  <c r="AH99" i="53" s="1"/>
  <c r="U1077" i="53"/>
  <c r="U1095" i="53"/>
  <c r="U33" i="53"/>
  <c r="U893" i="53"/>
  <c r="U740" i="53"/>
  <c r="AH740" i="53" s="1"/>
  <c r="U847" i="53"/>
  <c r="U278" i="53"/>
  <c r="AH278" i="53" s="1"/>
  <c r="U498" i="53"/>
  <c r="AH498" i="53" s="1"/>
  <c r="U1078" i="53"/>
  <c r="AH1078" i="53" s="1"/>
  <c r="U415" i="53"/>
  <c r="U360" i="53"/>
  <c r="U434" i="53"/>
  <c r="U764" i="53"/>
  <c r="AH764" i="53" s="1"/>
  <c r="U263" i="53"/>
  <c r="U197" i="53"/>
  <c r="U261" i="53"/>
  <c r="AH261" i="53" s="1"/>
  <c r="U247" i="53"/>
  <c r="U711" i="53"/>
  <c r="AH711" i="53" s="1"/>
  <c r="U244" i="53"/>
  <c r="AH244" i="53" s="1"/>
  <c r="U785" i="53"/>
  <c r="AH785" i="53" s="1"/>
  <c r="U670" i="53"/>
  <c r="U355" i="53"/>
  <c r="AH355" i="53" s="1"/>
  <c r="U778" i="53"/>
  <c r="U777" i="53"/>
  <c r="U990" i="53"/>
  <c r="AH990" i="53" s="1"/>
  <c r="U744" i="53"/>
  <c r="U104" i="53"/>
  <c r="AH104" i="53" s="1"/>
  <c r="U479" i="53"/>
  <c r="AH479" i="53" s="1"/>
  <c r="U1069" i="53"/>
  <c r="U961" i="53"/>
  <c r="AH961" i="53" s="1"/>
  <c r="U426" i="53"/>
  <c r="U900" i="53"/>
  <c r="AH900" i="53" s="1"/>
  <c r="U159" i="53"/>
  <c r="U922" i="53"/>
  <c r="U35" i="53"/>
  <c r="U675" i="53"/>
  <c r="AH675" i="53" s="1"/>
  <c r="U296" i="53"/>
  <c r="U649" i="53"/>
  <c r="AH649" i="53" s="1"/>
  <c r="U724" i="53"/>
  <c r="U728" i="53"/>
  <c r="U995" i="53"/>
  <c r="U844" i="53"/>
  <c r="AH844" i="53" s="1"/>
  <c r="U771" i="53"/>
  <c r="U568" i="53"/>
  <c r="U453" i="53"/>
  <c r="AH453" i="53" s="1"/>
  <c r="U710" i="53"/>
  <c r="U703" i="53"/>
  <c r="AH703" i="53" s="1"/>
  <c r="U436" i="53"/>
  <c r="U943" i="53"/>
  <c r="AH943" i="53" s="1"/>
  <c r="U41" i="53"/>
  <c r="U353" i="53"/>
  <c r="AH353" i="53" s="1"/>
  <c r="U1002" i="53"/>
  <c r="AH1002" i="53" s="1"/>
  <c r="U376" i="53"/>
  <c r="U523" i="53"/>
  <c r="U874" i="53"/>
  <c r="U346" i="53"/>
  <c r="AH346" i="53" s="1"/>
  <c r="U57" i="53"/>
  <c r="AH57" i="53" s="1"/>
  <c r="U478" i="53"/>
  <c r="AH478" i="53" s="1"/>
  <c r="U882" i="53"/>
  <c r="AH882" i="53" s="1"/>
  <c r="U970" i="53"/>
  <c r="U587" i="53"/>
  <c r="AH587" i="53" s="1"/>
  <c r="U994" i="53"/>
  <c r="AH994" i="53" s="1"/>
  <c r="U623" i="53"/>
  <c r="U342" i="53"/>
  <c r="AH342" i="53" s="1"/>
  <c r="U676" i="53"/>
  <c r="U688" i="53"/>
  <c r="U962" i="53"/>
  <c r="U616" i="53"/>
  <c r="AH616" i="53" s="1"/>
  <c r="U111" i="53"/>
  <c r="AH111" i="53" s="1"/>
  <c r="U969" i="53"/>
  <c r="AH969" i="53" s="1"/>
  <c r="U665" i="53"/>
  <c r="AH665" i="53" s="1"/>
  <c r="U499" i="53"/>
  <c r="AH499" i="53" s="1"/>
  <c r="U993" i="53"/>
  <c r="AH993" i="53" s="1"/>
  <c r="U981" i="53"/>
  <c r="AH981" i="53" s="1"/>
  <c r="U202" i="53"/>
  <c r="AH202" i="53" s="1"/>
  <c r="S12" i="53"/>
  <c r="U12" i="53" s="1"/>
  <c r="U38" i="53"/>
  <c r="AH38" i="53" s="1"/>
  <c r="U366" i="53"/>
  <c r="AH366" i="53" s="1"/>
  <c r="U934" i="53"/>
  <c r="AH934" i="53" s="1"/>
  <c r="U965" i="53"/>
  <c r="AH965" i="53" s="1"/>
  <c r="U662" i="53"/>
  <c r="AH662" i="53" s="1"/>
  <c r="U841" i="53"/>
  <c r="AH841" i="53" s="1"/>
  <c r="U243" i="53"/>
  <c r="AH243" i="53" s="1"/>
  <c r="U589" i="53"/>
  <c r="AH589" i="53" s="1"/>
  <c r="U911" i="53"/>
  <c r="AH911" i="53" s="1"/>
  <c r="U388" i="53"/>
  <c r="AH388" i="53" s="1"/>
  <c r="U521" i="53"/>
  <c r="AH521" i="53" s="1"/>
  <c r="U992" i="53"/>
  <c r="AH992" i="53" s="1"/>
  <c r="U871" i="53"/>
  <c r="AH871" i="53" s="1"/>
  <c r="U281" i="53"/>
  <c r="AH281" i="53" s="1"/>
  <c r="U475" i="53"/>
  <c r="U640" i="53"/>
  <c r="U933" i="53"/>
  <c r="AH933" i="53" s="1"/>
  <c r="U645" i="53"/>
  <c r="AH645" i="53" s="1"/>
  <c r="U781" i="53"/>
  <c r="AH781" i="53" s="1"/>
  <c r="G135" i="31"/>
  <c r="U455" i="53"/>
  <c r="AH455" i="53" s="1"/>
  <c r="S90" i="53"/>
  <c r="AR90" i="53" s="1"/>
  <c r="H147" i="31"/>
  <c r="U497" i="53"/>
  <c r="AH497" i="53" s="1"/>
  <c r="U77" i="53"/>
  <c r="AH77" i="53" s="1"/>
  <c r="U391" i="53"/>
  <c r="AH391" i="53" s="1"/>
  <c r="S4" i="53"/>
  <c r="U4" i="53" s="1"/>
  <c r="H135" i="31"/>
  <c r="U219" i="53"/>
  <c r="AH219" i="53" s="1"/>
  <c r="U823" i="53"/>
  <c r="AH823" i="53" s="1"/>
  <c r="U268" i="53"/>
  <c r="AH268" i="53" s="1"/>
  <c r="U1020" i="53"/>
  <c r="AH1020" i="53" s="1"/>
  <c r="U575" i="53"/>
  <c r="AH575" i="53" s="1"/>
  <c r="U682" i="53"/>
  <c r="AH682" i="53" s="1"/>
  <c r="H123" i="31"/>
  <c r="U149" i="53"/>
  <c r="AH149" i="53" s="1"/>
  <c r="U899" i="53"/>
  <c r="AH899" i="53" s="1"/>
  <c r="U1036" i="53"/>
  <c r="AH1036" i="53" s="1"/>
  <c r="U731" i="53"/>
  <c r="AH731" i="53" s="1"/>
  <c r="U1066" i="53"/>
  <c r="AH1066" i="53" s="1"/>
  <c r="U548" i="53"/>
  <c r="U320" i="53"/>
  <c r="AH320" i="53" s="1"/>
  <c r="U524" i="53"/>
  <c r="AH524" i="53" s="1"/>
  <c r="U601" i="53"/>
  <c r="AH601" i="53" s="1"/>
  <c r="U1098" i="53"/>
  <c r="AH1098" i="53" s="1"/>
  <c r="U968" i="53"/>
  <c r="AH968" i="53" s="1"/>
  <c r="U798" i="53"/>
  <c r="AH798" i="53" s="1"/>
  <c r="U832" i="53"/>
  <c r="AH832" i="53" s="1"/>
  <c r="S110" i="53"/>
  <c r="U110" i="53" s="1"/>
  <c r="H159" i="31"/>
  <c r="U1014" i="53"/>
  <c r="AH1014" i="53" s="1"/>
  <c r="U167" i="53"/>
  <c r="AH167" i="53" s="1"/>
  <c r="U130" i="53"/>
  <c r="AH130" i="53" s="1"/>
  <c r="U576" i="53"/>
  <c r="AH576" i="53" s="1"/>
  <c r="U279" i="53"/>
  <c r="AH279" i="53" s="1"/>
  <c r="U386" i="53"/>
  <c r="AH386" i="53" s="1"/>
  <c r="G123" i="31"/>
  <c r="U248" i="53"/>
  <c r="AH248" i="53" s="1"/>
  <c r="U505" i="53"/>
  <c r="AH505" i="53" s="1"/>
  <c r="U132" i="53"/>
  <c r="AH132" i="53" s="1"/>
  <c r="U713" i="53"/>
  <c r="AH713" i="53" s="1"/>
  <c r="AI6" i="53"/>
  <c r="U64" i="53"/>
  <c r="U1030" i="53"/>
  <c r="U241" i="53"/>
  <c r="G159" i="31"/>
  <c r="G147" i="31"/>
  <c r="U752" i="53"/>
  <c r="U938" i="53"/>
  <c r="U408" i="53"/>
  <c r="U1043" i="53"/>
  <c r="AH1043" i="53" s="1"/>
  <c r="U723" i="53"/>
  <c r="AH723" i="53" s="1"/>
  <c r="U720" i="53"/>
  <c r="AH720" i="53" s="1"/>
  <c r="Y45" i="53"/>
  <c r="V45" i="53"/>
  <c r="Y939" i="53"/>
  <c r="V939" i="53"/>
  <c r="Y921" i="53"/>
  <c r="V921" i="53"/>
  <c r="Y303" i="53"/>
  <c r="V303" i="53"/>
  <c r="Y443" i="53"/>
  <c r="V443" i="53"/>
  <c r="Y923" i="53"/>
  <c r="V923" i="53"/>
  <c r="Y837" i="53"/>
  <c r="V837" i="53"/>
  <c r="Y288" i="53"/>
  <c r="V288" i="53"/>
  <c r="Y171" i="53"/>
  <c r="V171" i="53"/>
  <c r="Y590" i="53"/>
  <c r="V590" i="53"/>
  <c r="Y535" i="53"/>
  <c r="V535" i="53"/>
  <c r="Y387" i="53"/>
  <c r="V387" i="53"/>
  <c r="Y451" i="53"/>
  <c r="V451" i="53"/>
  <c r="Y932" i="53"/>
  <c r="V932" i="53"/>
  <c r="Y293" i="53"/>
  <c r="V293" i="53"/>
  <c r="Y1086" i="53"/>
  <c r="V1086" i="53"/>
  <c r="Y131" i="53"/>
  <c r="V131" i="53"/>
  <c r="Y154" i="53"/>
  <c r="V154" i="53"/>
  <c r="Y1027" i="53"/>
  <c r="V1027" i="53"/>
  <c r="Y694" i="53"/>
  <c r="V694" i="53"/>
  <c r="Y129" i="53"/>
  <c r="V129" i="53"/>
  <c r="Y152" i="53"/>
  <c r="V152" i="53"/>
  <c r="Y1087" i="53"/>
  <c r="V1087" i="53"/>
  <c r="Y754" i="53"/>
  <c r="V754" i="53"/>
  <c r="Y474" i="53"/>
  <c r="V474" i="53"/>
  <c r="Y873" i="53"/>
  <c r="V873" i="53"/>
  <c r="Y789" i="53"/>
  <c r="V789" i="53"/>
  <c r="Y1045" i="53"/>
  <c r="V1045" i="53"/>
  <c r="Y309" i="53"/>
  <c r="V309" i="53"/>
  <c r="Y875" i="53"/>
  <c r="V875" i="53"/>
  <c r="Y123" i="53"/>
  <c r="V123" i="53"/>
  <c r="Y147" i="53"/>
  <c r="V147" i="53"/>
  <c r="Y438" i="53"/>
  <c r="V438" i="53"/>
  <c r="Y139" i="53"/>
  <c r="V139" i="53"/>
  <c r="Y1023" i="53"/>
  <c r="V1023" i="53"/>
  <c r="Y392" i="53"/>
  <c r="V392" i="53"/>
  <c r="Y651" i="53"/>
  <c r="V651" i="53"/>
  <c r="Y751" i="53"/>
  <c r="V751" i="53"/>
  <c r="Y1004" i="53"/>
  <c r="V1004" i="53"/>
  <c r="Y800" i="53"/>
  <c r="V800" i="53"/>
  <c r="Y18" i="53"/>
  <c r="V18" i="53"/>
  <c r="Y683" i="53"/>
  <c r="V683" i="53"/>
  <c r="Y1028" i="53"/>
  <c r="V1028" i="53"/>
  <c r="Y619" i="53"/>
  <c r="V619" i="53"/>
  <c r="Y234" i="53"/>
  <c r="V234" i="53"/>
  <c r="Y363" i="53"/>
  <c r="V363" i="53"/>
  <c r="Y1067" i="53"/>
  <c r="V1067" i="53"/>
  <c r="Y1011" i="53"/>
  <c r="V1011" i="53"/>
  <c r="Y835" i="53"/>
  <c r="V835" i="53"/>
  <c r="Y136" i="53"/>
  <c r="V136" i="53"/>
  <c r="Y906" i="53"/>
  <c r="V906" i="53"/>
  <c r="Y714" i="53"/>
  <c r="V714" i="53"/>
  <c r="Y635" i="53"/>
  <c r="V635" i="53"/>
  <c r="Y769" i="53"/>
  <c r="V769" i="53"/>
  <c r="Y93" i="53"/>
  <c r="V93" i="53"/>
  <c r="Y47" i="53"/>
  <c r="V47" i="53"/>
  <c r="Y354" i="53"/>
  <c r="V354" i="53"/>
  <c r="Y31" i="53"/>
  <c r="Y427" i="53"/>
  <c r="V427" i="53"/>
  <c r="Y668" i="53"/>
  <c r="V668" i="53"/>
  <c r="Y98" i="53"/>
  <c r="V98" i="53"/>
  <c r="Y776" i="53"/>
  <c r="V776" i="53"/>
  <c r="Y715" i="53"/>
  <c r="V715" i="53"/>
  <c r="Y1022" i="53"/>
  <c r="V1022" i="53"/>
  <c r="Y1101" i="53"/>
  <c r="V1101" i="53"/>
  <c r="Y508" i="53"/>
  <c r="V508" i="53"/>
  <c r="Y802" i="53"/>
  <c r="V802" i="53"/>
  <c r="Y28" i="53"/>
  <c r="V28" i="53"/>
  <c r="Y544" i="53"/>
  <c r="Y133" i="53"/>
  <c r="V133" i="53"/>
  <c r="Y863" i="53"/>
  <c r="V863" i="53"/>
  <c r="Y822" i="53"/>
  <c r="V822" i="53"/>
  <c r="Y1091" i="53"/>
  <c r="V1091" i="53"/>
  <c r="Y558" i="53"/>
  <c r="V558" i="53"/>
  <c r="Y348" i="53"/>
  <c r="V348" i="53"/>
  <c r="Y464" i="53"/>
  <c r="V464" i="53"/>
  <c r="Y270" i="53"/>
  <c r="V270" i="53"/>
  <c r="Y257" i="53"/>
  <c r="V257" i="53"/>
  <c r="Y221" i="53"/>
  <c r="V221" i="53"/>
  <c r="Y465" i="53"/>
  <c r="V465" i="53"/>
  <c r="Y848" i="53"/>
  <c r="V848" i="53"/>
  <c r="Y748" i="53"/>
  <c r="V748" i="53"/>
  <c r="Y332" i="53"/>
  <c r="V332" i="53"/>
  <c r="V552" i="53"/>
  <c r="Y1038" i="53"/>
  <c r="V1038" i="53"/>
  <c r="Y591" i="53"/>
  <c r="V591" i="53"/>
  <c r="Y885" i="53"/>
  <c r="V885" i="53"/>
  <c r="AE30" i="53"/>
  <c r="AE20" i="53"/>
  <c r="W12" i="53"/>
  <c r="X12" i="53" s="1"/>
  <c r="X6" i="53"/>
  <c r="X11" i="53"/>
  <c r="X14" i="53"/>
  <c r="X19" i="53"/>
  <c r="G111" i="31"/>
  <c r="S5" i="53"/>
  <c r="U5" i="53" s="1"/>
  <c r="H111" i="31"/>
  <c r="U2166" i="54"/>
  <c r="B2166" i="54"/>
  <c r="U2056" i="54"/>
  <c r="B2056" i="54"/>
  <c r="U1203" i="54"/>
  <c r="B1203" i="54"/>
  <c r="U2147" i="54"/>
  <c r="B2147" i="54"/>
  <c r="U1848" i="54"/>
  <c r="B1848" i="54"/>
  <c r="U1858" i="54"/>
  <c r="B1858" i="54"/>
  <c r="U1485" i="54"/>
  <c r="B1485" i="54"/>
  <c r="U1881" i="54"/>
  <c r="B1881" i="54"/>
  <c r="U2193" i="54"/>
  <c r="B2193" i="54"/>
  <c r="U1415" i="54"/>
  <c r="B1415" i="54"/>
  <c r="U2089" i="54"/>
  <c r="B2089" i="54"/>
  <c r="U1832" i="54"/>
  <c r="B1832" i="54"/>
  <c r="U2187" i="54"/>
  <c r="B2187" i="54"/>
  <c r="U1745" i="54"/>
  <c r="B1745" i="54"/>
  <c r="U1412" i="54"/>
  <c r="B1412" i="54"/>
  <c r="U1158" i="54"/>
  <c r="B1158" i="54"/>
  <c r="U2064" i="54"/>
  <c r="B2064" i="54"/>
  <c r="U2040" i="54"/>
  <c r="B2040" i="54"/>
  <c r="U1877" i="54"/>
  <c r="B1877" i="54"/>
  <c r="U2066" i="54"/>
  <c r="B2066" i="54"/>
  <c r="U2146" i="54"/>
  <c r="B2146" i="54"/>
  <c r="U1473" i="54"/>
  <c r="B1473" i="54"/>
  <c r="U1978" i="54"/>
  <c r="B1978" i="54"/>
  <c r="U1677" i="54"/>
  <c r="B1677" i="54"/>
  <c r="U1833" i="54"/>
  <c r="B1833" i="54"/>
  <c r="U1439" i="54"/>
  <c r="B1439" i="54"/>
  <c r="U1725" i="54"/>
  <c r="B1725" i="54"/>
  <c r="U1789" i="54"/>
  <c r="B1789" i="54"/>
  <c r="U1278" i="54"/>
  <c r="B1278" i="54"/>
  <c r="U1826" i="54"/>
  <c r="B1826" i="54"/>
  <c r="B1226" i="54"/>
  <c r="U1226" i="54"/>
  <c r="U1529" i="54"/>
  <c r="B1529" i="54"/>
  <c r="U1250" i="54"/>
  <c r="B1250" i="54"/>
  <c r="U1559" i="54"/>
  <c r="B1559" i="54"/>
  <c r="U1110" i="54"/>
  <c r="B1110" i="54"/>
  <c r="U2039" i="54"/>
  <c r="B2039" i="54"/>
  <c r="U1519" i="54"/>
  <c r="B1519" i="54"/>
  <c r="U1496" i="54"/>
  <c r="B1496" i="54"/>
  <c r="U1761" i="54"/>
  <c r="B1761" i="54"/>
  <c r="U1174" i="54"/>
  <c r="B1174" i="54"/>
  <c r="U1500" i="54"/>
  <c r="B1500" i="54"/>
  <c r="B1152" i="54"/>
  <c r="U1152" i="54"/>
  <c r="U2163" i="54"/>
  <c r="B2163" i="54"/>
  <c r="U1788" i="54"/>
  <c r="B1788" i="54"/>
  <c r="B1352" i="54"/>
  <c r="U1352" i="54"/>
  <c r="U2104" i="54"/>
  <c r="B2104" i="54"/>
  <c r="U1185" i="54"/>
  <c r="B1185" i="54"/>
  <c r="U2165" i="54"/>
  <c r="B2165" i="54"/>
  <c r="U1850" i="54"/>
  <c r="B1850" i="54"/>
  <c r="U2183" i="54"/>
  <c r="B2183" i="54"/>
  <c r="U1436" i="54"/>
  <c r="B1436" i="54"/>
  <c r="U1936" i="54"/>
  <c r="B1936" i="54"/>
  <c r="U1541" i="54"/>
  <c r="B1541" i="54"/>
  <c r="U2003" i="54"/>
  <c r="B2003" i="54"/>
  <c r="U1544" i="54"/>
  <c r="B1544" i="54"/>
  <c r="U1802" i="54"/>
  <c r="B1802" i="54"/>
  <c r="U1674" i="54"/>
  <c r="B1674" i="54"/>
  <c r="U1113" i="54"/>
  <c r="B1113" i="54"/>
  <c r="U1954" i="54"/>
  <c r="B1954" i="54"/>
  <c r="U1262" i="54"/>
  <c r="B1262" i="54"/>
  <c r="U1389" i="54"/>
  <c r="B1389" i="54"/>
  <c r="U1823" i="54"/>
  <c r="B1823" i="54"/>
  <c r="B1242" i="54"/>
  <c r="U1242" i="54"/>
  <c r="U1962" i="54"/>
  <c r="B1962" i="54"/>
  <c r="U2041" i="54"/>
  <c r="B2041" i="54"/>
  <c r="U1181" i="54"/>
  <c r="B1181" i="54"/>
  <c r="U1861" i="54"/>
  <c r="B1861" i="54"/>
  <c r="U2190" i="54"/>
  <c r="B2190" i="54"/>
  <c r="U1154" i="54"/>
  <c r="B1154" i="54"/>
  <c r="U1857" i="54"/>
  <c r="B1857" i="54"/>
  <c r="U1511" i="54"/>
  <c r="B1511" i="54"/>
  <c r="U1229" i="54"/>
  <c r="B1229" i="54"/>
  <c r="U1151" i="54"/>
  <c r="B1151" i="54"/>
  <c r="U1409" i="54"/>
  <c r="B1409" i="54"/>
  <c r="U1364" i="54"/>
  <c r="B1364" i="54"/>
  <c r="U1577" i="54"/>
  <c r="B1577" i="54"/>
  <c r="U1800" i="54"/>
  <c r="B1800" i="54"/>
  <c r="U1976" i="54"/>
  <c r="B1976" i="54"/>
  <c r="U1350" i="54"/>
  <c r="B1350" i="54"/>
  <c r="U2194" i="54"/>
  <c r="B2194" i="54"/>
  <c r="U1573" i="54"/>
  <c r="B1573" i="54"/>
  <c r="U2153" i="54"/>
  <c r="B2153" i="54"/>
  <c r="U1945" i="54"/>
  <c r="B1945" i="54"/>
  <c r="U2157" i="54"/>
  <c r="B2157" i="54"/>
  <c r="U2180" i="54"/>
  <c r="B2180" i="54"/>
  <c r="U2148" i="54"/>
  <c r="B2148" i="54"/>
  <c r="U1903" i="54"/>
  <c r="B1903" i="54"/>
  <c r="U2086" i="54"/>
  <c r="B2086" i="54"/>
  <c r="U1786" i="54"/>
  <c r="B1786" i="54"/>
  <c r="U2131" i="54"/>
  <c r="B2131" i="54"/>
  <c r="U1739" i="54"/>
  <c r="B1739" i="54"/>
  <c r="U1403" i="54"/>
  <c r="B1403" i="54"/>
  <c r="U1155" i="54"/>
  <c r="B1155" i="54"/>
  <c r="U1914" i="54"/>
  <c r="B1914" i="54"/>
  <c r="U2022" i="54"/>
  <c r="B2022" i="54"/>
  <c r="B1874" i="54"/>
  <c r="U1874" i="54"/>
  <c r="U2054" i="54"/>
  <c r="B2054" i="54"/>
  <c r="U2149" i="54"/>
  <c r="B2149" i="54"/>
  <c r="U1470" i="54"/>
  <c r="B1470" i="54"/>
  <c r="U1778" i="54"/>
  <c r="B1778" i="54"/>
  <c r="U1671" i="54"/>
  <c r="B1671" i="54"/>
  <c r="U1827" i="54"/>
  <c r="B1827" i="54"/>
  <c r="U1417" i="54"/>
  <c r="B1417" i="54"/>
  <c r="U1722" i="54"/>
  <c r="B1722" i="54"/>
  <c r="U1777" i="54"/>
  <c r="B1777" i="54"/>
  <c r="U1266" i="54"/>
  <c r="B1266" i="54"/>
  <c r="U1795" i="54"/>
  <c r="B1795" i="54"/>
  <c r="U1220" i="54"/>
  <c r="B1220" i="54"/>
  <c r="U1474" i="54"/>
  <c r="B1474" i="54"/>
  <c r="U1204" i="54"/>
  <c r="B1204" i="54"/>
  <c r="U1556" i="54"/>
  <c r="B1556" i="54"/>
  <c r="U1337" i="54"/>
  <c r="B1337" i="54"/>
  <c r="U2023" i="54"/>
  <c r="B2023" i="54"/>
  <c r="U1466" i="54"/>
  <c r="B1466" i="54"/>
  <c r="U2192" i="54"/>
  <c r="B2192" i="54"/>
  <c r="U1720" i="54"/>
  <c r="B1720" i="54"/>
  <c r="U1142" i="54"/>
  <c r="B1142" i="54"/>
  <c r="U1353" i="54"/>
  <c r="B1353" i="54"/>
  <c r="U2170" i="54"/>
  <c r="B2170" i="54"/>
  <c r="U2114" i="54"/>
  <c r="B2114" i="54"/>
  <c r="U1766" i="54"/>
  <c r="B1766" i="54"/>
  <c r="U1333" i="54"/>
  <c r="B1333" i="54"/>
  <c r="U2088" i="54"/>
  <c r="B2088" i="54"/>
  <c r="U1169" i="54"/>
  <c r="B1169" i="54"/>
  <c r="B2128" i="54"/>
  <c r="U2128" i="54"/>
  <c r="U1825" i="54"/>
  <c r="B1825" i="54"/>
  <c r="U2167" i="54"/>
  <c r="B2167" i="54"/>
  <c r="U1420" i="54"/>
  <c r="B1420" i="54"/>
  <c r="U1917" i="54"/>
  <c r="B1917" i="54"/>
  <c r="U1525" i="54"/>
  <c r="B1525" i="54"/>
  <c r="U1990" i="54"/>
  <c r="B1990" i="54"/>
  <c r="U1528" i="54"/>
  <c r="B1528" i="54"/>
  <c r="U1607" i="54"/>
  <c r="B1607" i="54"/>
  <c r="U1658" i="54"/>
  <c r="B1658" i="54"/>
  <c r="U1107" i="54"/>
  <c r="B1107" i="54"/>
  <c r="U1938" i="54"/>
  <c r="B1938" i="54"/>
  <c r="U1230" i="54"/>
  <c r="B1230" i="54"/>
  <c r="U1370" i="54"/>
  <c r="B1370" i="54"/>
  <c r="U1807" i="54"/>
  <c r="B1807" i="54"/>
  <c r="U1239" i="54"/>
  <c r="B1239" i="54"/>
  <c r="U1783" i="54"/>
  <c r="B1783" i="54"/>
  <c r="U2025" i="54"/>
  <c r="B2025" i="54"/>
  <c r="U1165" i="54"/>
  <c r="B1165" i="54"/>
  <c r="U1810" i="54"/>
  <c r="B1810" i="54"/>
  <c r="U2126" i="54"/>
  <c r="B2126" i="54"/>
  <c r="U1138" i="54"/>
  <c r="B1138" i="54"/>
  <c r="U1844" i="54"/>
  <c r="B1844" i="54"/>
  <c r="U1495" i="54"/>
  <c r="B1495" i="54"/>
  <c r="U1849" i="54"/>
  <c r="B1849" i="54"/>
  <c r="U1135" i="54"/>
  <c r="B1135" i="54"/>
  <c r="U1754" i="54"/>
  <c r="B1754" i="54"/>
  <c r="U1284" i="54"/>
  <c r="B1284" i="54"/>
  <c r="U1561" i="54"/>
  <c r="B1561" i="54"/>
  <c r="U1784" i="54"/>
  <c r="B1784" i="54"/>
  <c r="U1854" i="54"/>
  <c r="B1854" i="54"/>
  <c r="U1318" i="54"/>
  <c r="B1318" i="54"/>
  <c r="U1411" i="54"/>
  <c r="B1411" i="54"/>
  <c r="U1214" i="54"/>
  <c r="B1214" i="54"/>
  <c r="B1168" i="54"/>
  <c r="U1168" i="54"/>
  <c r="U1550" i="54"/>
  <c r="B1550" i="54"/>
  <c r="U1450" i="54"/>
  <c r="B1450" i="54"/>
  <c r="U1669" i="54"/>
  <c r="B1669" i="54"/>
  <c r="U1334" i="54"/>
  <c r="B1334" i="54"/>
  <c r="U2098" i="54"/>
  <c r="B2098" i="54"/>
  <c r="B1330" i="54"/>
  <c r="U1330" i="54"/>
  <c r="U1879" i="54"/>
  <c r="B1879" i="54"/>
  <c r="U2100" i="54"/>
  <c r="B2100" i="54"/>
  <c r="U2116" i="54"/>
  <c r="B2116" i="54"/>
  <c r="U1774" i="54"/>
  <c r="B1774" i="54"/>
  <c r="U1882" i="54"/>
  <c r="B1882" i="54"/>
  <c r="U1509" i="54"/>
  <c r="B1509" i="54"/>
  <c r="U1987" i="54"/>
  <c r="B1987" i="54"/>
  <c r="U1512" i="54"/>
  <c r="B1512" i="54"/>
  <c r="U2162" i="54"/>
  <c r="B2162" i="54"/>
  <c r="U1543" i="54"/>
  <c r="B1543" i="54"/>
  <c r="U1846" i="54"/>
  <c r="B1846" i="54"/>
  <c r="U1211" i="54"/>
  <c r="B1211" i="54"/>
  <c r="B1290" i="54"/>
  <c r="U1290" i="54"/>
  <c r="U1804" i="54"/>
  <c r="B1804" i="54"/>
  <c r="U1188" i="54"/>
  <c r="B1188" i="54"/>
  <c r="U1751" i="54"/>
  <c r="B1751" i="54"/>
  <c r="U2009" i="54"/>
  <c r="B2009" i="54"/>
  <c r="U1149" i="54"/>
  <c r="B1149" i="54"/>
  <c r="U1762" i="54"/>
  <c r="B1762" i="54"/>
  <c r="U2110" i="54"/>
  <c r="B2110" i="54"/>
  <c r="U1119" i="54"/>
  <c r="B1119" i="54"/>
  <c r="U1585" i="54"/>
  <c r="B1585" i="54"/>
  <c r="U1399" i="54"/>
  <c r="B1399" i="54"/>
  <c r="U1817" i="54"/>
  <c r="B1817" i="54"/>
  <c r="U2158" i="54"/>
  <c r="B2158" i="54"/>
  <c r="U1738" i="54"/>
  <c r="B1738" i="54"/>
  <c r="U1555" i="54"/>
  <c r="B1555" i="54"/>
  <c r="U1481" i="54"/>
  <c r="B1481" i="54"/>
  <c r="U1752" i="54"/>
  <c r="B1752" i="54"/>
  <c r="U1822" i="54"/>
  <c r="B1822" i="54"/>
  <c r="U1302" i="54"/>
  <c r="B1302" i="54"/>
  <c r="U1660" i="54"/>
  <c r="B1660" i="54"/>
  <c r="U2081" i="54"/>
  <c r="B2081" i="54"/>
  <c r="U2125" i="54"/>
  <c r="B2125" i="54"/>
  <c r="U1367" i="54"/>
  <c r="B1367" i="54"/>
  <c r="U1908" i="54"/>
  <c r="B1908" i="54"/>
  <c r="U1871" i="54"/>
  <c r="B1871" i="54"/>
  <c r="U1952" i="54"/>
  <c r="B1952" i="54"/>
  <c r="U1467" i="54"/>
  <c r="B1467" i="54"/>
  <c r="B1744" i="54"/>
  <c r="U1744" i="54"/>
  <c r="U1799" i="54"/>
  <c r="B1799" i="54"/>
  <c r="U1719" i="54"/>
  <c r="B1719" i="54"/>
  <c r="U1771" i="54"/>
  <c r="B1771" i="54"/>
  <c r="U1755" i="54"/>
  <c r="B1755" i="54"/>
  <c r="U1462" i="54"/>
  <c r="B1462" i="54"/>
  <c r="U1201" i="54"/>
  <c r="B1201" i="54"/>
  <c r="U1307" i="54"/>
  <c r="B1307" i="54"/>
  <c r="U2112" i="54"/>
  <c r="B2112" i="54"/>
  <c r="U1126" i="54"/>
  <c r="B1126" i="54"/>
  <c r="U2145" i="54"/>
  <c r="B2145" i="54"/>
  <c r="U1750" i="54"/>
  <c r="B1750" i="54"/>
  <c r="U2072" i="54"/>
  <c r="B2072" i="54"/>
  <c r="U1806" i="54"/>
  <c r="B1806" i="54"/>
  <c r="U1642" i="54"/>
  <c r="B1642" i="54"/>
  <c r="U2061" i="54"/>
  <c r="B2061" i="54"/>
  <c r="U1759" i="54"/>
  <c r="B1759" i="54"/>
  <c r="U2122" i="54"/>
  <c r="B2122" i="54"/>
  <c r="U1670" i="54"/>
  <c r="B1670" i="54"/>
  <c r="U1358" i="54"/>
  <c r="B1358" i="54"/>
  <c r="U1521" i="54"/>
  <c r="B1521" i="54"/>
  <c r="U1905" i="54"/>
  <c r="B1905" i="54"/>
  <c r="U2046" i="54"/>
  <c r="B2046" i="54"/>
  <c r="U1841" i="54"/>
  <c r="B1841" i="54"/>
  <c r="U1946" i="54"/>
  <c r="B1946" i="54"/>
  <c r="U2137" i="54"/>
  <c r="B2137" i="54"/>
  <c r="U1464" i="54"/>
  <c r="B1464" i="54"/>
  <c r="U1552" i="54"/>
  <c r="B1552" i="54"/>
  <c r="U1637" i="54"/>
  <c r="B1637" i="54"/>
  <c r="U1315" i="54"/>
  <c r="B1315" i="54"/>
  <c r="U1408" i="54"/>
  <c r="B1408" i="54"/>
  <c r="U1707" i="54"/>
  <c r="B1707" i="54"/>
  <c r="U1768" i="54"/>
  <c r="B1768" i="54"/>
  <c r="B1144" i="54"/>
  <c r="U1144" i="54"/>
  <c r="U1602" i="54"/>
  <c r="B1602" i="54"/>
  <c r="B1162" i="54"/>
  <c r="U1162" i="54"/>
  <c r="U1456" i="54"/>
  <c r="B1456" i="54"/>
  <c r="U1137" i="54"/>
  <c r="B1137" i="54"/>
  <c r="U1516" i="54"/>
  <c r="B1516" i="54"/>
  <c r="U1870" i="54"/>
  <c r="B1870" i="54"/>
  <c r="U1815" i="54"/>
  <c r="B1815" i="54"/>
  <c r="U1434" i="54"/>
  <c r="B1434" i="54"/>
  <c r="U2096" i="54"/>
  <c r="B2096" i="54"/>
  <c r="U1566" i="54"/>
  <c r="B1566" i="54"/>
  <c r="U1593" i="54"/>
  <c r="B1593" i="54"/>
  <c r="U1129" i="54"/>
  <c r="B1129" i="54"/>
  <c r="U2105" i="54"/>
  <c r="B2105" i="54"/>
  <c r="U2082" i="54"/>
  <c r="B2082" i="54"/>
  <c r="U1747" i="54"/>
  <c r="B1747" i="54"/>
  <c r="U1327" i="54"/>
  <c r="B1327" i="54"/>
  <c r="U2053" i="54"/>
  <c r="B2053" i="54"/>
  <c r="U1479" i="54"/>
  <c r="B1479" i="54"/>
  <c r="U2084" i="54"/>
  <c r="B2084" i="54"/>
  <c r="U1787" i="54"/>
  <c r="B1787" i="54"/>
  <c r="U2113" i="54"/>
  <c r="B2113" i="54"/>
  <c r="U1742" i="54"/>
  <c r="B1742" i="54"/>
  <c r="U1866" i="54"/>
  <c r="B1866" i="54"/>
  <c r="U1477" i="54"/>
  <c r="B1477" i="54"/>
  <c r="U1971" i="54"/>
  <c r="B1971" i="54"/>
  <c r="U1480" i="54"/>
  <c r="B1480" i="54"/>
  <c r="U2124" i="54"/>
  <c r="B2124" i="54"/>
  <c r="U1626" i="54"/>
  <c r="B1626" i="54"/>
  <c r="U1377" i="54"/>
  <c r="B1377" i="54"/>
  <c r="U1830" i="54"/>
  <c r="B1830" i="54"/>
  <c r="U1195" i="54"/>
  <c r="B1195" i="54"/>
  <c r="U1268" i="54"/>
  <c r="B1268" i="54"/>
  <c r="U1772" i="54"/>
  <c r="B1772" i="54"/>
  <c r="U1172" i="54"/>
  <c r="B1172" i="54"/>
  <c r="U1735" i="54"/>
  <c r="B1735" i="54"/>
  <c r="U1993" i="54"/>
  <c r="B1993" i="54"/>
  <c r="U1133" i="54"/>
  <c r="B1133" i="54"/>
  <c r="U1698" i="54"/>
  <c r="B1698" i="54"/>
  <c r="U2094" i="54"/>
  <c r="B2094" i="54"/>
  <c r="U1116" i="54"/>
  <c r="B1116" i="54"/>
  <c r="U1569" i="54"/>
  <c r="B1569" i="54"/>
  <c r="U1335" i="54"/>
  <c r="B1335" i="54"/>
  <c r="U1845" i="54"/>
  <c r="B1845" i="54"/>
  <c r="U1947" i="54"/>
  <c r="B1947" i="54"/>
  <c r="U1594" i="54"/>
  <c r="B1594" i="54"/>
  <c r="U1539" i="54"/>
  <c r="B1539" i="54"/>
  <c r="U1465" i="54"/>
  <c r="B1465" i="54"/>
  <c r="U1736" i="54"/>
  <c r="B1736" i="54"/>
  <c r="U1790" i="54"/>
  <c r="B1790" i="54"/>
  <c r="U2195" i="54"/>
  <c r="B2195" i="54"/>
  <c r="U2203" i="54"/>
  <c r="B2203" i="54"/>
  <c r="U1780" i="54"/>
  <c r="B1780" i="54"/>
  <c r="U1673" i="54"/>
  <c r="B1673" i="54"/>
  <c r="U1682" i="54"/>
  <c r="B1682" i="54"/>
  <c r="U1959" i="54"/>
  <c r="B1959" i="54"/>
  <c r="U2140" i="54"/>
  <c r="B2140" i="54"/>
  <c r="U1646" i="54"/>
  <c r="B1646" i="54"/>
  <c r="U1831" i="54"/>
  <c r="B1831" i="54"/>
  <c r="U1982" i="54"/>
  <c r="B1982" i="54"/>
  <c r="U1652" i="54"/>
  <c r="B1652" i="54"/>
  <c r="U2077" i="54"/>
  <c r="B2077" i="54"/>
  <c r="U1664" i="54"/>
  <c r="B1664" i="54"/>
  <c r="U1349" i="54"/>
  <c r="B1349" i="54"/>
  <c r="U1424" i="54"/>
  <c r="B1424" i="54"/>
  <c r="U1902" i="54"/>
  <c r="B1902" i="54"/>
  <c r="U2001" i="54"/>
  <c r="B2001" i="54"/>
  <c r="U1838" i="54"/>
  <c r="B1838" i="54"/>
  <c r="U1943" i="54"/>
  <c r="B1943" i="54"/>
  <c r="U2007" i="54"/>
  <c r="B2007" i="54"/>
  <c r="U1449" i="54"/>
  <c r="B1449" i="54"/>
  <c r="U1549" i="54"/>
  <c r="B1549" i="54"/>
  <c r="U1564" i="54"/>
  <c r="B1564" i="54"/>
  <c r="B1160" i="54"/>
  <c r="U1160" i="54"/>
  <c r="U1405" i="54"/>
  <c r="B1405" i="54"/>
  <c r="U1695" i="54"/>
  <c r="B1695" i="54"/>
  <c r="B1746" i="54"/>
  <c r="U1746" i="54"/>
  <c r="U1141" i="54"/>
  <c r="B1141" i="54"/>
  <c r="U1581" i="54"/>
  <c r="B1581" i="54"/>
  <c r="U1159" i="54"/>
  <c r="B1159" i="54"/>
  <c r="U1453" i="54"/>
  <c r="B1453" i="54"/>
  <c r="U2030" i="54"/>
  <c r="B2030" i="54"/>
  <c r="U1504" i="54"/>
  <c r="B1504" i="54"/>
  <c r="U1985" i="54"/>
  <c r="B1985" i="54"/>
  <c r="U1793" i="54"/>
  <c r="B1793" i="54"/>
  <c r="U1418" i="54"/>
  <c r="B1418" i="54"/>
  <c r="U2080" i="54"/>
  <c r="B2080" i="54"/>
  <c r="U1469" i="54"/>
  <c r="B1469" i="54"/>
  <c r="U1452" i="54"/>
  <c r="B1452" i="54"/>
  <c r="U1729" i="54"/>
  <c r="B1729" i="54"/>
  <c r="U2073" i="54"/>
  <c r="B2073" i="54"/>
  <c r="U2063" i="54"/>
  <c r="B2063" i="54"/>
  <c r="U1690" i="54"/>
  <c r="B1690" i="54"/>
  <c r="U1311" i="54"/>
  <c r="B1311" i="54"/>
  <c r="U2037" i="54"/>
  <c r="B2037" i="54"/>
  <c r="U2011" i="54"/>
  <c r="B2011" i="54"/>
  <c r="U2068" i="54"/>
  <c r="B2068" i="54"/>
  <c r="U1765" i="54"/>
  <c r="B1765" i="54"/>
  <c r="U2097" i="54"/>
  <c r="B2097" i="54"/>
  <c r="U1726" i="54"/>
  <c r="B1726" i="54"/>
  <c r="U1863" i="54"/>
  <c r="B1863" i="54"/>
  <c r="U1445" i="54"/>
  <c r="B1445" i="54"/>
  <c r="U1955" i="54"/>
  <c r="B1955" i="54"/>
  <c r="U1448" i="54"/>
  <c r="B1448" i="54"/>
  <c r="U2111" i="54"/>
  <c r="B2111" i="54"/>
  <c r="U1553" i="54"/>
  <c r="B1553" i="54"/>
  <c r="U1361" i="54"/>
  <c r="B1361" i="54"/>
  <c r="U1779" i="54"/>
  <c r="B1779" i="54"/>
  <c r="U1944" i="54"/>
  <c r="B1944" i="54"/>
  <c r="U1217" i="54"/>
  <c r="B1217" i="54"/>
  <c r="U1724" i="54"/>
  <c r="B1724" i="54"/>
  <c r="U1156" i="54"/>
  <c r="B1156" i="54"/>
  <c r="U1703" i="54"/>
  <c r="B1703" i="54"/>
  <c r="U1977" i="54"/>
  <c r="B1977" i="54"/>
  <c r="U2204" i="54"/>
  <c r="B2204" i="54"/>
  <c r="U1634" i="54"/>
  <c r="B1634" i="54"/>
  <c r="U2078" i="54"/>
  <c r="B2078" i="54"/>
  <c r="U2132" i="54"/>
  <c r="B2132" i="54"/>
  <c r="U1547" i="54"/>
  <c r="B1547" i="54"/>
  <c r="U1287" i="54"/>
  <c r="B1287" i="54"/>
  <c r="U1813" i="54"/>
  <c r="B1813" i="54"/>
  <c r="U1915" i="54"/>
  <c r="B1915" i="54"/>
  <c r="U1514" i="54"/>
  <c r="B1514" i="54"/>
  <c r="U1523" i="54"/>
  <c r="B1523" i="54"/>
  <c r="U1305" i="54"/>
  <c r="B1305" i="54"/>
  <c r="U1672" i="54"/>
  <c r="B1672" i="54"/>
  <c r="U2205" i="54"/>
  <c r="B2205" i="54"/>
  <c r="U2200" i="54"/>
  <c r="B2200" i="54"/>
  <c r="U1983" i="54"/>
  <c r="B1983" i="54"/>
  <c r="U1991" i="54"/>
  <c r="B1991" i="54"/>
  <c r="U1446" i="54"/>
  <c r="B1446" i="54"/>
  <c r="U1264" i="54"/>
  <c r="B1264" i="54"/>
  <c r="U1390" i="54"/>
  <c r="B1390" i="54"/>
  <c r="U2006" i="54"/>
  <c r="B2006" i="54"/>
  <c r="U1402" i="54"/>
  <c r="B1402" i="54"/>
  <c r="U1692" i="54"/>
  <c r="B1692" i="54"/>
  <c r="U1734" i="54"/>
  <c r="B1734" i="54"/>
  <c r="AE11" i="53"/>
  <c r="B1114" i="54"/>
  <c r="U1114" i="54"/>
  <c r="U1526" i="54"/>
  <c r="B1526" i="54"/>
  <c r="U1801" i="54"/>
  <c r="B1801" i="54"/>
  <c r="U1447" i="54"/>
  <c r="B1447" i="54"/>
  <c r="U2014" i="54"/>
  <c r="B2014" i="54"/>
  <c r="U1501" i="54"/>
  <c r="B1501" i="54"/>
  <c r="U1650" i="54"/>
  <c r="B1650" i="54"/>
  <c r="U1730" i="54"/>
  <c r="B1730" i="54"/>
  <c r="U1319" i="54"/>
  <c r="B1319" i="54"/>
  <c r="U2045" i="54"/>
  <c r="B2045" i="54"/>
  <c r="U1437" i="54"/>
  <c r="B1437" i="54"/>
  <c r="B1258" i="54"/>
  <c r="U1258" i="54"/>
  <c r="U1584" i="54"/>
  <c r="B1584" i="54"/>
  <c r="U1392" i="54"/>
  <c r="B1392" i="54"/>
  <c r="U2031" i="54"/>
  <c r="B2031" i="54"/>
  <c r="U1687" i="54"/>
  <c r="B1687" i="54"/>
  <c r="U1295" i="54"/>
  <c r="B1295" i="54"/>
  <c r="U2021" i="54"/>
  <c r="B2021" i="54"/>
  <c r="U1876" i="54"/>
  <c r="B1876" i="54"/>
  <c r="U2049" i="54"/>
  <c r="B2049" i="54"/>
  <c r="U1721" i="54"/>
  <c r="B1721" i="54"/>
  <c r="U1717" i="54"/>
  <c r="B1717" i="54"/>
  <c r="U1710" i="54"/>
  <c r="B1710" i="54"/>
  <c r="U1828" i="54"/>
  <c r="B1828" i="54"/>
  <c r="U1378" i="54"/>
  <c r="B1378" i="54"/>
  <c r="U1939" i="54"/>
  <c r="B1939" i="54"/>
  <c r="U1400" i="54"/>
  <c r="B1400" i="54"/>
  <c r="U2108" i="54"/>
  <c r="B2108" i="54"/>
  <c r="U1374" i="54"/>
  <c r="B1374" i="54"/>
  <c r="U1345" i="54"/>
  <c r="B1345" i="54"/>
  <c r="U1715" i="54"/>
  <c r="B1715" i="54"/>
  <c r="U1925" i="54"/>
  <c r="B1925" i="54"/>
  <c r="U1153" i="54"/>
  <c r="B1153" i="54"/>
  <c r="U1657" i="54"/>
  <c r="B1657" i="54"/>
  <c r="U1124" i="54"/>
  <c r="B1124" i="54"/>
  <c r="U1639" i="54"/>
  <c r="B1639" i="54"/>
  <c r="U1900" i="54"/>
  <c r="B1900" i="54"/>
  <c r="U1791" i="54"/>
  <c r="B1791" i="54"/>
  <c r="B1618" i="54"/>
  <c r="U1618" i="54"/>
  <c r="U2065" i="54"/>
  <c r="B2065" i="54"/>
  <c r="U2119" i="54"/>
  <c r="B2119" i="54"/>
  <c r="U1515" i="54"/>
  <c r="B1515" i="54"/>
  <c r="U1223" i="54"/>
  <c r="B1223" i="54"/>
  <c r="U1749" i="54"/>
  <c r="B1749" i="54"/>
  <c r="U1275" i="54"/>
  <c r="B1275" i="54"/>
  <c r="U1386" i="54"/>
  <c r="B1386" i="54"/>
  <c r="U1507" i="54"/>
  <c r="B1507" i="54"/>
  <c r="U1273" i="54"/>
  <c r="B1273" i="54"/>
  <c r="U1640" i="54"/>
  <c r="B1640" i="54"/>
  <c r="U1927" i="54"/>
  <c r="B1927" i="54"/>
  <c r="U1960" i="54"/>
  <c r="B1960" i="54"/>
  <c r="U1896" i="54"/>
  <c r="B1896" i="54"/>
  <c r="U1975" i="54"/>
  <c r="B1975" i="54"/>
  <c r="U1384" i="54"/>
  <c r="B1384" i="54"/>
  <c r="U1369" i="54"/>
  <c r="B1369" i="54"/>
  <c r="U1731" i="54"/>
  <c r="B1731" i="54"/>
  <c r="U1438" i="54"/>
  <c r="B1438" i="54"/>
  <c r="U1758" i="54"/>
  <c r="B1758" i="54"/>
  <c r="U1441" i="54"/>
  <c r="B1441" i="54"/>
  <c r="U1995" i="54"/>
  <c r="B1995" i="54"/>
  <c r="U1586" i="54"/>
  <c r="B1586" i="54"/>
  <c r="U1303" i="54"/>
  <c r="B1303" i="54"/>
  <c r="U2029" i="54"/>
  <c r="B2029" i="54"/>
  <c r="U1421" i="54"/>
  <c r="B1421" i="54"/>
  <c r="U2121" i="54"/>
  <c r="B2121" i="54"/>
  <c r="U1578" i="54"/>
  <c r="B1578" i="54"/>
  <c r="U1455" i="54"/>
  <c r="B1455" i="54"/>
  <c r="U1999" i="54"/>
  <c r="B1999" i="54"/>
  <c r="U1636" i="54"/>
  <c r="B1636" i="54"/>
  <c r="U1289" i="54"/>
  <c r="B1289" i="54"/>
  <c r="U2005" i="54"/>
  <c r="B2005" i="54"/>
  <c r="U1696" i="54"/>
  <c r="B1696" i="54"/>
  <c r="U2033" i="54"/>
  <c r="B2033" i="54"/>
  <c r="U1689" i="54"/>
  <c r="B1689" i="54"/>
  <c r="U1701" i="54"/>
  <c r="B1701" i="54"/>
  <c r="U1675" i="54"/>
  <c r="B1675" i="54"/>
  <c r="U1812" i="54"/>
  <c r="B1812" i="54"/>
  <c r="B1298" i="54"/>
  <c r="U1298" i="54"/>
  <c r="U1920" i="54"/>
  <c r="B1920" i="54"/>
  <c r="U1301" i="54"/>
  <c r="B1301" i="54"/>
  <c r="U2092" i="54"/>
  <c r="B2092" i="54"/>
  <c r="U1310" i="54"/>
  <c r="B1310" i="54"/>
  <c r="U1329" i="54"/>
  <c r="B1329" i="54"/>
  <c r="U1699" i="54"/>
  <c r="B1699" i="54"/>
  <c r="U1887" i="54"/>
  <c r="B1887" i="54"/>
  <c r="U1118" i="54"/>
  <c r="B1118" i="54"/>
  <c r="U1574" i="54"/>
  <c r="B1574" i="54"/>
  <c r="AE6" i="53"/>
  <c r="U1109" i="54"/>
  <c r="B1109" i="54"/>
  <c r="U1623" i="54"/>
  <c r="B1623" i="54"/>
  <c r="U1798" i="54"/>
  <c r="B1798" i="54"/>
  <c r="U1775" i="54"/>
  <c r="B1775" i="54"/>
  <c r="U1548" i="54"/>
  <c r="B1548" i="54"/>
  <c r="U2062" i="54"/>
  <c r="B2062" i="54"/>
  <c r="U2052" i="54"/>
  <c r="B2052" i="54"/>
  <c r="U1483" i="54"/>
  <c r="B1483" i="54"/>
  <c r="U1175" i="54"/>
  <c r="B1175" i="54"/>
  <c r="U1685" i="54"/>
  <c r="B1685" i="54"/>
  <c r="U1764" i="54"/>
  <c r="B1764" i="54"/>
  <c r="B1210" i="54"/>
  <c r="U1210" i="54"/>
  <c r="U1491" i="54"/>
  <c r="B1491" i="54"/>
  <c r="U1904" i="54"/>
  <c r="B1904" i="54"/>
  <c r="U1624" i="54"/>
  <c r="B1624" i="54"/>
  <c r="U1911" i="54"/>
  <c r="B1911" i="54"/>
  <c r="U1628" i="54"/>
  <c r="B1628" i="54"/>
  <c r="U1633" i="54"/>
  <c r="B1633" i="54"/>
  <c r="U1928" i="54"/>
  <c r="B1928" i="54"/>
  <c r="U1443" i="54"/>
  <c r="B1443" i="54"/>
  <c r="U1890" i="54"/>
  <c r="B1890" i="54"/>
  <c r="U1661" i="54"/>
  <c r="B1661" i="54"/>
  <c r="B1111" i="54"/>
  <c r="U1111" i="54"/>
  <c r="U1492" i="54"/>
  <c r="B1492" i="54"/>
  <c r="U1942" i="54"/>
  <c r="B1942" i="54"/>
  <c r="U1655" i="54"/>
  <c r="B1655" i="54"/>
  <c r="U1957" i="54"/>
  <c r="B1957" i="54"/>
  <c r="U1591" i="54"/>
  <c r="B1591" i="54"/>
  <c r="U1331" i="54"/>
  <c r="B1331" i="54"/>
  <c r="U2038" i="54"/>
  <c r="B2038" i="54"/>
  <c r="U1893" i="54"/>
  <c r="B1893" i="54"/>
  <c r="U2207" i="54"/>
  <c r="B2207" i="54"/>
  <c r="U2188" i="54"/>
  <c r="B2188" i="54"/>
  <c r="U1922" i="54"/>
  <c r="B1922" i="54"/>
  <c r="U1763" i="54"/>
  <c r="B1763" i="54"/>
  <c r="U1261" i="54"/>
  <c r="B1261" i="54"/>
  <c r="U1206" i="54"/>
  <c r="B1206" i="54"/>
  <c r="U1321" i="54"/>
  <c r="B1321" i="54"/>
  <c r="U1869" i="54"/>
  <c r="B1869" i="54"/>
  <c r="U1357" i="54"/>
  <c r="B1357" i="54"/>
  <c r="U1484" i="54"/>
  <c r="B1484" i="54"/>
  <c r="U1590" i="54"/>
  <c r="B1590" i="54"/>
  <c r="U1705" i="54"/>
  <c r="B1705" i="54"/>
  <c r="U1341" i="54"/>
  <c r="B1341" i="54"/>
  <c r="U1709" i="54"/>
  <c r="B1709" i="54"/>
  <c r="U1422" i="54"/>
  <c r="B1422" i="54"/>
  <c r="U1979" i="54"/>
  <c r="B1979" i="54"/>
  <c r="U1489" i="54"/>
  <c r="B1489" i="54"/>
  <c r="U1568" i="54"/>
  <c r="B1568" i="54"/>
  <c r="U2177" i="54"/>
  <c r="B2177" i="54"/>
  <c r="U1269" i="54"/>
  <c r="B1269" i="54"/>
  <c r="U2013" i="54"/>
  <c r="B2013" i="54"/>
  <c r="U1393" i="54"/>
  <c r="B1393" i="54"/>
  <c r="U2118" i="54"/>
  <c r="B2118" i="54"/>
  <c r="U1575" i="54"/>
  <c r="B1575" i="54"/>
  <c r="U2154" i="54"/>
  <c r="B2154" i="54"/>
  <c r="U1951" i="54"/>
  <c r="B1951" i="54"/>
  <c r="U1571" i="54"/>
  <c r="B1571" i="54"/>
  <c r="U1286" i="54"/>
  <c r="B1286" i="54"/>
  <c r="U1989" i="54"/>
  <c r="B1989" i="54"/>
  <c r="U1279" i="54"/>
  <c r="B1279" i="54"/>
  <c r="U2017" i="54"/>
  <c r="B2017" i="54"/>
  <c r="U1610" i="54"/>
  <c r="B1610" i="54"/>
  <c r="U1886" i="54"/>
  <c r="B1886" i="54"/>
  <c r="U1643" i="54"/>
  <c r="B1643" i="54"/>
  <c r="U1809" i="54"/>
  <c r="B1809" i="54"/>
  <c r="U1260" i="54"/>
  <c r="B1260" i="54"/>
  <c r="U1700" i="54"/>
  <c r="B1700" i="54"/>
  <c r="U1263" i="54"/>
  <c r="B1263" i="54"/>
  <c r="U2076" i="54"/>
  <c r="B2076" i="54"/>
  <c r="B1240" i="54"/>
  <c r="U1240" i="54"/>
  <c r="U1259" i="54"/>
  <c r="B1259" i="54"/>
  <c r="U1648" i="54"/>
  <c r="B1648" i="54"/>
  <c r="U1852" i="54"/>
  <c r="B1852" i="54"/>
  <c r="U2206" i="54"/>
  <c r="B2206" i="54"/>
  <c r="U1520" i="54"/>
  <c r="B1520" i="54"/>
  <c r="U1106" i="54"/>
  <c r="B1106" i="54"/>
  <c r="U1249" i="54"/>
  <c r="B1249" i="54"/>
  <c r="U1718" i="54"/>
  <c r="B1718" i="54"/>
  <c r="U1743" i="54"/>
  <c r="B1743" i="54"/>
  <c r="U1404" i="54"/>
  <c r="B1404" i="54"/>
  <c r="U1998" i="54"/>
  <c r="B1998" i="54"/>
  <c r="U2036" i="54"/>
  <c r="B2036" i="54"/>
  <c r="U1451" i="54"/>
  <c r="B1451" i="54"/>
  <c r="U1143" i="54"/>
  <c r="B1143" i="54"/>
  <c r="U1653" i="54"/>
  <c r="B1653" i="54"/>
  <c r="U1748" i="54"/>
  <c r="B1748" i="54"/>
  <c r="B1178" i="54"/>
  <c r="U1178" i="54"/>
  <c r="U1475" i="54"/>
  <c r="B1475" i="54"/>
  <c r="U1728" i="54"/>
  <c r="B1728" i="54"/>
  <c r="U1560" i="54"/>
  <c r="B1560" i="54"/>
  <c r="U1884" i="54"/>
  <c r="B1884" i="54"/>
  <c r="U1612" i="54"/>
  <c r="B1612" i="54"/>
  <c r="U1343" i="54"/>
  <c r="B1343" i="54"/>
  <c r="U1212" i="54"/>
  <c r="B1212" i="54"/>
  <c r="U1676" i="54"/>
  <c r="B1676" i="54"/>
  <c r="U1968" i="54"/>
  <c r="B1968" i="54"/>
  <c r="U1659" i="54"/>
  <c r="B1659" i="54"/>
  <c r="U1930" i="54"/>
  <c r="B1930" i="54"/>
  <c r="U1588" i="54"/>
  <c r="B1588" i="54"/>
  <c r="B1328" i="54"/>
  <c r="U1328" i="54"/>
  <c r="U1963" i="54"/>
  <c r="B1963" i="54"/>
  <c r="U1878" i="54"/>
  <c r="B1878" i="54"/>
  <c r="U2156" i="54"/>
  <c r="B2156" i="54"/>
  <c r="U2185" i="54"/>
  <c r="B2185" i="54"/>
  <c r="U1919" i="54"/>
  <c r="B1919" i="54"/>
  <c r="U1760" i="54"/>
  <c r="B1760" i="54"/>
  <c r="U1252" i="54"/>
  <c r="B1252" i="54"/>
  <c r="U1191" i="54"/>
  <c r="B1191" i="54"/>
  <c r="U1297" i="54"/>
  <c r="B1297" i="54"/>
  <c r="U1756" i="54"/>
  <c r="B1756" i="54"/>
  <c r="B1354" i="54"/>
  <c r="U1354" i="54"/>
  <c r="U1429" i="54"/>
  <c r="B1429" i="54"/>
  <c r="U1557" i="54"/>
  <c r="B1557" i="54"/>
  <c r="AE5" i="53"/>
  <c r="U1108" i="54"/>
  <c r="B1108" i="54"/>
  <c r="B1338" i="54"/>
  <c r="U1338" i="54"/>
  <c r="U1706" i="54"/>
  <c r="B1706" i="54"/>
  <c r="U1416" i="54"/>
  <c r="B1416" i="54"/>
  <c r="U1776" i="54"/>
  <c r="B1776" i="54"/>
  <c r="U1486" i="54"/>
  <c r="B1486" i="54"/>
  <c r="U1522" i="54"/>
  <c r="B1522" i="54"/>
  <c r="U2174" i="54"/>
  <c r="B2174" i="54"/>
  <c r="U1190" i="54"/>
  <c r="B1190" i="54"/>
  <c r="U1997" i="54"/>
  <c r="B1997" i="54"/>
  <c r="B1322" i="54"/>
  <c r="U1322" i="54"/>
  <c r="U2115" i="54"/>
  <c r="B2115" i="54"/>
  <c r="U1531" i="54"/>
  <c r="B1531" i="54"/>
  <c r="U2179" i="54"/>
  <c r="B2179" i="54"/>
  <c r="U1929" i="54"/>
  <c r="B1929" i="54"/>
  <c r="U1508" i="54"/>
  <c r="B1508" i="54"/>
  <c r="U1163" i="54"/>
  <c r="B1163" i="54"/>
  <c r="U1973" i="54"/>
  <c r="B1973" i="54"/>
  <c r="U1140" i="54"/>
  <c r="B1140" i="54"/>
  <c r="U1969" i="54"/>
  <c r="B1969" i="54"/>
  <c r="U1545" i="54"/>
  <c r="B1545" i="54"/>
  <c r="U1570" i="54"/>
  <c r="B1570" i="54"/>
  <c r="U1627" i="54"/>
  <c r="B1627" i="54"/>
  <c r="U1713" i="54"/>
  <c r="B1713" i="54"/>
  <c r="U1177" i="54"/>
  <c r="B1177" i="54"/>
  <c r="U1697" i="54"/>
  <c r="B1697" i="54"/>
  <c r="U1215" i="54"/>
  <c r="B1215" i="54"/>
  <c r="U2060" i="54"/>
  <c r="B2060" i="54"/>
  <c r="B1224" i="54"/>
  <c r="U1224" i="54"/>
  <c r="U1243" i="54"/>
  <c r="B1243" i="54"/>
  <c r="U1632" i="54"/>
  <c r="B1632" i="54"/>
  <c r="U1836" i="54"/>
  <c r="B1836" i="54"/>
  <c r="U2199" i="54"/>
  <c r="B2199" i="54"/>
  <c r="U1472" i="54"/>
  <c r="B1472" i="54"/>
  <c r="U1937" i="54"/>
  <c r="B1937" i="54"/>
  <c r="U1198" i="54"/>
  <c r="B1198" i="54"/>
  <c r="U1702" i="54"/>
  <c r="B1702" i="54"/>
  <c r="U1727" i="54"/>
  <c r="B1727" i="54"/>
  <c r="U1388" i="54"/>
  <c r="B1388" i="54"/>
  <c r="U1851" i="54"/>
  <c r="B1851" i="54"/>
  <c r="U2020" i="54"/>
  <c r="B2020" i="54"/>
  <c r="U1435" i="54"/>
  <c r="B1435" i="54"/>
  <c r="U1209" i="54"/>
  <c r="B1209" i="54"/>
  <c r="U1621" i="54"/>
  <c r="B1621" i="54"/>
  <c r="U1732" i="54"/>
  <c r="B1732" i="54"/>
  <c r="B1146" i="54"/>
  <c r="U1146" i="54"/>
  <c r="U1459" i="54"/>
  <c r="B1459" i="54"/>
  <c r="U1712" i="54"/>
  <c r="B1712" i="54"/>
  <c r="B1336" i="54"/>
  <c r="U1336" i="54"/>
  <c r="U1558" i="54"/>
  <c r="B1558" i="54"/>
  <c r="U1596" i="54"/>
  <c r="B1596" i="54"/>
  <c r="B1346" i="54"/>
  <c r="U1346" i="54"/>
  <c r="U1663" i="54"/>
  <c r="B1663" i="54"/>
  <c r="U1875" i="54"/>
  <c r="B1875" i="54"/>
  <c r="U1294" i="54"/>
  <c r="B1294" i="54"/>
  <c r="U1704" i="54"/>
  <c r="B1704" i="54"/>
  <c r="U1342" i="54"/>
  <c r="B1342" i="54"/>
  <c r="U1254" i="54"/>
  <c r="B1254" i="54"/>
  <c r="U1551" i="54"/>
  <c r="B1551" i="54"/>
  <c r="B2002" i="54"/>
  <c r="U2002" i="54"/>
  <c r="U1326" i="54"/>
  <c r="B1326" i="54"/>
  <c r="U1691" i="54"/>
  <c r="B1691" i="54"/>
  <c r="U1407" i="54"/>
  <c r="B1407" i="54"/>
  <c r="U1770" i="54"/>
  <c r="B1770" i="54"/>
  <c r="U1431" i="54"/>
  <c r="B1431" i="54"/>
  <c r="U1397" i="54"/>
  <c r="B1397" i="54"/>
  <c r="U1909" i="54"/>
  <c r="B1909" i="54"/>
  <c r="U1187" i="54"/>
  <c r="B1187" i="54"/>
  <c r="U1981" i="54"/>
  <c r="B1981" i="54"/>
  <c r="B1306" i="54"/>
  <c r="U1306" i="54"/>
  <c r="U2083" i="54"/>
  <c r="B2083" i="54"/>
  <c r="U1365" i="54"/>
  <c r="B1365" i="54"/>
  <c r="U1980" i="54"/>
  <c r="B1980" i="54"/>
  <c r="U1926" i="54"/>
  <c r="B1926" i="54"/>
  <c r="U1502" i="54"/>
  <c r="B1502" i="54"/>
  <c r="U1147" i="54"/>
  <c r="B1147" i="54"/>
  <c r="U1941" i="54"/>
  <c r="B1941" i="54"/>
  <c r="U1740" i="54"/>
  <c r="B1740" i="54"/>
  <c r="U1953" i="54"/>
  <c r="B1953" i="54"/>
  <c r="U1542" i="54"/>
  <c r="B1542" i="54"/>
  <c r="U2151" i="54"/>
  <c r="B2151" i="54"/>
  <c r="U1592" i="54"/>
  <c r="B1592" i="54"/>
  <c r="U1694" i="54"/>
  <c r="B1694" i="54"/>
  <c r="U1161" i="54"/>
  <c r="B1161" i="54"/>
  <c r="U1681" i="54"/>
  <c r="B1681" i="54"/>
  <c r="U1180" i="54"/>
  <c r="B1180" i="54"/>
  <c r="U2044" i="54"/>
  <c r="B2044" i="54"/>
  <c r="U1221" i="54"/>
  <c r="B1221" i="54"/>
  <c r="U1227" i="54"/>
  <c r="B1227" i="54"/>
  <c r="B1616" i="54"/>
  <c r="U1616" i="54"/>
  <c r="U1820" i="54"/>
  <c r="B1820" i="54"/>
  <c r="U2196" i="54"/>
  <c r="B2196" i="54"/>
  <c r="U1440" i="54"/>
  <c r="B1440" i="54"/>
  <c r="U2186" i="54"/>
  <c r="B2186" i="54"/>
  <c r="U1182" i="54"/>
  <c r="B1182" i="54"/>
  <c r="U1625" i="54"/>
  <c r="B1625" i="54"/>
  <c r="U1631" i="54"/>
  <c r="B1631" i="54"/>
  <c r="U1372" i="54"/>
  <c r="B1372" i="54"/>
  <c r="U1835" i="54"/>
  <c r="B1835" i="54"/>
  <c r="U2004" i="54"/>
  <c r="B2004" i="54"/>
  <c r="U1419" i="54"/>
  <c r="B1419" i="54"/>
  <c r="U1923" i="54"/>
  <c r="B1923" i="54"/>
  <c r="U1589" i="54"/>
  <c r="B1589" i="54"/>
  <c r="U1716" i="54"/>
  <c r="B1716" i="54"/>
  <c r="B1130" i="54"/>
  <c r="U1130" i="54"/>
  <c r="U1427" i="54"/>
  <c r="B1427" i="54"/>
  <c r="U1600" i="54"/>
  <c r="B1600" i="54"/>
  <c r="B1320" i="54"/>
  <c r="U1320" i="54"/>
  <c r="U1510" i="54"/>
  <c r="B1510" i="54"/>
  <c r="U1580" i="54"/>
  <c r="B1580" i="54"/>
  <c r="B1288" i="54"/>
  <c r="U1288" i="54"/>
  <c r="U1686" i="54"/>
  <c r="B1686" i="54"/>
  <c r="U1339" i="54"/>
  <c r="B1339" i="54"/>
  <c r="U1196" i="54"/>
  <c r="B1196" i="54"/>
  <c r="U1517" i="54"/>
  <c r="B1517" i="54"/>
  <c r="U1986" i="54"/>
  <c r="B1986" i="54"/>
  <c r="U1317" i="54"/>
  <c r="B1317" i="54"/>
  <c r="U1688" i="54"/>
  <c r="B1688" i="54"/>
  <c r="U1371" i="54"/>
  <c r="B1371" i="54"/>
  <c r="U1767" i="54"/>
  <c r="B1767" i="54"/>
  <c r="U1385" i="54"/>
  <c r="B1385" i="54"/>
  <c r="U1313" i="54"/>
  <c r="B1313" i="54"/>
  <c r="U1837" i="54"/>
  <c r="B1837" i="54"/>
  <c r="U1171" i="54"/>
  <c r="B1171" i="54"/>
  <c r="U1965" i="54"/>
  <c r="B1965" i="54"/>
  <c r="U1281" i="54"/>
  <c r="B1281" i="54"/>
  <c r="U2067" i="54"/>
  <c r="B2067" i="54"/>
  <c r="U1299" i="54"/>
  <c r="B1299" i="54"/>
  <c r="U1964" i="54"/>
  <c r="B1964" i="54"/>
  <c r="U2123" i="54"/>
  <c r="B2123" i="54"/>
  <c r="U1499" i="54"/>
  <c r="B1499" i="54"/>
  <c r="U1131" i="54"/>
  <c r="B1131" i="54"/>
  <c r="U1907" i="54"/>
  <c r="B1907" i="54"/>
  <c r="U2178" i="54"/>
  <c r="B2178" i="54"/>
  <c r="U1931" i="54"/>
  <c r="B1931" i="54"/>
  <c r="U1498" i="54"/>
  <c r="B1498" i="54"/>
  <c r="U2103" i="54"/>
  <c r="B2103" i="54"/>
  <c r="U1576" i="54"/>
  <c r="B1576" i="54"/>
  <c r="U1678" i="54"/>
  <c r="B1678" i="54"/>
  <c r="U1145" i="54"/>
  <c r="B1145" i="54"/>
  <c r="U1665" i="54"/>
  <c r="B1665" i="54"/>
  <c r="U1164" i="54"/>
  <c r="B1164" i="54"/>
  <c r="U2028" i="54"/>
  <c r="B2028" i="54"/>
  <c r="U1205" i="54"/>
  <c r="B1205" i="54"/>
  <c r="B1128" i="54"/>
  <c r="U1128" i="54"/>
  <c r="U1597" i="54"/>
  <c r="B1597" i="54"/>
  <c r="U1785" i="54"/>
  <c r="B1785" i="54"/>
  <c r="U2161" i="54"/>
  <c r="B2161" i="54"/>
  <c r="U1373" i="54"/>
  <c r="B1373" i="54"/>
  <c r="U2138" i="54"/>
  <c r="B2138" i="54"/>
  <c r="U1166" i="54"/>
  <c r="B1166" i="54"/>
  <c r="U1376" i="54"/>
  <c r="B1376" i="54"/>
  <c r="U1615" i="54"/>
  <c r="B1615" i="54"/>
  <c r="U1356" i="54"/>
  <c r="B1356" i="54"/>
  <c r="U1819" i="54"/>
  <c r="B1819" i="54"/>
  <c r="U1988" i="54"/>
  <c r="B1988" i="54"/>
  <c r="U1291" i="54"/>
  <c r="B1291" i="54"/>
  <c r="U1859" i="54"/>
  <c r="B1859" i="54"/>
  <c r="U1503" i="54"/>
  <c r="B1503" i="54"/>
  <c r="U1684" i="54"/>
  <c r="B1684" i="54"/>
  <c r="U1563" i="54"/>
  <c r="B1563" i="54"/>
  <c r="U1395" i="54"/>
  <c r="B1395" i="54"/>
  <c r="U1216" i="54"/>
  <c r="B1216" i="54"/>
  <c r="B1304" i="54"/>
  <c r="U1304" i="54"/>
  <c r="U1494" i="54"/>
  <c r="B1494" i="54"/>
  <c r="U2102" i="54"/>
  <c r="B2102" i="54"/>
  <c r="U1966" i="54"/>
  <c r="B1966" i="54"/>
  <c r="U2095" i="54"/>
  <c r="B2095" i="54"/>
  <c r="U1246" i="54"/>
  <c r="B1246" i="54"/>
  <c r="U2182" i="54"/>
  <c r="B2182" i="54"/>
  <c r="U1231" i="54"/>
  <c r="B1231" i="54"/>
  <c r="U2176" i="54"/>
  <c r="B2176" i="54"/>
  <c r="U1711" i="54"/>
  <c r="B1711" i="54"/>
  <c r="AE12" i="53"/>
  <c r="U1115" i="54"/>
  <c r="B1115" i="54"/>
  <c r="U1433" i="54"/>
  <c r="B1433" i="54"/>
  <c r="U1506" i="54"/>
  <c r="B1506" i="54"/>
  <c r="U2139" i="54"/>
  <c r="B2139" i="54"/>
  <c r="U1842" i="54"/>
  <c r="B1842" i="54"/>
  <c r="U2173" i="54"/>
  <c r="B2173" i="54"/>
  <c r="U2027" i="54"/>
  <c r="B2027" i="54"/>
  <c r="U1708" i="54"/>
  <c r="B1708" i="54"/>
  <c r="B1194" i="54"/>
  <c r="U1194" i="54"/>
  <c r="B1112" i="54"/>
  <c r="U1112" i="54"/>
  <c r="U1285" i="54"/>
  <c r="B1285" i="54"/>
  <c r="U1536" i="54"/>
  <c r="B1536" i="54"/>
  <c r="U1248" i="54"/>
  <c r="B1248" i="54"/>
  <c r="U2047" i="54"/>
  <c r="B2047" i="54"/>
  <c r="U1505" i="54"/>
  <c r="B1505" i="54"/>
  <c r="U1868" i="54"/>
  <c r="B1868" i="54"/>
  <c r="B1314" i="54"/>
  <c r="U1314" i="54"/>
  <c r="U1654" i="54"/>
  <c r="B1654" i="54"/>
  <c r="U1368" i="54"/>
  <c r="B1368" i="54"/>
  <c r="U1647" i="54"/>
  <c r="B1647" i="54"/>
  <c r="U1379" i="54"/>
  <c r="B1379" i="54"/>
  <c r="U1834" i="54"/>
  <c r="B1834" i="54"/>
  <c r="U1796" i="54"/>
  <c r="B1796" i="54"/>
  <c r="U1123" i="54"/>
  <c r="B1123" i="54"/>
  <c r="U1949" i="54"/>
  <c r="B1949" i="54"/>
  <c r="B1256" i="54"/>
  <c r="U1256" i="54"/>
  <c r="U2016" i="54"/>
  <c r="B2016" i="54"/>
  <c r="U1340" i="54"/>
  <c r="B1340" i="54"/>
  <c r="U1948" i="54"/>
  <c r="B1948" i="54"/>
  <c r="U2085" i="54"/>
  <c r="B2085" i="54"/>
  <c r="U1461" i="54"/>
  <c r="B1461" i="54"/>
  <c r="U1667" i="54"/>
  <c r="B1667" i="54"/>
  <c r="U1873" i="54"/>
  <c r="B1873" i="54"/>
  <c r="U2159" i="54"/>
  <c r="B2159" i="54"/>
  <c r="U1897" i="54"/>
  <c r="B1897" i="54"/>
  <c r="U1457" i="54"/>
  <c r="B1457" i="54"/>
  <c r="U2087" i="54"/>
  <c r="B2087" i="54"/>
  <c r="U1410" i="54"/>
  <c r="B1410" i="54"/>
  <c r="U1662" i="54"/>
  <c r="B1662" i="54"/>
  <c r="U2169" i="54"/>
  <c r="B2169" i="54"/>
  <c r="U1649" i="54"/>
  <c r="B1649" i="54"/>
  <c r="U1148" i="54"/>
  <c r="B1148" i="54"/>
  <c r="U2012" i="54"/>
  <c r="B2012" i="54"/>
  <c r="U1189" i="54"/>
  <c r="B1189" i="54"/>
  <c r="U2184" i="54"/>
  <c r="B2184" i="54"/>
  <c r="U1565" i="54"/>
  <c r="B1565" i="54"/>
  <c r="U1769" i="54"/>
  <c r="B1769" i="54"/>
  <c r="U2142" i="54"/>
  <c r="B2142" i="54"/>
  <c r="U1325" i="54"/>
  <c r="B1325" i="54"/>
  <c r="U2058" i="54"/>
  <c r="B2058" i="54"/>
  <c r="U1150" i="54"/>
  <c r="B1150" i="54"/>
  <c r="U1360" i="54"/>
  <c r="B1360" i="54"/>
  <c r="U1599" i="54"/>
  <c r="B1599" i="54"/>
  <c r="U1324" i="54"/>
  <c r="B1324" i="54"/>
  <c r="U1803" i="54"/>
  <c r="B1803" i="54"/>
  <c r="U1972" i="54"/>
  <c r="B1972" i="54"/>
  <c r="U2141" i="54"/>
  <c r="B2141" i="54"/>
  <c r="U1683" i="54"/>
  <c r="B1683" i="54"/>
  <c r="U1471" i="54"/>
  <c r="B1471" i="54"/>
  <c r="U1668" i="54"/>
  <c r="B1668" i="54"/>
  <c r="U1524" i="54"/>
  <c r="B1524" i="54"/>
  <c r="U1363" i="54"/>
  <c r="B1363" i="54"/>
  <c r="B1184" i="54"/>
  <c r="U1184" i="54"/>
  <c r="U2127" i="54"/>
  <c r="B2127" i="54"/>
  <c r="U1478" i="54"/>
  <c r="B1478" i="54"/>
  <c r="U2070" i="54"/>
  <c r="B2070" i="54"/>
  <c r="U1974" i="54"/>
  <c r="B1974" i="54"/>
  <c r="U1967" i="54"/>
  <c r="B1967" i="54"/>
  <c r="U2208" i="54"/>
  <c r="B2208" i="54"/>
  <c r="U1567" i="54"/>
  <c r="B1567" i="54"/>
  <c r="U2048" i="54"/>
  <c r="B2048" i="54"/>
  <c r="B1200" i="54"/>
  <c r="U1200" i="54"/>
  <c r="U1932" i="54"/>
  <c r="B1932" i="54"/>
  <c r="U1918" i="54"/>
  <c r="B1918" i="54"/>
  <c r="U1228" i="54"/>
  <c r="B1228" i="54"/>
  <c r="U2129" i="54"/>
  <c r="B2129" i="54"/>
  <c r="U1916" i="54"/>
  <c r="B1916" i="54"/>
  <c r="U1387" i="54"/>
  <c r="B1387" i="54"/>
  <c r="U1912" i="54"/>
  <c r="B1912" i="54"/>
  <c r="U1497" i="54"/>
  <c r="B1497" i="54"/>
  <c r="U1225" i="54"/>
  <c r="B1225" i="54"/>
  <c r="U2201" i="54"/>
  <c r="B2201" i="54"/>
  <c r="U2109" i="54"/>
  <c r="B2109" i="54"/>
  <c r="U1898" i="54"/>
  <c r="B1898" i="54"/>
  <c r="U2120" i="54"/>
  <c r="B2120" i="54"/>
  <c r="U2024" i="54"/>
  <c r="B2024" i="54"/>
  <c r="U1656" i="54"/>
  <c r="B1656" i="54"/>
  <c r="U1179" i="54"/>
  <c r="B1179" i="54"/>
  <c r="U1818" i="54"/>
  <c r="B1818" i="54"/>
  <c r="U1282" i="54"/>
  <c r="B1282" i="54"/>
  <c r="U1530" i="54"/>
  <c r="B1530" i="54"/>
  <c r="U1236" i="54"/>
  <c r="B1236" i="54"/>
  <c r="U2015" i="54"/>
  <c r="B2015" i="54"/>
  <c r="U1493" i="54"/>
  <c r="B1493" i="54"/>
  <c r="U1865" i="54"/>
  <c r="B1865" i="54"/>
  <c r="U1247" i="54"/>
  <c r="B1247" i="54"/>
  <c r="U1611" i="54"/>
  <c r="B1611" i="54"/>
  <c r="U1362" i="54"/>
  <c r="B1362" i="54"/>
  <c r="U1641" i="54"/>
  <c r="B1641" i="54"/>
  <c r="U1292" i="54"/>
  <c r="B1292" i="54"/>
  <c r="U2171" i="54"/>
  <c r="B2171" i="54"/>
  <c r="U1733" i="54"/>
  <c r="B1733" i="54"/>
  <c r="B1120" i="54"/>
  <c r="U1120" i="54"/>
  <c r="U1862" i="54"/>
  <c r="B1862" i="54"/>
  <c r="U1253" i="54"/>
  <c r="B1253" i="54"/>
  <c r="B2000" i="54"/>
  <c r="U2000" i="54"/>
  <c r="B1208" i="54"/>
  <c r="U1208" i="54"/>
  <c r="U1782" i="54"/>
  <c r="B1782" i="54"/>
  <c r="U2069" i="54"/>
  <c r="B2069" i="54"/>
  <c r="U1426" i="54"/>
  <c r="B1426" i="54"/>
  <c r="U1323" i="54"/>
  <c r="B1323" i="54"/>
  <c r="U1794" i="54"/>
  <c r="B1794" i="54"/>
  <c r="U1406" i="54"/>
  <c r="B1406" i="54"/>
  <c r="U1894" i="54"/>
  <c r="B1894" i="54"/>
  <c r="U1425" i="54"/>
  <c r="B1425" i="54"/>
  <c r="U2071" i="54"/>
  <c r="B2071" i="54"/>
  <c r="U1394" i="54"/>
  <c r="B1394" i="54"/>
  <c r="U1630" i="54"/>
  <c r="B1630" i="54"/>
  <c r="U2134" i="54"/>
  <c r="B2134" i="54"/>
  <c r="U1617" i="54"/>
  <c r="B1617" i="54"/>
  <c r="U1132" i="54"/>
  <c r="B1132" i="54"/>
  <c r="U1910" i="54"/>
  <c r="B1910" i="54"/>
  <c r="U1173" i="54"/>
  <c r="B1173" i="54"/>
  <c r="U2168" i="54"/>
  <c r="B2168" i="54"/>
  <c r="U1546" i="54"/>
  <c r="B1546" i="54"/>
  <c r="U1737" i="54"/>
  <c r="B1737" i="54"/>
  <c r="U2107" i="54"/>
  <c r="B2107" i="54"/>
  <c r="U1309" i="54"/>
  <c r="B1309" i="54"/>
  <c r="U2042" i="54"/>
  <c r="B2042" i="54"/>
  <c r="U1134" i="54"/>
  <c r="B1134" i="54"/>
  <c r="B1312" i="54"/>
  <c r="U1312" i="54"/>
  <c r="U1583" i="54"/>
  <c r="B1583" i="54"/>
  <c r="U1308" i="54"/>
  <c r="B1308" i="54"/>
  <c r="B1272" i="54"/>
  <c r="U1272" i="54"/>
  <c r="U1956" i="54"/>
  <c r="B1956" i="54"/>
  <c r="U1933" i="54"/>
  <c r="B1933" i="54"/>
  <c r="U1651" i="54"/>
  <c r="B1651" i="54"/>
  <c r="U1423" i="54"/>
  <c r="B1423" i="54"/>
  <c r="U1604" i="54"/>
  <c r="B1604" i="54"/>
  <c r="U1460" i="54"/>
  <c r="B1460" i="54"/>
  <c r="U1283" i="54"/>
  <c r="B1283" i="54"/>
  <c r="U2143" i="54"/>
  <c r="B2143" i="54"/>
  <c r="U2152" i="54"/>
  <c r="B2152" i="54"/>
  <c r="U1430" i="54"/>
  <c r="B1430" i="54"/>
  <c r="U2059" i="54"/>
  <c r="B2059" i="54"/>
  <c r="U1958" i="54"/>
  <c r="B1958" i="54"/>
  <c r="U1606" i="54"/>
  <c r="B1606" i="54"/>
  <c r="U1714" i="54"/>
  <c r="B1714" i="54"/>
  <c r="U1921" i="54"/>
  <c r="B1921" i="54"/>
  <c r="U1293" i="54"/>
  <c r="B1293" i="54"/>
  <c r="B1488" i="54"/>
  <c r="U1488" i="54"/>
  <c r="U1222" i="54"/>
  <c r="B1222" i="54"/>
  <c r="U2198" i="54"/>
  <c r="B2198" i="54"/>
  <c r="U2106" i="54"/>
  <c r="B2106" i="54"/>
  <c r="U1892" i="54"/>
  <c r="B1892" i="54"/>
  <c r="U2117" i="54"/>
  <c r="B2117" i="54"/>
  <c r="U1961" i="54"/>
  <c r="B1961" i="54"/>
  <c r="U1613" i="54"/>
  <c r="B1613" i="54"/>
  <c r="B1136" i="54"/>
  <c r="U1136" i="54"/>
  <c r="U1781" i="54"/>
  <c r="B1781" i="54"/>
  <c r="U1270" i="54"/>
  <c r="B1270" i="54"/>
  <c r="U1527" i="54"/>
  <c r="B1527" i="54"/>
  <c r="U1233" i="54"/>
  <c r="B1233" i="54"/>
  <c r="U1996" i="54"/>
  <c r="B1996" i="54"/>
  <c r="U1432" i="54"/>
  <c r="B1432" i="54"/>
  <c r="U1856" i="54"/>
  <c r="B1856" i="54"/>
  <c r="U1244" i="54"/>
  <c r="B1244" i="54"/>
  <c r="U1605" i="54"/>
  <c r="B1605" i="54"/>
  <c r="U1359" i="54"/>
  <c r="B1359" i="54"/>
  <c r="U1635" i="54"/>
  <c r="B1635" i="54"/>
  <c r="B1274" i="54"/>
  <c r="U1274" i="54"/>
  <c r="U2090" i="54"/>
  <c r="B2090" i="54"/>
  <c r="U1679" i="54"/>
  <c r="B1679" i="54"/>
  <c r="AE14" i="53"/>
  <c r="U1117" i="54"/>
  <c r="B1117" i="54"/>
  <c r="U1843" i="54"/>
  <c r="B1843" i="54"/>
  <c r="U1237" i="54"/>
  <c r="B1237" i="54"/>
  <c r="U1811" i="54"/>
  <c r="B1811" i="54"/>
  <c r="U1839" i="54"/>
  <c r="B1839" i="54"/>
  <c r="U1741" i="54"/>
  <c r="B1741" i="54"/>
  <c r="U2018" i="54"/>
  <c r="B2018" i="54"/>
  <c r="U1401" i="54"/>
  <c r="B1401" i="54"/>
  <c r="U1238" i="54"/>
  <c r="B1238" i="54"/>
  <c r="U1693" i="54"/>
  <c r="B1693" i="54"/>
  <c r="U1950" i="54"/>
  <c r="B1950" i="54"/>
  <c r="U1891" i="54"/>
  <c r="B1891" i="54"/>
  <c r="U1381" i="54"/>
  <c r="B1381" i="54"/>
  <c r="U1889" i="54"/>
  <c r="B1889" i="54"/>
  <c r="U1375" i="54"/>
  <c r="B1375" i="54"/>
  <c r="U1614" i="54"/>
  <c r="B1614" i="54"/>
  <c r="U2051" i="54"/>
  <c r="B2051" i="54"/>
  <c r="U1601" i="54"/>
  <c r="B1601" i="54"/>
  <c r="U2191" i="54"/>
  <c r="B2191" i="54"/>
  <c r="U1824" i="54"/>
  <c r="B1824" i="54"/>
  <c r="U1157" i="54"/>
  <c r="B1157" i="54"/>
  <c r="U2050" i="54"/>
  <c r="B2050" i="54"/>
  <c r="U1482" i="54"/>
  <c r="B1482" i="54"/>
  <c r="U1638" i="54"/>
  <c r="B1638" i="54"/>
  <c r="U2091" i="54"/>
  <c r="B2091" i="54"/>
  <c r="U1277" i="54"/>
  <c r="B1277" i="54"/>
  <c r="U2026" i="54"/>
  <c r="B2026" i="54"/>
  <c r="U2160" i="54"/>
  <c r="B2160" i="54"/>
  <c r="B1296" i="54"/>
  <c r="U1296" i="54"/>
  <c r="U1513" i="54"/>
  <c r="B1513" i="54"/>
  <c r="U1276" i="54"/>
  <c r="B1276" i="54"/>
  <c r="B1202" i="54"/>
  <c r="U1202" i="54"/>
  <c r="U1940" i="54"/>
  <c r="B1940" i="54"/>
  <c r="U1901" i="54"/>
  <c r="B1901" i="54"/>
  <c r="U1619" i="54"/>
  <c r="B1619" i="54"/>
  <c r="U1391" i="54"/>
  <c r="B1391" i="54"/>
  <c r="U1572" i="54"/>
  <c r="B1572" i="54"/>
  <c r="U1444" i="54"/>
  <c r="B1444" i="54"/>
  <c r="U1267" i="54"/>
  <c r="B1267" i="54"/>
  <c r="U1935" i="54"/>
  <c r="B1935" i="54"/>
  <c r="U2136" i="54"/>
  <c r="B2136" i="54"/>
  <c r="U1414" i="54"/>
  <c r="B1414" i="54"/>
  <c r="U1899" i="54"/>
  <c r="B1899" i="54"/>
  <c r="U1609" i="54"/>
  <c r="B1609" i="54"/>
  <c r="U1924" i="54"/>
  <c r="B1924" i="54"/>
  <c r="U1913" i="54"/>
  <c r="B1913" i="54"/>
  <c r="U1622" i="54"/>
  <c r="B1622" i="54"/>
  <c r="U2202" i="54"/>
  <c r="B2202" i="54"/>
  <c r="U1219" i="54"/>
  <c r="B1219" i="54"/>
  <c r="U2189" i="54"/>
  <c r="B2189" i="54"/>
  <c r="U2079" i="54"/>
  <c r="B2079" i="54"/>
  <c r="U1883" i="54"/>
  <c r="B1883" i="54"/>
  <c r="U2099" i="54"/>
  <c r="B2099" i="54"/>
  <c r="U2164" i="54"/>
  <c r="B2164" i="54"/>
  <c r="U1540" i="54"/>
  <c r="B1540" i="54"/>
  <c r="U1127" i="54"/>
  <c r="B1127" i="54"/>
  <c r="U1753" i="54"/>
  <c r="B1753" i="54"/>
  <c r="B1218" i="54"/>
  <c r="U1218" i="54"/>
  <c r="U1463" i="54"/>
  <c r="B1463" i="54"/>
  <c r="U1121" i="54"/>
  <c r="B1121" i="54"/>
  <c r="U1814" i="54"/>
  <c r="B1814" i="54"/>
  <c r="U1383" i="54"/>
  <c r="B1383" i="54"/>
  <c r="U1853" i="54"/>
  <c r="B1853" i="54"/>
  <c r="U1241" i="54"/>
  <c r="B1241" i="54"/>
  <c r="U1535" i="54"/>
  <c r="B1535" i="54"/>
  <c r="U1347" i="54"/>
  <c r="B1347" i="54"/>
  <c r="U1620" i="54"/>
  <c r="B1620" i="54"/>
  <c r="U1265" i="54"/>
  <c r="B1265" i="54"/>
  <c r="U2074" i="54"/>
  <c r="B2074" i="54"/>
  <c r="U1666" i="54"/>
  <c r="B1666" i="54"/>
  <c r="U1534" i="54"/>
  <c r="B1534" i="54"/>
  <c r="U1840" i="54"/>
  <c r="B1840" i="54"/>
  <c r="U1234" i="54"/>
  <c r="B1234" i="54"/>
  <c r="U1808" i="54"/>
  <c r="B1808" i="54"/>
  <c r="U1537" i="54"/>
  <c r="B1537" i="54"/>
  <c r="B1490" i="54"/>
  <c r="U1490" i="54"/>
  <c r="U1867" i="54"/>
  <c r="B1867" i="54"/>
  <c r="U1398" i="54"/>
  <c r="B1398" i="54"/>
  <c r="U2197" i="54"/>
  <c r="B2197" i="54"/>
  <c r="U1413" i="54"/>
  <c r="B1413" i="54"/>
  <c r="U1554" i="54"/>
  <c r="B1554" i="54"/>
  <c r="U1888" i="54"/>
  <c r="B1888" i="54"/>
  <c r="U1351" i="54"/>
  <c r="B1351" i="54"/>
  <c r="U1608" i="54"/>
  <c r="B1608" i="54"/>
  <c r="U1257" i="54"/>
  <c r="B1257" i="54"/>
  <c r="U1595" i="54"/>
  <c r="B1595" i="54"/>
  <c r="U2035" i="54"/>
  <c r="B2035" i="54"/>
  <c r="U1598" i="54"/>
  <c r="B1598" i="54"/>
  <c r="U2175" i="54"/>
  <c r="B2175" i="54"/>
  <c r="U1773" i="54"/>
  <c r="B1773" i="54"/>
  <c r="U1125" i="54"/>
  <c r="B1125" i="54"/>
  <c r="U2034" i="54"/>
  <c r="B2034" i="54"/>
  <c r="U1332" i="54"/>
  <c r="B1332" i="54"/>
  <c r="U1587" i="54"/>
  <c r="B1587" i="54"/>
  <c r="U2075" i="54"/>
  <c r="B2075" i="54"/>
  <c r="U1271" i="54"/>
  <c r="B1271" i="54"/>
  <c r="U2010" i="54"/>
  <c r="B2010" i="54"/>
  <c r="U2150" i="54"/>
  <c r="B2150" i="54"/>
  <c r="B1280" i="54"/>
  <c r="U1280" i="54"/>
  <c r="U2181" i="54"/>
  <c r="B2181" i="54"/>
  <c r="U1538" i="54"/>
  <c r="B1538" i="54"/>
  <c r="B1186" i="54"/>
  <c r="U1186" i="54"/>
  <c r="U1895" i="54"/>
  <c r="B1895" i="54"/>
  <c r="U1645" i="54"/>
  <c r="B1645" i="54"/>
  <c r="U1603" i="54"/>
  <c r="B1603" i="54"/>
  <c r="U1199" i="54"/>
  <c r="B1199" i="54"/>
  <c r="U1518" i="54"/>
  <c r="B1518" i="54"/>
  <c r="U1428" i="54"/>
  <c r="B1428" i="54"/>
  <c r="U1251" i="54"/>
  <c r="B1251" i="54"/>
  <c r="U1864" i="54"/>
  <c r="B1864" i="54"/>
  <c r="U2008" i="54"/>
  <c r="B2008" i="54"/>
  <c r="U1382" i="54"/>
  <c r="B1382" i="54"/>
  <c r="U1934" i="54"/>
  <c r="B1934" i="54"/>
  <c r="U1139" i="54"/>
  <c r="B1139" i="54"/>
  <c r="B1872" i="54"/>
  <c r="U1872" i="54"/>
  <c r="U1906" i="54"/>
  <c r="B1906" i="54"/>
  <c r="B2130" i="54"/>
  <c r="U2130" i="54"/>
  <c r="U1797" i="54"/>
  <c r="B1797" i="54"/>
  <c r="U1167" i="54"/>
  <c r="B1167" i="54"/>
  <c r="U2133" i="54"/>
  <c r="B2133" i="54"/>
  <c r="U2043" i="54"/>
  <c r="B2043" i="54"/>
  <c r="U1880" i="54"/>
  <c r="B1880" i="54"/>
  <c r="U2093" i="54"/>
  <c r="B2093" i="54"/>
  <c r="U2155" i="54"/>
  <c r="B2155" i="54"/>
  <c r="U1476" i="54"/>
  <c r="B1476" i="54"/>
  <c r="U2032" i="54"/>
  <c r="B2032" i="54"/>
  <c r="U1680" i="54"/>
  <c r="B1680" i="54"/>
  <c r="U1984" i="54"/>
  <c r="B1984" i="54"/>
  <c r="U1442" i="54"/>
  <c r="B1442" i="54"/>
  <c r="U1805" i="54"/>
  <c r="B1805" i="54"/>
  <c r="U1792" i="54"/>
  <c r="B1792" i="54"/>
  <c r="U1380" i="54"/>
  <c r="B1380" i="54"/>
  <c r="U1847" i="54"/>
  <c r="B1847" i="54"/>
  <c r="U1232" i="54"/>
  <c r="B1232" i="54"/>
  <c r="U1532" i="54"/>
  <c r="B1532" i="54"/>
  <c r="U1344" i="54"/>
  <c r="B1344" i="54"/>
  <c r="U1562" i="54"/>
  <c r="B1562" i="54"/>
  <c r="U1213" i="54"/>
  <c r="B1213" i="54"/>
  <c r="U2055" i="54"/>
  <c r="B2055" i="54"/>
  <c r="U1644" i="54"/>
  <c r="B1644" i="54"/>
  <c r="B1192" i="54"/>
  <c r="U1192" i="54"/>
  <c r="U1821" i="54"/>
  <c r="B1821" i="54"/>
  <c r="U1193" i="54"/>
  <c r="B1193" i="54"/>
  <c r="U1723" i="54"/>
  <c r="B1723" i="54"/>
  <c r="U1487" i="54"/>
  <c r="B1487" i="54"/>
  <c r="B1176" i="54"/>
  <c r="U1176" i="54"/>
  <c r="U1829" i="54"/>
  <c r="B1829" i="54"/>
  <c r="U1355" i="54"/>
  <c r="B1355" i="54"/>
  <c r="U2135" i="54"/>
  <c r="B2135" i="54"/>
  <c r="U1207" i="54"/>
  <c r="B1207" i="54"/>
  <c r="U1316" i="54"/>
  <c r="B1316" i="54"/>
  <c r="U1885" i="54"/>
  <c r="B1885" i="54"/>
  <c r="U1348" i="54"/>
  <c r="B1348" i="54"/>
  <c r="U1468" i="54"/>
  <c r="B1468" i="54"/>
  <c r="U2144" i="54"/>
  <c r="B2144" i="54"/>
  <c r="U1579" i="54"/>
  <c r="B1579" i="54"/>
  <c r="U2019" i="54"/>
  <c r="B2019" i="54"/>
  <c r="U1582" i="54"/>
  <c r="B1582" i="54"/>
  <c r="U2172" i="54"/>
  <c r="B2172" i="54"/>
  <c r="U1757" i="54"/>
  <c r="B1757" i="54"/>
  <c r="AE19" i="53"/>
  <c r="U1122" i="54"/>
  <c r="B1122" i="54"/>
  <c r="U1970" i="54"/>
  <c r="B1970" i="54"/>
  <c r="U1300" i="54"/>
  <c r="B1300" i="54"/>
  <c r="U1533" i="54"/>
  <c r="B1533" i="54"/>
  <c r="U1855" i="54"/>
  <c r="B1855" i="54"/>
  <c r="U1255" i="54"/>
  <c r="B1255" i="54"/>
  <c r="U1994" i="54"/>
  <c r="B1994" i="54"/>
  <c r="U2057" i="54"/>
  <c r="B2057" i="54"/>
  <c r="U1197" i="54"/>
  <c r="B1197" i="54"/>
  <c r="U2101" i="54"/>
  <c r="B2101" i="54"/>
  <c r="U1458" i="54"/>
  <c r="B1458" i="54"/>
  <c r="U1170" i="54"/>
  <c r="B1170" i="54"/>
  <c r="U1860" i="54"/>
  <c r="B1860" i="54"/>
  <c r="U1629" i="54"/>
  <c r="B1629" i="54"/>
  <c r="U1245" i="54"/>
  <c r="B1245" i="54"/>
  <c r="U1183" i="54"/>
  <c r="B1183" i="54"/>
  <c r="U1454" i="54"/>
  <c r="B1454" i="54"/>
  <c r="U1396" i="54"/>
  <c r="B1396" i="54"/>
  <c r="U1235" i="54"/>
  <c r="B1235" i="54"/>
  <c r="U1816" i="54"/>
  <c r="B1816" i="54"/>
  <c r="U1992" i="54"/>
  <c r="B1992" i="54"/>
  <c r="U1366" i="54"/>
  <c r="B1366" i="54"/>
  <c r="AE38" i="53"/>
  <c r="AE243" i="53"/>
  <c r="AE299" i="53"/>
  <c r="AE942" i="53"/>
  <c r="AE618" i="53"/>
  <c r="AE271" i="53"/>
  <c r="AE688" i="53"/>
  <c r="AE172" i="53"/>
  <c r="AE824" i="53"/>
  <c r="AE855" i="53"/>
  <c r="AE560" i="53"/>
  <c r="AE953" i="53"/>
  <c r="AE506" i="53"/>
  <c r="AE240" i="53"/>
  <c r="AE992" i="53"/>
  <c r="AE793" i="53"/>
  <c r="AE871" i="53"/>
  <c r="AE1091" i="53"/>
  <c r="AE825" i="53"/>
  <c r="AE872" i="53"/>
  <c r="AE340" i="53"/>
  <c r="AE109" i="53"/>
  <c r="AE281" i="53"/>
  <c r="AE787" i="53"/>
  <c r="AE266" i="53"/>
  <c r="AE558" i="53"/>
  <c r="AE628" i="53"/>
  <c r="AE8" i="53"/>
  <c r="AE335" i="53"/>
  <c r="AE655" i="53"/>
  <c r="AE338" i="53"/>
  <c r="AE892" i="53"/>
  <c r="AE389" i="53"/>
  <c r="AE483" i="53"/>
  <c r="AE573" i="53"/>
  <c r="AE200" i="53"/>
  <c r="AE926" i="53"/>
  <c r="AE318" i="53"/>
  <c r="AE1018" i="53"/>
  <c r="AE475" i="53"/>
  <c r="AE352" i="53"/>
  <c r="AE896" i="53"/>
  <c r="AE533" i="53"/>
  <c r="AE186" i="53"/>
  <c r="AE902" i="53"/>
  <c r="AE593" i="53"/>
  <c r="AE930" i="53"/>
  <c r="AE586" i="53"/>
  <c r="AE598" i="53"/>
  <c r="AE572" i="53"/>
  <c r="AE709" i="53"/>
  <c r="AE195" i="53"/>
  <c r="AE817" i="53"/>
  <c r="AE198" i="53"/>
  <c r="AE989" i="53"/>
  <c r="AE207" i="53"/>
  <c r="AE226" i="53"/>
  <c r="AE596" i="53"/>
  <c r="AE784" i="53"/>
  <c r="AE15" i="53"/>
  <c r="AE471" i="53"/>
  <c r="AE520" i="53"/>
  <c r="AE695" i="53"/>
  <c r="AE672" i="53"/>
  <c r="AE445" i="53"/>
  <c r="AE959" i="53"/>
  <c r="AE949" i="53"/>
  <c r="AE380" i="53"/>
  <c r="AE72" i="53"/>
  <c r="AE582" i="53"/>
  <c r="AE661" i="53"/>
  <c r="AE107" i="53"/>
  <c r="AE388" i="53"/>
  <c r="AE801" i="53"/>
  <c r="AE521" i="53"/>
  <c r="AE808" i="53"/>
  <c r="AE525" i="53"/>
  <c r="AE534" i="53"/>
  <c r="AE950" i="53"/>
  <c r="AE839" i="53"/>
  <c r="AE552" i="53"/>
  <c r="AE854" i="53"/>
  <c r="AE488" i="53"/>
  <c r="AE228" i="53"/>
  <c r="AE935" i="53"/>
  <c r="AE790" i="53"/>
  <c r="AE1104" i="53"/>
  <c r="AE1085" i="53"/>
  <c r="AE819" i="53"/>
  <c r="AE660" i="53"/>
  <c r="AE158" i="53"/>
  <c r="AE103" i="53"/>
  <c r="AE218" i="53"/>
  <c r="AE766" i="53"/>
  <c r="AE254" i="53"/>
  <c r="AE381" i="53"/>
  <c r="AE487" i="53"/>
  <c r="AE602" i="53"/>
  <c r="AE238" i="53"/>
  <c r="AE606" i="53"/>
  <c r="AE319" i="53"/>
  <c r="AE876" i="53"/>
  <c r="AE386" i="53"/>
  <c r="AE465" i="53"/>
  <c r="AE1074" i="53"/>
  <c r="AE166" i="53"/>
  <c r="AE910" i="53"/>
  <c r="AE290" i="53"/>
  <c r="AE1015" i="53"/>
  <c r="AE472" i="53"/>
  <c r="AE1051" i="53"/>
  <c r="AE848" i="53"/>
  <c r="AE468" i="53"/>
  <c r="AE183" i="53"/>
  <c r="AE886" i="53"/>
  <c r="AE176" i="53"/>
  <c r="AE914" i="53"/>
  <c r="AE507" i="53"/>
  <c r="AE783" i="53"/>
  <c r="AE540" i="53"/>
  <c r="AE706" i="53"/>
  <c r="AE157" i="53"/>
  <c r="AE597" i="53"/>
  <c r="AE160" i="53"/>
  <c r="AE973" i="53"/>
  <c r="AE137" i="53"/>
  <c r="AE156" i="53"/>
  <c r="AE545" i="53"/>
  <c r="AE749" i="53"/>
  <c r="AE1103" i="53"/>
  <c r="AE417" i="53"/>
  <c r="AE146" i="53"/>
  <c r="AE615" i="53"/>
  <c r="AE640" i="53"/>
  <c r="AE301" i="53"/>
  <c r="AE895" i="53"/>
  <c r="AE933" i="53"/>
  <c r="AE348" i="53"/>
  <c r="AE40" i="53"/>
  <c r="AE550" i="53"/>
  <c r="AE645" i="53"/>
  <c r="AE75" i="53"/>
  <c r="AE372" i="53"/>
  <c r="AE625" i="53"/>
  <c r="AE457" i="53"/>
  <c r="AE781" i="53"/>
  <c r="AE509" i="53"/>
  <c r="AE353" i="53"/>
  <c r="AE898" i="53"/>
  <c r="AE315" i="53"/>
  <c r="AE450" i="53"/>
  <c r="AE831" i="53"/>
  <c r="AE698" i="53"/>
  <c r="AE928" i="53"/>
  <c r="AE836" i="53"/>
  <c r="AE536" i="53"/>
  <c r="AE283" i="53"/>
  <c r="AE827" i="53"/>
  <c r="AE860" i="53"/>
  <c r="AE1053" i="53"/>
  <c r="AE816" i="53"/>
  <c r="AE88" i="53"/>
  <c r="AE653" i="53"/>
  <c r="AE326" i="53"/>
  <c r="AE454" i="53"/>
  <c r="AE235" i="53"/>
  <c r="AE313" i="53"/>
  <c r="AE419" i="53"/>
  <c r="AE894" i="53"/>
  <c r="AE1012" i="53"/>
  <c r="AE1076" i="53"/>
  <c r="AE826" i="53"/>
  <c r="AE405" i="53"/>
  <c r="AE60" i="53"/>
  <c r="AE37" i="53"/>
  <c r="AE866" i="53"/>
  <c r="AE442" i="53"/>
  <c r="AE467" i="53"/>
  <c r="AE524" i="53"/>
  <c r="AE610" i="53"/>
  <c r="AE74" i="53"/>
  <c r="AE594" i="53"/>
  <c r="AE112" i="53"/>
  <c r="AE957" i="53"/>
  <c r="AE121" i="53"/>
  <c r="AE140" i="53"/>
  <c r="AE529" i="53"/>
  <c r="AE733" i="53"/>
  <c r="AE1096" i="53"/>
  <c r="AE369" i="53"/>
  <c r="AE834" i="53"/>
  <c r="AE95" i="53"/>
  <c r="AE599" i="53"/>
  <c r="AE624" i="53"/>
  <c r="AE285" i="53"/>
  <c r="AE748" i="53"/>
  <c r="AE917" i="53"/>
  <c r="AE332" i="53"/>
  <c r="AE106" i="53"/>
  <c r="AE518" i="53"/>
  <c r="AE629" i="53"/>
  <c r="AE43" i="53"/>
  <c r="AE356" i="53"/>
  <c r="AE609" i="53"/>
  <c r="AE233" i="53"/>
  <c r="AE455" i="53"/>
  <c r="AE493" i="53"/>
  <c r="AE418" i="53"/>
  <c r="AE212" i="53"/>
  <c r="AE34" i="53"/>
  <c r="AE490" i="53"/>
  <c r="AE376" i="53"/>
  <c r="AE868" i="53"/>
  <c r="AE669" i="53"/>
  <c r="AE742" i="53"/>
  <c r="AE57" i="53"/>
  <c r="AE530" i="53"/>
  <c r="AE903" i="53"/>
  <c r="AE547" i="53"/>
  <c r="AE614" i="53"/>
  <c r="AE21" i="53"/>
  <c r="AE865" i="53"/>
  <c r="AE556" i="53"/>
  <c r="AE485" i="53"/>
  <c r="AE225" i="53"/>
  <c r="AE775" i="53"/>
  <c r="AE1082" i="53"/>
  <c r="AE657" i="53"/>
  <c r="AE149" i="53"/>
  <c r="AE194" i="53"/>
  <c r="AE251" i="53"/>
  <c r="AE603" i="53"/>
  <c r="AE673" i="53"/>
  <c r="AE383" i="53"/>
  <c r="AE1071" i="53"/>
  <c r="AE87" i="53"/>
  <c r="AE219" i="53"/>
  <c r="AE428" i="53"/>
  <c r="AE870" i="53"/>
  <c r="AE864" i="53"/>
  <c r="AE503" i="53"/>
  <c r="AE821" i="53"/>
  <c r="AE470" i="53"/>
  <c r="AE143" i="53"/>
  <c r="AE1105" i="53"/>
  <c r="AE772" i="53"/>
  <c r="AE1050" i="53"/>
  <c r="AE1079" i="53"/>
  <c r="AE810" i="53"/>
  <c r="AE611" i="53"/>
  <c r="AE100" i="53"/>
  <c r="AE36" i="53"/>
  <c r="AE191" i="53"/>
  <c r="AE601" i="53"/>
  <c r="AE239" i="53"/>
  <c r="AE151" i="53"/>
  <c r="AE448" i="53"/>
  <c r="AE899" i="53"/>
  <c r="AE223" i="53"/>
  <c r="AE588" i="53"/>
  <c r="AE304" i="53"/>
  <c r="AE667" i="53"/>
  <c r="AE328" i="53"/>
  <c r="AE294" i="53"/>
  <c r="AE806" i="53"/>
  <c r="AE84" i="53"/>
  <c r="AE878" i="53"/>
  <c r="AE203" i="53"/>
  <c r="AE980" i="53"/>
  <c r="AE262" i="53"/>
  <c r="AE877" i="53"/>
  <c r="AE823" i="53"/>
  <c r="AE399" i="53"/>
  <c r="AE44" i="53"/>
  <c r="AE838" i="53"/>
  <c r="AE637" i="53"/>
  <c r="AE850" i="53"/>
  <c r="AE439" i="53"/>
  <c r="AE1048" i="53"/>
  <c r="AE489" i="53"/>
  <c r="AE591" i="53"/>
  <c r="AE58" i="53"/>
  <c r="AE578" i="53"/>
  <c r="AE77" i="53"/>
  <c r="AE941" i="53"/>
  <c r="AE118" i="53"/>
  <c r="AE124" i="53"/>
  <c r="AE513" i="53"/>
  <c r="AE717" i="53"/>
  <c r="AE1093" i="53"/>
  <c r="AE337" i="53"/>
  <c r="AE1083" i="53"/>
  <c r="AE79" i="53"/>
  <c r="AE522" i="53"/>
  <c r="AE528" i="53"/>
  <c r="AE269" i="53"/>
  <c r="AE732" i="53"/>
  <c r="AE901" i="53"/>
  <c r="AE316" i="53"/>
  <c r="AE820" i="53"/>
  <c r="AE486" i="53"/>
  <c r="AE613" i="53"/>
  <c r="AE27" i="53"/>
  <c r="AE324" i="53"/>
  <c r="AE497" i="53"/>
  <c r="AE217" i="53"/>
  <c r="AE407" i="53"/>
  <c r="AE477" i="53"/>
  <c r="AE843" i="53"/>
  <c r="AE331" i="53"/>
  <c r="AE374" i="53"/>
  <c r="AE13" i="53"/>
  <c r="AE246" i="53"/>
  <c r="AE346" i="53"/>
  <c r="AE350" i="53"/>
  <c r="AE960" i="53"/>
  <c r="AE994" i="53"/>
  <c r="AE258" i="53"/>
  <c r="AE531" i="53"/>
  <c r="AE202" i="53"/>
  <c r="AE155" i="53"/>
  <c r="AE583" i="53"/>
  <c r="AE804" i="53"/>
  <c r="AE494" i="53"/>
  <c r="AE273" i="53"/>
  <c r="AE253" i="53"/>
  <c r="AE188" i="53"/>
  <c r="AE292" i="53"/>
  <c r="AE391" i="53"/>
  <c r="AE999" i="53"/>
  <c r="AE305" i="53"/>
  <c r="AE879" i="53"/>
  <c r="AE321" i="53"/>
  <c r="AE904" i="53"/>
  <c r="AE592" i="53"/>
  <c r="AE927" i="53"/>
  <c r="AE626" i="53"/>
  <c r="AE934" i="53"/>
  <c r="AE760" i="53"/>
  <c r="AE1008" i="53"/>
  <c r="AE114" i="53"/>
  <c r="AE874" i="53"/>
  <c r="AE444" i="53"/>
  <c r="AE411" i="53"/>
  <c r="AE1097" i="53"/>
  <c r="AE1063" i="53"/>
  <c r="AE888" i="53"/>
  <c r="AE589" i="53"/>
  <c r="AE627" i="53"/>
  <c r="AE584" i="53"/>
  <c r="AE275" i="53"/>
  <c r="AE822" i="53"/>
  <c r="AE1016" i="53"/>
  <c r="AE537" i="53"/>
  <c r="AE818" i="53"/>
  <c r="AE608" i="53"/>
  <c r="AE268" i="53"/>
  <c r="AE196" i="53"/>
  <c r="AE1075" i="53"/>
  <c r="AE42" i="53"/>
  <c r="AE102" i="53"/>
  <c r="AE682" i="53"/>
  <c r="AE1035" i="53"/>
  <c r="AE512" i="53"/>
  <c r="AE716" i="53"/>
  <c r="AE400" i="53"/>
  <c r="AE829" i="53"/>
  <c r="AE815" i="53"/>
  <c r="AE125" i="53"/>
  <c r="AE1036" i="53"/>
  <c r="AE739" i="53"/>
  <c r="AE1026" i="53"/>
  <c r="AE1070" i="53"/>
  <c r="AE924" i="53"/>
  <c r="AE605" i="53"/>
  <c r="AE91" i="53"/>
  <c r="AE9" i="53"/>
  <c r="AE182" i="53"/>
  <c r="AE433" i="53"/>
  <c r="AE145" i="53"/>
  <c r="AE944" i="53"/>
  <c r="AE402" i="53"/>
  <c r="AE765" i="53"/>
  <c r="AE211" i="53"/>
  <c r="AE551" i="53"/>
  <c r="AE265" i="53"/>
  <c r="AE544" i="53"/>
  <c r="AE276" i="53"/>
  <c r="AE731" i="53"/>
  <c r="AE693" i="53"/>
  <c r="AE846" i="53"/>
  <c r="AE153" i="53"/>
  <c r="AE913" i="53"/>
  <c r="AE237" i="53"/>
  <c r="AE845" i="53"/>
  <c r="AE982" i="53"/>
  <c r="AE358" i="53"/>
  <c r="AE564" i="53"/>
  <c r="AE770" i="53"/>
  <c r="AE1056" i="53"/>
  <c r="AE794" i="53"/>
  <c r="AE354" i="53"/>
  <c r="AE984" i="53"/>
  <c r="AE307" i="53"/>
  <c r="AE559" i="53"/>
  <c r="AE1066" i="53"/>
  <c r="AE546" i="53"/>
  <c r="AE45" i="53"/>
  <c r="AE909" i="53"/>
  <c r="AE86" i="53"/>
  <c r="AE1081" i="53"/>
  <c r="AE462" i="53"/>
  <c r="AE666" i="53"/>
  <c r="AE1039" i="53"/>
  <c r="AE222" i="53"/>
  <c r="AE955" i="53"/>
  <c r="AE47" i="53"/>
  <c r="AE257" i="53"/>
  <c r="AE496" i="53"/>
  <c r="AE221" i="53"/>
  <c r="AE700" i="53"/>
  <c r="AE869" i="53"/>
  <c r="AE1038" i="53"/>
  <c r="AE580" i="53"/>
  <c r="AE368" i="53"/>
  <c r="AE565" i="53"/>
  <c r="AE421" i="53"/>
  <c r="AE260" i="53"/>
  <c r="AE81" i="53"/>
  <c r="AE1024" i="53"/>
  <c r="AE375" i="53"/>
  <c r="AE967" i="53"/>
  <c r="AE255" i="53"/>
  <c r="AE41" i="53"/>
  <c r="AE644" i="53"/>
  <c r="AE1021" i="53"/>
  <c r="AE977" i="53"/>
  <c r="AE464" i="53"/>
  <c r="AE97" i="53"/>
  <c r="AE585" i="53"/>
  <c r="AE178" i="53"/>
  <c r="AE396" i="53"/>
  <c r="AE575" i="53"/>
  <c r="AE25" i="53"/>
  <c r="AE63" i="53"/>
  <c r="AE885" i="53"/>
  <c r="AE330" i="53"/>
  <c r="AE403" i="53"/>
  <c r="AE813" i="53"/>
  <c r="AE284" i="53"/>
  <c r="AE809" i="53"/>
  <c r="AE394" i="53"/>
  <c r="AE122" i="53"/>
  <c r="AE1098" i="53"/>
  <c r="AE1006" i="53"/>
  <c r="AE795" i="53"/>
  <c r="AE1017" i="53"/>
  <c r="AE921" i="53"/>
  <c r="AE553" i="53"/>
  <c r="AE76" i="53"/>
  <c r="AE715" i="53"/>
  <c r="AE179" i="53"/>
  <c r="AE427" i="53"/>
  <c r="AE133" i="53"/>
  <c r="AE912" i="53"/>
  <c r="AE390" i="53"/>
  <c r="AE762" i="53"/>
  <c r="AE144" i="53"/>
  <c r="AE508" i="53"/>
  <c r="AE259" i="53"/>
  <c r="AE538" i="53"/>
  <c r="AE189" i="53"/>
  <c r="AE1068" i="53"/>
  <c r="AE630" i="53"/>
  <c r="AE17" i="53"/>
  <c r="AE759" i="53"/>
  <c r="AE150" i="53"/>
  <c r="AE897" i="53"/>
  <c r="AE105" i="53"/>
  <c r="AE679" i="53"/>
  <c r="AE966" i="53"/>
  <c r="AE323" i="53"/>
  <c r="AE220" i="53"/>
  <c r="AE691" i="53"/>
  <c r="AE303" i="53"/>
  <c r="AE791" i="53"/>
  <c r="AE322" i="53"/>
  <c r="AE968" i="53"/>
  <c r="AE291" i="53"/>
  <c r="AE527" i="53"/>
  <c r="AE1031" i="53"/>
  <c r="AE514" i="53"/>
  <c r="AE29" i="53"/>
  <c r="AE807" i="53"/>
  <c r="AE70" i="53"/>
  <c r="AE1065" i="53"/>
  <c r="AE443" i="53"/>
  <c r="AE634" i="53"/>
  <c r="AE1004" i="53"/>
  <c r="AE206" i="53"/>
  <c r="AE939" i="53"/>
  <c r="AE31" i="53"/>
  <c r="AE209" i="53"/>
  <c r="AE480" i="53"/>
  <c r="AE205" i="53"/>
  <c r="AE169" i="53"/>
  <c r="AE853" i="53"/>
  <c r="AE830" i="53"/>
  <c r="AE548" i="53"/>
  <c r="AE320" i="53"/>
  <c r="AE501" i="53"/>
  <c r="AE357" i="53"/>
  <c r="AE180" i="53"/>
  <c r="AE1040" i="53"/>
  <c r="AE1049" i="53"/>
  <c r="AE327" i="53"/>
  <c r="AE958" i="53"/>
  <c r="AE567" i="53"/>
  <c r="AE802" i="53"/>
  <c r="AE361" i="53"/>
  <c r="AE604" i="53"/>
  <c r="AE499" i="53"/>
  <c r="AE767" i="53"/>
  <c r="AE993" i="53"/>
  <c r="AE26" i="53"/>
  <c r="AE224" i="53"/>
  <c r="AE684" i="53"/>
  <c r="AE763" i="53"/>
  <c r="AE523" i="53"/>
  <c r="AE727" i="53"/>
  <c r="AE165" i="53"/>
  <c r="AE632" i="53"/>
  <c r="AE991" i="53"/>
  <c r="AE466" i="53"/>
  <c r="AE844" i="53"/>
  <c r="AE633" i="53"/>
  <c r="AE687" i="53"/>
  <c r="AE478" i="53"/>
  <c r="AE880" i="53"/>
  <c r="AE631" i="53"/>
  <c r="AE481" i="53"/>
  <c r="AE725" i="53"/>
  <c r="AE50" i="53"/>
  <c r="AE120" i="53"/>
  <c r="AE945" i="53"/>
  <c r="AE734" i="53"/>
  <c r="AE925" i="53"/>
  <c r="AE1077" i="53"/>
  <c r="AE745" i="53"/>
  <c r="AE190" i="53"/>
  <c r="AE803" i="53"/>
  <c r="AE385" i="53"/>
  <c r="AE119" i="53"/>
  <c r="AE1095" i="53"/>
  <c r="AE1003" i="53"/>
  <c r="AE789" i="53"/>
  <c r="AE1014" i="53"/>
  <c r="AE858" i="53"/>
  <c r="AE510" i="53"/>
  <c r="AE33" i="53"/>
  <c r="AE678" i="53"/>
  <c r="AE167" i="53"/>
  <c r="AE424" i="53"/>
  <c r="AE130" i="53"/>
  <c r="AE893" i="53"/>
  <c r="AE329" i="53"/>
  <c r="AE753" i="53"/>
  <c r="AE141" i="53"/>
  <c r="AE502" i="53"/>
  <c r="AE256" i="53"/>
  <c r="AE532" i="53"/>
  <c r="AE171" i="53"/>
  <c r="AE987" i="53"/>
  <c r="AE576" i="53"/>
  <c r="AE740" i="53"/>
  <c r="AE134" i="53"/>
  <c r="AE708" i="53"/>
  <c r="AE736" i="53"/>
  <c r="AE638" i="53"/>
  <c r="AE915" i="53"/>
  <c r="AE298" i="53"/>
  <c r="AE135" i="53"/>
  <c r="AE590" i="53"/>
  <c r="AE847" i="53"/>
  <c r="AE788" i="53"/>
  <c r="AE278" i="53"/>
  <c r="AE786" i="53"/>
  <c r="AE272" i="53"/>
  <c r="AE511" i="53"/>
  <c r="AE948" i="53"/>
  <c r="AE498" i="53"/>
  <c r="AE1088" i="53"/>
  <c r="AE721" i="53"/>
  <c r="AE54" i="53"/>
  <c r="AE947" i="53"/>
  <c r="AE379" i="53"/>
  <c r="AE535" i="53"/>
  <c r="AE988" i="53"/>
  <c r="AE174" i="53"/>
  <c r="AE923" i="53"/>
  <c r="AE1057" i="53"/>
  <c r="AE193" i="53"/>
  <c r="AE410" i="53"/>
  <c r="AE173" i="53"/>
  <c r="AE99" i="53"/>
  <c r="AE837" i="53"/>
  <c r="AE798" i="53"/>
  <c r="AE516" i="53"/>
  <c r="AE288" i="53"/>
  <c r="AE469" i="53"/>
  <c r="AE341" i="53"/>
  <c r="AE164" i="53"/>
  <c r="AE832" i="53"/>
  <c r="AE1033" i="53"/>
  <c r="AE311" i="53"/>
  <c r="AE463" i="53"/>
  <c r="AE690" i="53"/>
  <c r="AE863" i="53"/>
  <c r="AE192" i="53"/>
  <c r="AE519" i="53"/>
  <c r="AE1044" i="53"/>
  <c r="AE236" i="53"/>
  <c r="AE282" i="53"/>
  <c r="AE861" i="53"/>
  <c r="AE473" i="53"/>
  <c r="AE756" i="53"/>
  <c r="AE800" i="53"/>
  <c r="AE24" i="53"/>
  <c r="AE750" i="53"/>
  <c r="AE563" i="53"/>
  <c r="AE764" i="53"/>
  <c r="AE451" i="53"/>
  <c r="AE505" i="53"/>
  <c r="AE495" i="53"/>
  <c r="AE22" i="53"/>
  <c r="AE972" i="53"/>
  <c r="AE1078" i="53"/>
  <c r="AE792" i="53"/>
  <c r="AE96" i="53"/>
  <c r="AE325" i="53"/>
  <c r="AE148" i="53"/>
  <c r="AE905" i="53"/>
  <c r="AE279" i="53"/>
  <c r="AE738" i="53"/>
  <c r="AE974" i="53"/>
  <c r="AE799" i="53"/>
  <c r="AE446" i="53"/>
  <c r="AE643" i="53"/>
  <c r="AE401" i="53"/>
  <c r="AE349" i="53"/>
  <c r="AE587" i="53"/>
  <c r="AE662" i="53"/>
  <c r="AE345" i="53"/>
  <c r="AE841" i="53"/>
  <c r="AE600" i="53"/>
  <c r="AE975" i="53"/>
  <c r="AE812" i="53"/>
  <c r="AE569" i="53"/>
  <c r="AE796" i="53"/>
  <c r="AE343" i="53"/>
  <c r="AE423" i="53"/>
  <c r="AE334" i="53"/>
  <c r="AE946" i="53"/>
  <c r="AE297" i="53"/>
  <c r="AE554" i="53"/>
  <c r="AE646" i="53"/>
  <c r="AE769" i="53"/>
  <c r="AE414" i="53"/>
  <c r="AE68" i="53"/>
  <c r="AE1000" i="53"/>
  <c r="AE581" i="53"/>
  <c r="AE1045" i="53"/>
  <c r="AE1086" i="53"/>
  <c r="AE1061" i="53"/>
  <c r="AE360" i="53"/>
  <c r="AE280" i="53"/>
  <c r="AE244" i="53"/>
  <c r="AE162" i="53"/>
  <c r="AE431" i="53"/>
  <c r="AE434" i="53"/>
  <c r="AE387" i="53"/>
  <c r="AE1094" i="53"/>
  <c r="AE310" i="53"/>
  <c r="AE785" i="53"/>
  <c r="AE248" i="53"/>
  <c r="AE154" i="53"/>
  <c r="AE932" i="53"/>
  <c r="AE1072" i="53"/>
  <c r="AE670" i="53"/>
  <c r="AE931" i="53"/>
  <c r="AE229" i="53"/>
  <c r="AE484" i="53"/>
  <c r="AE168" i="53"/>
  <c r="AE177" i="53"/>
  <c r="AE435" i="53"/>
  <c r="AE83" i="53"/>
  <c r="AE542" i="53"/>
  <c r="AE500" i="53"/>
  <c r="AE415" i="53"/>
  <c r="AE761" i="53"/>
  <c r="AE1027" i="53"/>
  <c r="AE778" i="53"/>
  <c r="AE1090" i="53"/>
  <c r="AE694" i="53"/>
  <c r="AE312" i="53"/>
  <c r="AE64" i="53"/>
  <c r="AE1030" i="53"/>
  <c r="AE940" i="53"/>
  <c r="AE777" i="53"/>
  <c r="AE990" i="53"/>
  <c r="AE1052" i="53"/>
  <c r="AE373" i="53"/>
  <c r="AE929" i="53"/>
  <c r="AE577" i="53"/>
  <c r="AE881" i="53"/>
  <c r="AE339" i="53"/>
  <c r="AE702" i="53"/>
  <c r="AE689" i="53"/>
  <c r="AE277" i="53"/>
  <c r="AE744" i="53"/>
  <c r="AE129" i="53"/>
  <c r="AE429" i="53"/>
  <c r="AE241" i="53"/>
  <c r="AE459" i="53"/>
  <c r="AE110" i="53"/>
  <c r="AE952" i="53"/>
  <c r="AE541" i="53"/>
  <c r="AE89" i="53"/>
  <c r="AE718" i="53"/>
  <c r="AE90" i="53"/>
  <c r="AE620" i="53"/>
  <c r="AE384" i="53"/>
  <c r="AE73" i="53"/>
  <c r="AE726" i="53"/>
  <c r="AE252" i="53"/>
  <c r="AE1032" i="53"/>
  <c r="AE104" i="53"/>
  <c r="AE213" i="53"/>
  <c r="AE782" i="53"/>
  <c r="AE245" i="53"/>
  <c r="AE365" i="53"/>
  <c r="AE1041" i="53"/>
  <c r="AE476" i="53"/>
  <c r="AE916" i="53"/>
  <c r="AE479" i="53"/>
  <c r="AE1069" i="53"/>
  <c r="AE654" i="53"/>
  <c r="AE867" i="53"/>
  <c r="AE197" i="53"/>
  <c r="AE430" i="53"/>
  <c r="AE752" i="53"/>
  <c r="AE152" i="53"/>
  <c r="AE891" i="53"/>
  <c r="AE954" i="53"/>
  <c r="AE94" i="53"/>
  <c r="AE998" i="53"/>
  <c r="AE355" i="53"/>
  <c r="AE67" i="53"/>
  <c r="AE757" i="53"/>
  <c r="AE526" i="53"/>
  <c r="AE142" i="53"/>
  <c r="AE80" i="53"/>
  <c r="AE351" i="53"/>
  <c r="AE293" i="53"/>
  <c r="AE132" i="53"/>
  <c r="AE713" i="53"/>
  <c r="AE889" i="53"/>
  <c r="AE263" i="53"/>
  <c r="AE1019" i="53"/>
  <c r="AE449" i="53"/>
  <c r="AE59" i="53"/>
  <c r="AE979" i="53"/>
  <c r="AE639" i="53"/>
  <c r="AE274" i="53"/>
  <c r="AE890" i="53"/>
  <c r="AE362" i="53"/>
  <c r="AE561" i="53"/>
  <c r="AE735" i="53"/>
  <c r="AE302" i="53"/>
  <c r="AE56" i="53"/>
  <c r="AE366" i="53"/>
  <c r="AE908" i="53"/>
  <c r="AE342" i="53"/>
  <c r="AE621" i="53"/>
  <c r="AE184" i="53"/>
  <c r="AE344" i="53"/>
  <c r="AE842" i="53"/>
  <c r="AE128" i="53"/>
  <c r="AE214" i="53"/>
  <c r="AE210" i="53"/>
  <c r="AE1020" i="53"/>
  <c r="AE828" i="53"/>
  <c r="AE61" i="53"/>
  <c r="AE270" i="53"/>
  <c r="AE113" i="53"/>
  <c r="AE1099" i="53"/>
  <c r="AE976" i="53"/>
  <c r="AE650" i="53"/>
  <c r="AE138" i="53"/>
  <c r="AE705" i="53"/>
  <c r="AE907" i="53"/>
  <c r="AE1084" i="53"/>
  <c r="AE1043" i="53"/>
  <c r="AE574" i="53"/>
  <c r="AE336" i="53"/>
  <c r="AE686" i="53"/>
  <c r="AE175" i="53"/>
  <c r="AE723" i="53"/>
  <c r="AE123" i="53"/>
  <c r="AE426" i="53"/>
  <c r="AE147" i="53"/>
  <c r="AE456" i="53"/>
  <c r="AE7" i="53"/>
  <c r="AE936" i="53"/>
  <c r="AE416" i="53"/>
  <c r="AE393" i="53"/>
  <c r="AE658" i="53"/>
  <c r="AE71" i="53"/>
  <c r="AE397" i="53"/>
  <c r="AE49" i="53"/>
  <c r="AE1060" i="53"/>
  <c r="AE685" i="53"/>
  <c r="AE249" i="53"/>
  <c r="AE1001" i="53"/>
  <c r="AE82" i="53"/>
  <c r="AE1062" i="53"/>
  <c r="AE747" i="53"/>
  <c r="AE1080" i="53"/>
  <c r="AE333" i="53"/>
  <c r="AE833" i="53"/>
  <c r="AE438" i="53"/>
  <c r="AE900" i="53"/>
  <c r="AE441" i="53"/>
  <c r="AE699" i="53"/>
  <c r="AE571" i="53"/>
  <c r="AE10" i="53"/>
  <c r="AE851" i="53"/>
  <c r="AE159" i="53"/>
  <c r="AE286" i="53"/>
  <c r="AE720" i="53"/>
  <c r="AE139" i="53"/>
  <c r="AE859" i="53"/>
  <c r="AE938" i="53"/>
  <c r="AE78" i="53"/>
  <c r="AE758" i="53"/>
  <c r="AE1087" i="53"/>
  <c r="AE51" i="53"/>
  <c r="AE754" i="53"/>
  <c r="AE408" i="53"/>
  <c r="AE126" i="53"/>
  <c r="AE48" i="53"/>
  <c r="AE306" i="53"/>
  <c r="AE261" i="53"/>
  <c r="AE474" i="53"/>
  <c r="AE697" i="53"/>
  <c r="AE873" i="53"/>
  <c r="AE247" i="53"/>
  <c r="AE656" i="53"/>
  <c r="AE943" i="53"/>
  <c r="AE665" i="53"/>
  <c r="AE413" i="53"/>
  <c r="AE1002" i="53"/>
  <c r="AE981" i="53"/>
  <c r="AE377" i="53"/>
  <c r="AE69" i="53"/>
  <c r="AE491" i="53"/>
  <c r="AE840" i="53"/>
  <c r="AE557" i="53"/>
  <c r="AE161" i="53"/>
  <c r="AE398" i="53"/>
  <c r="AE918" i="53"/>
  <c r="AE242" i="53"/>
  <c r="AE962" i="53"/>
  <c r="AE170" i="53"/>
  <c r="AE1054" i="53"/>
  <c r="AE1073" i="53"/>
  <c r="AE185" i="53"/>
  <c r="AE883" i="53"/>
  <c r="AE664" i="53"/>
  <c r="AE964" i="53"/>
  <c r="AE28" i="53"/>
  <c r="AE562" i="53"/>
  <c r="AE1058" i="53"/>
  <c r="AE201" i="53"/>
  <c r="AE755" i="53"/>
  <c r="AE116" i="53"/>
  <c r="AE996" i="53"/>
  <c r="AE18" i="53"/>
  <c r="AE737" i="53"/>
  <c r="AE1047" i="53"/>
  <c r="AE771" i="53"/>
  <c r="AE371" i="53"/>
  <c r="AE617" i="53"/>
  <c r="AE1067" i="53"/>
  <c r="AE1011" i="53"/>
  <c r="AE663" i="53"/>
  <c r="AE230" i="53"/>
  <c r="AE66" i="53"/>
  <c r="AE1025" i="53"/>
  <c r="AE722" i="53"/>
  <c r="AE1064" i="53"/>
  <c r="AE317" i="53"/>
  <c r="AE814" i="53"/>
  <c r="AE422" i="53"/>
  <c r="AE887" i="53"/>
  <c r="AE425" i="53"/>
  <c r="AE504" i="53"/>
  <c r="AE555" i="53"/>
  <c r="AE4" i="53"/>
  <c r="AE835" i="53"/>
  <c r="AE127" i="53"/>
  <c r="AE267" i="53"/>
  <c r="AE704" i="53"/>
  <c r="AE136" i="53"/>
  <c r="AE680" i="53"/>
  <c r="AE922" i="53"/>
  <c r="AE62" i="53"/>
  <c r="AE707" i="53"/>
  <c r="AE1023" i="53"/>
  <c r="AE35" i="53"/>
  <c r="AE741" i="53"/>
  <c r="AE392" i="53"/>
  <c r="AE746" i="53"/>
  <c r="AE32" i="53"/>
  <c r="AE651" i="53"/>
  <c r="AE181" i="53"/>
  <c r="AE458" i="53"/>
  <c r="AE681" i="53"/>
  <c r="AE751" i="53"/>
  <c r="AE215" i="53"/>
  <c r="AE1034" i="53"/>
  <c r="AE712" i="53"/>
  <c r="AE1010" i="53"/>
  <c r="AE92" i="53"/>
  <c r="AE595" i="53"/>
  <c r="AE232" i="53"/>
  <c r="AE436" i="53"/>
  <c r="AE1092" i="53"/>
  <c r="AE549" i="53"/>
  <c r="AE461" i="53"/>
  <c r="AE882" i="53"/>
  <c r="AE970" i="53"/>
  <c r="AE208" i="53"/>
  <c r="AE965" i="53"/>
  <c r="AE623" i="53"/>
  <c r="AE852" i="53"/>
  <c r="AE676" i="53"/>
  <c r="AE53" i="53"/>
  <c r="AE1029" i="53"/>
  <c r="AE710" i="53"/>
  <c r="AE420" i="53"/>
  <c r="AE1102" i="53"/>
  <c r="AE956" i="53"/>
  <c r="AE1100" i="53"/>
  <c r="AE287" i="53"/>
  <c r="AE911" i="53"/>
  <c r="AE216" i="53"/>
  <c r="AE289" i="53"/>
  <c r="AE773" i="53"/>
  <c r="AE607" i="53"/>
  <c r="AE1005" i="53"/>
  <c r="AE612" i="53"/>
  <c r="AE797" i="53"/>
  <c r="AE515" i="53"/>
  <c r="AE412" i="53"/>
  <c r="AE404" i="53"/>
  <c r="AE857" i="53"/>
  <c r="AE93" i="53"/>
  <c r="AE862" i="53"/>
  <c r="AE395" i="53"/>
  <c r="AE460" i="53"/>
  <c r="AE382" i="53"/>
  <c r="AE780" i="53"/>
  <c r="AE437" i="53"/>
  <c r="AE115" i="53"/>
  <c r="AE711" i="53"/>
  <c r="AE432" i="53"/>
  <c r="AE517" i="53"/>
  <c r="AE971" i="53"/>
  <c r="AE131" i="53"/>
  <c r="AE295" i="53"/>
  <c r="AE492" i="53"/>
  <c r="AE986" i="53"/>
  <c r="AE729" i="53"/>
  <c r="AE642" i="53"/>
  <c r="AE309" i="53"/>
  <c r="AE55" i="53"/>
  <c r="AE961" i="53"/>
  <c r="AE937" i="53"/>
  <c r="AE774" i="53"/>
  <c r="AE963" i="53"/>
  <c r="AE370" i="53"/>
  <c r="AE875" i="53"/>
  <c r="AE730" i="53"/>
  <c r="AE622" i="53"/>
  <c r="AE983" i="53"/>
  <c r="AE683" i="53"/>
  <c r="AE1028" i="53"/>
  <c r="AE636" i="53"/>
  <c r="AE300" i="53"/>
  <c r="AE52" i="53"/>
  <c r="AE811" i="53"/>
  <c r="AE919" i="53"/>
  <c r="AE951" i="53"/>
  <c r="AE1046" i="53"/>
  <c r="AE367" i="53"/>
  <c r="AE675" i="53"/>
  <c r="AE568" i="53"/>
  <c r="AE724" i="53"/>
  <c r="AE314" i="53"/>
  <c r="AE619" i="53"/>
  <c r="AE674" i="53"/>
  <c r="AE163" i="53"/>
  <c r="AE692" i="53"/>
  <c r="AE117" i="53"/>
  <c r="AE101" i="53"/>
  <c r="AE453" i="53"/>
  <c r="AE234" i="53"/>
  <c r="AE920" i="53"/>
  <c r="AE363" i="53"/>
  <c r="AE1089" i="53"/>
  <c r="AE39" i="53"/>
  <c r="AE250" i="53"/>
  <c r="AE985" i="53"/>
  <c r="AE978" i="53"/>
  <c r="AE677" i="53"/>
  <c r="AE1022" i="53"/>
  <c r="AE570" i="53"/>
  <c r="AE264" i="53"/>
  <c r="AE579" i="53"/>
  <c r="AE805" i="53"/>
  <c r="AE856" i="53"/>
  <c r="AE768" i="53"/>
  <c r="AE849" i="53"/>
  <c r="AE1037" i="53"/>
  <c r="AE364" i="53"/>
  <c r="AE641" i="53"/>
  <c r="AE543" i="53"/>
  <c r="AE696" i="53"/>
  <c r="AE308" i="53"/>
  <c r="AE616" i="53"/>
  <c r="AE668" i="53"/>
  <c r="AE111" i="53"/>
  <c r="AE652" i="53"/>
  <c r="AE65" i="53"/>
  <c r="AE359" i="53"/>
  <c r="AE98" i="53"/>
  <c r="AE447" i="53"/>
  <c r="AE204" i="53"/>
  <c r="AE728" i="53"/>
  <c r="AE347" i="53"/>
  <c r="AE1009" i="53"/>
  <c r="AE566" i="53"/>
  <c r="AE23" i="53"/>
  <c r="AE231" i="53"/>
  <c r="AE1042" i="53"/>
  <c r="AE995" i="53"/>
  <c r="AE647" i="53"/>
  <c r="AE227" i="53"/>
  <c r="AE969" i="53"/>
  <c r="AE776" i="53"/>
  <c r="AE997" i="53"/>
  <c r="AE703" i="53"/>
  <c r="AE1013" i="53"/>
  <c r="AE671" i="53"/>
  <c r="AE779" i="53"/>
  <c r="AE406" i="53"/>
  <c r="AE884" i="53"/>
  <c r="AE409" i="53"/>
  <c r="AE1059" i="53"/>
  <c r="AE539" i="53"/>
  <c r="AE440" i="53"/>
  <c r="AE743" i="53"/>
  <c r="AE108" i="53"/>
  <c r="AE187" i="53"/>
  <c r="AE701" i="53"/>
  <c r="AE85" i="53"/>
  <c r="AE648" i="53"/>
  <c r="AE906" i="53"/>
  <c r="AE46" i="53"/>
  <c r="AE659" i="53"/>
  <c r="AE1007" i="53"/>
  <c r="AE16" i="53"/>
  <c r="AE482" i="53"/>
  <c r="AE296" i="53"/>
  <c r="AE714" i="53"/>
  <c r="AE1055" i="53"/>
  <c r="AE635" i="53"/>
  <c r="AE452" i="53"/>
  <c r="AE378" i="53"/>
  <c r="AE649" i="53"/>
  <c r="AE719" i="53"/>
  <c r="AE199" i="53"/>
  <c r="AE1101" i="53"/>
  <c r="AE3" i="53"/>
  <c r="AR501" i="53"/>
  <c r="AF501" i="53"/>
  <c r="AR885" i="53"/>
  <c r="AF885" i="53"/>
  <c r="AR745" i="53"/>
  <c r="AF745" i="53"/>
  <c r="AR217" i="53"/>
  <c r="AF217" i="53"/>
  <c r="AR470" i="53"/>
  <c r="AF470" i="53"/>
  <c r="AR469" i="53"/>
  <c r="AF469" i="53"/>
  <c r="AR879" i="53"/>
  <c r="AF879" i="53"/>
  <c r="AR537" i="53"/>
  <c r="AF537" i="53"/>
  <c r="AR880" i="53"/>
  <c r="AF880" i="53"/>
  <c r="AR697" i="53"/>
  <c r="AF697" i="53"/>
  <c r="AR707" i="53"/>
  <c r="AF707" i="53"/>
  <c r="AF894" i="53"/>
  <c r="AR894" i="53"/>
  <c r="AR569" i="53"/>
  <c r="AF569" i="53"/>
  <c r="AR549" i="53"/>
  <c r="AF549" i="53"/>
  <c r="AR824" i="53"/>
  <c r="AF824" i="53"/>
  <c r="AR409" i="53"/>
  <c r="AF409" i="53"/>
  <c r="AR1093" i="53"/>
  <c r="AF1093" i="53"/>
  <c r="AR806" i="53"/>
  <c r="AF806" i="53"/>
  <c r="AR362" i="53"/>
  <c r="AF362" i="53"/>
  <c r="AR1047" i="53"/>
  <c r="AF1047" i="53"/>
  <c r="AR976" i="53"/>
  <c r="AF976" i="53"/>
  <c r="AR693" i="53"/>
  <c r="AF693" i="53"/>
  <c r="AR884" i="53"/>
  <c r="AF884" i="53"/>
  <c r="AR1026" i="53"/>
  <c r="AF1026" i="53"/>
  <c r="AR732" i="53"/>
  <c r="AF732" i="53"/>
  <c r="AR74" i="53"/>
  <c r="AF74" i="53"/>
  <c r="AR1007" i="53"/>
  <c r="AF1007" i="53"/>
  <c r="AR854" i="53"/>
  <c r="AF854" i="53"/>
  <c r="AR487" i="53"/>
  <c r="AF487" i="53"/>
  <c r="AR947" i="53"/>
  <c r="AF947" i="53"/>
  <c r="AR921" i="53"/>
  <c r="AF921" i="53"/>
  <c r="AR618" i="53"/>
  <c r="AF618" i="53"/>
  <c r="AR1032" i="53"/>
  <c r="AF1032" i="53"/>
  <c r="AR988" i="53"/>
  <c r="AF988" i="53"/>
  <c r="AR644" i="53"/>
  <c r="AF644" i="53"/>
  <c r="AR681" i="53"/>
  <c r="AF681" i="53"/>
  <c r="AR1036" i="53"/>
  <c r="AF1036" i="53"/>
  <c r="AR919" i="53"/>
  <c r="AF919" i="53"/>
  <c r="AR616" i="53"/>
  <c r="AF616" i="53"/>
  <c r="AR248" i="53"/>
  <c r="AF248" i="53"/>
  <c r="AF71" i="53"/>
  <c r="AR71" i="53"/>
  <c r="AF38" i="53"/>
  <c r="AR38" i="53"/>
  <c r="AF149" i="53"/>
  <c r="AR149" i="53"/>
  <c r="AR388" i="53"/>
  <c r="AF388" i="53"/>
  <c r="AR132" i="53"/>
  <c r="AF132" i="53"/>
  <c r="AR499" i="53"/>
  <c r="AF499" i="53"/>
  <c r="AR243" i="53"/>
  <c r="AF243" i="53"/>
  <c r="AR642" i="53"/>
  <c r="AF642" i="53"/>
  <c r="AR386" i="53"/>
  <c r="AF386" i="53"/>
  <c r="AR130" i="53"/>
  <c r="AF130" i="53"/>
  <c r="AR497" i="53"/>
  <c r="AF497" i="53"/>
  <c r="AR241" i="53"/>
  <c r="AF241" i="53"/>
  <c r="AR576" i="53"/>
  <c r="AF576" i="53"/>
  <c r="AR320" i="53"/>
  <c r="AF320" i="53"/>
  <c r="AR64" i="53"/>
  <c r="AF64" i="53"/>
  <c r="AR367" i="53"/>
  <c r="AF367" i="53"/>
  <c r="AR111" i="53"/>
  <c r="AF111" i="53"/>
  <c r="AR622" i="53"/>
  <c r="AF622" i="53"/>
  <c r="AR366" i="53"/>
  <c r="AF366" i="53"/>
  <c r="AR589" i="53"/>
  <c r="AF589" i="53"/>
  <c r="AR333" i="53"/>
  <c r="AF333" i="53"/>
  <c r="AR77" i="53"/>
  <c r="AF77" i="53"/>
  <c r="AF524" i="53"/>
  <c r="AR524" i="53"/>
  <c r="AF268" i="53"/>
  <c r="AR268" i="53"/>
  <c r="AR731" i="53"/>
  <c r="AF731" i="53"/>
  <c r="AR475" i="53"/>
  <c r="AF475" i="53"/>
  <c r="AR219" i="53"/>
  <c r="AF219" i="53"/>
  <c r="AR725" i="53"/>
  <c r="AF725" i="53"/>
  <c r="AR816" i="53"/>
  <c r="AF816" i="53"/>
  <c r="AR762" i="53"/>
  <c r="AF762" i="53"/>
  <c r="AR846" i="53"/>
  <c r="AF846" i="53"/>
  <c r="AR1017" i="53"/>
  <c r="AF1017" i="53"/>
  <c r="AR744" i="53"/>
  <c r="AF744" i="53"/>
  <c r="AF135" i="53"/>
  <c r="AR135" i="53"/>
  <c r="AR424" i="53"/>
  <c r="AF424" i="53"/>
  <c r="AR829" i="53"/>
  <c r="AF829" i="53"/>
  <c r="AR423" i="53"/>
  <c r="AF423" i="53"/>
  <c r="AR862" i="53"/>
  <c r="AF862" i="53"/>
  <c r="AR503" i="53"/>
  <c r="AF503" i="53"/>
  <c r="AR1029" i="53"/>
  <c r="AF1029" i="53"/>
  <c r="AR677" i="53"/>
  <c r="AF677" i="53"/>
  <c r="AR1048" i="53"/>
  <c r="AF1048" i="53"/>
  <c r="AR877" i="53"/>
  <c r="AF877" i="53"/>
  <c r="AR535" i="53"/>
  <c r="AF535" i="53"/>
  <c r="AR898" i="53"/>
  <c r="AF898" i="53"/>
  <c r="AR807" i="53"/>
  <c r="AF807" i="53"/>
  <c r="AR373" i="53"/>
  <c r="AF373" i="53"/>
  <c r="AR913" i="53"/>
  <c r="AF913" i="53"/>
  <c r="AR789" i="53"/>
  <c r="AF789" i="53"/>
  <c r="AR313" i="53"/>
  <c r="AF313" i="53"/>
  <c r="AR634" i="53"/>
  <c r="AF634" i="53"/>
  <c r="AR959" i="53"/>
  <c r="AF959" i="53"/>
  <c r="AR673" i="53"/>
  <c r="AF673" i="53"/>
  <c r="AR663" i="53"/>
  <c r="AF663" i="53"/>
  <c r="AR1009" i="53"/>
  <c r="AF1009" i="53"/>
  <c r="AR712" i="53"/>
  <c r="AF712" i="53"/>
  <c r="AR1034" i="53"/>
  <c r="AF1034" i="53"/>
  <c r="AR1102" i="53"/>
  <c r="AF1102" i="53"/>
  <c r="AR837" i="53"/>
  <c r="AF837" i="53"/>
  <c r="AR441" i="53"/>
  <c r="AF441" i="53"/>
  <c r="AR1012" i="53"/>
  <c r="AF1012" i="53"/>
  <c r="AR904" i="53"/>
  <c r="AF904" i="53"/>
  <c r="AR591" i="53"/>
  <c r="AF591" i="53"/>
  <c r="AR743" i="53"/>
  <c r="AF743" i="53"/>
  <c r="AR954" i="53"/>
  <c r="AF954" i="53"/>
  <c r="AR617" i="53"/>
  <c r="AF617" i="53"/>
  <c r="AR471" i="53"/>
  <c r="AF471" i="53"/>
  <c r="AR1004" i="53"/>
  <c r="AF1004" i="53"/>
  <c r="AR902" i="53"/>
  <c r="AF902" i="53"/>
  <c r="AR585" i="53"/>
  <c r="AF585" i="53"/>
  <c r="AR232" i="53"/>
  <c r="AF232" i="53"/>
  <c r="AF55" i="53"/>
  <c r="AR55" i="53"/>
  <c r="AF22" i="53"/>
  <c r="AR22" i="53"/>
  <c r="AF133" i="53"/>
  <c r="AR133" i="53"/>
  <c r="AR372" i="53"/>
  <c r="AF372" i="53"/>
  <c r="AR116" i="53"/>
  <c r="AF116" i="53"/>
  <c r="AR483" i="53"/>
  <c r="AF483" i="53"/>
  <c r="AR227" i="53"/>
  <c r="AF227" i="53"/>
  <c r="AR626" i="53"/>
  <c r="AF626" i="53"/>
  <c r="AR370" i="53"/>
  <c r="AF370" i="53"/>
  <c r="AR114" i="53"/>
  <c r="AF114" i="53"/>
  <c r="AR481" i="53"/>
  <c r="AF481" i="53"/>
  <c r="AR225" i="53"/>
  <c r="AF225" i="53"/>
  <c r="AR560" i="53"/>
  <c r="AF560" i="53"/>
  <c r="AR304" i="53"/>
  <c r="AF304" i="53"/>
  <c r="AF48" i="53"/>
  <c r="AR48" i="53"/>
  <c r="AR351" i="53"/>
  <c r="AF351" i="53"/>
  <c r="AR95" i="53"/>
  <c r="AF95" i="53"/>
  <c r="AR606" i="53"/>
  <c r="AF606" i="53"/>
  <c r="AR350" i="53"/>
  <c r="AF350" i="53"/>
  <c r="AR94" i="53"/>
  <c r="AF94" i="53"/>
  <c r="AR573" i="53"/>
  <c r="AF573" i="53"/>
  <c r="AR317" i="53"/>
  <c r="AF317" i="53"/>
  <c r="AR61" i="53"/>
  <c r="AF61" i="53"/>
  <c r="AF508" i="53"/>
  <c r="AR508" i="53"/>
  <c r="AF252" i="53"/>
  <c r="AR252" i="53"/>
  <c r="AR971" i="53"/>
  <c r="AF971" i="53"/>
  <c r="AR715" i="53"/>
  <c r="AF715" i="53"/>
  <c r="AR459" i="53"/>
  <c r="AF459" i="53"/>
  <c r="AR203" i="53"/>
  <c r="AF203" i="53"/>
  <c r="AR790" i="53"/>
  <c r="AF790" i="53"/>
  <c r="AR820" i="53"/>
  <c r="AF820" i="53"/>
  <c r="AR467" i="53"/>
  <c r="AF467" i="53"/>
  <c r="AR78" i="53"/>
  <c r="AF78" i="53"/>
  <c r="AR329" i="53"/>
  <c r="AF329" i="53"/>
  <c r="AR828" i="53"/>
  <c r="AF828" i="53"/>
  <c r="AR422" i="53"/>
  <c r="AF422" i="53"/>
  <c r="AR929" i="53"/>
  <c r="AF929" i="53"/>
  <c r="AR631" i="53"/>
  <c r="AF631" i="53"/>
  <c r="AR999" i="53"/>
  <c r="AF999" i="53"/>
  <c r="AR842" i="53"/>
  <c r="AF842" i="53"/>
  <c r="AR456" i="53"/>
  <c r="AF456" i="53"/>
  <c r="AR931" i="53"/>
  <c r="AF931" i="53"/>
  <c r="AR773" i="53"/>
  <c r="AF773" i="53"/>
  <c r="AR250" i="53"/>
  <c r="AF250" i="53"/>
  <c r="AR1027" i="53"/>
  <c r="AF1027" i="53"/>
  <c r="AR754" i="53"/>
  <c r="AF754" i="53"/>
  <c r="AR170" i="53"/>
  <c r="AF170" i="53"/>
  <c r="AR896" i="53"/>
  <c r="AF896" i="53"/>
  <c r="AR925" i="53"/>
  <c r="AF925" i="53"/>
  <c r="AR627" i="53"/>
  <c r="AF627" i="53"/>
  <c r="AR1033" i="53"/>
  <c r="AF1033" i="53"/>
  <c r="AR991" i="53"/>
  <c r="AF991" i="53"/>
  <c r="AR672" i="53"/>
  <c r="AF672" i="53"/>
  <c r="AR437" i="53"/>
  <c r="AF437" i="53"/>
  <c r="AR1070" i="53"/>
  <c r="AF1070" i="53"/>
  <c r="AR803" i="53"/>
  <c r="AF803" i="53"/>
  <c r="AR359" i="53"/>
  <c r="AF359" i="53"/>
  <c r="AR978" i="53"/>
  <c r="AF978" i="53"/>
  <c r="AR870" i="53"/>
  <c r="AF870" i="53"/>
  <c r="AR520" i="53"/>
  <c r="AF520" i="53"/>
  <c r="AR660" i="53"/>
  <c r="AF660" i="53"/>
  <c r="AR903" i="53"/>
  <c r="AF903" i="53"/>
  <c r="AR553" i="53"/>
  <c r="AF553" i="53"/>
  <c r="AR1031" i="53"/>
  <c r="AF1031" i="53"/>
  <c r="AR937" i="53"/>
  <c r="AF937" i="53"/>
  <c r="AR868" i="53"/>
  <c r="AF868" i="53"/>
  <c r="AR518" i="53"/>
  <c r="AF518" i="53"/>
  <c r="AR200" i="53"/>
  <c r="AF200" i="53"/>
  <c r="AF23" i="53"/>
  <c r="AR23" i="53"/>
  <c r="AR357" i="53"/>
  <c r="AF357" i="53"/>
  <c r="AF101" i="53"/>
  <c r="AR101" i="53"/>
  <c r="AR340" i="53"/>
  <c r="AF340" i="53"/>
  <c r="AR84" i="53"/>
  <c r="AF84" i="53"/>
  <c r="AR451" i="53"/>
  <c r="AF451" i="53"/>
  <c r="AR195" i="53"/>
  <c r="AF195" i="53"/>
  <c r="AR594" i="53"/>
  <c r="AF594" i="53"/>
  <c r="AR338" i="53"/>
  <c r="AF338" i="53"/>
  <c r="AR82" i="53"/>
  <c r="AF82" i="53"/>
  <c r="AR449" i="53"/>
  <c r="AF449" i="53"/>
  <c r="AR193" i="53"/>
  <c r="AF193" i="53"/>
  <c r="AR528" i="53"/>
  <c r="AF528" i="53"/>
  <c r="AF272" i="53"/>
  <c r="AR272" i="53"/>
  <c r="AR16" i="53"/>
  <c r="AF16" i="53"/>
  <c r="AR319" i="53"/>
  <c r="AF319" i="53"/>
  <c r="AR63" i="53"/>
  <c r="AF63" i="53"/>
  <c r="AR574" i="53"/>
  <c r="AF574" i="53"/>
  <c r="AR318" i="53"/>
  <c r="AF318" i="53"/>
  <c r="AR62" i="53"/>
  <c r="AF62" i="53"/>
  <c r="AR541" i="53"/>
  <c r="AF541" i="53"/>
  <c r="AR285" i="53"/>
  <c r="AF285" i="53"/>
  <c r="AR29" i="53"/>
  <c r="AF29" i="53"/>
  <c r="AR476" i="53"/>
  <c r="AF476" i="53"/>
  <c r="AR220" i="53"/>
  <c r="AF220" i="53"/>
  <c r="AR939" i="53"/>
  <c r="AF939" i="53"/>
  <c r="AR683" i="53"/>
  <c r="AF683" i="53"/>
  <c r="AR427" i="53"/>
  <c r="AF427" i="53"/>
  <c r="AR171" i="53"/>
  <c r="AF171" i="53"/>
  <c r="AR656" i="53"/>
  <c r="AF656" i="53"/>
  <c r="AR1055" i="53"/>
  <c r="AF1055" i="53"/>
  <c r="AR972" i="53"/>
  <c r="AF972" i="53"/>
  <c r="AR211" i="53"/>
  <c r="AF211" i="53"/>
  <c r="AR187" i="53"/>
  <c r="AF187" i="53"/>
  <c r="AR968" i="53"/>
  <c r="AF968" i="53"/>
  <c r="AR682" i="53"/>
  <c r="AF682" i="53"/>
  <c r="AR764" i="53"/>
  <c r="AF764" i="53"/>
  <c r="AR278" i="53"/>
  <c r="AF278" i="53"/>
  <c r="AR777" i="53"/>
  <c r="AF777" i="53"/>
  <c r="AR266" i="53"/>
  <c r="AF266" i="53"/>
  <c r="AR810" i="53"/>
  <c r="AF810" i="53"/>
  <c r="AR376" i="53"/>
  <c r="AF376" i="53"/>
  <c r="AR912" i="53"/>
  <c r="AF912" i="53"/>
  <c r="AR602" i="53"/>
  <c r="AF602" i="53"/>
  <c r="AR847" i="53"/>
  <c r="AF847" i="53"/>
  <c r="AR825" i="53"/>
  <c r="AF825" i="53"/>
  <c r="AR410" i="53"/>
  <c r="AF410" i="53"/>
  <c r="AR1061" i="53"/>
  <c r="AF1061" i="53"/>
  <c r="AR755" i="53"/>
  <c r="AF755" i="53"/>
  <c r="AF183" i="53"/>
  <c r="AR183" i="53"/>
  <c r="AR1074" i="53"/>
  <c r="AF1074" i="53"/>
  <c r="AR736" i="53"/>
  <c r="AF736" i="53"/>
  <c r="AR89" i="53"/>
  <c r="AF89" i="53"/>
  <c r="AR996" i="53"/>
  <c r="AF996" i="53"/>
  <c r="AR908" i="53"/>
  <c r="AF908" i="53"/>
  <c r="AR598" i="53"/>
  <c r="AF598" i="53"/>
  <c r="AR984" i="53"/>
  <c r="AF984" i="53"/>
  <c r="AR941" i="53"/>
  <c r="AF941" i="53"/>
  <c r="AR647" i="53"/>
  <c r="AF647" i="53"/>
  <c r="AR814" i="53"/>
  <c r="AF814" i="53"/>
  <c r="AR1054" i="53"/>
  <c r="AF1054" i="53"/>
  <c r="AR786" i="53"/>
  <c r="AF786" i="53"/>
  <c r="AR298" i="53"/>
  <c r="AF298" i="53"/>
  <c r="AR1025" i="53"/>
  <c r="AF1025" i="53"/>
  <c r="AR853" i="53"/>
  <c r="AF853" i="53"/>
  <c r="AR486" i="53"/>
  <c r="AF486" i="53"/>
  <c r="AR914" i="53"/>
  <c r="AF914" i="53"/>
  <c r="AR869" i="53"/>
  <c r="AF869" i="53"/>
  <c r="AR519" i="53"/>
  <c r="AF519" i="53"/>
  <c r="AR742" i="53"/>
  <c r="AF742" i="53"/>
  <c r="AR886" i="53"/>
  <c r="AF886" i="53"/>
  <c r="AR851" i="53"/>
  <c r="AF851" i="53"/>
  <c r="AR474" i="53"/>
  <c r="AF474" i="53"/>
  <c r="AR184" i="53"/>
  <c r="AF184" i="53"/>
  <c r="AF7" i="53"/>
  <c r="AR7" i="53"/>
  <c r="AR341" i="53"/>
  <c r="AF341" i="53"/>
  <c r="AF85" i="53"/>
  <c r="AR85" i="53"/>
  <c r="AR324" i="53"/>
  <c r="AF324" i="53"/>
  <c r="AR68" i="53"/>
  <c r="AF68" i="53"/>
  <c r="AR435" i="53"/>
  <c r="AF435" i="53"/>
  <c r="AR179" i="53"/>
  <c r="AF179" i="53"/>
  <c r="AR578" i="53"/>
  <c r="AF578" i="53"/>
  <c r="AR322" i="53"/>
  <c r="AF322" i="53"/>
  <c r="AF66" i="53"/>
  <c r="AR66" i="53"/>
  <c r="AR433" i="53"/>
  <c r="AF433" i="53"/>
  <c r="AR177" i="53"/>
  <c r="AF177" i="53"/>
  <c r="AR512" i="53"/>
  <c r="AF512" i="53"/>
  <c r="AF256" i="53"/>
  <c r="AR256" i="53"/>
  <c r="AR559" i="53"/>
  <c r="AF559" i="53"/>
  <c r="AR303" i="53"/>
  <c r="AF303" i="53"/>
  <c r="AR47" i="53"/>
  <c r="AF47" i="53"/>
  <c r="AR558" i="53"/>
  <c r="AF558" i="53"/>
  <c r="AR302" i="53"/>
  <c r="AF302" i="53"/>
  <c r="AR46" i="53"/>
  <c r="AF46" i="53"/>
  <c r="AR525" i="53"/>
  <c r="AF525" i="53"/>
  <c r="AR269" i="53"/>
  <c r="AF269" i="53"/>
  <c r="AR460" i="53"/>
  <c r="AF460" i="53"/>
  <c r="AR204" i="53"/>
  <c r="AF204" i="53"/>
  <c r="AF923" i="53"/>
  <c r="AR923" i="53"/>
  <c r="AR667" i="53"/>
  <c r="AF667" i="53"/>
  <c r="AR411" i="53"/>
  <c r="AF411" i="53"/>
  <c r="AR155" i="53"/>
  <c r="AF155" i="53"/>
  <c r="AR963" i="53"/>
  <c r="AF963" i="53"/>
  <c r="AR648" i="53"/>
  <c r="AF648" i="53"/>
  <c r="AR920" i="53"/>
  <c r="AF920" i="53"/>
  <c r="AR100" i="53"/>
  <c r="AF100" i="53"/>
  <c r="AR334" i="53"/>
  <c r="AF334" i="53"/>
  <c r="AR951" i="53"/>
  <c r="AF951" i="53"/>
  <c r="AR662" i="53"/>
  <c r="AF662" i="53"/>
  <c r="AR1081" i="53"/>
  <c r="AF1081" i="53"/>
  <c r="AR202" i="53"/>
  <c r="AF202" i="53"/>
  <c r="AR759" i="53"/>
  <c r="AF759" i="53"/>
  <c r="AR201" i="53"/>
  <c r="AF201" i="53"/>
  <c r="AR793" i="53"/>
  <c r="AF793" i="53"/>
  <c r="AR328" i="53"/>
  <c r="AF328" i="53"/>
  <c r="AR895" i="53"/>
  <c r="AF895" i="53"/>
  <c r="AR570" i="53"/>
  <c r="AF570" i="53"/>
  <c r="AR813" i="53"/>
  <c r="AF813" i="53"/>
  <c r="AR808" i="53"/>
  <c r="AF808" i="53"/>
  <c r="AR374" i="53"/>
  <c r="AF374" i="53"/>
  <c r="AR1076" i="53"/>
  <c r="AF1076" i="53"/>
  <c r="AR737" i="53"/>
  <c r="AF737" i="53"/>
  <c r="AR1073" i="53"/>
  <c r="AF1073" i="53"/>
  <c r="AR714" i="53"/>
  <c r="AF714" i="53"/>
  <c r="AR1050" i="53"/>
  <c r="AF1050" i="53"/>
  <c r="AR1011" i="53"/>
  <c r="AF1011" i="53"/>
  <c r="AR890" i="53"/>
  <c r="AF890" i="53"/>
  <c r="AR566" i="53"/>
  <c r="AF566" i="53"/>
  <c r="AR831" i="53"/>
  <c r="AF831" i="53"/>
  <c r="AR924" i="53"/>
  <c r="AF924" i="53"/>
  <c r="AR624" i="53"/>
  <c r="AF624" i="53"/>
  <c r="AR1063" i="53"/>
  <c r="AF1063" i="53"/>
  <c r="AR1038" i="53"/>
  <c r="AF1038" i="53"/>
  <c r="AR769" i="53"/>
  <c r="AF769" i="53"/>
  <c r="AR234" i="53"/>
  <c r="AF234" i="53"/>
  <c r="AF1087" i="53"/>
  <c r="AR1087" i="53"/>
  <c r="AR836" i="53"/>
  <c r="AF836" i="53"/>
  <c r="AR440" i="53"/>
  <c r="AF440" i="53"/>
  <c r="AR1013" i="53"/>
  <c r="AF1013" i="53"/>
  <c r="AR852" i="53"/>
  <c r="AF852" i="53"/>
  <c r="AR485" i="53"/>
  <c r="AF485" i="53"/>
  <c r="AR948" i="53"/>
  <c r="AF948" i="53"/>
  <c r="AR1099" i="53"/>
  <c r="AF1099" i="53"/>
  <c r="AR834" i="53"/>
  <c r="AF834" i="53"/>
  <c r="AR438" i="53"/>
  <c r="AF438" i="53"/>
  <c r="AR168" i="53"/>
  <c r="AF168" i="53"/>
  <c r="AF214" i="53"/>
  <c r="AR214" i="53"/>
  <c r="AR325" i="53"/>
  <c r="AF325" i="53"/>
  <c r="AF69" i="53"/>
  <c r="AR69" i="53"/>
  <c r="AR308" i="53"/>
  <c r="AF308" i="53"/>
  <c r="AR52" i="53"/>
  <c r="AF52" i="53"/>
  <c r="AR419" i="53"/>
  <c r="AF419" i="53"/>
  <c r="AR163" i="53"/>
  <c r="AF163" i="53"/>
  <c r="AR562" i="53"/>
  <c r="AF562" i="53"/>
  <c r="AR306" i="53"/>
  <c r="AF306" i="53"/>
  <c r="AF50" i="53"/>
  <c r="AR50" i="53"/>
  <c r="AR417" i="53"/>
  <c r="AF417" i="53"/>
  <c r="AR161" i="53"/>
  <c r="AF161" i="53"/>
  <c r="AR496" i="53"/>
  <c r="AF496" i="53"/>
  <c r="AR240" i="53"/>
  <c r="AF240" i="53"/>
  <c r="AR543" i="53"/>
  <c r="AF543" i="53"/>
  <c r="AR287" i="53"/>
  <c r="AF287" i="53"/>
  <c r="AR31" i="53"/>
  <c r="AF31" i="53"/>
  <c r="AR542" i="53"/>
  <c r="AF542" i="53"/>
  <c r="AR286" i="53"/>
  <c r="AF286" i="53"/>
  <c r="AR30" i="53"/>
  <c r="AF30" i="53"/>
  <c r="AR509" i="53"/>
  <c r="AF509" i="53"/>
  <c r="AR253" i="53"/>
  <c r="AF253" i="53"/>
  <c r="AR700" i="53"/>
  <c r="AF700" i="53"/>
  <c r="AF444" i="53"/>
  <c r="AR444" i="53"/>
  <c r="AF188" i="53"/>
  <c r="AR188" i="53"/>
  <c r="AR907" i="53"/>
  <c r="AF907" i="53"/>
  <c r="AR651" i="53"/>
  <c r="AF651" i="53"/>
  <c r="AR395" i="53"/>
  <c r="AF395" i="53"/>
  <c r="AR139" i="53"/>
  <c r="AF139" i="53"/>
  <c r="AR845" i="53"/>
  <c r="AF845" i="53"/>
  <c r="AR772" i="53"/>
  <c r="AF772" i="53"/>
  <c r="AR1075" i="53"/>
  <c r="AF1075" i="53"/>
  <c r="AF39" i="53"/>
  <c r="AR39" i="53"/>
  <c r="AR610" i="53"/>
  <c r="AF610" i="53"/>
  <c r="AR45" i="53"/>
  <c r="AR985" i="53"/>
  <c r="AF985" i="53"/>
  <c r="AR934" i="53"/>
  <c r="AF934" i="53"/>
  <c r="AR640" i="53"/>
  <c r="AF640" i="53"/>
  <c r="AR1096" i="53"/>
  <c r="AF1096" i="53"/>
  <c r="AR121" i="53"/>
  <c r="AF121" i="53"/>
  <c r="AR741" i="53"/>
  <c r="AF741" i="53"/>
  <c r="AF119" i="53"/>
  <c r="AR119" i="53"/>
  <c r="AR776" i="53"/>
  <c r="AF776" i="53"/>
  <c r="AR265" i="53"/>
  <c r="AF265" i="53"/>
  <c r="AR878" i="53"/>
  <c r="AF878" i="53"/>
  <c r="AR536" i="53"/>
  <c r="AF536" i="53"/>
  <c r="AR1062" i="53"/>
  <c r="AF1062" i="53"/>
  <c r="AR791" i="53"/>
  <c r="AF791" i="53"/>
  <c r="AR326" i="53"/>
  <c r="AF326" i="53"/>
  <c r="AR946" i="53"/>
  <c r="AF946" i="53"/>
  <c r="AR716" i="53"/>
  <c r="AF716" i="53"/>
  <c r="AR918" i="53"/>
  <c r="AF918" i="53"/>
  <c r="AR977" i="53"/>
  <c r="AF977" i="53"/>
  <c r="AR694" i="53"/>
  <c r="AF694" i="53"/>
  <c r="AR850" i="53"/>
  <c r="AF850" i="53"/>
  <c r="AR1010" i="53"/>
  <c r="AF1010" i="53"/>
  <c r="AR873" i="53"/>
  <c r="AF873" i="53"/>
  <c r="AR532" i="53"/>
  <c r="AF532" i="53"/>
  <c r="AR661" i="53"/>
  <c r="AF661" i="53"/>
  <c r="AR906" i="53"/>
  <c r="AF906" i="53"/>
  <c r="AR597" i="53"/>
  <c r="AF597" i="53"/>
  <c r="AF864" i="53"/>
  <c r="AR864" i="53"/>
  <c r="AR1022" i="53"/>
  <c r="AF1022" i="53"/>
  <c r="AR751" i="53"/>
  <c r="AF751" i="53"/>
  <c r="AR154" i="53"/>
  <c r="AF154" i="53"/>
  <c r="AR1023" i="53"/>
  <c r="AF1023" i="53"/>
  <c r="AR819" i="53"/>
  <c r="AF819" i="53"/>
  <c r="AR394" i="53"/>
  <c r="AF394" i="53"/>
  <c r="AR1028" i="53"/>
  <c r="AF1028" i="53"/>
  <c r="AR835" i="53"/>
  <c r="AF835" i="53"/>
  <c r="AR439" i="53"/>
  <c r="AF439" i="53"/>
  <c r="AR1045" i="53"/>
  <c r="AF1045" i="53"/>
  <c r="AR1083" i="53"/>
  <c r="AF1083" i="53"/>
  <c r="AR817" i="53"/>
  <c r="AF817" i="53"/>
  <c r="AR392" i="53"/>
  <c r="AF392" i="53"/>
  <c r="AR152" i="53"/>
  <c r="AF152" i="53"/>
  <c r="AF198" i="53"/>
  <c r="AR198" i="53"/>
  <c r="AR309" i="53"/>
  <c r="AF309" i="53"/>
  <c r="AF53" i="53"/>
  <c r="AR53" i="53"/>
  <c r="AR292" i="53"/>
  <c r="AF292" i="53"/>
  <c r="AR36" i="53"/>
  <c r="AF36" i="53"/>
  <c r="AR403" i="53"/>
  <c r="AF403" i="53"/>
  <c r="AR147" i="53"/>
  <c r="AF147" i="53"/>
  <c r="AR546" i="53"/>
  <c r="AF546" i="53"/>
  <c r="AR290" i="53"/>
  <c r="AF290" i="53"/>
  <c r="AR34" i="53"/>
  <c r="AF34" i="53"/>
  <c r="AR401" i="53"/>
  <c r="AF401" i="53"/>
  <c r="AR145" i="53"/>
  <c r="AF145" i="53"/>
  <c r="AR480" i="53"/>
  <c r="AF480" i="53"/>
  <c r="AF224" i="53"/>
  <c r="AR224" i="53"/>
  <c r="AR527" i="53"/>
  <c r="AF527" i="53"/>
  <c r="AR271" i="53"/>
  <c r="AF271" i="53"/>
  <c r="AR15" i="53"/>
  <c r="AF15" i="53"/>
  <c r="AR526" i="53"/>
  <c r="AF526" i="53"/>
  <c r="AR270" i="53"/>
  <c r="AF270" i="53"/>
  <c r="AR14" i="53"/>
  <c r="AF14" i="53"/>
  <c r="AR493" i="53"/>
  <c r="AF493" i="53"/>
  <c r="AR237" i="53"/>
  <c r="AF237" i="53"/>
  <c r="AR684" i="53"/>
  <c r="AF684" i="53"/>
  <c r="AF428" i="53"/>
  <c r="AR428" i="53"/>
  <c r="AF172" i="53"/>
  <c r="AR172" i="53"/>
  <c r="AR891" i="53"/>
  <c r="AF891" i="53"/>
  <c r="AR635" i="53"/>
  <c r="AF635" i="53"/>
  <c r="AR379" i="53"/>
  <c r="AF379" i="53"/>
  <c r="AR123" i="53"/>
  <c r="AF123" i="53"/>
  <c r="AR377" i="53"/>
  <c r="AF377" i="53"/>
  <c r="AR249" i="53"/>
  <c r="AF249" i="53"/>
  <c r="AR887" i="53"/>
  <c r="AF887" i="53"/>
  <c r="AF117" i="53"/>
  <c r="AR117" i="53"/>
  <c r="AF98" i="53"/>
  <c r="AR98" i="53"/>
  <c r="AR443" i="53"/>
  <c r="AF443" i="53"/>
  <c r="AR917" i="53"/>
  <c r="AF917" i="53"/>
  <c r="AR614" i="53"/>
  <c r="AF614" i="53"/>
  <c r="AR967" i="53"/>
  <c r="AF967" i="53"/>
  <c r="AR10" i="53"/>
  <c r="AF10" i="53"/>
  <c r="AR722" i="53"/>
  <c r="AF722" i="53"/>
  <c r="AR9" i="53"/>
  <c r="AF9" i="53"/>
  <c r="AR758" i="53"/>
  <c r="AF758" i="53"/>
  <c r="AF199" i="53"/>
  <c r="AR199" i="53"/>
  <c r="AR861" i="53"/>
  <c r="AF861" i="53"/>
  <c r="AR502" i="53"/>
  <c r="AF502" i="53"/>
  <c r="AR897" i="53"/>
  <c r="AF897" i="53"/>
  <c r="AR774" i="53"/>
  <c r="AF774" i="53"/>
  <c r="AR262" i="53"/>
  <c r="AF262" i="53"/>
  <c r="AR1058" i="53"/>
  <c r="AF1058" i="53"/>
  <c r="AR695" i="53"/>
  <c r="AF695" i="53"/>
  <c r="AR615" i="53"/>
  <c r="AF615" i="53"/>
  <c r="AR960" i="53"/>
  <c r="AF960" i="53"/>
  <c r="AR674" i="53"/>
  <c r="AF674" i="53"/>
  <c r="AR641" i="53"/>
  <c r="AF641" i="53"/>
  <c r="AR1089" i="53"/>
  <c r="AF1089" i="53"/>
  <c r="AR856" i="53"/>
  <c r="AF856" i="53"/>
  <c r="AR489" i="53"/>
  <c r="AF489" i="53"/>
  <c r="AR425" i="53"/>
  <c r="AF425" i="53"/>
  <c r="AR889" i="53"/>
  <c r="AF889" i="53"/>
  <c r="AR565" i="53"/>
  <c r="AF565" i="53"/>
  <c r="AR830" i="53"/>
  <c r="AF830" i="53"/>
  <c r="AR1006" i="53"/>
  <c r="AF1006" i="53"/>
  <c r="AR730" i="53"/>
  <c r="AF730" i="53"/>
  <c r="AR73" i="53"/>
  <c r="AF73" i="53"/>
  <c r="AR1101" i="53"/>
  <c r="AF1101" i="53"/>
  <c r="AR802" i="53"/>
  <c r="AF802" i="53"/>
  <c r="AR358" i="53"/>
  <c r="AF358" i="53"/>
  <c r="AR1059" i="53"/>
  <c r="AF1059" i="53"/>
  <c r="AR818" i="53"/>
  <c r="AF818" i="53"/>
  <c r="AR393" i="53"/>
  <c r="AF393" i="53"/>
  <c r="AR3" i="53"/>
  <c r="AF1067" i="53"/>
  <c r="AR1067" i="53"/>
  <c r="AR800" i="53"/>
  <c r="AF800" i="53"/>
  <c r="AR345" i="53"/>
  <c r="AF345" i="53"/>
  <c r="AR136" i="53"/>
  <c r="AF136" i="53"/>
  <c r="AF182" i="53"/>
  <c r="AR182" i="53"/>
  <c r="AR293" i="53"/>
  <c r="AF293" i="53"/>
  <c r="AF37" i="53"/>
  <c r="AR37" i="53"/>
  <c r="AR276" i="53"/>
  <c r="AF276" i="53"/>
  <c r="AR20" i="53"/>
  <c r="AF20" i="53"/>
  <c r="AR387" i="53"/>
  <c r="AF387" i="53"/>
  <c r="AR131" i="53"/>
  <c r="AF131" i="53"/>
  <c r="AR530" i="53"/>
  <c r="AF530" i="53"/>
  <c r="AR274" i="53"/>
  <c r="AF274" i="53"/>
  <c r="AR18" i="53"/>
  <c r="AF18" i="53"/>
  <c r="AR385" i="53"/>
  <c r="AF385" i="53"/>
  <c r="AR129" i="53"/>
  <c r="AF129" i="53"/>
  <c r="AR464" i="53"/>
  <c r="AF464" i="53"/>
  <c r="AR208" i="53"/>
  <c r="AF208" i="53"/>
  <c r="AR511" i="53"/>
  <c r="AF511" i="53"/>
  <c r="AR255" i="53"/>
  <c r="AF255" i="53"/>
  <c r="AR766" i="53"/>
  <c r="AF766" i="53"/>
  <c r="AR510" i="53"/>
  <c r="AF510" i="53"/>
  <c r="AR254" i="53"/>
  <c r="AF254" i="53"/>
  <c r="AR733" i="53"/>
  <c r="AF733" i="53"/>
  <c r="AR477" i="53"/>
  <c r="AF477" i="53"/>
  <c r="AR221" i="53"/>
  <c r="AF221" i="53"/>
  <c r="AR668" i="53"/>
  <c r="AF668" i="53"/>
  <c r="AF412" i="53"/>
  <c r="AR412" i="53"/>
  <c r="AR156" i="53"/>
  <c r="AF156" i="53"/>
  <c r="AR875" i="53"/>
  <c r="AF875" i="53"/>
  <c r="AR619" i="53"/>
  <c r="AF619" i="53"/>
  <c r="AR363" i="53"/>
  <c r="AF363" i="53"/>
  <c r="AR107" i="53"/>
  <c r="AF107" i="53"/>
  <c r="AR760" i="53"/>
  <c r="AF760" i="53"/>
  <c r="AR288" i="53"/>
  <c r="AF288" i="53"/>
  <c r="AR301" i="53"/>
  <c r="AF301" i="53"/>
  <c r="AR952" i="53"/>
  <c r="AF952" i="53"/>
  <c r="AR900" i="53"/>
  <c r="AF900" i="53"/>
  <c r="AR583" i="53"/>
  <c r="AF583" i="53"/>
  <c r="AR882" i="53"/>
  <c r="AF882" i="53"/>
  <c r="AR1002" i="53"/>
  <c r="AF1002" i="53"/>
  <c r="AR703" i="53"/>
  <c r="AF703" i="53"/>
  <c r="AR1018" i="53"/>
  <c r="AF1018" i="53"/>
  <c r="AR740" i="53"/>
  <c r="AF740" i="53"/>
  <c r="AR106" i="53"/>
  <c r="AF106" i="53"/>
  <c r="AR844" i="53"/>
  <c r="AF844" i="53"/>
  <c r="AR457" i="53"/>
  <c r="AF457" i="53"/>
  <c r="AR964" i="53"/>
  <c r="AF964" i="53"/>
  <c r="AR756" i="53"/>
  <c r="AF756" i="53"/>
  <c r="AR185" i="53"/>
  <c r="AF185" i="53"/>
  <c r="AR961" i="53"/>
  <c r="AF961" i="53"/>
  <c r="AR675" i="53"/>
  <c r="AF675" i="53"/>
  <c r="AR137" i="53"/>
  <c r="AF137" i="53"/>
  <c r="AR943" i="53"/>
  <c r="AF943" i="53"/>
  <c r="AR649" i="53"/>
  <c r="AF649" i="53"/>
  <c r="AR344" i="53"/>
  <c r="AF344" i="53"/>
  <c r="AR1104" i="53"/>
  <c r="AF1104" i="53"/>
  <c r="AR839" i="53"/>
  <c r="AF839" i="53"/>
  <c r="AR453" i="53"/>
  <c r="AF453" i="53"/>
  <c r="AR342" i="53"/>
  <c r="AF342" i="53"/>
  <c r="AR872" i="53"/>
  <c r="AF872" i="53"/>
  <c r="AR522" i="53"/>
  <c r="AF522" i="53"/>
  <c r="AR1078" i="53"/>
  <c r="AF1078" i="53"/>
  <c r="AR990" i="53"/>
  <c r="AF990" i="53"/>
  <c r="AR711" i="53"/>
  <c r="AF711" i="53"/>
  <c r="AR901" i="53"/>
  <c r="AF901" i="53"/>
  <c r="AR1053" i="53"/>
  <c r="AF1053" i="53"/>
  <c r="AR785" i="53"/>
  <c r="AF785" i="53"/>
  <c r="AR297" i="53"/>
  <c r="AF297" i="53"/>
  <c r="AR994" i="53"/>
  <c r="AF994" i="53"/>
  <c r="AR801" i="53"/>
  <c r="AF801" i="53"/>
  <c r="AR346" i="53"/>
  <c r="AF346" i="53"/>
  <c r="AR1042" i="53"/>
  <c r="AF1042" i="53"/>
  <c r="AR1051" i="53"/>
  <c r="AF1051" i="53"/>
  <c r="AR783" i="53"/>
  <c r="AF783" i="53"/>
  <c r="AR294" i="53"/>
  <c r="AF294" i="53"/>
  <c r="AR120" i="53"/>
  <c r="AF120" i="53"/>
  <c r="AF166" i="53"/>
  <c r="AR166" i="53"/>
  <c r="AR277" i="53"/>
  <c r="AF277" i="53"/>
  <c r="AF21" i="53"/>
  <c r="AR21" i="53"/>
  <c r="AR260" i="53"/>
  <c r="AF260" i="53"/>
  <c r="AR371" i="53"/>
  <c r="AF371" i="53"/>
  <c r="AR115" i="53"/>
  <c r="AF115" i="53"/>
  <c r="AR514" i="53"/>
  <c r="AF514" i="53"/>
  <c r="AF258" i="53"/>
  <c r="AR258" i="53"/>
  <c r="AR625" i="53"/>
  <c r="AF625" i="53"/>
  <c r="AR369" i="53"/>
  <c r="AF369" i="53"/>
  <c r="AR113" i="53"/>
  <c r="AF113" i="53"/>
  <c r="AF448" i="53"/>
  <c r="AR448" i="53"/>
  <c r="AF192" i="53"/>
  <c r="AR192" i="53"/>
  <c r="AR495" i="53"/>
  <c r="AF495" i="53"/>
  <c r="AR239" i="53"/>
  <c r="AF239" i="53"/>
  <c r="AR750" i="53"/>
  <c r="AF750" i="53"/>
  <c r="AR494" i="53"/>
  <c r="AF494" i="53"/>
  <c r="AR238" i="53"/>
  <c r="AF238" i="53"/>
  <c r="AR717" i="53"/>
  <c r="AF717" i="53"/>
  <c r="AR461" i="53"/>
  <c r="AF461" i="53"/>
  <c r="AR205" i="53"/>
  <c r="AF205" i="53"/>
  <c r="AR652" i="53"/>
  <c r="AF652" i="53"/>
  <c r="AR396" i="53"/>
  <c r="AF396" i="53"/>
  <c r="AR140" i="53"/>
  <c r="AF140" i="53"/>
  <c r="AR859" i="53"/>
  <c r="AF859" i="53"/>
  <c r="AR603" i="53"/>
  <c r="AF603" i="53"/>
  <c r="AR347" i="53"/>
  <c r="AF347" i="53"/>
  <c r="AR91" i="53"/>
  <c r="AF91" i="53"/>
  <c r="AR378" i="53"/>
  <c r="AF378" i="53"/>
  <c r="AR998" i="53"/>
  <c r="AF998" i="53"/>
  <c r="AR586" i="53"/>
  <c r="AF586" i="53"/>
  <c r="AR465" i="53"/>
  <c r="AF465" i="53"/>
  <c r="AF492" i="53"/>
  <c r="AR492" i="53"/>
  <c r="AR330" i="53"/>
  <c r="AF330" i="53"/>
  <c r="AR883" i="53"/>
  <c r="AF883" i="53"/>
  <c r="AR550" i="53"/>
  <c r="AF550" i="53"/>
  <c r="AR705" i="53"/>
  <c r="AF705" i="53"/>
  <c r="AR782" i="53"/>
  <c r="AF782" i="53"/>
  <c r="AR679" i="53"/>
  <c r="AF679" i="53"/>
  <c r="AR687" i="53"/>
  <c r="AF687" i="53"/>
  <c r="AR721" i="53"/>
  <c r="AF721" i="53"/>
  <c r="AR986" i="53"/>
  <c r="AF986" i="53"/>
  <c r="AR826" i="53"/>
  <c r="AF826" i="53"/>
  <c r="AR421" i="53"/>
  <c r="AF421" i="53"/>
  <c r="AR1092" i="53"/>
  <c r="AF1092" i="53"/>
  <c r="AR738" i="53"/>
  <c r="AF738" i="53"/>
  <c r="AF103" i="53"/>
  <c r="AR103" i="53"/>
  <c r="AF944" i="53"/>
  <c r="AR944" i="53"/>
  <c r="AR650" i="53"/>
  <c r="AF650" i="53"/>
  <c r="AR1065" i="53"/>
  <c r="AF1065" i="53"/>
  <c r="AR926" i="53"/>
  <c r="AF926" i="53"/>
  <c r="AR628" i="53"/>
  <c r="AF628" i="53"/>
  <c r="AR1049" i="53"/>
  <c r="AF1049" i="53"/>
  <c r="AR1088" i="53"/>
  <c r="AF1088" i="53"/>
  <c r="AR822" i="53"/>
  <c r="AF822" i="53"/>
  <c r="AR407" i="53"/>
  <c r="AF407" i="53"/>
  <c r="AR1079" i="53"/>
  <c r="AF1079" i="53"/>
  <c r="AR855" i="53"/>
  <c r="AF855" i="53"/>
  <c r="AR488" i="53"/>
  <c r="AF488" i="53"/>
  <c r="AF863" i="53"/>
  <c r="AR863" i="53"/>
  <c r="AR974" i="53"/>
  <c r="AF974" i="53"/>
  <c r="AR691" i="53"/>
  <c r="AF691" i="53"/>
  <c r="AR517" i="53"/>
  <c r="AF517" i="53"/>
  <c r="AR1037" i="53"/>
  <c r="AF1037" i="53"/>
  <c r="AR768" i="53"/>
  <c r="AF768" i="53"/>
  <c r="AR233" i="53"/>
  <c r="AF233" i="53"/>
  <c r="AR1041" i="53"/>
  <c r="AF1041" i="53"/>
  <c r="AR784" i="53"/>
  <c r="AF784" i="53"/>
  <c r="AR295" i="53"/>
  <c r="AF295" i="53"/>
  <c r="AR1057" i="53"/>
  <c r="AF1057" i="53"/>
  <c r="AR1035" i="53"/>
  <c r="AF1035" i="53"/>
  <c r="AR765" i="53"/>
  <c r="AF765" i="53"/>
  <c r="AF230" i="53"/>
  <c r="AR230" i="53"/>
  <c r="AR104" i="53"/>
  <c r="AF104" i="53"/>
  <c r="AF150" i="53"/>
  <c r="AR150" i="53"/>
  <c r="AR261" i="53"/>
  <c r="AF261" i="53"/>
  <c r="AR244" i="53"/>
  <c r="AF244" i="53"/>
  <c r="AR611" i="53"/>
  <c r="AF611" i="53"/>
  <c r="AR355" i="53"/>
  <c r="AF355" i="53"/>
  <c r="AR99" i="53"/>
  <c r="AF99" i="53"/>
  <c r="AR498" i="53"/>
  <c r="AF498" i="53"/>
  <c r="AR242" i="53"/>
  <c r="AF242" i="53"/>
  <c r="AR609" i="53"/>
  <c r="AF609" i="53"/>
  <c r="AR353" i="53"/>
  <c r="AF353" i="53"/>
  <c r="AR97" i="53"/>
  <c r="AF97" i="53"/>
  <c r="AF432" i="53"/>
  <c r="AR432" i="53"/>
  <c r="AF176" i="53"/>
  <c r="AR176" i="53"/>
  <c r="AR479" i="53"/>
  <c r="AF479" i="53"/>
  <c r="AR223" i="53"/>
  <c r="AF223" i="53"/>
  <c r="AR734" i="53"/>
  <c r="AF734" i="53"/>
  <c r="AR478" i="53"/>
  <c r="AF478" i="53"/>
  <c r="AR222" i="53"/>
  <c r="AF222" i="53"/>
  <c r="AR701" i="53"/>
  <c r="AF701" i="53"/>
  <c r="AR445" i="53"/>
  <c r="AF445" i="53"/>
  <c r="AR189" i="53"/>
  <c r="AF189" i="53"/>
  <c r="AR636" i="53"/>
  <c r="AF636" i="53"/>
  <c r="AR380" i="53"/>
  <c r="AF380" i="53"/>
  <c r="AR124" i="53"/>
  <c r="AF124" i="53"/>
  <c r="AR843" i="53"/>
  <c r="AF843" i="53"/>
  <c r="AR587" i="53"/>
  <c r="AF587" i="53"/>
  <c r="AR331" i="53"/>
  <c r="AF331" i="53"/>
  <c r="AR75" i="53"/>
  <c r="AR860" i="53"/>
  <c r="AF860" i="53"/>
  <c r="AF1086" i="53"/>
  <c r="AR1086" i="53"/>
  <c r="AR216" i="53"/>
  <c r="AF216" i="53"/>
  <c r="AR32" i="53"/>
  <c r="AF32" i="53"/>
  <c r="AR590" i="53"/>
  <c r="AF590" i="53"/>
  <c r="AR794" i="53"/>
  <c r="AF794" i="53"/>
  <c r="AR866" i="53"/>
  <c r="AF866" i="53"/>
  <c r="AR516" i="53"/>
  <c r="AF516" i="53"/>
  <c r="AR506" i="53"/>
  <c r="AF506" i="53"/>
  <c r="AR473" i="53"/>
  <c r="AF473" i="53"/>
  <c r="AR659" i="53"/>
  <c r="AF659" i="53"/>
  <c r="AR797" i="53"/>
  <c r="AF797" i="53"/>
  <c r="AR698" i="53"/>
  <c r="AF698" i="53"/>
  <c r="AR799" i="53"/>
  <c r="AF799" i="53"/>
  <c r="AR809" i="53"/>
  <c r="AF809" i="53"/>
  <c r="AR375" i="53"/>
  <c r="AF375" i="53"/>
  <c r="AR1091" i="53"/>
  <c r="AF1091" i="53"/>
  <c r="AR719" i="53"/>
  <c r="AF719" i="53"/>
  <c r="AR935" i="53"/>
  <c r="AF935" i="53"/>
  <c r="AR927" i="53"/>
  <c r="AF927" i="53"/>
  <c r="AR629" i="53"/>
  <c r="AF629" i="53"/>
  <c r="AR1000" i="53"/>
  <c r="AF1000" i="53"/>
  <c r="AR909" i="53"/>
  <c r="AF909" i="53"/>
  <c r="AR599" i="53"/>
  <c r="AF599" i="53"/>
  <c r="AR1016" i="53"/>
  <c r="AF1016" i="53"/>
  <c r="AR1072" i="53"/>
  <c r="AF1072" i="53"/>
  <c r="AR805" i="53"/>
  <c r="AF805" i="53"/>
  <c r="AR361" i="53"/>
  <c r="AF361" i="53"/>
  <c r="AR581" i="53"/>
  <c r="AF581" i="53"/>
  <c r="AR838" i="53"/>
  <c r="AF838" i="53"/>
  <c r="AR442" i="53"/>
  <c r="AF442" i="53"/>
  <c r="AR997" i="53"/>
  <c r="AF997" i="53"/>
  <c r="AR957" i="53"/>
  <c r="AF957" i="53"/>
  <c r="AR671" i="53"/>
  <c r="AF671" i="53"/>
  <c r="AR950" i="53"/>
  <c r="AF950" i="53"/>
  <c r="AR1021" i="53"/>
  <c r="AF1021" i="53"/>
  <c r="AR749" i="53"/>
  <c r="AF749" i="53"/>
  <c r="AR153" i="53"/>
  <c r="AF153" i="53"/>
  <c r="AR1071" i="53"/>
  <c r="AF1071" i="53"/>
  <c r="AR767" i="53"/>
  <c r="AF767" i="53"/>
  <c r="AF231" i="53"/>
  <c r="AR231" i="53"/>
  <c r="AR1103" i="53"/>
  <c r="AF1103" i="53"/>
  <c r="AR1019" i="53"/>
  <c r="AF1019" i="53"/>
  <c r="AR746" i="53"/>
  <c r="AF746" i="53"/>
  <c r="AR138" i="53"/>
  <c r="AF138" i="53"/>
  <c r="AR88" i="53"/>
  <c r="AF88" i="53"/>
  <c r="AF134" i="53"/>
  <c r="AR134" i="53"/>
  <c r="AF245" i="53"/>
  <c r="AR245" i="53"/>
  <c r="AR484" i="53"/>
  <c r="AF484" i="53"/>
  <c r="AR228" i="53"/>
  <c r="AF228" i="53"/>
  <c r="AR595" i="53"/>
  <c r="AF595" i="53"/>
  <c r="AR339" i="53"/>
  <c r="AF339" i="53"/>
  <c r="AR83" i="53"/>
  <c r="AF83" i="53"/>
  <c r="AR482" i="53"/>
  <c r="AF482" i="53"/>
  <c r="AF226" i="53"/>
  <c r="AR226" i="53"/>
  <c r="AR593" i="53"/>
  <c r="AF593" i="53"/>
  <c r="AR337" i="53"/>
  <c r="AF337" i="53"/>
  <c r="AR81" i="53"/>
  <c r="AF81" i="53"/>
  <c r="AR416" i="53"/>
  <c r="AF416" i="53"/>
  <c r="AR160" i="53"/>
  <c r="AF160" i="53"/>
  <c r="AR463" i="53"/>
  <c r="AF463" i="53"/>
  <c r="AR207" i="53"/>
  <c r="AF207" i="53"/>
  <c r="AR718" i="53"/>
  <c r="AF718" i="53"/>
  <c r="AR462" i="53"/>
  <c r="AF462" i="53"/>
  <c r="AR206" i="53"/>
  <c r="AF206" i="53"/>
  <c r="AR685" i="53"/>
  <c r="AF685" i="53"/>
  <c r="AR429" i="53"/>
  <c r="AF429" i="53"/>
  <c r="AR173" i="53"/>
  <c r="AF173" i="53"/>
  <c r="AR620" i="53"/>
  <c r="AF620" i="53"/>
  <c r="AF364" i="53"/>
  <c r="AR364" i="53"/>
  <c r="AF108" i="53"/>
  <c r="AR108" i="53"/>
  <c r="AR827" i="53"/>
  <c r="AF827" i="53"/>
  <c r="AR571" i="53"/>
  <c r="AF571" i="53"/>
  <c r="AR315" i="53"/>
  <c r="AF315" i="53"/>
  <c r="AR59" i="53"/>
  <c r="AF59" i="53"/>
  <c r="AR26" i="53"/>
  <c r="AF26" i="53"/>
  <c r="AR282" i="53"/>
  <c r="AF282" i="53"/>
  <c r="AF215" i="53"/>
  <c r="AR215" i="53"/>
  <c r="AR544" i="53"/>
  <c r="AF544" i="53"/>
  <c r="AR557" i="53"/>
  <c r="AF557" i="53"/>
  <c r="AR706" i="53"/>
  <c r="AF706" i="53"/>
  <c r="AR849" i="53"/>
  <c r="AF849" i="53"/>
  <c r="AR472" i="53"/>
  <c r="AF472" i="53"/>
  <c r="AR25" i="53"/>
  <c r="AF25" i="53"/>
  <c r="AR865" i="53"/>
  <c r="AF865" i="53"/>
  <c r="AR633" i="53"/>
  <c r="AF633" i="53"/>
  <c r="AR949" i="53"/>
  <c r="AF949" i="53"/>
  <c r="AR678" i="53"/>
  <c r="AF678" i="53"/>
  <c r="AR551" i="53"/>
  <c r="AF551" i="53"/>
  <c r="AR792" i="53"/>
  <c r="AF792" i="53"/>
  <c r="AR327" i="53"/>
  <c r="AF327" i="53"/>
  <c r="AR979" i="53"/>
  <c r="AF979" i="53"/>
  <c r="AR696" i="53"/>
  <c r="AF696" i="53"/>
  <c r="AR726" i="53"/>
  <c r="AF726" i="53"/>
  <c r="AR910" i="53"/>
  <c r="AF910" i="53"/>
  <c r="AR600" i="53"/>
  <c r="AF600" i="53"/>
  <c r="AR848" i="53"/>
  <c r="AF848" i="53"/>
  <c r="AR892" i="53"/>
  <c r="AF892" i="53"/>
  <c r="AR567" i="53"/>
  <c r="AF567" i="53"/>
  <c r="AR916" i="53"/>
  <c r="AF916" i="53"/>
  <c r="AR1056" i="53"/>
  <c r="AF1056" i="53"/>
  <c r="AR788" i="53"/>
  <c r="AF788" i="53"/>
  <c r="AR311" i="53"/>
  <c r="AF311" i="53"/>
  <c r="AR1046" i="53"/>
  <c r="AF1046" i="53"/>
  <c r="AR821" i="53"/>
  <c r="AF821" i="53"/>
  <c r="AR406" i="53"/>
  <c r="AF406" i="53"/>
  <c r="AR1060" i="53"/>
  <c r="AF1060" i="53"/>
  <c r="AR940" i="53"/>
  <c r="AF940" i="53"/>
  <c r="AR646" i="53"/>
  <c r="AF646" i="53"/>
  <c r="AR639" i="53"/>
  <c r="AF639" i="53"/>
  <c r="AR1005" i="53"/>
  <c r="AF1005" i="53"/>
  <c r="AR729" i="53"/>
  <c r="AF729" i="53"/>
  <c r="AR58" i="53"/>
  <c r="AF58" i="53"/>
  <c r="AR975" i="53"/>
  <c r="AF975" i="53"/>
  <c r="AR748" i="53"/>
  <c r="AF748" i="53"/>
  <c r="AF151" i="53"/>
  <c r="AR151" i="53"/>
  <c r="AR1039" i="53"/>
  <c r="AF1039" i="53"/>
  <c r="AR1003" i="53"/>
  <c r="AF1003" i="53"/>
  <c r="AR727" i="53"/>
  <c r="AF727" i="53"/>
  <c r="AR42" i="53"/>
  <c r="AF42" i="53"/>
  <c r="AR72" i="53"/>
  <c r="AF72" i="53"/>
  <c r="AF118" i="53"/>
  <c r="AR118" i="53"/>
  <c r="AF229" i="53"/>
  <c r="AR229" i="53"/>
  <c r="AR468" i="53"/>
  <c r="AF468" i="53"/>
  <c r="AR212" i="53"/>
  <c r="AF212" i="53"/>
  <c r="AR579" i="53"/>
  <c r="AF579" i="53"/>
  <c r="AR323" i="53"/>
  <c r="AF323" i="53"/>
  <c r="AR67" i="53"/>
  <c r="AF67" i="53"/>
  <c r="AR466" i="53"/>
  <c r="AF466" i="53"/>
  <c r="AR210" i="53"/>
  <c r="AF210" i="53"/>
  <c r="AR577" i="53"/>
  <c r="AF577" i="53"/>
  <c r="AR321" i="53"/>
  <c r="AF321" i="53"/>
  <c r="AR65" i="53"/>
  <c r="AF65" i="53"/>
  <c r="AR400" i="53"/>
  <c r="AF400" i="53"/>
  <c r="AR144" i="53"/>
  <c r="AF144" i="53"/>
  <c r="AR447" i="53"/>
  <c r="AF447" i="53"/>
  <c r="AR191" i="53"/>
  <c r="AF191" i="53"/>
  <c r="AR702" i="53"/>
  <c r="AF702" i="53"/>
  <c r="AR446" i="53"/>
  <c r="AF446" i="53"/>
  <c r="AR190" i="53"/>
  <c r="AF190" i="53"/>
  <c r="AR669" i="53"/>
  <c r="AF669" i="53"/>
  <c r="AR413" i="53"/>
  <c r="AF413" i="53"/>
  <c r="AR157" i="53"/>
  <c r="AF157" i="53"/>
  <c r="AF604" i="53"/>
  <c r="AR604" i="53"/>
  <c r="AF348" i="53"/>
  <c r="AR348" i="53"/>
  <c r="AF92" i="53"/>
  <c r="AR92" i="53"/>
  <c r="AR811" i="53"/>
  <c r="AF811" i="53"/>
  <c r="AR555" i="53"/>
  <c r="AF555" i="53"/>
  <c r="AR299" i="53"/>
  <c r="AF299" i="53"/>
  <c r="AR43" i="53"/>
  <c r="AF43" i="53"/>
  <c r="AR458" i="53"/>
  <c r="AF458" i="53"/>
  <c r="AR942" i="53"/>
  <c r="AF942" i="53"/>
  <c r="AR932" i="53"/>
  <c r="AF932" i="53"/>
  <c r="AR356" i="53"/>
  <c r="AF356" i="53"/>
  <c r="AR209" i="53"/>
  <c r="AF209" i="53"/>
  <c r="AR955" i="53"/>
  <c r="AF955" i="53"/>
  <c r="AR832" i="53"/>
  <c r="AF832" i="53"/>
  <c r="AR426" i="53"/>
  <c r="AF426" i="53"/>
  <c r="AR966" i="53"/>
  <c r="AF966" i="53"/>
  <c r="AR1095" i="53"/>
  <c r="AF1095" i="53"/>
  <c r="AR608" i="53"/>
  <c r="AF608" i="53"/>
  <c r="AR778" i="53"/>
  <c r="AF778" i="53"/>
  <c r="AF657" i="53"/>
  <c r="AR657" i="53"/>
  <c r="AR41" i="53"/>
  <c r="AF41" i="53"/>
  <c r="AR775" i="53"/>
  <c r="AF775" i="53"/>
  <c r="AR263" i="53"/>
  <c r="AF263" i="53"/>
  <c r="AR962" i="53"/>
  <c r="AF962" i="53"/>
  <c r="AR676" i="53"/>
  <c r="AF676" i="53"/>
  <c r="AR218" i="53"/>
  <c r="AF218" i="53"/>
  <c r="AR893" i="53"/>
  <c r="AF893" i="53"/>
  <c r="AR568" i="53"/>
  <c r="AF568" i="53"/>
  <c r="AR613" i="53"/>
  <c r="AF613" i="53"/>
  <c r="AR874" i="53"/>
  <c r="AF874" i="53"/>
  <c r="AR533" i="53"/>
  <c r="AF533" i="53"/>
  <c r="AR724" i="53"/>
  <c r="AF724" i="53"/>
  <c r="AR1040" i="53"/>
  <c r="AF1040" i="53"/>
  <c r="AR771" i="53"/>
  <c r="AF771" i="53"/>
  <c r="AF247" i="53"/>
  <c r="AR247" i="53"/>
  <c r="AR1077" i="53"/>
  <c r="AF1077" i="53"/>
  <c r="AR804" i="53"/>
  <c r="AF804" i="53"/>
  <c r="AR360" i="53"/>
  <c r="AF360" i="53"/>
  <c r="AR995" i="53"/>
  <c r="AF995" i="53"/>
  <c r="AF922" i="53"/>
  <c r="AR922" i="53"/>
  <c r="AR623" i="53"/>
  <c r="AF623" i="53"/>
  <c r="AR122" i="53"/>
  <c r="AF122" i="53"/>
  <c r="AR989" i="53"/>
  <c r="AF989" i="53"/>
  <c r="AR710" i="53"/>
  <c r="AF710" i="53"/>
  <c r="AR1082" i="53"/>
  <c r="AF1082" i="53"/>
  <c r="AR1085" i="53"/>
  <c r="AF1085" i="53"/>
  <c r="AR728" i="53"/>
  <c r="AF728" i="53"/>
  <c r="AR57" i="53"/>
  <c r="AF57" i="53"/>
  <c r="AR958" i="53"/>
  <c r="AF958" i="53"/>
  <c r="AR987" i="53"/>
  <c r="AF987" i="53"/>
  <c r="AR708" i="53"/>
  <c r="AF708" i="53"/>
  <c r="AR312" i="53"/>
  <c r="AF312" i="53"/>
  <c r="AR56" i="53"/>
  <c r="AF56" i="53"/>
  <c r="AF102" i="53"/>
  <c r="AR102" i="53"/>
  <c r="AF213" i="53"/>
  <c r="AR213" i="53"/>
  <c r="AR452" i="53"/>
  <c r="AF452" i="53"/>
  <c r="AR196" i="53"/>
  <c r="AF196" i="53"/>
  <c r="AR563" i="53"/>
  <c r="AF563" i="53"/>
  <c r="AR307" i="53"/>
  <c r="AF307" i="53"/>
  <c r="AR51" i="53"/>
  <c r="AF51" i="53"/>
  <c r="AR450" i="53"/>
  <c r="AF450" i="53"/>
  <c r="AR194" i="53"/>
  <c r="AF194" i="53"/>
  <c r="AR561" i="53"/>
  <c r="AF561" i="53"/>
  <c r="AR305" i="53"/>
  <c r="AF305" i="53"/>
  <c r="AR49" i="53"/>
  <c r="AF49" i="53"/>
  <c r="AR384" i="53"/>
  <c r="AF384" i="53"/>
  <c r="AF128" i="53"/>
  <c r="AR128" i="53"/>
  <c r="AR431" i="53"/>
  <c r="AF431" i="53"/>
  <c r="AR175" i="53"/>
  <c r="AF175" i="53"/>
  <c r="AR686" i="53"/>
  <c r="AF686" i="53"/>
  <c r="AR430" i="53"/>
  <c r="AF430" i="53"/>
  <c r="AR174" i="53"/>
  <c r="AF174" i="53"/>
  <c r="AR653" i="53"/>
  <c r="AF653" i="53"/>
  <c r="AR397" i="53"/>
  <c r="AF397" i="53"/>
  <c r="AR141" i="53"/>
  <c r="AF141" i="53"/>
  <c r="AF588" i="53"/>
  <c r="AR588" i="53"/>
  <c r="AF332" i="53"/>
  <c r="AR332" i="53"/>
  <c r="AF76" i="53"/>
  <c r="AR76" i="53"/>
  <c r="AR795" i="53"/>
  <c r="AF795" i="53"/>
  <c r="AR539" i="53"/>
  <c r="AF539" i="53"/>
  <c r="AR283" i="53"/>
  <c r="AF283" i="53"/>
  <c r="AR27" i="53"/>
  <c r="AF27" i="53"/>
  <c r="AF1001" i="53"/>
  <c r="AR1001" i="53"/>
  <c r="AR314" i="53"/>
  <c r="AF314" i="53"/>
  <c r="AR405" i="53"/>
  <c r="AF405" i="53"/>
  <c r="AR699" i="53"/>
  <c r="AF699" i="53"/>
  <c r="AR815" i="53"/>
  <c r="AF815" i="53"/>
  <c r="AR390" i="53"/>
  <c r="AF390" i="53"/>
  <c r="AR680" i="53"/>
  <c r="AF680" i="53"/>
  <c r="AR915" i="53"/>
  <c r="AF915" i="53"/>
  <c r="AR580" i="53"/>
  <c r="AF580" i="53"/>
  <c r="AR1094" i="53"/>
  <c r="AF1094" i="53"/>
  <c r="AR632" i="53"/>
  <c r="AF632" i="53"/>
  <c r="AR761" i="53"/>
  <c r="AF761" i="53"/>
  <c r="AR757" i="53"/>
  <c r="AF757" i="53"/>
  <c r="AR186" i="53"/>
  <c r="AF186" i="53"/>
  <c r="AR945" i="53"/>
  <c r="AF945" i="53"/>
  <c r="AR655" i="53"/>
  <c r="AF655" i="53"/>
  <c r="AR1097" i="53"/>
  <c r="AF1097" i="53"/>
  <c r="AR876" i="53"/>
  <c r="AF876" i="53"/>
  <c r="AR534" i="53"/>
  <c r="AF534" i="53"/>
  <c r="AR983" i="53"/>
  <c r="AF983" i="53"/>
  <c r="AR857" i="53"/>
  <c r="AF857" i="53"/>
  <c r="AR490" i="53"/>
  <c r="AF490" i="53"/>
  <c r="AR582" i="53"/>
  <c r="AF582" i="53"/>
  <c r="AR1024" i="53"/>
  <c r="AF1024" i="53"/>
  <c r="AR753" i="53"/>
  <c r="AF753" i="53"/>
  <c r="AR169" i="53"/>
  <c r="AF169" i="53"/>
  <c r="AR930" i="53"/>
  <c r="AF930" i="53"/>
  <c r="AR787" i="53"/>
  <c r="AF787" i="53"/>
  <c r="AR310" i="53"/>
  <c r="AF310" i="53"/>
  <c r="AR1090" i="53"/>
  <c r="AF1090" i="53"/>
  <c r="AR905" i="53"/>
  <c r="AF905" i="53"/>
  <c r="AR596" i="53"/>
  <c r="AF596" i="53"/>
  <c r="AR1015" i="53"/>
  <c r="AF1015" i="53"/>
  <c r="AR973" i="53"/>
  <c r="AF973" i="53"/>
  <c r="AR690" i="53"/>
  <c r="AF690" i="53"/>
  <c r="AR833" i="53"/>
  <c r="AF833" i="53"/>
  <c r="AR1084" i="53"/>
  <c r="AF1084" i="53"/>
  <c r="AR709" i="53"/>
  <c r="AF709" i="53"/>
  <c r="AR867" i="53"/>
  <c r="AF867" i="53"/>
  <c r="AR1069" i="53"/>
  <c r="AF1069" i="53"/>
  <c r="AR970" i="53"/>
  <c r="AF970" i="53"/>
  <c r="AR688" i="53"/>
  <c r="AF688" i="53"/>
  <c r="AR296" i="53"/>
  <c r="AF296" i="53"/>
  <c r="AR40" i="53"/>
  <c r="AF40" i="53"/>
  <c r="AF86" i="53"/>
  <c r="AR86" i="53"/>
  <c r="AF197" i="53"/>
  <c r="AR197" i="53"/>
  <c r="AR436" i="53"/>
  <c r="AF436" i="53"/>
  <c r="AR180" i="53"/>
  <c r="AF180" i="53"/>
  <c r="AR547" i="53"/>
  <c r="AF547" i="53"/>
  <c r="AR291" i="53"/>
  <c r="AF291" i="53"/>
  <c r="AR35" i="53"/>
  <c r="AF35" i="53"/>
  <c r="AR434" i="53"/>
  <c r="AF434" i="53"/>
  <c r="AF178" i="53"/>
  <c r="AR178" i="53"/>
  <c r="AR545" i="53"/>
  <c r="AF545" i="53"/>
  <c r="AR289" i="53"/>
  <c r="AF289" i="53"/>
  <c r="AR33" i="53"/>
  <c r="AF33" i="53"/>
  <c r="AR368" i="53"/>
  <c r="AF368" i="53"/>
  <c r="AR112" i="53"/>
  <c r="AF112" i="53"/>
  <c r="AR415" i="53"/>
  <c r="AF415" i="53"/>
  <c r="AR159" i="53"/>
  <c r="AF159" i="53"/>
  <c r="AR670" i="53"/>
  <c r="AF670" i="53"/>
  <c r="AR414" i="53"/>
  <c r="AF414" i="53"/>
  <c r="AR158" i="53"/>
  <c r="AF158" i="53"/>
  <c r="AR637" i="53"/>
  <c r="AF637" i="53"/>
  <c r="AR381" i="53"/>
  <c r="AF381" i="53"/>
  <c r="AR125" i="53"/>
  <c r="AF125" i="53"/>
  <c r="AR572" i="53"/>
  <c r="AF572" i="53"/>
  <c r="AR316" i="53"/>
  <c r="AF316" i="53"/>
  <c r="AR60" i="53"/>
  <c r="AF60" i="53"/>
  <c r="AR779" i="53"/>
  <c r="AF779" i="53"/>
  <c r="AR523" i="53"/>
  <c r="AF523" i="53"/>
  <c r="AR267" i="53"/>
  <c r="AF267" i="53"/>
  <c r="AR11" i="53"/>
  <c r="AF11" i="53"/>
  <c r="AR812" i="53"/>
  <c r="AF812" i="53"/>
  <c r="AR1044" i="53"/>
  <c r="AF1044" i="53"/>
  <c r="AR554" i="53"/>
  <c r="AF554" i="53"/>
  <c r="AF6" i="53"/>
  <c r="AR6" i="53"/>
  <c r="AR354" i="53"/>
  <c r="AF354" i="53"/>
  <c r="AR236" i="53"/>
  <c r="AF236" i="53"/>
  <c r="AR798" i="53"/>
  <c r="AF798" i="53"/>
  <c r="AR343" i="53"/>
  <c r="AF343" i="53"/>
  <c r="AR548" i="53"/>
  <c r="AF548" i="53"/>
  <c r="AR796" i="53"/>
  <c r="AF796" i="53"/>
  <c r="AR538" i="53"/>
  <c r="AF538" i="53"/>
  <c r="AR982" i="53"/>
  <c r="AF982" i="53"/>
  <c r="AR607" i="53"/>
  <c r="AF607" i="53"/>
  <c r="AR881" i="53"/>
  <c r="AF881" i="53"/>
  <c r="AR739" i="53"/>
  <c r="AF739" i="53"/>
  <c r="AR105" i="53"/>
  <c r="AF105" i="53"/>
  <c r="AR928" i="53"/>
  <c r="AF928" i="53"/>
  <c r="AR630" i="53"/>
  <c r="AF630" i="53"/>
  <c r="AR1064" i="53"/>
  <c r="AF1064" i="53"/>
  <c r="AR858" i="53"/>
  <c r="AF858" i="53"/>
  <c r="AR500" i="53"/>
  <c r="AF500" i="53"/>
  <c r="AR704" i="53"/>
  <c r="AF704" i="53"/>
  <c r="AR840" i="53"/>
  <c r="AF840" i="53"/>
  <c r="AR454" i="53"/>
  <c r="AF454" i="53"/>
  <c r="AR389" i="53"/>
  <c r="AF389" i="53"/>
  <c r="AR1008" i="53"/>
  <c r="AF1008" i="53"/>
  <c r="AR735" i="53"/>
  <c r="AF735" i="53"/>
  <c r="AF87" i="53"/>
  <c r="AR87" i="53"/>
  <c r="AR980" i="53"/>
  <c r="AF980" i="53"/>
  <c r="AR770" i="53"/>
  <c r="AF770" i="53"/>
  <c r="AF246" i="53"/>
  <c r="AR246" i="53"/>
  <c r="AF1105" i="53"/>
  <c r="AR1105" i="53"/>
  <c r="AR888" i="53"/>
  <c r="AF888" i="53"/>
  <c r="AR564" i="53"/>
  <c r="AF564" i="53"/>
  <c r="AR612" i="53"/>
  <c r="AF612" i="53"/>
  <c r="AR956" i="53"/>
  <c r="AF956" i="53"/>
  <c r="AR666" i="53"/>
  <c r="AF666" i="53"/>
  <c r="AR584" i="53"/>
  <c r="AF584" i="53"/>
  <c r="AR1052" i="53"/>
  <c r="AF1052" i="53"/>
  <c r="AR689" i="53"/>
  <c r="AF689" i="53"/>
  <c r="AR1080" i="53"/>
  <c r="AF1080" i="53"/>
  <c r="AR1100" i="53"/>
  <c r="AF1100" i="53"/>
  <c r="AR953" i="53"/>
  <c r="AF953" i="53"/>
  <c r="AR664" i="53"/>
  <c r="AF664" i="53"/>
  <c r="AR280" i="53"/>
  <c r="AF280" i="53"/>
  <c r="AR24" i="53"/>
  <c r="AF24" i="53"/>
  <c r="AF70" i="53"/>
  <c r="AR70" i="53"/>
  <c r="AF181" i="53"/>
  <c r="AR181" i="53"/>
  <c r="AR420" i="53"/>
  <c r="AF420" i="53"/>
  <c r="AR164" i="53"/>
  <c r="AF164" i="53"/>
  <c r="AR531" i="53"/>
  <c r="AF531" i="53"/>
  <c r="AR275" i="53"/>
  <c r="AF275" i="53"/>
  <c r="AR19" i="53"/>
  <c r="AF19" i="53"/>
  <c r="AR418" i="53"/>
  <c r="AF418" i="53"/>
  <c r="AR162" i="53"/>
  <c r="AF162" i="53"/>
  <c r="AR529" i="53"/>
  <c r="AF529" i="53"/>
  <c r="AR273" i="53"/>
  <c r="AF273" i="53"/>
  <c r="AR17" i="53"/>
  <c r="AF17" i="53"/>
  <c r="AF352" i="53"/>
  <c r="AR352" i="53"/>
  <c r="AF96" i="53"/>
  <c r="AR96" i="53"/>
  <c r="AR399" i="53"/>
  <c r="AF399" i="53"/>
  <c r="AR143" i="53"/>
  <c r="AF143" i="53"/>
  <c r="AR654" i="53"/>
  <c r="AF654" i="53"/>
  <c r="AR398" i="53"/>
  <c r="AF398" i="53"/>
  <c r="AR142" i="53"/>
  <c r="AF142" i="53"/>
  <c r="AR621" i="53"/>
  <c r="AF621" i="53"/>
  <c r="AR365" i="53"/>
  <c r="AF365" i="53"/>
  <c r="AR109" i="53"/>
  <c r="AF109" i="53"/>
  <c r="AR556" i="53"/>
  <c r="AF556" i="53"/>
  <c r="AR300" i="53"/>
  <c r="AF300" i="53"/>
  <c r="AR44" i="53"/>
  <c r="AF44" i="53"/>
  <c r="AR763" i="53"/>
  <c r="AF763" i="53"/>
  <c r="AR507" i="53"/>
  <c r="AF507" i="53"/>
  <c r="AR251" i="53"/>
  <c r="AF251" i="53"/>
  <c r="AR780" i="53"/>
  <c r="AF780" i="53"/>
  <c r="AR692" i="53"/>
  <c r="AF692" i="53"/>
  <c r="AR552" i="53"/>
  <c r="AF552" i="53"/>
  <c r="AR335" i="53"/>
  <c r="AF335" i="53"/>
  <c r="AR79" i="53"/>
  <c r="AF79" i="53"/>
  <c r="AR1066" i="53"/>
  <c r="AF1066" i="53"/>
  <c r="AR781" i="53"/>
  <c r="AF781" i="53"/>
  <c r="AR281" i="53"/>
  <c r="AF281" i="53"/>
  <c r="AR505" i="53"/>
  <c r="AF505" i="53"/>
  <c r="AR1014" i="53"/>
  <c r="AF1014" i="53"/>
  <c r="AR504" i="53"/>
  <c r="AF504" i="53"/>
  <c r="AR981" i="53"/>
  <c r="AF981" i="53"/>
  <c r="AR575" i="53"/>
  <c r="AF575" i="53"/>
  <c r="AR723" i="53"/>
  <c r="AF723" i="53"/>
  <c r="AR720" i="53"/>
  <c r="AF720" i="53"/>
  <c r="AR969" i="53"/>
  <c r="AF969" i="53"/>
  <c r="AR911" i="53"/>
  <c r="AF911" i="53"/>
  <c r="AR601" i="53"/>
  <c r="AF601" i="53"/>
  <c r="AR933" i="53"/>
  <c r="AF933" i="53"/>
  <c r="AR841" i="53"/>
  <c r="AF841" i="53"/>
  <c r="AR455" i="53"/>
  <c r="AF455" i="53"/>
  <c r="AR1030" i="53"/>
  <c r="AF1030" i="53"/>
  <c r="AR823" i="53"/>
  <c r="AF823" i="53"/>
  <c r="AR408" i="53"/>
  <c r="AF408" i="53"/>
  <c r="AR279" i="53"/>
  <c r="AF279" i="53"/>
  <c r="AR992" i="53"/>
  <c r="AF992" i="53"/>
  <c r="AR713" i="53"/>
  <c r="AF713" i="53"/>
  <c r="AR1098" i="53"/>
  <c r="AF1098" i="53"/>
  <c r="AR1043" i="53"/>
  <c r="AF1043" i="53"/>
  <c r="AR752" i="53"/>
  <c r="AF752" i="53"/>
  <c r="AF167" i="53"/>
  <c r="AR167" i="53"/>
  <c r="AR993" i="53"/>
  <c r="AF993" i="53"/>
  <c r="AR871" i="53"/>
  <c r="AF871" i="53"/>
  <c r="AR521" i="53"/>
  <c r="AF521" i="53"/>
  <c r="AR965" i="53"/>
  <c r="AF965" i="53"/>
  <c r="AR938" i="53"/>
  <c r="AF938" i="53"/>
  <c r="AR645" i="53"/>
  <c r="AF645" i="53"/>
  <c r="AR391" i="53"/>
  <c r="AF391" i="53"/>
  <c r="AR1020" i="53"/>
  <c r="AF1020" i="53"/>
  <c r="AR665" i="53"/>
  <c r="AF665" i="53"/>
  <c r="AR899" i="53"/>
  <c r="AF899" i="53"/>
  <c r="AF1068" i="53"/>
  <c r="AR1068" i="53"/>
  <c r="AR936" i="53"/>
  <c r="AF936" i="53"/>
  <c r="AR643" i="53"/>
  <c r="AF643" i="53"/>
  <c r="AR264" i="53"/>
  <c r="AF264" i="53"/>
  <c r="AR8" i="53"/>
  <c r="AF8" i="53"/>
  <c r="AF54" i="53"/>
  <c r="AR54" i="53"/>
  <c r="AF165" i="53"/>
  <c r="AR165" i="53"/>
  <c r="AR404" i="53"/>
  <c r="AF404" i="53"/>
  <c r="AR148" i="53"/>
  <c r="AF148" i="53"/>
  <c r="AR515" i="53"/>
  <c r="AF515" i="53"/>
  <c r="AR259" i="53"/>
  <c r="AF259" i="53"/>
  <c r="AR658" i="53"/>
  <c r="AF658" i="53"/>
  <c r="AR402" i="53"/>
  <c r="AF402" i="53"/>
  <c r="AF146" i="53"/>
  <c r="AR146" i="53"/>
  <c r="AR513" i="53"/>
  <c r="AF513" i="53"/>
  <c r="AR257" i="53"/>
  <c r="AF257" i="53"/>
  <c r="AR592" i="53"/>
  <c r="AF592" i="53"/>
  <c r="AR336" i="53"/>
  <c r="AF336" i="53"/>
  <c r="AR80" i="53"/>
  <c r="AF80" i="53"/>
  <c r="AR383" i="53"/>
  <c r="AF383" i="53"/>
  <c r="AR127" i="53"/>
  <c r="AF127" i="53"/>
  <c r="AR638" i="53"/>
  <c r="AF638" i="53"/>
  <c r="AR382" i="53"/>
  <c r="AF382" i="53"/>
  <c r="AR126" i="53"/>
  <c r="AF126" i="53"/>
  <c r="AR605" i="53"/>
  <c r="AF605" i="53"/>
  <c r="AR349" i="53"/>
  <c r="AF349" i="53"/>
  <c r="AR93" i="53"/>
  <c r="AF93" i="53"/>
  <c r="AR540" i="53"/>
  <c r="AF540" i="53"/>
  <c r="AR284" i="53"/>
  <c r="AF284" i="53"/>
  <c r="AR28" i="53"/>
  <c r="AF28" i="53"/>
  <c r="AR747" i="53"/>
  <c r="AF747" i="53"/>
  <c r="AR491" i="53"/>
  <c r="AF491" i="53"/>
  <c r="AR235" i="53"/>
  <c r="AF235" i="53"/>
  <c r="AQ3" i="53"/>
  <c r="V209" i="53" l="1"/>
  <c r="Y209" i="53"/>
  <c r="Y419" i="53"/>
  <c r="V492" i="53"/>
  <c r="V509" i="53"/>
  <c r="Y492" i="53"/>
  <c r="Y509" i="53"/>
  <c r="Y904" i="53"/>
  <c r="V46" i="53"/>
  <c r="Y46" i="53"/>
  <c r="V606" i="53"/>
  <c r="V78" i="53"/>
  <c r="Y37" i="53"/>
  <c r="V487" i="53"/>
  <c r="Y78" i="53"/>
  <c r="Y487" i="53"/>
  <c r="V94" i="53"/>
  <c r="V673" i="53"/>
  <c r="V766" i="53"/>
  <c r="Y94" i="53"/>
  <c r="Y673" i="53"/>
  <c r="V525" i="53"/>
  <c r="Y954" i="53"/>
  <c r="V225" i="53"/>
  <c r="Y525" i="53"/>
  <c r="Y225" i="53"/>
  <c r="Y271" i="53"/>
  <c r="V155" i="53"/>
  <c r="V712" i="53"/>
  <c r="Y155" i="53"/>
  <c r="Y712" i="53"/>
  <c r="V302" i="53"/>
  <c r="Y204" i="53"/>
  <c r="Y298" i="53"/>
  <c r="V870" i="53"/>
  <c r="Y236" i="53"/>
  <c r="Y302" i="53"/>
  <c r="Y69" i="53"/>
  <c r="V480" i="53"/>
  <c r="V236" i="53"/>
  <c r="V419" i="53"/>
  <c r="V904" i="53"/>
  <c r="Y684" i="53"/>
  <c r="Y480" i="53"/>
  <c r="V1034" i="53"/>
  <c r="V161" i="53"/>
  <c r="V971" i="53"/>
  <c r="Y161" i="53"/>
  <c r="Y52" i="53"/>
  <c r="Y971" i="53"/>
  <c r="V693" i="53"/>
  <c r="E15" i="39"/>
  <c r="V854" i="53"/>
  <c r="Y693" i="53"/>
  <c r="Y439" i="53"/>
  <c r="AI439" i="53" s="1"/>
  <c r="V356" i="53"/>
  <c r="Y854" i="53"/>
  <c r="V187" i="53"/>
  <c r="V459" i="53"/>
  <c r="V542" i="53"/>
  <c r="V52" i="53"/>
  <c r="V36" i="53"/>
  <c r="Y356" i="53"/>
  <c r="AI356" i="53" s="1"/>
  <c r="V1026" i="53"/>
  <c r="Y187" i="53"/>
  <c r="Y459" i="53"/>
  <c r="Y542" i="53"/>
  <c r="V578" i="53"/>
  <c r="Y578" i="53"/>
  <c r="Y36" i="53"/>
  <c r="V411" i="53"/>
  <c r="V743" i="53"/>
  <c r="V560" i="53"/>
  <c r="Y411" i="53"/>
  <c r="Y743" i="53"/>
  <c r="V791" i="53"/>
  <c r="V955" i="53"/>
  <c r="V444" i="53"/>
  <c r="V929" i="53"/>
  <c r="V954" i="53"/>
  <c r="V269" i="53"/>
  <c r="Y955" i="53"/>
  <c r="Y444" i="53"/>
  <c r="Y929" i="53"/>
  <c r="Y1034" i="53"/>
  <c r="Y269" i="53"/>
  <c r="V285" i="53"/>
  <c r="Y401" i="53"/>
  <c r="V204" i="53"/>
  <c r="V972" i="53"/>
  <c r="V298" i="53"/>
  <c r="Y972" i="53"/>
  <c r="Y560" i="53"/>
  <c r="AI560" i="53" s="1"/>
  <c r="Y552" i="53"/>
  <c r="Y850" i="53"/>
  <c r="AI850" i="53" s="1"/>
  <c r="V324" i="53"/>
  <c r="V684" i="53"/>
  <c r="Y1026" i="53"/>
  <c r="Y324" i="53"/>
  <c r="Y334" i="53"/>
  <c r="V460" i="53"/>
  <c r="V334" i="53"/>
  <c r="Y460" i="53"/>
  <c r="AI460" i="53" s="1"/>
  <c r="V79" i="53"/>
  <c r="Y79" i="53"/>
  <c r="Y335" i="53"/>
  <c r="Y610" i="53"/>
  <c r="V193" i="53"/>
  <c r="Y317" i="53"/>
  <c r="AI317" i="53" s="1"/>
  <c r="V177" i="53"/>
  <c r="V850" i="53"/>
  <c r="V610" i="53"/>
  <c r="V667" i="53"/>
  <c r="Y667" i="53"/>
  <c r="V304" i="53"/>
  <c r="V32" i="53"/>
  <c r="Y304" i="53"/>
  <c r="Y32" i="53"/>
  <c r="V61" i="53"/>
  <c r="Y61" i="53"/>
  <c r="V211" i="53"/>
  <c r="V335" i="53"/>
  <c r="Y441" i="53"/>
  <c r="Y100" i="53"/>
  <c r="V886" i="53"/>
  <c r="V481" i="53"/>
  <c r="V313" i="53"/>
  <c r="Y886" i="53"/>
  <c r="V340" i="53"/>
  <c r="Y481" i="53"/>
  <c r="AI481" i="53" s="1"/>
  <c r="Y313" i="53"/>
  <c r="V618" i="53"/>
  <c r="V100" i="53"/>
  <c r="V449" i="53"/>
  <c r="L1109" i="54"/>
  <c r="Y449" i="53"/>
  <c r="AI449" i="53" s="1"/>
  <c r="V39" i="53"/>
  <c r="V585" i="53"/>
  <c r="AG6" i="53"/>
  <c r="V203" i="53"/>
  <c r="Y39" i="53"/>
  <c r="Y585" i="53"/>
  <c r="Y203" i="53"/>
  <c r="Y211" i="53"/>
  <c r="AI211" i="53" s="1"/>
  <c r="V617" i="53"/>
  <c r="Y617" i="53"/>
  <c r="Y660" i="53"/>
  <c r="V301" i="53"/>
  <c r="Y301" i="53"/>
  <c r="V544" i="53"/>
  <c r="V467" i="53"/>
  <c r="Y467" i="53"/>
  <c r="V1012" i="53"/>
  <c r="Y1012" i="53"/>
  <c r="Y285" i="53"/>
  <c r="V471" i="53"/>
  <c r="V476" i="53"/>
  <c r="Y471" i="53"/>
  <c r="Y476" i="53"/>
  <c r="V350" i="53"/>
  <c r="V117" i="53"/>
  <c r="Y350" i="53"/>
  <c r="Y117" i="53"/>
  <c r="Y177" i="53"/>
  <c r="AI177" i="53" s="1"/>
  <c r="Y193" i="53"/>
  <c r="V317" i="53"/>
  <c r="V660" i="53"/>
  <c r="AR13" i="53"/>
  <c r="V253" i="53"/>
  <c r="Y699" i="53"/>
  <c r="AI699" i="53" s="1"/>
  <c r="Y253" i="53"/>
  <c r="V271" i="53"/>
  <c r="V441" i="53"/>
  <c r="Y606" i="53"/>
  <c r="V252" i="53"/>
  <c r="Y486" i="53"/>
  <c r="V220" i="53"/>
  <c r="Y252" i="53"/>
  <c r="V852" i="53"/>
  <c r="Y220" i="53"/>
  <c r="V1099" i="53"/>
  <c r="V29" i="53"/>
  <c r="Y852" i="53"/>
  <c r="Y1099" i="53"/>
  <c r="Y29" i="53"/>
  <c r="AH4" i="53"/>
  <c r="I171" i="31"/>
  <c r="U13" i="53"/>
  <c r="I135" i="31" s="1"/>
  <c r="V95" i="53"/>
  <c r="V216" i="53"/>
  <c r="V48" i="53"/>
  <c r="V256" i="53"/>
  <c r="V527" i="53"/>
  <c r="Y95" i="53"/>
  <c r="Y216" i="53"/>
  <c r="V370" i="53"/>
  <c r="Y48" i="53"/>
  <c r="Y256" i="53"/>
  <c r="AI256" i="53" s="1"/>
  <c r="Y527" i="53"/>
  <c r="V733" i="53"/>
  <c r="Y156" i="53"/>
  <c r="Y370" i="53"/>
  <c r="V322" i="53"/>
  <c r="Y733" i="53"/>
  <c r="V914" i="53"/>
  <c r="V1102" i="53"/>
  <c r="V780" i="53"/>
  <c r="Y322" i="53"/>
  <c r="Y914" i="53"/>
  <c r="V557" i="53"/>
  <c r="Y1102" i="53"/>
  <c r="Y780" i="53"/>
  <c r="V351" i="53"/>
  <c r="Y557" i="53"/>
  <c r="V699" i="53"/>
  <c r="Y351" i="53"/>
  <c r="Y340" i="53"/>
  <c r="Y618" i="53"/>
  <c r="V254" i="53"/>
  <c r="V1080" i="53"/>
  <c r="V543" i="53"/>
  <c r="V869" i="53"/>
  <c r="Y483" i="53"/>
  <c r="Y338" i="53"/>
  <c r="V227" i="53"/>
  <c r="Y227" i="53"/>
  <c r="V66" i="53"/>
  <c r="Y66" i="53"/>
  <c r="AI66" i="53" s="1"/>
  <c r="V62" i="53"/>
  <c r="Y62" i="53"/>
  <c r="V338" i="53"/>
  <c r="Y869" i="53"/>
  <c r="AI869" i="53" s="1"/>
  <c r="V290" i="53"/>
  <c r="V530" i="53"/>
  <c r="V907" i="53"/>
  <c r="Y290" i="53"/>
  <c r="Y530" i="53"/>
  <c r="Y907" i="53"/>
  <c r="V198" i="53"/>
  <c r="Y198" i="53"/>
  <c r="V308" i="53"/>
  <c r="V817" i="53"/>
  <c r="Y308" i="53"/>
  <c r="V195" i="53"/>
  <c r="Y195" i="53"/>
  <c r="V902" i="53"/>
  <c r="Y902" i="53"/>
  <c r="AI902" i="53" s="1"/>
  <c r="V896" i="53"/>
  <c r="Y896" i="53"/>
  <c r="V483" i="53"/>
  <c r="Y1080" i="53"/>
  <c r="Y254" i="53"/>
  <c r="Y817" i="53"/>
  <c r="AI817" i="53" s="1"/>
  <c r="V977" i="53"/>
  <c r="Y543" i="53"/>
  <c r="AI543" i="53" s="1"/>
  <c r="V276" i="53"/>
  <c r="V564" i="53"/>
  <c r="V8" i="53"/>
  <c r="Y977" i="53"/>
  <c r="Y276" i="53"/>
  <c r="Y564" i="53"/>
  <c r="Y8" i="53"/>
  <c r="V541" i="53"/>
  <c r="V379" i="53"/>
  <c r="V372" i="53"/>
  <c r="Y541" i="53"/>
  <c r="AI541" i="53" s="1"/>
  <c r="Y379" i="53"/>
  <c r="Y372" i="53"/>
  <c r="V496" i="53"/>
  <c r="V318" i="53"/>
  <c r="Y496" i="53"/>
  <c r="Y318" i="53"/>
  <c r="V573" i="53"/>
  <c r="V951" i="53"/>
  <c r="Y573" i="53"/>
  <c r="Y951" i="53"/>
  <c r="V428" i="53"/>
  <c r="V403" i="53"/>
  <c r="V394" i="53"/>
  <c r="Y559" i="53"/>
  <c r="Y870" i="53"/>
  <c r="V559" i="53"/>
  <c r="Y428" i="53"/>
  <c r="Y403" i="53"/>
  <c r="AI403" i="53" s="1"/>
  <c r="V819" i="53"/>
  <c r="V50" i="53"/>
  <c r="Y394" i="53"/>
  <c r="AI394" i="53" s="1"/>
  <c r="Y766" i="53"/>
  <c r="AI766" i="53" s="1"/>
  <c r="Y819" i="53"/>
  <c r="V512" i="53"/>
  <c r="V287" i="53"/>
  <c r="Y512" i="53"/>
  <c r="Y287" i="53"/>
  <c r="V513" i="53"/>
  <c r="V836" i="53"/>
  <c r="Y791" i="53"/>
  <c r="Y513" i="53"/>
  <c r="Y836" i="53"/>
  <c r="V786" i="53"/>
  <c r="V433" i="53"/>
  <c r="V208" i="53"/>
  <c r="Y786" i="53"/>
  <c r="Y433" i="53"/>
  <c r="Y208" i="53"/>
  <c r="V918" i="53"/>
  <c r="V255" i="53"/>
  <c r="Y918" i="53"/>
  <c r="Y255" i="53"/>
  <c r="V439" i="53"/>
  <c r="V37" i="53"/>
  <c r="V401" i="53"/>
  <c r="V69" i="53"/>
  <c r="V546" i="53"/>
  <c r="V485" i="53"/>
  <c r="V146" i="53"/>
  <c r="V647" i="53"/>
  <c r="Y546" i="53"/>
  <c r="AI546" i="53" s="1"/>
  <c r="Y485" i="53"/>
  <c r="AI485" i="53" s="1"/>
  <c r="Y146" i="53"/>
  <c r="AI146" i="53" s="1"/>
  <c r="Y647" i="53"/>
  <c r="V831" i="53"/>
  <c r="Y831" i="53"/>
  <c r="AI831" i="53" s="1"/>
  <c r="V237" i="53"/>
  <c r="V15" i="53"/>
  <c r="V1063" i="53"/>
  <c r="V742" i="53"/>
  <c r="Y237" i="53"/>
  <c r="V853" i="53"/>
  <c r="Y15" i="53"/>
  <c r="Y1063" i="53"/>
  <c r="Y742" i="53"/>
  <c r="Y853" i="53"/>
  <c r="AI853" i="53" s="1"/>
  <c r="V526" i="53"/>
  <c r="Y526" i="53"/>
  <c r="V1050" i="53"/>
  <c r="Y1050" i="53"/>
  <c r="V864" i="53"/>
  <c r="Y864" i="53"/>
  <c r="V326" i="53"/>
  <c r="V891" i="53"/>
  <c r="Y326" i="53"/>
  <c r="V31" i="53"/>
  <c r="Y891" i="53"/>
  <c r="Y188" i="53"/>
  <c r="V658" i="53"/>
  <c r="V661" i="53"/>
  <c r="V700" i="53"/>
  <c r="Y661" i="53"/>
  <c r="Y700" i="53"/>
  <c r="V597" i="53"/>
  <c r="Y597" i="53"/>
  <c r="V1083" i="53"/>
  <c r="Y1083" i="53"/>
  <c r="V345" i="53"/>
  <c r="Y345" i="53"/>
  <c r="V188" i="53"/>
  <c r="Y383" i="53"/>
  <c r="V493" i="53"/>
  <c r="Y493" i="53"/>
  <c r="AI493" i="53" s="1"/>
  <c r="V1025" i="53"/>
  <c r="Y1025" i="53"/>
  <c r="V214" i="53"/>
  <c r="V182" i="53"/>
  <c r="Y214" i="53"/>
  <c r="Y182" i="53"/>
  <c r="Y89" i="53"/>
  <c r="AI89" i="53" s="1"/>
  <c r="V383" i="53"/>
  <c r="Y1010" i="53"/>
  <c r="Y936" i="53"/>
  <c r="AI936" i="53" s="1"/>
  <c r="Y511" i="53"/>
  <c r="V89" i="53"/>
  <c r="V1010" i="53"/>
  <c r="V936" i="53"/>
  <c r="V511" i="53"/>
  <c r="V292" i="53"/>
  <c r="V306" i="53"/>
  <c r="Y1013" i="53"/>
  <c r="Y395" i="53"/>
  <c r="AI395" i="53" s="1"/>
  <c r="V385" i="53"/>
  <c r="Y540" i="53"/>
  <c r="V532" i="53"/>
  <c r="Y532" i="53"/>
  <c r="V755" i="53"/>
  <c r="Y755" i="53"/>
  <c r="V1070" i="53"/>
  <c r="Y1070" i="53"/>
  <c r="AI1070" i="53" s="1"/>
  <c r="Y834" i="53"/>
  <c r="Y286" i="53"/>
  <c r="AI286" i="53" s="1"/>
  <c r="V1061" i="53"/>
  <c r="V519" i="53"/>
  <c r="V834" i="53"/>
  <c r="Y519" i="53"/>
  <c r="AI519" i="53" s="1"/>
  <c r="V540" i="53"/>
  <c r="V689" i="53"/>
  <c r="V286" i="53"/>
  <c r="Y689" i="53"/>
  <c r="V1013" i="53"/>
  <c r="V172" i="53"/>
  <c r="Y172" i="53"/>
  <c r="AI172" i="53" s="1"/>
  <c r="Y240" i="53"/>
  <c r="Y145" i="53"/>
  <c r="Y598" i="53"/>
  <c r="V814" i="53"/>
  <c r="Y814" i="53"/>
  <c r="V562" i="53"/>
  <c r="V605" i="53"/>
  <c r="Y562" i="53"/>
  <c r="V224" i="53"/>
  <c r="Y605" i="53"/>
  <c r="Y224" i="53"/>
  <c r="AI224" i="53" s="1"/>
  <c r="V948" i="53"/>
  <c r="V240" i="53"/>
  <c r="Y948" i="53"/>
  <c r="V274" i="53"/>
  <c r="Y274" i="53"/>
  <c r="V747" i="53"/>
  <c r="Y747" i="53"/>
  <c r="V598" i="53"/>
  <c r="V145" i="53"/>
  <c r="V941" i="53"/>
  <c r="Y235" i="53"/>
  <c r="Y417" i="53"/>
  <c r="AI417" i="53" s="1"/>
  <c r="V34" i="53"/>
  <c r="V440" i="53"/>
  <c r="V1052" i="53"/>
  <c r="V510" i="53"/>
  <c r="Y941" i="53"/>
  <c r="V486" i="53"/>
  <c r="V156" i="53"/>
  <c r="Y34" i="53"/>
  <c r="Y440" i="53"/>
  <c r="Y1052" i="53"/>
  <c r="AI1052" i="53" s="1"/>
  <c r="Y510" i="53"/>
  <c r="Y292" i="53"/>
  <c r="V395" i="53"/>
  <c r="Y385" i="53"/>
  <c r="Y658" i="53"/>
  <c r="Y1061" i="53"/>
  <c r="Y306" i="53"/>
  <c r="V1054" i="53"/>
  <c r="V126" i="53"/>
  <c r="Y1054" i="53"/>
  <c r="Y126" i="53"/>
  <c r="AI126" i="53" s="1"/>
  <c r="V412" i="53"/>
  <c r="V924" i="53"/>
  <c r="V624" i="53"/>
  <c r="V107" i="53"/>
  <c r="Y412" i="53"/>
  <c r="AI412" i="53" s="1"/>
  <c r="Y924" i="53"/>
  <c r="Y624" i="53"/>
  <c r="Y107" i="53"/>
  <c r="AI107" i="53" s="1"/>
  <c r="V53" i="53"/>
  <c r="Y53" i="53"/>
  <c r="V389" i="53"/>
  <c r="V477" i="53"/>
  <c r="Y389" i="53"/>
  <c r="Y477" i="53"/>
  <c r="V163" i="53"/>
  <c r="L1117" i="54"/>
  <c r="V235" i="53"/>
  <c r="V417" i="53"/>
  <c r="Y163" i="53"/>
  <c r="AI163" i="53" s="1"/>
  <c r="AG14" i="53"/>
  <c r="Y50" i="53"/>
  <c r="Y168" i="53"/>
  <c r="V168" i="53"/>
  <c r="V170" i="53"/>
  <c r="Y170" i="53"/>
  <c r="V424" i="53"/>
  <c r="Y424" i="53"/>
  <c r="V959" i="53"/>
  <c r="Y959" i="53"/>
  <c r="V996" i="53"/>
  <c r="V325" i="53"/>
  <c r="Y996" i="53"/>
  <c r="Y325" i="53"/>
  <c r="Y475" i="53"/>
  <c r="AH475" i="53"/>
  <c r="V368" i="53"/>
  <c r="AH368" i="53"/>
  <c r="V845" i="53"/>
  <c r="AH845" i="53"/>
  <c r="Y431" i="53"/>
  <c r="AH431" i="53"/>
  <c r="Y553" i="53"/>
  <c r="AH553" i="53"/>
  <c r="Y112" i="53"/>
  <c r="AH112" i="53"/>
  <c r="V1105" i="53"/>
  <c r="AH1105" i="53"/>
  <c r="Y995" i="53"/>
  <c r="AH995" i="53"/>
  <c r="Y60" i="53"/>
  <c r="AH60" i="53"/>
  <c r="Y158" i="53"/>
  <c r="AH158" i="53"/>
  <c r="V91" i="53"/>
  <c r="AH91" i="53"/>
  <c r="Y1058" i="53"/>
  <c r="AH1058" i="53"/>
  <c r="Y448" i="53"/>
  <c r="AH448" i="53"/>
  <c r="Y447" i="53"/>
  <c r="AH447" i="53"/>
  <c r="Y482" i="53"/>
  <c r="AH482" i="53"/>
  <c r="Y517" i="53"/>
  <c r="AH517" i="53"/>
  <c r="Y628" i="53"/>
  <c r="AH628" i="53"/>
  <c r="Y944" i="53"/>
  <c r="AH944" i="53"/>
  <c r="V407" i="53"/>
  <c r="AH407" i="53"/>
  <c r="Y488" i="53"/>
  <c r="AH488" i="53"/>
  <c r="Y767" i="53"/>
  <c r="AH767" i="53"/>
  <c r="Y49" i="53"/>
  <c r="AH49" i="53"/>
  <c r="Y397" i="53"/>
  <c r="AH397" i="53"/>
  <c r="Y588" i="53"/>
  <c r="AH588" i="53"/>
  <c r="V311" i="53"/>
  <c r="AH311" i="53"/>
  <c r="Y813" i="53"/>
  <c r="AH813" i="53"/>
  <c r="Y538" i="53"/>
  <c r="AH538" i="53"/>
  <c r="V913" i="53"/>
  <c r="AH913" i="53"/>
  <c r="V246" i="53"/>
  <c r="AH246" i="53"/>
  <c r="Y454" i="53"/>
  <c r="AH454" i="53"/>
  <c r="Y574" i="53"/>
  <c r="AH574" i="53"/>
  <c r="Y594" i="53"/>
  <c r="AH594" i="53"/>
  <c r="Y232" i="53"/>
  <c r="AH232" i="53"/>
  <c r="Y184" i="53"/>
  <c r="AH184" i="53"/>
  <c r="Y868" i="53"/>
  <c r="AH868" i="53"/>
  <c r="Y165" i="53"/>
  <c r="AH165" i="53"/>
  <c r="Y259" i="53"/>
  <c r="AH259" i="53"/>
  <c r="V825" i="53"/>
  <c r="AH825" i="53"/>
  <c r="V627" i="53"/>
  <c r="AH627" i="53"/>
  <c r="Y153" i="53"/>
  <c r="AH153" i="53"/>
  <c r="Y472" i="53"/>
  <c r="AH472" i="53"/>
  <c r="Y735" i="53"/>
  <c r="AH735" i="53"/>
  <c r="Y728" i="53"/>
  <c r="AH728" i="53"/>
  <c r="V777" i="53"/>
  <c r="AH777" i="53"/>
  <c r="Y178" i="53"/>
  <c r="AH178" i="53"/>
  <c r="Y657" i="53"/>
  <c r="AH657" i="53"/>
  <c r="V1085" i="53"/>
  <c r="AH1085" i="53"/>
  <c r="V1059" i="53"/>
  <c r="AH1059" i="53"/>
  <c r="V750" i="53"/>
  <c r="AH750" i="53"/>
  <c r="Y494" i="53"/>
  <c r="AH494" i="53"/>
  <c r="Y239" i="53"/>
  <c r="AH239" i="53"/>
  <c r="Y65" i="53"/>
  <c r="AH65" i="53"/>
  <c r="Y555" i="53"/>
  <c r="AH555" i="53"/>
  <c r="Y1041" i="53"/>
  <c r="AH1041" i="53"/>
  <c r="Y173" i="53"/>
  <c r="AH173" i="53"/>
  <c r="V81" i="53"/>
  <c r="AH81" i="53"/>
  <c r="Y784" i="53"/>
  <c r="AH784" i="53"/>
  <c r="Y413" i="53"/>
  <c r="AH413" i="53"/>
  <c r="Y506" i="53"/>
  <c r="AH506" i="53"/>
  <c r="Y726" i="53"/>
  <c r="AH726" i="53"/>
  <c r="Y686" i="53"/>
  <c r="AH686" i="53"/>
  <c r="Y865" i="53"/>
  <c r="AH865" i="53"/>
  <c r="Y327" i="53"/>
  <c r="AH327" i="53"/>
  <c r="Y289" i="53"/>
  <c r="AH289" i="53"/>
  <c r="Y737" i="53"/>
  <c r="AH737" i="53"/>
  <c r="Y908" i="53"/>
  <c r="AH908" i="53"/>
  <c r="Y952" i="53"/>
  <c r="AH952" i="53"/>
  <c r="Y919" i="53"/>
  <c r="AH919" i="53"/>
  <c r="Y87" i="53"/>
  <c r="AH87" i="53"/>
  <c r="Y963" i="53"/>
  <c r="AH963" i="53"/>
  <c r="Y405" i="53"/>
  <c r="AH405" i="53"/>
  <c r="Y409" i="53"/>
  <c r="AH409" i="53"/>
  <c r="V250" i="53"/>
  <c r="AH250" i="53"/>
  <c r="Y85" i="53"/>
  <c r="AH85" i="53"/>
  <c r="V880" i="53"/>
  <c r="AH880" i="53"/>
  <c r="Y491" i="53"/>
  <c r="AH491" i="53"/>
  <c r="Y284" i="53"/>
  <c r="AH284" i="53"/>
  <c r="V1003" i="53"/>
  <c r="AH1003" i="53"/>
  <c r="Y539" i="53"/>
  <c r="AH539" i="53"/>
  <c r="Y592" i="53"/>
  <c r="AH592" i="53"/>
  <c r="Y759" i="53"/>
  <c r="AH759" i="53"/>
  <c r="Y793" i="53"/>
  <c r="AH793" i="53"/>
  <c r="V625" i="53"/>
  <c r="AH625" i="53"/>
  <c r="Y1072" i="53"/>
  <c r="AH1072" i="53"/>
  <c r="Y463" i="53"/>
  <c r="AH463" i="53"/>
  <c r="Y563" i="53"/>
  <c r="AH563" i="53"/>
  <c r="V894" i="53"/>
  <c r="AH894" i="53"/>
  <c r="V548" i="53"/>
  <c r="AH548" i="53"/>
  <c r="Y874" i="53"/>
  <c r="AH874" i="53"/>
  <c r="Y724" i="53"/>
  <c r="AH724" i="53"/>
  <c r="Y778" i="53"/>
  <c r="AH778" i="53"/>
  <c r="V912" i="53"/>
  <c r="AH912" i="53"/>
  <c r="Y862" i="53"/>
  <c r="AH862" i="53"/>
  <c r="Y1082" i="53"/>
  <c r="AH1082" i="53"/>
  <c r="V1042" i="53"/>
  <c r="AH1042" i="53"/>
  <c r="Y10" i="53"/>
  <c r="AH10" i="53"/>
  <c r="V115" i="53"/>
  <c r="AH115" i="53"/>
  <c r="Y473" i="53"/>
  <c r="AH473" i="53"/>
  <c r="Y364" i="53"/>
  <c r="AH364" i="53"/>
  <c r="Y811" i="53"/>
  <c r="AH811" i="53"/>
  <c r="Y245" i="53"/>
  <c r="AH245" i="53"/>
  <c r="V206" i="53"/>
  <c r="AH206" i="53"/>
  <c r="Y855" i="53"/>
  <c r="AH855" i="53"/>
  <c r="Y1016" i="53"/>
  <c r="AH1016" i="53"/>
  <c r="Y59" i="53"/>
  <c r="AH59" i="53"/>
  <c r="Y72" i="53"/>
  <c r="AH72" i="53"/>
  <c r="Y729" i="53"/>
  <c r="AH729" i="53"/>
  <c r="Y307" i="53"/>
  <c r="AH307" i="53"/>
  <c r="Y547" i="53"/>
  <c r="AH547" i="53"/>
  <c r="Y119" i="53"/>
  <c r="AH119" i="53"/>
  <c r="V736" i="53"/>
  <c r="AH736" i="53"/>
  <c r="Y121" i="53"/>
  <c r="AH121" i="53"/>
  <c r="Y367" i="53"/>
  <c r="AH367" i="53"/>
  <c r="Y554" i="53"/>
  <c r="AH554" i="53"/>
  <c r="Y937" i="53"/>
  <c r="AH937" i="53"/>
  <c r="Y816" i="53"/>
  <c r="AH816" i="53"/>
  <c r="V569" i="53"/>
  <c r="AH569" i="53"/>
  <c r="Y884" i="53"/>
  <c r="AH884" i="53"/>
  <c r="Y931" i="53"/>
  <c r="AH931" i="53"/>
  <c r="V359" i="53"/>
  <c r="AH359" i="53"/>
  <c r="V1093" i="53"/>
  <c r="AH1093" i="53"/>
  <c r="Y336" i="53"/>
  <c r="AH336" i="53"/>
  <c r="Y402" i="53"/>
  <c r="AH402" i="53"/>
  <c r="Y889" i="53"/>
  <c r="AH889" i="53"/>
  <c r="V373" i="53"/>
  <c r="AH373" i="53"/>
  <c r="Y903" i="53"/>
  <c r="AH903" i="53"/>
  <c r="Y408" i="53"/>
  <c r="AH408" i="53"/>
  <c r="V523" i="53"/>
  <c r="AH523" i="53"/>
  <c r="Y847" i="53"/>
  <c r="AH847" i="53"/>
  <c r="Y1017" i="53"/>
  <c r="AH1017" i="53"/>
  <c r="Y734" i="53"/>
  <c r="AH734" i="53"/>
  <c r="Y347" i="53"/>
  <c r="AH347" i="53"/>
  <c r="Y393" i="53"/>
  <c r="AH393" i="53"/>
  <c r="Y396" i="53"/>
  <c r="AH396" i="53"/>
  <c r="V470" i="53"/>
  <c r="AH470" i="53"/>
  <c r="Y695" i="53"/>
  <c r="AH695" i="53"/>
  <c r="Y1037" i="53"/>
  <c r="AH1037" i="53"/>
  <c r="Y339" i="53"/>
  <c r="AH339" i="53"/>
  <c r="Y1065" i="53"/>
  <c r="AH1065" i="53"/>
  <c r="Y42" i="53"/>
  <c r="AH42" i="53"/>
  <c r="Y442" i="53"/>
  <c r="AH442" i="53"/>
  <c r="Y797" i="53"/>
  <c r="AH797" i="53"/>
  <c r="Y604" i="53"/>
  <c r="AH604" i="53"/>
  <c r="V698" i="53"/>
  <c r="AH698" i="53"/>
  <c r="Y975" i="53"/>
  <c r="AH975" i="53"/>
  <c r="Y312" i="53"/>
  <c r="AH312" i="53"/>
  <c r="V792" i="53"/>
  <c r="AH792" i="53"/>
  <c r="V1056" i="53"/>
  <c r="AH1056" i="53"/>
  <c r="Y779" i="53"/>
  <c r="AH779" i="53"/>
  <c r="Y265" i="53"/>
  <c r="AH265" i="53"/>
  <c r="V984" i="53"/>
  <c r="AH984" i="53"/>
  <c r="V892" i="53"/>
  <c r="AH892" i="53"/>
  <c r="Y704" i="53"/>
  <c r="AH704" i="53"/>
  <c r="Y942" i="53"/>
  <c r="AH942" i="53"/>
  <c r="Y272" i="53"/>
  <c r="AH272" i="53"/>
  <c r="Y319" i="53"/>
  <c r="AH319" i="53"/>
  <c r="Y656" i="53"/>
  <c r="AH656" i="53"/>
  <c r="Y1007" i="53"/>
  <c r="AH1007" i="53"/>
  <c r="Y925" i="53"/>
  <c r="AH925" i="53"/>
  <c r="Y991" i="53"/>
  <c r="AH991" i="53"/>
  <c r="V806" i="53"/>
  <c r="AH806" i="53"/>
  <c r="Y127" i="53"/>
  <c r="AH127" i="53"/>
  <c r="V666" i="53"/>
  <c r="AH666" i="53"/>
  <c r="AI666" i="53" s="1"/>
  <c r="Y980" i="53"/>
  <c r="AH980" i="53"/>
  <c r="Y264" i="53"/>
  <c r="AH264" i="53"/>
  <c r="Y938" i="53"/>
  <c r="AH938" i="53"/>
  <c r="Y376" i="53"/>
  <c r="AH376" i="53"/>
  <c r="Y296" i="53"/>
  <c r="AH296" i="53"/>
  <c r="Y670" i="53"/>
  <c r="AH670" i="53"/>
  <c r="Y122" i="53"/>
  <c r="AH122" i="53"/>
  <c r="V414" i="53"/>
  <c r="AH414" i="53"/>
  <c r="Y775" i="53"/>
  <c r="AH775" i="53"/>
  <c r="Y652" i="53"/>
  <c r="AH652" i="53"/>
  <c r="Y730" i="53"/>
  <c r="AH730" i="53"/>
  <c r="Y897" i="53"/>
  <c r="AH897" i="53"/>
  <c r="Y861" i="53"/>
  <c r="AH861" i="53"/>
  <c r="Y615" i="53"/>
  <c r="AH615" i="53"/>
  <c r="Y768" i="53"/>
  <c r="AH768" i="53"/>
  <c r="V620" i="53"/>
  <c r="AH620" i="53"/>
  <c r="Y691" i="53"/>
  <c r="AH691" i="53"/>
  <c r="Y1000" i="53"/>
  <c r="AH1000" i="53"/>
  <c r="V233" i="53"/>
  <c r="AH233" i="53"/>
  <c r="V315" i="53"/>
  <c r="AH315" i="53"/>
  <c r="Y212" i="53"/>
  <c r="AH212" i="53"/>
  <c r="Y299" i="53"/>
  <c r="AH299" i="53"/>
  <c r="Y600" i="53"/>
  <c r="AH600" i="53"/>
  <c r="Y452" i="53"/>
  <c r="AH452" i="53"/>
  <c r="Y174" i="53"/>
  <c r="AH174" i="53"/>
  <c r="Y551" i="53"/>
  <c r="AH551" i="53"/>
  <c r="Y741" i="53"/>
  <c r="AH741" i="53"/>
  <c r="Y1073" i="53"/>
  <c r="AH1073" i="53"/>
  <c r="Y810" i="53"/>
  <c r="AH810" i="53"/>
  <c r="V422" i="53"/>
  <c r="AH422" i="53"/>
  <c r="V1064" i="53"/>
  <c r="AH1064" i="53"/>
  <c r="V23" i="53"/>
  <c r="AH23" i="53"/>
  <c r="Y1044" i="53"/>
  <c r="AH1044" i="53"/>
  <c r="Y790" i="53"/>
  <c r="AH790" i="53"/>
  <c r="V707" i="53"/>
  <c r="AH707" i="53"/>
  <c r="V1032" i="53"/>
  <c r="AH1032" i="53"/>
  <c r="V999" i="53"/>
  <c r="AH999" i="53"/>
  <c r="Y978" i="53"/>
  <c r="AH978" i="53"/>
  <c r="Y360" i="53"/>
  <c r="AH360" i="53"/>
  <c r="Y997" i="53"/>
  <c r="AH997" i="53"/>
  <c r="Y191" i="53"/>
  <c r="AH191" i="53"/>
  <c r="Y950" i="53"/>
  <c r="AH950" i="53"/>
  <c r="V194" i="53"/>
  <c r="AH194" i="53"/>
  <c r="Y82" i="53"/>
  <c r="AH82" i="53"/>
  <c r="Y1068" i="53"/>
  <c r="AH1068" i="53"/>
  <c r="Y752" i="53"/>
  <c r="AH752" i="53"/>
  <c r="Y893" i="53"/>
  <c r="AH893" i="53"/>
  <c r="Y641" i="53"/>
  <c r="AH641" i="53"/>
  <c r="Y774" i="53"/>
  <c r="AH774" i="53"/>
  <c r="Y516" i="53"/>
  <c r="AH516" i="53"/>
  <c r="Y258" i="53"/>
  <c r="AH258" i="53"/>
  <c r="Y805" i="53"/>
  <c r="AH805" i="53"/>
  <c r="Y458" i="53"/>
  <c r="AH458" i="53"/>
  <c r="Y718" i="53"/>
  <c r="AH718" i="53"/>
  <c r="Y323" i="53"/>
  <c r="AH323" i="53"/>
  <c r="Y210" i="53"/>
  <c r="AH210" i="53"/>
  <c r="Y43" i="53"/>
  <c r="AH43" i="53"/>
  <c r="Y927" i="53"/>
  <c r="AH927" i="53"/>
  <c r="Y361" i="53"/>
  <c r="AH361" i="53"/>
  <c r="Y639" i="53"/>
  <c r="AH639" i="53"/>
  <c r="Y788" i="53"/>
  <c r="AH788" i="53"/>
  <c r="V1048" i="53"/>
  <c r="AH1048" i="53"/>
  <c r="Y377" i="53"/>
  <c r="AH377" i="53"/>
  <c r="Y890" i="53"/>
  <c r="AH890" i="53"/>
  <c r="Y456" i="53"/>
  <c r="AH456" i="53"/>
  <c r="Y1055" i="53"/>
  <c r="AH1055" i="53"/>
  <c r="Y357" i="53"/>
  <c r="AH357" i="53"/>
  <c r="Y586" i="53"/>
  <c r="AH586" i="53"/>
  <c r="Y697" i="53"/>
  <c r="AH697" i="53"/>
  <c r="Y116" i="53"/>
  <c r="AH116" i="53"/>
  <c r="V877" i="53"/>
  <c r="AH877" i="53"/>
  <c r="Y7" i="53"/>
  <c r="AH7" i="53"/>
  <c r="Y328" i="53"/>
  <c r="AH328" i="53"/>
  <c r="Y68" i="53"/>
  <c r="AH68" i="53"/>
  <c r="Y962" i="53"/>
  <c r="AH962" i="53"/>
  <c r="Y35" i="53"/>
  <c r="AH35" i="53"/>
  <c r="Y33" i="53"/>
  <c r="AH33" i="53"/>
  <c r="Y1040" i="53"/>
  <c r="AH1040" i="53"/>
  <c r="Y185" i="53"/>
  <c r="AH185" i="53"/>
  <c r="Y40" i="53"/>
  <c r="AH40" i="53"/>
  <c r="Y856" i="53"/>
  <c r="AH856" i="53"/>
  <c r="V502" i="53"/>
  <c r="AH502" i="53"/>
  <c r="Y1006" i="53"/>
  <c r="AH1006" i="53"/>
  <c r="Y818" i="53"/>
  <c r="AH818" i="53"/>
  <c r="Y369" i="53"/>
  <c r="AH369" i="53"/>
  <c r="Y192" i="53"/>
  <c r="AH192" i="53"/>
  <c r="Y579" i="53"/>
  <c r="AH579" i="53"/>
  <c r="Y746" i="53"/>
  <c r="AH746" i="53"/>
  <c r="Y429" i="53"/>
  <c r="AH429" i="53"/>
  <c r="Y957" i="53"/>
  <c r="AH957" i="53"/>
  <c r="Y629" i="53"/>
  <c r="AH629" i="53"/>
  <c r="Y446" i="53"/>
  <c r="AH446" i="53"/>
  <c r="Y725" i="53"/>
  <c r="AH725" i="53"/>
  <c r="Y979" i="53"/>
  <c r="AH979" i="53"/>
  <c r="Y985" i="53"/>
  <c r="AH985" i="53"/>
  <c r="Y151" i="53"/>
  <c r="AH151" i="53"/>
  <c r="Y503" i="53"/>
  <c r="AH503" i="53"/>
  <c r="Y706" i="53"/>
  <c r="AH706" i="53"/>
  <c r="Y566" i="53"/>
  <c r="AH566" i="53"/>
  <c r="Y842" i="53"/>
  <c r="AH842" i="53"/>
  <c r="V16" i="53"/>
  <c r="AH16" i="53"/>
  <c r="Y501" i="53"/>
  <c r="AH501" i="53"/>
  <c r="V200" i="53"/>
  <c r="AH200" i="53"/>
  <c r="Y910" i="53"/>
  <c r="AH910" i="53"/>
  <c r="V681" i="53"/>
  <c r="AH681" i="53"/>
  <c r="Y631" i="53"/>
  <c r="AH631" i="53"/>
  <c r="Y851" i="53"/>
  <c r="AH851" i="53"/>
  <c r="Y674" i="53"/>
  <c r="AH674" i="53"/>
  <c r="Y561" i="53"/>
  <c r="AH561" i="53"/>
  <c r="V415" i="53"/>
  <c r="AH415" i="53"/>
  <c r="V565" i="53"/>
  <c r="AH565" i="53"/>
  <c r="Y1079" i="53"/>
  <c r="AH1079" i="53"/>
  <c r="V249" i="53"/>
  <c r="AH249" i="53"/>
  <c r="Y688" i="53"/>
  <c r="AH688" i="53"/>
  <c r="Y41" i="53"/>
  <c r="AH41" i="53"/>
  <c r="Y922" i="53"/>
  <c r="AH922" i="53"/>
  <c r="Y1095" i="53"/>
  <c r="AH1095" i="53"/>
  <c r="Y180" i="53"/>
  <c r="AH180" i="53"/>
  <c r="V97" i="53"/>
  <c r="AH97" i="53"/>
  <c r="Y895" i="53"/>
  <c r="AH895" i="53"/>
  <c r="Y199" i="53"/>
  <c r="AH199" i="53"/>
  <c r="V514" i="53"/>
  <c r="AH514" i="53"/>
  <c r="Y830" i="53"/>
  <c r="AH830" i="53"/>
  <c r="Y21" i="53"/>
  <c r="AH21" i="53"/>
  <c r="V1096" i="53"/>
  <c r="AH1096" i="53"/>
  <c r="Y120" i="53"/>
  <c r="AH120" i="53"/>
  <c r="Y295" i="53"/>
  <c r="AH295" i="53"/>
  <c r="Y571" i="53"/>
  <c r="AH571" i="53"/>
  <c r="Y702" i="53"/>
  <c r="AH702" i="53"/>
  <c r="Y144" i="53"/>
  <c r="AH144" i="53"/>
  <c r="Y1071" i="53"/>
  <c r="AH1071" i="53"/>
  <c r="Y599" i="53"/>
  <c r="AH599" i="53"/>
  <c r="Y799" i="53"/>
  <c r="AH799" i="53"/>
  <c r="Y1019" i="53"/>
  <c r="AH1019" i="53"/>
  <c r="Y305" i="53"/>
  <c r="AH305" i="53"/>
  <c r="Y1046" i="53"/>
  <c r="AH1046" i="53"/>
  <c r="Y708" i="53"/>
  <c r="AH708" i="53"/>
  <c r="V26" i="53"/>
  <c r="AH26" i="53"/>
  <c r="Y423" i="53"/>
  <c r="AH423" i="53"/>
  <c r="Y1076" i="53"/>
  <c r="AH1076" i="53"/>
  <c r="Y648" i="53"/>
  <c r="AH648" i="53"/>
  <c r="Y282" i="53"/>
  <c r="AH282" i="53"/>
  <c r="Y760" i="53"/>
  <c r="AH760" i="53"/>
  <c r="Y824" i="53"/>
  <c r="AH824" i="53"/>
  <c r="Y55" i="53"/>
  <c r="AH55" i="53"/>
  <c r="Y946" i="53"/>
  <c r="AH946" i="53"/>
  <c r="Y437" i="53"/>
  <c r="AH437" i="53"/>
  <c r="Y638" i="53"/>
  <c r="AH638" i="53"/>
  <c r="Y744" i="53"/>
  <c r="AH744" i="53"/>
  <c r="V378" i="53"/>
  <c r="AH378" i="53"/>
  <c r="Y406" i="53"/>
  <c r="AH406" i="53"/>
  <c r="Y241" i="53"/>
  <c r="AH241" i="53"/>
  <c r="Y676" i="53"/>
  <c r="AH676" i="53"/>
  <c r="Y159" i="53"/>
  <c r="AH159" i="53"/>
  <c r="Y247" i="53"/>
  <c r="AH247" i="53"/>
  <c r="Y1077" i="53"/>
  <c r="AH1077" i="53"/>
  <c r="Y608" i="53"/>
  <c r="AH608" i="53"/>
  <c r="Y545" i="53"/>
  <c r="AH545" i="53"/>
  <c r="Y989" i="53"/>
  <c r="AH989" i="53"/>
  <c r="Y659" i="53"/>
  <c r="AH659" i="53"/>
  <c r="Y205" i="53"/>
  <c r="AH205" i="53"/>
  <c r="Y113" i="53"/>
  <c r="AH113" i="53"/>
  <c r="Y140" i="53"/>
  <c r="AH140" i="53"/>
  <c r="Y1092" i="53"/>
  <c r="AH1092" i="53"/>
  <c r="Y1001" i="53"/>
  <c r="AH1001" i="53"/>
  <c r="Y593" i="53"/>
  <c r="AH593" i="53"/>
  <c r="Y809" i="53"/>
  <c r="AH809" i="53"/>
  <c r="V88" i="53"/>
  <c r="AH88" i="53"/>
  <c r="Y1103" i="53"/>
  <c r="AH1103" i="53"/>
  <c r="Y321" i="53"/>
  <c r="AH321" i="53"/>
  <c r="Y812" i="53"/>
  <c r="AH812" i="53"/>
  <c r="Y949" i="53"/>
  <c r="AH949" i="53"/>
  <c r="Y567" i="53"/>
  <c r="AH567" i="53"/>
  <c r="Y384" i="53"/>
  <c r="AH384" i="53"/>
  <c r="Y987" i="53"/>
  <c r="AH987" i="53"/>
  <c r="Y25" i="53"/>
  <c r="AH25" i="53"/>
  <c r="V808" i="53"/>
  <c r="AH808" i="53"/>
  <c r="Y898" i="53"/>
  <c r="AH898" i="53"/>
  <c r="Y607" i="53"/>
  <c r="AH607" i="53"/>
  <c r="Y887" i="53"/>
  <c r="AH887" i="53"/>
  <c r="Y1075" i="53"/>
  <c r="AH1075" i="53"/>
  <c r="V135" i="53"/>
  <c r="AH135" i="53"/>
  <c r="Y114" i="53"/>
  <c r="AH114" i="53"/>
  <c r="Y22" i="53"/>
  <c r="AH22" i="53"/>
  <c r="Y998" i="53"/>
  <c r="AH998" i="53"/>
  <c r="Y435" i="53"/>
  <c r="AH435" i="53"/>
  <c r="Y771" i="53"/>
  <c r="AH771" i="53"/>
  <c r="Y719" i="53"/>
  <c r="AH719" i="53"/>
  <c r="Y770" i="53"/>
  <c r="AH770" i="53"/>
  <c r="Y218" i="53"/>
  <c r="AH218" i="53"/>
  <c r="V190" i="53"/>
  <c r="AH190" i="53"/>
  <c r="V528" i="53"/>
  <c r="AH528" i="53"/>
  <c r="Y1030" i="53"/>
  <c r="AH1030" i="53"/>
  <c r="Y436" i="53"/>
  <c r="AH436" i="53"/>
  <c r="Y1081" i="53"/>
  <c r="AH1081" i="53"/>
  <c r="Y572" i="53"/>
  <c r="AH572" i="53"/>
  <c r="Y425" i="53"/>
  <c r="AH425" i="53"/>
  <c r="Y758" i="53"/>
  <c r="AH758" i="53"/>
  <c r="Y358" i="53"/>
  <c r="AH358" i="53"/>
  <c r="Y866" i="53"/>
  <c r="AH866" i="53"/>
  <c r="V138" i="53"/>
  <c r="AH138" i="53"/>
  <c r="Y685" i="53"/>
  <c r="AH685" i="53"/>
  <c r="Y229" i="53"/>
  <c r="AH229" i="53"/>
  <c r="Y207" i="53"/>
  <c r="AH207" i="53"/>
  <c r="Y581" i="53"/>
  <c r="AH581" i="53"/>
  <c r="Y749" i="53"/>
  <c r="AH749" i="53"/>
  <c r="Y974" i="53"/>
  <c r="AH974" i="53"/>
  <c r="Y796" i="53"/>
  <c r="AH796" i="53"/>
  <c r="Y1005" i="53"/>
  <c r="AH1005" i="53"/>
  <c r="Y958" i="53"/>
  <c r="AH958" i="53"/>
  <c r="Y940" i="53"/>
  <c r="AH940" i="53"/>
  <c r="Y141" i="53"/>
  <c r="AH141" i="53"/>
  <c r="Y102" i="53"/>
  <c r="AH102" i="53"/>
  <c r="Y1090" i="53"/>
  <c r="AH1090" i="53"/>
  <c r="Y677" i="53"/>
  <c r="AH677" i="53"/>
  <c r="V928" i="53"/>
  <c r="AH928" i="53"/>
  <c r="Y612" i="53"/>
  <c r="AH612" i="53"/>
  <c r="Y500" i="53"/>
  <c r="AH500" i="53"/>
  <c r="Y920" i="53"/>
  <c r="AH920" i="53"/>
  <c r="V63" i="53"/>
  <c r="AH63" i="53"/>
  <c r="Y626" i="53"/>
  <c r="AH626" i="53"/>
  <c r="Y976" i="53"/>
  <c r="AH976" i="53"/>
  <c r="Y716" i="53"/>
  <c r="AH716" i="53"/>
  <c r="Y803" i="53"/>
  <c r="AH803" i="53"/>
  <c r="V260" i="53"/>
  <c r="AH260" i="53"/>
  <c r="Y74" i="53"/>
  <c r="AH74" i="53"/>
  <c r="V804" i="53"/>
  <c r="AH804" i="53"/>
  <c r="Y495" i="53"/>
  <c r="AH495" i="53"/>
  <c r="Y231" i="53"/>
  <c r="AH231" i="53"/>
  <c r="Y228" i="53"/>
  <c r="AH228" i="53"/>
  <c r="V849" i="53"/>
  <c r="AH849" i="53"/>
  <c r="Y821" i="53"/>
  <c r="AH821" i="53"/>
  <c r="V362" i="53"/>
  <c r="AH362" i="53"/>
  <c r="Y64" i="53"/>
  <c r="AH64" i="53"/>
  <c r="Y110" i="53"/>
  <c r="AH110" i="53"/>
  <c r="V623" i="53"/>
  <c r="AH623" i="53"/>
  <c r="Y426" i="53"/>
  <c r="AH426" i="53"/>
  <c r="Y197" i="53"/>
  <c r="AH197" i="53"/>
  <c r="Y410" i="53"/>
  <c r="AH410" i="53"/>
  <c r="V86" i="53"/>
  <c r="AH86" i="53"/>
  <c r="Y533" i="53"/>
  <c r="AH533" i="53"/>
  <c r="V859" i="53"/>
  <c r="AH859" i="53"/>
  <c r="Y9" i="53"/>
  <c r="AH9" i="53"/>
  <c r="Y717" i="53"/>
  <c r="AH717" i="53"/>
  <c r="Y603" i="53"/>
  <c r="AH603" i="53"/>
  <c r="Y466" i="53"/>
  <c r="AH466" i="53"/>
  <c r="V650" i="53"/>
  <c r="AH650" i="53"/>
  <c r="Y416" i="53"/>
  <c r="AH416" i="53"/>
  <c r="Y83" i="53"/>
  <c r="AH83" i="53"/>
  <c r="Y1049" i="53"/>
  <c r="AH1049" i="53"/>
  <c r="Y400" i="53"/>
  <c r="AH400" i="53"/>
  <c r="Y160" i="53"/>
  <c r="AH160" i="53"/>
  <c r="Y669" i="53"/>
  <c r="AH669" i="53"/>
  <c r="Y283" i="53"/>
  <c r="AH283" i="53"/>
  <c r="Y696" i="53"/>
  <c r="AH696" i="53"/>
  <c r="Y51" i="53"/>
  <c r="AH51" i="53"/>
  <c r="Y678" i="53"/>
  <c r="AH678" i="53"/>
  <c r="Y196" i="53"/>
  <c r="AH196" i="53"/>
  <c r="Y267" i="53"/>
  <c r="AH267" i="53"/>
  <c r="Y867" i="53"/>
  <c r="AH867" i="53"/>
  <c r="Y536" i="53"/>
  <c r="AH536" i="53"/>
  <c r="Y1029" i="53"/>
  <c r="AH1029" i="53"/>
  <c r="Y881" i="53"/>
  <c r="AH881" i="53"/>
  <c r="Y584" i="53"/>
  <c r="AH584" i="53"/>
  <c r="Y858" i="53"/>
  <c r="AH858" i="53"/>
  <c r="Y101" i="53"/>
  <c r="AH101" i="53"/>
  <c r="Y84" i="53"/>
  <c r="AH84" i="53"/>
  <c r="V549" i="53"/>
  <c r="AH549" i="53"/>
  <c r="Y1047" i="53"/>
  <c r="AH1047" i="53"/>
  <c r="Y878" i="53"/>
  <c r="AH878" i="53"/>
  <c r="V1033" i="53"/>
  <c r="AH1033" i="53"/>
  <c r="Y404" i="53"/>
  <c r="AH404" i="53"/>
  <c r="Y382" i="53"/>
  <c r="AH382" i="53"/>
  <c r="Y294" i="53"/>
  <c r="AH294" i="53"/>
  <c r="Y330" i="53"/>
  <c r="AH330" i="53"/>
  <c r="Y828" i="53"/>
  <c r="AH828" i="53"/>
  <c r="Y640" i="53"/>
  <c r="AH640" i="53"/>
  <c r="Y710" i="53"/>
  <c r="AH710" i="53"/>
  <c r="Y263" i="53"/>
  <c r="AH263" i="53"/>
  <c r="Y613" i="53"/>
  <c r="AH613" i="53"/>
  <c r="Y183" i="53"/>
  <c r="AH183" i="53"/>
  <c r="Y73" i="53"/>
  <c r="AH73" i="53"/>
  <c r="Y960" i="53"/>
  <c r="AH960" i="53"/>
  <c r="Y783" i="53"/>
  <c r="AH783" i="53"/>
  <c r="Y595" i="53"/>
  <c r="AH595" i="53"/>
  <c r="Y827" i="53"/>
  <c r="AH827" i="53"/>
  <c r="Y986" i="53"/>
  <c r="AH986" i="53"/>
  <c r="Y1039" i="53"/>
  <c r="AH1039" i="53"/>
  <c r="Y337" i="53"/>
  <c r="AH337" i="53"/>
  <c r="Y157" i="53"/>
  <c r="AH157" i="53"/>
  <c r="Y92" i="53"/>
  <c r="AH92" i="53"/>
  <c r="Y846" i="53"/>
  <c r="AH846" i="53"/>
  <c r="Y646" i="53"/>
  <c r="AH646" i="53"/>
  <c r="Y1060" i="53"/>
  <c r="AH1060" i="53"/>
  <c r="Y430" i="53"/>
  <c r="AH430" i="53"/>
  <c r="Y128" i="53"/>
  <c r="AH128" i="53"/>
  <c r="Y570" i="53"/>
  <c r="AH570" i="53"/>
  <c r="Y807" i="53"/>
  <c r="AH807" i="53"/>
  <c r="Y982" i="53"/>
  <c r="AH982" i="53"/>
  <c r="Y888" i="53"/>
  <c r="AH888" i="53"/>
  <c r="V105" i="53"/>
  <c r="AH105" i="53"/>
  <c r="Y692" i="53"/>
  <c r="AH692" i="53"/>
  <c r="V772" i="53"/>
  <c r="AH772" i="53"/>
  <c r="Y879" i="53"/>
  <c r="AH879" i="53"/>
  <c r="V988" i="53"/>
  <c r="AH988" i="53"/>
  <c r="Y672" i="53"/>
  <c r="AH672" i="53"/>
  <c r="Y341" i="53"/>
  <c r="AH341" i="53"/>
  <c r="V515" i="53"/>
  <c r="AH515" i="53"/>
  <c r="Y80" i="53"/>
  <c r="AH80" i="53"/>
  <c r="V238" i="53"/>
  <c r="AH238" i="53"/>
  <c r="Y840" i="53"/>
  <c r="AH840" i="53"/>
  <c r="Y634" i="53"/>
  <c r="AH634" i="53"/>
  <c r="Y1069" i="53"/>
  <c r="AH1069" i="53"/>
  <c r="V291" i="53"/>
  <c r="AH291" i="53"/>
  <c r="Y125" i="53"/>
  <c r="AH125" i="53"/>
  <c r="Y316" i="53"/>
  <c r="AH316" i="53"/>
  <c r="V1074" i="53"/>
  <c r="AH1074" i="53"/>
  <c r="Y266" i="53"/>
  <c r="AH266" i="53"/>
  <c r="Y1089" i="53"/>
  <c r="AH1089" i="53"/>
  <c r="V277" i="53"/>
  <c r="AH277" i="53"/>
  <c r="Y489" i="53"/>
  <c r="AH489" i="53"/>
  <c r="Y1051" i="53"/>
  <c r="AH1051" i="53"/>
  <c r="Y108" i="53"/>
  <c r="AH108" i="53"/>
  <c r="Y226" i="53"/>
  <c r="AH226" i="53"/>
  <c r="Y577" i="53"/>
  <c r="AH577" i="53"/>
  <c r="Y1088" i="53"/>
  <c r="AH1088" i="53"/>
  <c r="Y462" i="53"/>
  <c r="AH462" i="53"/>
  <c r="Y118" i="53"/>
  <c r="AH118" i="53"/>
  <c r="Y468" i="53"/>
  <c r="AH468" i="53"/>
  <c r="Y727" i="53"/>
  <c r="AH727" i="53"/>
  <c r="Y450" i="53"/>
  <c r="AH450" i="53"/>
  <c r="V175" i="53"/>
  <c r="AH175" i="53"/>
  <c r="Y916" i="53"/>
  <c r="AH916" i="53"/>
  <c r="Y76" i="53"/>
  <c r="AH76" i="53"/>
  <c r="V27" i="53"/>
  <c r="AH27" i="53"/>
  <c r="Y654" i="53"/>
  <c r="AH654" i="53"/>
  <c r="Y637" i="53"/>
  <c r="AH637" i="53"/>
  <c r="Y374" i="53"/>
  <c r="AH374" i="53"/>
  <c r="Y329" i="53"/>
  <c r="AH329" i="53"/>
  <c r="Y1009" i="53"/>
  <c r="AH1009" i="53"/>
  <c r="Y956" i="53"/>
  <c r="AH956" i="53"/>
  <c r="V630" i="53"/>
  <c r="AH630" i="53"/>
  <c r="V314" i="53"/>
  <c r="AH314" i="53"/>
  <c r="V860" i="53"/>
  <c r="AH860" i="53"/>
  <c r="Y644" i="53"/>
  <c r="AH644" i="53"/>
  <c r="Y947" i="53"/>
  <c r="AH947" i="53"/>
  <c r="Y520" i="53"/>
  <c r="AH520" i="53"/>
  <c r="Y1031" i="53"/>
  <c r="AH1031" i="53"/>
  <c r="Y349" i="53"/>
  <c r="AH349" i="53"/>
  <c r="Y148" i="53"/>
  <c r="AH148" i="53"/>
  <c r="V381" i="53"/>
  <c r="AH381" i="53"/>
  <c r="V484" i="53"/>
  <c r="AH484" i="53"/>
  <c r="Y935" i="53"/>
  <c r="AH935" i="53"/>
  <c r="Y58" i="53"/>
  <c r="AH58" i="53"/>
  <c r="Y820" i="53"/>
  <c r="AH820" i="53"/>
  <c r="Y970" i="53"/>
  <c r="AH970" i="53"/>
  <c r="Y568" i="53"/>
  <c r="AH568" i="53"/>
  <c r="Y434" i="53"/>
  <c r="AH434" i="53"/>
  <c r="Y966" i="53"/>
  <c r="AH966" i="53"/>
  <c r="Y829" i="53"/>
  <c r="AH829" i="53"/>
  <c r="V602" i="53"/>
  <c r="AH602" i="53"/>
  <c r="Y371" i="53"/>
  <c r="AH371" i="53"/>
  <c r="Y461" i="53"/>
  <c r="AH461" i="53"/>
  <c r="V375" i="53"/>
  <c r="AH375" i="53"/>
  <c r="V262" i="53"/>
  <c r="AH262" i="53"/>
  <c r="Y166" i="53"/>
  <c r="AH166" i="53"/>
  <c r="Y671" i="53"/>
  <c r="AH671" i="53"/>
  <c r="Y926" i="53"/>
  <c r="AH926" i="53"/>
  <c r="Y67" i="53"/>
  <c r="AH67" i="53"/>
  <c r="Y134" i="53"/>
  <c r="AH134" i="53"/>
  <c r="V909" i="53"/>
  <c r="AH909" i="53"/>
  <c r="Y838" i="53"/>
  <c r="AH838" i="53"/>
  <c r="Y103" i="53"/>
  <c r="AH103" i="53"/>
  <c r="Y1021" i="53"/>
  <c r="AH1021" i="53"/>
  <c r="Y56" i="53"/>
  <c r="AH56" i="53"/>
  <c r="Y633" i="53"/>
  <c r="AH633" i="53"/>
  <c r="Y213" i="53"/>
  <c r="AH213" i="53"/>
  <c r="Y795" i="53"/>
  <c r="AH795" i="53"/>
  <c r="Y653" i="53"/>
  <c r="AH653" i="53"/>
  <c r="Y365" i="53"/>
  <c r="AH365" i="53"/>
  <c r="Y1062" i="53"/>
  <c r="AH1062" i="53"/>
  <c r="Y794" i="53"/>
  <c r="AH794" i="53"/>
  <c r="Y663" i="53"/>
  <c r="AH663" i="53"/>
  <c r="Y1008" i="53"/>
  <c r="AH1008" i="53"/>
  <c r="Y739" i="53"/>
  <c r="AH739" i="53"/>
  <c r="Y215" i="53"/>
  <c r="AH215" i="53"/>
  <c r="Y518" i="53"/>
  <c r="AH518" i="53"/>
  <c r="Y732" i="53"/>
  <c r="AH732" i="53"/>
  <c r="V773" i="53"/>
  <c r="AH773" i="53"/>
  <c r="Y179" i="53"/>
  <c r="AH179" i="53"/>
  <c r="Y643" i="53"/>
  <c r="AH643" i="53"/>
  <c r="Y54" i="53"/>
  <c r="AH54" i="53"/>
  <c r="Y1093" i="53"/>
  <c r="V184" i="53"/>
  <c r="V127" i="53"/>
  <c r="V336" i="53"/>
  <c r="V402" i="53"/>
  <c r="Y880" i="53"/>
  <c r="V259" i="53"/>
  <c r="Y625" i="53"/>
  <c r="V165" i="53"/>
  <c r="Y246" i="53"/>
  <c r="V868" i="53"/>
  <c r="V284" i="53"/>
  <c r="V491" i="53"/>
  <c r="Y528" i="53"/>
  <c r="Y1105" i="53"/>
  <c r="Y249" i="53"/>
  <c r="Y894" i="53"/>
  <c r="Y362" i="53"/>
  <c r="V1068" i="53"/>
  <c r="V903" i="53"/>
  <c r="V264" i="53"/>
  <c r="V634" i="53"/>
  <c r="V735" i="53"/>
  <c r="V828" i="53"/>
  <c r="V472" i="53"/>
  <c r="V68" i="53"/>
  <c r="V148" i="53"/>
  <c r="V349" i="53"/>
  <c r="Y515" i="53"/>
  <c r="V382" i="53"/>
  <c r="V404" i="53"/>
  <c r="Y627" i="53"/>
  <c r="V80" i="53"/>
  <c r="V553" i="53"/>
  <c r="V643" i="53"/>
  <c r="V592" i="53"/>
  <c r="V638" i="53"/>
  <c r="V980" i="53"/>
  <c r="V54" i="53"/>
  <c r="Y549" i="53"/>
  <c r="V1047" i="53"/>
  <c r="V878" i="53"/>
  <c r="V341" i="53"/>
  <c r="V672" i="53"/>
  <c r="Y773" i="53"/>
  <c r="V179" i="53"/>
  <c r="V520" i="53"/>
  <c r="V1031" i="53"/>
  <c r="V732" i="53"/>
  <c r="Y877" i="53"/>
  <c r="V435" i="53"/>
  <c r="V998" i="53"/>
  <c r="Y707" i="53"/>
  <c r="V716" i="53"/>
  <c r="Y1064" i="53"/>
  <c r="V1044" i="53"/>
  <c r="V978" i="53"/>
  <c r="V803" i="53"/>
  <c r="Y1032" i="53"/>
  <c r="Y63" i="53"/>
  <c r="V851" i="53"/>
  <c r="V631" i="53"/>
  <c r="Y250" i="53"/>
  <c r="Y359" i="53"/>
  <c r="V931" i="53"/>
  <c r="Y913" i="53"/>
  <c r="V85" i="53"/>
  <c r="V594" i="53"/>
  <c r="V946" i="53"/>
  <c r="V574" i="53"/>
  <c r="V232" i="53"/>
  <c r="V697" i="53"/>
  <c r="V437" i="53"/>
  <c r="V454" i="53"/>
  <c r="V991" i="53"/>
  <c r="V824" i="53"/>
  <c r="V925" i="53"/>
  <c r="Y892" i="53"/>
  <c r="V116" i="53"/>
  <c r="V7" i="53"/>
  <c r="V538" i="53"/>
  <c r="Y860" i="53"/>
  <c r="V820" i="53"/>
  <c r="V74" i="53"/>
  <c r="V840" i="53"/>
  <c r="V82" i="53"/>
  <c r="V947" i="53"/>
  <c r="Y772" i="53"/>
  <c r="Y569" i="53"/>
  <c r="Y105" i="53"/>
  <c r="Y314" i="53"/>
  <c r="Y373" i="53"/>
  <c r="V879" i="53"/>
  <c r="V644" i="53"/>
  <c r="V770" i="53"/>
  <c r="Y988" i="53"/>
  <c r="V760" i="53"/>
  <c r="V55" i="53"/>
  <c r="Y135" i="53"/>
  <c r="V114" i="53"/>
  <c r="Y16" i="53"/>
  <c r="V919" i="53"/>
  <c r="V1007" i="53"/>
  <c r="V963" i="53"/>
  <c r="Y681" i="53"/>
  <c r="V405" i="53"/>
  <c r="V952" i="53"/>
  <c r="V87" i="53"/>
  <c r="V816" i="53"/>
  <c r="Y200" i="53"/>
  <c r="V566" i="53"/>
  <c r="V626" i="53"/>
  <c r="V910" i="53"/>
  <c r="V409" i="53"/>
  <c r="V501" i="53"/>
  <c r="V858" i="53"/>
  <c r="V22" i="53"/>
  <c r="V842" i="53"/>
  <c r="V706" i="53"/>
  <c r="V656" i="53"/>
  <c r="V884" i="53"/>
  <c r="V976" i="53"/>
  <c r="V942" i="53"/>
  <c r="V956" i="53"/>
  <c r="V282" i="53"/>
  <c r="V215" i="53"/>
  <c r="Y630" i="53"/>
  <c r="V1009" i="53"/>
  <c r="V739" i="53"/>
  <c r="V648" i="53"/>
  <c r="V890" i="53"/>
  <c r="V456" i="53"/>
  <c r="V1055" i="53"/>
  <c r="V357" i="53"/>
  <c r="V586" i="53"/>
  <c r="V319" i="53"/>
  <c r="Y984" i="53"/>
  <c r="V554" i="53"/>
  <c r="V704" i="53"/>
  <c r="V937" i="53"/>
  <c r="V272" i="53"/>
  <c r="V584" i="53"/>
  <c r="V426" i="53"/>
  <c r="V1075" i="53"/>
  <c r="V612" i="53"/>
  <c r="Y928" i="53"/>
  <c r="V84" i="53"/>
  <c r="V920" i="53"/>
  <c r="V197" i="53"/>
  <c r="V867" i="53"/>
  <c r="V696" i="53"/>
  <c r="V101" i="53"/>
  <c r="V881" i="53"/>
  <c r="V536" i="53"/>
  <c r="V500" i="53"/>
  <c r="V663" i="53"/>
  <c r="V807" i="53"/>
  <c r="V518" i="53"/>
  <c r="V128" i="53"/>
  <c r="V887" i="53"/>
  <c r="AQ19" i="53"/>
  <c r="AS19" i="53" s="1"/>
  <c r="V1008" i="53"/>
  <c r="V607" i="53"/>
  <c r="V1060" i="53"/>
  <c r="L1122" i="54"/>
  <c r="V888" i="53"/>
  <c r="V570" i="53"/>
  <c r="AG19" i="53"/>
  <c r="V692" i="53"/>
  <c r="V646" i="53"/>
  <c r="V430" i="53"/>
  <c r="V982" i="53"/>
  <c r="V121" i="53"/>
  <c r="Y736" i="53"/>
  <c r="V367" i="53"/>
  <c r="Y414" i="53"/>
  <c r="V1073" i="53"/>
  <c r="Y233" i="53"/>
  <c r="V174" i="53"/>
  <c r="Y523" i="53"/>
  <c r="Y1056" i="53"/>
  <c r="AG11" i="53"/>
  <c r="V810" i="53"/>
  <c r="V908" i="53"/>
  <c r="Y698" i="53"/>
  <c r="V1076" i="53"/>
  <c r="V861" i="53"/>
  <c r="V759" i="53"/>
  <c r="Y792" i="53"/>
  <c r="V741" i="53"/>
  <c r="V393" i="53"/>
  <c r="Y470" i="53"/>
  <c r="V551" i="53"/>
  <c r="V1062" i="53"/>
  <c r="V330" i="53"/>
  <c r="V653" i="53"/>
  <c r="V329" i="53"/>
  <c r="V794" i="53"/>
  <c r="Y194" i="53"/>
  <c r="V677" i="53"/>
  <c r="V267" i="53"/>
  <c r="V603" i="53"/>
  <c r="V466" i="53"/>
  <c r="V51" i="53"/>
  <c r="V283" i="53"/>
  <c r="V1029" i="53"/>
  <c r="Y650" i="53"/>
  <c r="V160" i="53"/>
  <c r="V898" i="53"/>
  <c r="V141" i="53"/>
  <c r="Y859" i="53"/>
  <c r="V533" i="53"/>
  <c r="Y808" i="53"/>
  <c r="V678" i="53"/>
  <c r="V196" i="53"/>
  <c r="V400" i="53"/>
  <c r="V717" i="53"/>
  <c r="V9" i="53"/>
  <c r="V669" i="53"/>
  <c r="Y623" i="53"/>
  <c r="Y1048" i="53"/>
  <c r="V377" i="53"/>
  <c r="V423" i="53"/>
  <c r="V718" i="53"/>
  <c r="V788" i="53"/>
  <c r="Y26" i="53"/>
  <c r="V1017" i="53"/>
  <c r="V339" i="53"/>
  <c r="V734" i="53"/>
  <c r="V265" i="53"/>
  <c r="V604" i="53"/>
  <c r="V695" i="53"/>
  <c r="V1037" i="53"/>
  <c r="V975" i="53"/>
  <c r="U90" i="53"/>
  <c r="V797" i="53"/>
  <c r="V42" i="53"/>
  <c r="V396" i="53"/>
  <c r="V442" i="53"/>
  <c r="AF90" i="53"/>
  <c r="V779" i="53"/>
  <c r="V347" i="53"/>
  <c r="V1065" i="53"/>
  <c r="V312" i="53"/>
  <c r="V847" i="53"/>
  <c r="V1016" i="53"/>
  <c r="Y1085" i="53"/>
  <c r="V65" i="53"/>
  <c r="Y1059" i="53"/>
  <c r="V657" i="53"/>
  <c r="V737" i="53"/>
  <c r="Y81" i="53"/>
  <c r="Y1042" i="53"/>
  <c r="V239" i="53"/>
  <c r="V473" i="53"/>
  <c r="V327" i="53"/>
  <c r="X327" i="53" s="1"/>
  <c r="Y750" i="53"/>
  <c r="Y912" i="53"/>
  <c r="V1041" i="53"/>
  <c r="Y777" i="53"/>
  <c r="V1082" i="53"/>
  <c r="V413" i="53"/>
  <c r="V494" i="53"/>
  <c r="Y311" i="53"/>
  <c r="V862" i="53"/>
  <c r="V72" i="53"/>
  <c r="Y115" i="53"/>
  <c r="V245" i="53"/>
  <c r="V178" i="53"/>
  <c r="V555" i="53"/>
  <c r="V119" i="53"/>
  <c r="V813" i="53"/>
  <c r="V547" i="53"/>
  <c r="V506" i="53"/>
  <c r="V59" i="53"/>
  <c r="V728" i="53"/>
  <c r="V364" i="53"/>
  <c r="V289" i="53"/>
  <c r="V874" i="53"/>
  <c r="V811" i="53"/>
  <c r="V686" i="53"/>
  <c r="V726" i="53"/>
  <c r="V307" i="53"/>
  <c r="V865" i="53"/>
  <c r="V784" i="53"/>
  <c r="V855" i="53"/>
  <c r="V729" i="53"/>
  <c r="V173" i="53"/>
  <c r="Y407" i="53"/>
  <c r="Y27" i="53"/>
  <c r="V795" i="53"/>
  <c r="V365" i="53"/>
  <c r="V10" i="53"/>
  <c r="V56" i="53"/>
  <c r="Y175" i="53"/>
  <c r="V213" i="53"/>
  <c r="V633" i="53"/>
  <c r="V724" i="53"/>
  <c r="V778" i="53"/>
  <c r="V374" i="53"/>
  <c r="V58" i="53"/>
  <c r="V431" i="53"/>
  <c r="V561" i="53"/>
  <c r="V654" i="53"/>
  <c r="V539" i="53"/>
  <c r="V76" i="53"/>
  <c r="V328" i="53"/>
  <c r="V916" i="53"/>
  <c r="V637" i="53"/>
  <c r="V450" i="53"/>
  <c r="AR4" i="53"/>
  <c r="AF4" i="53"/>
  <c r="AF12" i="53"/>
  <c r="V503" i="53"/>
  <c r="V805" i="53"/>
  <c r="V458" i="53"/>
  <c r="V927" i="53"/>
  <c r="V639" i="53"/>
  <c r="AR12" i="53"/>
  <c r="V323" i="53"/>
  <c r="V43" i="53"/>
  <c r="V361" i="53"/>
  <c r="V774" i="53"/>
  <c r="V210" i="53"/>
  <c r="V258" i="53"/>
  <c r="V641" i="53"/>
  <c r="V593" i="53"/>
  <c r="Y88" i="53"/>
  <c r="V958" i="53"/>
  <c r="V812" i="53"/>
  <c r="V1092" i="53"/>
  <c r="V384" i="53"/>
  <c r="V949" i="53"/>
  <c r="V1090" i="53"/>
  <c r="V809" i="53"/>
  <c r="AF110" i="53"/>
  <c r="V1103" i="53"/>
  <c r="AR110" i="53"/>
  <c r="V1001" i="53"/>
  <c r="AG25" i="53"/>
  <c r="V1005" i="53"/>
  <c r="V987" i="53"/>
  <c r="V102" i="53"/>
  <c r="V25" i="53"/>
  <c r="Y206" i="53"/>
  <c r="V796" i="53"/>
  <c r="V321" i="53"/>
  <c r="V940" i="53"/>
  <c r="V567" i="53"/>
  <c r="Y514" i="53"/>
  <c r="V893" i="53"/>
  <c r="V516" i="53"/>
  <c r="V708" i="53"/>
  <c r="V1046" i="53"/>
  <c r="Y97" i="53"/>
  <c r="V305" i="53"/>
  <c r="Y277" i="53"/>
  <c r="V180" i="53"/>
  <c r="V702" i="53"/>
  <c r="V895" i="53"/>
  <c r="Y1096" i="53"/>
  <c r="V1021" i="53"/>
  <c r="V652" i="53"/>
  <c r="Y315" i="53"/>
  <c r="Y620" i="53"/>
  <c r="V615" i="53"/>
  <c r="V725" i="53"/>
  <c r="V979" i="53"/>
  <c r="V985" i="53"/>
  <c r="V838" i="53"/>
  <c r="X838" i="53" s="1"/>
  <c r="V629" i="53"/>
  <c r="V600" i="53"/>
  <c r="V122" i="53"/>
  <c r="V212" i="53"/>
  <c r="V452" i="53"/>
  <c r="V775" i="53"/>
  <c r="V151" i="53"/>
  <c r="AI11" i="53"/>
  <c r="V299" i="53"/>
  <c r="V768" i="53"/>
  <c r="V185" i="53"/>
  <c r="V691" i="53"/>
  <c r="Y502" i="53"/>
  <c r="Y375" i="53"/>
  <c r="V376" i="53"/>
  <c r="V1000" i="53"/>
  <c r="V296" i="53"/>
  <c r="V730" i="53"/>
  <c r="V897" i="53"/>
  <c r="V670" i="53"/>
  <c r="L1114" i="54"/>
  <c r="V153" i="53"/>
  <c r="Y804" i="53"/>
  <c r="V447" i="53"/>
  <c r="Y565" i="53"/>
  <c r="Y378" i="53"/>
  <c r="V1079" i="53"/>
  <c r="Y91" i="53"/>
  <c r="Y849" i="53"/>
  <c r="V231" i="53"/>
  <c r="Y190" i="53"/>
  <c r="Y415" i="53"/>
  <c r="V218" i="53"/>
  <c r="V463" i="53"/>
  <c r="V744" i="53"/>
  <c r="V588" i="53"/>
  <c r="V628" i="53"/>
  <c r="V406" i="53"/>
  <c r="V517" i="53"/>
  <c r="V448" i="53"/>
  <c r="V112" i="53"/>
  <c r="V49" i="53"/>
  <c r="V944" i="53"/>
  <c r="V397" i="53"/>
  <c r="V1072" i="53"/>
  <c r="V563" i="53"/>
  <c r="V488" i="53"/>
  <c r="V1058" i="53"/>
  <c r="V228" i="53"/>
  <c r="V482" i="53"/>
  <c r="V495" i="53"/>
  <c r="V821" i="53"/>
  <c r="V793" i="53"/>
  <c r="V767" i="53"/>
  <c r="V856" i="53"/>
  <c r="V103" i="53"/>
  <c r="V166" i="53"/>
  <c r="Y262" i="53"/>
  <c r="V966" i="53"/>
  <c r="V970" i="53"/>
  <c r="Y909" i="53"/>
  <c r="V295" i="53"/>
  <c r="Y602" i="53"/>
  <c r="R207" i="31"/>
  <c r="V962" i="53"/>
  <c r="V1071" i="53"/>
  <c r="V926" i="53"/>
  <c r="V41" i="53"/>
  <c r="V199" i="53"/>
  <c r="V35" i="53"/>
  <c r="V67" i="53"/>
  <c r="V33" i="53"/>
  <c r="V818" i="53"/>
  <c r="V957" i="53"/>
  <c r="V799" i="53"/>
  <c r="V144" i="53"/>
  <c r="V571" i="53"/>
  <c r="V134" i="53"/>
  <c r="V688" i="53"/>
  <c r="V429" i="53"/>
  <c r="V1006" i="53"/>
  <c r="V461" i="53"/>
  <c r="V671" i="53"/>
  <c r="U207" i="31"/>
  <c r="V192" i="53"/>
  <c r="V446" i="53"/>
  <c r="V568" i="53"/>
  <c r="V922" i="53"/>
  <c r="V434" i="53"/>
  <c r="V1095" i="53"/>
  <c r="V829" i="53"/>
  <c r="V120" i="53"/>
  <c r="V369" i="53"/>
  <c r="V599" i="53"/>
  <c r="V40" i="53"/>
  <c r="V579" i="53"/>
  <c r="V1019" i="53"/>
  <c r="V371" i="53"/>
  <c r="V746" i="53"/>
  <c r="V1040" i="53"/>
  <c r="Q207" i="31"/>
  <c r="V21" i="53"/>
  <c r="V846" i="53"/>
  <c r="M196" i="31"/>
  <c r="S207" i="31"/>
  <c r="O207" i="31"/>
  <c r="L196" i="31"/>
  <c r="O196" i="31"/>
  <c r="T207" i="31"/>
  <c r="Y381" i="53"/>
  <c r="V830" i="53"/>
  <c r="V489" i="53"/>
  <c r="Y1074" i="53"/>
  <c r="Y291" i="53"/>
  <c r="V1088" i="53"/>
  <c r="V468" i="53"/>
  <c r="V727" i="53"/>
  <c r="V462" i="53"/>
  <c r="V266" i="53"/>
  <c r="V1069" i="53"/>
  <c r="Y484" i="53"/>
  <c r="Y260" i="53"/>
  <c r="V125" i="53"/>
  <c r="V1051" i="53"/>
  <c r="V118" i="53"/>
  <c r="Y368" i="53"/>
  <c r="Y845" i="53"/>
  <c r="V577" i="53"/>
  <c r="V935" i="53"/>
  <c r="Y238" i="53"/>
  <c r="V226" i="53"/>
  <c r="Y825" i="53"/>
  <c r="Y1003" i="53"/>
  <c r="V294" i="53"/>
  <c r="V191" i="53"/>
  <c r="V752" i="53"/>
  <c r="V316" i="53"/>
  <c r="V108" i="53"/>
  <c r="V1089" i="53"/>
  <c r="V710" i="53"/>
  <c r="V183" i="53"/>
  <c r="V408" i="53"/>
  <c r="V358" i="53"/>
  <c r="V229" i="53"/>
  <c r="V475" i="53"/>
  <c r="Y138" i="53"/>
  <c r="V581" i="53"/>
  <c r="V337" i="53"/>
  <c r="V1039" i="53"/>
  <c r="V263" i="53"/>
  <c r="V157" i="53"/>
  <c r="V572" i="53"/>
  <c r="V92" i="53"/>
  <c r="V1049" i="53"/>
  <c r="V416" i="53"/>
  <c r="V889" i="53"/>
  <c r="V719" i="53"/>
  <c r="V410" i="53"/>
  <c r="V360" i="53"/>
  <c r="V685" i="53"/>
  <c r="Y548" i="53"/>
  <c r="V974" i="53"/>
  <c r="V73" i="53"/>
  <c r="V83" i="53"/>
  <c r="V827" i="53"/>
  <c r="V783" i="53"/>
  <c r="V997" i="53"/>
  <c r="V674" i="53"/>
  <c r="V771" i="53"/>
  <c r="V960" i="53"/>
  <c r="Y86" i="53"/>
  <c r="V613" i="53"/>
  <c r="V749" i="53"/>
  <c r="V207" i="53"/>
  <c r="V950" i="53"/>
  <c r="V595" i="53"/>
  <c r="V986" i="53"/>
  <c r="V436" i="53"/>
  <c r="V425" i="53"/>
  <c r="V140" i="53"/>
  <c r="V545" i="53"/>
  <c r="V758" i="53"/>
  <c r="V866" i="53"/>
  <c r="V608" i="53"/>
  <c r="AR5" i="53"/>
  <c r="AF5" i="53"/>
  <c r="V640" i="53"/>
  <c r="V989" i="53"/>
  <c r="V676" i="53"/>
  <c r="V159" i="53"/>
  <c r="M184" i="31"/>
  <c r="V1081" i="53"/>
  <c r="V113" i="53"/>
  <c r="V1077" i="53"/>
  <c r="V205" i="53"/>
  <c r="V659" i="53"/>
  <c r="V247" i="53"/>
  <c r="V57" i="53"/>
  <c r="Y57" i="53"/>
  <c r="V60" i="53"/>
  <c r="V995" i="53"/>
  <c r="O184" i="31"/>
  <c r="V938" i="53"/>
  <c r="V158" i="53"/>
  <c r="V1030" i="53"/>
  <c r="V241" i="53"/>
  <c r="L1108" i="54"/>
  <c r="AG5" i="53"/>
  <c r="AI5" i="53"/>
  <c r="AQ5" i="53"/>
  <c r="AS5" i="53" s="1"/>
  <c r="Y4" i="53"/>
  <c r="V4" i="53"/>
  <c r="AG12" i="53"/>
  <c r="L1115" i="54"/>
  <c r="AQ12" i="53"/>
  <c r="AS12" i="53" s="1"/>
  <c r="AI12" i="53"/>
  <c r="N184" i="31"/>
  <c r="I159" i="31"/>
  <c r="V110" i="53"/>
  <c r="V64" i="53"/>
  <c r="Y764" i="53"/>
  <c r="V764" i="53"/>
  <c r="Y953" i="53"/>
  <c r="V953" i="53"/>
  <c r="Y201" i="53"/>
  <c r="V201" i="53"/>
  <c r="Y876" i="53"/>
  <c r="V876" i="53"/>
  <c r="Y582" i="53"/>
  <c r="V582" i="53"/>
  <c r="Y202" i="53"/>
  <c r="V202" i="53"/>
  <c r="Y616" i="53"/>
  <c r="V616" i="53"/>
  <c r="Y798" i="53"/>
  <c r="V798" i="53"/>
  <c r="Y300" i="53"/>
  <c r="V300" i="53"/>
  <c r="Y901" i="53"/>
  <c r="V901" i="53"/>
  <c r="Y230" i="53"/>
  <c r="V230" i="53"/>
  <c r="Y711" i="53"/>
  <c r="V711" i="53"/>
  <c r="Y104" i="53"/>
  <c r="V104" i="53"/>
  <c r="Y162" i="53"/>
  <c r="V162" i="53"/>
  <c r="Y832" i="53"/>
  <c r="V832" i="53"/>
  <c r="Y992" i="53"/>
  <c r="V992" i="53"/>
  <c r="Y273" i="53"/>
  <c r="V273" i="53"/>
  <c r="Y933" i="53"/>
  <c r="V933" i="53"/>
  <c r="Y275" i="53"/>
  <c r="V275" i="53"/>
  <c r="Y420" i="53"/>
  <c r="V420" i="53"/>
  <c r="Y181" i="53"/>
  <c r="V181" i="53"/>
  <c r="Y679" i="53"/>
  <c r="V679" i="53"/>
  <c r="Y801" i="53"/>
  <c r="V801" i="53"/>
  <c r="Y353" i="53"/>
  <c r="V353" i="53"/>
  <c r="Y280" i="53"/>
  <c r="V280" i="53"/>
  <c r="Y164" i="53"/>
  <c r="V164" i="53"/>
  <c r="Y504" i="53"/>
  <c r="V504" i="53"/>
  <c r="Y77" i="53"/>
  <c r="V77" i="53"/>
  <c r="Y596" i="53"/>
  <c r="V596" i="53"/>
  <c r="Y398" i="53"/>
  <c r="V398" i="53"/>
  <c r="Y531" i="53"/>
  <c r="V531" i="53"/>
  <c r="Y680" i="53"/>
  <c r="V680" i="53"/>
  <c r="Y762" i="53"/>
  <c r="V762" i="53"/>
  <c r="Y223" i="53"/>
  <c r="V223" i="53"/>
  <c r="Y106" i="53"/>
  <c r="V106" i="53"/>
  <c r="Y839" i="53"/>
  <c r="V839" i="53"/>
  <c r="Y934" i="53"/>
  <c r="V934" i="53"/>
  <c r="Y882" i="53"/>
  <c r="V882" i="53"/>
  <c r="Y961" i="53"/>
  <c r="V961" i="53"/>
  <c r="Y479" i="53"/>
  <c r="V479" i="53"/>
  <c r="Y24" i="53"/>
  <c r="V24" i="53"/>
  <c r="Y70" i="53"/>
  <c r="V70" i="53"/>
  <c r="Y1024" i="53"/>
  <c r="V1024" i="53"/>
  <c r="Y44" i="53"/>
  <c r="V44" i="53"/>
  <c r="Y709" i="53"/>
  <c r="V709" i="53"/>
  <c r="Y911" i="53"/>
  <c r="V911" i="53"/>
  <c r="Y763" i="53"/>
  <c r="V763" i="53"/>
  <c r="Y720" i="53"/>
  <c r="V720" i="53"/>
  <c r="Y967" i="53"/>
  <c r="V967" i="53"/>
  <c r="Y124" i="53"/>
  <c r="V124" i="53"/>
  <c r="Y964" i="53"/>
  <c r="V964" i="53"/>
  <c r="Y297" i="53"/>
  <c r="V297" i="53"/>
  <c r="Y99" i="53"/>
  <c r="V99" i="53"/>
  <c r="Y279" i="53"/>
  <c r="V279" i="53"/>
  <c r="Y968" i="53"/>
  <c r="V968" i="53"/>
  <c r="Y580" i="53"/>
  <c r="V580" i="53"/>
  <c r="Y399" i="53"/>
  <c r="V399" i="53"/>
  <c r="Y186" i="53"/>
  <c r="V186" i="53"/>
  <c r="Y589" i="53"/>
  <c r="V589" i="53"/>
  <c r="Y981" i="53"/>
  <c r="V981" i="53"/>
  <c r="Y833" i="53"/>
  <c r="V833" i="53"/>
  <c r="Y421" i="53"/>
  <c r="V421" i="53"/>
  <c r="Y703" i="53"/>
  <c r="V703" i="53"/>
  <c r="Y905" i="53"/>
  <c r="V905" i="53"/>
  <c r="Y17" i="53"/>
  <c r="V17" i="53"/>
  <c r="Y682" i="53"/>
  <c r="V682" i="53"/>
  <c r="Y823" i="53"/>
  <c r="V823" i="53"/>
  <c r="Y455" i="53"/>
  <c r="V455" i="53"/>
  <c r="Y1100" i="53"/>
  <c r="V1100" i="53"/>
  <c r="Y490" i="53"/>
  <c r="V490" i="53"/>
  <c r="Y333" i="53"/>
  <c r="V333" i="53"/>
  <c r="Y883" i="53"/>
  <c r="V883" i="53"/>
  <c r="Y457" i="53"/>
  <c r="V457" i="53"/>
  <c r="Y587" i="53"/>
  <c r="V587" i="53"/>
  <c r="Y649" i="53"/>
  <c r="V649" i="53"/>
  <c r="Y453" i="53"/>
  <c r="V453" i="53"/>
  <c r="Y900" i="53"/>
  <c r="V900" i="53"/>
  <c r="Y990" i="53"/>
  <c r="V990" i="53"/>
  <c r="Y761" i="53"/>
  <c r="V761" i="53"/>
  <c r="Y390" i="53"/>
  <c r="V390" i="53"/>
  <c r="Y575" i="53"/>
  <c r="V575" i="53"/>
  <c r="Y899" i="53"/>
  <c r="V899" i="53"/>
  <c r="Y973" i="53"/>
  <c r="V973" i="53"/>
  <c r="Y243" i="53"/>
  <c r="V243" i="53"/>
  <c r="Y993" i="53"/>
  <c r="V993" i="53"/>
  <c r="Y71" i="53"/>
  <c r="V71" i="53"/>
  <c r="Y217" i="53"/>
  <c r="V217" i="53"/>
  <c r="Y1053" i="53"/>
  <c r="V1053" i="53"/>
  <c r="Y96" i="53"/>
  <c r="V96" i="53"/>
  <c r="Y1098" i="53"/>
  <c r="V1098" i="53"/>
  <c r="Y1020" i="53"/>
  <c r="V1020" i="53"/>
  <c r="Y601" i="53"/>
  <c r="V601" i="53"/>
  <c r="Y1015" i="53"/>
  <c r="V1015" i="53"/>
  <c r="Y857" i="53"/>
  <c r="V857" i="53"/>
  <c r="Y499" i="53"/>
  <c r="V499" i="53"/>
  <c r="Y723" i="53"/>
  <c r="V723" i="53"/>
  <c r="Y826" i="53"/>
  <c r="V826" i="53"/>
  <c r="Y522" i="53"/>
  <c r="V522" i="53"/>
  <c r="Y1002" i="53"/>
  <c r="V1002" i="53"/>
  <c r="Y713" i="53"/>
  <c r="V713" i="53"/>
  <c r="Y278" i="53"/>
  <c r="V278" i="53"/>
  <c r="Y1036" i="53"/>
  <c r="V1036" i="53"/>
  <c r="Y664" i="53"/>
  <c r="V664" i="53"/>
  <c r="Y497" i="53"/>
  <c r="V497" i="53"/>
  <c r="Y386" i="53"/>
  <c r="V386" i="53"/>
  <c r="Y621" i="53"/>
  <c r="V621" i="53"/>
  <c r="Y665" i="53"/>
  <c r="V665" i="53"/>
  <c r="Y622" i="53"/>
  <c r="V622" i="53"/>
  <c r="Y917" i="53"/>
  <c r="V917" i="53"/>
  <c r="Y872" i="53"/>
  <c r="V872" i="53"/>
  <c r="Y583" i="53"/>
  <c r="V583" i="53"/>
  <c r="Y380" i="53"/>
  <c r="V380" i="53"/>
  <c r="Y344" i="53"/>
  <c r="V344" i="53"/>
  <c r="Y346" i="53"/>
  <c r="V346" i="53"/>
  <c r="Y1078" i="53"/>
  <c r="V1078" i="53"/>
  <c r="Y740" i="53"/>
  <c r="V740" i="53"/>
  <c r="Y132" i="53"/>
  <c r="V132" i="53"/>
  <c r="Y915" i="53"/>
  <c r="V915" i="53"/>
  <c r="Y815" i="53"/>
  <c r="V815" i="53"/>
  <c r="Y268" i="53"/>
  <c r="V268" i="53"/>
  <c r="Y529" i="53"/>
  <c r="V529" i="53"/>
  <c r="Y645" i="53"/>
  <c r="V645" i="53"/>
  <c r="Y841" i="53"/>
  <c r="V841" i="53"/>
  <c r="Y534" i="53"/>
  <c r="V534" i="53"/>
  <c r="Y1043" i="53"/>
  <c r="V1043" i="53"/>
  <c r="Y550" i="53"/>
  <c r="V550" i="53"/>
  <c r="Y609" i="53"/>
  <c r="V609" i="53"/>
  <c r="Y943" i="53"/>
  <c r="V943" i="53"/>
  <c r="Y636" i="53"/>
  <c r="V636" i="53"/>
  <c r="Y150" i="53"/>
  <c r="V150" i="53"/>
  <c r="Y785" i="53"/>
  <c r="V785" i="53"/>
  <c r="Y142" i="53"/>
  <c r="V142" i="53"/>
  <c r="Y576" i="53"/>
  <c r="V576" i="53"/>
  <c r="Y787" i="53"/>
  <c r="V787" i="53"/>
  <c r="Y945" i="53"/>
  <c r="V945" i="53"/>
  <c r="Y524" i="53"/>
  <c r="V524" i="53"/>
  <c r="Y930" i="53"/>
  <c r="V930" i="53"/>
  <c r="Y662" i="53"/>
  <c r="V662" i="53"/>
  <c r="Y418" i="53"/>
  <c r="V418" i="53"/>
  <c r="Y642" i="53"/>
  <c r="V642" i="53"/>
  <c r="Y614" i="53"/>
  <c r="V614" i="53"/>
  <c r="Y1035" i="53"/>
  <c r="V1035" i="53"/>
  <c r="Y176" i="53"/>
  <c r="V176" i="53"/>
  <c r="Y75" i="53"/>
  <c r="V75" i="53"/>
  <c r="Y342" i="53"/>
  <c r="V342" i="53"/>
  <c r="Y844" i="53"/>
  <c r="V844" i="53"/>
  <c r="Y675" i="53"/>
  <c r="V675" i="53"/>
  <c r="Y355" i="53"/>
  <c r="V355" i="53"/>
  <c r="Y1057" i="53"/>
  <c r="V1057" i="53"/>
  <c r="Y757" i="53"/>
  <c r="V757" i="53"/>
  <c r="Y753" i="53"/>
  <c r="V753" i="53"/>
  <c r="Y871" i="53"/>
  <c r="V871" i="53"/>
  <c r="Y143" i="53"/>
  <c r="V143" i="53"/>
  <c r="Y219" i="53"/>
  <c r="V219" i="53"/>
  <c r="Y109" i="53"/>
  <c r="V109" i="53"/>
  <c r="Y965" i="53"/>
  <c r="V965" i="53"/>
  <c r="Y30" i="53"/>
  <c r="V30" i="53"/>
  <c r="Y1084" i="53"/>
  <c r="V1084" i="53"/>
  <c r="Y343" i="53"/>
  <c r="V343" i="53"/>
  <c r="Y137" i="53"/>
  <c r="V137" i="53"/>
  <c r="Y1104" i="53"/>
  <c r="V1104" i="53"/>
  <c r="Y1018" i="53"/>
  <c r="V1018" i="53"/>
  <c r="Y478" i="53"/>
  <c r="V478" i="53"/>
  <c r="Y701" i="53"/>
  <c r="V701" i="53"/>
  <c r="Y189" i="53"/>
  <c r="V189" i="53"/>
  <c r="Y505" i="53"/>
  <c r="V505" i="53"/>
  <c r="Y130" i="53"/>
  <c r="V130" i="53"/>
  <c r="Y320" i="53"/>
  <c r="V320" i="53"/>
  <c r="Y781" i="53"/>
  <c r="V781" i="53"/>
  <c r="Y251" i="53"/>
  <c r="V251" i="53"/>
  <c r="Y983" i="53"/>
  <c r="V983" i="53"/>
  <c r="Y366" i="53"/>
  <c r="V366" i="53"/>
  <c r="Y705" i="53"/>
  <c r="V705" i="53"/>
  <c r="Y687" i="53"/>
  <c r="V687" i="53"/>
  <c r="Y843" i="53"/>
  <c r="V843" i="53"/>
  <c r="Y331" i="53"/>
  <c r="V331" i="53"/>
  <c r="Y765" i="53"/>
  <c r="V765" i="53"/>
  <c r="Y248" i="53"/>
  <c r="V248" i="53"/>
  <c r="Y167" i="53"/>
  <c r="V167" i="53"/>
  <c r="Y169" i="53"/>
  <c r="V169" i="53"/>
  <c r="Y352" i="53"/>
  <c r="V352" i="53"/>
  <c r="Y149" i="53"/>
  <c r="V149" i="53"/>
  <c r="Y655" i="53"/>
  <c r="V655" i="53"/>
  <c r="Y690" i="53"/>
  <c r="V690" i="53"/>
  <c r="Y632" i="53"/>
  <c r="V632" i="53"/>
  <c r="Y721" i="53"/>
  <c r="V721" i="53"/>
  <c r="Y537" i="53"/>
  <c r="V537" i="53"/>
  <c r="Y756" i="53"/>
  <c r="V756" i="53"/>
  <c r="Y445" i="53"/>
  <c r="V445" i="53"/>
  <c r="Y244" i="53"/>
  <c r="V244" i="53"/>
  <c r="Y261" i="53"/>
  <c r="V261" i="53"/>
  <c r="Y782" i="53"/>
  <c r="V782" i="53"/>
  <c r="Y498" i="53"/>
  <c r="V498" i="53"/>
  <c r="Y310" i="53"/>
  <c r="V310" i="53"/>
  <c r="Y1014" i="53"/>
  <c r="V1014" i="53"/>
  <c r="Y1066" i="53"/>
  <c r="V1066" i="53"/>
  <c r="Y281" i="53"/>
  <c r="V281" i="53"/>
  <c r="Y556" i="53"/>
  <c r="V556" i="53"/>
  <c r="Y521" i="53"/>
  <c r="V521" i="53"/>
  <c r="Y38" i="53"/>
  <c r="V38" i="53"/>
  <c r="Y969" i="53"/>
  <c r="V969" i="53"/>
  <c r="Y745" i="53"/>
  <c r="V745" i="53"/>
  <c r="Y738" i="53"/>
  <c r="V738" i="53"/>
  <c r="Y242" i="53"/>
  <c r="V242" i="53"/>
  <c r="Y432" i="53"/>
  <c r="V432" i="53"/>
  <c r="Y1094" i="53"/>
  <c r="V1094" i="53"/>
  <c r="Y731" i="53"/>
  <c r="V731" i="53"/>
  <c r="Y20" i="53"/>
  <c r="V20" i="53"/>
  <c r="Y391" i="53"/>
  <c r="V391" i="53"/>
  <c r="Y507" i="53"/>
  <c r="V507" i="53"/>
  <c r="Y388" i="53"/>
  <c r="V388" i="53"/>
  <c r="Y1097" i="53"/>
  <c r="V1097" i="53"/>
  <c r="Y111" i="53"/>
  <c r="V111" i="53"/>
  <c r="Y469" i="53"/>
  <c r="V469" i="53"/>
  <c r="Y722" i="53"/>
  <c r="V722" i="53"/>
  <c r="Y611" i="53"/>
  <c r="V611" i="53"/>
  <c r="Y222" i="53"/>
  <c r="V222" i="53"/>
  <c r="Y994" i="53"/>
  <c r="V994" i="53"/>
  <c r="AG41" i="53"/>
  <c r="AG565" i="53"/>
  <c r="AG257" i="53"/>
  <c r="AG86" i="53"/>
  <c r="AG354" i="53"/>
  <c r="AG237" i="53"/>
  <c r="AG452" i="53"/>
  <c r="AG659" i="53"/>
  <c r="AG743" i="53"/>
  <c r="AG671" i="53"/>
  <c r="AG995" i="53"/>
  <c r="AG204" i="53"/>
  <c r="AG616" i="53"/>
  <c r="AG768" i="53"/>
  <c r="AG978" i="53"/>
  <c r="AG453" i="53"/>
  <c r="AG724" i="53"/>
  <c r="AG52" i="53"/>
  <c r="AG875" i="53"/>
  <c r="AG642" i="53"/>
  <c r="AG432" i="53"/>
  <c r="AG862" i="53"/>
  <c r="AG1005" i="53"/>
  <c r="AG956" i="53"/>
  <c r="AG623" i="53"/>
  <c r="AG436" i="53"/>
  <c r="AG751" i="53"/>
  <c r="AG741" i="53"/>
  <c r="AG704" i="53"/>
  <c r="AG887" i="53"/>
  <c r="AG230" i="53"/>
  <c r="AG737" i="53"/>
  <c r="AG28" i="53"/>
  <c r="AG962" i="53"/>
  <c r="AG69" i="53"/>
  <c r="AG247" i="53"/>
  <c r="AG408" i="53"/>
  <c r="AG139" i="53"/>
  <c r="AG441" i="53"/>
  <c r="AG82" i="53"/>
  <c r="AG658" i="53"/>
  <c r="AG123" i="53"/>
  <c r="AG907" i="53"/>
  <c r="AG61" i="53"/>
  <c r="AG184" i="53"/>
  <c r="AG561" i="53"/>
  <c r="AG1019" i="53"/>
  <c r="AG142" i="53"/>
  <c r="AG891" i="53"/>
  <c r="AG479" i="53"/>
  <c r="AG104" i="53"/>
  <c r="AG718" i="53"/>
  <c r="AG129" i="53"/>
  <c r="AG929" i="53"/>
  <c r="AG312" i="53"/>
  <c r="AG542" i="53"/>
  <c r="AG670" i="53"/>
  <c r="AG387" i="53"/>
  <c r="AG1086" i="53"/>
  <c r="AG554" i="53"/>
  <c r="AG812" i="53"/>
  <c r="AG401" i="53"/>
  <c r="AG148" i="53"/>
  <c r="AG505" i="53"/>
  <c r="AG473" i="53"/>
  <c r="AG690" i="53"/>
  <c r="AG288" i="53"/>
  <c r="AG1057" i="53"/>
  <c r="AG721" i="53"/>
  <c r="AG788" i="53"/>
  <c r="AG708" i="53"/>
  <c r="AG502" i="53"/>
  <c r="AG678" i="53"/>
  <c r="AG119" i="53"/>
  <c r="AG945" i="53"/>
  <c r="AG687" i="53"/>
  <c r="AG523" i="53"/>
  <c r="AG604" i="53"/>
  <c r="AG180" i="53"/>
  <c r="AG205" i="53"/>
  <c r="AG443" i="53"/>
  <c r="AG291" i="53"/>
  <c r="AG966" i="53"/>
  <c r="AG1068" i="53"/>
  <c r="AG912" i="53"/>
  <c r="AG1017" i="53"/>
  <c r="AG813" i="53"/>
  <c r="AG178" i="53"/>
  <c r="AG265" i="53"/>
  <c r="AG182" i="53"/>
  <c r="AG1036" i="53"/>
  <c r="AG682" i="53"/>
  <c r="AG537" i="53"/>
  <c r="AG1063" i="53"/>
  <c r="AG934" i="53"/>
  <c r="AG999" i="53"/>
  <c r="AG583" i="53"/>
  <c r="AG346" i="53"/>
  <c r="AG217" i="53"/>
  <c r="AG901" i="53"/>
  <c r="AG1093" i="53"/>
  <c r="AG58" i="53"/>
  <c r="AG44" i="53"/>
  <c r="AG84" i="53"/>
  <c r="AG899" i="53"/>
  <c r="AG611" i="53"/>
  <c r="AG821" i="53"/>
  <c r="AG383" i="53"/>
  <c r="AG775" i="53"/>
  <c r="AG903" i="53"/>
  <c r="AG34" i="53"/>
  <c r="AG43" i="53"/>
  <c r="AG624" i="53"/>
  <c r="AG140" i="53"/>
  <c r="AG467" i="53"/>
  <c r="AG1012" i="53"/>
  <c r="AG88" i="53"/>
  <c r="AG928" i="53"/>
  <c r="AG781" i="53"/>
  <c r="AG348" i="53"/>
  <c r="AG1103" i="53"/>
  <c r="AG157" i="53"/>
  <c r="AG183" i="53"/>
  <c r="AG166" i="53"/>
  <c r="AG602" i="53"/>
  <c r="AG660" i="53"/>
  <c r="AG854" i="53"/>
  <c r="AG801" i="53"/>
  <c r="AG959" i="53"/>
  <c r="AG596" i="53"/>
  <c r="AG572" i="53"/>
  <c r="AG896" i="53"/>
  <c r="AG483" i="53"/>
  <c r="AG558" i="53"/>
  <c r="AG1091" i="53"/>
  <c r="AG855" i="53"/>
  <c r="AG243" i="53"/>
  <c r="AG47" i="53"/>
  <c r="AG635" i="53"/>
  <c r="AG46" i="53"/>
  <c r="AG440" i="53"/>
  <c r="AG1013" i="53"/>
  <c r="AG1042" i="53"/>
  <c r="AG447" i="53"/>
  <c r="AG308" i="53"/>
  <c r="AG856" i="53"/>
  <c r="AG985" i="53"/>
  <c r="AG101" i="53"/>
  <c r="AG568" i="53"/>
  <c r="AG300" i="53"/>
  <c r="AG370" i="53"/>
  <c r="AG729" i="53"/>
  <c r="AG711" i="53"/>
  <c r="AG93" i="53"/>
  <c r="AG607" i="53"/>
  <c r="AG1102" i="53"/>
  <c r="AG965" i="53"/>
  <c r="AG232" i="53"/>
  <c r="AG681" i="53"/>
  <c r="AG35" i="53"/>
  <c r="AG267" i="53"/>
  <c r="AG422" i="53"/>
  <c r="AG663" i="53"/>
  <c r="AG18" i="53"/>
  <c r="AG964" i="53"/>
  <c r="AG242" i="53"/>
  <c r="AG377" i="53"/>
  <c r="AG873" i="53"/>
  <c r="AG754" i="53"/>
  <c r="AG720" i="53"/>
  <c r="AG900" i="53"/>
  <c r="AG1001" i="53"/>
  <c r="AG393" i="53"/>
  <c r="AG723" i="53"/>
  <c r="AG705" i="53"/>
  <c r="AG828" i="53"/>
  <c r="AG621" i="53"/>
  <c r="AG362" i="53"/>
  <c r="AG263" i="53"/>
  <c r="AG526" i="53"/>
  <c r="AG152" i="53"/>
  <c r="AG916" i="53"/>
  <c r="AG1032" i="53"/>
  <c r="AG89" i="53"/>
  <c r="AG744" i="53"/>
  <c r="AG373" i="53"/>
  <c r="AG694" i="53"/>
  <c r="AG83" i="53"/>
  <c r="AG1072" i="53"/>
  <c r="AG434" i="53"/>
  <c r="AG1045" i="53"/>
  <c r="AG297" i="53"/>
  <c r="AG975" i="53"/>
  <c r="AG643" i="53"/>
  <c r="AG325" i="53"/>
  <c r="AG451" i="53"/>
  <c r="AG861" i="53"/>
  <c r="AG463" i="53"/>
  <c r="AG516" i="53"/>
  <c r="AG923" i="53"/>
  <c r="AG1088" i="53"/>
  <c r="AG847" i="53"/>
  <c r="AG134" i="53"/>
  <c r="AG141" i="53"/>
  <c r="AG33" i="53"/>
  <c r="AG385" i="53"/>
  <c r="AG120" i="53"/>
  <c r="AG633" i="53"/>
  <c r="AG763" i="53"/>
  <c r="AG361" i="53"/>
  <c r="AG357" i="53"/>
  <c r="AG480" i="53"/>
  <c r="AG1065" i="53"/>
  <c r="AG968" i="53"/>
  <c r="AG679" i="53"/>
  <c r="AG189" i="53"/>
  <c r="AG133" i="53"/>
  <c r="AG795" i="53"/>
  <c r="AG403" i="53"/>
  <c r="AG585" i="53"/>
  <c r="AG551" i="53"/>
  <c r="AG9" i="53"/>
  <c r="AG125" i="53"/>
  <c r="AG102" i="53"/>
  <c r="AG1016" i="53"/>
  <c r="AG1097" i="53"/>
  <c r="AG626" i="53"/>
  <c r="AG391" i="53"/>
  <c r="AG155" i="53"/>
  <c r="AG246" i="53"/>
  <c r="AG497" i="53"/>
  <c r="AG732" i="53"/>
  <c r="AG717" i="53"/>
  <c r="AG591" i="53"/>
  <c r="AG399" i="53"/>
  <c r="AG806" i="53"/>
  <c r="AG448" i="53"/>
  <c r="AG810" i="53"/>
  <c r="AG503" i="53"/>
  <c r="AG673" i="53"/>
  <c r="AG225" i="53"/>
  <c r="AG530" i="53"/>
  <c r="AG212" i="53"/>
  <c r="AG629" i="53"/>
  <c r="AG599" i="53"/>
  <c r="AG121" i="53"/>
  <c r="AG442" i="53"/>
  <c r="AG894" i="53"/>
  <c r="AG816" i="53"/>
  <c r="AG698" i="53"/>
  <c r="AG457" i="53"/>
  <c r="AG933" i="53"/>
  <c r="AG749" i="53"/>
  <c r="AG706" i="53"/>
  <c r="AG468" i="53"/>
  <c r="AG1074" i="53"/>
  <c r="AG487" i="53"/>
  <c r="AG819" i="53"/>
  <c r="AG552" i="53"/>
  <c r="AG388" i="53"/>
  <c r="AG445" i="53"/>
  <c r="AG226" i="53"/>
  <c r="AG598" i="53"/>
  <c r="AG352" i="53"/>
  <c r="AG389" i="53"/>
  <c r="AG266" i="53"/>
  <c r="AG871" i="53"/>
  <c r="AG824" i="53"/>
  <c r="AG38" i="53"/>
  <c r="AG967" i="53"/>
  <c r="AG580" i="53"/>
  <c r="AG955" i="53"/>
  <c r="AG1056" i="53"/>
  <c r="AG153" i="53"/>
  <c r="AG1055" i="53"/>
  <c r="AG906" i="53"/>
  <c r="AG539" i="53"/>
  <c r="AG703" i="53"/>
  <c r="AG231" i="53"/>
  <c r="AG98" i="53"/>
  <c r="AG696" i="53"/>
  <c r="AG805" i="53"/>
  <c r="AG250" i="53"/>
  <c r="AG117" i="53"/>
  <c r="AG675" i="53"/>
  <c r="AG636" i="53"/>
  <c r="AG963" i="53"/>
  <c r="AG986" i="53"/>
  <c r="AG115" i="53"/>
  <c r="AG857" i="53"/>
  <c r="AG773" i="53"/>
  <c r="AG420" i="53"/>
  <c r="AG208" i="53"/>
  <c r="AG595" i="53"/>
  <c r="AG458" i="53"/>
  <c r="AG1023" i="53"/>
  <c r="AG127" i="53"/>
  <c r="AG814" i="53"/>
  <c r="AG1011" i="53"/>
  <c r="AG996" i="53"/>
  <c r="AG664" i="53"/>
  <c r="AG918" i="53"/>
  <c r="AG981" i="53"/>
  <c r="AG697" i="53"/>
  <c r="AG51" i="53"/>
  <c r="AG286" i="53"/>
  <c r="AG438" i="53"/>
  <c r="AG249" i="53"/>
  <c r="AG416" i="53"/>
  <c r="AG175" i="53"/>
  <c r="AG138" i="53"/>
  <c r="AG1020" i="53"/>
  <c r="AG342" i="53"/>
  <c r="AG890" i="53"/>
  <c r="AG889" i="53"/>
  <c r="AG757" i="53"/>
  <c r="AG752" i="53"/>
  <c r="AG476" i="53"/>
  <c r="AG252" i="53"/>
  <c r="AG541" i="53"/>
  <c r="AG277" i="53"/>
  <c r="AG1052" i="53"/>
  <c r="AG1090" i="53"/>
  <c r="AG435" i="53"/>
  <c r="AG932" i="53"/>
  <c r="AG431" i="53"/>
  <c r="AG581" i="53"/>
  <c r="AG946" i="53"/>
  <c r="AG600" i="53"/>
  <c r="AG446" i="53"/>
  <c r="AG96" i="53"/>
  <c r="AG764" i="53"/>
  <c r="AG282" i="53"/>
  <c r="AG311" i="53"/>
  <c r="AG798" i="53"/>
  <c r="AG174" i="53"/>
  <c r="AG498" i="53"/>
  <c r="AG590" i="53"/>
  <c r="AG740" i="53"/>
  <c r="AG753" i="53"/>
  <c r="AG510" i="53"/>
  <c r="AG803" i="53"/>
  <c r="AG50" i="53"/>
  <c r="AG844" i="53"/>
  <c r="AG684" i="53"/>
  <c r="AG802" i="53"/>
  <c r="AG501" i="53"/>
  <c r="AG209" i="53"/>
  <c r="AG70" i="53"/>
  <c r="AG322" i="53"/>
  <c r="AG105" i="53"/>
  <c r="AG538" i="53"/>
  <c r="AG427" i="53"/>
  <c r="AG1006" i="53"/>
  <c r="AG330" i="53"/>
  <c r="AG97" i="53"/>
  <c r="AG211" i="53"/>
  <c r="AG91" i="53"/>
  <c r="AG815" i="53"/>
  <c r="AG42" i="53"/>
  <c r="AG822" i="53"/>
  <c r="AG411" i="53"/>
  <c r="AG927" i="53"/>
  <c r="AG292" i="53"/>
  <c r="AG202" i="53"/>
  <c r="AG324" i="53"/>
  <c r="AG269" i="53"/>
  <c r="AG513" i="53"/>
  <c r="AG489" i="53"/>
  <c r="AG823" i="53"/>
  <c r="AG294" i="53"/>
  <c r="AG151" i="53"/>
  <c r="AG1079" i="53"/>
  <c r="AG864" i="53"/>
  <c r="AG603" i="53"/>
  <c r="AG485" i="53"/>
  <c r="AG57" i="53"/>
  <c r="AG418" i="53"/>
  <c r="AG518" i="53"/>
  <c r="AG95" i="53"/>
  <c r="AG957" i="53"/>
  <c r="AG866" i="53"/>
  <c r="AG419" i="53"/>
  <c r="AG1053" i="53"/>
  <c r="AG831" i="53"/>
  <c r="AG625" i="53"/>
  <c r="AG895" i="53"/>
  <c r="AG545" i="53"/>
  <c r="AG540" i="53"/>
  <c r="AG848" i="53"/>
  <c r="AG465" i="53"/>
  <c r="AG381" i="53"/>
  <c r="AG1085" i="53"/>
  <c r="AG839" i="53"/>
  <c r="AG107" i="53"/>
  <c r="AG672" i="53"/>
  <c r="AG207" i="53"/>
  <c r="AG586" i="53"/>
  <c r="AG475" i="53"/>
  <c r="AG892" i="53"/>
  <c r="AG787" i="53"/>
  <c r="AG793" i="53"/>
  <c r="AG172" i="53"/>
  <c r="AG375" i="53"/>
  <c r="AG1038" i="53"/>
  <c r="AG222" i="53"/>
  <c r="AG546" i="53"/>
  <c r="AG770" i="53"/>
  <c r="AG846" i="53"/>
  <c r="AG1101" i="53"/>
  <c r="AG714" i="53"/>
  <c r="AG648" i="53"/>
  <c r="AG1059" i="53"/>
  <c r="AG997" i="53"/>
  <c r="AG23" i="53"/>
  <c r="AG359" i="53"/>
  <c r="AG543" i="53"/>
  <c r="AG579" i="53"/>
  <c r="AG39" i="53"/>
  <c r="AG692" i="53"/>
  <c r="AG367" i="53"/>
  <c r="AG1028" i="53"/>
  <c r="AG774" i="53"/>
  <c r="AG492" i="53"/>
  <c r="AG437" i="53"/>
  <c r="AG404" i="53"/>
  <c r="AG289" i="53"/>
  <c r="AG710" i="53"/>
  <c r="AG970" i="53"/>
  <c r="AG92" i="53"/>
  <c r="AG181" i="53"/>
  <c r="AG707" i="53"/>
  <c r="AG835" i="53"/>
  <c r="AG317" i="53"/>
  <c r="AG1067" i="53"/>
  <c r="AG116" i="53"/>
  <c r="AG883" i="53"/>
  <c r="AG398" i="53"/>
  <c r="AG1002" i="53"/>
  <c r="AG474" i="53"/>
  <c r="AG1087" i="53"/>
  <c r="AG159" i="53"/>
  <c r="AG833" i="53"/>
  <c r="AG685" i="53"/>
  <c r="AG936" i="53"/>
  <c r="AG686" i="53"/>
  <c r="AG650" i="53"/>
  <c r="AG210" i="53"/>
  <c r="AG908" i="53"/>
  <c r="AG274" i="53"/>
  <c r="AG713" i="53"/>
  <c r="AG67" i="53"/>
  <c r="AG430" i="53"/>
  <c r="AG1041" i="53"/>
  <c r="AG726" i="53"/>
  <c r="AG952" i="53"/>
  <c r="AG689" i="53"/>
  <c r="AG990" i="53"/>
  <c r="AG778" i="53"/>
  <c r="AG177" i="53"/>
  <c r="AG154" i="53"/>
  <c r="AG162" i="53"/>
  <c r="AG1000" i="53"/>
  <c r="AG334" i="53"/>
  <c r="AG841" i="53"/>
  <c r="AG799" i="53"/>
  <c r="AG792" i="53"/>
  <c r="AG563" i="53"/>
  <c r="AG236" i="53"/>
  <c r="AG1033" i="53"/>
  <c r="AG837" i="53"/>
  <c r="AG988" i="53"/>
  <c r="AG948" i="53"/>
  <c r="AG135" i="53"/>
  <c r="AG576" i="53"/>
  <c r="AG329" i="53"/>
  <c r="AG858" i="53"/>
  <c r="AG190" i="53"/>
  <c r="AG725" i="53"/>
  <c r="AG466" i="53"/>
  <c r="AG224" i="53"/>
  <c r="AG567" i="53"/>
  <c r="AG320" i="53"/>
  <c r="AG31" i="53"/>
  <c r="AG807" i="53"/>
  <c r="AG791" i="53"/>
  <c r="AG897" i="53"/>
  <c r="AG259" i="53"/>
  <c r="AG179" i="53"/>
  <c r="AG1098" i="53"/>
  <c r="AG885" i="53"/>
  <c r="AG464" i="53"/>
  <c r="AG765" i="53"/>
  <c r="AG605" i="53"/>
  <c r="AG829" i="53"/>
  <c r="AG1075" i="53"/>
  <c r="AG275" i="53"/>
  <c r="AG444" i="53"/>
  <c r="AG592" i="53"/>
  <c r="AG188" i="53"/>
  <c r="AG531" i="53"/>
  <c r="AG374" i="53"/>
  <c r="AG27" i="53"/>
  <c r="AG528" i="53"/>
  <c r="AG124" i="53"/>
  <c r="AG1048" i="53"/>
  <c r="AG877" i="53"/>
  <c r="AG328" i="53"/>
  <c r="AG239" i="53"/>
  <c r="AG1050" i="53"/>
  <c r="AG870" i="53"/>
  <c r="AG251" i="53"/>
  <c r="AG556" i="53"/>
  <c r="AG742" i="53"/>
  <c r="AG493" i="53"/>
  <c r="AG106" i="53"/>
  <c r="AG834" i="53"/>
  <c r="AG112" i="53"/>
  <c r="AG37" i="53"/>
  <c r="AG313" i="53"/>
  <c r="AG860" i="53"/>
  <c r="AG450" i="53"/>
  <c r="AG372" i="53"/>
  <c r="AG301" i="53"/>
  <c r="AG156" i="53"/>
  <c r="AG783" i="53"/>
  <c r="AG1051" i="53"/>
  <c r="AG386" i="53"/>
  <c r="AG254" i="53"/>
  <c r="AG1104" i="53"/>
  <c r="AG950" i="53"/>
  <c r="AG661" i="53"/>
  <c r="AG695" i="53"/>
  <c r="AG989" i="53"/>
  <c r="AG930" i="53"/>
  <c r="AG1018" i="53"/>
  <c r="AG338" i="53"/>
  <c r="AG281" i="53"/>
  <c r="AG992" i="53"/>
  <c r="AG688" i="53"/>
  <c r="AG368" i="53"/>
  <c r="AG1024" i="53"/>
  <c r="AG869" i="53"/>
  <c r="AG1039" i="53"/>
  <c r="AG1066" i="53"/>
  <c r="AG564" i="53"/>
  <c r="AG20" i="53"/>
  <c r="AG255" i="53"/>
  <c r="AG913" i="53"/>
  <c r="AG199" i="53"/>
  <c r="AG296" i="53"/>
  <c r="AG85" i="53"/>
  <c r="AG409" i="53"/>
  <c r="AG776" i="53"/>
  <c r="AG566" i="53"/>
  <c r="AG65" i="53"/>
  <c r="AG641" i="53"/>
  <c r="AG264" i="53"/>
  <c r="AG1089" i="53"/>
  <c r="AG163" i="53"/>
  <c r="AG1046" i="53"/>
  <c r="AG683" i="53"/>
  <c r="AG937" i="53"/>
  <c r="AG295" i="53"/>
  <c r="AG780" i="53"/>
  <c r="AG412" i="53"/>
  <c r="AG216" i="53"/>
  <c r="AG1029" i="53"/>
  <c r="AG882" i="53"/>
  <c r="AG1010" i="53"/>
  <c r="AG651" i="53"/>
  <c r="AG62" i="53"/>
  <c r="AG1064" i="53"/>
  <c r="AG617" i="53"/>
  <c r="AG755" i="53"/>
  <c r="AG185" i="53"/>
  <c r="AG161" i="53"/>
  <c r="AG413" i="53"/>
  <c r="AG261" i="53"/>
  <c r="AG758" i="53"/>
  <c r="AG851" i="53"/>
  <c r="AG333" i="53"/>
  <c r="AG1060" i="53"/>
  <c r="AG7" i="53"/>
  <c r="AG336" i="53"/>
  <c r="AG976" i="53"/>
  <c r="AG214" i="53"/>
  <c r="AG366" i="53"/>
  <c r="AG639" i="53"/>
  <c r="AG132" i="53"/>
  <c r="AG355" i="53"/>
  <c r="AG197" i="53"/>
  <c r="AG365" i="53"/>
  <c r="AG73" i="53"/>
  <c r="AG110" i="53"/>
  <c r="AG702" i="53"/>
  <c r="AG777" i="53"/>
  <c r="AG1027" i="53"/>
  <c r="AG168" i="53"/>
  <c r="AG248" i="53"/>
  <c r="AG244" i="53"/>
  <c r="AG68" i="53"/>
  <c r="AG423" i="53"/>
  <c r="AG345" i="53"/>
  <c r="AG974" i="53"/>
  <c r="AG1078" i="53"/>
  <c r="AG750" i="53"/>
  <c r="AG1044" i="53"/>
  <c r="AG832" i="53"/>
  <c r="AG99" i="53"/>
  <c r="AG535" i="53"/>
  <c r="AG511" i="53"/>
  <c r="AG298" i="53"/>
  <c r="AG987" i="53"/>
  <c r="AG893" i="53"/>
  <c r="AG1014" i="53"/>
  <c r="AG745" i="53"/>
  <c r="AG481" i="53"/>
  <c r="AG991" i="53"/>
  <c r="AG26" i="53"/>
  <c r="AG958" i="53"/>
  <c r="AG548" i="53"/>
  <c r="AG939" i="53"/>
  <c r="AG29" i="53"/>
  <c r="AG303" i="53"/>
  <c r="AG150" i="53"/>
  <c r="AG508" i="53"/>
  <c r="AG715" i="53"/>
  <c r="AG122" i="53"/>
  <c r="AG63" i="53"/>
  <c r="AG977" i="53"/>
  <c r="AG693" i="53"/>
  <c r="AG402" i="53"/>
  <c r="AG924" i="53"/>
  <c r="AG400" i="53"/>
  <c r="AG196" i="53"/>
  <c r="AG584" i="53"/>
  <c r="AG874" i="53"/>
  <c r="AG904" i="53"/>
  <c r="AG253" i="53"/>
  <c r="AG258" i="53"/>
  <c r="AG331" i="53"/>
  <c r="AG613" i="53"/>
  <c r="AG522" i="53"/>
  <c r="AG118" i="53"/>
  <c r="AG439" i="53"/>
  <c r="AG262" i="53"/>
  <c r="AG667" i="53"/>
  <c r="AG601" i="53"/>
  <c r="AG772" i="53"/>
  <c r="AG428" i="53"/>
  <c r="AG194" i="53"/>
  <c r="AG865" i="53"/>
  <c r="AG669" i="53"/>
  <c r="AG455" i="53"/>
  <c r="AG332" i="53"/>
  <c r="AG369" i="53"/>
  <c r="AG594" i="53"/>
  <c r="AG60" i="53"/>
  <c r="AG235" i="53"/>
  <c r="AG827" i="53"/>
  <c r="AG315" i="53"/>
  <c r="AG75" i="53"/>
  <c r="AG640" i="53"/>
  <c r="AG137" i="53"/>
  <c r="AG507" i="53"/>
  <c r="AG472" i="53"/>
  <c r="AG876" i="53"/>
  <c r="AG766" i="53"/>
  <c r="AG790" i="53"/>
  <c r="AG534" i="53"/>
  <c r="AG582" i="53"/>
  <c r="AG520" i="53"/>
  <c r="AG198" i="53"/>
  <c r="AG593" i="53"/>
  <c r="AG318" i="53"/>
  <c r="AG655" i="53"/>
  <c r="AG109" i="53"/>
  <c r="AG240" i="53"/>
  <c r="AG271" i="53"/>
  <c r="AG909" i="53"/>
  <c r="AG81" i="53"/>
  <c r="AG700" i="53"/>
  <c r="AG666" i="53"/>
  <c r="AG559" i="53"/>
  <c r="AG358" i="53"/>
  <c r="AG719" i="53"/>
  <c r="AG482" i="53"/>
  <c r="AG701" i="53"/>
  <c r="AG884" i="53"/>
  <c r="AG969" i="53"/>
  <c r="AG1009" i="53"/>
  <c r="AG652" i="53"/>
  <c r="AG364" i="53"/>
  <c r="AG570" i="53"/>
  <c r="AG363" i="53"/>
  <c r="AG674" i="53"/>
  <c r="AG951" i="53"/>
  <c r="AG983" i="53"/>
  <c r="AG961" i="53"/>
  <c r="AG131" i="53"/>
  <c r="AG382" i="53"/>
  <c r="AG515" i="53"/>
  <c r="AG911" i="53"/>
  <c r="AG53" i="53"/>
  <c r="AG461" i="53"/>
  <c r="AG712" i="53"/>
  <c r="AG32" i="53"/>
  <c r="AG922" i="53"/>
  <c r="AG555" i="53"/>
  <c r="AG722" i="53"/>
  <c r="AG371" i="53"/>
  <c r="AG201" i="53"/>
  <c r="AG1073" i="53"/>
  <c r="AG557" i="53"/>
  <c r="AG665" i="53"/>
  <c r="AG306" i="53"/>
  <c r="AG78" i="53"/>
  <c r="AG10" i="53"/>
  <c r="AG1080" i="53"/>
  <c r="AG49" i="53"/>
  <c r="AG456" i="53"/>
  <c r="AG574" i="53"/>
  <c r="AG1099" i="53"/>
  <c r="AG128" i="53"/>
  <c r="AG56" i="53"/>
  <c r="AG979" i="53"/>
  <c r="AG293" i="53"/>
  <c r="AG998" i="53"/>
  <c r="AG867" i="53"/>
  <c r="AG245" i="53"/>
  <c r="AG384" i="53"/>
  <c r="AG459" i="53"/>
  <c r="AG339" i="53"/>
  <c r="AG940" i="53"/>
  <c r="AG761" i="53"/>
  <c r="AG484" i="53"/>
  <c r="AG785" i="53"/>
  <c r="AG280" i="53"/>
  <c r="AG414" i="53"/>
  <c r="AG343" i="53"/>
  <c r="AG662" i="53"/>
  <c r="AG738" i="53"/>
  <c r="AG972" i="53"/>
  <c r="AG24" i="53"/>
  <c r="AG519" i="53"/>
  <c r="AG164" i="53"/>
  <c r="AG173" i="53"/>
  <c r="AG379" i="53"/>
  <c r="AG272" i="53"/>
  <c r="AG915" i="53"/>
  <c r="AG171" i="53"/>
  <c r="AG130" i="53"/>
  <c r="AG789" i="53"/>
  <c r="AG1077" i="53"/>
  <c r="AG631" i="53"/>
  <c r="AG632" i="53"/>
  <c r="AG993" i="53"/>
  <c r="AG327" i="53"/>
  <c r="AG830" i="53"/>
  <c r="AG206" i="53"/>
  <c r="AG514" i="53"/>
  <c r="AG691" i="53"/>
  <c r="AG759" i="53"/>
  <c r="AG144" i="53"/>
  <c r="AG76" i="53"/>
  <c r="AG394" i="53"/>
  <c r="AG30" i="53"/>
  <c r="AG731" i="53"/>
  <c r="AG944" i="53"/>
  <c r="AG1070" i="53"/>
  <c r="AG716" i="53"/>
  <c r="AG268" i="53"/>
  <c r="AG627" i="53"/>
  <c r="AG114" i="53"/>
  <c r="AG321" i="53"/>
  <c r="AG273" i="53"/>
  <c r="AG994" i="53"/>
  <c r="AG843" i="53"/>
  <c r="AG486" i="53"/>
  <c r="AG79" i="53"/>
  <c r="AG941" i="53"/>
  <c r="AG850" i="53"/>
  <c r="AG980" i="53"/>
  <c r="AG304" i="53"/>
  <c r="AG191" i="53"/>
  <c r="AG1105" i="53"/>
  <c r="AG219" i="53"/>
  <c r="AG149" i="53"/>
  <c r="AG21" i="53"/>
  <c r="AG868" i="53"/>
  <c r="AG233" i="53"/>
  <c r="AG917" i="53"/>
  <c r="AG1096" i="53"/>
  <c r="AG74" i="53"/>
  <c r="AG405" i="53"/>
  <c r="AG454" i="53"/>
  <c r="AG283" i="53"/>
  <c r="AG898" i="53"/>
  <c r="AG645" i="53"/>
  <c r="AG615" i="53"/>
  <c r="AG973" i="53"/>
  <c r="AG914" i="53"/>
  <c r="AG1015" i="53"/>
  <c r="AG319" i="53"/>
  <c r="AG218" i="53"/>
  <c r="AG935" i="53"/>
  <c r="AG525" i="53"/>
  <c r="AG72" i="53"/>
  <c r="AG471" i="53"/>
  <c r="AG817" i="53"/>
  <c r="AG902" i="53"/>
  <c r="AG926" i="53"/>
  <c r="AG335" i="53"/>
  <c r="AG340" i="53"/>
  <c r="AG506" i="53"/>
  <c r="AG618" i="53"/>
  <c r="AG1021" i="53"/>
  <c r="AG260" i="53"/>
  <c r="AG221" i="53"/>
  <c r="AG462" i="53"/>
  <c r="AG307" i="53"/>
  <c r="AG982" i="53"/>
  <c r="AG649" i="53"/>
  <c r="AG16" i="53"/>
  <c r="AG187" i="53"/>
  <c r="AG406" i="53"/>
  <c r="AG227" i="53"/>
  <c r="AG347" i="53"/>
  <c r="AG111" i="53"/>
  <c r="AG1037" i="53"/>
  <c r="AG1022" i="53"/>
  <c r="AG920" i="53"/>
  <c r="AG619" i="53"/>
  <c r="AG919" i="53"/>
  <c r="AG622" i="53"/>
  <c r="AG55" i="53"/>
  <c r="AG971" i="53"/>
  <c r="AG460" i="53"/>
  <c r="AG797" i="53"/>
  <c r="AG287" i="53"/>
  <c r="AG676" i="53"/>
  <c r="AG549" i="53"/>
  <c r="AG1034" i="53"/>
  <c r="AG746" i="53"/>
  <c r="AG680" i="53"/>
  <c r="AG504" i="53"/>
  <c r="AG1025" i="53"/>
  <c r="AG771" i="53"/>
  <c r="AG1058" i="53"/>
  <c r="AG1054" i="53"/>
  <c r="AG840" i="53"/>
  <c r="AG943" i="53"/>
  <c r="AG48" i="53"/>
  <c r="AG938" i="53"/>
  <c r="AG571" i="53"/>
  <c r="AG747" i="53"/>
  <c r="AG397" i="53"/>
  <c r="AG147" i="53"/>
  <c r="AG1043" i="53"/>
  <c r="AG113" i="53"/>
  <c r="AG842" i="53"/>
  <c r="AG302" i="53"/>
  <c r="AG59" i="53"/>
  <c r="AG351" i="53"/>
  <c r="AG94" i="53"/>
  <c r="AG654" i="53"/>
  <c r="AG782" i="53"/>
  <c r="AG620" i="53"/>
  <c r="AG241" i="53"/>
  <c r="AG881" i="53"/>
  <c r="AG1030" i="53"/>
  <c r="AG415" i="53"/>
  <c r="AG229" i="53"/>
  <c r="AG310" i="53"/>
  <c r="AG360" i="53"/>
  <c r="AG769" i="53"/>
  <c r="AG796" i="53"/>
  <c r="AG587" i="53"/>
  <c r="AG279" i="53"/>
  <c r="AG22" i="53"/>
  <c r="AG800" i="53"/>
  <c r="AG192" i="53"/>
  <c r="AG341" i="53"/>
  <c r="AG410" i="53"/>
  <c r="AG947" i="53"/>
  <c r="AG786" i="53"/>
  <c r="AG638" i="53"/>
  <c r="AG532" i="53"/>
  <c r="AG424" i="53"/>
  <c r="AG1003" i="53"/>
  <c r="AG925" i="53"/>
  <c r="AG880" i="53"/>
  <c r="AG165" i="53"/>
  <c r="AG767" i="53"/>
  <c r="AG1049" i="53"/>
  <c r="AG853" i="53"/>
  <c r="AG1004" i="53"/>
  <c r="AG1031" i="53"/>
  <c r="AG220" i="53"/>
  <c r="AG762" i="53"/>
  <c r="AG553" i="53"/>
  <c r="AG809" i="53"/>
  <c r="AG575" i="53"/>
  <c r="AG276" i="53"/>
  <c r="AG1026" i="53"/>
  <c r="AG512" i="53"/>
  <c r="AG608" i="53"/>
  <c r="AG589" i="53"/>
  <c r="AG1008" i="53"/>
  <c r="AG879" i="53"/>
  <c r="AG494" i="53"/>
  <c r="AG960" i="53"/>
  <c r="AG477" i="53"/>
  <c r="AG820" i="53"/>
  <c r="AG1083" i="53"/>
  <c r="AG77" i="53"/>
  <c r="AG637" i="53"/>
  <c r="AG203" i="53"/>
  <c r="AG588" i="53"/>
  <c r="AG36" i="53"/>
  <c r="AG143" i="53"/>
  <c r="AG87" i="53"/>
  <c r="AG657" i="53"/>
  <c r="AG614" i="53"/>
  <c r="AG376" i="53"/>
  <c r="AG609" i="53"/>
  <c r="AG748" i="53"/>
  <c r="AG733" i="53"/>
  <c r="AG610" i="53"/>
  <c r="AG826" i="53"/>
  <c r="AG326" i="53"/>
  <c r="AG536" i="53"/>
  <c r="AG353" i="53"/>
  <c r="AG550" i="53"/>
  <c r="AG146" i="53"/>
  <c r="AG160" i="53"/>
  <c r="AG176" i="53"/>
  <c r="AG290" i="53"/>
  <c r="AG606" i="53"/>
  <c r="AG103" i="53"/>
  <c r="AG228" i="53"/>
  <c r="AG808" i="53"/>
  <c r="AG380" i="53"/>
  <c r="AG15" i="53"/>
  <c r="AG195" i="53"/>
  <c r="AG186" i="53"/>
  <c r="AG200" i="53"/>
  <c r="AG8" i="53"/>
  <c r="AG872" i="53"/>
  <c r="AG953" i="53"/>
  <c r="AG942" i="53"/>
  <c r="AG644" i="53"/>
  <c r="AG421" i="53"/>
  <c r="AG496" i="53"/>
  <c r="AG1081" i="53"/>
  <c r="AG984" i="53"/>
  <c r="AG845" i="53"/>
  <c r="AG794" i="53"/>
  <c r="AG378" i="53"/>
  <c r="AG1007" i="53"/>
  <c r="AG108" i="53"/>
  <c r="AG779" i="53"/>
  <c r="AG647" i="53"/>
  <c r="AG728" i="53"/>
  <c r="AG668" i="53"/>
  <c r="AG849" i="53"/>
  <c r="AG677" i="53"/>
  <c r="AG234" i="53"/>
  <c r="AG314" i="53"/>
  <c r="AG811" i="53"/>
  <c r="AG730" i="53"/>
  <c r="AG309" i="53"/>
  <c r="AG517" i="53"/>
  <c r="AG395" i="53"/>
  <c r="AG612" i="53"/>
  <c r="AG1100" i="53"/>
  <c r="AG852" i="53"/>
  <c r="AG1092" i="53"/>
  <c r="AG215" i="53"/>
  <c r="AG392" i="53"/>
  <c r="AG136" i="53"/>
  <c r="AG425" i="53"/>
  <c r="AG66" i="53"/>
  <c r="AG1047" i="53"/>
  <c r="AG562" i="53"/>
  <c r="AG170" i="53"/>
  <c r="AG491" i="53"/>
  <c r="AG656" i="53"/>
  <c r="AG126" i="53"/>
  <c r="AG859" i="53"/>
  <c r="AG699" i="53"/>
  <c r="AG1062" i="53"/>
  <c r="AG71" i="53"/>
  <c r="AG426" i="53"/>
  <c r="AG1084" i="53"/>
  <c r="AG270" i="53"/>
  <c r="AG344" i="53"/>
  <c r="AG735" i="53"/>
  <c r="AG449" i="53"/>
  <c r="AG80" i="53"/>
  <c r="AG954" i="53"/>
  <c r="AG1069" i="53"/>
  <c r="AG213" i="53"/>
  <c r="AG429" i="53"/>
  <c r="AG577" i="53"/>
  <c r="AG64" i="53"/>
  <c r="AG500" i="53"/>
  <c r="AG931" i="53"/>
  <c r="AG1094" i="53"/>
  <c r="AG1061" i="53"/>
  <c r="AG646" i="53"/>
  <c r="AG569" i="53"/>
  <c r="AG349" i="53"/>
  <c r="AG905" i="53"/>
  <c r="AG495" i="53"/>
  <c r="AG756" i="53"/>
  <c r="AG863" i="53"/>
  <c r="AG469" i="53"/>
  <c r="AG193" i="53"/>
  <c r="AG54" i="53"/>
  <c r="AG278" i="53"/>
  <c r="AG736" i="53"/>
  <c r="AG256" i="53"/>
  <c r="AG167" i="53"/>
  <c r="AG1095" i="53"/>
  <c r="AG734" i="53"/>
  <c r="AG478" i="53"/>
  <c r="AG727" i="53"/>
  <c r="AG499" i="53"/>
  <c r="AG1040" i="53"/>
  <c r="AG169" i="53"/>
  <c r="AG634" i="53"/>
  <c r="AG527" i="53"/>
  <c r="AG323" i="53"/>
  <c r="AG630" i="53"/>
  <c r="AG390" i="53"/>
  <c r="AG921" i="53"/>
  <c r="AG284" i="53"/>
  <c r="AG396" i="53"/>
  <c r="AG544" i="53"/>
  <c r="AG433" i="53"/>
  <c r="AG739" i="53"/>
  <c r="AG1035" i="53"/>
  <c r="AG818" i="53"/>
  <c r="AG888" i="53"/>
  <c r="AG760" i="53"/>
  <c r="AG305" i="53"/>
  <c r="AG804" i="53"/>
  <c r="AG350" i="53"/>
  <c r="AG407" i="53"/>
  <c r="AG316" i="53"/>
  <c r="AG337" i="53"/>
  <c r="AG578" i="53"/>
  <c r="AG838" i="53"/>
  <c r="AG878" i="53"/>
  <c r="AG223" i="53"/>
  <c r="AG100" i="53"/>
  <c r="AG470" i="53"/>
  <c r="AG1071" i="53"/>
  <c r="AG1082" i="53"/>
  <c r="AG547" i="53"/>
  <c r="AG490" i="53"/>
  <c r="AG356" i="53"/>
  <c r="AG285" i="53"/>
  <c r="AG529" i="53"/>
  <c r="AG524" i="53"/>
  <c r="AG1076" i="53"/>
  <c r="AG653" i="53"/>
  <c r="AG836" i="53"/>
  <c r="AG509" i="53"/>
  <c r="AG40" i="53"/>
  <c r="AG417" i="53"/>
  <c r="AG597" i="53"/>
  <c r="AG886" i="53"/>
  <c r="AG910" i="53"/>
  <c r="AG238" i="53"/>
  <c r="AG158" i="53"/>
  <c r="AG488" i="53"/>
  <c r="AG521" i="53"/>
  <c r="AG949" i="53"/>
  <c r="AG784" i="53"/>
  <c r="AG709" i="53"/>
  <c r="AG533" i="53"/>
  <c r="AG573" i="53"/>
  <c r="AG628" i="53"/>
  <c r="AG825" i="53"/>
  <c r="AG560" i="53"/>
  <c r="AG299" i="53"/>
  <c r="AG17" i="53"/>
  <c r="X3" i="53"/>
  <c r="AG3" i="53"/>
  <c r="AG45" i="53"/>
  <c r="AG145" i="53"/>
  <c r="AG4" i="53"/>
  <c r="L1833" i="54"/>
  <c r="L1914" i="54"/>
  <c r="L2203" i="54"/>
  <c r="L2150" i="54"/>
  <c r="L1174" i="54"/>
  <c r="L1316" i="54"/>
  <c r="L1572" i="54"/>
  <c r="L1599" i="54"/>
  <c r="L1303" i="54"/>
  <c r="L1555" i="54"/>
  <c r="L1762" i="54"/>
  <c r="L1846" i="54"/>
  <c r="L1774" i="54"/>
  <c r="L2098" i="54"/>
  <c r="L1307" i="54"/>
  <c r="L1719" i="54"/>
  <c r="L1871" i="54"/>
  <c r="L2081" i="54"/>
  <c r="L1556" i="54"/>
  <c r="L1827" i="54"/>
  <c r="L1155" i="54"/>
  <c r="L1978" i="54"/>
  <c r="L1745" i="54"/>
  <c r="L1535" i="54"/>
  <c r="L1965" i="54"/>
  <c r="L2108" i="54"/>
  <c r="L2059" i="54"/>
  <c r="L1726" i="54"/>
  <c r="L1539" i="54"/>
  <c r="L1854" i="54"/>
  <c r="L1844" i="54"/>
  <c r="L1807" i="54"/>
  <c r="L1990" i="54"/>
  <c r="L1333" i="54"/>
  <c r="L1840" i="54"/>
  <c r="L1131" i="54"/>
  <c r="L2065" i="54"/>
  <c r="L1172" i="54"/>
  <c r="L1350" i="54"/>
  <c r="L1511" i="54"/>
  <c r="L1242" i="54"/>
  <c r="L1544" i="54"/>
  <c r="L1185" i="54"/>
  <c r="L1761" i="54"/>
  <c r="L1226" i="54"/>
  <c r="L2010" i="54"/>
  <c r="L1164" i="54"/>
  <c r="L1287" i="54"/>
  <c r="L1664" i="54"/>
  <c r="L2122" i="54"/>
  <c r="L1245" i="54"/>
  <c r="L1994" i="54"/>
  <c r="L1582" i="54"/>
  <c r="L1207" i="54"/>
  <c r="L1821" i="54"/>
  <c r="L1232" i="54"/>
  <c r="L2032" i="54"/>
  <c r="L1415" i="54"/>
  <c r="L1645" i="54"/>
  <c r="L1773" i="54"/>
  <c r="L1490" i="54"/>
  <c r="L2189" i="54"/>
  <c r="L1657" i="54"/>
  <c r="L1915" i="54"/>
  <c r="L1504" i="54"/>
  <c r="L1251" i="54"/>
  <c r="L1608" i="54"/>
  <c r="L1576" i="54"/>
  <c r="L1793" i="54"/>
  <c r="L1391" i="54"/>
  <c r="L2160" i="54"/>
  <c r="L1824" i="54"/>
  <c r="L1891" i="54"/>
  <c r="L1811" i="54"/>
  <c r="L1605" i="54"/>
  <c r="L1781" i="54"/>
  <c r="L1222" i="54"/>
  <c r="L2048" i="54"/>
  <c r="L1790" i="54"/>
  <c r="L1626" i="54"/>
  <c r="L1707" i="54"/>
  <c r="L1283" i="54"/>
  <c r="L1308" i="54"/>
  <c r="L1546" i="54"/>
  <c r="L1394" i="54"/>
  <c r="L2069" i="54"/>
  <c r="L2171" i="54"/>
  <c r="L2015" i="54"/>
  <c r="L2120" i="54"/>
  <c r="L1916" i="54"/>
  <c r="L1281" i="54"/>
  <c r="L1144" i="54"/>
  <c r="L1668" i="54"/>
  <c r="L1360" i="54"/>
  <c r="L1189" i="54"/>
  <c r="L1457" i="54"/>
  <c r="L1340" i="54"/>
  <c r="L1647" i="54"/>
  <c r="L1536" i="54"/>
  <c r="L1842" i="54"/>
  <c r="L2138" i="54"/>
  <c r="L1921" i="54"/>
  <c r="L1991" i="54"/>
  <c r="L1863" i="54"/>
  <c r="L1408" i="54"/>
  <c r="L1907" i="54"/>
  <c r="L1453" i="54"/>
  <c r="L1510" i="54"/>
  <c r="L1419" i="54"/>
  <c r="L1440" i="54"/>
  <c r="L1681" i="54"/>
  <c r="L1941" i="54"/>
  <c r="L1981" i="54"/>
  <c r="L1326" i="54"/>
  <c r="L1203" i="54"/>
  <c r="L1573" i="54"/>
  <c r="L2174" i="54"/>
  <c r="L2185" i="54"/>
  <c r="L1650" i="54"/>
  <c r="L1593" i="54"/>
  <c r="L1459" i="54"/>
  <c r="L1388" i="54"/>
  <c r="L1632" i="54"/>
  <c r="L1627" i="54"/>
  <c r="L2179" i="54"/>
  <c r="L1756" i="54"/>
  <c r="L1939" i="54"/>
  <c r="L1612" i="54"/>
  <c r="L1143" i="54"/>
  <c r="L1520" i="54"/>
  <c r="L1700" i="54"/>
  <c r="L1989" i="54"/>
  <c r="L2013" i="54"/>
  <c r="L1341" i="54"/>
  <c r="L1261" i="54"/>
  <c r="L1591" i="54"/>
  <c r="L1624" i="54"/>
  <c r="L2052" i="54"/>
  <c r="L1887" i="54"/>
  <c r="L1812" i="54"/>
  <c r="L1636" i="54"/>
  <c r="L1676" i="54"/>
  <c r="L1731" i="54"/>
  <c r="L1928" i="54"/>
  <c r="L1663" i="54"/>
  <c r="L1402" i="54"/>
  <c r="L1417" i="54"/>
  <c r="L1412" i="54"/>
  <c r="L1318" i="54"/>
  <c r="L1665" i="54"/>
  <c r="L2165" i="54"/>
  <c r="L1552" i="54"/>
  <c r="L1532" i="54"/>
  <c r="L1749" i="54"/>
  <c r="L1296" i="54"/>
  <c r="L2198" i="54"/>
  <c r="L1602" i="54"/>
  <c r="L1733" i="54"/>
  <c r="L1387" i="54"/>
  <c r="L1379" i="54"/>
  <c r="L2111" i="54"/>
  <c r="L1580" i="54"/>
  <c r="L1740" i="54"/>
  <c r="L1760" i="54"/>
  <c r="L1713" i="54"/>
  <c r="L1279" i="54"/>
  <c r="L2056" i="54"/>
  <c r="L1738" i="54"/>
  <c r="L1149" i="54"/>
  <c r="L1543" i="54"/>
  <c r="L2116" i="54"/>
  <c r="L2145" i="54"/>
  <c r="L1550" i="54"/>
  <c r="L1411" i="54"/>
  <c r="L1959" i="54"/>
  <c r="L2088" i="54"/>
  <c r="L1204" i="54"/>
  <c r="L1671" i="54"/>
  <c r="L1403" i="54"/>
  <c r="L1473" i="54"/>
  <c r="L1832" i="54"/>
  <c r="L1814" i="54"/>
  <c r="L1196" i="54"/>
  <c r="L1710" i="54"/>
  <c r="L2205" i="54"/>
  <c r="L2068" i="54"/>
  <c r="L1335" i="54"/>
  <c r="L1784" i="54"/>
  <c r="L1138" i="54"/>
  <c r="L1370" i="54"/>
  <c r="L1525" i="54"/>
  <c r="L1766" i="54"/>
  <c r="L1121" i="54"/>
  <c r="L2067" i="54"/>
  <c r="L1345" i="54"/>
  <c r="L1480" i="54"/>
  <c r="L1976" i="54"/>
  <c r="L1857" i="54"/>
  <c r="L1823" i="54"/>
  <c r="L2003" i="54"/>
  <c r="L2104" i="54"/>
  <c r="L1496" i="54"/>
  <c r="L1826" i="54"/>
  <c r="L1808" i="54"/>
  <c r="L1931" i="54"/>
  <c r="L1724" i="54"/>
  <c r="L1465" i="54"/>
  <c r="L1366" i="54"/>
  <c r="L1629" i="54"/>
  <c r="L1255" i="54"/>
  <c r="L2019" i="54"/>
  <c r="L2135" i="54"/>
  <c r="L1192" i="54"/>
  <c r="L1847" i="54"/>
  <c r="L1476" i="54"/>
  <c r="L1797" i="54"/>
  <c r="L1186" i="54"/>
  <c r="L2175" i="54"/>
  <c r="L1537" i="54"/>
  <c r="L2148" i="54"/>
  <c r="L1400" i="54"/>
  <c r="L2078" i="54"/>
  <c r="L1746" i="54"/>
  <c r="L1428" i="54"/>
  <c r="L1554" i="54"/>
  <c r="L1964" i="54"/>
  <c r="L1566" i="54"/>
  <c r="L1619" i="54"/>
  <c r="L2026" i="54"/>
  <c r="L2191" i="54"/>
  <c r="L1950" i="54"/>
  <c r="L1237" i="54"/>
  <c r="L1244" i="54"/>
  <c r="L1136" i="54"/>
  <c r="L1488" i="54"/>
  <c r="L1223" i="54"/>
  <c r="L1736" i="54"/>
  <c r="L1866" i="54"/>
  <c r="L1464" i="54"/>
  <c r="L1460" i="54"/>
  <c r="L1583" i="54"/>
  <c r="L2168" i="54"/>
  <c r="L2071" i="54"/>
  <c r="L1782" i="54"/>
  <c r="L1292" i="54"/>
  <c r="L1236" i="54"/>
  <c r="L1898" i="54"/>
  <c r="L1506" i="54"/>
  <c r="L1688" i="54"/>
  <c r="L1358" i="54"/>
  <c r="L1471" i="54"/>
  <c r="L1150" i="54"/>
  <c r="L2012" i="54"/>
  <c r="L1897" i="54"/>
  <c r="L2016" i="54"/>
  <c r="L1368" i="54"/>
  <c r="L1285" i="54"/>
  <c r="L2139" i="54"/>
  <c r="L1785" i="54"/>
  <c r="L1640" i="54"/>
  <c r="L2166" i="54"/>
  <c r="L2037" i="54"/>
  <c r="L2102" i="54"/>
  <c r="L1686" i="54"/>
  <c r="L1449" i="54"/>
  <c r="L1320" i="54"/>
  <c r="L2004" i="54"/>
  <c r="L2196" i="54"/>
  <c r="L1161" i="54"/>
  <c r="L1147" i="54"/>
  <c r="L1187" i="54"/>
  <c r="L2002" i="54"/>
  <c r="L1714" i="54"/>
  <c r="L1924" i="54"/>
  <c r="L1486" i="54"/>
  <c r="L1878" i="54"/>
  <c r="L2006" i="54"/>
  <c r="L1137" i="54"/>
  <c r="L1146" i="54"/>
  <c r="L1727" i="54"/>
  <c r="L1243" i="54"/>
  <c r="L1570" i="54"/>
  <c r="L2115" i="54"/>
  <c r="L1191" i="54"/>
  <c r="L2031" i="54"/>
  <c r="L1884" i="54"/>
  <c r="L1451" i="54"/>
  <c r="L2206" i="54"/>
  <c r="L1260" i="54"/>
  <c r="L1286" i="54"/>
  <c r="L1269" i="54"/>
  <c r="L1705" i="54"/>
  <c r="L1763" i="54"/>
  <c r="L1957" i="54"/>
  <c r="L1904" i="54"/>
  <c r="L2062" i="54"/>
  <c r="L1699" i="54"/>
  <c r="L1675" i="54"/>
  <c r="L1999" i="54"/>
  <c r="L1586" i="54"/>
  <c r="L1661" i="54"/>
  <c r="L2194" i="54"/>
  <c r="L1958" i="54"/>
  <c r="L1346" i="54"/>
  <c r="L1747" i="54"/>
  <c r="L1248" i="54"/>
  <c r="L2158" i="54"/>
  <c r="L2009" i="54"/>
  <c r="L1642" i="54"/>
  <c r="L1806" i="54"/>
  <c r="L1334" i="54"/>
  <c r="L1201" i="54"/>
  <c r="L1799" i="54"/>
  <c r="L1908" i="54"/>
  <c r="L1353" i="54"/>
  <c r="L1220" i="54"/>
  <c r="L1778" i="54"/>
  <c r="L1739" i="54"/>
  <c r="L2066" i="54"/>
  <c r="L2089" i="54"/>
  <c r="L1218" i="54"/>
  <c r="L1960" i="54"/>
  <c r="L1876" i="54"/>
  <c r="L1523" i="54"/>
  <c r="L1311" i="54"/>
  <c r="L1698" i="54"/>
  <c r="L1561" i="54"/>
  <c r="L2126" i="54"/>
  <c r="L1230" i="54"/>
  <c r="L1917" i="54"/>
  <c r="L2114" i="54"/>
  <c r="L2099" i="54"/>
  <c r="L1767" i="54"/>
  <c r="L2021" i="54"/>
  <c r="L2084" i="54"/>
  <c r="L1800" i="54"/>
  <c r="L1154" i="54"/>
  <c r="L1389" i="54"/>
  <c r="L1541" i="54"/>
  <c r="L1352" i="54"/>
  <c r="L1519" i="54"/>
  <c r="L1278" i="54"/>
  <c r="L1241" i="54"/>
  <c r="L2123" i="54"/>
  <c r="L1445" i="54"/>
  <c r="L1993" i="54"/>
  <c r="L1992" i="54"/>
  <c r="L1860" i="54"/>
  <c r="L1855" i="54"/>
  <c r="L1579" i="54"/>
  <c r="L1355" i="54"/>
  <c r="L1644" i="54"/>
  <c r="L1380" i="54"/>
  <c r="L2155" i="54"/>
  <c r="L2193" i="54"/>
  <c r="L1538" i="54"/>
  <c r="L2035" i="54"/>
  <c r="L1534" i="54"/>
  <c r="L1684" i="54"/>
  <c r="L2049" i="54"/>
  <c r="L1703" i="54"/>
  <c r="L1549" i="54"/>
  <c r="L1199" i="54"/>
  <c r="L1867" i="54"/>
  <c r="L1385" i="54"/>
  <c r="L1414" i="54"/>
  <c r="L1901" i="54"/>
  <c r="L1277" i="54"/>
  <c r="L1601" i="54"/>
  <c r="L1693" i="54"/>
  <c r="L1843" i="54"/>
  <c r="L1856" i="54"/>
  <c r="L1613" i="54"/>
  <c r="L1906" i="54"/>
  <c r="L1153" i="54"/>
  <c r="L1947" i="54"/>
  <c r="L1787" i="54"/>
  <c r="L1905" i="54"/>
  <c r="L1604" i="54"/>
  <c r="L1312" i="54"/>
  <c r="L1173" i="54"/>
  <c r="L1425" i="54"/>
  <c r="L1208" i="54"/>
  <c r="L1641" i="54"/>
  <c r="L1530" i="54"/>
  <c r="L2109" i="54"/>
  <c r="L1433" i="54"/>
  <c r="L1200" i="54"/>
  <c r="L2070" i="54"/>
  <c r="L1683" i="54"/>
  <c r="L2058" i="54"/>
  <c r="L1148" i="54"/>
  <c r="L2159" i="54"/>
  <c r="L1256" i="54"/>
  <c r="L1654" i="54"/>
  <c r="L1112" i="54"/>
  <c r="L1228" i="54"/>
  <c r="L1205" i="54"/>
  <c r="L2119" i="54"/>
  <c r="L2200" i="54"/>
  <c r="L1729" i="54"/>
  <c r="L1494" i="54"/>
  <c r="L1258" i="54"/>
  <c r="L1349" i="54"/>
  <c r="L1600" i="54"/>
  <c r="L1835" i="54"/>
  <c r="L1820" i="54"/>
  <c r="L1694" i="54"/>
  <c r="L1502" i="54"/>
  <c r="L1909" i="54"/>
  <c r="L1551" i="54"/>
  <c r="L1913" i="54"/>
  <c r="L1606" i="54"/>
  <c r="L1776" i="54"/>
  <c r="L1328" i="54"/>
  <c r="L1633" i="54"/>
  <c r="L1315" i="54"/>
  <c r="L1732" i="54"/>
  <c r="L1702" i="54"/>
  <c r="L1224" i="54"/>
  <c r="L1545" i="54"/>
  <c r="L1997" i="54"/>
  <c r="L1919" i="54"/>
  <c r="L1801" i="54"/>
  <c r="L1560" i="54"/>
  <c r="L2036" i="54"/>
  <c r="L1852" i="54"/>
  <c r="L1809" i="54"/>
  <c r="L1571" i="54"/>
  <c r="L2177" i="54"/>
  <c r="L1590" i="54"/>
  <c r="L1922" i="54"/>
  <c r="L1655" i="54"/>
  <c r="L1491" i="54"/>
  <c r="L1548" i="54"/>
  <c r="L1329" i="54"/>
  <c r="L1701" i="54"/>
  <c r="L1455" i="54"/>
  <c r="L1492" i="54"/>
  <c r="L1369" i="54"/>
  <c r="L1974" i="54"/>
  <c r="L1927" i="54"/>
  <c r="L1141" i="54"/>
  <c r="L1498" i="54"/>
  <c r="L1239" i="54"/>
  <c r="L1759" i="54"/>
  <c r="L1373" i="54"/>
  <c r="L2172" i="54"/>
  <c r="L2197" i="54"/>
  <c r="L1598" i="54"/>
  <c r="L1359" i="54"/>
  <c r="L2143" i="54"/>
  <c r="L1499" i="54"/>
  <c r="L1692" i="54"/>
  <c r="L1180" i="54"/>
  <c r="L1246" i="54"/>
  <c r="L1712" i="54"/>
  <c r="L1929" i="54"/>
  <c r="L1653" i="54"/>
  <c r="L1263" i="54"/>
  <c r="L1206" i="54"/>
  <c r="L1331" i="54"/>
  <c r="L1483" i="54"/>
  <c r="L2045" i="54"/>
  <c r="L2195" i="54"/>
  <c r="L1273" i="54"/>
  <c r="L2187" i="54"/>
  <c r="L2057" i="54"/>
  <c r="L2034" i="54"/>
  <c r="L2008" i="54"/>
  <c r="L1381" i="54"/>
  <c r="L1581" i="54"/>
  <c r="L1737" i="54"/>
  <c r="L1524" i="54"/>
  <c r="L1982" i="54"/>
  <c r="L1717" i="54"/>
  <c r="L1298" i="54"/>
  <c r="L2204" i="54"/>
  <c r="L1817" i="54"/>
  <c r="L1751" i="54"/>
  <c r="L2162" i="54"/>
  <c r="L2100" i="54"/>
  <c r="L1126" i="54"/>
  <c r="L1462" i="54"/>
  <c r="L1646" i="54"/>
  <c r="L1682" i="54"/>
  <c r="L1142" i="54"/>
  <c r="L1795" i="54"/>
  <c r="L1470" i="54"/>
  <c r="L2131" i="54"/>
  <c r="L1877" i="54"/>
  <c r="L1595" i="54"/>
  <c r="L1540" i="54"/>
  <c r="L1507" i="54"/>
  <c r="L1392" i="54"/>
  <c r="L1813" i="54"/>
  <c r="L2073" i="54"/>
  <c r="L1195" i="54"/>
  <c r="L1284" i="54"/>
  <c r="L1810" i="54"/>
  <c r="L1938" i="54"/>
  <c r="L1420" i="54"/>
  <c r="L2170" i="54"/>
  <c r="L1219" i="54"/>
  <c r="L1986" i="54"/>
  <c r="L1501" i="54"/>
  <c r="L2105" i="54"/>
  <c r="L1577" i="54"/>
  <c r="L2190" i="54"/>
  <c r="L1262" i="54"/>
  <c r="L1936" i="54"/>
  <c r="L1788" i="54"/>
  <c r="L2039" i="54"/>
  <c r="L1789" i="54"/>
  <c r="L1753" i="54"/>
  <c r="L1313" i="54"/>
  <c r="L2011" i="54"/>
  <c r="L1377" i="54"/>
  <c r="L1816" i="54"/>
  <c r="L1170" i="54"/>
  <c r="L1533" i="54"/>
  <c r="L2144" i="54"/>
  <c r="L1829" i="54"/>
  <c r="L2055" i="54"/>
  <c r="L1792" i="54"/>
  <c r="L2093" i="54"/>
  <c r="L1881" i="54"/>
  <c r="L1280" i="54"/>
  <c r="L1257" i="54"/>
  <c r="L1265" i="54"/>
  <c r="L2103" i="54"/>
  <c r="L1437" i="54"/>
  <c r="L1944" i="54"/>
  <c r="L1902" i="54"/>
  <c r="L1895" i="54"/>
  <c r="L1666" i="54"/>
  <c r="L1339" i="54"/>
  <c r="L2136" i="54"/>
  <c r="L1940" i="54"/>
  <c r="L2091" i="54"/>
  <c r="L2051" i="54"/>
  <c r="L1238" i="54"/>
  <c r="L1679" i="54"/>
  <c r="L1432" i="54"/>
  <c r="L1961" i="54"/>
  <c r="L1293" i="54"/>
  <c r="L1828" i="54"/>
  <c r="L1569" i="54"/>
  <c r="L1327" i="54"/>
  <c r="L1670" i="54"/>
  <c r="L1423" i="54"/>
  <c r="L1134" i="54"/>
  <c r="L1910" i="54"/>
  <c r="L1894" i="54"/>
  <c r="L2000" i="54"/>
  <c r="L1362" i="54"/>
  <c r="L1282" i="54"/>
  <c r="L2201" i="54"/>
  <c r="L1988" i="54"/>
  <c r="L1567" i="54"/>
  <c r="L1478" i="54"/>
  <c r="L2141" i="54"/>
  <c r="L1325" i="54"/>
  <c r="L1649" i="54"/>
  <c r="L1873" i="54"/>
  <c r="L1949" i="54"/>
  <c r="L1314" i="54"/>
  <c r="L1194" i="54"/>
  <c r="L1918" i="54"/>
  <c r="L1145" i="54"/>
  <c r="L1925" i="54"/>
  <c r="L1514" i="54"/>
  <c r="L2030" i="54"/>
  <c r="L1395" i="54"/>
  <c r="L1305" i="54"/>
  <c r="L1427" i="54"/>
  <c r="L1372" i="54"/>
  <c r="L1616" i="54"/>
  <c r="L1592" i="54"/>
  <c r="L1926" i="54"/>
  <c r="L1397" i="54"/>
  <c r="L1254" i="54"/>
  <c r="L2182" i="54"/>
  <c r="L1967" i="54"/>
  <c r="L1706" i="54"/>
  <c r="L1588" i="54"/>
  <c r="L1160" i="54"/>
  <c r="L1521" i="54"/>
  <c r="L1621" i="54"/>
  <c r="L1198" i="54"/>
  <c r="L2060" i="54"/>
  <c r="L1969" i="54"/>
  <c r="L1522" i="54"/>
  <c r="L2156" i="54"/>
  <c r="L1934" i="54"/>
  <c r="L1728" i="54"/>
  <c r="L1998" i="54"/>
  <c r="L1648" i="54"/>
  <c r="L1643" i="54"/>
  <c r="L1951" i="54"/>
  <c r="L1568" i="54"/>
  <c r="L1484" i="54"/>
  <c r="L2188" i="54"/>
  <c r="L1942" i="54"/>
  <c r="L1210" i="54"/>
  <c r="L1775" i="54"/>
  <c r="L1310" i="54"/>
  <c r="L1689" i="54"/>
  <c r="L1578" i="54"/>
  <c r="L1995" i="54"/>
  <c r="L1890" i="54"/>
  <c r="L1896" i="54"/>
  <c r="L1275" i="54"/>
  <c r="L1620" i="54"/>
  <c r="L1495" i="54"/>
  <c r="L1594" i="54"/>
  <c r="L1529" i="54"/>
  <c r="L1183" i="54"/>
  <c r="L1603" i="54"/>
  <c r="L1672" i="54"/>
  <c r="L1966" i="54"/>
  <c r="L1839" i="54"/>
  <c r="L1830" i="54"/>
  <c r="L1493" i="54"/>
  <c r="L2184" i="54"/>
  <c r="L1711" i="54"/>
  <c r="L1597" i="54"/>
  <c r="L2186" i="54"/>
  <c r="L1306" i="54"/>
  <c r="L1190" i="54"/>
  <c r="L1479" i="54"/>
  <c r="L1836" i="54"/>
  <c r="L1456" i="54"/>
  <c r="L1249" i="54"/>
  <c r="L1709" i="54"/>
  <c r="L1911" i="54"/>
  <c r="L1289" i="54"/>
  <c r="L1955" i="54"/>
  <c r="L1169" i="54"/>
  <c r="L1802" i="54"/>
  <c r="L1838" i="54"/>
  <c r="L1680" i="54"/>
  <c r="L1452" i="54"/>
  <c r="L1157" i="54"/>
  <c r="L1837" i="54"/>
  <c r="L1426" i="54"/>
  <c r="L2087" i="54"/>
  <c r="L2063" i="54"/>
  <c r="L1691" i="54"/>
  <c r="L1429" i="54"/>
  <c r="L1111" i="54"/>
  <c r="L1302" i="54"/>
  <c r="L1399" i="54"/>
  <c r="L1188" i="54"/>
  <c r="L1512" i="54"/>
  <c r="L1879" i="54"/>
  <c r="L1669" i="54"/>
  <c r="L1168" i="54"/>
  <c r="L1744" i="54"/>
  <c r="L1367" i="54"/>
  <c r="L2192" i="54"/>
  <c r="L1266" i="54"/>
  <c r="L2149" i="54"/>
  <c r="L1786" i="54"/>
  <c r="L2040" i="54"/>
  <c r="L1398" i="54"/>
  <c r="L1883" i="54"/>
  <c r="L1515" i="54"/>
  <c r="L1319" i="54"/>
  <c r="L2132" i="54"/>
  <c r="L1985" i="54"/>
  <c r="L2113" i="54"/>
  <c r="L1754" i="54"/>
  <c r="L1165" i="54"/>
  <c r="L2167" i="54"/>
  <c r="L1720" i="54"/>
  <c r="L1858" i="54"/>
  <c r="L1288" i="54"/>
  <c r="L1264" i="54"/>
  <c r="L1516" i="54"/>
  <c r="L1364" i="54"/>
  <c r="L1861" i="54"/>
  <c r="L1954" i="54"/>
  <c r="L1436" i="54"/>
  <c r="L2163" i="54"/>
  <c r="L1110" i="54"/>
  <c r="L1439" i="54"/>
  <c r="L2079" i="54"/>
  <c r="L1317" i="54"/>
  <c r="L1469" i="54"/>
  <c r="L1742" i="54"/>
  <c r="L1235" i="54"/>
  <c r="L1458" i="54"/>
  <c r="L1300" i="54"/>
  <c r="L1468" i="54"/>
  <c r="L1176" i="54"/>
  <c r="L1213" i="54"/>
  <c r="L1805" i="54"/>
  <c r="L1880" i="54"/>
  <c r="L2130" i="54"/>
  <c r="L1271" i="54"/>
  <c r="L1351" i="54"/>
  <c r="L1347" i="54"/>
  <c r="L1171" i="54"/>
  <c r="L1526" i="54"/>
  <c r="L1448" i="54"/>
  <c r="L2077" i="54"/>
  <c r="L2181" i="54"/>
  <c r="L1853" i="54"/>
  <c r="L2147" i="54"/>
  <c r="L1935" i="54"/>
  <c r="L1202" i="54"/>
  <c r="L1638" i="54"/>
  <c r="L1614" i="54"/>
  <c r="L1401" i="54"/>
  <c r="L2090" i="54"/>
  <c r="L1996" i="54"/>
  <c r="L2117" i="54"/>
  <c r="L1848" i="54"/>
  <c r="L1584" i="54"/>
  <c r="L2094" i="54"/>
  <c r="L1129" i="54"/>
  <c r="L2061" i="54"/>
  <c r="L1651" i="54"/>
  <c r="L2042" i="54"/>
  <c r="L1132" i="54"/>
  <c r="L1406" i="54"/>
  <c r="L1253" i="54"/>
  <c r="L1611" i="54"/>
  <c r="L1818" i="54"/>
  <c r="L1225" i="54"/>
  <c r="L1166" i="54"/>
  <c r="L2080" i="54"/>
  <c r="L2127" i="54"/>
  <c r="L1972" i="54"/>
  <c r="L2142" i="54"/>
  <c r="L2169" i="54"/>
  <c r="L1667" i="54"/>
  <c r="L1123" i="54"/>
  <c r="L1868" i="54"/>
  <c r="L1708" i="54"/>
  <c r="L1932" i="54"/>
  <c r="L2178" i="54"/>
  <c r="L1378" i="54"/>
  <c r="L1547" i="54"/>
  <c r="L1695" i="54"/>
  <c r="L1291" i="54"/>
  <c r="L1634" i="54"/>
  <c r="L1477" i="54"/>
  <c r="L1130" i="54"/>
  <c r="L1631" i="54"/>
  <c r="L1227" i="54"/>
  <c r="L2151" i="54"/>
  <c r="L1980" i="54"/>
  <c r="L1431" i="54"/>
  <c r="L1342" i="54"/>
  <c r="L2153" i="54"/>
  <c r="L1973" i="54"/>
  <c r="L1354" i="54"/>
  <c r="L1659" i="54"/>
  <c r="L1845" i="54"/>
  <c r="L1596" i="54"/>
  <c r="L1209" i="54"/>
  <c r="L1937" i="54"/>
  <c r="L1215" i="54"/>
  <c r="L1140" i="54"/>
  <c r="L1416" i="54"/>
  <c r="L1963" i="54"/>
  <c r="L1553" i="54"/>
  <c r="L1475" i="54"/>
  <c r="L1404" i="54"/>
  <c r="L1259" i="54"/>
  <c r="L1886" i="54"/>
  <c r="L2154" i="54"/>
  <c r="L1489" i="54"/>
  <c r="L1357" i="54"/>
  <c r="L2207" i="54"/>
  <c r="L2053" i="54"/>
  <c r="L1764" i="54"/>
  <c r="L1798" i="54"/>
  <c r="L2092" i="54"/>
  <c r="L2033" i="54"/>
  <c r="L2121" i="54"/>
  <c r="L1441" i="54"/>
  <c r="L1384" i="54"/>
  <c r="L2095" i="54"/>
  <c r="L1791" i="54"/>
  <c r="L1106" i="54"/>
  <c r="L1750" i="54"/>
  <c r="L1715" i="54"/>
  <c r="L1229" i="54"/>
  <c r="L1167" i="54"/>
  <c r="L1630" i="54"/>
  <c r="L1118" i="54"/>
  <c r="L1948" i="54"/>
  <c r="L1822" i="54"/>
  <c r="L1585" i="54"/>
  <c r="L1804" i="54"/>
  <c r="L1987" i="54"/>
  <c r="L2072" i="54"/>
  <c r="L2112" i="54"/>
  <c r="L1755" i="54"/>
  <c r="L1467" i="54"/>
  <c r="L1673" i="54"/>
  <c r="L1466" i="54"/>
  <c r="L1777" i="54"/>
  <c r="L2054" i="54"/>
  <c r="L2086" i="54"/>
  <c r="L2064" i="54"/>
  <c r="L1234" i="54"/>
  <c r="L1485" i="54"/>
  <c r="L1618" i="54"/>
  <c r="L2014" i="54"/>
  <c r="L1156" i="54"/>
  <c r="L1564" i="54"/>
  <c r="L1815" i="54"/>
  <c r="L1135" i="54"/>
  <c r="L2025" i="54"/>
  <c r="L1658" i="54"/>
  <c r="L1825" i="54"/>
  <c r="L1474" i="54"/>
  <c r="L1304" i="54"/>
  <c r="L2176" i="54"/>
  <c r="L1660" i="54"/>
  <c r="L1768" i="54"/>
  <c r="L1409" i="54"/>
  <c r="L1181" i="54"/>
  <c r="L1113" i="54"/>
  <c r="L2183" i="54"/>
  <c r="L1152" i="54"/>
  <c r="L1559" i="54"/>
  <c r="L1677" i="54"/>
  <c r="L2202" i="54"/>
  <c r="L1231" i="54"/>
  <c r="L1159" i="54"/>
  <c r="L2082" i="54"/>
  <c r="L1396" i="54"/>
  <c r="L2101" i="54"/>
  <c r="L1970" i="54"/>
  <c r="L1348" i="54"/>
  <c r="L1487" i="54"/>
  <c r="L1562" i="54"/>
  <c r="L1442" i="54"/>
  <c r="L2043" i="54"/>
  <c r="L1864" i="54"/>
  <c r="L1587" i="54"/>
  <c r="L1888" i="54"/>
  <c r="L1383" i="54"/>
  <c r="L1517" i="54"/>
  <c r="L1446" i="54"/>
  <c r="L1765" i="54"/>
  <c r="L1841" i="54"/>
  <c r="L2075" i="54"/>
  <c r="L1127" i="54"/>
  <c r="L1622" i="54"/>
  <c r="L1267" i="54"/>
  <c r="L1276" i="54"/>
  <c r="L1482" i="54"/>
  <c r="L1375" i="54"/>
  <c r="L2018" i="54"/>
  <c r="L1274" i="54"/>
  <c r="L1233" i="54"/>
  <c r="L1892" i="54"/>
  <c r="L2180" i="54"/>
  <c r="L1734" i="54"/>
  <c r="L1735" i="54"/>
  <c r="L2096" i="54"/>
  <c r="L1430" i="54"/>
  <c r="L1933" i="54"/>
  <c r="L1309" i="54"/>
  <c r="L1617" i="54"/>
  <c r="L1794" i="54"/>
  <c r="L1862" i="54"/>
  <c r="L1247" i="54"/>
  <c r="L1179" i="54"/>
  <c r="L1497" i="54"/>
  <c r="L1128" i="54"/>
  <c r="L1133" i="54"/>
  <c r="L1184" i="54"/>
  <c r="L1803" i="54"/>
  <c r="L1769" i="54"/>
  <c r="L1662" i="54"/>
  <c r="L1461" i="54"/>
  <c r="L1796" i="54"/>
  <c r="L1505" i="54"/>
  <c r="L2027" i="54"/>
  <c r="L1503" i="54"/>
  <c r="L1299" i="54"/>
  <c r="L1687" i="54"/>
  <c r="L1977" i="54"/>
  <c r="L2007" i="54"/>
  <c r="L1356" i="54"/>
  <c r="L1361" i="54"/>
  <c r="L1434" i="54"/>
  <c r="L1716" i="54"/>
  <c r="L1625" i="54"/>
  <c r="L1221" i="54"/>
  <c r="L1542" i="54"/>
  <c r="L1365" i="54"/>
  <c r="L1770" i="54"/>
  <c r="L1704" i="54"/>
  <c r="L1875" i="54"/>
  <c r="L1531" i="54"/>
  <c r="L1297" i="54"/>
  <c r="L1968" i="54"/>
  <c r="L1772" i="54"/>
  <c r="L1558" i="54"/>
  <c r="L1435" i="54"/>
  <c r="L1472" i="54"/>
  <c r="L1697" i="54"/>
  <c r="L1163" i="54"/>
  <c r="L1338" i="54"/>
  <c r="L1930" i="54"/>
  <c r="L1418" i="54"/>
  <c r="L1178" i="54"/>
  <c r="L1743" i="54"/>
  <c r="L1240" i="54"/>
  <c r="L1610" i="54"/>
  <c r="L1575" i="54"/>
  <c r="L1979" i="54"/>
  <c r="L1869" i="54"/>
  <c r="L1893" i="54"/>
  <c r="L1637" i="54"/>
  <c r="L1685" i="54"/>
  <c r="L1623" i="54"/>
  <c r="L1301" i="54"/>
  <c r="L1696" i="54"/>
  <c r="L1421" i="54"/>
  <c r="L1758" i="54"/>
  <c r="L1212" i="54"/>
  <c r="L1343" i="54"/>
  <c r="L1374" i="54"/>
  <c r="L2129" i="54"/>
  <c r="L1481" i="54"/>
  <c r="L2110" i="54"/>
  <c r="L1211" i="54"/>
  <c r="L1882" i="54"/>
  <c r="L1831" i="54"/>
  <c r="L1771" i="54"/>
  <c r="L1952" i="54"/>
  <c r="L1780" i="54"/>
  <c r="L1337" i="54"/>
  <c r="L1528" i="54"/>
  <c r="L1962" i="54"/>
  <c r="L1447" i="54"/>
  <c r="L2164" i="54"/>
  <c r="L1859" i="54"/>
  <c r="L1270" i="54"/>
  <c r="L1272" i="54"/>
  <c r="L2024" i="54"/>
  <c r="L1615" i="54"/>
  <c r="L1923" i="54"/>
  <c r="L1139" i="54"/>
  <c r="L1851" i="54"/>
  <c r="L1639" i="54"/>
  <c r="L1393" i="54"/>
  <c r="L1975" i="54"/>
  <c r="L1752" i="54"/>
  <c r="L1119" i="54"/>
  <c r="L1290" i="54"/>
  <c r="L1509" i="54"/>
  <c r="L1330" i="54"/>
  <c r="L1450" i="54"/>
  <c r="L1214" i="54"/>
  <c r="L2140" i="54"/>
  <c r="L2125" i="54"/>
  <c r="L2023" i="54"/>
  <c r="L1722" i="54"/>
  <c r="L2022" i="54"/>
  <c r="L1725" i="54"/>
  <c r="L1158" i="54"/>
  <c r="L2074" i="54"/>
  <c r="L1563" i="54"/>
  <c r="L1900" i="54"/>
  <c r="L1390" i="54"/>
  <c r="L1779" i="54"/>
  <c r="L1652" i="54"/>
  <c r="L2137" i="54"/>
  <c r="L1849" i="54"/>
  <c r="L1783" i="54"/>
  <c r="L1607" i="54"/>
  <c r="L2128" i="54"/>
  <c r="L1874" i="54"/>
  <c r="L2161" i="54"/>
  <c r="L2157" i="54"/>
  <c r="L1943" i="54"/>
  <c r="L2046" i="54"/>
  <c r="L1151" i="54"/>
  <c r="L2041" i="54"/>
  <c r="L1674" i="54"/>
  <c r="L1850" i="54"/>
  <c r="L1500" i="54"/>
  <c r="L1250" i="54"/>
  <c r="L2146" i="54"/>
  <c r="L1216" i="54"/>
  <c r="L1945" i="54"/>
  <c r="L1405" i="54"/>
  <c r="L1162" i="54"/>
  <c r="L1454" i="54"/>
  <c r="L1197" i="54"/>
  <c r="L1757" i="54"/>
  <c r="L1885" i="54"/>
  <c r="L1723" i="54"/>
  <c r="L1344" i="54"/>
  <c r="L1984" i="54"/>
  <c r="L2133" i="54"/>
  <c r="L1518" i="54"/>
  <c r="L1332" i="54"/>
  <c r="L1413" i="54"/>
  <c r="L1463" i="54"/>
  <c r="L1872" i="54"/>
  <c r="L1899" i="54"/>
  <c r="L1690" i="54"/>
  <c r="L1382" i="54"/>
  <c r="L1125" i="54"/>
  <c r="L1903" i="54"/>
  <c r="L1295" i="54"/>
  <c r="L1444" i="54"/>
  <c r="L1513" i="54"/>
  <c r="L2050" i="54"/>
  <c r="L1889" i="54"/>
  <c r="L1741" i="54"/>
  <c r="L1635" i="54"/>
  <c r="L1527" i="54"/>
  <c r="L2106" i="54"/>
  <c r="L2028" i="54"/>
  <c r="L1983" i="54"/>
  <c r="L1268" i="54"/>
  <c r="L1870" i="54"/>
  <c r="L2152" i="54"/>
  <c r="L1956" i="54"/>
  <c r="L2107" i="54"/>
  <c r="L2134" i="54"/>
  <c r="L1323" i="54"/>
  <c r="L1120" i="54"/>
  <c r="L1865" i="54"/>
  <c r="L1656" i="54"/>
  <c r="L1912" i="54"/>
  <c r="L1678" i="54"/>
  <c r="L2124" i="54"/>
  <c r="L1363" i="54"/>
  <c r="L1324" i="54"/>
  <c r="L1565" i="54"/>
  <c r="L1410" i="54"/>
  <c r="L2085" i="54"/>
  <c r="L1834" i="54"/>
  <c r="L2047" i="54"/>
  <c r="L2173" i="54"/>
  <c r="L1819" i="54"/>
  <c r="L1371" i="54"/>
  <c r="L1730" i="54"/>
  <c r="L1217" i="54"/>
  <c r="L1424" i="54"/>
  <c r="L1376" i="54"/>
  <c r="L2097" i="54"/>
  <c r="L1946" i="54"/>
  <c r="L1589" i="54"/>
  <c r="L1182" i="54"/>
  <c r="L2044" i="54"/>
  <c r="L1953" i="54"/>
  <c r="L2083" i="54"/>
  <c r="L1407" i="54"/>
  <c r="L1294" i="54"/>
  <c r="L2208" i="54"/>
  <c r="L1322" i="54"/>
  <c r="L1252" i="54"/>
  <c r="L1124" i="54"/>
  <c r="L1971" i="54"/>
  <c r="L1336" i="54"/>
  <c r="L2020" i="54"/>
  <c r="L2199" i="54"/>
  <c r="L1177" i="54"/>
  <c r="L1508" i="54"/>
  <c r="L1557" i="54"/>
  <c r="L1386" i="54"/>
  <c r="L2001" i="54"/>
  <c r="L1748" i="54"/>
  <c r="L1718" i="54"/>
  <c r="L2076" i="54"/>
  <c r="L2017" i="54"/>
  <c r="L2118" i="54"/>
  <c r="L1422" i="54"/>
  <c r="L1321" i="54"/>
  <c r="L2038" i="54"/>
  <c r="L1628" i="54"/>
  <c r="L1175" i="54"/>
  <c r="L1574" i="54"/>
  <c r="L1920" i="54"/>
  <c r="L2005" i="54"/>
  <c r="L2029" i="54"/>
  <c r="L1438" i="54"/>
  <c r="L1443" i="54"/>
  <c r="L1609" i="54"/>
  <c r="L1721" i="54"/>
  <c r="L1107" i="54"/>
  <c r="AQ1101" i="53"/>
  <c r="AQ369" i="53"/>
  <c r="AQ473" i="53"/>
  <c r="AQ1082" i="53"/>
  <c r="AQ49" i="53"/>
  <c r="AQ591" i="53"/>
  <c r="AQ747" i="53"/>
  <c r="AQ58" i="53"/>
  <c r="AQ774" i="53"/>
  <c r="AQ770" i="53"/>
  <c r="AQ105" i="53"/>
  <c r="AQ514" i="53"/>
  <c r="AQ1004" i="53"/>
  <c r="AQ1056" i="53"/>
  <c r="AQ504" i="53"/>
  <c r="AQ555" i="53"/>
  <c r="AQ485" i="53"/>
  <c r="AQ444" i="53"/>
  <c r="AQ779" i="53"/>
  <c r="AQ977" i="53"/>
  <c r="AQ852" i="53"/>
  <c r="AQ409" i="53"/>
  <c r="AQ72" i="53"/>
  <c r="AQ448" i="53"/>
  <c r="AQ876" i="53"/>
  <c r="AQ785" i="53"/>
  <c r="AQ429" i="53"/>
  <c r="AQ83" i="53"/>
  <c r="AQ627" i="53"/>
  <c r="AQ202" i="53"/>
  <c r="AQ725" i="53"/>
  <c r="AQ910" i="53"/>
  <c r="AQ1014" i="53"/>
  <c r="AQ917" i="53"/>
  <c r="AQ121" i="53"/>
  <c r="AQ30" i="53"/>
  <c r="AQ377" i="53"/>
  <c r="AQ595" i="53"/>
  <c r="AQ1049" i="53"/>
  <c r="AQ804" i="53"/>
  <c r="AQ751" i="53"/>
  <c r="AQ750" i="53"/>
  <c r="AQ708" i="53"/>
  <c r="AQ432" i="53"/>
  <c r="AQ1088" i="53"/>
  <c r="AQ152" i="53"/>
  <c r="AQ461" i="53"/>
  <c r="AQ378" i="53"/>
  <c r="AQ486" i="53"/>
  <c r="AQ407" i="53"/>
  <c r="AQ1092" i="53"/>
  <c r="AQ923" i="53"/>
  <c r="AQ905" i="53"/>
  <c r="AQ786" i="53"/>
  <c r="AQ888" i="53"/>
  <c r="AQ1009" i="53"/>
  <c r="AQ919" i="53"/>
  <c r="AQ206" i="53"/>
  <c r="AQ630" i="53"/>
  <c r="AQ150" i="53"/>
  <c r="AQ70" i="53"/>
  <c r="AQ20" i="53"/>
  <c r="AQ427" i="53"/>
  <c r="AQ440" i="53"/>
  <c r="AQ345" i="53"/>
  <c r="AQ366" i="53"/>
  <c r="AQ23" i="53"/>
  <c r="AQ198" i="53"/>
  <c r="AQ320" i="53"/>
  <c r="AQ484" i="53"/>
  <c r="AQ495" i="53"/>
  <c r="AQ431" i="53"/>
  <c r="AQ435" i="53"/>
  <c r="AQ946" i="53"/>
  <c r="AQ797" i="53"/>
  <c r="AQ554" i="53"/>
  <c r="AQ865" i="53"/>
  <c r="AQ179" i="53"/>
  <c r="AQ1098" i="53"/>
  <c r="AQ160" i="53"/>
  <c r="AQ1099" i="53"/>
  <c r="AQ374" i="53"/>
  <c r="AQ639" i="53"/>
  <c r="AQ731" i="53"/>
  <c r="AQ828" i="53"/>
  <c r="AQ364" i="53"/>
  <c r="AQ414" i="53"/>
  <c r="AQ132" i="53"/>
  <c r="AQ8" i="53"/>
  <c r="AQ249" i="53"/>
  <c r="AQ433" i="53"/>
  <c r="AQ1090" i="53"/>
  <c r="AQ16" i="53"/>
  <c r="AQ542" i="53"/>
  <c r="AQ712" i="53"/>
  <c r="AQ499" i="53"/>
  <c r="AQ194" i="53"/>
  <c r="AQ38" i="53"/>
  <c r="AQ1065" i="53"/>
  <c r="AQ693" i="53"/>
  <c r="AQ825" i="53"/>
  <c r="AQ1064" i="53"/>
  <c r="AQ648" i="53"/>
  <c r="AQ163" i="53"/>
  <c r="AQ626" i="53"/>
  <c r="AQ182" i="53"/>
  <c r="AQ930" i="53"/>
  <c r="AQ500" i="53"/>
  <c r="AQ1047" i="53"/>
  <c r="AQ558" i="53"/>
  <c r="AS558" i="53" s="1"/>
  <c r="AQ289" i="53"/>
  <c r="AQ536" i="53"/>
  <c r="AQ765" i="53"/>
  <c r="AQ446" i="53"/>
  <c r="AQ1017" i="53"/>
  <c r="AQ603" i="53"/>
  <c r="AQ95" i="53"/>
  <c r="AQ868" i="53"/>
  <c r="AQ979" i="53"/>
  <c r="AQ950" i="53"/>
  <c r="AQ925" i="53"/>
  <c r="AQ368" i="53"/>
  <c r="AQ321" i="53"/>
  <c r="AQ365" i="53"/>
  <c r="AQ956" i="53"/>
  <c r="AQ1080" i="53"/>
  <c r="AQ833" i="53"/>
  <c r="AQ901" i="53"/>
  <c r="AQ51" i="53"/>
  <c r="AQ967" i="53"/>
  <c r="AQ511" i="53"/>
  <c r="AQ158" i="53"/>
  <c r="AQ482" i="53"/>
  <c r="AQ1024" i="53"/>
  <c r="AQ829" i="53"/>
  <c r="AQ775" i="53"/>
  <c r="AQ416" i="53"/>
  <c r="AQ811" i="53"/>
  <c r="AQ190" i="53"/>
  <c r="AQ778" i="53"/>
  <c r="AS778" i="53" s="1"/>
  <c r="AQ118" i="53"/>
  <c r="AQ353" i="53"/>
  <c r="AQ101" i="53"/>
  <c r="AQ878" i="53"/>
  <c r="AQ839" i="53"/>
  <c r="AQ307" i="53"/>
  <c r="AQ869" i="53"/>
  <c r="AQ759" i="53"/>
  <c r="AQ508" i="53"/>
  <c r="AQ922" i="53"/>
  <c r="AQ810" i="53"/>
  <c r="AQ724" i="53"/>
  <c r="AQ874" i="53"/>
  <c r="AQ483" i="53"/>
  <c r="AQ790" i="53"/>
  <c r="AQ902" i="53"/>
  <c r="AQ601" i="53"/>
  <c r="AQ561" i="53"/>
  <c r="AQ764" i="53"/>
  <c r="AQ540" i="53"/>
  <c r="AQ783" i="53"/>
  <c r="AQ356" i="53"/>
  <c r="AQ789" i="53"/>
  <c r="AQ991" i="53"/>
  <c r="AQ375" i="53"/>
  <c r="AQ67" i="53"/>
  <c r="AQ298" i="53"/>
  <c r="AQ164" i="53"/>
  <c r="AQ328" i="53"/>
  <c r="AQ430" i="53"/>
  <c r="AQ1069" i="53"/>
  <c r="AQ912" i="53"/>
  <c r="AQ732" i="53"/>
  <c r="AQ77" i="53"/>
  <c r="AQ938" i="53"/>
  <c r="AQ109" i="53"/>
  <c r="AQ329" i="53"/>
  <c r="AQ386" i="53"/>
  <c r="AQ533" i="53"/>
  <c r="AQ22" i="53"/>
  <c r="AQ927" i="53"/>
  <c r="AQ360" i="53"/>
  <c r="AQ390" i="53"/>
  <c r="AQ983" i="53"/>
  <c r="AQ850" i="53"/>
  <c r="AQ489" i="53"/>
  <c r="AQ358" i="53"/>
  <c r="AQ4" i="53"/>
  <c r="AQ897" i="53"/>
  <c r="AQ744" i="53"/>
  <c r="AQ1091" i="53"/>
  <c r="AQ995" i="53"/>
  <c r="AQ411" i="53"/>
  <c r="AQ841" i="53"/>
  <c r="AQ108" i="53"/>
  <c r="AQ449" i="53"/>
  <c r="AQ318" i="53"/>
  <c r="AQ931" i="53"/>
  <c r="AQ229" i="53"/>
  <c r="AQ569" i="53"/>
  <c r="AQ773" i="53"/>
  <c r="AQ403" i="53"/>
  <c r="AS403" i="53" s="1"/>
  <c r="AQ211" i="53"/>
  <c r="AQ858" i="53"/>
  <c r="AQ110" i="53"/>
  <c r="AQ993" i="53"/>
  <c r="AQ178" i="53"/>
  <c r="AQ562" i="53"/>
  <c r="AQ59" i="53"/>
  <c r="AQ782" i="53"/>
  <c r="AQ947" i="53"/>
  <c r="AQ898" i="53"/>
  <c r="AQ40" i="53"/>
  <c r="AQ497" i="53"/>
  <c r="AQ1083" i="53"/>
  <c r="AQ441" i="53"/>
  <c r="AQ720" i="53"/>
  <c r="AQ665" i="53"/>
  <c r="AQ832" i="53"/>
  <c r="AQ863" i="53"/>
  <c r="AQ36" i="53"/>
  <c r="AQ424" i="53"/>
  <c r="AQ552" i="53"/>
  <c r="AQ1084" i="53"/>
  <c r="AQ677" i="53"/>
  <c r="AQ88" i="53"/>
  <c r="AQ335" i="53"/>
  <c r="AQ823" i="53"/>
  <c r="AQ637" i="53"/>
  <c r="AQ846" i="53"/>
  <c r="AQ854" i="53"/>
  <c r="AS854" i="53" s="1"/>
  <c r="AQ937" i="53"/>
  <c r="AQ363" i="53"/>
  <c r="AQ920" i="53"/>
  <c r="AQ1104" i="53"/>
  <c r="AQ812" i="53"/>
  <c r="AQ963" i="53"/>
  <c r="AQ456" i="53"/>
  <c r="AQ258" i="53"/>
  <c r="AQ572" i="53"/>
  <c r="AQ168" i="53"/>
  <c r="AQ21" i="53"/>
  <c r="AQ618" i="53"/>
  <c r="AQ450" i="53"/>
  <c r="AQ64" i="53"/>
  <c r="AQ166" i="53"/>
  <c r="AQ413" i="53"/>
  <c r="AQ1096" i="53"/>
  <c r="AQ68" i="53"/>
  <c r="AQ861" i="53"/>
  <c r="AQ498" i="53"/>
  <c r="AQ543" i="53"/>
  <c r="AQ692" i="53"/>
  <c r="AQ620" i="53"/>
  <c r="AQ718" i="53"/>
  <c r="AQ455" i="53"/>
  <c r="AQ79" i="53"/>
  <c r="AQ437" i="53"/>
  <c r="AQ506" i="53"/>
  <c r="AQ880" i="53"/>
  <c r="AQ881" i="53"/>
  <c r="AQ400" i="53"/>
  <c r="AQ745" i="53"/>
  <c r="AQ100" i="53"/>
  <c r="AQ656" i="53"/>
  <c r="AQ875" i="53"/>
  <c r="AQ968" i="53"/>
  <c r="AQ1066" i="53"/>
  <c r="AQ169" i="53"/>
  <c r="AQ52" i="53"/>
  <c r="AQ532" i="53"/>
  <c r="AQ1013" i="53"/>
  <c r="AQ662" i="53"/>
  <c r="AQ934" i="53"/>
  <c r="AQ818" i="53"/>
  <c r="AQ388" i="53"/>
  <c r="AQ809" i="53"/>
  <c r="AQ462" i="53"/>
  <c r="AQ451" i="53"/>
  <c r="AQ282" i="53"/>
  <c r="AQ944" i="53"/>
  <c r="AQ216" i="53"/>
  <c r="AQ668" i="53"/>
  <c r="AQ412" i="53"/>
  <c r="AQ958" i="53"/>
  <c r="AQ137" i="53"/>
  <c r="AQ385" i="53"/>
  <c r="AQ957" i="53"/>
  <c r="AQ1012" i="53"/>
  <c r="AQ981" i="53"/>
  <c r="AQ459" i="53"/>
  <c r="AS459" i="53" s="1"/>
  <c r="AQ808" i="53"/>
  <c r="AQ201" i="53"/>
  <c r="AQ391" i="53"/>
  <c r="AQ867" i="53"/>
  <c r="AQ1075" i="53"/>
  <c r="AQ99" i="53"/>
  <c r="AQ987" i="53"/>
  <c r="AQ544" i="53"/>
  <c r="AQ355" i="53"/>
  <c r="AQ754" i="53"/>
  <c r="AQ613" i="53"/>
  <c r="AQ884" i="53"/>
  <c r="AQ261" i="53"/>
  <c r="AQ999" i="53"/>
  <c r="AQ7" i="53"/>
  <c r="AQ546" i="53"/>
  <c r="AQ445" i="53"/>
  <c r="AQ1074" i="53"/>
  <c r="AQ467" i="53"/>
  <c r="AS467" i="53" s="1"/>
  <c r="AQ44" i="53"/>
  <c r="AQ1043" i="53"/>
  <c r="AQ557" i="53"/>
  <c r="AQ769" i="53"/>
  <c r="AQ1073" i="53"/>
  <c r="AQ816" i="53"/>
  <c r="AQ399" i="53"/>
  <c r="AQ911" i="53"/>
  <c r="AQ877" i="53"/>
  <c r="AQ323" i="53"/>
  <c r="AQ383" i="53"/>
  <c r="AQ85" i="53"/>
  <c r="AQ300" i="53"/>
  <c r="AQ1023" i="53"/>
  <c r="AQ1085" i="53"/>
  <c r="AQ53" i="53"/>
  <c r="AQ419" i="53"/>
  <c r="AQ896" i="53"/>
  <c r="AQ394" i="53"/>
  <c r="AQ387" i="53"/>
  <c r="AQ295" i="53"/>
  <c r="AQ223" i="53"/>
  <c r="AQ803" i="53"/>
  <c r="AQ348" i="53"/>
  <c r="AQ507" i="53"/>
  <c r="AQ112" i="53"/>
  <c r="AQ800" i="53"/>
  <c r="AQ518" i="53"/>
  <c r="AS518" i="53" s="1"/>
  <c r="AQ376" i="53"/>
  <c r="AQ686" i="53"/>
  <c r="AQ550" i="53"/>
  <c r="AQ989" i="53"/>
  <c r="AQ681" i="53"/>
  <c r="AQ73" i="53"/>
  <c r="AQ837" i="53"/>
  <c r="AQ134" i="53"/>
  <c r="AQ567" i="53"/>
  <c r="AQ197" i="53"/>
  <c r="AQ976" i="53"/>
  <c r="AQ893" i="53"/>
  <c r="AQ608" i="53"/>
  <c r="AQ408" i="53"/>
  <c r="AQ1100" i="53"/>
  <c r="AQ1063" i="53"/>
  <c r="AQ1086" i="53"/>
  <c r="AQ443" i="53"/>
  <c r="AQ513" i="53"/>
  <c r="AQ1050" i="53"/>
  <c r="AQ334" i="53"/>
  <c r="AQ756" i="53"/>
  <c r="AQ343" i="53"/>
  <c r="AQ354" i="53"/>
  <c r="AQ521" i="53"/>
  <c r="AQ936" i="53"/>
  <c r="AQ384" i="53"/>
  <c r="AQ10" i="53"/>
  <c r="AQ528" i="53"/>
  <c r="AQ91" i="53"/>
  <c r="AQ969" i="53"/>
  <c r="AQ478" i="53"/>
  <c r="AQ71" i="53"/>
  <c r="AQ439" i="53"/>
  <c r="AQ373" i="53"/>
  <c r="AQ642" i="53"/>
  <c r="AQ84" i="53"/>
  <c r="AQ755" i="53"/>
  <c r="AQ480" i="53"/>
  <c r="AQ1089" i="53"/>
  <c r="AQ62" i="53"/>
  <c r="AQ488" i="53"/>
  <c r="AQ218" i="53"/>
  <c r="AQ34" i="53"/>
  <c r="AQ539" i="53"/>
  <c r="AQ883" i="53"/>
  <c r="AQ1036" i="53"/>
  <c r="AQ471" i="53"/>
  <c r="AQ325" i="53"/>
  <c r="AQ563" i="53"/>
  <c r="AQ65" i="53"/>
  <c r="AQ1072" i="53"/>
  <c r="AQ607" i="53"/>
  <c r="AQ584" i="53"/>
  <c r="AQ600" i="53"/>
  <c r="AQ453" i="53"/>
  <c r="AQ855" i="53"/>
  <c r="AQ914" i="53"/>
  <c r="AQ640" i="53"/>
  <c r="AQ428" i="53"/>
  <c r="AQ524" i="53"/>
  <c r="AQ870" i="53"/>
  <c r="AQ890" i="53"/>
  <c r="AQ684" i="53"/>
  <c r="AQ122" i="53"/>
  <c r="AQ862" i="53"/>
  <c r="AQ1032" i="53"/>
  <c r="AQ469" i="53"/>
  <c r="AQ293" i="53"/>
  <c r="AQ526" i="53"/>
  <c r="AQ1061" i="53"/>
  <c r="AQ199" i="53"/>
  <c r="AQ324" i="53"/>
  <c r="AQ873" i="53"/>
  <c r="AQ262" i="53"/>
  <c r="AQ474" i="53"/>
  <c r="AQ1052" i="53"/>
  <c r="AQ675" i="53"/>
  <c r="AQ895" i="53"/>
  <c r="AQ135" i="53"/>
  <c r="AQ171" i="53"/>
  <c r="AQ980" i="53"/>
  <c r="AQ465" i="53"/>
  <c r="AQ921" i="53"/>
  <c r="AQ63" i="53"/>
  <c r="AQ401" i="53"/>
  <c r="AQ813" i="53"/>
  <c r="AQ728" i="53"/>
  <c r="AQ602" i="53"/>
  <c r="AQ189" i="53"/>
  <c r="AQ66" i="53"/>
  <c r="AQ806" i="53"/>
  <c r="AQ951" i="53"/>
  <c r="AQ787" i="53"/>
  <c r="AQ966" i="53"/>
  <c r="AQ845" i="53"/>
  <c r="AQ127" i="53"/>
  <c r="AQ887" i="53"/>
  <c r="AQ230" i="53"/>
  <c r="AQ611" i="53"/>
  <c r="AQ772" i="53"/>
  <c r="AQ1079" i="53"/>
  <c r="AQ924" i="53"/>
  <c r="AQ447" i="53"/>
  <c r="AQ15" i="53"/>
  <c r="AQ1070" i="53"/>
  <c r="AQ802" i="53"/>
  <c r="AQ614" i="53"/>
  <c r="AQ481" i="53"/>
  <c r="AQ587" i="53"/>
  <c r="AQ696" i="53"/>
  <c r="AQ886" i="53"/>
  <c r="AQ594" i="53"/>
  <c r="AQ116" i="53"/>
  <c r="AQ442" i="53"/>
  <c r="AQ781" i="53"/>
  <c r="AQ959" i="53"/>
  <c r="AQ581" i="53"/>
  <c r="AQ42" i="53"/>
  <c r="AQ964" i="53"/>
  <c r="AQ94" i="53"/>
  <c r="AQ915" i="53"/>
  <c r="AQ653" i="53"/>
  <c r="AQ799" i="53"/>
  <c r="AQ236" i="53"/>
  <c r="AQ904" i="53"/>
  <c r="AQ139" i="53"/>
  <c r="AQ649" i="53"/>
  <c r="AQ397" i="53"/>
  <c r="AQ493" i="53"/>
  <c r="AQ1087" i="53"/>
  <c r="AQ170" i="53"/>
  <c r="AQ115" i="53"/>
  <c r="AQ147" i="53"/>
  <c r="AQ577" i="53"/>
  <c r="AQ955" i="53"/>
  <c r="AQ568" i="53"/>
  <c r="AQ943" i="53"/>
  <c r="AQ472" i="53"/>
  <c r="AQ292" i="53"/>
  <c r="AQ535" i="53"/>
  <c r="AQ1093" i="53"/>
  <c r="AQ39" i="53"/>
  <c r="AQ398" i="53"/>
  <c r="AQ872" i="53"/>
  <c r="AQ359" i="53"/>
  <c r="AQ475" i="53"/>
  <c r="AQ771" i="53"/>
  <c r="AQ492" i="53"/>
  <c r="AQ415" i="53"/>
  <c r="AQ50" i="53"/>
  <c r="AQ973" i="53"/>
  <c r="AQ1103" i="53"/>
  <c r="AQ146" i="53"/>
  <c r="AQ1076" i="53"/>
  <c r="AQ610" i="53"/>
  <c r="AQ382" i="53"/>
  <c r="AQ274" i="53"/>
  <c r="AQ463" i="53"/>
  <c r="AQ734" i="53"/>
  <c r="AQ487" i="53"/>
  <c r="AQ849" i="53"/>
  <c r="AQ798" i="53"/>
  <c r="AQ891" i="53"/>
  <c r="AQ27" i="53"/>
  <c r="AQ1097" i="53"/>
  <c r="AQ689" i="53"/>
  <c r="AQ438" i="53"/>
  <c r="AQ820" i="53"/>
  <c r="AQ425" i="53"/>
  <c r="AQ452" i="53"/>
  <c r="AQ393" i="53"/>
  <c r="AQ502" i="53"/>
  <c r="AQ342" i="53"/>
  <c r="AQ834" i="53"/>
  <c r="AQ860" i="53"/>
  <c r="AQ89" i="53"/>
  <c r="AQ954" i="53"/>
  <c r="AQ1060" i="53"/>
  <c r="AQ97" i="53"/>
  <c r="AQ268" i="53"/>
  <c r="AQ871" i="53"/>
  <c r="AQ200" i="53"/>
  <c r="AQ125" i="53"/>
  <c r="AQ1053" i="53"/>
  <c r="AQ392" i="53"/>
  <c r="AS392" i="53" s="1"/>
  <c r="AQ906" i="53"/>
  <c r="AQ114" i="53"/>
  <c r="AQ935" i="53"/>
  <c r="AQ784" i="53"/>
  <c r="AQ830" i="53"/>
  <c r="AQ313" i="53"/>
  <c r="AQ597" i="53"/>
  <c r="AQ1095" i="53"/>
  <c r="AQ255" i="53"/>
  <c r="AQ932" i="53"/>
  <c r="AQ426" i="53"/>
  <c r="AQ889" i="53"/>
  <c r="AQ900" i="53"/>
  <c r="AQ953" i="53"/>
  <c r="AQ631" i="53"/>
  <c r="AQ1007" i="53"/>
  <c r="AQ104" i="53"/>
  <c r="AQ576" i="53"/>
  <c r="AQ842" i="53"/>
  <c r="AQ454" i="53"/>
  <c r="AQ819" i="53"/>
  <c r="AQ186" i="53"/>
  <c r="AQ18" i="53"/>
  <c r="AS18" i="53" s="1"/>
  <c r="AQ161" i="53"/>
  <c r="AQ512" i="53"/>
  <c r="AQ130" i="53"/>
  <c r="AQ1077" i="53"/>
  <c r="AQ760" i="53"/>
  <c r="AQ817" i="53"/>
  <c r="AQ361" i="53"/>
  <c r="AQ280" i="53"/>
  <c r="AQ367" i="53"/>
  <c r="AQ992" i="53"/>
  <c r="AQ340" i="53"/>
  <c r="AQ975" i="53"/>
  <c r="AQ349" i="53"/>
  <c r="AQ580" i="53"/>
  <c r="AQ792" i="53"/>
  <c r="AQ120" i="53"/>
  <c r="AQ529" i="53"/>
  <c r="AQ866" i="53"/>
  <c r="AQ167" i="53"/>
  <c r="AQ436" i="53"/>
  <c r="AQ395" i="53"/>
  <c r="AQ460" i="53"/>
  <c r="AQ379" i="53"/>
  <c r="AQ285" i="53"/>
  <c r="AQ503" i="53"/>
  <c r="AQ162" i="53"/>
  <c r="AQ76" i="53"/>
  <c r="AQ776" i="53"/>
  <c r="AQ628" i="53"/>
  <c r="AQ711" i="53"/>
  <c r="AQ570" i="53"/>
  <c r="AQ913" i="53"/>
  <c r="AQ1022" i="53"/>
  <c r="AQ41" i="53"/>
  <c r="AQ673" i="53"/>
  <c r="AQ853" i="53"/>
  <c r="AQ666" i="53"/>
  <c r="AS666" i="53" s="1"/>
  <c r="AQ422" i="53"/>
  <c r="AQ317" i="53"/>
  <c r="AQ793" i="53"/>
  <c r="AQ698" i="53"/>
  <c r="AQ531" i="53"/>
  <c r="AQ635" i="53"/>
  <c r="AS635" i="53" s="1"/>
  <c r="AQ1018" i="53"/>
  <c r="AQ596" i="53"/>
  <c r="AQ357" i="53"/>
  <c r="AQ505" i="53"/>
  <c r="AQ239" i="53"/>
  <c r="AQ172" i="53"/>
  <c r="AQ822" i="53"/>
  <c r="AQ928" i="53"/>
  <c r="AQ326" i="53"/>
  <c r="AQ219" i="53"/>
  <c r="AQ332" i="53"/>
  <c r="AQ60" i="53"/>
  <c r="AQ1071" i="53"/>
  <c r="AQ490" i="53"/>
  <c r="AQ763" i="53"/>
  <c r="AQ362" i="53"/>
  <c r="AQ196" i="53"/>
  <c r="AQ885" i="53"/>
  <c r="AQ346" i="53"/>
  <c r="AQ859" i="53"/>
  <c r="AQ758" i="53"/>
  <c r="AQ571" i="53"/>
  <c r="AQ916" i="53"/>
  <c r="AQ700" i="53"/>
  <c r="AQ1105" i="53"/>
  <c r="AQ996" i="53"/>
  <c r="AQ203" i="53"/>
  <c r="AQ370" i="53"/>
  <c r="AQ722" i="53"/>
  <c r="AQ9" i="53"/>
  <c r="AQ1078" i="53"/>
  <c r="AQ1051" i="53"/>
  <c r="AQ24" i="53"/>
  <c r="AQ848" i="53"/>
  <c r="AQ879" i="53"/>
  <c r="AQ149" i="53"/>
  <c r="AQ815" i="53"/>
  <c r="AQ753" i="53"/>
  <c r="AQ903" i="53"/>
  <c r="AQ574" i="53"/>
  <c r="AQ909" i="53"/>
  <c r="AQ1081" i="53"/>
  <c r="AQ984" i="53"/>
  <c r="AQ221" i="53"/>
  <c r="AQ31" i="53"/>
  <c r="AS31" i="53" s="1"/>
  <c r="AQ86" i="53"/>
  <c r="AQ746" i="53"/>
  <c r="AQ1008" i="53"/>
  <c r="AQ1055" i="53"/>
  <c r="AQ589" i="53"/>
  <c r="AQ352" i="53"/>
  <c r="AQ319" i="53"/>
  <c r="AQ131" i="53"/>
  <c r="AQ1094" i="53"/>
  <c r="AQ907" i="53"/>
  <c r="AQ336" i="53"/>
  <c r="AQ918" i="53"/>
  <c r="AQ1006" i="53"/>
  <c r="AQ749" i="53"/>
  <c r="AQ894" i="53"/>
  <c r="AQ13" i="53"/>
  <c r="AQ331" i="53"/>
  <c r="AQ551" i="53"/>
  <c r="AQ25" i="53"/>
  <c r="AQ396" i="53"/>
  <c r="AQ494" i="53"/>
  <c r="AQ988" i="53"/>
  <c r="AQ805" i="53"/>
  <c r="AQ351" i="53"/>
  <c r="AQ479" i="53"/>
  <c r="AQ733" i="53"/>
  <c r="AQ217" i="53"/>
  <c r="AQ857" i="53"/>
  <c r="AQ941" i="53"/>
  <c r="AQ316" i="53"/>
  <c r="AQ650" i="53"/>
  <c r="AQ106" i="53"/>
  <c r="AQ26" i="53"/>
  <c r="AQ61" i="53"/>
  <c r="AQ17" i="53"/>
  <c r="AQ37" i="53"/>
  <c r="AQ74" i="53"/>
  <c r="AQ56" i="53"/>
  <c r="AQ29" i="53"/>
  <c r="AQ32" i="53"/>
  <c r="AS32" i="53" s="1"/>
  <c r="AQ69" i="53"/>
  <c r="AQ81" i="53"/>
  <c r="AQ28" i="53"/>
  <c r="AS28" i="53" s="1"/>
  <c r="AQ960" i="53"/>
  <c r="AQ719" i="53"/>
  <c r="AQ231" i="53"/>
  <c r="AQ191" i="53"/>
  <c r="AQ309" i="53"/>
  <c r="AQ685" i="53"/>
  <c r="AQ124" i="53"/>
  <c r="AQ559" i="53"/>
  <c r="AQ1068" i="53"/>
  <c r="AQ707" i="53"/>
  <c r="AQ623" i="53"/>
  <c r="AQ235" i="53"/>
  <c r="AQ994" i="53"/>
  <c r="AQ195" i="53"/>
  <c r="AQ214" i="53"/>
  <c r="AQ176" i="53"/>
  <c r="AQ599" i="53"/>
  <c r="AQ165" i="53"/>
  <c r="AQ801" i="53"/>
  <c r="AQ265" i="53"/>
  <c r="AQ173" i="53"/>
  <c r="AQ752" i="53"/>
  <c r="AQ851" i="53"/>
  <c r="AQ287" i="53"/>
  <c r="AQ347" i="53"/>
  <c r="AQ154" i="53"/>
  <c r="AQ113" i="53"/>
  <c r="AQ78" i="53"/>
  <c r="AQ538" i="53"/>
  <c r="AQ997" i="53"/>
  <c r="AQ517" i="53"/>
  <c r="AQ578" i="53"/>
  <c r="AQ691" i="53"/>
  <c r="AQ220" i="53"/>
  <c r="AQ133" i="53"/>
  <c r="AQ315" i="53"/>
  <c r="AQ701" i="53"/>
  <c r="AQ672" i="53"/>
  <c r="AQ226" i="53"/>
  <c r="AQ565" i="53"/>
  <c r="AQ248" i="53"/>
  <c r="AQ1016" i="53"/>
  <c r="AQ297" i="53"/>
  <c r="AQ184" i="53"/>
  <c r="AQ294" i="53"/>
  <c r="AQ468" i="53"/>
  <c r="AQ327" i="53"/>
  <c r="AQ892" i="53"/>
  <c r="AQ142" i="53"/>
  <c r="AQ272" i="53"/>
  <c r="AQ525" i="53"/>
  <c r="AQ269" i="53"/>
  <c r="AQ312" i="53"/>
  <c r="AQ333" i="53"/>
  <c r="AQ972" i="53"/>
  <c r="AQ281" i="53"/>
  <c r="AQ117" i="53"/>
  <c r="AQ1054" i="53"/>
  <c r="AQ371" i="53"/>
  <c r="AQ766" i="53"/>
  <c r="AQ259" i="53"/>
  <c r="AQ835" i="53"/>
  <c r="AQ1042" i="53"/>
  <c r="AQ107" i="53"/>
  <c r="AQ314" i="53"/>
  <c r="AQ380" i="53"/>
  <c r="AQ974" i="53"/>
  <c r="AQ843" i="53"/>
  <c r="AQ420" i="53"/>
  <c r="AQ553" i="53"/>
  <c r="AQ643" i="53"/>
  <c r="AQ305" i="53"/>
  <c r="AQ151" i="53"/>
  <c r="AQ727" i="53"/>
  <c r="AQ738" i="53"/>
  <c r="AQ102" i="53"/>
  <c r="AQ188" i="53"/>
  <c r="AQ948" i="53"/>
  <c r="AQ667" i="53"/>
  <c r="AQ244" i="53"/>
  <c r="AQ306" i="53"/>
  <c r="AI509" i="53"/>
  <c r="AQ509" i="53"/>
  <c r="AQ638" i="53"/>
  <c r="AQ583" i="53"/>
  <c r="AQ840" i="53"/>
  <c r="AQ726" i="53"/>
  <c r="AQ780" i="53"/>
  <c r="AQ739" i="53"/>
  <c r="AQ549" i="53"/>
  <c r="AQ982" i="53"/>
  <c r="AQ157" i="53"/>
  <c r="AQ33" i="53"/>
  <c r="AQ470" i="53"/>
  <c r="AQ647" i="53"/>
  <c r="AQ641" i="53"/>
  <c r="AQ1046" i="53"/>
  <c r="AQ303" i="53"/>
  <c r="AQ674" i="53"/>
  <c r="AQ520" i="53"/>
  <c r="AQ598" i="53"/>
  <c r="AS598" i="53" s="1"/>
  <c r="AQ260" i="53"/>
  <c r="AQ664" i="53"/>
  <c r="AQ96" i="53"/>
  <c r="AQ402" i="53"/>
  <c r="AQ646" i="53"/>
  <c r="AQ103" i="53"/>
  <c r="AQ706" i="53"/>
  <c r="AQ795" i="53"/>
  <c r="AQ762" i="53"/>
  <c r="AQ730" i="53"/>
  <c r="AQ575" i="53"/>
  <c r="AQ757" i="53"/>
  <c r="AQ341" i="53"/>
  <c r="AQ697" i="53"/>
  <c r="AQ590" i="53"/>
  <c r="AS590" i="53" s="1"/>
  <c r="AQ949" i="53"/>
  <c r="AQ477" i="53"/>
  <c r="AQ177" i="53"/>
  <c r="AQ566" i="53"/>
  <c r="AQ945" i="53"/>
  <c r="AQ299" i="53"/>
  <c r="AQ717" i="53"/>
  <c r="AQ838" i="53"/>
  <c r="AQ222" i="53"/>
  <c r="AQ1067" i="53"/>
  <c r="AQ254" i="53"/>
  <c r="AQ35" i="53"/>
  <c r="AQ225" i="53"/>
  <c r="AQ961" i="53"/>
  <c r="AQ573" i="53"/>
  <c r="AQ241" i="53"/>
  <c r="AQ655" i="53"/>
  <c r="AQ75" i="53"/>
  <c r="AQ156" i="53"/>
  <c r="AQ1015" i="53"/>
  <c r="AQ687" i="53"/>
  <c r="AQ654" i="53"/>
  <c r="AQ126" i="53"/>
  <c r="AQ629" i="53"/>
  <c r="AQ619" i="53"/>
  <c r="AQ645" i="53"/>
  <c r="AQ92" i="53"/>
  <c r="AQ516" i="53"/>
  <c r="AQ882" i="53"/>
  <c r="AQ123" i="53"/>
  <c r="AS123" i="53" s="1"/>
  <c r="AQ208" i="53"/>
  <c r="AQ207" i="53"/>
  <c r="AQ688" i="53"/>
  <c r="AI302" i="53"/>
  <c r="AQ302" i="53"/>
  <c r="AQ683" i="53"/>
  <c r="AS683" i="53" s="1"/>
  <c r="AQ143" i="53"/>
  <c r="AQ205" i="53"/>
  <c r="AQ1028" i="53"/>
  <c r="AQ250" i="53"/>
  <c r="AQ617" i="53"/>
  <c r="AQ344" i="53"/>
  <c r="AQ676" i="53"/>
  <c r="AQ908" i="53"/>
  <c r="AQ582" i="53"/>
  <c r="AQ723" i="53"/>
  <c r="AQ418" i="53"/>
  <c r="AQ246" i="53"/>
  <c r="AQ330" i="53"/>
  <c r="AQ537" i="53"/>
  <c r="AQ612" i="53"/>
  <c r="AQ55" i="53"/>
  <c r="AS55" i="53" s="1"/>
  <c r="AQ457" i="53"/>
  <c r="AQ588" i="53"/>
  <c r="AQ405" i="53"/>
  <c r="AQ592" i="53"/>
  <c r="AQ279" i="53"/>
  <c r="AQ253" i="53"/>
  <c r="AQ243" i="53"/>
  <c r="AQ713" i="53"/>
  <c r="AQ1033" i="53"/>
  <c r="AQ410" i="53"/>
  <c r="AQ1019" i="53"/>
  <c r="AQ856" i="53"/>
  <c r="AQ337" i="53"/>
  <c r="AQ273" i="53"/>
  <c r="AQ767" i="53"/>
  <c r="AQ1030" i="53"/>
  <c r="AQ1011" i="53"/>
  <c r="AQ636" i="53"/>
  <c r="AQ680" i="53"/>
  <c r="AQ671" i="53"/>
  <c r="AQ593" i="53"/>
  <c r="AQ586" i="53"/>
  <c r="AQ212" i="53"/>
  <c r="AQ310" i="53"/>
  <c r="AQ242" i="53"/>
  <c r="AQ404" i="53"/>
  <c r="AQ1005" i="53"/>
  <c r="AQ826" i="53"/>
  <c r="AQ624" i="53"/>
  <c r="AQ491" i="53"/>
  <c r="AQ434" i="53"/>
  <c r="AQ270" i="53"/>
  <c r="AQ252" i="53"/>
  <c r="AQ579" i="53"/>
  <c r="AQ54" i="53"/>
  <c r="AQ213" i="53"/>
  <c r="AQ145" i="53"/>
  <c r="AQ952" i="53"/>
  <c r="AQ585" i="53"/>
  <c r="AQ264" i="53"/>
  <c r="AQ715" i="53"/>
  <c r="AQ523" i="53"/>
  <c r="AQ247" i="53"/>
  <c r="AQ986" i="53"/>
  <c r="AQ791" i="53"/>
  <c r="AQ807" i="53"/>
  <c r="AQ136" i="53"/>
  <c r="AQ267" i="53"/>
  <c r="AQ560" i="53"/>
  <c r="AQ970" i="53"/>
  <c r="AQ661" i="53"/>
  <c r="AQ421" i="53"/>
  <c r="AQ183" i="53"/>
  <c r="AQ615" i="53"/>
  <c r="AQ742" i="53"/>
  <c r="AQ632" i="53"/>
  <c r="AQ824" i="53"/>
  <c r="AQ695" i="53"/>
  <c r="AQ1000" i="53"/>
  <c r="AQ1020" i="53"/>
  <c r="AQ234" i="53"/>
  <c r="AQ174" i="53"/>
  <c r="AQ193" i="53"/>
  <c r="AQ48" i="53"/>
  <c r="AQ263" i="53"/>
  <c r="AQ735" i="53"/>
  <c r="AQ1048" i="53"/>
  <c r="AQ266" i="53"/>
  <c r="AQ290" i="53"/>
  <c r="AQ710" i="53"/>
  <c r="AQ721" i="53"/>
  <c r="AQ1045" i="53"/>
  <c r="AQ1001" i="53"/>
  <c r="AQ940" i="53"/>
  <c r="AQ777" i="53"/>
  <c r="AQ564" i="53"/>
  <c r="AQ663" i="53"/>
  <c r="AQ814" i="53"/>
  <c r="AQ621" i="53"/>
  <c r="AQ659" i="53"/>
  <c r="AQ501" i="53"/>
  <c r="AQ652" i="53"/>
  <c r="AI971" i="53"/>
  <c r="AQ971" i="53"/>
  <c r="AS971" i="53" s="1"/>
  <c r="AQ204" i="53"/>
  <c r="AS204" i="53" s="1"/>
  <c r="AQ417" i="53"/>
  <c r="AQ301" i="53"/>
  <c r="AS301" i="53" s="1"/>
  <c r="AQ43" i="53"/>
  <c r="AQ678" i="53"/>
  <c r="AQ1002" i="53"/>
  <c r="AQ644" i="53"/>
  <c r="AQ1026" i="53"/>
  <c r="AQ181" i="53"/>
  <c r="AQ80" i="53"/>
  <c r="AQ541" i="53"/>
  <c r="AQ251" i="53"/>
  <c r="AQ748" i="53"/>
  <c r="AQ556" i="53"/>
  <c r="AQ1044" i="53"/>
  <c r="AQ257" i="53"/>
  <c r="AQ45" i="53"/>
  <c r="AQ291" i="53"/>
  <c r="AQ47" i="53"/>
  <c r="AS47" i="53" s="1"/>
  <c r="AQ679" i="53"/>
  <c r="AQ616" i="53"/>
  <c r="AQ985" i="53"/>
  <c r="AQ978" i="53"/>
  <c r="AQ128" i="53"/>
  <c r="AQ296" i="53"/>
  <c r="AQ827" i="53"/>
  <c r="AQ180" i="53"/>
  <c r="AQ148" i="53"/>
  <c r="AQ962" i="53"/>
  <c r="AQ1040" i="53"/>
  <c r="AI271" i="53"/>
  <c r="AQ271" i="53"/>
  <c r="AS271" i="53" s="1"/>
  <c r="AQ308" i="53"/>
  <c r="AQ609" i="53"/>
  <c r="AQ140" i="53"/>
  <c r="AQ210" i="53"/>
  <c r="AQ466" i="53"/>
  <c r="AQ844" i="53"/>
  <c r="AQ238" i="53"/>
  <c r="AQ1010" i="53"/>
  <c r="AQ926" i="53"/>
  <c r="AQ682" i="53"/>
  <c r="AQ788" i="53"/>
  <c r="AQ311" i="53"/>
  <c r="AQ699" i="53"/>
  <c r="AQ736" i="53"/>
  <c r="AQ998" i="53"/>
  <c r="AQ458" i="53"/>
  <c r="AQ227" i="53"/>
  <c r="AQ322" i="53"/>
  <c r="AQ228" i="53"/>
  <c r="AQ187" i="53"/>
  <c r="AQ232" i="53"/>
  <c r="AQ729" i="53"/>
  <c r="AQ82" i="53"/>
  <c r="AQ339" i="53"/>
  <c r="AI98" i="53"/>
  <c r="AQ98" i="53"/>
  <c r="AS98" i="53" s="1"/>
  <c r="AQ990" i="53"/>
  <c r="AQ284" i="53"/>
  <c r="AS284" i="53" s="1"/>
  <c r="AQ141" i="53"/>
  <c r="AQ634" i="53"/>
  <c r="AQ153" i="53"/>
  <c r="AQ1039" i="53"/>
  <c r="AQ1025" i="53"/>
  <c r="AQ709" i="53"/>
  <c r="AQ605" i="53"/>
  <c r="AQ761" i="53"/>
  <c r="AQ737" i="53"/>
  <c r="AQ534" i="53"/>
  <c r="AQ111" i="53"/>
  <c r="AQ515" i="53"/>
  <c r="AQ155" i="53"/>
  <c r="AQ283" i="53"/>
  <c r="AQ625" i="53"/>
  <c r="AQ233" i="53"/>
  <c r="AQ1003" i="53"/>
  <c r="AQ669" i="53"/>
  <c r="AQ821" i="53"/>
  <c r="AQ389" i="53"/>
  <c r="AQ1041" i="53"/>
  <c r="AQ622" i="53"/>
  <c r="AQ1037" i="53"/>
  <c r="AQ286" i="53"/>
  <c r="AQ694" i="53"/>
  <c r="AQ796" i="53"/>
  <c r="AQ716" i="53"/>
  <c r="AQ527" i="53"/>
  <c r="AQ423" i="53"/>
  <c r="AQ864" i="53"/>
  <c r="AQ237" i="53"/>
  <c r="AQ965" i="53"/>
  <c r="AQ1029" i="53"/>
  <c r="AQ381" i="53"/>
  <c r="AQ209" i="53"/>
  <c r="AQ1034" i="53"/>
  <c r="AQ705" i="53"/>
  <c r="AQ192" i="53"/>
  <c r="AQ144" i="53"/>
  <c r="AQ651" i="53"/>
  <c r="AQ847" i="53"/>
  <c r="AQ288" i="53"/>
  <c r="AS288" i="53" s="1"/>
  <c r="AQ240" i="53"/>
  <c r="AQ119" i="53"/>
  <c r="AQ831" i="53"/>
  <c r="AS831" i="53" s="1"/>
  <c r="AQ175" i="53"/>
  <c r="AQ899" i="53"/>
  <c r="AQ224" i="53"/>
  <c r="AQ476" i="53"/>
  <c r="AQ277" i="53"/>
  <c r="AQ276" i="53"/>
  <c r="AQ1027" i="53"/>
  <c r="AQ657" i="53"/>
  <c r="AQ604" i="53"/>
  <c r="AQ1031" i="53"/>
  <c r="AQ704" i="53"/>
  <c r="AQ660" i="53"/>
  <c r="AS660" i="53" s="1"/>
  <c r="AQ743" i="53"/>
  <c r="AQ714" i="53"/>
  <c r="AS714" i="53" s="1"/>
  <c r="AQ606" i="53"/>
  <c r="AQ548" i="53"/>
  <c r="AQ256" i="53"/>
  <c r="AQ702" i="53"/>
  <c r="AQ338" i="53"/>
  <c r="AQ942" i="53"/>
  <c r="AQ933" i="53"/>
  <c r="AQ510" i="53"/>
  <c r="AQ87" i="53"/>
  <c r="AQ547" i="53"/>
  <c r="AQ633" i="53"/>
  <c r="AQ1102" i="53"/>
  <c r="AQ215" i="53"/>
  <c r="AQ1035" i="53"/>
  <c r="AQ1058" i="53"/>
  <c r="AQ278" i="53"/>
  <c r="AQ159" i="53"/>
  <c r="AQ530" i="53"/>
  <c r="AQ522" i="53"/>
  <c r="AQ57" i="53"/>
  <c r="AQ1021" i="53"/>
  <c r="AQ138" i="53"/>
  <c r="AQ929" i="53"/>
  <c r="AQ519" i="53"/>
  <c r="AQ1062" i="53"/>
  <c r="AQ658" i="53"/>
  <c r="AQ185" i="53"/>
  <c r="AQ93" i="53"/>
  <c r="AS93" i="53" s="1"/>
  <c r="AQ703" i="53"/>
  <c r="AQ129" i="53"/>
  <c r="AQ496" i="53"/>
  <c r="AQ794" i="53"/>
  <c r="AQ939" i="53"/>
  <c r="AQ741" i="53"/>
  <c r="AQ406" i="53"/>
  <c r="AQ46" i="53"/>
  <c r="AQ1038" i="53"/>
  <c r="AQ670" i="53"/>
  <c r="AI464" i="53"/>
  <c r="AQ464" i="53"/>
  <c r="AS464" i="53" s="1"/>
  <c r="AQ690" i="53"/>
  <c r="AQ836" i="53"/>
  <c r="AQ372" i="53"/>
  <c r="AQ304" i="53"/>
  <c r="AS304" i="53" s="1"/>
  <c r="AQ350" i="53"/>
  <c r="AQ545" i="53"/>
  <c r="AQ1057" i="53"/>
  <c r="AQ768" i="53"/>
  <c r="AQ245" i="53"/>
  <c r="AQ740" i="53"/>
  <c r="AQ275" i="53"/>
  <c r="AQ1059" i="53"/>
  <c r="AI508" i="53"/>
  <c r="AI123" i="53"/>
  <c r="AI854" i="53"/>
  <c r="AI668" i="53"/>
  <c r="AI683" i="53"/>
  <c r="AI387" i="53"/>
  <c r="AI171" i="53"/>
  <c r="AI18" i="53"/>
  <c r="AI661" i="53"/>
  <c r="AI234" i="53"/>
  <c r="AI301" i="53"/>
  <c r="AI411" i="53"/>
  <c r="AI47" i="53"/>
  <c r="AI392" i="53"/>
  <c r="AI906" i="53"/>
  <c r="AI459" i="53"/>
  <c r="AI1083" i="53"/>
  <c r="AI776" i="53"/>
  <c r="AI635" i="53"/>
  <c r="AI822" i="53"/>
  <c r="AI348" i="53"/>
  <c r="AI800" i="53"/>
  <c r="AI288" i="53"/>
  <c r="AI31" i="53"/>
  <c r="AI660" i="53"/>
  <c r="AI714" i="53"/>
  <c r="AI93" i="53"/>
  <c r="AI354" i="53"/>
  <c r="AI443" i="53"/>
  <c r="AI542" i="53"/>
  <c r="AI914" i="53"/>
  <c r="AI304" i="53"/>
  <c r="AI444" i="53"/>
  <c r="AI559" i="53"/>
  <c r="AI28" i="53"/>
  <c r="AS954" i="53" l="1"/>
  <c r="AS439" i="53"/>
  <c r="AS559" i="53"/>
  <c r="AS460" i="53"/>
  <c r="C50" i="39"/>
  <c r="F66" i="39"/>
  <c r="E63" i="39"/>
  <c r="C53" i="39"/>
  <c r="F53" i="39"/>
  <c r="F45" i="39"/>
  <c r="D44" i="39"/>
  <c r="E66" i="39"/>
  <c r="D63" i="39"/>
  <c r="C52" i="39"/>
  <c r="E53" i="39"/>
  <c r="D43" i="39"/>
  <c r="G35" i="39"/>
  <c r="G34" i="39"/>
  <c r="E30" i="39"/>
  <c r="E25" i="39"/>
  <c r="C25" i="39"/>
  <c r="E11" i="39"/>
  <c r="G33" i="39"/>
  <c r="D29" i="39"/>
  <c r="C23" i="39"/>
  <c r="D66" i="39"/>
  <c r="C63" i="39"/>
  <c r="C51" i="39"/>
  <c r="D53" i="39"/>
  <c r="E45" i="39"/>
  <c r="D42" i="39"/>
  <c r="F24" i="39"/>
  <c r="E10" i="39"/>
  <c r="C12" i="39"/>
  <c r="C24" i="39"/>
  <c r="D25" i="39"/>
  <c r="C66" i="39"/>
  <c r="G62" i="39"/>
  <c r="G56" i="39"/>
  <c r="G52" i="39"/>
  <c r="F42" i="39"/>
  <c r="D41" i="39"/>
  <c r="F35" i="39"/>
  <c r="G32" i="39"/>
  <c r="D34" i="39"/>
  <c r="E24" i="39"/>
  <c r="F23" i="39"/>
  <c r="E9" i="39"/>
  <c r="G31" i="39"/>
  <c r="D33" i="39"/>
  <c r="E23" i="39"/>
  <c r="F22" i="39"/>
  <c r="C14" i="39"/>
  <c r="F65" i="39"/>
  <c r="E62" i="39"/>
  <c r="E56" i="39"/>
  <c r="E52" i="39"/>
  <c r="F44" i="39"/>
  <c r="D39" i="39"/>
  <c r="E35" i="39"/>
  <c r="G30" i="39"/>
  <c r="D32" i="39"/>
  <c r="E22" i="39"/>
  <c r="F21" i="39"/>
  <c r="C13" i="39"/>
  <c r="G65" i="39"/>
  <c r="F62" i="39"/>
  <c r="F56" i="39"/>
  <c r="F52" i="39"/>
  <c r="E42" i="39"/>
  <c r="D40" i="39"/>
  <c r="D31" i="39"/>
  <c r="F20" i="39"/>
  <c r="C10" i="39"/>
  <c r="C9" i="39"/>
  <c r="F40" i="39"/>
  <c r="C20" i="39"/>
  <c r="E65" i="39"/>
  <c r="D62" i="39"/>
  <c r="D56" i="39"/>
  <c r="D52" i="39"/>
  <c r="F43" i="39"/>
  <c r="F29" i="39"/>
  <c r="E21" i="39"/>
  <c r="C29" i="39"/>
  <c r="C35" i="39"/>
  <c r="E8" i="39"/>
  <c r="D65" i="39"/>
  <c r="C62" i="39"/>
  <c r="G55" i="39"/>
  <c r="G51" i="39"/>
  <c r="F41" i="39"/>
  <c r="C45" i="39"/>
  <c r="D35" i="39"/>
  <c r="F34" i="39"/>
  <c r="D30" i="39"/>
  <c r="E20" i="39"/>
  <c r="F19" i="39"/>
  <c r="C11" i="39"/>
  <c r="C65" i="39"/>
  <c r="G61" i="39"/>
  <c r="F55" i="39"/>
  <c r="F51" i="39"/>
  <c r="F39" i="39"/>
  <c r="C39" i="39"/>
  <c r="C8" i="39"/>
  <c r="G64" i="39"/>
  <c r="F61" i="39"/>
  <c r="E55" i="39"/>
  <c r="E51" i="39"/>
  <c r="E39" i="39"/>
  <c r="C44" i="39"/>
  <c r="G67" i="39"/>
  <c r="F64" i="39"/>
  <c r="E61" i="39"/>
  <c r="D55" i="39"/>
  <c r="D51" i="39"/>
  <c r="E44" i="39"/>
  <c r="C43" i="39"/>
  <c r="H34" i="39"/>
  <c r="F31" i="39"/>
  <c r="C33" i="39"/>
  <c r="D24" i="39"/>
  <c r="C22" i="39"/>
  <c r="D61" i="39"/>
  <c r="G50" i="39"/>
  <c r="C42" i="39"/>
  <c r="C32" i="39"/>
  <c r="D23" i="39"/>
  <c r="C61" i="39"/>
  <c r="F54" i="39"/>
  <c r="E41" i="39"/>
  <c r="H32" i="39"/>
  <c r="E29" i="39"/>
  <c r="D22" i="39"/>
  <c r="E54" i="39"/>
  <c r="E40" i="39"/>
  <c r="C40" i="39"/>
  <c r="E34" i="39"/>
  <c r="D21" i="39"/>
  <c r="H30" i="39"/>
  <c r="E33" i="39"/>
  <c r="F67" i="39"/>
  <c r="E64" i="39"/>
  <c r="G54" i="39"/>
  <c r="E43" i="39"/>
  <c r="H33" i="39"/>
  <c r="F30" i="39"/>
  <c r="C21" i="39"/>
  <c r="D64" i="39"/>
  <c r="F50" i="39"/>
  <c r="C41" i="39"/>
  <c r="C31" i="39"/>
  <c r="C19" i="39"/>
  <c r="E50" i="39"/>
  <c r="H31" i="39"/>
  <c r="C30" i="39"/>
  <c r="E67" i="39"/>
  <c r="D67" i="39"/>
  <c r="C64" i="39"/>
  <c r="C56" i="39"/>
  <c r="C67" i="39"/>
  <c r="G63" i="39"/>
  <c r="C55" i="39"/>
  <c r="D54" i="39"/>
  <c r="D50" i="39"/>
  <c r="D20" i="39"/>
  <c r="E14" i="39"/>
  <c r="E12" i="39"/>
  <c r="F33" i="39"/>
  <c r="E19" i="39"/>
  <c r="C34" i="39"/>
  <c r="G66" i="39"/>
  <c r="F63" i="39"/>
  <c r="C54" i="39"/>
  <c r="H54" i="39" s="1"/>
  <c r="G53" i="39"/>
  <c r="D45" i="39"/>
  <c r="H35" i="39"/>
  <c r="H29" i="39"/>
  <c r="E32" i="39"/>
  <c r="F25" i="39"/>
  <c r="D19" i="39"/>
  <c r="E13" i="39"/>
  <c r="G29" i="39"/>
  <c r="E31" i="39"/>
  <c r="F32" i="39"/>
  <c r="AS480" i="53"/>
  <c r="AS411" i="53"/>
  <c r="AS560" i="53"/>
  <c r="AS409" i="53"/>
  <c r="AS317" i="53"/>
  <c r="L1116" i="54"/>
  <c r="AS853" i="53"/>
  <c r="AS794" i="53"/>
  <c r="AS749" i="53"/>
  <c r="AS661" i="53"/>
  <c r="AS1040" i="53"/>
  <c r="AS878" i="53"/>
  <c r="AS827" i="53"/>
  <c r="AS197" i="53"/>
  <c r="AI1021" i="53"/>
  <c r="AI148" i="53"/>
  <c r="AI76" i="53"/>
  <c r="AI827" i="53"/>
  <c r="AI710" i="53"/>
  <c r="AI878" i="53"/>
  <c r="AI1029" i="53"/>
  <c r="AI197" i="53"/>
  <c r="AI749" i="53"/>
  <c r="AI120" i="53"/>
  <c r="AI501" i="53"/>
  <c r="AI1037" i="53"/>
  <c r="AI759" i="53"/>
  <c r="AS1037" i="53"/>
  <c r="AS759" i="53"/>
  <c r="AS120" i="53"/>
  <c r="AS501" i="53"/>
  <c r="AS1029" i="53"/>
  <c r="AS1021" i="53"/>
  <c r="AS76" i="53"/>
  <c r="AG13" i="53"/>
  <c r="AS472" i="53"/>
  <c r="AS384" i="53"/>
  <c r="AI384" i="53"/>
  <c r="AI59" i="53"/>
  <c r="AI472" i="53"/>
  <c r="AI63" i="53"/>
  <c r="AS89" i="53"/>
  <c r="AS699" i="53"/>
  <c r="AI1093" i="53"/>
  <c r="AS126" i="53"/>
  <c r="AS799" i="53"/>
  <c r="AS996" i="53"/>
  <c r="AS256" i="53"/>
  <c r="AS902" i="53"/>
  <c r="AH13" i="53"/>
  <c r="I173" i="31"/>
  <c r="Y13" i="53"/>
  <c r="V13" i="53"/>
  <c r="X13" i="53" s="1"/>
  <c r="AS634" i="53"/>
  <c r="AS951" i="53"/>
  <c r="AS541" i="53"/>
  <c r="AS337" i="53"/>
  <c r="AS255" i="53"/>
  <c r="AS766" i="53"/>
  <c r="AI1006" i="53"/>
  <c r="AI962" i="53"/>
  <c r="AI730" i="53"/>
  <c r="AS125" i="53"/>
  <c r="AS566" i="53"/>
  <c r="AS563" i="53"/>
  <c r="AS450" i="53"/>
  <c r="AI1007" i="53"/>
  <c r="AI74" i="53"/>
  <c r="AI946" i="53"/>
  <c r="AI790" i="53"/>
  <c r="AS119" i="53"/>
  <c r="AS1006" i="53"/>
  <c r="AS960" i="53"/>
  <c r="AS607" i="53"/>
  <c r="AS730" i="53"/>
  <c r="AS49" i="53"/>
  <c r="AS644" i="53"/>
  <c r="AS165" i="53"/>
  <c r="AS774" i="53"/>
  <c r="AS503" i="53"/>
  <c r="AS286" i="53"/>
  <c r="AS107" i="53"/>
  <c r="AS468" i="53"/>
  <c r="AS183" i="53"/>
  <c r="AI49" i="53"/>
  <c r="AS1044" i="53"/>
  <c r="AS1093" i="53"/>
  <c r="AI67" i="53"/>
  <c r="AI644" i="53"/>
  <c r="AI637" i="53"/>
  <c r="AI468" i="53"/>
  <c r="AI489" i="53"/>
  <c r="AI570" i="53"/>
  <c r="AS159" i="53"/>
  <c r="AS658" i="53"/>
  <c r="AS516" i="53"/>
  <c r="AS53" i="53"/>
  <c r="AS264" i="53"/>
  <c r="AS1000" i="53"/>
  <c r="AS686" i="53"/>
  <c r="AS1061" i="53"/>
  <c r="AS1070" i="53"/>
  <c r="AI947" i="53"/>
  <c r="AI374" i="53"/>
  <c r="AI196" i="53"/>
  <c r="AI500" i="53"/>
  <c r="AI159" i="53"/>
  <c r="AI688" i="53"/>
  <c r="AI516" i="53"/>
  <c r="AI264" i="53"/>
  <c r="AI442" i="53"/>
  <c r="AI284" i="53"/>
  <c r="AI337" i="53"/>
  <c r="AI183" i="53"/>
  <c r="AI83" i="53"/>
  <c r="AI246" i="53"/>
  <c r="AI376" i="53"/>
  <c r="AI518" i="53"/>
  <c r="AI329" i="53"/>
  <c r="AI450" i="53"/>
  <c r="AI9" i="53"/>
  <c r="AI229" i="53"/>
  <c r="AI607" i="53"/>
  <c r="AI437" i="53"/>
  <c r="AI938" i="53"/>
  <c r="AI119" i="53"/>
  <c r="AI563" i="53"/>
  <c r="AI963" i="53"/>
  <c r="AI865" i="53"/>
  <c r="AI910" i="53"/>
  <c r="AS638" i="53"/>
  <c r="AS803" i="53"/>
  <c r="AS173" i="53"/>
  <c r="AI808" i="53"/>
  <c r="AI503" i="53"/>
  <c r="AI1044" i="53"/>
  <c r="AI165" i="53"/>
  <c r="AI988" i="53"/>
  <c r="AI663" i="53"/>
  <c r="AI671" i="53"/>
  <c r="AI986" i="53"/>
  <c r="AI881" i="53"/>
  <c r="AI410" i="53"/>
  <c r="AI358" i="53"/>
  <c r="AI809" i="53"/>
  <c r="AI760" i="53"/>
  <c r="AI185" i="53"/>
  <c r="AI377" i="53"/>
  <c r="AI893" i="53"/>
  <c r="AI122" i="53"/>
  <c r="AI127" i="53"/>
  <c r="AI942" i="53"/>
  <c r="AI336" i="53"/>
  <c r="AI724" i="53"/>
  <c r="AI908" i="53"/>
  <c r="AI813" i="53"/>
  <c r="AI944" i="53"/>
  <c r="AI160" i="53"/>
  <c r="AI82" i="53"/>
  <c r="AS274" i="53"/>
  <c r="AI608" i="53"/>
  <c r="AI799" i="53"/>
  <c r="AI33" i="53"/>
  <c r="AI697" i="53"/>
  <c r="AI458" i="53"/>
  <c r="AI1068" i="53"/>
  <c r="AI810" i="53"/>
  <c r="AI121" i="53"/>
  <c r="AI592" i="53"/>
  <c r="AI153" i="53"/>
  <c r="AI157" i="53"/>
  <c r="AI405" i="53"/>
  <c r="AI707" i="53"/>
  <c r="AS840" i="53"/>
  <c r="AI1008" i="53"/>
  <c r="AI634" i="53"/>
  <c r="AI879" i="53"/>
  <c r="AI128" i="53"/>
  <c r="AI613" i="53"/>
  <c r="AI25" i="53"/>
  <c r="AI659" i="53"/>
  <c r="AI571" i="53"/>
  <c r="AI895" i="53"/>
  <c r="AI1079" i="53"/>
  <c r="AI40" i="53"/>
  <c r="AI7" i="53"/>
  <c r="AI890" i="53"/>
  <c r="AI402" i="53"/>
  <c r="AI729" i="53"/>
  <c r="AI778" i="53"/>
  <c r="AS671" i="53"/>
  <c r="AI956" i="53"/>
  <c r="AI916" i="53"/>
  <c r="AI577" i="53"/>
  <c r="AI536" i="53"/>
  <c r="AI669" i="53"/>
  <c r="AI425" i="53"/>
  <c r="AI770" i="53"/>
  <c r="AI567" i="53"/>
  <c r="AS336" i="53"/>
  <c r="AS866" i="53"/>
  <c r="AS377" i="53"/>
  <c r="AS908" i="53"/>
  <c r="AI173" i="53"/>
  <c r="AS506" i="53"/>
  <c r="AS1017" i="53"/>
  <c r="AS729" i="53"/>
  <c r="AS128" i="53"/>
  <c r="AS663" i="53"/>
  <c r="AS7" i="53"/>
  <c r="AS339" i="53"/>
  <c r="AS659" i="53"/>
  <c r="AS402" i="53"/>
  <c r="AS966" i="53"/>
  <c r="AS185" i="53"/>
  <c r="AS942" i="53"/>
  <c r="AS25" i="53"/>
  <c r="AS405" i="53"/>
  <c r="AS838" i="53"/>
  <c r="AS442" i="53"/>
  <c r="AS64" i="53"/>
  <c r="AI409" i="53"/>
  <c r="AI517" i="53"/>
  <c r="AI365" i="53"/>
  <c r="AI838" i="53"/>
  <c r="AI495" i="53"/>
  <c r="AI949" i="53"/>
  <c r="AI446" i="53"/>
  <c r="AI818" i="53"/>
  <c r="AS33" i="53"/>
  <c r="AS517" i="53"/>
  <c r="AS153" i="53"/>
  <c r="AS669" i="53"/>
  <c r="AS458" i="53"/>
  <c r="AS697" i="53"/>
  <c r="AS327" i="53"/>
  <c r="AS482" i="53"/>
  <c r="AS397" i="53"/>
  <c r="AS818" i="53"/>
  <c r="AS141" i="53"/>
  <c r="AS805" i="53"/>
  <c r="AS949" i="53"/>
  <c r="AS732" i="53"/>
  <c r="AS82" i="53"/>
  <c r="AS719" i="53"/>
  <c r="AS916" i="53"/>
  <c r="AS246" i="53"/>
  <c r="AS956" i="53"/>
  <c r="AS592" i="53"/>
  <c r="AS425" i="53"/>
  <c r="AS581" i="53"/>
  <c r="Q196" i="31"/>
  <c r="AH90" i="53"/>
  <c r="AI1059" i="53"/>
  <c r="AI362" i="53"/>
  <c r="AI1105" i="53"/>
  <c r="AS362" i="53"/>
  <c r="AS515" i="53"/>
  <c r="AI877" i="53"/>
  <c r="AS1059" i="53"/>
  <c r="AI135" i="53"/>
  <c r="AS135" i="53"/>
  <c r="AI833" i="53"/>
  <c r="AI984" i="53"/>
  <c r="AI346" i="53"/>
  <c r="AI623" i="53"/>
  <c r="AQ90" i="53"/>
  <c r="AI194" i="53"/>
  <c r="P207" i="31"/>
  <c r="L1193" i="54"/>
  <c r="AS623" i="53"/>
  <c r="AS194" i="53"/>
  <c r="W207" i="31"/>
  <c r="AG90" i="53"/>
  <c r="AS142" i="53"/>
  <c r="AI375" i="53"/>
  <c r="AS407" i="53"/>
  <c r="AI723" i="53"/>
  <c r="AI650" i="53"/>
  <c r="AS1020" i="53"/>
  <c r="AI1085" i="53"/>
  <c r="AS611" i="53"/>
  <c r="AI680" i="53"/>
  <c r="AI1036" i="53"/>
  <c r="AI490" i="53"/>
  <c r="AI97" i="53"/>
  <c r="AS680" i="53"/>
  <c r="V90" i="53"/>
  <c r="I10" i="31"/>
  <c r="I123" i="31"/>
  <c r="I147" i="31"/>
  <c r="N196" i="31"/>
  <c r="I111" i="31"/>
  <c r="AI186" i="53"/>
  <c r="L184" i="31"/>
  <c r="Q184" i="31"/>
  <c r="Y90" i="53"/>
  <c r="AI912" i="53"/>
  <c r="AS912" i="53"/>
  <c r="AS277" i="53"/>
  <c r="AI115" i="53"/>
  <c r="AS190" i="53"/>
  <c r="AS96" i="53"/>
  <c r="AS565" i="53"/>
  <c r="AS378" i="53"/>
  <c r="AI575" i="53"/>
  <c r="AI378" i="53"/>
  <c r="AI479" i="53"/>
  <c r="AS943" i="53"/>
  <c r="AI206" i="53"/>
  <c r="AI262" i="53"/>
  <c r="AI720" i="53"/>
  <c r="AI38" i="53"/>
  <c r="AI353" i="53"/>
  <c r="AI690" i="53"/>
  <c r="AS238" i="53"/>
  <c r="AS331" i="53"/>
  <c r="AI611" i="53"/>
  <c r="AS690" i="53"/>
  <c r="AI331" i="53"/>
  <c r="AS720" i="53"/>
  <c r="AS723" i="53"/>
  <c r="AS711" i="53"/>
  <c r="AS124" i="53"/>
  <c r="AS248" i="53"/>
  <c r="AI150" i="53"/>
  <c r="AI399" i="53"/>
  <c r="AS632" i="53"/>
  <c r="AI632" i="53"/>
  <c r="AI521" i="53"/>
  <c r="AI391" i="53"/>
  <c r="AI1104" i="53"/>
  <c r="AS222" i="53"/>
  <c r="AS575" i="53"/>
  <c r="AI130" i="53"/>
  <c r="AS763" i="53"/>
  <c r="AI945" i="53"/>
  <c r="AI832" i="53"/>
  <c r="AI993" i="53"/>
  <c r="AI279" i="53"/>
  <c r="AI917" i="53"/>
  <c r="AS826" i="53"/>
  <c r="AS945" i="53"/>
  <c r="AS86" i="53"/>
  <c r="AI900" i="53"/>
  <c r="AI596" i="53"/>
  <c r="AI1015" i="53"/>
  <c r="AS521" i="53"/>
  <c r="AS1104" i="53"/>
  <c r="AS832" i="53"/>
  <c r="AS281" i="53"/>
  <c r="AI281" i="53"/>
  <c r="AI994" i="53"/>
  <c r="AS609" i="53"/>
  <c r="AS582" i="53"/>
  <c r="AI445" i="53"/>
  <c r="AI582" i="53"/>
  <c r="AS1036" i="53"/>
  <c r="AS900" i="53"/>
  <c r="AI86" i="53"/>
  <c r="AS505" i="53"/>
  <c r="AS872" i="53"/>
  <c r="AI550" i="53"/>
  <c r="AI745" i="53"/>
  <c r="AI756" i="53"/>
  <c r="AI1084" i="53"/>
  <c r="AI556" i="53"/>
  <c r="AS915" i="53"/>
  <c r="AS223" i="53"/>
  <c r="AS1066" i="53"/>
  <c r="AS150" i="53"/>
  <c r="AS701" i="53"/>
  <c r="AS279" i="53"/>
  <c r="AI711" i="53"/>
  <c r="AI149" i="53"/>
  <c r="AI505" i="53"/>
  <c r="AI872" i="53"/>
  <c r="AI248" i="53"/>
  <c r="AI915" i="53"/>
  <c r="AI701" i="53"/>
  <c r="AS964" i="53"/>
  <c r="AS453" i="53"/>
  <c r="AI230" i="53"/>
  <c r="AS534" i="53"/>
  <c r="AS876" i="53"/>
  <c r="AI534" i="53"/>
  <c r="AS756" i="53"/>
  <c r="AI169" i="53"/>
  <c r="AI823" i="53"/>
  <c r="AI740" i="53"/>
  <c r="AI1020" i="53"/>
  <c r="AI876" i="53"/>
  <c r="AI713" i="53"/>
  <c r="AI1066" i="53"/>
  <c r="AI167" i="53"/>
  <c r="AS740" i="53"/>
  <c r="AI785" i="53"/>
  <c r="AI504" i="53"/>
  <c r="AI983" i="53"/>
  <c r="AI964" i="53"/>
  <c r="AI1078" i="53"/>
  <c r="AI201" i="53"/>
  <c r="AI911" i="53"/>
  <c r="AS244" i="53"/>
  <c r="AI453" i="53"/>
  <c r="AS556" i="53"/>
  <c r="AS713" i="53"/>
  <c r="AI142" i="53"/>
  <c r="AS490" i="53"/>
  <c r="AS169" i="53"/>
  <c r="AI339" i="53"/>
  <c r="AS69" i="53"/>
  <c r="AS791" i="53"/>
  <c r="AS579" i="53"/>
  <c r="AI242" i="53"/>
  <c r="AS700" i="53"/>
  <c r="AS924" i="53"/>
  <c r="AI959" i="53"/>
  <c r="AS1038" i="53"/>
  <c r="AI791" i="53"/>
  <c r="AI579" i="53"/>
  <c r="AS687" i="53"/>
  <c r="AI1095" i="53"/>
  <c r="AI1038" i="53"/>
  <c r="AI687" i="53"/>
  <c r="AS1042" i="53"/>
  <c r="AS1055" i="53"/>
  <c r="AI1025" i="53"/>
  <c r="AI482" i="53"/>
  <c r="AI732" i="53"/>
  <c r="AI1017" i="53"/>
  <c r="AI863" i="53"/>
  <c r="AI68" i="53"/>
  <c r="AI223" i="53"/>
  <c r="AI1042" i="53"/>
  <c r="AI1062" i="53"/>
  <c r="AI99" i="53"/>
  <c r="AI797" i="53"/>
  <c r="AI116" i="53"/>
  <c r="AI747" i="53"/>
  <c r="AI351" i="53"/>
  <c r="AS1062" i="53"/>
  <c r="AS1025" i="53"/>
  <c r="AS673" i="53"/>
  <c r="AS1095" i="53"/>
  <c r="AS430" i="53"/>
  <c r="AI20" i="53"/>
  <c r="AI73" i="53"/>
  <c r="AI784" i="53"/>
  <c r="AI1077" i="53"/>
  <c r="AI71" i="53"/>
  <c r="AS926" i="53"/>
  <c r="AS612" i="53"/>
  <c r="AS260" i="53"/>
  <c r="AS436" i="53"/>
  <c r="AS454" i="53"/>
  <c r="AS834" i="53"/>
  <c r="AS294" i="53"/>
  <c r="AI15" i="53"/>
  <c r="AI454" i="53"/>
  <c r="AI436" i="53"/>
  <c r="AS705" i="53"/>
  <c r="AS716" i="53"/>
  <c r="AI926" i="53"/>
  <c r="AS43" i="53"/>
  <c r="AI612" i="53"/>
  <c r="AI260" i="53"/>
  <c r="AS1077" i="53"/>
  <c r="AS597" i="53"/>
  <c r="AS484" i="53"/>
  <c r="AI415" i="53"/>
  <c r="AI673" i="53"/>
  <c r="AI934" i="53"/>
  <c r="AI840" i="53"/>
  <c r="AI597" i="53"/>
  <c r="AI705" i="53"/>
  <c r="AI716" i="53"/>
  <c r="AS242" i="53"/>
  <c r="AI69" i="53"/>
  <c r="AS940" i="53"/>
  <c r="AS1022" i="53"/>
  <c r="AS415" i="53"/>
  <c r="AS764" i="53"/>
  <c r="AI95" i="53"/>
  <c r="AI940" i="53"/>
  <c r="AS154" i="53"/>
  <c r="AS319" i="53"/>
  <c r="AS959" i="53"/>
  <c r="AI484" i="53"/>
  <c r="AI108" i="53"/>
  <c r="AI357" i="53"/>
  <c r="AI43" i="53"/>
  <c r="AI154" i="53"/>
  <c r="AS351" i="53"/>
  <c r="AS357" i="53"/>
  <c r="AI294" i="53"/>
  <c r="AI430" i="53"/>
  <c r="AI198" i="53"/>
  <c r="AI753" i="53"/>
  <c r="AI975" i="53"/>
  <c r="AI976" i="53"/>
  <c r="AI53" i="53"/>
  <c r="AS71" i="53"/>
  <c r="AS52" i="53"/>
  <c r="AI319" i="53"/>
  <c r="AI924" i="53"/>
  <c r="AI1022" i="53"/>
  <c r="AI292" i="53"/>
  <c r="AI700" i="53"/>
  <c r="AI52" i="53"/>
  <c r="AI846" i="53"/>
  <c r="AS753" i="53"/>
  <c r="AS15" i="53"/>
  <c r="AS601" i="53"/>
  <c r="AS797" i="53"/>
  <c r="AS20" i="53"/>
  <c r="AI601" i="53"/>
  <c r="AI1004" i="53"/>
  <c r="AI834" i="53"/>
  <c r="AI1055" i="53"/>
  <c r="AI188" i="53"/>
  <c r="AI764" i="53"/>
  <c r="AS188" i="53"/>
  <c r="AS975" i="53"/>
  <c r="AS784" i="53"/>
  <c r="X727" i="53"/>
  <c r="X907" i="53"/>
  <c r="X984" i="53"/>
  <c r="X149" i="53"/>
  <c r="X933" i="53"/>
  <c r="X700" i="53"/>
  <c r="X244" i="53"/>
  <c r="X1071" i="53"/>
  <c r="X635" i="53"/>
  <c r="X460" i="53"/>
  <c r="X155" i="53"/>
  <c r="X760" i="53"/>
  <c r="X631" i="53"/>
  <c r="X690" i="53"/>
  <c r="X801" i="53"/>
  <c r="X475" i="53"/>
  <c r="X292" i="53"/>
  <c r="X147" i="53"/>
  <c r="X139" i="53"/>
  <c r="X265" i="53"/>
  <c r="X748" i="53"/>
  <c r="X481" i="53"/>
  <c r="X924" i="53"/>
  <c r="X663" i="53"/>
  <c r="X293" i="53"/>
  <c r="X34" i="53"/>
  <c r="X755" i="53"/>
  <c r="X893" i="53"/>
  <c r="X1058" i="53"/>
  <c r="X518" i="53"/>
  <c r="X537" i="53"/>
  <c r="X908" i="53"/>
  <c r="X323" i="53"/>
  <c r="X557" i="53"/>
  <c r="AS445" i="53"/>
  <c r="X119" i="53"/>
  <c r="X651" i="53"/>
  <c r="X957" i="53"/>
  <c r="X745" i="53"/>
  <c r="X694" i="53"/>
  <c r="X166" i="53"/>
  <c r="X664" i="53"/>
  <c r="X1083" i="53"/>
  <c r="X782" i="53"/>
  <c r="X858" i="53"/>
  <c r="X229" i="53"/>
  <c r="X841" i="53"/>
  <c r="X489" i="53"/>
  <c r="X912" i="53"/>
  <c r="X783" i="53"/>
  <c r="X902" i="53"/>
  <c r="X133" i="53"/>
  <c r="X878" i="53"/>
  <c r="X158" i="53"/>
  <c r="X956" i="53"/>
  <c r="X434" i="53"/>
  <c r="X446" i="53"/>
  <c r="X154" i="53"/>
  <c r="X710" i="53"/>
  <c r="X38" i="53"/>
  <c r="X433" i="53"/>
  <c r="X579" i="53"/>
  <c r="X435" i="53"/>
  <c r="X994" i="53"/>
  <c r="X150" i="53"/>
  <c r="X461" i="53"/>
  <c r="X751" i="53"/>
  <c r="X917" i="53"/>
  <c r="X1004" i="53"/>
  <c r="X591" i="53"/>
  <c r="X757" i="53"/>
  <c r="X940" i="53"/>
  <c r="X301" i="53"/>
  <c r="X857" i="53"/>
  <c r="X988" i="53"/>
  <c r="X151" i="53"/>
  <c r="X743" i="53"/>
  <c r="X1078" i="53"/>
  <c r="X172" i="53"/>
  <c r="X853" i="53"/>
  <c r="X628" i="53"/>
  <c r="X111" i="53"/>
  <c r="X1025" i="53"/>
  <c r="X186" i="53"/>
  <c r="X142" i="53"/>
  <c r="X114" i="53"/>
  <c r="X1040" i="53"/>
  <c r="X89" i="53"/>
  <c r="X425" i="53"/>
  <c r="X276" i="53"/>
  <c r="X463" i="53"/>
  <c r="X973" i="53"/>
  <c r="X94" i="53"/>
  <c r="X442" i="53"/>
  <c r="X845" i="53"/>
  <c r="X602" i="53"/>
  <c r="X465" i="53"/>
  <c r="X474" i="53"/>
  <c r="X545" i="53"/>
  <c r="X914" i="53"/>
  <c r="X563" i="53"/>
  <c r="X91" i="53"/>
  <c r="X521" i="53"/>
  <c r="X1011" i="53"/>
  <c r="X73" i="53"/>
  <c r="X246" i="53"/>
  <c r="X676" i="53"/>
  <c r="X546" i="53"/>
  <c r="X355" i="53"/>
  <c r="X391" i="53"/>
  <c r="X944" i="53"/>
  <c r="X934" i="53"/>
  <c r="X1066" i="53"/>
  <c r="X718" i="53"/>
  <c r="X389" i="53"/>
  <c r="X920" i="53"/>
  <c r="X335" i="53"/>
  <c r="X424" i="53"/>
  <c r="X386" i="53"/>
  <c r="X375" i="53"/>
  <c r="X922" i="53"/>
  <c r="X416" i="53"/>
  <c r="X950" i="53"/>
  <c r="X982" i="53"/>
  <c r="X1064" i="53"/>
  <c r="X252" i="53"/>
  <c r="X160" i="53"/>
  <c r="X366" i="53"/>
  <c r="X786" i="53"/>
  <c r="X972" i="53"/>
  <c r="X977" i="53"/>
  <c r="X942" i="53"/>
  <c r="X347" i="53"/>
  <c r="X788" i="53"/>
  <c r="X305" i="53"/>
  <c r="X978" i="53"/>
  <c r="X170" i="53"/>
  <c r="X680" i="53"/>
  <c r="X528" i="53"/>
  <c r="X40" i="53"/>
  <c r="AI134" i="53"/>
  <c r="X894" i="53"/>
  <c r="X1094" i="53"/>
  <c r="X1055" i="53"/>
  <c r="X1081" i="53"/>
  <c r="X657" i="53"/>
  <c r="X916" i="53"/>
  <c r="X346" i="53"/>
  <c r="X60" i="53"/>
  <c r="X381" i="53"/>
  <c r="X892" i="53"/>
  <c r="X120" i="53"/>
  <c r="X992" i="53"/>
  <c r="X985" i="53"/>
  <c r="X953" i="53"/>
  <c r="X113" i="53"/>
  <c r="X200" i="53"/>
  <c r="X78" i="53"/>
  <c r="X128" i="53"/>
  <c r="X510" i="53"/>
  <c r="X115" i="53"/>
  <c r="X904" i="53"/>
  <c r="X614" i="53"/>
  <c r="X659" i="53"/>
  <c r="X476" i="53"/>
  <c r="X350" i="53"/>
  <c r="X218" i="53"/>
  <c r="X84" i="53"/>
  <c r="X513" i="53"/>
  <c r="X976" i="53"/>
  <c r="X800" i="53"/>
  <c r="X295" i="53"/>
  <c r="X1085" i="53"/>
  <c r="X205" i="53"/>
  <c r="X683" i="53"/>
  <c r="X233" i="53"/>
  <c r="X400" i="53"/>
  <c r="X68" i="53"/>
  <c r="X308" i="53"/>
  <c r="X598" i="53"/>
  <c r="X497" i="53"/>
  <c r="X59" i="53"/>
  <c r="X678" i="53"/>
  <c r="X843" i="53"/>
  <c r="X411" i="53"/>
  <c r="X850" i="53"/>
  <c r="X1069" i="53"/>
  <c r="X540" i="53"/>
  <c r="X226" i="53"/>
  <c r="X101" i="53"/>
  <c r="X129" i="53"/>
  <c r="X365" i="53"/>
  <c r="X765" i="53"/>
  <c r="X930" i="53"/>
  <c r="X194" i="53"/>
  <c r="X249" i="53"/>
  <c r="X270" i="53"/>
  <c r="X431" i="53"/>
  <c r="X630" i="53"/>
  <c r="X152" i="53"/>
  <c r="X253" i="53"/>
  <c r="X1014" i="53"/>
  <c r="X429" i="53"/>
  <c r="X514" i="53"/>
  <c r="X49" i="53"/>
  <c r="X638" i="53"/>
  <c r="X835" i="53"/>
  <c r="X32" i="53"/>
  <c r="X780" i="53"/>
  <c r="X354" i="53"/>
  <c r="X647" i="53"/>
  <c r="X175" i="53"/>
  <c r="X217" i="53"/>
  <c r="X494" i="53"/>
  <c r="X879" i="53"/>
  <c r="X9" i="53"/>
  <c r="X705" i="53"/>
  <c r="X531" i="53"/>
  <c r="X237" i="53"/>
  <c r="X776" i="53"/>
  <c r="X395" i="53"/>
  <c r="X679" i="53"/>
  <c r="X819" i="53"/>
  <c r="X232" i="53"/>
  <c r="X906" i="53"/>
  <c r="X860" i="53"/>
  <c r="X1062" i="53"/>
  <c r="X721" i="53"/>
  <c r="X274" i="53"/>
  <c r="X176" i="53"/>
  <c r="X359" i="53"/>
  <c r="X472" i="53"/>
  <c r="X964" i="53"/>
  <c r="X116" i="53"/>
  <c r="X1079" i="53"/>
  <c r="X966" i="53"/>
  <c r="X728" i="53"/>
  <c r="X586" i="53"/>
  <c r="X262" i="53"/>
  <c r="X228" i="53"/>
  <c r="X684" i="53"/>
  <c r="X855" i="53"/>
  <c r="X325" i="53"/>
  <c r="X1045" i="53"/>
  <c r="X670" i="53"/>
  <c r="X681" i="53"/>
  <c r="X877" i="53"/>
  <c r="X1043" i="53"/>
  <c r="X93" i="53"/>
  <c r="X544" i="53"/>
  <c r="X201" i="53"/>
  <c r="X385" i="53"/>
  <c r="X662" i="53"/>
  <c r="X968" i="53"/>
  <c r="X620" i="53"/>
  <c r="X64" i="53"/>
  <c r="X572" i="53"/>
  <c r="X363" i="53"/>
  <c r="X641" i="53"/>
  <c r="X36" i="53"/>
  <c r="X43" i="53"/>
  <c r="X974" i="53"/>
  <c r="X658" i="53"/>
  <c r="X181" i="53"/>
  <c r="X672" i="53"/>
  <c r="X508" i="53"/>
  <c r="X585" i="53"/>
  <c r="X511" i="53"/>
  <c r="X979" i="53"/>
  <c r="X825" i="53"/>
  <c r="X828" i="53"/>
  <c r="X1098" i="53"/>
  <c r="X345" i="53"/>
  <c r="X905" i="53"/>
  <c r="X804" i="53"/>
  <c r="X779" i="53"/>
  <c r="X948" i="53"/>
  <c r="X768" i="53"/>
  <c r="X74" i="53"/>
  <c r="X367" i="53"/>
  <c r="X910" i="53"/>
  <c r="X330" i="53"/>
  <c r="AI428" i="53"/>
  <c r="X733" i="53"/>
  <c r="X396" i="53"/>
  <c r="X749" i="53"/>
  <c r="X131" i="53"/>
  <c r="X909" i="53"/>
  <c r="X1027" i="53"/>
  <c r="X722" i="53"/>
  <c r="X571" i="53"/>
  <c r="X885" i="53"/>
  <c r="X239" i="53"/>
  <c r="X698" i="53"/>
  <c r="X76" i="53"/>
  <c r="X436" i="53"/>
  <c r="X761" i="53"/>
  <c r="X257" i="53"/>
  <c r="X454" i="53"/>
  <c r="X392" i="53"/>
  <c r="X871" i="53"/>
  <c r="X834" i="53"/>
  <c r="X165" i="53"/>
  <c r="X872" i="53"/>
  <c r="X242" i="53"/>
  <c r="X236" i="53"/>
  <c r="X42" i="53"/>
  <c r="X594" i="53"/>
  <c r="X772" i="53"/>
  <c r="X787" i="53"/>
  <c r="X1001" i="53"/>
  <c r="X980" i="53"/>
  <c r="X873" i="53"/>
  <c r="X856" i="53"/>
  <c r="X890" i="53"/>
  <c r="X453" i="53"/>
  <c r="X421" i="53"/>
  <c r="X267" i="53"/>
  <c r="AS443" i="53"/>
  <c r="X530" i="53"/>
  <c r="X1035" i="53"/>
  <c r="X1023" i="53"/>
  <c r="X911" i="53"/>
  <c r="X44" i="53"/>
  <c r="X987" i="53"/>
  <c r="X808" i="53"/>
  <c r="X137" i="53"/>
  <c r="X961" i="53"/>
  <c r="X222" i="53"/>
  <c r="X692" i="53"/>
  <c r="X1010" i="53"/>
  <c r="X450" i="53"/>
  <c r="X520" i="53"/>
  <c r="X937" i="53"/>
  <c r="X88" i="53"/>
  <c r="X863" i="53"/>
  <c r="X211" i="53"/>
  <c r="AS983" i="53"/>
  <c r="X329" i="53"/>
  <c r="X991" i="53"/>
  <c r="X184" i="53"/>
  <c r="X220" i="53"/>
  <c r="X967" i="53"/>
  <c r="X48" i="53"/>
  <c r="X491" i="53"/>
  <c r="X182" i="53"/>
  <c r="X693" i="53"/>
  <c r="X731" i="53"/>
  <c r="X457" i="53"/>
  <c r="X440" i="53"/>
  <c r="X206" i="53"/>
  <c r="X923" i="53"/>
  <c r="X1033" i="53"/>
  <c r="X1049" i="53"/>
  <c r="X444" i="53"/>
  <c r="X1082" i="53"/>
  <c r="X309" i="53"/>
  <c r="X881" i="53"/>
  <c r="X660" i="53"/>
  <c r="X848" i="53"/>
  <c r="X41" i="53"/>
  <c r="X792" i="53"/>
  <c r="X141" i="53"/>
  <c r="X1077" i="53"/>
  <c r="X312" i="53"/>
  <c r="X597" i="53"/>
  <c r="X438" i="53"/>
  <c r="X117" i="53"/>
  <c r="X382" i="53"/>
  <c r="X271" i="53"/>
  <c r="X943" i="53"/>
  <c r="X46" i="53"/>
  <c r="X204" i="53"/>
  <c r="X813" i="53"/>
  <c r="X469" i="53"/>
  <c r="X471" i="53"/>
  <c r="X488" i="53"/>
  <c r="X373" i="53"/>
  <c r="X10" i="53"/>
  <c r="X343" i="53"/>
  <c r="X1086" i="53"/>
  <c r="X197" i="53"/>
  <c r="X215" i="53"/>
  <c r="X507" i="53"/>
  <c r="X723" i="53"/>
  <c r="X999" i="53"/>
  <c r="X451" i="53"/>
  <c r="X1013" i="53"/>
  <c r="X717" i="53"/>
  <c r="X880" i="53"/>
  <c r="X238" i="53"/>
  <c r="X674" i="53"/>
  <c r="X333" i="53"/>
  <c r="X178" i="53"/>
  <c r="X318" i="53"/>
  <c r="X1091" i="53"/>
  <c r="X390" i="53"/>
  <c r="X251" i="53"/>
  <c r="X297" i="53"/>
  <c r="X483" i="53"/>
  <c r="X759" i="53"/>
  <c r="X118" i="53"/>
  <c r="X829" i="53"/>
  <c r="X193" i="53"/>
  <c r="X868" i="53"/>
  <c r="X688" i="53"/>
  <c r="X712" i="53"/>
  <c r="X952" i="53"/>
  <c r="X179" i="53"/>
  <c r="X484" i="53"/>
  <c r="X713" i="53"/>
  <c r="X1015" i="53"/>
  <c r="X876" i="53"/>
  <c r="X770" i="53"/>
  <c r="X990" i="53"/>
  <c r="X762" i="53"/>
  <c r="X106" i="53"/>
  <c r="X836" i="53"/>
  <c r="X642" i="53"/>
  <c r="X219" i="53"/>
  <c r="X477" i="53"/>
  <c r="X25" i="53"/>
  <c r="X643" i="53"/>
  <c r="X256" i="53"/>
  <c r="X704" i="53"/>
  <c r="X574" i="53"/>
  <c r="X370" i="53"/>
  <c r="X758" i="53"/>
  <c r="X102" i="53"/>
  <c r="X505" i="53"/>
  <c r="X1029" i="53"/>
  <c r="X423" i="53"/>
  <c r="X523" i="53"/>
  <c r="X280" i="53"/>
  <c r="X842" i="53"/>
  <c r="X889" i="53"/>
  <c r="X1039" i="53"/>
  <c r="X616" i="53"/>
  <c r="X212" i="53"/>
  <c r="X849" i="53"/>
  <c r="X962" i="53"/>
  <c r="X398" i="53"/>
  <c r="X185" i="53"/>
  <c r="X799" i="53"/>
  <c r="X581" i="53"/>
  <c r="X645" i="53"/>
  <c r="X971" i="53"/>
  <c r="X611" i="53"/>
  <c r="X951" i="53"/>
  <c r="X171" i="53"/>
  <c r="X324" i="53"/>
  <c r="X870" i="53"/>
  <c r="X600" i="53"/>
  <c r="X989" i="53"/>
  <c r="X394" i="53"/>
  <c r="X617" i="53"/>
  <c r="X399" i="53"/>
  <c r="X1054" i="53"/>
  <c r="X240" i="53"/>
  <c r="X459" i="53"/>
  <c r="X625" i="53"/>
  <c r="X299" i="53"/>
  <c r="X286" i="53"/>
  <c r="X844" i="53"/>
  <c r="X618" i="53"/>
  <c r="X258" i="53"/>
  <c r="X854" i="53"/>
  <c r="X470" i="53"/>
  <c r="X832" i="53"/>
  <c r="X458" i="53"/>
  <c r="X417" i="53"/>
  <c r="X109" i="53"/>
  <c r="X541" i="53"/>
  <c r="X824" i="53"/>
  <c r="X1016" i="53"/>
  <c r="X51" i="53"/>
  <c r="X174" i="53"/>
  <c r="X289" i="53"/>
  <c r="X929" i="53"/>
  <c r="X527" i="53"/>
  <c r="X132" i="53"/>
  <c r="X279" i="53"/>
  <c r="X235" i="53"/>
  <c r="X559" i="53"/>
  <c r="X1092" i="53"/>
  <c r="X1088" i="53"/>
  <c r="X687" i="53"/>
  <c r="X156" i="53"/>
  <c r="X960" i="53"/>
  <c r="X619" i="53"/>
  <c r="X703" i="53"/>
  <c r="X28" i="53"/>
  <c r="X1031" i="53"/>
  <c r="X332" i="53"/>
  <c r="X534" i="53"/>
  <c r="X900" i="53"/>
  <c r="X798" i="53"/>
  <c r="X516" i="53"/>
  <c r="X560" i="53"/>
  <c r="X387" i="53"/>
  <c r="X7" i="53"/>
  <c r="X282" i="53"/>
  <c r="X562" i="53"/>
  <c r="X650" i="53"/>
  <c r="X695" i="53"/>
  <c r="X353" i="53"/>
  <c r="X263" i="53"/>
  <c r="X536" i="53"/>
  <c r="X8" i="53"/>
  <c r="X495" i="53"/>
  <c r="X410" i="53"/>
  <c r="X269" i="53"/>
  <c r="AS226" i="53"/>
  <c r="X479" i="53"/>
  <c r="X553" i="53"/>
  <c r="X548" i="53"/>
  <c r="X746" i="53"/>
  <c r="X605" i="53"/>
  <c r="X196" i="53"/>
  <c r="X468" i="53"/>
  <c r="X965" i="53"/>
  <c r="X1022" i="53"/>
  <c r="X162" i="53"/>
  <c r="X167" i="53"/>
  <c r="X580" i="53"/>
  <c r="X130" i="53"/>
  <c r="X313" i="53"/>
  <c r="X153" i="53"/>
  <c r="X291" i="53"/>
  <c r="X342" i="53"/>
  <c r="X689" i="53"/>
  <c r="X599" i="53"/>
  <c r="X415" i="53"/>
  <c r="X593" i="53"/>
  <c r="X1087" i="53"/>
  <c r="X886" i="53"/>
  <c r="X652" i="53"/>
  <c r="X401" i="53"/>
  <c r="X138" i="53"/>
  <c r="X661" i="53"/>
  <c r="X62" i="53"/>
  <c r="X986" i="53"/>
  <c r="X1059" i="53"/>
  <c r="X245" i="53"/>
  <c r="X1063" i="53"/>
  <c r="X567" i="53"/>
  <c r="X348" i="53"/>
  <c r="X300" i="53"/>
  <c r="X231" i="53"/>
  <c r="X261" i="53"/>
  <c r="X288" i="53"/>
  <c r="X958" i="53"/>
  <c r="X462" i="53"/>
  <c r="X225" i="53"/>
  <c r="X875" i="53"/>
  <c r="X506" i="53"/>
  <c r="X543" i="53"/>
  <c r="X33" i="53"/>
  <c r="X998" i="53"/>
  <c r="X682" i="53"/>
  <c r="X55" i="53"/>
  <c r="X449" i="53"/>
  <c r="X744" i="53"/>
  <c r="X654" i="53"/>
  <c r="X328" i="53"/>
  <c r="X632" i="53"/>
  <c r="X764" i="53"/>
  <c r="X701" i="53"/>
  <c r="X869" i="53"/>
  <c r="X517" i="53"/>
  <c r="X126" i="53"/>
  <c r="AS51" i="53"/>
  <c r="X234" i="53"/>
  <c r="X624" i="53"/>
  <c r="X626" i="53"/>
  <c r="X123" i="53"/>
  <c r="X542" i="53"/>
  <c r="X865" i="53"/>
  <c r="X320" i="53"/>
  <c r="X623" i="53"/>
  <c r="X919" i="53"/>
  <c r="AS1088" i="53"/>
  <c r="X595" i="53"/>
  <c r="X899" i="53"/>
  <c r="X448" i="53"/>
  <c r="X485" i="53"/>
  <c r="X266" i="53"/>
  <c r="X473" i="53"/>
  <c r="X247" i="53"/>
  <c r="X418" i="53"/>
  <c r="X17" i="53"/>
  <c r="X1048" i="53"/>
  <c r="X4" i="53"/>
  <c r="X112" i="53"/>
  <c r="X926" i="53"/>
  <c r="X790" i="53"/>
  <c r="X37" i="53"/>
  <c r="AI309" i="53"/>
  <c r="X551" i="53"/>
  <c r="X1006" i="53"/>
  <c r="X319" i="53"/>
  <c r="X903" i="53"/>
  <c r="X24" i="53"/>
  <c r="X203" i="53"/>
  <c r="X859" i="53"/>
  <c r="X294" i="53"/>
  <c r="X209" i="53"/>
  <c r="X793" i="53"/>
  <c r="X82" i="53"/>
  <c r="X576" i="53"/>
  <c r="X426" i="53"/>
  <c r="X634" i="53"/>
  <c r="X268" i="53"/>
  <c r="X610" i="53"/>
  <c r="X39" i="53"/>
  <c r="X671" i="53"/>
  <c r="X959" i="53"/>
  <c r="X501" i="53"/>
  <c r="X814" i="53"/>
  <c r="X806" i="53"/>
  <c r="X135" i="53"/>
  <c r="X199" i="53"/>
  <c r="X1032" i="53"/>
  <c r="X304" i="53"/>
  <c r="X584" i="53"/>
  <c r="X1036" i="53"/>
  <c r="X439" i="53"/>
  <c r="X384" i="53"/>
  <c r="X756" i="53"/>
  <c r="AS567" i="53"/>
  <c r="X550" i="53"/>
  <c r="AS348" i="53"/>
  <c r="X896" i="53"/>
  <c r="X816" i="53"/>
  <c r="X629" i="53"/>
  <c r="X847" i="53"/>
  <c r="X821" i="53"/>
  <c r="X532" i="53"/>
  <c r="X210" i="53"/>
  <c r="X21" i="53"/>
  <c r="X456" i="53"/>
  <c r="X303" i="53"/>
  <c r="X677" i="53"/>
  <c r="X665" i="53"/>
  <c r="X898" i="53"/>
  <c r="X1026" i="53"/>
  <c r="X420" i="53"/>
  <c r="X360" i="53"/>
  <c r="X796" i="53"/>
  <c r="X742" i="53"/>
  <c r="X874" i="53"/>
  <c r="X997" i="53"/>
  <c r="X1024" i="53"/>
  <c r="X901" i="53"/>
  <c r="X321" i="53"/>
  <c r="X826" i="53"/>
  <c r="X558" i="53"/>
  <c r="X264" i="53"/>
  <c r="X414" i="53"/>
  <c r="X639" i="53"/>
  <c r="X427" i="53"/>
  <c r="X407" i="53"/>
  <c r="X432" i="53"/>
  <c r="X725" i="53"/>
  <c r="X774" i="53"/>
  <c r="X1005" i="53"/>
  <c r="X1008" i="53"/>
  <c r="X1034" i="53"/>
  <c r="X1095" i="53"/>
  <c r="X802" i="53"/>
  <c r="X443" i="53"/>
  <c r="X931" i="53"/>
  <c r="X775" i="53"/>
  <c r="X105" i="53"/>
  <c r="AI901" i="53"/>
  <c r="X351" i="53"/>
  <c r="X86" i="53"/>
  <c r="X362" i="53"/>
  <c r="X326" i="53"/>
  <c r="X357" i="53"/>
  <c r="X913" i="53"/>
  <c r="X503" i="53"/>
  <c r="X866" i="53"/>
  <c r="X709" i="53"/>
  <c r="X729" i="53"/>
  <c r="X275" i="53"/>
  <c r="X737" i="53"/>
  <c r="X284" i="53"/>
  <c r="X502" i="53"/>
  <c r="X1097" i="53"/>
  <c r="X492" i="53"/>
  <c r="X568" i="53"/>
  <c r="X493" i="53"/>
  <c r="X752" i="53"/>
  <c r="X57" i="53"/>
  <c r="X1070" i="53"/>
  <c r="X230" i="53"/>
  <c r="X740" i="53"/>
  <c r="X524" i="53"/>
  <c r="X136" i="53"/>
  <c r="X1100" i="53"/>
  <c r="X159" i="53"/>
  <c r="X803" i="53"/>
  <c r="X85" i="53"/>
  <c r="X575" i="53"/>
  <c r="X884" i="53"/>
  <c r="X99" i="53"/>
  <c r="X669" i="53"/>
  <c r="X412" i="53"/>
  <c r="X573" i="53"/>
  <c r="X945" i="53"/>
  <c r="X437" i="53"/>
  <c r="X498" i="53"/>
  <c r="X140" i="53"/>
  <c r="X846" i="53"/>
  <c r="X993" i="53"/>
  <c r="X403" i="53"/>
  <c r="X380" i="53"/>
  <c r="X897" i="53"/>
  <c r="X938" i="53"/>
  <c r="X164" i="53"/>
  <c r="X789" i="53"/>
  <c r="X561" i="53"/>
  <c r="X307" i="53"/>
  <c r="X538" i="53"/>
  <c r="X95" i="53"/>
  <c r="X187" i="53"/>
  <c r="X1065" i="53"/>
  <c r="X554" i="53"/>
  <c r="X198" i="53"/>
  <c r="X124" i="53"/>
  <c r="X377" i="53"/>
  <c r="X72" i="53"/>
  <c r="X555" i="53"/>
  <c r="X369" i="53"/>
  <c r="X621" i="53"/>
  <c r="X1102" i="53"/>
  <c r="X673" i="53"/>
  <c r="X45" i="53"/>
  <c r="X50" i="53"/>
  <c r="X522" i="53"/>
  <c r="X344" i="53"/>
  <c r="X983" i="53"/>
  <c r="X430" i="53"/>
  <c r="X207" i="53"/>
  <c r="X1068" i="53"/>
  <c r="X785" i="53"/>
  <c r="AI274" i="53"/>
  <c r="AI320" i="53"/>
  <c r="X738" i="53"/>
  <c r="X918" i="53"/>
  <c r="X606" i="53"/>
  <c r="X604" i="53"/>
  <c r="X827" i="53"/>
  <c r="X996" i="53"/>
  <c r="X726" i="53"/>
  <c r="X317" i="53"/>
  <c r="X349" i="53"/>
  <c r="X361" i="53"/>
  <c r="X512" i="53"/>
  <c r="X104" i="53"/>
  <c r="X525" i="53"/>
  <c r="X830" i="53"/>
  <c r="X98" i="53"/>
  <c r="X97" i="53"/>
  <c r="X273" i="53"/>
  <c r="X1076" i="53"/>
  <c r="X1044" i="53"/>
  <c r="X653" i="53"/>
  <c r="X781" i="53"/>
  <c r="X290" i="53"/>
  <c r="AS230" i="53"/>
  <c r="X564" i="53"/>
  <c r="X1057" i="53"/>
  <c r="X895" i="53"/>
  <c r="X1061" i="53"/>
  <c r="X862" i="53"/>
  <c r="X607" i="53"/>
  <c r="X883" i="53"/>
  <c r="X1089" i="53"/>
  <c r="X71" i="53"/>
  <c r="X633" i="53"/>
  <c r="X87" i="53"/>
  <c r="X134" i="53"/>
  <c r="X686" i="53"/>
  <c r="X582" i="53"/>
  <c r="X1073" i="53"/>
  <c r="X467" i="53"/>
  <c r="X981" i="53"/>
  <c r="X809" i="53"/>
  <c r="X52" i="53"/>
  <c r="X656" i="53"/>
  <c r="X1096" i="53"/>
  <c r="X646" i="53"/>
  <c r="X963" i="53"/>
  <c r="X259" i="53"/>
  <c r="X496" i="53"/>
  <c r="X736" i="53"/>
  <c r="AS993" i="53"/>
  <c r="X314" i="53"/>
  <c r="X927" i="53"/>
  <c r="X724" i="53"/>
  <c r="X778" i="53"/>
  <c r="X730" i="53"/>
  <c r="X833" i="53"/>
  <c r="X368" i="53"/>
  <c r="X1047" i="53"/>
  <c r="X163" i="53"/>
  <c r="X831" i="53"/>
  <c r="X374" i="53"/>
  <c r="X707" i="53"/>
  <c r="X685" i="53"/>
  <c r="X486" i="53"/>
  <c r="X708" i="53"/>
  <c r="X202" i="53"/>
  <c r="X58" i="53"/>
  <c r="X807" i="53"/>
  <c r="X81" i="53"/>
  <c r="X322" i="53"/>
  <c r="X188" i="53"/>
  <c r="X590" i="53"/>
  <c r="X331" i="53"/>
  <c r="X714" i="53"/>
  <c r="X31" i="53"/>
  <c r="X753" i="53"/>
  <c r="X47" i="53"/>
  <c r="X840" i="53"/>
  <c r="X763" i="53"/>
  <c r="X928" i="53"/>
  <c r="X596" i="53"/>
  <c r="X570" i="53"/>
  <c r="X285" i="53"/>
  <c r="X529" i="53"/>
  <c r="X932" i="53"/>
  <c r="X339" i="53"/>
  <c r="X393" i="53"/>
  <c r="X27" i="53"/>
  <c r="X487" i="53"/>
  <c r="X148" i="53"/>
  <c r="X1093" i="53"/>
  <c r="X955" i="53"/>
  <c r="X397" i="53"/>
  <c r="X696" i="53"/>
  <c r="X15" i="53"/>
  <c r="X887" i="53"/>
  <c r="X777" i="53"/>
  <c r="X63" i="53"/>
  <c r="X428" i="53"/>
  <c r="X404" i="53"/>
  <c r="X334" i="53"/>
  <c r="X408" i="53"/>
  <c r="X283" i="53"/>
  <c r="X419" i="53"/>
  <c r="X250" i="53"/>
  <c r="X613" i="53"/>
  <c r="X1075" i="53"/>
  <c r="X655" i="53"/>
  <c r="X79" i="53"/>
  <c r="X1037" i="53"/>
  <c r="X402" i="53"/>
  <c r="AS963" i="53"/>
  <c r="X1046" i="53"/>
  <c r="X1084" i="53"/>
  <c r="X720" i="53"/>
  <c r="X699" i="53"/>
  <c r="X644" i="53"/>
  <c r="X773" i="53"/>
  <c r="X107" i="53"/>
  <c r="X77" i="53"/>
  <c r="X298" i="53"/>
  <c r="X356" i="53"/>
  <c r="X601" i="53"/>
  <c r="X691" i="53"/>
  <c r="X795" i="53"/>
  <c r="X603" i="53"/>
  <c r="X337" i="53"/>
  <c r="X16" i="53"/>
  <c r="X213" i="53"/>
  <c r="X797" i="53"/>
  <c r="X214" i="53"/>
  <c r="X20" i="53"/>
  <c r="X1009" i="53"/>
  <c r="X30" i="53"/>
  <c r="X739" i="53"/>
  <c r="X504" i="53"/>
  <c r="X1038" i="53"/>
  <c r="X69" i="53"/>
  <c r="X820" i="53"/>
  <c r="AI382" i="53"/>
  <c r="X316" i="53"/>
  <c r="X697" i="53"/>
  <c r="X338" i="53"/>
  <c r="X352" i="53"/>
  <c r="X556" i="53"/>
  <c r="X706" i="53"/>
  <c r="X583" i="53"/>
  <c r="X422" i="53"/>
  <c r="X975" i="53"/>
  <c r="X817" i="53"/>
  <c r="X161" i="53"/>
  <c r="X794" i="53"/>
  <c r="X784" i="53"/>
  <c r="X1053" i="53"/>
  <c r="X1060" i="53"/>
  <c r="X146" i="53"/>
  <c r="X771" i="53"/>
  <c r="X915" i="53"/>
  <c r="X66" i="53"/>
  <c r="X675" i="53"/>
  <c r="X719" i="53"/>
  <c r="X281" i="53"/>
  <c r="X1072" i="53"/>
  <c r="X539" i="53"/>
  <c r="X480" i="53"/>
  <c r="X478" i="53"/>
  <c r="X636" i="53"/>
  <c r="X278" i="53"/>
  <c r="X376" i="53"/>
  <c r="X612" i="53"/>
  <c r="X1028" i="53"/>
  <c r="X143" i="53"/>
  <c r="X1074" i="53"/>
  <c r="X668" i="53"/>
  <c r="X388" i="53"/>
  <c r="X254" i="53"/>
  <c r="X100" i="53"/>
  <c r="X622" i="53"/>
  <c r="X168" i="53"/>
  <c r="X812" i="53"/>
  <c r="X637" i="53"/>
  <c r="X947" i="53"/>
  <c r="X110" i="53"/>
  <c r="X108" i="53"/>
  <c r="X358" i="53"/>
  <c r="X22" i="53"/>
  <c r="X315" i="53"/>
  <c r="X839" i="53"/>
  <c r="X190" i="53"/>
  <c r="X464" i="53"/>
  <c r="X1080" i="53"/>
  <c r="X1020" i="53"/>
  <c r="X500" i="53"/>
  <c r="X648" i="53"/>
  <c r="X549" i="53"/>
  <c r="X364" i="53"/>
  <c r="X195" i="53"/>
  <c r="X378" i="53"/>
  <c r="X243" i="53"/>
  <c r="X627" i="53"/>
  <c r="X409" i="53"/>
  <c r="X747" i="53"/>
  <c r="X741" i="53"/>
  <c r="X35" i="53"/>
  <c r="X1000" i="53"/>
  <c r="X767" i="53"/>
  <c r="X29" i="53"/>
  <c r="X995" i="53"/>
  <c r="AI602" i="53"/>
  <c r="AI1032" i="53"/>
  <c r="X341" i="53"/>
  <c r="X336" i="53"/>
  <c r="X221" i="53"/>
  <c r="X815" i="53"/>
  <c r="X1051" i="53"/>
  <c r="X509" i="53"/>
  <c r="X490" i="53"/>
  <c r="X192" i="53"/>
  <c r="X1018" i="53"/>
  <c r="X864" i="53"/>
  <c r="X379" i="53"/>
  <c r="X715" i="53"/>
  <c r="X1007" i="53"/>
  <c r="X272" i="53"/>
  <c r="X452" i="53"/>
  <c r="X302" i="53"/>
  <c r="X734" i="53"/>
  <c r="X535" i="53"/>
  <c r="X577" i="53"/>
  <c r="X649" i="53"/>
  <c r="X587" i="53"/>
  <c r="X447" i="53"/>
  <c r="X127" i="53"/>
  <c r="X547" i="53"/>
  <c r="X526" i="53"/>
  <c r="X716" i="53"/>
  <c r="X372" i="53"/>
  <c r="X1030" i="53"/>
  <c r="X310" i="53"/>
  <c r="X608" i="53"/>
  <c r="X837" i="53"/>
  <c r="X223" i="53"/>
  <c r="X53" i="53"/>
  <c r="X383" i="53"/>
  <c r="X769" i="53"/>
  <c r="X754" i="53"/>
  <c r="X867" i="53"/>
  <c r="X1012" i="53"/>
  <c r="X1067" i="53"/>
  <c r="X455" i="53"/>
  <c r="X1041" i="53"/>
  <c r="X413" i="53"/>
  <c r="X371" i="53"/>
  <c r="X441" i="53"/>
  <c r="X569" i="53"/>
  <c r="X732" i="53"/>
  <c r="X80" i="53"/>
  <c r="X615" i="53"/>
  <c r="X248" i="53"/>
  <c r="X810" i="53"/>
  <c r="X482" i="53"/>
  <c r="X925" i="53"/>
  <c r="X1017" i="53"/>
  <c r="X882" i="53"/>
  <c r="X1090" i="53"/>
  <c r="X588" i="53"/>
  <c r="X946" i="53"/>
  <c r="X23" i="53"/>
  <c r="X70" i="53"/>
  <c r="X191" i="53"/>
  <c r="X750" i="53"/>
  <c r="X121" i="53"/>
  <c r="X1056" i="53"/>
  <c r="X519" i="53"/>
  <c r="X56" i="53"/>
  <c r="X702" i="53"/>
  <c r="X103" i="53"/>
  <c r="X499" i="53"/>
  <c r="AI1081" i="53"/>
  <c r="AI693" i="53"/>
  <c r="AI514" i="53"/>
  <c r="X941" i="53"/>
  <c r="X805" i="53"/>
  <c r="X589" i="53"/>
  <c r="X306" i="53"/>
  <c r="X822" i="53"/>
  <c r="X666" i="53"/>
  <c r="X711" i="53"/>
  <c r="X157" i="53"/>
  <c r="X340" i="53"/>
  <c r="X296" i="53"/>
  <c r="X18" i="53"/>
  <c r="X255" i="53"/>
  <c r="X935" i="53"/>
  <c r="X125" i="53"/>
  <c r="X954" i="53"/>
  <c r="X891" i="53"/>
  <c r="X1103" i="53"/>
  <c r="X180" i="53"/>
  <c r="AS577" i="53"/>
  <c r="X173" i="53"/>
  <c r="X1021" i="53"/>
  <c r="X189" i="53"/>
  <c r="X921" i="53"/>
  <c r="X1052" i="53"/>
  <c r="X122" i="53"/>
  <c r="X640" i="53"/>
  <c r="X65" i="53"/>
  <c r="X970" i="53"/>
  <c r="X791" i="53"/>
  <c r="X969" i="53"/>
  <c r="X936" i="53"/>
  <c r="X1050" i="53"/>
  <c r="X144" i="53"/>
  <c r="X445" i="53"/>
  <c r="X216" i="53"/>
  <c r="X818" i="53"/>
  <c r="X169" i="53"/>
  <c r="X566" i="53"/>
  <c r="X861" i="53"/>
  <c r="X1104" i="53"/>
  <c r="X823" i="53"/>
  <c r="X552" i="53"/>
  <c r="X311" i="53"/>
  <c r="X1002" i="53"/>
  <c r="X1042" i="53"/>
  <c r="X766" i="53"/>
  <c r="X533" i="53"/>
  <c r="X67" i="53"/>
  <c r="X183" i="53"/>
  <c r="X565" i="53"/>
  <c r="X578" i="53"/>
  <c r="X811" i="53"/>
  <c r="X735" i="53"/>
  <c r="X177" i="53"/>
  <c r="X208" i="53"/>
  <c r="X277" i="53"/>
  <c r="X54" i="53"/>
  <c r="X1099" i="53"/>
  <c r="X888" i="53"/>
  <c r="X1019" i="53"/>
  <c r="X83" i="53"/>
  <c r="X852" i="53"/>
  <c r="X227" i="53"/>
  <c r="X949" i="53"/>
  <c r="X61" i="53"/>
  <c r="X26" i="53"/>
  <c r="AI609" i="53"/>
  <c r="AS688" i="53"/>
  <c r="AS984" i="53"/>
  <c r="AS893" i="53"/>
  <c r="AI456" i="53"/>
  <c r="AI789" i="53"/>
  <c r="AI414" i="53"/>
  <c r="AS1085" i="53"/>
  <c r="AI849" i="53"/>
  <c r="AS265" i="53"/>
  <c r="AS855" i="53"/>
  <c r="AI1047" i="53"/>
  <c r="AS1102" i="53"/>
  <c r="AS801" i="53"/>
  <c r="AS931" i="53"/>
  <c r="AI801" i="53"/>
  <c r="AS685" i="53"/>
  <c r="AS1013" i="53"/>
  <c r="AI648" i="53"/>
  <c r="AI1063" i="53"/>
  <c r="AI1102" i="53"/>
  <c r="AS849" i="53"/>
  <c r="AI265" i="53"/>
  <c r="AI954" i="53"/>
  <c r="AI867" i="53"/>
  <c r="AI855" i="53"/>
  <c r="AI598" i="53"/>
  <c r="AS479" i="53"/>
  <c r="AS1063" i="53"/>
  <c r="AS744" i="53"/>
  <c r="AS869" i="53"/>
  <c r="AS542" i="53"/>
  <c r="AS865" i="53"/>
  <c r="AS520" i="53"/>
  <c r="AS667" i="53"/>
  <c r="AS456" i="53"/>
  <c r="AS414" i="53"/>
  <c r="AI1013" i="53"/>
  <c r="AI1073" i="53"/>
  <c r="AI520" i="53"/>
  <c r="AI667" i="53"/>
  <c r="AS493" i="53"/>
  <c r="AS412" i="53"/>
  <c r="AS789" i="53"/>
  <c r="AS361" i="53"/>
  <c r="AS1073" i="53"/>
  <c r="AS1047" i="53"/>
  <c r="AI255" i="53"/>
  <c r="AS648" i="53"/>
  <c r="AI744" i="53"/>
  <c r="AI649" i="53"/>
  <c r="AI455" i="53"/>
  <c r="AS404" i="53"/>
  <c r="AI685" i="53"/>
  <c r="AI361" i="53"/>
  <c r="AI931" i="53"/>
  <c r="AI404" i="53"/>
  <c r="AS649" i="53"/>
  <c r="AS867" i="53"/>
  <c r="AS455" i="53"/>
  <c r="AI195" i="53"/>
  <c r="AD3" i="53"/>
  <c r="AS353" i="53"/>
  <c r="AI678" i="53"/>
  <c r="AS241" i="53"/>
  <c r="AS762" i="53"/>
  <c r="AS793" i="53"/>
  <c r="AI228" i="53"/>
  <c r="AI544" i="53"/>
  <c r="AI593" i="53"/>
  <c r="AI588" i="53"/>
  <c r="AI253" i="53"/>
  <c r="AS529" i="53"/>
  <c r="AS487" i="53"/>
  <c r="AI70" i="53"/>
  <c r="AI989" i="53"/>
  <c r="AI773" i="53"/>
  <c r="AI79" i="53"/>
  <c r="AI783" i="53"/>
  <c r="AS633" i="53"/>
  <c r="AS61" i="53"/>
  <c r="AS373" i="53"/>
  <c r="AI245" i="53"/>
  <c r="AI1087" i="53"/>
  <c r="AI750" i="53"/>
  <c r="AS257" i="53"/>
  <c r="AS678" i="53"/>
  <c r="AS131" i="53"/>
  <c r="AS722" i="53"/>
  <c r="AS885" i="53"/>
  <c r="AS772" i="53"/>
  <c r="AS923" i="53"/>
  <c r="AI131" i="53"/>
  <c r="AI30" i="53"/>
  <c r="AS228" i="53"/>
  <c r="AI257" i="53"/>
  <c r="AS48" i="53"/>
  <c r="AS617" i="53"/>
  <c r="AS471" i="53"/>
  <c r="AS488" i="53"/>
  <c r="AI1060" i="53"/>
  <c r="AI731" i="53"/>
  <c r="AS547" i="53"/>
  <c r="AS272" i="53"/>
  <c r="AS599" i="53"/>
  <c r="AS574" i="53"/>
  <c r="AS842" i="53"/>
  <c r="AS600" i="53"/>
  <c r="AI574" i="53"/>
  <c r="AI166" i="53"/>
  <c r="AI978" i="53"/>
  <c r="AI48" i="53"/>
  <c r="AI885" i="53"/>
  <c r="AI547" i="53"/>
  <c r="AS106" i="53"/>
  <c r="AS746" i="53"/>
  <c r="AS1087" i="53"/>
  <c r="AS448" i="53"/>
  <c r="AI794" i="53"/>
  <c r="AI736" i="53"/>
  <c r="AI600" i="53"/>
  <c r="AI488" i="53"/>
  <c r="AI513" i="53"/>
  <c r="AI515" i="53"/>
  <c r="AS990" i="53"/>
  <c r="AI241" i="53"/>
  <c r="AI762" i="53"/>
  <c r="AS892" i="53"/>
  <c r="AS85" i="53"/>
  <c r="AI355" i="53"/>
  <c r="AI772" i="53"/>
  <c r="AI272" i="53"/>
  <c r="AS111" i="53"/>
  <c r="AI990" i="53"/>
  <c r="AS267" i="53"/>
  <c r="AS1005" i="53"/>
  <c r="AS830" i="53"/>
  <c r="AS781" i="53"/>
  <c r="AS809" i="53"/>
  <c r="AI599" i="53"/>
  <c r="AI1040" i="53"/>
  <c r="AI106" i="53"/>
  <c r="AI557" i="53"/>
  <c r="AI168" i="53"/>
  <c r="AI111" i="53"/>
  <c r="AI267" i="53"/>
  <c r="AI1005" i="53"/>
  <c r="AS613" i="53"/>
  <c r="AS30" i="53"/>
  <c r="AI905" i="53"/>
  <c r="AS275" i="53"/>
  <c r="AS978" i="53"/>
  <c r="X1105" i="53"/>
  <c r="AS1060" i="53"/>
  <c r="AS168" i="53"/>
  <c r="AI498" i="53"/>
  <c r="AS736" i="53"/>
  <c r="AS750" i="53"/>
  <c r="AI124" i="53"/>
  <c r="AI684" i="53"/>
  <c r="AI617" i="53"/>
  <c r="AI892" i="53"/>
  <c r="AS822" i="53"/>
  <c r="AS1103" i="53"/>
  <c r="AI781" i="53"/>
  <c r="AI746" i="53"/>
  <c r="AI825" i="53"/>
  <c r="AI614" i="53"/>
  <c r="AS245" i="53"/>
  <c r="AS273" i="53"/>
  <c r="AS557" i="53"/>
  <c r="AS166" i="53"/>
  <c r="AI793" i="53"/>
  <c r="AI291" i="53"/>
  <c r="AI842" i="53"/>
  <c r="AI85" i="53"/>
  <c r="AI273" i="53"/>
  <c r="AS707" i="53"/>
  <c r="AS973" i="53"/>
  <c r="AS355" i="53"/>
  <c r="AI973" i="53"/>
  <c r="AI774" i="53"/>
  <c r="AI275" i="53"/>
  <c r="AI471" i="53"/>
  <c r="AI55" i="53"/>
  <c r="AI222" i="53"/>
  <c r="AS291" i="53"/>
  <c r="AS735" i="53"/>
  <c r="AS614" i="53"/>
  <c r="AI1103" i="53"/>
  <c r="AI448" i="53"/>
  <c r="AI830" i="53"/>
  <c r="AI923" i="53"/>
  <c r="AI722" i="53"/>
  <c r="AI735" i="53"/>
  <c r="AS509" i="53"/>
  <c r="AS684" i="53"/>
  <c r="AS905" i="53"/>
  <c r="AS59" i="53"/>
  <c r="AS79" i="53"/>
  <c r="AS773" i="53"/>
  <c r="AI32" i="53"/>
  <c r="AS417" i="53"/>
  <c r="AS299" i="53"/>
  <c r="AI244" i="53"/>
  <c r="AS196" i="53"/>
  <c r="AS167" i="53"/>
  <c r="AS130" i="53"/>
  <c r="AS543" i="53"/>
  <c r="AS449" i="53"/>
  <c r="AS724" i="53"/>
  <c r="AS833" i="53"/>
  <c r="AS1030" i="53"/>
  <c r="AS177" i="53"/>
  <c r="AS596" i="53"/>
  <c r="AS356" i="53"/>
  <c r="AI1030" i="53"/>
  <c r="AS380" i="53"/>
  <c r="AS146" i="53"/>
  <c r="AS66" i="53"/>
  <c r="AS358" i="53"/>
  <c r="AI380" i="53"/>
  <c r="AS1007" i="53"/>
  <c r="AS67" i="53"/>
  <c r="AS375" i="53"/>
  <c r="AI497" i="53"/>
  <c r="AI927" i="53"/>
  <c r="AS1015" i="53"/>
  <c r="AI96" i="53"/>
  <c r="AS776" i="53"/>
  <c r="AS395" i="53"/>
  <c r="AS262" i="53"/>
  <c r="AS201" i="53"/>
  <c r="AI299" i="53"/>
  <c r="AS263" i="53"/>
  <c r="AS835" i="53"/>
  <c r="AS37" i="53"/>
  <c r="AS354" i="53"/>
  <c r="AS40" i="53"/>
  <c r="AS495" i="53"/>
  <c r="AS785" i="53"/>
  <c r="AS962" i="53"/>
  <c r="AI263" i="53"/>
  <c r="AI835" i="53"/>
  <c r="AS571" i="53"/>
  <c r="AS911" i="53"/>
  <c r="AS919" i="53"/>
  <c r="AS550" i="53"/>
  <c r="AS938" i="53"/>
  <c r="AS994" i="53"/>
  <c r="AS710" i="53"/>
  <c r="AS817" i="53"/>
  <c r="AS376" i="53"/>
  <c r="AS302" i="53"/>
  <c r="AS446" i="53"/>
  <c r="AS172" i="53"/>
  <c r="AS914" i="53"/>
  <c r="AS546" i="53"/>
  <c r="AS944" i="53"/>
  <c r="AI37" i="53"/>
  <c r="AI1049" i="53"/>
  <c r="AS881" i="53"/>
  <c r="AI590" i="53"/>
  <c r="AS770" i="53"/>
  <c r="AS171" i="53"/>
  <c r="AS83" i="53"/>
  <c r="AS760" i="53"/>
  <c r="AI638" i="53"/>
  <c r="AS74" i="53"/>
  <c r="AS9" i="53"/>
  <c r="AS877" i="53"/>
  <c r="AS1008" i="53"/>
  <c r="AS387" i="53"/>
  <c r="AS790" i="53"/>
  <c r="AS504" i="53"/>
  <c r="AS497" i="53"/>
  <c r="AS508" i="53"/>
  <c r="AI777" i="53"/>
  <c r="AI290" i="53"/>
  <c r="AI898" i="53"/>
  <c r="AI193" i="53"/>
  <c r="AI970" i="53"/>
  <c r="AI535" i="53"/>
  <c r="AS898" i="53"/>
  <c r="AI1031" i="53"/>
  <c r="AI751" i="53"/>
  <c r="AI997" i="53"/>
  <c r="AI523" i="53"/>
  <c r="AI214" i="53"/>
  <c r="AI232" i="53"/>
  <c r="AI469" i="53"/>
  <c r="AI202" i="53"/>
  <c r="AI633" i="53"/>
  <c r="AI584" i="53"/>
  <c r="AI496" i="53"/>
  <c r="AI510" i="53"/>
  <c r="AS1045" i="53"/>
  <c r="AS253" i="53"/>
  <c r="AS195" i="53"/>
  <c r="AS883" i="53"/>
  <c r="AS927" i="53"/>
  <c r="AS823" i="53"/>
  <c r="AS365" i="53"/>
  <c r="AS485" i="53"/>
  <c r="AS947" i="53"/>
  <c r="AS608" i="53"/>
  <c r="AS946" i="53"/>
  <c r="AS1083" i="53"/>
  <c r="AS38" i="53"/>
  <c r="AS917" i="53"/>
  <c r="AS391" i="53"/>
  <c r="AS536" i="53"/>
  <c r="AI364" i="53"/>
  <c r="AI719" i="53"/>
  <c r="AI681" i="53"/>
  <c r="AI34" i="53"/>
  <c r="AI390" i="53"/>
  <c r="AI341" i="53"/>
  <c r="AI332" i="53"/>
  <c r="AS929" i="53"/>
  <c r="AS193" i="53"/>
  <c r="AI491" i="53"/>
  <c r="AS537" i="53"/>
  <c r="AI259" i="53"/>
  <c r="AS78" i="53"/>
  <c r="AS758" i="53"/>
  <c r="AS280" i="53"/>
  <c r="AS398" i="53"/>
  <c r="AS870" i="53"/>
  <c r="AS258" i="53"/>
  <c r="AS1092" i="53"/>
  <c r="AI511" i="53"/>
  <c r="AI627" i="53"/>
  <c r="AI979" i="53"/>
  <c r="AS522" i="53"/>
  <c r="AI23" i="53"/>
  <c r="AI958" i="53"/>
  <c r="AI692" i="53"/>
  <c r="AI408" i="53"/>
  <c r="AI533" i="53"/>
  <c r="AI398" i="53"/>
  <c r="AI204" i="53"/>
  <c r="AI702" i="53"/>
  <c r="AI857" i="53"/>
  <c r="AI564" i="53"/>
  <c r="AS421" i="53"/>
  <c r="AS882" i="53"/>
  <c r="AS219" i="53"/>
  <c r="AS438" i="53"/>
  <c r="AS1086" i="53"/>
  <c r="AI858" i="53"/>
  <c r="AI438" i="53"/>
  <c r="AI1074" i="53"/>
  <c r="AI889" i="53"/>
  <c r="AS715" i="53"/>
  <c r="AI882" i="53"/>
  <c r="AS889" i="53"/>
  <c r="AS907" i="53"/>
  <c r="AI285" i="53"/>
  <c r="AI805" i="53"/>
  <c r="AI219" i="53"/>
  <c r="AI715" i="53"/>
  <c r="AS328" i="53"/>
  <c r="AI209" i="53"/>
  <c r="AS209" i="53"/>
  <c r="AS672" i="53"/>
  <c r="AS203" i="53"/>
  <c r="AS532" i="53"/>
  <c r="AI125" i="53"/>
  <c r="AI894" i="53"/>
  <c r="AI672" i="53"/>
  <c r="AI22" i="53"/>
  <c r="AI352" i="53"/>
  <c r="AI532" i="53"/>
  <c r="AS748" i="53"/>
  <c r="AS347" i="53"/>
  <c r="AI1086" i="53"/>
  <c r="AS104" i="53"/>
  <c r="AS486" i="53"/>
  <c r="AI236" i="53"/>
  <c r="AI347" i="53"/>
  <c r="AS285" i="53"/>
  <c r="AI203" i="53"/>
  <c r="AI328" i="53"/>
  <c r="AI1046" i="53"/>
  <c r="AS695" i="53"/>
  <c r="AS1046" i="53"/>
  <c r="AS352" i="53"/>
  <c r="AS161" i="53"/>
  <c r="AS1074" i="53"/>
  <c r="AS22" i="53"/>
  <c r="AI104" i="53"/>
  <c r="AI161" i="53"/>
  <c r="AI1067" i="53"/>
  <c r="AI695" i="53"/>
  <c r="AS1090" i="53"/>
  <c r="AS481" i="53"/>
  <c r="AS858" i="53"/>
  <c r="AI845" i="53"/>
  <c r="AI421" i="53"/>
  <c r="AS788" i="53"/>
  <c r="AS857" i="53"/>
  <c r="AS845" i="53"/>
  <c r="AI788" i="53"/>
  <c r="AS814" i="53"/>
  <c r="AS894" i="53"/>
  <c r="AI1090" i="53"/>
  <c r="AI907" i="53"/>
  <c r="AI814" i="53"/>
  <c r="AS1067" i="53"/>
  <c r="AS879" i="53"/>
  <c r="AI305" i="53"/>
  <c r="AI486" i="53"/>
  <c r="AS545" i="53"/>
  <c r="AS527" i="53"/>
  <c r="AS156" i="53"/>
  <c r="AI748" i="53"/>
  <c r="AI967" i="53"/>
  <c r="AI545" i="53"/>
  <c r="AI527" i="53"/>
  <c r="AS564" i="53"/>
  <c r="AI156" i="53"/>
  <c r="AS305" i="53"/>
  <c r="AS236" i="53"/>
  <c r="AS808" i="53"/>
  <c r="AS967" i="53"/>
  <c r="AI538" i="53"/>
  <c r="AS99" i="53"/>
  <c r="AS498" i="53"/>
  <c r="AS846" i="53"/>
  <c r="AS95" i="53"/>
  <c r="AS198" i="53"/>
  <c r="AS108" i="53"/>
  <c r="AS570" i="53"/>
  <c r="AS292" i="53"/>
  <c r="AS73" i="53"/>
  <c r="AS934" i="53"/>
  <c r="AS513" i="53"/>
  <c r="AS976" i="53"/>
  <c r="AS68" i="53"/>
  <c r="AS116" i="53"/>
  <c r="AS825" i="53"/>
  <c r="AS863" i="53"/>
  <c r="AS810" i="53"/>
  <c r="AS489" i="53"/>
  <c r="AS437" i="53"/>
  <c r="AS97" i="53"/>
  <c r="AS895" i="53"/>
  <c r="AS163" i="53"/>
  <c r="AS668" i="53"/>
  <c r="AS637" i="53"/>
  <c r="AS500" i="53"/>
  <c r="AS1105" i="53"/>
  <c r="AS127" i="53"/>
  <c r="AS1052" i="53"/>
  <c r="AS745" i="53"/>
  <c r="AS115" i="53"/>
  <c r="AS890" i="53"/>
  <c r="AS329" i="53"/>
  <c r="AS324" i="53"/>
  <c r="AS394" i="53"/>
  <c r="AS399" i="53"/>
  <c r="AS109" i="53"/>
  <c r="AI26" i="53"/>
  <c r="AI1011" i="53"/>
  <c r="AS202" i="53"/>
  <c r="AS16" i="53"/>
  <c r="AS444" i="53"/>
  <c r="AS747" i="53"/>
  <c r="AI44" i="53"/>
  <c r="AI639" i="53"/>
  <c r="AI616" i="53"/>
  <c r="AI779" i="53"/>
  <c r="AI909" i="53"/>
  <c r="AI239" i="53"/>
  <c r="AI1061" i="53"/>
  <c r="AI709" i="53"/>
  <c r="AI413" i="53"/>
  <c r="AI447" i="53"/>
  <c r="AI540" i="53"/>
  <c r="AI969" i="53"/>
  <c r="AI100" i="53"/>
  <c r="AI937" i="53"/>
  <c r="AS283" i="53"/>
  <c r="AS322" i="53"/>
  <c r="AS1010" i="53"/>
  <c r="AS250" i="53"/>
  <c r="AI75" i="53"/>
  <c r="AS717" i="53"/>
  <c r="AS26" i="53"/>
  <c r="AS989" i="53"/>
  <c r="AS289" i="53"/>
  <c r="AS848" i="53"/>
  <c r="AS318" i="53"/>
  <c r="AS483" i="53"/>
  <c r="AS712" i="53"/>
  <c r="AI886" i="53"/>
  <c r="AI1057" i="53"/>
  <c r="AI463" i="53"/>
  <c r="AI630" i="53"/>
  <c r="AI694" i="53"/>
  <c r="AI1012" i="53"/>
  <c r="AI218" i="53"/>
  <c r="AI61" i="53"/>
  <c r="AI566" i="53"/>
  <c r="AI426" i="53"/>
  <c r="AS796" i="53"/>
  <c r="AI322" i="53"/>
  <c r="AS624" i="53"/>
  <c r="AS1033" i="53"/>
  <c r="AS176" i="53"/>
  <c r="AS162" i="53"/>
  <c r="AS580" i="53"/>
  <c r="AS886" i="53"/>
  <c r="AS261" i="53"/>
  <c r="AS875" i="53"/>
  <c r="AI941" i="53"/>
  <c r="AS350" i="53"/>
  <c r="AS75" i="53"/>
  <c r="AS813" i="53"/>
  <c r="AS469" i="53"/>
  <c r="AS343" i="53"/>
  <c r="AI170" i="53"/>
  <c r="AI1051" i="53"/>
  <c r="AI686" i="53"/>
  <c r="AI718" i="53"/>
  <c r="AI957" i="53"/>
  <c r="AI308" i="53"/>
  <c r="AI1069" i="53"/>
  <c r="AI1045" i="53"/>
  <c r="AI828" i="53"/>
  <c r="AI896" i="53"/>
  <c r="AI816" i="53"/>
  <c r="AI190" i="53"/>
  <c r="AS694" i="53"/>
  <c r="AS234" i="53"/>
  <c r="AS420" i="53"/>
  <c r="AI176" i="53"/>
  <c r="AS24" i="53"/>
  <c r="AS426" i="53"/>
  <c r="AS268" i="53"/>
  <c r="AS610" i="53"/>
  <c r="AS39" i="53"/>
  <c r="AS584" i="53"/>
  <c r="AS896" i="53"/>
  <c r="AS816" i="53"/>
  <c r="AS21" i="53"/>
  <c r="AS677" i="53"/>
  <c r="AS665" i="53"/>
  <c r="AS725" i="53"/>
  <c r="AI397" i="53"/>
  <c r="AI36" i="53"/>
  <c r="AI725" i="53"/>
  <c r="AI217" i="53"/>
  <c r="AI604" i="53"/>
  <c r="AI913" i="53"/>
  <c r="AI995" i="53"/>
  <c r="AI225" i="53"/>
  <c r="AI494" i="53"/>
  <c r="AI21" i="53"/>
  <c r="AI29" i="53"/>
  <c r="AI932" i="53"/>
  <c r="AS496" i="53"/>
  <c r="AS510" i="53"/>
  <c r="AS1011" i="53"/>
  <c r="AS243" i="53"/>
  <c r="AI420" i="53"/>
  <c r="AS214" i="53"/>
  <c r="AS913" i="53"/>
  <c r="AS524" i="53"/>
  <c r="AS1100" i="53"/>
  <c r="AS897" i="53"/>
  <c r="AS164" i="53"/>
  <c r="AS1065" i="53"/>
  <c r="AS554" i="53"/>
  <c r="AS721" i="53"/>
  <c r="AI960" i="53"/>
  <c r="AS932" i="53"/>
  <c r="AI930" i="53"/>
  <c r="AS1041" i="53"/>
  <c r="AS652" i="53"/>
  <c r="AI350" i="53"/>
  <c r="AI112" i="53"/>
  <c r="AI1050" i="53"/>
  <c r="AS604" i="53"/>
  <c r="AS965" i="53"/>
  <c r="AS767" i="53"/>
  <c r="AS102" i="53"/>
  <c r="AI287" i="53"/>
  <c r="AS221" i="53"/>
  <c r="AS1051" i="53"/>
  <c r="AS734" i="53"/>
  <c r="AS535" i="53"/>
  <c r="AS447" i="53"/>
  <c r="AS837" i="53"/>
  <c r="AS383" i="53"/>
  <c r="AS754" i="53"/>
  <c r="AS413" i="53"/>
  <c r="AI610" i="53"/>
  <c r="AI1072" i="53"/>
  <c r="AI318" i="53"/>
  <c r="AI129" i="53"/>
  <c r="AI145" i="53"/>
  <c r="AI624" i="53"/>
  <c r="AI572" i="53"/>
  <c r="AS389" i="53"/>
  <c r="AS213" i="53"/>
  <c r="AI665" i="53"/>
  <c r="AI698" i="53"/>
  <c r="AI775" i="53"/>
  <c r="AI991" i="53"/>
  <c r="AI433" i="53"/>
  <c r="AI819" i="53"/>
  <c r="AI1033" i="53"/>
  <c r="AI343" i="53"/>
  <c r="AI424" i="53"/>
  <c r="AI117" i="53"/>
  <c r="AI389" i="53"/>
  <c r="AS266" i="53"/>
  <c r="AI767" i="53"/>
  <c r="AS225" i="53"/>
  <c r="AS647" i="53"/>
  <c r="AI102" i="53"/>
  <c r="AS941" i="53"/>
  <c r="AS122" i="53"/>
  <c r="AS969" i="53"/>
  <c r="AS936" i="53"/>
  <c r="AS1050" i="53"/>
  <c r="AS852" i="53"/>
  <c r="AI184" i="53"/>
  <c r="AS145" i="53"/>
  <c r="AS1031" i="53"/>
  <c r="AI752" i="53"/>
  <c r="AI531" i="53"/>
  <c r="AI1100" i="53"/>
  <c r="AS140" i="53"/>
  <c r="AI965" i="53"/>
  <c r="AI162" i="53"/>
  <c r="AI289" i="53"/>
  <c r="AI562" i="53"/>
  <c r="AI80" i="53"/>
  <c r="AI996" i="53"/>
  <c r="AI325" i="53"/>
  <c r="AI56" i="53"/>
  <c r="AS821" i="53"/>
  <c r="AS761" i="53"/>
  <c r="AS621" i="53"/>
  <c r="AI647" i="53"/>
  <c r="AS184" i="53"/>
  <c r="AS149" i="53"/>
  <c r="AS323" i="53"/>
  <c r="AS957" i="53"/>
  <c r="AS229" i="53"/>
  <c r="AS783" i="53"/>
  <c r="AS433" i="53"/>
  <c r="AS435" i="53"/>
  <c r="AS751" i="53"/>
  <c r="AS1004" i="53"/>
  <c r="AS129" i="53"/>
  <c r="AI1000" i="53"/>
  <c r="AS117" i="53"/>
  <c r="AS955" i="53"/>
  <c r="AS771" i="53"/>
  <c r="AS1072" i="53"/>
  <c r="AS100" i="53"/>
  <c r="AS812" i="53"/>
  <c r="AS110" i="53"/>
  <c r="AI1065" i="53"/>
  <c r="AI283" i="53"/>
  <c r="AI164" i="53"/>
  <c r="AI480" i="53"/>
  <c r="AI712" i="53"/>
  <c r="AS80" i="53"/>
  <c r="AI733" i="53"/>
  <c r="AI440" i="53"/>
  <c r="AI266" i="53"/>
  <c r="AI1041" i="53"/>
  <c r="AI182" i="53"/>
  <c r="AI771" i="53"/>
  <c r="AI282" i="53"/>
  <c r="AI968" i="53"/>
  <c r="AI467" i="53"/>
  <c r="AI335" i="53"/>
  <c r="AS276" i="53"/>
  <c r="AS651" i="53"/>
  <c r="AI821" i="53"/>
  <c r="AI761" i="53"/>
  <c r="AS308" i="53"/>
  <c r="AI621" i="53"/>
  <c r="AS207" i="53"/>
  <c r="AS752" i="53"/>
  <c r="AS29" i="53"/>
  <c r="AS94" i="53"/>
  <c r="AS718" i="53"/>
  <c r="AS920" i="53"/>
  <c r="AS335" i="53"/>
  <c r="AS424" i="53"/>
  <c r="AS416" i="53"/>
  <c r="AS160" i="53"/>
  <c r="AI327" i="53"/>
  <c r="AS63" i="53"/>
  <c r="AI897" i="53"/>
  <c r="AI721" i="53"/>
  <c r="AI873" i="53"/>
  <c r="AI1010" i="53"/>
  <c r="AI373" i="53"/>
  <c r="AI250" i="53"/>
  <c r="AI804" i="53"/>
  <c r="AI754" i="53"/>
  <c r="AI487" i="53"/>
  <c r="AI276" i="53"/>
  <c r="AI651" i="53"/>
  <c r="AS423" i="53"/>
  <c r="AS588" i="53"/>
  <c r="AI207" i="53"/>
  <c r="AS56" i="53"/>
  <c r="AS1094" i="53"/>
  <c r="AS346" i="53"/>
  <c r="AS904" i="53"/>
  <c r="AS218" i="53"/>
  <c r="AS800" i="53"/>
  <c r="AS1069" i="53"/>
  <c r="AS765" i="53"/>
  <c r="AS930" i="53"/>
  <c r="AS249" i="53"/>
  <c r="AS630" i="53"/>
  <c r="AI94" i="53"/>
  <c r="AI524" i="53"/>
  <c r="AI837" i="53"/>
  <c r="AI221" i="53"/>
  <c r="AI796" i="53"/>
  <c r="AI268" i="53"/>
  <c r="AI529" i="53"/>
  <c r="AI652" i="53"/>
  <c r="AI16" i="53"/>
  <c r="AI213" i="53"/>
  <c r="AI765" i="53"/>
  <c r="AI717" i="53"/>
  <c r="AI812" i="53"/>
  <c r="AI187" i="53"/>
  <c r="AI763" i="53"/>
  <c r="AI734" i="53"/>
  <c r="AS1057" i="53"/>
  <c r="AI423" i="53"/>
  <c r="AS1003" i="53"/>
  <c r="AS709" i="53"/>
  <c r="AS682" i="53"/>
  <c r="AS247" i="53"/>
  <c r="AS586" i="53"/>
  <c r="AS151" i="53"/>
  <c r="AS1016" i="53"/>
  <c r="AS217" i="53"/>
  <c r="AS494" i="53"/>
  <c r="AS531" i="53"/>
  <c r="AS819" i="53"/>
  <c r="AS906" i="53"/>
  <c r="AS325" i="53"/>
  <c r="AS544" i="53"/>
  <c r="AS968" i="53"/>
  <c r="AS572" i="53"/>
  <c r="AS36" i="53"/>
  <c r="AS828" i="53"/>
  <c r="AS804" i="53"/>
  <c r="AS779" i="53"/>
  <c r="AI554" i="53"/>
  <c r="AI1094" i="53"/>
  <c r="AI580" i="53"/>
  <c r="AI39" i="53"/>
  <c r="AI243" i="53"/>
  <c r="AI383" i="53"/>
  <c r="AI677" i="53"/>
  <c r="AI483" i="53"/>
  <c r="AS192" i="53"/>
  <c r="AI1003" i="53"/>
  <c r="AS232" i="53"/>
  <c r="AI682" i="53"/>
  <c r="AS434" i="53"/>
  <c r="AI586" i="53"/>
  <c r="AS757" i="53"/>
  <c r="AI151" i="53"/>
  <c r="AI1016" i="53"/>
  <c r="AS170" i="53"/>
  <c r="AS112" i="53"/>
  <c r="AS282" i="53"/>
  <c r="AS562" i="53"/>
  <c r="AS995" i="53"/>
  <c r="AS775" i="53"/>
  <c r="AS287" i="53"/>
  <c r="AI249" i="53"/>
  <c r="AI247" i="53"/>
  <c r="AI435" i="53"/>
  <c r="AI904" i="53"/>
  <c r="AI852" i="53"/>
  <c r="AI24" i="53"/>
  <c r="AI140" i="53"/>
  <c r="AI261" i="53"/>
  <c r="AI110" i="53"/>
  <c r="AI883" i="53"/>
  <c r="AI955" i="53"/>
  <c r="AI323" i="53"/>
  <c r="AI875" i="53"/>
  <c r="AI920" i="53"/>
  <c r="AI416" i="53"/>
  <c r="AI848" i="53"/>
  <c r="AI192" i="53"/>
  <c r="AS187" i="53"/>
  <c r="AS523" i="53"/>
  <c r="AI434" i="53"/>
  <c r="AS593" i="53"/>
  <c r="AI757" i="53"/>
  <c r="AS997" i="53"/>
  <c r="AS733" i="53"/>
  <c r="AS909" i="53"/>
  <c r="AS239" i="53"/>
  <c r="AS698" i="53"/>
  <c r="AS873" i="53"/>
  <c r="AS937" i="53"/>
  <c r="AS211" i="53"/>
  <c r="AS991" i="53"/>
  <c r="AS182" i="53"/>
  <c r="AS440" i="53"/>
  <c r="AI46" i="53"/>
  <c r="AI295" i="53"/>
  <c r="AI431" i="53"/>
  <c r="AI977" i="53"/>
  <c r="AI591" i="53"/>
  <c r="AI741" i="53"/>
  <c r="AI605" i="53"/>
  <c r="AI296" i="53"/>
  <c r="AI539" i="53"/>
  <c r="AI478" i="53"/>
  <c r="AI619" i="53"/>
  <c r="AI363" i="53"/>
  <c r="AI60" i="53"/>
  <c r="AS741" i="53"/>
  <c r="AS491" i="53"/>
  <c r="AS259" i="53"/>
  <c r="AS10" i="53"/>
  <c r="AS178" i="53"/>
  <c r="AS390" i="53"/>
  <c r="AS118" i="53"/>
  <c r="AS868" i="53"/>
  <c r="AI293" i="53"/>
  <c r="AI175" i="53"/>
  <c r="AI935" i="53"/>
  <c r="AI280" i="53"/>
  <c r="AI91" i="53"/>
  <c r="AI310" i="53"/>
  <c r="AI662" i="53"/>
  <c r="AI929" i="53"/>
  <c r="AS180" i="53"/>
  <c r="AS970" i="53"/>
  <c r="AI537" i="53"/>
  <c r="AS655" i="53"/>
  <c r="AS313" i="53"/>
  <c r="AS401" i="53"/>
  <c r="AS62" i="53"/>
  <c r="AS958" i="53"/>
  <c r="AS462" i="53"/>
  <c r="AS175" i="53"/>
  <c r="AI826" i="53"/>
  <c r="AI925" i="53"/>
  <c r="AI386" i="53"/>
  <c r="AI1097" i="53"/>
  <c r="AI144" i="53"/>
  <c r="AI871" i="53"/>
  <c r="AI62" i="53"/>
  <c r="AI78" i="53"/>
  <c r="AI646" i="53"/>
  <c r="AI303" i="53"/>
  <c r="AI407" i="53"/>
  <c r="AS466" i="53"/>
  <c r="AS296" i="53"/>
  <c r="AS143" i="53"/>
  <c r="AS674" i="53"/>
  <c r="AS1054" i="53"/>
  <c r="AS1076" i="53"/>
  <c r="AS374" i="53"/>
  <c r="AS58" i="53"/>
  <c r="AI466" i="53"/>
  <c r="AI143" i="53"/>
  <c r="AS619" i="53"/>
  <c r="AS303" i="53"/>
  <c r="AS726" i="53"/>
  <c r="AS334" i="53"/>
  <c r="AS408" i="53"/>
  <c r="AS1084" i="53"/>
  <c r="AS298" i="53"/>
  <c r="AI558" i="53"/>
  <c r="AI1018" i="53"/>
  <c r="AI530" i="53"/>
  <c r="AI340" i="53"/>
  <c r="AI311" i="53"/>
  <c r="AI868" i="53"/>
  <c r="AI655" i="53"/>
  <c r="AI10" i="53"/>
  <c r="AI664" i="53"/>
  <c r="AI379" i="53"/>
  <c r="AI522" i="53"/>
  <c r="AS477" i="53"/>
  <c r="AI726" i="53"/>
  <c r="AS235" i="53"/>
  <c r="AS675" i="53"/>
  <c r="AS539" i="53"/>
  <c r="AS478" i="53"/>
  <c r="AS364" i="53"/>
  <c r="AI985" i="53"/>
  <c r="AI676" i="53"/>
  <c r="AI1076" i="53"/>
  <c r="AI401" i="53"/>
  <c r="AI1054" i="53"/>
  <c r="AI65" i="53"/>
  <c r="AI654" i="53"/>
  <c r="AI561" i="53"/>
  <c r="AS530" i="53"/>
  <c r="AS985" i="53"/>
  <c r="AS290" i="53"/>
  <c r="AS807" i="53"/>
  <c r="AI477" i="53"/>
  <c r="AI235" i="53"/>
  <c r="AS1018" i="53"/>
  <c r="AS379" i="53"/>
  <c r="AS23" i="53"/>
  <c r="AI366" i="53"/>
  <c r="AI105" i="53"/>
  <c r="AI679" i="53"/>
  <c r="AI298" i="53"/>
  <c r="AI674" i="53"/>
  <c r="AI691" i="53"/>
  <c r="AI807" i="53"/>
  <c r="AS646" i="53"/>
  <c r="AS314" i="53"/>
  <c r="AS220" i="53"/>
  <c r="AS340" i="53"/>
  <c r="AS935" i="53"/>
  <c r="AS65" i="53"/>
  <c r="AS552" i="53"/>
  <c r="AS533" i="53"/>
  <c r="AI552" i="53"/>
  <c r="AI345" i="53"/>
  <c r="AI847" i="53"/>
  <c r="AI147" i="53"/>
  <c r="AI457" i="53"/>
  <c r="AI400" i="53"/>
  <c r="AI758" i="53"/>
  <c r="AI258" i="53"/>
  <c r="AI866" i="53"/>
  <c r="AS847" i="53"/>
  <c r="AS311" i="53"/>
  <c r="AS679" i="53"/>
  <c r="AS654" i="53"/>
  <c r="AS35" i="53"/>
  <c r="AS738" i="53"/>
  <c r="AI314" i="53"/>
  <c r="AI220" i="53"/>
  <c r="AS475" i="53"/>
  <c r="AS147" i="53"/>
  <c r="AS293" i="53"/>
  <c r="AS34" i="53"/>
  <c r="AI728" i="53"/>
  <c r="AS739" i="53"/>
  <c r="AI870" i="53"/>
  <c r="AI803" i="53"/>
  <c r="AI178" i="53"/>
  <c r="AI642" i="53"/>
  <c r="AI313" i="53"/>
  <c r="AS1026" i="53"/>
  <c r="AS310" i="53"/>
  <c r="AI35" i="53"/>
  <c r="AS470" i="53"/>
  <c r="AI738" i="53"/>
  <c r="AS297" i="53"/>
  <c r="AS691" i="53"/>
  <c r="AS988" i="53"/>
  <c r="AS186" i="53"/>
  <c r="AS465" i="53"/>
  <c r="AS91" i="53"/>
  <c r="AS386" i="53"/>
  <c r="AS366" i="53"/>
  <c r="AI675" i="53"/>
  <c r="AI334" i="53"/>
  <c r="AI180" i="53"/>
  <c r="AS702" i="53"/>
  <c r="AS605" i="53"/>
  <c r="AI470" i="53"/>
  <c r="AI297" i="53"/>
  <c r="AS1068" i="53"/>
  <c r="AS60" i="53"/>
  <c r="AS295" i="53"/>
  <c r="AS400" i="53"/>
  <c r="AS850" i="53"/>
  <c r="AS431" i="53"/>
  <c r="AI739" i="53"/>
  <c r="AI58" i="53"/>
  <c r="AI1026" i="53"/>
  <c r="AI462" i="53"/>
  <c r="AS46" i="53"/>
  <c r="AS144" i="53"/>
  <c r="AS45" i="53"/>
  <c r="AS457" i="53"/>
  <c r="AS676" i="53"/>
  <c r="AS208" i="53"/>
  <c r="AS341" i="53"/>
  <c r="AS1079" i="53"/>
  <c r="AS728" i="53"/>
  <c r="AS681" i="53"/>
  <c r="AS662" i="53"/>
  <c r="AS363" i="53"/>
  <c r="AS511" i="53"/>
  <c r="AS979" i="53"/>
  <c r="AS345" i="53"/>
  <c r="AI475" i="53"/>
  <c r="AI465" i="53"/>
  <c r="AS406" i="53"/>
  <c r="AS476" i="53"/>
  <c r="AI45" i="53"/>
  <c r="AI208" i="53"/>
  <c r="AS664" i="53"/>
  <c r="AS332" i="53"/>
  <c r="AS642" i="53"/>
  <c r="AS910" i="53"/>
  <c r="AS650" i="53"/>
  <c r="AS1097" i="53"/>
  <c r="AS561" i="53"/>
  <c r="AI1092" i="53"/>
  <c r="AI118" i="53"/>
  <c r="AI406" i="53"/>
  <c r="AI476" i="53"/>
  <c r="AS871" i="53"/>
  <c r="AS692" i="53"/>
  <c r="AS206" i="53"/>
  <c r="AI57" i="53"/>
  <c r="AS625" i="53"/>
  <c r="AI306" i="53"/>
  <c r="AS309" i="53"/>
  <c r="AS792" i="53"/>
  <c r="AS382" i="53"/>
  <c r="AS507" i="53"/>
  <c r="AI859" i="53"/>
  <c r="AI64" i="53"/>
  <c r="AS372" i="53"/>
  <c r="AS743" i="53"/>
  <c r="AS155" i="53"/>
  <c r="AI226" i="53"/>
  <c r="AS191" i="53"/>
  <c r="AS342" i="53"/>
  <c r="AS320" i="53"/>
  <c r="AS473" i="53"/>
  <c r="AI953" i="53"/>
  <c r="AI81" i="53"/>
  <c r="AI1014" i="53"/>
  <c r="AI372" i="53"/>
  <c r="AI743" i="53"/>
  <c r="AS330" i="53"/>
  <c r="AS551" i="53"/>
  <c r="AS859" i="53"/>
  <c r="AS576" i="53"/>
  <c r="AS1032" i="53"/>
  <c r="AS901" i="53"/>
  <c r="AI589" i="53"/>
  <c r="AI137" i="53"/>
  <c r="AI330" i="53"/>
  <c r="AS492" i="53"/>
  <c r="AI625" i="53"/>
  <c r="AI696" i="53"/>
  <c r="AI891" i="53"/>
  <c r="AI950" i="53"/>
  <c r="AI786" i="53"/>
  <c r="AI396" i="53"/>
  <c r="AS57" i="53"/>
  <c r="AS843" i="53"/>
  <c r="AS1089" i="53"/>
  <c r="AS134" i="53"/>
  <c r="AS1096" i="53"/>
  <c r="AI587" i="53"/>
  <c r="AI136" i="53"/>
  <c r="AI576" i="53"/>
  <c r="AS706" i="53"/>
  <c r="AS696" i="53"/>
  <c r="AS428" i="53"/>
  <c r="AS77" i="53"/>
  <c r="AI277" i="53"/>
  <c r="AI507" i="53"/>
  <c r="AI155" i="53"/>
  <c r="AI1089" i="53"/>
  <c r="AI461" i="53"/>
  <c r="AI1099" i="53"/>
  <c r="AS136" i="53"/>
  <c r="AS422" i="53"/>
  <c r="AI191" i="53"/>
  <c r="AI658" i="53"/>
  <c r="AI1039" i="53"/>
  <c r="AI492" i="53"/>
  <c r="AI1023" i="53"/>
  <c r="AI888" i="53"/>
  <c r="AI77" i="53"/>
  <c r="AS81" i="53"/>
  <c r="AS587" i="53"/>
  <c r="AI737" i="53"/>
  <c r="AI992" i="53"/>
  <c r="AI802" i="53"/>
  <c r="AI755" i="53"/>
  <c r="AI473" i="53"/>
  <c r="AI216" i="53"/>
  <c r="AS670" i="53"/>
  <c r="AS737" i="53"/>
  <c r="AS589" i="53"/>
  <c r="AS891" i="53"/>
  <c r="AS216" i="53"/>
  <c r="AS1099" i="53"/>
  <c r="AS888" i="53"/>
  <c r="AI1101" i="53"/>
  <c r="AI792" i="53"/>
  <c r="AI966" i="53"/>
  <c r="AI839" i="53"/>
  <c r="AI670" i="53"/>
  <c r="AS755" i="53"/>
  <c r="AS461" i="53"/>
  <c r="AI422" i="53"/>
  <c r="AI551" i="53"/>
  <c r="AI342" i="53"/>
  <c r="AI1088" i="53"/>
  <c r="AI51" i="53"/>
  <c r="AI578" i="53"/>
  <c r="AS742" i="53"/>
  <c r="AS602" i="53"/>
  <c r="AS950" i="53"/>
  <c r="AS1101" i="53"/>
  <c r="AI742" i="53"/>
  <c r="AS986" i="53"/>
  <c r="AS578" i="53"/>
  <c r="AS1081" i="53"/>
  <c r="AS992" i="53"/>
  <c r="AS953" i="53"/>
  <c r="AS1014" i="53"/>
  <c r="AS514" i="53"/>
  <c r="AI1096" i="53"/>
  <c r="AS802" i="53"/>
  <c r="AI843" i="53"/>
  <c r="AI706" i="53"/>
  <c r="AS1039" i="53"/>
  <c r="AS306" i="53"/>
  <c r="AS396" i="53"/>
  <c r="AS1023" i="53"/>
  <c r="AS137" i="53"/>
  <c r="AS693" i="53"/>
  <c r="AS636" i="53"/>
  <c r="AS300" i="53"/>
  <c r="AI980" i="53"/>
  <c r="AI1001" i="53"/>
  <c r="AI921" i="53"/>
  <c r="AI251" i="53"/>
  <c r="AS925" i="53"/>
  <c r="AI349" i="53"/>
  <c r="AI315" i="53"/>
  <c r="AS939" i="53"/>
  <c r="AS982" i="53"/>
  <c r="AS553" i="53"/>
  <c r="AS370" i="53"/>
  <c r="AS618" i="53"/>
  <c r="AS132" i="53"/>
  <c r="AI1053" i="53"/>
  <c r="AI943" i="53"/>
  <c r="AI370" i="53"/>
  <c r="AI620" i="53"/>
  <c r="AI502" i="53"/>
  <c r="AI499" i="53"/>
  <c r="AI939" i="53"/>
  <c r="AS899" i="53"/>
  <c r="AS1034" i="53"/>
  <c r="AS174" i="53"/>
  <c r="AS1028" i="53"/>
  <c r="AI982" i="53"/>
  <c r="AI553" i="53"/>
  <c r="AS113" i="53"/>
  <c r="AS689" i="53"/>
  <c r="AS626" i="53"/>
  <c r="AS595" i="53"/>
  <c r="AI618" i="53"/>
  <c r="AI899" i="53"/>
  <c r="AS844" i="53"/>
  <c r="AS371" i="53"/>
  <c r="AS231" i="53"/>
  <c r="AS806" i="53"/>
  <c r="AS321" i="53"/>
  <c r="AS836" i="53"/>
  <c r="AI844" i="53"/>
  <c r="AI371" i="53"/>
  <c r="AS502" i="53"/>
  <c r="AS72" i="53"/>
  <c r="AI769" i="53"/>
  <c r="AI836" i="53"/>
  <c r="AS795" i="53"/>
  <c r="AS349" i="53"/>
  <c r="AS862" i="53"/>
  <c r="AS368" i="53"/>
  <c r="AS622" i="53"/>
  <c r="AS418" i="53"/>
  <c r="AS393" i="53"/>
  <c r="AS1075" i="53"/>
  <c r="AI1082" i="53"/>
  <c r="AI174" i="53"/>
  <c r="AI657" i="53"/>
  <c r="AI368" i="53"/>
  <c r="AI418" i="53"/>
  <c r="AS629" i="53"/>
  <c r="AS961" i="53"/>
  <c r="AS103" i="53"/>
  <c r="AS315" i="53"/>
  <c r="AS1053" i="53"/>
  <c r="AS839" i="53"/>
  <c r="AS627" i="53"/>
  <c r="AI631" i="53"/>
  <c r="AI1064" i="53"/>
  <c r="AI1027" i="53"/>
  <c r="AI622" i="53"/>
  <c r="AI393" i="53"/>
  <c r="AI152" i="53"/>
  <c r="AS240" i="53"/>
  <c r="AI629" i="53"/>
  <c r="AI961" i="53"/>
  <c r="AI103" i="53"/>
  <c r="AS452" i="53"/>
  <c r="AS769" i="53"/>
  <c r="AS1012" i="53"/>
  <c r="AS441" i="53"/>
  <c r="AS121" i="53"/>
  <c r="AI862" i="53"/>
  <c r="AI231" i="53"/>
  <c r="AI1098" i="53"/>
  <c r="AI17" i="53"/>
  <c r="AS657" i="53"/>
  <c r="AS181" i="53"/>
  <c r="AS583" i="53"/>
  <c r="AI628" i="53"/>
  <c r="AI240" i="53"/>
  <c r="AI321" i="53"/>
  <c r="AI72" i="53"/>
  <c r="AI278" i="53"/>
  <c r="AI1075" i="53"/>
  <c r="AS278" i="53"/>
  <c r="AS1027" i="53"/>
  <c r="AI181" i="53"/>
  <c r="AS1048" i="53"/>
  <c r="AI583" i="53"/>
  <c r="AS631" i="53"/>
  <c r="AS158" i="53"/>
  <c r="AI474" i="53"/>
  <c r="AI787" i="53"/>
  <c r="AI441" i="53"/>
  <c r="AI132" i="53"/>
  <c r="AI452" i="53"/>
  <c r="AI565" i="53"/>
  <c r="AS768" i="53"/>
  <c r="AI1048" i="53"/>
  <c r="AS1078" i="53"/>
  <c r="AS628" i="53"/>
  <c r="AS463" i="53"/>
  <c r="AS474" i="53"/>
  <c r="AS1064" i="53"/>
  <c r="AS786" i="53"/>
  <c r="AS977" i="53"/>
  <c r="AI689" i="53"/>
  <c r="AI768" i="53"/>
  <c r="AS152" i="53"/>
  <c r="AS615" i="53"/>
  <c r="AS856" i="53"/>
  <c r="AS620" i="53"/>
  <c r="AS1098" i="53"/>
  <c r="AI158" i="53"/>
  <c r="AI42" i="53"/>
  <c r="AI806" i="53"/>
  <c r="AI528" i="53"/>
  <c r="AI1034" i="53"/>
  <c r="AI795" i="53"/>
  <c r="AI113" i="53"/>
  <c r="AI856" i="53"/>
  <c r="AS344" i="53"/>
  <c r="AS269" i="53"/>
  <c r="AS528" i="53"/>
  <c r="AS499" i="53"/>
  <c r="AS105" i="53"/>
  <c r="AI1028" i="53"/>
  <c r="AI615" i="53"/>
  <c r="AS519" i="53"/>
  <c r="AI344" i="53"/>
  <c r="AS157" i="53"/>
  <c r="AI269" i="53"/>
  <c r="AS17" i="53"/>
  <c r="AS42" i="53"/>
  <c r="AS787" i="53"/>
  <c r="AS1049" i="53"/>
  <c r="AS1082" i="53"/>
  <c r="AI782" i="53"/>
  <c r="AI27" i="53"/>
  <c r="AI419" i="53"/>
  <c r="AI525" i="53"/>
  <c r="AI133" i="53"/>
  <c r="AS138" i="53"/>
  <c r="AS87" i="53"/>
  <c r="AS227" i="53"/>
  <c r="AI636" i="53"/>
  <c r="AS205" i="53"/>
  <c r="AS92" i="53"/>
  <c r="AS549" i="53"/>
  <c r="AS903" i="53"/>
  <c r="AS199" i="53"/>
  <c r="AS360" i="53"/>
  <c r="AS874" i="53"/>
  <c r="AS1024" i="53"/>
  <c r="AS639" i="53"/>
  <c r="AS427" i="53"/>
  <c r="AS432" i="53"/>
  <c r="AI887" i="53"/>
  <c r="AI626" i="53"/>
  <c r="AI212" i="53"/>
  <c r="AI326" i="53"/>
  <c r="AI922" i="53"/>
  <c r="AI109" i="53"/>
  <c r="AS381" i="53"/>
  <c r="AS1001" i="53"/>
  <c r="AS585" i="53"/>
  <c r="AI205" i="53"/>
  <c r="AI92" i="53"/>
  <c r="AS326" i="53"/>
  <c r="AS568" i="53"/>
  <c r="AS884" i="53"/>
  <c r="AS307" i="53"/>
  <c r="AS555" i="53"/>
  <c r="AS369" i="53"/>
  <c r="AI585" i="53"/>
  <c r="AS704" i="53"/>
  <c r="AI381" i="53"/>
  <c r="AS952" i="53"/>
  <c r="AS645" i="53"/>
  <c r="AS573" i="53"/>
  <c r="AS780" i="53"/>
  <c r="AS948" i="53"/>
  <c r="AS918" i="53"/>
  <c r="AS512" i="53"/>
  <c r="AS653" i="53"/>
  <c r="AS981" i="53"/>
  <c r="AS656" i="53"/>
  <c r="AS4" i="53"/>
  <c r="AS708" i="53"/>
  <c r="AO3" i="53"/>
  <c r="AS933" i="53"/>
  <c r="AI704" i="53"/>
  <c r="AS998" i="53"/>
  <c r="AS251" i="53"/>
  <c r="AI573" i="53"/>
  <c r="AI948" i="53"/>
  <c r="AS974" i="53"/>
  <c r="AS928" i="53"/>
  <c r="AS27" i="53"/>
  <c r="AS887" i="53"/>
  <c r="AS419" i="53"/>
  <c r="AS603" i="53"/>
  <c r="AS1009" i="53"/>
  <c r="AI933" i="53"/>
  <c r="AI998" i="53"/>
  <c r="AS210" i="53"/>
  <c r="AS316" i="53"/>
  <c r="AS388" i="53"/>
  <c r="AS1080" i="53"/>
  <c r="AI880" i="53"/>
  <c r="AI569" i="53"/>
  <c r="AI645" i="53"/>
  <c r="AI640" i="53"/>
  <c r="AI316" i="53"/>
  <c r="AI727" i="53"/>
  <c r="AI367" i="53"/>
  <c r="AI238" i="53"/>
  <c r="AI824" i="53"/>
  <c r="AI84" i="53"/>
  <c r="AI952" i="53"/>
  <c r="AI841" i="53"/>
  <c r="AI307" i="53"/>
  <c r="AS703" i="53"/>
  <c r="AS641" i="53"/>
  <c r="AS133" i="53"/>
  <c r="AS815" i="53"/>
  <c r="AS526" i="53"/>
  <c r="AS569" i="53"/>
  <c r="AS70" i="53"/>
  <c r="AS1056" i="53"/>
  <c r="AI643" i="53"/>
  <c r="AI581" i="53"/>
  <c r="AI811" i="53"/>
  <c r="AI928" i="53"/>
  <c r="AI4" i="53"/>
  <c r="AI227" i="53"/>
  <c r="AI1058" i="53"/>
  <c r="AI254" i="53"/>
  <c r="AI974" i="53"/>
  <c r="AI526" i="53"/>
  <c r="AI820" i="53"/>
  <c r="AI237" i="53"/>
  <c r="AI139" i="53"/>
  <c r="AI506" i="53"/>
  <c r="AI210" i="53"/>
  <c r="AI603" i="53"/>
  <c r="AI300" i="53"/>
  <c r="AI360" i="53"/>
  <c r="AI703" i="53"/>
  <c r="AS237" i="53"/>
  <c r="AS616" i="53"/>
  <c r="AS824" i="53"/>
  <c r="AS54" i="53"/>
  <c r="AS972" i="53"/>
  <c r="AS851" i="53"/>
  <c r="AS189" i="53"/>
  <c r="AS921" i="53"/>
  <c r="AS640" i="53"/>
  <c r="AS861" i="53"/>
  <c r="AS811" i="53"/>
  <c r="AI918" i="53"/>
  <c r="AI549" i="53"/>
  <c r="AI861" i="53"/>
  <c r="AI1091" i="53"/>
  <c r="AI1035" i="53"/>
  <c r="AI200" i="53"/>
  <c r="AI951" i="53"/>
  <c r="AI179" i="53"/>
  <c r="AI1024" i="53"/>
  <c r="AS338" i="53"/>
  <c r="AS864" i="53"/>
  <c r="AI972" i="53"/>
  <c r="AI851" i="53"/>
  <c r="AS1071" i="53"/>
  <c r="AS139" i="53"/>
  <c r="AS782" i="53"/>
  <c r="AS841" i="53"/>
  <c r="AS591" i="53"/>
  <c r="AI1043" i="53"/>
  <c r="AI512" i="53"/>
  <c r="AI884" i="53"/>
  <c r="AI215" i="53"/>
  <c r="AI324" i="53"/>
  <c r="AI41" i="53"/>
  <c r="AI141" i="53"/>
  <c r="AI432" i="53"/>
  <c r="AI451" i="53"/>
  <c r="AS1058" i="53"/>
  <c r="AI338" i="53"/>
  <c r="AI864" i="53"/>
  <c r="AS333" i="53"/>
  <c r="AS114" i="53"/>
  <c r="AS922" i="53"/>
  <c r="AI427" i="53"/>
  <c r="AI1019" i="53"/>
  <c r="AI594" i="53"/>
  <c r="AI555" i="53"/>
  <c r="AI829" i="53"/>
  <c r="AI606" i="53"/>
  <c r="AI903" i="53"/>
  <c r="AI981" i="53"/>
  <c r="AI1002" i="53"/>
  <c r="AI8" i="53"/>
  <c r="AI708" i="53"/>
  <c r="AI369" i="53"/>
  <c r="AI641" i="53"/>
  <c r="AS1035" i="53"/>
  <c r="AS252" i="53"/>
  <c r="AS212" i="53"/>
  <c r="AS254" i="53"/>
  <c r="AS727" i="53"/>
  <c r="AS312" i="53"/>
  <c r="AS200" i="53"/>
  <c r="AS84" i="53"/>
  <c r="AS540" i="53"/>
  <c r="AS101" i="53"/>
  <c r="AS429" i="53"/>
  <c r="AI54" i="53"/>
  <c r="AI568" i="53"/>
  <c r="AI595" i="53"/>
  <c r="AI88" i="53"/>
  <c r="AI101" i="53"/>
  <c r="AS215" i="53"/>
  <c r="AS270" i="53"/>
  <c r="AI312" i="53"/>
  <c r="AS860" i="53"/>
  <c r="AS359" i="53"/>
  <c r="AS1043" i="53"/>
  <c r="AS385" i="53"/>
  <c r="AS548" i="53"/>
  <c r="AS1002" i="53"/>
  <c r="AS367" i="53"/>
  <c r="AS820" i="53"/>
  <c r="AS798" i="53"/>
  <c r="AS50" i="53"/>
  <c r="AS8" i="53"/>
  <c r="AS3" i="53"/>
  <c r="AI1080" i="53"/>
  <c r="AI138" i="53"/>
  <c r="AI1056" i="53"/>
  <c r="AI189" i="53"/>
  <c r="AI653" i="53"/>
  <c r="AI798" i="53"/>
  <c r="AI87" i="53"/>
  <c r="AI815" i="53"/>
  <c r="AI233" i="53"/>
  <c r="AI114" i="53"/>
  <c r="AI359" i="53"/>
  <c r="AI999" i="53"/>
  <c r="AI270" i="53"/>
  <c r="AI388" i="53"/>
  <c r="AI780" i="53"/>
  <c r="AI1071" i="53"/>
  <c r="AI874" i="53"/>
  <c r="AI548" i="53"/>
  <c r="AS233" i="53"/>
  <c r="AS1019" i="53"/>
  <c r="AS594" i="53"/>
  <c r="AS980" i="53"/>
  <c r="AS44" i="53"/>
  <c r="AS987" i="53"/>
  <c r="AS88" i="53"/>
  <c r="AS731" i="53"/>
  <c r="AI3" i="53"/>
  <c r="AI919" i="53"/>
  <c r="AI860" i="53"/>
  <c r="AI252" i="53"/>
  <c r="AI199" i="53"/>
  <c r="AI1009" i="53"/>
  <c r="AI429" i="53"/>
  <c r="AI987" i="53"/>
  <c r="AI385" i="53"/>
  <c r="AI50" i="53"/>
  <c r="AI656" i="53"/>
  <c r="AI333" i="53"/>
  <c r="AS606" i="53"/>
  <c r="AS224" i="53"/>
  <c r="AS148" i="53"/>
  <c r="AS777" i="53"/>
  <c r="AS410" i="53"/>
  <c r="AS643" i="53"/>
  <c r="AS525" i="53"/>
  <c r="AS538" i="53"/>
  <c r="AS41" i="53"/>
  <c r="AS999" i="53"/>
  <c r="AS451" i="53"/>
  <c r="AS880" i="53"/>
  <c r="AS1091" i="53"/>
  <c r="AS829" i="53"/>
  <c r="AS179" i="53"/>
  <c r="AV80" i="53"/>
  <c r="AD80" i="53"/>
  <c r="AO80" i="53"/>
  <c r="AV1062" i="53"/>
  <c r="AO1062" i="53"/>
  <c r="AD1062" i="53"/>
  <c r="AV698" i="53"/>
  <c r="AO698" i="53"/>
  <c r="AT698" i="53" s="1"/>
  <c r="AD698" i="53"/>
  <c r="AO117" i="53"/>
  <c r="AV117" i="53"/>
  <c r="AD117" i="53"/>
  <c r="AV812" i="53"/>
  <c r="AO812" i="53"/>
  <c r="AT812" i="53" s="1"/>
  <c r="AD812" i="53"/>
  <c r="AV343" i="53"/>
  <c r="AO343" i="53"/>
  <c r="AT343" i="53" s="1"/>
  <c r="AD343" i="53"/>
  <c r="AV207" i="53"/>
  <c r="AO207" i="53"/>
  <c r="AD207" i="53"/>
  <c r="AV540" i="53"/>
  <c r="AD540" i="53"/>
  <c r="AO540" i="53"/>
  <c r="AT540" i="53" s="1"/>
  <c r="AV733" i="53"/>
  <c r="AO733" i="53"/>
  <c r="AT733" i="53" s="1"/>
  <c r="AD733" i="53"/>
  <c r="AV588" i="53"/>
  <c r="AO588" i="53"/>
  <c r="AD588" i="53"/>
  <c r="AV494" i="53"/>
  <c r="AO494" i="53"/>
  <c r="AT494" i="53" s="1"/>
  <c r="AD494" i="53"/>
  <c r="AV276" i="53"/>
  <c r="AO276" i="53"/>
  <c r="AD276" i="53"/>
  <c r="AV389" i="53"/>
  <c r="AO389" i="53"/>
  <c r="AD389" i="53"/>
  <c r="AV487" i="53"/>
  <c r="AO487" i="53"/>
  <c r="AT487" i="53" s="1"/>
  <c r="AD487" i="53"/>
  <c r="AV816" i="53"/>
  <c r="AO816" i="53"/>
  <c r="AT816" i="53" s="1"/>
  <c r="AD816" i="53"/>
  <c r="AO149" i="53"/>
  <c r="AT149" i="53" s="1"/>
  <c r="AV149" i="53"/>
  <c r="AD149" i="53"/>
  <c r="AV79" i="53"/>
  <c r="AO79" i="53"/>
  <c r="AT79" i="53" s="1"/>
  <c r="AD79" i="53"/>
  <c r="AO102" i="53"/>
  <c r="AT102" i="53" s="1"/>
  <c r="AV102" i="53"/>
  <c r="AD102" i="53"/>
  <c r="AV580" i="53"/>
  <c r="AO580" i="53"/>
  <c r="AT580" i="53" s="1"/>
  <c r="AD580" i="53"/>
  <c r="AO70" i="53"/>
  <c r="AT70" i="53" s="1"/>
  <c r="AV70" i="53"/>
  <c r="AD70" i="53"/>
  <c r="AV424" i="53"/>
  <c r="AO424" i="53"/>
  <c r="AT424" i="53" s="1"/>
  <c r="AD424" i="53"/>
  <c r="AV800" i="53"/>
  <c r="AO800" i="53"/>
  <c r="AT800" i="53" s="1"/>
  <c r="AD800" i="53"/>
  <c r="AV435" i="53"/>
  <c r="AO435" i="53"/>
  <c r="AT435" i="53" s="1"/>
  <c r="AD435" i="53"/>
  <c r="AV757" i="53"/>
  <c r="AO757" i="53"/>
  <c r="AT757" i="53" s="1"/>
  <c r="AD757" i="53"/>
  <c r="AO249" i="53"/>
  <c r="AT249" i="53" s="1"/>
  <c r="AV249" i="53"/>
  <c r="AD249" i="53"/>
  <c r="AV1011" i="53"/>
  <c r="AO1011" i="53"/>
  <c r="AD1011" i="53"/>
  <c r="AV773" i="53"/>
  <c r="AO773" i="53"/>
  <c r="AT773" i="53" s="1"/>
  <c r="AD773" i="53"/>
  <c r="AO250" i="53"/>
  <c r="AV250" i="53"/>
  <c r="AD250" i="53"/>
  <c r="AV989" i="53"/>
  <c r="AO989" i="53"/>
  <c r="AT989" i="53" s="1"/>
  <c r="AD989" i="53"/>
  <c r="AV783" i="53"/>
  <c r="AD783" i="53"/>
  <c r="AO783" i="53"/>
  <c r="AT783" i="53" s="1"/>
  <c r="AV529" i="53"/>
  <c r="AO529" i="53"/>
  <c r="AT529" i="53" s="1"/>
  <c r="AD529" i="53"/>
  <c r="AV239" i="53"/>
  <c r="AO239" i="53"/>
  <c r="AT239" i="53" s="1"/>
  <c r="AD239" i="53"/>
  <c r="AV804" i="53"/>
  <c r="AO804" i="53"/>
  <c r="AT804" i="53" s="1"/>
  <c r="AD804" i="53"/>
  <c r="AV544" i="53"/>
  <c r="AO544" i="53"/>
  <c r="AT544" i="53" s="1"/>
  <c r="AD544" i="53"/>
  <c r="AO122" i="53"/>
  <c r="AT122" i="53" s="1"/>
  <c r="AV122" i="53"/>
  <c r="AD122" i="53"/>
  <c r="AV991" i="53"/>
  <c r="AO991" i="53"/>
  <c r="AT991" i="53" s="1"/>
  <c r="AD991" i="53"/>
  <c r="AV1057" i="53"/>
  <c r="AO1057" i="53"/>
  <c r="AD1057" i="53"/>
  <c r="AV554" i="53"/>
  <c r="AO554" i="53"/>
  <c r="AT554" i="53" s="1"/>
  <c r="AD554" i="53"/>
  <c r="AV718" i="53"/>
  <c r="AO718" i="53"/>
  <c r="AT718" i="53" s="1"/>
  <c r="AD718" i="53"/>
  <c r="AO61" i="53"/>
  <c r="AV61" i="53"/>
  <c r="AD61" i="53"/>
  <c r="AV413" i="53"/>
  <c r="AO413" i="53"/>
  <c r="AT413" i="53" s="1"/>
  <c r="AD413" i="53"/>
  <c r="AV1010" i="53"/>
  <c r="AO1010" i="53"/>
  <c r="AD1010" i="53"/>
  <c r="AV683" i="53"/>
  <c r="AO683" i="53"/>
  <c r="AD683" i="53"/>
  <c r="AV496" i="53"/>
  <c r="AO496" i="53"/>
  <c r="AD496" i="53"/>
  <c r="AV323" i="53"/>
  <c r="AO323" i="53"/>
  <c r="AT323" i="53" s="1"/>
  <c r="AD323" i="53"/>
  <c r="AO190" i="53"/>
  <c r="AT190" i="53" s="1"/>
  <c r="AV190" i="53"/>
  <c r="AD190" i="53"/>
  <c r="AV1033" i="53"/>
  <c r="AO1033" i="53"/>
  <c r="AD1033" i="53"/>
  <c r="AV1094" i="53"/>
  <c r="AO1094" i="53"/>
  <c r="AT1094" i="53" s="1"/>
  <c r="AD1094" i="53"/>
  <c r="AV1069" i="53"/>
  <c r="AO1069" i="53"/>
  <c r="AT1069" i="53" s="1"/>
  <c r="AD1069" i="53"/>
  <c r="AV936" i="53"/>
  <c r="AO936" i="53"/>
  <c r="AT936" i="53" s="1"/>
  <c r="AD936" i="53"/>
  <c r="AV562" i="53"/>
  <c r="AO562" i="53"/>
  <c r="AT562" i="53" s="1"/>
  <c r="AD562" i="53"/>
  <c r="AV289" i="53"/>
  <c r="AO289" i="53"/>
  <c r="AT289" i="53" s="1"/>
  <c r="AD289" i="53"/>
  <c r="AV677" i="53"/>
  <c r="AO677" i="53"/>
  <c r="AT677" i="53" s="1"/>
  <c r="AD677" i="53"/>
  <c r="AV16" i="53"/>
  <c r="AD16" i="53"/>
  <c r="AO16" i="53"/>
  <c r="AT16" i="53" s="1"/>
  <c r="AV779" i="53"/>
  <c r="AO779" i="53"/>
  <c r="AT779" i="53" s="1"/>
  <c r="AD779" i="53"/>
  <c r="AV593" i="53"/>
  <c r="AO593" i="53"/>
  <c r="AD593" i="53"/>
  <c r="AV682" i="53"/>
  <c r="AO682" i="53"/>
  <c r="AD682" i="53"/>
  <c r="AV633" i="53"/>
  <c r="AO633" i="53"/>
  <c r="AD633" i="53"/>
  <c r="AV434" i="53"/>
  <c r="AO434" i="53"/>
  <c r="AD434" i="53"/>
  <c r="AV665" i="53"/>
  <c r="AO665" i="53"/>
  <c r="AT665" i="53" s="1"/>
  <c r="AD665" i="53"/>
  <c r="AV572" i="53"/>
  <c r="AO572" i="53"/>
  <c r="AT572" i="53" s="1"/>
  <c r="AD572" i="53"/>
  <c r="AV821" i="53"/>
  <c r="AO821" i="53"/>
  <c r="AT821" i="53" s="1"/>
  <c r="AD821" i="53"/>
  <c r="AV909" i="53"/>
  <c r="AO909" i="53"/>
  <c r="AT909" i="53" s="1"/>
  <c r="AD909" i="53"/>
  <c r="AV325" i="53"/>
  <c r="AO325" i="53"/>
  <c r="AT325" i="53" s="1"/>
  <c r="AD325" i="53"/>
  <c r="AV440" i="53"/>
  <c r="AO440" i="53"/>
  <c r="AT440" i="53" s="1"/>
  <c r="AD440" i="53"/>
  <c r="AV624" i="53"/>
  <c r="AO624" i="53"/>
  <c r="AD624" i="53"/>
  <c r="AV253" i="53"/>
  <c r="AO253" i="53"/>
  <c r="AT253" i="53" s="1"/>
  <c r="AD253" i="53"/>
  <c r="AV480" i="53"/>
  <c r="AO480" i="53"/>
  <c r="AT480" i="53" s="1"/>
  <c r="AD480" i="53"/>
  <c r="AV373" i="53"/>
  <c r="AO373" i="53"/>
  <c r="AT373" i="53" s="1"/>
  <c r="AD373" i="53"/>
  <c r="AV828" i="53"/>
  <c r="AO828" i="53"/>
  <c r="AT828" i="53" s="1"/>
  <c r="AD828" i="53"/>
  <c r="AV965" i="53"/>
  <c r="AO965" i="53"/>
  <c r="AD965" i="53"/>
  <c r="AV447" i="53"/>
  <c r="AD447" i="53"/>
  <c r="AO447" i="53"/>
  <c r="AT447" i="53" s="1"/>
  <c r="AV586" i="53"/>
  <c r="AO586" i="53"/>
  <c r="AD586" i="53"/>
  <c r="AO21" i="53"/>
  <c r="AT21" i="53" s="1"/>
  <c r="AV21" i="53"/>
  <c r="AD21" i="53"/>
  <c r="AV932" i="53"/>
  <c r="AO932" i="53"/>
  <c r="AT932" i="53" s="1"/>
  <c r="AD932" i="53"/>
  <c r="AV524" i="53"/>
  <c r="AD524" i="53"/>
  <c r="AO524" i="53"/>
  <c r="AT524" i="53" s="1"/>
  <c r="AV566" i="53"/>
  <c r="AO566" i="53"/>
  <c r="AD566" i="53"/>
  <c r="AV182" i="53"/>
  <c r="AD182" i="53"/>
  <c r="AO182" i="53"/>
  <c r="AT182" i="53" s="1"/>
  <c r="AV15" i="53"/>
  <c r="AO15" i="53"/>
  <c r="AT15" i="53" s="1"/>
  <c r="AD15" i="53"/>
  <c r="AV160" i="53"/>
  <c r="AD160" i="53"/>
  <c r="AO160" i="53"/>
  <c r="AT160" i="53" s="1"/>
  <c r="AV95" i="53"/>
  <c r="AO95" i="53"/>
  <c r="AT95" i="53" s="1"/>
  <c r="AD95" i="53"/>
  <c r="AV294" i="53"/>
  <c r="AO294" i="53"/>
  <c r="AD294" i="53"/>
  <c r="AV292" i="53"/>
  <c r="AO292" i="53"/>
  <c r="AT292" i="53" s="1"/>
  <c r="AD292" i="53"/>
  <c r="AV846" i="53"/>
  <c r="AO846" i="53"/>
  <c r="AT846" i="53" s="1"/>
  <c r="AD846" i="53"/>
  <c r="AV926" i="53"/>
  <c r="AO926" i="53"/>
  <c r="AD926" i="53"/>
  <c r="AV319" i="53"/>
  <c r="AO319" i="53"/>
  <c r="AT319" i="53" s="1"/>
  <c r="AD319" i="53"/>
  <c r="AV454" i="53"/>
  <c r="AO454" i="53"/>
  <c r="AT454" i="53" s="1"/>
  <c r="AD454" i="53"/>
  <c r="AV673" i="53"/>
  <c r="AO673" i="53"/>
  <c r="AD673" i="53"/>
  <c r="AV732" i="53"/>
  <c r="AO732" i="53"/>
  <c r="AT732" i="53" s="1"/>
  <c r="AD732" i="53"/>
  <c r="AV716" i="53"/>
  <c r="AD716" i="53"/>
  <c r="AO716" i="53"/>
  <c r="AV260" i="53"/>
  <c r="AO260" i="53"/>
  <c r="AD260" i="53"/>
  <c r="AV1004" i="53"/>
  <c r="AO1004" i="53"/>
  <c r="AT1004" i="53" s="1"/>
  <c r="AD1004" i="53"/>
  <c r="AV753" i="53"/>
  <c r="AO753" i="53"/>
  <c r="AT753" i="53" s="1"/>
  <c r="AD753" i="53"/>
  <c r="AV764" i="53"/>
  <c r="AO764" i="53"/>
  <c r="AT764" i="53" s="1"/>
  <c r="AD764" i="53"/>
  <c r="AV415" i="53"/>
  <c r="AO415" i="53"/>
  <c r="AT415" i="53" s="1"/>
  <c r="AD415" i="53"/>
  <c r="AV351" i="53"/>
  <c r="AO351" i="53"/>
  <c r="AT351" i="53" s="1"/>
  <c r="AD351" i="53"/>
  <c r="AV747" i="53"/>
  <c r="AO747" i="53"/>
  <c r="AT747" i="53" s="1"/>
  <c r="AD747" i="53"/>
  <c r="AV1025" i="53"/>
  <c r="AO1025" i="53"/>
  <c r="AD1025" i="53"/>
  <c r="AV797" i="53"/>
  <c r="AD797" i="53"/>
  <c r="AO797" i="53"/>
  <c r="AT797" i="53" s="1"/>
  <c r="AO1022" i="53"/>
  <c r="AT1022" i="53" s="1"/>
  <c r="AV1022" i="53"/>
  <c r="AD1022" i="53"/>
  <c r="AV784" i="53"/>
  <c r="AO784" i="53"/>
  <c r="AT784" i="53" s="1"/>
  <c r="AD784" i="53"/>
  <c r="AV597" i="53"/>
  <c r="AO597" i="53"/>
  <c r="AT597" i="53" s="1"/>
  <c r="AD597" i="53"/>
  <c r="AV834" i="53"/>
  <c r="AO834" i="53"/>
  <c r="AT834" i="53" s="1"/>
  <c r="AD834" i="53"/>
  <c r="AV223" i="53"/>
  <c r="AO223" i="53"/>
  <c r="AT223" i="53" s="1"/>
  <c r="AD223" i="53"/>
  <c r="AO188" i="53"/>
  <c r="AV188" i="53"/>
  <c r="AD188" i="53"/>
  <c r="AV20" i="53"/>
  <c r="AD20" i="53"/>
  <c r="AO20" i="53"/>
  <c r="AT20" i="53" s="1"/>
  <c r="AV1017" i="53"/>
  <c r="AO1017" i="53"/>
  <c r="AT1017" i="53" s="1"/>
  <c r="AD1017" i="53"/>
  <c r="AV687" i="53"/>
  <c r="AO687" i="53"/>
  <c r="AD687" i="53"/>
  <c r="AV99" i="53"/>
  <c r="AO99" i="53"/>
  <c r="AT99" i="53" s="1"/>
  <c r="AD99" i="53"/>
  <c r="AV68" i="53"/>
  <c r="AD68" i="53"/>
  <c r="AO68" i="53"/>
  <c r="AT68" i="53" s="1"/>
  <c r="AO73" i="53"/>
  <c r="AT73" i="53" s="1"/>
  <c r="AV73" i="53"/>
  <c r="AD73" i="53"/>
  <c r="AV976" i="53"/>
  <c r="AO976" i="53"/>
  <c r="AT976" i="53" s="1"/>
  <c r="AD976" i="53"/>
  <c r="AO69" i="53"/>
  <c r="AV69" i="53"/>
  <c r="AD69" i="53"/>
  <c r="AV436" i="53"/>
  <c r="AO436" i="53"/>
  <c r="AT436" i="53" s="1"/>
  <c r="AD436" i="53"/>
  <c r="AV52" i="53"/>
  <c r="AO52" i="53"/>
  <c r="AT52" i="53" s="1"/>
  <c r="AD52" i="53"/>
  <c r="AO1038" i="53"/>
  <c r="AV1038" i="53"/>
  <c r="AD1038" i="53"/>
  <c r="AV791" i="53"/>
  <c r="AO791" i="53"/>
  <c r="AT791" i="53" s="1"/>
  <c r="AD791" i="53"/>
  <c r="AV1095" i="53"/>
  <c r="AO1095" i="53"/>
  <c r="AT1095" i="53" s="1"/>
  <c r="AD1095" i="53"/>
  <c r="AV863" i="53"/>
  <c r="AO863" i="53"/>
  <c r="AT863" i="53" s="1"/>
  <c r="AD863" i="53"/>
  <c r="AO154" i="53"/>
  <c r="AV154" i="53"/>
  <c r="AD154" i="53"/>
  <c r="AV430" i="53"/>
  <c r="AO430" i="53"/>
  <c r="AT430" i="53" s="1"/>
  <c r="AD430" i="53"/>
  <c r="AO71" i="53"/>
  <c r="AT71" i="53" s="1"/>
  <c r="AV71" i="53"/>
  <c r="AD71" i="53"/>
  <c r="AV116" i="53"/>
  <c r="AD116" i="53"/>
  <c r="AO116" i="53"/>
  <c r="AT116" i="53" s="1"/>
  <c r="AV612" i="53"/>
  <c r="AO612" i="53"/>
  <c r="AD612" i="53"/>
  <c r="AV579" i="53"/>
  <c r="AO579" i="53"/>
  <c r="AD579" i="53"/>
  <c r="AV1055" i="53"/>
  <c r="AO1055" i="53"/>
  <c r="AT1055" i="53" s="1"/>
  <c r="AD1055" i="53"/>
  <c r="AO108" i="53"/>
  <c r="AT108" i="53" s="1"/>
  <c r="AV108" i="53"/>
  <c r="AD108" i="53"/>
  <c r="AV198" i="53"/>
  <c r="AD198" i="53"/>
  <c r="AO198" i="53"/>
  <c r="AT198" i="53" s="1"/>
  <c r="AV924" i="53"/>
  <c r="AO924" i="53"/>
  <c r="AT924" i="53" s="1"/>
  <c r="AD924" i="53"/>
  <c r="AV1077" i="53"/>
  <c r="AO1077" i="53"/>
  <c r="AT1077" i="53" s="1"/>
  <c r="AD1077" i="53"/>
  <c r="AV484" i="53"/>
  <c r="AO484" i="53"/>
  <c r="AT484" i="53" s="1"/>
  <c r="AD484" i="53"/>
  <c r="AV242" i="53"/>
  <c r="AD242" i="53"/>
  <c r="AO242" i="53"/>
  <c r="AV959" i="53"/>
  <c r="AD959" i="53"/>
  <c r="AO959" i="53"/>
  <c r="AT959" i="53" s="1"/>
  <c r="AV601" i="53"/>
  <c r="AO601" i="53"/>
  <c r="AT601" i="53" s="1"/>
  <c r="AD601" i="53"/>
  <c r="AV700" i="53"/>
  <c r="AD700" i="53"/>
  <c r="AO700" i="53"/>
  <c r="AT700" i="53" s="1"/>
  <c r="AV975" i="53"/>
  <c r="AO975" i="53"/>
  <c r="AT975" i="53" s="1"/>
  <c r="AD975" i="53"/>
  <c r="AV482" i="53"/>
  <c r="AO482" i="53"/>
  <c r="AT482" i="53" s="1"/>
  <c r="AD482" i="53"/>
  <c r="AO43" i="53"/>
  <c r="AV43" i="53"/>
  <c r="AD43" i="53"/>
  <c r="AV934" i="53"/>
  <c r="AO934" i="53"/>
  <c r="AT934" i="53" s="1"/>
  <c r="AD934" i="53"/>
  <c r="AV357" i="53"/>
  <c r="AO357" i="53"/>
  <c r="AT357" i="53" s="1"/>
  <c r="AD357" i="53"/>
  <c r="AV339" i="53"/>
  <c r="AO339" i="53"/>
  <c r="AD339" i="53"/>
  <c r="AV705" i="53"/>
  <c r="AO705" i="53"/>
  <c r="AD705" i="53"/>
  <c r="AO53" i="53"/>
  <c r="AT53" i="53" s="1"/>
  <c r="AV53" i="53"/>
  <c r="AD53" i="53"/>
  <c r="AV1042" i="53"/>
  <c r="AO1042" i="53"/>
  <c r="AD1042" i="53"/>
  <c r="AV819" i="53"/>
  <c r="AO819" i="53"/>
  <c r="AT819" i="53" s="1"/>
  <c r="AD819" i="53"/>
  <c r="AV420" i="53"/>
  <c r="AO420" i="53"/>
  <c r="AD420" i="53"/>
  <c r="AV721" i="53"/>
  <c r="AO721" i="53"/>
  <c r="AD721" i="53"/>
  <c r="AV725" i="53"/>
  <c r="AO725" i="53"/>
  <c r="AT725" i="53" s="1"/>
  <c r="AD725" i="53"/>
  <c r="AV318" i="53"/>
  <c r="AO318" i="53"/>
  <c r="AT318" i="53" s="1"/>
  <c r="AD318" i="53"/>
  <c r="AV164" i="53"/>
  <c r="AD164" i="53"/>
  <c r="AO164" i="53"/>
  <c r="AT164" i="53" s="1"/>
  <c r="AV737" i="53"/>
  <c r="AO737" i="53"/>
  <c r="AD737" i="53"/>
  <c r="AO170" i="53"/>
  <c r="AT170" i="53" s="1"/>
  <c r="AV170" i="53"/>
  <c r="AD170" i="53"/>
  <c r="AV941" i="53"/>
  <c r="AO941" i="53"/>
  <c r="AT941" i="53" s="1"/>
  <c r="AD941" i="53"/>
  <c r="AV996" i="53"/>
  <c r="AO996" i="53"/>
  <c r="AT996" i="53" s="1"/>
  <c r="AD996" i="53"/>
  <c r="AV433" i="53"/>
  <c r="AO433" i="53"/>
  <c r="AT433" i="53" s="1"/>
  <c r="AD433" i="53"/>
  <c r="AV261" i="53"/>
  <c r="AO261" i="53"/>
  <c r="AT261" i="53" s="1"/>
  <c r="AD261" i="53"/>
  <c r="AV837" i="53"/>
  <c r="AO837" i="53"/>
  <c r="AT837" i="53" s="1"/>
  <c r="AD837" i="53"/>
  <c r="AV852" i="53"/>
  <c r="AO852" i="53"/>
  <c r="AT852" i="53" s="1"/>
  <c r="AD852" i="53"/>
  <c r="AV327" i="53"/>
  <c r="AO327" i="53"/>
  <c r="AT327" i="53" s="1"/>
  <c r="AD327" i="53"/>
  <c r="AV775" i="53"/>
  <c r="AO775" i="53"/>
  <c r="AT775" i="53" s="1"/>
  <c r="AD775" i="53"/>
  <c r="AV968" i="53"/>
  <c r="AO968" i="53"/>
  <c r="AT968" i="53" s="1"/>
  <c r="AD968" i="53"/>
  <c r="AV712" i="53"/>
  <c r="AO712" i="53"/>
  <c r="AT712" i="53" s="1"/>
  <c r="AD712" i="53"/>
  <c r="AO145" i="53"/>
  <c r="AV145" i="53"/>
  <c r="AD145" i="53"/>
  <c r="AV955" i="53"/>
  <c r="AO955" i="53"/>
  <c r="AT955" i="53" s="1"/>
  <c r="AD955" i="53"/>
  <c r="AV930" i="53"/>
  <c r="AO930" i="53"/>
  <c r="AT930" i="53" s="1"/>
  <c r="AD930" i="53"/>
  <c r="AO129" i="53"/>
  <c r="AV129" i="53"/>
  <c r="AD129" i="53"/>
  <c r="AO187" i="53"/>
  <c r="AV187" i="53"/>
  <c r="AD187" i="53"/>
  <c r="AV570" i="53"/>
  <c r="AO570" i="53"/>
  <c r="AT570" i="53" s="1"/>
  <c r="AD570" i="53"/>
  <c r="AV960" i="53"/>
  <c r="AO960" i="53"/>
  <c r="AD960" i="53"/>
  <c r="AV1016" i="53"/>
  <c r="AO1016" i="53"/>
  <c r="AD1016" i="53"/>
  <c r="AV416" i="53"/>
  <c r="AO416" i="53"/>
  <c r="AT416" i="53" s="1"/>
  <c r="AD416" i="53"/>
  <c r="AV63" i="53"/>
  <c r="AO63" i="53"/>
  <c r="AT63" i="53" s="1"/>
  <c r="AD63" i="53"/>
  <c r="AV630" i="53"/>
  <c r="AO630" i="53"/>
  <c r="AT630" i="53" s="1"/>
  <c r="AD630" i="53"/>
  <c r="AV243" i="53"/>
  <c r="AD243" i="53"/>
  <c r="AO243" i="53"/>
  <c r="AV762" i="53"/>
  <c r="AO762" i="53"/>
  <c r="AT762" i="53" s="1"/>
  <c r="AD762" i="53"/>
  <c r="AO106" i="53"/>
  <c r="AV106" i="53"/>
  <c r="AD106" i="53"/>
  <c r="AO213" i="53"/>
  <c r="AV213" i="53"/>
  <c r="AD213" i="53"/>
  <c r="AV36" i="53"/>
  <c r="AO36" i="53"/>
  <c r="AT36" i="53" s="1"/>
  <c r="AD36" i="53"/>
  <c r="AV752" i="53"/>
  <c r="AO752" i="53"/>
  <c r="AD752" i="53"/>
  <c r="AV604" i="53"/>
  <c r="AD604" i="53"/>
  <c r="AO604" i="53"/>
  <c r="AV686" i="53"/>
  <c r="AO686" i="53"/>
  <c r="AT686" i="53" s="1"/>
  <c r="AD686" i="53"/>
  <c r="AV1072" i="53"/>
  <c r="AO1072" i="53"/>
  <c r="AT1072" i="53" s="1"/>
  <c r="AD1072" i="53"/>
  <c r="AO17" i="53"/>
  <c r="AV17" i="53"/>
  <c r="AD17" i="53"/>
  <c r="AV266" i="53"/>
  <c r="AO266" i="53"/>
  <c r="AD266" i="53"/>
  <c r="AV1003" i="53"/>
  <c r="AO1003" i="53"/>
  <c r="AD1003" i="53"/>
  <c r="AV1051" i="53"/>
  <c r="AO1051" i="53"/>
  <c r="AT1051" i="53" s="1"/>
  <c r="AD1051" i="53"/>
  <c r="AV651" i="53"/>
  <c r="AO651" i="53"/>
  <c r="AD651" i="53"/>
  <c r="AV652" i="53"/>
  <c r="AO652" i="53"/>
  <c r="AD652" i="53"/>
  <c r="AV848" i="53"/>
  <c r="AO848" i="53"/>
  <c r="AT848" i="53" s="1"/>
  <c r="AD848" i="53"/>
  <c r="AV322" i="53"/>
  <c r="AO322" i="53"/>
  <c r="AT322" i="53" s="1"/>
  <c r="AD322" i="53"/>
  <c r="AV350" i="53"/>
  <c r="AO350" i="53"/>
  <c r="AD350" i="53"/>
  <c r="AV937" i="53"/>
  <c r="AO937" i="53"/>
  <c r="AT937" i="53" s="1"/>
  <c r="AD937" i="53"/>
  <c r="AV647" i="53"/>
  <c r="AO647" i="53"/>
  <c r="AD647" i="53"/>
  <c r="AV467" i="53"/>
  <c r="AO467" i="53"/>
  <c r="AT467" i="53" s="1"/>
  <c r="AD467" i="53"/>
  <c r="AV610" i="53"/>
  <c r="AO610" i="53"/>
  <c r="AT610" i="53" s="1"/>
  <c r="AD610" i="53"/>
  <c r="AV192" i="53"/>
  <c r="AD192" i="53"/>
  <c r="AO192" i="53"/>
  <c r="AV1050" i="53"/>
  <c r="AO1050" i="53"/>
  <c r="AT1050" i="53" s="1"/>
  <c r="AD1050" i="53"/>
  <c r="AV184" i="53"/>
  <c r="AO184" i="53"/>
  <c r="AD184" i="53"/>
  <c r="AV1061" i="53"/>
  <c r="AO1061" i="53"/>
  <c r="AT1061" i="53" s="1"/>
  <c r="AD1061" i="53"/>
  <c r="AO234" i="53"/>
  <c r="AV234" i="53"/>
  <c r="AD234" i="53"/>
  <c r="AV904" i="53"/>
  <c r="AO904" i="53"/>
  <c r="AT904" i="53" s="1"/>
  <c r="AD904" i="53"/>
  <c r="AV754" i="53"/>
  <c r="AO754" i="53"/>
  <c r="AT754" i="53" s="1"/>
  <c r="AD754" i="53"/>
  <c r="AO217" i="53"/>
  <c r="AT217" i="53" s="1"/>
  <c r="AV217" i="53"/>
  <c r="AD217" i="53"/>
  <c r="AO56" i="53"/>
  <c r="AV56" i="53"/>
  <c r="AD56" i="53"/>
  <c r="AV4" i="53"/>
  <c r="AD4" i="53"/>
  <c r="AO4" i="53"/>
  <c r="AO37" i="53"/>
  <c r="AV37" i="53"/>
  <c r="AD37" i="53"/>
  <c r="AV788" i="53"/>
  <c r="AO788" i="53"/>
  <c r="AT788" i="53" s="1"/>
  <c r="AD788" i="53"/>
  <c r="AV195" i="53"/>
  <c r="AD195" i="53"/>
  <c r="AO195" i="53"/>
  <c r="AV176" i="53"/>
  <c r="AD176" i="53"/>
  <c r="AO176" i="53"/>
  <c r="AV957" i="53"/>
  <c r="AD957" i="53"/>
  <c r="AO957" i="53"/>
  <c r="AT957" i="53" s="1"/>
  <c r="AO151" i="53"/>
  <c r="AV151" i="53"/>
  <c r="AD151" i="53"/>
  <c r="AO202" i="53"/>
  <c r="AT202" i="53" s="1"/>
  <c r="AV202" i="53"/>
  <c r="AD202" i="53"/>
  <c r="AV211" i="53"/>
  <c r="AO211" i="53"/>
  <c r="AT211" i="53" s="1"/>
  <c r="AD211" i="53"/>
  <c r="AV335" i="53"/>
  <c r="AO335" i="53"/>
  <c r="AT335" i="53" s="1"/>
  <c r="AD335" i="53"/>
  <c r="AO218" i="53"/>
  <c r="AT218" i="53" s="1"/>
  <c r="AV218" i="53"/>
  <c r="AD218" i="53"/>
  <c r="AV283" i="53"/>
  <c r="AO283" i="53"/>
  <c r="AD283" i="53"/>
  <c r="AV225" i="53"/>
  <c r="AD225" i="53"/>
  <c r="AO225" i="53"/>
  <c r="AV717" i="53"/>
  <c r="AD717" i="53"/>
  <c r="AO717" i="53"/>
  <c r="AV268" i="53"/>
  <c r="AD268" i="53"/>
  <c r="AO268" i="53"/>
  <c r="AT268" i="53" s="1"/>
  <c r="AO221" i="53"/>
  <c r="AT221" i="53" s="1"/>
  <c r="AV221" i="53"/>
  <c r="AD221" i="53"/>
  <c r="AV1031" i="53"/>
  <c r="AO1031" i="53"/>
  <c r="AD1031" i="53"/>
  <c r="AO510" i="53"/>
  <c r="AV510" i="53"/>
  <c r="AD510" i="53"/>
  <c r="AV282" i="53"/>
  <c r="AO282" i="53"/>
  <c r="AT282" i="53" s="1"/>
  <c r="AD282" i="53"/>
  <c r="AO229" i="53"/>
  <c r="AT229" i="53" s="1"/>
  <c r="AV229" i="53"/>
  <c r="AD229" i="53"/>
  <c r="AO94" i="53"/>
  <c r="AT94" i="53" s="1"/>
  <c r="AV94" i="53"/>
  <c r="AD94" i="53"/>
  <c r="AV397" i="53"/>
  <c r="AO397" i="53"/>
  <c r="AT397" i="53" s="1"/>
  <c r="AD397" i="53"/>
  <c r="AV771" i="53"/>
  <c r="AO771" i="53"/>
  <c r="AD771" i="53"/>
  <c r="AV287" i="53"/>
  <c r="AO287" i="53"/>
  <c r="AD287" i="53"/>
  <c r="AV920" i="53"/>
  <c r="AO920" i="53"/>
  <c r="AT920" i="53" s="1"/>
  <c r="AD920" i="53"/>
  <c r="AV709" i="53"/>
  <c r="AO709" i="53"/>
  <c r="AD709" i="53"/>
  <c r="AV886" i="53"/>
  <c r="AO886" i="53"/>
  <c r="AT886" i="53" s="1"/>
  <c r="AD886" i="53"/>
  <c r="AV112" i="53"/>
  <c r="AD112" i="53"/>
  <c r="AO112" i="53"/>
  <c r="AT112" i="53" s="1"/>
  <c r="AV100" i="53"/>
  <c r="AD100" i="53"/>
  <c r="AO100" i="53"/>
  <c r="AT100" i="53" s="1"/>
  <c r="AV531" i="53"/>
  <c r="AO531" i="53"/>
  <c r="AT531" i="53" s="1"/>
  <c r="AD531" i="53"/>
  <c r="AO765" i="53"/>
  <c r="AT765" i="53" s="1"/>
  <c r="AD765" i="53"/>
  <c r="AV765" i="53"/>
  <c r="AV813" i="53"/>
  <c r="AO813" i="53"/>
  <c r="AT813" i="53" s="1"/>
  <c r="AD813" i="53"/>
  <c r="AV523" i="53"/>
  <c r="AO523" i="53"/>
  <c r="AD523" i="53"/>
  <c r="AV535" i="53"/>
  <c r="AO535" i="53"/>
  <c r="AT535" i="53" s="1"/>
  <c r="AD535" i="53"/>
  <c r="AV423" i="53"/>
  <c r="AO423" i="53"/>
  <c r="AD423" i="53"/>
  <c r="AO110" i="53"/>
  <c r="AT110" i="53" s="1"/>
  <c r="AV110" i="53"/>
  <c r="AD110" i="53"/>
  <c r="AV214" i="53"/>
  <c r="AO214" i="53"/>
  <c r="AD214" i="53"/>
  <c r="AV247" i="53"/>
  <c r="AD247" i="53"/>
  <c r="AO247" i="53"/>
  <c r="AT247" i="53" s="1"/>
  <c r="AV751" i="53"/>
  <c r="AO751" i="53"/>
  <c r="AT751" i="53" s="1"/>
  <c r="AD751" i="53"/>
  <c r="AV875" i="53"/>
  <c r="AO875" i="53"/>
  <c r="AD875" i="53"/>
  <c r="AV995" i="53"/>
  <c r="AO995" i="53"/>
  <c r="AT995" i="53" s="1"/>
  <c r="AD995" i="53"/>
  <c r="AV897" i="53"/>
  <c r="AO897" i="53"/>
  <c r="AT897" i="53" s="1"/>
  <c r="AD897" i="53"/>
  <c r="AV734" i="53"/>
  <c r="AO734" i="53"/>
  <c r="AT734" i="53" s="1"/>
  <c r="AD734" i="53"/>
  <c r="AV469" i="53"/>
  <c r="AO469" i="53"/>
  <c r="AT469" i="53" s="1"/>
  <c r="AD469" i="53"/>
  <c r="AO162" i="53"/>
  <c r="AT162" i="53" s="1"/>
  <c r="AV162" i="53"/>
  <c r="AD162" i="53"/>
  <c r="AV1041" i="53"/>
  <c r="AO1041" i="53"/>
  <c r="AD1041" i="53"/>
  <c r="AV426" i="53"/>
  <c r="AO426" i="53"/>
  <c r="AT426" i="53" s="1"/>
  <c r="AD426" i="53"/>
  <c r="AV883" i="53"/>
  <c r="AO883" i="53"/>
  <c r="AT883" i="53" s="1"/>
  <c r="AD883" i="53"/>
  <c r="AV1100" i="53"/>
  <c r="AD1100" i="53"/>
  <c r="AO1100" i="53"/>
  <c r="AT1100" i="53" s="1"/>
  <c r="AO39" i="53"/>
  <c r="AT39" i="53" s="1"/>
  <c r="AV39" i="53"/>
  <c r="AD39" i="53"/>
  <c r="AV906" i="53"/>
  <c r="AO906" i="53"/>
  <c r="AT906" i="53" s="1"/>
  <c r="AD906" i="53"/>
  <c r="AV997" i="53"/>
  <c r="AO997" i="53"/>
  <c r="AD997" i="53"/>
  <c r="AV896" i="53"/>
  <c r="AO896" i="53"/>
  <c r="AT896" i="53" s="1"/>
  <c r="AD896" i="53"/>
  <c r="AV584" i="53"/>
  <c r="AO584" i="53"/>
  <c r="AT584" i="53" s="1"/>
  <c r="AD584" i="53"/>
  <c r="AV763" i="53"/>
  <c r="AO763" i="53"/>
  <c r="AT763" i="53" s="1"/>
  <c r="AD763" i="53"/>
  <c r="AV1045" i="53"/>
  <c r="AO1045" i="53"/>
  <c r="AD1045" i="53"/>
  <c r="AV873" i="53"/>
  <c r="AO873" i="53"/>
  <c r="AT873" i="53" s="1"/>
  <c r="AD873" i="53"/>
  <c r="AV483" i="53"/>
  <c r="AO483" i="53"/>
  <c r="AT483" i="53" s="1"/>
  <c r="AD483" i="53"/>
  <c r="AV383" i="53"/>
  <c r="AO383" i="53"/>
  <c r="AT383" i="53" s="1"/>
  <c r="AD383" i="53"/>
  <c r="AV913" i="53"/>
  <c r="AO913" i="53"/>
  <c r="AT913" i="53" s="1"/>
  <c r="AD913" i="53"/>
  <c r="AO24" i="53"/>
  <c r="AT24" i="53" s="1"/>
  <c r="AV24" i="53"/>
  <c r="AD24" i="53"/>
  <c r="AV969" i="53"/>
  <c r="AO969" i="53"/>
  <c r="AT969" i="53" s="1"/>
  <c r="AD969" i="53"/>
  <c r="AO140" i="53"/>
  <c r="AV140" i="53"/>
  <c r="AD140" i="53"/>
  <c r="AV346" i="53"/>
  <c r="AO346" i="53"/>
  <c r="AT346" i="53" s="1"/>
  <c r="AD346" i="53"/>
  <c r="AV1065" i="53"/>
  <c r="AO1065" i="53"/>
  <c r="AT1065" i="53" s="1"/>
  <c r="AD1065" i="53"/>
  <c r="AV761" i="53"/>
  <c r="AO761" i="53"/>
  <c r="AD761" i="53"/>
  <c r="AV621" i="53"/>
  <c r="AD621" i="53"/>
  <c r="AO621" i="53"/>
  <c r="AT621" i="53" s="1"/>
  <c r="AV232" i="53"/>
  <c r="AO232" i="53"/>
  <c r="AD232" i="53"/>
  <c r="AV308" i="53"/>
  <c r="AO308" i="53"/>
  <c r="AD308" i="53"/>
  <c r="AV892" i="53"/>
  <c r="AD892" i="53"/>
  <c r="AO892" i="53"/>
  <c r="AT892" i="53" s="1"/>
  <c r="AV1067" i="53"/>
  <c r="AO1067" i="53"/>
  <c r="AD1067" i="53"/>
  <c r="AV767" i="53"/>
  <c r="AO767" i="53"/>
  <c r="AT767" i="53" s="1"/>
  <c r="AD767" i="53"/>
  <c r="AV1058" i="53"/>
  <c r="AO1058" i="53"/>
  <c r="AD1058" i="53"/>
  <c r="AV672" i="53"/>
  <c r="AO672" i="53"/>
  <c r="AT672" i="53" s="1"/>
  <c r="AD672" i="53"/>
  <c r="AV545" i="53"/>
  <c r="AO545" i="53"/>
  <c r="AD545" i="53"/>
  <c r="AV748" i="53"/>
  <c r="AO748" i="53"/>
  <c r="AD748" i="53"/>
  <c r="AO203" i="53"/>
  <c r="AT203" i="53" s="1"/>
  <c r="AV203" i="53"/>
  <c r="AD203" i="53"/>
  <c r="AV879" i="53"/>
  <c r="AD879" i="53"/>
  <c r="AO879" i="53"/>
  <c r="AV845" i="53"/>
  <c r="AO845" i="53"/>
  <c r="AT845" i="53" s="1"/>
  <c r="AD845" i="53"/>
  <c r="AV352" i="53"/>
  <c r="AO352" i="53"/>
  <c r="AT352" i="53" s="1"/>
  <c r="AD352" i="53"/>
  <c r="AO1074" i="53"/>
  <c r="AT1074" i="53" s="1"/>
  <c r="AV1074" i="53"/>
  <c r="AD1074" i="53"/>
  <c r="AO894" i="53"/>
  <c r="AT894" i="53" s="1"/>
  <c r="AV894" i="53"/>
  <c r="AD894" i="53"/>
  <c r="AO219" i="53"/>
  <c r="AT219" i="53" s="1"/>
  <c r="AV219" i="53"/>
  <c r="AD219" i="53"/>
  <c r="AV486" i="53"/>
  <c r="AO486" i="53"/>
  <c r="AT486" i="53" s="1"/>
  <c r="AD486" i="53"/>
  <c r="AO125" i="53"/>
  <c r="AT125" i="53" s="1"/>
  <c r="AV125" i="53"/>
  <c r="AD125" i="53"/>
  <c r="AV967" i="53"/>
  <c r="AO967" i="53"/>
  <c r="AT967" i="53" s="1"/>
  <c r="AD967" i="53"/>
  <c r="AV209" i="53"/>
  <c r="AO209" i="53"/>
  <c r="AD209" i="53"/>
  <c r="AV532" i="53"/>
  <c r="AO532" i="53"/>
  <c r="AT532" i="53" s="1"/>
  <c r="AD532" i="53"/>
  <c r="AO22" i="53"/>
  <c r="AT22" i="53" s="1"/>
  <c r="AV22" i="53"/>
  <c r="AD22" i="53"/>
  <c r="AO1090" i="53"/>
  <c r="AT1090" i="53" s="1"/>
  <c r="AV1090" i="53"/>
  <c r="AD1090" i="53"/>
  <c r="AV889" i="53"/>
  <c r="AO889" i="53"/>
  <c r="AT889" i="53" s="1"/>
  <c r="AD889" i="53"/>
  <c r="AV438" i="53"/>
  <c r="AO438" i="53"/>
  <c r="AT438" i="53" s="1"/>
  <c r="AD438" i="53"/>
  <c r="AV814" i="53"/>
  <c r="AO814" i="53"/>
  <c r="AD814" i="53"/>
  <c r="AV857" i="53"/>
  <c r="AO857" i="53"/>
  <c r="AT857" i="53" s="1"/>
  <c r="AD857" i="53"/>
  <c r="AV805" i="53"/>
  <c r="AO805" i="53"/>
  <c r="AT805" i="53" s="1"/>
  <c r="AD805" i="53"/>
  <c r="AV695" i="53"/>
  <c r="AO695" i="53"/>
  <c r="AD695" i="53"/>
  <c r="AO156" i="53"/>
  <c r="AV156" i="53"/>
  <c r="AD156" i="53"/>
  <c r="AV285" i="53"/>
  <c r="AD285" i="53"/>
  <c r="AO285" i="53"/>
  <c r="AT285" i="53" s="1"/>
  <c r="AV328" i="53"/>
  <c r="AO328" i="53"/>
  <c r="AT328" i="53" s="1"/>
  <c r="AD328" i="53"/>
  <c r="AV305" i="53"/>
  <c r="AO305" i="53"/>
  <c r="AD305" i="53"/>
  <c r="AV564" i="53"/>
  <c r="AO564" i="53"/>
  <c r="AD564" i="53"/>
  <c r="AV715" i="53"/>
  <c r="AO715" i="53"/>
  <c r="AD715" i="53"/>
  <c r="AV481" i="53"/>
  <c r="AO481" i="53"/>
  <c r="AT481" i="53" s="1"/>
  <c r="AD481" i="53"/>
  <c r="AV288" i="53"/>
  <c r="AO288" i="53"/>
  <c r="AD288" i="53"/>
  <c r="AV1086" i="53"/>
  <c r="AD1086" i="53"/>
  <c r="AO1086" i="53"/>
  <c r="AT1086" i="53" s="1"/>
  <c r="AO104" i="53"/>
  <c r="AT104" i="53" s="1"/>
  <c r="AV104" i="53"/>
  <c r="AD104" i="53"/>
  <c r="AV907" i="53"/>
  <c r="AO907" i="53"/>
  <c r="AT907" i="53" s="1"/>
  <c r="AD907" i="53"/>
  <c r="AO161" i="53"/>
  <c r="AT161" i="53" s="1"/>
  <c r="AV161" i="53"/>
  <c r="AD161" i="53"/>
  <c r="AV882" i="53"/>
  <c r="AO882" i="53"/>
  <c r="AD882" i="53"/>
  <c r="AV1046" i="53"/>
  <c r="AO1046" i="53"/>
  <c r="AD1046" i="53"/>
  <c r="AV421" i="53"/>
  <c r="AO421" i="53"/>
  <c r="AD421" i="53"/>
  <c r="AV527" i="53"/>
  <c r="AD527" i="53"/>
  <c r="AO527" i="53"/>
  <c r="AV858" i="53"/>
  <c r="AO858" i="53"/>
  <c r="AT858" i="53" s="1"/>
  <c r="AD858" i="53"/>
  <c r="AO236" i="53"/>
  <c r="AT236" i="53" s="1"/>
  <c r="AV236" i="53"/>
  <c r="AD236" i="53"/>
  <c r="AV931" i="53"/>
  <c r="AO931" i="53"/>
  <c r="AT931" i="53" s="1"/>
  <c r="AD931" i="53"/>
  <c r="AV954" i="53"/>
  <c r="AO954" i="53"/>
  <c r="AT954" i="53" s="1"/>
  <c r="AD954" i="53"/>
  <c r="AV685" i="53"/>
  <c r="AO685" i="53"/>
  <c r="AD685" i="53"/>
  <c r="AV1047" i="53"/>
  <c r="AO1047" i="53"/>
  <c r="AT1047" i="53" s="1"/>
  <c r="AD1047" i="53"/>
  <c r="AV404" i="53"/>
  <c r="AO404" i="53"/>
  <c r="AD404" i="53"/>
  <c r="AV849" i="53"/>
  <c r="AO849" i="53"/>
  <c r="AT849" i="53" s="1"/>
  <c r="AD849" i="53"/>
  <c r="AV649" i="53"/>
  <c r="AO649" i="53"/>
  <c r="AT649" i="53" s="1"/>
  <c r="AD649" i="53"/>
  <c r="AV648" i="53"/>
  <c r="AO648" i="53"/>
  <c r="AT648" i="53" s="1"/>
  <c r="AD648" i="53"/>
  <c r="AV520" i="53"/>
  <c r="AO520" i="53"/>
  <c r="AD520" i="53"/>
  <c r="AV265" i="53"/>
  <c r="AO265" i="53"/>
  <c r="AD265" i="53"/>
  <c r="AV789" i="53"/>
  <c r="AO789" i="53"/>
  <c r="AT789" i="53" s="1"/>
  <c r="AD789" i="53"/>
  <c r="AV867" i="53"/>
  <c r="AO867" i="53"/>
  <c r="AT867" i="53" s="1"/>
  <c r="AD867" i="53"/>
  <c r="AV1073" i="53"/>
  <c r="AO1073" i="53"/>
  <c r="AT1073" i="53" s="1"/>
  <c r="AD1073" i="53"/>
  <c r="AV801" i="53"/>
  <c r="AO801" i="53"/>
  <c r="AD801" i="53"/>
  <c r="AV667" i="53"/>
  <c r="AO667" i="53"/>
  <c r="AD667" i="53"/>
  <c r="AV255" i="53"/>
  <c r="AO255" i="53"/>
  <c r="AT255" i="53" s="1"/>
  <c r="AD255" i="53"/>
  <c r="AV414" i="53"/>
  <c r="AO414" i="53"/>
  <c r="AT414" i="53" s="1"/>
  <c r="AD414" i="53"/>
  <c r="AV855" i="53"/>
  <c r="AO855" i="53"/>
  <c r="AT855" i="53" s="1"/>
  <c r="AD855" i="53"/>
  <c r="AV455" i="53"/>
  <c r="AO455" i="53"/>
  <c r="AT455" i="53" s="1"/>
  <c r="AD455" i="53"/>
  <c r="AV1063" i="53"/>
  <c r="AO1063" i="53"/>
  <c r="AT1063" i="53" s="1"/>
  <c r="AD1063" i="53"/>
  <c r="AV361" i="53"/>
  <c r="AO361" i="53"/>
  <c r="AT361" i="53" s="1"/>
  <c r="AD361" i="53"/>
  <c r="AV744" i="53"/>
  <c r="AO744" i="53"/>
  <c r="AT744" i="53" s="1"/>
  <c r="AD744" i="53"/>
  <c r="AV456" i="53"/>
  <c r="AO456" i="53"/>
  <c r="AT456" i="53" s="1"/>
  <c r="AD456" i="53"/>
  <c r="AV1102" i="53"/>
  <c r="AO1102" i="53"/>
  <c r="AT1102" i="53" s="1"/>
  <c r="AD1102" i="53"/>
  <c r="AV1013" i="53"/>
  <c r="AO1013" i="53"/>
  <c r="AT1013" i="53" s="1"/>
  <c r="AD1013" i="53"/>
  <c r="AV1048" i="53"/>
  <c r="AO1048" i="53"/>
  <c r="AT1048" i="53" s="1"/>
  <c r="AD1048" i="53"/>
  <c r="AV380" i="53"/>
  <c r="AD380" i="53"/>
  <c r="AO380" i="53"/>
  <c r="AT380" i="53" s="1"/>
  <c r="AO146" i="53"/>
  <c r="AT146" i="53" s="1"/>
  <c r="AV146" i="53"/>
  <c r="AD146" i="53"/>
  <c r="AV518" i="53"/>
  <c r="AO518" i="53"/>
  <c r="AD518" i="53"/>
  <c r="AV823" i="53"/>
  <c r="AO823" i="53"/>
  <c r="AT823" i="53" s="1"/>
  <c r="AD823" i="53"/>
  <c r="AV927" i="53"/>
  <c r="AO927" i="53"/>
  <c r="AT927" i="53" s="1"/>
  <c r="AD927" i="53"/>
  <c r="AV770" i="53"/>
  <c r="AO770" i="53"/>
  <c r="AT770" i="53" s="1"/>
  <c r="AD770" i="53"/>
  <c r="AV902" i="53"/>
  <c r="AO902" i="53"/>
  <c r="AT902" i="53" s="1"/>
  <c r="AD902" i="53"/>
  <c r="AV1015" i="53"/>
  <c r="AO1015" i="53"/>
  <c r="AD1015" i="53"/>
  <c r="AV405" i="53"/>
  <c r="AO405" i="53"/>
  <c r="AD405" i="53"/>
  <c r="AV503" i="53"/>
  <c r="AO503" i="53"/>
  <c r="AT503" i="53" s="1"/>
  <c r="AD503" i="53"/>
  <c r="AV497" i="53"/>
  <c r="AO497" i="53"/>
  <c r="AT497" i="53" s="1"/>
  <c r="AD497" i="53"/>
  <c r="AV1070" i="53"/>
  <c r="AO1070" i="53"/>
  <c r="AT1070" i="53" s="1"/>
  <c r="AD1070" i="53"/>
  <c r="AV1021" i="53"/>
  <c r="AD1021" i="53"/>
  <c r="AO1021" i="53"/>
  <c r="AV853" i="53"/>
  <c r="AO853" i="53"/>
  <c r="AT853" i="53" s="1"/>
  <c r="AD853" i="53"/>
  <c r="AV740" i="53"/>
  <c r="AO740" i="53"/>
  <c r="AD740" i="53"/>
  <c r="AV96" i="53"/>
  <c r="AD96" i="53"/>
  <c r="AO96" i="53"/>
  <c r="AV1030" i="53"/>
  <c r="AO1030" i="53"/>
  <c r="AD1030" i="53"/>
  <c r="AO59" i="53"/>
  <c r="AT59" i="53" s="1"/>
  <c r="AV59" i="53"/>
  <c r="AD59" i="53"/>
  <c r="AV571" i="53"/>
  <c r="AO571" i="53"/>
  <c r="AT571" i="53" s="1"/>
  <c r="AD571" i="53"/>
  <c r="AV504" i="53"/>
  <c r="AO504" i="53"/>
  <c r="AT504" i="53" s="1"/>
  <c r="AD504" i="53"/>
  <c r="AV460" i="53"/>
  <c r="AD460" i="53"/>
  <c r="AO460" i="53"/>
  <c r="AT460" i="53" s="1"/>
  <c r="AV299" i="53"/>
  <c r="AO299" i="53"/>
  <c r="AD299" i="53"/>
  <c r="AV949" i="53"/>
  <c r="AO949" i="53"/>
  <c r="AD949" i="53"/>
  <c r="AV417" i="53"/>
  <c r="AO417" i="53"/>
  <c r="AD417" i="53"/>
  <c r="AV356" i="53"/>
  <c r="AO356" i="53"/>
  <c r="AT356" i="53" s="1"/>
  <c r="AD356" i="53"/>
  <c r="AV878" i="53"/>
  <c r="AO878" i="53"/>
  <c r="AT878" i="53" s="1"/>
  <c r="AD878" i="53"/>
  <c r="AV592" i="53"/>
  <c r="AO592" i="53"/>
  <c r="AT592" i="53" s="1"/>
  <c r="AD592" i="53"/>
  <c r="AV354" i="53"/>
  <c r="AO354" i="53"/>
  <c r="AT354" i="53" s="1"/>
  <c r="AD354" i="53"/>
  <c r="AV912" i="53"/>
  <c r="AO912" i="53"/>
  <c r="AT912" i="53" s="1"/>
  <c r="AD912" i="53"/>
  <c r="AV945" i="53"/>
  <c r="AO945" i="53"/>
  <c r="AD945" i="53"/>
  <c r="AV832" i="53"/>
  <c r="AO832" i="53"/>
  <c r="AT832" i="53" s="1"/>
  <c r="AD832" i="53"/>
  <c r="AV244" i="53"/>
  <c r="AD244" i="53"/>
  <c r="AO244" i="53"/>
  <c r="AV365" i="53"/>
  <c r="AD365" i="53"/>
  <c r="AO365" i="53"/>
  <c r="AT365" i="53" s="1"/>
  <c r="AV336" i="53"/>
  <c r="AO336" i="53"/>
  <c r="AT336" i="53" s="1"/>
  <c r="AD336" i="53"/>
  <c r="AV962" i="53"/>
  <c r="AO962" i="53"/>
  <c r="AD962" i="53"/>
  <c r="AV623" i="53"/>
  <c r="AD623" i="53"/>
  <c r="AO623" i="53"/>
  <c r="AV724" i="53"/>
  <c r="AO724" i="53"/>
  <c r="AT724" i="53" s="1"/>
  <c r="AD724" i="53"/>
  <c r="AV375" i="53"/>
  <c r="AO375" i="53"/>
  <c r="AT375" i="53" s="1"/>
  <c r="AD375" i="53"/>
  <c r="AV634" i="53"/>
  <c r="AO634" i="53"/>
  <c r="AD634" i="53"/>
  <c r="AV167" i="53"/>
  <c r="AD167" i="53"/>
  <c r="AO167" i="53"/>
  <c r="AT167" i="53" s="1"/>
  <c r="AV756" i="53"/>
  <c r="AO756" i="53"/>
  <c r="AT756" i="53" s="1"/>
  <c r="AD756" i="53"/>
  <c r="AO177" i="53"/>
  <c r="AV177" i="53"/>
  <c r="AD177" i="53"/>
  <c r="AV67" i="53"/>
  <c r="AO67" i="53"/>
  <c r="AT67" i="53" s="1"/>
  <c r="AD67" i="53"/>
  <c r="AV833" i="53"/>
  <c r="AO833" i="53"/>
  <c r="AT833" i="53" s="1"/>
  <c r="AD833" i="53"/>
  <c r="AO66" i="53"/>
  <c r="AT66" i="53" s="1"/>
  <c r="AV66" i="53"/>
  <c r="AD66" i="53"/>
  <c r="AV395" i="53"/>
  <c r="AO395" i="53"/>
  <c r="AT395" i="53" s="1"/>
  <c r="AD395" i="53"/>
  <c r="AV543" i="53"/>
  <c r="AD543" i="53"/>
  <c r="AO543" i="53"/>
  <c r="AT543" i="53" s="1"/>
  <c r="AV776" i="53"/>
  <c r="AO776" i="53"/>
  <c r="AT776" i="53" s="1"/>
  <c r="AD776" i="53"/>
  <c r="AV1007" i="53"/>
  <c r="AO1007" i="53"/>
  <c r="AT1007" i="53" s="1"/>
  <c r="AD1007" i="53"/>
  <c r="AV582" i="53"/>
  <c r="AO582" i="53"/>
  <c r="AD582" i="53"/>
  <c r="AV358" i="53"/>
  <c r="AO358" i="53"/>
  <c r="AT358" i="53" s="1"/>
  <c r="AD358" i="53"/>
  <c r="AO130" i="53"/>
  <c r="AT130" i="53" s="1"/>
  <c r="AV130" i="53"/>
  <c r="AD130" i="53"/>
  <c r="AV263" i="53"/>
  <c r="AO263" i="53"/>
  <c r="AD263" i="53"/>
  <c r="AO201" i="53"/>
  <c r="AT201" i="53" s="1"/>
  <c r="AV201" i="53"/>
  <c r="AD201" i="53"/>
  <c r="AV854" i="53"/>
  <c r="AO854" i="53"/>
  <c r="AT854" i="53" s="1"/>
  <c r="AD854" i="53"/>
  <c r="AV262" i="53"/>
  <c r="AO262" i="53"/>
  <c r="AT262" i="53" s="1"/>
  <c r="AD262" i="53"/>
  <c r="AV403" i="53"/>
  <c r="AO403" i="53"/>
  <c r="AT403" i="53" s="1"/>
  <c r="AD403" i="53"/>
  <c r="AV785" i="53"/>
  <c r="AO785" i="53"/>
  <c r="AT785" i="53" s="1"/>
  <c r="AD785" i="53"/>
  <c r="AV596" i="53"/>
  <c r="AO596" i="53"/>
  <c r="AT596" i="53" s="1"/>
  <c r="AD596" i="53"/>
  <c r="AV669" i="53"/>
  <c r="AO669" i="53"/>
  <c r="AD669" i="53"/>
  <c r="AV196" i="53"/>
  <c r="AD196" i="53"/>
  <c r="AO196" i="53"/>
  <c r="AT196" i="53" s="1"/>
  <c r="AV632" i="53"/>
  <c r="AO632" i="53"/>
  <c r="AD632" i="53"/>
  <c r="AV459" i="53"/>
  <c r="AO459" i="53"/>
  <c r="AT459" i="53" s="1"/>
  <c r="AD459" i="53"/>
  <c r="AO49" i="53"/>
  <c r="AT49" i="53" s="1"/>
  <c r="AV49" i="53"/>
  <c r="AD49" i="53"/>
  <c r="AV911" i="53"/>
  <c r="AO911" i="53"/>
  <c r="AT911" i="53" s="1"/>
  <c r="AD911" i="53"/>
  <c r="AV701" i="53"/>
  <c r="AD701" i="53"/>
  <c r="AO701" i="53"/>
  <c r="AV3" i="53"/>
  <c r="AV831" i="53"/>
  <c r="AO831" i="53"/>
  <c r="AD831" i="53"/>
  <c r="AV835" i="53"/>
  <c r="AO835" i="53"/>
  <c r="AT835" i="53" s="1"/>
  <c r="AD835" i="53"/>
  <c r="AV796" i="53"/>
  <c r="AD796" i="53"/>
  <c r="AO796" i="53"/>
  <c r="AV296" i="53"/>
  <c r="AO296" i="53"/>
  <c r="AD296" i="53"/>
  <c r="AV942" i="53"/>
  <c r="AO942" i="53"/>
  <c r="AT942" i="53" s="1"/>
  <c r="AD942" i="53"/>
  <c r="AO107" i="53"/>
  <c r="AV107" i="53"/>
  <c r="AD107" i="53"/>
  <c r="AV895" i="53"/>
  <c r="AO895" i="53"/>
  <c r="AT895" i="53" s="1"/>
  <c r="AD895" i="53"/>
  <c r="AV609" i="53"/>
  <c r="AO609" i="53"/>
  <c r="AT609" i="53" s="1"/>
  <c r="AD609" i="53"/>
  <c r="AO637" i="53"/>
  <c r="AT637" i="53" s="1"/>
  <c r="AD637" i="53"/>
  <c r="AV637" i="53"/>
  <c r="AV1008" i="53"/>
  <c r="AO1008" i="53"/>
  <c r="AT1008" i="53" s="1"/>
  <c r="AD1008" i="53"/>
  <c r="AV984" i="53"/>
  <c r="AO984" i="53"/>
  <c r="AT984" i="53" s="1"/>
  <c r="AD984" i="53"/>
  <c r="AV598" i="53"/>
  <c r="AO598" i="53"/>
  <c r="AD598" i="53"/>
  <c r="AV468" i="53"/>
  <c r="AO468" i="53"/>
  <c r="AD468" i="53"/>
  <c r="AV442" i="53"/>
  <c r="AO442" i="53"/>
  <c r="AT442" i="53" s="1"/>
  <c r="AD442" i="53"/>
  <c r="AV1105" i="53"/>
  <c r="AO1105" i="53"/>
  <c r="AT1105" i="53" s="1"/>
  <c r="AD1105" i="53"/>
  <c r="AV246" i="53"/>
  <c r="AD246" i="53"/>
  <c r="AO246" i="53"/>
  <c r="AO9" i="53"/>
  <c r="AT9" i="53" s="1"/>
  <c r="AV9" i="53"/>
  <c r="AD9" i="53"/>
  <c r="AO97" i="53"/>
  <c r="AT97" i="53" s="1"/>
  <c r="AV97" i="53"/>
  <c r="AD97" i="53"/>
  <c r="AV501" i="53"/>
  <c r="AO501" i="53"/>
  <c r="AD501" i="53"/>
  <c r="AO638" i="53"/>
  <c r="AT638" i="53" s="1"/>
  <c r="AD638" i="53"/>
  <c r="AV638" i="53"/>
  <c r="AV279" i="53"/>
  <c r="AO279" i="53"/>
  <c r="AD279" i="53"/>
  <c r="AV1052" i="53"/>
  <c r="AO1052" i="53"/>
  <c r="AT1052" i="53" s="1"/>
  <c r="AD1052" i="53"/>
  <c r="AV890" i="53"/>
  <c r="AO890" i="53"/>
  <c r="AT890" i="53" s="1"/>
  <c r="AD890" i="53"/>
  <c r="AV286" i="53"/>
  <c r="AO286" i="53"/>
  <c r="AD286" i="53"/>
  <c r="AV127" i="53"/>
  <c r="AO127" i="53"/>
  <c r="AT127" i="53" s="1"/>
  <c r="AD127" i="53"/>
  <c r="AV115" i="53"/>
  <c r="AO115" i="53"/>
  <c r="AT115" i="53" s="1"/>
  <c r="AD115" i="53"/>
  <c r="AV688" i="53"/>
  <c r="AO688" i="53"/>
  <c r="AD688" i="53"/>
  <c r="AV661" i="53"/>
  <c r="AO661" i="53"/>
  <c r="AD661" i="53"/>
  <c r="AV301" i="53"/>
  <c r="AO301" i="53"/>
  <c r="AD301" i="53"/>
  <c r="AV493" i="53"/>
  <c r="AO493" i="53"/>
  <c r="AT493" i="53" s="1"/>
  <c r="AD493" i="53"/>
  <c r="AV877" i="53"/>
  <c r="AD877" i="53"/>
  <c r="AO877" i="53"/>
  <c r="AT877" i="53" s="1"/>
  <c r="AV760" i="53"/>
  <c r="AO760" i="53"/>
  <c r="AT760" i="53" s="1"/>
  <c r="AD760" i="53"/>
  <c r="AV1066" i="53"/>
  <c r="AO1066" i="53"/>
  <c r="AT1066" i="53" s="1"/>
  <c r="AD1066" i="53"/>
  <c r="AV508" i="53"/>
  <c r="AO508" i="53"/>
  <c r="AT508" i="53" s="1"/>
  <c r="AD508" i="53"/>
  <c r="AV745" i="53"/>
  <c r="AO745" i="53"/>
  <c r="AT745" i="53" s="1"/>
  <c r="AD745" i="53"/>
  <c r="AV690" i="53"/>
  <c r="AO690" i="53"/>
  <c r="AD690" i="53"/>
  <c r="AV387" i="53"/>
  <c r="AO387" i="53"/>
  <c r="AT387" i="53" s="1"/>
  <c r="AD387" i="53"/>
  <c r="AV479" i="53"/>
  <c r="AO479" i="53"/>
  <c r="AT479" i="53" s="1"/>
  <c r="AD479" i="53"/>
  <c r="AO123" i="53"/>
  <c r="AV123" i="53"/>
  <c r="AD123" i="53"/>
  <c r="AO185" i="53"/>
  <c r="AV185" i="53"/>
  <c r="AD185" i="53"/>
  <c r="AV1029" i="53"/>
  <c r="AO1029" i="53"/>
  <c r="AD1029" i="53"/>
  <c r="AV163" i="53"/>
  <c r="AO163" i="53"/>
  <c r="AT163" i="53" s="1"/>
  <c r="AD163" i="53"/>
  <c r="AV644" i="53"/>
  <c r="AO644" i="53"/>
  <c r="AD644" i="53"/>
  <c r="AV31" i="53"/>
  <c r="AO31" i="53"/>
  <c r="AT31" i="53" s="1"/>
  <c r="AD31" i="53"/>
  <c r="AV329" i="53"/>
  <c r="AO329" i="53"/>
  <c r="AT329" i="53" s="1"/>
  <c r="AD329" i="53"/>
  <c r="AV563" i="53"/>
  <c r="AO563" i="53"/>
  <c r="AT563" i="53" s="1"/>
  <c r="AD563" i="53"/>
  <c r="AV500" i="53"/>
  <c r="AO500" i="53"/>
  <c r="AT500" i="53" s="1"/>
  <c r="AD500" i="53"/>
  <c r="AV713" i="53"/>
  <c r="AO713" i="53"/>
  <c r="AD713" i="53"/>
  <c r="AV699" i="53"/>
  <c r="AO699" i="53"/>
  <c r="AD699" i="53"/>
  <c r="AV317" i="53"/>
  <c r="AO317" i="53"/>
  <c r="AT317" i="53" s="1"/>
  <c r="AD317" i="53"/>
  <c r="AV437" i="53"/>
  <c r="AO437" i="53"/>
  <c r="AD437" i="53"/>
  <c r="AV668" i="53"/>
  <c r="AO668" i="53"/>
  <c r="AT668" i="53" s="1"/>
  <c r="AD668" i="53"/>
  <c r="AV671" i="53"/>
  <c r="AO671" i="53"/>
  <c r="AD671" i="53"/>
  <c r="AV714" i="53"/>
  <c r="AO714" i="53"/>
  <c r="AD714" i="53"/>
  <c r="AV534" i="53"/>
  <c r="AO534" i="53"/>
  <c r="AD534" i="53"/>
  <c r="AV559" i="53"/>
  <c r="AO559" i="53"/>
  <c r="AD559" i="53"/>
  <c r="AO171" i="53"/>
  <c r="AT171" i="53" s="1"/>
  <c r="AV171" i="53"/>
  <c r="AD171" i="53"/>
  <c r="AV362" i="53"/>
  <c r="AO362" i="53"/>
  <c r="AT362" i="53" s="1"/>
  <c r="AD362" i="53"/>
  <c r="AO18" i="53"/>
  <c r="AT18" i="53" s="1"/>
  <c r="AV18" i="53"/>
  <c r="AD18" i="53"/>
  <c r="AO766" i="53"/>
  <c r="AV766" i="53"/>
  <c r="AD766" i="53"/>
  <c r="AV439" i="53"/>
  <c r="AO439" i="53"/>
  <c r="AT439" i="53" s="1"/>
  <c r="AD439" i="53"/>
  <c r="AO76" i="53"/>
  <c r="AT76" i="53" s="1"/>
  <c r="AV76" i="53"/>
  <c r="AD76" i="53"/>
  <c r="AV83" i="53"/>
  <c r="AO83" i="53"/>
  <c r="AT83" i="53" s="1"/>
  <c r="AD83" i="53"/>
  <c r="AV790" i="53"/>
  <c r="AO790" i="53"/>
  <c r="AT790" i="53" s="1"/>
  <c r="AD790" i="53"/>
  <c r="AV865" i="53"/>
  <c r="AO865" i="53"/>
  <c r="AT865" i="53" s="1"/>
  <c r="AD865" i="53"/>
  <c r="AV1036" i="53"/>
  <c r="AD1036" i="53"/>
  <c r="AO1036" i="53"/>
  <c r="AT1036" i="53" s="1"/>
  <c r="AO120" i="53"/>
  <c r="AT120" i="53" s="1"/>
  <c r="AV120" i="53"/>
  <c r="AD120" i="53"/>
  <c r="AO89" i="53"/>
  <c r="AT89" i="53" s="1"/>
  <c r="AV89" i="53"/>
  <c r="AD89" i="53"/>
  <c r="AV900" i="53"/>
  <c r="AO900" i="53"/>
  <c r="AT900" i="53" s="1"/>
  <c r="AD900" i="53"/>
  <c r="AV607" i="53"/>
  <c r="AO607" i="53"/>
  <c r="AT607" i="53" s="1"/>
  <c r="AD607" i="53"/>
  <c r="AV635" i="53"/>
  <c r="AO635" i="53"/>
  <c r="AT635" i="53" s="1"/>
  <c r="AD635" i="53"/>
  <c r="AO237" i="53"/>
  <c r="AV237" i="53"/>
  <c r="AD237" i="53"/>
  <c r="AO172" i="53"/>
  <c r="AT172" i="53" s="1"/>
  <c r="AV172" i="53"/>
  <c r="AD172" i="53"/>
  <c r="AV808" i="53"/>
  <c r="AO808" i="53"/>
  <c r="AT808" i="53" s="1"/>
  <c r="AD808" i="53"/>
  <c r="AV550" i="53"/>
  <c r="AO550" i="53"/>
  <c r="AT550" i="53" s="1"/>
  <c r="AD550" i="53"/>
  <c r="AV376" i="53"/>
  <c r="AO376" i="53"/>
  <c r="AT376" i="53" s="1"/>
  <c r="AD376" i="53"/>
  <c r="AV489" i="53"/>
  <c r="AO489" i="53"/>
  <c r="AT489" i="53" s="1"/>
  <c r="AD489" i="53"/>
  <c r="AV411" i="53"/>
  <c r="AO411" i="53"/>
  <c r="AT411" i="53" s="1"/>
  <c r="AD411" i="53"/>
  <c r="AV546" i="53"/>
  <c r="AO546" i="53"/>
  <c r="AT546" i="53" s="1"/>
  <c r="AD546" i="53"/>
  <c r="AV817" i="53"/>
  <c r="AO817" i="53"/>
  <c r="AT817" i="53" s="1"/>
  <c r="AD817" i="53"/>
  <c r="AV914" i="53"/>
  <c r="AO914" i="53"/>
  <c r="AT914" i="53" s="1"/>
  <c r="AD914" i="53"/>
  <c r="AO121" i="53"/>
  <c r="AT121" i="53" s="1"/>
  <c r="AV121" i="53"/>
  <c r="AD121" i="53"/>
  <c r="AV810" i="53"/>
  <c r="AO810" i="53"/>
  <c r="AT810" i="53" s="1"/>
  <c r="AD810" i="53"/>
  <c r="AV994" i="53"/>
  <c r="AO994" i="53"/>
  <c r="AD994" i="53"/>
  <c r="AV944" i="53"/>
  <c r="AO944" i="53"/>
  <c r="AT944" i="53" s="1"/>
  <c r="AD944" i="53"/>
  <c r="AV575" i="53"/>
  <c r="AO575" i="53"/>
  <c r="AD575" i="53"/>
  <c r="AV1049" i="53"/>
  <c r="AO1049" i="53"/>
  <c r="AT1049" i="53" s="1"/>
  <c r="AD1049" i="53"/>
  <c r="AV590" i="53"/>
  <c r="AO590" i="53"/>
  <c r="AD590" i="53"/>
  <c r="AV446" i="53"/>
  <c r="AO446" i="53"/>
  <c r="AT446" i="53" s="1"/>
  <c r="AD446" i="53"/>
  <c r="AV881" i="53"/>
  <c r="AO881" i="53"/>
  <c r="AT881" i="53" s="1"/>
  <c r="AD881" i="53"/>
  <c r="AV302" i="53"/>
  <c r="AO302" i="53"/>
  <c r="AD302" i="53"/>
  <c r="AV938" i="53"/>
  <c r="AO938" i="53"/>
  <c r="AT938" i="53" s="1"/>
  <c r="AD938" i="53"/>
  <c r="AV680" i="53"/>
  <c r="AO680" i="53"/>
  <c r="AD680" i="53"/>
  <c r="AV971" i="53"/>
  <c r="AO971" i="53"/>
  <c r="AD971" i="53"/>
  <c r="AV560" i="53"/>
  <c r="AO560" i="53"/>
  <c r="AD560" i="53"/>
  <c r="AV521" i="53"/>
  <c r="AO521" i="53"/>
  <c r="AT521" i="53" s="1"/>
  <c r="AD521" i="53"/>
  <c r="AO40" i="53"/>
  <c r="AT40" i="53" s="1"/>
  <c r="AV40" i="53"/>
  <c r="AD40" i="53"/>
  <c r="AV490" i="53"/>
  <c r="AO490" i="53"/>
  <c r="AT490" i="53" s="1"/>
  <c r="AD490" i="53"/>
  <c r="AV838" i="53"/>
  <c r="AO838" i="53"/>
  <c r="AT838" i="53" s="1"/>
  <c r="AD838" i="53"/>
  <c r="AV444" i="53"/>
  <c r="AD444" i="53"/>
  <c r="AO444" i="53"/>
  <c r="AT444" i="53" s="1"/>
  <c r="AO86" i="53"/>
  <c r="AT86" i="53" s="1"/>
  <c r="AV86" i="53"/>
  <c r="AD86" i="53"/>
  <c r="AO150" i="53"/>
  <c r="AT150" i="53" s="1"/>
  <c r="AV150" i="53"/>
  <c r="AD150" i="53"/>
  <c r="AO119" i="53"/>
  <c r="AV119" i="53"/>
  <c r="AD119" i="53"/>
  <c r="AV1044" i="53"/>
  <c r="AO1044" i="53"/>
  <c r="AD1044" i="53"/>
  <c r="AV248" i="53"/>
  <c r="AO248" i="53"/>
  <c r="AD248" i="53"/>
  <c r="AO197" i="53"/>
  <c r="AT197" i="53" s="1"/>
  <c r="AV197" i="53"/>
  <c r="AD197" i="53"/>
  <c r="AO7" i="53"/>
  <c r="AV7" i="53"/>
  <c r="AD7" i="53"/>
  <c r="AO28" i="53"/>
  <c r="AV28" i="53"/>
  <c r="AD28" i="53"/>
  <c r="AV956" i="53"/>
  <c r="AD956" i="53"/>
  <c r="AO956" i="53"/>
  <c r="AT956" i="53" s="1"/>
  <c r="AV453" i="53"/>
  <c r="AO453" i="53"/>
  <c r="AT453" i="53" s="1"/>
  <c r="AD453" i="53"/>
  <c r="AV464" i="53"/>
  <c r="AO464" i="53"/>
  <c r="AD464" i="53"/>
  <c r="AO169" i="53"/>
  <c r="AT169" i="53" s="1"/>
  <c r="AV169" i="53"/>
  <c r="AD169" i="53"/>
  <c r="AV256" i="53"/>
  <c r="AO256" i="53"/>
  <c r="AD256" i="53"/>
  <c r="AV495" i="53"/>
  <c r="AO495" i="53"/>
  <c r="AT495" i="53" s="1"/>
  <c r="AD495" i="53"/>
  <c r="AV778" i="53"/>
  <c r="AO778" i="53"/>
  <c r="AT778" i="53" s="1"/>
  <c r="AD778" i="53"/>
  <c r="AV449" i="53"/>
  <c r="AO449" i="53"/>
  <c r="AT449" i="53" s="1"/>
  <c r="AD449" i="53"/>
  <c r="AV159" i="53"/>
  <c r="AO159" i="53"/>
  <c r="AD159" i="53"/>
  <c r="AV425" i="53"/>
  <c r="AO425" i="53"/>
  <c r="AT425" i="53" s="1"/>
  <c r="AD425" i="53"/>
  <c r="AV517" i="53"/>
  <c r="AO517" i="53"/>
  <c r="AT517" i="53" s="1"/>
  <c r="AD517" i="53"/>
  <c r="AV1037" i="53"/>
  <c r="AD1037" i="53"/>
  <c r="AO1037" i="53"/>
  <c r="AV409" i="53"/>
  <c r="AO409" i="53"/>
  <c r="AT409" i="53" s="1"/>
  <c r="AD409" i="53"/>
  <c r="AV378" i="53"/>
  <c r="AO378" i="53"/>
  <c r="AT378" i="53" s="1"/>
  <c r="AD378" i="53"/>
  <c r="AV660" i="53"/>
  <c r="AO660" i="53"/>
  <c r="AD660" i="53"/>
  <c r="AV47" i="53"/>
  <c r="AO47" i="53"/>
  <c r="AD47" i="53"/>
  <c r="AV915" i="53"/>
  <c r="AO915" i="53"/>
  <c r="AT915" i="53" s="1"/>
  <c r="AD915" i="53"/>
  <c r="AV128" i="53"/>
  <c r="AD128" i="53"/>
  <c r="AO128" i="53"/>
  <c r="AV663" i="53"/>
  <c r="AO663" i="53"/>
  <c r="AD663" i="53"/>
  <c r="AV472" i="53"/>
  <c r="AO472" i="53"/>
  <c r="AT472" i="53" s="1"/>
  <c r="AD472" i="53"/>
  <c r="AV1093" i="53"/>
  <c r="AO1093" i="53"/>
  <c r="AT1093" i="53" s="1"/>
  <c r="AD1093" i="53"/>
  <c r="AV759" i="53"/>
  <c r="AO759" i="53"/>
  <c r="AT759" i="53" s="1"/>
  <c r="AD759" i="53"/>
  <c r="AV377" i="53"/>
  <c r="AO377" i="53"/>
  <c r="AT377" i="53" s="1"/>
  <c r="AD377" i="53"/>
  <c r="AV876" i="53"/>
  <c r="AD876" i="53"/>
  <c r="AO876" i="53"/>
  <c r="AT876" i="53" s="1"/>
  <c r="AV194" i="53"/>
  <c r="AD194" i="53"/>
  <c r="AO194" i="53"/>
  <c r="AT194" i="53" s="1"/>
  <c r="AV402" i="53"/>
  <c r="AO402" i="53"/>
  <c r="AD402" i="53"/>
  <c r="AO33" i="53"/>
  <c r="AT33" i="53" s="1"/>
  <c r="AV33" i="53"/>
  <c r="AD33" i="53"/>
  <c r="AV384" i="53"/>
  <c r="AO384" i="53"/>
  <c r="AT384" i="53" s="1"/>
  <c r="AD384" i="53"/>
  <c r="AV720" i="53"/>
  <c r="AO720" i="53"/>
  <c r="AT720" i="53" s="1"/>
  <c r="AD720" i="53"/>
  <c r="AO93" i="53"/>
  <c r="AV93" i="53"/>
  <c r="AD93" i="53"/>
  <c r="AV418" i="53"/>
  <c r="AO418" i="53"/>
  <c r="AT418" i="53" s="1"/>
  <c r="AD418" i="53"/>
  <c r="AV710" i="53"/>
  <c r="AO710" i="53"/>
  <c r="AD710" i="53"/>
  <c r="AV840" i="53"/>
  <c r="AO840" i="53"/>
  <c r="AD840" i="53"/>
  <c r="AV953" i="53"/>
  <c r="AO953" i="53"/>
  <c r="AT953" i="53" s="1"/>
  <c r="AD953" i="53"/>
  <c r="AV839" i="53"/>
  <c r="AO839" i="53"/>
  <c r="AT839" i="53" s="1"/>
  <c r="AD839" i="53"/>
  <c r="AV625" i="53"/>
  <c r="AO625" i="53"/>
  <c r="AD625" i="53"/>
  <c r="AO57" i="53"/>
  <c r="AT57" i="53" s="1"/>
  <c r="AV57" i="53"/>
  <c r="AD57" i="53"/>
  <c r="AO77" i="53"/>
  <c r="AT77" i="53" s="1"/>
  <c r="AV77" i="53"/>
  <c r="AD77" i="53"/>
  <c r="AV589" i="53"/>
  <c r="AO589" i="53"/>
  <c r="AT589" i="53" s="1"/>
  <c r="AD589" i="53"/>
  <c r="AV1081" i="53"/>
  <c r="AO1081" i="53"/>
  <c r="AT1081" i="53" s="1"/>
  <c r="AD1081" i="53"/>
  <c r="AV226" i="53"/>
  <c r="AD226" i="53"/>
  <c r="AO226" i="53"/>
  <c r="AV706" i="53"/>
  <c r="AO706" i="53"/>
  <c r="AD706" i="53"/>
  <c r="AV1096" i="53"/>
  <c r="AO1096" i="53"/>
  <c r="AT1096" i="53" s="1"/>
  <c r="AD1096" i="53"/>
  <c r="AV191" i="53"/>
  <c r="AO191" i="53"/>
  <c r="AD191" i="53"/>
  <c r="AO155" i="53"/>
  <c r="AV155" i="53"/>
  <c r="AD155" i="53"/>
  <c r="AV551" i="53"/>
  <c r="AO551" i="53"/>
  <c r="AT551" i="53" s="1"/>
  <c r="AD551" i="53"/>
  <c r="AV330" i="53"/>
  <c r="AO330" i="53"/>
  <c r="AT330" i="53" s="1"/>
  <c r="AD330" i="53"/>
  <c r="AV802" i="53"/>
  <c r="AO802" i="53"/>
  <c r="AT802" i="53" s="1"/>
  <c r="AD802" i="53"/>
  <c r="AV786" i="53"/>
  <c r="AO786" i="53"/>
  <c r="AT786" i="53" s="1"/>
  <c r="AD786" i="53"/>
  <c r="AV587" i="53"/>
  <c r="AO587" i="53"/>
  <c r="AT587" i="53" s="1"/>
  <c r="AD587" i="53"/>
  <c r="AV277" i="53"/>
  <c r="AO277" i="53"/>
  <c r="AD277" i="53"/>
  <c r="AV342" i="53"/>
  <c r="AO342" i="53"/>
  <c r="AT342" i="53" s="1"/>
  <c r="AD342" i="53"/>
  <c r="AV51" i="53"/>
  <c r="AO51" i="53"/>
  <c r="AT51" i="53" s="1"/>
  <c r="AD51" i="53"/>
  <c r="AV1023" i="53"/>
  <c r="AD1023" i="53"/>
  <c r="AO1023" i="53"/>
  <c r="AT1023" i="53" s="1"/>
  <c r="AV986" i="53"/>
  <c r="AO986" i="53"/>
  <c r="AD986" i="53"/>
  <c r="AV992" i="53"/>
  <c r="AO992" i="53"/>
  <c r="AT992" i="53" s="1"/>
  <c r="AD992" i="53"/>
  <c r="AV950" i="53"/>
  <c r="AO950" i="53"/>
  <c r="AT950" i="53" s="1"/>
  <c r="AD950" i="53"/>
  <c r="AV372" i="53"/>
  <c r="AO372" i="53"/>
  <c r="AD372" i="53"/>
  <c r="AV742" i="53"/>
  <c r="AO742" i="53"/>
  <c r="AD742" i="53"/>
  <c r="AV578" i="53"/>
  <c r="AO578" i="53"/>
  <c r="AD578" i="53"/>
  <c r="AV888" i="53"/>
  <c r="AO888" i="53"/>
  <c r="AT888" i="53" s="1"/>
  <c r="AD888" i="53"/>
  <c r="AV1039" i="53"/>
  <c r="AO1039" i="53"/>
  <c r="AD1039" i="53"/>
  <c r="AV966" i="53"/>
  <c r="AO966" i="53"/>
  <c r="AT966" i="53" s="1"/>
  <c r="AD966" i="53"/>
  <c r="AV1014" i="53"/>
  <c r="AO1014" i="53"/>
  <c r="AT1014" i="53" s="1"/>
  <c r="AD1014" i="53"/>
  <c r="AV473" i="53"/>
  <c r="AO473" i="53"/>
  <c r="AT473" i="53" s="1"/>
  <c r="AD473" i="53"/>
  <c r="AV670" i="53"/>
  <c r="AO670" i="53"/>
  <c r="AD670" i="53"/>
  <c r="AV891" i="53"/>
  <c r="AO891" i="53"/>
  <c r="AT891" i="53" s="1"/>
  <c r="AD891" i="53"/>
  <c r="AV658" i="53"/>
  <c r="AO658" i="53"/>
  <c r="AD658" i="53"/>
  <c r="AV755" i="53"/>
  <c r="AO755" i="53"/>
  <c r="AT755" i="53" s="1"/>
  <c r="AD755" i="53"/>
  <c r="AV216" i="53"/>
  <c r="AO216" i="53"/>
  <c r="AT216" i="53" s="1"/>
  <c r="AD216" i="53"/>
  <c r="AV1089" i="53"/>
  <c r="AO1089" i="53"/>
  <c r="AT1089" i="53" s="1"/>
  <c r="AD1089" i="53"/>
  <c r="AV396" i="53"/>
  <c r="AO396" i="53"/>
  <c r="AT396" i="53" s="1"/>
  <c r="AD396" i="53"/>
  <c r="AV320" i="53"/>
  <c r="AO320" i="53"/>
  <c r="AT320" i="53" s="1"/>
  <c r="AD320" i="53"/>
  <c r="AV576" i="53"/>
  <c r="AO576" i="53"/>
  <c r="AT576" i="53" s="1"/>
  <c r="AD576" i="53"/>
  <c r="AV792" i="53"/>
  <c r="AO792" i="53"/>
  <c r="AT792" i="53" s="1"/>
  <c r="AD792" i="53"/>
  <c r="AV64" i="53"/>
  <c r="AD64" i="53"/>
  <c r="AO64" i="53"/>
  <c r="AT64" i="53" s="1"/>
  <c r="AV274" i="53"/>
  <c r="AO274" i="53"/>
  <c r="AT274" i="53" s="1"/>
  <c r="AD274" i="53"/>
  <c r="AV859" i="53"/>
  <c r="AO859" i="53"/>
  <c r="AT859" i="53" s="1"/>
  <c r="AD859" i="53"/>
  <c r="AO136" i="53"/>
  <c r="AV136" i="53"/>
  <c r="AD136" i="53"/>
  <c r="AV492" i="53"/>
  <c r="AO492" i="53"/>
  <c r="AT492" i="53" s="1"/>
  <c r="AD492" i="53"/>
  <c r="AV696" i="53"/>
  <c r="AO696" i="53"/>
  <c r="AT696" i="53" s="1"/>
  <c r="AD696" i="53"/>
  <c r="AV743" i="53"/>
  <c r="AO743" i="53"/>
  <c r="AD743" i="53"/>
  <c r="AV1101" i="53"/>
  <c r="AO1101" i="53"/>
  <c r="AT1101" i="53" s="1"/>
  <c r="AD1101" i="53"/>
  <c r="AJ1101" i="53" s="1"/>
  <c r="AV602" i="53"/>
  <c r="AO602" i="53"/>
  <c r="AT602" i="53" s="1"/>
  <c r="AD602" i="53"/>
  <c r="AO81" i="53"/>
  <c r="AV81" i="53"/>
  <c r="AD81" i="53"/>
  <c r="AV1088" i="53"/>
  <c r="AO1088" i="53"/>
  <c r="AT1088" i="53" s="1"/>
  <c r="AD1088" i="53"/>
  <c r="AV1099" i="53"/>
  <c r="AO1099" i="53"/>
  <c r="AT1099" i="53" s="1"/>
  <c r="AD1099" i="53"/>
  <c r="AV422" i="53"/>
  <c r="AO422" i="53"/>
  <c r="AT422" i="53" s="1"/>
  <c r="AD422" i="53"/>
  <c r="AO137" i="53"/>
  <c r="AT137" i="53" s="1"/>
  <c r="AV137" i="53"/>
  <c r="AD137" i="53"/>
  <c r="AV901" i="53"/>
  <c r="AO901" i="53"/>
  <c r="AT901" i="53" s="1"/>
  <c r="AD901" i="53"/>
  <c r="AV514" i="53"/>
  <c r="AO514" i="53"/>
  <c r="AT514" i="53" s="1"/>
  <c r="AD514" i="53"/>
  <c r="AV461" i="53"/>
  <c r="AD461" i="53"/>
  <c r="AO461" i="53"/>
  <c r="AT461" i="53" s="1"/>
  <c r="AV507" i="53"/>
  <c r="AO507" i="53"/>
  <c r="AT507" i="53" s="1"/>
  <c r="AD507" i="53"/>
  <c r="AV428" i="53"/>
  <c r="AO428" i="53"/>
  <c r="AT428" i="53" s="1"/>
  <c r="AD428" i="53"/>
  <c r="AV693" i="53"/>
  <c r="AO693" i="53"/>
  <c r="AT693" i="53" s="1"/>
  <c r="AD693" i="53"/>
  <c r="AO134" i="53"/>
  <c r="AT134" i="53" s="1"/>
  <c r="AV134" i="53"/>
  <c r="AD134" i="53"/>
  <c r="AV1032" i="53"/>
  <c r="AO1032" i="53"/>
  <c r="AT1032" i="53" s="1"/>
  <c r="AD1032" i="53"/>
  <c r="AV306" i="53"/>
  <c r="AO306" i="53"/>
  <c r="AD306" i="53"/>
  <c r="AO382" i="53"/>
  <c r="AT382" i="53" s="1"/>
  <c r="AV382" i="53"/>
  <c r="AD382" i="53"/>
  <c r="AO75" i="53"/>
  <c r="AT75" i="53" s="1"/>
  <c r="AV75" i="53"/>
  <c r="AD75" i="53"/>
  <c r="AV1068" i="53"/>
  <c r="AO1068" i="53"/>
  <c r="AT1068" i="53" s="1"/>
  <c r="AD1068" i="53"/>
  <c r="AV793" i="53"/>
  <c r="AO793" i="53"/>
  <c r="AT793" i="53" s="1"/>
  <c r="AD793" i="53"/>
  <c r="AV228" i="53"/>
  <c r="AD228" i="53"/>
  <c r="AO228" i="53"/>
  <c r="AV353" i="53"/>
  <c r="AO353" i="53"/>
  <c r="AT353" i="53" s="1"/>
  <c r="AD353" i="53"/>
  <c r="AV614" i="53"/>
  <c r="AO614" i="53"/>
  <c r="AT614" i="53" s="1"/>
  <c r="AD614" i="53"/>
  <c r="AV513" i="53"/>
  <c r="AO513" i="53"/>
  <c r="AT513" i="53" s="1"/>
  <c r="AD513" i="53"/>
  <c r="AV822" i="53"/>
  <c r="AO822" i="53"/>
  <c r="AT822" i="53" s="1"/>
  <c r="AD822" i="53"/>
  <c r="AO222" i="53"/>
  <c r="AV222" i="53"/>
  <c r="AD222" i="53"/>
  <c r="AV471" i="53"/>
  <c r="AO471" i="53"/>
  <c r="AT471" i="53" s="1"/>
  <c r="AD471" i="53"/>
  <c r="AV973" i="53"/>
  <c r="AD973" i="53"/>
  <c r="AO973" i="53"/>
  <c r="AT973" i="53" s="1"/>
  <c r="AV599" i="53"/>
  <c r="AO599" i="53"/>
  <c r="AD599" i="53"/>
  <c r="AV448" i="53"/>
  <c r="AO448" i="53"/>
  <c r="AT448" i="53" s="1"/>
  <c r="AD448" i="53"/>
  <c r="AV273" i="53"/>
  <c r="AO273" i="53"/>
  <c r="AD273" i="53"/>
  <c r="AV731" i="53"/>
  <c r="AO731" i="53"/>
  <c r="AT731" i="53" s="1"/>
  <c r="AD731" i="53"/>
  <c r="AV809" i="53"/>
  <c r="AO809" i="53"/>
  <c r="AT809" i="53" s="1"/>
  <c r="AD809" i="53"/>
  <c r="AV684" i="53"/>
  <c r="AO684" i="53"/>
  <c r="AT684" i="53" s="1"/>
  <c r="AD684" i="53"/>
  <c r="AV498" i="53"/>
  <c r="AO498" i="53"/>
  <c r="AT498" i="53" s="1"/>
  <c r="AD498" i="53"/>
  <c r="AV600" i="53"/>
  <c r="AO600" i="53"/>
  <c r="AT600" i="53" s="1"/>
  <c r="AD600" i="53"/>
  <c r="AV241" i="53"/>
  <c r="AD241" i="53"/>
  <c r="AO241" i="53"/>
  <c r="AV842" i="53"/>
  <c r="AO842" i="53"/>
  <c r="AT842" i="53" s="1"/>
  <c r="AD842" i="53"/>
  <c r="AV48" i="53"/>
  <c r="AD48" i="53"/>
  <c r="AO48" i="53"/>
  <c r="AV746" i="53"/>
  <c r="AO746" i="53"/>
  <c r="AT746" i="53" s="1"/>
  <c r="AD746" i="53"/>
  <c r="AO55" i="53"/>
  <c r="AV55" i="53"/>
  <c r="AD55" i="53"/>
  <c r="AV825" i="53"/>
  <c r="AO825" i="53"/>
  <c r="AT825" i="53" s="1"/>
  <c r="AD825" i="53"/>
  <c r="AV488" i="53"/>
  <c r="AO488" i="53"/>
  <c r="AT488" i="53" s="1"/>
  <c r="AD488" i="53"/>
  <c r="AO509" i="53"/>
  <c r="AV509" i="53"/>
  <c r="AD509" i="53"/>
  <c r="AV547" i="53"/>
  <c r="AO547" i="53"/>
  <c r="AD547" i="53"/>
  <c r="AO124" i="53"/>
  <c r="AV124" i="53"/>
  <c r="AD124" i="53"/>
  <c r="AV275" i="53"/>
  <c r="AO275" i="53"/>
  <c r="AD275" i="53"/>
  <c r="AV257" i="53"/>
  <c r="AO257" i="53"/>
  <c r="AD257" i="53"/>
  <c r="AV291" i="53"/>
  <c r="AO291" i="53"/>
  <c r="AD291" i="53"/>
  <c r="AV678" i="53"/>
  <c r="AO678" i="53"/>
  <c r="AD678" i="53"/>
  <c r="AV750" i="53"/>
  <c r="AO750" i="53"/>
  <c r="AT750" i="53" s="1"/>
  <c r="AD750" i="53"/>
  <c r="AO168" i="53"/>
  <c r="AT168" i="53" s="1"/>
  <c r="AV168" i="53"/>
  <c r="AD168" i="53"/>
  <c r="AV355" i="53"/>
  <c r="AO355" i="53"/>
  <c r="AT355" i="53" s="1"/>
  <c r="AD355" i="53"/>
  <c r="AV1060" i="53"/>
  <c r="AO1060" i="53"/>
  <c r="AT1060" i="53" s="1"/>
  <c r="AD1060" i="53"/>
  <c r="AV617" i="53"/>
  <c r="AO617" i="53"/>
  <c r="AD617" i="53"/>
  <c r="AV1005" i="53"/>
  <c r="AO1005" i="53"/>
  <c r="AT1005" i="53" s="1"/>
  <c r="AD1005" i="53"/>
  <c r="AV978" i="53"/>
  <c r="AO978" i="53"/>
  <c r="AD978" i="53"/>
  <c r="AV885" i="53"/>
  <c r="AO885" i="53"/>
  <c r="AT885" i="53" s="1"/>
  <c r="AD885" i="53"/>
  <c r="AV1040" i="53"/>
  <c r="AO1040" i="53"/>
  <c r="AD1040" i="53"/>
  <c r="AV736" i="53"/>
  <c r="AO736" i="53"/>
  <c r="AD736" i="53"/>
  <c r="AV905" i="53"/>
  <c r="AO905" i="53"/>
  <c r="AT905" i="53" s="1"/>
  <c r="AD905" i="53"/>
  <c r="AV990" i="53"/>
  <c r="AO990" i="53"/>
  <c r="AD990" i="53"/>
  <c r="AV735" i="53"/>
  <c r="AO735" i="53"/>
  <c r="AD735" i="53"/>
  <c r="AV1087" i="53"/>
  <c r="AD1087" i="53"/>
  <c r="AO1087" i="53"/>
  <c r="AT1087" i="53" s="1"/>
  <c r="AV707" i="53"/>
  <c r="AO707" i="53"/>
  <c r="AD707" i="53"/>
  <c r="AV774" i="53"/>
  <c r="AO774" i="53"/>
  <c r="AT774" i="53" s="1"/>
  <c r="AD774" i="53"/>
  <c r="AV111" i="53"/>
  <c r="AD111" i="53"/>
  <c r="AO111" i="53"/>
  <c r="AT111" i="53" s="1"/>
  <c r="AO85" i="53"/>
  <c r="AT85" i="53" s="1"/>
  <c r="AV85" i="53"/>
  <c r="AD85" i="53"/>
  <c r="AV722" i="53"/>
  <c r="AO722" i="53"/>
  <c r="AT722" i="53" s="1"/>
  <c r="AD722" i="53"/>
  <c r="AO166" i="53"/>
  <c r="AT166" i="53" s="1"/>
  <c r="AV166" i="53"/>
  <c r="AD166" i="53"/>
  <c r="AO30" i="53"/>
  <c r="AT30" i="53" s="1"/>
  <c r="AV30" i="53"/>
  <c r="AD30" i="53"/>
  <c r="AV923" i="53"/>
  <c r="AO923" i="53"/>
  <c r="AT923" i="53" s="1"/>
  <c r="AD923" i="53"/>
  <c r="AV574" i="53"/>
  <c r="AO574" i="53"/>
  <c r="AT574" i="53" s="1"/>
  <c r="AD574" i="53"/>
  <c r="AV267" i="53"/>
  <c r="AO267" i="53"/>
  <c r="AD267" i="53"/>
  <c r="AV781" i="53"/>
  <c r="AD781" i="53"/>
  <c r="AO781" i="53"/>
  <c r="AT781" i="53" s="1"/>
  <c r="AV613" i="53"/>
  <c r="AO613" i="53"/>
  <c r="AT613" i="53" s="1"/>
  <c r="AD613" i="53"/>
  <c r="AV830" i="53"/>
  <c r="AO830" i="53"/>
  <c r="AT830" i="53" s="1"/>
  <c r="AD830" i="53"/>
  <c r="AV515" i="53"/>
  <c r="AO515" i="53"/>
  <c r="AT515" i="53" s="1"/>
  <c r="AD515" i="53"/>
  <c r="AV1103" i="53"/>
  <c r="AO1103" i="53"/>
  <c r="AT1103" i="53" s="1"/>
  <c r="AD1103" i="53"/>
  <c r="AV772" i="53"/>
  <c r="AO772" i="53"/>
  <c r="AT772" i="53" s="1"/>
  <c r="AD772" i="53"/>
  <c r="AV794" i="53"/>
  <c r="AO794" i="53"/>
  <c r="AD794" i="53"/>
  <c r="AV272" i="53"/>
  <c r="AO272" i="53"/>
  <c r="AD272" i="53"/>
  <c r="AO245" i="53"/>
  <c r="AV245" i="53"/>
  <c r="AD245" i="53"/>
  <c r="AV557" i="53"/>
  <c r="AO557" i="53"/>
  <c r="AT557" i="53" s="1"/>
  <c r="AD557" i="53"/>
  <c r="AV131" i="53"/>
  <c r="AO131" i="53"/>
  <c r="AT131" i="53" s="1"/>
  <c r="AD131" i="53"/>
  <c r="AO87" i="53"/>
  <c r="AV87" i="53"/>
  <c r="AD87" i="53"/>
  <c r="AV309" i="53"/>
  <c r="AO309" i="53"/>
  <c r="AT309" i="53" s="1"/>
  <c r="AD309" i="53"/>
  <c r="AV347" i="53"/>
  <c r="AO347" i="53"/>
  <c r="AT347" i="53" s="1"/>
  <c r="AD347" i="53"/>
  <c r="AV872" i="53"/>
  <c r="AO872" i="53"/>
  <c r="AT872" i="53" s="1"/>
  <c r="AD872" i="53"/>
  <c r="AV1085" i="53"/>
  <c r="AD1085" i="53"/>
  <c r="AO1085" i="53"/>
  <c r="AT1085" i="53" s="1"/>
  <c r="AV536" i="53"/>
  <c r="AO536" i="53"/>
  <c r="AT536" i="53" s="1"/>
  <c r="AD536" i="53"/>
  <c r="AV485" i="53"/>
  <c r="AO485" i="53"/>
  <c r="AT485" i="53" s="1"/>
  <c r="AD485" i="53"/>
  <c r="AV1083" i="53"/>
  <c r="AO1083" i="53"/>
  <c r="AT1083" i="53" s="1"/>
  <c r="AD1083" i="53"/>
  <c r="AV608" i="53"/>
  <c r="AO608" i="53"/>
  <c r="AT608" i="53" s="1"/>
  <c r="AD608" i="53"/>
  <c r="AO38" i="53"/>
  <c r="AT38" i="53" s="1"/>
  <c r="AV38" i="53"/>
  <c r="AD38" i="53"/>
  <c r="AV445" i="53"/>
  <c r="AD445" i="53"/>
  <c r="AO445" i="53"/>
  <c r="AT445" i="53" s="1"/>
  <c r="AV749" i="53"/>
  <c r="AO749" i="53"/>
  <c r="AT749" i="53" s="1"/>
  <c r="AD749" i="53"/>
  <c r="AV917" i="53"/>
  <c r="AO917" i="53"/>
  <c r="AT917" i="53" s="1"/>
  <c r="AD917" i="53"/>
  <c r="AV304" i="53"/>
  <c r="AO304" i="53"/>
  <c r="AD304" i="53"/>
  <c r="AV391" i="53"/>
  <c r="AO391" i="53"/>
  <c r="AT391" i="53" s="1"/>
  <c r="AD391" i="53"/>
  <c r="AO153" i="53"/>
  <c r="AV153" i="53"/>
  <c r="AD153" i="53"/>
  <c r="AV1006" i="53"/>
  <c r="AO1006" i="53"/>
  <c r="AT1006" i="53" s="1"/>
  <c r="AD1006" i="53"/>
  <c r="AO165" i="53"/>
  <c r="AV165" i="53"/>
  <c r="AD165" i="53"/>
  <c r="AV947" i="53"/>
  <c r="AO947" i="53"/>
  <c r="AT947" i="53" s="1"/>
  <c r="AD947" i="53"/>
  <c r="AV946" i="53"/>
  <c r="AO946" i="53"/>
  <c r="AT946" i="53" s="1"/>
  <c r="AD946" i="53"/>
  <c r="AV541" i="53"/>
  <c r="AD541" i="53"/>
  <c r="AO541" i="53"/>
  <c r="AV1020" i="53"/>
  <c r="AD1020" i="53"/>
  <c r="AO1020" i="53"/>
  <c r="AV697" i="53"/>
  <c r="AO697" i="53"/>
  <c r="AD697" i="53"/>
  <c r="AV458" i="53"/>
  <c r="AO458" i="53"/>
  <c r="AD458" i="53"/>
  <c r="AV963" i="53"/>
  <c r="AO963" i="53"/>
  <c r="AT963" i="53" s="1"/>
  <c r="AD963" i="53"/>
  <c r="AV281" i="53"/>
  <c r="AO281" i="53"/>
  <c r="AD281" i="53"/>
  <c r="AV1104" i="53"/>
  <c r="AO1104" i="53"/>
  <c r="AT1104" i="53" s="1"/>
  <c r="AD1104" i="53"/>
  <c r="AV450" i="53"/>
  <c r="AO450" i="53"/>
  <c r="AT450" i="53" s="1"/>
  <c r="AD450" i="53"/>
  <c r="AV556" i="53"/>
  <c r="AO556" i="53"/>
  <c r="AD556" i="53"/>
  <c r="AV337" i="53"/>
  <c r="AO337" i="53"/>
  <c r="AD337" i="53"/>
  <c r="AV818" i="53"/>
  <c r="AO818" i="53"/>
  <c r="AT818" i="53" s="1"/>
  <c r="AD818" i="53"/>
  <c r="AV869" i="53"/>
  <c r="AO869" i="53"/>
  <c r="AT869" i="53" s="1"/>
  <c r="AD869" i="53"/>
  <c r="AV443" i="53"/>
  <c r="AO443" i="53"/>
  <c r="AT443" i="53" s="1"/>
  <c r="AD443" i="53"/>
  <c r="AO893" i="53"/>
  <c r="AT893" i="53" s="1"/>
  <c r="AV893" i="53"/>
  <c r="AD893" i="53"/>
  <c r="AV505" i="53"/>
  <c r="AO505" i="53"/>
  <c r="AT505" i="53" s="1"/>
  <c r="AD505" i="53"/>
  <c r="AV542" i="53"/>
  <c r="AO542" i="53"/>
  <c r="AT542" i="53" s="1"/>
  <c r="AD542" i="53"/>
  <c r="AO142" i="53"/>
  <c r="AT142" i="53" s="1"/>
  <c r="AV142" i="53"/>
  <c r="AD142" i="53"/>
  <c r="AO82" i="53"/>
  <c r="AV82" i="53"/>
  <c r="AD82" i="53"/>
  <c r="AV230" i="53"/>
  <c r="AD230" i="53"/>
  <c r="AO230" i="53"/>
  <c r="AT230" i="53" s="1"/>
  <c r="AV412" i="53"/>
  <c r="AO412" i="53"/>
  <c r="AT412" i="53" s="1"/>
  <c r="AD412" i="53"/>
  <c r="AV264" i="53"/>
  <c r="AO264" i="53"/>
  <c r="AT264" i="53" s="1"/>
  <c r="AD264" i="53"/>
  <c r="AV284" i="53"/>
  <c r="AD284" i="53"/>
  <c r="AO284" i="53"/>
  <c r="AV567" i="53"/>
  <c r="AO567" i="53"/>
  <c r="AT567" i="53" s="1"/>
  <c r="AD567" i="53"/>
  <c r="AO135" i="53"/>
  <c r="AT135" i="53" s="1"/>
  <c r="AV135" i="53"/>
  <c r="AD135" i="53"/>
  <c r="AV799" i="53"/>
  <c r="AD799" i="53"/>
  <c r="AO799" i="53"/>
  <c r="AT799" i="53" s="1"/>
  <c r="AV577" i="53"/>
  <c r="AO577" i="53"/>
  <c r="AT577" i="53" s="1"/>
  <c r="AD577" i="53"/>
  <c r="AV908" i="53"/>
  <c r="AO908" i="53"/>
  <c r="AD908" i="53"/>
  <c r="AO126" i="53"/>
  <c r="AV126" i="53"/>
  <c r="AD126" i="53"/>
  <c r="AV392" i="53"/>
  <c r="AO392" i="53"/>
  <c r="AT392" i="53" s="1"/>
  <c r="AD392" i="53"/>
  <c r="AV730" i="53"/>
  <c r="AO730" i="53"/>
  <c r="AD730" i="53"/>
  <c r="AO98" i="53"/>
  <c r="AV98" i="53"/>
  <c r="AD98" i="53"/>
  <c r="AV659" i="53"/>
  <c r="AO659" i="53"/>
  <c r="AD659" i="53"/>
  <c r="AV271" i="53"/>
  <c r="AD271" i="53"/>
  <c r="AO271" i="53"/>
  <c r="AV183" i="53"/>
  <c r="AD183" i="53"/>
  <c r="AO183" i="53"/>
  <c r="AO25" i="53"/>
  <c r="AT25" i="53" s="1"/>
  <c r="AV25" i="53"/>
  <c r="AD25" i="53"/>
  <c r="AV516" i="53"/>
  <c r="AO516" i="53"/>
  <c r="AD516" i="53"/>
  <c r="AV723" i="53"/>
  <c r="AO723" i="53"/>
  <c r="AD723" i="53"/>
  <c r="AV983" i="53"/>
  <c r="AO983" i="53"/>
  <c r="AT983" i="53" s="1"/>
  <c r="AD983" i="53"/>
  <c r="AV827" i="53"/>
  <c r="AO827" i="53"/>
  <c r="AD827" i="53"/>
  <c r="AV331" i="53"/>
  <c r="AO331" i="53"/>
  <c r="AT331" i="53" s="1"/>
  <c r="AD331" i="53"/>
  <c r="AV993" i="53"/>
  <c r="AO993" i="53"/>
  <c r="AT993" i="53" s="1"/>
  <c r="AD993" i="53"/>
  <c r="AV711" i="53"/>
  <c r="AO711" i="53"/>
  <c r="AT711" i="53" s="1"/>
  <c r="AD711" i="53"/>
  <c r="AV348" i="53"/>
  <c r="AD348" i="53"/>
  <c r="AO348" i="53"/>
  <c r="AT348" i="53" s="1"/>
  <c r="AV611" i="53"/>
  <c r="AO611" i="53"/>
  <c r="AT611" i="53" s="1"/>
  <c r="AD611" i="53"/>
  <c r="AV666" i="53"/>
  <c r="AO666" i="53"/>
  <c r="AT666" i="53" s="1"/>
  <c r="AD666" i="53"/>
  <c r="AO173" i="53"/>
  <c r="AV173" i="53"/>
  <c r="AD173" i="53"/>
  <c r="AV916" i="53"/>
  <c r="AO916" i="53"/>
  <c r="AT916" i="53" s="1"/>
  <c r="AD916" i="53"/>
  <c r="AV964" i="53"/>
  <c r="AO964" i="53"/>
  <c r="AT964" i="53" s="1"/>
  <c r="AD964" i="53"/>
  <c r="AV729" i="53"/>
  <c r="AO729" i="53"/>
  <c r="AD729" i="53"/>
  <c r="AV694" i="53"/>
  <c r="AO694" i="53"/>
  <c r="AD694" i="53"/>
  <c r="AV303" i="53"/>
  <c r="AO303" i="53"/>
  <c r="AD303" i="53"/>
  <c r="AV787" i="53"/>
  <c r="AO787" i="53"/>
  <c r="AT787" i="53" s="1"/>
  <c r="AD787" i="53"/>
  <c r="AO103" i="53"/>
  <c r="AV103" i="53"/>
  <c r="AD103" i="53"/>
  <c r="AV1053" i="53"/>
  <c r="AO1053" i="53"/>
  <c r="AT1053" i="53" s="1"/>
  <c r="AD1053" i="53"/>
  <c r="AV657" i="53"/>
  <c r="AO657" i="53"/>
  <c r="AD657" i="53"/>
  <c r="AV269" i="53"/>
  <c r="AD269" i="53"/>
  <c r="AO269" i="53"/>
  <c r="AT269" i="53" s="1"/>
  <c r="AO42" i="53"/>
  <c r="AT42" i="53" s="1"/>
  <c r="AV42" i="53"/>
  <c r="AD42" i="53"/>
  <c r="AV618" i="53"/>
  <c r="AO618" i="53"/>
  <c r="AT618" i="53" s="1"/>
  <c r="AD618" i="53"/>
  <c r="AO72" i="53"/>
  <c r="AT72" i="53" s="1"/>
  <c r="AV72" i="53"/>
  <c r="AD72" i="53"/>
  <c r="AV615" i="53"/>
  <c r="AO615" i="53"/>
  <c r="AD615" i="53"/>
  <c r="AV629" i="53"/>
  <c r="AO629" i="53"/>
  <c r="AD629" i="53"/>
  <c r="AV806" i="53"/>
  <c r="AO806" i="53"/>
  <c r="AT806" i="53" s="1"/>
  <c r="AD806" i="53"/>
  <c r="AV321" i="53"/>
  <c r="AO321" i="53"/>
  <c r="AT321" i="53" s="1"/>
  <c r="AD321" i="53"/>
  <c r="AV982" i="53"/>
  <c r="AO982" i="53"/>
  <c r="AD982" i="53"/>
  <c r="AV553" i="53"/>
  <c r="AO553" i="53"/>
  <c r="AT553" i="53" s="1"/>
  <c r="AD553" i="53"/>
  <c r="AV844" i="53"/>
  <c r="AO844" i="53"/>
  <c r="AD844" i="53"/>
  <c r="AO174" i="53"/>
  <c r="AV174" i="53"/>
  <c r="AD174" i="53"/>
  <c r="AV769" i="53"/>
  <c r="AO769" i="53"/>
  <c r="AT769" i="53" s="1"/>
  <c r="AD769" i="53"/>
  <c r="AV620" i="53"/>
  <c r="AD620" i="53"/>
  <c r="AO620" i="53"/>
  <c r="AT620" i="53" s="1"/>
  <c r="AO113" i="53"/>
  <c r="AV113" i="53"/>
  <c r="AD113" i="53"/>
  <c r="AV943" i="53"/>
  <c r="AO943" i="53"/>
  <c r="AT943" i="53" s="1"/>
  <c r="AD943" i="53"/>
  <c r="AV1034" i="53"/>
  <c r="AD1034" i="53"/>
  <c r="AO1034" i="53"/>
  <c r="AV622" i="53"/>
  <c r="AO622" i="53"/>
  <c r="AD622" i="53"/>
  <c r="AV628" i="53"/>
  <c r="AO628" i="53"/>
  <c r="AT628" i="53" s="1"/>
  <c r="AD628" i="53"/>
  <c r="AO158" i="53"/>
  <c r="AT158" i="53" s="1"/>
  <c r="AV158" i="53"/>
  <c r="AD158" i="53"/>
  <c r="AV836" i="53"/>
  <c r="AO836" i="53"/>
  <c r="AT836" i="53" s="1"/>
  <c r="AD836" i="53"/>
  <c r="AV1082" i="53"/>
  <c r="AD1082" i="53"/>
  <c r="AO1082" i="53"/>
  <c r="AT1082" i="53" s="1"/>
  <c r="AV528" i="53"/>
  <c r="AO528" i="53"/>
  <c r="AD528" i="53"/>
  <c r="AV1075" i="53"/>
  <c r="AO1075" i="53"/>
  <c r="AT1075" i="53" s="1"/>
  <c r="AD1075" i="53"/>
  <c r="AV565" i="53"/>
  <c r="AO565" i="53"/>
  <c r="AD565" i="53"/>
  <c r="AV939" i="53"/>
  <c r="AO939" i="53"/>
  <c r="AT939" i="53" s="1"/>
  <c r="AD939" i="53"/>
  <c r="AV502" i="53"/>
  <c r="AO502" i="53"/>
  <c r="AT502" i="53" s="1"/>
  <c r="AD502" i="53"/>
  <c r="AV1078" i="53"/>
  <c r="AO1078" i="53"/>
  <c r="AT1078" i="53" s="1"/>
  <c r="AD1078" i="53"/>
  <c r="AV1027" i="53"/>
  <c r="AO1027" i="53"/>
  <c r="AD1027" i="53"/>
  <c r="AV132" i="53"/>
  <c r="AO132" i="53"/>
  <c r="AT132" i="53" s="1"/>
  <c r="AD132" i="53"/>
  <c r="AV441" i="53"/>
  <c r="AO441" i="53"/>
  <c r="AT441" i="53" s="1"/>
  <c r="AD441" i="53"/>
  <c r="AV1064" i="53"/>
  <c r="AO1064" i="53"/>
  <c r="AT1064" i="53" s="1"/>
  <c r="AD1064" i="53"/>
  <c r="AV862" i="53"/>
  <c r="AO862" i="53"/>
  <c r="AT862" i="53" s="1"/>
  <c r="AD862" i="53"/>
  <c r="AV768" i="53"/>
  <c r="AO768" i="53"/>
  <c r="AT768" i="53" s="1"/>
  <c r="AD768" i="53"/>
  <c r="AV1098" i="53"/>
  <c r="AD1098" i="53"/>
  <c r="AO1098" i="53"/>
  <c r="AT1098" i="53" s="1"/>
  <c r="AV499" i="53"/>
  <c r="AO499" i="53"/>
  <c r="AT499" i="53" s="1"/>
  <c r="AD499" i="53"/>
  <c r="AV278" i="53"/>
  <c r="AO278" i="53"/>
  <c r="AD278" i="53"/>
  <c r="AV349" i="53"/>
  <c r="AD349" i="53"/>
  <c r="AO349" i="53"/>
  <c r="AT349" i="53" s="1"/>
  <c r="AV689" i="53"/>
  <c r="AO689" i="53"/>
  <c r="AT689" i="53" s="1"/>
  <c r="AD689" i="53"/>
  <c r="AV344" i="53"/>
  <c r="AO344" i="53"/>
  <c r="AD344" i="53"/>
  <c r="AV474" i="53"/>
  <c r="AO474" i="53"/>
  <c r="AT474" i="53" s="1"/>
  <c r="AD474" i="53"/>
  <c r="AO181" i="53"/>
  <c r="AV181" i="53"/>
  <c r="AD181" i="53"/>
  <c r="AV1028" i="53"/>
  <c r="AO1028" i="53"/>
  <c r="AD1028" i="53"/>
  <c r="AV231" i="53"/>
  <c r="AO231" i="53"/>
  <c r="AD231" i="53"/>
  <c r="AV452" i="53"/>
  <c r="AO452" i="53"/>
  <c r="AT452" i="53" s="1"/>
  <c r="AD452" i="53"/>
  <c r="AV240" i="53"/>
  <c r="AD240" i="53"/>
  <c r="AO240" i="53"/>
  <c r="AO157" i="53"/>
  <c r="AV157" i="53"/>
  <c r="AD157" i="53"/>
  <c r="AV795" i="53"/>
  <c r="AO795" i="53"/>
  <c r="AD795" i="53"/>
  <c r="AV519" i="53"/>
  <c r="AO519" i="53"/>
  <c r="AD519" i="53"/>
  <c r="AV393" i="53"/>
  <c r="AO393" i="53"/>
  <c r="AT393" i="53" s="1"/>
  <c r="AD393" i="53"/>
  <c r="AV856" i="53"/>
  <c r="AO856" i="53"/>
  <c r="AD856" i="53"/>
  <c r="AV1012" i="53"/>
  <c r="AO1012" i="53"/>
  <c r="AT1012" i="53" s="1"/>
  <c r="AD1012" i="53"/>
  <c r="AV583" i="53"/>
  <c r="AO583" i="53"/>
  <c r="AD583" i="53"/>
  <c r="AV631" i="53"/>
  <c r="AO631" i="53"/>
  <c r="AT631" i="53" s="1"/>
  <c r="AD631" i="53"/>
  <c r="AV961" i="53"/>
  <c r="AO961" i="53"/>
  <c r="AD961" i="53"/>
  <c r="AV315" i="53"/>
  <c r="AO315" i="53"/>
  <c r="AD315" i="53"/>
  <c r="AV899" i="53"/>
  <c r="AO899" i="53"/>
  <c r="AD899" i="53"/>
  <c r="AV368" i="53"/>
  <c r="AO368" i="53"/>
  <c r="AT368" i="53" s="1"/>
  <c r="AD368" i="53"/>
  <c r="AV463" i="53"/>
  <c r="AO463" i="53"/>
  <c r="AT463" i="53" s="1"/>
  <c r="AD463" i="53"/>
  <c r="AO152" i="53"/>
  <c r="AT152" i="53" s="1"/>
  <c r="AV152" i="53"/>
  <c r="AD152" i="53"/>
  <c r="AV371" i="53"/>
  <c r="AO371" i="53"/>
  <c r="AD371" i="53"/>
  <c r="AV370" i="53"/>
  <c r="AO370" i="53"/>
  <c r="AT370" i="53" s="1"/>
  <c r="AD370" i="53"/>
  <c r="AV807" i="53"/>
  <c r="AO807" i="53"/>
  <c r="AT807" i="53" s="1"/>
  <c r="AD807" i="53"/>
  <c r="AV1059" i="53"/>
  <c r="AO1059" i="53"/>
  <c r="AD1059" i="53"/>
  <c r="AO74" i="53"/>
  <c r="AV74" i="53"/>
  <c r="AD74" i="53"/>
  <c r="AO8" i="53"/>
  <c r="AT8" i="53" s="1"/>
  <c r="AV8" i="53"/>
  <c r="AD8" i="53"/>
  <c r="AO381" i="53"/>
  <c r="AT381" i="53" s="1"/>
  <c r="AV381" i="53"/>
  <c r="AD381" i="53"/>
  <c r="AV326" i="53"/>
  <c r="AO326" i="53"/>
  <c r="AT326" i="53" s="1"/>
  <c r="AD326" i="53"/>
  <c r="AV603" i="53"/>
  <c r="AO603" i="53"/>
  <c r="AT603" i="53" s="1"/>
  <c r="AD603" i="53"/>
  <c r="AV820" i="53"/>
  <c r="AO820" i="53"/>
  <c r="AT820" i="53" s="1"/>
  <c r="AD820" i="53"/>
  <c r="AV512" i="53"/>
  <c r="AO512" i="53"/>
  <c r="AT512" i="53" s="1"/>
  <c r="AD512" i="53"/>
  <c r="AV824" i="53"/>
  <c r="AO824" i="53"/>
  <c r="AD824" i="53"/>
  <c r="AV388" i="53"/>
  <c r="AO388" i="53"/>
  <c r="AT388" i="53" s="1"/>
  <c r="AD388" i="53"/>
  <c r="AV933" i="53"/>
  <c r="AO933" i="53"/>
  <c r="AD933" i="53"/>
  <c r="AO233" i="53"/>
  <c r="AV233" i="53"/>
  <c r="AD233" i="53"/>
  <c r="AV980" i="53"/>
  <c r="AO980" i="53"/>
  <c r="AT980" i="53" s="1"/>
  <c r="AD980" i="53"/>
  <c r="AV626" i="53"/>
  <c r="AO626" i="53"/>
  <c r="AT626" i="53" s="1"/>
  <c r="AD626" i="53"/>
  <c r="AV1056" i="53"/>
  <c r="AO1056" i="53"/>
  <c r="AT1056" i="53" s="1"/>
  <c r="AD1056" i="53"/>
  <c r="AV427" i="53"/>
  <c r="AO427" i="53"/>
  <c r="AT427" i="53" s="1"/>
  <c r="AD427" i="53"/>
  <c r="AV880" i="53"/>
  <c r="AO880" i="53"/>
  <c r="AT880" i="53" s="1"/>
  <c r="AD880" i="53"/>
  <c r="AV410" i="53"/>
  <c r="AO410" i="53"/>
  <c r="AT410" i="53" s="1"/>
  <c r="AD410" i="53"/>
  <c r="AV581" i="53"/>
  <c r="AO581" i="53"/>
  <c r="AT581" i="53" s="1"/>
  <c r="AD581" i="53"/>
  <c r="AO252" i="53"/>
  <c r="AV252" i="53"/>
  <c r="AD252" i="53"/>
  <c r="AO138" i="53"/>
  <c r="AV138" i="53"/>
  <c r="AD138" i="53"/>
  <c r="AV981" i="53"/>
  <c r="AO981" i="53"/>
  <c r="AT981" i="53" s="1"/>
  <c r="AD981" i="53"/>
  <c r="AV595" i="53"/>
  <c r="AO595" i="53"/>
  <c r="AT595" i="53" s="1"/>
  <c r="AD595" i="53"/>
  <c r="AV636" i="53"/>
  <c r="AD636" i="53"/>
  <c r="AO636" i="53"/>
  <c r="AV338" i="53"/>
  <c r="AO338" i="53"/>
  <c r="AD338" i="53"/>
  <c r="AO254" i="53"/>
  <c r="AV254" i="53"/>
  <c r="AD254" i="53"/>
  <c r="AV860" i="53"/>
  <c r="AD860" i="53"/>
  <c r="AO860" i="53"/>
  <c r="AT860" i="53" s="1"/>
  <c r="AO251" i="53"/>
  <c r="AV251" i="53"/>
  <c r="AD251" i="53"/>
  <c r="AV316" i="53"/>
  <c r="AO316" i="53"/>
  <c r="AT316" i="53" s="1"/>
  <c r="AD316" i="53"/>
  <c r="AV1035" i="53"/>
  <c r="AO1035" i="53"/>
  <c r="AD1035" i="53"/>
  <c r="AV1024" i="53"/>
  <c r="AO1024" i="53"/>
  <c r="AT1024" i="53" s="1"/>
  <c r="AD1024" i="53"/>
  <c r="AV205" i="53"/>
  <c r="AO205" i="53"/>
  <c r="AD205" i="53"/>
  <c r="AV987" i="53"/>
  <c r="AO987" i="53"/>
  <c r="AT987" i="53" s="1"/>
  <c r="AD987" i="53"/>
  <c r="AV148" i="53"/>
  <c r="AD148" i="53"/>
  <c r="AO148" i="53"/>
  <c r="AV312" i="53"/>
  <c r="AO312" i="53"/>
  <c r="AD312" i="53"/>
  <c r="AV1019" i="53"/>
  <c r="AO1019" i="53"/>
  <c r="AD1019" i="53"/>
  <c r="AV851" i="53"/>
  <c r="AO851" i="53"/>
  <c r="AD851" i="53"/>
  <c r="AV887" i="53"/>
  <c r="AO887" i="53"/>
  <c r="AT887" i="53" s="1"/>
  <c r="AD887" i="53"/>
  <c r="AV780" i="53"/>
  <c r="AD780" i="53"/>
  <c r="AO780" i="53"/>
  <c r="AV641" i="53"/>
  <c r="AO641" i="53"/>
  <c r="AD641" i="53"/>
  <c r="AV921" i="53"/>
  <c r="AO921" i="53"/>
  <c r="AD921" i="53"/>
  <c r="AV224" i="53"/>
  <c r="AD224" i="53"/>
  <c r="AO224" i="53"/>
  <c r="AV948" i="53"/>
  <c r="AO948" i="53"/>
  <c r="AD948" i="53"/>
  <c r="AV841" i="53"/>
  <c r="AO841" i="53"/>
  <c r="AT841" i="53" s="1"/>
  <c r="AD841" i="53"/>
  <c r="AV429" i="53"/>
  <c r="AO429" i="53"/>
  <c r="AT429" i="53" s="1"/>
  <c r="AD429" i="53"/>
  <c r="AV210" i="53"/>
  <c r="AO210" i="53"/>
  <c r="AD210" i="53"/>
  <c r="AV656" i="53"/>
  <c r="AO656" i="53"/>
  <c r="AT656" i="53" s="1"/>
  <c r="AD656" i="53"/>
  <c r="AV215" i="53"/>
  <c r="AO215" i="53"/>
  <c r="AD215" i="53"/>
  <c r="AV811" i="53"/>
  <c r="AO811" i="53"/>
  <c r="AT811" i="53" s="1"/>
  <c r="AD811" i="53"/>
  <c r="AV227" i="53"/>
  <c r="AD227" i="53"/>
  <c r="AO227" i="53"/>
  <c r="AV199" i="53"/>
  <c r="AD199" i="53"/>
  <c r="AO199" i="53"/>
  <c r="AT199" i="53" s="1"/>
  <c r="AV1091" i="53"/>
  <c r="AO1091" i="53"/>
  <c r="AT1091" i="53" s="1"/>
  <c r="AD1091" i="53"/>
  <c r="AV640" i="53"/>
  <c r="AO640" i="53"/>
  <c r="AD640" i="53"/>
  <c r="AO133" i="53"/>
  <c r="AV133" i="53"/>
  <c r="AD133" i="53"/>
  <c r="AV861" i="53"/>
  <c r="AD861" i="53"/>
  <c r="AO861" i="53"/>
  <c r="AT861" i="53" s="1"/>
  <c r="AV1001" i="53"/>
  <c r="AO1001" i="53"/>
  <c r="AD1001" i="53"/>
  <c r="AV1009" i="53"/>
  <c r="AO1009" i="53"/>
  <c r="AT1009" i="53" s="1"/>
  <c r="AD1009" i="53"/>
  <c r="AV594" i="53"/>
  <c r="AO594" i="53"/>
  <c r="AT594" i="53" s="1"/>
  <c r="AD594" i="53"/>
  <c r="AV999" i="53"/>
  <c r="AO999" i="53"/>
  <c r="AT999" i="53" s="1"/>
  <c r="AD999" i="53"/>
  <c r="AV385" i="53"/>
  <c r="AO385" i="53"/>
  <c r="AT385" i="53" s="1"/>
  <c r="AD385" i="53"/>
  <c r="AV951" i="53"/>
  <c r="AO951" i="53"/>
  <c r="AT951" i="53" s="1"/>
  <c r="AD951" i="53"/>
  <c r="AV928" i="53"/>
  <c r="AO928" i="53"/>
  <c r="AT928" i="53" s="1"/>
  <c r="AD928" i="53"/>
  <c r="AV84" i="53"/>
  <c r="AD84" i="53"/>
  <c r="AO84" i="53"/>
  <c r="AT84" i="53" s="1"/>
  <c r="AV585" i="53"/>
  <c r="AO585" i="53"/>
  <c r="AD585" i="53"/>
  <c r="AV451" i="53"/>
  <c r="AO451" i="53"/>
  <c r="AD451" i="53"/>
  <c r="AV998" i="53"/>
  <c r="AO998" i="53"/>
  <c r="AD998" i="53"/>
  <c r="AV555" i="53"/>
  <c r="AO555" i="53"/>
  <c r="AT555" i="53" s="1"/>
  <c r="AD555" i="53"/>
  <c r="AV300" i="53"/>
  <c r="AO300" i="53"/>
  <c r="AT300" i="53" s="1"/>
  <c r="AD300" i="53"/>
  <c r="AV940" i="53"/>
  <c r="AO940" i="53"/>
  <c r="AD940" i="53"/>
  <c r="AO29" i="53"/>
  <c r="AV29" i="53"/>
  <c r="AD29" i="53"/>
  <c r="AV200" i="53"/>
  <c r="AO200" i="53"/>
  <c r="AT200" i="53" s="1"/>
  <c r="AD200" i="53"/>
  <c r="AV606" i="53"/>
  <c r="AO606" i="53"/>
  <c r="AD606" i="53"/>
  <c r="AV419" i="53"/>
  <c r="AO419" i="53"/>
  <c r="AT419" i="53" s="1"/>
  <c r="AD419" i="53"/>
  <c r="AV864" i="53"/>
  <c r="AO864" i="53"/>
  <c r="AD864" i="53"/>
  <c r="AV324" i="53"/>
  <c r="AO324" i="53"/>
  <c r="AT324" i="53" s="1"/>
  <c r="AD324" i="53"/>
  <c r="AV815" i="53"/>
  <c r="AO815" i="53"/>
  <c r="AT815" i="53" s="1"/>
  <c r="AD815" i="53"/>
  <c r="AV506" i="53"/>
  <c r="AO506" i="53"/>
  <c r="AT506" i="53" s="1"/>
  <c r="AD506" i="53"/>
  <c r="AV525" i="53"/>
  <c r="AD525" i="53"/>
  <c r="AO525" i="53"/>
  <c r="AV645" i="53"/>
  <c r="AO645" i="53"/>
  <c r="AD645" i="53"/>
  <c r="AV212" i="53"/>
  <c r="AO212" i="53"/>
  <c r="AD212" i="53"/>
  <c r="AV399" i="53"/>
  <c r="AO399" i="53"/>
  <c r="AD399" i="53"/>
  <c r="AO114" i="53"/>
  <c r="AT114" i="53" s="1"/>
  <c r="AV114" i="53"/>
  <c r="AD114" i="53"/>
  <c r="AV307" i="53"/>
  <c r="AO307" i="53"/>
  <c r="AT307" i="53" s="1"/>
  <c r="AD307" i="53"/>
  <c r="AV538" i="53"/>
  <c r="AO538" i="53"/>
  <c r="AD538" i="53"/>
  <c r="AO50" i="53"/>
  <c r="AT50" i="53" s="1"/>
  <c r="AV50" i="53"/>
  <c r="AD50" i="53"/>
  <c r="AV798" i="53"/>
  <c r="AO798" i="53"/>
  <c r="AT798" i="53" s="1"/>
  <c r="AD798" i="53"/>
  <c r="AV360" i="53"/>
  <c r="AO360" i="53"/>
  <c r="AT360" i="53" s="1"/>
  <c r="AD360" i="53"/>
  <c r="AO782" i="53"/>
  <c r="AT782" i="53" s="1"/>
  <c r="AV782" i="53"/>
  <c r="AD782" i="53"/>
  <c r="AV1043" i="53"/>
  <c r="AO1043" i="53"/>
  <c r="AT1043" i="53" s="1"/>
  <c r="AD1043" i="53"/>
  <c r="AV918" i="53"/>
  <c r="AO918" i="53"/>
  <c r="AT918" i="53" s="1"/>
  <c r="AD918" i="53"/>
  <c r="AV549" i="53"/>
  <c r="AO549" i="53"/>
  <c r="AD549" i="53"/>
  <c r="AV919" i="53"/>
  <c r="AO919" i="53"/>
  <c r="AT919" i="53" s="1"/>
  <c r="AD919" i="53"/>
  <c r="AV573" i="53"/>
  <c r="AO573" i="53"/>
  <c r="AD573" i="53"/>
  <c r="AO238" i="53"/>
  <c r="AV238" i="53"/>
  <c r="AD238" i="53"/>
  <c r="AV653" i="53"/>
  <c r="AO653" i="53"/>
  <c r="AT653" i="53" s="1"/>
  <c r="AD653" i="53"/>
  <c r="AV1071" i="53"/>
  <c r="AO1071" i="53"/>
  <c r="AT1071" i="53" s="1"/>
  <c r="AD1071" i="53"/>
  <c r="AO27" i="53"/>
  <c r="AT27" i="53" s="1"/>
  <c r="AV27" i="53"/>
  <c r="AD27" i="53"/>
  <c r="AV829" i="53"/>
  <c r="AO829" i="53"/>
  <c r="AT829" i="53" s="1"/>
  <c r="AD829" i="53"/>
  <c r="AO41" i="53"/>
  <c r="AT41" i="53" s="1"/>
  <c r="AV41" i="53"/>
  <c r="AD41" i="53"/>
  <c r="AV548" i="53"/>
  <c r="AO548" i="53"/>
  <c r="AD548" i="53"/>
  <c r="AV708" i="53"/>
  <c r="AO708" i="53"/>
  <c r="AT708" i="53" s="1"/>
  <c r="AD708" i="53"/>
  <c r="AV974" i="53"/>
  <c r="AO974" i="53"/>
  <c r="AD974" i="53"/>
  <c r="AV777" i="53"/>
  <c r="AO777" i="53"/>
  <c r="AD777" i="53"/>
  <c r="AV639" i="53"/>
  <c r="AO639" i="53"/>
  <c r="AT639" i="53" s="1"/>
  <c r="AD639" i="53"/>
  <c r="AO139" i="53"/>
  <c r="AT139" i="53" s="1"/>
  <c r="AV139" i="53"/>
  <c r="AD139" i="53"/>
  <c r="AV704" i="53"/>
  <c r="AO704" i="53"/>
  <c r="AD704" i="53"/>
  <c r="AV432" i="53"/>
  <c r="AO432" i="53"/>
  <c r="AT432" i="53" s="1"/>
  <c r="AD432" i="53"/>
  <c r="AV616" i="53"/>
  <c r="AO616" i="53"/>
  <c r="AD616" i="53"/>
  <c r="AV179" i="53"/>
  <c r="AD179" i="53"/>
  <c r="AO179" i="53"/>
  <c r="AT179" i="53" s="1"/>
  <c r="AV727" i="53"/>
  <c r="AO727" i="53"/>
  <c r="AD727" i="53"/>
  <c r="AO54" i="53"/>
  <c r="AV54" i="53"/>
  <c r="AD54" i="53"/>
  <c r="AV569" i="53"/>
  <c r="AO569" i="53"/>
  <c r="AT569" i="53" s="1"/>
  <c r="AD569" i="53"/>
  <c r="AV952" i="53"/>
  <c r="AO952" i="53"/>
  <c r="AD952" i="53"/>
  <c r="AO270" i="53"/>
  <c r="AV270" i="53"/>
  <c r="AD270" i="53"/>
  <c r="AV1002" i="53"/>
  <c r="AO1002" i="53"/>
  <c r="AD1002" i="53"/>
  <c r="AO92" i="53"/>
  <c r="AT92" i="53" s="1"/>
  <c r="AV92" i="53"/>
  <c r="AD92" i="53"/>
  <c r="AV367" i="53"/>
  <c r="AD367" i="53"/>
  <c r="AO367" i="53"/>
  <c r="AT367" i="53" s="1"/>
  <c r="AV703" i="53"/>
  <c r="AD703" i="53"/>
  <c r="AO703" i="53"/>
  <c r="AT703" i="53" s="1"/>
  <c r="AV359" i="53"/>
  <c r="AO359" i="53"/>
  <c r="AT359" i="53" s="1"/>
  <c r="AD359" i="53"/>
  <c r="AO109" i="53"/>
  <c r="AT109" i="53" s="1"/>
  <c r="AV109" i="53"/>
  <c r="AD109" i="53"/>
  <c r="AV903" i="53"/>
  <c r="AO903" i="53"/>
  <c r="AT903" i="53" s="1"/>
  <c r="AD903" i="53"/>
  <c r="AO189" i="53"/>
  <c r="AT189" i="53" s="1"/>
  <c r="AV189" i="53"/>
  <c r="AD189" i="53"/>
  <c r="AV972" i="53"/>
  <c r="AD972" i="53"/>
  <c r="AO972" i="53"/>
  <c r="AV1080" i="53"/>
  <c r="AO1080" i="53"/>
  <c r="AT1080" i="53" s="1"/>
  <c r="AD1080" i="53"/>
  <c r="AV884" i="53"/>
  <c r="AO884" i="53"/>
  <c r="AT884" i="53" s="1"/>
  <c r="AD884" i="53"/>
  <c r="AV369" i="53"/>
  <c r="AO369" i="53"/>
  <c r="AT369" i="53" s="1"/>
  <c r="AD369" i="53"/>
  <c r="AV874" i="53"/>
  <c r="AO874" i="53"/>
  <c r="AT874" i="53" s="1"/>
  <c r="AD874" i="53"/>
  <c r="AO141" i="53"/>
  <c r="AV141" i="53"/>
  <c r="AD141" i="53"/>
  <c r="AO101" i="53"/>
  <c r="AT101" i="53" s="1"/>
  <c r="AV101" i="53"/>
  <c r="AD101" i="53"/>
  <c r="AO88" i="53"/>
  <c r="AT88" i="53" s="1"/>
  <c r="AV88" i="53"/>
  <c r="AD88" i="53"/>
  <c r="AO44" i="53"/>
  <c r="AT44" i="53" s="1"/>
  <c r="AV44" i="53"/>
  <c r="AD44" i="53"/>
  <c r="AV394" i="53"/>
  <c r="AO394" i="53"/>
  <c r="AT394" i="53" s="1"/>
  <c r="AD394" i="53"/>
  <c r="AV643" i="53"/>
  <c r="AO643" i="53"/>
  <c r="AD643" i="53"/>
  <c r="AO526" i="53"/>
  <c r="AT526" i="53" s="1"/>
  <c r="AD526" i="53"/>
  <c r="AV526" i="53"/>
  <c r="AV922" i="53"/>
  <c r="AO922" i="53"/>
  <c r="AT922" i="53" s="1"/>
  <c r="AD922" i="53"/>
  <c r="AV568" i="53"/>
  <c r="AO568" i="53"/>
  <c r="AT568" i="53" s="1"/>
  <c r="AD568" i="53"/>
  <c r="AV1000" i="53"/>
  <c r="AO1000" i="53"/>
  <c r="AT1000" i="53" s="1"/>
  <c r="AD1000" i="53"/>
  <c r="AV843" i="53"/>
  <c r="AO843" i="53"/>
  <c r="AD843" i="53"/>
  <c r="AV475" i="53"/>
  <c r="AO475" i="53"/>
  <c r="AT475" i="53" s="1"/>
  <c r="AD475" i="53"/>
  <c r="AV465" i="53"/>
  <c r="AO465" i="53"/>
  <c r="AT465" i="53" s="1"/>
  <c r="AD465" i="53"/>
  <c r="AV826" i="53"/>
  <c r="AO826" i="53"/>
  <c r="AD826" i="53"/>
  <c r="AV143" i="53"/>
  <c r="AO143" i="53"/>
  <c r="AD143" i="53"/>
  <c r="AV477" i="53"/>
  <c r="AO477" i="53"/>
  <c r="AD477" i="53"/>
  <c r="AV1026" i="53"/>
  <c r="AO1026" i="53"/>
  <c r="AD1026" i="53"/>
  <c r="AV871" i="53"/>
  <c r="AO871" i="53"/>
  <c r="AT871" i="53" s="1"/>
  <c r="AD871" i="53"/>
  <c r="AV552" i="53"/>
  <c r="AO552" i="53"/>
  <c r="AT552" i="53" s="1"/>
  <c r="AD552" i="53"/>
  <c r="AV457" i="53"/>
  <c r="AO457" i="53"/>
  <c r="AD457" i="53"/>
  <c r="AV868" i="53"/>
  <c r="AO868" i="53"/>
  <c r="AT868" i="53" s="1"/>
  <c r="AD868" i="53"/>
  <c r="AV850" i="53"/>
  <c r="AO850" i="53"/>
  <c r="AT850" i="53" s="1"/>
  <c r="AD850" i="53"/>
  <c r="AV1097" i="53"/>
  <c r="AO1097" i="53"/>
  <c r="AT1097" i="53" s="1"/>
  <c r="AD1097" i="53"/>
  <c r="AO45" i="53"/>
  <c r="AV45" i="53"/>
  <c r="AD45" i="53"/>
  <c r="AO105" i="53"/>
  <c r="AT105" i="53" s="1"/>
  <c r="AV105" i="53"/>
  <c r="AD105" i="53"/>
  <c r="AV925" i="53"/>
  <c r="AO925" i="53"/>
  <c r="AT925" i="53" s="1"/>
  <c r="AD925" i="53"/>
  <c r="AV341" i="53"/>
  <c r="AO341" i="53"/>
  <c r="AD341" i="53"/>
  <c r="AV431" i="53"/>
  <c r="AO431" i="53"/>
  <c r="AT431" i="53" s="1"/>
  <c r="AD431" i="53"/>
  <c r="AV476" i="53"/>
  <c r="AO476" i="53"/>
  <c r="AD476" i="53"/>
  <c r="AV175" i="53"/>
  <c r="AO175" i="53"/>
  <c r="AD175" i="53"/>
  <c r="AV1054" i="53"/>
  <c r="AO1054" i="53"/>
  <c r="AD1054" i="53"/>
  <c r="AV208" i="53"/>
  <c r="AD208" i="53"/>
  <c r="AO208" i="53"/>
  <c r="AT208" i="53" s="1"/>
  <c r="AV675" i="53"/>
  <c r="AO675" i="53"/>
  <c r="AT675" i="53" s="1"/>
  <c r="AD675" i="53"/>
  <c r="AV1018" i="53"/>
  <c r="AD1018" i="53"/>
  <c r="AO1018" i="53"/>
  <c r="AT1018" i="53" s="1"/>
  <c r="AV386" i="53"/>
  <c r="AO386" i="53"/>
  <c r="AT386" i="53" s="1"/>
  <c r="AD386" i="53"/>
  <c r="AV313" i="53"/>
  <c r="AO313" i="53"/>
  <c r="AT313" i="53" s="1"/>
  <c r="AD313" i="53"/>
  <c r="AV870" i="53"/>
  <c r="AO870" i="53"/>
  <c r="AT870" i="53" s="1"/>
  <c r="AD870" i="53"/>
  <c r="AV407" i="53"/>
  <c r="AO407" i="53"/>
  <c r="AT407" i="53" s="1"/>
  <c r="AD407" i="53"/>
  <c r="AV739" i="53"/>
  <c r="AO739" i="53"/>
  <c r="AD739" i="53"/>
  <c r="AV977" i="53"/>
  <c r="AO977" i="53"/>
  <c r="AT977" i="53" s="1"/>
  <c r="AD977" i="53"/>
  <c r="AV180" i="53"/>
  <c r="AD180" i="53"/>
  <c r="AO180" i="53"/>
  <c r="AV298" i="53"/>
  <c r="AO298" i="53"/>
  <c r="AT298" i="53" s="1"/>
  <c r="AD298" i="53"/>
  <c r="AV401" i="53"/>
  <c r="AO401" i="53"/>
  <c r="AT401" i="53" s="1"/>
  <c r="AD401" i="53"/>
  <c r="AV929" i="53"/>
  <c r="AO929" i="53"/>
  <c r="AD929" i="53"/>
  <c r="AV561" i="53"/>
  <c r="AO561" i="53"/>
  <c r="AT561" i="53" s="1"/>
  <c r="AD561" i="53"/>
  <c r="AV758" i="53"/>
  <c r="AO758" i="53"/>
  <c r="AT758" i="53" s="1"/>
  <c r="AD758" i="53"/>
  <c r="AO62" i="53"/>
  <c r="AT62" i="53" s="1"/>
  <c r="AV62" i="53"/>
  <c r="AD62" i="53"/>
  <c r="AV295" i="53"/>
  <c r="AO295" i="53"/>
  <c r="AT295" i="53" s="1"/>
  <c r="AD295" i="53"/>
  <c r="AO65" i="53"/>
  <c r="AT65" i="53" s="1"/>
  <c r="AV65" i="53"/>
  <c r="AD65" i="53"/>
  <c r="AV390" i="53"/>
  <c r="AO390" i="53"/>
  <c r="AT390" i="53" s="1"/>
  <c r="AD390" i="53"/>
  <c r="AV466" i="53"/>
  <c r="AO466" i="53"/>
  <c r="AD466" i="53"/>
  <c r="AV988" i="53"/>
  <c r="AO988" i="53"/>
  <c r="AT988" i="53" s="1"/>
  <c r="AD988" i="53"/>
  <c r="AV334" i="53"/>
  <c r="AO334" i="53"/>
  <c r="AT334" i="53" s="1"/>
  <c r="AD334" i="53"/>
  <c r="AV650" i="53"/>
  <c r="AO650" i="53"/>
  <c r="AD650" i="53"/>
  <c r="AV491" i="53"/>
  <c r="AO491" i="53"/>
  <c r="AD491" i="53"/>
  <c r="AV1092" i="53"/>
  <c r="AO1092" i="53"/>
  <c r="AT1092" i="53" s="1"/>
  <c r="AD1092" i="53"/>
  <c r="AV314" i="53"/>
  <c r="AO314" i="53"/>
  <c r="AD314" i="53"/>
  <c r="AV406" i="53"/>
  <c r="AO406" i="53"/>
  <c r="AD406" i="53"/>
  <c r="AV728" i="53"/>
  <c r="AO728" i="53"/>
  <c r="AT728" i="53" s="1"/>
  <c r="AD728" i="53"/>
  <c r="AV558" i="53"/>
  <c r="AO558" i="53"/>
  <c r="AT558" i="53" s="1"/>
  <c r="AD558" i="53"/>
  <c r="AO118" i="53"/>
  <c r="AT118" i="53" s="1"/>
  <c r="AV118" i="53"/>
  <c r="AD118" i="53"/>
  <c r="AV691" i="53"/>
  <c r="AO691" i="53"/>
  <c r="AD691" i="53"/>
  <c r="AV738" i="53"/>
  <c r="AO738" i="53"/>
  <c r="AD738" i="53"/>
  <c r="AO10" i="53"/>
  <c r="AT10" i="53" s="1"/>
  <c r="AV10" i="53"/>
  <c r="AD10" i="53"/>
  <c r="AO46" i="53"/>
  <c r="AV46" i="53"/>
  <c r="AD46" i="53"/>
  <c r="AV332" i="53"/>
  <c r="AO332" i="53"/>
  <c r="AT332" i="53" s="1"/>
  <c r="AD332" i="53"/>
  <c r="AV537" i="53"/>
  <c r="AO537" i="53"/>
  <c r="AD537" i="53"/>
  <c r="AV847" i="53"/>
  <c r="AO847" i="53"/>
  <c r="AD847" i="53"/>
  <c r="AV985" i="53"/>
  <c r="AO985" i="53"/>
  <c r="AD985" i="53"/>
  <c r="AO235" i="53"/>
  <c r="AV235" i="53"/>
  <c r="AD235" i="53"/>
  <c r="AO58" i="53"/>
  <c r="AT58" i="53" s="1"/>
  <c r="AV58" i="53"/>
  <c r="AD58" i="53"/>
  <c r="AV144" i="53"/>
  <c r="AD144" i="53"/>
  <c r="AO144" i="53"/>
  <c r="AV297" i="53"/>
  <c r="AO297" i="53"/>
  <c r="AD297" i="53"/>
  <c r="AV293" i="53"/>
  <c r="AO293" i="53"/>
  <c r="AT293" i="53" s="1"/>
  <c r="AD293" i="53"/>
  <c r="AV35" i="53"/>
  <c r="AO35" i="53"/>
  <c r="AT35" i="53" s="1"/>
  <c r="AD35" i="53"/>
  <c r="AV674" i="53"/>
  <c r="AO674" i="53"/>
  <c r="AD674" i="53"/>
  <c r="AV333" i="53"/>
  <c r="AO333" i="53"/>
  <c r="AT333" i="53" s="1"/>
  <c r="AD333" i="53"/>
  <c r="AV32" i="53"/>
  <c r="AD32" i="53"/>
  <c r="AO32" i="53"/>
  <c r="AO26" i="53"/>
  <c r="AV26" i="53"/>
  <c r="AD26" i="53"/>
  <c r="AO186" i="53"/>
  <c r="AT186" i="53" s="1"/>
  <c r="AV186" i="53"/>
  <c r="AD186" i="53"/>
  <c r="AV290" i="53"/>
  <c r="AO290" i="53"/>
  <c r="AD290" i="53"/>
  <c r="AV866" i="53"/>
  <c r="AO866" i="53"/>
  <c r="AT866" i="53" s="1"/>
  <c r="AD866" i="53"/>
  <c r="AV1079" i="53"/>
  <c r="AO1079" i="53"/>
  <c r="AT1079" i="53" s="1"/>
  <c r="AD1079" i="53"/>
  <c r="AO91" i="53"/>
  <c r="AT91" i="53" s="1"/>
  <c r="AV91" i="53"/>
  <c r="AD91" i="53"/>
  <c r="AV340" i="53"/>
  <c r="AO340" i="53"/>
  <c r="AT340" i="53" s="1"/>
  <c r="AD340" i="53"/>
  <c r="AV935" i="53"/>
  <c r="AO935" i="53"/>
  <c r="AT935" i="53" s="1"/>
  <c r="AD935" i="53"/>
  <c r="AV898" i="53"/>
  <c r="AO898" i="53"/>
  <c r="AT898" i="53" s="1"/>
  <c r="AD898" i="53"/>
  <c r="AV530" i="53"/>
  <c r="AO530" i="53"/>
  <c r="AD530" i="53"/>
  <c r="AV591" i="53"/>
  <c r="AO591" i="53"/>
  <c r="AT591" i="53" s="1"/>
  <c r="AD591" i="53"/>
  <c r="AV627" i="53"/>
  <c r="AO627" i="53"/>
  <c r="AT627" i="53" s="1"/>
  <c r="AD627" i="53"/>
  <c r="AV462" i="53"/>
  <c r="AO462" i="53"/>
  <c r="AT462" i="53" s="1"/>
  <c r="AD462" i="53"/>
  <c r="AO220" i="53"/>
  <c r="AV220" i="53"/>
  <c r="AD220" i="53"/>
  <c r="AV803" i="53"/>
  <c r="AO803" i="53"/>
  <c r="AT803" i="53" s="1"/>
  <c r="AD803" i="53"/>
  <c r="AV311" i="53"/>
  <c r="AO311" i="53"/>
  <c r="AD311" i="53"/>
  <c r="AV310" i="53"/>
  <c r="AO310" i="53"/>
  <c r="AD310" i="53"/>
  <c r="AO654" i="53"/>
  <c r="AD654" i="53"/>
  <c r="AV654" i="53"/>
  <c r="AV147" i="53"/>
  <c r="AO147" i="53"/>
  <c r="AT147" i="53" s="1"/>
  <c r="AD147" i="53"/>
  <c r="AV664" i="53"/>
  <c r="AO664" i="53"/>
  <c r="AD664" i="53"/>
  <c r="AV676" i="53"/>
  <c r="AO676" i="53"/>
  <c r="AD676" i="53"/>
  <c r="AV619" i="53"/>
  <c r="AO619" i="53"/>
  <c r="AD619" i="53"/>
  <c r="AV533" i="53"/>
  <c r="AO533" i="53"/>
  <c r="AT533" i="53" s="1"/>
  <c r="AD533" i="53"/>
  <c r="AO910" i="53"/>
  <c r="AT910" i="53" s="1"/>
  <c r="AV910" i="53"/>
  <c r="AD910" i="53"/>
  <c r="AV1076" i="53"/>
  <c r="AO1076" i="53"/>
  <c r="AT1076" i="53" s="1"/>
  <c r="AD1076" i="53"/>
  <c r="AV470" i="53"/>
  <c r="AO470" i="53"/>
  <c r="AD470" i="53"/>
  <c r="AV374" i="53"/>
  <c r="AO374" i="53"/>
  <c r="AT374" i="53" s="1"/>
  <c r="AD374" i="53"/>
  <c r="AV605" i="53"/>
  <c r="AD605" i="53"/>
  <c r="AO605" i="53"/>
  <c r="AO178" i="53"/>
  <c r="AT178" i="53" s="1"/>
  <c r="AV178" i="53"/>
  <c r="AD178" i="53"/>
  <c r="AV958" i="53"/>
  <c r="AO958" i="53"/>
  <c r="AT958" i="53" s="1"/>
  <c r="AD958" i="53"/>
  <c r="AV511" i="53"/>
  <c r="AO511" i="53"/>
  <c r="AT511" i="53" s="1"/>
  <c r="AD511" i="53"/>
  <c r="AV345" i="53"/>
  <c r="AO345" i="53"/>
  <c r="AT345" i="53" s="1"/>
  <c r="AD345" i="53"/>
  <c r="AV702" i="53"/>
  <c r="AO702" i="53"/>
  <c r="AD702" i="53"/>
  <c r="AV366" i="53"/>
  <c r="AO366" i="53"/>
  <c r="AT366" i="53" s="1"/>
  <c r="AD366" i="53"/>
  <c r="AV408" i="53"/>
  <c r="AO408" i="53"/>
  <c r="AT408" i="53" s="1"/>
  <c r="AD408" i="53"/>
  <c r="AV741" i="53"/>
  <c r="AO741" i="53"/>
  <c r="AD741" i="53"/>
  <c r="AV642" i="53"/>
  <c r="AO642" i="53"/>
  <c r="AT642" i="53" s="1"/>
  <c r="AD642" i="53"/>
  <c r="AO204" i="53"/>
  <c r="AV204" i="53"/>
  <c r="AD204" i="53"/>
  <c r="AV259" i="53"/>
  <c r="AO259" i="53"/>
  <c r="AD259" i="53"/>
  <c r="AV478" i="53"/>
  <c r="AO478" i="53"/>
  <c r="AT478" i="53" s="1"/>
  <c r="AD478" i="53"/>
  <c r="AV193" i="53"/>
  <c r="AD193" i="53"/>
  <c r="AO193" i="53"/>
  <c r="AV646" i="53"/>
  <c r="AO646" i="53"/>
  <c r="AD646" i="53"/>
  <c r="AV726" i="53"/>
  <c r="AO726" i="53"/>
  <c r="AD726" i="53"/>
  <c r="AV1084" i="53"/>
  <c r="AD1084" i="53"/>
  <c r="AO1084" i="53"/>
  <c r="AT1084" i="53" s="1"/>
  <c r="AO398" i="53"/>
  <c r="AT398" i="53" s="1"/>
  <c r="AV398" i="53"/>
  <c r="AD398" i="53"/>
  <c r="AV970" i="53"/>
  <c r="AO970" i="53"/>
  <c r="AD970" i="53"/>
  <c r="AV692" i="53"/>
  <c r="AO692" i="53"/>
  <c r="AT692" i="53" s="1"/>
  <c r="AD692" i="53"/>
  <c r="AV539" i="53"/>
  <c r="AO539" i="53"/>
  <c r="AT539" i="53" s="1"/>
  <c r="AD539" i="53"/>
  <c r="AO23" i="53"/>
  <c r="AT23" i="53" s="1"/>
  <c r="AV23" i="53"/>
  <c r="AD23" i="53"/>
  <c r="AV655" i="53"/>
  <c r="AO655" i="53"/>
  <c r="AD655" i="53"/>
  <c r="AV258" i="53"/>
  <c r="AO258" i="53"/>
  <c r="AT258" i="53" s="1"/>
  <c r="AD258" i="53"/>
  <c r="AV206" i="53"/>
  <c r="AO206" i="53"/>
  <c r="AT206" i="53" s="1"/>
  <c r="AD206" i="53"/>
  <c r="AV662" i="53"/>
  <c r="AO662" i="53"/>
  <c r="AT662" i="53" s="1"/>
  <c r="AD662" i="53"/>
  <c r="AO78" i="53"/>
  <c r="AV78" i="53"/>
  <c r="AD78" i="53"/>
  <c r="AV719" i="53"/>
  <c r="AO719" i="53"/>
  <c r="AD719" i="53"/>
  <c r="AO34" i="53"/>
  <c r="AT34" i="53" s="1"/>
  <c r="AV34" i="53"/>
  <c r="AD34" i="53"/>
  <c r="AV400" i="53"/>
  <c r="AO400" i="53"/>
  <c r="AT400" i="53" s="1"/>
  <c r="AD400" i="53"/>
  <c r="AV379" i="53"/>
  <c r="AO379" i="53"/>
  <c r="AT379" i="53" s="1"/>
  <c r="AD379" i="53"/>
  <c r="AV364" i="53"/>
  <c r="AD364" i="53"/>
  <c r="AO364" i="53"/>
  <c r="AT364" i="53" s="1"/>
  <c r="AO60" i="53"/>
  <c r="AV60" i="53"/>
  <c r="AD60" i="53"/>
  <c r="AV522" i="53"/>
  <c r="AO522" i="53"/>
  <c r="AD522" i="53"/>
  <c r="AV679" i="53"/>
  <c r="AO679" i="53"/>
  <c r="AD679" i="53"/>
  <c r="AV280" i="53"/>
  <c r="AO280" i="53"/>
  <c r="AT280" i="53" s="1"/>
  <c r="AD280" i="53"/>
  <c r="AV979" i="53"/>
  <c r="AO979" i="53"/>
  <c r="AT979" i="53" s="1"/>
  <c r="AD979" i="53"/>
  <c r="AV681" i="53"/>
  <c r="AO681" i="53"/>
  <c r="AT681" i="53" s="1"/>
  <c r="AD681" i="53"/>
  <c r="AV363" i="53"/>
  <c r="AO363" i="53"/>
  <c r="AT363" i="53" s="1"/>
  <c r="AD363" i="53"/>
  <c r="W1101" i="53"/>
  <c r="D24" i="42" s="1" a="1"/>
  <c r="D24" i="42" s="1"/>
  <c r="X1003" i="53"/>
  <c r="X145" i="53"/>
  <c r="X405" i="53"/>
  <c r="X515" i="53"/>
  <c r="X466" i="53"/>
  <c r="X592" i="53"/>
  <c r="X406" i="53"/>
  <c r="X75" i="53"/>
  <c r="X939" i="53"/>
  <c r="X241" i="53"/>
  <c r="X667" i="53"/>
  <c r="X92" i="53"/>
  <c r="X609" i="53"/>
  <c r="X287" i="53"/>
  <c r="X260" i="53"/>
  <c r="X96" i="53"/>
  <c r="X851" i="53"/>
  <c r="X224" i="53"/>
  <c r="H52" i="39" l="1"/>
  <c r="H51" i="39"/>
  <c r="H53" i="39"/>
  <c r="H50" i="39"/>
  <c r="H55" i="39"/>
  <c r="H61" i="39"/>
  <c r="H56" i="39"/>
  <c r="C15" i="39"/>
  <c r="D8" i="39" s="1"/>
  <c r="C57" i="39"/>
  <c r="D6" i="42"/>
  <c r="F165" i="31"/>
  <c r="I168" i="31"/>
  <c r="E168" i="31"/>
  <c r="G165" i="31"/>
  <c r="AD13" i="53"/>
  <c r="AV13" i="53"/>
  <c r="AS13" i="53"/>
  <c r="AI13" i="53"/>
  <c r="AO13" i="53"/>
  <c r="AT13" i="53" s="1"/>
  <c r="C8" i="31"/>
  <c r="C62" i="31"/>
  <c r="G169" i="31"/>
  <c r="H168" i="31"/>
  <c r="I166" i="31"/>
  <c r="C170" i="31"/>
  <c r="F169" i="31"/>
  <c r="C168" i="31"/>
  <c r="C164" i="31"/>
  <c r="E166" i="31"/>
  <c r="H165" i="31"/>
  <c r="I167" i="31"/>
  <c r="F164" i="31"/>
  <c r="C166" i="31"/>
  <c r="F167" i="31"/>
  <c r="C165" i="31"/>
  <c r="G170" i="31"/>
  <c r="I169" i="31"/>
  <c r="H170" i="31"/>
  <c r="H167" i="31"/>
  <c r="I170" i="31"/>
  <c r="F168" i="31"/>
  <c r="H166" i="31"/>
  <c r="D58" i="31"/>
  <c r="C167" i="31"/>
  <c r="G164" i="31"/>
  <c r="H169" i="31"/>
  <c r="F170" i="31"/>
  <c r="H164" i="31"/>
  <c r="G168" i="31"/>
  <c r="I165" i="31"/>
  <c r="G167" i="31"/>
  <c r="E60" i="31"/>
  <c r="E165" i="31"/>
  <c r="D63" i="31"/>
  <c r="D60" i="31"/>
  <c r="G166" i="31"/>
  <c r="E169" i="31"/>
  <c r="E167" i="31"/>
  <c r="E164" i="31"/>
  <c r="I164" i="31"/>
  <c r="F166" i="31"/>
  <c r="E170" i="31"/>
  <c r="C169" i="31"/>
  <c r="D5" i="42"/>
  <c r="C59" i="31"/>
  <c r="E59" i="31"/>
  <c r="C60" i="31"/>
  <c r="D64" i="31"/>
  <c r="E64" i="31"/>
  <c r="C63" i="31"/>
  <c r="E61" i="31"/>
  <c r="C64" i="31"/>
  <c r="D62" i="31"/>
  <c r="C58" i="31"/>
  <c r="D61" i="31"/>
  <c r="E62" i="31"/>
  <c r="C61" i="31"/>
  <c r="E63" i="31"/>
  <c r="D59" i="31"/>
  <c r="E58" i="31"/>
  <c r="E36" i="31"/>
  <c r="G15" i="31"/>
  <c r="E47" i="31"/>
  <c r="D47" i="31"/>
  <c r="J73" i="31"/>
  <c r="J74" i="31"/>
  <c r="K70" i="31"/>
  <c r="K76" i="31"/>
  <c r="J75" i="31"/>
  <c r="K72" i="31"/>
  <c r="D34" i="42"/>
  <c r="F34" i="42" s="1"/>
  <c r="J72" i="31"/>
  <c r="D7" i="42"/>
  <c r="J70" i="31"/>
  <c r="F6" i="42"/>
  <c r="K71" i="31"/>
  <c r="K73" i="31"/>
  <c r="D38" i="42"/>
  <c r="F38" i="42" s="1"/>
  <c r="D35" i="42"/>
  <c r="F35" i="42" s="1"/>
  <c r="K74" i="31"/>
  <c r="D33" i="42"/>
  <c r="D39" i="42"/>
  <c r="F39" i="42" s="1"/>
  <c r="J71" i="31"/>
  <c r="K75" i="31"/>
  <c r="B72" i="31"/>
  <c r="D37" i="42"/>
  <c r="F37" i="42" s="1"/>
  <c r="B73" i="31"/>
  <c r="J76" i="31"/>
  <c r="D36" i="42"/>
  <c r="F36" i="42" s="1"/>
  <c r="B97" i="31"/>
  <c r="B94" i="31"/>
  <c r="B76" i="31"/>
  <c r="B71" i="31"/>
  <c r="C72" i="31"/>
  <c r="B96" i="31"/>
  <c r="B95" i="31"/>
  <c r="B93" i="31"/>
  <c r="B98" i="31"/>
  <c r="B92" i="31"/>
  <c r="B74" i="31"/>
  <c r="B75" i="31"/>
  <c r="B70" i="31"/>
  <c r="C75" i="31"/>
  <c r="C76" i="31"/>
  <c r="C70" i="31"/>
  <c r="C74" i="31"/>
  <c r="C71" i="31"/>
  <c r="C73" i="31"/>
  <c r="C33" i="26"/>
  <c r="B84" i="31"/>
  <c r="C83" i="31"/>
  <c r="F85" i="31"/>
  <c r="B85" i="31"/>
  <c r="G86" i="31"/>
  <c r="D83" i="31"/>
  <c r="C82" i="31"/>
  <c r="F82" i="31"/>
  <c r="G83" i="31"/>
  <c r="C86" i="31"/>
  <c r="E81" i="31"/>
  <c r="D85" i="31"/>
  <c r="D82" i="31"/>
  <c r="B87" i="31"/>
  <c r="G85" i="31"/>
  <c r="B82" i="31"/>
  <c r="G82" i="31"/>
  <c r="B86" i="31"/>
  <c r="F84" i="31"/>
  <c r="E84" i="31"/>
  <c r="B81" i="31"/>
  <c r="B83" i="31"/>
  <c r="F81" i="31"/>
  <c r="E86" i="31"/>
  <c r="G84" i="31"/>
  <c r="F87" i="31"/>
  <c r="E85" i="31"/>
  <c r="C85" i="31"/>
  <c r="D84" i="31"/>
  <c r="E82" i="31"/>
  <c r="E87" i="31"/>
  <c r="F83" i="31"/>
  <c r="E83" i="31"/>
  <c r="C81" i="31"/>
  <c r="D87" i="31"/>
  <c r="C84" i="31"/>
  <c r="G81" i="31"/>
  <c r="F86" i="31"/>
  <c r="C87" i="31"/>
  <c r="G87" i="31"/>
  <c r="D86" i="31"/>
  <c r="D81" i="31"/>
  <c r="C93" i="31"/>
  <c r="C95" i="31"/>
  <c r="C97" i="31"/>
  <c r="D98" i="31"/>
  <c r="G95" i="31"/>
  <c r="F94" i="31"/>
  <c r="D97" i="31"/>
  <c r="E98" i="31"/>
  <c r="D94" i="31"/>
  <c r="G92" i="31"/>
  <c r="E97" i="31"/>
  <c r="E95" i="31"/>
  <c r="F96" i="31"/>
  <c r="G97" i="31"/>
  <c r="G98" i="31"/>
  <c r="F92" i="31"/>
  <c r="C98" i="31"/>
  <c r="D93" i="31"/>
  <c r="F95" i="31"/>
  <c r="E93" i="31"/>
  <c r="F97" i="31"/>
  <c r="E94" i="31"/>
  <c r="E92" i="31"/>
  <c r="C96" i="31"/>
  <c r="D95" i="31"/>
  <c r="F98" i="31"/>
  <c r="F93" i="31"/>
  <c r="G96" i="31"/>
  <c r="D96" i="31"/>
  <c r="G93" i="31"/>
  <c r="C92" i="31"/>
  <c r="G94" i="31"/>
  <c r="C94" i="31"/>
  <c r="D92" i="31"/>
  <c r="E96" i="31"/>
  <c r="H27" i="31"/>
  <c r="I29" i="31"/>
  <c r="G26" i="31"/>
  <c r="D28" i="31"/>
  <c r="E25" i="31"/>
  <c r="I26" i="31"/>
  <c r="G25" i="31"/>
  <c r="H31" i="31"/>
  <c r="H30" i="31"/>
  <c r="I31" i="31"/>
  <c r="D30" i="31"/>
  <c r="F28" i="31"/>
  <c r="J30" i="31"/>
  <c r="G29" i="31"/>
  <c r="E3" i="31"/>
  <c r="J25" i="31"/>
  <c r="J28" i="31"/>
  <c r="E31" i="31"/>
  <c r="E28" i="31"/>
  <c r="J29" i="31"/>
  <c r="C29" i="31"/>
  <c r="F31" i="31"/>
  <c r="E29" i="31"/>
  <c r="I27" i="31"/>
  <c r="G27" i="31"/>
  <c r="C36" i="31"/>
  <c r="E27" i="31"/>
  <c r="C31" i="31"/>
  <c r="C26" i="31"/>
  <c r="F26" i="31"/>
  <c r="I28" i="31"/>
  <c r="F3" i="31"/>
  <c r="C27" i="31"/>
  <c r="G28" i="31"/>
  <c r="F27" i="31"/>
  <c r="I25" i="31"/>
  <c r="H26" i="31"/>
  <c r="D29" i="31"/>
  <c r="D27" i="31"/>
  <c r="C28" i="31"/>
  <c r="H25" i="31"/>
  <c r="J26" i="31"/>
  <c r="F25" i="31"/>
  <c r="F29" i="31"/>
  <c r="E30" i="31"/>
  <c r="G31" i="31"/>
  <c r="D31" i="31"/>
  <c r="J27" i="31"/>
  <c r="F30" i="31"/>
  <c r="D26" i="31"/>
  <c r="G30" i="31"/>
  <c r="J31" i="31"/>
  <c r="H29" i="31"/>
  <c r="D25" i="31"/>
  <c r="D15" i="31"/>
  <c r="C25" i="31"/>
  <c r="E26" i="31"/>
  <c r="I30" i="31"/>
  <c r="C30" i="31"/>
  <c r="H28" i="31"/>
  <c r="C71" i="26"/>
  <c r="C70" i="26"/>
  <c r="H153" i="31"/>
  <c r="F154" i="31"/>
  <c r="F132" i="31"/>
  <c r="I133" i="31"/>
  <c r="C102" i="26"/>
  <c r="C34" i="26"/>
  <c r="C98" i="26"/>
  <c r="C31" i="26"/>
  <c r="C32" i="26"/>
  <c r="C201" i="31"/>
  <c r="J202" i="31"/>
  <c r="C129" i="31"/>
  <c r="B5" i="26"/>
  <c r="C205" i="31"/>
  <c r="G134" i="31"/>
  <c r="E43" i="26"/>
  <c r="C111" i="26"/>
  <c r="G131" i="31"/>
  <c r="D43" i="26"/>
  <c r="B84" i="26"/>
  <c r="E122" i="31"/>
  <c r="G133" i="31"/>
  <c r="B10" i="26"/>
  <c r="C100" i="26"/>
  <c r="I117" i="31"/>
  <c r="E134" i="31"/>
  <c r="B8" i="26"/>
  <c r="B19" i="26"/>
  <c r="C99" i="26"/>
  <c r="C157" i="31"/>
  <c r="G128" i="31"/>
  <c r="B6" i="26"/>
  <c r="G157" i="31"/>
  <c r="B11" i="26"/>
  <c r="C97" i="26"/>
  <c r="I154" i="31"/>
  <c r="G180" i="31"/>
  <c r="I7" i="26"/>
  <c r="I41" i="31"/>
  <c r="I153" i="31"/>
  <c r="I5" i="26"/>
  <c r="I158" i="31"/>
  <c r="I6" i="26"/>
  <c r="E158" i="31"/>
  <c r="B7" i="26"/>
  <c r="E157" i="31"/>
  <c r="G105" i="31"/>
  <c r="B9" i="26"/>
  <c r="B23" i="26"/>
  <c r="C101" i="26"/>
  <c r="G104" i="31"/>
  <c r="F155" i="31"/>
  <c r="I152" i="31"/>
  <c r="Q180" i="31"/>
  <c r="B44" i="26"/>
  <c r="F45" i="26"/>
  <c r="B83" i="26"/>
  <c r="F157" i="31"/>
  <c r="F158" i="31"/>
  <c r="F130" i="31"/>
  <c r="V204" i="31"/>
  <c r="C23" i="26"/>
  <c r="I3" i="31"/>
  <c r="H5" i="26"/>
  <c r="B46" i="26"/>
  <c r="C153" i="31"/>
  <c r="C154" i="31"/>
  <c r="E195" i="31"/>
  <c r="F10" i="26"/>
  <c r="C45" i="26"/>
  <c r="B21" i="26"/>
  <c r="Q205" i="31"/>
  <c r="E10" i="26"/>
  <c r="B32" i="26"/>
  <c r="G57" i="26"/>
  <c r="N178" i="31"/>
  <c r="E132" i="31"/>
  <c r="E131" i="31"/>
  <c r="P179" i="31"/>
  <c r="F193" i="31"/>
  <c r="H7" i="42"/>
  <c r="Q190" i="31"/>
  <c r="I11" i="26"/>
  <c r="E44" i="26"/>
  <c r="E46" i="26"/>
  <c r="B100" i="26"/>
  <c r="C87" i="26"/>
  <c r="I157" i="31"/>
  <c r="H131" i="31"/>
  <c r="I145" i="31"/>
  <c r="W200" i="31"/>
  <c r="F46" i="26"/>
  <c r="D60" i="26"/>
  <c r="E183" i="31"/>
  <c r="I10" i="26"/>
  <c r="C30" i="26"/>
  <c r="B22" i="26"/>
  <c r="D61" i="26"/>
  <c r="C96" i="26"/>
  <c r="H156" i="31"/>
  <c r="I129" i="31"/>
  <c r="E156" i="31"/>
  <c r="F189" i="31"/>
  <c r="I26" i="42" a="1"/>
  <c r="I26" i="42" s="1"/>
  <c r="F7" i="42"/>
  <c r="B82" i="26"/>
  <c r="I9" i="26"/>
  <c r="C44" i="26"/>
  <c r="C35" i="26"/>
  <c r="D57" i="26"/>
  <c r="C155" i="31"/>
  <c r="G129" i="31"/>
  <c r="E153" i="31"/>
  <c r="K26" i="42" a="1"/>
  <c r="K26" i="42" s="1"/>
  <c r="B109" i="26"/>
  <c r="I8" i="26"/>
  <c r="C29" i="26"/>
  <c r="B88" i="26"/>
  <c r="H40" i="31"/>
  <c r="O177" i="31"/>
  <c r="E129" i="31"/>
  <c r="O180" i="31"/>
  <c r="B17" i="26"/>
  <c r="G60" i="26"/>
  <c r="F39" i="31"/>
  <c r="C152" i="31"/>
  <c r="H158" i="31"/>
  <c r="C130" i="31"/>
  <c r="H140" i="31"/>
  <c r="O204" i="31"/>
  <c r="D180" i="31"/>
  <c r="I118" i="31"/>
  <c r="O203" i="31"/>
  <c r="J7" i="42"/>
  <c r="D7" i="26"/>
  <c r="G7" i="26"/>
  <c r="D48" i="26"/>
  <c r="C21" i="26"/>
  <c r="C113" i="26"/>
  <c r="G61" i="26"/>
  <c r="F17" i="31"/>
  <c r="F36" i="31"/>
  <c r="D38" i="31"/>
  <c r="E110" i="31"/>
  <c r="H116" i="31"/>
  <c r="E181" i="31"/>
  <c r="C141" i="31"/>
  <c r="F128" i="31"/>
  <c r="L183" i="31"/>
  <c r="G144" i="31"/>
  <c r="F156" i="31"/>
  <c r="P177" i="31"/>
  <c r="C191" i="31"/>
  <c r="M190" i="31"/>
  <c r="C206" i="31"/>
  <c r="C3" i="31"/>
  <c r="C5" i="26"/>
  <c r="B29" i="26"/>
  <c r="D18" i="31"/>
  <c r="G40" i="31"/>
  <c r="D51" i="31"/>
  <c r="G110" i="31"/>
  <c r="H110" i="31"/>
  <c r="M181" i="31"/>
  <c r="L193" i="31"/>
  <c r="P201" i="31"/>
  <c r="H5" i="31"/>
  <c r="J26" i="42" a="1"/>
  <c r="J26" i="42" s="1"/>
  <c r="F9" i="26"/>
  <c r="B34" i="26"/>
  <c r="D56" i="26"/>
  <c r="F21" i="31"/>
  <c r="I37" i="31"/>
  <c r="L180" i="31"/>
  <c r="D179" i="31"/>
  <c r="L195" i="31"/>
  <c r="D193" i="31"/>
  <c r="H8" i="31"/>
  <c r="D17" i="31"/>
  <c r="H41" i="31"/>
  <c r="F71" i="31"/>
  <c r="C108" i="31"/>
  <c r="F104" i="31"/>
  <c r="I134" i="31"/>
  <c r="H154" i="31"/>
  <c r="C195" i="31"/>
  <c r="D189" i="31"/>
  <c r="O202" i="31"/>
  <c r="E8" i="31"/>
  <c r="H6" i="26"/>
  <c r="F47" i="26"/>
  <c r="C46" i="26"/>
  <c r="B18" i="26"/>
  <c r="B87" i="26"/>
  <c r="D71" i="31"/>
  <c r="C142" i="31"/>
  <c r="C132" i="31"/>
  <c r="G156" i="31"/>
  <c r="O195" i="31"/>
  <c r="G204" i="31"/>
  <c r="C204" i="31"/>
  <c r="F4" i="31"/>
  <c r="C143" i="31"/>
  <c r="C200" i="31"/>
  <c r="C51" i="31"/>
  <c r="E15" i="31"/>
  <c r="F109" i="31"/>
  <c r="G120" i="31"/>
  <c r="E107" i="31"/>
  <c r="Q200" i="31"/>
  <c r="N191" i="31"/>
  <c r="V201" i="31"/>
  <c r="B98" i="26"/>
  <c r="D76" i="31"/>
  <c r="D9" i="26"/>
  <c r="E48" i="26"/>
  <c r="G70" i="31"/>
  <c r="AV90" i="53"/>
  <c r="H8" i="26"/>
  <c r="E47" i="26"/>
  <c r="B33" i="26"/>
  <c r="D45" i="26"/>
  <c r="B56" i="26"/>
  <c r="F57" i="26"/>
  <c r="C17" i="31"/>
  <c r="G38" i="31"/>
  <c r="E75" i="31"/>
  <c r="C117" i="31"/>
  <c r="C122" i="31"/>
  <c r="E152" i="31"/>
  <c r="F133" i="31"/>
  <c r="C133" i="31"/>
  <c r="I121" i="31"/>
  <c r="P183" i="31"/>
  <c r="U206" i="31"/>
  <c r="G206" i="31"/>
  <c r="N190" i="31"/>
  <c r="F143" i="31"/>
  <c r="B57" i="26"/>
  <c r="E48" i="31"/>
  <c r="AO90" i="53"/>
  <c r="AT90" i="53" s="1"/>
  <c r="D6" i="26"/>
  <c r="D44" i="26"/>
  <c r="B20" i="26"/>
  <c r="C42" i="26"/>
  <c r="C58" i="26"/>
  <c r="F60" i="26"/>
  <c r="F20" i="31"/>
  <c r="F42" i="31"/>
  <c r="H121" i="31"/>
  <c r="F144" i="31"/>
  <c r="G154" i="31"/>
  <c r="I131" i="31"/>
  <c r="C183" i="31"/>
  <c r="I119" i="31"/>
  <c r="P181" i="31"/>
  <c r="U204" i="31"/>
  <c r="J200" i="31"/>
  <c r="E9" i="26"/>
  <c r="B35" i="26"/>
  <c r="D47" i="26"/>
  <c r="C114" i="26"/>
  <c r="F56" i="26"/>
  <c r="C109" i="26"/>
  <c r="C49" i="31"/>
  <c r="G71" i="31"/>
  <c r="I105" i="31"/>
  <c r="I144" i="31"/>
  <c r="E154" i="31"/>
  <c r="P182" i="31"/>
  <c r="I203" i="31"/>
  <c r="C6" i="26"/>
  <c r="D11" i="26"/>
  <c r="C47" i="26"/>
  <c r="E42" i="26"/>
  <c r="H44" i="26"/>
  <c r="C60" i="26"/>
  <c r="B86" i="26"/>
  <c r="B61" i="26"/>
  <c r="H38" i="31"/>
  <c r="D36" i="31"/>
  <c r="G155" i="31"/>
  <c r="I156" i="31"/>
  <c r="I128" i="31"/>
  <c r="F131" i="31"/>
  <c r="I132" i="31"/>
  <c r="F152" i="31"/>
  <c r="O193" i="31"/>
  <c r="G192" i="31"/>
  <c r="V205" i="31"/>
  <c r="E17" i="31"/>
  <c r="G26" i="42" a="1"/>
  <c r="G26" i="42" s="1"/>
  <c r="F8" i="26"/>
  <c r="B102" i="26"/>
  <c r="B97" i="26"/>
  <c r="D55" i="26"/>
  <c r="D40" i="31"/>
  <c r="H39" i="31"/>
  <c r="F73" i="31"/>
  <c r="E155" i="31"/>
  <c r="C156" i="31"/>
  <c r="C134" i="31"/>
  <c r="C131" i="31"/>
  <c r="H129" i="31"/>
  <c r="I155" i="31"/>
  <c r="G182" i="31"/>
  <c r="E201" i="31"/>
  <c r="L189" i="31"/>
  <c r="V200" i="31"/>
  <c r="L179" i="31"/>
  <c r="D194" i="31"/>
  <c r="P194" i="31"/>
  <c r="J203" i="31"/>
  <c r="C86" i="26"/>
  <c r="C39" i="31"/>
  <c r="G42" i="31"/>
  <c r="H109" i="31"/>
  <c r="E26" i="42" a="1"/>
  <c r="E26" i="42" s="1"/>
  <c r="G5" i="26"/>
  <c r="F43" i="26"/>
  <c r="D46" i="26"/>
  <c r="F59" i="26"/>
  <c r="E61" i="26"/>
  <c r="B85" i="26"/>
  <c r="E40" i="31"/>
  <c r="D41" i="31"/>
  <c r="D73" i="31"/>
  <c r="N180" i="31"/>
  <c r="L178" i="31"/>
  <c r="F153" i="31"/>
  <c r="H142" i="31"/>
  <c r="G181" i="31"/>
  <c r="F203" i="31"/>
  <c r="D191" i="31"/>
  <c r="C203" i="31"/>
  <c r="C118" i="31"/>
  <c r="H117" i="31"/>
  <c r="E140" i="31"/>
  <c r="H200" i="31"/>
  <c r="R200" i="31"/>
  <c r="U201" i="31"/>
  <c r="G200" i="31"/>
  <c r="D203" i="31"/>
  <c r="N192" i="31"/>
  <c r="R201" i="31"/>
  <c r="R203" i="31"/>
  <c r="C4" i="31"/>
  <c r="H9" i="31"/>
  <c r="E7" i="31"/>
  <c r="G6" i="26"/>
  <c r="C11" i="26"/>
  <c r="D10" i="26"/>
  <c r="B111" i="26"/>
  <c r="E59" i="26"/>
  <c r="D16" i="31"/>
  <c r="F38" i="31"/>
  <c r="I36" i="31"/>
  <c r="F75" i="31"/>
  <c r="C106" i="31"/>
  <c r="E108" i="31"/>
  <c r="I143" i="31"/>
  <c r="N183" i="31"/>
  <c r="F140" i="31"/>
  <c r="F117" i="31"/>
  <c r="F121" i="31"/>
  <c r="C119" i="31"/>
  <c r="G118" i="31"/>
  <c r="G203" i="31"/>
  <c r="L194" i="31"/>
  <c r="T203" i="31"/>
  <c r="I201" i="31"/>
  <c r="C177" i="31"/>
  <c r="M195" i="31"/>
  <c r="D202" i="31"/>
  <c r="E205" i="31"/>
  <c r="G195" i="31"/>
  <c r="N193" i="31"/>
  <c r="I7" i="31"/>
  <c r="C7" i="31"/>
  <c r="C6" i="31"/>
  <c r="E7" i="42"/>
  <c r="C17" i="26"/>
  <c r="C83" i="26"/>
  <c r="C16" i="31"/>
  <c r="C53" i="31"/>
  <c r="C48" i="31"/>
  <c r="E73" i="31"/>
  <c r="F26" i="42" a="1"/>
  <c r="F26" i="42" s="1"/>
  <c r="H11" i="26"/>
  <c r="E8" i="26"/>
  <c r="F7" i="26"/>
  <c r="C22" i="26"/>
  <c r="B42" i="26"/>
  <c r="G42" i="26"/>
  <c r="C18" i="26"/>
  <c r="C108" i="26"/>
  <c r="G55" i="26"/>
  <c r="E55" i="26"/>
  <c r="E21" i="31"/>
  <c r="F19" i="31"/>
  <c r="D42" i="31"/>
  <c r="E50" i="31"/>
  <c r="E39" i="31"/>
  <c r="G18" i="31"/>
  <c r="D74" i="31"/>
  <c r="G76" i="31"/>
  <c r="G107" i="31"/>
  <c r="E109" i="31"/>
  <c r="M177" i="31"/>
  <c r="N179" i="31"/>
  <c r="H146" i="31"/>
  <c r="F183" i="31"/>
  <c r="D181" i="31"/>
  <c r="E128" i="31"/>
  <c r="G132" i="31"/>
  <c r="H128" i="31"/>
  <c r="C128" i="31"/>
  <c r="H143" i="31"/>
  <c r="F180" i="31"/>
  <c r="D182" i="31"/>
  <c r="G143" i="31"/>
  <c r="O192" i="31"/>
  <c r="L191" i="31"/>
  <c r="F204" i="31"/>
  <c r="U202" i="31"/>
  <c r="D192" i="31"/>
  <c r="M193" i="31"/>
  <c r="W202" i="31"/>
  <c r="H204" i="31"/>
  <c r="P190" i="31"/>
  <c r="P195" i="31"/>
  <c r="I6" i="31"/>
  <c r="F7" i="31"/>
  <c r="W204" i="31"/>
  <c r="F201" i="31"/>
  <c r="F8" i="31"/>
  <c r="G6" i="31"/>
  <c r="F6" i="31"/>
  <c r="F6" i="26"/>
  <c r="H10" i="26"/>
  <c r="C48" i="26"/>
  <c r="G43" i="26"/>
  <c r="B45" i="26"/>
  <c r="B31" i="26"/>
  <c r="H48" i="26"/>
  <c r="B101" i="26"/>
  <c r="B99" i="26"/>
  <c r="B112" i="26"/>
  <c r="C110" i="26"/>
  <c r="B60" i="26"/>
  <c r="F15" i="31"/>
  <c r="C42" i="31"/>
  <c r="C15" i="31"/>
  <c r="G37" i="31"/>
  <c r="C50" i="31"/>
  <c r="G39" i="31"/>
  <c r="F72" i="31"/>
  <c r="G75" i="31"/>
  <c r="G106" i="31"/>
  <c r="C104" i="31"/>
  <c r="H108" i="31"/>
  <c r="F178" i="31"/>
  <c r="E177" i="31"/>
  <c r="M183" i="31"/>
  <c r="F122" i="31"/>
  <c r="G117" i="31"/>
  <c r="F146" i="31"/>
  <c r="M180" i="31"/>
  <c r="M179" i="31"/>
  <c r="P180" i="31"/>
  <c r="P178" i="31"/>
  <c r="H201" i="31"/>
  <c r="H205" i="31"/>
  <c r="C194" i="31"/>
  <c r="G202" i="31"/>
  <c r="I200" i="31"/>
  <c r="Q189" i="31"/>
  <c r="M191" i="31"/>
  <c r="M194" i="31"/>
  <c r="E192" i="31"/>
  <c r="H203" i="31"/>
  <c r="P189" i="31"/>
  <c r="P193" i="31"/>
  <c r="G194" i="31"/>
  <c r="I4" i="31"/>
  <c r="C9" i="31"/>
  <c r="J201" i="31"/>
  <c r="C10" i="26"/>
  <c r="G11" i="26"/>
  <c r="D8" i="26"/>
  <c r="G44" i="26"/>
  <c r="B43" i="26"/>
  <c r="H46" i="26"/>
  <c r="B114" i="26"/>
  <c r="B113" i="26"/>
  <c r="C56" i="26"/>
  <c r="F55" i="26"/>
  <c r="C59" i="26"/>
  <c r="E20" i="31"/>
  <c r="G41" i="31"/>
  <c r="C38" i="31"/>
  <c r="G36" i="31"/>
  <c r="C47" i="31"/>
  <c r="D70" i="31"/>
  <c r="G74" i="31"/>
  <c r="C82" i="26"/>
  <c r="I109" i="31"/>
  <c r="I107" i="31"/>
  <c r="H144" i="31"/>
  <c r="N177" i="31"/>
  <c r="C121" i="31"/>
  <c r="C182" i="31"/>
  <c r="L177" i="31"/>
  <c r="M178" i="31"/>
  <c r="C120" i="31"/>
  <c r="O181" i="31"/>
  <c r="H119" i="31"/>
  <c r="E118" i="31"/>
  <c r="O183" i="31"/>
  <c r="R205" i="31"/>
  <c r="E190" i="31"/>
  <c r="C189" i="31"/>
  <c r="O189" i="31"/>
  <c r="I206" i="31"/>
  <c r="W206" i="31"/>
  <c r="D201" i="31"/>
  <c r="D206" i="31"/>
  <c r="G201" i="31"/>
  <c r="P192" i="31"/>
  <c r="P191" i="31"/>
  <c r="T201" i="31"/>
  <c r="H4" i="31"/>
  <c r="G7" i="31"/>
  <c r="G7" i="42"/>
  <c r="C88" i="26"/>
  <c r="C55" i="26"/>
  <c r="E19" i="31"/>
  <c r="D49" i="31"/>
  <c r="I40" i="31"/>
  <c r="F40" i="31"/>
  <c r="I42" i="31"/>
  <c r="E53" i="31"/>
  <c r="E72" i="31"/>
  <c r="D75" i="31"/>
  <c r="E105" i="31"/>
  <c r="H104" i="31"/>
  <c r="G108" i="31"/>
  <c r="G109" i="31"/>
  <c r="F142" i="31"/>
  <c r="O178" i="31"/>
  <c r="E178" i="31"/>
  <c r="I142" i="31"/>
  <c r="F179" i="31"/>
  <c r="Q182" i="31"/>
  <c r="H134" i="31"/>
  <c r="H130" i="31"/>
  <c r="I130" i="31"/>
  <c r="H155" i="31"/>
  <c r="C116" i="31"/>
  <c r="G141" i="31"/>
  <c r="G158" i="31"/>
  <c r="G178" i="31"/>
  <c r="G183" i="31"/>
  <c r="N194" i="31"/>
  <c r="S206" i="31"/>
  <c r="L192" i="31"/>
  <c r="Q203" i="31"/>
  <c r="U200" i="31"/>
  <c r="P204" i="31"/>
  <c r="Q192" i="31"/>
  <c r="P203" i="31"/>
  <c r="O194" i="31"/>
  <c r="Q206" i="31"/>
  <c r="G191" i="31"/>
  <c r="O200" i="31"/>
  <c r="F9" i="31"/>
  <c r="C5" i="31"/>
  <c r="N195" i="31"/>
  <c r="K7" i="42"/>
  <c r="E7" i="26"/>
  <c r="C9" i="26"/>
  <c r="B59" i="26"/>
  <c r="E6" i="26"/>
  <c r="G10" i="26"/>
  <c r="G47" i="26"/>
  <c r="B48" i="26"/>
  <c r="F42" i="26"/>
  <c r="F48" i="26"/>
  <c r="H43" i="26"/>
  <c r="B55" i="26"/>
  <c r="C84" i="26"/>
  <c r="C61" i="26"/>
  <c r="E60" i="26"/>
  <c r="C85" i="26"/>
  <c r="C21" i="31"/>
  <c r="I38" i="31"/>
  <c r="D37" i="31"/>
  <c r="H37" i="31"/>
  <c r="G20" i="31"/>
  <c r="C40" i="31"/>
  <c r="E70" i="31"/>
  <c r="F105" i="31"/>
  <c r="F110" i="31"/>
  <c r="I110" i="31"/>
  <c r="H107" i="31"/>
  <c r="H122" i="31"/>
  <c r="G119" i="31"/>
  <c r="N181" i="31"/>
  <c r="E116" i="31"/>
  <c r="C145" i="31"/>
  <c r="Q181" i="31"/>
  <c r="Q179" i="31"/>
  <c r="H133" i="31"/>
  <c r="G146" i="31"/>
  <c r="C140" i="31"/>
  <c r="O179" i="31"/>
  <c r="S202" i="31"/>
  <c r="E202" i="31"/>
  <c r="F194" i="31"/>
  <c r="T204" i="31"/>
  <c r="I202" i="31"/>
  <c r="Q193" i="31"/>
  <c r="M189" i="31"/>
  <c r="D205" i="31"/>
  <c r="Q204" i="31"/>
  <c r="G193" i="31"/>
  <c r="J204" i="31"/>
  <c r="G21" i="31"/>
  <c r="E6" i="31"/>
  <c r="G8" i="31"/>
  <c r="D26" i="42" a="1"/>
  <c r="D26" i="42" s="1"/>
  <c r="F5" i="26"/>
  <c r="F44" i="26"/>
  <c r="G45" i="26"/>
  <c r="B30" i="26"/>
  <c r="H42" i="26"/>
  <c r="B108" i="26"/>
  <c r="I7" i="42"/>
  <c r="H9" i="26"/>
  <c r="F11" i="26"/>
  <c r="C8" i="26"/>
  <c r="G46" i="26"/>
  <c r="B47" i="26"/>
  <c r="E45" i="26"/>
  <c r="H45" i="26"/>
  <c r="B58" i="26"/>
  <c r="G59" i="26"/>
  <c r="C57" i="26"/>
  <c r="B110" i="26"/>
  <c r="F18" i="31"/>
  <c r="E18" i="31"/>
  <c r="C41" i="31"/>
  <c r="E52" i="31"/>
  <c r="C52" i="31"/>
  <c r="G17" i="31"/>
  <c r="D72" i="31"/>
  <c r="F74" i="31"/>
  <c r="E104" i="31"/>
  <c r="H105" i="31"/>
  <c r="C110" i="31"/>
  <c r="E142" i="31"/>
  <c r="E121" i="31"/>
  <c r="E180" i="31"/>
  <c r="O182" i="31"/>
  <c r="D177" i="31"/>
  <c r="I120" i="31"/>
  <c r="E133" i="31"/>
  <c r="Q178" i="31"/>
  <c r="C181" i="31"/>
  <c r="L182" i="31"/>
  <c r="H157" i="31"/>
  <c r="I116" i="31"/>
  <c r="H118" i="31"/>
  <c r="E143" i="31"/>
  <c r="F190" i="31"/>
  <c r="E194" i="31"/>
  <c r="R206" i="31"/>
  <c r="R204" i="31"/>
  <c r="I204" i="31"/>
  <c r="P202" i="31"/>
  <c r="D204" i="31"/>
  <c r="D200" i="31"/>
  <c r="H206" i="31"/>
  <c r="S204" i="31"/>
  <c r="O191" i="31"/>
  <c r="V203" i="31"/>
  <c r="G22" i="31"/>
  <c r="I8" i="31"/>
  <c r="E4" i="31"/>
  <c r="E5" i="26"/>
  <c r="D42" i="26"/>
  <c r="H47" i="26"/>
  <c r="D58" i="26"/>
  <c r="F61" i="26"/>
  <c r="D20" i="31"/>
  <c r="C20" i="31"/>
  <c r="F41" i="31"/>
  <c r="C37" i="31"/>
  <c r="E49" i="31"/>
  <c r="I39" i="31"/>
  <c r="E41" i="31"/>
  <c r="F70" i="31"/>
  <c r="G73" i="31"/>
  <c r="C109" i="31"/>
  <c r="I104" i="31"/>
  <c r="G140" i="31"/>
  <c r="E182" i="31"/>
  <c r="G145" i="31"/>
  <c r="H120" i="31"/>
  <c r="H132" i="31"/>
  <c r="E130" i="31"/>
  <c r="C180" i="31"/>
  <c r="L181" i="31"/>
  <c r="C146" i="31"/>
  <c r="D178" i="31"/>
  <c r="H141" i="31"/>
  <c r="E120" i="31"/>
  <c r="H202" i="31"/>
  <c r="G205" i="31"/>
  <c r="L190" i="31"/>
  <c r="E189" i="31"/>
  <c r="U205" i="31"/>
  <c r="P206" i="31"/>
  <c r="W203" i="31"/>
  <c r="D190" i="31"/>
  <c r="R202" i="31"/>
  <c r="T200" i="31"/>
  <c r="G4" i="31"/>
  <c r="E5" i="31"/>
  <c r="F107" i="31"/>
  <c r="E141" i="31"/>
  <c r="G121" i="31"/>
  <c r="F141" i="31"/>
  <c r="Q177" i="31"/>
  <c r="E119" i="31"/>
  <c r="I140" i="31"/>
  <c r="F118" i="31"/>
  <c r="F200" i="31"/>
  <c r="E204" i="31"/>
  <c r="S201" i="31"/>
  <c r="U203" i="31"/>
  <c r="Q191" i="31"/>
  <c r="W201" i="31"/>
  <c r="N189" i="31"/>
  <c r="F195" i="31"/>
  <c r="C202" i="31"/>
  <c r="Q201" i="31"/>
  <c r="V202" i="31"/>
  <c r="H7" i="31"/>
  <c r="G5" i="31"/>
  <c r="E11" i="26"/>
  <c r="E57" i="26"/>
  <c r="C112" i="26"/>
  <c r="H36" i="31"/>
  <c r="D53" i="31"/>
  <c r="H42" i="31"/>
  <c r="F76" i="31"/>
  <c r="E74" i="31"/>
  <c r="E106" i="31"/>
  <c r="E144" i="31"/>
  <c r="F145" i="31"/>
  <c r="F120" i="31"/>
  <c r="E117" i="31"/>
  <c r="C178" i="31"/>
  <c r="G130" i="31"/>
  <c r="F119" i="31"/>
  <c r="H152" i="31"/>
  <c r="D183" i="31"/>
  <c r="I146" i="31"/>
  <c r="G177" i="31"/>
  <c r="E191" i="31"/>
  <c r="C192" i="31"/>
  <c r="E200" i="31"/>
  <c r="O190" i="31"/>
  <c r="T205" i="31"/>
  <c r="D195" i="31"/>
  <c r="Q195" i="31"/>
  <c r="W205" i="31"/>
  <c r="S205" i="31"/>
  <c r="E206" i="31"/>
  <c r="O206" i="31"/>
  <c r="O201" i="31"/>
  <c r="J205" i="31"/>
  <c r="I9" i="31"/>
  <c r="F5" i="31"/>
  <c r="J206" i="31"/>
  <c r="G9" i="26"/>
  <c r="H7" i="26"/>
  <c r="C20" i="26"/>
  <c r="D21" i="31"/>
  <c r="C19" i="31"/>
  <c r="E42" i="31"/>
  <c r="E37" i="31"/>
  <c r="H106" i="31"/>
  <c r="H26" i="42" a="1"/>
  <c r="H26" i="42" s="1"/>
  <c r="AD90" i="53"/>
  <c r="AJ90" i="53" s="1"/>
  <c r="C7" i="26"/>
  <c r="G8" i="26"/>
  <c r="D5" i="26"/>
  <c r="C19" i="26"/>
  <c r="C43" i="26"/>
  <c r="G48" i="26"/>
  <c r="G58" i="26"/>
  <c r="G56" i="26"/>
  <c r="F58" i="26"/>
  <c r="E56" i="26"/>
  <c r="D59" i="26"/>
  <c r="D19" i="31"/>
  <c r="E16" i="31"/>
  <c r="D48" i="31"/>
  <c r="D39" i="31"/>
  <c r="E38" i="31"/>
  <c r="D52" i="31"/>
  <c r="E71" i="31"/>
  <c r="G72" i="31"/>
  <c r="F108" i="31"/>
  <c r="I106" i="31"/>
  <c r="F106" i="31"/>
  <c r="I141" i="31"/>
  <c r="F182" i="31"/>
  <c r="E179" i="31"/>
  <c r="I122" i="31"/>
  <c r="F177" i="31"/>
  <c r="Q183" i="31"/>
  <c r="M182" i="31"/>
  <c r="E146" i="31"/>
  <c r="F181" i="31"/>
  <c r="C144" i="31"/>
  <c r="S200" i="31"/>
  <c r="C190" i="31"/>
  <c r="S203" i="31"/>
  <c r="Q202" i="31"/>
  <c r="F202" i="31"/>
  <c r="M192" i="31"/>
  <c r="Q194" i="31"/>
  <c r="T206" i="31"/>
  <c r="F191" i="31"/>
  <c r="F206" i="31"/>
  <c r="V206" i="31"/>
  <c r="G3" i="31"/>
  <c r="H6" i="31"/>
  <c r="E9" i="31"/>
  <c r="B96" i="26"/>
  <c r="E58" i="26"/>
  <c r="F16" i="31"/>
  <c r="C18" i="31"/>
  <c r="D50" i="31"/>
  <c r="E51" i="31"/>
  <c r="F37" i="31"/>
  <c r="G19" i="31"/>
  <c r="G16" i="31"/>
  <c r="E76" i="31"/>
  <c r="C107" i="31"/>
  <c r="C105" i="31"/>
  <c r="I108" i="31"/>
  <c r="G122" i="31"/>
  <c r="E145" i="31"/>
  <c r="N182" i="31"/>
  <c r="F116" i="31"/>
  <c r="H145" i="31"/>
  <c r="F129" i="31"/>
  <c r="C179" i="31"/>
  <c r="F134" i="31"/>
  <c r="G152" i="31"/>
  <c r="G116" i="31"/>
  <c r="G142" i="31"/>
  <c r="C158" i="31"/>
  <c r="G153" i="31"/>
  <c r="G179" i="31"/>
  <c r="F192" i="31"/>
  <c r="C193" i="31"/>
  <c r="T202" i="31"/>
  <c r="I205" i="31"/>
  <c r="E193" i="31"/>
  <c r="P200" i="31"/>
  <c r="P205" i="31"/>
  <c r="F205" i="31"/>
  <c r="E203" i="31"/>
  <c r="G190" i="31"/>
  <c r="O205" i="31"/>
  <c r="G189" i="31"/>
  <c r="H3" i="31"/>
  <c r="G9" i="31"/>
  <c r="H25" i="42" a="1"/>
  <c r="H25" i="42" s="1"/>
  <c r="AI90" i="53"/>
  <c r="K6" i="42"/>
  <c r="D25" i="42" a="1"/>
  <c r="D25" i="42" s="1"/>
  <c r="F25" i="42" a="1"/>
  <c r="F25" i="42" s="1"/>
  <c r="E6" i="42"/>
  <c r="G25" i="42" a="1"/>
  <c r="G25" i="42" s="1"/>
  <c r="K25" i="42" a="1"/>
  <c r="K25" i="42" s="1"/>
  <c r="H6" i="42"/>
  <c r="E25" i="42" a="1"/>
  <c r="E25" i="42" s="1"/>
  <c r="I6" i="42"/>
  <c r="J25" i="42" a="1"/>
  <c r="J25" i="42" s="1"/>
  <c r="J6" i="42"/>
  <c r="G6" i="42"/>
  <c r="I25" i="42" a="1"/>
  <c r="I25" i="42" s="1"/>
  <c r="C74" i="26"/>
  <c r="B75" i="26"/>
  <c r="B73" i="26"/>
  <c r="C75" i="26"/>
  <c r="B74" i="26"/>
  <c r="C73" i="26"/>
  <c r="E5" i="42"/>
  <c r="G5" i="42"/>
  <c r="B70" i="26"/>
  <c r="B72" i="26"/>
  <c r="X90" i="53"/>
  <c r="I5" i="42"/>
  <c r="C72" i="26"/>
  <c r="B69" i="26"/>
  <c r="J5" i="42"/>
  <c r="K5" i="42"/>
  <c r="B71" i="26"/>
  <c r="F5" i="42"/>
  <c r="H5" i="42"/>
  <c r="C69" i="26"/>
  <c r="I5" i="31"/>
  <c r="AS90" i="53"/>
  <c r="AT3" i="53"/>
  <c r="AJ3" i="53"/>
  <c r="AT220" i="53"/>
  <c r="AT780" i="53"/>
  <c r="AT519" i="53"/>
  <c r="AT174" i="53"/>
  <c r="AT794" i="53"/>
  <c r="AT707" i="53"/>
  <c r="AT291" i="53"/>
  <c r="AT509" i="53"/>
  <c r="AT277" i="53"/>
  <c r="AT93" i="53"/>
  <c r="AT663" i="53"/>
  <c r="AT464" i="53"/>
  <c r="AT560" i="53"/>
  <c r="AT582" i="53"/>
  <c r="AT1046" i="53"/>
  <c r="AT1041" i="53"/>
  <c r="AT1016" i="53"/>
  <c r="AT633" i="53"/>
  <c r="AT1010" i="53"/>
  <c r="AJ151" i="53"/>
  <c r="AT466" i="53"/>
  <c r="AT998" i="53"/>
  <c r="AT606" i="53"/>
  <c r="AT1001" i="53"/>
  <c r="AT641" i="53"/>
  <c r="AT961" i="53"/>
  <c r="AT730" i="53"/>
  <c r="AT617" i="53"/>
  <c r="AT159" i="53"/>
  <c r="AT671" i="53"/>
  <c r="AT417" i="53"/>
  <c r="AT1021" i="53"/>
  <c r="AT1015" i="53"/>
  <c r="AT305" i="53"/>
  <c r="AT232" i="53"/>
  <c r="AT140" i="53"/>
  <c r="AT997" i="53"/>
  <c r="AT1042" i="53"/>
  <c r="AT679" i="53"/>
  <c r="AT970" i="53"/>
  <c r="AT175" i="53"/>
  <c r="AT826" i="53"/>
  <c r="AT573" i="53"/>
  <c r="AT227" i="53"/>
  <c r="AT148" i="53"/>
  <c r="AT231" i="53"/>
  <c r="AT1034" i="53"/>
  <c r="AT303" i="53"/>
  <c r="AT173" i="53"/>
  <c r="AT697" i="53"/>
  <c r="AT165" i="53"/>
  <c r="AT736" i="53"/>
  <c r="AT1039" i="53"/>
  <c r="AT701" i="53"/>
  <c r="AT879" i="53"/>
  <c r="AT1058" i="53"/>
  <c r="AT717" i="53"/>
  <c r="AT106" i="53"/>
  <c r="AT716" i="53"/>
  <c r="AT926" i="53"/>
  <c r="AT1057" i="53"/>
  <c r="AT1011" i="53"/>
  <c r="AT491" i="53"/>
  <c r="AT270" i="53"/>
  <c r="AT777" i="53"/>
  <c r="AT74" i="53"/>
  <c r="AT629" i="53"/>
  <c r="AT183" i="53"/>
  <c r="AT1020" i="53"/>
  <c r="AT994" i="53"/>
  <c r="AT690" i="53"/>
  <c r="AT296" i="53"/>
  <c r="AT634" i="53"/>
  <c r="AT949" i="53"/>
  <c r="AT423" i="53"/>
  <c r="AT192" i="53"/>
  <c r="AT350" i="53"/>
  <c r="AT604" i="53"/>
  <c r="AT43" i="53"/>
  <c r="AT242" i="53"/>
  <c r="AT1033" i="53"/>
  <c r="AT528" i="53"/>
  <c r="AT522" i="53"/>
  <c r="AT674" i="53"/>
  <c r="AT476" i="53"/>
  <c r="AT45" i="53"/>
  <c r="AT616" i="53"/>
  <c r="AT1028" i="53"/>
  <c r="AT844" i="53"/>
  <c r="AT694" i="53"/>
  <c r="AT87" i="53"/>
  <c r="AT1040" i="53"/>
  <c r="AT128" i="53"/>
  <c r="AT248" i="53"/>
  <c r="AT1029" i="53"/>
  <c r="AT669" i="53"/>
  <c r="AT288" i="53"/>
  <c r="AT1045" i="53"/>
  <c r="AT875" i="53"/>
  <c r="AT287" i="53"/>
  <c r="AT225" i="53"/>
  <c r="AT279" i="53"/>
  <c r="AT655" i="53"/>
  <c r="AT290" i="53"/>
  <c r="AT952" i="53"/>
  <c r="AT399" i="53"/>
  <c r="AT451" i="53"/>
  <c r="AT251" i="53"/>
  <c r="AT233" i="53"/>
  <c r="AT1059" i="53"/>
  <c r="AT795" i="53"/>
  <c r="AT657" i="53"/>
  <c r="AT827" i="53"/>
  <c r="AT82" i="53"/>
  <c r="AT257" i="53"/>
  <c r="AT241" i="53"/>
  <c r="AT228" i="53"/>
  <c r="AT306" i="53"/>
  <c r="AT743" i="53"/>
  <c r="AT670" i="53"/>
  <c r="AT155" i="53"/>
  <c r="AT971" i="53"/>
  <c r="AT796" i="53"/>
  <c r="AT1030" i="53"/>
  <c r="AT882" i="53"/>
  <c r="AT814" i="53"/>
  <c r="AT1003" i="53"/>
  <c r="AT243" i="53"/>
  <c r="AT960" i="53"/>
  <c r="AT1038" i="53"/>
  <c r="AT586" i="53"/>
  <c r="AT682" i="53"/>
  <c r="AT117" i="53"/>
  <c r="AT719" i="53"/>
  <c r="AT259" i="53"/>
  <c r="AT605" i="53"/>
  <c r="AT654" i="53"/>
  <c r="AT46" i="53"/>
  <c r="AT650" i="53"/>
  <c r="AT739" i="53"/>
  <c r="AT972" i="53"/>
  <c r="AT974" i="53"/>
  <c r="AT583" i="53"/>
  <c r="AT278" i="53"/>
  <c r="AT615" i="53"/>
  <c r="AT271" i="53"/>
  <c r="AT541" i="53"/>
  <c r="AT986" i="53"/>
  <c r="AT1037" i="53"/>
  <c r="AT437" i="53"/>
  <c r="AT501" i="53"/>
  <c r="AT299" i="53"/>
  <c r="AT761" i="53"/>
  <c r="AT705" i="53"/>
  <c r="AT188" i="53"/>
  <c r="AT235" i="53"/>
  <c r="AT929" i="53"/>
  <c r="AT549" i="53"/>
  <c r="AT29" i="53"/>
  <c r="AT133" i="53"/>
  <c r="AT948" i="53"/>
  <c r="AT933" i="53"/>
  <c r="AT729" i="53"/>
  <c r="AT126" i="53"/>
  <c r="AT284" i="53"/>
  <c r="AT153" i="53"/>
  <c r="AT267" i="53"/>
  <c r="AT578" i="53"/>
  <c r="AT191" i="53"/>
  <c r="AT1044" i="53"/>
  <c r="AT590" i="53"/>
  <c r="AT559" i="53"/>
  <c r="AT286" i="53"/>
  <c r="AT244" i="53"/>
  <c r="AT96" i="53"/>
  <c r="AT404" i="53"/>
  <c r="AT209" i="53"/>
  <c r="AT1067" i="53"/>
  <c r="AT771" i="53"/>
  <c r="AT510" i="53"/>
  <c r="AT37" i="53"/>
  <c r="AT752" i="53"/>
  <c r="AT721" i="53"/>
  <c r="AT60" i="53"/>
  <c r="AT702" i="53"/>
  <c r="AT310" i="53"/>
  <c r="AT1026" i="53"/>
  <c r="AT212" i="53"/>
  <c r="AT585" i="53"/>
  <c r="AT215" i="53"/>
  <c r="AT205" i="53"/>
  <c r="AT181" i="53"/>
  <c r="AT281" i="53"/>
  <c r="AT735" i="53"/>
  <c r="AT275" i="53"/>
  <c r="AT273" i="53"/>
  <c r="AT222" i="53"/>
  <c r="AT840" i="53"/>
  <c r="AT680" i="53"/>
  <c r="AT237" i="53"/>
  <c r="AT185" i="53"/>
  <c r="AT301" i="53"/>
  <c r="AT468" i="53"/>
  <c r="AT265" i="53"/>
  <c r="AT748" i="53"/>
  <c r="AT283" i="53"/>
  <c r="AT151" i="53"/>
  <c r="AT4" i="53"/>
  <c r="AT266" i="53"/>
  <c r="AT145" i="53"/>
  <c r="AT673" i="53"/>
  <c r="AT593" i="53"/>
  <c r="AT619" i="53"/>
  <c r="AT985" i="53"/>
  <c r="AT643" i="53"/>
  <c r="AT141" i="53"/>
  <c r="AT940" i="53"/>
  <c r="AT640" i="53"/>
  <c r="AT224" i="53"/>
  <c r="AT851" i="53"/>
  <c r="AT157" i="53"/>
  <c r="AT113" i="53"/>
  <c r="AT908" i="53"/>
  <c r="AT263" i="53"/>
  <c r="AT667" i="53"/>
  <c r="AT523" i="53"/>
  <c r="AT1031" i="53"/>
  <c r="AT234" i="53"/>
  <c r="AT339" i="53"/>
  <c r="AT579" i="53"/>
  <c r="AT154" i="53"/>
  <c r="AT566" i="53"/>
  <c r="AT61" i="53"/>
  <c r="AT389" i="53"/>
  <c r="AT78" i="53"/>
  <c r="AT726" i="53"/>
  <c r="AT204" i="53"/>
  <c r="AT406" i="53"/>
  <c r="AT341" i="53"/>
  <c r="AT843" i="53"/>
  <c r="AT704" i="53"/>
  <c r="AT864" i="53"/>
  <c r="AT138" i="53"/>
  <c r="AT899" i="53"/>
  <c r="AT240" i="53"/>
  <c r="AT565" i="53"/>
  <c r="AT982" i="53"/>
  <c r="AT659" i="53"/>
  <c r="AT978" i="53"/>
  <c r="AT742" i="53"/>
  <c r="AT534" i="53"/>
  <c r="AT715" i="53"/>
  <c r="AT156" i="53"/>
  <c r="AT420" i="53"/>
  <c r="AT1025" i="53"/>
  <c r="AT294" i="53"/>
  <c r="AT624" i="53"/>
  <c r="AT1062" i="53"/>
  <c r="AT588" i="53"/>
  <c r="AT311" i="53"/>
  <c r="AT738" i="53"/>
  <c r="AT477" i="53"/>
  <c r="AT645" i="53"/>
  <c r="AT254" i="53"/>
  <c r="AT723" i="53"/>
  <c r="AT990" i="53"/>
  <c r="AT55" i="53"/>
  <c r="AT710" i="53"/>
  <c r="AT47" i="53"/>
  <c r="AT119" i="53"/>
  <c r="AT123" i="53"/>
  <c r="AT661" i="53"/>
  <c r="AT598" i="53"/>
  <c r="AT177" i="53"/>
  <c r="AT623" i="53"/>
  <c r="AT740" i="53"/>
  <c r="AT520" i="53"/>
  <c r="AT527" i="53"/>
  <c r="AT545" i="53"/>
  <c r="AT737" i="53"/>
  <c r="AT965" i="53"/>
  <c r="AT207" i="53"/>
  <c r="AT676" i="53"/>
  <c r="AT26" i="53"/>
  <c r="AT847" i="53"/>
  <c r="AT54" i="53"/>
  <c r="AT548" i="53"/>
  <c r="AT538" i="53"/>
  <c r="AT1019" i="53"/>
  <c r="AT856" i="53"/>
  <c r="AT103" i="53"/>
  <c r="AT337" i="53"/>
  <c r="AT304" i="53"/>
  <c r="AT124" i="53"/>
  <c r="AT256" i="53"/>
  <c r="AT28" i="53"/>
  <c r="AT766" i="53"/>
  <c r="AT699" i="53"/>
  <c r="AT831" i="53"/>
  <c r="AT801" i="53"/>
  <c r="AT695" i="53"/>
  <c r="AT176" i="53"/>
  <c r="AT652" i="53"/>
  <c r="AT17" i="53"/>
  <c r="AT187" i="53"/>
  <c r="AT612" i="53"/>
  <c r="AT687" i="53"/>
  <c r="AT496" i="53"/>
  <c r="AT276" i="53"/>
  <c r="AT80" i="53"/>
  <c r="AT646" i="53"/>
  <c r="AT470" i="53"/>
  <c r="AT530" i="53"/>
  <c r="AT32" i="53"/>
  <c r="AT297" i="53"/>
  <c r="AT314" i="53"/>
  <c r="AT525" i="53"/>
  <c r="AT921" i="53"/>
  <c r="AT338" i="53"/>
  <c r="AT252" i="53"/>
  <c r="AT824" i="53"/>
  <c r="AT315" i="53"/>
  <c r="AT344" i="53"/>
  <c r="AT245" i="53"/>
  <c r="AT81" i="53"/>
  <c r="AT372" i="53"/>
  <c r="AT706" i="53"/>
  <c r="AT402" i="53"/>
  <c r="AT575" i="53"/>
  <c r="AT714" i="53"/>
  <c r="AT405" i="53"/>
  <c r="AT685" i="53"/>
  <c r="AT564" i="53"/>
  <c r="AT308" i="53"/>
  <c r="AT214" i="53"/>
  <c r="AT56" i="53"/>
  <c r="AT647" i="53"/>
  <c r="AT250" i="53"/>
  <c r="AT691" i="53"/>
  <c r="AT1054" i="53"/>
  <c r="AT143" i="53"/>
  <c r="AT727" i="53"/>
  <c r="AT210" i="53"/>
  <c r="AT1035" i="53"/>
  <c r="AT371" i="53"/>
  <c r="AT1027" i="53"/>
  <c r="AT516" i="53"/>
  <c r="AT98" i="53"/>
  <c r="AT458" i="53"/>
  <c r="AT547" i="53"/>
  <c r="AT599" i="53"/>
  <c r="AT660" i="53"/>
  <c r="AT302" i="53"/>
  <c r="AT644" i="53"/>
  <c r="AT688" i="53"/>
  <c r="AT246" i="53"/>
  <c r="AT107" i="53"/>
  <c r="AT632" i="53"/>
  <c r="AT945" i="53"/>
  <c r="AT709" i="53"/>
  <c r="AT184" i="53"/>
  <c r="AT213" i="53"/>
  <c r="AT69" i="53"/>
  <c r="AT193" i="53"/>
  <c r="AT741" i="53"/>
  <c r="AT664" i="53"/>
  <c r="AT144" i="53"/>
  <c r="AT537" i="53"/>
  <c r="AT180" i="53"/>
  <c r="AT457" i="53"/>
  <c r="AT1002" i="53"/>
  <c r="AT238" i="53"/>
  <c r="AT312" i="53"/>
  <c r="AT636" i="53"/>
  <c r="AT622" i="53"/>
  <c r="AT556" i="53"/>
  <c r="AT272" i="53"/>
  <c r="AT678" i="53"/>
  <c r="AT48" i="53"/>
  <c r="AT136" i="53"/>
  <c r="AT658" i="53"/>
  <c r="AT226" i="53"/>
  <c r="AT625" i="53"/>
  <c r="AT7" i="53"/>
  <c r="AT713" i="53"/>
  <c r="AT962" i="53"/>
  <c r="AT518" i="53"/>
  <c r="AT421" i="53"/>
  <c r="AT195" i="53"/>
  <c r="AT651" i="53"/>
  <c r="AT129" i="53"/>
  <c r="AT260" i="53"/>
  <c r="AT434" i="53"/>
  <c r="AT683" i="53"/>
  <c r="AJ45" i="53"/>
  <c r="AJ573" i="53"/>
  <c r="AJ998" i="53"/>
  <c r="AJ527" i="53"/>
  <c r="AJ875" i="53"/>
  <c r="AJ791" i="53"/>
  <c r="AJ522" i="53"/>
  <c r="AJ466" i="53"/>
  <c r="AJ704" i="53"/>
  <c r="AJ807" i="53"/>
  <c r="AJ528" i="53"/>
  <c r="AJ982" i="53"/>
  <c r="AJ1068" i="53"/>
  <c r="AJ185" i="53"/>
  <c r="AJ423" i="53"/>
  <c r="AJ1042" i="53"/>
  <c r="AJ726" i="53"/>
  <c r="AJ702" i="53"/>
  <c r="AJ591" i="53"/>
  <c r="AJ35" i="53"/>
  <c r="AJ650" i="53"/>
  <c r="AJ758" i="53"/>
  <c r="AJ431" i="53"/>
  <c r="AJ826" i="53"/>
  <c r="AJ1000" i="53"/>
  <c r="AJ1002" i="53"/>
  <c r="AJ782" i="53"/>
  <c r="AJ864" i="53"/>
  <c r="AJ29" i="53"/>
  <c r="AJ951" i="53"/>
  <c r="AJ1001" i="53"/>
  <c r="AJ312" i="53"/>
  <c r="AJ381" i="53"/>
  <c r="AJ519" i="53"/>
  <c r="AJ344" i="53"/>
  <c r="AJ72" i="53"/>
  <c r="AJ694" i="53"/>
  <c r="AJ723" i="53"/>
  <c r="AJ271" i="53"/>
  <c r="AJ505" i="53"/>
  <c r="AJ281" i="53"/>
  <c r="AJ153" i="53"/>
  <c r="AJ557" i="53"/>
  <c r="AJ781" i="53"/>
  <c r="AJ166" i="53"/>
  <c r="AJ707" i="53"/>
  <c r="AJ1005" i="53"/>
  <c r="AJ825" i="53"/>
  <c r="AJ809" i="53"/>
  <c r="AJ973" i="53"/>
  <c r="AJ614" i="53"/>
  <c r="AJ461" i="53"/>
  <c r="AJ320" i="53"/>
  <c r="AJ658" i="53"/>
  <c r="AJ1014" i="53"/>
  <c r="AJ742" i="53"/>
  <c r="AJ625" i="53"/>
  <c r="AJ33" i="53"/>
  <c r="AJ159" i="53"/>
  <c r="AJ169" i="53"/>
  <c r="AJ7" i="53"/>
  <c r="AJ150" i="53"/>
  <c r="AJ680" i="53"/>
  <c r="AJ590" i="53"/>
  <c r="AJ635" i="53"/>
  <c r="AJ632" i="53"/>
  <c r="AJ785" i="53"/>
  <c r="AJ263" i="53"/>
  <c r="AJ833" i="53"/>
  <c r="AJ634" i="53"/>
  <c r="AJ962" i="53"/>
  <c r="AJ945" i="53"/>
  <c r="AJ356" i="53"/>
  <c r="AJ96" i="53"/>
  <c r="AJ969" i="53"/>
  <c r="AJ1100" i="53"/>
  <c r="AJ709" i="53"/>
  <c r="AJ397" i="53"/>
  <c r="AJ510" i="53"/>
  <c r="AJ56" i="53"/>
  <c r="AJ234" i="53"/>
  <c r="AJ192" i="53"/>
  <c r="AJ17" i="53"/>
  <c r="AJ752" i="53"/>
  <c r="AJ129" i="53"/>
  <c r="AJ1077" i="53"/>
  <c r="AJ223" i="53"/>
  <c r="AJ1022" i="53"/>
  <c r="AJ182" i="53"/>
  <c r="AJ677" i="53"/>
  <c r="AJ1069" i="53"/>
  <c r="AJ1084" i="53"/>
  <c r="AJ538" i="53"/>
  <c r="AJ657" i="53"/>
  <c r="AJ749" i="53"/>
  <c r="AJ1080" i="53"/>
  <c r="AJ631" i="53"/>
  <c r="AJ275" i="53"/>
  <c r="AJ710" i="53"/>
  <c r="AJ97" i="53"/>
  <c r="AJ837" i="53"/>
  <c r="AJ700" i="53"/>
  <c r="AJ828" i="53"/>
  <c r="AJ206" i="53"/>
  <c r="AJ204" i="53"/>
  <c r="AJ605" i="53"/>
  <c r="AJ803" i="53"/>
  <c r="AJ332" i="53"/>
  <c r="AJ691" i="53"/>
  <c r="AJ406" i="53"/>
  <c r="AJ1097" i="53"/>
  <c r="AJ141" i="53"/>
  <c r="AJ359" i="53"/>
  <c r="AJ27" i="53"/>
  <c r="AJ919" i="53"/>
  <c r="AJ307" i="53"/>
  <c r="AJ451" i="53"/>
  <c r="AJ948" i="53"/>
  <c r="AJ780" i="53"/>
  <c r="AJ254" i="53"/>
  <c r="AJ512" i="53"/>
  <c r="AJ368" i="53"/>
  <c r="AJ993" i="53"/>
  <c r="AJ126" i="53"/>
  <c r="AJ230" i="53"/>
  <c r="AJ337" i="53"/>
  <c r="AJ541" i="53"/>
  <c r="AJ347" i="53"/>
  <c r="AJ750" i="53"/>
  <c r="AJ1023" i="53"/>
  <c r="AJ378" i="53"/>
  <c r="AJ40" i="53"/>
  <c r="AJ76" i="53"/>
  <c r="AJ362" i="53"/>
  <c r="AJ699" i="53"/>
  <c r="AJ877" i="53"/>
  <c r="AJ776" i="53"/>
  <c r="AJ460" i="53"/>
  <c r="AJ497" i="53"/>
  <c r="AJ902" i="53"/>
  <c r="AJ518" i="53"/>
  <c r="AJ1102" i="53"/>
  <c r="AJ931" i="53"/>
  <c r="AJ421" i="53"/>
  <c r="AJ156" i="53"/>
  <c r="AJ814" i="53"/>
  <c r="AJ748" i="53"/>
  <c r="AJ761" i="53"/>
  <c r="AJ896" i="53"/>
  <c r="AJ751" i="53"/>
  <c r="AJ717" i="53"/>
  <c r="AJ651" i="53"/>
  <c r="AJ1016" i="53"/>
  <c r="AJ968" i="53"/>
  <c r="AJ170" i="53"/>
  <c r="AJ725" i="53"/>
  <c r="AJ934" i="53"/>
  <c r="AJ976" i="53"/>
  <c r="AJ687" i="53"/>
  <c r="AJ415" i="53"/>
  <c r="AJ260" i="53"/>
  <c r="AJ294" i="53"/>
  <c r="AJ572" i="53"/>
  <c r="AJ682" i="53"/>
  <c r="AJ991" i="53"/>
  <c r="AJ239" i="53"/>
  <c r="AJ250" i="53"/>
  <c r="AJ757" i="53"/>
  <c r="AJ70" i="53"/>
  <c r="AJ149" i="53"/>
  <c r="AJ276" i="53"/>
  <c r="AJ540" i="53"/>
  <c r="AJ698" i="53"/>
  <c r="AJ400" i="53"/>
  <c r="AJ452" i="53"/>
  <c r="AJ1078" i="53"/>
  <c r="AJ1020" i="53"/>
  <c r="AJ842" i="53"/>
  <c r="AJ663" i="53"/>
  <c r="AJ937" i="53"/>
  <c r="AJ357" i="53"/>
  <c r="AJ58" i="53"/>
  <c r="AJ643" i="53"/>
  <c r="AJ1091" i="53"/>
  <c r="AJ173" i="53"/>
  <c r="AJ979" i="53"/>
  <c r="AJ60" i="53"/>
  <c r="AJ34" i="53"/>
  <c r="AJ692" i="53"/>
  <c r="AJ533" i="53"/>
  <c r="AJ147" i="53"/>
  <c r="AJ13" i="53"/>
  <c r="AJ26" i="53"/>
  <c r="AJ870" i="53"/>
  <c r="AJ871" i="53"/>
  <c r="AJ394" i="53"/>
  <c r="AJ727" i="53"/>
  <c r="AJ139" i="53"/>
  <c r="AJ708" i="53"/>
  <c r="AJ656" i="53"/>
  <c r="AJ1035" i="53"/>
  <c r="AJ138" i="53"/>
  <c r="AJ233" i="53"/>
  <c r="AJ231" i="53"/>
  <c r="AJ441" i="53"/>
  <c r="AJ502" i="53"/>
  <c r="AJ769" i="53"/>
  <c r="AJ321" i="53"/>
  <c r="AJ1053" i="53"/>
  <c r="AJ567" i="53"/>
  <c r="AJ485" i="53"/>
  <c r="AJ1103" i="53"/>
  <c r="AJ267" i="53"/>
  <c r="AJ736" i="53"/>
  <c r="AJ241" i="53"/>
  <c r="AJ75" i="53"/>
  <c r="AJ134" i="53"/>
  <c r="AJ514" i="53"/>
  <c r="AJ1088" i="53"/>
  <c r="AJ786" i="53"/>
  <c r="AJ191" i="53"/>
  <c r="AJ1081" i="53"/>
  <c r="AJ418" i="53"/>
  <c r="AJ128" i="53"/>
  <c r="AJ550" i="53"/>
  <c r="AJ1036" i="53"/>
  <c r="AJ671" i="53"/>
  <c r="AJ31" i="53"/>
  <c r="AJ123" i="53"/>
  <c r="AJ745" i="53"/>
  <c r="AJ115" i="53"/>
  <c r="AJ1052" i="53"/>
  <c r="AJ296" i="53"/>
  <c r="AJ740" i="53"/>
  <c r="AJ667" i="53"/>
  <c r="AJ265" i="53"/>
  <c r="AJ404" i="53"/>
  <c r="AJ104" i="53"/>
  <c r="AJ564" i="53"/>
  <c r="AJ532" i="53"/>
  <c r="AJ486" i="53"/>
  <c r="AJ352" i="53"/>
  <c r="AJ1067" i="53"/>
  <c r="AJ873" i="53"/>
  <c r="AJ883" i="53"/>
  <c r="AJ469" i="53"/>
  <c r="AJ531" i="53"/>
  <c r="AJ211" i="53"/>
  <c r="AJ195" i="53"/>
  <c r="AJ350" i="53"/>
  <c r="AJ261" i="53"/>
  <c r="AJ601" i="53"/>
  <c r="AJ579" i="53"/>
  <c r="AJ1038" i="53"/>
  <c r="AJ440" i="53"/>
  <c r="AJ61" i="53"/>
  <c r="AJ675" i="53"/>
  <c r="AJ168" i="53"/>
  <c r="AJ1099" i="53"/>
  <c r="AJ91" i="53"/>
  <c r="AJ743" i="53"/>
  <c r="AJ377" i="53"/>
  <c r="AJ646" i="53"/>
  <c r="AJ345" i="53"/>
  <c r="AJ374" i="53"/>
  <c r="AJ530" i="53"/>
  <c r="AJ235" i="53"/>
  <c r="AJ390" i="53"/>
  <c r="AJ561" i="53"/>
  <c r="AJ208" i="53"/>
  <c r="AJ341" i="53"/>
  <c r="AJ568" i="53"/>
  <c r="AJ972" i="53"/>
  <c r="AJ270" i="53"/>
  <c r="AJ525" i="53"/>
  <c r="AJ940" i="53"/>
  <c r="AJ385" i="53"/>
  <c r="AJ199" i="53"/>
  <c r="AJ427" i="53"/>
  <c r="AJ8" i="53"/>
  <c r="AJ370" i="53"/>
  <c r="AJ583" i="53"/>
  <c r="AJ795" i="53"/>
  <c r="AJ1082" i="53"/>
  <c r="AJ1034" i="53"/>
  <c r="AJ618" i="53"/>
  <c r="AJ729" i="53"/>
  <c r="AJ666" i="53"/>
  <c r="AJ659" i="53"/>
  <c r="AJ946" i="53"/>
  <c r="AJ445" i="53"/>
  <c r="AJ722" i="53"/>
  <c r="AJ124" i="53"/>
  <c r="AJ55" i="53"/>
  <c r="AJ731" i="53"/>
  <c r="AJ471" i="53"/>
  <c r="AJ696" i="53"/>
  <c r="AJ274" i="53"/>
  <c r="AJ396" i="53"/>
  <c r="AJ966" i="53"/>
  <c r="AJ51" i="53"/>
  <c r="AJ759" i="53"/>
  <c r="AJ449" i="53"/>
  <c r="AJ464" i="53"/>
  <c r="AJ197" i="53"/>
  <c r="AJ938" i="53"/>
  <c r="AJ810" i="53"/>
  <c r="AJ546" i="53"/>
  <c r="AJ607" i="53"/>
  <c r="AJ493" i="53"/>
  <c r="AJ9" i="53"/>
  <c r="AJ468" i="53"/>
  <c r="AJ637" i="53"/>
  <c r="AJ403" i="53"/>
  <c r="AJ130" i="53"/>
  <c r="AJ67" i="53"/>
  <c r="AJ912" i="53"/>
  <c r="AJ504" i="53"/>
  <c r="AJ455" i="53"/>
  <c r="AJ535" i="53"/>
  <c r="AJ610" i="53"/>
  <c r="AJ243" i="53"/>
  <c r="AJ930" i="53"/>
  <c r="AJ53" i="53"/>
  <c r="AJ154" i="53"/>
  <c r="AJ319" i="53"/>
  <c r="AJ566" i="53"/>
  <c r="AJ586" i="53"/>
  <c r="AJ373" i="53"/>
  <c r="AJ1094" i="53"/>
  <c r="AJ496" i="53"/>
  <c r="AJ207" i="53"/>
  <c r="AJ463" i="53"/>
  <c r="AJ622" i="53"/>
  <c r="AJ1024" i="53"/>
  <c r="AJ258" i="53"/>
  <c r="AJ642" i="53"/>
  <c r="AJ220" i="53"/>
  <c r="AJ293" i="53"/>
  <c r="AJ180" i="53"/>
  <c r="AJ850" i="53"/>
  <c r="AJ465" i="53"/>
  <c r="AJ1071" i="53"/>
  <c r="AJ360" i="53"/>
  <c r="AJ114" i="53"/>
  <c r="AJ419" i="53"/>
  <c r="AJ887" i="53"/>
  <c r="AJ899" i="53"/>
  <c r="AJ689" i="53"/>
  <c r="AJ1098" i="53"/>
  <c r="AJ516" i="53"/>
  <c r="AJ908" i="53"/>
  <c r="AJ82" i="53"/>
  <c r="AJ893" i="53"/>
  <c r="AJ556" i="53"/>
  <c r="AJ963" i="53"/>
  <c r="AJ391" i="53"/>
  <c r="AJ245" i="53"/>
  <c r="AJ617" i="53"/>
  <c r="AJ678" i="53"/>
  <c r="AJ600" i="53"/>
  <c r="AJ353" i="53"/>
  <c r="AJ891" i="53"/>
  <c r="AJ372" i="53"/>
  <c r="AJ839" i="53"/>
  <c r="AJ402" i="53"/>
  <c r="AJ409" i="53"/>
  <c r="AJ86" i="53"/>
  <c r="AJ1049" i="53"/>
  <c r="AJ171" i="53"/>
  <c r="AJ701" i="53"/>
  <c r="AJ375" i="53"/>
  <c r="AJ336" i="53"/>
  <c r="AJ417" i="53"/>
  <c r="AJ146" i="53"/>
  <c r="AJ1065" i="53"/>
  <c r="AJ24" i="53"/>
  <c r="AJ997" i="53"/>
  <c r="AJ920" i="53"/>
  <c r="AJ94" i="53"/>
  <c r="AJ1031" i="53"/>
  <c r="AJ225" i="53"/>
  <c r="AJ217" i="53"/>
  <c r="AJ1061" i="53"/>
  <c r="AJ1072" i="53"/>
  <c r="AJ36" i="53"/>
  <c r="AJ960" i="53"/>
  <c r="AJ775" i="53"/>
  <c r="AJ721" i="53"/>
  <c r="AJ43" i="53"/>
  <c r="AJ924" i="53"/>
  <c r="AJ1017" i="53"/>
  <c r="AJ834" i="53"/>
  <c r="AJ797" i="53"/>
  <c r="AJ95" i="53"/>
  <c r="AJ289" i="53"/>
  <c r="AJ494" i="53"/>
  <c r="AJ1032" i="53"/>
  <c r="AJ317" i="53"/>
  <c r="AJ890" i="53"/>
  <c r="AJ69" i="53"/>
  <c r="AJ499" i="53"/>
  <c r="AJ942" i="53"/>
  <c r="AJ323" i="53"/>
  <c r="AJ719" i="53"/>
  <c r="AJ970" i="53"/>
  <c r="AJ1079" i="53"/>
  <c r="AJ46" i="53"/>
  <c r="AJ118" i="53"/>
  <c r="AJ314" i="53"/>
  <c r="AJ313" i="53"/>
  <c r="AJ874" i="53"/>
  <c r="AJ189" i="53"/>
  <c r="AJ549" i="53"/>
  <c r="AJ506" i="53"/>
  <c r="AJ585" i="53"/>
  <c r="AJ861" i="53"/>
  <c r="AJ210" i="53"/>
  <c r="AJ148" i="53"/>
  <c r="AJ338" i="53"/>
  <c r="AJ252" i="53"/>
  <c r="AJ933" i="53"/>
  <c r="AJ820" i="53"/>
  <c r="AJ1028" i="53"/>
  <c r="AJ939" i="53"/>
  <c r="AJ836" i="53"/>
  <c r="AJ806" i="53"/>
  <c r="AJ103" i="53"/>
  <c r="AJ331" i="53"/>
  <c r="AJ309" i="53"/>
  <c r="AJ515" i="53"/>
  <c r="AJ574" i="53"/>
  <c r="AJ1087" i="53"/>
  <c r="AJ1040" i="53"/>
  <c r="AJ693" i="53"/>
  <c r="AJ901" i="53"/>
  <c r="AJ81" i="53"/>
  <c r="AJ802" i="53"/>
  <c r="AJ915" i="53"/>
  <c r="AJ521" i="53"/>
  <c r="AJ808" i="53"/>
  <c r="AJ865" i="53"/>
  <c r="AJ439" i="53"/>
  <c r="AJ713" i="53"/>
  <c r="AJ644" i="53"/>
  <c r="AJ508" i="53"/>
  <c r="AJ609" i="53"/>
  <c r="AJ196" i="53"/>
  <c r="AJ853" i="53"/>
  <c r="AJ503" i="53"/>
  <c r="AJ770" i="53"/>
  <c r="AJ456" i="53"/>
  <c r="AJ520" i="53"/>
  <c r="AJ236" i="53"/>
  <c r="AJ1046" i="53"/>
  <c r="AJ305" i="53"/>
  <c r="AJ695" i="53"/>
  <c r="AJ438" i="53"/>
  <c r="AJ545" i="53"/>
  <c r="AJ734" i="53"/>
  <c r="AJ247" i="53"/>
  <c r="AJ202" i="53"/>
  <c r="AJ788" i="53"/>
  <c r="AJ322" i="53"/>
  <c r="AJ1051" i="53"/>
  <c r="AJ630" i="53"/>
  <c r="AJ737" i="53"/>
  <c r="AJ612" i="53"/>
  <c r="AJ73" i="53"/>
  <c r="AJ764" i="53"/>
  <c r="AJ665" i="53"/>
  <c r="AJ593" i="53"/>
  <c r="AJ122" i="53"/>
  <c r="AJ529" i="53"/>
  <c r="AJ773" i="53"/>
  <c r="AJ435" i="53"/>
  <c r="AJ580" i="53"/>
  <c r="AJ816" i="53"/>
  <c r="AJ1062" i="53"/>
  <c r="AJ681" i="53"/>
  <c r="AJ910" i="53"/>
  <c r="AJ974" i="53"/>
  <c r="AJ392" i="53"/>
  <c r="AJ688" i="53"/>
  <c r="AJ285" i="53"/>
  <c r="AJ483" i="53"/>
  <c r="AJ413" i="53"/>
  <c r="AJ186" i="53"/>
  <c r="AJ994" i="53"/>
  <c r="AJ1063" i="53"/>
  <c r="AJ176" i="53"/>
  <c r="AJ280" i="53"/>
  <c r="AJ511" i="53"/>
  <c r="AJ470" i="53"/>
  <c r="AJ619" i="53"/>
  <c r="AJ898" i="53"/>
  <c r="AJ32" i="53"/>
  <c r="AJ1054" i="53"/>
  <c r="AJ1026" i="53"/>
  <c r="AJ44" i="53"/>
  <c r="AJ703" i="53"/>
  <c r="AJ952" i="53"/>
  <c r="AJ179" i="53"/>
  <c r="AJ639" i="53"/>
  <c r="AJ548" i="53"/>
  <c r="AJ999" i="53"/>
  <c r="AJ224" i="53"/>
  <c r="AJ316" i="53"/>
  <c r="AJ1012" i="53"/>
  <c r="AJ157" i="53"/>
  <c r="AJ768" i="53"/>
  <c r="AJ132" i="53"/>
  <c r="AJ943" i="53"/>
  <c r="AJ174" i="53"/>
  <c r="AJ42" i="53"/>
  <c r="AJ284" i="53"/>
  <c r="AJ947" i="53"/>
  <c r="AJ38" i="53"/>
  <c r="AJ536" i="53"/>
  <c r="AJ273" i="53"/>
  <c r="AJ382" i="53"/>
  <c r="AJ1039" i="53"/>
  <c r="AJ1096" i="53"/>
  <c r="AJ589" i="53"/>
  <c r="AJ93" i="53"/>
  <c r="AJ778" i="53"/>
  <c r="AJ453" i="53"/>
  <c r="AJ248" i="53"/>
  <c r="AJ302" i="53"/>
  <c r="AJ900" i="53"/>
  <c r="AJ668" i="53"/>
  <c r="AJ479" i="53"/>
  <c r="AJ301" i="53"/>
  <c r="AJ127" i="53"/>
  <c r="AJ279" i="53"/>
  <c r="AJ796" i="53"/>
  <c r="AJ911" i="53"/>
  <c r="AJ262" i="53"/>
  <c r="AJ358" i="53"/>
  <c r="AJ543" i="53"/>
  <c r="AJ177" i="53"/>
  <c r="AJ354" i="53"/>
  <c r="AJ571" i="53"/>
  <c r="AJ801" i="53"/>
  <c r="AJ1047" i="53"/>
  <c r="AJ1086" i="53"/>
  <c r="AJ209" i="53"/>
  <c r="AJ219" i="53"/>
  <c r="AJ845" i="53"/>
  <c r="AJ892" i="53"/>
  <c r="AJ1045" i="53"/>
  <c r="AJ426" i="53"/>
  <c r="AJ283" i="53"/>
  <c r="AJ955" i="53"/>
  <c r="AJ433" i="53"/>
  <c r="AJ705" i="53"/>
  <c r="AJ52" i="53"/>
  <c r="AJ1025" i="53"/>
  <c r="AJ716" i="53"/>
  <c r="AJ325" i="53"/>
  <c r="AJ683" i="53"/>
  <c r="AJ718" i="53"/>
  <c r="AJ343" i="53"/>
  <c r="AJ1083" i="53"/>
  <c r="AJ690" i="53"/>
  <c r="AJ1008" i="53"/>
  <c r="AJ167" i="53"/>
  <c r="AJ1057" i="53"/>
  <c r="AJ859" i="53"/>
  <c r="AJ587" i="53"/>
  <c r="AJ329" i="53"/>
  <c r="AJ442" i="53"/>
  <c r="AJ767" i="53"/>
  <c r="AJ430" i="53"/>
  <c r="AJ454" i="53"/>
  <c r="AJ624" i="53"/>
  <c r="AJ364" i="53"/>
  <c r="AJ655" i="53"/>
  <c r="AJ741" i="53"/>
  <c r="AJ654" i="53"/>
  <c r="AJ297" i="53"/>
  <c r="AJ985" i="53"/>
  <c r="AJ334" i="53"/>
  <c r="AJ65" i="53"/>
  <c r="AJ929" i="53"/>
  <c r="AJ977" i="53"/>
  <c r="AJ925" i="53"/>
  <c r="AJ868" i="53"/>
  <c r="AJ922" i="53"/>
  <c r="AJ399" i="53"/>
  <c r="AJ300" i="53"/>
  <c r="AJ227" i="53"/>
  <c r="AJ1056" i="53"/>
  <c r="AJ74" i="53"/>
  <c r="AJ371" i="53"/>
  <c r="AJ315" i="53"/>
  <c r="AJ964" i="53"/>
  <c r="AJ611" i="53"/>
  <c r="AJ98" i="53"/>
  <c r="AJ443" i="53"/>
  <c r="AJ458" i="53"/>
  <c r="AJ85" i="53"/>
  <c r="AJ547" i="53"/>
  <c r="AJ746" i="53"/>
  <c r="AJ222" i="53"/>
  <c r="AJ492" i="53"/>
  <c r="AJ64" i="53"/>
  <c r="AJ1089" i="53"/>
  <c r="AJ950" i="53"/>
  <c r="AJ342" i="53"/>
  <c r="AJ1093" i="53"/>
  <c r="AJ575" i="53"/>
  <c r="AJ121" i="53"/>
  <c r="AJ411" i="53"/>
  <c r="AJ559" i="53"/>
  <c r="AJ598" i="53"/>
  <c r="AJ855" i="53"/>
  <c r="AJ214" i="53"/>
  <c r="AJ523" i="53"/>
  <c r="AJ100" i="53"/>
  <c r="AJ467" i="53"/>
  <c r="AJ420" i="53"/>
  <c r="AJ482" i="53"/>
  <c r="AJ959" i="53"/>
  <c r="AJ863" i="53"/>
  <c r="AJ926" i="53"/>
  <c r="AJ480" i="53"/>
  <c r="AJ1033" i="53"/>
  <c r="AJ539" i="53"/>
  <c r="AJ1013" i="53"/>
  <c r="AJ907" i="53"/>
  <c r="AJ1074" i="53"/>
  <c r="AJ162" i="53"/>
  <c r="AJ335" i="53"/>
  <c r="AJ1055" i="53"/>
  <c r="AJ292" i="53"/>
  <c r="AJ981" i="53"/>
  <c r="AJ620" i="53"/>
  <c r="AJ135" i="53"/>
  <c r="AJ772" i="53"/>
  <c r="AJ155" i="53"/>
  <c r="AJ376" i="53"/>
  <c r="AJ715" i="53"/>
  <c r="AJ621" i="53"/>
  <c r="AJ765" i="53"/>
  <c r="AJ762" i="53"/>
  <c r="AJ21" i="53"/>
  <c r="AJ193" i="53"/>
  <c r="AJ462" i="53"/>
  <c r="AJ866" i="53"/>
  <c r="AJ1092" i="53"/>
  <c r="AJ386" i="53"/>
  <c r="AJ475" i="53"/>
  <c r="AJ653" i="53"/>
  <c r="AJ798" i="53"/>
  <c r="AJ815" i="53"/>
  <c r="AJ606" i="53"/>
  <c r="AJ133" i="53"/>
  <c r="AJ851" i="53"/>
  <c r="AJ987" i="53"/>
  <c r="AJ581" i="53"/>
  <c r="AJ565" i="53"/>
  <c r="AJ158" i="53"/>
  <c r="AJ827" i="53"/>
  <c r="AJ25" i="53"/>
  <c r="AJ577" i="53"/>
  <c r="AJ264" i="53"/>
  <c r="AJ142" i="53"/>
  <c r="AJ450" i="53"/>
  <c r="AJ304" i="53"/>
  <c r="AJ272" i="53"/>
  <c r="AJ735" i="53"/>
  <c r="AJ1060" i="53"/>
  <c r="AJ291" i="53"/>
  <c r="AJ498" i="53"/>
  <c r="AJ137" i="53"/>
  <c r="AJ602" i="53"/>
  <c r="AJ670" i="53"/>
  <c r="AJ953" i="53"/>
  <c r="AJ194" i="53"/>
  <c r="AJ1037" i="53"/>
  <c r="AJ444" i="53"/>
  <c r="AJ500" i="53"/>
  <c r="AJ246" i="53"/>
  <c r="AJ835" i="53"/>
  <c r="AJ669" i="53"/>
  <c r="AJ724" i="53"/>
  <c r="AJ365" i="53"/>
  <c r="AJ949" i="53"/>
  <c r="AJ380" i="53"/>
  <c r="AJ744" i="53"/>
  <c r="AJ648" i="53"/>
  <c r="AJ882" i="53"/>
  <c r="AJ288" i="53"/>
  <c r="AJ889" i="53"/>
  <c r="AJ672" i="53"/>
  <c r="AJ308" i="53"/>
  <c r="AJ346" i="53"/>
  <c r="AJ913" i="53"/>
  <c r="AJ906" i="53"/>
  <c r="AJ897" i="53"/>
  <c r="AJ287" i="53"/>
  <c r="AJ229" i="53"/>
  <c r="AJ221" i="53"/>
  <c r="AJ754" i="53"/>
  <c r="AJ184" i="53"/>
  <c r="AJ1003" i="53"/>
  <c r="AJ686" i="53"/>
  <c r="AJ213" i="53"/>
  <c r="AJ570" i="53"/>
  <c r="AJ327" i="53"/>
  <c r="AJ198" i="53"/>
  <c r="AJ597" i="53"/>
  <c r="AJ160" i="53"/>
  <c r="AJ524" i="53"/>
  <c r="AJ447" i="53"/>
  <c r="AJ779" i="53"/>
  <c r="AJ562" i="53"/>
  <c r="AJ588" i="53"/>
  <c r="AJ311" i="53"/>
  <c r="AJ407" i="53"/>
  <c r="AJ829" i="53"/>
  <c r="AJ872" i="53"/>
  <c r="AJ1007" i="53"/>
  <c r="AJ849" i="53"/>
  <c r="AJ789" i="53"/>
  <c r="AJ78" i="53"/>
  <c r="AJ398" i="53"/>
  <c r="AJ958" i="53"/>
  <c r="AJ935" i="53"/>
  <c r="AJ333" i="53"/>
  <c r="AJ10" i="53"/>
  <c r="AJ558" i="53"/>
  <c r="AJ477" i="53"/>
  <c r="AJ88" i="53"/>
  <c r="AJ369" i="53"/>
  <c r="AJ903" i="53"/>
  <c r="AJ367" i="53"/>
  <c r="AJ616" i="53"/>
  <c r="AJ918" i="53"/>
  <c r="AJ594" i="53"/>
  <c r="AJ429" i="53"/>
  <c r="AJ921" i="53"/>
  <c r="AJ388" i="53"/>
  <c r="AJ603" i="53"/>
  <c r="AJ856" i="53"/>
  <c r="AJ181" i="53"/>
  <c r="AJ349" i="53"/>
  <c r="AJ844" i="53"/>
  <c r="AJ629" i="53"/>
  <c r="AJ787" i="53"/>
  <c r="AJ165" i="53"/>
  <c r="AJ87" i="53"/>
  <c r="AJ830" i="53"/>
  <c r="AJ923" i="53"/>
  <c r="AJ885" i="53"/>
  <c r="AJ448" i="53"/>
  <c r="AJ228" i="53"/>
  <c r="AJ428" i="53"/>
  <c r="AJ330" i="53"/>
  <c r="AJ77" i="53"/>
  <c r="AJ720" i="53"/>
  <c r="AJ47" i="53"/>
  <c r="AJ495" i="53"/>
  <c r="AJ1044" i="53"/>
  <c r="AJ560" i="53"/>
  <c r="AJ881" i="53"/>
  <c r="AJ172" i="53"/>
  <c r="AJ89" i="53"/>
  <c r="AJ790" i="53"/>
  <c r="AJ766" i="53"/>
  <c r="AJ163" i="53"/>
  <c r="AJ1066" i="53"/>
  <c r="AJ895" i="53"/>
  <c r="AJ49" i="53"/>
  <c r="AJ395" i="53"/>
  <c r="AJ756" i="53"/>
  <c r="AJ592" i="53"/>
  <c r="AJ59" i="53"/>
  <c r="AJ405" i="53"/>
  <c r="AJ927" i="53"/>
  <c r="AJ1073" i="53"/>
  <c r="AJ858" i="53"/>
  <c r="AJ328" i="53"/>
  <c r="AJ805" i="53"/>
  <c r="AJ37" i="53"/>
  <c r="AJ848" i="53"/>
  <c r="AJ63" i="53"/>
  <c r="AJ145" i="53"/>
  <c r="AJ996" i="53"/>
  <c r="AJ116" i="53"/>
  <c r="AJ20" i="53"/>
  <c r="AJ747" i="53"/>
  <c r="AJ753" i="53"/>
  <c r="AJ732" i="53"/>
  <c r="AJ909" i="53"/>
  <c r="AJ434" i="53"/>
  <c r="AJ544" i="53"/>
  <c r="AJ1011" i="53"/>
  <c r="AJ800" i="53"/>
  <c r="AJ102" i="53"/>
  <c r="AJ487" i="53"/>
  <c r="AJ980" i="53"/>
  <c r="AJ714" i="53"/>
  <c r="AJ679" i="53"/>
  <c r="AJ379" i="53"/>
  <c r="AJ478" i="53"/>
  <c r="AJ408" i="53"/>
  <c r="AJ1076" i="53"/>
  <c r="AJ676" i="53"/>
  <c r="AJ310" i="53"/>
  <c r="AJ847" i="53"/>
  <c r="AJ295" i="53"/>
  <c r="AJ739" i="53"/>
  <c r="AJ175" i="53"/>
  <c r="AJ457" i="53"/>
  <c r="AJ569" i="53"/>
  <c r="AJ777" i="53"/>
  <c r="AJ41" i="53"/>
  <c r="AJ555" i="53"/>
  <c r="AJ84" i="53"/>
  <c r="AJ811" i="53"/>
  <c r="AJ251" i="53"/>
  <c r="AJ636" i="53"/>
  <c r="AJ152" i="53"/>
  <c r="AJ862" i="53"/>
  <c r="AJ1027" i="53"/>
  <c r="AJ113" i="53"/>
  <c r="AJ730" i="53"/>
  <c r="AJ697" i="53"/>
  <c r="AJ608" i="53"/>
  <c r="AJ509" i="53"/>
  <c r="AJ822" i="53"/>
  <c r="AJ306" i="53"/>
  <c r="AJ792" i="53"/>
  <c r="AJ216" i="53"/>
  <c r="AJ888" i="53"/>
  <c r="AJ992" i="53"/>
  <c r="AJ706" i="53"/>
  <c r="AJ517" i="53"/>
  <c r="AJ956" i="53"/>
  <c r="AJ437" i="53"/>
  <c r="AJ387" i="53"/>
  <c r="AJ661" i="53"/>
  <c r="AJ286" i="53"/>
  <c r="AJ638" i="53"/>
  <c r="AJ854" i="53"/>
  <c r="AJ582" i="53"/>
  <c r="AJ1021" i="53"/>
  <c r="AJ1048" i="53"/>
  <c r="AJ414" i="53"/>
  <c r="AJ685" i="53"/>
  <c r="AJ967" i="53"/>
  <c r="AJ894" i="53"/>
  <c r="AJ763" i="53"/>
  <c r="AJ1041" i="53"/>
  <c r="AJ813" i="53"/>
  <c r="AJ112" i="53"/>
  <c r="AJ218" i="53"/>
  <c r="AJ164" i="53"/>
  <c r="AJ339" i="53"/>
  <c r="AJ242" i="53"/>
  <c r="AJ108" i="53"/>
  <c r="AJ1095" i="53"/>
  <c r="AJ436" i="53"/>
  <c r="AJ68" i="53"/>
  <c r="AJ1010" i="53"/>
  <c r="AJ554" i="53"/>
  <c r="AJ783" i="53"/>
  <c r="AJ812" i="53"/>
  <c r="AJ80" i="53"/>
  <c r="AJ664" i="53"/>
  <c r="AJ54" i="53"/>
  <c r="AJ860" i="53"/>
  <c r="AJ711" i="53"/>
  <c r="AJ818" i="53"/>
  <c r="AJ255" i="53"/>
  <c r="AJ22" i="53"/>
  <c r="AJ298" i="53"/>
  <c r="AJ645" i="53"/>
  <c r="AJ880" i="53"/>
  <c r="AJ905" i="53"/>
  <c r="AJ817" i="53"/>
  <c r="AJ363" i="53"/>
  <c r="AJ23" i="53"/>
  <c r="AJ988" i="53"/>
  <c r="AJ401" i="53"/>
  <c r="AJ105" i="53"/>
  <c r="AJ238" i="53"/>
  <c r="AJ50" i="53"/>
  <c r="AJ212" i="53"/>
  <c r="AJ640" i="53"/>
  <c r="AJ410" i="53"/>
  <c r="AJ626" i="53"/>
  <c r="AJ1059" i="53"/>
  <c r="AJ961" i="53"/>
  <c r="AJ240" i="53"/>
  <c r="AJ628" i="53"/>
  <c r="AJ269" i="53"/>
  <c r="AJ916" i="53"/>
  <c r="AJ869" i="53"/>
  <c r="AJ917" i="53"/>
  <c r="AJ1085" i="53"/>
  <c r="AJ111" i="53"/>
  <c r="AJ355" i="53"/>
  <c r="AJ793" i="53"/>
  <c r="AJ422" i="53"/>
  <c r="AJ136" i="53"/>
  <c r="AJ277" i="53"/>
  <c r="AJ840" i="53"/>
  <c r="AJ472" i="53"/>
  <c r="AJ838" i="53"/>
  <c r="AJ944" i="53"/>
  <c r="AJ914" i="53"/>
  <c r="AJ489" i="53"/>
  <c r="AJ534" i="53"/>
  <c r="AJ1105" i="53"/>
  <c r="AJ984" i="53"/>
  <c r="AJ244" i="53"/>
  <c r="AJ649" i="53"/>
  <c r="AJ161" i="53"/>
  <c r="AJ481" i="53"/>
  <c r="AJ1090" i="53"/>
  <c r="AJ879" i="53"/>
  <c r="AJ1058" i="53"/>
  <c r="AJ232" i="53"/>
  <c r="AJ383" i="53"/>
  <c r="AJ995" i="53"/>
  <c r="AJ110" i="53"/>
  <c r="AJ1050" i="53"/>
  <c r="AJ647" i="53"/>
  <c r="AJ106" i="53"/>
  <c r="AJ819" i="53"/>
  <c r="AJ975" i="53"/>
  <c r="AJ71" i="53"/>
  <c r="AJ846" i="53"/>
  <c r="AJ15" i="53"/>
  <c r="AJ932" i="53"/>
  <c r="AJ965" i="53"/>
  <c r="AJ253" i="53"/>
  <c r="AJ190" i="53"/>
  <c r="AJ552" i="53"/>
  <c r="AJ226" i="53"/>
  <c r="AJ627" i="53"/>
  <c r="AJ340" i="53"/>
  <c r="AJ290" i="53"/>
  <c r="AJ144" i="53"/>
  <c r="AJ491" i="53"/>
  <c r="AJ1018" i="53"/>
  <c r="AJ843" i="53"/>
  <c r="AJ526" i="53"/>
  <c r="AJ884" i="53"/>
  <c r="AJ92" i="53"/>
  <c r="AJ432" i="53"/>
  <c r="AJ1043" i="53"/>
  <c r="AJ324" i="53"/>
  <c r="AJ200" i="53"/>
  <c r="AJ928" i="53"/>
  <c r="AJ1009" i="53"/>
  <c r="AJ641" i="53"/>
  <c r="AJ1019" i="53"/>
  <c r="AJ205" i="53"/>
  <c r="AJ595" i="53"/>
  <c r="AJ393" i="53"/>
  <c r="AJ474" i="53"/>
  <c r="AJ278" i="53"/>
  <c r="AJ1075" i="53"/>
  <c r="AJ553" i="53"/>
  <c r="AJ348" i="53"/>
  <c r="AJ983" i="53"/>
  <c r="AJ183" i="53"/>
  <c r="AJ412" i="53"/>
  <c r="AJ542" i="53"/>
  <c r="AJ1104" i="53"/>
  <c r="AJ1006" i="53"/>
  <c r="AJ131" i="53"/>
  <c r="AJ794" i="53"/>
  <c r="AJ613" i="53"/>
  <c r="AJ990" i="53"/>
  <c r="AJ978" i="53"/>
  <c r="AJ257" i="53"/>
  <c r="AJ48" i="53"/>
  <c r="AJ684" i="53"/>
  <c r="AJ599" i="53"/>
  <c r="AJ507" i="53"/>
  <c r="AJ473" i="53"/>
  <c r="AJ551" i="53"/>
  <c r="AJ57" i="53"/>
  <c r="AJ384" i="53"/>
  <c r="AJ876" i="53"/>
  <c r="AJ28" i="53"/>
  <c r="AJ119" i="53"/>
  <c r="AJ446" i="53"/>
  <c r="AJ237" i="53"/>
  <c r="AJ563" i="53"/>
  <c r="AJ1029" i="53"/>
  <c r="AJ501" i="53"/>
  <c r="AJ107" i="53"/>
  <c r="AJ831" i="53"/>
  <c r="AJ459" i="53"/>
  <c r="AJ596" i="53"/>
  <c r="AJ878" i="53"/>
  <c r="AJ299" i="53"/>
  <c r="AJ1030" i="53"/>
  <c r="AJ361" i="53"/>
  <c r="AJ867" i="53"/>
  <c r="AJ140" i="53"/>
  <c r="AJ39" i="53"/>
  <c r="AJ886" i="53"/>
  <c r="AJ771" i="53"/>
  <c r="AJ282" i="53"/>
  <c r="AJ957" i="53"/>
  <c r="AJ904" i="53"/>
  <c r="AJ266" i="53"/>
  <c r="AJ187" i="53"/>
  <c r="AJ852" i="53"/>
  <c r="AJ188" i="53"/>
  <c r="AJ784" i="53"/>
  <c r="AJ673" i="53"/>
  <c r="AJ936" i="53"/>
  <c r="AJ733" i="53"/>
  <c r="AJ215" i="53"/>
  <c r="AJ1064" i="53"/>
  <c r="AJ490" i="53"/>
  <c r="AJ125" i="53"/>
  <c r="AJ662" i="53"/>
  <c r="AJ259" i="53"/>
  <c r="AJ366" i="53"/>
  <c r="AJ178" i="53"/>
  <c r="AJ674" i="53"/>
  <c r="AJ537" i="53"/>
  <c r="AJ738" i="53"/>
  <c r="AJ728" i="53"/>
  <c r="AJ62" i="53"/>
  <c r="AJ476" i="53"/>
  <c r="AJ143" i="53"/>
  <c r="AJ101" i="53"/>
  <c r="AJ109" i="53"/>
  <c r="AJ841" i="53"/>
  <c r="AJ824" i="53"/>
  <c r="AJ326" i="53"/>
  <c r="AJ615" i="53"/>
  <c r="AJ303" i="53"/>
  <c r="AJ799" i="53"/>
  <c r="AJ30" i="53"/>
  <c r="AJ774" i="53"/>
  <c r="AJ488" i="53"/>
  <c r="AJ513" i="53"/>
  <c r="AJ576" i="53"/>
  <c r="AJ755" i="53"/>
  <c r="AJ578" i="53"/>
  <c r="AJ986" i="53"/>
  <c r="AJ660" i="53"/>
  <c r="AJ425" i="53"/>
  <c r="AJ256" i="53"/>
  <c r="AJ971" i="53"/>
  <c r="AJ120" i="53"/>
  <c r="AJ83" i="53"/>
  <c r="AJ18" i="53"/>
  <c r="AJ760" i="53"/>
  <c r="AJ201" i="53"/>
  <c r="AJ66" i="53"/>
  <c r="AJ623" i="53"/>
  <c r="AJ832" i="53"/>
  <c r="AJ1070" i="53"/>
  <c r="AJ1015" i="53"/>
  <c r="AJ823" i="53"/>
  <c r="AJ954" i="53"/>
  <c r="AJ857" i="53"/>
  <c r="AJ203" i="53"/>
  <c r="AJ584" i="53"/>
  <c r="AJ268" i="53"/>
  <c r="AJ4" i="53"/>
  <c r="B71" i="39" s="1" a="1"/>
  <c r="B71" i="39" s="1"/>
  <c r="AJ652" i="53"/>
  <c r="AJ604" i="53"/>
  <c r="AJ416" i="53"/>
  <c r="AJ712" i="53"/>
  <c r="AJ941" i="53"/>
  <c r="AJ318" i="53"/>
  <c r="AJ484" i="53"/>
  <c r="AJ99" i="53"/>
  <c r="AJ351" i="53"/>
  <c r="AJ1004" i="53"/>
  <c r="AJ821" i="53"/>
  <c r="AJ633" i="53"/>
  <c r="AJ16" i="53"/>
  <c r="AJ804" i="53"/>
  <c r="AJ989" i="53"/>
  <c r="AJ249" i="53"/>
  <c r="AJ424" i="53"/>
  <c r="AJ79" i="53"/>
  <c r="AJ389" i="53"/>
  <c r="AJ117" i="53"/>
  <c r="X1101" i="53"/>
  <c r="K24" i="42" a="1"/>
  <c r="K24" i="42" s="1"/>
  <c r="F24" i="42" a="1"/>
  <c r="F24" i="42" s="1"/>
  <c r="H24" i="42" a="1"/>
  <c r="H24" i="42" s="1"/>
  <c r="I24" i="42" a="1"/>
  <c r="I24" i="42" s="1"/>
  <c r="J24" i="42" a="1"/>
  <c r="J24" i="42" s="1"/>
  <c r="G24" i="42" a="1"/>
  <c r="G24" i="42" s="1"/>
  <c r="E24" i="42" a="1"/>
  <c r="E24" i="42" s="1"/>
  <c r="H57" i="39" l="1"/>
  <c r="C16" i="39"/>
  <c r="D9" i="39"/>
  <c r="F58" i="31"/>
  <c r="G59" i="31"/>
  <c r="F61" i="31"/>
  <c r="F60" i="31"/>
  <c r="G60" i="31"/>
  <c r="G64" i="31"/>
  <c r="F63" i="31"/>
  <c r="F62" i="31"/>
  <c r="C65" i="31"/>
  <c r="G63" i="31"/>
  <c r="F64" i="31"/>
  <c r="G61" i="31"/>
  <c r="G58" i="31"/>
  <c r="G62" i="31"/>
  <c r="F59" i="31"/>
  <c r="C171" i="31"/>
  <c r="F47" i="31"/>
  <c r="F33" i="42"/>
  <c r="D41" i="42"/>
  <c r="D48" i="42"/>
  <c r="H94" i="31"/>
  <c r="H97" i="31"/>
  <c r="B77" i="31"/>
  <c r="H92" i="31"/>
  <c r="B99" i="31"/>
  <c r="H98" i="31"/>
  <c r="H93" i="31"/>
  <c r="H95" i="31"/>
  <c r="H96" i="31"/>
  <c r="H70" i="31"/>
  <c r="H75" i="31"/>
  <c r="H73" i="31"/>
  <c r="H76" i="31"/>
  <c r="H74" i="31"/>
  <c r="H72" i="31"/>
  <c r="H71" i="31"/>
  <c r="F51" i="31"/>
  <c r="H84" i="31"/>
  <c r="H82" i="31"/>
  <c r="H85" i="31"/>
  <c r="B88" i="31"/>
  <c r="H86" i="31"/>
  <c r="H87" i="31"/>
  <c r="H81" i="31"/>
  <c r="H83" i="31"/>
  <c r="G99" i="31"/>
  <c r="C99" i="31"/>
  <c r="F99" i="31"/>
  <c r="D99" i="31"/>
  <c r="C32" i="31"/>
  <c r="E99" i="31"/>
  <c r="F48" i="31"/>
  <c r="C207" i="31"/>
  <c r="C135" i="31"/>
  <c r="D134" i="31" s="1"/>
  <c r="M6" i="42"/>
  <c r="H195" i="31"/>
  <c r="F53" i="31"/>
  <c r="H178" i="31"/>
  <c r="J11" i="26"/>
  <c r="D88" i="31"/>
  <c r="I44" i="26"/>
  <c r="J5" i="26"/>
  <c r="H60" i="26"/>
  <c r="H59" i="26"/>
  <c r="I47" i="26"/>
  <c r="L7" i="42"/>
  <c r="L16" i="42" s="1"/>
  <c r="H193" i="31"/>
  <c r="E184" i="31"/>
  <c r="C111" i="31"/>
  <c r="D106" i="31" s="1"/>
  <c r="F184" i="31"/>
  <c r="F88" i="31"/>
  <c r="J8" i="26"/>
  <c r="H189" i="31"/>
  <c r="H192" i="31"/>
  <c r="J207" i="31"/>
  <c r="G184" i="31"/>
  <c r="D184" i="31"/>
  <c r="C123" i="31"/>
  <c r="D117" i="31" s="1"/>
  <c r="H181" i="31"/>
  <c r="I12" i="26"/>
  <c r="H57" i="26"/>
  <c r="J10" i="26"/>
  <c r="H183" i="31"/>
  <c r="H182" i="31"/>
  <c r="I48" i="26"/>
  <c r="H55" i="26"/>
  <c r="I45" i="26"/>
  <c r="F196" i="31"/>
  <c r="K201" i="31"/>
  <c r="G207" i="31"/>
  <c r="C159" i="31"/>
  <c r="H177" i="31"/>
  <c r="H56" i="26"/>
  <c r="M7" i="42"/>
  <c r="C10" i="31"/>
  <c r="D4" i="31" s="1"/>
  <c r="H49" i="26"/>
  <c r="G62" i="26"/>
  <c r="J9" i="26"/>
  <c r="D77" i="31"/>
  <c r="D196" i="31"/>
  <c r="K205" i="31"/>
  <c r="G88" i="31"/>
  <c r="E196" i="31"/>
  <c r="I43" i="26"/>
  <c r="F50" i="31"/>
  <c r="I46" i="26"/>
  <c r="C147" i="31"/>
  <c r="D142" i="31" s="1"/>
  <c r="C77" i="31"/>
  <c r="D78" i="42"/>
  <c r="M5" i="42"/>
  <c r="F77" i="31"/>
  <c r="H207" i="31"/>
  <c r="D207" i="31"/>
  <c r="D79" i="42"/>
  <c r="G77" i="31"/>
  <c r="D77" i="42"/>
  <c r="H190" i="31"/>
  <c r="F207" i="31"/>
  <c r="J7" i="26"/>
  <c r="C196" i="31"/>
  <c r="C88" i="31"/>
  <c r="H180" i="31"/>
  <c r="F49" i="31"/>
  <c r="H61" i="26"/>
  <c r="J6" i="26"/>
  <c r="K204" i="31"/>
  <c r="L6" i="42"/>
  <c r="L15" i="42" s="1"/>
  <c r="E207" i="31"/>
  <c r="H179" i="31"/>
  <c r="H58" i="26"/>
  <c r="H191" i="31"/>
  <c r="E77" i="31"/>
  <c r="F52" i="31"/>
  <c r="I207" i="31"/>
  <c r="I42" i="26"/>
  <c r="H194" i="31"/>
  <c r="G196" i="31"/>
  <c r="K202" i="31"/>
  <c r="E88" i="31"/>
  <c r="C184" i="31"/>
  <c r="K200" i="31"/>
  <c r="K203" i="31"/>
  <c r="K206" i="31"/>
  <c r="D66" i="42"/>
  <c r="E66" i="42"/>
  <c r="E78" i="42"/>
  <c r="E68" i="42"/>
  <c r="E67" i="42"/>
  <c r="E79" i="42"/>
  <c r="D67" i="42"/>
  <c r="E77" i="42"/>
  <c r="D68" i="42"/>
  <c r="D47" i="42"/>
  <c r="D61" i="42"/>
  <c r="E62" i="42"/>
  <c r="F50" i="42"/>
  <c r="F49" i="42"/>
  <c r="F48" i="42"/>
  <c r="F47" i="42"/>
  <c r="F51" i="42"/>
  <c r="D72" i="42"/>
  <c r="D51" i="42"/>
  <c r="D62" i="42"/>
  <c r="D49" i="42"/>
  <c r="D50" i="42"/>
  <c r="D73" i="42"/>
  <c r="E47" i="42"/>
  <c r="E49" i="42"/>
  <c r="E73" i="42"/>
  <c r="E51" i="42"/>
  <c r="E50" i="42"/>
  <c r="E72" i="42"/>
  <c r="E48" i="42"/>
  <c r="E61" i="42"/>
  <c r="J72" i="39" l="1"/>
  <c r="D167" i="31"/>
  <c r="D166" i="31"/>
  <c r="D164" i="31"/>
  <c r="D169" i="31"/>
  <c r="D165" i="31"/>
  <c r="D170" i="31"/>
  <c r="D168" i="31"/>
  <c r="D152" i="31"/>
  <c r="D132" i="31"/>
  <c r="D133" i="31"/>
  <c r="D129" i="31"/>
  <c r="D119" i="31"/>
  <c r="D155" i="31"/>
  <c r="D131" i="31"/>
  <c r="D130" i="31"/>
  <c r="D128" i="31"/>
  <c r="D122" i="31"/>
  <c r="D121" i="31"/>
  <c r="D116" i="31"/>
  <c r="D140" i="31"/>
  <c r="K140" i="31"/>
  <c r="D118" i="31"/>
  <c r="D146" i="31"/>
  <c r="D153" i="31"/>
  <c r="D143" i="31"/>
  <c r="D145" i="31"/>
  <c r="D154" i="31"/>
  <c r="D144" i="31"/>
  <c r="D141" i="31"/>
  <c r="D156" i="31"/>
  <c r="D120" i="31"/>
  <c r="D157" i="31"/>
  <c r="D158" i="31"/>
  <c r="H99" i="31"/>
  <c r="H77" i="31"/>
  <c r="H88" i="31"/>
  <c r="I16" i="42"/>
  <c r="H16" i="42"/>
  <c r="J16" i="42"/>
  <c r="F16" i="42"/>
  <c r="D105" i="31"/>
  <c r="D108" i="31"/>
  <c r="D104" i="31"/>
  <c r="E16" i="42"/>
  <c r="D107" i="31"/>
  <c r="D6" i="31"/>
  <c r="D16" i="42"/>
  <c r="D9" i="31"/>
  <c r="G16" i="42"/>
  <c r="D109" i="31"/>
  <c r="K16" i="42"/>
  <c r="K207" i="31"/>
  <c r="D110" i="31"/>
  <c r="D3" i="31"/>
  <c r="D8" i="31"/>
  <c r="H184" i="31"/>
  <c r="D7" i="31"/>
  <c r="H196" i="31"/>
  <c r="D5" i="31"/>
  <c r="H15" i="42"/>
  <c r="G15" i="42"/>
  <c r="I15" i="42"/>
  <c r="F15" i="42"/>
  <c r="E15" i="42"/>
  <c r="K15" i="42"/>
  <c r="J15" i="42"/>
  <c r="D15" i="42"/>
  <c r="E69" i="42"/>
  <c r="D69" i="42"/>
  <c r="E80" i="42"/>
  <c r="D80" i="42"/>
  <c r="D55" i="42"/>
  <c r="D56" i="42"/>
  <c r="E74" i="42"/>
  <c r="E56" i="42"/>
  <c r="E63" i="42"/>
  <c r="D52" i="42"/>
  <c r="G51" i="42" s="1"/>
  <c r="D63" i="42"/>
  <c r="D74" i="42"/>
  <c r="F55" i="42"/>
  <c r="F52" i="42"/>
  <c r="I49" i="42" s="1"/>
  <c r="E55" i="42"/>
  <c r="E52" i="42"/>
  <c r="H48" i="42" s="1"/>
  <c r="F56" i="42"/>
  <c r="D171" i="31" l="1"/>
  <c r="D135" i="31"/>
  <c r="D159" i="31"/>
  <c r="D147" i="31"/>
  <c r="D111" i="31"/>
  <c r="D123" i="31"/>
  <c r="D10" i="31"/>
  <c r="G47" i="42"/>
  <c r="D57" i="42"/>
  <c r="D58" i="42" s="1"/>
  <c r="I47" i="42"/>
  <c r="G50" i="42"/>
  <c r="G49" i="42"/>
  <c r="E57" i="42"/>
  <c r="E58" i="42" s="1"/>
  <c r="G48" i="42"/>
  <c r="F57" i="42"/>
  <c r="F58" i="42" s="1"/>
  <c r="H50" i="42"/>
  <c r="H51" i="42"/>
  <c r="I51" i="42"/>
  <c r="I50" i="42"/>
  <c r="H47" i="42"/>
  <c r="H49" i="42"/>
  <c r="I48" i="42"/>
  <c r="G52" i="42" l="1"/>
  <c r="I52" i="42"/>
  <c r="H52" i="42"/>
  <c r="D20" i="35" l="1"/>
  <c r="C20" i="35"/>
  <c r="F20" i="35"/>
  <c r="G20" i="35"/>
  <c r="H20" i="35"/>
  <c r="I20" i="35"/>
  <c r="J20" i="35"/>
  <c r="K20" i="35"/>
  <c r="E20" i="35"/>
  <c r="E13" i="35"/>
  <c r="D13" i="35"/>
  <c r="H16" i="17"/>
  <c r="H13" i="17"/>
  <c r="H14" i="17"/>
  <c r="H15" i="17"/>
  <c r="D6" i="17"/>
  <c r="D7" i="17"/>
  <c r="D5" i="17"/>
  <c r="F16" i="8"/>
  <c r="G16" i="8"/>
  <c r="F22" i="8"/>
  <c r="F20" i="8"/>
  <c r="G18" i="8"/>
  <c r="F17" i="8"/>
  <c r="G20" i="8"/>
  <c r="F18" i="8"/>
  <c r="F21" i="8"/>
  <c r="G17" i="8"/>
  <c r="G21" i="8"/>
  <c r="F19" i="8"/>
  <c r="G19" i="8"/>
  <c r="G22" i="8"/>
  <c r="H19" i="8" l="1"/>
  <c r="H21" i="8"/>
  <c r="H18" i="8"/>
  <c r="H17" i="8"/>
  <c r="H20" i="8"/>
  <c r="H22" i="8"/>
  <c r="T6" i="4"/>
  <c r="W28" i="4"/>
  <c r="W12" i="4"/>
  <c r="W33" i="4"/>
  <c r="W17" i="4"/>
  <c r="W22" i="4"/>
  <c r="W6" i="4"/>
  <c r="W27" i="4"/>
  <c r="W11" i="4"/>
  <c r="W32" i="4"/>
  <c r="W16" i="4"/>
  <c r="W21" i="4"/>
  <c r="W5" i="4"/>
  <c r="W26" i="4"/>
  <c r="W10" i="4"/>
  <c r="W31" i="4"/>
  <c r="W15" i="4"/>
  <c r="W20" i="4"/>
  <c r="W25" i="4"/>
  <c r="W9" i="4"/>
  <c r="W14" i="4"/>
  <c r="W34" i="4"/>
  <c r="W19" i="4"/>
  <c r="W35" i="4"/>
  <c r="X35" i="4" s="1"/>
  <c r="W24" i="4"/>
  <c r="W8" i="4"/>
  <c r="W13" i="4"/>
  <c r="W18" i="4"/>
  <c r="W23" i="4"/>
  <c r="W7" i="4"/>
  <c r="T19" i="4"/>
  <c r="T21" i="4"/>
  <c r="T5" i="4"/>
  <c r="T18" i="4"/>
  <c r="T13" i="4"/>
  <c r="T30" i="4"/>
  <c r="T24" i="4"/>
  <c r="T22" i="4"/>
  <c r="T25" i="4"/>
  <c r="T20" i="4"/>
  <c r="T10" i="4"/>
  <c r="E27" i="35"/>
  <c r="T33" i="4"/>
  <c r="T31" i="4"/>
  <c r="T26" i="4"/>
  <c r="T28" i="4"/>
  <c r="T32" i="4"/>
  <c r="T29" i="4"/>
  <c r="T27" i="4"/>
  <c r="T17" i="4"/>
  <c r="T14" i="4"/>
  <c r="T12" i="4"/>
  <c r="T9" i="4"/>
  <c r="T7" i="4"/>
  <c r="AN7" i="4" s="1"/>
  <c r="T23" i="4"/>
  <c r="AN23" i="4" s="1"/>
  <c r="T16" i="4"/>
  <c r="T11" i="4"/>
  <c r="T34" i="4"/>
  <c r="T15" i="4"/>
  <c r="T8" i="4"/>
  <c r="X29" i="4" l="1"/>
  <c r="AN29" i="4"/>
  <c r="F7" i="35"/>
  <c r="AF30" i="4"/>
  <c r="AN30" i="4"/>
  <c r="AF6" i="4"/>
  <c r="AN6" i="4"/>
  <c r="AF16" i="4"/>
  <c r="AN16" i="4"/>
  <c r="AF9" i="4"/>
  <c r="AN9" i="4"/>
  <c r="AF17" i="4"/>
  <c r="AN17" i="4"/>
  <c r="AF18" i="4"/>
  <c r="AN18" i="4"/>
  <c r="AF27" i="4"/>
  <c r="AN27" i="4"/>
  <c r="AF21" i="4"/>
  <c r="AN21" i="4"/>
  <c r="AF19" i="4"/>
  <c r="AN19" i="4"/>
  <c r="AF28" i="4"/>
  <c r="AN28" i="4"/>
  <c r="AF26" i="4"/>
  <c r="AN26" i="4"/>
  <c r="Y35" i="4"/>
  <c r="AE35" i="4" s="1"/>
  <c r="AO35" i="4"/>
  <c r="AP35" i="4" s="1"/>
  <c r="AF24" i="4"/>
  <c r="AN24" i="4"/>
  <c r="AF14" i="4"/>
  <c r="AN14" i="4"/>
  <c r="AF8" i="4"/>
  <c r="AN8" i="4"/>
  <c r="AF31" i="4"/>
  <c r="AN31" i="4"/>
  <c r="AF13" i="4"/>
  <c r="AN13" i="4"/>
  <c r="AF15" i="4"/>
  <c r="AN15" i="4"/>
  <c r="AF33" i="4"/>
  <c r="AN33" i="4"/>
  <c r="AF25" i="4"/>
  <c r="AN25" i="4"/>
  <c r="AF22" i="4"/>
  <c r="AN22" i="4"/>
  <c r="AF12" i="4"/>
  <c r="AN12" i="4"/>
  <c r="AF29" i="4"/>
  <c r="AF34" i="4"/>
  <c r="AN34" i="4"/>
  <c r="AF20" i="4"/>
  <c r="AN20" i="4"/>
  <c r="AF5" i="4"/>
  <c r="AN5" i="4"/>
  <c r="AF32" i="4"/>
  <c r="AN32" i="4"/>
  <c r="AF11" i="4"/>
  <c r="AN11" i="4"/>
  <c r="AF10" i="4"/>
  <c r="AN10" i="4"/>
  <c r="X23" i="4"/>
  <c r="AF23" i="4"/>
  <c r="X7" i="4"/>
  <c r="AF7" i="4"/>
  <c r="X18" i="4"/>
  <c r="X26" i="4"/>
  <c r="X20" i="4"/>
  <c r="X16" i="4"/>
  <c r="X25" i="4"/>
  <c r="X12" i="4"/>
  <c r="X8" i="4"/>
  <c r="X9" i="4"/>
  <c r="X30" i="4"/>
  <c r="X31" i="4"/>
  <c r="X14" i="4"/>
  <c r="X24" i="4"/>
  <c r="X13" i="4"/>
  <c r="X5" i="4"/>
  <c r="X19" i="4"/>
  <c r="X6" i="4"/>
  <c r="X17" i="4"/>
  <c r="X27" i="4"/>
  <c r="X32" i="4"/>
  <c r="X28" i="4"/>
  <c r="X15" i="4"/>
  <c r="X22" i="4"/>
  <c r="X21" i="4"/>
  <c r="X34" i="4"/>
  <c r="X33" i="4"/>
  <c r="X11" i="4"/>
  <c r="X10" i="4"/>
  <c r="H7" i="35" l="1"/>
  <c r="Y28" i="4"/>
  <c r="AD28" i="4" s="1"/>
  <c r="AO28" i="4"/>
  <c r="AP28" i="4" s="1"/>
  <c r="Y20" i="4"/>
  <c r="AE20" i="4" s="1"/>
  <c r="AO20" i="4"/>
  <c r="AP20" i="4" s="1"/>
  <c r="Y17" i="4"/>
  <c r="AE17" i="4" s="1"/>
  <c r="AO17" i="4"/>
  <c r="AP17" i="4" s="1"/>
  <c r="Y6" i="4"/>
  <c r="AD6" i="4" s="1"/>
  <c r="AO6" i="4"/>
  <c r="AP6" i="4" s="1"/>
  <c r="AD35" i="4"/>
  <c r="Y25" i="4"/>
  <c r="AM25" i="4" s="1"/>
  <c r="AO25" i="4"/>
  <c r="AP25" i="4" s="1"/>
  <c r="Y16" i="4"/>
  <c r="AE16" i="4" s="1"/>
  <c r="AO16" i="4"/>
  <c r="AP16" i="4" s="1"/>
  <c r="Y18" i="4"/>
  <c r="AM18" i="4" s="1"/>
  <c r="AQ18" i="4" s="1"/>
  <c r="AO18" i="4"/>
  <c r="AP18" i="4" s="1"/>
  <c r="Y19" i="4"/>
  <c r="AD19" i="4" s="1"/>
  <c r="AO19" i="4"/>
  <c r="AP19" i="4" s="1"/>
  <c r="Y31" i="4"/>
  <c r="AM31" i="4" s="1"/>
  <c r="AQ31" i="4" s="1"/>
  <c r="AO31" i="4"/>
  <c r="AP31" i="4" s="1"/>
  <c r="Y13" i="4"/>
  <c r="AE13" i="4" s="1"/>
  <c r="AO13" i="4"/>
  <c r="AP13" i="4" s="1"/>
  <c r="Y24" i="4"/>
  <c r="AE24" i="4" s="1"/>
  <c r="AO24" i="4"/>
  <c r="AP24" i="4" s="1"/>
  <c r="Y14" i="4"/>
  <c r="AL14" i="4" s="1"/>
  <c r="AO14" i="4"/>
  <c r="AP14" i="4" s="1"/>
  <c r="Y33" i="4"/>
  <c r="AM33" i="4" s="1"/>
  <c r="AQ33" i="4" s="1"/>
  <c r="AO33" i="4"/>
  <c r="AP33" i="4" s="1"/>
  <c r="Y30" i="4"/>
  <c r="AE30" i="4" s="1"/>
  <c r="AO30" i="4"/>
  <c r="AP30" i="4" s="1"/>
  <c r="Y5" i="4"/>
  <c r="AO5" i="4"/>
  <c r="AP5" i="4" s="1"/>
  <c r="Y26" i="4"/>
  <c r="AM26" i="4" s="1"/>
  <c r="AQ26" i="4" s="1"/>
  <c r="AO26" i="4"/>
  <c r="AP26" i="4" s="1"/>
  <c r="Y10" i="4"/>
  <c r="AD10" i="4" s="1"/>
  <c r="AO10" i="4"/>
  <c r="AP10" i="4" s="1"/>
  <c r="Y11" i="4"/>
  <c r="AD11" i="4" s="1"/>
  <c r="AO11" i="4"/>
  <c r="AP11" i="4" s="1"/>
  <c r="Y34" i="4"/>
  <c r="AL34" i="4" s="1"/>
  <c r="AO34" i="4"/>
  <c r="AP34" i="4" s="1"/>
  <c r="Y9" i="4"/>
  <c r="AE9" i="4" s="1"/>
  <c r="AO9" i="4"/>
  <c r="AP9" i="4" s="1"/>
  <c r="AM35" i="4"/>
  <c r="AQ35" i="4" s="1"/>
  <c r="Y12" i="4"/>
  <c r="AD12" i="4" s="1"/>
  <c r="AO12" i="4"/>
  <c r="AP12" i="4" s="1"/>
  <c r="Y7" i="4"/>
  <c r="AO7" i="4"/>
  <c r="AP7" i="4" s="1"/>
  <c r="Y27" i="4"/>
  <c r="AE27" i="4" s="1"/>
  <c r="AO27" i="4"/>
  <c r="AP27" i="4" s="1"/>
  <c r="AL35" i="4"/>
  <c r="Y21" i="4"/>
  <c r="AM21" i="4" s="1"/>
  <c r="AQ21" i="4" s="1"/>
  <c r="AO21" i="4"/>
  <c r="AP21" i="4" s="1"/>
  <c r="Y8" i="4"/>
  <c r="AD8" i="4" s="1"/>
  <c r="AO8" i="4"/>
  <c r="AP8" i="4" s="1"/>
  <c r="Y15" i="4"/>
  <c r="AD15" i="4" s="1"/>
  <c r="AO15" i="4"/>
  <c r="AP15" i="4" s="1"/>
  <c r="Y32" i="4"/>
  <c r="AM32" i="4" s="1"/>
  <c r="AQ32" i="4" s="1"/>
  <c r="AO32" i="4"/>
  <c r="AP32" i="4" s="1"/>
  <c r="Y23" i="4"/>
  <c r="AO23" i="4"/>
  <c r="AP23" i="4" s="1"/>
  <c r="Y22" i="4"/>
  <c r="AD22" i="4" s="1"/>
  <c r="AO22" i="4"/>
  <c r="AP22" i="4" s="1"/>
  <c r="Y29" i="4"/>
  <c r="AM29" i="4" s="1"/>
  <c r="AO29" i="4"/>
  <c r="AP29" i="4" s="1"/>
  <c r="D31" i="35" l="1"/>
  <c r="C31" i="35"/>
  <c r="D33" i="35"/>
  <c r="C33" i="35"/>
  <c r="D32" i="35"/>
  <c r="C32" i="35"/>
  <c r="B33" i="35"/>
  <c r="B32" i="35"/>
  <c r="B31" i="35"/>
  <c r="B39" i="29"/>
  <c r="C39" i="29"/>
  <c r="D39" i="29"/>
  <c r="E39" i="29"/>
  <c r="B38" i="29"/>
  <c r="F39" i="29"/>
  <c r="B40" i="29"/>
  <c r="F38" i="29"/>
  <c r="C40" i="29"/>
  <c r="D40" i="29"/>
  <c r="E38" i="29"/>
  <c r="E40" i="29"/>
  <c r="F40" i="29"/>
  <c r="C38" i="29"/>
  <c r="D38" i="29"/>
  <c r="AE28" i="4"/>
  <c r="I38" i="35"/>
  <c r="G39" i="35"/>
  <c r="E38" i="35"/>
  <c r="C39" i="35"/>
  <c r="G38" i="35"/>
  <c r="B37" i="35"/>
  <c r="F39" i="35"/>
  <c r="D37" i="35"/>
  <c r="I39" i="35"/>
  <c r="G37" i="35"/>
  <c r="E39" i="35"/>
  <c r="C37" i="35"/>
  <c r="E37" i="35"/>
  <c r="F38" i="35"/>
  <c r="B38" i="35"/>
  <c r="B39" i="35"/>
  <c r="I37" i="35"/>
  <c r="F37" i="35"/>
  <c r="C38" i="35"/>
  <c r="H38" i="35"/>
  <c r="D38" i="35"/>
  <c r="H39" i="35"/>
  <c r="D39" i="35"/>
  <c r="H37" i="35"/>
  <c r="C24" i="35"/>
  <c r="D24" i="35"/>
  <c r="C25" i="35"/>
  <c r="D25" i="35"/>
  <c r="C26" i="35"/>
  <c r="D26" i="35"/>
  <c r="AE6" i="4"/>
  <c r="AL17" i="4"/>
  <c r="B6" i="29"/>
  <c r="F4" i="35"/>
  <c r="G6" i="35"/>
  <c r="F5" i="35"/>
  <c r="G5" i="35"/>
  <c r="E6" i="35"/>
  <c r="H4" i="35"/>
  <c r="F6" i="35"/>
  <c r="C10" i="35"/>
  <c r="H6" i="35"/>
  <c r="F10" i="35"/>
  <c r="E4" i="35"/>
  <c r="F11" i="35"/>
  <c r="B4" i="35"/>
  <c r="F12" i="35"/>
  <c r="D5" i="35"/>
  <c r="C11" i="35"/>
  <c r="H5" i="35"/>
  <c r="C12" i="35"/>
  <c r="G4" i="35"/>
  <c r="B6" i="35"/>
  <c r="D4" i="35"/>
  <c r="B5" i="35"/>
  <c r="D6" i="35"/>
  <c r="B10" i="35"/>
  <c r="E5" i="35"/>
  <c r="AQ29" i="4"/>
  <c r="AM10" i="4"/>
  <c r="AQ10" i="4" s="1"/>
  <c r="AE10" i="4"/>
  <c r="AM11" i="4"/>
  <c r="AQ11" i="4" s="1"/>
  <c r="AL10" i="4"/>
  <c r="AD20" i="4"/>
  <c r="AM28" i="4"/>
  <c r="AQ28" i="4" s="1"/>
  <c r="AL20" i="4"/>
  <c r="AM5" i="4"/>
  <c r="AE11" i="4"/>
  <c r="AM20" i="4"/>
  <c r="AQ20" i="4" s="1"/>
  <c r="AL28" i="4"/>
  <c r="AE18" i="4"/>
  <c r="AD18" i="4"/>
  <c r="AL32" i="4"/>
  <c r="AE32" i="4"/>
  <c r="AD32" i="4"/>
  <c r="AE14" i="4"/>
  <c r="AM14" i="4"/>
  <c r="AQ14" i="4" s="1"/>
  <c r="AD14" i="4"/>
  <c r="AD33" i="4"/>
  <c r="AL27" i="4"/>
  <c r="AL16" i="4"/>
  <c r="AD27" i="4"/>
  <c r="AM16" i="4"/>
  <c r="AQ16" i="4" s="1"/>
  <c r="AD16" i="4"/>
  <c r="AE5" i="4"/>
  <c r="AQ25" i="4"/>
  <c r="AL33" i="4"/>
  <c r="AL18" i="4"/>
  <c r="AM6" i="4"/>
  <c r="AQ6" i="4" s="1"/>
  <c r="AD17" i="4"/>
  <c r="AM27" i="4"/>
  <c r="AQ27" i="4" s="1"/>
  <c r="AD5" i="4"/>
  <c r="AL30" i="4"/>
  <c r="AD30" i="4"/>
  <c r="AL11" i="4"/>
  <c r="AD31" i="4"/>
  <c r="AD21" i="4"/>
  <c r="AM17" i="4"/>
  <c r="AQ17" i="4" s="1"/>
  <c r="AE31" i="4"/>
  <c r="AL21" i="4"/>
  <c r="AL31" i="4"/>
  <c r="AD34" i="4"/>
  <c r="AL5" i="4"/>
  <c r="AM34" i="4"/>
  <c r="AQ34" i="4" s="1"/>
  <c r="AL19" i="4"/>
  <c r="AE33" i="4"/>
  <c r="AE34" i="4"/>
  <c r="AM22" i="4"/>
  <c r="AQ22" i="4" s="1"/>
  <c r="AL29" i="4"/>
  <c r="AM19" i="4"/>
  <c r="AQ19" i="4" s="1"/>
  <c r="AE19" i="4"/>
  <c r="AE22" i="4"/>
  <c r="AL22" i="4"/>
  <c r="AE25" i="4"/>
  <c r="AL9" i="4"/>
  <c r="AD29" i="4"/>
  <c r="AD9" i="4"/>
  <c r="AD24" i="4"/>
  <c r="AM15" i="4"/>
  <c r="AQ15" i="4" s="1"/>
  <c r="AM12" i="4"/>
  <c r="AQ12" i="4" s="1"/>
  <c r="AE12" i="4"/>
  <c r="AM9" i="4"/>
  <c r="AQ9" i="4" s="1"/>
  <c r="C6" i="18"/>
  <c r="AM13" i="4"/>
  <c r="AQ13" i="4" s="1"/>
  <c r="AL24" i="4"/>
  <c r="AE21" i="4"/>
  <c r="AL6" i="4"/>
  <c r="AL13" i="4"/>
  <c r="AE29" i="4"/>
  <c r="AD13" i="4"/>
  <c r="AL12" i="4"/>
  <c r="AM30" i="4"/>
  <c r="AQ30" i="4" s="1"/>
  <c r="AL23" i="4"/>
  <c r="AM23" i="4"/>
  <c r="AQ23" i="4" s="1"/>
  <c r="AE23" i="4"/>
  <c r="AD23" i="4"/>
  <c r="AL25" i="4"/>
  <c r="AD26" i="4"/>
  <c r="AE26" i="4"/>
  <c r="AM8" i="4"/>
  <c r="AQ8" i="4" s="1"/>
  <c r="C4" i="18"/>
  <c r="AL8" i="4"/>
  <c r="AM7" i="4"/>
  <c r="AQ7" i="4" s="1"/>
  <c r="AL7" i="4"/>
  <c r="AD7" i="4"/>
  <c r="AE7" i="4"/>
  <c r="AE15" i="4"/>
  <c r="C5" i="18"/>
  <c r="AD25" i="4"/>
  <c r="AM24" i="4"/>
  <c r="AQ24" i="4" s="1"/>
  <c r="AL15" i="4"/>
  <c r="AL26" i="4"/>
  <c r="AE8" i="4"/>
  <c r="D7" i="18"/>
  <c r="E32" i="35" l="1"/>
  <c r="E31" i="35"/>
  <c r="E33" i="35"/>
  <c r="B34" i="35"/>
  <c r="G40" i="29"/>
  <c r="E41" i="29"/>
  <c r="B41" i="29"/>
  <c r="F41" i="29"/>
  <c r="D41" i="29"/>
  <c r="C41" i="29"/>
  <c r="G39" i="29"/>
  <c r="G38" i="29"/>
  <c r="B40" i="35"/>
  <c r="B7" i="35"/>
  <c r="C4" i="35" s="1"/>
  <c r="D44" i="18"/>
  <c r="D42" i="18"/>
  <c r="D43" i="18"/>
  <c r="D33" i="18"/>
  <c r="D32" i="18"/>
  <c r="D31" i="18"/>
  <c r="C27" i="18"/>
  <c r="C37" i="18"/>
  <c r="C38" i="18"/>
  <c r="C45" i="18"/>
  <c r="AQ5" i="4"/>
  <c r="D27" i="18"/>
  <c r="D26" i="18"/>
  <c r="D38" i="18"/>
  <c r="D37" i="18"/>
  <c r="C26" i="18"/>
  <c r="C12" i="18"/>
  <c r="C7" i="18"/>
  <c r="D16" i="18"/>
  <c r="C15" i="18"/>
  <c r="D12" i="18"/>
  <c r="D10" i="18"/>
  <c r="D11" i="18"/>
  <c r="D15" i="18"/>
  <c r="C16" i="18"/>
  <c r="D14" i="18"/>
  <c r="C11" i="18"/>
  <c r="D13" i="18"/>
  <c r="C13" i="18"/>
  <c r="C10" i="18"/>
  <c r="C14" i="18"/>
  <c r="D33" i="26"/>
  <c r="D32" i="26"/>
  <c r="D31" i="26"/>
  <c r="D34" i="26"/>
  <c r="D30" i="26"/>
  <c r="C36" i="26"/>
  <c r="E35" i="26" s="1"/>
  <c r="D35" i="26"/>
  <c r="B36" i="26"/>
  <c r="D29" i="26"/>
  <c r="L8" i="42"/>
  <c r="L17" i="42" s="1"/>
  <c r="L10" i="42"/>
  <c r="L19" i="42" s="1"/>
  <c r="L5" i="42"/>
  <c r="L14" i="42" s="1"/>
  <c r="L9" i="42"/>
  <c r="D18" i="42" s="1"/>
  <c r="B8" i="29"/>
  <c r="B22" i="29"/>
  <c r="D14" i="29"/>
  <c r="H18" i="35"/>
  <c r="B15" i="29"/>
  <c r="B32" i="29"/>
  <c r="D30" i="29"/>
  <c r="E12" i="35"/>
  <c r="B24" i="29"/>
  <c r="D15" i="29"/>
  <c r="B25" i="35"/>
  <c r="E8" i="29"/>
  <c r="D6" i="29"/>
  <c r="D10" i="35"/>
  <c r="F8" i="29"/>
  <c r="C6" i="29"/>
  <c r="B23" i="29"/>
  <c r="E14" i="29"/>
  <c r="F18" i="35"/>
  <c r="D19" i="35"/>
  <c r="D31" i="29"/>
  <c r="I19" i="35"/>
  <c r="B11" i="35"/>
  <c r="F30" i="29"/>
  <c r="J18" i="35"/>
  <c r="E15" i="29"/>
  <c r="K17" i="35"/>
  <c r="E16" i="29"/>
  <c r="E18" i="35"/>
  <c r="F31" i="29"/>
  <c r="B24" i="35"/>
  <c r="C22" i="29"/>
  <c r="G18" i="35"/>
  <c r="J19" i="35"/>
  <c r="E31" i="29"/>
  <c r="C19" i="35"/>
  <c r="F7" i="29"/>
  <c r="F19" i="35"/>
  <c r="C31" i="29"/>
  <c r="K19" i="35"/>
  <c r="D16" i="29"/>
  <c r="C17" i="35"/>
  <c r="C23" i="29"/>
  <c r="G19" i="35"/>
  <c r="B31" i="29"/>
  <c r="D17" i="35"/>
  <c r="D23" i="29"/>
  <c r="H17" i="35"/>
  <c r="C30" i="29"/>
  <c r="J17" i="35"/>
  <c r="B30" i="29"/>
  <c r="C16" i="29"/>
  <c r="C15" i="29"/>
  <c r="I17" i="35"/>
  <c r="D7" i="29"/>
  <c r="B26" i="35"/>
  <c r="B19" i="35"/>
  <c r="F32" i="29"/>
  <c r="E19" i="35"/>
  <c r="E32" i="29"/>
  <c r="G17" i="35"/>
  <c r="D22" i="29"/>
  <c r="K18" i="35"/>
  <c r="C14" i="29"/>
  <c r="C18" i="35"/>
  <c r="B14" i="29"/>
  <c r="E30" i="29"/>
  <c r="E6" i="29"/>
  <c r="D32" i="29"/>
  <c r="F17" i="35"/>
  <c r="E11" i="35"/>
  <c r="C48" i="29"/>
  <c r="D12" i="35"/>
  <c r="I18" i="35"/>
  <c r="F6" i="29"/>
  <c r="E17" i="35"/>
  <c r="B7" i="29"/>
  <c r="B18" i="35"/>
  <c r="C7" i="29"/>
  <c r="B17" i="35"/>
  <c r="D24" i="29"/>
  <c r="C24" i="29"/>
  <c r="C8" i="29"/>
  <c r="B46" i="29"/>
  <c r="E7" i="29"/>
  <c r="B48" i="29"/>
  <c r="B47" i="29"/>
  <c r="C46" i="29"/>
  <c r="B16" i="29"/>
  <c r="D11" i="35"/>
  <c r="B12" i="35"/>
  <c r="C47" i="29"/>
  <c r="E10" i="35"/>
  <c r="D8" i="29"/>
  <c r="H19" i="35"/>
  <c r="C32" i="29"/>
  <c r="D18" i="35"/>
  <c r="G41" i="29" l="1"/>
  <c r="C6" i="35"/>
  <c r="C5" i="35"/>
  <c r="E24" i="35"/>
  <c r="D45" i="18"/>
  <c r="D21" i="18"/>
  <c r="D28" i="18"/>
  <c r="D39" i="18"/>
  <c r="C39" i="18"/>
  <c r="C17" i="18"/>
  <c r="C18" i="18" s="1"/>
  <c r="C22" i="18"/>
  <c r="C21" i="18"/>
  <c r="C34" i="18"/>
  <c r="I17" i="42"/>
  <c r="E33" i="26"/>
  <c r="H17" i="42"/>
  <c r="K17" i="42"/>
  <c r="E34" i="26"/>
  <c r="D17" i="42"/>
  <c r="D19" i="42"/>
  <c r="E17" i="42"/>
  <c r="H19" i="42"/>
  <c r="F17" i="42"/>
  <c r="J17" i="42"/>
  <c r="E32" i="26"/>
  <c r="E31" i="26"/>
  <c r="D36" i="26"/>
  <c r="G17" i="42"/>
  <c r="G19" i="42"/>
  <c r="K19" i="42"/>
  <c r="F19" i="42"/>
  <c r="J19" i="42"/>
  <c r="I14" i="42"/>
  <c r="H14" i="42"/>
  <c r="G14" i="42"/>
  <c r="K14" i="42"/>
  <c r="E14" i="42"/>
  <c r="E18" i="42"/>
  <c r="J18" i="42"/>
  <c r="I18" i="42"/>
  <c r="F14" i="42"/>
  <c r="E19" i="42"/>
  <c r="L18" i="42"/>
  <c r="K18" i="42"/>
  <c r="G18" i="42"/>
  <c r="I19" i="42"/>
  <c r="F18" i="42"/>
  <c r="J14" i="42"/>
  <c r="H18" i="42"/>
  <c r="D14" i="42"/>
  <c r="D9" i="29"/>
  <c r="C9" i="29"/>
  <c r="E7" i="18"/>
  <c r="D47" i="29"/>
  <c r="G8" i="29"/>
  <c r="D46" i="29"/>
  <c r="G31" i="29"/>
  <c r="E26" i="35"/>
  <c r="C17" i="29"/>
  <c r="B33" i="29"/>
  <c r="D33" i="29"/>
  <c r="C49" i="29"/>
  <c r="E47" i="29" s="1"/>
  <c r="B13" i="35"/>
  <c r="B20" i="35"/>
  <c r="F15" i="29"/>
  <c r="C25" i="29"/>
  <c r="E22" i="29"/>
  <c r="B27" i="35"/>
  <c r="F16" i="29"/>
  <c r="D17" i="29"/>
  <c r="B9" i="29"/>
  <c r="B49" i="29"/>
  <c r="D25" i="29"/>
  <c r="E9" i="29"/>
  <c r="G32" i="29"/>
  <c r="G7" i="29"/>
  <c r="G30" i="29"/>
  <c r="F14" i="29"/>
  <c r="F9" i="29"/>
  <c r="F33" i="29"/>
  <c r="E23" i="29"/>
  <c r="D74" i="26"/>
  <c r="D111" i="26"/>
  <c r="D85" i="26"/>
  <c r="D97" i="26"/>
  <c r="D22" i="26"/>
  <c r="D99" i="26"/>
  <c r="D72" i="26"/>
  <c r="D71" i="26"/>
  <c r="B25" i="29"/>
  <c r="E17" i="29"/>
  <c r="B17" i="29"/>
  <c r="E24" i="29"/>
  <c r="C33" i="29"/>
  <c r="E33" i="29"/>
  <c r="E25" i="35"/>
  <c r="D48" i="29"/>
  <c r="G6" i="29"/>
  <c r="D101" i="26"/>
  <c r="D75" i="26"/>
  <c r="H66" i="39"/>
  <c r="F49" i="26"/>
  <c r="C22" i="31"/>
  <c r="D83" i="26"/>
  <c r="G68" i="39"/>
  <c r="G57" i="39"/>
  <c r="D109" i="26"/>
  <c r="D112" i="26"/>
  <c r="D113" i="26"/>
  <c r="F57" i="39"/>
  <c r="C49" i="26"/>
  <c r="H67" i="39"/>
  <c r="H65" i="39"/>
  <c r="B49" i="26"/>
  <c r="C43" i="31"/>
  <c r="E62" i="26"/>
  <c r="B103" i="26"/>
  <c r="D96" i="26"/>
  <c r="G49" i="26"/>
  <c r="C103" i="26"/>
  <c r="E96" i="26" s="1"/>
  <c r="D49" i="26"/>
  <c r="D98" i="26"/>
  <c r="H63" i="39"/>
  <c r="E57" i="39"/>
  <c r="D69" i="26"/>
  <c r="B76" i="26"/>
  <c r="D102" i="26"/>
  <c r="F68" i="39"/>
  <c r="H64" i="39"/>
  <c r="C68" i="39"/>
  <c r="D108" i="26"/>
  <c r="B115" i="26"/>
  <c r="C115" i="26"/>
  <c r="E108" i="26" s="1"/>
  <c r="D110" i="26"/>
  <c r="E12" i="26"/>
  <c r="D20" i="26"/>
  <c r="D17" i="26"/>
  <c r="B24" i="26"/>
  <c r="D114" i="26"/>
  <c r="D68" i="39"/>
  <c r="D87" i="26"/>
  <c r="D70" i="26"/>
  <c r="E49" i="26"/>
  <c r="G12" i="26"/>
  <c r="H12" i="26"/>
  <c r="D86" i="26"/>
  <c r="D73" i="26"/>
  <c r="C62" i="26"/>
  <c r="B12" i="26"/>
  <c r="C24" i="26"/>
  <c r="E68" i="39"/>
  <c r="H62" i="39"/>
  <c r="D57" i="39"/>
  <c r="F12" i="26"/>
  <c r="C12" i="26"/>
  <c r="F62" i="26"/>
  <c r="D82" i="26"/>
  <c r="B89" i="26"/>
  <c r="C89" i="26"/>
  <c r="D19" i="26"/>
  <c r="D100" i="26"/>
  <c r="D18" i="26"/>
  <c r="D62" i="26"/>
  <c r="D84" i="26"/>
  <c r="B62" i="26"/>
  <c r="D12" i="26"/>
  <c r="C54" i="31"/>
  <c r="D23" i="26"/>
  <c r="C76" i="26"/>
  <c r="D21" i="26"/>
  <c r="D88" i="26"/>
  <c r="C7" i="35" l="1"/>
  <c r="C23" i="18"/>
  <c r="H62" i="26"/>
  <c r="J12" i="26"/>
  <c r="H13" i="26" s="1"/>
  <c r="E21" i="26"/>
  <c r="E20" i="26"/>
  <c r="D49" i="29"/>
  <c r="E48" i="29"/>
  <c r="E46" i="29"/>
  <c r="G9" i="29"/>
  <c r="F17" i="29"/>
  <c r="G33" i="29"/>
  <c r="E25" i="29"/>
  <c r="D22" i="18"/>
  <c r="D34" i="18"/>
  <c r="C28" i="18"/>
  <c r="E100" i="26"/>
  <c r="E97" i="26"/>
  <c r="E101" i="26"/>
  <c r="E98" i="26"/>
  <c r="E102" i="26"/>
  <c r="E99" i="26"/>
  <c r="D14" i="39"/>
  <c r="D13" i="39"/>
  <c r="D11" i="39"/>
  <c r="J57" i="39"/>
  <c r="D17" i="18"/>
  <c r="D18" i="18" s="1"/>
  <c r="E113" i="26"/>
  <c r="D103" i="26"/>
  <c r="D12" i="39"/>
  <c r="E23" i="26"/>
  <c r="E112" i="26"/>
  <c r="E114" i="26"/>
  <c r="D115" i="26"/>
  <c r="D10" i="39"/>
  <c r="E83" i="26"/>
  <c r="E110" i="26"/>
  <c r="E87" i="26"/>
  <c r="E85" i="26"/>
  <c r="E22" i="26"/>
  <c r="E88" i="26"/>
  <c r="E111" i="26"/>
  <c r="D89" i="26"/>
  <c r="D76" i="26"/>
  <c r="E82" i="26"/>
  <c r="D24" i="26"/>
  <c r="E84" i="26"/>
  <c r="E86" i="26"/>
  <c r="E109" i="26"/>
  <c r="H68" i="39"/>
  <c r="J68" i="39" s="1"/>
  <c r="I49" i="26"/>
  <c r="D15" i="39" l="1"/>
  <c r="D16" i="39"/>
  <c r="F84" i="26"/>
  <c r="D23" i="18"/>
  <c r="F98" i="26"/>
  <c r="F102" i="26"/>
  <c r="F110" i="26"/>
  <c r="F114" i="26"/>
  <c r="F88" i="26"/>
  <c r="E195" i="39"/>
  <c r="D195" i="39"/>
  <c r="C195" i="39"/>
  <c r="B195" i="39"/>
  <c r="E194" i="39"/>
  <c r="D194" i="39"/>
  <c r="C194" i="39"/>
  <c r="B194" i="39"/>
  <c r="E193" i="39"/>
  <c r="D193" i="39"/>
  <c r="C193" i="39"/>
  <c r="B193" i="39"/>
  <c r="E192" i="39"/>
  <c r="D192" i="39"/>
  <c r="C192" i="39"/>
  <c r="B192" i="39"/>
  <c r="E191" i="39"/>
  <c r="D191" i="39"/>
  <c r="C191" i="39"/>
  <c r="B191" i="39"/>
  <c r="E190" i="39"/>
  <c r="D190" i="39"/>
  <c r="C190" i="39"/>
  <c r="B190" i="39"/>
  <c r="E189" i="39"/>
  <c r="D189" i="39"/>
  <c r="C189" i="39"/>
  <c r="B189" i="39"/>
  <c r="E188" i="39"/>
  <c r="D188" i="39"/>
  <c r="C188" i="39"/>
  <c r="B188" i="39"/>
  <c r="E187" i="39"/>
  <c r="D187" i="39"/>
  <c r="C187" i="39"/>
  <c r="B187" i="39"/>
  <c r="E186" i="39"/>
  <c r="D186" i="39"/>
  <c r="C186" i="39"/>
  <c r="B186" i="39"/>
  <c r="E185" i="39"/>
  <c r="D185" i="39"/>
  <c r="C185" i="39"/>
  <c r="B185" i="39"/>
  <c r="E184" i="39"/>
  <c r="D184" i="39"/>
  <c r="C184" i="39"/>
  <c r="B184" i="39"/>
  <c r="E183" i="39"/>
  <c r="D183" i="39"/>
  <c r="C183" i="39"/>
  <c r="B183" i="39"/>
  <c r="E182" i="39"/>
  <c r="D182" i="39"/>
  <c r="C182" i="39"/>
  <c r="B182" i="39"/>
  <c r="E181" i="39"/>
  <c r="D181" i="39"/>
  <c r="C181" i="39"/>
  <c r="B181" i="39"/>
  <c r="E180" i="39"/>
  <c r="D180" i="39"/>
  <c r="C180" i="39"/>
  <c r="B180" i="39"/>
  <c r="E179" i="39"/>
  <c r="D179" i="39"/>
  <c r="C179" i="39"/>
  <c r="B179" i="39"/>
  <c r="E178" i="39"/>
  <c r="D178" i="39"/>
  <c r="C178" i="39"/>
  <c r="B178" i="39"/>
  <c r="E177" i="39"/>
  <c r="D177" i="39"/>
  <c r="C177" i="39"/>
  <c r="B177" i="39"/>
  <c r="E176" i="39"/>
  <c r="D176" i="39"/>
  <c r="C176" i="39"/>
  <c r="B176" i="39"/>
  <c r="E175" i="39"/>
  <c r="D175" i="39"/>
  <c r="C175" i="39"/>
  <c r="B175" i="39"/>
  <c r="E174" i="39"/>
  <c r="D174" i="39"/>
  <c r="C174" i="39"/>
  <c r="B174" i="39"/>
  <c r="E173" i="39"/>
  <c r="D173" i="39"/>
  <c r="C173" i="39"/>
  <c r="B173" i="39"/>
  <c r="E172" i="39"/>
  <c r="D172" i="39"/>
  <c r="C172" i="39"/>
  <c r="B172" i="39"/>
  <c r="E171" i="39"/>
  <c r="D171" i="39"/>
  <c r="C171" i="39"/>
  <c r="B171" i="39"/>
  <c r="E170" i="39"/>
  <c r="D170" i="39"/>
  <c r="C170" i="39"/>
  <c r="B170" i="39"/>
  <c r="E169" i="39"/>
  <c r="D169" i="39"/>
  <c r="C169" i="39"/>
  <c r="B169" i="39"/>
  <c r="E168" i="39"/>
  <c r="D168" i="39"/>
  <c r="C168" i="39"/>
  <c r="B168" i="39"/>
  <c r="E167" i="39"/>
  <c r="D167" i="39"/>
  <c r="C167" i="39"/>
  <c r="B167" i="39"/>
  <c r="E166" i="39"/>
  <c r="D166" i="39"/>
  <c r="C166" i="39"/>
  <c r="B166" i="39"/>
  <c r="E165" i="39"/>
  <c r="D165" i="39"/>
  <c r="C165" i="39"/>
  <c r="B165" i="39"/>
  <c r="E164" i="39"/>
  <c r="D164" i="39"/>
  <c r="C164" i="39"/>
  <c r="B164" i="39"/>
  <c r="E163" i="39"/>
  <c r="D163" i="39"/>
  <c r="C163" i="39"/>
  <c r="B163" i="39"/>
  <c r="E162" i="39"/>
  <c r="D162" i="39"/>
  <c r="C162" i="39"/>
  <c r="B162" i="39"/>
  <c r="E161" i="39"/>
  <c r="D161" i="39"/>
  <c r="C161" i="39"/>
  <c r="B161" i="39"/>
  <c r="E160" i="39"/>
  <c r="D160" i="39"/>
  <c r="C160" i="39"/>
  <c r="B160" i="39"/>
  <c r="E159" i="39"/>
  <c r="D159" i="39"/>
  <c r="C159" i="39"/>
  <c r="B159" i="39"/>
  <c r="E158" i="39"/>
  <c r="D158" i="39"/>
  <c r="C158" i="39"/>
  <c r="B158" i="39"/>
  <c r="E157" i="39"/>
  <c r="D157" i="39"/>
  <c r="C157" i="39"/>
  <c r="B157" i="39"/>
  <c r="E156" i="39"/>
  <c r="D156" i="39"/>
  <c r="C156" i="39"/>
  <c r="B156" i="39"/>
  <c r="E155" i="39"/>
  <c r="D155" i="39"/>
  <c r="C155" i="39"/>
  <c r="B155" i="39"/>
  <c r="E154" i="39"/>
  <c r="D154" i="39"/>
  <c r="C154" i="39"/>
  <c r="B154" i="39"/>
  <c r="E153" i="39"/>
  <c r="D153" i="39"/>
  <c r="C153" i="39"/>
  <c r="B153" i="39"/>
  <c r="E152" i="39"/>
  <c r="D152" i="39"/>
  <c r="C152" i="39"/>
  <c r="B152" i="39"/>
  <c r="E151" i="39"/>
  <c r="D151" i="39"/>
  <c r="C151" i="39"/>
  <c r="B151" i="39"/>
  <c r="E150" i="39"/>
  <c r="D150" i="39"/>
  <c r="C150" i="39"/>
  <c r="B150" i="39"/>
  <c r="E149" i="39"/>
  <c r="D149" i="39"/>
  <c r="C149" i="39"/>
  <c r="B149" i="39"/>
  <c r="E148" i="39"/>
  <c r="D148" i="39"/>
  <c r="C148" i="39"/>
  <c r="B148" i="39"/>
  <c r="E147" i="39"/>
  <c r="D147" i="39"/>
  <c r="C147" i="39"/>
  <c r="B147" i="39"/>
  <c r="E146" i="39"/>
  <c r="D146" i="39"/>
  <c r="C146" i="39"/>
  <c r="B146" i="39"/>
  <c r="E145" i="39"/>
  <c r="D145" i="39"/>
  <c r="C145" i="39"/>
  <c r="B145" i="39"/>
  <c r="E144" i="39"/>
  <c r="D144" i="39"/>
  <c r="C144" i="39"/>
  <c r="B144" i="39"/>
  <c r="E143" i="39"/>
  <c r="D143" i="39"/>
  <c r="C143" i="39"/>
  <c r="B143" i="39"/>
  <c r="E142" i="39"/>
  <c r="D142" i="39"/>
  <c r="C142" i="39"/>
  <c r="B142" i="39"/>
  <c r="E141" i="39"/>
  <c r="D141" i="39"/>
  <c r="C141" i="39"/>
  <c r="B141" i="39"/>
  <c r="E140" i="39"/>
  <c r="D140" i="39"/>
  <c r="C140" i="39"/>
  <c r="B140" i="39"/>
  <c r="E139" i="39"/>
  <c r="D139" i="39"/>
  <c r="C139" i="39"/>
  <c r="B139" i="39"/>
  <c r="E138" i="39"/>
  <c r="D138" i="39"/>
  <c r="C138" i="39"/>
  <c r="B138" i="39"/>
  <c r="E137" i="39"/>
  <c r="D137" i="39"/>
  <c r="C137" i="39"/>
  <c r="B137" i="39"/>
  <c r="E136" i="39"/>
  <c r="D136" i="39"/>
  <c r="C136" i="39"/>
  <c r="B136" i="39"/>
  <c r="E135" i="39"/>
  <c r="D135" i="39"/>
  <c r="C135" i="39"/>
  <c r="B135" i="39"/>
  <c r="E134" i="39"/>
  <c r="D134" i="39"/>
  <c r="C134" i="39"/>
  <c r="B134" i="39"/>
  <c r="E133" i="39"/>
  <c r="D133" i="39"/>
  <c r="C133" i="39"/>
  <c r="B133" i="39"/>
  <c r="E132" i="39"/>
  <c r="D132" i="39"/>
  <c r="C132" i="39"/>
  <c r="B132" i="39"/>
  <c r="E131" i="39"/>
  <c r="D131" i="39"/>
  <c r="C131" i="39"/>
  <c r="B131" i="39"/>
  <c r="E130" i="39"/>
  <c r="D130" i="39"/>
  <c r="C130" i="39"/>
  <c r="B130" i="39"/>
  <c r="E129" i="39"/>
  <c r="D129" i="39"/>
  <c r="C129" i="39"/>
  <c r="B129" i="39"/>
  <c r="E128" i="39"/>
  <c r="D128" i="39"/>
  <c r="C128" i="39"/>
  <c r="B128" i="39"/>
  <c r="E127" i="39"/>
  <c r="D127" i="39"/>
  <c r="C127" i="39"/>
  <c r="B127" i="39"/>
  <c r="E126" i="39"/>
  <c r="D126" i="39"/>
  <c r="C126" i="39"/>
  <c r="B126" i="39"/>
  <c r="E125" i="39"/>
  <c r="D125" i="39"/>
  <c r="C125" i="39"/>
  <c r="B125" i="39"/>
  <c r="E124" i="39"/>
  <c r="D124" i="39"/>
  <c r="C124" i="39"/>
  <c r="B124" i="39"/>
  <c r="E123" i="39"/>
  <c r="D123" i="39"/>
  <c r="C123" i="39"/>
  <c r="B123" i="39"/>
  <c r="E122" i="39"/>
  <c r="D122" i="39"/>
  <c r="C122" i="39"/>
  <c r="B122" i="39"/>
  <c r="E121" i="39"/>
  <c r="D121" i="39"/>
  <c r="C121" i="39"/>
  <c r="B121" i="39"/>
  <c r="E120" i="39"/>
  <c r="D120" i="39"/>
  <c r="C120" i="39"/>
  <c r="B120" i="39"/>
  <c r="E119" i="39"/>
  <c r="D119" i="39"/>
  <c r="C119" i="39"/>
  <c r="B119" i="39"/>
  <c r="E118" i="39"/>
  <c r="D118" i="39"/>
  <c r="C118" i="39"/>
  <c r="B118" i="39"/>
  <c r="E117" i="39"/>
  <c r="D117" i="39"/>
  <c r="C117" i="39"/>
  <c r="B117" i="39"/>
  <c r="E116" i="39"/>
  <c r="D116" i="39"/>
  <c r="C116" i="39"/>
  <c r="B116" i="39"/>
  <c r="E115" i="39"/>
  <c r="D115" i="39"/>
  <c r="C115" i="39"/>
  <c r="B115" i="39"/>
  <c r="E114" i="39"/>
  <c r="D114" i="39"/>
  <c r="C114" i="39"/>
  <c r="B114" i="39"/>
  <c r="E113" i="39"/>
  <c r="D113" i="39"/>
  <c r="C113" i="39"/>
  <c r="B113" i="39"/>
  <c r="E112" i="39"/>
  <c r="D112" i="39"/>
  <c r="C112" i="39"/>
  <c r="B112" i="39"/>
  <c r="E111" i="39"/>
  <c r="D111" i="39"/>
  <c r="C111" i="39"/>
  <c r="B111" i="39"/>
  <c r="E110" i="39"/>
  <c r="D110" i="39"/>
  <c r="C110" i="39"/>
  <c r="B110" i="39"/>
  <c r="E109" i="39"/>
  <c r="D109" i="39"/>
  <c r="C109" i="39"/>
  <c r="B109" i="39"/>
  <c r="E108" i="39"/>
  <c r="D108" i="39"/>
  <c r="C108" i="39"/>
  <c r="B108" i="39"/>
  <c r="E107" i="39"/>
  <c r="D107" i="39"/>
  <c r="C107" i="39"/>
  <c r="B107" i="39"/>
  <c r="E106" i="39"/>
  <c r="D106" i="39"/>
  <c r="C106" i="39"/>
  <c r="B106" i="39"/>
  <c r="E105" i="39"/>
  <c r="D105" i="39"/>
  <c r="C105" i="39"/>
  <c r="B105" i="39"/>
  <c r="E104" i="39"/>
  <c r="D104" i="39"/>
  <c r="C104" i="39"/>
  <c r="B104" i="39"/>
  <c r="E103" i="39"/>
  <c r="D103" i="39"/>
  <c r="C103" i="39"/>
  <c r="B103" i="39"/>
  <c r="E102" i="39"/>
  <c r="D102" i="39"/>
  <c r="C102" i="39"/>
  <c r="B102" i="39"/>
  <c r="E101" i="39"/>
  <c r="D101" i="39"/>
  <c r="C101" i="39"/>
  <c r="B101" i="39"/>
  <c r="E100" i="39"/>
  <c r="D100" i="39"/>
  <c r="C100" i="39"/>
  <c r="B100" i="39"/>
  <c r="E99" i="39"/>
  <c r="D99" i="39"/>
  <c r="C99" i="39"/>
  <c r="B99" i="39"/>
  <c r="E98" i="39"/>
  <c r="D98" i="39"/>
  <c r="C98" i="39"/>
  <c r="B98" i="39"/>
  <c r="E97" i="39"/>
  <c r="D97" i="39"/>
  <c r="C97" i="39"/>
  <c r="B97" i="39"/>
  <c r="E96" i="39"/>
  <c r="D96" i="39"/>
  <c r="C96" i="39"/>
  <c r="B96" i="39"/>
  <c r="E95" i="39"/>
  <c r="D95" i="39"/>
  <c r="C95" i="39"/>
  <c r="B95" i="39"/>
  <c r="E94" i="39"/>
  <c r="D94" i="39"/>
  <c r="C94" i="39"/>
  <c r="B94" i="39"/>
  <c r="E93" i="39"/>
  <c r="D93" i="39"/>
  <c r="C93" i="39"/>
  <c r="B93" i="39"/>
  <c r="E92" i="39"/>
  <c r="D92" i="39"/>
  <c r="C92" i="39"/>
  <c r="B92" i="39"/>
  <c r="E91" i="39"/>
  <c r="D91" i="39"/>
  <c r="C91" i="39"/>
  <c r="B91" i="39"/>
  <c r="E90" i="39"/>
  <c r="D90" i="39"/>
  <c r="C90" i="39"/>
  <c r="B90" i="39"/>
  <c r="E89" i="39"/>
  <c r="D89" i="39"/>
  <c r="C89" i="39"/>
  <c r="B89" i="39"/>
  <c r="E88" i="39"/>
  <c r="D88" i="39"/>
  <c r="C88" i="39"/>
  <c r="B88" i="39"/>
  <c r="E87" i="39"/>
  <c r="D87" i="39"/>
  <c r="C87" i="39"/>
  <c r="B87" i="39"/>
  <c r="E86" i="39"/>
  <c r="D86" i="39"/>
  <c r="C86" i="39"/>
  <c r="B86" i="39"/>
  <c r="E85" i="39"/>
  <c r="D85" i="39"/>
  <c r="C85" i="39"/>
  <c r="B85" i="39"/>
  <c r="E84" i="39"/>
  <c r="D84" i="39"/>
  <c r="C84" i="39"/>
  <c r="B84" i="39"/>
  <c r="E83" i="39"/>
  <c r="D83" i="39"/>
  <c r="C83" i="39"/>
  <c r="B83" i="39"/>
  <c r="E82" i="39"/>
  <c r="D82" i="39"/>
  <c r="C82" i="39"/>
  <c r="B82" i="39"/>
  <c r="E81" i="39"/>
  <c r="D81" i="39"/>
  <c r="C81" i="39"/>
  <c r="B81" i="39"/>
  <c r="E80" i="39"/>
  <c r="D80" i="39"/>
  <c r="C80" i="39"/>
  <c r="B80" i="39"/>
  <c r="E79" i="39"/>
  <c r="D79" i="39"/>
  <c r="C79" i="39"/>
  <c r="B79" i="39"/>
  <c r="E78" i="39"/>
  <c r="D78" i="39"/>
  <c r="C78" i="39"/>
  <c r="B78" i="39"/>
  <c r="E77" i="39"/>
  <c r="D77" i="39"/>
  <c r="C77" i="39"/>
  <c r="B77" i="39"/>
  <c r="E76" i="39"/>
  <c r="D76" i="39"/>
  <c r="C76" i="39"/>
  <c r="B76" i="39"/>
  <c r="E75" i="39"/>
  <c r="D75" i="39"/>
  <c r="C75" i="39"/>
  <c r="B75" i="39"/>
  <c r="E74" i="39"/>
  <c r="D74" i="39"/>
  <c r="C74" i="39"/>
  <c r="B74" i="39"/>
  <c r="E73" i="39"/>
  <c r="D73" i="39"/>
  <c r="C73" i="39"/>
  <c r="B73" i="39"/>
  <c r="E72" i="39"/>
  <c r="D72" i="39"/>
  <c r="C72" i="39"/>
  <c r="B72" i="39"/>
  <c r="E71" i="39"/>
  <c r="D71" i="39"/>
  <c r="C71"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tc={5CD5AED5-9C59-44B6-815B-CC602664786A}</author>
    <author>tc={56681BC9-0EA6-4B32-8688-EA1330051905}</author>
    <author>tc={1EEBBCD6-A29B-4ACF-AD5A-5F834FA935E4}</author>
  </authors>
  <commentList>
    <comment ref="BN2" authorId="0" shapeId="0" xr:uid="{5CD5AED5-9C59-44B6-815B-CC602664786A}">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O2" authorId="1" shapeId="0" xr:uid="{56681BC9-0EA6-4B32-8688-EA1330051905}">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R1100" authorId="2" shapeId="0" xr:uid="{1EEBBCD6-A29B-4ACF-AD5A-5F834FA935E4}">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ajusta manualmente, para el calculo de la raiz en el escenario de media geométrica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tc={B86DAA53-F90D-4FFC-8B63-2808A44CA23F}</author>
    <author>tc={1DD1EB7B-AA01-49B7-8392-A337B5C84E9B}</author>
    <author>tc={BAE51F3E-FE6A-420E-9CAA-327C70C1EAA9}</author>
    <author>tc={55DB86E8-FDC8-4E20-A736-783F4595B484}</author>
  </authors>
  <commentList>
    <comment ref="BB3" authorId="0" shapeId="0" xr:uid="{B86DAA53-F90D-4FFC-8B63-2808A44CA23F}">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BC3" authorId="1" shapeId="0" xr:uid="{1DD1EB7B-AA01-49B7-8392-A337B5C84E9B}">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BD3" authorId="2" shapeId="0" xr:uid="{BAE51F3E-FE6A-420E-9CAA-327C70C1EAA9}">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T3" authorId="3" shapeId="0" xr:uid="{55DB86E8-FDC8-4E20-A736-783F4595B484}">
      <text>
        <r>
          <rPr>
            <sz val="11"/>
            <color theme="1"/>
            <rFont val="Aptos Narrow"/>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Calculada geográficamente con la capa de Municipios MAGNA- DANE.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tc={0B527DEF-CF76-48CA-97E9-8791D41451E8}</author>
  </authors>
  <commentList>
    <comment ref="D67" authorId="0" shapeId="0" xr:uid="{0B527DEF-CF76-48CA-97E9-8791D41451E8}">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IC sube, Ponderador baja (aprox &lt;-0.01), IC ponderado baja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tc={0915D9D6-800A-452B-8986-5CEB7B47604B}</author>
  </authors>
  <commentList>
    <comment ref="E9" authorId="0" shapeId="0" xr:uid="{0915D9D6-800A-452B-8986-5CEB7B47604B}">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Promedio municipal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tc={10A188C4-EDCF-4E4B-9785-B73B06B5D7BE}</author>
    <author>tc={1E6E9250-8550-4234-B0F4-E3A60918BF51}</author>
    <author>tc={93A84BBC-3E47-4752-B9D5-F0132A1CABE4}</author>
    <author>tc={B54946F7-E42E-4578-A550-A445AA07C796}</author>
    <author>tc={CC95493D-B353-4268-8929-335A3C1A0E1C}</author>
    <author>tc={5F65DC3C-0AC7-4B2F-B330-00D54379F7BA}</author>
    <author>tc={7C17B18D-F2BA-46C1-B482-2623911195D1}</author>
  </authors>
  <commentList>
    <comment ref="AX1" authorId="0" shapeId="0" xr:uid="{10A188C4-EDCF-4E4B-9785-B73B06B5D7BE}">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AY1" authorId="1" shapeId="0" xr:uid="{1E6E9250-8550-4234-B0F4-E3A60918BF51}">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AZ1" authorId="2" shapeId="0" xr:uid="{93A84BBC-3E47-4752-B9D5-F0132A1CABE4}">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P1" authorId="3" shapeId="0" xr:uid="{B54946F7-E42E-4578-A550-A445AA07C796}">
      <text>
        <r>
          <rPr>
            <sz val="11"/>
            <color theme="1"/>
            <rFont val="Aptos Narrow"/>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Calculada geográficamente con la capa de Municipios MAGNA- DANE. </t>
        </r>
      </text>
    </comment>
    <comment ref="AL10" authorId="4" shapeId="0" xr:uid="{CC95493D-B353-4268-8929-335A3C1A0E1C}">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BN22" authorId="5" shapeId="0" xr:uid="{5F65DC3C-0AC7-4B2F-B330-00D54379F7BA}">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O22" authorId="6" shapeId="0" xr:uid="{7C17B18D-F2BA-46C1-B482-2623911195D1}">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<sst xmlns="http://schemas.openxmlformats.org/spreadsheetml/2006/main" count="55701" uniqueCount="3078">
  <si>
    <t>MDM Gestión</t>
  </si>
  <si>
    <t>IDF</t>
  </si>
  <si>
    <t>MDM_Preguntas Gobierno abierto y transparencia</t>
  </si>
  <si>
    <t>IDI</t>
  </si>
  <si>
    <t>Variable</t>
  </si>
  <si>
    <t>Fuente</t>
  </si>
  <si>
    <t>Comentario</t>
  </si>
  <si>
    <r>
      <t xml:space="preserve">El Índice de Desempeño Fiscal es una medición del desempeño de la gestión financiera de las ET que da cuenta de la sostenibilidad financiera a la luz de la viabilidad fiscal, la capacidad de generación de recursos propios, el endeudamiento, los niveles de inversión y la capacidad de gestión financiera en los municipios y departamentos del país. Su objetivo es medir la gestión fiscal de las entidades territoriales con el fin de identificar buenas prácticas en el manejo de las finanzas públicas y fortalecer la asistencia técnica territorial.
 Escala de 0 a 100 puntos, donde valores cercanos a 0 denotan un bajo desempeño fiscal, y valores cercanos a 100 indican que la entidad logró en conjunto, buenos resultados
</t>
    </r>
    <r>
      <rPr>
        <b/>
        <sz val="11"/>
        <color theme="1"/>
        <rFont val="Aptos Narrow"/>
        <family val="2"/>
        <scheme val="minor"/>
      </rPr>
      <t xml:space="preserve">
ANTIGUA METODOLOGÍA</t>
    </r>
    <r>
      <rPr>
        <sz val="11"/>
        <color theme="1"/>
        <rFont val="Aptos Narrow"/>
        <family val="2"/>
        <scheme val="minor"/>
      </rPr>
      <t xml:space="preserve">
Indicador sintético con seis indicadores de gestión financiera a partir de un promedio simple que se encuentra en una en:
• Autofinanciación de los gastos de funcionamiento: capacidad para cubrir el gasto de funcionamiento de la administración central con las rentas de libre destinación (Ley 617 de 2000).
• Respaldo del servicio de la deuda: capacidad para respaldar el servicio de la deuda con los ingresos percibidos (servicio de la deuda/ingresos disponibles).
• Dependencia de las transferencias de la Nación y Regalías: (100-((SGP-SGR+otras transferencias)/ingresos totales))).
• Generación de Recursos Propios: ingresos tributarios/ingresos corrientes.
• Magnitud de la Inversión: gasto total en inversión/gastos totales.
• Capacidad de Ahorro: ahorro corriente/ ingresos corrientes.
</t>
    </r>
    <r>
      <rPr>
        <b/>
        <sz val="11"/>
        <color theme="1"/>
        <rFont val="Aptos Narrow"/>
        <family val="2"/>
        <scheme val="minor"/>
      </rPr>
      <t>NUEVA METODOLOGÍA</t>
    </r>
    <r>
      <rPr>
        <sz val="11"/>
        <color theme="1"/>
        <rFont val="Aptos Narrow"/>
        <family val="2"/>
        <scheme val="minor"/>
      </rPr>
      <t xml:space="preserve"> (Toman las capacidades inciales de referencia de grupos)
Cuenta con 2 dimensiones de calificación.
- Resultados Fiscales (80%): Promedio simple de los indicadores por temáticas:
</t>
    </r>
    <r>
      <rPr>
        <sz val="11"/>
        <color theme="8"/>
        <rFont val="Aptos Narrow"/>
        <family val="2"/>
        <scheme val="minor"/>
      </rPr>
      <t>• Dependencia de las Transferencias: SGP y otras/ ingresos total (20%): El indice premia que las ET no dependas de las transferencias para su desarrollo</t>
    </r>
    <r>
      <rPr>
        <sz val="11"/>
        <color theme="1"/>
        <rFont val="Aptos Narrow"/>
        <family val="2"/>
        <scheme val="minor"/>
      </rPr>
      <t xml:space="preserve">
• Inversión: Formación Bruta de Capital Fijo/ Gasto de Inversión (20%): premia el gasto de las inversiones que tienen retorno a futuro, tiene en cuenta los datos de los otros municipios 
• Endeudamiento: Pasivos/ activos (20%): premia las ET que tienen mayor respaldo para el pago de sus pasivos
• Medidas de Déficit o Superávit: 1) Ahorro corriente/ Ingreso corriente, premia que se puedan liberar excedentes 2) Balance Primario/Ingresos Totales + Desembolsos: 20%. se permia que haya un equilibrio  
- Gestión Financiera Territorial (20%): Promedio simple de los indicadores + Bonificaciones:
• Capacidad de programación y ejecución de ingresos: Para ingresos propios: Recaudo efectivo/Presupuesto inicial (o programación): 
• Capacidad de ejecución de inversión: Para inversión: Pagos/Compromisos
</t>
    </r>
    <r>
      <rPr>
        <sz val="11"/>
        <color theme="8"/>
        <rFont val="Aptos Narrow"/>
        <family val="2"/>
        <scheme val="minor"/>
      </rPr>
      <t>• Cumplimiento límites de la Ley 617 de 2000 (holgura): Límite Ley 617- Gastos de funcionamiento/Ingresos corrientes de libre destinación.</t>
    </r>
    <r>
      <rPr>
        <sz val="11"/>
        <color theme="1"/>
        <rFont val="Aptos Narrow"/>
        <family val="2"/>
        <scheme val="minor"/>
      </rPr>
      <t xml:space="preserve">
</t>
    </r>
    <r>
      <rPr>
        <sz val="11"/>
        <color theme="5" tint="0.59999389629810485"/>
        <rFont val="Aptos Narrow"/>
        <family val="2"/>
        <scheme val="minor"/>
      </rPr>
      <t xml:space="preserve">Otorga dos bonos:
• Bonificación de esfuerzo propio: % crecimiento Tributarios + No Tributarios en dos vigencias (si por dos vigencias han tenido crecimiento positivo, se le da el bono) 
• Bonificación Actualización Catastral: 2 puntos en gestión por actualización
</t>
    </r>
    <r>
      <rPr>
        <sz val="11"/>
        <color theme="1"/>
        <rFont val="Aptos Narrow"/>
        <family val="2"/>
        <scheme val="minor"/>
      </rPr>
      <t xml:space="preserve">
Nota: tiene en cuenta las categorías de las capacidades iniciales para saber con quien compararse. Que vigencia tienen? la referencia de los grupos se incluye dentro del calculo de IDF? No
</t>
    </r>
    <r>
      <rPr>
        <sz val="11"/>
        <color theme="8"/>
        <rFont val="Aptos Narrow"/>
        <family val="2"/>
        <scheme val="minor"/>
      </rPr>
      <t>Los que estan en morado es por que dependen de la calificación de los otros municipios</t>
    </r>
  </si>
  <si>
    <t xml:space="preserve">No. </t>
  </si>
  <si>
    <t>Pregunta</t>
  </si>
  <si>
    <t>Tipo Respuesta</t>
  </si>
  <si>
    <t>* Movilización de recursos</t>
  </si>
  <si>
    <t>SERVICIO AL CIUDADANO</t>
  </si>
  <si>
    <t>Código política</t>
  </si>
  <si>
    <t>Política</t>
  </si>
  <si>
    <t>Código pregunta</t>
  </si>
  <si>
    <t>Enunciado pregunta</t>
  </si>
  <si>
    <t>Opción de respuesta</t>
  </si>
  <si>
    <r>
      <t xml:space="preserve">1. (Ingresos tibutarios y no tributarios- </t>
    </r>
    <r>
      <rPr>
        <sz val="11"/>
        <color theme="5"/>
        <rFont val="Aptos Narrow"/>
        <family val="2"/>
        <scheme val="minor"/>
      </rPr>
      <t>recaudo por instrumentos OT</t>
    </r>
    <r>
      <rPr>
        <sz val="11"/>
        <color theme="1"/>
        <rFont val="Aptos Narrow"/>
        <family val="2"/>
        <scheme val="minor"/>
      </rPr>
      <t xml:space="preserve">*)/ población
</t>
    </r>
    <r>
      <rPr>
        <sz val="11"/>
        <color theme="2" tint="-0.499984740745262"/>
        <rFont val="Aptos Narrow"/>
        <family val="2"/>
        <scheme val="minor"/>
      </rPr>
      <t>*recaudo por concepto de Impuesto Predial, Delineación Urbana, Valorización y Plusvalía</t>
    </r>
  </si>
  <si>
    <t>Operaciones Efectivas de Caja-OEC (DNP), reportes CUIPO del CHIP y DANE</t>
  </si>
  <si>
    <t>Se estaría dejando de lado los ingresos por industria y comercio, sobretasa a la gasolina, entre otros (deguello, consumo de licores, tx de registro)</t>
  </si>
  <si>
    <t>¿La Entidad cuenta con procesos o procedimientos de servicio al ciudadano documentados e implementados (peticiones, quejas, reclamos y denuncias, trámites y servicios)?</t>
  </si>
  <si>
    <t>• SI
• NO</t>
  </si>
  <si>
    <t>SEC</t>
  </si>
  <si>
    <t>Servicio ciudadano</t>
  </si>
  <si>
    <t>SEC216</t>
  </si>
  <si>
    <t>El formulario de Peticiones, Quejas, Reclamos, Sugerencias y Denuncias (PQRSD) dispuesto en el Menú de Atención y Servicios a la Ciudadanía a través del sitio web, contó con las siguientes condiciones técnicas:</t>
  </si>
  <si>
    <t>Mensaje de confirmación de recibido por la entidad
Validación de campos mediante la que se alertó al ciudadano sobre errores o falta información en el diligenciamiento del formulario, de forma visible y accesible para todas las personas
Mecanismo para que los correos electrónicos remitidos de manera automática no se categorizaran como NO deseados o SPAM
Mecanismos de seguimiento en línea para que el ciudadano verificara el estado de respuesta de su petición, queja, reclamo, sugerencia y denuncia (PQRSD)
Mecanismos para informar al ciudadano el motivo y las opciones para hacer nuevamente su solicitud, en caso de que el sistema presentara errores durante el diligenciamiento del formulario
Vinculó las solicitudes de información pública como una tipología en el sistema de peticiones, quejas, reclamos, sugerencias y denuncias (PQRSD), para gestionarlas y hacerles seguimiento
Opción para ser diligenciado y enviado a través de dispositivos móviles
Medidas de seguridad digital y de la información, acorde a los lineamientos del anexo 3 de la resolución 1519 de 2020
Ninguna de las anteriores</t>
  </si>
  <si>
    <r>
      <t xml:space="preserve">2. Recuado total por </t>
    </r>
    <r>
      <rPr>
        <sz val="11"/>
        <color theme="5"/>
        <rFont val="Aptos Narrow"/>
        <family val="2"/>
        <scheme val="minor"/>
      </rPr>
      <t>instrumentos de OT</t>
    </r>
    <r>
      <rPr>
        <sz val="11"/>
        <color theme="1"/>
        <rFont val="Aptos Narrow"/>
        <family val="2"/>
        <scheme val="minor"/>
      </rPr>
      <t xml:space="preserve"> (predial, delimintación urbana, valorización, plusvalia)/ población</t>
    </r>
  </si>
  <si>
    <t>Reportes CUIPO del CHIP y DANE</t>
  </si>
  <si>
    <t>Hay tres momentos del gasto: i) compromiso, ii) obligación, iii) pago</t>
  </si>
  <si>
    <t>PARTICIPACIÓN Y RENDICIÓN DE CUENTAS - ESTRATÉGICO</t>
  </si>
  <si>
    <t>PCI</t>
  </si>
  <si>
    <t>Participación  ciudadana</t>
  </si>
  <si>
    <t>PCI206</t>
  </si>
  <si>
    <t>Qué tipo de acciones formuló e implementó la entidad en el proceso de rendición de cuentas durante la vigencia evaluada:</t>
  </si>
  <si>
    <t>Acciones de información para fortalecer la transparencia 
Jornadas de diálogo para la evaluación ciudadana de la gestión
Acciones de responsabilidad para asumir compromisos de mejora institucional con la ciudadanía
Acciones de articulación en nodos en el marco del Sistema Nacional de Rendición de Cuentas
Acciones de información, diálogo y responsabilidad para la construcción de paz
Ninguna de las anteriores</t>
  </si>
  <si>
    <t>3. Inversión financiada con recursos propios/ inversión total del municipio</t>
  </si>
  <si>
    <t>Operaciones Efectivas de Caja-OEC (DNP) y reportes CUIPO del CHIP</t>
  </si>
  <si>
    <t xml:space="preserve">¿En el Plan de Acción Anual está incluída la estrategia de Rendición de Cuentas?
      </t>
  </si>
  <si>
    <t>* Ejecución de recursos</t>
  </si>
  <si>
    <t xml:space="preserve">¿La Entidad publica los resultados de la consulta pública del proceso de rendición de cuentas y de la regulación identificando las prioridades y comentarios establecidos por los ciudadanos? </t>
  </si>
  <si>
    <t>PCI208</t>
  </si>
  <si>
    <t>¿Cuáles de los siguientes medios utilizó la entidad, durante la vigencia evaluada, para divulgar la información de los espacios de participación ciudadana y/o rendición de cuentas?</t>
  </si>
  <si>
    <t>Mensajes de texto
Redes sociales
Radio, televisión y otros medios audiovisuales
Página web
Correo electrónico
Carteleras, boletines, folletos u otros recursos físicos
Reuniones presenciales o virtuales
Otro. ¿Cuál?
Ninguno de los anteriores</t>
  </si>
  <si>
    <r>
      <t xml:space="preserve">1. Recursos obligados en la vigencia relacionados con los sectores de desarrollo económico/ Recursos apropiados en la vigencia relacionados con los sectores de desarrollo económico 
</t>
    </r>
    <r>
      <rPr>
        <sz val="11"/>
        <color theme="2" tint="-0.499984740745262"/>
        <rFont val="Aptos Narrow"/>
        <family val="2"/>
        <scheme val="minor"/>
      </rPr>
      <t>* Obligaciones contraidas o compromisos
Las apropiaciones son autorizaciones máximas de gasto que el Congreso de la República aprueba para ser comprometidas durante la vigencia fiscal respectiva.</t>
    </r>
    <r>
      <rPr>
        <sz val="11"/>
        <color theme="1"/>
        <rFont val="Aptos Narrow"/>
        <family val="2"/>
        <scheme val="minor"/>
      </rPr>
      <t xml:space="preserve"> </t>
    </r>
    <r>
      <rPr>
        <sz val="11"/>
        <color theme="1" tint="0.34998626667073579"/>
        <rFont val="Aptos Narrow"/>
        <family val="2"/>
        <scheme val="minor"/>
      </rPr>
      <t>Apropiación= programación</t>
    </r>
  </si>
  <si>
    <t>Reportes CUIPO</t>
  </si>
  <si>
    <t>El IDF mide también la "ejecución", pero de forma diferente: capacidad de programación y ejecución de ingresos, y capacidad de ejecución de inversión. Estos son ejecución del gasto</t>
  </si>
  <si>
    <t>PCI209</t>
  </si>
  <si>
    <t>Seleccione los temas sobre los cuáles la entidad publicó y divulgó información en los espacios de participación ciudadana y/o rendición de cuentas, durante la vigencia evaluada:</t>
  </si>
  <si>
    <t>Diagnóstico participativo 
Formulación participativa de políticas, planes, programas, proyectos y servicios
Consulta ciudadana sobre normas, políticas, programas, proyectos o trámites
Plan Anticorrupción y de Atención al Ciudadano
Colaboración e innovación abierta  
Rendición de cuentas sobre la gestión institucional, sus resultados, la garantía de derechos y el cumplimiento de ODS
Rendición de cuentas sobre implementación del acuerdo de paz
Control social a la gestión pública
Los aspectos que dan cuenta del cumplimiento en gestión documental y administración de archivos
Ninguno de los anteriores</t>
  </si>
  <si>
    <t>2. Recursos obligados en la vigencia relacionados con los sectores de desarrollo social/ Recursos apropiados en la vigencia relacionados con los sectores de desarrollo social</t>
  </si>
  <si>
    <t>ANTICORRUPCIÓN</t>
  </si>
  <si>
    <t>Otras preguntas de rendición de cuentas: PCI207- El nivel de satisfacción frente a los espacios de rendición de cuentas de la entidad, como resultado de la medición de la experiencia ciudadana, para la vigencia evaluada fue:, PCI210. Seleccione las acciones de diálogo implementadas por la entidad durante la vigencia evaluada para la rendición de cuentas:, PCI212- Seleccione los grupos de valor que participaron durante la vigencia evaluada en las acciones de diálogo presenciales y/o virtuales para la rendición de cuentas:, PCI213- Para determinar si hubo mejora en la gestión institucional derivado de la implementación de las acciones de participación ciudadana y/o rendición de cuentas, la entidad:, SYE218- La entidad utilizó la información generada en los ejercicios de rendición de cuentas y evaluación de la percepción ciudadana para:</t>
  </si>
  <si>
    <t>3. Recursos obligados en la vigencia relacionados con los sectores de otros sectores/ Recursos apropiados en la vigencia relacionados con los sectores de otros sectores</t>
  </si>
  <si>
    <t xml:space="preserve">Indique los componentes incluídos en el Plan Anticorrupción y de Atención al Ciudadano </t>
  </si>
  <si>
    <t>• Rendición de cuentas
• Servicio al Ciudadano
• Racionalización de trámites</t>
  </si>
  <si>
    <t>TRA</t>
  </si>
  <si>
    <t>Transparencia</t>
  </si>
  <si>
    <t>TRA206</t>
  </si>
  <si>
    <t>Seleccione los componentes del Plan Anticorrupción y de Atención al Ciudadano de la entidad a los cuales se les hizo seguimiento:</t>
  </si>
  <si>
    <t>Mapa de riesgos de corrupción y las medidas para mitigarlos
Racionalización de Trámites
Rendición de cuentas
Participación ciudadana
Servicio al ciudadano
Transparencia y acceso a la Información</t>
  </si>
  <si>
    <t>4. Promedio simple del indicador de eficiencia de todos los proyectos de regalías ejecutados por la entidad en la vigencia</t>
  </si>
  <si>
    <t>Por qué solo regalías?</t>
  </si>
  <si>
    <t>GESTIÓN DOCUMENTAL</t>
  </si>
  <si>
    <t>Otras preguntas sobre anticorrupción: TRA201- ¿La entidad elaboró el Plan Anticorrupción y de Atención al Ciudadano, para la vigencia 2023?, TRA203- Seleccione los grupos de valor y otras instancias que fueron consultados para la elaboración del Plan Anticorrupción y de Atención al Ciudadano:, TRA204- ¿Cuáles mecanismos utilizó la entidad para dar a conocer los lineamientos establecidos en el Plan Anticorrupción y de Atención al Ciudadano a sus grupos de valor y a la ciudadanía?, TRA205, La entidad realizó monitoreo al Plan Anticorrupción y de Atención al Ciudadano:</t>
  </si>
  <si>
    <t>*Gobierno abierto y transparencia</t>
  </si>
  <si>
    <t>Implementación de la Ley de Archivos (Ley 594 de 2000)</t>
  </si>
  <si>
    <t>1. Organización de la información: 
¿Su municipio cuenta con Tablas de Retención Documental (TRD) elaboradas y aprobadas?,  ¿su municipio aplica las Tablas de Retención Documental TRD aprobadas?, ¿Su municipio actualiza las Tablas de Retención Documental TRD? ¿Cada cuántos meses?</t>
  </si>
  <si>
    <t xml:space="preserve">Cuestionario
- Las preguntas se suben en el aplicativo GESTIONWEB. 
- Generalmente hacia el mes de abril sale la circular que se socializa a las ET para que tengan el cronograma de fechas para el cargue de la información. 
-Generalmente se deja abierto el sistema 1 mes y medio para el reporte. </t>
  </si>
  <si>
    <r>
      <t xml:space="preserve">IDI: Tiene en cuenta D5 Información y Comunicación, POLÍTICA 15 Transparencia, Acceso a la Información y lucha contra la Corrupción, </t>
    </r>
    <r>
      <rPr>
        <sz val="11"/>
        <color theme="4" tint="0.39997558519241921"/>
        <rFont val="Aptos Narrow"/>
        <family val="2"/>
        <scheme val="minor"/>
      </rPr>
      <t>POLÍTICA 16 Gestión Documental</t>
    </r>
    <r>
      <rPr>
        <sz val="11"/>
        <color theme="1"/>
        <rFont val="Aptos Narrow"/>
        <family val="2"/>
        <scheme val="minor"/>
      </rPr>
      <t>, i48Índice de Transparencia y Acceso a la Información Pública.
Dentro de las preguntas que se les hace, incluyen todo el detalle sobre las Tablas de retención documental</t>
    </r>
  </si>
  <si>
    <t>Formación bruta de capital fijo usa las dotaciones iniciales del MDM</t>
  </si>
  <si>
    <t>Su municipio cuenta con Tablas de Retención Documental (TRD) elaboradas y aprobadas?</t>
  </si>
  <si>
    <t>GDO</t>
  </si>
  <si>
    <t>Gestión documental</t>
  </si>
  <si>
    <t>GDO211</t>
  </si>
  <si>
    <t>Con respecto a las Tablas de Retención Documental - TRD, la entidad:</t>
  </si>
  <si>
    <t>Analizó si cuenta con series y subseries documentales relativas a derechos humanos, memoria histórica y conflicto armado, en el proceso de valoración
Identificó en las TRD los documentos audiovisuales (video, audio, fotográficos) en cualquier soporte y medio (analógico, electrónico) que hacen parte de las series y subseries documentales
Identificó en las TRD los tipos documentales en formatos electrónicos, conforme a los flujos y procedimientos para la producción documental de la entidad
Las tiene actualizadas, aprobadas y convalidadas conforme a la estructura orgánica vigente de la entidad
Las implementó para efectuar las transferencias documentales primarias
Las implementó para efectuar las transferencias documentales secundarias
Las implementó para efectuar el proceso de eliminación documental, conforme al procedimiento establecido en la normatividad vigente
Cuenta con las TRD, pero no se aplican
No tiene TRD. Explique la razón:</t>
  </si>
  <si>
    <r>
      <t xml:space="preserve">2. Rendición de cuentas: 
¿En el Plan de Acción Anual está incluida la estrategia de </t>
    </r>
    <r>
      <rPr>
        <sz val="11"/>
        <color theme="7"/>
        <rFont val="Aptos Narrow"/>
        <family val="2"/>
        <scheme val="minor"/>
      </rPr>
      <t>Rendición de Cuentas</t>
    </r>
    <r>
      <rPr>
        <sz val="11"/>
        <color theme="1"/>
        <rFont val="Aptos Narrow"/>
        <family val="2"/>
        <scheme val="minor"/>
      </rPr>
      <t xml:space="preserve">?, ¿La Entidad pública los resultados de la consulta del proceso de rendición de cuentas, identificando las prioridades establecidas por los ciudadanos?
</t>
    </r>
    <r>
      <rPr>
        <sz val="11"/>
        <color theme="2" tint="-0.499984740745262"/>
        <rFont val="Aptos Narrow"/>
        <family val="2"/>
        <scheme val="minor"/>
      </rPr>
      <t>*Índice de Gestión de Proyectos de Regalías IGPR: refleja la eficiencia en la gestión de recursos de los proyectos de regalías que ejecutó la entidad para la vigencia</t>
    </r>
  </si>
  <si>
    <t>Cuestionario</t>
  </si>
  <si>
    <t>IDI: Tiene en cuenta D2 Direccionamiento Estratégico y Planeación, D7 Control Interno
Dentro de las preguntas que se les hace, se especifica el tema de rendición de cuentas</t>
  </si>
  <si>
    <t>Para la gestión documental, ¿su municipio aplica las Tablas de Retención Documental TRD aprobadas?</t>
  </si>
  <si>
    <r>
      <t>3. Atención al ciudadano: 
¿La Entidad cuenta con procesos o procedimientos de servicio al ciudadano documentados e implementados (</t>
    </r>
    <r>
      <rPr>
        <sz val="11"/>
        <color theme="7"/>
        <rFont val="Aptos Narrow"/>
        <family val="2"/>
        <scheme val="minor"/>
      </rPr>
      <t>peticiones, quejas, reclamos y denuncias, trámites y servicios</t>
    </r>
    <r>
      <rPr>
        <sz val="11"/>
        <color theme="1"/>
        <rFont val="Aptos Narrow"/>
        <family val="2"/>
        <scheme val="minor"/>
      </rPr>
      <t xml:space="preserve">)?, ¿Incluyó el componente de Servicio al Ciudadano en el </t>
    </r>
    <r>
      <rPr>
        <sz val="11"/>
        <color theme="7"/>
        <rFont val="Aptos Narrow"/>
        <family val="2"/>
        <scheme val="minor"/>
      </rPr>
      <t>Plan Anticorrupción</t>
    </r>
    <r>
      <rPr>
        <sz val="11"/>
        <color theme="1"/>
        <rFont val="Aptos Narrow"/>
        <family val="2"/>
        <scheme val="minor"/>
      </rPr>
      <t xml:space="preserve"> y de Atención al Ciudadano?</t>
    </r>
  </si>
  <si>
    <t>IDI: tienen POLÍTICA 15 Transparencia, Acceso a la Información y lucha contra la Corrupción, i47Gestión de Riesgos de Corrupción</t>
  </si>
  <si>
    <t>Su municipio actualiza las Tablas de Retención Documental TRD? Cada cuántos meses?</t>
  </si>
  <si>
    <t>• - SI - NO
• Número entero</t>
  </si>
  <si>
    <t>* Ordenamiento territorial</t>
  </si>
  <si>
    <r>
      <t>1. (</t>
    </r>
    <r>
      <rPr>
        <sz val="11"/>
        <color theme="5"/>
        <rFont val="Aptos Narrow"/>
        <family val="2"/>
        <scheme val="minor"/>
      </rPr>
      <t>Recaudo predia</t>
    </r>
    <r>
      <rPr>
        <sz val="11"/>
        <color theme="1"/>
        <rFont val="Aptos Narrow"/>
        <family val="2"/>
        <scheme val="minor"/>
      </rPr>
      <t>l/ avalúo de los predios en la vigencia) X 1000</t>
    </r>
  </si>
  <si>
    <t>Reportes del CUIPO e IGAC</t>
  </si>
  <si>
    <r>
      <t xml:space="preserve">2. Número de </t>
    </r>
    <r>
      <rPr>
        <sz val="11"/>
        <color theme="5"/>
        <rFont val="Aptos Narrow"/>
        <family val="2"/>
        <scheme val="minor"/>
      </rPr>
      <t>instrumentos de ordenamiento territorial</t>
    </r>
    <r>
      <rPr>
        <sz val="11"/>
        <color theme="1"/>
        <rFont val="Aptos Narrow"/>
        <family val="2"/>
        <scheme val="minor"/>
      </rPr>
      <t xml:space="preserve"> que usa la Entidad Territorial</t>
    </r>
  </si>
  <si>
    <t>Reportes del CUIPO</t>
  </si>
  <si>
    <t>https://colaboracion.dnp.gov.co/CDT/Desarrollo%20Territorial/Gu%C3%ADa%20de%20orientaciones%202022%20PROCESO%20MDET.pdf</t>
  </si>
  <si>
    <t>MDM</t>
  </si>
  <si>
    <t>MDD</t>
  </si>
  <si>
    <t>MDD- resultados</t>
  </si>
  <si>
    <t>Nombre de la variable</t>
  </si>
  <si>
    <t>Descripción</t>
  </si>
  <si>
    <t>Tipo</t>
  </si>
  <si>
    <t>Vigencia</t>
  </si>
  <si>
    <t>ID</t>
  </si>
  <si>
    <t>Identificador de la entidad en un año específico</t>
  </si>
  <si>
    <t>Número</t>
  </si>
  <si>
    <t>No aplica</t>
  </si>
  <si>
    <t>año</t>
  </si>
  <si>
    <t>Vigencia de la medición</t>
  </si>
  <si>
    <t>cdpto</t>
  </si>
  <si>
    <t>Código DANE de la entidad</t>
  </si>
  <si>
    <t>DANE</t>
  </si>
  <si>
    <t>ndpto</t>
  </si>
  <si>
    <t>Nombre de la entidad</t>
  </si>
  <si>
    <t>Texto</t>
  </si>
  <si>
    <t>g11_itnt</t>
  </si>
  <si>
    <t>Ingresos tributariso y no tributarios per cápita</t>
  </si>
  <si>
    <t>Moneda</t>
  </si>
  <si>
    <t>OEC - DNP</t>
  </si>
  <si>
    <t>2020 - 2022</t>
  </si>
  <si>
    <t>g12_recpropios</t>
  </si>
  <si>
    <t>Participación de los recursos propios en la inversión</t>
  </si>
  <si>
    <t>Porcentaje</t>
  </si>
  <si>
    <t>CUIPO - OEC - DNP</t>
  </si>
  <si>
    <t>g13_deptrans</t>
  </si>
  <si>
    <t>Dependencia a las transferencias</t>
  </si>
  <si>
    <t>g21_porc_de</t>
  </si>
  <si>
    <t>Porcentaje de ejecución sectores de desarrollo económico</t>
  </si>
  <si>
    <t>CUIPO</t>
  </si>
  <si>
    <t>g22_porc_ds</t>
  </si>
  <si>
    <t>Porcentaje de ejecución sectores de desarrollo social</t>
  </si>
  <si>
    <t>g23_porc_o</t>
  </si>
  <si>
    <t>Porcentaje de ejecución otros sectores</t>
  </si>
  <si>
    <t>g24_igpr</t>
  </si>
  <si>
    <t>Indicador de eficiencia del IGPR</t>
  </si>
  <si>
    <t>IGPR - DNP</t>
  </si>
  <si>
    <t>g31_gobierno</t>
  </si>
  <si>
    <t>Gobierno digital</t>
  </si>
  <si>
    <t>FURAG</t>
  </si>
  <si>
    <t>g32_integridad</t>
  </si>
  <si>
    <t>Integridad</t>
  </si>
  <si>
    <t>g33_participacion</t>
  </si>
  <si>
    <t>Participación ciudadana</t>
  </si>
  <si>
    <t>g34_servicio</t>
  </si>
  <si>
    <t>Servicio al ciudadano</t>
  </si>
  <si>
    <t>g35_transparencia</t>
  </si>
  <si>
    <t>g41_talhumano</t>
  </si>
  <si>
    <t>Talento humano</t>
  </si>
  <si>
    <t>g42_planeacion</t>
  </si>
  <si>
    <t>Planeación institucional</t>
  </si>
  <si>
    <t>g43_seguimiento</t>
  </si>
  <si>
    <t>Seguimiento</t>
  </si>
  <si>
    <t>r11_transición</t>
  </si>
  <si>
    <t>Cobertura neta en educación transición</t>
  </si>
  <si>
    <t>SIMAT - Min. Educación</t>
  </si>
  <si>
    <t>r12_media</t>
  </si>
  <si>
    <t>Cobertura neta en educación media</t>
  </si>
  <si>
    <t>r13_superior</t>
  </si>
  <si>
    <t>Cobertura bruta en educación superior</t>
  </si>
  <si>
    <t>SNIES - Min. Educación</t>
  </si>
  <si>
    <t>r14_mate</t>
  </si>
  <si>
    <t>Puntaje promedio prueba Saber 11 - Matemáticas</t>
  </si>
  <si>
    <t>ICFES - Min. Educación</t>
  </si>
  <si>
    <t>r15_lectura</t>
  </si>
  <si>
    <t>Puntaje promedio prueba Saber 11 - Lenguaje</t>
  </si>
  <si>
    <t>r21_mortalidad</t>
  </si>
  <si>
    <t>Tasa de mortalidad infantil</t>
  </si>
  <si>
    <t>r22_pentavalente</t>
  </si>
  <si>
    <t>Cobertura en vacunación pentavalente</t>
  </si>
  <si>
    <t>Min. Salud</t>
  </si>
  <si>
    <t>r23_cobsalud</t>
  </si>
  <si>
    <t>Cobertura en salud</t>
  </si>
  <si>
    <t>r31_energia</t>
  </si>
  <si>
    <t>Cobertura en energía eléctrica rural</t>
  </si>
  <si>
    <t>UPME - Min. Minas</t>
  </si>
  <si>
    <t>r32_internet</t>
  </si>
  <si>
    <t>Penetración de la banda ancha</t>
  </si>
  <si>
    <t>MinTIC</t>
  </si>
  <si>
    <t>r33_acueducto</t>
  </si>
  <si>
    <t>Cobertura en acueducto</t>
  </si>
  <si>
    <t>REC - Super Servicios</t>
  </si>
  <si>
    <t>r34_alcantarillado</t>
  </si>
  <si>
    <t>Cobertura en alcantarillado</t>
  </si>
  <si>
    <t>r41_hurto</t>
  </si>
  <si>
    <t>Tasa de hurtos por 10.000 habitantes</t>
  </si>
  <si>
    <t>Min. Defensa</t>
  </si>
  <si>
    <t>r42_homicidio</t>
  </si>
  <si>
    <t>Tasa de homicidios por 10.000 habitantes</t>
  </si>
  <si>
    <t>r43_violencia</t>
  </si>
  <si>
    <t>Tasa de casos de violencia intrafamiliar por 10.000 habitantes</t>
  </si>
  <si>
    <t>r51_cuidado</t>
  </si>
  <si>
    <t>Cuidado a la primera infancia</t>
  </si>
  <si>
    <t>r52_trainf</t>
  </si>
  <si>
    <t>Tasa de trabajo infantil</t>
  </si>
  <si>
    <t>r61_formalidad</t>
  </si>
  <si>
    <t>Tasa de formalidad</t>
  </si>
  <si>
    <t>r62_desempleo</t>
  </si>
  <si>
    <t>Tasa de desempleo</t>
  </si>
  <si>
    <t>r63_pobreza</t>
  </si>
  <si>
    <t>Tasa de pobreza monetaria</t>
  </si>
  <si>
    <t>r71_deforestacion</t>
  </si>
  <si>
    <t>Tasa de deforestación</t>
  </si>
  <si>
    <t>IDEAM</t>
  </si>
  <si>
    <t>r72_co2fija</t>
  </si>
  <si>
    <t>Emisiones de CO2</t>
  </si>
  <si>
    <t>IDC</t>
  </si>
  <si>
    <t>r73_gesriesgo</t>
  </si>
  <si>
    <t>Índice de Riesgo de Desastres</t>
  </si>
  <si>
    <t>DNP</t>
  </si>
  <si>
    <t>r74_residuos</t>
  </si>
  <si>
    <t>Disposición de residuos</t>
  </si>
  <si>
    <t>Super Servicios</t>
  </si>
  <si>
    <t>movilizacion</t>
  </si>
  <si>
    <t>Puntaje dimensión de Movilización de recursos</t>
  </si>
  <si>
    <t>Cálculos propios - DNP</t>
  </si>
  <si>
    <t>ejecucion</t>
  </si>
  <si>
    <t>Puntaje dimensión de Ejecución de recursos</t>
  </si>
  <si>
    <t>gobierno</t>
  </si>
  <si>
    <t>Puntaje dimensión de Gobierno abierto y transparencia</t>
  </si>
  <si>
    <t>planeacion</t>
  </si>
  <si>
    <t>Puntaje dimensión de Planeación estratégica</t>
  </si>
  <si>
    <t>gestion</t>
  </si>
  <si>
    <t>Puntaje componente de Gestión</t>
  </si>
  <si>
    <t>educacion</t>
  </si>
  <si>
    <t>Puntaje dimensión de Educación</t>
  </si>
  <si>
    <t>salud</t>
  </si>
  <si>
    <t>Puntaje dimensión de Salud</t>
  </si>
  <si>
    <t>servicios</t>
  </si>
  <si>
    <t>Puntaje dimensión de Servicios públicos</t>
  </si>
  <si>
    <t>seguridad</t>
  </si>
  <si>
    <t>Puntaje dimensión de Seguridad y convivencia</t>
  </si>
  <si>
    <t>infancia</t>
  </si>
  <si>
    <t>Puntaje dimensión de Niñez y juventud</t>
  </si>
  <si>
    <t>trabajo</t>
  </si>
  <si>
    <t>Puntaje dimensión de Trabajo</t>
  </si>
  <si>
    <t>ambiente</t>
  </si>
  <si>
    <t>Puntaje dimensión de Medio ambiente</t>
  </si>
  <si>
    <t>resultados</t>
  </si>
  <si>
    <t>Puntaje componente de Resultados</t>
  </si>
  <si>
    <t>mdd</t>
  </si>
  <si>
    <t>Puntaje Medición de Desempeño Departamental</t>
  </si>
  <si>
    <t>IPM</t>
  </si>
  <si>
    <t>NBI</t>
  </si>
  <si>
    <t>Condiciones educativas del hogar (0.2)</t>
  </si>
  <si>
    <t>Analfabetismo (0.1)</t>
  </si>
  <si>
    <t>Escolaridad promedio de las personas de 15 años y más del hogar</t>
  </si>
  <si>
    <t>Componente vivienda</t>
  </si>
  <si>
    <t>Materiales de construcción utilizados en piso, paredes y techo</t>
  </si>
  <si>
    <t xml:space="preserve">Son consideradas como no adecuadas para el alojamiento de personas, las viviendas móviles o ubicadas en refugios naturales o bajo puentes, o sin paredes, con paredes de tela o de materiales de desecho, o con pisos de tierra, arena o barro. </t>
  </si>
  <si>
    <t>IPM: 5 PRIVACIONES
NBI: 2 PRIVACIONES</t>
  </si>
  <si>
    <t>Bajo logro educativo (0.1)</t>
  </si>
  <si>
    <t>Porcentaje de personas del hogar de 15 años y más que no saben leer y escribir</t>
  </si>
  <si>
    <t>Componente Servicios</t>
  </si>
  <si>
    <t xml:space="preserve"> evalúa el acceso a condiciones sanitarias mínimas</t>
  </si>
  <si>
    <t>a) Disponibilidad de agua potable</t>
  </si>
  <si>
    <t>Condiciones de la niñez y juventud (0.2)</t>
  </si>
  <si>
    <t>Barreras a servicios para cuidado de la primera infancia (0.05)</t>
  </si>
  <si>
    <t>Proporción de niños de cero a cinco años en el hogar sin acceso a servicios de salud o que pasa la mayor parte del tiempo con su padre o madre en el trabajo, en casa solo, o está al cuidado de un pariente menor de 18 años</t>
  </si>
  <si>
    <t>b) Tipo de sistema de eliminación
de excretas</t>
  </si>
  <si>
    <t>Inasistencia escolar (0.05)</t>
  </si>
  <si>
    <t>Proporción de niños, niñas y adolescentes (NNA) entre 6 y 16 años en el hogar que no asisten al colegio</t>
  </si>
  <si>
    <t>Componente Hacinamiento</t>
  </si>
  <si>
    <t>Niveles de ocupación de la vivienda</t>
  </si>
  <si>
    <t>i) Número de personas en el hogar
ii) Número de cuartos de la vivienda</t>
  </si>
  <si>
    <t>Rezago escolar (0.05)</t>
  </si>
  <si>
    <t>Proporción de NNA (7-17 años) dentro del hogar con rezago escolar (según la norma nacional)</t>
  </si>
  <si>
    <t>Componente Inasistencia</t>
  </si>
  <si>
    <t xml:space="preserve"> Asistencia de los niños en edad escolar a un establecimiento educativo</t>
  </si>
  <si>
    <t>i) Edad de los miembros del hogar
ii) Asistencia a un establecimiento educativo</t>
  </si>
  <si>
    <t>Trabajo infantil (0.05)</t>
  </si>
  <si>
    <t>Proporción de niños, niñas y adolescentes entre 12 y 17 años en el hogar que se encuentran ocupados</t>
  </si>
  <si>
    <t>Componente dependencia económica</t>
  </si>
  <si>
    <t xml:space="preserve">Probabilidad de insuficiencia de ingresos del hogar. Se identifican hogares con más de 3 personas por miembro ocupado y cuyo jefe ha aprobado, como máximo, dos años de educación primaria. </t>
  </si>
  <si>
    <t>i) Edad de los miembros del hogar
ii) Ultimo nivel educativo aprobado
iii) Número de personas en el hogar
iv) Condición de actividad</t>
  </si>
  <si>
    <t>Trabajo
(0.2)</t>
  </si>
  <si>
    <t>Tasa de dependencia (0.1)</t>
  </si>
  <si>
    <t>Número de personas por miembro ocupado en el hogar</t>
  </si>
  <si>
    <t>Trabajo informal (0.1)</t>
  </si>
  <si>
    <t>Proporción de la Población Económicamente Activa (PEA) del hogar que son ocupados y no cotizan a fondo pensiones. Para la construcción del indicador se utilizó información del registro de la PILA teniendo en cuenta que el CNPV 2018 no contó con información de afiliación en pensiones</t>
  </si>
  <si>
    <t>Salud
(0.2)</t>
  </si>
  <si>
    <t>Barreras de acceso a servicios de salud (0.1)</t>
  </si>
  <si>
    <t>Proporción de personas del hogar que no acceden a servicio institucional de salud ante una enfermedad que no requiere hospitalización en los últimos 30 días</t>
  </si>
  <si>
    <t>Sin aseguramiento en salud (0.1)</t>
  </si>
  <si>
    <t>Proporción de miembros del hogar mayores de cinco años sin aseguramiento a Seguridad Social en Salud. Para el cálculo de este indicador se tomó la información de registros administrativos del BDUA-BDEX3 teniendo en cuenta que el CNPV 2018 no incluyó dicha información. El indicador genera privación para los estados de afiliación: desafiliado, retirado e interrumpido por viaje al exterior. Para las personas que no fue posible extraer la información del estado de afiliación desde la BDUA y BDEX no se genera privación con excepción de aquellos que cuentan con documento de identificación consistente registrado en el CNPV 2018.</t>
  </si>
  <si>
    <t>Condiciones de la vivienda y acceso a servicios públicos domiciliarios
(0.2)</t>
  </si>
  <si>
    <t>Material inadecuado de paredes exteriores (0.04)</t>
  </si>
  <si>
    <t>Hogar urbano: se considera privado si el material de las paredes exteriores es madera burda, tabla, tablón, guadua, otro vegetal, zinc, tela, cartón, deshechos o sin paredes
Hogar rural: se considera privado si el material de las paredes exteriores es guadua, caña, otro vegetal, zinc, tela, cartón, deshechos o sin paredes</t>
  </si>
  <si>
    <t xml:space="preserve">Material inadecuado de pisos (0.04) </t>
  </si>
  <si>
    <t>Se consideran en privación los hogares que tienen pisos en tierra</t>
  </si>
  <si>
    <t>Inadecuada eliminación de excretas (0.04)</t>
  </si>
  <si>
    <t>Hogar urbano: se considera como privado si no tiene servicio público de alcantarillado
Hogar rural: se considera como privado si tiene inodoro sin conexión, letrina, bajamar o no tiene servicio sanitario</t>
  </si>
  <si>
    <t>Sin acceso a fuente de agua mejorada (0.04)</t>
  </si>
  <si>
    <t>Hogar urbano: se considera como privado si no tiene servicio público de acueducto en la vivienda
Hogar rural: se considera privado cuando obtiene el agua para preparar los alimentos de pozo sin bomba, agua lluvia, rio, manantial, carro tanque, aguatero, agua embotellada o en bolsa</t>
  </si>
  <si>
    <t>Hacinamiento crítico (0.04)</t>
  </si>
  <si>
    <t>Número de personas por cuarto para dormir excluyendo cocina, baño y garaje e incluyendo sala y comedor</t>
  </si>
  <si>
    <t>MUNICIPIOS</t>
  </si>
  <si>
    <t>Paso 1</t>
  </si>
  <si>
    <t>Calculo de variables</t>
  </si>
  <si>
    <t>Promedio IDF 4 años</t>
  </si>
  <si>
    <t>Promedio IDI 4 años</t>
  </si>
  <si>
    <t>Paso 2</t>
  </si>
  <si>
    <t>Cálculo IC</t>
  </si>
  <si>
    <t>Promedio IDF e IDI 4 años</t>
  </si>
  <si>
    <t>Paso 3</t>
  </si>
  <si>
    <t>Calculo IDD e IDDr</t>
  </si>
  <si>
    <t>IDD (viene estandarizado)</t>
  </si>
  <si>
    <t>Rango: 0- 100</t>
  </si>
  <si>
    <t>IDDr</t>
  </si>
  <si>
    <t>Cálculo cortes de jenks IDDr (la categoría 1 corresponde a los mun con mayor IDDr, que significa adecuado- menor distancia, mayor densidad)</t>
  </si>
  <si>
    <t>5 cortes</t>
  </si>
  <si>
    <t>Definir las categorías de cada municipio con el IDDr y los cortes de jenks IDDr</t>
  </si>
  <si>
    <t>5 categorías</t>
  </si>
  <si>
    <t>Paso 4</t>
  </si>
  <si>
    <t>Calculo ponderador (no tiene en cuenta las categorías especiales)</t>
  </si>
  <si>
    <t>Promedio de IC teniendo en cuenta los cortes de jenks IDDr</t>
  </si>
  <si>
    <t>Promedio de IDDr teniendo en cuenta los cortes de jenks IDDr</t>
  </si>
  <si>
    <t>Calculo: prom IDDr/prom IC por categorías de IDDr</t>
  </si>
  <si>
    <t>Paso 5</t>
  </si>
  <si>
    <t>Calculo IC ponderado</t>
  </si>
  <si>
    <t>Se asigna el ponderador por municipio según categorías (5) de IDDr</t>
  </si>
  <si>
    <t>5 tipologías</t>
  </si>
  <si>
    <t>Se calcula el producto entre IC y el ponderador= Icpond</t>
  </si>
  <si>
    <t>Se estandariza el ICpond</t>
  </si>
  <si>
    <t>Se calculan cortes naturales de jenks (5) (la tipología 1 muestra los mun con mayor ICpond)</t>
  </si>
  <si>
    <t xml:space="preserve">Se define la tipología de Icpond de acuerdo a los cortes naturales </t>
  </si>
  <si>
    <t>DEPARTAMENTOS</t>
  </si>
  <si>
    <t>Promedio departamental del IDD municipal (viene estandarizados)</t>
  </si>
  <si>
    <t>Estandarización del Promedio departamental del IDD municipal</t>
  </si>
  <si>
    <t>Promedio departamental del IDDr municipal</t>
  </si>
  <si>
    <t>Estandarización del promedio departamental del IDDr municipal</t>
  </si>
  <si>
    <t>Nota: da igual si se toma el promedio departamental del IDD, se voltea (con máximo), y se cálculo el Z</t>
  </si>
  <si>
    <t>3 cortes</t>
  </si>
  <si>
    <t>Definir las categorías de cada departamento con el IDDr y los cortes de jenks IDDr</t>
  </si>
  <si>
    <t>3 categorías</t>
  </si>
  <si>
    <t>Calculo ponderador</t>
  </si>
  <si>
    <t>Se asigna el ponderador por municipio según categorías (3) de IDDr</t>
  </si>
  <si>
    <t>Se calculan cortes naturales de jenks (3) (la tipología 1 muestra los mun con mayor ICpond)</t>
  </si>
  <si>
    <t>3 tipologías</t>
  </si>
  <si>
    <t>Variables</t>
  </si>
  <si>
    <t>Direccionalidad</t>
  </si>
  <si>
    <t>Año</t>
  </si>
  <si>
    <t>Nivel territorial</t>
  </si>
  <si>
    <t>Definición</t>
  </si>
  <si>
    <t>Capacidades</t>
  </si>
  <si>
    <t>Índice de Desempeño Institucional</t>
  </si>
  <si>
    <t>Positivo</t>
  </si>
  <si>
    <t>Es una operación estadística que mide anualmente la gestión y desempeño de las entidades públicas, proporcionando información para la toma de decisiones en materia de gestión. La meta del Plan Nacional de Desarrollo es mejorar en el cuatrienio el IDI en 10 puntos orden nacional y 5 puntos orden territorial.
El IDI se presenta en una escala de 0 a 100, siendo 100 el máximo puntaje a lograr.
Dimensiones:
  i) Talento Humano: Mide la capacidad de la entidad pública de gestionar adecuadamente su talento humano de acuerdo con las prioridades estratégicas de la entidad, las normas que les rigen en materia de personal y la garantía del derecho fundamental al diálogo social y a la concertación.
  ii) Direccionamiento Estratégico y Planeación: Mide la capacidad de la entidad pública de definir la ruta estratégica que guiará su gestión institucional con miras a garantizar los derechos, satisfacer las necesidades y solucionar los problemas de los ciudadanos destinatarios de sus productos y servicios, así como fortalecer la confianza ciudadana y la legitimidad.
  iii) Gestión para Resultados con Valores: Mide la capacidad de la entidad pública de ejecutar actividades que la conduzcan a lograr los resultados propuestos y a materializar las decisiones plasmadas en su planeación institucional, en el marco de los valores del servicio público; así mismo, capacidad para mantener una constante y fluida interacción con la ciudadanía de manera transparente y participativa, prestando un servicio de excelencia y facilitando la garantía del ejercicio de los derechos ciudadanos, a través de la entrega efectiva de productos, servicios e información.
  iv) Evaluación de Resultados: Mide la capacidad de la entidad pública de conocer de manera permanente los avances en su gestión y la consecución efectiva de los resultados planteados con la oportunidad, cantidad y calidad esperadas, e implementar acciones para mitigar los riesgos que la desvían del cumplimiento de sus objetivos y metas; Así mismo, el compromiso de la entidad para identificar aciertos y desaciertos en su gestión y promover acciones de mejora para superarlos.
  v) Información y Comunicación: adecuado flujo de información interna y externa, gestionar eficazmente los documentos que la soportan y mantener canales de comunicación acordes con sus capacidades organizacionales y con lo previsto en la Ley de Transparencia y Acceso a la Información.
 vi) Gestión del conocimiento: Mide la capacidad de la entidad pública de implementar acciones, mecanismos o instrumentos orientados a identificar, generar, capturar, transferir, apropiar, analizar, difundir y preservar el conocimiento para fortalecer a las entidades públicas, facilitar procesos de innovación y mejorar la prestación de productos y servicios a los grupos de valor.
  vii) Control Interno: contar con una serie de elementos clave de la gestión, cuyos controles asociados son evaluados de forma permanente, con niveles de autoridad y responsabilidad definidos.</t>
  </si>
  <si>
    <t xml:space="preserve"> Índice d​e Desempeño Fiscal</t>
  </si>
  <si>
    <t>2021-2024
Promedio Móvil</t>
  </si>
  <si>
    <t>-</t>
  </si>
  <si>
    <t>Variables de contraste</t>
  </si>
  <si>
    <t>Proporción territorial de área de territorios étnicos (ATE)</t>
  </si>
  <si>
    <t xml:space="preserve">Índice de Pobreza Multidimensional - IPM
</t>
  </si>
  <si>
    <t>Negativo</t>
  </si>
  <si>
    <t>El IPM refleja las carencias o privaciones en las condiciones básicas que requieren los hogares de una sociedad para alcanzar el bienestar. Compuesto por cinco dimensiones con el mismo peso y con las siguientes variables:
a. Educación:
i) Logro Educativo: Si los miembros de 15 años y más tienen menos de 9 años promedio de educación.
ii) Alfabetismo: Si al menos un miembro de 15 años y más no sabe leer ni escribir.
b. Niñez y juventud:
i) Asistencia escolar: Si al menos un miembro de 6 a 16 años no asiste a centro educativo.
ii) Rezago escolar: Si al menos un miembro de 7 a 17 años no se encuentra en el grado para la edad
iii) Acceso a servicios para el cuidado de la primera infancia: Si al menos un miembro menor de 5 años carece de salud, cuidado y nutrición adecuada.
iv) Trabajo infantil: Si al menos un miembro que no pertenece a la población en edad de trabajar  –PET–, se encuentra trabajando.
c. Trabajo:
i) Desempleo de larga duración: Si al menos un miembro del hogar que hace parte de la Población Económicamente Activa –PEA– se encuentra desempleado por más de 12 meses.
ii) Empleo formal: Si al menos un miembro del hogar que hace parte de la PEA se encuentra ocupado sin afiliación a pensiones o desempleado.
d. Salud
i) Aseguramiento en salud: Si al menos un miembro del hogar mayor de 5 años no se encuentra afiliado a salud.
ii) Acceso a servicios de salud dada una necesidad: Hogares con al menos una persona que enfrentó un problema de salud que no requirió hospitalización pero que para tratarlo no acudió al lugar adecuado.
e. Vivienda
i) Acceso a fuentes de agua mejorada: Si un hogar urbano sin servicio público de acueducto; Si un hogar rural se abastece de agua de pozo sin bomba, agua lluvia, río, manantial, carro tanque, aguatero u otra fuente.
ii) Eliminación de excretas: Si un hogar urbano está sin servicio público de alcantarillado; Si un hogar rural tiene inodoro sin conexión, bajamar, o no tiene servicio sanitario.
ii) Pisos: Si son de tierra.
v) Hacinamiento crítico: Si un hogar urbano tiene 3 o más personas por cuarto. Si un hogar rural tiene más de tres personas por cuarto. (Diferencia con el NBI más de 3 personas por cuarto sin diferenciar si es urbano o rural)
iv) Paredes exteriores: Si un hogar urbano tiene como material madera burda, tabla, tablón, guadua, otro vegetal, zinc, tela, cartón, desechos o sin paredes; Si un hogar rural tiene como material guadua, otro vegetal, zinc, tela, cartón, desecho o sin paredes.</t>
  </si>
  <si>
    <t xml:space="preserve">Necesidades Básicas Insatisfechas - NBI
</t>
  </si>
  <si>
    <t>La metodología de NBI busca determinar si se encuentran cubiertas las necesidades básicas de la población y cuyas variables son:
i) Viviendas inadecuadas
ii) Viviendas con hacinamiento crítico
iii) Viviendas con servicios inadecuados
iv) Viviendas con alta dependencia económica
v) Viviendas con niños en edad escolar que no asisten a la escuela.</t>
  </si>
  <si>
    <t xml:space="preserve">DANE: https://www.dane.gov.co/index.php/estadisticas-por-tema/pobreza-y-condiciones-de-vida/necesidades-basicas-insatisfechas-nbi
Periodicidad: No definida
Último año con información: 2018
</t>
  </si>
  <si>
    <t>Índice de Incidencia del Conflicto Armado (IICA)</t>
  </si>
  <si>
    <t xml:space="preserve">El "Índice de Incidencia de Conflicto Armado" es una variable estadística que mide el nivel de conflicto durante un período determinado. Esta variable se basa en la recopilación de los siguientes datos: cultivos de coca, acciones armadas, eventos causados por minas antipersonas, secuestro, desplazamiento forzado, homicidio de líderes sociales y defensores de DD. HH. y homicidio de excombatientes.
Con el propósito de facilitar la interpretación y lectura de los resultados del índice, se lleva a cabo un re-escalamiento entre 0 y 1, donde 1 corresponde al valor de mayor incidencia del conflicto.
La categorización final se realiza por desviaciones estándar, resultan cinco rangos del IICA, a saber: bajo, medio bajo, medio, alto y muy alto. En este punto es importante aclarar que hay municipios que por la última categorización cuantitativa que se hizo (año 2022) quedaron por encima de 1, pero en la categoría cualitativa igual corresponden a 1
Para efectos visuales, la serie se multiplica por 100, con el fin de que la escala quede establecida de 0 a 100. </t>
  </si>
  <si>
    <t>Índice de Riesgo de la Calidad del Agua para Consumo Humano (IRCA)</t>
  </si>
  <si>
    <t>Municipal:
Es un indicador que mide el Riesgo de Calidad del Agua (IRCA) a nivel municipal (agregado urbano y rural), el IRCA es "el grado de riesgo de ocurrencia de enfermedades relacionadas con el no cumplimiento de las características físicas, químicas y microbiológicas del agua para consumo humano" (Artículo 12 del Decreto 1575 de 2007).
El IRCA toma valores entre 0 y 100% y se establecen niveles de riesgo y acciones de acuerdo al resultado del índice: entre 0% y 5% el agua no presenta riesgo y es apta para el consumo humano; entre 5.1% y 14% el nivel de riesgo es bajo, agua no apta para consumo humano, susceptible de mejoramiento; entre 14.1% y 35% el nivel de riesgo es medio, agua no apta para consumo humano, gestión directa de la persona prestadora; entre 35.1% y 80% el nivel de riesgo es alto, agua no apta para consumo humano, gestión directa de acuerdo a su competencia de la persona prestadora y de los alcaldes y gobernadores respectivos; y finalmente, entre 80.1% y 100% el nivel de riesgo es inviable sanitariamente, agua no apta para consumo humano, gestión directa de acuerdo a su competencia de la persona prestadora, alcaldes, gobernadores y entidades del orden nacional (Artículo 15 de la Resolución MAVDT 2115 de 2007).
Departamental:
Promedio del nivel municipal</t>
  </si>
  <si>
    <t>Medición del Desempeño Municipal y Departamental (MDM)</t>
  </si>
  <si>
    <t>Municipal</t>
  </si>
  <si>
    <t>Medición del Desempeño  Departamental (MDD)</t>
  </si>
  <si>
    <t>Departamental</t>
  </si>
  <si>
    <t>El objetivo es medir el desempeño de las gobernaciones, entendido como: la capacidad de gestión y de generación de resultados de desarrollo.
i) Componente de gestión, mide las siguientes dimensiones:
- Movilización de recursos: Ingresos tributarios y no tributarios per cápita, participación de los recursos propios, dependencia de las transferencias
- Ejecución de recursos: Ejecución sectores de desarrollo económico, Ejecución sectores de desarrollo social, Ejecución otros sectores, Ejecución de IGPR (ejecución de recursos de los proyectos de regalías a cargo de la gobernación)
- Gobierno abierto y transparencia: gobierno digital, integridad, participación ciudadana, servicio al ciudadano, acceso a la información
- Planeación estratégica: talento humano, planeación institucional, seguimiento y evaluación.
ii) Componente de resultados, mide las siguientes dimensiones:
- Educación: Cobertura neta en transición, cobertura neta en media, puntaje Saber 11 (matemáticas y lenguaje)
- Salud: Tasa de mortalidad infantil, cobertura en prevalente, cobertura en afiliación a salud
- Seguridad: Tasa de hurtos, tasa de homicidios, tasa de casos de violencia intrafamiliar
- Servicios públicos: cobertura de energía eléctrica rural, cobertura de acueducto y alcantarillado, penetración de internet y banda ancha
- Niñez y juventud: cuidado infancia, trabajo infantil
- Medio ambiente: Tasa de deforestación, emisiones CO2, gestión de desastres, residuos en relleno
- Trabajo: tasa de desempleo, informalidad laboral, pobreza monetaria</t>
  </si>
  <si>
    <t>Ingresos totales e ingresos tributarios</t>
  </si>
  <si>
    <t xml:space="preserve">Con esta variable de contraste se quiere evidenciar la capacidad financiera de las entidades territoriales para el cumplimiento de sus funciones y competencias, principalmente para la provisión de bienes y servicios público. </t>
  </si>
  <si>
    <t>ANÁLISIS DE CONTRASTE MUNICIPIOS - VARIABLES CATEGÓRICAS</t>
  </si>
  <si>
    <t>Categorías 617 de 2000</t>
  </si>
  <si>
    <t>Tipología</t>
  </si>
  <si>
    <t>ESP</t>
  </si>
  <si>
    <t>Total</t>
  </si>
  <si>
    <t>Bogotá</t>
  </si>
  <si>
    <t>Ciudades grandes</t>
  </si>
  <si>
    <t xml:space="preserve">Total </t>
  </si>
  <si>
    <t>Municipios PDET</t>
  </si>
  <si>
    <t>Municipios ZOMAC</t>
  </si>
  <si>
    <t>Rangos IRCA</t>
  </si>
  <si>
    <t>Alto</t>
  </si>
  <si>
    <t>Bajo</t>
  </si>
  <si>
    <t>Inviable</t>
  </si>
  <si>
    <t>Medio</t>
  </si>
  <si>
    <t>N.D.</t>
  </si>
  <si>
    <t>Sin riesgo</t>
  </si>
  <si>
    <t>Rangos IICA</t>
  </si>
  <si>
    <t>Medio Bajo</t>
  </si>
  <si>
    <t>Muy Alto</t>
  </si>
  <si>
    <t>Rangos área ambiental</t>
  </si>
  <si>
    <t>Rangos área étnica</t>
  </si>
  <si>
    <t>Calificación delegación de competencias</t>
  </si>
  <si>
    <t>Candidato</t>
  </si>
  <si>
    <t>No es Candidato</t>
  </si>
  <si>
    <t>Ciudades capitales</t>
  </si>
  <si>
    <t>Ciudades intermedias</t>
  </si>
  <si>
    <t>Municipios fronterizos</t>
  </si>
  <si>
    <t>Varianza</t>
  </si>
  <si>
    <t>TIPOLOGÍAS 2026</t>
  </si>
  <si>
    <t>COMPARACIÓN VIGENCIA ANTERIORES</t>
  </si>
  <si>
    <t>Codigo_DANE_num</t>
  </si>
  <si>
    <t>Codigo_DANE_txt</t>
  </si>
  <si>
    <t>Codigo_DANE_dpto</t>
  </si>
  <si>
    <t>Departamento</t>
  </si>
  <si>
    <t>Municipio</t>
  </si>
  <si>
    <t>IDI_2021</t>
  </si>
  <si>
    <t>IDI_2022</t>
  </si>
  <si>
    <t>IDI_2023</t>
  </si>
  <si>
    <t>IDI_2024</t>
  </si>
  <si>
    <t>IDF_2021</t>
  </si>
  <si>
    <t>IDF_2022</t>
  </si>
  <si>
    <t>IDF_2023</t>
  </si>
  <si>
    <t>IDF_2024</t>
  </si>
  <si>
    <t>IDD_2026</t>
  </si>
  <si>
    <t>IDI_prom</t>
  </si>
  <si>
    <t>IDF_prom</t>
  </si>
  <si>
    <t>IC_2026</t>
  </si>
  <si>
    <t>IDDr_2026</t>
  </si>
  <si>
    <t>IC_Pond_2026</t>
  </si>
  <si>
    <t>Tipologia_2026R</t>
  </si>
  <si>
    <t>Diferencias</t>
  </si>
  <si>
    <t>IC_2025</t>
  </si>
  <si>
    <t>IC2026vsIC2025</t>
  </si>
  <si>
    <t>Pond2025_Ajustada</t>
  </si>
  <si>
    <t>Pond2025Avs2026</t>
  </si>
  <si>
    <t>IC_Pond_2025Ajustada</t>
  </si>
  <si>
    <t>Saltos_2026vs2025A</t>
  </si>
  <si>
    <t>Tip2026_Cortes2025A</t>
  </si>
  <si>
    <t>TipV2026_cor2026vsTip2026_ran2025</t>
  </si>
  <si>
    <t>Cambios</t>
  </si>
  <si>
    <t>Pond2025Pvs2026</t>
  </si>
  <si>
    <t>Tip2026_Cortes2025P</t>
  </si>
  <si>
    <t>Tipología_2024</t>
  </si>
  <si>
    <t>Saltos_2026vs2024</t>
  </si>
  <si>
    <t>68276</t>
  </si>
  <si>
    <t>68</t>
  </si>
  <si>
    <t>SANTANDER</t>
  </si>
  <si>
    <t>FLORIDABLANCA</t>
  </si>
  <si>
    <t>05360</t>
  </si>
  <si>
    <t>05</t>
  </si>
  <si>
    <t>ANTIOQUIA</t>
  </si>
  <si>
    <t>ITAGÜÍ</t>
  </si>
  <si>
    <t>05001</t>
  </si>
  <si>
    <t>MEDELLÍN</t>
  </si>
  <si>
    <t>Especial</t>
  </si>
  <si>
    <t>08001</t>
  </si>
  <si>
    <t>08</t>
  </si>
  <si>
    <t>ATLÁNTICO</t>
  </si>
  <si>
    <t>BARRANQUILLA</t>
  </si>
  <si>
    <t>08758</t>
  </si>
  <si>
    <t>SOLEDAD</t>
  </si>
  <si>
    <t>05631</t>
  </si>
  <si>
    <t>SABANETA</t>
  </si>
  <si>
    <t>05088</t>
  </si>
  <si>
    <t>BELLO</t>
  </si>
  <si>
    <t>05266</t>
  </si>
  <si>
    <t>ENVIGADO</t>
  </si>
  <si>
    <t>76001</t>
  </si>
  <si>
    <t>76</t>
  </si>
  <si>
    <t>VALLE DEL CAUCA</t>
  </si>
  <si>
    <t>CALI</t>
  </si>
  <si>
    <t>11001</t>
  </si>
  <si>
    <t>11</t>
  </si>
  <si>
    <t>BOGOTÁ. D.C.</t>
  </si>
  <si>
    <t>25754</t>
  </si>
  <si>
    <t>25</t>
  </si>
  <si>
    <t>CUNDINAMARCA</t>
  </si>
  <si>
    <t>SOACHA</t>
  </si>
  <si>
    <t>68001</t>
  </si>
  <si>
    <t>BUCARAMANGA</t>
  </si>
  <si>
    <t>66170</t>
  </si>
  <si>
    <t>66</t>
  </si>
  <si>
    <t>RISARALDA</t>
  </si>
  <si>
    <t>DOSQUEBRADAS</t>
  </si>
  <si>
    <t>05380</t>
  </si>
  <si>
    <t>LA ESTRELLA</t>
  </si>
  <si>
    <t>63001</t>
  </si>
  <si>
    <t>63</t>
  </si>
  <si>
    <t>QUINDÍO</t>
  </si>
  <si>
    <t>ARMENIA</t>
  </si>
  <si>
    <t>SC- Centro aglomeración</t>
  </si>
  <si>
    <t>05212</t>
  </si>
  <si>
    <t>COPACABANA</t>
  </si>
  <si>
    <t>13001</t>
  </si>
  <si>
    <t>13</t>
  </si>
  <si>
    <t>BOLÍVAR</t>
  </si>
  <si>
    <t>CARTAGENA</t>
  </si>
  <si>
    <t>25175</t>
  </si>
  <si>
    <t>CHÍA</t>
  </si>
  <si>
    <t>08433</t>
  </si>
  <si>
    <t>MALAMBO</t>
  </si>
  <si>
    <t>25126</t>
  </si>
  <si>
    <t>CAJICÁ</t>
  </si>
  <si>
    <t>25286</t>
  </si>
  <si>
    <t>FUNZA</t>
  </si>
  <si>
    <t>25473</t>
  </si>
  <si>
    <t>MOSQUERA</t>
  </si>
  <si>
    <t>70001</t>
  </si>
  <si>
    <t>70</t>
  </si>
  <si>
    <t>SUCRE</t>
  </si>
  <si>
    <t>SINCELEJO</t>
  </si>
  <si>
    <t>15001</t>
  </si>
  <si>
    <t>15</t>
  </si>
  <si>
    <t>BOYACÁ</t>
  </si>
  <si>
    <t>TUNJA</t>
  </si>
  <si>
    <t>25430</t>
  </si>
  <si>
    <t>MADRID</t>
  </si>
  <si>
    <t>05615</t>
  </si>
  <si>
    <t>RIONEGRO</t>
  </si>
  <si>
    <t>17001</t>
  </si>
  <si>
    <t>17</t>
  </si>
  <si>
    <t>CALDAS</t>
  </si>
  <si>
    <t>MANIZALES</t>
  </si>
  <si>
    <t>08634</t>
  </si>
  <si>
    <t>SABANAGRANDE</t>
  </si>
  <si>
    <t>25269</t>
  </si>
  <si>
    <t>FACATATIVÁ</t>
  </si>
  <si>
    <t>66001</t>
  </si>
  <si>
    <t>PEREIRA</t>
  </si>
  <si>
    <t>05129</t>
  </si>
  <si>
    <t>54874</t>
  </si>
  <si>
    <t>54</t>
  </si>
  <si>
    <t>NORTE DE SANTANDER</t>
  </si>
  <si>
    <t>VILLA DEL ROSARIO</t>
  </si>
  <si>
    <t>66400</t>
  </si>
  <si>
    <t>LA VIRGINIA</t>
  </si>
  <si>
    <t>05308</t>
  </si>
  <si>
    <t>GIRARDOTA</t>
  </si>
  <si>
    <t>25307</t>
  </si>
  <si>
    <t>GIRARDOT</t>
  </si>
  <si>
    <t>08573</t>
  </si>
  <si>
    <t>PUERTO COLOMBIA</t>
  </si>
  <si>
    <t>25290</t>
  </si>
  <si>
    <t>FUSAGASUGÁ</t>
  </si>
  <si>
    <t>08296</t>
  </si>
  <si>
    <t>GALAPA</t>
  </si>
  <si>
    <t>05440</t>
  </si>
  <si>
    <t>MARINILLA</t>
  </si>
  <si>
    <t>25899</t>
  </si>
  <si>
    <t>ZIPAQUIRÁ</t>
  </si>
  <si>
    <t>76147</t>
  </si>
  <si>
    <t>CARTAGO</t>
  </si>
  <si>
    <t>05376</t>
  </si>
  <si>
    <t>LA CEJA</t>
  </si>
  <si>
    <t>25214</t>
  </si>
  <si>
    <t>COTA</t>
  </si>
  <si>
    <t>08078</t>
  </si>
  <si>
    <t>BARANOA</t>
  </si>
  <si>
    <t>13836</t>
  </si>
  <si>
    <t>TURBACO</t>
  </si>
  <si>
    <t>08685</t>
  </si>
  <si>
    <t>SANTO TOMÁS</t>
  </si>
  <si>
    <t>54405</t>
  </si>
  <si>
    <t>LOS PATIOS</t>
  </si>
  <si>
    <t>76892</t>
  </si>
  <si>
    <t>YUMBO</t>
  </si>
  <si>
    <t>25817</t>
  </si>
  <si>
    <t>TOCANCIPÁ</t>
  </si>
  <si>
    <t>05318</t>
  </si>
  <si>
    <t>GUARNE</t>
  </si>
  <si>
    <t>19001</t>
  </si>
  <si>
    <t>19</t>
  </si>
  <si>
    <t>CAUCA</t>
  </si>
  <si>
    <t>POPAYÁN</t>
  </si>
  <si>
    <t>17174</t>
  </si>
  <si>
    <t>CHINCHINÁ</t>
  </si>
  <si>
    <t>68077</t>
  </si>
  <si>
    <t>BARBOSA</t>
  </si>
  <si>
    <t>54001</t>
  </si>
  <si>
    <t>SAN JOSÉ DE CÚCUTA</t>
  </si>
  <si>
    <t>23815</t>
  </si>
  <si>
    <t>23</t>
  </si>
  <si>
    <t>CÓRDOBA</t>
  </si>
  <si>
    <t>TUCHÍN</t>
  </si>
  <si>
    <t>05030</t>
  </si>
  <si>
    <t>AMAGÁ</t>
  </si>
  <si>
    <t>05697</t>
  </si>
  <si>
    <t>EL SANTUARIO</t>
  </si>
  <si>
    <t>76520</t>
  </si>
  <si>
    <t>PALMIRA</t>
  </si>
  <si>
    <t>15759</t>
  </si>
  <si>
    <t>SOGAMOSO</t>
  </si>
  <si>
    <t>19573</t>
  </si>
  <si>
    <t>PUERTO TEJADA</t>
  </si>
  <si>
    <t>08520</t>
  </si>
  <si>
    <t>PALMAR DE VARELA</t>
  </si>
  <si>
    <t>25843</t>
  </si>
  <si>
    <t>VILLA DE SAN DIEGO DE UBATÉ</t>
  </si>
  <si>
    <t>23162</t>
  </si>
  <si>
    <t>CERETÉ</t>
  </si>
  <si>
    <t>25295</t>
  </si>
  <si>
    <t>GACHANCIPÁ</t>
  </si>
  <si>
    <t>63401</t>
  </si>
  <si>
    <t>LA TEBAIDA</t>
  </si>
  <si>
    <t>68547</t>
  </si>
  <si>
    <t>PIEDECUESTA</t>
  </si>
  <si>
    <t>15238</t>
  </si>
  <si>
    <t>DUITAMA</t>
  </si>
  <si>
    <t>73001</t>
  </si>
  <si>
    <t>73</t>
  </si>
  <si>
    <t>TOLIMA</t>
  </si>
  <si>
    <t>IBAGUÉ</t>
  </si>
  <si>
    <t>70221</t>
  </si>
  <si>
    <t>COVEÑAS</t>
  </si>
  <si>
    <t>68307</t>
  </si>
  <si>
    <t>GIRÓN</t>
  </si>
  <si>
    <t>63130</t>
  </si>
  <si>
    <t>CALARCÁ</t>
  </si>
  <si>
    <t>50001</t>
  </si>
  <si>
    <t>50</t>
  </si>
  <si>
    <t>META</t>
  </si>
  <si>
    <t>VILLAVICENCIO</t>
  </si>
  <si>
    <t>76130</t>
  </si>
  <si>
    <t>CANDELARIA</t>
  </si>
  <si>
    <t>63190</t>
  </si>
  <si>
    <t>CIRCASIA</t>
  </si>
  <si>
    <t>68679</t>
  </si>
  <si>
    <t>SAN GIL</t>
  </si>
  <si>
    <t>25740</t>
  </si>
  <si>
    <t>SIBATÉ</t>
  </si>
  <si>
    <t>73268</t>
  </si>
  <si>
    <t>ESPINAL</t>
  </si>
  <si>
    <t>05079</t>
  </si>
  <si>
    <t>76834</t>
  </si>
  <si>
    <t>TULUÁ</t>
  </si>
  <si>
    <t>08770</t>
  </si>
  <si>
    <t>SUAN</t>
  </si>
  <si>
    <t>76364</t>
  </si>
  <si>
    <t>JAMUNDÍ</t>
  </si>
  <si>
    <t>08558</t>
  </si>
  <si>
    <t>POLONUEVO</t>
  </si>
  <si>
    <t>76400</t>
  </si>
  <si>
    <t>LA UNIÓN</t>
  </si>
  <si>
    <t>25785</t>
  </si>
  <si>
    <t>TABIO</t>
  </si>
  <si>
    <t>73275</t>
  </si>
  <si>
    <t>FLANDES</t>
  </si>
  <si>
    <t>08638</t>
  </si>
  <si>
    <t>SABANALARGA</t>
  </si>
  <si>
    <t>08675</t>
  </si>
  <si>
    <t>SANTA LUCÍA</t>
  </si>
  <si>
    <t>47001</t>
  </si>
  <si>
    <t>47</t>
  </si>
  <si>
    <t>MAGDALENA</t>
  </si>
  <si>
    <t>SANTA MARTA</t>
  </si>
  <si>
    <t>15176</t>
  </si>
  <si>
    <t>CHIQUINQUIRÁ</t>
  </si>
  <si>
    <t>70670</t>
  </si>
  <si>
    <t>SAMPUÉS</t>
  </si>
  <si>
    <t>25260</t>
  </si>
  <si>
    <t>EL ROSAL</t>
  </si>
  <si>
    <t>19845</t>
  </si>
  <si>
    <t>VILLA RICA</t>
  </si>
  <si>
    <t>63470</t>
  </si>
  <si>
    <t>MONTENEGRO</t>
  </si>
  <si>
    <t>70215</t>
  </si>
  <si>
    <t>COROZAL</t>
  </si>
  <si>
    <t>76318</t>
  </si>
  <si>
    <t>GUACARÍ</t>
  </si>
  <si>
    <t>76020</t>
  </si>
  <si>
    <t>ALCALÁ</t>
  </si>
  <si>
    <t>08137</t>
  </si>
  <si>
    <t>CAMPO DE LA CRUZ</t>
  </si>
  <si>
    <t>76036</t>
  </si>
  <si>
    <t>ANDALUCÍA</t>
  </si>
  <si>
    <t>63594</t>
  </si>
  <si>
    <t>QUIMBAYA</t>
  </si>
  <si>
    <t>68432</t>
  </si>
  <si>
    <t>MÁLAGA</t>
  </si>
  <si>
    <t>23670</t>
  </si>
  <si>
    <t>SAN ANDRÉS DE SOTAVENTO</t>
  </si>
  <si>
    <t>25386</t>
  </si>
  <si>
    <t>LA MESA</t>
  </si>
  <si>
    <t>25758</t>
  </si>
  <si>
    <t>SOPÓ</t>
  </si>
  <si>
    <t>52001</t>
  </si>
  <si>
    <t>52</t>
  </si>
  <si>
    <t>NARIÑO</t>
  </si>
  <si>
    <t>PASTO</t>
  </si>
  <si>
    <t>41001</t>
  </si>
  <si>
    <t>41</t>
  </si>
  <si>
    <t>HUILA</t>
  </si>
  <si>
    <t>NEIVA</t>
  </si>
  <si>
    <t>23300</t>
  </si>
  <si>
    <t>COTORRA</t>
  </si>
  <si>
    <t>17777</t>
  </si>
  <si>
    <t>SUPÍA</t>
  </si>
  <si>
    <t>19698</t>
  </si>
  <si>
    <t>SANTANDER DE QUILICHAO</t>
  </si>
  <si>
    <t>17442</t>
  </si>
  <si>
    <t>MARMATO</t>
  </si>
  <si>
    <t>25245</t>
  </si>
  <si>
    <t>EL COLEGIO</t>
  </si>
  <si>
    <t>68755</t>
  </si>
  <si>
    <t>SOCORRO</t>
  </si>
  <si>
    <t>05190</t>
  </si>
  <si>
    <t>CISNEROS</t>
  </si>
  <si>
    <t>15322</t>
  </si>
  <si>
    <t>GUATEQUE</t>
  </si>
  <si>
    <t>25797</t>
  </si>
  <si>
    <t>TENA</t>
  </si>
  <si>
    <t>25799</t>
  </si>
  <si>
    <t>TENJO</t>
  </si>
  <si>
    <t>76111</t>
  </si>
  <si>
    <t>GUADALAJARA DE BUGA</t>
  </si>
  <si>
    <t>15491</t>
  </si>
  <si>
    <t>NOBSA</t>
  </si>
  <si>
    <t>13222</t>
  </si>
  <si>
    <t>CLEMENCIA</t>
  </si>
  <si>
    <t>25123</t>
  </si>
  <si>
    <t>CACHIPAY</t>
  </si>
  <si>
    <t>19548</t>
  </si>
  <si>
    <t>PIENDAMÓ - TUNÍA</t>
  </si>
  <si>
    <t>19300</t>
  </si>
  <si>
    <t>GUACHENÉ</t>
  </si>
  <si>
    <t>25875</t>
  </si>
  <si>
    <t>VILLETA</t>
  </si>
  <si>
    <t>05148</t>
  </si>
  <si>
    <t>EL CARMEN DE VIBORAL</t>
  </si>
  <si>
    <t>05541</t>
  </si>
  <si>
    <t>PEÑOL</t>
  </si>
  <si>
    <t>13620</t>
  </si>
  <si>
    <t>SAN CRISTÓBAL</t>
  </si>
  <si>
    <t>13873</t>
  </si>
  <si>
    <t>VILLANUEVA</t>
  </si>
  <si>
    <t>23672</t>
  </si>
  <si>
    <t>SAN ANTERO</t>
  </si>
  <si>
    <t>05045</t>
  </si>
  <si>
    <t>APARTADÓ</t>
  </si>
  <si>
    <t>54498</t>
  </si>
  <si>
    <t>OCAÑA</t>
  </si>
  <si>
    <t>19455</t>
  </si>
  <si>
    <t>MIRANDA</t>
  </si>
  <si>
    <t>66594</t>
  </si>
  <si>
    <t>QUINCHÍA</t>
  </si>
  <si>
    <t>25200</t>
  </si>
  <si>
    <t>COGUA</t>
  </si>
  <si>
    <t>73449</t>
  </si>
  <si>
    <t>MELGAR</t>
  </si>
  <si>
    <t>47980</t>
  </si>
  <si>
    <t>ZONA BANANERA</t>
  </si>
  <si>
    <t>76622</t>
  </si>
  <si>
    <t>ROLDANILLO</t>
  </si>
  <si>
    <t>23001</t>
  </si>
  <si>
    <t>MONTERÍA</t>
  </si>
  <si>
    <t>66682</t>
  </si>
  <si>
    <t>SANTA ROSA DE CABAL</t>
  </si>
  <si>
    <t>76122</t>
  </si>
  <si>
    <t>CAICEDONIA</t>
  </si>
  <si>
    <t>23586</t>
  </si>
  <si>
    <t>PURÍSIMA DE LA CONCEPCIÓN</t>
  </si>
  <si>
    <t>17042</t>
  </si>
  <si>
    <t>ANSERMA</t>
  </si>
  <si>
    <t>05400</t>
  </si>
  <si>
    <t>13683</t>
  </si>
  <si>
    <t>SANTA ROSA</t>
  </si>
  <si>
    <t>76248</t>
  </si>
  <si>
    <t>EL CERRITO</t>
  </si>
  <si>
    <t>25743</t>
  </si>
  <si>
    <t>SILVANIA</t>
  </si>
  <si>
    <t>25151</t>
  </si>
  <si>
    <t>CÁQUEZA</t>
  </si>
  <si>
    <t>52019</t>
  </si>
  <si>
    <t>ALBÁN</t>
  </si>
  <si>
    <t>17873</t>
  </si>
  <si>
    <t>VILLAMARÍA</t>
  </si>
  <si>
    <t>52323</t>
  </si>
  <si>
    <t>GUALMATÁN</t>
  </si>
  <si>
    <t>17524</t>
  </si>
  <si>
    <t>PALESTINA</t>
  </si>
  <si>
    <t>19513</t>
  </si>
  <si>
    <t>PADILLA</t>
  </si>
  <si>
    <t>76845</t>
  </si>
  <si>
    <t>ULLOA</t>
  </si>
  <si>
    <t>76563</t>
  </si>
  <si>
    <t>PRADERA</t>
  </si>
  <si>
    <t>76275</t>
  </si>
  <si>
    <t>FLORIDA</t>
  </si>
  <si>
    <t>08560</t>
  </si>
  <si>
    <t>PONEDERA</t>
  </si>
  <si>
    <t>08421</t>
  </si>
  <si>
    <t>LURUACO</t>
  </si>
  <si>
    <t>08849</t>
  </si>
  <si>
    <t>USIACURÍ</t>
  </si>
  <si>
    <t>05607</t>
  </si>
  <si>
    <t>RETIRO</t>
  </si>
  <si>
    <t>25645</t>
  </si>
  <si>
    <t>SAN ANTONIO DEL TEQUENDAMA</t>
  </si>
  <si>
    <t>68081</t>
  </si>
  <si>
    <t>BARRANCABERMEJA</t>
  </si>
  <si>
    <t>25001</t>
  </si>
  <si>
    <t>AGUA DE DIOS</t>
  </si>
  <si>
    <t>54553</t>
  </si>
  <si>
    <t>PUERTO SANTANDER</t>
  </si>
  <si>
    <t>13052</t>
  </si>
  <si>
    <t>ARJONA</t>
  </si>
  <si>
    <t>52399</t>
  </si>
  <si>
    <t>05390</t>
  </si>
  <si>
    <t>LA PINTADA</t>
  </si>
  <si>
    <t>41551</t>
  </si>
  <si>
    <t>PITALITO</t>
  </si>
  <si>
    <t>54518</t>
  </si>
  <si>
    <t>PAMPLONA</t>
  </si>
  <si>
    <t>08372</t>
  </si>
  <si>
    <t>JUAN DE ACOSTA</t>
  </si>
  <si>
    <t>50313</t>
  </si>
  <si>
    <t>GRANADA</t>
  </si>
  <si>
    <t>25019</t>
  </si>
  <si>
    <t>25486</t>
  </si>
  <si>
    <t>NEMOCÓN</t>
  </si>
  <si>
    <t>23660</t>
  </si>
  <si>
    <t>SAHAGÚN</t>
  </si>
  <si>
    <t>25312</t>
  </si>
  <si>
    <t>23464</t>
  </si>
  <si>
    <t>MOMIL</t>
  </si>
  <si>
    <t>19807</t>
  </si>
  <si>
    <t>TIMBÍO</t>
  </si>
  <si>
    <t>76895</t>
  </si>
  <si>
    <t>ZARZAL</t>
  </si>
  <si>
    <t>52838</t>
  </si>
  <si>
    <t>TÚQUERRES</t>
  </si>
  <si>
    <t>70418</t>
  </si>
  <si>
    <t>LOS PALMITOS</t>
  </si>
  <si>
    <t>08141</t>
  </si>
  <si>
    <t>68327</t>
  </si>
  <si>
    <t>GÜEPSA</t>
  </si>
  <si>
    <t>76869</t>
  </si>
  <si>
    <t>VIJES</t>
  </si>
  <si>
    <t>23417</t>
  </si>
  <si>
    <t>LORICA</t>
  </si>
  <si>
    <t>23500</t>
  </si>
  <si>
    <t>MOÑITOS</t>
  </si>
  <si>
    <t>05679</t>
  </si>
  <si>
    <t>SANTA BÁRBARA</t>
  </si>
  <si>
    <t>05656</t>
  </si>
  <si>
    <t>SAN JERÓNIMO</t>
  </si>
  <si>
    <t>05664</t>
  </si>
  <si>
    <t>SAN PEDRO DE LOS MILAGROS</t>
  </si>
  <si>
    <t>66088</t>
  </si>
  <si>
    <t>BELÉN DE UMBRÍA</t>
  </si>
  <si>
    <t>76606</t>
  </si>
  <si>
    <t>RESTREPO</t>
  </si>
  <si>
    <t>23686</t>
  </si>
  <si>
    <t>SAN PELAYO</t>
  </si>
  <si>
    <t>25035</t>
  </si>
  <si>
    <t>ANAPOIMA</t>
  </si>
  <si>
    <t>25745</t>
  </si>
  <si>
    <t>SIMIJACA</t>
  </si>
  <si>
    <t>05674</t>
  </si>
  <si>
    <t>SAN VICENTE</t>
  </si>
  <si>
    <t>52683</t>
  </si>
  <si>
    <t>SANDONÁ</t>
  </si>
  <si>
    <t>13430</t>
  </si>
  <si>
    <t>MAGANGUÉ</t>
  </si>
  <si>
    <t>47189</t>
  </si>
  <si>
    <t>CIÉNAGA</t>
  </si>
  <si>
    <t>63272</t>
  </si>
  <si>
    <t>FILANDIA</t>
  </si>
  <si>
    <t>17614</t>
  </si>
  <si>
    <t>RIOSUCIO</t>
  </si>
  <si>
    <t>17616</t>
  </si>
  <si>
    <t>23675</t>
  </si>
  <si>
    <t>SAN BERNARDO DEL VIENTO</t>
  </si>
  <si>
    <t>70820</t>
  </si>
  <si>
    <t>SANTIAGO DE TOLÚ</t>
  </si>
  <si>
    <t>25612</t>
  </si>
  <si>
    <t>RICAURTE</t>
  </si>
  <si>
    <t>25040</t>
  </si>
  <si>
    <t>ANOLAIMA</t>
  </si>
  <si>
    <t>66440</t>
  </si>
  <si>
    <t>MARSELLA</t>
  </si>
  <si>
    <t>76670</t>
  </si>
  <si>
    <t>SAN PEDRO</t>
  </si>
  <si>
    <t>13760</t>
  </si>
  <si>
    <t>SOPLAVIENTO</t>
  </si>
  <si>
    <t>17877</t>
  </si>
  <si>
    <t>VITERBO</t>
  </si>
  <si>
    <t>05237</t>
  </si>
  <si>
    <t>DON MATÍAS</t>
  </si>
  <si>
    <t>25402</t>
  </si>
  <si>
    <t>LA VEGA</t>
  </si>
  <si>
    <t>05282</t>
  </si>
  <si>
    <t>FREDONIA</t>
  </si>
  <si>
    <t>73520</t>
  </si>
  <si>
    <t>PALOCABILDO</t>
  </si>
  <si>
    <t>19142</t>
  </si>
  <si>
    <t>CALOTO</t>
  </si>
  <si>
    <t>25099</t>
  </si>
  <si>
    <t>BOJACÁ</t>
  </si>
  <si>
    <t>52480</t>
  </si>
  <si>
    <t>08832</t>
  </si>
  <si>
    <t>TUBARÁ</t>
  </si>
  <si>
    <t>52210</t>
  </si>
  <si>
    <t>CONTADERO</t>
  </si>
  <si>
    <t>73443</t>
  </si>
  <si>
    <t>SAN SEBASTIÁN DE MARIQUITA</t>
  </si>
  <si>
    <t>20001</t>
  </si>
  <si>
    <t>20</t>
  </si>
  <si>
    <t>CESAR</t>
  </si>
  <si>
    <t>VALLEDUPAR</t>
  </si>
  <si>
    <t>73283</t>
  </si>
  <si>
    <t>FRESNO</t>
  </si>
  <si>
    <t>66318</t>
  </si>
  <si>
    <t>GUÁTICA</t>
  </si>
  <si>
    <t>20011</t>
  </si>
  <si>
    <t>AGUACHICA</t>
  </si>
  <si>
    <t>76306</t>
  </si>
  <si>
    <t>GINEBRA</t>
  </si>
  <si>
    <t>70473</t>
  </si>
  <si>
    <t>MORROA</t>
  </si>
  <si>
    <t>08436</t>
  </si>
  <si>
    <t>MANATÍ</t>
  </si>
  <si>
    <t>23189</t>
  </si>
  <si>
    <t>CIÉNAGA DE ORO</t>
  </si>
  <si>
    <t>52224</t>
  </si>
  <si>
    <t>CUASPUD CARLOSAMA</t>
  </si>
  <si>
    <t>13838</t>
  </si>
  <si>
    <t>TURBANÁ</t>
  </si>
  <si>
    <t>17444</t>
  </si>
  <si>
    <t>MARQUETALIA</t>
  </si>
  <si>
    <t>73411</t>
  </si>
  <si>
    <t>LÍBANO</t>
  </si>
  <si>
    <t>17380</t>
  </si>
  <si>
    <t>LA DORADA</t>
  </si>
  <si>
    <t>52022</t>
  </si>
  <si>
    <t>ALDANA</t>
  </si>
  <si>
    <t>15407</t>
  </si>
  <si>
    <t>VILLA DE LEYVA</t>
  </si>
  <si>
    <t>15806</t>
  </si>
  <si>
    <t>TIBASOSA</t>
  </si>
  <si>
    <t>13140</t>
  </si>
  <si>
    <t>CALAMAR</t>
  </si>
  <si>
    <t>05576</t>
  </si>
  <si>
    <t>PUEBLORRICO</t>
  </si>
  <si>
    <t>25718</t>
  </si>
  <si>
    <t>SASAIMA</t>
  </si>
  <si>
    <t>44430</t>
  </si>
  <si>
    <t>44</t>
  </si>
  <si>
    <t>LA GUAJIRA</t>
  </si>
  <si>
    <t>MAICAO</t>
  </si>
  <si>
    <t>05147</t>
  </si>
  <si>
    <t>CAREPA</t>
  </si>
  <si>
    <t>13673</t>
  </si>
  <si>
    <t>SANTA CATALINA</t>
  </si>
  <si>
    <t>19137</t>
  </si>
  <si>
    <t>CALDONO</t>
  </si>
  <si>
    <t>86749</t>
  </si>
  <si>
    <t>86</t>
  </si>
  <si>
    <t>PUTUMAYO</t>
  </si>
  <si>
    <t>SIBUNDOY</t>
  </si>
  <si>
    <t>05321</t>
  </si>
  <si>
    <t>GUATAPÉ</t>
  </si>
  <si>
    <t>25772</t>
  </si>
  <si>
    <t>SUESCA</t>
  </si>
  <si>
    <t>13188</t>
  </si>
  <si>
    <t>CICUCO</t>
  </si>
  <si>
    <t>05861</t>
  </si>
  <si>
    <t>VENECIA</t>
  </si>
  <si>
    <t>70717</t>
  </si>
  <si>
    <t>44874</t>
  </si>
  <si>
    <t>05467</t>
  </si>
  <si>
    <t>MONTEBELLO</t>
  </si>
  <si>
    <t>15367</t>
  </si>
  <si>
    <t>JENESANO</t>
  </si>
  <si>
    <t>25898</t>
  </si>
  <si>
    <t>ZIPACÓN</t>
  </si>
  <si>
    <t>70523</t>
  </si>
  <si>
    <t>PALMITO</t>
  </si>
  <si>
    <t>17088</t>
  </si>
  <si>
    <t>BELALCÁZAR</t>
  </si>
  <si>
    <t>25377</t>
  </si>
  <si>
    <t>LA CALERA</t>
  </si>
  <si>
    <t>23182</t>
  </si>
  <si>
    <t>CHINÚ</t>
  </si>
  <si>
    <t>05034</t>
  </si>
  <si>
    <t>ANDES</t>
  </si>
  <si>
    <t>44378</t>
  </si>
  <si>
    <t>HATONUEVO</t>
  </si>
  <si>
    <t>25658</t>
  </si>
  <si>
    <t>SAN FRANCISCO</t>
  </si>
  <si>
    <t>25781</t>
  </si>
  <si>
    <t>SUTATAUSA</t>
  </si>
  <si>
    <t>05101</t>
  </si>
  <si>
    <t>CIUDAD BOLÍVAR</t>
  </si>
  <si>
    <t>05809</t>
  </si>
  <si>
    <t>TITIRIBÍ</t>
  </si>
  <si>
    <t>52051</t>
  </si>
  <si>
    <t>ARBOLEDA</t>
  </si>
  <si>
    <t>05353</t>
  </si>
  <si>
    <t>HISPANIA</t>
  </si>
  <si>
    <t>15686</t>
  </si>
  <si>
    <t>SANTANA</t>
  </si>
  <si>
    <t>05036</t>
  </si>
  <si>
    <t>ANGELÓPOLIS</t>
  </si>
  <si>
    <t>15646</t>
  </si>
  <si>
    <t>SAMACÁ</t>
  </si>
  <si>
    <t>70702</t>
  </si>
  <si>
    <t>SAN JUAN DE BETULIA</t>
  </si>
  <si>
    <t>13442</t>
  </si>
  <si>
    <t>MARÍA LA BAJA</t>
  </si>
  <si>
    <t>52083</t>
  </si>
  <si>
    <t>BELÉN</t>
  </si>
  <si>
    <t>15764</t>
  </si>
  <si>
    <t>SORACÁ</t>
  </si>
  <si>
    <t>13647</t>
  </si>
  <si>
    <t>SAN ESTANISLAO</t>
  </si>
  <si>
    <t>52585</t>
  </si>
  <si>
    <t>PUPIALES</t>
  </si>
  <si>
    <t>76823</t>
  </si>
  <si>
    <t>TORO</t>
  </si>
  <si>
    <t>25491</t>
  </si>
  <si>
    <t>NOCAIMA</t>
  </si>
  <si>
    <t>41298</t>
  </si>
  <si>
    <t>GARZÓN</t>
  </si>
  <si>
    <t>52685</t>
  </si>
  <si>
    <t>SAN BERNARDO</t>
  </si>
  <si>
    <t>44279</t>
  </si>
  <si>
    <t>FONSECA</t>
  </si>
  <si>
    <t>54172</t>
  </si>
  <si>
    <t>CHINÁCOTA</t>
  </si>
  <si>
    <t>15104</t>
  </si>
  <si>
    <t>15516</t>
  </si>
  <si>
    <t>PAIPA</t>
  </si>
  <si>
    <t>68406</t>
  </si>
  <si>
    <t>LEBRÍJA</t>
  </si>
  <si>
    <t>70823</t>
  </si>
  <si>
    <t>SAN JOSÉ DE TOLUVIEJO</t>
  </si>
  <si>
    <t>41807</t>
  </si>
  <si>
    <t>TIMANÁ</t>
  </si>
  <si>
    <t>15469</t>
  </si>
  <si>
    <t>MONIQUIRÁ</t>
  </si>
  <si>
    <t>52565</t>
  </si>
  <si>
    <t>PROVIDENCIA</t>
  </si>
  <si>
    <t>15861</t>
  </si>
  <si>
    <t>VENTAQUEMADA</t>
  </si>
  <si>
    <t>52693</t>
  </si>
  <si>
    <t>SAN PABLO</t>
  </si>
  <si>
    <t>15693</t>
  </si>
  <si>
    <t>SANTA ROSA DE VITERBO</t>
  </si>
  <si>
    <t>05761</t>
  </si>
  <si>
    <t>SOPETRÁN</t>
  </si>
  <si>
    <t>52317</t>
  </si>
  <si>
    <t>GUACHUCAL</t>
  </si>
  <si>
    <t>52203</t>
  </si>
  <si>
    <t>COLÓN</t>
  </si>
  <si>
    <t>13244</t>
  </si>
  <si>
    <t>EL CARMEN DE BOLÍVAR</t>
  </si>
  <si>
    <t>25736</t>
  </si>
  <si>
    <t>SESQUILÉ</t>
  </si>
  <si>
    <t>15494</t>
  </si>
  <si>
    <t>NUEVO COLÓN</t>
  </si>
  <si>
    <t>76113</t>
  </si>
  <si>
    <t>BUGALAGRANDE</t>
  </si>
  <si>
    <t>19212</t>
  </si>
  <si>
    <t>CORINTO</t>
  </si>
  <si>
    <t>25053</t>
  </si>
  <si>
    <t>ARBELÁEZ</t>
  </si>
  <si>
    <t>76736</t>
  </si>
  <si>
    <t>SEVILLA</t>
  </si>
  <si>
    <t>68549</t>
  </si>
  <si>
    <t>PINCHOTE</t>
  </si>
  <si>
    <t>52694</t>
  </si>
  <si>
    <t>SAN PEDRO DE CARTAGO</t>
  </si>
  <si>
    <t>41615</t>
  </si>
  <si>
    <t>RIVERA</t>
  </si>
  <si>
    <t>66045</t>
  </si>
  <si>
    <t>APÍA</t>
  </si>
  <si>
    <t>63111</t>
  </si>
  <si>
    <t>BUENAVISTA</t>
  </si>
  <si>
    <t>15476</t>
  </si>
  <si>
    <t>MOTAVITA</t>
  </si>
  <si>
    <t>17665</t>
  </si>
  <si>
    <t>SAN JOSÉ</t>
  </si>
  <si>
    <t>70742</t>
  </si>
  <si>
    <t>SAN LUIS DE SINCÉ</t>
  </si>
  <si>
    <t>52036</t>
  </si>
  <si>
    <t>ANCUYÁ</t>
  </si>
  <si>
    <t>08606</t>
  </si>
  <si>
    <t>REPELÓN</t>
  </si>
  <si>
    <t>05209</t>
  </si>
  <si>
    <t>CONCORDIA</t>
  </si>
  <si>
    <t>25328</t>
  </si>
  <si>
    <t>GUAYABAL DE SÍQUIMA</t>
  </si>
  <si>
    <t>66383</t>
  </si>
  <si>
    <t>LA CELIA</t>
  </si>
  <si>
    <t>15820</t>
  </si>
  <si>
    <t>TÓPAGA</t>
  </si>
  <si>
    <t>47205</t>
  </si>
  <si>
    <t>25769</t>
  </si>
  <si>
    <t>SUBACHOQUE</t>
  </si>
  <si>
    <t>19780</t>
  </si>
  <si>
    <t>SUÁREZ</t>
  </si>
  <si>
    <t>15778</t>
  </si>
  <si>
    <t>SUTATENZA</t>
  </si>
  <si>
    <t>70110</t>
  </si>
  <si>
    <t>15204</t>
  </si>
  <si>
    <t>CÓMBITA</t>
  </si>
  <si>
    <t>52207</t>
  </si>
  <si>
    <t>CONSACÁ</t>
  </si>
  <si>
    <t>25599</t>
  </si>
  <si>
    <t>APULO</t>
  </si>
  <si>
    <t>47268</t>
  </si>
  <si>
    <t>EL RETÉN</t>
  </si>
  <si>
    <t>19110</t>
  </si>
  <si>
    <t>BUENOS AIRES</t>
  </si>
  <si>
    <t>73671</t>
  </si>
  <si>
    <t>SALDAÑA</t>
  </si>
  <si>
    <t>52885</t>
  </si>
  <si>
    <t>YACUANQUER</t>
  </si>
  <si>
    <t>25317</t>
  </si>
  <si>
    <t>GUACHETÁ</t>
  </si>
  <si>
    <t>76377</t>
  </si>
  <si>
    <t>LA CUMBRE</t>
  </si>
  <si>
    <t>15224</t>
  </si>
  <si>
    <t>CUCAITA</t>
  </si>
  <si>
    <t>70204</t>
  </si>
  <si>
    <t>COLOSÓ</t>
  </si>
  <si>
    <t>73349</t>
  </si>
  <si>
    <t>HONDA</t>
  </si>
  <si>
    <t>13433</t>
  </si>
  <si>
    <t>MAHATES</t>
  </si>
  <si>
    <t>52506</t>
  </si>
  <si>
    <t>OSPINA</t>
  </si>
  <si>
    <t>25524</t>
  </si>
  <si>
    <t>PANDI</t>
  </si>
  <si>
    <t>76497</t>
  </si>
  <si>
    <t>OBANDO</t>
  </si>
  <si>
    <t>25873</t>
  </si>
  <si>
    <t>VILLAPINZÓN</t>
  </si>
  <si>
    <t>25878</t>
  </si>
  <si>
    <t>VIOTÁ</t>
  </si>
  <si>
    <t>76041</t>
  </si>
  <si>
    <t>ANSERMANUEVO</t>
  </si>
  <si>
    <t>70235</t>
  </si>
  <si>
    <t>GALERAS</t>
  </si>
  <si>
    <t>13657</t>
  </si>
  <si>
    <t>SAN JUAN NEPOMUCENO</t>
  </si>
  <si>
    <t>15638</t>
  </si>
  <si>
    <t>SÁCHICA</t>
  </si>
  <si>
    <t>25815</t>
  </si>
  <si>
    <t>TOCAIMA</t>
  </si>
  <si>
    <t>47288</t>
  </si>
  <si>
    <t>FUNDACIÓN</t>
  </si>
  <si>
    <t>25178</t>
  </si>
  <si>
    <t>CHIPAQUE</t>
  </si>
  <si>
    <t>76828</t>
  </si>
  <si>
    <t>TRUJILLO</t>
  </si>
  <si>
    <t>25224</t>
  </si>
  <si>
    <t>CUCUNUBÁ</t>
  </si>
  <si>
    <t>20060</t>
  </si>
  <si>
    <t>BOSCONIA</t>
  </si>
  <si>
    <t>05659</t>
  </si>
  <si>
    <t>SAN JUAN DE URABÁ</t>
  </si>
  <si>
    <t>05197</t>
  </si>
  <si>
    <t>COCORNÁ</t>
  </si>
  <si>
    <t>52240</t>
  </si>
  <si>
    <t>CHACHAGÜÍ</t>
  </si>
  <si>
    <t>68872</t>
  </si>
  <si>
    <t>25867</t>
  </si>
  <si>
    <t>VIANÍ</t>
  </si>
  <si>
    <t>19473</t>
  </si>
  <si>
    <t>MORALES</t>
  </si>
  <si>
    <t>19130</t>
  </si>
  <si>
    <t>CAJIBÍO</t>
  </si>
  <si>
    <t>15189</t>
  </si>
  <si>
    <t>CIÉNEGA</t>
  </si>
  <si>
    <t>73319</t>
  </si>
  <si>
    <t>GUAMO</t>
  </si>
  <si>
    <t>44001</t>
  </si>
  <si>
    <t>RIOHACHA</t>
  </si>
  <si>
    <t>25183</t>
  </si>
  <si>
    <t>CHOCONTÁ</t>
  </si>
  <si>
    <t>17433</t>
  </si>
  <si>
    <t>MANZANARES</t>
  </si>
  <si>
    <t>23678</t>
  </si>
  <si>
    <t>SAN CARLOS</t>
  </si>
  <si>
    <t>15299</t>
  </si>
  <si>
    <t>GARAGOA</t>
  </si>
  <si>
    <t>47245</t>
  </si>
  <si>
    <t>EL BANCO</t>
  </si>
  <si>
    <t>05172</t>
  </si>
  <si>
    <t>CHIGORODÓ</t>
  </si>
  <si>
    <t>50006</t>
  </si>
  <si>
    <t>ACACÍAS</t>
  </si>
  <si>
    <t>52320</t>
  </si>
  <si>
    <t>GUAITARILLA</t>
  </si>
  <si>
    <t>17388</t>
  </si>
  <si>
    <t>LA MERCED</t>
  </si>
  <si>
    <t>19821</t>
  </si>
  <si>
    <t>TORIBÍO</t>
  </si>
  <si>
    <t>17050</t>
  </si>
  <si>
    <t>ARANZAZU</t>
  </si>
  <si>
    <t>52354</t>
  </si>
  <si>
    <t>IMUÉS</t>
  </si>
  <si>
    <t>15599</t>
  </si>
  <si>
    <t>RAMIRIQUÍ</t>
  </si>
  <si>
    <t>20443</t>
  </si>
  <si>
    <t>MANAURE</t>
  </si>
  <si>
    <t>52352</t>
  </si>
  <si>
    <t>ILES</t>
  </si>
  <si>
    <t>66687</t>
  </si>
  <si>
    <t>SANTUARIO</t>
  </si>
  <si>
    <t>15835</t>
  </si>
  <si>
    <t>TURMEQUÉ</t>
  </si>
  <si>
    <t>76890</t>
  </si>
  <si>
    <t>YOTOCO</t>
  </si>
  <si>
    <t>47570</t>
  </si>
  <si>
    <t>PUEBLOVIEJO</t>
  </si>
  <si>
    <t>68855</t>
  </si>
  <si>
    <t>VALLE DE SAN JOSÉ</t>
  </si>
  <si>
    <t>13654</t>
  </si>
  <si>
    <t>SAN JACINTO</t>
  </si>
  <si>
    <t>05042</t>
  </si>
  <si>
    <t>SANTAFÉ DE ANTIOQUIA</t>
  </si>
  <si>
    <t>19364</t>
  </si>
  <si>
    <t>JAMBALÓ</t>
  </si>
  <si>
    <t>05306</t>
  </si>
  <si>
    <t>GIRALDO</t>
  </si>
  <si>
    <t>68498</t>
  </si>
  <si>
    <t>OCAMONTE</t>
  </si>
  <si>
    <t>13468</t>
  </si>
  <si>
    <t>SANTA CRUZ DE MOMPOX</t>
  </si>
  <si>
    <t>05642</t>
  </si>
  <si>
    <t>SALGAR</t>
  </si>
  <si>
    <t>05364</t>
  </si>
  <si>
    <t>JARDÍN</t>
  </si>
  <si>
    <t>05240</t>
  </si>
  <si>
    <t>EBÉJICO</t>
  </si>
  <si>
    <t>25288</t>
  </si>
  <si>
    <t>FÚQUENE</t>
  </si>
  <si>
    <t>63212</t>
  </si>
  <si>
    <t>25779</t>
  </si>
  <si>
    <t>SUSA</t>
  </si>
  <si>
    <t>76616</t>
  </si>
  <si>
    <t>RIOFRÍO</t>
  </si>
  <si>
    <t>25841</t>
  </si>
  <si>
    <t>UBAQUE</t>
  </si>
  <si>
    <t>05368</t>
  </si>
  <si>
    <t>JERICÓ</t>
  </si>
  <si>
    <t>76054</t>
  </si>
  <si>
    <t>ARGELIA</t>
  </si>
  <si>
    <t>25407</t>
  </si>
  <si>
    <t>LENGUAZAQUE</t>
  </si>
  <si>
    <t>73408</t>
  </si>
  <si>
    <t>LÉRIDA</t>
  </si>
  <si>
    <t>05264</t>
  </si>
  <si>
    <t>ENTRERRIOS</t>
  </si>
  <si>
    <t>68079</t>
  </si>
  <si>
    <t>BARICHARA</t>
  </si>
  <si>
    <t>19290</t>
  </si>
  <si>
    <t>FLORENCIA</t>
  </si>
  <si>
    <t>15798</t>
  </si>
  <si>
    <t>TENZA</t>
  </si>
  <si>
    <t>15804</t>
  </si>
  <si>
    <t>TIBANÁ</t>
  </si>
  <si>
    <t>70400</t>
  </si>
  <si>
    <t>25805</t>
  </si>
  <si>
    <t>TIBACUY</t>
  </si>
  <si>
    <t>05313</t>
  </si>
  <si>
    <t>68522</t>
  </si>
  <si>
    <t>PALMAR</t>
  </si>
  <si>
    <t>17486</t>
  </si>
  <si>
    <t>NEIRA</t>
  </si>
  <si>
    <t>05789</t>
  </si>
  <si>
    <t>TÁMESIS</t>
  </si>
  <si>
    <t>25489</t>
  </si>
  <si>
    <t>NIMAIMA</t>
  </si>
  <si>
    <t>70230</t>
  </si>
  <si>
    <t>CHALÁN</t>
  </si>
  <si>
    <t>23168</t>
  </si>
  <si>
    <t>CHIMÁ</t>
  </si>
  <si>
    <t>44035</t>
  </si>
  <si>
    <t>ALBANIA</t>
  </si>
  <si>
    <t>70508</t>
  </si>
  <si>
    <t>OVEJAS</t>
  </si>
  <si>
    <t>17272</t>
  </si>
  <si>
    <t>FILADELFIA</t>
  </si>
  <si>
    <t>05347</t>
  </si>
  <si>
    <t>HELICONIA</t>
  </si>
  <si>
    <t>76403</t>
  </si>
  <si>
    <t>LA VICTORIA</t>
  </si>
  <si>
    <t>47675</t>
  </si>
  <si>
    <t>SALAMINA</t>
  </si>
  <si>
    <t>23555</t>
  </si>
  <si>
    <t>PLANETA RICA</t>
  </si>
  <si>
    <t>73148</t>
  </si>
  <si>
    <t>CARMEN DE APICALÁ</t>
  </si>
  <si>
    <t>25592</t>
  </si>
  <si>
    <t>QUEBRADANEGRA</t>
  </si>
  <si>
    <t>25513</t>
  </si>
  <si>
    <t>PACHO</t>
  </si>
  <si>
    <t>15664</t>
  </si>
  <si>
    <t>SAN JOSÉ DE PARE</t>
  </si>
  <si>
    <t>44098</t>
  </si>
  <si>
    <t>DISTRACCIÓN</t>
  </si>
  <si>
    <t>41132</t>
  </si>
  <si>
    <t>CAMPOALEGRE</t>
  </si>
  <si>
    <t>76233</t>
  </si>
  <si>
    <t>DAGUA</t>
  </si>
  <si>
    <t>05154</t>
  </si>
  <si>
    <t>CAUCASIA</t>
  </si>
  <si>
    <t>41396</t>
  </si>
  <si>
    <t>LA PLATA</t>
  </si>
  <si>
    <t>86219</t>
  </si>
  <si>
    <t>66075</t>
  </si>
  <si>
    <t>BALBOA</t>
  </si>
  <si>
    <t>05887</t>
  </si>
  <si>
    <t>YARUMAL</t>
  </si>
  <si>
    <t>70713</t>
  </si>
  <si>
    <t>SAN ONOFRE</t>
  </si>
  <si>
    <t>73585</t>
  </si>
  <si>
    <t>PURIFICACIÓN</t>
  </si>
  <si>
    <t>13062</t>
  </si>
  <si>
    <t>ARROYOHONDO</t>
  </si>
  <si>
    <t>68533</t>
  </si>
  <si>
    <t>PÁRAMO</t>
  </si>
  <si>
    <t>15753</t>
  </si>
  <si>
    <t>SOATÁ</t>
  </si>
  <si>
    <t>15762</t>
  </si>
  <si>
    <t>SORA</t>
  </si>
  <si>
    <t>41503</t>
  </si>
  <si>
    <t>OPORAPA</t>
  </si>
  <si>
    <t>23574</t>
  </si>
  <si>
    <t>PUERTO ESCONDIDO</t>
  </si>
  <si>
    <t>41548</t>
  </si>
  <si>
    <t>PITAL</t>
  </si>
  <si>
    <t>41319</t>
  </si>
  <si>
    <t>GUADALUPE</t>
  </si>
  <si>
    <t>19622</t>
  </si>
  <si>
    <t>ROSAS</t>
  </si>
  <si>
    <t>25488</t>
  </si>
  <si>
    <t>NILO</t>
  </si>
  <si>
    <t>70708</t>
  </si>
  <si>
    <t>SAN MARCOS</t>
  </si>
  <si>
    <t>05690</t>
  </si>
  <si>
    <t>SANTO DOMINGO</t>
  </si>
  <si>
    <t>20400</t>
  </si>
  <si>
    <t>LA JAGUA DE IBIRICO</t>
  </si>
  <si>
    <t>73352</t>
  </si>
  <si>
    <t>ICONONZO</t>
  </si>
  <si>
    <t>52356</t>
  </si>
  <si>
    <t>IPIALES</t>
  </si>
  <si>
    <t>05792</t>
  </si>
  <si>
    <t>TARSO</t>
  </si>
  <si>
    <t>70233</t>
  </si>
  <si>
    <t>EL ROBLE</t>
  </si>
  <si>
    <t>05670</t>
  </si>
  <si>
    <t>SAN ROQUE</t>
  </si>
  <si>
    <t>05091</t>
  </si>
  <si>
    <t>BETANIA</t>
  </si>
  <si>
    <t>19824</t>
  </si>
  <si>
    <t>TOTORÓ</t>
  </si>
  <si>
    <t>13780</t>
  </si>
  <si>
    <t>TALAIGUA NUEVO</t>
  </si>
  <si>
    <t>85001</t>
  </si>
  <si>
    <t>85</t>
  </si>
  <si>
    <t>CASANARE</t>
  </si>
  <si>
    <t>YOPAL</t>
  </si>
  <si>
    <t>25281</t>
  </si>
  <si>
    <t>FOSCA</t>
  </si>
  <si>
    <t>15776</t>
  </si>
  <si>
    <t>SUTAMARCHÁN</t>
  </si>
  <si>
    <t>05093</t>
  </si>
  <si>
    <t>BETULIA</t>
  </si>
  <si>
    <t>41359</t>
  </si>
  <si>
    <t>ISNOS</t>
  </si>
  <si>
    <t>25181</t>
  </si>
  <si>
    <t>CHOACHÍ</t>
  </si>
  <si>
    <t>76109</t>
  </si>
  <si>
    <t>BUENAVENTURA</t>
  </si>
  <si>
    <t>52381</t>
  </si>
  <si>
    <t>LA FLORIDA</t>
  </si>
  <si>
    <t>68572</t>
  </si>
  <si>
    <t>PUENTE NACIONAL</t>
  </si>
  <si>
    <t>25596</t>
  </si>
  <si>
    <t>QUIPILE</t>
  </si>
  <si>
    <t>05059</t>
  </si>
  <si>
    <t>17513</t>
  </si>
  <si>
    <t>PÁCORA</t>
  </si>
  <si>
    <t>05686</t>
  </si>
  <si>
    <t>SANTA ROSA DE OSOS</t>
  </si>
  <si>
    <t>54347</t>
  </si>
  <si>
    <t>HERRÁN</t>
  </si>
  <si>
    <t>23419</t>
  </si>
  <si>
    <t>LOS CÓRDOBAS</t>
  </si>
  <si>
    <t>47161</t>
  </si>
  <si>
    <t>CERRO DE SAN ANTONIO</t>
  </si>
  <si>
    <t>05315</t>
  </si>
  <si>
    <t>25483</t>
  </si>
  <si>
    <t>25807</t>
  </si>
  <si>
    <t>TIBIRITA</t>
  </si>
  <si>
    <t>52378</t>
  </si>
  <si>
    <t>LA CRUZ</t>
  </si>
  <si>
    <t>44560</t>
  </si>
  <si>
    <t>15632</t>
  </si>
  <si>
    <t>SABOYÁ</t>
  </si>
  <si>
    <t>76243</t>
  </si>
  <si>
    <t>EL ÁGUILA</t>
  </si>
  <si>
    <t>52786</t>
  </si>
  <si>
    <t>TAMINANGO</t>
  </si>
  <si>
    <t>05856</t>
  </si>
  <si>
    <t>VALPARAÍSO</t>
  </si>
  <si>
    <t>19743</t>
  </si>
  <si>
    <t>SILVIA</t>
  </si>
  <si>
    <t>15187</t>
  </si>
  <si>
    <t>CHIVATÁ</t>
  </si>
  <si>
    <t>13300</t>
  </si>
  <si>
    <t>HATILLO DE LOBA</t>
  </si>
  <si>
    <t>68147</t>
  </si>
  <si>
    <t>CAPITANEJO</t>
  </si>
  <si>
    <t>19785</t>
  </si>
  <si>
    <t>23350</t>
  </si>
  <si>
    <t>LA APARTADA</t>
  </si>
  <si>
    <t>68229</t>
  </si>
  <si>
    <t>CURITÍ</t>
  </si>
  <si>
    <t>15740</t>
  </si>
  <si>
    <t>SIACHOQUE</t>
  </si>
  <si>
    <t>44078</t>
  </si>
  <si>
    <t>BARRANCAS</t>
  </si>
  <si>
    <t>52687</t>
  </si>
  <si>
    <t>SAN LORENZO</t>
  </si>
  <si>
    <t>41530</t>
  </si>
  <si>
    <t>52411</t>
  </si>
  <si>
    <t>LINARES</t>
  </si>
  <si>
    <t>19022</t>
  </si>
  <si>
    <t>ALMAGUER</t>
  </si>
  <si>
    <t>54261</t>
  </si>
  <si>
    <t>EL ZULIA</t>
  </si>
  <si>
    <t>20710</t>
  </si>
  <si>
    <t>SAN ALBERTO</t>
  </si>
  <si>
    <t>68051</t>
  </si>
  <si>
    <t>ARATOCA</t>
  </si>
  <si>
    <t>20310</t>
  </si>
  <si>
    <t>GONZÁLEZ</t>
  </si>
  <si>
    <t>15272</t>
  </si>
  <si>
    <t>FIRAVITOBA</t>
  </si>
  <si>
    <t>68861</t>
  </si>
  <si>
    <t>VÉLEZ</t>
  </si>
  <si>
    <t>25862</t>
  </si>
  <si>
    <t>VERGARA</t>
  </si>
  <si>
    <t>54599</t>
  </si>
  <si>
    <t>RAGONVALIA</t>
  </si>
  <si>
    <t>23466</t>
  </si>
  <si>
    <t>MONTELÍBANO</t>
  </si>
  <si>
    <t>05411</t>
  </si>
  <si>
    <t>LIBORINA</t>
  </si>
  <si>
    <t>05145</t>
  </si>
  <si>
    <t>CARAMANTA</t>
  </si>
  <si>
    <t>68418</t>
  </si>
  <si>
    <t>LOS SANTOS</t>
  </si>
  <si>
    <t>15466</t>
  </si>
  <si>
    <t>MONGUÍ</t>
  </si>
  <si>
    <t>47555</t>
  </si>
  <si>
    <t>PLATO</t>
  </si>
  <si>
    <t>50606</t>
  </si>
  <si>
    <t>25322</t>
  </si>
  <si>
    <t>GUASCA</t>
  </si>
  <si>
    <t>23570</t>
  </si>
  <si>
    <t>PUEBLO NUEVO</t>
  </si>
  <si>
    <t>17653</t>
  </si>
  <si>
    <t>15162</t>
  </si>
  <si>
    <t>CERINZA</t>
  </si>
  <si>
    <t>52788</t>
  </si>
  <si>
    <t>TANGUA</t>
  </si>
  <si>
    <t>25793</t>
  </si>
  <si>
    <t>TAUSA</t>
  </si>
  <si>
    <t>18001</t>
  </si>
  <si>
    <t>18</t>
  </si>
  <si>
    <t>CAQUETÁ</t>
  </si>
  <si>
    <t>15480</t>
  </si>
  <si>
    <t>MUZO</t>
  </si>
  <si>
    <t>52720</t>
  </si>
  <si>
    <t>SAPUYES</t>
  </si>
  <si>
    <t>54673</t>
  </si>
  <si>
    <t>SAN CAYETANO</t>
  </si>
  <si>
    <t>25095</t>
  </si>
  <si>
    <t>BITUIMA</t>
  </si>
  <si>
    <t>54099</t>
  </si>
  <si>
    <t>BOCHALEMA</t>
  </si>
  <si>
    <t>25851</t>
  </si>
  <si>
    <t>ÚTICA</t>
  </si>
  <si>
    <t>20550</t>
  </si>
  <si>
    <t>PELAYA</t>
  </si>
  <si>
    <t>05138</t>
  </si>
  <si>
    <t>CAÑASGORDAS</t>
  </si>
  <si>
    <t>20250</t>
  </si>
  <si>
    <t>EL PASO</t>
  </si>
  <si>
    <t>15814</t>
  </si>
  <si>
    <t>TOCA</t>
  </si>
  <si>
    <t>05002</t>
  </si>
  <si>
    <t>ABEJORRAL</t>
  </si>
  <si>
    <t>68179</t>
  </si>
  <si>
    <t>CHIPATÁ</t>
  </si>
  <si>
    <t>25398</t>
  </si>
  <si>
    <t>LA PEÑA</t>
  </si>
  <si>
    <t>15362</t>
  </si>
  <si>
    <t>IZA</t>
  </si>
  <si>
    <t>47703</t>
  </si>
  <si>
    <t>SAN ZENÓN</t>
  </si>
  <si>
    <t>68684</t>
  </si>
  <si>
    <t>SAN JOSÉ DE MIRANDA</t>
  </si>
  <si>
    <t>47318</t>
  </si>
  <si>
    <t>GUAMAL</t>
  </si>
  <si>
    <t>25320</t>
  </si>
  <si>
    <t>GUADUAS</t>
  </si>
  <si>
    <t>52835</t>
  </si>
  <si>
    <t>SAN ANDRÉS DE TUMACO</t>
  </si>
  <si>
    <t>15837</t>
  </si>
  <si>
    <t>TUTA</t>
  </si>
  <si>
    <t>44855</t>
  </si>
  <si>
    <t>URUMITA</t>
  </si>
  <si>
    <t>17013</t>
  </si>
  <si>
    <t>AGUADAS</t>
  </si>
  <si>
    <t>68324</t>
  </si>
  <si>
    <t>GUAVATÁ</t>
  </si>
  <si>
    <t>47692</t>
  </si>
  <si>
    <t>SAN SEBASTIÁN DE BUENAVISTA</t>
  </si>
  <si>
    <t>52254</t>
  </si>
  <si>
    <t>EL PEÑOL</t>
  </si>
  <si>
    <t>15500</t>
  </si>
  <si>
    <t>OICATÁ</t>
  </si>
  <si>
    <t>05125</t>
  </si>
  <si>
    <t>CAICEDO</t>
  </si>
  <si>
    <t>05665</t>
  </si>
  <si>
    <t>SAN PEDRO DE URABÁ</t>
  </si>
  <si>
    <t>15842</t>
  </si>
  <si>
    <t>ÚMBITA</t>
  </si>
  <si>
    <t>15832</t>
  </si>
  <si>
    <t>TUNUNGUÁ</t>
  </si>
  <si>
    <t>05667</t>
  </si>
  <si>
    <t>SAN RAFAEL</t>
  </si>
  <si>
    <t>76250</t>
  </si>
  <si>
    <t>EL DOVIO</t>
  </si>
  <si>
    <t>25394</t>
  </si>
  <si>
    <t>LA PALMA</t>
  </si>
  <si>
    <t>25535</t>
  </si>
  <si>
    <t>PASCA</t>
  </si>
  <si>
    <t>73124</t>
  </si>
  <si>
    <t>CAJAMARCA</t>
  </si>
  <si>
    <t>68132</t>
  </si>
  <si>
    <t>CALIFORNIA</t>
  </si>
  <si>
    <t>68673</t>
  </si>
  <si>
    <t>SAN BENITO</t>
  </si>
  <si>
    <t>20295</t>
  </si>
  <si>
    <t>GAMARRA</t>
  </si>
  <si>
    <t>41306</t>
  </si>
  <si>
    <t>GIGANTE</t>
  </si>
  <si>
    <t>05134</t>
  </si>
  <si>
    <t>CAMPAMENTO</t>
  </si>
  <si>
    <t>41244</t>
  </si>
  <si>
    <t>ELÍAS</t>
  </si>
  <si>
    <t>05591</t>
  </si>
  <si>
    <t>PUERTO TRIUNFO</t>
  </si>
  <si>
    <t>05021</t>
  </si>
  <si>
    <t>ALEJANDRÍA</t>
  </si>
  <si>
    <t>25777</t>
  </si>
  <si>
    <t>SUPATÁ</t>
  </si>
  <si>
    <t>13894</t>
  </si>
  <si>
    <t>ZAMBRANO</t>
  </si>
  <si>
    <t>05501</t>
  </si>
  <si>
    <t>OLAYA</t>
  </si>
  <si>
    <t>52260</t>
  </si>
  <si>
    <t>EL TAMBO</t>
  </si>
  <si>
    <t>25594</t>
  </si>
  <si>
    <t>QUETAME</t>
  </si>
  <si>
    <t>41770</t>
  </si>
  <si>
    <t>SUAZA</t>
  </si>
  <si>
    <t>54313</t>
  </si>
  <si>
    <t>GRAMALOTE</t>
  </si>
  <si>
    <t>76863</t>
  </si>
  <si>
    <t>VERSALLES</t>
  </si>
  <si>
    <t>81736</t>
  </si>
  <si>
    <t>81</t>
  </si>
  <si>
    <t>ARAUCA</t>
  </si>
  <si>
    <t>SARAVENA</t>
  </si>
  <si>
    <t>19392</t>
  </si>
  <si>
    <t>LA SIERRA</t>
  </si>
  <si>
    <t>15879</t>
  </si>
  <si>
    <t>VIRACACHÁ</t>
  </si>
  <si>
    <t>05051</t>
  </si>
  <si>
    <t>ARBOLETES</t>
  </si>
  <si>
    <t>73270</t>
  </si>
  <si>
    <t>FALAN</t>
  </si>
  <si>
    <t>47030</t>
  </si>
  <si>
    <t>ALGARROBO</t>
  </si>
  <si>
    <t>47258</t>
  </si>
  <si>
    <t>EL PIÑÓN</t>
  </si>
  <si>
    <t>68209</t>
  </si>
  <si>
    <t>CONFINES</t>
  </si>
  <si>
    <t>15757</t>
  </si>
  <si>
    <t>SOCHA</t>
  </si>
  <si>
    <t>73861</t>
  </si>
  <si>
    <t>VENADILLO</t>
  </si>
  <si>
    <t>47170</t>
  </si>
  <si>
    <t>CHIVOLO</t>
  </si>
  <si>
    <t>25845</t>
  </si>
  <si>
    <t>UNE</t>
  </si>
  <si>
    <t>41791</t>
  </si>
  <si>
    <t>TARQUI</t>
  </si>
  <si>
    <t>20228</t>
  </si>
  <si>
    <t>CURUMANÍ</t>
  </si>
  <si>
    <t>05837</t>
  </si>
  <si>
    <t>TURBO</t>
  </si>
  <si>
    <t>15761</t>
  </si>
  <si>
    <t>SOMONDOCO</t>
  </si>
  <si>
    <t>44650</t>
  </si>
  <si>
    <t>SAN JUAN DEL CESAR</t>
  </si>
  <si>
    <t>68524</t>
  </si>
  <si>
    <t>PALMAS DEL SOCORRO</t>
  </si>
  <si>
    <t>41483</t>
  </si>
  <si>
    <t>NÁTAGA</t>
  </si>
  <si>
    <t>15051</t>
  </si>
  <si>
    <t>ARCABUCO</t>
  </si>
  <si>
    <t>13650</t>
  </si>
  <si>
    <t>SAN FERNANDO</t>
  </si>
  <si>
    <t>70124</t>
  </si>
  <si>
    <t>CAIMITO</t>
  </si>
  <si>
    <t>19532</t>
  </si>
  <si>
    <t>PATÍA</t>
  </si>
  <si>
    <t>15808</t>
  </si>
  <si>
    <t>TINJACÁ</t>
  </si>
  <si>
    <t>25649</t>
  </si>
  <si>
    <t>15816</t>
  </si>
  <si>
    <t>TOGÜÍ</t>
  </si>
  <si>
    <t>15087</t>
  </si>
  <si>
    <t>52215</t>
  </si>
  <si>
    <t>15131</t>
  </si>
  <si>
    <t>15380</t>
  </si>
  <si>
    <t>LA CAPILLA</t>
  </si>
  <si>
    <t>15810</t>
  </si>
  <si>
    <t>TIPACOQUE</t>
  </si>
  <si>
    <t>25324</t>
  </si>
  <si>
    <t>GUATAQUÍ</t>
  </si>
  <si>
    <t>23090</t>
  </si>
  <si>
    <t>CANALETE</t>
  </si>
  <si>
    <t>15696</t>
  </si>
  <si>
    <t>SANTA SOFÍA</t>
  </si>
  <si>
    <t>68266</t>
  </si>
  <si>
    <t>ENCISO</t>
  </si>
  <si>
    <t>85440</t>
  </si>
  <si>
    <t>54418</t>
  </si>
  <si>
    <t>LOURDES</t>
  </si>
  <si>
    <t>15109</t>
  </si>
  <si>
    <t>15232</t>
  </si>
  <si>
    <t>CHÍQUIZA</t>
  </si>
  <si>
    <t>41006</t>
  </si>
  <si>
    <t>ACEVEDO</t>
  </si>
  <si>
    <t>19075</t>
  </si>
  <si>
    <t>25506</t>
  </si>
  <si>
    <t>70265</t>
  </si>
  <si>
    <t>GUARANDA</t>
  </si>
  <si>
    <t>20238</t>
  </si>
  <si>
    <t>EL COPEY</t>
  </si>
  <si>
    <t>15114</t>
  </si>
  <si>
    <t>BUSBANZÁ</t>
  </si>
  <si>
    <t>70429</t>
  </si>
  <si>
    <t>MAJAGUAL</t>
  </si>
  <si>
    <t>47745</t>
  </si>
  <si>
    <t>SITIONUEVO</t>
  </si>
  <si>
    <t>50226</t>
  </si>
  <si>
    <t>CUMARAL</t>
  </si>
  <si>
    <t>13440</t>
  </si>
  <si>
    <t>MARGARITA</t>
  </si>
  <si>
    <t>68500</t>
  </si>
  <si>
    <t>OIBA</t>
  </si>
  <si>
    <t>73504</t>
  </si>
  <si>
    <t>ORTEGA</t>
  </si>
  <si>
    <t>23855</t>
  </si>
  <si>
    <t>VALENCIA</t>
  </si>
  <si>
    <t>05819</t>
  </si>
  <si>
    <t>TOLEDO</t>
  </si>
  <si>
    <t>86001</t>
  </si>
  <si>
    <t>MOCOA</t>
  </si>
  <si>
    <t>73217</t>
  </si>
  <si>
    <t>COYAIMA</t>
  </si>
  <si>
    <t>52258</t>
  </si>
  <si>
    <t>EL TABLÓN DE GÓMEZ</t>
  </si>
  <si>
    <t>63690</t>
  </si>
  <si>
    <t>SALENTO</t>
  </si>
  <si>
    <t>41349</t>
  </si>
  <si>
    <t>HOBO</t>
  </si>
  <si>
    <t>15185</t>
  </si>
  <si>
    <t>CHITARAQUE</t>
  </si>
  <si>
    <t>52678</t>
  </si>
  <si>
    <t>SAMANIEGO</t>
  </si>
  <si>
    <t>20517</t>
  </si>
  <si>
    <t>PAILITAS</t>
  </si>
  <si>
    <t>20013</t>
  </si>
  <si>
    <t>AGUSTÍN CODAZZI</t>
  </si>
  <si>
    <t>05044</t>
  </si>
  <si>
    <t>ANZÁ</t>
  </si>
  <si>
    <t>20570</t>
  </si>
  <si>
    <t>PUEBLO BELLO</t>
  </si>
  <si>
    <t>73678</t>
  </si>
  <si>
    <t>SAN LUIS</t>
  </si>
  <si>
    <t>15215</t>
  </si>
  <si>
    <t>CORRALES</t>
  </si>
  <si>
    <t>41020</t>
  </si>
  <si>
    <t>ALGECIRAS</t>
  </si>
  <si>
    <t>19100</t>
  </si>
  <si>
    <t>15600</t>
  </si>
  <si>
    <t>RÁQUIRA</t>
  </si>
  <si>
    <t>05310</t>
  </si>
  <si>
    <t>GÓMEZ PLATA</t>
  </si>
  <si>
    <t>05038</t>
  </si>
  <si>
    <t>ANGOSTURA</t>
  </si>
  <si>
    <t>08549</t>
  </si>
  <si>
    <t>PIOJÓ</t>
  </si>
  <si>
    <t>19397</t>
  </si>
  <si>
    <t>05647</t>
  </si>
  <si>
    <t>SAN ANDRÉS DE CUERQUÍA</t>
  </si>
  <si>
    <t>05579</t>
  </si>
  <si>
    <t>PUERTO BERRÍO</t>
  </si>
  <si>
    <t>68370</t>
  </si>
  <si>
    <t>JORDÁN</t>
  </si>
  <si>
    <t>25335</t>
  </si>
  <si>
    <t>GUAYABETAL</t>
  </si>
  <si>
    <t>27001</t>
  </si>
  <si>
    <t>27</t>
  </si>
  <si>
    <t>CHOCÓ</t>
  </si>
  <si>
    <t>QUIBDÓ</t>
  </si>
  <si>
    <t>68368</t>
  </si>
  <si>
    <t>JESÚS MARÍA</t>
  </si>
  <si>
    <t>68322</t>
  </si>
  <si>
    <t>GUAPOTÁ</t>
  </si>
  <si>
    <t>25258</t>
  </si>
  <si>
    <t>EL PEÑÓN</t>
  </si>
  <si>
    <t>25436</t>
  </si>
  <si>
    <t>MANTA</t>
  </si>
  <si>
    <t>15226</t>
  </si>
  <si>
    <t>CUÍTIVA</t>
  </si>
  <si>
    <t>05206</t>
  </si>
  <si>
    <t>CONCEPCIÓN</t>
  </si>
  <si>
    <t>68770</t>
  </si>
  <si>
    <t>SUAITA</t>
  </si>
  <si>
    <t>54520</t>
  </si>
  <si>
    <t>PAMPLONITA</t>
  </si>
  <si>
    <t>05490</t>
  </si>
  <si>
    <t>NECOCLÍ</t>
  </si>
  <si>
    <t>15296</t>
  </si>
  <si>
    <t>GÁMEZA</t>
  </si>
  <si>
    <t>13580</t>
  </si>
  <si>
    <t>REGIDOR</t>
  </si>
  <si>
    <t>27810</t>
  </si>
  <si>
    <t>UNIÓN PANAMERICANA</t>
  </si>
  <si>
    <t>44110</t>
  </si>
  <si>
    <t>EL MOLINO</t>
  </si>
  <si>
    <t>15442</t>
  </si>
  <si>
    <t>MARIPÍ</t>
  </si>
  <si>
    <t>05113</t>
  </si>
  <si>
    <t>BURITICÁ</t>
  </si>
  <si>
    <t>66456</t>
  </si>
  <si>
    <t>MISTRATÓ</t>
  </si>
  <si>
    <t>25572</t>
  </si>
  <si>
    <t>PUERTO SALGAR</t>
  </si>
  <si>
    <t>05660</t>
  </si>
  <si>
    <t>68689</t>
  </si>
  <si>
    <t>SAN VICENTE DE CHUCURÍ</t>
  </si>
  <si>
    <t>86757</t>
  </si>
  <si>
    <t>SAN MIGUEL</t>
  </si>
  <si>
    <t>05628</t>
  </si>
  <si>
    <t>25297</t>
  </si>
  <si>
    <t>GACHETÁ</t>
  </si>
  <si>
    <t>76246</t>
  </si>
  <si>
    <t>EL CAIRO</t>
  </si>
  <si>
    <t>05483</t>
  </si>
  <si>
    <t>15676</t>
  </si>
  <si>
    <t>SAN MIGUEL DE SEMA</t>
  </si>
  <si>
    <t>52227</t>
  </si>
  <si>
    <t>CUMBAL</t>
  </si>
  <si>
    <t>15248</t>
  </si>
  <si>
    <t>EL ESPINO</t>
  </si>
  <si>
    <t>17541</t>
  </si>
  <si>
    <t>PENSILVANIA</t>
  </si>
  <si>
    <t>73152</t>
  </si>
  <si>
    <t>CASABIANCA</t>
  </si>
  <si>
    <t>20750</t>
  </si>
  <si>
    <t>SAN DIEGO</t>
  </si>
  <si>
    <t>20032</t>
  </si>
  <si>
    <t>ASTREA</t>
  </si>
  <si>
    <t>73055</t>
  </si>
  <si>
    <t>ARMERO</t>
  </si>
  <si>
    <t>05658</t>
  </si>
  <si>
    <t>SAN JOSÉ DE LA MONTAÑA</t>
  </si>
  <si>
    <t>73624</t>
  </si>
  <si>
    <t>ROVIRA</t>
  </si>
  <si>
    <t>13212</t>
  </si>
  <si>
    <t>05756</t>
  </si>
  <si>
    <t>SONSON</t>
  </si>
  <si>
    <t>73030</t>
  </si>
  <si>
    <t>AMBALEMA</t>
  </si>
  <si>
    <t>15276</t>
  </si>
  <si>
    <t>FLORESTA</t>
  </si>
  <si>
    <t>76126</t>
  </si>
  <si>
    <t>CALIMA</t>
  </si>
  <si>
    <t>47058</t>
  </si>
  <si>
    <t>ARIGUANÍ</t>
  </si>
  <si>
    <t>15106</t>
  </si>
  <si>
    <t>BRICEÑO</t>
  </si>
  <si>
    <t>25662</t>
  </si>
  <si>
    <t>SAN JUAN DE RIOSECO</t>
  </si>
  <si>
    <t>15511</t>
  </si>
  <si>
    <t>PACHAVITA</t>
  </si>
  <si>
    <t>05055</t>
  </si>
  <si>
    <t>15522</t>
  </si>
  <si>
    <t>PANQUEBA</t>
  </si>
  <si>
    <t>68255</t>
  </si>
  <si>
    <t>EL PLAYÓN</t>
  </si>
  <si>
    <t>47053</t>
  </si>
  <si>
    <t>ARACATACA</t>
  </si>
  <si>
    <t>52110</t>
  </si>
  <si>
    <t>BUESACO</t>
  </si>
  <si>
    <t>20614</t>
  </si>
  <si>
    <t>RÍO DE ORO</t>
  </si>
  <si>
    <t>47798</t>
  </si>
  <si>
    <t>TENERIFE</t>
  </si>
  <si>
    <t>20787</t>
  </si>
  <si>
    <t>TAMALAMEQUE</t>
  </si>
  <si>
    <t>73026</t>
  </si>
  <si>
    <t>ALVARADO</t>
  </si>
  <si>
    <t>15681</t>
  </si>
  <si>
    <t>SAN PABLO DE BORBUR</t>
  </si>
  <si>
    <t>73854</t>
  </si>
  <si>
    <t>VALLE DE SAN JUAN</t>
  </si>
  <si>
    <t>73200</t>
  </si>
  <si>
    <t>COELLO</t>
  </si>
  <si>
    <t>41378</t>
  </si>
  <si>
    <t>LA ARGENTINA</t>
  </si>
  <si>
    <t>25326</t>
  </si>
  <si>
    <t>GUATAVITA</t>
  </si>
  <si>
    <t>50270</t>
  </si>
  <si>
    <t>EL DORADO</t>
  </si>
  <si>
    <t>05842</t>
  </si>
  <si>
    <t>URAMITA</t>
  </si>
  <si>
    <t>41524</t>
  </si>
  <si>
    <t>PALERMO</t>
  </si>
  <si>
    <t>20770</t>
  </si>
  <si>
    <t>SAN MARTÍN</t>
  </si>
  <si>
    <t>15293</t>
  </si>
  <si>
    <t>GACHANTIVÁ</t>
  </si>
  <si>
    <t>73870</t>
  </si>
  <si>
    <t>VILLAHERMOSA</t>
  </si>
  <si>
    <t>76100</t>
  </si>
  <si>
    <t>25426</t>
  </si>
  <si>
    <t>MACHETÁ</t>
  </si>
  <si>
    <t>15401</t>
  </si>
  <si>
    <t>25279</t>
  </si>
  <si>
    <t>FÓMEQUE</t>
  </si>
  <si>
    <t>54398</t>
  </si>
  <si>
    <t>LA PLAYA</t>
  </si>
  <si>
    <t>05150</t>
  </si>
  <si>
    <t>CAROLINA</t>
  </si>
  <si>
    <t>44090</t>
  </si>
  <si>
    <t>DIBULLA</t>
  </si>
  <si>
    <t>15325</t>
  </si>
  <si>
    <t>GUAYATÁ</t>
  </si>
  <si>
    <t>15537</t>
  </si>
  <si>
    <t>PAZ DE RÍO</t>
  </si>
  <si>
    <t>25154</t>
  </si>
  <si>
    <t>CARMEN DE CARUPA</t>
  </si>
  <si>
    <t>15572</t>
  </si>
  <si>
    <t>PUERTO BOYACÁ</t>
  </si>
  <si>
    <t>68686</t>
  </si>
  <si>
    <t>73675</t>
  </si>
  <si>
    <t>SAN ANTONIO</t>
  </si>
  <si>
    <t>20621</t>
  </si>
  <si>
    <t>LA PAZ</t>
  </si>
  <si>
    <t>23079</t>
  </si>
  <si>
    <t>05736</t>
  </si>
  <si>
    <t>SEGOVIA</t>
  </si>
  <si>
    <t>66572</t>
  </si>
  <si>
    <t>PUEBLO RICO</t>
  </si>
  <si>
    <t>41013</t>
  </si>
  <si>
    <t>AGRADO</t>
  </si>
  <si>
    <t>15097</t>
  </si>
  <si>
    <t>BOAVITA</t>
  </si>
  <si>
    <t>54480</t>
  </si>
  <si>
    <t>MUTISCUA</t>
  </si>
  <si>
    <t>05250</t>
  </si>
  <si>
    <t>EL BAGRE</t>
  </si>
  <si>
    <t>68669</t>
  </si>
  <si>
    <t>SAN ANDRÉS</t>
  </si>
  <si>
    <t>19355</t>
  </si>
  <si>
    <t>INZÁ</t>
  </si>
  <si>
    <t>47541</t>
  </si>
  <si>
    <t>PEDRAZA</t>
  </si>
  <si>
    <t>15455</t>
  </si>
  <si>
    <t>MIRAFLORES</t>
  </si>
  <si>
    <t>68320</t>
  </si>
  <si>
    <t>68167</t>
  </si>
  <si>
    <t>CHARALÁ</t>
  </si>
  <si>
    <t>47460</t>
  </si>
  <si>
    <t>NUEVA GRANADA</t>
  </si>
  <si>
    <t>15022</t>
  </si>
  <si>
    <t>ALMEIDA</t>
  </si>
  <si>
    <t>68271</t>
  </si>
  <si>
    <t>FLORIÁN</t>
  </si>
  <si>
    <t>41676</t>
  </si>
  <si>
    <t>SANTA MARÍA</t>
  </si>
  <si>
    <t>25299</t>
  </si>
  <si>
    <t>GAMA</t>
  </si>
  <si>
    <t>19450</t>
  </si>
  <si>
    <t>MERCADERES</t>
  </si>
  <si>
    <t>13248</t>
  </si>
  <si>
    <t>EL GUAMO</t>
  </si>
  <si>
    <t>68121</t>
  </si>
  <si>
    <t>CABRERA</t>
  </si>
  <si>
    <t>15763</t>
  </si>
  <si>
    <t>SOTAQUIRÁ</t>
  </si>
  <si>
    <t>25168</t>
  </si>
  <si>
    <t>CHAGUANÍ</t>
  </si>
  <si>
    <t>15531</t>
  </si>
  <si>
    <t>PAUNA</t>
  </si>
  <si>
    <t>68895</t>
  </si>
  <si>
    <t>ZAPATOCA</t>
  </si>
  <si>
    <t>13030</t>
  </si>
  <si>
    <t>ALTOS DEL ROSARIO</t>
  </si>
  <si>
    <t>47707</t>
  </si>
  <si>
    <t>SANTA ANA</t>
  </si>
  <si>
    <t>05890</t>
  </si>
  <si>
    <t>YOLOMBÓ</t>
  </si>
  <si>
    <t>68615</t>
  </si>
  <si>
    <t>63302</t>
  </si>
  <si>
    <t>GÉNOVA</t>
  </si>
  <si>
    <t>54670</t>
  </si>
  <si>
    <t>SAN CALIXTO</t>
  </si>
  <si>
    <t>41797</t>
  </si>
  <si>
    <t>TESALIA</t>
  </si>
  <si>
    <t>50150</t>
  </si>
  <si>
    <t>CASTILLA LA NUEVA</t>
  </si>
  <si>
    <t>05086</t>
  </si>
  <si>
    <t>BELMIRA</t>
  </si>
  <si>
    <t>86865</t>
  </si>
  <si>
    <t>VALLE DEL GUAMUEZ</t>
  </si>
  <si>
    <t>47960</t>
  </si>
  <si>
    <t>ZAPAYÁN</t>
  </si>
  <si>
    <t>25871</t>
  </si>
  <si>
    <t>VILLAGÓMEZ</t>
  </si>
  <si>
    <t>54239</t>
  </si>
  <si>
    <t>DURANIA</t>
  </si>
  <si>
    <t>25823</t>
  </si>
  <si>
    <t>TOPAIPÍ</t>
  </si>
  <si>
    <t>68655</t>
  </si>
  <si>
    <t>SABANA DE TORRES</t>
  </si>
  <si>
    <t>13074</t>
  </si>
  <si>
    <t>BARRANCO DE LOBA</t>
  </si>
  <si>
    <t>20178</t>
  </si>
  <si>
    <t>CHIRIGUANÁ</t>
  </si>
  <si>
    <t>05854</t>
  </si>
  <si>
    <t>VALDIVIA</t>
  </si>
  <si>
    <t>19760</t>
  </si>
  <si>
    <t>SOTARÁ PAISPAMBA</t>
  </si>
  <si>
    <t>44847</t>
  </si>
  <si>
    <t>URIBIA</t>
  </si>
  <si>
    <t>13667</t>
  </si>
  <si>
    <t>SAN MARTÍN DE LOBA</t>
  </si>
  <si>
    <t>20175</t>
  </si>
  <si>
    <t>CHIMICHAGUA</t>
  </si>
  <si>
    <t>63548</t>
  </si>
  <si>
    <t>PIJAO</t>
  </si>
  <si>
    <t>23682</t>
  </si>
  <si>
    <t>SAN JOSÉ DE URÉ</t>
  </si>
  <si>
    <t>47605</t>
  </si>
  <si>
    <t>REMOLINO</t>
  </si>
  <si>
    <t>05649</t>
  </si>
  <si>
    <t>54377</t>
  </si>
  <si>
    <t>LABATECA</t>
  </si>
  <si>
    <t>05425</t>
  </si>
  <si>
    <t>MACEO</t>
  </si>
  <si>
    <t>17662</t>
  </si>
  <si>
    <t>SAMANÁ</t>
  </si>
  <si>
    <t>68820</t>
  </si>
  <si>
    <t>TONA</t>
  </si>
  <si>
    <t>68211</t>
  </si>
  <si>
    <t>CONTRATACIÓN</t>
  </si>
  <si>
    <t>73168</t>
  </si>
  <si>
    <t>CHAPARRAL</t>
  </si>
  <si>
    <t>47551</t>
  </si>
  <si>
    <t>PIVIJAY</t>
  </si>
  <si>
    <t>15317</t>
  </si>
  <si>
    <t>GUACAMAYAS</t>
  </si>
  <si>
    <t>50318</t>
  </si>
  <si>
    <t>15790</t>
  </si>
  <si>
    <t>TASCO</t>
  </si>
  <si>
    <t>41357</t>
  </si>
  <si>
    <t>ÍQUIRA</t>
  </si>
  <si>
    <t>05790</t>
  </si>
  <si>
    <t>TARAZÁ</t>
  </si>
  <si>
    <t>68169</t>
  </si>
  <si>
    <t>CHARTA</t>
  </si>
  <si>
    <t>05495</t>
  </si>
  <si>
    <t>NECHÍ</t>
  </si>
  <si>
    <t>54250</t>
  </si>
  <si>
    <t>EL TARRA</t>
  </si>
  <si>
    <t>73770</t>
  </si>
  <si>
    <t>52405</t>
  </si>
  <si>
    <t>LEIVA</t>
  </si>
  <si>
    <t>23580</t>
  </si>
  <si>
    <t>PUERTO LIBERTADOR</t>
  </si>
  <si>
    <t>19050</t>
  </si>
  <si>
    <t>68444</t>
  </si>
  <si>
    <t>MATANZA</t>
  </si>
  <si>
    <t>68575</t>
  </si>
  <si>
    <t>PUERTO WILCHES</t>
  </si>
  <si>
    <t>68867</t>
  </si>
  <si>
    <t>VETAS</t>
  </si>
  <si>
    <t>15542</t>
  </si>
  <si>
    <t>PESCA</t>
  </si>
  <si>
    <t>68013</t>
  </si>
  <si>
    <t>AGUADA</t>
  </si>
  <si>
    <t>27787</t>
  </si>
  <si>
    <t>TADÓ</t>
  </si>
  <si>
    <t>15822</t>
  </si>
  <si>
    <t>TOTA</t>
  </si>
  <si>
    <t>85010</t>
  </si>
  <si>
    <t>AGUAZUL</t>
  </si>
  <si>
    <t>15580</t>
  </si>
  <si>
    <t>QUÍPAMA</t>
  </si>
  <si>
    <t>41016</t>
  </si>
  <si>
    <t>AIPE</t>
  </si>
  <si>
    <t>68235</t>
  </si>
  <si>
    <t>EL CARMEN DE CHUCURÍ</t>
  </si>
  <si>
    <t>05858</t>
  </si>
  <si>
    <t>VEGACHÍ</t>
  </si>
  <si>
    <t>15368</t>
  </si>
  <si>
    <t>27205</t>
  </si>
  <si>
    <t>CONDOTO</t>
  </si>
  <si>
    <t>17495</t>
  </si>
  <si>
    <t>NORCASIA</t>
  </si>
  <si>
    <t>23068</t>
  </si>
  <si>
    <t>AYAPEL</t>
  </si>
  <si>
    <t>70678</t>
  </si>
  <si>
    <t>SAN BENITO ABAD</t>
  </si>
  <si>
    <t>15090</t>
  </si>
  <si>
    <t>BERBEO</t>
  </si>
  <si>
    <t>73547</t>
  </si>
  <si>
    <t>PIEDRAS</t>
  </si>
  <si>
    <t>68020</t>
  </si>
  <si>
    <t>41885</t>
  </si>
  <si>
    <t>YAGUARÁ</t>
  </si>
  <si>
    <t>54003</t>
  </si>
  <si>
    <t>ÁBREGO</t>
  </si>
  <si>
    <t>52560</t>
  </si>
  <si>
    <t>POTOSÍ</t>
  </si>
  <si>
    <t>44420</t>
  </si>
  <si>
    <t>LA JAGUA DEL PILAR</t>
  </si>
  <si>
    <t>15218</t>
  </si>
  <si>
    <t>COVARACHÍA</t>
  </si>
  <si>
    <t>73347</t>
  </si>
  <si>
    <t>HERVEO</t>
  </si>
  <si>
    <t>05031</t>
  </si>
  <si>
    <t>AMALFI</t>
  </si>
  <si>
    <t>73563</t>
  </si>
  <si>
    <t>PRADO</t>
  </si>
  <si>
    <t>15425</t>
  </si>
  <si>
    <t>MACANAL</t>
  </si>
  <si>
    <t>41518</t>
  </si>
  <si>
    <t>PAICOL</t>
  </si>
  <si>
    <t>41026</t>
  </si>
  <si>
    <t>ALTAMIRA</t>
  </si>
  <si>
    <t>15212</t>
  </si>
  <si>
    <t>COPER</t>
  </si>
  <si>
    <t>13006</t>
  </si>
  <si>
    <t>ACHÍ</t>
  </si>
  <si>
    <t>41799</t>
  </si>
  <si>
    <t>TELLO</t>
  </si>
  <si>
    <t>19517</t>
  </si>
  <si>
    <t>PÁEZ</t>
  </si>
  <si>
    <t>47720</t>
  </si>
  <si>
    <t>SANTA BÁRBARA DE PINTO</t>
  </si>
  <si>
    <t>47545</t>
  </si>
  <si>
    <t>PIJIÑO DEL CARMEN</t>
  </si>
  <si>
    <t>25148</t>
  </si>
  <si>
    <t>CAPARRAPÍ</t>
  </si>
  <si>
    <t>20383</t>
  </si>
  <si>
    <t>LA GLORIA</t>
  </si>
  <si>
    <t>41668</t>
  </si>
  <si>
    <t>SAN AGUSTÍN</t>
  </si>
  <si>
    <t>15673</t>
  </si>
  <si>
    <t>SAN MATEO</t>
  </si>
  <si>
    <t>13549</t>
  </si>
  <si>
    <t>PINILLOS</t>
  </si>
  <si>
    <t>15172</t>
  </si>
  <si>
    <t>CHINAVITA</t>
  </si>
  <si>
    <t>54109</t>
  </si>
  <si>
    <t>BUCARASICA</t>
  </si>
  <si>
    <t>73043</t>
  </si>
  <si>
    <t>ANZOÁTEGUI</t>
  </si>
  <si>
    <t>54743</t>
  </si>
  <si>
    <t>SILOS</t>
  </si>
  <si>
    <t>54125</t>
  </si>
  <si>
    <t>CÁCOTA</t>
  </si>
  <si>
    <t>54344</t>
  </si>
  <si>
    <t>HACARÍ</t>
  </si>
  <si>
    <t>68160</t>
  </si>
  <si>
    <t>CEPITÁ</t>
  </si>
  <si>
    <t>05107</t>
  </si>
  <si>
    <t>68245</t>
  </si>
  <si>
    <t>EL GUACAMAYO</t>
  </si>
  <si>
    <t>25518</t>
  </si>
  <si>
    <t>PAIME</t>
  </si>
  <si>
    <t>85162</t>
  </si>
  <si>
    <t>MONTERREY</t>
  </si>
  <si>
    <t>52573</t>
  </si>
  <si>
    <t>PUERRES</t>
  </si>
  <si>
    <t>54223</t>
  </si>
  <si>
    <t>CUCUTILLA</t>
  </si>
  <si>
    <t>68464</t>
  </si>
  <si>
    <t>MOGOTES</t>
  </si>
  <si>
    <t>52385</t>
  </si>
  <si>
    <t>LA LLANADA</t>
  </si>
  <si>
    <t>68468</t>
  </si>
  <si>
    <t>MOLAGAVITA</t>
  </si>
  <si>
    <t>41660</t>
  </si>
  <si>
    <t>SALADOBLANCO</t>
  </si>
  <si>
    <t>73686</t>
  </si>
  <si>
    <t>SANTA ISABEL</t>
  </si>
  <si>
    <t>54385</t>
  </si>
  <si>
    <t>LA ESPERANZA</t>
  </si>
  <si>
    <t>54680</t>
  </si>
  <si>
    <t>SANTIAGO</t>
  </si>
  <si>
    <t>73483</t>
  </si>
  <si>
    <t>NATAGAIMA</t>
  </si>
  <si>
    <t>54051</t>
  </si>
  <si>
    <t>ARBOLEDAS</t>
  </si>
  <si>
    <t>25580</t>
  </si>
  <si>
    <t>PULÍ</t>
  </si>
  <si>
    <t>52520</t>
  </si>
  <si>
    <t>FRANCISCO PIZARRO</t>
  </si>
  <si>
    <t>19585</t>
  </si>
  <si>
    <t>PURACÉ</t>
  </si>
  <si>
    <t>05585</t>
  </si>
  <si>
    <t>PUERTO NARE</t>
  </si>
  <si>
    <t>54660</t>
  </si>
  <si>
    <t>SALAZAR</t>
  </si>
  <si>
    <t>68318</t>
  </si>
  <si>
    <t>GUACA</t>
  </si>
  <si>
    <t>23807</t>
  </si>
  <si>
    <t>TIERRALTA</t>
  </si>
  <si>
    <t>13490</t>
  </si>
  <si>
    <t>NOROSÍ</t>
  </si>
  <si>
    <t>73226</t>
  </si>
  <si>
    <t>CUNDAY</t>
  </si>
  <si>
    <t>05652</t>
  </si>
  <si>
    <t>15236</t>
  </si>
  <si>
    <t>CHIVOR</t>
  </si>
  <si>
    <t>19693</t>
  </si>
  <si>
    <t>SAN SEBASTIÁN</t>
  </si>
  <si>
    <t>05895</t>
  </si>
  <si>
    <t>ZARAGOZA</t>
  </si>
  <si>
    <t>54206</t>
  </si>
  <si>
    <t>CONVENCIÓN</t>
  </si>
  <si>
    <t>19256</t>
  </si>
  <si>
    <t>05142</t>
  </si>
  <si>
    <t>CARACOLÍ</t>
  </si>
  <si>
    <t>50287</t>
  </si>
  <si>
    <t>FUENTE DE ORO</t>
  </si>
  <si>
    <t>70771</t>
  </si>
  <si>
    <t>13268</t>
  </si>
  <si>
    <t>20045</t>
  </si>
  <si>
    <t>BECERRIL</t>
  </si>
  <si>
    <t>05885</t>
  </si>
  <si>
    <t>YALÍ</t>
  </si>
  <si>
    <t>73067</t>
  </si>
  <si>
    <t>ATACO</t>
  </si>
  <si>
    <t>27495</t>
  </si>
  <si>
    <t>NUQUÍ</t>
  </si>
  <si>
    <t>13810</t>
  </si>
  <si>
    <t>TIQUISIO</t>
  </si>
  <si>
    <t>52256</t>
  </si>
  <si>
    <t>EL ROSARIO</t>
  </si>
  <si>
    <t>17867</t>
  </si>
  <si>
    <t>VICTORIA</t>
  </si>
  <si>
    <t>25653</t>
  </si>
  <si>
    <t>86760</t>
  </si>
  <si>
    <t>54128</t>
  </si>
  <si>
    <t>CÁCHIRA</t>
  </si>
  <si>
    <t>86568</t>
  </si>
  <si>
    <t>PUERTO ASÍS</t>
  </si>
  <si>
    <t>25372</t>
  </si>
  <si>
    <t>JUNÍN</t>
  </si>
  <si>
    <t>15723</t>
  </si>
  <si>
    <t>SATIVASUR</t>
  </si>
  <si>
    <t>68385</t>
  </si>
  <si>
    <t>LANDÁZURI</t>
  </si>
  <si>
    <t>05284</t>
  </si>
  <si>
    <t>FRONTINO</t>
  </si>
  <si>
    <t>15897</t>
  </si>
  <si>
    <t>ZETAQUIRA</t>
  </si>
  <si>
    <t>68425</t>
  </si>
  <si>
    <t>MACARAVITA</t>
  </si>
  <si>
    <t>54720</t>
  </si>
  <si>
    <t>SARDINATA</t>
  </si>
  <si>
    <t>54810</t>
  </si>
  <si>
    <t>TIBÚ</t>
  </si>
  <si>
    <t>68397</t>
  </si>
  <si>
    <t>27006</t>
  </si>
  <si>
    <t>ACANDÍ</t>
  </si>
  <si>
    <t>54800</t>
  </si>
  <si>
    <t>TEORAMA</t>
  </si>
  <si>
    <t>15092</t>
  </si>
  <si>
    <t>BETÉITIVA</t>
  </si>
  <si>
    <t>41801</t>
  </si>
  <si>
    <t>TERUEL</t>
  </si>
  <si>
    <t>68377</t>
  </si>
  <si>
    <t>LA BELLEZA</t>
  </si>
  <si>
    <t>52540</t>
  </si>
  <si>
    <t>POLICARPA</t>
  </si>
  <si>
    <t>68176</t>
  </si>
  <si>
    <t>CHIMA</t>
  </si>
  <si>
    <t>52699</t>
  </si>
  <si>
    <t>SANTACRUZ</t>
  </si>
  <si>
    <t>05120</t>
  </si>
  <si>
    <t>CÁCERES</t>
  </si>
  <si>
    <t>52287</t>
  </si>
  <si>
    <t>FUNES</t>
  </si>
  <si>
    <t>15403</t>
  </si>
  <si>
    <t>LA UVITA</t>
  </si>
  <si>
    <t>13655</t>
  </si>
  <si>
    <t>SAN JACINTO DEL CAUCA</t>
  </si>
  <si>
    <t>50110</t>
  </si>
  <si>
    <t>BARRANCA DE UPÍA</t>
  </si>
  <si>
    <t>68207</t>
  </si>
  <si>
    <t>52490</t>
  </si>
  <si>
    <t>OLAYA HERRERA</t>
  </si>
  <si>
    <t>52612</t>
  </si>
  <si>
    <t>05543</t>
  </si>
  <si>
    <t>PEQUE</t>
  </si>
  <si>
    <t>15507</t>
  </si>
  <si>
    <t>OTANCHE</t>
  </si>
  <si>
    <t>27580</t>
  </si>
  <si>
    <t>RÍO IRÓ</t>
  </si>
  <si>
    <t>15839</t>
  </si>
  <si>
    <t>TUTAZÁ</t>
  </si>
  <si>
    <t>86885</t>
  </si>
  <si>
    <t>VILLAGARZÓN</t>
  </si>
  <si>
    <t>68092</t>
  </si>
  <si>
    <t>68162</t>
  </si>
  <si>
    <t>CERRITO</t>
  </si>
  <si>
    <t>05480</t>
  </si>
  <si>
    <t>MUTATÁ</t>
  </si>
  <si>
    <t>25839</t>
  </si>
  <si>
    <t>UBALÁ</t>
  </si>
  <si>
    <t>27361</t>
  </si>
  <si>
    <t>ISTMINA</t>
  </si>
  <si>
    <t>41872</t>
  </si>
  <si>
    <t>VILLAVIEJA</t>
  </si>
  <si>
    <t>52079</t>
  </si>
  <si>
    <t>BARBACOAS</t>
  </si>
  <si>
    <t>27135</t>
  </si>
  <si>
    <t>EL CANTÓN DEL SAN PABLO</t>
  </si>
  <si>
    <t>68682</t>
  </si>
  <si>
    <t>SAN JOAQUÍN</t>
  </si>
  <si>
    <t>15047</t>
  </si>
  <si>
    <t>AQUITANIA</t>
  </si>
  <si>
    <t>68152</t>
  </si>
  <si>
    <t>CARCASÍ</t>
  </si>
  <si>
    <t>27450</t>
  </si>
  <si>
    <t>MEDIO SAN JUAN</t>
  </si>
  <si>
    <t>81300</t>
  </si>
  <si>
    <t>FORTUL</t>
  </si>
  <si>
    <t>47660</t>
  </si>
  <si>
    <t>SABANAS DE SAN ÁNGEL</t>
  </si>
  <si>
    <t>05234</t>
  </si>
  <si>
    <t>DABEIBA</t>
  </si>
  <si>
    <t>27050</t>
  </si>
  <si>
    <t>ATRATO</t>
  </si>
  <si>
    <t>86320</t>
  </si>
  <si>
    <t>ORITO</t>
  </si>
  <si>
    <t>15774</t>
  </si>
  <si>
    <t>SUSACÓN</t>
  </si>
  <si>
    <t>68773</t>
  </si>
  <si>
    <t>50680</t>
  </si>
  <si>
    <t>SAN CARLOS DE GUAROA</t>
  </si>
  <si>
    <t>52435</t>
  </si>
  <si>
    <t>MALLAMA</t>
  </si>
  <si>
    <t>68344</t>
  </si>
  <si>
    <t>HATO</t>
  </si>
  <si>
    <t>25086</t>
  </si>
  <si>
    <t>BELTRÁN</t>
  </si>
  <si>
    <t>13042</t>
  </si>
  <si>
    <t>ARENAL</t>
  </si>
  <si>
    <t>68296</t>
  </si>
  <si>
    <t>GALÁN</t>
  </si>
  <si>
    <t>25368</t>
  </si>
  <si>
    <t>JERUSALÉN</t>
  </si>
  <si>
    <t>86569</t>
  </si>
  <si>
    <t>PUERTO CAICEDO</t>
  </si>
  <si>
    <t>05604</t>
  </si>
  <si>
    <t>REMEDIOS</t>
  </si>
  <si>
    <t>15244</t>
  </si>
  <si>
    <t>EL COCUY</t>
  </si>
  <si>
    <t>81065</t>
  </si>
  <si>
    <t>ARAUQUITA</t>
  </si>
  <si>
    <t>73236</t>
  </si>
  <si>
    <t>DOLORES</t>
  </si>
  <si>
    <t>13473</t>
  </si>
  <si>
    <t>18205</t>
  </si>
  <si>
    <t>CURILLO</t>
  </si>
  <si>
    <t>13670</t>
  </si>
  <si>
    <t>15660</t>
  </si>
  <si>
    <t>SAN EDUARDO</t>
  </si>
  <si>
    <t>18247</t>
  </si>
  <si>
    <t>EL DONCELLO</t>
  </si>
  <si>
    <t>73555</t>
  </si>
  <si>
    <t>PLANADAS</t>
  </si>
  <si>
    <t>25120</t>
  </si>
  <si>
    <t>27160</t>
  </si>
  <si>
    <t>CÉRTEGUI</t>
  </si>
  <si>
    <t>68705</t>
  </si>
  <si>
    <t>25885</t>
  </si>
  <si>
    <t>YACOPÍ</t>
  </si>
  <si>
    <t>50251</t>
  </si>
  <si>
    <t>EL CASTILLO</t>
  </si>
  <si>
    <t>05040</t>
  </si>
  <si>
    <t>ANORÍ</t>
  </si>
  <si>
    <t>05847</t>
  </si>
  <si>
    <t>URRAO</t>
  </si>
  <si>
    <t>15720</t>
  </si>
  <si>
    <t>SATIVANORTE</t>
  </si>
  <si>
    <t>05893</t>
  </si>
  <si>
    <t>YONDÓ</t>
  </si>
  <si>
    <t>85263</t>
  </si>
  <si>
    <t>PORE</t>
  </si>
  <si>
    <t>68250</t>
  </si>
  <si>
    <t>27245</t>
  </si>
  <si>
    <t>EL CARMEN DE ATRATO</t>
  </si>
  <si>
    <t>73873</t>
  </si>
  <si>
    <t>VILLARRICA</t>
  </si>
  <si>
    <t>27073</t>
  </si>
  <si>
    <t>BAGADÓ</t>
  </si>
  <si>
    <t>68780</t>
  </si>
  <si>
    <t>SURATÁ</t>
  </si>
  <si>
    <t>27800</t>
  </si>
  <si>
    <t>UNGUÍA</t>
  </si>
  <si>
    <t>86755</t>
  </si>
  <si>
    <t>15464</t>
  </si>
  <si>
    <t>MONGUA</t>
  </si>
  <si>
    <t>68745</t>
  </si>
  <si>
    <t>SIMACOTA</t>
  </si>
  <si>
    <t>52473</t>
  </si>
  <si>
    <t>13600</t>
  </si>
  <si>
    <t>RÍO VIEJO</t>
  </si>
  <si>
    <t>68190</t>
  </si>
  <si>
    <t>CIMITARRA</t>
  </si>
  <si>
    <t>50400</t>
  </si>
  <si>
    <t>LEJANÍAS</t>
  </si>
  <si>
    <t>54871</t>
  </si>
  <si>
    <t>VILLA CARO</t>
  </si>
  <si>
    <t>27025</t>
  </si>
  <si>
    <t>ALTO BAUDÓ</t>
  </si>
  <si>
    <t>13744</t>
  </si>
  <si>
    <t>SIMITÍ</t>
  </si>
  <si>
    <t>52390</t>
  </si>
  <si>
    <t>LA TOLA</t>
  </si>
  <si>
    <t>18256</t>
  </si>
  <si>
    <t>EL PAUJÍL</t>
  </si>
  <si>
    <t>13688</t>
  </si>
  <si>
    <t>SANTA ROSA DEL SUR</t>
  </si>
  <si>
    <t>15621</t>
  </si>
  <si>
    <t>RONDÓN</t>
  </si>
  <si>
    <t>52233</t>
  </si>
  <si>
    <t>CUMBITARA</t>
  </si>
  <si>
    <t>68101</t>
  </si>
  <si>
    <t>68573</t>
  </si>
  <si>
    <t>PUERTO PARRA</t>
  </si>
  <si>
    <t>54820</t>
  </si>
  <si>
    <t>73461</t>
  </si>
  <si>
    <t>MURILLO</t>
  </si>
  <si>
    <t>25293</t>
  </si>
  <si>
    <t>GACHALÁ</t>
  </si>
  <si>
    <t>15667</t>
  </si>
  <si>
    <t>SAN LUIS DE GACENO</t>
  </si>
  <si>
    <t>25530</t>
  </si>
  <si>
    <t>PARATEBUENO</t>
  </si>
  <si>
    <t>54174</t>
  </si>
  <si>
    <t>CHITAGÁ</t>
  </si>
  <si>
    <t>41078</t>
  </si>
  <si>
    <t>BARAYA</t>
  </si>
  <si>
    <t>27413</t>
  </si>
  <si>
    <t>LLORÓ</t>
  </si>
  <si>
    <t>15690</t>
  </si>
  <si>
    <t>81001</t>
  </si>
  <si>
    <t>05004</t>
  </si>
  <si>
    <t>ABRIAQUÍ</t>
  </si>
  <si>
    <t>27600</t>
  </si>
  <si>
    <t>RÍO QUITO</t>
  </si>
  <si>
    <t>15755</t>
  </si>
  <si>
    <t>SOCOTÁ</t>
  </si>
  <si>
    <t>73616</t>
  </si>
  <si>
    <t>RIOBLANCO</t>
  </si>
  <si>
    <t>27075</t>
  </si>
  <si>
    <t>BAHÍA SOLANO</t>
  </si>
  <si>
    <t>85410</t>
  </si>
  <si>
    <t>TAURAMENA</t>
  </si>
  <si>
    <t>15183</t>
  </si>
  <si>
    <t>CHITA</t>
  </si>
  <si>
    <t>27430</t>
  </si>
  <si>
    <t>MEDIO BAUDÓ</t>
  </si>
  <si>
    <t>73024</t>
  </si>
  <si>
    <t>ALPUJARRA</t>
  </si>
  <si>
    <t>52427</t>
  </si>
  <si>
    <t>MAGÜÍ</t>
  </si>
  <si>
    <t>13160</t>
  </si>
  <si>
    <t>CANTAGALLO</t>
  </si>
  <si>
    <t>05361</t>
  </si>
  <si>
    <t>ITUANGO</t>
  </si>
  <si>
    <t>85300</t>
  </si>
  <si>
    <t>18785</t>
  </si>
  <si>
    <t>SOLITA</t>
  </si>
  <si>
    <t>15135</t>
  </si>
  <si>
    <t>CAMPOHERMOSO</t>
  </si>
  <si>
    <t>68217</t>
  </si>
  <si>
    <t>COROMORO</t>
  </si>
  <si>
    <t>25339</t>
  </si>
  <si>
    <t>GUTIÉRREZ</t>
  </si>
  <si>
    <t>27491</t>
  </si>
  <si>
    <t>NÓVITA</t>
  </si>
  <si>
    <t>18029</t>
  </si>
  <si>
    <t>15514</t>
  </si>
  <si>
    <t>19809</t>
  </si>
  <si>
    <t>TIMBIQUÍ</t>
  </si>
  <si>
    <t>68720</t>
  </si>
  <si>
    <t>SANTA HELENA DEL OPÓN</t>
  </si>
  <si>
    <t>68502</t>
  </si>
  <si>
    <t>ONZAGA</t>
  </si>
  <si>
    <t>52418</t>
  </si>
  <si>
    <t>LOS ANDES</t>
  </si>
  <si>
    <t>18610</t>
  </si>
  <si>
    <t>SAN JOSÉ DEL FRAGUA</t>
  </si>
  <si>
    <t>54245</t>
  </si>
  <si>
    <t>EL CARMEN</t>
  </si>
  <si>
    <t>18094</t>
  </si>
  <si>
    <t>BELÉN DE LOS ANDAQUÍES</t>
  </si>
  <si>
    <t>19318</t>
  </si>
  <si>
    <t>GUAPI</t>
  </si>
  <si>
    <t>27077</t>
  </si>
  <si>
    <t>BAJO BAUDÓ</t>
  </si>
  <si>
    <t>85279</t>
  </si>
  <si>
    <t>RECETOR</t>
  </si>
  <si>
    <t>52696</t>
  </si>
  <si>
    <t>25438</t>
  </si>
  <si>
    <t>MEDINA</t>
  </si>
  <si>
    <t>18410</t>
  </si>
  <si>
    <t>LA MONTAÑITA</t>
  </si>
  <si>
    <t>81794</t>
  </si>
  <si>
    <t>TAME</t>
  </si>
  <si>
    <t>50683</t>
  </si>
  <si>
    <t>SAN JUAN DE ARAMA</t>
  </si>
  <si>
    <t>15223</t>
  </si>
  <si>
    <t>CUBARÁ</t>
  </si>
  <si>
    <t>15518</t>
  </si>
  <si>
    <t>PAJARITO</t>
  </si>
  <si>
    <t>85225</t>
  </si>
  <si>
    <t>NUNCHÍA</t>
  </si>
  <si>
    <t>68298</t>
  </si>
  <si>
    <t>GÁMBITA</t>
  </si>
  <si>
    <t>17446</t>
  </si>
  <si>
    <t>MARULANDA</t>
  </si>
  <si>
    <t>73622</t>
  </si>
  <si>
    <t>RONCESVALLES</t>
  </si>
  <si>
    <t>18479</t>
  </si>
  <si>
    <t>MORELIA</t>
  </si>
  <si>
    <t>27615</t>
  </si>
  <si>
    <t>27425</t>
  </si>
  <si>
    <t>MEDIO ATRATO</t>
  </si>
  <si>
    <t>19533</t>
  </si>
  <si>
    <t>PIAMONTE</t>
  </si>
  <si>
    <t>85015</t>
  </si>
  <si>
    <t>CHÁMEZA</t>
  </si>
  <si>
    <t>13458</t>
  </si>
  <si>
    <t>MONTECRISTO</t>
  </si>
  <si>
    <t>68264</t>
  </si>
  <si>
    <t>ENCINO</t>
  </si>
  <si>
    <t>86571</t>
  </si>
  <si>
    <t>PUERTO GUZMÁN</t>
  </si>
  <si>
    <t>50223</t>
  </si>
  <si>
    <t>CUBARRAL</t>
  </si>
  <si>
    <t>50124</t>
  </si>
  <si>
    <t>CABUYARO</t>
  </si>
  <si>
    <t>50245</t>
  </si>
  <si>
    <t>EL CALVARIO</t>
  </si>
  <si>
    <t>52250</t>
  </si>
  <si>
    <t>EL CHARCO</t>
  </si>
  <si>
    <t>52621</t>
  </si>
  <si>
    <t>ROBERTO PAYÁN</t>
  </si>
  <si>
    <t>27150</t>
  </si>
  <si>
    <t>CARMEN DEL DARIÉN</t>
  </si>
  <si>
    <t>18460</t>
  </si>
  <si>
    <t>MILÁN</t>
  </si>
  <si>
    <t>85315</t>
  </si>
  <si>
    <t>SÁCAMA</t>
  </si>
  <si>
    <t>15377</t>
  </si>
  <si>
    <t>LABRANZAGRANDE</t>
  </si>
  <si>
    <t>50686</t>
  </si>
  <si>
    <t>SAN JUANITO</t>
  </si>
  <si>
    <t>85136</t>
  </si>
  <si>
    <t>LA SALINA</t>
  </si>
  <si>
    <t>50450</t>
  </si>
  <si>
    <t>PUERTO CONCORDIA</t>
  </si>
  <si>
    <t>15180</t>
  </si>
  <si>
    <t>CHISCAS</t>
  </si>
  <si>
    <t>05873</t>
  </si>
  <si>
    <t>VIGÍA DEL FUERTE</t>
  </si>
  <si>
    <t>50689</t>
  </si>
  <si>
    <t>27372</t>
  </si>
  <si>
    <t>JURADÓ</t>
  </si>
  <si>
    <t>27250</t>
  </si>
  <si>
    <t>EL LITORAL DEL SAN JUAN</t>
  </si>
  <si>
    <t>85400</t>
  </si>
  <si>
    <t>TÁMARA</t>
  </si>
  <si>
    <t>18592</t>
  </si>
  <si>
    <t>PUERTO RICO</t>
  </si>
  <si>
    <t>15533</t>
  </si>
  <si>
    <t>PAYA</t>
  </si>
  <si>
    <t>50573</t>
  </si>
  <si>
    <t>PUERTO LÓPEZ</t>
  </si>
  <si>
    <t>50330</t>
  </si>
  <si>
    <t>MESETAS</t>
  </si>
  <si>
    <t>41206</t>
  </si>
  <si>
    <t>COLOMBIA</t>
  </si>
  <si>
    <t>18860</t>
  </si>
  <si>
    <t>85139</t>
  </si>
  <si>
    <t>MANÍ</t>
  </si>
  <si>
    <t>27660</t>
  </si>
  <si>
    <t>SAN JOSÉ DEL PALMAR</t>
  </si>
  <si>
    <t>50577</t>
  </si>
  <si>
    <t>PUERTO LLERAS</t>
  </si>
  <si>
    <t>15332</t>
  </si>
  <si>
    <t>GÜICÁN DE LA SIERRA</t>
  </si>
  <si>
    <t>05475</t>
  </si>
  <si>
    <t>MURINDÓ</t>
  </si>
  <si>
    <t>19418</t>
  </si>
  <si>
    <t>LÓPEZ DE MICAY</t>
  </si>
  <si>
    <t>85430</t>
  </si>
  <si>
    <t>TRINIDAD</t>
  </si>
  <si>
    <t>50711</t>
  </si>
  <si>
    <t>VISTAHERMOSA</t>
  </si>
  <si>
    <t>27099</t>
  </si>
  <si>
    <t>BOJAYÁ</t>
  </si>
  <si>
    <t>15550</t>
  </si>
  <si>
    <t>PISBA</t>
  </si>
  <si>
    <t>50590</t>
  </si>
  <si>
    <t>85250</t>
  </si>
  <si>
    <t>PAZ DE ARIPORO</t>
  </si>
  <si>
    <t>95001</t>
  </si>
  <si>
    <t>95</t>
  </si>
  <si>
    <t>GUAVIARE</t>
  </si>
  <si>
    <t>SAN JOSÉ DEL GUAVIARE</t>
  </si>
  <si>
    <t>18753</t>
  </si>
  <si>
    <t>SAN VICENTE DEL CAGUÁN</t>
  </si>
  <si>
    <t>27745</t>
  </si>
  <si>
    <t>SIPÍ</t>
  </si>
  <si>
    <t>85325</t>
  </si>
  <si>
    <t>SAN LUIS DE PALENQUE</t>
  </si>
  <si>
    <t>50568</t>
  </si>
  <si>
    <t>PUERTO GAITÁN</t>
  </si>
  <si>
    <t>85125</t>
  </si>
  <si>
    <t>HATO COROZAL</t>
  </si>
  <si>
    <t>85230</t>
  </si>
  <si>
    <t>OROCUÉ</t>
  </si>
  <si>
    <t>86573</t>
  </si>
  <si>
    <t>PUERTO LEGUÍZAMO</t>
  </si>
  <si>
    <t>18150</t>
  </si>
  <si>
    <t>CARTAGENA DEL CHAIRÁ</t>
  </si>
  <si>
    <t>50350</t>
  </si>
  <si>
    <t>LA MACARENA</t>
  </si>
  <si>
    <t>81591</t>
  </si>
  <si>
    <t>PUERTO RONDÓN</t>
  </si>
  <si>
    <t>50370</t>
  </si>
  <si>
    <t>URIBE</t>
  </si>
  <si>
    <t>19701</t>
  </si>
  <si>
    <t>97001</t>
  </si>
  <si>
    <t>97</t>
  </si>
  <si>
    <t>VAUPÉS</t>
  </si>
  <si>
    <t>MITÚ</t>
  </si>
  <si>
    <t>95025</t>
  </si>
  <si>
    <t>EL RETORNO</t>
  </si>
  <si>
    <t>99001</t>
  </si>
  <si>
    <t>99</t>
  </si>
  <si>
    <t>VICHADA</t>
  </si>
  <si>
    <t>PUERTO CARREÑO</t>
  </si>
  <si>
    <t>99624</t>
  </si>
  <si>
    <t>SANTA ROSALÍA</t>
  </si>
  <si>
    <t>99773</t>
  </si>
  <si>
    <t>CUMARIBO</t>
  </si>
  <si>
    <t>95015</t>
  </si>
  <si>
    <t>81220</t>
  </si>
  <si>
    <t>CRAVO NORTE</t>
  </si>
  <si>
    <t>94343</t>
  </si>
  <si>
    <t>94</t>
  </si>
  <si>
    <t>GUAINÍA</t>
  </si>
  <si>
    <t>BARRANCOMINAS</t>
  </si>
  <si>
    <t>50325</t>
  </si>
  <si>
    <t>MAPIRIPÁN</t>
  </si>
  <si>
    <t>95200</t>
  </si>
  <si>
    <t>99524</t>
  </si>
  <si>
    <t>LA PRIMAVERA</t>
  </si>
  <si>
    <t>97161</t>
  </si>
  <si>
    <t>CARURÚ</t>
  </si>
  <si>
    <t>97666</t>
  </si>
  <si>
    <t>TARAIRA</t>
  </si>
  <si>
    <t>18756</t>
  </si>
  <si>
    <t>SOLANO</t>
  </si>
  <si>
    <t>27493</t>
  </si>
  <si>
    <t>NUEVO BELÉN DE BAJIRÁ</t>
  </si>
  <si>
    <t>88564</t>
  </si>
  <si>
    <t>88</t>
  </si>
  <si>
    <t>ARCHIPIÉLAGO DE SAN ANDRÉS. PROVIDENCIA Y SANTA CATALINA</t>
  </si>
  <si>
    <t>91001</t>
  </si>
  <si>
    <t>91</t>
  </si>
  <si>
    <t>AMAZONAS</t>
  </si>
  <si>
    <t>LETICIA</t>
  </si>
  <si>
    <t>91540</t>
  </si>
  <si>
    <t>PUERTO NARIÑO</t>
  </si>
  <si>
    <t>94001</t>
  </si>
  <si>
    <t>INÍRIDA</t>
  </si>
  <si>
    <t>RESULTADOS CAMBIOS</t>
  </si>
  <si>
    <t>2025A</t>
  </si>
  <si>
    <t>2025P</t>
  </si>
  <si>
    <t>Número de Municipios</t>
  </si>
  <si>
    <t xml:space="preserve">Escenario </t>
  </si>
  <si>
    <t>Categorías menores</t>
  </si>
  <si>
    <t>Tipoogía_2025_ajustada</t>
  </si>
  <si>
    <t>Tipoogía_2025_publicada</t>
  </si>
  <si>
    <t>% de Municipios</t>
  </si>
  <si>
    <t>Saltos</t>
  </si>
  <si>
    <t>Saltos en tipología</t>
  </si>
  <si>
    <t>2026vs2025A</t>
  </si>
  <si>
    <t>2026vs2025P</t>
  </si>
  <si>
    <t>2026vs2024</t>
  </si>
  <si>
    <t>Bajan</t>
  </si>
  <si>
    <t>Suben</t>
  </si>
  <si>
    <t>Total cambios</t>
  </si>
  <si>
    <t>Total cambios %</t>
  </si>
  <si>
    <t>Bajan de tipología</t>
  </si>
  <si>
    <t>Disminuye el IC</t>
  </si>
  <si>
    <t>Aumenta el IC</t>
  </si>
  <si>
    <t>Bajan de tipología - Aumenta el IC</t>
  </si>
  <si>
    <t>Cambio en corte</t>
  </si>
  <si>
    <t>Cambio en corte y efecto ponderador</t>
  </si>
  <si>
    <t>Efecto ponderador</t>
  </si>
  <si>
    <t>Suben de tipología</t>
  </si>
  <si>
    <t>Suben de tipología - Disminuye el IC</t>
  </si>
  <si>
    <t>Cortes naturales tipologías 2024</t>
  </si>
  <si>
    <t>Minimo</t>
  </si>
  <si>
    <t>Máximo</t>
  </si>
  <si>
    <t>Especiales</t>
  </si>
  <si>
    <t>Cortes naturales tipologías 2025_publicado</t>
  </si>
  <si>
    <t>Cortes naturales tipologías 2025_ajustado</t>
  </si>
  <si>
    <t>IC</t>
  </si>
  <si>
    <t>IDDr_2025</t>
  </si>
  <si>
    <t>PONDERADORES MUNICIPIOS</t>
  </si>
  <si>
    <t>Ponderador vigencia 2024</t>
  </si>
  <si>
    <t>Promedio de IDDr</t>
  </si>
  <si>
    <t>Promedio de IC</t>
  </si>
  <si>
    <t>Categoría IDD</t>
  </si>
  <si>
    <t>Ponderador v2024</t>
  </si>
  <si>
    <t>Total general</t>
  </si>
  <si>
    <t>Ponderador vigencia 2025_IDDr2025</t>
  </si>
  <si>
    <t>Tipología 2024</t>
  </si>
  <si>
    <t>(Varios elementos)</t>
  </si>
  <si>
    <t>Etiquetas de fila</t>
  </si>
  <si>
    <t>Ponderador v2025</t>
  </si>
  <si>
    <t>ANÁLISIS DE CONTRASTE MUNICIPIOS - VARIABLES CONTINUAS</t>
  </si>
  <si>
    <t>IRCA</t>
  </si>
  <si>
    <t>IICA</t>
  </si>
  <si>
    <t>CG</t>
  </si>
  <si>
    <t>Educacion</t>
  </si>
  <si>
    <t>Salud</t>
  </si>
  <si>
    <t>Servicios</t>
  </si>
  <si>
    <t>Seguridad</t>
  </si>
  <si>
    <t>MDM Resultados</t>
  </si>
  <si>
    <t>Ingresos tributarios</t>
  </si>
  <si>
    <t>Educación</t>
  </si>
  <si>
    <t>Seguridad y convivencia</t>
  </si>
  <si>
    <t>% Área de protección ambiental y ecosistemas
estratégicos</t>
  </si>
  <si>
    <t>31% - 50%</t>
  </si>
  <si>
    <t>51% - 70%</t>
  </si>
  <si>
    <t>71% - 100%</t>
  </si>
  <si>
    <t>% Área de Territorios Étnicos</t>
  </si>
  <si>
    <t>0%</t>
  </si>
  <si>
    <t>MUNICIPIOS POR DEPARTAMENTO</t>
  </si>
  <si>
    <t>Etiquetas de columna</t>
  </si>
  <si>
    <t>Amazonas</t>
  </si>
  <si>
    <t>Antioquia</t>
  </si>
  <si>
    <t>Guainía</t>
  </si>
  <si>
    <t>Arauca</t>
  </si>
  <si>
    <t>Guaviare</t>
  </si>
  <si>
    <t>Atlántico</t>
  </si>
  <si>
    <t>Vaupés</t>
  </si>
  <si>
    <t>Vichada</t>
  </si>
  <si>
    <t>Bolívar</t>
  </si>
  <si>
    <t>Casanare</t>
  </si>
  <si>
    <t>Boyacá</t>
  </si>
  <si>
    <t>Meta</t>
  </si>
  <si>
    <t>Caldas</t>
  </si>
  <si>
    <t>Caquetá</t>
  </si>
  <si>
    <t>Chocó</t>
  </si>
  <si>
    <t>Cauca</t>
  </si>
  <si>
    <t>Cesar</t>
  </si>
  <si>
    <t>Putumayo</t>
  </si>
  <si>
    <t>Córdoba</t>
  </si>
  <si>
    <t>Tolima</t>
  </si>
  <si>
    <t>Cundinamarca</t>
  </si>
  <si>
    <t>Santander</t>
  </si>
  <si>
    <t>Magdalena</t>
  </si>
  <si>
    <t>Huila</t>
  </si>
  <si>
    <t>Sucre</t>
  </si>
  <si>
    <t>La Guajira</t>
  </si>
  <si>
    <t>Nariño</t>
  </si>
  <si>
    <t>Quindío</t>
  </si>
  <si>
    <t>Risaralda</t>
  </si>
  <si>
    <t>Valle del Cauca</t>
  </si>
  <si>
    <t>Código departamental (seleccionar)</t>
  </si>
  <si>
    <t>Núm. municipios y distritos</t>
  </si>
  <si>
    <t>Índice de capacidades ponderado (Promedio)</t>
  </si>
  <si>
    <t>Check</t>
  </si>
  <si>
    <t>Código DANE</t>
  </si>
  <si>
    <t>Variables de Contraste</t>
  </si>
  <si>
    <t>cod_dep_txt</t>
  </si>
  <si>
    <t>cod_dep_txt_corto</t>
  </si>
  <si>
    <t>cod_dep</t>
  </si>
  <si>
    <t>Pais</t>
  </si>
  <si>
    <t>IDF_2021C</t>
  </si>
  <si>
    <t>IDF_2022C</t>
  </si>
  <si>
    <t>IDF_2023C</t>
  </si>
  <si>
    <t>IC_pond</t>
  </si>
  <si>
    <t>IPM_2018</t>
  </si>
  <si>
    <t>EAT</t>
  </si>
  <si>
    <t>NBI_2018</t>
  </si>
  <si>
    <t>AA_V2025_Ha</t>
  </si>
  <si>
    <t>% _AA_V2025</t>
  </si>
  <si>
    <t>Rangos_AA_V2025</t>
  </si>
  <si>
    <t>ATE_V2025_Ha</t>
  </si>
  <si>
    <t>% _ATE_V2025</t>
  </si>
  <si>
    <t>Rangos_ATE_V2025</t>
  </si>
  <si>
    <t>Fronterizo</t>
  </si>
  <si>
    <t>05000</t>
  </si>
  <si>
    <t>Colombia</t>
  </si>
  <si>
    <t>3. Vulnerable (&gt;=60 y &lt;70)</t>
  </si>
  <si>
    <t>08000</t>
  </si>
  <si>
    <t>4. Solvente (&gt;=70 y &lt;80)</t>
  </si>
  <si>
    <t>13000</t>
  </si>
  <si>
    <t>2. Riesgo (&gt;=40 y &lt;60)</t>
  </si>
  <si>
    <t>15000</t>
  </si>
  <si>
    <t>17000</t>
  </si>
  <si>
    <t>18000</t>
  </si>
  <si>
    <t>19000</t>
  </si>
  <si>
    <t>20000</t>
  </si>
  <si>
    <t>23000</t>
  </si>
  <si>
    <t>25000</t>
  </si>
  <si>
    <t>27000</t>
  </si>
  <si>
    <t>41000</t>
  </si>
  <si>
    <t>44000</t>
  </si>
  <si>
    <t>47000</t>
  </si>
  <si>
    <t>50000</t>
  </si>
  <si>
    <t>52000</t>
  </si>
  <si>
    <t>1. Deterioro (&lt;40)</t>
  </si>
  <si>
    <t>54000</t>
  </si>
  <si>
    <t>Norte de Santander</t>
  </si>
  <si>
    <t>63000</t>
  </si>
  <si>
    <t>66000</t>
  </si>
  <si>
    <t>68000</t>
  </si>
  <si>
    <t>70000</t>
  </si>
  <si>
    <t>73000</t>
  </si>
  <si>
    <t>76000</t>
  </si>
  <si>
    <t>81000</t>
  </si>
  <si>
    <t>85000</t>
  </si>
  <si>
    <t>86000</t>
  </si>
  <si>
    <t>88000</t>
  </si>
  <si>
    <t>Archipiélago de San Andrés</t>
  </si>
  <si>
    <t>91000</t>
  </si>
  <si>
    <t>94000</t>
  </si>
  <si>
    <t>95000</t>
  </si>
  <si>
    <t>97000</t>
  </si>
  <si>
    <t>99000</t>
  </si>
  <si>
    <t>RESUMEN DEPARTAMENTAL</t>
  </si>
  <si>
    <t>No. Municipios 2025 ajustada</t>
  </si>
  <si>
    <t>Vigencia_2025  Vs. Vigencia_2024</t>
  </si>
  <si>
    <t>% Total cambios</t>
  </si>
  <si>
    <t>Z_IC: cambios en las series, y ponderador</t>
  </si>
  <si>
    <t>PONDERADORES DEPARTAMENTOS</t>
  </si>
  <si>
    <t>Promedio de Den-dis_r</t>
  </si>
  <si>
    <t>Promedio de Ind_capacidades</t>
  </si>
  <si>
    <t>Categoría den_dis</t>
  </si>
  <si>
    <t>Promedio de Den_dis_r</t>
  </si>
  <si>
    <t>+ DENSO, - DIST</t>
  </si>
  <si>
    <t>- DENSO, + DIST</t>
  </si>
  <si>
    <t>Ponderador vigencia 2025_IDD2025r</t>
  </si>
  <si>
    <t>Promedio de IDDr_2025</t>
  </si>
  <si>
    <t>Promedio de IC 2025</t>
  </si>
  <si>
    <t>Categoría Ponderador</t>
  </si>
  <si>
    <t>ANÁLISIS DE CONTRASTE DEPARTAMENTOS - VARIABLES CATEGÓRICAS</t>
  </si>
  <si>
    <t>Departamentos Fronterizos</t>
  </si>
  <si>
    <t>ANÁLISIS DE CONTRASTE DEPARTAMENTOS - VARIABLES CONTINUAS</t>
  </si>
  <si>
    <t>Dimensiones del componente resultados del MDM</t>
  </si>
  <si>
    <t>Infancia</t>
  </si>
  <si>
    <t>Trabajo</t>
  </si>
  <si>
    <t>Ambiente</t>
  </si>
  <si>
    <t>Tipología_2026_CortesArcMap</t>
  </si>
  <si>
    <t>Tipología 2026_cortes R</t>
  </si>
  <si>
    <t>Tipología 2026_cortes ArcGis</t>
  </si>
  <si>
    <t>Tipología_2026_CortesR</t>
  </si>
  <si>
    <t>2026R</t>
  </si>
  <si>
    <t>2026ArcGis</t>
  </si>
  <si>
    <t>ICpond</t>
  </si>
  <si>
    <t>ICpond_2025</t>
  </si>
  <si>
    <t>ICpond_2026</t>
  </si>
  <si>
    <t>Cortes fijo</t>
  </si>
  <si>
    <t>21.1</t>
  </si>
  <si>
    <t>28.1</t>
  </si>
  <si>
    <t>35.1</t>
  </si>
  <si>
    <t>Tipología 2026_cortes ArcGis2025</t>
  </si>
  <si>
    <t>ICPond2025Avs2026</t>
  </si>
  <si>
    <t>Verificación de saltos</t>
  </si>
  <si>
    <t>1. ¿Suben o Bajan de tipología?</t>
  </si>
  <si>
    <t>2. ¿Sube o disminuye el IC?</t>
  </si>
  <si>
    <t>3. Se verifica si con los cortes de 2025 cambia de tipología o no: si cambia, es un efecto de "cambio en cortes"</t>
  </si>
  <si>
    <t>4. Si no cambia, se verifica el ponderador: si el ponderador disminuye, es un "efecto ponderador"</t>
  </si>
  <si>
    <t>Pond2026</t>
  </si>
  <si>
    <t>Ciudad_capital</t>
  </si>
  <si>
    <t>PDET</t>
  </si>
  <si>
    <t>Sistema_de_ciudades_2019</t>
  </si>
  <si>
    <t>Subregiones funcionales JF</t>
  </si>
  <si>
    <t>Subregiones funcionales JF_nodos</t>
  </si>
  <si>
    <t>Jerarquía HM</t>
  </si>
  <si>
    <t>CalMonitoreoSGP2023</t>
  </si>
  <si>
    <t>CalMonitoreoSGP2023_C</t>
  </si>
  <si>
    <t>Requisitos_Reslución1166/2022</t>
  </si>
  <si>
    <t>Calificación Final delegación de la competencia</t>
  </si>
  <si>
    <t>Municipiofronterizo_OT</t>
  </si>
  <si>
    <t>Tipo_Frontera</t>
  </si>
  <si>
    <t>ZOMAC</t>
  </si>
  <si>
    <t>Cat_Ruralidad 2024</t>
  </si>
  <si>
    <t>IC Sube</t>
  </si>
  <si>
    <t>Ponderador baja (&gt;-0,01)</t>
  </si>
  <si>
    <t>IC_Pond baja</t>
  </si>
  <si>
    <t>Igual</t>
  </si>
  <si>
    <t>Unidad Especial de Desarrollo Fronterizo</t>
  </si>
  <si>
    <t>Zona de Fronteras</t>
  </si>
  <si>
    <t>Municipio Limítrofe</t>
  </si>
  <si>
    <t>Ciudades y aglomeraciones</t>
  </si>
  <si>
    <t>Intermedio</t>
  </si>
  <si>
    <t>Rural</t>
  </si>
  <si>
    <t>Rural disperso</t>
  </si>
  <si>
    <t>Cat 617_2025</t>
  </si>
  <si>
    <t>EC_educ_2025</t>
  </si>
  <si>
    <t>EC_salud_2025</t>
  </si>
  <si>
    <t>Si</t>
  </si>
  <si>
    <t>No</t>
  </si>
  <si>
    <t>IRCA_2024</t>
  </si>
  <si>
    <t>IRCA_2024C</t>
  </si>
  <si>
    <t>Sin Información</t>
  </si>
  <si>
    <t>Inviable sanitariamente</t>
  </si>
  <si>
    <t>IICA_2023</t>
  </si>
  <si>
    <t>IICA_2023C</t>
  </si>
  <si>
    <t>IngresosTot_2024</t>
  </si>
  <si>
    <t>IngresosTrib_2024</t>
  </si>
  <si>
    <t>Poblacion_2024</t>
  </si>
  <si>
    <t>AA_V2026_Ha</t>
  </si>
  <si>
    <t>% _AA_V2026</t>
  </si>
  <si>
    <t>Rangos_AA_V2026</t>
  </si>
  <si>
    <t>ATE_V2026_Ha</t>
  </si>
  <si>
    <t>% _ATE_V2026</t>
  </si>
  <si>
    <t>Rangos_ATE_V2026</t>
  </si>
  <si>
    <t>Distritos</t>
  </si>
  <si>
    <t>Sin información</t>
  </si>
  <si>
    <t>Aceptable</t>
  </si>
  <si>
    <t>Crítico bajo</t>
  </si>
  <si>
    <t>Crítico Medio</t>
  </si>
  <si>
    <t>Crítico Alto</t>
  </si>
  <si>
    <t>IDF_2024C</t>
  </si>
  <si>
    <t>Cortes naturales tipologías 2025 publicado</t>
  </si>
  <si>
    <t>2025p</t>
  </si>
  <si>
    <t>IC 2025a</t>
  </si>
  <si>
    <t>2025a</t>
  </si>
  <si>
    <t>IC 2025p</t>
  </si>
  <si>
    <t>Tipología_2025p</t>
  </si>
  <si>
    <t>Tipología_2025a</t>
  </si>
  <si>
    <t>Cortes naturales tipologías 2025 ajustado_MAL</t>
  </si>
  <si>
    <t>Cortes naturales tipologías 2025 ajustado_SUPER AJUSTADO</t>
  </si>
  <si>
    <t>Tipología_2026</t>
  </si>
  <si>
    <t>T_Especiales</t>
  </si>
  <si>
    <t>4.837654 21.773411 29.535099 38.371758 52.237897 84.251984</t>
  </si>
  <si>
    <t>ICPond_2026</t>
  </si>
  <si>
    <t>Tipoogía2025a</t>
  </si>
  <si>
    <t>ICPond_2025a</t>
  </si>
  <si>
    <t>Pond2025p</t>
  </si>
  <si>
    <t>ICPond_2025p</t>
  </si>
  <si>
    <t>Tipoogía2025_p</t>
  </si>
  <si>
    <t>Pond_2026</t>
  </si>
  <si>
    <t>Pond_2025a</t>
  </si>
  <si>
    <t>Pond_2025p</t>
  </si>
  <si>
    <t>ICpond_2025p</t>
  </si>
  <si>
    <t>ICpond_2025a</t>
  </si>
  <si>
    <t>Z_ICpond_2025p</t>
  </si>
  <si>
    <t>IC_2024</t>
  </si>
  <si>
    <t>Pond_2024</t>
  </si>
  <si>
    <t>ICpond_2024</t>
  </si>
  <si>
    <t>Z_ICpond_2024</t>
  </si>
  <si>
    <t>CÁLCULO TIPOLOGÍAS DEPARTAMENTOS 2026</t>
  </si>
  <si>
    <t>Z_ICPond_2025p</t>
  </si>
  <si>
    <t>Saltos_2026vs2025p</t>
  </si>
  <si>
    <t>Z_ICPond_p*100</t>
  </si>
  <si>
    <t>2026vs2025p</t>
  </si>
  <si>
    <t>IRCA2024_promMun</t>
  </si>
  <si>
    <t>Ingresos_totales_pc_2024</t>
  </si>
  <si>
    <t>Ingresos_propios_pc_2024</t>
  </si>
  <si>
    <t>No. Municipios 2026</t>
  </si>
  <si>
    <t>Vigencia_2026  Vs. Vigencia_2025p</t>
  </si>
  <si>
    <t>Vigencia_2026  Vs. Vigencia_2025a</t>
  </si>
  <si>
    <t>Saltos 2026vs2025A</t>
  </si>
  <si>
    <t>Saltos 2026vs2025p</t>
  </si>
  <si>
    <t>IC2026vsIC2025A</t>
  </si>
  <si>
    <t>No. Municipios 2025 publicado</t>
  </si>
  <si>
    <t>Area_departamental</t>
  </si>
  <si>
    <t>%</t>
  </si>
  <si>
    <t>CATEGORIAS RURALIDAD</t>
  </si>
  <si>
    <t>Promedio IC_pond</t>
  </si>
  <si>
    <t>Sistema de ciudades</t>
  </si>
  <si>
    <t>En aglomeración</t>
  </si>
  <si>
    <t>Centro aglomeración</t>
  </si>
  <si>
    <t>Fuera SC</t>
  </si>
  <si>
    <t>Uninodal</t>
  </si>
  <si>
    <t>CATEGORIAS LEY 617 DE 2000</t>
  </si>
  <si>
    <t>Cuenta de Tipología_2026_CortesArcMap</t>
  </si>
  <si>
    <t>Cambios Z_Icpond</t>
  </si>
  <si>
    <t>IC2026vsIC2025p</t>
  </si>
  <si>
    <t>Tip2026_ran2025p</t>
  </si>
  <si>
    <t>TipV2026_rang2025pvsTip2025p_ran2025p</t>
  </si>
  <si>
    <t>Cortes naturales tipologías 2026_R</t>
  </si>
  <si>
    <t>Cortes naturales tipologías 2026_ARCMAP</t>
  </si>
  <si>
    <t>Sube de tiplogía</t>
  </si>
  <si>
    <t>Baja de tipología</t>
  </si>
  <si>
    <t>Sube de tipología</t>
  </si>
  <si>
    <t>Sube de tipología - Disminuye el IC</t>
  </si>
  <si>
    <t>xxx</t>
  </si>
  <si>
    <t>ICM</t>
  </si>
  <si>
    <t>ICM_I productividad, Competitividad y Complementariedad Económica</t>
  </si>
  <si>
    <t>ICM_Í Gobernanza, Participación e Instituciones</t>
  </si>
  <si>
    <t>ICM_Í Equidad e inclusión social</t>
  </si>
  <si>
    <t>ICM_I Ciencia, Tecnología e Innovación</t>
  </si>
  <si>
    <t>ICM_Í Seguridad</t>
  </si>
  <si>
    <t>ICM_Í Sostenibilidad</t>
  </si>
  <si>
    <t>ICM_Í Ciencia, Tecnología e Innovación</t>
  </si>
  <si>
    <t>ICM_Í Productividad, Competitividad y Complementariedad Económica</t>
  </si>
  <si>
    <t>Municipios y distritos</t>
  </si>
  <si>
    <t>BOGOTÁ D.C.</t>
  </si>
  <si>
    <t>Autoreconocimiento etnico</t>
  </si>
  <si>
    <t>MDM2024_educacion</t>
  </si>
  <si>
    <t>MDM2024_salud</t>
  </si>
  <si>
    <t>MDM2024_servicios</t>
  </si>
  <si>
    <t>MDM2024_seguridad</t>
  </si>
  <si>
    <t>MDM2024_infancia</t>
  </si>
  <si>
    <t>MDM2024_trabajo</t>
  </si>
  <si>
    <t>MDM2024_ambiente</t>
  </si>
  <si>
    <t>MDM2024_gestion</t>
  </si>
  <si>
    <t>MDM2024_resultados</t>
  </si>
  <si>
    <t>MDM_2024</t>
  </si>
  <si>
    <t>Indice competitividad departamental_2025</t>
  </si>
  <si>
    <t>Ind_competitividad_ciudades</t>
  </si>
  <si>
    <t>MDM 2024</t>
  </si>
  <si>
    <t>% Área de territorios étnicos</t>
  </si>
  <si>
    <t>% Área de protección ambiental y ecosistemas estratégicos</t>
  </si>
  <si>
    <t>% Área de Zonas de Reserva Campesina</t>
  </si>
  <si>
    <t>ZRC_Ha</t>
  </si>
  <si>
    <t>%_ZRC</t>
  </si>
  <si>
    <t>Area_mun_HA</t>
  </si>
  <si>
    <t>Rangos_ZRC</t>
  </si>
  <si>
    <t>% ambiental del total nacional</t>
  </si>
  <si>
    <t>% ZRC del total nacional</t>
  </si>
  <si>
    <t>% ATE del total nacional</t>
  </si>
  <si>
    <t>0,1% - 30%</t>
  </si>
  <si>
    <t>Pob etnica</t>
  </si>
  <si>
    <t>Promedio</t>
  </si>
  <si>
    <t>Suma</t>
  </si>
  <si>
    <t xml:space="preserve">Departamentos </t>
  </si>
  <si>
    <t>Municipios vigencia 2025</t>
  </si>
  <si>
    <t>Municipios vigencia 2026</t>
  </si>
  <si>
    <t>Variación 2026 vs. 2025</t>
  </si>
  <si>
    <t>Tipologías</t>
  </si>
  <si>
    <t>Tipología 2026_cortes ArcGis2025A</t>
  </si>
  <si>
    <t>Tipología 2026_cortes ArcGis2026</t>
  </si>
  <si>
    <t>Tipología 2026_cortesR2026</t>
  </si>
  <si>
    <t>Sin información- Nuevo Belén de Bajirá</t>
  </si>
  <si>
    <t>Ingresos</t>
  </si>
  <si>
    <t>CodDANE_num</t>
  </si>
  <si>
    <t>CodDANE_txt</t>
  </si>
  <si>
    <t>CodDANE_dpto</t>
  </si>
  <si>
    <t>Totales</t>
  </si>
  <si>
    <t>Tributarios</t>
  </si>
  <si>
    <t>Tributarios/totales</t>
  </si>
  <si>
    <t>Tributarios/
totales</t>
  </si>
  <si>
    <t>MDM
resultados</t>
  </si>
  <si>
    <t>MDM resultados</t>
  </si>
  <si>
    <t>Proporción territorial de zonas de reserva campesina (ZRC)</t>
  </si>
  <si>
    <t>Índice de Ciudades Modernas (ICM)</t>
  </si>
  <si>
    <t>Productividad, Competitividad y Complementariedad Económica</t>
  </si>
  <si>
    <t>Gobernanza, Participación e Instituciones</t>
  </si>
  <si>
    <t>Equidad e inclusión social</t>
  </si>
  <si>
    <t>Ciencia, Tecnología e Innovación</t>
  </si>
  <si>
    <t>Sostenibilidad</t>
  </si>
  <si>
    <t>%ATE_m= área de territorios étnicos_m/ área total de la entidad territorial_m
	%ATE_m: porcentaje de territorios étnicos en relación con el área total de la entidad territorial.
	Áreas territorios étnicos_m: área correspondiente a los polígonos identificados como territorios étnicos, en hectáreas y calculada geográficamente para cada entidad territorial. Abarca las áreas de los resguardos indígenas legamente constituidos y las tierras colectivas tituladas a las comunidades NARP de acuerdo con la información oficial de la Agencia Nacional de Tierras.
	Áreas total_m: área correspondiente a cada polígono identificado como entidades territoriales, en hectáreas y calculada geográficamente.
	m: entidad territorial</t>
  </si>
  <si>
    <t>Rango</t>
  </si>
  <si>
    <t>MUNICIPIO</t>
  </si>
  <si>
    <t>COD_DEP</t>
  </si>
  <si>
    <t>DEPARTAMENTO</t>
  </si>
  <si>
    <t>TIPO DE ET</t>
  </si>
  <si>
    <t>COD_DANE</t>
  </si>
  <si>
    <t>SAN VICENTE FERRER</t>
  </si>
  <si>
    <t>SONSÓN</t>
  </si>
  <si>
    <t>BOGOTÁ</t>
  </si>
  <si>
    <t>CAQUETA</t>
  </si>
  <si>
    <t>GUAINIA</t>
  </si>
  <si>
    <t>ATLANTICO</t>
  </si>
  <si>
    <t>BOLIVAR</t>
  </si>
  <si>
    <t>GUAJIRA</t>
  </si>
  <si>
    <t>QUINDIO</t>
  </si>
  <si>
    <t>CHOCO</t>
  </si>
  <si>
    <t>SANTIAGO DE CALI</t>
  </si>
  <si>
    <t>Registrados a 31 de diciembre de 2024</t>
  </si>
  <si>
    <t>Rangos área ZRC</t>
  </si>
  <si>
    <t>El Índice de Desempeño Fiscal es una medición del desempeño de la gestión financiera de las entidades territoriales que da cuenta de la sostenibilidad financiera a la luz de la viabilidad fiscal, la capacidad de generación de recursos propios, el endeudamiento, los niveles de inversión y la capacidad de gestión financiera en los municipios y departamentos del país. Su objetivo es medir la gestión fiscal de las entidades territoriales con el fin de identificar buenas prácticas en el manejo de las finanzas públicas y fortalecer la asistencia técnica territorial.
Se encuentra en una escala de 0 a 100 puntos, donde valores cercanos a 0 denotan un bajo desempeño fiscal, y valores cercanos a 100 indican que la entidad logró en conjunto, buenos resultados en la medición.
Cuenta con dos dimensiones de calificación:
i) Resultados Fiscales (80%): Promedio simple de los indicadores por temáticas:
• Dependencia de las Transferencias: SGP y otras/ ingresos total (20%): El índice premia que las ET no dependas de las transferencias para su desarrollo
• Inversión: Formación Bruta de Capital Fijo/ Gasto de Inversión (20%): premia el gasto de las inversiones que tienen retorno a futuro, tiene en cuenta los datos de los otros municipios 
• Endeudamiento: Pasivos/ activos (20%): premia las ET que tienen mayor respaldo para el pago de sus pasivos
• Medidas de Déficit o Superávit: 1) Ahorro corriente/ Ingreso corriente, premia que se puedan liberar excedentes 2) Balance Primario/Ingresos Totales + Desembolsos: 20%. se permia que haya un equilibrio
ii) Gestión Financiera Territorial (20%): Promedio simple de los indicadores + Bonificaciones:
• Capacidad de programación y ejecución de ingresos: Para ingresos propios: Recaudo efectivo/Presupuesto inicial (o programación)
• Capacidad de ejecución de inversión: Para inversión: Pagos/Compromisos
• Cumplimiento límites de la Ley 617 de 2000 (holgura): Límite Ley 617- Gastos de funcionamiento/Ingresos corrientes de libre destinación.
Otorga dos bonos:
• Bonificación de esfuerzo propio: % crecimiento Tributarios + No Tributarios en dos vigencias (si por dos vigencias han tenido crecimiento positivo, se le da el bono) 
• Bonificación Actualización Catastral: 2 puntos en gestión por actualización</t>
  </si>
  <si>
    <t>Municipal, distrital y departamental</t>
  </si>
  <si>
    <t>Municipal y distrital</t>
  </si>
  <si>
    <t>Elaboración propia con base en la metodología del PNUD (2011)
Proyecciones poblacionales DANE 2024
Calculo de tiempos de viaje 2025
Periodicidad: No definida
Último año con información: 2025</t>
  </si>
  <si>
    <t>Índice de Distancias y Densidades invertido (IDDr)</t>
  </si>
  <si>
    <t>Índice de Distancias y Densidades (IDD)</t>
  </si>
  <si>
    <t>IDDr_m = max ( IDD)- Z_IDD_m
El IDDr se presenta en una escala de 0 a 1, donde un valor de 0.1 indica que el municipio presenta mayores tiempos de desplazamiento hacia los municipios más poblados y una menor densidad poblacional; es decir, se trata de un territorio con mayores características de ruralidad.</t>
  </si>
  <si>
    <t>Municipal: 
IDD_m= Ln (tiempos de viaje/densidad poblacional^2)
Tiempos de viaje a las ciudades más cercanas clasificadas por número de población:
A. 1.000 a 2.000 habitantes: 44
B. 2.000 a 4.000 habitantes: 16
C. 4.000 a 1.000.000 habitantes: 13
D. Mayor a 1.000.000 habitantes: 5 (Bogotá, Cali, Medellín, Barranquilla, Cartagena)
Una vez calculado el IDD_m se estandariza utilizando la siguiente fórmula:
Z_IDD_m= 0.1+[(IDD_m-Min_IDD)/(Max_IDD-Min_IDD)]*(1-0.1)  
Donde,
m: municipios.
IDD: es el valor original de la variable IDD.
Min_IDD: valor mínimo observado del IDD.
Max_IDD: valor máximo observado del IDD.
Z_IDD_m: valor estandarizado, transformado al rango [0.1, 1].
Departamental:
Promedio del nivel municipal
Se encuentra en una escala de 0,1 a 1 puntos, donde valores cercanos a 0 indican que son territorios con alta conectividad y densidad poblacional, y valores cercanos a 1 baja conectividad y densidad poblacional.</t>
  </si>
  <si>
    <t>Ponderador final</t>
  </si>
  <si>
    <t>Variable previa para el ponderador</t>
  </si>
  <si>
    <t>Proporción territorial de áreas de protección ambiental y ecosistemas estratégicos (AA)</t>
  </si>
  <si>
    <t>2025 / 2017</t>
  </si>
  <si>
    <t>%AA_m= áreas protegidas y ecosistemas estratégicos_m/ área total del municipio_m
donde,
	%AA_m: porcentaje de áreas protegidas y ecosistemas estratégicos en relación con el área total de la entidad territorial.
	Áreas protegidas y ecosistemas estratégicos_m: Cruce de la información de las capas geográficas del Registro Único Nacional de Áreas Protegidas (RUNAP) del año 2025 y Registro de Ecosistemas y Áreas Ambientales (REAA) del año 2017, áreas interceptadas y calculadas geográficamente.
	Áreas total_m: área correspondiente a cada polígono identificado como entidades territoriales, en hectáreas y calculada geográficamente.
	m: entidad territorial
RUNAP:
Se incluyen todas las categorías:
a) Parque nacional
b) Reserva natural (es diferente a reservas de la sociedad civil)
c) Área natural única
d) Santuario de flora: área dedicada a preservar especies o comunidades vegetales
e) Santuario de fauna: área dedicada a preservar especies o comunidades de animales silvestres
f) Vía parque: faja de terreno con carretera, que posee bellezas panorámicas singulares o valores naturales o culturales, conservada para fines de educación y esparcimiento”. (a-f_ administrados por la Nación).
g) Parques Naturales Regionales (no está incluida en el artículo 329 pero en la Sentencia de la C- 598/10 se pone en el mismo nivel de los Parques Nacionales Naturales)- (Administrados por la CAR)
h) áreas de recreación
i) distritos de conservación de suelos
j) distritos nacionales de manejo integrado
k) distritos regionales de manejo integrado
l) reserva natural de la sociedad civil
m) reservas forestales protectoras nacional
n) reservas forestales protectoras regionales
REAA:
Se incluyen todas las categorías: Páramos, Humedales RAMSAR, Bosque Seco Tropical, Manglares, Pastos Marinos, Arrecifes coralinos, Reservas Forestales de Ley 2 de 1959 (Zona Tipo A), Áreas Susceptibles a Procesos de Restauración Ecológica, Áreas de proyectos Bosques de Paz orientados a la restauración ambiental y reconciliación de víctimas.</t>
  </si>
  <si>
    <t>%ZRC_m= área de ZRC_m/ área total de la entidad territorial_m
	%ZRC_m: porcentaje de ZRC en relación con el área total de la entidad territorial.
	Áreas ZRC_m: área correspondiente a los polígonos identificados como ZRC, en hectáreas de acuerdo con la información oficial de la Agencia Nacional de Tierras.
	Áreas total_m: área correspondiente a cada polígono identificado como entidades territoriales, en hectáreas y calculada geográficamente.
	m: entidad territorial</t>
  </si>
  <si>
    <t>El ICM mide del desarrollo integral de ciudades y municipios de todo el país, en seis dimensiones, con 15 subdivisiones (o dominios), y 40 indicadores básicos (variables estandarizadas) ligados a variables que dan cuenta de la evolución de fenómenos particulares.
Dimensiones:
1. Equidad e inclusión social: IPM, mortalidad infantil, IRCA, estimación de educación superar, calidad de los colegios
2. Ciencia, tecnología e innovación: velocidad y usuarios de internet, terminales (Portátil + Fijo+ tabletas) por estudiantes, grupos de investigación
3. Sostenibilidad: desastres, desforestación y ecosistemas estratégicos, caudal tratado, sitio y vida útil de disposición final de residuos sólidos
4. Productividad, competitividad y complementariedad: carga y relaciones uni-bidireccionales, valor agregado
5. Gobernanza, participación e instituciones: participación electoral, delitos contra la administración pública, esquemas asociativos, pertenencia a sitios de disposición final de residuos
6. Seguridad: homicidios, lesiones personales , hurtos a residencias, hurtos a personas, hurtos a comercios, extorsiones, víctimas de secuestro
*Variables que pertenecen a varias dimensiones: ciudad nodo más cercada, distancias y tiempos de viaje por carretera, estadísticas presupuestales ( i) inversión en gestión de riesgo de desastres, ii) Inversión en gestión del riesgo de desastres, constantes, iii) Inversión total municipal, iv) Inversión total municipal, v) Inversión municipal con recursos propios)
Los índices se obtienen por el promedio simple de sus componentes. Todas las variables estandarizadas cuentan con referentes que permiten escalar de 0 a 100. Estos referentes indican niveles aceptables entre los que se puntúa, otro es indicativo de buena condición (se califica con 100), y otro indica una condición no deseable (se califica con cero)</t>
  </si>
  <si>
    <t>El objetivo es medir el desempeño de las alcaldías, entendido como la capacidad de gestión y de generación de resultados de desarrollo.
i) Componente de gestión: incluye las acciones y decisiones que adelanta la administración local que buscan transformar los recursos en un mayor bienestar de la población y desarrollo. Mide las siguientes dimensiones:
- Movilización de recursos: Ingresos tributarios y no tributarios per cápita, recaudo por instrumento de OT per cápita, participación de los recursos propios en la inversión
- Ejecución de recursos: Ejecución sectores de desarrollo económico, ejecución sectores de desarrollo social, ejecución otros sectores, ejecución de IGPR (regalías)
- Gobierno abierto y transparencia: organización de la información, rendición de cuenta, atención al ciudadano
- Ordenamiento territorial: Recaudo predial efectivo, uso de instrumentos de recaudo de OT
ii) Componente de resultados: mide los elementos constitutivos del bienestar de la población, por medio de las siguientes dimensiones:
- Educación: Cobertura neta en transición, cobertura neta en media, puntaje Saber 11 (matemáticas y lenguaje)
- Salud: Tasa de mortalidad infantil, cobertura en prevalente, cobertura en afiliación a salud
- Seguridad: Tasa de hurtos, tasa de homicidios, tasa de casos de violencia intrafamiliar
- Servicios públicos: cobertura de energía eléctrica rural, cobertura de acueducto y alcantarillado, penetración de internet y banda ancha</t>
  </si>
  <si>
    <t>Función Pública- Medición del Desempeño Institucional
Periodicidad: Anual
Último año con información: 2024</t>
  </si>
  <si>
    <t>DNP- Índice d​e Desempeño Fiscal territorial
Periodicidad: anual
Último año con información: 2024</t>
  </si>
  <si>
    <t>Elaboración propia
Periodicidad: No definida
Último año con información: 2025</t>
  </si>
  <si>
    <t>Ministerio de Ambiente y Desarrollo Sostenible
Periodicidad: RUNAP se actualiza constantemente (ej. cuando hay una actualización de límites, reservas de la sociedad civil) pero sin una periodicidad definida. REAA no se tiene información de cuándo será actualizado.
Último año con información: RUNAP 2025, REAA 2017</t>
  </si>
  <si>
    <t xml:space="preserve">Agencia Nacional de Tierras:
 https://data-agenciadetierras.opendata.arcgis.com/search?tags=ri 
Periodicidad: mensual
Último año con información: septiembre de 2025
</t>
  </si>
  <si>
    <t xml:space="preserve">Agencia Nacional de Tierras
https://data-agenciadetierras.opendata.arcgis.com/datasets/0eca5beb8afe43708622fdd7646cd577_0/explore?location=4.732600%2C-73.819628%2C4.74
Último año con información: septiembre de 2025
</t>
  </si>
  <si>
    <t>DANE: https://www.dane.gov.co/index.php/estadisticas-por-tema/pobreza-y-condiciones-de-vida/pobreza-multidimensional
Periodicidad: No definida
Último año con información: 2018</t>
  </si>
  <si>
    <t>DNP- Subdirección de DDHH y Paz
Periodicidad: No definida
Último año con información: 2023</t>
  </si>
  <si>
    <t xml:space="preserve">Instituto Nacional de Salud-INS . Dirección de Desarrollo Urbano-DDU (DNP):
https://osc.dnp.gov.co/
Periodicidad: Anual
Último año con información: 2024
</t>
  </si>
  <si>
    <t>DNP. Dirección de Desarrollo Urbano- Observatorio de Ciudades: https://osc.dnp.gov.co/tematica?dashboard=sc&amp;tematica=icm
Periodicidad: Anual
Último año con información: 2025</t>
  </si>
  <si>
    <t>MDM- DNP:
https://portalterritorial.dnp.gov.co/AdmInfoTerritorial/MenuInfoTerrEstMDM
Periodicidad: Anual
Último año con información: 2024</t>
  </si>
  <si>
    <t>MDD- DNP:
https://portalterritorial.dnp.gov.co/AdmInfoTerritorial/MenuInfoTerrEstMDM
Periodicidad: Anual
Último año con información: 2024</t>
  </si>
  <si>
    <t>Operaciones efectivas de caja- DNP
Periodicidad: Anual
Último año con información: 2024</t>
  </si>
  <si>
    <t>Tipología 2026</t>
  </si>
  <si>
    <t>Divipola</t>
  </si>
  <si>
    <t>Tipoogía 2025a</t>
  </si>
  <si>
    <t>MUNICIPAL</t>
  </si>
  <si>
    <t>DEPARTAMENTAL</t>
  </si>
  <si>
    <t>Tipología 2025a</t>
  </si>
  <si>
    <t>Ingresos per capita</t>
  </si>
  <si>
    <t>Ingresos per cápita</t>
  </si>
  <si>
    <t>Tipología 1</t>
  </si>
  <si>
    <t>Tipología 2</t>
  </si>
  <si>
    <t>Tipología 3</t>
  </si>
  <si>
    <t>Tipología 4</t>
  </si>
  <si>
    <t>Tipología 5</t>
  </si>
  <si>
    <t>Ingresos totales</t>
  </si>
  <si>
    <t>San Andrés</t>
  </si>
  <si>
    <t>T1 (promedio)</t>
  </si>
  <si>
    <t>T2 (promedio)</t>
  </si>
  <si>
    <t>T3 (promedio)</t>
  </si>
  <si>
    <t>Providencia</t>
  </si>
  <si>
    <t>T4 (promedio)</t>
  </si>
  <si>
    <t xml:space="preserve"> </t>
  </si>
  <si>
    <t>No tributarios</t>
  </si>
  <si>
    <t>IC_2025p</t>
  </si>
  <si>
    <t>Pond_2025</t>
  </si>
  <si>
    <t>% municipios y distritos</t>
  </si>
  <si>
    <t>Ingresos tributarios pér capita</t>
  </si>
  <si>
    <t>Ingresos totales pér capita</t>
  </si>
  <si>
    <t>Ingresos totales (millones de pesos)</t>
  </si>
  <si>
    <t>Ingresos tributarios (millones de pesos)</t>
  </si>
  <si>
    <t>Cantidad mun en lista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</si>
</sst>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00"/>
    <numFmt numFmtId="166" formatCode="0.000000"/>
    <numFmt numFmtId="167" formatCode="0.0%"/>
    <numFmt numFmtId="168" formatCode="0.00000"/>
    <numFmt numFmtId="169" formatCode="0.0000"/>
    <numFmt numFmtId="170" formatCode="0%;;"/>
    <numFmt numFmtId="171" formatCode="0.0000000"/>
    <numFmt numFmtId="172" formatCode="0.00000000"/>
    <numFmt numFmtId="173" formatCode="#,##0.0000000"/>
    <numFmt numFmtId="174" formatCode="0.00000%"/>
    <numFmt numFmtId="175" formatCode="0.000%"/>
  </numFmts>
  <fonts count="41">
    <font>
      <sz val="11"/>
      <color theme="1"/>
      <name val="Aptos Narrow"/>
      <family val="2"/>
      <scheme val="minor"/>
    </font>
    <font>
      <b/>
      <sz val="11"/>
      <color theme="1"/>
      <name val="Aptos Narrow"/>
      <family val="2"/>
      <scheme val="minor"/>
    </font>
    <font>
      <sz val="11"/>
      <color theme="5"/>
      <name val="Aptos Narrow"/>
      <family val="2"/>
      <scheme val="minor"/>
    </font>
    <font>
      <sz val="11"/>
      <color theme="2" tint="-0.499984740745262"/>
      <name val="Aptos Narrow"/>
      <family val="2"/>
      <scheme val="minor"/>
    </font>
    <font>
      <sz val="11"/>
      <color theme="4" tint="0.39997558519241921"/>
      <name val="Aptos Narrow"/>
      <family val="2"/>
      <scheme val="minor"/>
    </font>
    <font>
      <sz val="11"/>
      <color theme="1" tint="0.34998626667073579"/>
      <name val="Aptos Narrow"/>
      <family val="2"/>
      <scheme val="minor"/>
    </font>
    <font>
      <sz val="11"/>
      <color theme="7"/>
      <name val="Aptos Narrow"/>
      <family val="2"/>
      <scheme val="minor"/>
    </font>
    <font>
      <u/>
      <sz val="11"/>
      <color theme="10"/>
      <name val="Aptos Narrow"/>
      <family val="2"/>
      <scheme val="minor"/>
    </font>
    <font>
      <b/>
      <sz val="11"/>
      <name val="Aptos Narrow"/>
      <family val="2"/>
      <scheme val="minor"/>
    </font>
    <font>
      <sz val="11"/>
      <color theme="5" tint="0.59999389629810485"/>
      <name val="Aptos Narrow"/>
      <family val="2"/>
      <scheme val="minor"/>
    </font>
    <font>
      <b/>
      <sz val="11"/>
      <color rgb="FFFF0000"/>
      <name val="Aptos Narrow"/>
      <family val="2"/>
      <scheme val="minor"/>
    </font>
    <font>
      <sz val="11"/>
      <color theme="1"/>
      <name val="Aptos Narrow"/>
      <family val="2"/>
      <scheme val="minor"/>
    </font>
    <font>
      <sz val="11"/>
      <name val="Aptos Narrow"/>
      <family val="2"/>
      <scheme val="minor"/>
    </font>
    <font>
      <sz val="11"/>
      <color rgb="FFFF0000"/>
      <name val="Aptos Narrow"/>
      <family val="2"/>
      <scheme val="minor"/>
    </font>
    <font>
      <sz val="11"/>
      <color theme="8"/>
      <name val="Aptos Narrow"/>
      <family val="2"/>
      <scheme val="minor"/>
    </font>
    <font>
      <b/>
      <sz val="11"/>
      <color rgb="FFC00000"/>
      <name val="Aptos Narrow"/>
      <family val="2"/>
      <scheme val="minor"/>
    </font>
    <font>
      <b/>
      <sz val="11"/>
      <color theme="4" tint="-0.499984740745262"/>
      <name val="Aptos Narrow"/>
      <family val="2"/>
      <scheme val="minor"/>
    </font>
    <font>
      <sz val="11"/>
      <color rgb="FF00B050"/>
      <name val="Aptos Narrow"/>
      <family val="2"/>
      <scheme val="minor"/>
    </font>
    <font>
      <b/>
      <sz val="9"/>
      <color rgb="FF000000"/>
      <name val="Arial"/>
      <family val="2"/>
    </font>
    <font>
      <b/>
      <sz val="11"/>
      <color theme="3" tint="9.9978637043366805E-2"/>
      <name val="Aptos Narrow"/>
      <family val="2"/>
      <scheme val="minor"/>
    </font>
    <font>
      <b/>
      <sz val="11"/>
      <color theme="0"/>
      <name val="Aptos Narrow"/>
      <family val="2"/>
      <scheme val="minor"/>
    </font>
    <font>
      <b/>
      <sz val="9"/>
      <color theme="1"/>
      <name val="Aptos Narrow"/>
      <family val="2"/>
      <scheme val="minor"/>
    </font>
    <font>
      <b/>
      <sz val="10"/>
      <color theme="0"/>
      <name val="Arial"/>
      <family val="2"/>
    </font>
    <font>
      <b/>
      <sz val="10"/>
      <name val="Arial"/>
      <family val="2"/>
    </font>
    <font>
      <sz val="10"/>
      <name val="Arial"/>
      <family val="2"/>
    </font>
    <font>
      <sz val="12"/>
      <name val="Arial"/>
      <family val="2"/>
    </font>
    <font>
      <sz val="9"/>
      <color theme="1"/>
      <name val="Aptos Narrow"/>
      <family val="2"/>
      <scheme val="minor"/>
    </font>
    <font>
      <sz val="8"/>
      <color theme="1"/>
      <name val="Aptos Narrow"/>
      <family val="2"/>
      <scheme val="minor"/>
    </font>
    <font>
      <sz val="8"/>
      <name val="Aptos Narrow"/>
      <family val="2"/>
      <scheme val="minor"/>
    </font>
    <font>
      <b/>
      <sz val="10"/>
      <color rgb="FF000000"/>
      <name val="Aptos Narrow"/>
      <family val="2"/>
      <scheme val="minor"/>
    </font>
    <font>
      <sz val="10"/>
      <color theme="1"/>
      <name val="Aptos Narrow"/>
      <family val="2"/>
      <scheme val="minor"/>
    </font>
    <font>
      <b/>
      <sz val="10"/>
      <name val="Aptos Narrow"/>
      <family val="2"/>
      <scheme val="minor"/>
    </font>
    <font>
      <b/>
      <sz val="14"/>
      <color theme="1"/>
      <name val="Aptos Narrow"/>
      <family val="2"/>
      <scheme val="minor"/>
    </font>
    <font>
      <sz val="14"/>
      <color theme="1"/>
      <name val="Aptos Narrow"/>
      <family val="2"/>
      <scheme val="minor"/>
    </font>
    <font>
      <sz val="11"/>
      <color theme="3" tint="0.89999084444715716"/>
      <name val="Aptos Narrow"/>
      <family val="2"/>
      <scheme val="minor"/>
    </font>
    <font>
      <sz val="10"/>
      <color rgb="FF000000"/>
      <name val="Lucida Console"/>
      <family val="3"/>
    </font>
    <font>
      <b/>
      <sz val="8"/>
      <color theme="1"/>
      <name val="Aptos Narrow"/>
      <family val="2"/>
      <scheme val="minor"/>
    </font>
    <font>
      <sz val="11"/>
      <color theme="4"/>
      <name val="Aptos Narrow"/>
      <family val="2"/>
      <scheme val="minor"/>
    </font>
    <font>
      <sz val="7"/>
      <color rgb="FF000000"/>
      <name val="Lucida Console"/>
      <family val="3"/>
    </font>
    <font>
      <sz val="11"/>
      <color theme="9"/>
      <name val="Aptos Narrow"/>
      <family val="2"/>
      <scheme val="minor"/>
    </font>
    <font>
      <b/>
      <sz val="11"/>
      <color theme="9"/>
      <name val="Aptos Narrow"/>
      <family val="2"/>
      <scheme val="minor"/>
    </font>
  </fonts>
  <fills count="36">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595959"/>
        <bgColor indexed="64"/>
      </patternFill>
    </fill>
    <fill>
      <patternFill patternType="solid">
        <fgColor theme="2"/>
        <bgColor indexed="64"/>
      </patternFill>
    </fill>
    <fill>
      <patternFill patternType="solid">
        <fgColor theme="4"/>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499984740745262"/>
        <bgColor indexed="64"/>
      </patternFill>
    </fill>
    <fill>
      <patternFill patternType="solid">
        <fgColor rgb="FFFFFFFF"/>
        <bgColor rgb="FF000000"/>
      </patternFill>
    </fill>
    <fill>
      <patternFill patternType="solid">
        <fgColor theme="4" tint="0.59999389629810485"/>
        <bgColor rgb="FF000000"/>
      </patternFill>
    </fill>
    <fill>
      <patternFill patternType="solid">
        <fgColor theme="5" tint="0.59999389629810485"/>
        <bgColor rgb="FF000000"/>
      </patternFill>
    </fill>
    <fill>
      <patternFill patternType="solid">
        <fgColor theme="6" tint="0.79998168889431442"/>
        <bgColor rgb="FF000000"/>
      </patternFill>
    </fill>
    <fill>
      <patternFill patternType="solid">
        <fgColor theme="8" tint="0.59999389629810485"/>
        <bgColor rgb="FF000000"/>
      </patternFill>
    </fill>
    <fill>
      <patternFill patternType="solid">
        <fgColor theme="2" tint="-0.249977111117893"/>
        <bgColor rgb="FF000000"/>
      </patternFill>
    </fill>
    <fill>
      <patternFill patternType="solid">
        <fgColor rgb="FFFFFFCC"/>
        <bgColor indexed="64"/>
      </patternFill>
    </fill>
    <fill>
      <patternFill patternType="solid">
        <fgColor rgb="FFF8E4F6"/>
        <bgColor indexed="64"/>
      </patternFill>
    </fill>
    <fill>
      <patternFill patternType="solid">
        <fgColor rgb="FFE3F6FD"/>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3" tint="0.89999084444715716"/>
        <bgColor indexed="64"/>
      </patternFill>
    </fill>
    <fill>
      <patternFill patternType="solid">
        <fgColor rgb="FFFF0000"/>
        <bgColor indexed="64"/>
      </patternFill>
    </fill>
    <fill>
      <patternFill patternType="solid">
        <fgColor rgb="FF92D05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diagonal/>
    </border>
  </borders>
  <cellStyleXfs count="4">
    <xf numFmtId="0" fontId="0" fillId="0" borderId="0"/>
    <xf numFmtId="0" fontId="7" fillId="0" borderId="0" applyNumberFormat="0" applyFill="0" applyBorder="0" applyAlignment="0" applyProtection="0"/>
    <xf numFmtId="9" fontId="11" fillId="0" borderId="0" applyFont="0" applyFill="0" applyBorder="0" applyAlignment="0" applyProtection="0"/>
    <xf numFmtId="0" fontId="24" fillId="0" borderId="0"/>
  </cellStyleXfs>
  <cellXfs count="391">
    <xf numFmtId="0" fontId="0" fillId="0" borderId="0" xfId="0"/>
    <xf numFmtId="0" fontId="0" fillId="0" borderId="0" xfId="0" applyAlignment="1">
      <alignment vertical="center" wrapText="1"/>
    </xf>
    <xf numFmtId="0" fontId="0" fillId="0" borderId="0" xfId="0" applyAlignment="1">
      <alignment vertical="top" wrapText="1"/>
    </xf>
    <xf numFmtId="0" fontId="0" fillId="3" borderId="0" xfId="0" applyFill="1"/>
    <xf numFmtId="0" fontId="1" fillId="0" borderId="1" xfId="0" applyFont="1" applyBorder="1" applyAlignment="1">
      <alignment horizontal="center" vertical="center" wrapText="1"/>
    </xf>
    <xf numFmtId="0" fontId="1" fillId="0" borderId="1" xfId="0" applyFont="1" applyBorder="1" applyAlignment="1">
      <alignment horizontal="center"/>
    </xf>
    <xf numFmtId="0" fontId="0" fillId="0" borderId="1" xfId="0" applyBorder="1" applyAlignment="1">
      <alignment vertical="center" wrapText="1"/>
    </xf>
    <xf numFmtId="0" fontId="0" fillId="0" borderId="1" xfId="0" applyBorder="1" applyAlignment="1">
      <alignment wrapText="1"/>
    </xf>
    <xf numFmtId="0" fontId="0" fillId="0" borderId="1" xfId="0" applyBorder="1"/>
    <xf numFmtId="0" fontId="0" fillId="0" borderId="1" xfId="0" applyBorder="1" applyAlignment="1">
      <alignment vertical="center"/>
    </xf>
    <xf numFmtId="3" fontId="0" fillId="0" borderId="0" xfId="0" applyNumberFormat="1"/>
    <xf numFmtId="0" fontId="7" fillId="0" borderId="0" xfId="1"/>
    <xf numFmtId="0" fontId="1" fillId="0" borderId="0" xfId="0" applyFont="1"/>
    <xf numFmtId="0" fontId="0" fillId="0" borderId="0" xfId="0" applyAlignment="1">
      <alignment horizontal="center"/>
    </xf>
    <xf numFmtId="2" fontId="0" fillId="0" borderId="0" xfId="0" applyNumberFormat="1" applyAlignment="1">
      <alignment horizontal="center"/>
    </xf>
    <xf numFmtId="0" fontId="1" fillId="0" borderId="5" xfId="0" applyFont="1" applyBorder="1" applyAlignment="1">
      <alignment horizontal="center" vertical="center"/>
    </xf>
    <xf numFmtId="164" fontId="0" fillId="0" borderId="0" xfId="0" applyNumberFormat="1" applyAlignment="1">
      <alignment horizontal="center"/>
    </xf>
    <xf numFmtId="1" fontId="0" fillId="0" borderId="0" xfId="0" applyNumberFormat="1" applyAlignment="1">
      <alignment horizontal="center"/>
    </xf>
    <xf numFmtId="0" fontId="0" fillId="0" borderId="1" xfId="0" applyBorder="1" applyAlignment="1">
      <alignment horizontal="center"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5" borderId="1" xfId="0" applyFill="1" applyBorder="1" applyAlignment="1">
      <alignment vertical="center"/>
    </xf>
    <xf numFmtId="0" fontId="0" fillId="3" borderId="1" xfId="0" applyFill="1" applyBorder="1" applyAlignment="1">
      <alignment vertical="center"/>
    </xf>
    <xf numFmtId="1" fontId="0" fillId="0" borderId="0" xfId="0" applyNumberFormat="1" applyAlignment="1">
      <alignment horizontal="left"/>
    </xf>
    <xf numFmtId="2" fontId="0" fillId="0" borderId="0" xfId="0" applyNumberFormat="1"/>
    <xf numFmtId="166" fontId="1" fillId="0" borderId="1" xfId="0" applyNumberFormat="1" applyFont="1" applyBorder="1" applyAlignment="1">
      <alignment horizontal="center" wrapText="1"/>
    </xf>
    <xf numFmtId="165" fontId="0" fillId="0" borderId="1" xfId="0" applyNumberFormat="1" applyBorder="1" applyAlignment="1">
      <alignment horizontal="center" vertical="center"/>
    </xf>
    <xf numFmtId="165" fontId="0" fillId="0" borderId="0" xfId="0" applyNumberFormat="1" applyAlignment="1">
      <alignment horizontal="center"/>
    </xf>
    <xf numFmtId="0" fontId="0" fillId="0" borderId="0" xfId="0" applyAlignment="1">
      <alignment vertical="center"/>
    </xf>
    <xf numFmtId="165" fontId="0" fillId="0" borderId="1" xfId="0" applyNumberFormat="1" applyBorder="1" applyAlignment="1">
      <alignment horizontal="center"/>
    </xf>
    <xf numFmtId="2" fontId="0" fillId="0" borderId="1" xfId="0" applyNumberFormat="1" applyBorder="1" applyAlignment="1">
      <alignment horizontal="center" vertical="center"/>
    </xf>
    <xf numFmtId="166" fontId="1" fillId="0" borderId="1" xfId="0" applyNumberFormat="1" applyFont="1" applyBorder="1" applyAlignment="1">
      <alignment horizontal="center" vertical="center" wrapText="1"/>
    </xf>
    <xf numFmtId="0" fontId="0" fillId="0" borderId="0" xfId="0" applyAlignment="1">
      <alignment horizontal="center" vertical="center"/>
    </xf>
    <xf numFmtId="0" fontId="1" fillId="11" borderId="1" xfId="0" applyFont="1" applyFill="1" applyBorder="1" applyAlignment="1">
      <alignment horizontal="center" vertical="center"/>
    </xf>
    <xf numFmtId="0" fontId="1" fillId="11"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12" borderId="0" xfId="0" applyFill="1"/>
    <xf numFmtId="0" fontId="0" fillId="0" borderId="5" xfId="0" applyBorder="1"/>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167" fontId="1" fillId="11" borderId="1" xfId="2" applyNumberFormat="1" applyFont="1" applyFill="1" applyBorder="1" applyAlignment="1">
      <alignment horizontal="center"/>
    </xf>
    <xf numFmtId="0" fontId="13" fillId="0" borderId="9" xfId="0" applyFont="1" applyBorder="1" applyAlignment="1">
      <alignment horizontal="center"/>
    </xf>
    <xf numFmtId="0" fontId="1" fillId="11" borderId="1" xfId="0" applyFont="1" applyFill="1" applyBorder="1" applyAlignment="1">
      <alignment horizontal="center" vertical="center" wrapText="1"/>
    </xf>
    <xf numFmtId="0" fontId="1" fillId="10" borderId="0" xfId="0" applyFont="1" applyFill="1" applyAlignment="1">
      <alignment horizontal="centerContinuous" vertical="center"/>
    </xf>
    <xf numFmtId="0" fontId="12" fillId="0" borderId="9" xfId="0" applyFont="1" applyBorder="1" applyAlignment="1">
      <alignment horizontal="center"/>
    </xf>
    <xf numFmtId="0" fontId="13" fillId="0" borderId="8" xfId="0" applyFont="1" applyBorder="1" applyAlignment="1">
      <alignment horizontal="center"/>
    </xf>
    <xf numFmtId="9" fontId="0" fillId="0" borderId="0" xfId="2" applyFont="1"/>
    <xf numFmtId="0" fontId="0" fillId="6" borderId="0" xfId="0" applyFill="1" applyAlignment="1">
      <alignment horizontal="center"/>
    </xf>
    <xf numFmtId="0" fontId="1" fillId="6" borderId="1" xfId="0" applyFont="1" applyFill="1" applyBorder="1" applyAlignment="1">
      <alignment horizontal="center" vertical="center"/>
    </xf>
    <xf numFmtId="0" fontId="1" fillId="6" borderId="1" xfId="0" applyFont="1" applyFill="1" applyBorder="1" applyAlignment="1">
      <alignment horizontal="center"/>
    </xf>
    <xf numFmtId="0" fontId="1" fillId="0" borderId="5" xfId="0" applyFont="1" applyBorder="1" applyAlignment="1">
      <alignment horizontal="center" vertical="center" wrapText="1"/>
    </xf>
    <xf numFmtId="0" fontId="10" fillId="11" borderId="1" xfId="0" applyFont="1" applyFill="1" applyBorder="1" applyAlignment="1">
      <alignment horizontal="center"/>
    </xf>
    <xf numFmtId="0" fontId="0" fillId="0" borderId="5" xfId="0" applyBorder="1" applyAlignment="1">
      <alignment horizontal="center"/>
    </xf>
    <xf numFmtId="49" fontId="0" fillId="0" borderId="0" xfId="0" applyNumberFormat="1"/>
    <xf numFmtId="0" fontId="1" fillId="6" borderId="5" xfId="0" applyFont="1" applyFill="1" applyBorder="1" applyAlignment="1">
      <alignment horizontal="center" vertical="center"/>
    </xf>
    <xf numFmtId="0" fontId="1" fillId="11" borderId="7" xfId="0" applyFont="1" applyFill="1" applyBorder="1" applyAlignment="1">
      <alignment horizontal="center"/>
    </xf>
    <xf numFmtId="0" fontId="0" fillId="0" borderId="1" xfId="0" applyBorder="1" applyAlignment="1">
      <alignment horizontal="left"/>
    </xf>
    <xf numFmtId="0" fontId="1" fillId="0" borderId="1" xfId="0" applyFont="1" applyBorder="1" applyAlignment="1">
      <alignment horizontal="left"/>
    </xf>
    <xf numFmtId="169" fontId="0" fillId="0" borderId="1" xfId="0" applyNumberFormat="1" applyBorder="1" applyAlignment="1">
      <alignment horizontal="center"/>
    </xf>
    <xf numFmtId="169" fontId="1" fillId="0" borderId="1" xfId="0" applyNumberFormat="1" applyFont="1" applyBorder="1" applyAlignment="1">
      <alignment horizontal="center"/>
    </xf>
    <xf numFmtId="0" fontId="1" fillId="0" borderId="0" xfId="0" applyFont="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168" fontId="1" fillId="0" borderId="1" xfId="0" applyNumberFormat="1" applyFont="1" applyBorder="1" applyAlignment="1">
      <alignment horizontal="center"/>
    </xf>
    <xf numFmtId="169" fontId="0" fillId="0" borderId="0" xfId="0" applyNumberFormat="1" applyAlignment="1">
      <alignment horizontal="left"/>
    </xf>
    <xf numFmtId="0" fontId="12" fillId="0" borderId="0" xfId="0" applyFont="1"/>
    <xf numFmtId="0" fontId="0" fillId="0" borderId="1" xfId="0" applyBorder="1" applyAlignment="1">
      <alignment horizontal="left" vertical="center" wrapText="1"/>
    </xf>
    <xf numFmtId="0" fontId="1" fillId="6"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15" fillId="0" borderId="0" xfId="0" applyFont="1"/>
    <xf numFmtId="0" fontId="16" fillId="0" borderId="0" xfId="0" applyFont="1"/>
    <xf numFmtId="0" fontId="1" fillId="10" borderId="0" xfId="0" applyFont="1" applyFill="1" applyAlignment="1">
      <alignment horizontal="centerContinuous"/>
    </xf>
    <xf numFmtId="0" fontId="17"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3" fillId="0" borderId="1" xfId="0" applyFont="1" applyBorder="1" applyAlignment="1">
      <alignment horizontal="center" vertical="center"/>
    </xf>
    <xf numFmtId="0" fontId="17" fillId="0" borderId="1" xfId="0" applyFont="1" applyBorder="1" applyAlignment="1">
      <alignment horizontal="center" vertical="center" wrapText="1"/>
    </xf>
    <xf numFmtId="0" fontId="0" fillId="0" borderId="0" xfId="0" quotePrefix="1" applyAlignment="1">
      <alignment horizontal="center"/>
    </xf>
    <xf numFmtId="0" fontId="1" fillId="6" borderId="0" xfId="0" applyFont="1" applyFill="1" applyAlignment="1">
      <alignment horizontal="center" vertical="center" wrapText="1"/>
    </xf>
    <xf numFmtId="1" fontId="0" fillId="0" borderId="0" xfId="0" applyNumberFormat="1"/>
    <xf numFmtId="1" fontId="0" fillId="0" borderId="9" xfId="0" applyNumberFormat="1" applyBorder="1" applyAlignment="1">
      <alignment horizontal="center"/>
    </xf>
    <xf numFmtId="1" fontId="0" fillId="0" borderId="10" xfId="0" applyNumberFormat="1" applyBorder="1" applyAlignment="1">
      <alignment horizontal="center"/>
    </xf>
    <xf numFmtId="1" fontId="0" fillId="0" borderId="8" xfId="0" applyNumberFormat="1" applyBorder="1" applyAlignment="1">
      <alignment horizontal="center"/>
    </xf>
    <xf numFmtId="0" fontId="1" fillId="11" borderId="6" xfId="0" applyFont="1" applyFill="1" applyBorder="1" applyAlignment="1">
      <alignment horizontal="center"/>
    </xf>
    <xf numFmtId="0" fontId="1" fillId="11" borderId="8" xfId="0" applyFont="1" applyFill="1" applyBorder="1" applyAlignment="1">
      <alignment horizontal="center"/>
    </xf>
    <xf numFmtId="0" fontId="1" fillId="11" borderId="9" xfId="0" applyFont="1" applyFill="1" applyBorder="1" applyAlignment="1">
      <alignment horizontal="center"/>
    </xf>
    <xf numFmtId="0" fontId="1" fillId="11" borderId="10" xfId="0" applyFont="1" applyFill="1" applyBorder="1" applyAlignment="1">
      <alignment horizontal="center"/>
    </xf>
    <xf numFmtId="1" fontId="1" fillId="11" borderId="7" xfId="0" applyNumberFormat="1" applyFont="1" applyFill="1" applyBorder="1" applyAlignment="1">
      <alignment horizontal="center"/>
    </xf>
    <xf numFmtId="2" fontId="0" fillId="0" borderId="8" xfId="0" applyNumberFormat="1" applyBorder="1" applyAlignment="1">
      <alignment horizontal="center"/>
    </xf>
    <xf numFmtId="2" fontId="0" fillId="0" borderId="9" xfId="0" applyNumberFormat="1" applyBorder="1" applyAlignment="1">
      <alignment horizontal="center"/>
    </xf>
    <xf numFmtId="2" fontId="0" fillId="0" borderId="10" xfId="0" applyNumberFormat="1" applyBorder="1" applyAlignment="1">
      <alignment horizontal="center"/>
    </xf>
    <xf numFmtId="1" fontId="1" fillId="11" borderId="8" xfId="0" applyNumberFormat="1" applyFont="1" applyFill="1" applyBorder="1" applyAlignment="1">
      <alignment horizontal="center"/>
    </xf>
    <xf numFmtId="1" fontId="1" fillId="11" borderId="9" xfId="0" applyNumberFormat="1" applyFont="1" applyFill="1" applyBorder="1" applyAlignment="1">
      <alignment horizontal="center"/>
    </xf>
    <xf numFmtId="1" fontId="1" fillId="11" borderId="10" xfId="0" applyNumberFormat="1" applyFont="1" applyFill="1" applyBorder="1" applyAlignment="1">
      <alignment horizontal="center"/>
    </xf>
    <xf numFmtId="0" fontId="16" fillId="12" borderId="0" xfId="0" applyFont="1" applyFill="1"/>
    <xf numFmtId="0" fontId="8" fillId="0" borderId="0" xfId="0" applyFont="1"/>
    <xf numFmtId="0" fontId="12" fillId="0" borderId="0" xfId="0" pivotButton="1" applyFont="1"/>
    <xf numFmtId="0" fontId="8" fillId="0" borderId="1" xfId="0" applyFont="1" applyBorder="1" applyAlignment="1">
      <alignment horizontal="center" vertical="center" wrapText="1"/>
    </xf>
    <xf numFmtId="1" fontId="12" fillId="0" borderId="0" xfId="0" applyNumberFormat="1" applyFont="1" applyAlignment="1">
      <alignment horizontal="left"/>
    </xf>
    <xf numFmtId="0" fontId="12" fillId="0" borderId="1" xfId="0" applyFont="1" applyBorder="1" applyAlignment="1">
      <alignment horizontal="center"/>
    </xf>
    <xf numFmtId="165" fontId="12" fillId="0" borderId="1" xfId="0" applyNumberFormat="1" applyFont="1" applyBorder="1" applyAlignment="1">
      <alignment horizontal="center"/>
    </xf>
    <xf numFmtId="165" fontId="1" fillId="0" borderId="1" xfId="0" applyNumberFormat="1" applyFont="1" applyBorder="1" applyAlignment="1">
      <alignment horizontal="center"/>
    </xf>
    <xf numFmtId="0" fontId="12" fillId="0" borderId="0" xfId="0" applyFont="1" applyAlignment="1">
      <alignment horizontal="center"/>
    </xf>
    <xf numFmtId="0" fontId="0" fillId="4" borderId="0" xfId="0" applyFill="1"/>
    <xf numFmtId="2" fontId="1" fillId="11" borderId="1" xfId="0" applyNumberFormat="1" applyFont="1" applyFill="1" applyBorder="1" applyAlignment="1">
      <alignment horizontal="center"/>
    </xf>
    <xf numFmtId="9" fontId="0" fillId="0" borderId="8" xfId="2" applyFont="1" applyBorder="1" applyAlignment="1">
      <alignment horizontal="center"/>
    </xf>
    <xf numFmtId="9" fontId="0" fillId="0" borderId="9" xfId="2" applyFont="1" applyBorder="1" applyAlignment="1">
      <alignment horizontal="center"/>
    </xf>
    <xf numFmtId="0" fontId="0" fillId="0" borderId="9" xfId="0" applyBorder="1"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0" fillId="0" borderId="12" xfId="0" applyBorder="1" applyAlignment="1">
      <alignment horizontal="center" wrapText="1"/>
    </xf>
    <xf numFmtId="0" fontId="1" fillId="11" borderId="6" xfId="0" applyFont="1" applyFill="1" applyBorder="1" applyAlignment="1">
      <alignment horizontal="center" vertical="center" wrapText="1"/>
    </xf>
    <xf numFmtId="3" fontId="0" fillId="0" borderId="8" xfId="0" applyNumberFormat="1" applyBorder="1" applyAlignment="1">
      <alignment horizontal="center"/>
    </xf>
    <xf numFmtId="3" fontId="0" fillId="0" borderId="9" xfId="0" applyNumberFormat="1" applyBorder="1" applyAlignment="1">
      <alignment horizontal="center"/>
    </xf>
    <xf numFmtId="3" fontId="0" fillId="0" borderId="10" xfId="0" applyNumberFormat="1" applyBorder="1" applyAlignment="1">
      <alignment horizontal="center"/>
    </xf>
    <xf numFmtId="9" fontId="1" fillId="11" borderId="1" xfId="2" applyFont="1" applyFill="1" applyBorder="1" applyAlignment="1">
      <alignment horizontal="center"/>
    </xf>
    <xf numFmtId="3" fontId="1" fillId="11" borderId="1" xfId="0" applyNumberFormat="1" applyFont="1" applyFill="1" applyBorder="1" applyAlignment="1">
      <alignment horizontal="center"/>
    </xf>
    <xf numFmtId="0" fontId="0" fillId="0" borderId="1" xfId="0" applyBorder="1" applyAlignment="1">
      <alignment horizontal="center" vertical="center" wrapText="1"/>
    </xf>
    <xf numFmtId="0" fontId="0" fillId="6" borderId="1" xfId="0" applyFill="1" applyBorder="1" applyAlignment="1">
      <alignment horizontal="left" vertical="center" wrapText="1"/>
    </xf>
    <xf numFmtId="0" fontId="12" fillId="0" borderId="1" xfId="0" applyFont="1" applyBorder="1" applyAlignment="1">
      <alignment horizontal="left" vertical="center" wrapText="1"/>
    </xf>
    <xf numFmtId="0" fontId="0" fillId="0" borderId="0" xfId="0" applyAlignment="1">
      <alignment horizontal="left" wrapText="1"/>
    </xf>
    <xf numFmtId="0" fontId="0" fillId="0" borderId="0" xfId="0" applyAlignment="1">
      <alignment horizontal="left"/>
    </xf>
    <xf numFmtId="0" fontId="0" fillId="14" borderId="1" xfId="0" applyFill="1" applyBorder="1" applyAlignment="1">
      <alignment vertical="center"/>
    </xf>
    <xf numFmtId="0" fontId="0" fillId="9" borderId="1" xfId="0" applyFill="1" applyBorder="1" applyAlignment="1">
      <alignment vertical="center" wrapText="1"/>
    </xf>
    <xf numFmtId="170" fontId="0" fillId="0" borderId="1" xfId="2" applyNumberFormat="1" applyFont="1" applyBorder="1" applyAlignment="1">
      <alignment horizontal="center" vertical="center"/>
    </xf>
    <xf numFmtId="170" fontId="0" fillId="0" borderId="0" xfId="0" applyNumberFormat="1"/>
    <xf numFmtId="170" fontId="0" fillId="0" borderId="1" xfId="2" applyNumberFormat="1" applyFont="1" applyFill="1" applyBorder="1" applyAlignment="1">
      <alignment horizontal="center" vertical="center"/>
    </xf>
    <xf numFmtId="0" fontId="1" fillId="0" borderId="1" xfId="0" applyFont="1" applyBorder="1"/>
    <xf numFmtId="0" fontId="0" fillId="0" borderId="1" xfId="0" applyBorder="1" applyAlignment="1">
      <alignment horizontal="left" vertical="top" wrapText="1"/>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1" fillId="11" borderId="1" xfId="0" applyFont="1" applyFill="1" applyBorder="1" applyAlignment="1">
      <alignment horizontal="left"/>
    </xf>
    <xf numFmtId="0" fontId="0" fillId="11" borderId="0" xfId="0" applyFill="1"/>
    <xf numFmtId="0" fontId="0" fillId="13" borderId="0" xfId="0" applyFill="1"/>
    <xf numFmtId="167" fontId="0" fillId="0" borderId="0" xfId="2" applyNumberFormat="1" applyFont="1"/>
    <xf numFmtId="0" fontId="0" fillId="0" borderId="16" xfId="0" applyBorder="1" applyAlignment="1">
      <alignment horizontal="center" wrapText="1"/>
    </xf>
    <xf numFmtId="0" fontId="0" fillId="0" borderId="17" xfId="0" applyBorder="1" applyAlignment="1">
      <alignment horizontal="center" wrapText="1"/>
    </xf>
    <xf numFmtId="9" fontId="0" fillId="0" borderId="0" xfId="0" applyNumberFormat="1"/>
    <xf numFmtId="0" fontId="0" fillId="0" borderId="9" xfId="0" applyBorder="1" applyAlignment="1">
      <alignment horizontal="center" vertical="center"/>
    </xf>
    <xf numFmtId="0" fontId="0" fillId="0" borderId="10" xfId="0" applyBorder="1" applyAlignment="1">
      <alignment horizontal="center" vertical="center"/>
    </xf>
    <xf numFmtId="2" fontId="0" fillId="0" borderId="9" xfId="0" applyNumberFormat="1" applyBorder="1" applyAlignment="1">
      <alignment horizontal="center" vertical="center"/>
    </xf>
    <xf numFmtId="2" fontId="0" fillId="0" borderId="10" xfId="0" applyNumberFormat="1" applyBorder="1" applyAlignment="1">
      <alignment horizontal="center" vertical="center"/>
    </xf>
    <xf numFmtId="0" fontId="0" fillId="10" borderId="0" xfId="0" applyFill="1" applyAlignment="1">
      <alignment horizont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4" fontId="1" fillId="11" borderId="1" xfId="0" applyNumberFormat="1" applyFont="1" applyFill="1" applyBorder="1" applyAlignment="1">
      <alignment horizontal="center"/>
    </xf>
    <xf numFmtId="3" fontId="1" fillId="11" borderId="1" xfId="0" applyNumberFormat="1" applyFont="1" applyFill="1" applyBorder="1" applyAlignment="1">
      <alignment horizontal="center" vertical="center" wrapText="1"/>
    </xf>
    <xf numFmtId="4" fontId="1" fillId="11" borderId="1" xfId="0" applyNumberFormat="1" applyFont="1" applyFill="1" applyBorder="1" applyAlignment="1">
      <alignment horizontal="center" vertical="center" wrapText="1"/>
    </xf>
    <xf numFmtId="0" fontId="0" fillId="0" borderId="9" xfId="0" applyBorder="1"/>
    <xf numFmtId="0" fontId="0" fillId="0" borderId="10" xfId="0" applyBorder="1"/>
    <xf numFmtId="9" fontId="1" fillId="11" borderId="1" xfId="0" applyNumberFormat="1" applyFont="1" applyFill="1" applyBorder="1" applyAlignment="1">
      <alignment horizontal="center"/>
    </xf>
    <xf numFmtId="3" fontId="1" fillId="11" borderId="8" xfId="0" applyNumberFormat="1" applyFont="1" applyFill="1" applyBorder="1" applyAlignment="1">
      <alignment horizontal="center"/>
    </xf>
    <xf numFmtId="3" fontId="1" fillId="11" borderId="9" xfId="0" applyNumberFormat="1" applyFont="1" applyFill="1" applyBorder="1" applyAlignment="1">
      <alignment horizontal="center"/>
    </xf>
    <xf numFmtId="3" fontId="1" fillId="11" borderId="10" xfId="0" applyNumberFormat="1" applyFont="1" applyFill="1" applyBorder="1" applyAlignment="1">
      <alignment horizontal="center"/>
    </xf>
    <xf numFmtId="3" fontId="10" fillId="0" borderId="0" xfId="0" applyNumberFormat="1" applyFont="1" applyAlignment="1">
      <alignment horizontal="center"/>
    </xf>
    <xf numFmtId="0" fontId="19" fillId="0" borderId="0" xfId="0" applyFont="1"/>
    <xf numFmtId="0" fontId="1" fillId="0" borderId="15" xfId="0" applyFont="1" applyBorder="1"/>
    <xf numFmtId="9" fontId="0" fillId="0" borderId="0" xfId="2" applyFont="1" applyAlignment="1">
      <alignment horizontal="center"/>
    </xf>
    <xf numFmtId="0" fontId="1" fillId="6" borderId="0" xfId="0" applyFont="1" applyFill="1" applyAlignment="1">
      <alignment horizontal="center"/>
    </xf>
    <xf numFmtId="1" fontId="1" fillId="11" borderId="1" xfId="0" applyNumberFormat="1" applyFont="1" applyFill="1" applyBorder="1" applyAlignment="1">
      <alignment horizontal="center"/>
    </xf>
    <xf numFmtId="0" fontId="1" fillId="11" borderId="8" xfId="0" applyFont="1" applyFill="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vertical="top" wrapText="1"/>
    </xf>
    <xf numFmtId="0" fontId="24" fillId="0" borderId="1" xfId="0" applyFont="1" applyBorder="1" applyAlignment="1">
      <alignment vertical="center" wrapText="1"/>
    </xf>
    <xf numFmtId="0" fontId="23" fillId="0" borderId="1" xfId="0" applyFont="1" applyBorder="1" applyAlignment="1">
      <alignment vertical="top" wrapText="1"/>
    </xf>
    <xf numFmtId="0" fontId="22" fillId="16" borderId="1" xfId="0" quotePrefix="1" applyFont="1" applyFill="1" applyBorder="1" applyAlignment="1">
      <alignment horizontal="center" vertical="center"/>
    </xf>
    <xf numFmtId="0" fontId="21" fillId="11" borderId="1" xfId="0" applyFont="1" applyFill="1" applyBorder="1" applyAlignment="1">
      <alignment horizontal="center" vertical="center" wrapText="1"/>
    </xf>
    <xf numFmtId="0" fontId="0" fillId="18" borderId="0" xfId="0" applyFill="1"/>
    <xf numFmtId="0" fontId="20" fillId="18" borderId="0" xfId="0" applyFont="1" applyFill="1"/>
    <xf numFmtId="0" fontId="8" fillId="6" borderId="5" xfId="0" applyFont="1" applyFill="1" applyBorder="1" applyAlignment="1">
      <alignment horizontal="center" vertical="center"/>
    </xf>
    <xf numFmtId="0" fontId="0" fillId="15" borderId="1" xfId="0" applyFill="1" applyBorder="1" applyAlignment="1">
      <alignment vertical="center" wrapText="1"/>
    </xf>
    <xf numFmtId="171" fontId="0" fillId="0" borderId="0" xfId="0" applyNumberFormat="1"/>
    <xf numFmtId="0" fontId="0" fillId="0" borderId="13" xfId="0" applyBorder="1" applyAlignment="1">
      <alignment vertical="center" wrapText="1"/>
    </xf>
    <xf numFmtId="0" fontId="25" fillId="3" borderId="0" xfId="0" applyFont="1" applyFill="1" applyAlignment="1">
      <alignment horizontal="left" vertical="top" wrapText="1"/>
    </xf>
    <xf numFmtId="0" fontId="27" fillId="0" borderId="0" xfId="0" applyFont="1" applyAlignment="1">
      <alignment vertical="center" wrapText="1"/>
    </xf>
    <xf numFmtId="0" fontId="8" fillId="0" borderId="0" xfId="3" applyFont="1"/>
    <xf numFmtId="0" fontId="27" fillId="0" borderId="0" xfId="0" applyFont="1" applyAlignment="1">
      <alignment vertical="top" wrapText="1"/>
    </xf>
    <xf numFmtId="0" fontId="0" fillId="0" borderId="0" xfId="0" applyAlignment="1">
      <alignment horizontal="left" vertical="center" wrapText="1"/>
    </xf>
    <xf numFmtId="167" fontId="0" fillId="0" borderId="9" xfId="2" applyNumberFormat="1" applyFont="1" applyBorder="1" applyAlignment="1">
      <alignment horizontal="center"/>
    </xf>
    <xf numFmtId="167" fontId="0" fillId="0" borderId="10" xfId="2" applyNumberFormat="1" applyFont="1" applyBorder="1" applyAlignment="1">
      <alignment horizontal="center"/>
    </xf>
    <xf numFmtId="1" fontId="8" fillId="11" borderId="1" xfId="0" applyNumberFormat="1" applyFont="1" applyFill="1" applyBorder="1" applyAlignment="1">
      <alignment horizontal="center"/>
    </xf>
    <xf numFmtId="0" fontId="0" fillId="0" borderId="0" xfId="0" applyAlignment="1">
      <alignment wrapText="1"/>
    </xf>
    <xf numFmtId="0" fontId="0" fillId="21" borderId="0" xfId="0" applyFill="1"/>
    <xf numFmtId="0" fontId="29" fillId="22" borderId="1" xfId="0" applyFont="1" applyFill="1" applyBorder="1" applyAlignment="1">
      <alignment horizontal="center" vertical="center" wrapText="1"/>
    </xf>
    <xf numFmtId="0" fontId="29" fillId="26" borderId="1" xfId="0" applyFont="1" applyFill="1" applyBorder="1" applyAlignment="1">
      <alignment horizontal="center" vertical="center" wrapText="1"/>
    </xf>
    <xf numFmtId="0" fontId="29" fillId="27" borderId="1" xfId="0" applyFont="1" applyFill="1" applyBorder="1" applyAlignment="1">
      <alignment horizontal="center" vertical="center" wrapText="1"/>
    </xf>
    <xf numFmtId="0" fontId="29" fillId="23" borderId="1" xfId="0" applyFont="1" applyFill="1" applyBorder="1" applyAlignment="1">
      <alignment horizontal="center" vertical="center" wrapText="1"/>
    </xf>
    <xf numFmtId="0" fontId="29" fillId="24" borderId="1" xfId="0" applyFont="1" applyFill="1" applyBorder="1" applyAlignment="1">
      <alignment horizontal="center" vertical="center" wrapText="1"/>
    </xf>
    <xf numFmtId="0" fontId="29" fillId="25" borderId="1" xfId="0" applyFont="1" applyFill="1" applyBorder="1" applyAlignment="1">
      <alignment horizontal="center" vertical="center" wrapText="1"/>
    </xf>
    <xf numFmtId="0" fontId="30" fillId="0" borderId="0" xfId="0" applyFont="1"/>
    <xf numFmtId="0" fontId="30" fillId="0" borderId="1" xfId="0" applyFont="1" applyBorder="1" applyAlignment="1">
      <alignment vertical="center" wrapText="1"/>
    </xf>
    <xf numFmtId="0" fontId="31" fillId="20" borderId="1" xfId="0" applyFont="1" applyFill="1" applyBorder="1" applyAlignment="1">
      <alignment horizontal="center" vertical="center" wrapText="1"/>
    </xf>
    <xf numFmtId="0" fontId="30" fillId="20" borderId="1" xfId="0" applyFont="1" applyFill="1" applyBorder="1" applyAlignment="1">
      <alignment vertical="center" wrapText="1"/>
    </xf>
    <xf numFmtId="0" fontId="30" fillId="0" borderId="1" xfId="0" applyFont="1" applyBorder="1" applyAlignment="1">
      <alignment wrapText="1"/>
    </xf>
    <xf numFmtId="0" fontId="30" fillId="19" borderId="1" xfId="0" applyFont="1" applyFill="1" applyBorder="1" applyAlignment="1">
      <alignment vertical="center"/>
    </xf>
    <xf numFmtId="0" fontId="30" fillId="19" borderId="1" xfId="0" applyFont="1" applyFill="1" applyBorder="1" applyAlignment="1">
      <alignment vertical="center" wrapText="1"/>
    </xf>
    <xf numFmtId="0" fontId="31" fillId="7" borderId="1" xfId="0" applyFont="1" applyFill="1" applyBorder="1" applyAlignment="1">
      <alignment horizontal="center" vertical="center" wrapText="1"/>
    </xf>
    <xf numFmtId="0" fontId="31" fillId="8" borderId="1"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33" fillId="0" borderId="0" xfId="0" applyFont="1"/>
    <xf numFmtId="169" fontId="0" fillId="0" borderId="0" xfId="0" applyNumberFormat="1" applyAlignment="1">
      <alignment horizontal="center"/>
    </xf>
    <xf numFmtId="0" fontId="0" fillId="28" borderId="0" xfId="0" quotePrefix="1" applyFill="1" applyAlignment="1">
      <alignment horizontal="center"/>
    </xf>
    <xf numFmtId="0" fontId="1" fillId="6" borderId="0" xfId="0" applyFont="1" applyFill="1" applyAlignment="1">
      <alignment horizontal="center" vertical="center"/>
    </xf>
    <xf numFmtId="0" fontId="15" fillId="0" borderId="0" xfId="0" applyFont="1" applyAlignment="1">
      <alignment vertical="center"/>
    </xf>
    <xf numFmtId="9" fontId="0" fillId="0" borderId="1" xfId="2" applyFont="1" applyBorder="1" applyAlignment="1">
      <alignment horizontal="center"/>
    </xf>
    <xf numFmtId="9" fontId="1" fillId="0" borderId="1" xfId="0" applyNumberFormat="1" applyFont="1" applyBorder="1" applyAlignment="1">
      <alignment horizontal="center"/>
    </xf>
    <xf numFmtId="167" fontId="0" fillId="0" borderId="18" xfId="2" applyNumberFormat="1" applyFont="1" applyBorder="1" applyAlignment="1">
      <alignment horizontal="center"/>
    </xf>
    <xf numFmtId="0" fontId="10" fillId="0" borderId="0" xfId="0" applyFont="1"/>
    <xf numFmtId="0" fontId="13" fillId="0" borderId="0" xfId="0" applyFont="1" applyAlignment="1">
      <alignment horizontal="center"/>
    </xf>
    <xf numFmtId="0" fontId="13" fillId="6" borderId="0" xfId="0" applyFont="1" applyFill="1" applyAlignment="1">
      <alignment horizontal="center"/>
    </xf>
    <xf numFmtId="0" fontId="10" fillId="6" borderId="1" xfId="0" applyFont="1" applyFill="1" applyBorder="1" applyAlignment="1">
      <alignment horizontal="center" vertical="center"/>
    </xf>
    <xf numFmtId="0" fontId="10" fillId="6" borderId="1" xfId="0" applyFont="1" applyFill="1" applyBorder="1" applyAlignment="1">
      <alignment horizontal="center"/>
    </xf>
    <xf numFmtId="0" fontId="10" fillId="6" borderId="0" xfId="0" applyFont="1" applyFill="1" applyAlignment="1">
      <alignment horizontal="center"/>
    </xf>
    <xf numFmtId="0" fontId="13" fillId="0" borderId="0" xfId="0" applyFont="1"/>
    <xf numFmtId="0" fontId="10" fillId="6" borderId="0" xfId="0" applyFont="1" applyFill="1" applyAlignment="1">
      <alignment horizontal="center" vertical="center"/>
    </xf>
    <xf numFmtId="0" fontId="13" fillId="0" borderId="1" xfId="0" applyFont="1" applyBorder="1" applyAlignment="1">
      <alignment horizontal="center"/>
    </xf>
    <xf numFmtId="0" fontId="12" fillId="0" borderId="8" xfId="0" applyFont="1" applyBorder="1" applyAlignment="1">
      <alignment horizontal="center"/>
    </xf>
    <xf numFmtId="0" fontId="21" fillId="11" borderId="1" xfId="0" applyFont="1" applyFill="1" applyBorder="1" applyAlignment="1">
      <alignment horizontal="center" vertical="top" wrapText="1"/>
    </xf>
    <xf numFmtId="0" fontId="0" fillId="0" borderId="0" xfId="0" applyAlignment="1">
      <alignment horizontal="left" vertical="top"/>
    </xf>
    <xf numFmtId="0" fontId="34" fillId="9" borderId="0" xfId="0" applyFont="1" applyFill="1"/>
    <xf numFmtId="0" fontId="0" fillId="31" borderId="0" xfId="0" applyFill="1"/>
    <xf numFmtId="172" fontId="0" fillId="0" borderId="1" xfId="0" applyNumberFormat="1" applyBorder="1" applyAlignment="1">
      <alignment horizontal="center"/>
    </xf>
    <xf numFmtId="167" fontId="1" fillId="0" borderId="18" xfId="2" applyNumberFormat="1" applyFont="1" applyBorder="1" applyAlignment="1">
      <alignment horizontal="center"/>
    </xf>
    <xf numFmtId="167" fontId="1" fillId="0" borderId="9" xfId="2" applyNumberFormat="1" applyFont="1" applyBorder="1" applyAlignment="1">
      <alignment horizontal="center"/>
    </xf>
    <xf numFmtId="167" fontId="1" fillId="0" borderId="10" xfId="2" applyNumberFormat="1" applyFont="1" applyBorder="1" applyAlignment="1">
      <alignment horizontal="center"/>
    </xf>
    <xf numFmtId="3" fontId="0" fillId="6" borderId="0" xfId="0" applyNumberFormat="1" applyFill="1" applyAlignment="1">
      <alignment horizontal="center"/>
    </xf>
    <xf numFmtId="173" fontId="0" fillId="6" borderId="1" xfId="0" applyNumberFormat="1" applyFill="1" applyBorder="1" applyAlignment="1">
      <alignment horizontal="center"/>
    </xf>
    <xf numFmtId="0" fontId="0" fillId="6" borderId="1" xfId="0" applyFill="1" applyBorder="1" applyAlignment="1">
      <alignment horizontal="center"/>
    </xf>
    <xf numFmtId="0" fontId="35" fillId="0" borderId="0" xfId="0" applyFont="1" applyAlignment="1">
      <alignment vertical="center"/>
    </xf>
    <xf numFmtId="0" fontId="0" fillId="0" borderId="0" xfId="0" applyAlignment="1">
      <alignment horizontal="right"/>
    </xf>
    <xf numFmtId="1" fontId="0" fillId="14" borderId="8" xfId="0" applyNumberFormat="1" applyFill="1" applyBorder="1" applyAlignment="1">
      <alignment horizontal="center"/>
    </xf>
    <xf numFmtId="1" fontId="12" fillId="14" borderId="9" xfId="0" applyNumberFormat="1" applyFont="1" applyFill="1" applyBorder="1" applyAlignment="1">
      <alignment horizontal="center"/>
    </xf>
    <xf numFmtId="1" fontId="0" fillId="5" borderId="8" xfId="0" applyNumberFormat="1" applyFill="1" applyBorder="1" applyAlignment="1">
      <alignment horizontal="center"/>
    </xf>
    <xf numFmtId="0" fontId="36" fillId="0" borderId="0" xfId="0" applyFont="1" applyAlignment="1">
      <alignment horizontal="center" vertical="center" wrapText="1"/>
    </xf>
    <xf numFmtId="0" fontId="36" fillId="0" borderId="0" xfId="0" applyFont="1" applyAlignment="1">
      <alignment horizontal="left" vertical="center"/>
    </xf>
    <xf numFmtId="0" fontId="27" fillId="0" borderId="0" xfId="0" applyFont="1" applyAlignment="1">
      <alignment horizontal="left" vertical="center"/>
    </xf>
    <xf numFmtId="0" fontId="27" fillId="0" borderId="0" xfId="0" applyFont="1" applyAlignment="1">
      <alignment vertical="center"/>
    </xf>
    <xf numFmtId="20" fontId="0" fillId="0" borderId="0" xfId="0" applyNumberFormat="1"/>
    <xf numFmtId="168" fontId="0" fillId="0" borderId="0" xfId="0" applyNumberFormat="1" applyAlignment="1">
      <alignment horizontal="center"/>
    </xf>
    <xf numFmtId="0" fontId="37" fillId="0" borderId="8" xfId="0" applyFont="1" applyBorder="1" applyAlignment="1">
      <alignment horizontal="center"/>
    </xf>
    <xf numFmtId="171" fontId="0" fillId="0" borderId="1" xfId="0" applyNumberFormat="1" applyBorder="1"/>
    <xf numFmtId="1" fontId="0" fillId="0" borderId="1" xfId="0" applyNumberFormat="1" applyBorder="1"/>
    <xf numFmtId="0" fontId="1" fillId="0" borderId="0" xfId="0" applyFont="1" applyAlignment="1">
      <alignment vertical="center"/>
    </xf>
    <xf numFmtId="0" fontId="1" fillId="14" borderId="0" xfId="0" applyFont="1" applyFill="1" applyAlignment="1">
      <alignment vertical="center"/>
    </xf>
    <xf numFmtId="0" fontId="1" fillId="31" borderId="0" xfId="0" applyFont="1" applyFill="1" applyAlignment="1">
      <alignment vertical="center"/>
    </xf>
    <xf numFmtId="0" fontId="1" fillId="32" borderId="0" xfId="0" applyFont="1" applyFill="1" applyAlignment="1">
      <alignment vertical="center"/>
    </xf>
    <xf numFmtId="0" fontId="1" fillId="4" borderId="0" xfId="0" applyFont="1" applyFill="1" applyAlignment="1">
      <alignment vertical="center"/>
    </xf>
    <xf numFmtId="0" fontId="12" fillId="0" borderId="0" xfId="0" applyFont="1" applyAlignment="1">
      <alignment vertical="center" wrapText="1"/>
    </xf>
    <xf numFmtId="0" fontId="10" fillId="0" borderId="8" xfId="0" applyFont="1" applyBorder="1" applyAlignment="1">
      <alignment horizontal="center"/>
    </xf>
    <xf numFmtId="0" fontId="0" fillId="33" borderId="0" xfId="0" applyFill="1" applyAlignment="1">
      <alignment horizontal="center"/>
    </xf>
    <xf numFmtId="2" fontId="0" fillId="0" borderId="0" xfId="0" applyNumberFormat="1" applyAlignment="1">
      <alignment horizontal="right"/>
    </xf>
    <xf numFmtId="165" fontId="0" fillId="0" borderId="0" xfId="0" applyNumberFormat="1"/>
    <xf numFmtId="10" fontId="0" fillId="0" borderId="0" xfId="2" applyNumberFormat="1" applyFont="1"/>
    <xf numFmtId="174" fontId="0" fillId="0" borderId="0" xfId="2" applyNumberFormat="1" applyFont="1"/>
    <xf numFmtId="9" fontId="0" fillId="0" borderId="1" xfId="0" applyNumberFormat="1" applyBorder="1" applyAlignment="1">
      <alignment horizontal="center"/>
    </xf>
    <xf numFmtId="167" fontId="0" fillId="0" borderId="1" xfId="0" applyNumberFormat="1" applyBorder="1" applyAlignment="1">
      <alignment horizontal="center"/>
    </xf>
    <xf numFmtId="2" fontId="13" fillId="0" borderId="0" xfId="0" applyNumberFormat="1" applyFont="1" applyAlignment="1">
      <alignment horizontal="center"/>
    </xf>
    <xf numFmtId="2" fontId="12" fillId="0" borderId="0" xfId="0" applyNumberFormat="1" applyFont="1" applyAlignment="1">
      <alignment horizontal="center"/>
    </xf>
    <xf numFmtId="2" fontId="12" fillId="0" borderId="0" xfId="0" applyNumberFormat="1" applyFont="1"/>
    <xf numFmtId="0" fontId="8" fillId="0" borderId="5" xfId="0" applyFont="1" applyBorder="1" applyAlignment="1">
      <alignment horizontal="center" vertical="center" wrapText="1"/>
    </xf>
    <xf numFmtId="0" fontId="8" fillId="6" borderId="1" xfId="0" applyFont="1" applyFill="1" applyBorder="1" applyAlignment="1">
      <alignment horizontal="center" vertical="center"/>
    </xf>
    <xf numFmtId="0" fontId="8" fillId="6" borderId="1" xfId="0" applyFont="1" applyFill="1" applyBorder="1" applyAlignment="1">
      <alignment horizontal="center"/>
    </xf>
    <xf numFmtId="0" fontId="12" fillId="6" borderId="1" xfId="0" applyFont="1" applyFill="1" applyBorder="1" applyAlignment="1">
      <alignment horizontal="center"/>
    </xf>
    <xf numFmtId="3" fontId="12" fillId="0" borderId="1" xfId="0" applyNumberFormat="1" applyFont="1" applyBorder="1" applyAlignment="1">
      <alignment horizontal="center"/>
    </xf>
    <xf numFmtId="0" fontId="1" fillId="0" borderId="0" xfId="0" applyFont="1" applyAlignment="1">
      <alignment horizontal="centerContinuous" vertical="center"/>
    </xf>
    <xf numFmtId="0" fontId="0" fillId="0" borderId="0" xfId="0" applyAlignment="1">
      <alignment horizontal="centerContinuous"/>
    </xf>
    <xf numFmtId="0" fontId="13" fillId="0" borderId="0" xfId="0" applyFont="1" applyAlignment="1">
      <alignment horizontal="centerContinuous"/>
    </xf>
    <xf numFmtId="0" fontId="10" fillId="0" borderId="0" xfId="0" applyFont="1" applyAlignment="1">
      <alignment horizontal="centerContinuous" vertical="center"/>
    </xf>
    <xf numFmtId="0" fontId="1" fillId="0" borderId="0" xfId="0" applyFont="1" applyAlignment="1">
      <alignment horizontal="left"/>
    </xf>
    <xf numFmtId="0" fontId="38" fillId="0" borderId="0" xfId="0" applyFont="1" applyAlignment="1">
      <alignment vertical="center"/>
    </xf>
    <xf numFmtId="0" fontId="0" fillId="0" borderId="5" xfId="0" applyBorder="1" applyAlignment="1">
      <alignment horizontal="center" vertical="center" wrapText="1"/>
    </xf>
    <xf numFmtId="0" fontId="0" fillId="6" borderId="5" xfId="0" applyFill="1" applyBorder="1" applyAlignment="1">
      <alignment horizontal="center" vertical="center" wrapText="1"/>
    </xf>
    <xf numFmtId="0" fontId="12" fillId="0" borderId="5" xfId="0" applyFont="1" applyBorder="1" applyAlignment="1">
      <alignment horizontal="center" vertical="center" wrapText="1"/>
    </xf>
    <xf numFmtId="0" fontId="39" fillId="0" borderId="5" xfId="0" applyFont="1" applyBorder="1" applyAlignment="1">
      <alignment horizontal="center" vertical="center" wrapText="1"/>
    </xf>
    <xf numFmtId="0" fontId="0" fillId="15" borderId="5" xfId="0" applyFill="1" applyBorder="1" applyAlignment="1">
      <alignment horizontal="center" vertical="center" wrapText="1"/>
    </xf>
    <xf numFmtId="0" fontId="12" fillId="15" borderId="5" xfId="0" applyFont="1" applyFill="1" applyBorder="1" applyAlignment="1">
      <alignment horizontal="center" vertical="center" wrapText="1"/>
    </xf>
    <xf numFmtId="0" fontId="12" fillId="29" borderId="5" xfId="0" applyFont="1" applyFill="1" applyBorder="1" applyAlignment="1">
      <alignment horizontal="center" vertical="center" wrapText="1"/>
    </xf>
    <xf numFmtId="0" fontId="0" fillId="12" borderId="5" xfId="0" applyFill="1" applyBorder="1" applyAlignment="1">
      <alignment horizontal="center" vertical="center" wrapText="1"/>
    </xf>
    <xf numFmtId="0" fontId="12" fillId="12" borderId="5" xfId="0" applyFont="1" applyFill="1" applyBorder="1" applyAlignment="1">
      <alignment horizontal="center" vertical="center" wrapText="1"/>
    </xf>
    <xf numFmtId="0" fontId="12" fillId="30" borderId="5" xfId="0" applyFont="1" applyFill="1" applyBorder="1" applyAlignment="1">
      <alignment horizontal="center" vertical="center" wrapText="1"/>
    </xf>
    <xf numFmtId="0" fontId="0" fillId="5" borderId="5" xfId="0" applyFill="1" applyBorder="1" applyAlignment="1">
      <alignment horizontal="center" vertical="center" wrapText="1"/>
    </xf>
    <xf numFmtId="171" fontId="13" fillId="0" borderId="1" xfId="0" applyNumberFormat="1" applyFont="1" applyBorder="1" applyAlignment="1">
      <alignment horizontal="center"/>
    </xf>
    <xf numFmtId="164" fontId="12" fillId="0" borderId="0" xfId="0" applyNumberFormat="1" applyFont="1" applyAlignment="1">
      <alignment horizontal="center"/>
    </xf>
    <xf numFmtId="165" fontId="12" fillId="0" borderId="0" xfId="0" applyNumberFormat="1" applyFont="1" applyAlignment="1">
      <alignment horizontal="center"/>
    </xf>
    <xf numFmtId="0" fontId="8" fillId="10" borderId="0" xfId="0" applyFont="1" applyFill="1" applyAlignment="1">
      <alignment horizontal="centerContinuous"/>
    </xf>
    <xf numFmtId="3" fontId="12" fillId="0" borderId="0" xfId="0" applyNumberFormat="1" applyFont="1" applyAlignment="1">
      <alignment horizontal="center"/>
    </xf>
    <xf numFmtId="4" fontId="12" fillId="0" borderId="0" xfId="0" applyNumberFormat="1" applyFont="1" applyAlignment="1">
      <alignment horizontal="center"/>
    </xf>
    <xf numFmtId="10" fontId="12" fillId="0" borderId="0" xfId="2" applyNumberFormat="1" applyFont="1" applyAlignment="1">
      <alignment horizontal="center"/>
    </xf>
    <xf numFmtId="0" fontId="8" fillId="0" borderId="5" xfId="0" applyFont="1" applyBorder="1" applyAlignment="1">
      <alignment horizontal="center" vertical="center"/>
    </xf>
    <xf numFmtId="0" fontId="1" fillId="0" borderId="0" xfId="0" applyFont="1" applyAlignment="1">
      <alignment horizontal="centerContinuous" vertical="center" wrapText="1"/>
    </xf>
    <xf numFmtId="0" fontId="13" fillId="4" borderId="8" xfId="0" applyFont="1" applyFill="1" applyBorder="1" applyAlignment="1">
      <alignment horizontal="center"/>
    </xf>
    <xf numFmtId="9" fontId="1" fillId="11" borderId="1" xfId="0" applyNumberFormat="1" applyFont="1" applyFill="1" applyBorder="1" applyAlignment="1">
      <alignment horizontal="center" vertical="center"/>
    </xf>
    <xf numFmtId="167" fontId="0" fillId="0" borderId="8" xfId="2" applyNumberFormat="1" applyFont="1" applyBorder="1" applyAlignment="1">
      <alignment horizontal="center"/>
    </xf>
    <xf numFmtId="0" fontId="0" fillId="0" borderId="0" xfId="0" pivotButton="1"/>
    <xf numFmtId="0" fontId="13" fillId="0" borderId="0" xfId="0" applyFont="1" applyAlignment="1">
      <alignment horizontal="center" vertical="center"/>
    </xf>
    <xf numFmtId="0" fontId="0" fillId="20" borderId="0" xfId="0" applyFill="1"/>
    <xf numFmtId="0" fontId="12" fillId="4" borderId="8" xfId="0" applyFont="1" applyFill="1" applyBorder="1" applyAlignment="1">
      <alignment horizontal="center"/>
    </xf>
    <xf numFmtId="169" fontId="0" fillId="0" borderId="0" xfId="0" applyNumberFormat="1"/>
    <xf numFmtId="0" fontId="0" fillId="0" borderId="0" xfId="0" applyAlignment="1">
      <alignment horizontal="center" vertical="center" wrapText="1"/>
    </xf>
    <xf numFmtId="2" fontId="0" fillId="34" borderId="0" xfId="0" applyNumberFormat="1" applyFill="1" applyAlignment="1">
      <alignment horizontal="center"/>
    </xf>
    <xf numFmtId="170" fontId="0" fillId="0" borderId="0" xfId="2" applyNumberFormat="1" applyFont="1" applyFill="1" applyBorder="1" applyAlignment="1">
      <alignment horizontal="center" vertical="center"/>
    </xf>
    <xf numFmtId="170" fontId="0" fillId="9" borderId="1" xfId="2" applyNumberFormat="1" applyFont="1" applyFill="1" applyBorder="1" applyAlignment="1">
      <alignment horizontal="center" vertical="center"/>
    </xf>
    <xf numFmtId="170" fontId="1" fillId="0" borderId="1" xfId="2" applyNumberFormat="1" applyFont="1" applyBorder="1" applyAlignment="1">
      <alignment horizontal="center" vertical="center"/>
    </xf>
    <xf numFmtId="170" fontId="1" fillId="9" borderId="1" xfId="2" applyNumberFormat="1" applyFont="1" applyFill="1" applyBorder="1" applyAlignment="1">
      <alignment horizontal="center" vertical="center"/>
    </xf>
    <xf numFmtId="170" fontId="1" fillId="0" borderId="1" xfId="2" applyNumberFormat="1" applyFont="1" applyFill="1" applyBorder="1" applyAlignment="1">
      <alignment horizontal="center" vertical="center"/>
    </xf>
    <xf numFmtId="0" fontId="12" fillId="0" borderId="0" xfId="0" applyFont="1" applyAlignment="1">
      <alignment horizontal="center" vertical="center" wrapText="1"/>
    </xf>
    <xf numFmtId="0" fontId="36" fillId="11" borderId="1" xfId="0" applyFont="1" applyFill="1" applyBorder="1" applyAlignment="1">
      <alignment horizontal="center" vertical="center" wrapText="1"/>
    </xf>
    <xf numFmtId="2" fontId="0" fillId="0" borderId="1" xfId="0" applyNumberFormat="1" applyBorder="1"/>
    <xf numFmtId="10" fontId="0" fillId="0" borderId="0" xfId="2" applyNumberFormat="1" applyFont="1" applyAlignment="1">
      <alignment horizontal="right"/>
    </xf>
    <xf numFmtId="3" fontId="0" fillId="0" borderId="0" xfId="0" applyNumberFormat="1" applyAlignment="1">
      <alignment horizontal="right"/>
    </xf>
    <xf numFmtId="3" fontId="1" fillId="0" borderId="0" xfId="0" applyNumberFormat="1" applyFont="1" applyAlignment="1">
      <alignment horizontal="center"/>
    </xf>
    <xf numFmtId="3" fontId="0" fillId="0" borderId="1" xfId="0" applyNumberFormat="1" applyBorder="1"/>
    <xf numFmtId="9" fontId="0" fillId="0" borderId="1" xfId="2" applyFont="1" applyBorder="1"/>
    <xf numFmtId="9" fontId="1" fillId="11" borderId="1" xfId="2" applyFont="1" applyFill="1" applyBorder="1" applyAlignment="1"/>
    <xf numFmtId="2" fontId="1" fillId="11" borderId="1" xfId="0" applyNumberFormat="1" applyFont="1" applyFill="1" applyBorder="1"/>
    <xf numFmtId="1" fontId="12" fillId="0" borderId="9" xfId="0" applyNumberFormat="1" applyFont="1" applyBorder="1" applyAlignment="1">
      <alignment horizontal="center"/>
    </xf>
    <xf numFmtId="0" fontId="10" fillId="0" borderId="1" xfId="0" applyFont="1" applyBorder="1" applyAlignment="1">
      <alignment horizontal="center"/>
    </xf>
    <xf numFmtId="0" fontId="40" fillId="0" borderId="1" xfId="0" applyFont="1" applyBorder="1" applyAlignment="1">
      <alignment horizontal="center"/>
    </xf>
    <xf numFmtId="0" fontId="1" fillId="35" borderId="0" xfId="0" applyFont="1" applyFill="1"/>
    <xf numFmtId="4" fontId="0" fillId="0" borderId="0" xfId="0" applyNumberFormat="1"/>
    <xf numFmtId="0" fontId="1" fillId="11" borderId="1" xfId="0" applyFont="1" applyFill="1" applyBorder="1" applyAlignment="1">
      <alignment vertical="center" wrapText="1"/>
    </xf>
    <xf numFmtId="0" fontId="1" fillId="11" borderId="1" xfId="0" applyFont="1" applyFill="1" applyBorder="1" applyAlignment="1">
      <alignment vertical="center"/>
    </xf>
    <xf numFmtId="175" fontId="0" fillId="0" borderId="0" xfId="2" applyNumberFormat="1" applyFont="1"/>
    <xf numFmtId="9" fontId="1" fillId="11" borderId="0" xfId="0" applyNumberFormat="1" applyFont="1" applyFill="1" applyAlignment="1">
      <alignment horizontal="center"/>
    </xf>
    <xf numFmtId="0" fontId="8" fillId="11" borderId="1" xfId="0" applyFont="1" applyFill="1" applyBorder="1" applyAlignment="1">
      <alignment horizontal="center" vertical="center" wrapText="1"/>
    </xf>
    <xf numFmtId="0" fontId="12" fillId="6" borderId="1" xfId="0" applyFont="1" applyFill="1" applyBorder="1" applyAlignment="1">
      <alignment vertical="center" wrapText="1"/>
    </xf>
    <xf numFmtId="0" fontId="0" fillId="14" borderId="1" xfId="0" applyFill="1" applyBorder="1" applyAlignment="1">
      <alignment horizontal="center" vertical="center" wrapText="1"/>
    </xf>
    <xf numFmtId="0" fontId="12" fillId="0" borderId="1" xfId="0" applyFont="1" applyBorder="1" applyAlignment="1">
      <alignment vertical="center" wrapText="1"/>
    </xf>
    <xf numFmtId="0" fontId="1" fillId="11" borderId="0" xfId="0" applyFont="1" applyFill="1" applyAlignment="1">
      <alignment horizontal="center"/>
    </xf>
    <xf numFmtId="1" fontId="1" fillId="11" borderId="0" xfId="0" applyNumberFormat="1" applyFont="1" applyFill="1" applyAlignment="1">
      <alignment horizontal="center"/>
    </xf>
    <xf numFmtId="9" fontId="1" fillId="11" borderId="0" xfId="2" applyFont="1" applyFill="1" applyBorder="1" applyAlignment="1">
      <alignment horizontal="center"/>
    </xf>
    <xf numFmtId="4" fontId="0" fillId="0" borderId="8" xfId="0" applyNumberFormat="1" applyBorder="1" applyAlignment="1">
      <alignment horizontal="center"/>
    </xf>
    <xf numFmtId="4" fontId="0" fillId="0" borderId="9" xfId="0" applyNumberFormat="1" applyBorder="1" applyAlignment="1">
      <alignment horizontal="center"/>
    </xf>
    <xf numFmtId="0" fontId="1" fillId="11" borderId="25" xfId="0" applyFont="1" applyFill="1" applyBorder="1" applyAlignment="1">
      <alignment horizontal="center" vertical="center" wrapText="1"/>
    </xf>
    <xf numFmtId="164" fontId="0" fillId="0" borderId="0" xfId="0" applyNumberFormat="1" applyAlignment="1">
      <alignment horizontal="right"/>
    </xf>
    <xf numFmtId="164" fontId="12" fillId="0" borderId="0" xfId="0" applyNumberFormat="1" applyFont="1" applyAlignment="1">
      <alignment horizontal="right"/>
    </xf>
    <xf numFmtId="9" fontId="0" fillId="0" borderId="9" xfId="2" applyFont="1" applyBorder="1" applyAlignment="1">
      <alignment horizontal="center" vertical="center"/>
    </xf>
    <xf numFmtId="9" fontId="0" fillId="0" borderId="10" xfId="2" applyFont="1" applyBorder="1" applyAlignment="1">
      <alignment horizontal="center" vertical="center"/>
    </xf>
    <xf numFmtId="2" fontId="0" fillId="0" borderId="8" xfId="0" applyNumberFormat="1" applyBorder="1" applyAlignment="1">
      <alignment horizontal="center" vertical="center" wrapText="1"/>
    </xf>
    <xf numFmtId="2" fontId="0" fillId="0" borderId="9" xfId="0" applyNumberFormat="1" applyBorder="1" applyAlignment="1">
      <alignment horizontal="center" vertical="center" wrapText="1"/>
    </xf>
    <xf numFmtId="0" fontId="1" fillId="11" borderId="1" xfId="0" applyFont="1" applyFill="1" applyBorder="1" applyAlignment="1">
      <alignment horizontal="centerContinuous" vertical="center" wrapText="1"/>
    </xf>
    <xf numFmtId="3" fontId="1" fillId="11" borderId="13" xfId="0" applyNumberFormat="1" applyFont="1" applyFill="1" applyBorder="1" applyAlignment="1">
      <alignment horizontal="center"/>
    </xf>
    <xf numFmtId="0" fontId="26" fillId="0" borderId="0" xfId="0" applyFont="1" applyAlignment="1">
      <alignment horizontal="left" vertical="top" wrapText="1"/>
    </xf>
    <xf numFmtId="0" fontId="27"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23" fillId="17" borderId="1" xfId="0" applyFont="1" applyFill="1" applyBorder="1" applyAlignment="1">
      <alignment horizontal="center" vertical="center"/>
    </xf>
    <xf numFmtId="0" fontId="23" fillId="17" borderId="1" xfId="0" applyFont="1" applyFill="1" applyBorder="1" applyAlignment="1">
      <alignment horizontal="center" vertical="center" wrapText="1"/>
    </xf>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24" fillId="0" borderId="1" xfId="0" applyFont="1" applyBorder="1" applyAlignment="1">
      <alignment horizontal="center" vertical="center"/>
    </xf>
    <xf numFmtId="0" fontId="24" fillId="0" borderId="1" xfId="0" applyFont="1" applyBorder="1" applyAlignment="1">
      <alignment horizontal="left" vertical="center" wrapText="1"/>
    </xf>
    <xf numFmtId="0" fontId="0" fillId="0" borderId="1" xfId="0"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 fillId="3" borderId="0" xfId="0" applyFont="1" applyFill="1" applyAlignment="1">
      <alignment horizont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32" fillId="17" borderId="1" xfId="0" applyFont="1" applyFill="1" applyBorder="1" applyAlignment="1">
      <alignment horizontal="center"/>
    </xf>
    <xf numFmtId="0" fontId="31" fillId="19" borderId="1" xfId="0" applyFont="1" applyFill="1" applyBorder="1" applyAlignment="1">
      <alignment horizontal="center" vertical="center" wrapText="1"/>
    </xf>
    <xf numFmtId="0" fontId="30" fillId="0" borderId="6" xfId="0" applyFont="1" applyBorder="1" applyAlignment="1">
      <alignment horizontal="left" vertical="center" wrapText="1"/>
    </xf>
    <xf numFmtId="0" fontId="30" fillId="0" borderId="7" xfId="0" applyFont="1" applyBorder="1" applyAlignment="1">
      <alignment horizontal="left" vertical="center" wrapText="1"/>
    </xf>
    <xf numFmtId="0" fontId="30" fillId="0" borderId="1" xfId="0" applyFont="1" applyBorder="1" applyAlignment="1">
      <alignment horizontal="center" vertical="center" wrapText="1"/>
    </xf>
    <xf numFmtId="0" fontId="1" fillId="11" borderId="6" xfId="0" applyFont="1" applyFill="1" applyBorder="1" applyAlignment="1">
      <alignment horizontal="center" vertical="center"/>
    </xf>
    <xf numFmtId="0" fontId="1" fillId="11" borderId="7" xfId="0" applyFont="1" applyFill="1" applyBorder="1" applyAlignment="1">
      <alignment horizontal="center" vertical="center"/>
    </xf>
    <xf numFmtId="0" fontId="1" fillId="11" borderId="1" xfId="0" applyFont="1" applyFill="1" applyBorder="1" applyAlignment="1">
      <alignment horizontal="center" vertical="center" wrapText="1"/>
    </xf>
    <xf numFmtId="0" fontId="1" fillId="11" borderId="1" xfId="0" applyFont="1" applyFill="1" applyBorder="1" applyAlignment="1">
      <alignment horizontal="center" vertical="center"/>
    </xf>
    <xf numFmtId="0" fontId="1" fillId="0" borderId="1" xfId="0" applyFont="1" applyBorder="1" applyAlignment="1">
      <alignment horizontal="center"/>
    </xf>
    <xf numFmtId="0" fontId="0" fillId="5" borderId="1" xfId="0" applyFill="1" applyBorder="1" applyAlignment="1">
      <alignment horizontal="center" vertical="center"/>
    </xf>
    <xf numFmtId="0" fontId="0" fillId="7" borderId="1" xfId="0" applyFill="1" applyBorder="1" applyAlignment="1">
      <alignment horizontal="center" vertical="center"/>
    </xf>
    <xf numFmtId="0" fontId="1" fillId="11" borderId="1" xfId="0" applyFont="1" applyFill="1" applyBorder="1" applyAlignment="1">
      <alignment horizontal="center"/>
    </xf>
    <xf numFmtId="0" fontId="1" fillId="11" borderId="2"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21" xfId="0" applyFont="1" applyFill="1" applyBorder="1" applyAlignment="1">
      <alignment horizontal="center" vertical="center" wrapText="1"/>
    </xf>
    <xf numFmtId="0" fontId="1" fillId="11" borderId="20"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 fillId="11" borderId="19"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0" fillId="4" borderId="14" xfId="0" applyFill="1" applyBorder="1" applyAlignment="1">
      <alignment horizontal="center"/>
    </xf>
    <xf numFmtId="0" fontId="0" fillId="0" borderId="5" xfId="0" applyBorder="1" applyAlignment="1">
      <alignment horizontal="center"/>
    </xf>
    <xf numFmtId="0" fontId="1" fillId="11" borderId="22" xfId="0" applyFont="1" applyFill="1" applyBorder="1" applyAlignment="1">
      <alignment horizontal="center" vertical="center" wrapText="1"/>
    </xf>
    <xf numFmtId="0" fontId="1" fillId="11" borderId="23" xfId="0" applyFont="1" applyFill="1" applyBorder="1" applyAlignment="1">
      <alignment horizontal="center" vertical="center" wrapText="1"/>
    </xf>
    <xf numFmtId="0" fontId="1" fillId="11" borderId="24" xfId="0" applyFont="1" applyFill="1" applyBorder="1" applyAlignment="1">
      <alignment horizontal="center" vertical="center" wrapText="1"/>
    </xf>
    <xf numFmtId="0" fontId="18" fillId="11" borderId="1" xfId="0" applyFont="1" applyFill="1" applyBorder="1" applyAlignment="1">
      <alignment horizontal="center"/>
    </xf>
  </cellXfs>
  <cellStyles count="4">
    <cellStyle name="Hipervínculo" xfId="1" builtinId="8"/>
    <cellStyle name="Normal" xfId="0" builtinId="0"/>
    <cellStyle name="Normal 2 2 2" xfId="3" xr:uid="{5823E6E4-C12C-45F5-B070-CD1474353914}"/>
    <cellStyle name="Porcentaje" xfId="2" builtinId="5"/>
  </cellStyles>
  <dxfs count="17">
    <dxf>
      <font>
        <color rgb="FF9C0006"/>
      </font>
      <fill>
        <patternFill>
          <bgColor rgb="FFFFC7CE"/>
        </patternFill>
      </fill>
    </dxf>
    <dxf>
      <font>
        <color auto="1"/>
      </font>
    </dxf>
    <dxf>
      <font>
        <color auto="1"/>
      </font>
    </dxf>
    <dxf>
      <font>
        <color auto="1"/>
      </font>
    </dxf>
    <dxf>
      <font>
        <color auto="1"/>
      </font>
    </dxf>
    <dxf>
      <font>
        <color auto="1"/>
      </font>
    </dxf>
    <dxf>
      <font>
        <color auto="1"/>
      </font>
    </dxf>
    <dxf>
      <alignment vertical="center"/>
    </dxf>
    <dxf>
      <alignment vertical="center"/>
    </dxf>
    <dxf>
      <fill>
        <patternFill>
          <bgColor theme="7" tint="0.79998168889431442"/>
        </patternFill>
      </fill>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E3F6FD"/>
      <color rgb="FFF8E4F6"/>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openxmlformats.org/officeDocument/2006/relationships/sheetMetadata" Target="metadata.xml"/><Relationship Id="rId35"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IC_mun!$B$1</c:f>
              <c:strCache>
                <c:ptCount val="1"/>
                <c:pt idx="0">
                  <c:v>Pond_2025</c:v>
                </c:pt>
              </c:strCache>
            </c:strRef>
          </c:tx>
          <c:spPr>
            <a:ln w="38100" cap="rnd">
              <a:noFill/>
              <a:round/>
            </a:ln>
            <a:effectLst/>
          </c:spPr>
          <c:marker>
            <c:symbol val="circle"/>
            <c:size val="5"/>
            <c:spPr>
              <a:solidFill>
                <a:schemeClr val="accent2"/>
              </a:solidFill>
              <a:ln w="9525">
                <a:solidFill>
                  <a:schemeClr val="accent2"/>
                </a:solidFill>
              </a:ln>
              <a:effectLst/>
            </c:spPr>
          </c:marker>
          <c:yVal>
            <c:numRef>
              <c:f>IC_mun!$B$2:$B$1104</c:f>
              <c:numCache>
                <c:formatCode>General</c:formatCode>
                <c:ptCount val="1103"/>
                <c:pt idx="0">
                  <c:v>0.10000009</c:v>
                </c:pt>
                <c:pt idx="1">
                  <c:v>0.10269691949535961</c:v>
                </c:pt>
                <c:pt idx="2">
                  <c:v>0.12733921002765966</c:v>
                </c:pt>
                <c:pt idx="3">
                  <c:v>0.13740568253456856</c:v>
                </c:pt>
                <c:pt idx="4">
                  <c:v>0.13557165279940425</c:v>
                </c:pt>
                <c:pt idx="5">
                  <c:v>0.17254658869228745</c:v>
                </c:pt>
                <c:pt idx="6">
                  <c:v>0.15350740159998302</c:v>
                </c:pt>
                <c:pt idx="7">
                  <c:v>0.17757372535081289</c:v>
                </c:pt>
                <c:pt idx="8">
                  <c:v>0.1776256037960583</c:v>
                </c:pt>
                <c:pt idx="9">
                  <c:v>0.19763290398623484</c:v>
                </c:pt>
                <c:pt idx="10">
                  <c:v>0.21813304884199647</c:v>
                </c:pt>
                <c:pt idx="11">
                  <c:v>0.19764499769748867</c:v>
                </c:pt>
                <c:pt idx="12">
                  <c:v>0.18385458968060381</c:v>
                </c:pt>
                <c:pt idx="13">
                  <c:v>0.21512137931324304</c:v>
                </c:pt>
                <c:pt idx="14">
                  <c:v>0.22436117291414609</c:v>
                </c:pt>
                <c:pt idx="15">
                  <c:v>0.2357427947056227</c:v>
                </c:pt>
                <c:pt idx="16">
                  <c:v>0.23775824605382648</c:v>
                </c:pt>
                <c:pt idx="17">
                  <c:v>0.25768358906915884</c:v>
                </c:pt>
                <c:pt idx="18">
                  <c:v>0.26866367887347453</c:v>
                </c:pt>
                <c:pt idx="19">
                  <c:v>0.27639302742304256</c:v>
                </c:pt>
                <c:pt idx="20">
                  <c:v>0.27373014926474648</c:v>
                </c:pt>
                <c:pt idx="21">
                  <c:v>0.28785170536957083</c:v>
                </c:pt>
                <c:pt idx="22">
                  <c:v>0.28649467614836099</c:v>
                </c:pt>
                <c:pt idx="23">
                  <c:v>0.29285170529535426</c:v>
                </c:pt>
                <c:pt idx="24">
                  <c:v>0.27167898694696246</c:v>
                </c:pt>
                <c:pt idx="25">
                  <c:v>0.26203539811148602</c:v>
                </c:pt>
                <c:pt idx="26">
                  <c:v>0.28481842453804662</c:v>
                </c:pt>
                <c:pt idx="27">
                  <c:v>0.28017993638279121</c:v>
                </c:pt>
                <c:pt idx="28">
                  <c:v>0.30001850978738648</c:v>
                </c:pt>
                <c:pt idx="29">
                  <c:v>0.29650362777272499</c:v>
                </c:pt>
                <c:pt idx="30">
                  <c:v>0.30676406143066837</c:v>
                </c:pt>
                <c:pt idx="31">
                  <c:v>0.3131287286799283</c:v>
                </c:pt>
                <c:pt idx="32">
                  <c:v>0.31219861185759634</c:v>
                </c:pt>
                <c:pt idx="33">
                  <c:v>0.31125979176155089</c:v>
                </c:pt>
                <c:pt idx="34">
                  <c:v>0.31093869350007663</c:v>
                </c:pt>
                <c:pt idx="35">
                  <c:v>0.32358409003723698</c:v>
                </c:pt>
                <c:pt idx="36">
                  <c:v>0.36775408577747681</c:v>
                </c:pt>
                <c:pt idx="37">
                  <c:v>0.32202882603050703</c:v>
                </c:pt>
                <c:pt idx="38">
                  <c:v>0.32765037523530532</c:v>
                </c:pt>
                <c:pt idx="39">
                  <c:v>0.32368631121409241</c:v>
                </c:pt>
                <c:pt idx="40">
                  <c:v>0.32231130589812917</c:v>
                </c:pt>
                <c:pt idx="41">
                  <c:v>0.33710948697020104</c:v>
                </c:pt>
                <c:pt idx="42">
                  <c:v>0.33669151952972826</c:v>
                </c:pt>
                <c:pt idx="43">
                  <c:v>0.32302259911277653</c:v>
                </c:pt>
                <c:pt idx="44">
                  <c:v>0.33067206156424239</c:v>
                </c:pt>
                <c:pt idx="45">
                  <c:v>0.32888025468262361</c:v>
                </c:pt>
                <c:pt idx="46">
                  <c:v>0.34347650452099893</c:v>
                </c:pt>
                <c:pt idx="47">
                  <c:v>0.3363944277415632</c:v>
                </c:pt>
                <c:pt idx="48">
                  <c:v>0.34474753467404629</c:v>
                </c:pt>
                <c:pt idx="49">
                  <c:v>0.34268349353794558</c:v>
                </c:pt>
                <c:pt idx="50">
                  <c:v>0.34529176547007145</c:v>
                </c:pt>
                <c:pt idx="51">
                  <c:v>0.35269149324212457</c:v>
                </c:pt>
                <c:pt idx="52">
                  <c:v>0.34346309625650434</c:v>
                </c:pt>
                <c:pt idx="53">
                  <c:v>0.34338661342209692</c:v>
                </c:pt>
                <c:pt idx="54">
                  <c:v>0.34820870110280178</c:v>
                </c:pt>
                <c:pt idx="55">
                  <c:v>0.34397257709836582</c:v>
                </c:pt>
                <c:pt idx="56">
                  <c:v>0.34453795864152947</c:v>
                </c:pt>
                <c:pt idx="57">
                  <c:v>0.351257682089682</c:v>
                </c:pt>
                <c:pt idx="58">
                  <c:v>0.34805158540240089</c:v>
                </c:pt>
                <c:pt idx="59">
                  <c:v>0.35908750643910226</c:v>
                </c:pt>
                <c:pt idx="60">
                  <c:v>0.36405836583114959</c:v>
                </c:pt>
                <c:pt idx="61">
                  <c:v>0.3448267610064798</c:v>
                </c:pt>
                <c:pt idx="62">
                  <c:v>0.3585855499355991</c:v>
                </c:pt>
                <c:pt idx="63">
                  <c:v>0.36039240503571812</c:v>
                </c:pt>
                <c:pt idx="64">
                  <c:v>0.36719452961385446</c:v>
                </c:pt>
                <c:pt idx="65">
                  <c:v>0.36069856183443505</c:v>
                </c:pt>
                <c:pt idx="66">
                  <c:v>0.36595950661020882</c:v>
                </c:pt>
                <c:pt idx="67">
                  <c:v>0.35838361311231259</c:v>
                </c:pt>
                <c:pt idx="68">
                  <c:v>0.37290975019514128</c:v>
                </c:pt>
                <c:pt idx="69">
                  <c:v>0.37412375058660474</c:v>
                </c:pt>
                <c:pt idx="70">
                  <c:v>0.37388277253011459</c:v>
                </c:pt>
                <c:pt idx="71">
                  <c:v>0.37240090194794095</c:v>
                </c:pt>
                <c:pt idx="72">
                  <c:v>0.36075494917323092</c:v>
                </c:pt>
                <c:pt idx="73">
                  <c:v>0.4210446689078865</c:v>
                </c:pt>
                <c:pt idx="74">
                  <c:v>0.36941744426714929</c:v>
                </c:pt>
                <c:pt idx="75">
                  <c:v>0.37205968178921145</c:v>
                </c:pt>
                <c:pt idx="76">
                  <c:v>0.36664330262474332</c:v>
                </c:pt>
                <c:pt idx="77">
                  <c:v>0.37064456152898473</c:v>
                </c:pt>
                <c:pt idx="78">
                  <c:v>0.37174855697353826</c:v>
                </c:pt>
                <c:pt idx="79">
                  <c:v>0.36654829217145035</c:v>
                </c:pt>
                <c:pt idx="80">
                  <c:v>0.36977064385961955</c:v>
                </c:pt>
                <c:pt idx="81">
                  <c:v>0.36526048905816133</c:v>
                </c:pt>
                <c:pt idx="82">
                  <c:v>0.36654131440319127</c:v>
                </c:pt>
                <c:pt idx="83">
                  <c:v>0.37612552727651427</c:v>
                </c:pt>
                <c:pt idx="84">
                  <c:v>0.37424028861499137</c:v>
                </c:pt>
                <c:pt idx="85">
                  <c:v>0.37664644566164096</c:v>
                </c:pt>
                <c:pt idx="86">
                  <c:v>0.37664602936217961</c:v>
                </c:pt>
                <c:pt idx="87">
                  <c:v>0.37758839594991545</c:v>
                </c:pt>
                <c:pt idx="88">
                  <c:v>0.38756195136974703</c:v>
                </c:pt>
                <c:pt idx="89">
                  <c:v>0.38074154658472648</c:v>
                </c:pt>
                <c:pt idx="90">
                  <c:v>0.37604205184105799</c:v>
                </c:pt>
                <c:pt idx="91">
                  <c:v>0.38275002136189584</c:v>
                </c:pt>
                <c:pt idx="92">
                  <c:v>0.38442032629358203</c:v>
                </c:pt>
                <c:pt idx="93">
                  <c:v>0.38578819964225608</c:v>
                </c:pt>
                <c:pt idx="94">
                  <c:v>0.38485083530506703</c:v>
                </c:pt>
                <c:pt idx="95">
                  <c:v>0.38839308005216511</c:v>
                </c:pt>
                <c:pt idx="96">
                  <c:v>0.38826885655469456</c:v>
                </c:pt>
                <c:pt idx="97">
                  <c:v>0.38805338823663582</c:v>
                </c:pt>
                <c:pt idx="98">
                  <c:v>0.37348874008888699</c:v>
                </c:pt>
                <c:pt idx="99">
                  <c:v>0.40453251150210179</c:v>
                </c:pt>
                <c:pt idx="100">
                  <c:v>0.38564105481906608</c:v>
                </c:pt>
                <c:pt idx="101">
                  <c:v>0.38759799537974737</c:v>
                </c:pt>
                <c:pt idx="102">
                  <c:v>0.39223135764484851</c:v>
                </c:pt>
                <c:pt idx="103">
                  <c:v>0.38922420445222483</c:v>
                </c:pt>
                <c:pt idx="104">
                  <c:v>0.38527145320775835</c:v>
                </c:pt>
                <c:pt idx="105">
                  <c:v>0.39671160353227641</c:v>
                </c:pt>
                <c:pt idx="106">
                  <c:v>0.39560911249637454</c:v>
                </c:pt>
                <c:pt idx="107">
                  <c:v>0.38969294663436338</c:v>
                </c:pt>
                <c:pt idx="108">
                  <c:v>0.39805988192215114</c:v>
                </c:pt>
                <c:pt idx="109">
                  <c:v>0.3934358749675021</c:v>
                </c:pt>
                <c:pt idx="110">
                  <c:v>0.39360862773081207</c:v>
                </c:pt>
                <c:pt idx="111">
                  <c:v>0.39298706040218523</c:v>
                </c:pt>
                <c:pt idx="112">
                  <c:v>0.40242958807851215</c:v>
                </c:pt>
                <c:pt idx="113">
                  <c:v>0.40142865771271108</c:v>
                </c:pt>
                <c:pt idx="114">
                  <c:v>0.39215544317744078</c:v>
                </c:pt>
                <c:pt idx="115">
                  <c:v>0.40171774886671341</c:v>
                </c:pt>
                <c:pt idx="116">
                  <c:v>0.40533751422719699</c:v>
                </c:pt>
                <c:pt idx="117">
                  <c:v>0.41645256891740878</c:v>
                </c:pt>
                <c:pt idx="118">
                  <c:v>0.40647846811935651</c:v>
                </c:pt>
                <c:pt idx="119">
                  <c:v>0.40535410773314395</c:v>
                </c:pt>
                <c:pt idx="120">
                  <c:v>0.39842502242359912</c:v>
                </c:pt>
                <c:pt idx="121">
                  <c:v>0.40275023393455445</c:v>
                </c:pt>
                <c:pt idx="122">
                  <c:v>0.40835539280798472</c:v>
                </c:pt>
                <c:pt idx="123">
                  <c:v>0.4139226905212734</c:v>
                </c:pt>
                <c:pt idx="124">
                  <c:v>0.40156259357577984</c:v>
                </c:pt>
                <c:pt idx="125">
                  <c:v>0.40520623401733069</c:v>
                </c:pt>
                <c:pt idx="126">
                  <c:v>0.41076827877878919</c:v>
                </c:pt>
                <c:pt idx="127">
                  <c:v>0.41041428780234712</c:v>
                </c:pt>
                <c:pt idx="128">
                  <c:v>0.40991316700065061</c:v>
                </c:pt>
                <c:pt idx="129">
                  <c:v>0.40806526564186507</c:v>
                </c:pt>
                <c:pt idx="130">
                  <c:v>0.40884762454159596</c:v>
                </c:pt>
                <c:pt idx="131">
                  <c:v>0.41403097257856936</c:v>
                </c:pt>
                <c:pt idx="132">
                  <c:v>0.40654661855730589</c:v>
                </c:pt>
                <c:pt idx="133">
                  <c:v>0.41060999317403513</c:v>
                </c:pt>
                <c:pt idx="134">
                  <c:v>0.4140404732878622</c:v>
                </c:pt>
                <c:pt idx="135">
                  <c:v>0.40941674508234871</c:v>
                </c:pt>
                <c:pt idx="136">
                  <c:v>0.41075168343640245</c:v>
                </c:pt>
                <c:pt idx="137">
                  <c:v>0.40885967880856855</c:v>
                </c:pt>
                <c:pt idx="138">
                  <c:v>0.41666128051020512</c:v>
                </c:pt>
                <c:pt idx="139">
                  <c:v>0.41224023089362871</c:v>
                </c:pt>
                <c:pt idx="140">
                  <c:v>0.41825652404026947</c:v>
                </c:pt>
                <c:pt idx="141">
                  <c:v>0.4129516516379248</c:v>
                </c:pt>
                <c:pt idx="142">
                  <c:v>0.41592832928891665</c:v>
                </c:pt>
                <c:pt idx="143">
                  <c:v>0.42297367620595039</c:v>
                </c:pt>
                <c:pt idx="144">
                  <c:v>0.42217969321306392</c:v>
                </c:pt>
                <c:pt idx="145">
                  <c:v>0.4100416833687579</c:v>
                </c:pt>
                <c:pt idx="146">
                  <c:v>0.40988263955148718</c:v>
                </c:pt>
                <c:pt idx="147">
                  <c:v>0.41469488989730707</c:v>
                </c:pt>
                <c:pt idx="148">
                  <c:v>0.4226757664194859</c:v>
                </c:pt>
                <c:pt idx="149">
                  <c:v>0.41445125657579229</c:v>
                </c:pt>
                <c:pt idx="150">
                  <c:v>0.42782057070592905</c:v>
                </c:pt>
                <c:pt idx="151">
                  <c:v>0.41904791182543344</c:v>
                </c:pt>
                <c:pt idx="152">
                  <c:v>0.4147809847832804</c:v>
                </c:pt>
                <c:pt idx="153">
                  <c:v>0.41839059463355965</c:v>
                </c:pt>
                <c:pt idx="154">
                  <c:v>0.40867915351620088</c:v>
                </c:pt>
                <c:pt idx="155">
                  <c:v>0.41153547758589559</c:v>
                </c:pt>
                <c:pt idx="156">
                  <c:v>0.4187017146373011</c:v>
                </c:pt>
                <c:pt idx="157">
                  <c:v>0.4158924521834505</c:v>
                </c:pt>
                <c:pt idx="158">
                  <c:v>0.4160407644058276</c:v>
                </c:pt>
                <c:pt idx="159">
                  <c:v>0.41481835779534215</c:v>
                </c:pt>
                <c:pt idx="160">
                  <c:v>0.42119371336770706</c:v>
                </c:pt>
                <c:pt idx="161">
                  <c:v>0.41674103557729925</c:v>
                </c:pt>
                <c:pt idx="162">
                  <c:v>0.42258989256095303</c:v>
                </c:pt>
                <c:pt idx="163">
                  <c:v>0.41636437940185544</c:v>
                </c:pt>
                <c:pt idx="164">
                  <c:v>0.42484819691750841</c:v>
                </c:pt>
                <c:pt idx="165">
                  <c:v>0.41470317083494057</c:v>
                </c:pt>
                <c:pt idx="166">
                  <c:v>0.42147117222919883</c:v>
                </c:pt>
                <c:pt idx="167">
                  <c:v>0.41991840354427212</c:v>
                </c:pt>
                <c:pt idx="168">
                  <c:v>0.42907719317351478</c:v>
                </c:pt>
                <c:pt idx="169">
                  <c:v>0.42493271052529358</c:v>
                </c:pt>
                <c:pt idx="170">
                  <c:v>0.42227646211356229</c:v>
                </c:pt>
                <c:pt idx="171">
                  <c:v>0.42412375254948809</c:v>
                </c:pt>
                <c:pt idx="172">
                  <c:v>0.42597769813402964</c:v>
                </c:pt>
                <c:pt idx="173">
                  <c:v>0.42647168073269037</c:v>
                </c:pt>
                <c:pt idx="174">
                  <c:v>0.4296540599699884</c:v>
                </c:pt>
                <c:pt idx="175">
                  <c:v>0.44278143578547235</c:v>
                </c:pt>
                <c:pt idx="176">
                  <c:v>0.42717908438025476</c:v>
                </c:pt>
                <c:pt idx="177">
                  <c:v>0.41846410177238491</c:v>
                </c:pt>
                <c:pt idx="178">
                  <c:v>0.42666108014981519</c:v>
                </c:pt>
                <c:pt idx="179">
                  <c:v>0.42262734018050407</c:v>
                </c:pt>
                <c:pt idx="180">
                  <c:v>0.42803738762721655</c:v>
                </c:pt>
                <c:pt idx="181">
                  <c:v>0.42933507644577529</c:v>
                </c:pt>
                <c:pt idx="182">
                  <c:v>0.42993317972839762</c:v>
                </c:pt>
                <c:pt idx="183">
                  <c:v>0.43039838638748618</c:v>
                </c:pt>
                <c:pt idx="184">
                  <c:v>0.42616448741922819</c:v>
                </c:pt>
                <c:pt idx="185">
                  <c:v>0.43416715997287236</c:v>
                </c:pt>
                <c:pt idx="186">
                  <c:v>0.43702136280451021</c:v>
                </c:pt>
                <c:pt idx="187">
                  <c:v>0.43173806552266192</c:v>
                </c:pt>
                <c:pt idx="188">
                  <c:v>0.43338126526807397</c:v>
                </c:pt>
                <c:pt idx="189">
                  <c:v>0.42666778151719564</c:v>
                </c:pt>
                <c:pt idx="190">
                  <c:v>0.42393927490798577</c:v>
                </c:pt>
                <c:pt idx="191">
                  <c:v>0.44067108891207141</c:v>
                </c:pt>
                <c:pt idx="192">
                  <c:v>0.42815727200239462</c:v>
                </c:pt>
                <c:pt idx="193">
                  <c:v>0.42748305784065155</c:v>
                </c:pt>
                <c:pt idx="194">
                  <c:v>0.43729725769440242</c:v>
                </c:pt>
                <c:pt idx="195">
                  <c:v>0.43406073606553919</c:v>
                </c:pt>
                <c:pt idx="196">
                  <c:v>0.43122985730693897</c:v>
                </c:pt>
                <c:pt idx="197">
                  <c:v>0.43613017900161721</c:v>
                </c:pt>
                <c:pt idx="198">
                  <c:v>0.43836853439931467</c:v>
                </c:pt>
                <c:pt idx="199">
                  <c:v>0.43852578193044967</c:v>
                </c:pt>
                <c:pt idx="200">
                  <c:v>0.43018847344034428</c:v>
                </c:pt>
                <c:pt idx="201">
                  <c:v>0.4447321142629963</c:v>
                </c:pt>
                <c:pt idx="202">
                  <c:v>0.43822647211000876</c:v>
                </c:pt>
                <c:pt idx="203">
                  <c:v>0.43616145466743017</c:v>
                </c:pt>
                <c:pt idx="204">
                  <c:v>0.43762414926184945</c:v>
                </c:pt>
                <c:pt idx="205">
                  <c:v>0.43589373707744405</c:v>
                </c:pt>
                <c:pt idx="206">
                  <c:v>0.42958183143383399</c:v>
                </c:pt>
                <c:pt idx="207">
                  <c:v>0.4344945566824342</c:v>
                </c:pt>
                <c:pt idx="208">
                  <c:v>0.42790113713311673</c:v>
                </c:pt>
                <c:pt idx="209">
                  <c:v>0.43399164971879001</c:v>
                </c:pt>
                <c:pt idx="210">
                  <c:v>0.43932312775958215</c:v>
                </c:pt>
                <c:pt idx="211">
                  <c:v>0.43552964959641305</c:v>
                </c:pt>
                <c:pt idx="212">
                  <c:v>0.41795385228209481</c:v>
                </c:pt>
                <c:pt idx="213">
                  <c:v>0.44011615277549998</c:v>
                </c:pt>
                <c:pt idx="214">
                  <c:v>0.44451360793359429</c:v>
                </c:pt>
                <c:pt idx="215">
                  <c:v>0.43136884495084094</c:v>
                </c:pt>
                <c:pt idx="216">
                  <c:v>0.42988415387001222</c:v>
                </c:pt>
                <c:pt idx="217">
                  <c:v>0.43978580688398528</c:v>
                </c:pt>
                <c:pt idx="218">
                  <c:v>0.42425698267570588</c:v>
                </c:pt>
                <c:pt idx="219">
                  <c:v>0.44091665514438239</c:v>
                </c:pt>
                <c:pt idx="220">
                  <c:v>0.44507161028810305</c:v>
                </c:pt>
                <c:pt idx="221">
                  <c:v>0.44154144895182612</c:v>
                </c:pt>
                <c:pt idx="222">
                  <c:v>0.43996350241995918</c:v>
                </c:pt>
                <c:pt idx="223">
                  <c:v>0.43534145962232462</c:v>
                </c:pt>
                <c:pt idx="224">
                  <c:v>0.44879786810345013</c:v>
                </c:pt>
                <c:pt idx="225">
                  <c:v>0.4565956936287513</c:v>
                </c:pt>
                <c:pt idx="226">
                  <c:v>0.44173343469025872</c:v>
                </c:pt>
                <c:pt idx="227">
                  <c:v>0.45966681743468452</c:v>
                </c:pt>
                <c:pt idx="228">
                  <c:v>0.44152702569476343</c:v>
                </c:pt>
                <c:pt idx="229">
                  <c:v>0.44396358956594661</c:v>
                </c:pt>
                <c:pt idx="230">
                  <c:v>0.44595912897175061</c:v>
                </c:pt>
                <c:pt idx="231">
                  <c:v>0.439330991669728</c:v>
                </c:pt>
                <c:pt idx="232">
                  <c:v>0.44145596282231292</c:v>
                </c:pt>
                <c:pt idx="233">
                  <c:v>0.44851028222154454</c:v>
                </c:pt>
                <c:pt idx="234">
                  <c:v>0.44055387344431296</c:v>
                </c:pt>
                <c:pt idx="235">
                  <c:v>0.46047527780171116</c:v>
                </c:pt>
                <c:pt idx="236">
                  <c:v>0.4528497598352712</c:v>
                </c:pt>
                <c:pt idx="237">
                  <c:v>0.45149775765312672</c:v>
                </c:pt>
                <c:pt idx="238">
                  <c:v>0.44898024342117515</c:v>
                </c:pt>
                <c:pt idx="239">
                  <c:v>0.45173226077227213</c:v>
                </c:pt>
                <c:pt idx="240">
                  <c:v>0.44954839323950901</c:v>
                </c:pt>
                <c:pt idx="241">
                  <c:v>0.44908644265072117</c:v>
                </c:pt>
                <c:pt idx="242">
                  <c:v>0.44932205997945895</c:v>
                </c:pt>
                <c:pt idx="243">
                  <c:v>0.45017391905464221</c:v>
                </c:pt>
                <c:pt idx="244">
                  <c:v>0.45403582241033025</c:v>
                </c:pt>
                <c:pt idx="245">
                  <c:v>0.45122054960858871</c:v>
                </c:pt>
                <c:pt idx="246">
                  <c:v>0.45145939311078376</c:v>
                </c:pt>
                <c:pt idx="247">
                  <c:v>0.44900195752950045</c:v>
                </c:pt>
                <c:pt idx="248">
                  <c:v>0.44969725674922056</c:v>
                </c:pt>
                <c:pt idx="249">
                  <c:v>0.45072142498816525</c:v>
                </c:pt>
                <c:pt idx="250">
                  <c:v>0.4598640741414366</c:v>
                </c:pt>
                <c:pt idx="251">
                  <c:v>0.45597001487329158</c:v>
                </c:pt>
                <c:pt idx="252">
                  <c:v>0.459652597731385</c:v>
                </c:pt>
                <c:pt idx="253">
                  <c:v>0.45584803144116903</c:v>
                </c:pt>
                <c:pt idx="254">
                  <c:v>0.45334978469598897</c:v>
                </c:pt>
                <c:pt idx="255">
                  <c:v>0.4576927820591381</c:v>
                </c:pt>
                <c:pt idx="256">
                  <c:v>0.45146902421100676</c:v>
                </c:pt>
                <c:pt idx="257">
                  <c:v>0.45508945654253896</c:v>
                </c:pt>
                <c:pt idx="258">
                  <c:v>0.45503183484289822</c:v>
                </c:pt>
                <c:pt idx="259">
                  <c:v>0.45808205386037204</c:v>
                </c:pt>
                <c:pt idx="260">
                  <c:v>0.45449758816236485</c:v>
                </c:pt>
                <c:pt idx="261">
                  <c:v>0.45074829502586711</c:v>
                </c:pt>
                <c:pt idx="262">
                  <c:v>0.46429252728533676</c:v>
                </c:pt>
                <c:pt idx="263">
                  <c:v>0.45787373029826506</c:v>
                </c:pt>
                <c:pt idx="264">
                  <c:v>0.45378257870169303</c:v>
                </c:pt>
                <c:pt idx="265">
                  <c:v>0.44974702341747463</c:v>
                </c:pt>
                <c:pt idx="266">
                  <c:v>0.45269788576372494</c:v>
                </c:pt>
                <c:pt idx="267">
                  <c:v>0.46028452172776646</c:v>
                </c:pt>
                <c:pt idx="268">
                  <c:v>0.45980089440735739</c:v>
                </c:pt>
                <c:pt idx="269">
                  <c:v>0.46105930729402278</c:v>
                </c:pt>
                <c:pt idx="270">
                  <c:v>0.45348251135210205</c:v>
                </c:pt>
                <c:pt idx="271">
                  <c:v>0.45118090998245497</c:v>
                </c:pt>
                <c:pt idx="272">
                  <c:v>0.45983944467573057</c:v>
                </c:pt>
                <c:pt idx="273">
                  <c:v>0.45784769427331451</c:v>
                </c:pt>
                <c:pt idx="274">
                  <c:v>0.45546098450881112</c:v>
                </c:pt>
                <c:pt idx="275">
                  <c:v>0.46451437838598397</c:v>
                </c:pt>
                <c:pt idx="276">
                  <c:v>0.45952556886069662</c:v>
                </c:pt>
                <c:pt idx="277">
                  <c:v>0.45541502770655207</c:v>
                </c:pt>
                <c:pt idx="278">
                  <c:v>0.45953860678774772</c:v>
                </c:pt>
                <c:pt idx="279">
                  <c:v>0.45941480073241947</c:v>
                </c:pt>
                <c:pt idx="280">
                  <c:v>0.46530279549724807</c:v>
                </c:pt>
                <c:pt idx="281">
                  <c:v>0.46272053680064362</c:v>
                </c:pt>
                <c:pt idx="282">
                  <c:v>0.46270813198746508</c:v>
                </c:pt>
                <c:pt idx="283">
                  <c:v>0.46472381126841522</c:v>
                </c:pt>
                <c:pt idx="284">
                  <c:v>0.46346014693485194</c:v>
                </c:pt>
                <c:pt idx="285">
                  <c:v>0.46279018272285055</c:v>
                </c:pt>
                <c:pt idx="286">
                  <c:v>0.47577008314910363</c:v>
                </c:pt>
                <c:pt idx="287">
                  <c:v>0.46145192150404435</c:v>
                </c:pt>
                <c:pt idx="288">
                  <c:v>0.46118764210148666</c:v>
                </c:pt>
                <c:pt idx="289">
                  <c:v>0.46495937283025313</c:v>
                </c:pt>
                <c:pt idx="290">
                  <c:v>0.46239602839245209</c:v>
                </c:pt>
                <c:pt idx="291">
                  <c:v>0.46008754846020194</c:v>
                </c:pt>
                <c:pt idx="292">
                  <c:v>0.46285757779572978</c:v>
                </c:pt>
                <c:pt idx="293">
                  <c:v>0.46337802001910766</c:v>
                </c:pt>
                <c:pt idx="294">
                  <c:v>0.46285853351287121</c:v>
                </c:pt>
                <c:pt idx="295">
                  <c:v>0.46476302545987491</c:v>
                </c:pt>
                <c:pt idx="296">
                  <c:v>0.46902304539818962</c:v>
                </c:pt>
                <c:pt idx="297">
                  <c:v>0.45961967365762146</c:v>
                </c:pt>
                <c:pt idx="298">
                  <c:v>0.46825804096594392</c:v>
                </c:pt>
                <c:pt idx="299">
                  <c:v>0.4509467424289586</c:v>
                </c:pt>
                <c:pt idx="300">
                  <c:v>0.45852980511267305</c:v>
                </c:pt>
                <c:pt idx="301">
                  <c:v>0.46066481010908311</c:v>
                </c:pt>
                <c:pt idx="302">
                  <c:v>0.46133156431249578</c:v>
                </c:pt>
                <c:pt idx="303">
                  <c:v>0.46694553918339077</c:v>
                </c:pt>
                <c:pt idx="304">
                  <c:v>0.46287667986695924</c:v>
                </c:pt>
                <c:pt idx="305">
                  <c:v>0.47555507736536229</c:v>
                </c:pt>
                <c:pt idx="306">
                  <c:v>0.46789789929178149</c:v>
                </c:pt>
                <c:pt idx="307">
                  <c:v>0.46553241402872447</c:v>
                </c:pt>
                <c:pt idx="308">
                  <c:v>0.46602981586935732</c:v>
                </c:pt>
                <c:pt idx="309">
                  <c:v>0.46164644527377696</c:v>
                </c:pt>
                <c:pt idx="310">
                  <c:v>0.46332207907472167</c:v>
                </c:pt>
                <c:pt idx="311">
                  <c:v>0.46728562618361413</c:v>
                </c:pt>
                <c:pt idx="312">
                  <c:v>0.46496321217010017</c:v>
                </c:pt>
                <c:pt idx="313">
                  <c:v>0.47074618212337316</c:v>
                </c:pt>
                <c:pt idx="314">
                  <c:v>0.45237482636541593</c:v>
                </c:pt>
                <c:pt idx="315">
                  <c:v>0.46682070560713051</c:v>
                </c:pt>
                <c:pt idx="316">
                  <c:v>0.4697294097702468</c:v>
                </c:pt>
                <c:pt idx="317">
                  <c:v>0.45337232306269282</c:v>
                </c:pt>
                <c:pt idx="318">
                  <c:v>0.46215260654169177</c:v>
                </c:pt>
                <c:pt idx="319">
                  <c:v>0.46467601355843569</c:v>
                </c:pt>
                <c:pt idx="320">
                  <c:v>0.46399831052468021</c:v>
                </c:pt>
                <c:pt idx="321">
                  <c:v>0.46134078295189784</c:v>
                </c:pt>
                <c:pt idx="322">
                  <c:v>0.47388509205227414</c:v>
                </c:pt>
                <c:pt idx="323">
                  <c:v>0.46889468580275073</c:v>
                </c:pt>
                <c:pt idx="324">
                  <c:v>0.46852673085608565</c:v>
                </c:pt>
                <c:pt idx="325">
                  <c:v>0.46187754136696224</c:v>
                </c:pt>
                <c:pt idx="326">
                  <c:v>0.46617102714496761</c:v>
                </c:pt>
                <c:pt idx="327">
                  <c:v>0.46860931281123352</c:v>
                </c:pt>
                <c:pt idx="328">
                  <c:v>0.46800572863687151</c:v>
                </c:pt>
                <c:pt idx="329">
                  <c:v>0.46763043181417585</c:v>
                </c:pt>
                <c:pt idx="330">
                  <c:v>0.46636769955657609</c:v>
                </c:pt>
                <c:pt idx="331">
                  <c:v>0.47064587903562738</c:v>
                </c:pt>
                <c:pt idx="332">
                  <c:v>0.4644131956261196</c:v>
                </c:pt>
                <c:pt idx="333">
                  <c:v>0.46958440592880346</c:v>
                </c:pt>
                <c:pt idx="334">
                  <c:v>0.46708025555318322</c:v>
                </c:pt>
                <c:pt idx="335">
                  <c:v>0.4622230107633768</c:v>
                </c:pt>
                <c:pt idx="336">
                  <c:v>0.47722499384305184</c:v>
                </c:pt>
                <c:pt idx="337">
                  <c:v>0.47924244648255654</c:v>
                </c:pt>
                <c:pt idx="338">
                  <c:v>0.47291448272234204</c:v>
                </c:pt>
                <c:pt idx="339">
                  <c:v>0.46485766720665211</c:v>
                </c:pt>
                <c:pt idx="340">
                  <c:v>0.47154565254932979</c:v>
                </c:pt>
                <c:pt idx="341">
                  <c:v>0.46827662830719441</c:v>
                </c:pt>
                <c:pt idx="342">
                  <c:v>0.48203017069740806</c:v>
                </c:pt>
                <c:pt idx="343">
                  <c:v>0.46710603620403424</c:v>
                </c:pt>
                <c:pt idx="344">
                  <c:v>0.47964943240794133</c:v>
                </c:pt>
                <c:pt idx="345">
                  <c:v>0.47452637462655201</c:v>
                </c:pt>
                <c:pt idx="346">
                  <c:v>0.47356431681023881</c:v>
                </c:pt>
                <c:pt idx="347">
                  <c:v>0.47643948512073864</c:v>
                </c:pt>
                <c:pt idx="348">
                  <c:v>0.47259467338011307</c:v>
                </c:pt>
                <c:pt idx="349">
                  <c:v>0.47744128926391316</c:v>
                </c:pt>
                <c:pt idx="350">
                  <c:v>0.48174302193787388</c:v>
                </c:pt>
                <c:pt idx="351">
                  <c:v>0.47657953200927672</c:v>
                </c:pt>
                <c:pt idx="352">
                  <c:v>0.4691149179837879</c:v>
                </c:pt>
                <c:pt idx="353">
                  <c:v>0.47766137293381705</c:v>
                </c:pt>
                <c:pt idx="354">
                  <c:v>0.46827082796767072</c:v>
                </c:pt>
                <c:pt idx="355">
                  <c:v>0.48454616822902163</c:v>
                </c:pt>
                <c:pt idx="356">
                  <c:v>0.48488283504248886</c:v>
                </c:pt>
                <c:pt idx="357">
                  <c:v>0.47662650344578905</c:v>
                </c:pt>
                <c:pt idx="358">
                  <c:v>0.48051011265724775</c:v>
                </c:pt>
                <c:pt idx="359">
                  <c:v>0.47753551485259715</c:v>
                </c:pt>
                <c:pt idx="360">
                  <c:v>0.47567251404840838</c:v>
                </c:pt>
                <c:pt idx="361">
                  <c:v>0.47221577640859391</c:v>
                </c:pt>
                <c:pt idx="362">
                  <c:v>0.48503164143495758</c:v>
                </c:pt>
                <c:pt idx="363">
                  <c:v>0.4852897537314842</c:v>
                </c:pt>
                <c:pt idx="364">
                  <c:v>0.47538202451690104</c:v>
                </c:pt>
                <c:pt idx="365">
                  <c:v>0.46741988371289234</c:v>
                </c:pt>
                <c:pt idx="366">
                  <c:v>0.47638888343549868</c:v>
                </c:pt>
                <c:pt idx="367">
                  <c:v>0.48028274944271565</c:v>
                </c:pt>
                <c:pt idx="368">
                  <c:v>0.48127095715421153</c:v>
                </c:pt>
                <c:pt idx="369">
                  <c:v>0.48110752724865569</c:v>
                </c:pt>
                <c:pt idx="370">
                  <c:v>0.49642871617204953</c:v>
                </c:pt>
                <c:pt idx="371">
                  <c:v>0.47018952612865972</c:v>
                </c:pt>
                <c:pt idx="372">
                  <c:v>0.49354491753632335</c:v>
                </c:pt>
                <c:pt idx="373">
                  <c:v>0.48419159733928796</c:v>
                </c:pt>
                <c:pt idx="374">
                  <c:v>0.47719457448268587</c:v>
                </c:pt>
                <c:pt idx="375">
                  <c:v>0.4829396374931908</c:v>
                </c:pt>
                <c:pt idx="376">
                  <c:v>0.48350135732458188</c:v>
                </c:pt>
                <c:pt idx="377">
                  <c:v>0.47777604144347174</c:v>
                </c:pt>
                <c:pt idx="378">
                  <c:v>0.48796338359315117</c:v>
                </c:pt>
                <c:pt idx="379">
                  <c:v>0.47513898130963006</c:v>
                </c:pt>
                <c:pt idx="380">
                  <c:v>0.48339102293940461</c:v>
                </c:pt>
                <c:pt idx="381">
                  <c:v>0.47789240233173824</c:v>
                </c:pt>
                <c:pt idx="382">
                  <c:v>0.47593968273107834</c:v>
                </c:pt>
                <c:pt idx="383">
                  <c:v>0.48968630891513676</c:v>
                </c:pt>
                <c:pt idx="384">
                  <c:v>0.48494646993903245</c:v>
                </c:pt>
                <c:pt idx="385">
                  <c:v>0.48506095644698599</c:v>
                </c:pt>
                <c:pt idx="386">
                  <c:v>0.48569987627641431</c:v>
                </c:pt>
                <c:pt idx="387">
                  <c:v>0.47730155383383721</c:v>
                </c:pt>
                <c:pt idx="388">
                  <c:v>0.47872888005706016</c:v>
                </c:pt>
                <c:pt idx="389">
                  <c:v>0.48540890675512705</c:v>
                </c:pt>
                <c:pt idx="390">
                  <c:v>0.48445041736211703</c:v>
                </c:pt>
                <c:pt idx="391">
                  <c:v>0.4854416566225277</c:v>
                </c:pt>
                <c:pt idx="392">
                  <c:v>0.48627271655644821</c:v>
                </c:pt>
                <c:pt idx="393">
                  <c:v>0.48322490677549379</c:v>
                </c:pt>
                <c:pt idx="394">
                  <c:v>0.48051482699908021</c:v>
                </c:pt>
                <c:pt idx="395">
                  <c:v>0.48431027337168753</c:v>
                </c:pt>
                <c:pt idx="396">
                  <c:v>0.4818958952909751</c:v>
                </c:pt>
                <c:pt idx="397">
                  <c:v>0.48415832534548486</c:v>
                </c:pt>
                <c:pt idx="398">
                  <c:v>0.48080075146942725</c:v>
                </c:pt>
                <c:pt idx="399">
                  <c:v>0.49525499796097694</c:v>
                </c:pt>
                <c:pt idx="400">
                  <c:v>0.49836379553671861</c:v>
                </c:pt>
                <c:pt idx="401">
                  <c:v>0.4966085831860676</c:v>
                </c:pt>
                <c:pt idx="402">
                  <c:v>0.48579513844631139</c:v>
                </c:pt>
                <c:pt idx="403">
                  <c:v>0.49168659648669577</c:v>
                </c:pt>
                <c:pt idx="404">
                  <c:v>0.48567045025622513</c:v>
                </c:pt>
                <c:pt idx="405">
                  <c:v>0.48407718545021683</c:v>
                </c:pt>
                <c:pt idx="406">
                  <c:v>0.48501581097616042</c:v>
                </c:pt>
                <c:pt idx="407">
                  <c:v>0.48798502724769288</c:v>
                </c:pt>
                <c:pt idx="408">
                  <c:v>0.48775674149247616</c:v>
                </c:pt>
                <c:pt idx="409">
                  <c:v>0.48978117563923618</c:v>
                </c:pt>
                <c:pt idx="410">
                  <c:v>0.4850256205400143</c:v>
                </c:pt>
                <c:pt idx="411">
                  <c:v>0.48871796734868489</c:v>
                </c:pt>
                <c:pt idx="412">
                  <c:v>0.48259638267689786</c:v>
                </c:pt>
                <c:pt idx="413">
                  <c:v>0.48905577956999513</c:v>
                </c:pt>
                <c:pt idx="414">
                  <c:v>0.48334992940472288</c:v>
                </c:pt>
                <c:pt idx="415">
                  <c:v>0.48548878788085426</c:v>
                </c:pt>
                <c:pt idx="416">
                  <c:v>0.48773506102493513</c:v>
                </c:pt>
                <c:pt idx="417">
                  <c:v>0.48574372410876121</c:v>
                </c:pt>
                <c:pt idx="418">
                  <c:v>0.49045467047483682</c:v>
                </c:pt>
                <c:pt idx="419">
                  <c:v>0.48754409843332502</c:v>
                </c:pt>
                <c:pt idx="420">
                  <c:v>0.49578959548473034</c:v>
                </c:pt>
                <c:pt idx="421">
                  <c:v>0.48240618840204552</c:v>
                </c:pt>
                <c:pt idx="422">
                  <c:v>0.48777501517972244</c:v>
                </c:pt>
                <c:pt idx="423">
                  <c:v>0.49038058555327135</c:v>
                </c:pt>
                <c:pt idx="424">
                  <c:v>0.4957937206658215</c:v>
                </c:pt>
                <c:pt idx="425">
                  <c:v>0.48343707327043128</c:v>
                </c:pt>
                <c:pt idx="426">
                  <c:v>0.48861904034560089</c:v>
                </c:pt>
                <c:pt idx="427">
                  <c:v>0.48527479663290363</c:v>
                </c:pt>
                <c:pt idx="428">
                  <c:v>0.48815363926327049</c:v>
                </c:pt>
                <c:pt idx="429">
                  <c:v>0.49222449924916867</c:v>
                </c:pt>
                <c:pt idx="430">
                  <c:v>0.48348799229298034</c:v>
                </c:pt>
                <c:pt idx="431">
                  <c:v>0.48728848964055593</c:v>
                </c:pt>
                <c:pt idx="432">
                  <c:v>0.4881310219662599</c:v>
                </c:pt>
                <c:pt idx="433">
                  <c:v>0.48296409790510209</c:v>
                </c:pt>
                <c:pt idx="434">
                  <c:v>0.4538248136696349</c:v>
                </c:pt>
                <c:pt idx="435">
                  <c:v>0.49224154213801574</c:v>
                </c:pt>
                <c:pt idx="436">
                  <c:v>0.49292207452434378</c:v>
                </c:pt>
                <c:pt idx="437">
                  <c:v>0.49133100913083627</c:v>
                </c:pt>
                <c:pt idx="438">
                  <c:v>0.49257712146712951</c:v>
                </c:pt>
                <c:pt idx="439">
                  <c:v>0.49499946842021791</c:v>
                </c:pt>
                <c:pt idx="440">
                  <c:v>0.48576778949206811</c:v>
                </c:pt>
                <c:pt idx="441">
                  <c:v>0.48967787644089955</c:v>
                </c:pt>
                <c:pt idx="442">
                  <c:v>0.48541046984656866</c:v>
                </c:pt>
                <c:pt idx="443">
                  <c:v>0.48505069551668656</c:v>
                </c:pt>
                <c:pt idx="444">
                  <c:v>0.49272896176606107</c:v>
                </c:pt>
                <c:pt idx="445">
                  <c:v>0.48884877062473397</c:v>
                </c:pt>
                <c:pt idx="446">
                  <c:v>0.49379212548255469</c:v>
                </c:pt>
                <c:pt idx="447">
                  <c:v>0.49259786623869473</c:v>
                </c:pt>
                <c:pt idx="448">
                  <c:v>0.49320406367890623</c:v>
                </c:pt>
                <c:pt idx="449">
                  <c:v>0.50159492640632342</c:v>
                </c:pt>
                <c:pt idx="450">
                  <c:v>0.48086372009669953</c:v>
                </c:pt>
                <c:pt idx="451">
                  <c:v>0.49697317377340933</c:v>
                </c:pt>
                <c:pt idx="452">
                  <c:v>0.48553240830293398</c:v>
                </c:pt>
                <c:pt idx="453">
                  <c:v>0.4877802463732509</c:v>
                </c:pt>
                <c:pt idx="454">
                  <c:v>0.49699410471219141</c:v>
                </c:pt>
                <c:pt idx="455">
                  <c:v>0.50406656314839349</c:v>
                </c:pt>
                <c:pt idx="456">
                  <c:v>0.4968672533077314</c:v>
                </c:pt>
                <c:pt idx="457">
                  <c:v>0.49269207731762621</c:v>
                </c:pt>
                <c:pt idx="458">
                  <c:v>0.49423622010232815</c:v>
                </c:pt>
                <c:pt idx="459">
                  <c:v>0.4951114670268818</c:v>
                </c:pt>
                <c:pt idx="460">
                  <c:v>0.49811916167487247</c:v>
                </c:pt>
                <c:pt idx="461">
                  <c:v>0.49092698997467554</c:v>
                </c:pt>
                <c:pt idx="462">
                  <c:v>0.49710318571534862</c:v>
                </c:pt>
                <c:pt idx="463">
                  <c:v>0.49198916586534336</c:v>
                </c:pt>
                <c:pt idx="464">
                  <c:v>0.4961008675422629</c:v>
                </c:pt>
                <c:pt idx="465">
                  <c:v>0.49421984832089794</c:v>
                </c:pt>
                <c:pt idx="466">
                  <c:v>0.50702203740790319</c:v>
                </c:pt>
                <c:pt idx="467">
                  <c:v>0.50054470194104173</c:v>
                </c:pt>
                <c:pt idx="468">
                  <c:v>0.49949354147549141</c:v>
                </c:pt>
                <c:pt idx="469">
                  <c:v>0.49688745056033268</c:v>
                </c:pt>
                <c:pt idx="470">
                  <c:v>0.49388332719598804</c:v>
                </c:pt>
                <c:pt idx="471">
                  <c:v>0.49206732111855411</c:v>
                </c:pt>
                <c:pt idx="472">
                  <c:v>0.51110928912928577</c:v>
                </c:pt>
                <c:pt idx="473">
                  <c:v>0.49658563243210718</c:v>
                </c:pt>
                <c:pt idx="474">
                  <c:v>0.50323513596086933</c:v>
                </c:pt>
                <c:pt idx="475">
                  <c:v>0.49294409785711979</c:v>
                </c:pt>
                <c:pt idx="476">
                  <c:v>0.49438752013553844</c:v>
                </c:pt>
                <c:pt idx="477">
                  <c:v>0.50093376782443344</c:v>
                </c:pt>
                <c:pt idx="478">
                  <c:v>0.50090968545998926</c:v>
                </c:pt>
                <c:pt idx="479">
                  <c:v>0.49901784734296206</c:v>
                </c:pt>
                <c:pt idx="480">
                  <c:v>0.50505770406170392</c:v>
                </c:pt>
                <c:pt idx="481">
                  <c:v>0.5014783991893067</c:v>
                </c:pt>
                <c:pt idx="482">
                  <c:v>0.49597223310345562</c:v>
                </c:pt>
                <c:pt idx="483">
                  <c:v>0.50074986638178887</c:v>
                </c:pt>
                <c:pt idx="484">
                  <c:v>0.50928406417916083</c:v>
                </c:pt>
                <c:pt idx="485">
                  <c:v>0.50302115445276208</c:v>
                </c:pt>
                <c:pt idx="486">
                  <c:v>0.50510207348529435</c:v>
                </c:pt>
                <c:pt idx="487">
                  <c:v>0.50328005097257311</c:v>
                </c:pt>
                <c:pt idx="488">
                  <c:v>0.50953036759831827</c:v>
                </c:pt>
                <c:pt idx="489">
                  <c:v>0.52103266858483899</c:v>
                </c:pt>
                <c:pt idx="490">
                  <c:v>0.49757782031219389</c:v>
                </c:pt>
                <c:pt idx="491">
                  <c:v>0.5005913985565299</c:v>
                </c:pt>
                <c:pt idx="492">
                  <c:v>0.50212560864624201</c:v>
                </c:pt>
                <c:pt idx="493">
                  <c:v>0.50036354756838153</c:v>
                </c:pt>
                <c:pt idx="494">
                  <c:v>0.50660038831161147</c:v>
                </c:pt>
                <c:pt idx="495">
                  <c:v>0.49979782577737453</c:v>
                </c:pt>
                <c:pt idx="496">
                  <c:v>0.50034207908675876</c:v>
                </c:pt>
                <c:pt idx="497">
                  <c:v>0.50648947559562729</c:v>
                </c:pt>
                <c:pt idx="498">
                  <c:v>0.50184517029575559</c:v>
                </c:pt>
                <c:pt idx="499">
                  <c:v>0.50271732796829449</c:v>
                </c:pt>
                <c:pt idx="500">
                  <c:v>0.51073456062515965</c:v>
                </c:pt>
                <c:pt idx="501">
                  <c:v>0.50001400467683965</c:v>
                </c:pt>
                <c:pt idx="502">
                  <c:v>0.50830180511811107</c:v>
                </c:pt>
                <c:pt idx="503">
                  <c:v>0.50632723805315882</c:v>
                </c:pt>
                <c:pt idx="504">
                  <c:v>0.50152387874427795</c:v>
                </c:pt>
                <c:pt idx="505">
                  <c:v>0.50159300505923887</c:v>
                </c:pt>
                <c:pt idx="506">
                  <c:v>0.50629232094032228</c:v>
                </c:pt>
                <c:pt idx="507">
                  <c:v>0.50147126610051163</c:v>
                </c:pt>
                <c:pt idx="508">
                  <c:v>0.50443425718380419</c:v>
                </c:pt>
                <c:pt idx="509">
                  <c:v>0.51071403804864723</c:v>
                </c:pt>
                <c:pt idx="510">
                  <c:v>0.50641675991443857</c:v>
                </c:pt>
                <c:pt idx="511">
                  <c:v>0.51096474274239823</c:v>
                </c:pt>
                <c:pt idx="512">
                  <c:v>0.49407003686023643</c:v>
                </c:pt>
                <c:pt idx="513">
                  <c:v>0.50265718175493534</c:v>
                </c:pt>
                <c:pt idx="514">
                  <c:v>0.49947962411333469</c:v>
                </c:pt>
                <c:pt idx="515">
                  <c:v>0.49843964434549137</c:v>
                </c:pt>
                <c:pt idx="516">
                  <c:v>0.50857280039581954</c:v>
                </c:pt>
                <c:pt idx="517">
                  <c:v>0.5061673747542349</c:v>
                </c:pt>
                <c:pt idx="518">
                  <c:v>0.51578267515803977</c:v>
                </c:pt>
                <c:pt idx="519">
                  <c:v>0.51537187015705577</c:v>
                </c:pt>
                <c:pt idx="520">
                  <c:v>0.50495075530399702</c:v>
                </c:pt>
                <c:pt idx="521">
                  <c:v>0.51723688947154012</c:v>
                </c:pt>
                <c:pt idx="522">
                  <c:v>0.50108770350949061</c:v>
                </c:pt>
                <c:pt idx="523">
                  <c:v>0.51346125283077315</c:v>
                </c:pt>
                <c:pt idx="524">
                  <c:v>0.50557722268755667</c:v>
                </c:pt>
                <c:pt idx="525">
                  <c:v>0.50869773178822952</c:v>
                </c:pt>
                <c:pt idx="526">
                  <c:v>0.51198484133409516</c:v>
                </c:pt>
                <c:pt idx="527">
                  <c:v>0.51446693006698663</c:v>
                </c:pt>
                <c:pt idx="528">
                  <c:v>0.50749467215200361</c:v>
                </c:pt>
                <c:pt idx="529">
                  <c:v>0.51048051156042873</c:v>
                </c:pt>
                <c:pt idx="530">
                  <c:v>0.51098702579664268</c:v>
                </c:pt>
                <c:pt idx="531">
                  <c:v>0.51178869230439639</c:v>
                </c:pt>
                <c:pt idx="532">
                  <c:v>0.51270558274749667</c:v>
                </c:pt>
                <c:pt idx="533">
                  <c:v>0.51323100440037683</c:v>
                </c:pt>
                <c:pt idx="534">
                  <c:v>0.51218695225894384</c:v>
                </c:pt>
                <c:pt idx="535">
                  <c:v>0.5189683610918906</c:v>
                </c:pt>
                <c:pt idx="536">
                  <c:v>0.50830327342680359</c:v>
                </c:pt>
                <c:pt idx="537">
                  <c:v>0.50926387700783704</c:v>
                </c:pt>
                <c:pt idx="538">
                  <c:v>0.51815283297831161</c:v>
                </c:pt>
                <c:pt idx="539">
                  <c:v>0.51142491135019974</c:v>
                </c:pt>
                <c:pt idx="540">
                  <c:v>0.52116428908808621</c:v>
                </c:pt>
                <c:pt idx="541">
                  <c:v>0.51415857467549775</c:v>
                </c:pt>
                <c:pt idx="542">
                  <c:v>0.51188799411205188</c:v>
                </c:pt>
                <c:pt idx="543">
                  <c:v>0.51382975682030119</c:v>
                </c:pt>
                <c:pt idx="544">
                  <c:v>0.51247363553736847</c:v>
                </c:pt>
                <c:pt idx="545">
                  <c:v>0.51130035168194432</c:v>
                </c:pt>
                <c:pt idx="546">
                  <c:v>0.51498337462347499</c:v>
                </c:pt>
                <c:pt idx="547">
                  <c:v>0.51090356753019039</c:v>
                </c:pt>
                <c:pt idx="548">
                  <c:v>0.51752165562149721</c:v>
                </c:pt>
                <c:pt idx="549">
                  <c:v>0.52652477785998242</c:v>
                </c:pt>
                <c:pt idx="550">
                  <c:v>0.52156473416994498</c:v>
                </c:pt>
                <c:pt idx="551">
                  <c:v>0.52339962058412803</c:v>
                </c:pt>
                <c:pt idx="552">
                  <c:v>0.52316122084167482</c:v>
                </c:pt>
                <c:pt idx="553">
                  <c:v>0.52359551060771825</c:v>
                </c:pt>
                <c:pt idx="554">
                  <c:v>0.51607157499474143</c:v>
                </c:pt>
                <c:pt idx="555">
                  <c:v>0.51911678276828488</c:v>
                </c:pt>
                <c:pt idx="556">
                  <c:v>0.5204031573937985</c:v>
                </c:pt>
                <c:pt idx="557">
                  <c:v>0.51218436021386027</c:v>
                </c:pt>
                <c:pt idx="558">
                  <c:v>0.52290475905992573</c:v>
                </c:pt>
                <c:pt idx="559">
                  <c:v>0.51698503303138732</c:v>
                </c:pt>
                <c:pt idx="560">
                  <c:v>0.51915716026359204</c:v>
                </c:pt>
                <c:pt idx="561">
                  <c:v>0.51289768636110811</c:v>
                </c:pt>
                <c:pt idx="562">
                  <c:v>0.52472676290281006</c:v>
                </c:pt>
                <c:pt idx="563">
                  <c:v>0.51304088757091049</c:v>
                </c:pt>
                <c:pt idx="564">
                  <c:v>0.51929733950849855</c:v>
                </c:pt>
                <c:pt idx="565">
                  <c:v>0.52323845217261655</c:v>
                </c:pt>
                <c:pt idx="566">
                  <c:v>0.5145862091342146</c:v>
                </c:pt>
                <c:pt idx="567">
                  <c:v>0.5201086434694584</c:v>
                </c:pt>
                <c:pt idx="568">
                  <c:v>0.51347445628727895</c:v>
                </c:pt>
                <c:pt idx="569">
                  <c:v>0.51595095499211574</c:v>
                </c:pt>
                <c:pt idx="570">
                  <c:v>0.52122451929228364</c:v>
                </c:pt>
                <c:pt idx="571">
                  <c:v>0.51455114307402838</c:v>
                </c:pt>
                <c:pt idx="572">
                  <c:v>0.5283049849454855</c:v>
                </c:pt>
                <c:pt idx="573">
                  <c:v>0.52287279500421258</c:v>
                </c:pt>
                <c:pt idx="574">
                  <c:v>0.5166131274529544</c:v>
                </c:pt>
                <c:pt idx="575">
                  <c:v>0.52279991237808465</c:v>
                </c:pt>
                <c:pt idx="576">
                  <c:v>0.52021796849996549</c:v>
                </c:pt>
                <c:pt idx="577">
                  <c:v>0.52572643552176679</c:v>
                </c:pt>
                <c:pt idx="578">
                  <c:v>0.53564731617782291</c:v>
                </c:pt>
                <c:pt idx="579">
                  <c:v>0.51884650136996313</c:v>
                </c:pt>
                <c:pt idx="580">
                  <c:v>0.52115245915569286</c:v>
                </c:pt>
                <c:pt idx="581">
                  <c:v>0.52086604317127549</c:v>
                </c:pt>
                <c:pt idx="582">
                  <c:v>0.52320957629345011</c:v>
                </c:pt>
                <c:pt idx="583">
                  <c:v>0.53027642350901694</c:v>
                </c:pt>
                <c:pt idx="584">
                  <c:v>0.52309053597998478</c:v>
                </c:pt>
                <c:pt idx="585">
                  <c:v>0.52319881457089956</c:v>
                </c:pt>
                <c:pt idx="586">
                  <c:v>0.51582044478464029</c:v>
                </c:pt>
                <c:pt idx="587">
                  <c:v>0.52604989987539763</c:v>
                </c:pt>
                <c:pt idx="588">
                  <c:v>0.51585071940784444</c:v>
                </c:pt>
                <c:pt idx="589">
                  <c:v>0.51457847911455756</c:v>
                </c:pt>
                <c:pt idx="590">
                  <c:v>0.5255990002342289</c:v>
                </c:pt>
                <c:pt idx="591">
                  <c:v>0.52419525755831931</c:v>
                </c:pt>
                <c:pt idx="592">
                  <c:v>0.52815714145382131</c:v>
                </c:pt>
                <c:pt idx="593">
                  <c:v>0.52249606119558656</c:v>
                </c:pt>
                <c:pt idx="594">
                  <c:v>0.53352343166493255</c:v>
                </c:pt>
                <c:pt idx="595">
                  <c:v>0.5361436988997087</c:v>
                </c:pt>
                <c:pt idx="596">
                  <c:v>0.53111289039838538</c:v>
                </c:pt>
                <c:pt idx="597">
                  <c:v>0.52035930220250182</c:v>
                </c:pt>
                <c:pt idx="598">
                  <c:v>0.52826810548152037</c:v>
                </c:pt>
                <c:pt idx="599">
                  <c:v>0.533005200713493</c:v>
                </c:pt>
                <c:pt idx="600">
                  <c:v>0.53549615535174444</c:v>
                </c:pt>
                <c:pt idx="601">
                  <c:v>0.52433112245081481</c:v>
                </c:pt>
                <c:pt idx="602">
                  <c:v>0.52268035011450986</c:v>
                </c:pt>
                <c:pt idx="603">
                  <c:v>0.51896061455122955</c:v>
                </c:pt>
                <c:pt idx="604">
                  <c:v>0.52911983858481193</c:v>
                </c:pt>
                <c:pt idx="605">
                  <c:v>0.5344934860729138</c:v>
                </c:pt>
                <c:pt idx="606">
                  <c:v>0.52509007699034538</c:v>
                </c:pt>
                <c:pt idx="607">
                  <c:v>0.52283807345572331</c:v>
                </c:pt>
                <c:pt idx="608">
                  <c:v>0.52018415513214022</c:v>
                </c:pt>
                <c:pt idx="609">
                  <c:v>0.53039958337446047</c:v>
                </c:pt>
                <c:pt idx="610">
                  <c:v>0.52974695125354321</c:v>
                </c:pt>
                <c:pt idx="611">
                  <c:v>0.53137520009911887</c:v>
                </c:pt>
                <c:pt idx="612">
                  <c:v>0.53502832690909929</c:v>
                </c:pt>
                <c:pt idx="613">
                  <c:v>0.52680833229118018</c:v>
                </c:pt>
                <c:pt idx="614">
                  <c:v>0.53089353583116849</c:v>
                </c:pt>
                <c:pt idx="615">
                  <c:v>0.52438554331456244</c:v>
                </c:pt>
                <c:pt idx="616">
                  <c:v>0.53112893153589602</c:v>
                </c:pt>
                <c:pt idx="617">
                  <c:v>0.53101842258176202</c:v>
                </c:pt>
                <c:pt idx="618">
                  <c:v>0.53144649824603685</c:v>
                </c:pt>
                <c:pt idx="619">
                  <c:v>0.52845430452120512</c:v>
                </c:pt>
                <c:pt idx="620">
                  <c:v>0.52748828915248591</c:v>
                </c:pt>
                <c:pt idx="621">
                  <c:v>0.5271712003929081</c:v>
                </c:pt>
                <c:pt idx="622">
                  <c:v>0.53990519412429427</c:v>
                </c:pt>
                <c:pt idx="623">
                  <c:v>0.52981285785253474</c:v>
                </c:pt>
                <c:pt idx="624">
                  <c:v>0.52937703488421328</c:v>
                </c:pt>
                <c:pt idx="625">
                  <c:v>0.53464303958225845</c:v>
                </c:pt>
                <c:pt idx="626">
                  <c:v>0.53306746746560585</c:v>
                </c:pt>
                <c:pt idx="627">
                  <c:v>0.53334770647579743</c:v>
                </c:pt>
                <c:pt idx="628">
                  <c:v>0.52746597389824534</c:v>
                </c:pt>
                <c:pt idx="629">
                  <c:v>0.53469614881301264</c:v>
                </c:pt>
                <c:pt idx="630">
                  <c:v>0.52617343938891226</c:v>
                </c:pt>
                <c:pt idx="631">
                  <c:v>0.53393534078450355</c:v>
                </c:pt>
                <c:pt idx="632">
                  <c:v>0.52969587520410177</c:v>
                </c:pt>
                <c:pt idx="633">
                  <c:v>0.52703400273864087</c:v>
                </c:pt>
                <c:pt idx="634">
                  <c:v>0.5355506323546676</c:v>
                </c:pt>
                <c:pt idx="635">
                  <c:v>0.53205977471068744</c:v>
                </c:pt>
                <c:pt idx="636">
                  <c:v>0.53332668516794579</c:v>
                </c:pt>
                <c:pt idx="637">
                  <c:v>0.52968735231893782</c:v>
                </c:pt>
                <c:pt idx="638">
                  <c:v>0.52696248989294336</c:v>
                </c:pt>
                <c:pt idx="639">
                  <c:v>0.53341866205196842</c:v>
                </c:pt>
                <c:pt idx="640">
                  <c:v>0.5320677347084698</c:v>
                </c:pt>
                <c:pt idx="641">
                  <c:v>0.54626147788943058</c:v>
                </c:pt>
                <c:pt idx="642">
                  <c:v>0.53400207781563092</c:v>
                </c:pt>
                <c:pt idx="643">
                  <c:v>0.54100248266301254</c:v>
                </c:pt>
                <c:pt idx="644">
                  <c:v>0.54471890554309832</c:v>
                </c:pt>
                <c:pt idx="645">
                  <c:v>0.53560621628182936</c:v>
                </c:pt>
                <c:pt idx="646">
                  <c:v>0.54110673054449909</c:v>
                </c:pt>
                <c:pt idx="647">
                  <c:v>0.5322824518960817</c:v>
                </c:pt>
                <c:pt idx="648">
                  <c:v>0.54539057791284196</c:v>
                </c:pt>
                <c:pt idx="649">
                  <c:v>0.52823793518512618</c:v>
                </c:pt>
                <c:pt idx="650">
                  <c:v>0.54544159061682984</c:v>
                </c:pt>
                <c:pt idx="651">
                  <c:v>0.53231101177060069</c:v>
                </c:pt>
                <c:pt idx="652">
                  <c:v>0.53623898446927232</c:v>
                </c:pt>
                <c:pt idx="653">
                  <c:v>0.53673201212719535</c:v>
                </c:pt>
                <c:pt idx="654">
                  <c:v>0.53465875713310984</c:v>
                </c:pt>
                <c:pt idx="655">
                  <c:v>0.54429995790892916</c:v>
                </c:pt>
                <c:pt idx="656">
                  <c:v>0.53646076460732106</c:v>
                </c:pt>
                <c:pt idx="657">
                  <c:v>0.53459216702991152</c:v>
                </c:pt>
                <c:pt idx="658">
                  <c:v>0.53821202143596847</c:v>
                </c:pt>
                <c:pt idx="659">
                  <c:v>0.54989744690030984</c:v>
                </c:pt>
                <c:pt idx="660">
                  <c:v>0.54095688569376754</c:v>
                </c:pt>
                <c:pt idx="661">
                  <c:v>0.54068311234290689</c:v>
                </c:pt>
                <c:pt idx="662">
                  <c:v>0.53903656570103775</c:v>
                </c:pt>
                <c:pt idx="663">
                  <c:v>0.54014273909455457</c:v>
                </c:pt>
                <c:pt idx="664">
                  <c:v>0.55010478153202724</c:v>
                </c:pt>
                <c:pt idx="665">
                  <c:v>0.53623754669843648</c:v>
                </c:pt>
                <c:pt idx="666">
                  <c:v>0.5432451025404692</c:v>
                </c:pt>
                <c:pt idx="667">
                  <c:v>0.54013370715918474</c:v>
                </c:pt>
                <c:pt idx="668">
                  <c:v>0.53886008268911523</c:v>
                </c:pt>
                <c:pt idx="669">
                  <c:v>0.54238553879013041</c:v>
                </c:pt>
                <c:pt idx="670">
                  <c:v>0.54747558822869247</c:v>
                </c:pt>
                <c:pt idx="671">
                  <c:v>0.54089463783744063</c:v>
                </c:pt>
                <c:pt idx="672">
                  <c:v>0.53584226894924303</c:v>
                </c:pt>
                <c:pt idx="673">
                  <c:v>0.5351969144071389</c:v>
                </c:pt>
                <c:pt idx="674">
                  <c:v>0.53861492009232581</c:v>
                </c:pt>
                <c:pt idx="675">
                  <c:v>0.54250464391858844</c:v>
                </c:pt>
                <c:pt idx="676">
                  <c:v>0.53608491877168385</c:v>
                </c:pt>
                <c:pt idx="677">
                  <c:v>0.55106271577592214</c:v>
                </c:pt>
                <c:pt idx="678">
                  <c:v>0.54955477419975085</c:v>
                </c:pt>
                <c:pt idx="679">
                  <c:v>0.54569577191325069</c:v>
                </c:pt>
                <c:pt idx="680">
                  <c:v>0.53719776502022687</c:v>
                </c:pt>
                <c:pt idx="681">
                  <c:v>0.54551805884911164</c:v>
                </c:pt>
                <c:pt idx="682">
                  <c:v>0.54400888077468457</c:v>
                </c:pt>
                <c:pt idx="683">
                  <c:v>0.5441471585988028</c:v>
                </c:pt>
                <c:pt idx="684">
                  <c:v>0.54285227519015766</c:v>
                </c:pt>
                <c:pt idx="685">
                  <c:v>0.53833163818961616</c:v>
                </c:pt>
                <c:pt idx="686">
                  <c:v>0.53712151329168467</c:v>
                </c:pt>
                <c:pt idx="687">
                  <c:v>0.54605232888271282</c:v>
                </c:pt>
                <c:pt idx="688">
                  <c:v>0.5514542967715842</c:v>
                </c:pt>
                <c:pt idx="689">
                  <c:v>0.5481231747581542</c:v>
                </c:pt>
                <c:pt idx="690">
                  <c:v>0.54007054976485369</c:v>
                </c:pt>
                <c:pt idx="691">
                  <c:v>0.54628241260198407</c:v>
                </c:pt>
                <c:pt idx="692">
                  <c:v>0.55383695827736257</c:v>
                </c:pt>
                <c:pt idx="693">
                  <c:v>0.54975078411948264</c:v>
                </c:pt>
                <c:pt idx="694">
                  <c:v>0.5385345842048942</c:v>
                </c:pt>
                <c:pt idx="695">
                  <c:v>0.5392073407299115</c:v>
                </c:pt>
                <c:pt idx="696">
                  <c:v>0.54870788421215289</c:v>
                </c:pt>
                <c:pt idx="697">
                  <c:v>0.54606313919682725</c:v>
                </c:pt>
                <c:pt idx="698">
                  <c:v>0.54708537276870217</c:v>
                </c:pt>
                <c:pt idx="699">
                  <c:v>0.54673438834160759</c:v>
                </c:pt>
                <c:pt idx="700">
                  <c:v>0.55065523597384702</c:v>
                </c:pt>
                <c:pt idx="701">
                  <c:v>0.54035234509272201</c:v>
                </c:pt>
                <c:pt idx="702">
                  <c:v>0.54481045931705374</c:v>
                </c:pt>
                <c:pt idx="703">
                  <c:v>0.55146421662638556</c:v>
                </c:pt>
                <c:pt idx="704">
                  <c:v>0.54950829315609429</c:v>
                </c:pt>
                <c:pt idx="705">
                  <c:v>0.54711281479786744</c:v>
                </c:pt>
                <c:pt idx="706">
                  <c:v>0.54676064074739783</c:v>
                </c:pt>
                <c:pt idx="707">
                  <c:v>0.55082734986738013</c:v>
                </c:pt>
                <c:pt idx="708">
                  <c:v>0.54950153342396879</c:v>
                </c:pt>
                <c:pt idx="709">
                  <c:v>0.53967901123080897</c:v>
                </c:pt>
                <c:pt idx="710">
                  <c:v>0.55335105798541318</c:v>
                </c:pt>
                <c:pt idx="711">
                  <c:v>0.54723984400379821</c:v>
                </c:pt>
                <c:pt idx="712">
                  <c:v>0.55872465315511144</c:v>
                </c:pt>
                <c:pt idx="713">
                  <c:v>0.55950105955802498</c:v>
                </c:pt>
                <c:pt idx="714">
                  <c:v>0.54389160761262101</c:v>
                </c:pt>
                <c:pt idx="715">
                  <c:v>0.55423307373741382</c:v>
                </c:pt>
                <c:pt idx="716">
                  <c:v>0.54973089416339493</c:v>
                </c:pt>
                <c:pt idx="717">
                  <c:v>0.55229427480442506</c:v>
                </c:pt>
                <c:pt idx="718">
                  <c:v>0.55837199331989085</c:v>
                </c:pt>
                <c:pt idx="719">
                  <c:v>0.5583733996075384</c:v>
                </c:pt>
                <c:pt idx="720">
                  <c:v>0.55806764118684238</c:v>
                </c:pt>
                <c:pt idx="721">
                  <c:v>0.55992443492351296</c:v>
                </c:pt>
                <c:pt idx="722">
                  <c:v>0.55178215011876242</c:v>
                </c:pt>
                <c:pt idx="723">
                  <c:v>0.55503229711095603</c:v>
                </c:pt>
                <c:pt idx="724">
                  <c:v>0.55797357231402622</c:v>
                </c:pt>
                <c:pt idx="725">
                  <c:v>0.54623367116299903</c:v>
                </c:pt>
                <c:pt idx="726">
                  <c:v>0.56123500893444078</c:v>
                </c:pt>
                <c:pt idx="727">
                  <c:v>0.56418109968447983</c:v>
                </c:pt>
                <c:pt idx="728">
                  <c:v>0.55567436836261153</c:v>
                </c:pt>
                <c:pt idx="729">
                  <c:v>0.5547502876672451</c:v>
                </c:pt>
                <c:pt idx="730">
                  <c:v>0.5593118028465377</c:v>
                </c:pt>
                <c:pt idx="731">
                  <c:v>0.55364852056980129</c:v>
                </c:pt>
                <c:pt idx="732">
                  <c:v>0.55279613143895212</c:v>
                </c:pt>
                <c:pt idx="733">
                  <c:v>0.54585045457186732</c:v>
                </c:pt>
                <c:pt idx="734">
                  <c:v>0.56255896171742947</c:v>
                </c:pt>
                <c:pt idx="735">
                  <c:v>0.54505026161004833</c:v>
                </c:pt>
                <c:pt idx="736">
                  <c:v>0.56366841249493882</c:v>
                </c:pt>
                <c:pt idx="737">
                  <c:v>0.55537932835313408</c:v>
                </c:pt>
                <c:pt idx="738">
                  <c:v>0.55593838663986528</c:v>
                </c:pt>
                <c:pt idx="739">
                  <c:v>0.55410803453862445</c:v>
                </c:pt>
                <c:pt idx="740">
                  <c:v>0.55718110270755072</c:v>
                </c:pt>
                <c:pt idx="741">
                  <c:v>0.56094902930280355</c:v>
                </c:pt>
                <c:pt idx="742">
                  <c:v>0.56410968733408717</c:v>
                </c:pt>
                <c:pt idx="743">
                  <c:v>0.56520476864041069</c:v>
                </c:pt>
                <c:pt idx="744">
                  <c:v>0.55656797111240008</c:v>
                </c:pt>
                <c:pt idx="745">
                  <c:v>0.5562973713987831</c:v>
                </c:pt>
                <c:pt idx="746">
                  <c:v>0.5635346625321801</c:v>
                </c:pt>
                <c:pt idx="747">
                  <c:v>0.55249571950008214</c:v>
                </c:pt>
                <c:pt idx="748">
                  <c:v>0.56572825753247002</c:v>
                </c:pt>
                <c:pt idx="749">
                  <c:v>0.56349077324581887</c:v>
                </c:pt>
                <c:pt idx="750">
                  <c:v>0.55383865827803824</c:v>
                </c:pt>
                <c:pt idx="751">
                  <c:v>0.55974761965284459</c:v>
                </c:pt>
                <c:pt idx="752">
                  <c:v>0.55246514693788218</c:v>
                </c:pt>
                <c:pt idx="753">
                  <c:v>0.55514557703959422</c:v>
                </c:pt>
                <c:pt idx="754">
                  <c:v>0.55415546324886189</c:v>
                </c:pt>
                <c:pt idx="755">
                  <c:v>0.55874964433085239</c:v>
                </c:pt>
                <c:pt idx="756">
                  <c:v>0.5525713491412978</c:v>
                </c:pt>
                <c:pt idx="757">
                  <c:v>0.55904813218074068</c:v>
                </c:pt>
                <c:pt idx="758">
                  <c:v>0.56412482941031228</c:v>
                </c:pt>
                <c:pt idx="759">
                  <c:v>0.56092947290845019</c:v>
                </c:pt>
                <c:pt idx="760">
                  <c:v>0.57817916315731344</c:v>
                </c:pt>
                <c:pt idx="761">
                  <c:v>0.55256135115698835</c:v>
                </c:pt>
                <c:pt idx="762">
                  <c:v>0.55848386774120518</c:v>
                </c:pt>
                <c:pt idx="763">
                  <c:v>0.56458562435552162</c:v>
                </c:pt>
                <c:pt idx="764">
                  <c:v>0.56643824868271342</c:v>
                </c:pt>
                <c:pt idx="765">
                  <c:v>0.56804643321686854</c:v>
                </c:pt>
                <c:pt idx="766">
                  <c:v>0.55772521135643804</c:v>
                </c:pt>
                <c:pt idx="767">
                  <c:v>0.5708996998680268</c:v>
                </c:pt>
                <c:pt idx="768">
                  <c:v>0.56481460364514735</c:v>
                </c:pt>
                <c:pt idx="769">
                  <c:v>0.56247474038468559</c:v>
                </c:pt>
                <c:pt idx="770">
                  <c:v>0.55839371054370079</c:v>
                </c:pt>
                <c:pt idx="771">
                  <c:v>0.55355494025549112</c:v>
                </c:pt>
                <c:pt idx="772">
                  <c:v>0.55326236774485593</c:v>
                </c:pt>
                <c:pt idx="773">
                  <c:v>0.57327443937997835</c:v>
                </c:pt>
                <c:pt idx="774">
                  <c:v>0.55270149270556912</c:v>
                </c:pt>
                <c:pt idx="775">
                  <c:v>0.56187221997857406</c:v>
                </c:pt>
                <c:pt idx="776">
                  <c:v>0.55788659724414691</c:v>
                </c:pt>
                <c:pt idx="777">
                  <c:v>0.56244355739616791</c:v>
                </c:pt>
                <c:pt idx="778">
                  <c:v>0.56092747343900429</c:v>
                </c:pt>
                <c:pt idx="779">
                  <c:v>0.56154624328548808</c:v>
                </c:pt>
                <c:pt idx="780">
                  <c:v>0.56338810166478692</c:v>
                </c:pt>
                <c:pt idx="781">
                  <c:v>0.56345743015386174</c:v>
                </c:pt>
                <c:pt idx="782">
                  <c:v>0.56951742324544263</c:v>
                </c:pt>
                <c:pt idx="783">
                  <c:v>0.56986573780907201</c:v>
                </c:pt>
                <c:pt idx="784">
                  <c:v>0.56666071292094111</c:v>
                </c:pt>
                <c:pt idx="785">
                  <c:v>0.56189359817711326</c:v>
                </c:pt>
                <c:pt idx="786">
                  <c:v>0.56653810625912937</c:v>
                </c:pt>
                <c:pt idx="787">
                  <c:v>0.56300537157961228</c:v>
                </c:pt>
                <c:pt idx="788">
                  <c:v>0.56615399229462138</c:v>
                </c:pt>
                <c:pt idx="789">
                  <c:v>0.5688400643200564</c:v>
                </c:pt>
                <c:pt idx="790">
                  <c:v>0.56839026701988149</c:v>
                </c:pt>
                <c:pt idx="791">
                  <c:v>0.56756906825438813</c:v>
                </c:pt>
                <c:pt idx="792">
                  <c:v>0.56690946831920286</c:v>
                </c:pt>
                <c:pt idx="793">
                  <c:v>0.56942683677489792</c:v>
                </c:pt>
                <c:pt idx="794">
                  <c:v>0.57313192109897226</c:v>
                </c:pt>
                <c:pt idx="795">
                  <c:v>0.56598408294582636</c:v>
                </c:pt>
                <c:pt idx="796">
                  <c:v>0.56476637851104838</c:v>
                </c:pt>
                <c:pt idx="797">
                  <c:v>0.57149044341308319</c:v>
                </c:pt>
                <c:pt idx="798">
                  <c:v>0.57361141976575258</c:v>
                </c:pt>
                <c:pt idx="799">
                  <c:v>0.57440032165863308</c:v>
                </c:pt>
                <c:pt idx="800">
                  <c:v>0.57217104677758257</c:v>
                </c:pt>
                <c:pt idx="801">
                  <c:v>0.56460608701002202</c:v>
                </c:pt>
                <c:pt idx="802">
                  <c:v>0.57046285027599131</c:v>
                </c:pt>
                <c:pt idx="803">
                  <c:v>0.57122729324977051</c:v>
                </c:pt>
                <c:pt idx="804">
                  <c:v>0.57360517609746298</c:v>
                </c:pt>
                <c:pt idx="805">
                  <c:v>0.57080472313285036</c:v>
                </c:pt>
                <c:pt idx="806">
                  <c:v>0.56762880764236978</c:v>
                </c:pt>
                <c:pt idx="807">
                  <c:v>0.57765082970477699</c:v>
                </c:pt>
                <c:pt idx="808">
                  <c:v>0.57337650073463231</c:v>
                </c:pt>
                <c:pt idx="809">
                  <c:v>0.56788636349790156</c:v>
                </c:pt>
                <c:pt idx="810">
                  <c:v>0.57478605538548855</c:v>
                </c:pt>
                <c:pt idx="811">
                  <c:v>0.57570148140037647</c:v>
                </c:pt>
                <c:pt idx="812">
                  <c:v>0.57706100852995523</c:v>
                </c:pt>
                <c:pt idx="813">
                  <c:v>0.57073413985608756</c:v>
                </c:pt>
                <c:pt idx="814">
                  <c:v>0.57669098953838527</c:v>
                </c:pt>
                <c:pt idx="815">
                  <c:v>0.56949279508545148</c:v>
                </c:pt>
                <c:pt idx="816">
                  <c:v>0.57545565985231961</c:v>
                </c:pt>
                <c:pt idx="817">
                  <c:v>0.57870508854856539</c:v>
                </c:pt>
                <c:pt idx="818">
                  <c:v>0.57636326021435047</c:v>
                </c:pt>
                <c:pt idx="819">
                  <c:v>0.57791061388500009</c:v>
                </c:pt>
                <c:pt idx="820">
                  <c:v>0.57124544915183162</c:v>
                </c:pt>
                <c:pt idx="821">
                  <c:v>0.57602907549416049</c:v>
                </c:pt>
                <c:pt idx="822">
                  <c:v>0.57541637404786339</c:v>
                </c:pt>
                <c:pt idx="823">
                  <c:v>0.57683440829434285</c:v>
                </c:pt>
                <c:pt idx="824">
                  <c:v>0.5856089919740175</c:v>
                </c:pt>
                <c:pt idx="825">
                  <c:v>0.58043699123519155</c:v>
                </c:pt>
                <c:pt idx="826">
                  <c:v>0.58795062850146085</c:v>
                </c:pt>
                <c:pt idx="827">
                  <c:v>0.5811888622937551</c:v>
                </c:pt>
                <c:pt idx="828">
                  <c:v>0.58043183198219162</c:v>
                </c:pt>
                <c:pt idx="829">
                  <c:v>0.58069403138297859</c:v>
                </c:pt>
                <c:pt idx="830">
                  <c:v>0.58181333790833323</c:v>
                </c:pt>
                <c:pt idx="831">
                  <c:v>0.58202285176672219</c:v>
                </c:pt>
                <c:pt idx="832">
                  <c:v>0.57228721629564039</c:v>
                </c:pt>
                <c:pt idx="833">
                  <c:v>0.57781573017522436</c:v>
                </c:pt>
                <c:pt idx="834">
                  <c:v>0.57948211485263912</c:v>
                </c:pt>
                <c:pt idx="835">
                  <c:v>0.58125285832152962</c:v>
                </c:pt>
                <c:pt idx="836">
                  <c:v>0.58081626532655473</c:v>
                </c:pt>
                <c:pt idx="837">
                  <c:v>0.5787610963585581</c:v>
                </c:pt>
                <c:pt idx="838">
                  <c:v>0.58220446167761986</c:v>
                </c:pt>
                <c:pt idx="839">
                  <c:v>0.58382932159272916</c:v>
                </c:pt>
                <c:pt idx="840">
                  <c:v>0.58671141275280914</c:v>
                </c:pt>
                <c:pt idx="841">
                  <c:v>0.58916849535409432</c:v>
                </c:pt>
                <c:pt idx="842">
                  <c:v>0.5805376446416074</c:v>
                </c:pt>
                <c:pt idx="843">
                  <c:v>0.57735066702897664</c:v>
                </c:pt>
                <c:pt idx="844">
                  <c:v>0.58342756345730384</c:v>
                </c:pt>
                <c:pt idx="845">
                  <c:v>0.59008876575333058</c:v>
                </c:pt>
                <c:pt idx="846">
                  <c:v>0.57625857681360881</c:v>
                </c:pt>
                <c:pt idx="847">
                  <c:v>0.59091697758572514</c:v>
                </c:pt>
                <c:pt idx="848">
                  <c:v>0.59029606195428819</c:v>
                </c:pt>
                <c:pt idx="849">
                  <c:v>0.58724664179688069</c:v>
                </c:pt>
                <c:pt idx="850">
                  <c:v>0.58718046622004882</c:v>
                </c:pt>
                <c:pt idx="851">
                  <c:v>0.58212045507910326</c:v>
                </c:pt>
                <c:pt idx="852">
                  <c:v>0.58933935829106565</c:v>
                </c:pt>
                <c:pt idx="853">
                  <c:v>0.58936349742039773</c:v>
                </c:pt>
                <c:pt idx="854">
                  <c:v>0.59327167144001913</c:v>
                </c:pt>
                <c:pt idx="855">
                  <c:v>0.58131378019388347</c:v>
                </c:pt>
                <c:pt idx="856">
                  <c:v>0.58734672224297768</c:v>
                </c:pt>
                <c:pt idx="857">
                  <c:v>0.57970486305417912</c:v>
                </c:pt>
                <c:pt idx="858">
                  <c:v>0.58570249661549445</c:v>
                </c:pt>
                <c:pt idx="859">
                  <c:v>0.59037961504695091</c:v>
                </c:pt>
                <c:pt idx="860">
                  <c:v>0.59205410206531128</c:v>
                </c:pt>
                <c:pt idx="861">
                  <c:v>0.58999232278709279</c:v>
                </c:pt>
                <c:pt idx="862">
                  <c:v>0.58473182884368824</c:v>
                </c:pt>
                <c:pt idx="863">
                  <c:v>0.59112407696440195</c:v>
                </c:pt>
                <c:pt idx="864">
                  <c:v>0.58558901504229732</c:v>
                </c:pt>
                <c:pt idx="865">
                  <c:v>0.59711093625322886</c:v>
                </c:pt>
                <c:pt idx="866">
                  <c:v>0.58856707487895343</c:v>
                </c:pt>
                <c:pt idx="867">
                  <c:v>0.59685285421996559</c:v>
                </c:pt>
                <c:pt idx="868">
                  <c:v>0.58614966431306137</c:v>
                </c:pt>
                <c:pt idx="869">
                  <c:v>0.59219649670381269</c:v>
                </c:pt>
                <c:pt idx="870">
                  <c:v>0.59833607679188616</c:v>
                </c:pt>
                <c:pt idx="871">
                  <c:v>0.59279810220466655</c:v>
                </c:pt>
                <c:pt idx="872">
                  <c:v>0.59118426856449779</c:v>
                </c:pt>
                <c:pt idx="873">
                  <c:v>0.59313234512624757</c:v>
                </c:pt>
                <c:pt idx="874">
                  <c:v>0.58473532327488698</c:v>
                </c:pt>
                <c:pt idx="875">
                  <c:v>0.59897806468074144</c:v>
                </c:pt>
                <c:pt idx="876">
                  <c:v>0.59563244477931609</c:v>
                </c:pt>
                <c:pt idx="877">
                  <c:v>0.59015309389851489</c:v>
                </c:pt>
                <c:pt idx="878">
                  <c:v>0.59132162508866959</c:v>
                </c:pt>
                <c:pt idx="879">
                  <c:v>0.59477658752933593</c:v>
                </c:pt>
                <c:pt idx="880">
                  <c:v>0.58871727540804508</c:v>
                </c:pt>
                <c:pt idx="881">
                  <c:v>0.60113888069199239</c:v>
                </c:pt>
                <c:pt idx="882">
                  <c:v>0.59387587710054279</c:v>
                </c:pt>
                <c:pt idx="883">
                  <c:v>0.58332986959424837</c:v>
                </c:pt>
                <c:pt idx="884">
                  <c:v>0.60231763420998086</c:v>
                </c:pt>
                <c:pt idx="885">
                  <c:v>0.59693922453208759</c:v>
                </c:pt>
                <c:pt idx="886">
                  <c:v>0.58986346014947</c:v>
                </c:pt>
                <c:pt idx="887">
                  <c:v>0.59082741308817699</c:v>
                </c:pt>
                <c:pt idx="888">
                  <c:v>0.60123168973654084</c:v>
                </c:pt>
                <c:pt idx="889">
                  <c:v>0.59766035482171442</c:v>
                </c:pt>
                <c:pt idx="890">
                  <c:v>0.59834134906959713</c:v>
                </c:pt>
                <c:pt idx="891">
                  <c:v>0.60478347272845601</c:v>
                </c:pt>
                <c:pt idx="892">
                  <c:v>0.60042021744560747</c:v>
                </c:pt>
                <c:pt idx="893">
                  <c:v>0.59532065097468978</c:v>
                </c:pt>
                <c:pt idx="894">
                  <c:v>0.59906231385782516</c:v>
                </c:pt>
                <c:pt idx="895">
                  <c:v>0.58588012798637867</c:v>
                </c:pt>
                <c:pt idx="896">
                  <c:v>0.60198020174055877</c:v>
                </c:pt>
                <c:pt idx="897">
                  <c:v>0.59615144601506043</c:v>
                </c:pt>
                <c:pt idx="898">
                  <c:v>0.59489214570892002</c:v>
                </c:pt>
                <c:pt idx="899">
                  <c:v>0.60244994290057019</c:v>
                </c:pt>
                <c:pt idx="900">
                  <c:v>0.60435089938210773</c:v>
                </c:pt>
                <c:pt idx="901">
                  <c:v>0.60500779153741646</c:v>
                </c:pt>
                <c:pt idx="902">
                  <c:v>0.60236660867408531</c:v>
                </c:pt>
                <c:pt idx="903">
                  <c:v>0.59825743576471058</c:v>
                </c:pt>
                <c:pt idx="904">
                  <c:v>0.59724487204384835</c:v>
                </c:pt>
                <c:pt idx="905">
                  <c:v>0.6059029758716209</c:v>
                </c:pt>
                <c:pt idx="906">
                  <c:v>0.6089048804126086</c:v>
                </c:pt>
                <c:pt idx="907">
                  <c:v>0.60283141605280033</c:v>
                </c:pt>
                <c:pt idx="908">
                  <c:v>0.60200669562123921</c:v>
                </c:pt>
                <c:pt idx="909">
                  <c:v>0.6115274823795791</c:v>
                </c:pt>
                <c:pt idx="910">
                  <c:v>0.61342781861500784</c:v>
                </c:pt>
                <c:pt idx="911">
                  <c:v>0.61178518812061522</c:v>
                </c:pt>
                <c:pt idx="912">
                  <c:v>0.61350364702164895</c:v>
                </c:pt>
                <c:pt idx="913">
                  <c:v>0.6088687188811237</c:v>
                </c:pt>
                <c:pt idx="914">
                  <c:v>0.60855788210853601</c:v>
                </c:pt>
                <c:pt idx="915">
                  <c:v>0.617247643789402</c:v>
                </c:pt>
                <c:pt idx="916">
                  <c:v>0.60538556716224923</c:v>
                </c:pt>
                <c:pt idx="917">
                  <c:v>0.60559759406617542</c:v>
                </c:pt>
                <c:pt idx="918">
                  <c:v>0.60987671083582728</c:v>
                </c:pt>
                <c:pt idx="919">
                  <c:v>0.6024423675112851</c:v>
                </c:pt>
                <c:pt idx="920">
                  <c:v>0.60805464709293799</c:v>
                </c:pt>
                <c:pt idx="921">
                  <c:v>0.61248841873075521</c:v>
                </c:pt>
                <c:pt idx="922">
                  <c:v>0.60187420825966553</c:v>
                </c:pt>
                <c:pt idx="923">
                  <c:v>0.61997514447075341</c:v>
                </c:pt>
                <c:pt idx="924">
                  <c:v>0.62096014522263321</c:v>
                </c:pt>
                <c:pt idx="925">
                  <c:v>0.60817202992566577</c:v>
                </c:pt>
                <c:pt idx="926">
                  <c:v>0.61109817922978293</c:v>
                </c:pt>
                <c:pt idx="927">
                  <c:v>0.61009033754915376</c:v>
                </c:pt>
                <c:pt idx="928">
                  <c:v>0.61760718763733913</c:v>
                </c:pt>
                <c:pt idx="929">
                  <c:v>0.61286338516836081</c:v>
                </c:pt>
                <c:pt idx="930">
                  <c:v>0.61131641790971558</c:v>
                </c:pt>
                <c:pt idx="931">
                  <c:v>0.61852418730314651</c:v>
                </c:pt>
                <c:pt idx="932">
                  <c:v>0.61195983423665512</c:v>
                </c:pt>
                <c:pt idx="933">
                  <c:v>0.61328058132033381</c:v>
                </c:pt>
                <c:pt idx="934">
                  <c:v>0.62163235660553551</c:v>
                </c:pt>
                <c:pt idx="935">
                  <c:v>0.61908861303491902</c:v>
                </c:pt>
                <c:pt idx="936">
                  <c:v>0.6085320169305064</c:v>
                </c:pt>
                <c:pt idx="937">
                  <c:v>0.61721402273159842</c:v>
                </c:pt>
                <c:pt idx="938">
                  <c:v>0.61235492266999969</c:v>
                </c:pt>
                <c:pt idx="939">
                  <c:v>0.61507212226826036</c:v>
                </c:pt>
                <c:pt idx="940">
                  <c:v>0.61954229755485235</c:v>
                </c:pt>
                <c:pt idx="941">
                  <c:v>0.61341816590724985</c:v>
                </c:pt>
                <c:pt idx="942">
                  <c:v>0.61376286625813292</c:v>
                </c:pt>
                <c:pt idx="943">
                  <c:v>0.61356848730994029</c:v>
                </c:pt>
                <c:pt idx="944">
                  <c:v>0.61988149886217858</c:v>
                </c:pt>
                <c:pt idx="945">
                  <c:v>0.61233810953925061</c:v>
                </c:pt>
                <c:pt idx="946">
                  <c:v>0.61738880359642956</c:v>
                </c:pt>
                <c:pt idx="947">
                  <c:v>0.61601795461040387</c:v>
                </c:pt>
                <c:pt idx="948">
                  <c:v>0.62301123133579983</c:v>
                </c:pt>
                <c:pt idx="949">
                  <c:v>0.62495230124971857</c:v>
                </c:pt>
                <c:pt idx="950">
                  <c:v>0.62229754565310891</c:v>
                </c:pt>
                <c:pt idx="951">
                  <c:v>0.61750258646463918</c:v>
                </c:pt>
                <c:pt idx="952">
                  <c:v>0.62033980182155524</c:v>
                </c:pt>
                <c:pt idx="953">
                  <c:v>0.62160727860301412</c:v>
                </c:pt>
                <c:pt idx="954">
                  <c:v>0.61833418848972621</c:v>
                </c:pt>
                <c:pt idx="955">
                  <c:v>0.62100968225783237</c:v>
                </c:pt>
                <c:pt idx="956">
                  <c:v>0.61961534211661229</c:v>
                </c:pt>
                <c:pt idx="957">
                  <c:v>0.62633428211940556</c:v>
                </c:pt>
                <c:pt idx="958">
                  <c:v>0.62189339935799626</c:v>
                </c:pt>
                <c:pt idx="959">
                  <c:v>0.62512371084772866</c:v>
                </c:pt>
                <c:pt idx="960">
                  <c:v>0.6285064114019252</c:v>
                </c:pt>
                <c:pt idx="961">
                  <c:v>0.61995977543508096</c:v>
                </c:pt>
                <c:pt idx="962">
                  <c:v>0.62753054980226219</c:v>
                </c:pt>
                <c:pt idx="963">
                  <c:v>0.6187746070181126</c:v>
                </c:pt>
                <c:pt idx="964">
                  <c:v>0.62928232836852582</c:v>
                </c:pt>
                <c:pt idx="965">
                  <c:v>0.62589275222992125</c:v>
                </c:pt>
                <c:pt idx="966">
                  <c:v>0.6286663923718856</c:v>
                </c:pt>
                <c:pt idx="967">
                  <c:v>0.61134027694085646</c:v>
                </c:pt>
                <c:pt idx="968">
                  <c:v>0.63196758789053031</c:v>
                </c:pt>
                <c:pt idx="969">
                  <c:v>0.62652635668939682</c:v>
                </c:pt>
                <c:pt idx="970">
                  <c:v>0.63741287989595097</c:v>
                </c:pt>
                <c:pt idx="971">
                  <c:v>0.63369297959349113</c:v>
                </c:pt>
                <c:pt idx="972">
                  <c:v>0.63221032991342685</c:v>
                </c:pt>
                <c:pt idx="973">
                  <c:v>0.63296112864089715</c:v>
                </c:pt>
                <c:pt idx="974">
                  <c:v>0.64210242194506473</c:v>
                </c:pt>
                <c:pt idx="975">
                  <c:v>0.63142083751129807</c:v>
                </c:pt>
                <c:pt idx="976">
                  <c:v>0.62957121409749717</c:v>
                </c:pt>
                <c:pt idx="977">
                  <c:v>0.63014417915940513</c:v>
                </c:pt>
                <c:pt idx="978">
                  <c:v>0.64288002278309597</c:v>
                </c:pt>
                <c:pt idx="979">
                  <c:v>0.64263895392595105</c:v>
                </c:pt>
                <c:pt idx="980">
                  <c:v>0.63436542326345779</c:v>
                </c:pt>
                <c:pt idx="981">
                  <c:v>0.64375773182912666</c:v>
                </c:pt>
                <c:pt idx="982">
                  <c:v>0.6437538107314984</c:v>
                </c:pt>
                <c:pt idx="983">
                  <c:v>0.63802572889353104</c:v>
                </c:pt>
                <c:pt idx="984">
                  <c:v>0.64469083115412085</c:v>
                </c:pt>
                <c:pt idx="985">
                  <c:v>0.63492564135925422</c:v>
                </c:pt>
                <c:pt idx="986">
                  <c:v>0.64359449949716041</c:v>
                </c:pt>
                <c:pt idx="987">
                  <c:v>0.63496340551524411</c:v>
                </c:pt>
                <c:pt idx="988">
                  <c:v>0.64559131124355529</c:v>
                </c:pt>
                <c:pt idx="989">
                  <c:v>0.6492333592771955</c:v>
                </c:pt>
                <c:pt idx="990">
                  <c:v>0.64764393347892868</c:v>
                </c:pt>
                <c:pt idx="991">
                  <c:v>0.63960974749583799</c:v>
                </c:pt>
                <c:pt idx="992">
                  <c:v>0.65068589971018842</c:v>
                </c:pt>
                <c:pt idx="993">
                  <c:v>0.65042337141088225</c:v>
                </c:pt>
                <c:pt idx="994">
                  <c:v>0.65004871505332651</c:v>
                </c:pt>
                <c:pt idx="995">
                  <c:v>0.65443254707805243</c:v>
                </c:pt>
                <c:pt idx="996">
                  <c:v>0.64961845188517797</c:v>
                </c:pt>
                <c:pt idx="997">
                  <c:v>0.65696932435706334</c:v>
                </c:pt>
                <c:pt idx="998">
                  <c:v>0.6504480954132501</c:v>
                </c:pt>
                <c:pt idx="999">
                  <c:v>0.65000949574372724</c:v>
                </c:pt>
                <c:pt idx="1000">
                  <c:v>0.65129775725430994</c:v>
                </c:pt>
                <c:pt idx="1001">
                  <c:v>0.66184702189856082</c:v>
                </c:pt>
                <c:pt idx="1002">
                  <c:v>0.66096487974988793</c:v>
                </c:pt>
                <c:pt idx="1003">
                  <c:v>0.65946556055414496</c:v>
                </c:pt>
                <c:pt idx="1004">
                  <c:v>0.6535289541477961</c:v>
                </c:pt>
                <c:pt idx="1005">
                  <c:v>0.65677547610748022</c:v>
                </c:pt>
                <c:pt idx="1006">
                  <c:v>0.66518201150507783</c:v>
                </c:pt>
                <c:pt idx="1007">
                  <c:v>0.66481655836500586</c:v>
                </c:pt>
                <c:pt idx="1008">
                  <c:v>0.65967249209331358</c:v>
                </c:pt>
                <c:pt idx="1009">
                  <c:v>0.65760493973404277</c:v>
                </c:pt>
                <c:pt idx="1010">
                  <c:v>0.67142988940920634</c:v>
                </c:pt>
                <c:pt idx="1011">
                  <c:v>0.6635472480182143</c:v>
                </c:pt>
                <c:pt idx="1012">
                  <c:v>0.66536812316915028</c:v>
                </c:pt>
                <c:pt idx="1013">
                  <c:v>0.66114712439250667</c:v>
                </c:pt>
                <c:pt idx="1014">
                  <c:v>0.67241982239212728</c:v>
                </c:pt>
                <c:pt idx="1015">
                  <c:v>0.66350900768695154</c:v>
                </c:pt>
                <c:pt idx="1016">
                  <c:v>0.66735072507972348</c:v>
                </c:pt>
                <c:pt idx="1017">
                  <c:v>0.67252282852683465</c:v>
                </c:pt>
                <c:pt idx="1018">
                  <c:v>0.68137052017752509</c:v>
                </c:pt>
                <c:pt idx="1019">
                  <c:v>0.6773455176313411</c:v>
                </c:pt>
                <c:pt idx="1020">
                  <c:v>0.67248314773841367</c:v>
                </c:pt>
                <c:pt idx="1021">
                  <c:v>0.6675055663164583</c:v>
                </c:pt>
                <c:pt idx="1022">
                  <c:v>0.68000344591221129</c:v>
                </c:pt>
                <c:pt idx="1023">
                  <c:v>0.67461945681206648</c:v>
                </c:pt>
                <c:pt idx="1024">
                  <c:v>0.67086329213643647</c:v>
                </c:pt>
                <c:pt idx="1025">
                  <c:v>0.67933522069960195</c:v>
                </c:pt>
                <c:pt idx="1026">
                  <c:v>0.67729332086929561</c:v>
                </c:pt>
                <c:pt idx="1027">
                  <c:v>0.67385793920374626</c:v>
                </c:pt>
                <c:pt idx="1028">
                  <c:v>0.6825801092261099</c:v>
                </c:pt>
                <c:pt idx="1029">
                  <c:v>0.67695790808124801</c:v>
                </c:pt>
                <c:pt idx="1030">
                  <c:v>0.69174802936323976</c:v>
                </c:pt>
                <c:pt idx="1031">
                  <c:v>0.69204025513578582</c:v>
                </c:pt>
                <c:pt idx="1032">
                  <c:v>0.68636407296534685</c:v>
                </c:pt>
                <c:pt idx="1033">
                  <c:v>0.68712223690897456</c:v>
                </c:pt>
                <c:pt idx="1034">
                  <c:v>0.6846170667771122</c:v>
                </c:pt>
                <c:pt idx="1035">
                  <c:v>0.69054861513903099</c:v>
                </c:pt>
                <c:pt idx="1036">
                  <c:v>0.69744594558984163</c:v>
                </c:pt>
                <c:pt idx="1037">
                  <c:v>0.69131680902049697</c:v>
                </c:pt>
                <c:pt idx="1038">
                  <c:v>0.69017296255623761</c:v>
                </c:pt>
                <c:pt idx="1039">
                  <c:v>0.68838457737772252</c:v>
                </c:pt>
                <c:pt idx="1040">
                  <c:v>0.69885203505422633</c:v>
                </c:pt>
                <c:pt idx="1041">
                  <c:v>0.69380658504102766</c:v>
                </c:pt>
                <c:pt idx="1042">
                  <c:v>0.68398789635570878</c:v>
                </c:pt>
                <c:pt idx="1043">
                  <c:v>0.68537528464614106</c:v>
                </c:pt>
                <c:pt idx="1044">
                  <c:v>0.6995236100284099</c:v>
                </c:pt>
                <c:pt idx="1045">
                  <c:v>0.69574890858589433</c:v>
                </c:pt>
                <c:pt idx="1046">
                  <c:v>0.71174428710173321</c:v>
                </c:pt>
                <c:pt idx="1047">
                  <c:v>0.71249993095999942</c:v>
                </c:pt>
                <c:pt idx="1048">
                  <c:v>0.71067159157675286</c:v>
                </c:pt>
                <c:pt idx="1049">
                  <c:v>0.71270638751351012</c:v>
                </c:pt>
                <c:pt idx="1050">
                  <c:v>0.71546542315012485</c:v>
                </c:pt>
                <c:pt idx="1051">
                  <c:v>0.71028877294261672</c:v>
                </c:pt>
                <c:pt idx="1052">
                  <c:v>0.71428180629008131</c:v>
                </c:pt>
                <c:pt idx="1053">
                  <c:v>0.71153277088723677</c:v>
                </c:pt>
                <c:pt idx="1054">
                  <c:v>0.71875284931814332</c:v>
                </c:pt>
                <c:pt idx="1055">
                  <c:v>0.7226756778572595</c:v>
                </c:pt>
                <c:pt idx="1056">
                  <c:v>0.72105870541715467</c:v>
                </c:pt>
                <c:pt idx="1057">
                  <c:v>0.73316122450241539</c:v>
                </c:pt>
                <c:pt idx="1058">
                  <c:v>0.72338211908898609</c:v>
                </c:pt>
                <c:pt idx="1059">
                  <c:v>0.72890654816153055</c:v>
                </c:pt>
                <c:pt idx="1060">
                  <c:v>0.72822544838751968</c:v>
                </c:pt>
                <c:pt idx="1061">
                  <c:v>0.73221904303571284</c:v>
                </c:pt>
                <c:pt idx="1062">
                  <c:v>0.73207385357244303</c:v>
                </c:pt>
                <c:pt idx="1063">
                  <c:v>0.75064402781319994</c:v>
                </c:pt>
                <c:pt idx="1064">
                  <c:v>0.74668014836528707</c:v>
                </c:pt>
                <c:pt idx="1065">
                  <c:v>0.72983209999751075</c:v>
                </c:pt>
                <c:pt idx="1066">
                  <c:v>0.7418534573753427</c:v>
                </c:pt>
                <c:pt idx="1067">
                  <c:v>0.74606280491418353</c:v>
                </c:pt>
                <c:pt idx="1068">
                  <c:v>0.75362056923747223</c:v>
                </c:pt>
                <c:pt idx="1069">
                  <c:v>0.7570125590671497</c:v>
                </c:pt>
                <c:pt idx="1070">
                  <c:v>0.75908853849944635</c:v>
                </c:pt>
                <c:pt idx="1071">
                  <c:v>0.75539426433446022</c:v>
                </c:pt>
                <c:pt idx="1072">
                  <c:v>0.76219626340210545</c:v>
                </c:pt>
                <c:pt idx="1073">
                  <c:v>0.74970558521753705</c:v>
                </c:pt>
                <c:pt idx="1074">
                  <c:v>0.76393197604738472</c:v>
                </c:pt>
                <c:pt idx="1075">
                  <c:v>0.76057697521486645</c:v>
                </c:pt>
                <c:pt idx="1076">
                  <c:v>0.76764318130196851</c:v>
                </c:pt>
                <c:pt idx="1077">
                  <c:v>0.77084810431192508</c:v>
                </c:pt>
                <c:pt idx="1078">
                  <c:v>0.76055113403382135</c:v>
                </c:pt>
                <c:pt idx="1079">
                  <c:v>0.75947855736480507</c:v>
                </c:pt>
                <c:pt idx="1080">
                  <c:v>0.77465180859232785</c:v>
                </c:pt>
                <c:pt idx="1081">
                  <c:v>0.78621566390722597</c:v>
                </c:pt>
                <c:pt idx="1082">
                  <c:v>0.79649550187646823</c:v>
                </c:pt>
                <c:pt idx="1083">
                  <c:v>0.80122074977989099</c:v>
                </c:pt>
                <c:pt idx="1084">
                  <c:v>0.80223917997900296</c:v>
                </c:pt>
                <c:pt idx="1085">
                  <c:v>0.80810208247355519</c:v>
                </c:pt>
                <c:pt idx="1086">
                  <c:v>0.79700193971093336</c:v>
                </c:pt>
                <c:pt idx="1087">
                  <c:v>0.829570972197338</c:v>
                </c:pt>
                <c:pt idx="1088">
                  <c:v>0.81140164783166435</c:v>
                </c:pt>
                <c:pt idx="1089">
                  <c:v>0.84823970786551717</c:v>
                </c:pt>
                <c:pt idx="1090">
                  <c:v>0.85723305570627906</c:v>
                </c:pt>
                <c:pt idx="1091">
                  <c:v>0.86121840663019522</c:v>
                </c:pt>
                <c:pt idx="1092">
                  <c:v>0.86433660379131771</c:v>
                </c:pt>
                <c:pt idx="1093">
                  <c:v>0.87226918873504766</c:v>
                </c:pt>
                <c:pt idx="1094">
                  <c:v>0.8741856996976346</c:v>
                </c:pt>
                <c:pt idx="1095">
                  <c:v>0.8471553857948052</c:v>
                </c:pt>
                <c:pt idx="1096">
                  <c:v>0.88826716938097572</c:v>
                </c:pt>
                <c:pt idx="1097">
                  <c:v>0.8994213779447251</c:v>
                </c:pt>
                <c:pt idx="1098">
                  <c:v>0.92558063018985015</c:v>
                </c:pt>
                <c:pt idx="1099">
                  <c:v>0.95083954979535357</c:v>
                </c:pt>
                <c:pt idx="1100">
                  <c:v>0.9247507566981269</c:v>
                </c:pt>
                <c:pt idx="1101">
                  <c:v>0.95136035971376331</c:v>
                </c:pt>
                <c:pt idx="1102">
                  <c:v>1</c:v>
                </c:pt>
              </c:numCache>
            </c:numRef>
          </c:yVal>
          <c:smooth val="0"/>
          <c:extLst>
            <c:ext xmlns:c16="http://schemas.microsoft.com/office/drawing/2014/chart" uri="{C3380CC4-5D6E-409C-BE32-E72D297353CC}">
              <c16:uniqueId val="{00000001-ADD3-4397-8F6C-0658CFAFE73A}"/>
            </c:ext>
          </c:extLst>
        </c:ser>
        <c:ser>
          <c:idx val="0"/>
          <c:order val="1"/>
          <c:tx>
            <c:strRef>
              <c:f>IC_mun!$A$1</c:f>
              <c:strCache>
                <c:ptCount val="1"/>
                <c:pt idx="0">
                  <c:v>Pond_2026</c:v>
                </c:pt>
              </c:strCache>
            </c:strRef>
          </c:tx>
          <c:spPr>
            <a:ln w="25400" cap="rnd">
              <a:noFill/>
              <a:round/>
            </a:ln>
            <a:effectLst/>
          </c:spPr>
          <c:marker>
            <c:symbol val="circle"/>
            <c:size val="5"/>
            <c:spPr>
              <a:solidFill>
                <a:schemeClr val="accent1"/>
              </a:solidFill>
              <a:ln w="9525">
                <a:solidFill>
                  <a:schemeClr val="accent1"/>
                </a:solidFill>
              </a:ln>
              <a:effectLst/>
            </c:spPr>
          </c:marker>
          <c:yVal>
            <c:numRef>
              <c:f>IC_mun!$A$2:$A$1104</c:f>
              <c:numCache>
                <c:formatCode>General</c:formatCode>
                <c:ptCount val="1103"/>
                <c:pt idx="0">
                  <c:v>0.1</c:v>
                </c:pt>
                <c:pt idx="1">
                  <c:v>0.11523946060033838</c:v>
                </c:pt>
                <c:pt idx="2">
                  <c:v>0.12145401093994274</c:v>
                </c:pt>
                <c:pt idx="3">
                  <c:v>0.13286839953440199</c:v>
                </c:pt>
                <c:pt idx="4">
                  <c:v>0.13725012354291616</c:v>
                </c:pt>
                <c:pt idx="5">
                  <c:v>0.15218287917529846</c:v>
                </c:pt>
                <c:pt idx="6">
                  <c:v>0.15353921592695799</c:v>
                </c:pt>
                <c:pt idx="7">
                  <c:v>0.17011467400567434</c:v>
                </c:pt>
                <c:pt idx="8">
                  <c:v>0.17483340193927088</c:v>
                </c:pt>
                <c:pt idx="9">
                  <c:v>0.19744874531514317</c:v>
                </c:pt>
                <c:pt idx="10">
                  <c:v>0.2014919482390497</c:v>
                </c:pt>
                <c:pt idx="11">
                  <c:v>0.207154333534526</c:v>
                </c:pt>
                <c:pt idx="12">
                  <c:v>0.2144634845533438</c:v>
                </c:pt>
                <c:pt idx="13">
                  <c:v>0.22029232158425377</c:v>
                </c:pt>
                <c:pt idx="14">
                  <c:v>0.22061061447281488</c:v>
                </c:pt>
                <c:pt idx="15">
                  <c:v>0.23221798909750463</c:v>
                </c:pt>
                <c:pt idx="16">
                  <c:v>0.23397576977997911</c:v>
                </c:pt>
                <c:pt idx="17">
                  <c:v>0.25040357788333412</c:v>
                </c:pt>
                <c:pt idx="18">
                  <c:v>0.27010686443785048</c:v>
                </c:pt>
                <c:pt idx="19">
                  <c:v>0.27261184298883367</c:v>
                </c:pt>
                <c:pt idx="20">
                  <c:v>0.2749776092146321</c:v>
                </c:pt>
                <c:pt idx="21">
                  <c:v>0.27644845833123177</c:v>
                </c:pt>
                <c:pt idx="22">
                  <c:v>0.28006447215183305</c:v>
                </c:pt>
                <c:pt idx="23">
                  <c:v>0.28087155635974981</c:v>
                </c:pt>
                <c:pt idx="24">
                  <c:v>0.28265950580435273</c:v>
                </c:pt>
                <c:pt idx="25">
                  <c:v>0.28423602307314133</c:v>
                </c:pt>
                <c:pt idx="26">
                  <c:v>0.28435013717956759</c:v>
                </c:pt>
                <c:pt idx="27">
                  <c:v>0.28595072782933001</c:v>
                </c:pt>
                <c:pt idx="28">
                  <c:v>0.29476965505370234</c:v>
                </c:pt>
                <c:pt idx="29">
                  <c:v>0.30050953283810183</c:v>
                </c:pt>
                <c:pt idx="30">
                  <c:v>0.30125746994677916</c:v>
                </c:pt>
                <c:pt idx="31">
                  <c:v>0.30460002474456815</c:v>
                </c:pt>
                <c:pt idx="32">
                  <c:v>0.30879305387920736</c:v>
                </c:pt>
                <c:pt idx="33">
                  <c:v>0.31021217508280974</c:v>
                </c:pt>
                <c:pt idx="34">
                  <c:v>0.31224914003563697</c:v>
                </c:pt>
                <c:pt idx="35">
                  <c:v>0.313321958294281</c:v>
                </c:pt>
                <c:pt idx="36">
                  <c:v>0.31428182334213139</c:v>
                </c:pt>
                <c:pt idx="37">
                  <c:v>0.31534558501308851</c:v>
                </c:pt>
                <c:pt idx="38">
                  <c:v>0.31782652700063752</c:v>
                </c:pt>
                <c:pt idx="39">
                  <c:v>0.31927962662304443</c:v>
                </c:pt>
                <c:pt idx="40">
                  <c:v>0.31936133461024074</c:v>
                </c:pt>
                <c:pt idx="41">
                  <c:v>0.32554952344135857</c:v>
                </c:pt>
                <c:pt idx="42">
                  <c:v>0.32732941589755682</c:v>
                </c:pt>
                <c:pt idx="43">
                  <c:v>0.32834505889634713</c:v>
                </c:pt>
                <c:pt idx="44">
                  <c:v>0.32916394077434685</c:v>
                </c:pt>
                <c:pt idx="45">
                  <c:v>0.33145763669715395</c:v>
                </c:pt>
                <c:pt idx="46">
                  <c:v>0.33196346446964209</c:v>
                </c:pt>
                <c:pt idx="47">
                  <c:v>0.33399787291802746</c:v>
                </c:pt>
                <c:pt idx="48">
                  <c:v>0.33540270977851849</c:v>
                </c:pt>
                <c:pt idx="49">
                  <c:v>0.33882703703059303</c:v>
                </c:pt>
                <c:pt idx="50">
                  <c:v>0.33998230056812023</c:v>
                </c:pt>
                <c:pt idx="51">
                  <c:v>0.34265593575845205</c:v>
                </c:pt>
                <c:pt idx="52">
                  <c:v>0.34305418815449257</c:v>
                </c:pt>
                <c:pt idx="53">
                  <c:v>0.34319237811314424</c:v>
                </c:pt>
                <c:pt idx="54">
                  <c:v>0.34403188569880477</c:v>
                </c:pt>
                <c:pt idx="55">
                  <c:v>0.34423681253415334</c:v>
                </c:pt>
                <c:pt idx="56">
                  <c:v>0.34771873062449082</c:v>
                </c:pt>
                <c:pt idx="57">
                  <c:v>0.34868587776357607</c:v>
                </c:pt>
                <c:pt idx="58">
                  <c:v>0.34985102433196791</c:v>
                </c:pt>
                <c:pt idx="59">
                  <c:v>0.35117646222217547</c:v>
                </c:pt>
                <c:pt idx="60">
                  <c:v>0.35216967647723074</c:v>
                </c:pt>
                <c:pt idx="61">
                  <c:v>0.35261456255572499</c:v>
                </c:pt>
                <c:pt idx="62">
                  <c:v>0.3543321257376183</c:v>
                </c:pt>
                <c:pt idx="63">
                  <c:v>0.35478011191272552</c:v>
                </c:pt>
                <c:pt idx="64">
                  <c:v>0.35577505074514959</c:v>
                </c:pt>
                <c:pt idx="65">
                  <c:v>0.35608774523367825</c:v>
                </c:pt>
                <c:pt idx="66">
                  <c:v>0.35642074706552518</c:v>
                </c:pt>
                <c:pt idx="67">
                  <c:v>0.35679362838020257</c:v>
                </c:pt>
                <c:pt idx="68">
                  <c:v>0.35886587967351014</c:v>
                </c:pt>
                <c:pt idx="69">
                  <c:v>0.3595911168268926</c:v>
                </c:pt>
                <c:pt idx="70">
                  <c:v>0.36088086534792552</c:v>
                </c:pt>
                <c:pt idx="71">
                  <c:v>0.36095725440768067</c:v>
                </c:pt>
                <c:pt idx="72">
                  <c:v>0.36114757148982379</c:v>
                </c:pt>
                <c:pt idx="73">
                  <c:v>0.36383346045821185</c:v>
                </c:pt>
                <c:pt idx="74">
                  <c:v>0.36394733314951278</c:v>
                </c:pt>
                <c:pt idx="75">
                  <c:v>0.36426148327777819</c:v>
                </c:pt>
                <c:pt idx="76">
                  <c:v>0.36431478220163727</c:v>
                </c:pt>
                <c:pt idx="77">
                  <c:v>0.36687582609485991</c:v>
                </c:pt>
                <c:pt idx="78">
                  <c:v>0.36697443178476852</c:v>
                </c:pt>
                <c:pt idx="79">
                  <c:v>0.36710812953291527</c:v>
                </c:pt>
                <c:pt idx="80">
                  <c:v>0.36714857966463099</c:v>
                </c:pt>
                <c:pt idx="81">
                  <c:v>0.36730565598965548</c:v>
                </c:pt>
                <c:pt idx="82">
                  <c:v>0.36891391471249002</c:v>
                </c:pt>
                <c:pt idx="83">
                  <c:v>0.37260704794032196</c:v>
                </c:pt>
                <c:pt idx="84">
                  <c:v>0.37265292477420509</c:v>
                </c:pt>
                <c:pt idx="85">
                  <c:v>0.37286627763978675</c:v>
                </c:pt>
                <c:pt idx="86">
                  <c:v>0.37480001681534114</c:v>
                </c:pt>
                <c:pt idx="87">
                  <c:v>0.37535617763901541</c:v>
                </c:pt>
                <c:pt idx="88">
                  <c:v>0.37543897268195758</c:v>
                </c:pt>
                <c:pt idx="89">
                  <c:v>0.37615748655495196</c:v>
                </c:pt>
                <c:pt idx="90">
                  <c:v>0.37788139534473153</c:v>
                </c:pt>
                <c:pt idx="91">
                  <c:v>0.37828588202243352</c:v>
                </c:pt>
                <c:pt idx="92">
                  <c:v>0.3783493705928429</c:v>
                </c:pt>
                <c:pt idx="93">
                  <c:v>0.38046331506268261</c:v>
                </c:pt>
                <c:pt idx="94">
                  <c:v>0.38059553248798639</c:v>
                </c:pt>
                <c:pt idx="95">
                  <c:v>0.38116241833987419</c:v>
                </c:pt>
                <c:pt idx="96">
                  <c:v>0.38187438028202447</c:v>
                </c:pt>
                <c:pt idx="97">
                  <c:v>0.38225829887841278</c:v>
                </c:pt>
                <c:pt idx="98">
                  <c:v>0.38277827735833003</c:v>
                </c:pt>
                <c:pt idx="99">
                  <c:v>0.38432115246880627</c:v>
                </c:pt>
                <c:pt idx="100">
                  <c:v>0.38433845163158054</c:v>
                </c:pt>
                <c:pt idx="101">
                  <c:v>0.38666875347393947</c:v>
                </c:pt>
                <c:pt idx="102">
                  <c:v>0.38692605457429641</c:v>
                </c:pt>
                <c:pt idx="103">
                  <c:v>0.38742793207145099</c:v>
                </c:pt>
                <c:pt idx="104">
                  <c:v>0.38813757457870657</c:v>
                </c:pt>
                <c:pt idx="105">
                  <c:v>0.38961805404999394</c:v>
                </c:pt>
                <c:pt idx="106">
                  <c:v>0.38985049961474882</c:v>
                </c:pt>
                <c:pt idx="107">
                  <c:v>0.39019032253366426</c:v>
                </c:pt>
                <c:pt idx="108">
                  <c:v>0.39038983622681234</c:v>
                </c:pt>
                <c:pt idx="109">
                  <c:v>0.39096116197840969</c:v>
                </c:pt>
                <c:pt idx="110">
                  <c:v>0.39103707411529465</c:v>
                </c:pt>
                <c:pt idx="111">
                  <c:v>0.39119091792615091</c:v>
                </c:pt>
                <c:pt idx="112">
                  <c:v>0.39208040901771146</c:v>
                </c:pt>
                <c:pt idx="113">
                  <c:v>0.39255646522131193</c:v>
                </c:pt>
                <c:pt idx="114">
                  <c:v>0.39274991772836632</c:v>
                </c:pt>
                <c:pt idx="115">
                  <c:v>0.39391744186940081</c:v>
                </c:pt>
                <c:pt idx="116">
                  <c:v>0.39419069132157414</c:v>
                </c:pt>
                <c:pt idx="117">
                  <c:v>0.39523383478903462</c:v>
                </c:pt>
                <c:pt idx="118">
                  <c:v>0.39532225018700262</c:v>
                </c:pt>
                <c:pt idx="119">
                  <c:v>0.39539455101848198</c:v>
                </c:pt>
                <c:pt idx="120">
                  <c:v>0.39572765684907241</c:v>
                </c:pt>
                <c:pt idx="121">
                  <c:v>0.39715445546472927</c:v>
                </c:pt>
                <c:pt idx="122">
                  <c:v>0.3995297056596715</c:v>
                </c:pt>
                <c:pt idx="123">
                  <c:v>0.39972880000744082</c:v>
                </c:pt>
                <c:pt idx="124">
                  <c:v>0.39987824457311882</c:v>
                </c:pt>
                <c:pt idx="125">
                  <c:v>0.40007631043700309</c:v>
                </c:pt>
                <c:pt idx="126">
                  <c:v>0.40017279445322917</c:v>
                </c:pt>
                <c:pt idx="127">
                  <c:v>0.40086051700142167</c:v>
                </c:pt>
                <c:pt idx="128">
                  <c:v>0.40095691364155894</c:v>
                </c:pt>
                <c:pt idx="129">
                  <c:v>0.40126350193235305</c:v>
                </c:pt>
                <c:pt idx="130">
                  <c:v>0.40132374688418615</c:v>
                </c:pt>
                <c:pt idx="131">
                  <c:v>0.4014314824081765</c:v>
                </c:pt>
                <c:pt idx="132">
                  <c:v>0.40144752807049555</c:v>
                </c:pt>
                <c:pt idx="133">
                  <c:v>0.40167787286548995</c:v>
                </c:pt>
                <c:pt idx="134">
                  <c:v>0.40187124735080082</c:v>
                </c:pt>
                <c:pt idx="135">
                  <c:v>0.40207578888351769</c:v>
                </c:pt>
                <c:pt idx="136">
                  <c:v>0.40234527371952788</c:v>
                </c:pt>
                <c:pt idx="137">
                  <c:v>0.40338381601050921</c:v>
                </c:pt>
                <c:pt idx="138">
                  <c:v>0.40346277116554674</c:v>
                </c:pt>
                <c:pt idx="139">
                  <c:v>0.40435042504378771</c:v>
                </c:pt>
                <c:pt idx="140">
                  <c:v>0.40486160811070881</c:v>
                </c:pt>
                <c:pt idx="141">
                  <c:v>0.40492714629678184</c:v>
                </c:pt>
                <c:pt idx="142">
                  <c:v>0.40511757498890244</c:v>
                </c:pt>
                <c:pt idx="143">
                  <c:v>0.40535729366446394</c:v>
                </c:pt>
                <c:pt idx="144">
                  <c:v>0.40642889513147229</c:v>
                </c:pt>
                <c:pt idx="145">
                  <c:v>0.40646572618598242</c:v>
                </c:pt>
                <c:pt idx="146">
                  <c:v>0.40675688637255991</c:v>
                </c:pt>
                <c:pt idx="147">
                  <c:v>0.4073879298844193</c:v>
                </c:pt>
                <c:pt idx="148">
                  <c:v>0.40752439014421205</c:v>
                </c:pt>
                <c:pt idx="149">
                  <c:v>0.40847099463612857</c:v>
                </c:pt>
                <c:pt idx="150">
                  <c:v>0.40971646406198015</c:v>
                </c:pt>
                <c:pt idx="151">
                  <c:v>0.41039152142681379</c:v>
                </c:pt>
                <c:pt idx="152">
                  <c:v>0.41077472456669029</c:v>
                </c:pt>
                <c:pt idx="153">
                  <c:v>0.41231539579014698</c:v>
                </c:pt>
                <c:pt idx="154">
                  <c:v>0.4124737669398828</c:v>
                </c:pt>
                <c:pt idx="155">
                  <c:v>0.41273288160759125</c:v>
                </c:pt>
                <c:pt idx="156">
                  <c:v>0.41301231607446831</c:v>
                </c:pt>
                <c:pt idx="157">
                  <c:v>0.41373147634093177</c:v>
                </c:pt>
                <c:pt idx="158">
                  <c:v>0.41388007139991578</c:v>
                </c:pt>
                <c:pt idx="159">
                  <c:v>0.41449217865429433</c:v>
                </c:pt>
                <c:pt idx="160">
                  <c:v>0.41510733433965308</c:v>
                </c:pt>
                <c:pt idx="161">
                  <c:v>0.41530741101267465</c:v>
                </c:pt>
                <c:pt idx="162">
                  <c:v>0.41533164737234174</c:v>
                </c:pt>
                <c:pt idx="163">
                  <c:v>0.415332526608713</c:v>
                </c:pt>
                <c:pt idx="164">
                  <c:v>0.41543161164489961</c:v>
                </c:pt>
                <c:pt idx="165">
                  <c:v>0.4157389477953719</c:v>
                </c:pt>
                <c:pt idx="166">
                  <c:v>0.41635202863932752</c:v>
                </c:pt>
                <c:pt idx="167">
                  <c:v>0.41637116985537059</c:v>
                </c:pt>
                <c:pt idx="168">
                  <c:v>0.4165515021778885</c:v>
                </c:pt>
                <c:pt idx="169">
                  <c:v>0.41669052477806179</c:v>
                </c:pt>
                <c:pt idx="170">
                  <c:v>0.41705028930794885</c:v>
                </c:pt>
                <c:pt idx="171">
                  <c:v>0.41744673892342332</c:v>
                </c:pt>
                <c:pt idx="172">
                  <c:v>0.41781557836340577</c:v>
                </c:pt>
                <c:pt idx="173">
                  <c:v>0.41823214250174479</c:v>
                </c:pt>
                <c:pt idx="174">
                  <c:v>0.41847646060626864</c:v>
                </c:pt>
                <c:pt idx="175">
                  <c:v>0.41857525196467915</c:v>
                </c:pt>
                <c:pt idx="176">
                  <c:v>0.41880178172912796</c:v>
                </c:pt>
                <c:pt idx="177">
                  <c:v>0.41880725726445345</c:v>
                </c:pt>
                <c:pt idx="178">
                  <c:v>0.41895109857832946</c:v>
                </c:pt>
                <c:pt idx="179">
                  <c:v>0.41944151433835186</c:v>
                </c:pt>
                <c:pt idx="180">
                  <c:v>0.41961643927387793</c:v>
                </c:pt>
                <c:pt idx="181">
                  <c:v>0.42091494168063348</c:v>
                </c:pt>
                <c:pt idx="182">
                  <c:v>0.42104954435881448</c:v>
                </c:pt>
                <c:pt idx="183">
                  <c:v>0.4212238323115074</c:v>
                </c:pt>
                <c:pt idx="184">
                  <c:v>0.42142693448320301</c:v>
                </c:pt>
                <c:pt idx="185">
                  <c:v>0.42239625374732481</c:v>
                </c:pt>
                <c:pt idx="186">
                  <c:v>0.42246891512470386</c:v>
                </c:pt>
                <c:pt idx="187">
                  <c:v>0.42304697842903849</c:v>
                </c:pt>
                <c:pt idx="188">
                  <c:v>0.42336248856222403</c:v>
                </c:pt>
                <c:pt idx="189">
                  <c:v>0.42387658079816593</c:v>
                </c:pt>
                <c:pt idx="190">
                  <c:v>0.42468826805522786</c:v>
                </c:pt>
                <c:pt idx="191">
                  <c:v>0.42478240826524649</c:v>
                </c:pt>
                <c:pt idx="192">
                  <c:v>0.42664064222286779</c:v>
                </c:pt>
                <c:pt idx="193">
                  <c:v>0.42689895133429878</c:v>
                </c:pt>
                <c:pt idx="194">
                  <c:v>0.42704226625475605</c:v>
                </c:pt>
                <c:pt idx="195">
                  <c:v>0.42815848752086227</c:v>
                </c:pt>
                <c:pt idx="196">
                  <c:v>0.42821615399165514</c:v>
                </c:pt>
                <c:pt idx="197">
                  <c:v>0.42825207253772479</c:v>
                </c:pt>
                <c:pt idx="198">
                  <c:v>0.42851343908816075</c:v>
                </c:pt>
                <c:pt idx="199">
                  <c:v>0.42858653778912781</c:v>
                </c:pt>
                <c:pt idx="200">
                  <c:v>0.42901540385608061</c:v>
                </c:pt>
                <c:pt idx="201">
                  <c:v>0.42914644062127916</c:v>
                </c:pt>
                <c:pt idx="202">
                  <c:v>0.4293325397145431</c:v>
                </c:pt>
                <c:pt idx="203">
                  <c:v>0.42943930920550766</c:v>
                </c:pt>
                <c:pt idx="204">
                  <c:v>0.42954349543403469</c:v>
                </c:pt>
                <c:pt idx="205">
                  <c:v>0.42979504683013514</c:v>
                </c:pt>
                <c:pt idx="206">
                  <c:v>0.42980689889241119</c:v>
                </c:pt>
                <c:pt idx="207">
                  <c:v>0.42983302963765024</c:v>
                </c:pt>
                <c:pt idx="208">
                  <c:v>0.43013979233481281</c:v>
                </c:pt>
                <c:pt idx="209">
                  <c:v>0.43020781924734897</c:v>
                </c:pt>
                <c:pt idx="210">
                  <c:v>0.43041966175336255</c:v>
                </c:pt>
                <c:pt idx="211">
                  <c:v>0.43090823542308088</c:v>
                </c:pt>
                <c:pt idx="212">
                  <c:v>0.43100242602937344</c:v>
                </c:pt>
                <c:pt idx="213">
                  <c:v>0.43123865047389331</c:v>
                </c:pt>
                <c:pt idx="214">
                  <c:v>0.43137935547021888</c:v>
                </c:pt>
                <c:pt idx="215">
                  <c:v>0.43175903652399106</c:v>
                </c:pt>
                <c:pt idx="216">
                  <c:v>0.4321921076769909</c:v>
                </c:pt>
                <c:pt idx="217">
                  <c:v>0.43298319390824513</c:v>
                </c:pt>
                <c:pt idx="218">
                  <c:v>0.43343270415149404</c:v>
                </c:pt>
                <c:pt idx="219">
                  <c:v>0.43408760126851487</c:v>
                </c:pt>
                <c:pt idx="220">
                  <c:v>0.43440653533326201</c:v>
                </c:pt>
                <c:pt idx="221">
                  <c:v>0.43452685945768454</c:v>
                </c:pt>
                <c:pt idx="222">
                  <c:v>0.43454793112842138</c:v>
                </c:pt>
                <c:pt idx="223">
                  <c:v>0.4354732183229264</c:v>
                </c:pt>
                <c:pt idx="224">
                  <c:v>0.43548226305855975</c:v>
                </c:pt>
                <c:pt idx="225">
                  <c:v>0.43554390949003408</c:v>
                </c:pt>
                <c:pt idx="226">
                  <c:v>0.43609054669764891</c:v>
                </c:pt>
                <c:pt idx="227">
                  <c:v>0.43660121758524362</c:v>
                </c:pt>
                <c:pt idx="228">
                  <c:v>0.43749905324549898</c:v>
                </c:pt>
                <c:pt idx="229">
                  <c:v>0.43798151612594549</c:v>
                </c:pt>
                <c:pt idx="230">
                  <c:v>0.43806167377120087</c:v>
                </c:pt>
                <c:pt idx="231">
                  <c:v>0.43870674808463861</c:v>
                </c:pt>
                <c:pt idx="232">
                  <c:v>0.43889951905872082</c:v>
                </c:pt>
                <c:pt idx="233">
                  <c:v>0.43942733551300894</c:v>
                </c:pt>
                <c:pt idx="234">
                  <c:v>0.44036043227144361</c:v>
                </c:pt>
                <c:pt idx="235">
                  <c:v>0.44111890403886311</c:v>
                </c:pt>
                <c:pt idx="236">
                  <c:v>0.44116104086438812</c:v>
                </c:pt>
                <c:pt idx="237">
                  <c:v>0.44193736511725368</c:v>
                </c:pt>
                <c:pt idx="238">
                  <c:v>0.44257779739835446</c:v>
                </c:pt>
                <c:pt idx="239">
                  <c:v>0.44293299946210507</c:v>
                </c:pt>
                <c:pt idx="240">
                  <c:v>0.44295811415300934</c:v>
                </c:pt>
                <c:pt idx="241">
                  <c:v>0.44331412523066482</c:v>
                </c:pt>
                <c:pt idx="242">
                  <c:v>0.44417010359710285</c:v>
                </c:pt>
                <c:pt idx="243">
                  <c:v>0.4441761063619265</c:v>
                </c:pt>
                <c:pt idx="244">
                  <c:v>0.4446096213820514</c:v>
                </c:pt>
                <c:pt idx="245">
                  <c:v>0.44482428542290342</c:v>
                </c:pt>
                <c:pt idx="246">
                  <c:v>0.44500716533569962</c:v>
                </c:pt>
                <c:pt idx="247">
                  <c:v>0.44529139601257584</c:v>
                </c:pt>
                <c:pt idx="248">
                  <c:v>0.44583170890179302</c:v>
                </c:pt>
                <c:pt idx="249">
                  <c:v>0.44591536918180241</c:v>
                </c:pt>
                <c:pt idx="250">
                  <c:v>0.44637762445132423</c:v>
                </c:pt>
                <c:pt idx="251">
                  <c:v>0.44645740581787408</c:v>
                </c:pt>
                <c:pt idx="252">
                  <c:v>0.44651140460562488</c:v>
                </c:pt>
                <c:pt idx="253">
                  <c:v>0.44662384216397377</c:v>
                </c:pt>
                <c:pt idx="254">
                  <c:v>0.44688084386628413</c:v>
                </c:pt>
                <c:pt idx="255">
                  <c:v>0.44700549029077452</c:v>
                </c:pt>
                <c:pt idx="256">
                  <c:v>0.44701603450271554</c:v>
                </c:pt>
                <c:pt idx="257">
                  <c:v>0.44707981310551959</c:v>
                </c:pt>
                <c:pt idx="258">
                  <c:v>0.44742661701601327</c:v>
                </c:pt>
                <c:pt idx="259">
                  <c:v>0.44748605680402953</c:v>
                </c:pt>
                <c:pt idx="260">
                  <c:v>0.44783073173777532</c:v>
                </c:pt>
                <c:pt idx="261">
                  <c:v>0.44813570346574605</c:v>
                </c:pt>
                <c:pt idx="262">
                  <c:v>0.4487724339300927</c:v>
                </c:pt>
                <c:pt idx="263">
                  <c:v>0.44888995434276835</c:v>
                </c:pt>
                <c:pt idx="264">
                  <c:v>0.44909976032523169</c:v>
                </c:pt>
                <c:pt idx="265">
                  <c:v>0.4492145378322393</c:v>
                </c:pt>
                <c:pt idx="266">
                  <c:v>0.44964275656861252</c:v>
                </c:pt>
                <c:pt idx="267">
                  <c:v>0.45010109420347233</c:v>
                </c:pt>
                <c:pt idx="268">
                  <c:v>0.45028041144038622</c:v>
                </c:pt>
                <c:pt idx="269">
                  <c:v>0.45104686048912679</c:v>
                </c:pt>
                <c:pt idx="270">
                  <c:v>0.45112145664875891</c:v>
                </c:pt>
                <c:pt idx="271">
                  <c:v>0.45174017327343297</c:v>
                </c:pt>
                <c:pt idx="272">
                  <c:v>0.45185124930879994</c:v>
                </c:pt>
                <c:pt idx="273">
                  <c:v>0.45204449737163788</c:v>
                </c:pt>
                <c:pt idx="274">
                  <c:v>0.45216225661632126</c:v>
                </c:pt>
                <c:pt idx="275">
                  <c:v>0.45277797878863613</c:v>
                </c:pt>
                <c:pt idx="276">
                  <c:v>0.45305159839364628</c:v>
                </c:pt>
                <c:pt idx="277">
                  <c:v>0.45310165894247845</c:v>
                </c:pt>
                <c:pt idx="278">
                  <c:v>0.45314840268843004</c:v>
                </c:pt>
                <c:pt idx="279">
                  <c:v>0.45327411595478351</c:v>
                </c:pt>
                <c:pt idx="280">
                  <c:v>0.45342927301633484</c:v>
                </c:pt>
                <c:pt idx="281">
                  <c:v>0.4534446708715526</c:v>
                </c:pt>
                <c:pt idx="282">
                  <c:v>0.45358252123319509</c:v>
                </c:pt>
                <c:pt idx="283">
                  <c:v>0.45371676041436304</c:v>
                </c:pt>
                <c:pt idx="284">
                  <c:v>0.45390048498060875</c:v>
                </c:pt>
                <c:pt idx="285">
                  <c:v>0.45392017226128956</c:v>
                </c:pt>
                <c:pt idx="286">
                  <c:v>0.45401101038444802</c:v>
                </c:pt>
                <c:pt idx="287">
                  <c:v>0.45446504171314794</c:v>
                </c:pt>
                <c:pt idx="288">
                  <c:v>0.45454275537957445</c:v>
                </c:pt>
                <c:pt idx="289">
                  <c:v>0.45457038335325928</c:v>
                </c:pt>
                <c:pt idx="290">
                  <c:v>0.45463840963754631</c:v>
                </c:pt>
                <c:pt idx="291">
                  <c:v>0.45474769596325282</c:v>
                </c:pt>
                <c:pt idx="292">
                  <c:v>0.45484538467237245</c:v>
                </c:pt>
                <c:pt idx="293">
                  <c:v>0.45484767025492367</c:v>
                </c:pt>
                <c:pt idx="294">
                  <c:v>0.45527261633804639</c:v>
                </c:pt>
                <c:pt idx="295">
                  <c:v>0.45536906453893189</c:v>
                </c:pt>
                <c:pt idx="296">
                  <c:v>0.45602736367268359</c:v>
                </c:pt>
                <c:pt idx="297">
                  <c:v>0.45612477103887017</c:v>
                </c:pt>
                <c:pt idx="298">
                  <c:v>0.45618998832236579</c:v>
                </c:pt>
                <c:pt idx="299">
                  <c:v>0.45624269899109682</c:v>
                </c:pt>
                <c:pt idx="300">
                  <c:v>0.45656848073269274</c:v>
                </c:pt>
                <c:pt idx="301">
                  <c:v>0.45666764560139605</c:v>
                </c:pt>
                <c:pt idx="302">
                  <c:v>0.45671733618526444</c:v>
                </c:pt>
                <c:pt idx="303">
                  <c:v>0.45675924611132146</c:v>
                </c:pt>
                <c:pt idx="304">
                  <c:v>0.45687782378367081</c:v>
                </c:pt>
                <c:pt idx="305">
                  <c:v>0.45698078339468096</c:v>
                </c:pt>
                <c:pt idx="306">
                  <c:v>0.45706513189799614</c:v>
                </c:pt>
                <c:pt idx="307">
                  <c:v>0.45710307083946677</c:v>
                </c:pt>
                <c:pt idx="308">
                  <c:v>0.45711030877323044</c:v>
                </c:pt>
                <c:pt idx="309">
                  <c:v>0.45738041346953384</c:v>
                </c:pt>
                <c:pt idx="310">
                  <c:v>0.45745867065137136</c:v>
                </c:pt>
                <c:pt idx="311">
                  <c:v>0.45760795656975095</c:v>
                </c:pt>
                <c:pt idx="312">
                  <c:v>0.45775736708292414</c:v>
                </c:pt>
                <c:pt idx="313">
                  <c:v>0.4582353830678132</c:v>
                </c:pt>
                <c:pt idx="314">
                  <c:v>0.45864354153011644</c:v>
                </c:pt>
                <c:pt idx="315">
                  <c:v>0.45886027877943758</c:v>
                </c:pt>
                <c:pt idx="316">
                  <c:v>0.45895389774582862</c:v>
                </c:pt>
                <c:pt idx="317">
                  <c:v>0.45896081662642896</c:v>
                </c:pt>
                <c:pt idx="318">
                  <c:v>0.45900859108520342</c:v>
                </c:pt>
                <c:pt idx="319">
                  <c:v>0.45922105547398484</c:v>
                </c:pt>
                <c:pt idx="320">
                  <c:v>0.45960745245316514</c:v>
                </c:pt>
                <c:pt idx="321">
                  <c:v>0.45971862336380931</c:v>
                </c:pt>
                <c:pt idx="322">
                  <c:v>0.4599173436974705</c:v>
                </c:pt>
                <c:pt idx="323">
                  <c:v>0.46004698552008838</c:v>
                </c:pt>
                <c:pt idx="324">
                  <c:v>0.46025629894368669</c:v>
                </c:pt>
                <c:pt idx="325">
                  <c:v>0.4605980706111733</c:v>
                </c:pt>
                <c:pt idx="326">
                  <c:v>0.46079626168131915</c:v>
                </c:pt>
                <c:pt idx="327">
                  <c:v>0.46107685006835286</c:v>
                </c:pt>
                <c:pt idx="328">
                  <c:v>0.46122560147624503</c:v>
                </c:pt>
                <c:pt idx="329">
                  <c:v>0.46159952337775922</c:v>
                </c:pt>
                <c:pt idx="330">
                  <c:v>0.46184020260017389</c:v>
                </c:pt>
                <c:pt idx="331">
                  <c:v>0.4619970895698059</c:v>
                </c:pt>
                <c:pt idx="332">
                  <c:v>0.46233951452443123</c:v>
                </c:pt>
                <c:pt idx="333">
                  <c:v>0.46278803592785001</c:v>
                </c:pt>
                <c:pt idx="334">
                  <c:v>0.46279280213957341</c:v>
                </c:pt>
                <c:pt idx="335">
                  <c:v>0.46317431346273152</c:v>
                </c:pt>
                <c:pt idx="336">
                  <c:v>0.46331220658808248</c:v>
                </c:pt>
                <c:pt idx="337">
                  <c:v>0.46334516604938036</c:v>
                </c:pt>
                <c:pt idx="338">
                  <c:v>0.46349273843072725</c:v>
                </c:pt>
                <c:pt idx="339">
                  <c:v>0.46382441399716579</c:v>
                </c:pt>
                <c:pt idx="340">
                  <c:v>0.46411059864818649</c:v>
                </c:pt>
                <c:pt idx="341">
                  <c:v>0.46429406081371116</c:v>
                </c:pt>
                <c:pt idx="342">
                  <c:v>0.46451075165650746</c:v>
                </c:pt>
                <c:pt idx="343">
                  <c:v>0.46466702171804752</c:v>
                </c:pt>
                <c:pt idx="344">
                  <c:v>0.46492403279687533</c:v>
                </c:pt>
                <c:pt idx="345">
                  <c:v>0.46533963558609814</c:v>
                </c:pt>
                <c:pt idx="346">
                  <c:v>0.46557139030969064</c:v>
                </c:pt>
                <c:pt idx="347">
                  <c:v>0.46574284421494572</c:v>
                </c:pt>
                <c:pt idx="348">
                  <c:v>0.46605876976913152</c:v>
                </c:pt>
                <c:pt idx="349">
                  <c:v>0.46657725310734954</c:v>
                </c:pt>
                <c:pt idx="350">
                  <c:v>0.46669654471307764</c:v>
                </c:pt>
                <c:pt idx="351">
                  <c:v>0.4671237796590465</c:v>
                </c:pt>
                <c:pt idx="352">
                  <c:v>0.46723083584643954</c:v>
                </c:pt>
                <c:pt idx="353">
                  <c:v>0.46734796969136871</c:v>
                </c:pt>
                <c:pt idx="354">
                  <c:v>0.46737652627589821</c:v>
                </c:pt>
                <c:pt idx="355">
                  <c:v>0.46750201702797067</c:v>
                </c:pt>
                <c:pt idx="356">
                  <c:v>0.46752512742322216</c:v>
                </c:pt>
                <c:pt idx="357">
                  <c:v>0.46757601868040022</c:v>
                </c:pt>
                <c:pt idx="358">
                  <c:v>0.46844376406450849</c:v>
                </c:pt>
                <c:pt idx="359">
                  <c:v>0.46854571625046237</c:v>
                </c:pt>
                <c:pt idx="360">
                  <c:v>0.46870216110724117</c:v>
                </c:pt>
                <c:pt idx="361">
                  <c:v>0.46883949262516</c:v>
                </c:pt>
                <c:pt idx="362">
                  <c:v>0.46898085123965982</c:v>
                </c:pt>
                <c:pt idx="363">
                  <c:v>0.46945855207516085</c:v>
                </c:pt>
                <c:pt idx="364">
                  <c:v>0.46971465547226343</c:v>
                </c:pt>
                <c:pt idx="365">
                  <c:v>0.47035037940606905</c:v>
                </c:pt>
                <c:pt idx="366">
                  <c:v>0.4706534597944515</c:v>
                </c:pt>
                <c:pt idx="367">
                  <c:v>0.4706777416613892</c:v>
                </c:pt>
                <c:pt idx="368">
                  <c:v>0.47107399005481465</c:v>
                </c:pt>
                <c:pt idx="369">
                  <c:v>0.47109836075882172</c:v>
                </c:pt>
                <c:pt idx="370">
                  <c:v>0.47120450776724487</c:v>
                </c:pt>
                <c:pt idx="371">
                  <c:v>0.47127027032740409</c:v>
                </c:pt>
                <c:pt idx="372">
                  <c:v>0.47147874243984111</c:v>
                </c:pt>
                <c:pt idx="373">
                  <c:v>0.47156514688240136</c:v>
                </c:pt>
                <c:pt idx="374">
                  <c:v>0.47173386646387416</c:v>
                </c:pt>
                <c:pt idx="375">
                  <c:v>0.47187663320470274</c:v>
                </c:pt>
                <c:pt idx="376">
                  <c:v>0.4719976952424062</c:v>
                </c:pt>
                <c:pt idx="377">
                  <c:v>0.47207282624342306</c:v>
                </c:pt>
                <c:pt idx="378">
                  <c:v>0.47285197321813799</c:v>
                </c:pt>
                <c:pt idx="379">
                  <c:v>0.47319767738386953</c:v>
                </c:pt>
                <c:pt idx="380">
                  <c:v>0.4733958546410264</c:v>
                </c:pt>
                <c:pt idx="381">
                  <c:v>0.47349793242107019</c:v>
                </c:pt>
                <c:pt idx="382">
                  <c:v>0.47356364083431224</c:v>
                </c:pt>
                <c:pt idx="383">
                  <c:v>0.47394719937594731</c:v>
                </c:pt>
                <c:pt idx="384">
                  <c:v>0.47397834605030154</c:v>
                </c:pt>
                <c:pt idx="385">
                  <c:v>0.4740190874775374</c:v>
                </c:pt>
                <c:pt idx="386">
                  <c:v>0.47416112899789864</c:v>
                </c:pt>
                <c:pt idx="387">
                  <c:v>0.47429249221549774</c:v>
                </c:pt>
                <c:pt idx="388">
                  <c:v>0.47429445122756597</c:v>
                </c:pt>
                <c:pt idx="389">
                  <c:v>0.47457285001347727</c:v>
                </c:pt>
                <c:pt idx="390">
                  <c:v>0.4747224589776432</c:v>
                </c:pt>
                <c:pt idx="391">
                  <c:v>0.47476513774564921</c:v>
                </c:pt>
                <c:pt idx="392">
                  <c:v>0.47477165646283215</c:v>
                </c:pt>
                <c:pt idx="393">
                  <c:v>0.47492107888986834</c:v>
                </c:pt>
                <c:pt idx="394">
                  <c:v>0.47496352430186461</c:v>
                </c:pt>
                <c:pt idx="395">
                  <c:v>0.47546806800003905</c:v>
                </c:pt>
                <c:pt idx="396">
                  <c:v>0.47597394389749859</c:v>
                </c:pt>
                <c:pt idx="397">
                  <c:v>0.47598522594986559</c:v>
                </c:pt>
                <c:pt idx="398">
                  <c:v>0.47610083655132984</c:v>
                </c:pt>
                <c:pt idx="399">
                  <c:v>0.47620598602115183</c:v>
                </c:pt>
                <c:pt idx="400">
                  <c:v>0.47628024384797596</c:v>
                </c:pt>
                <c:pt idx="401">
                  <c:v>0.47635274928211724</c:v>
                </c:pt>
                <c:pt idx="402">
                  <c:v>0.47660647731158479</c:v>
                </c:pt>
                <c:pt idx="403">
                  <c:v>0.47662823525807674</c:v>
                </c:pt>
                <c:pt idx="404">
                  <c:v>0.4767716417816068</c:v>
                </c:pt>
                <c:pt idx="405">
                  <c:v>0.47708179014506991</c:v>
                </c:pt>
                <c:pt idx="406">
                  <c:v>0.47709006507675999</c:v>
                </c:pt>
                <c:pt idx="407">
                  <c:v>0.47728844057262731</c:v>
                </c:pt>
                <c:pt idx="408">
                  <c:v>0.47765556710300339</c:v>
                </c:pt>
                <c:pt idx="409">
                  <c:v>0.47765691252647913</c:v>
                </c:pt>
                <c:pt idx="410">
                  <c:v>0.47766406284621754</c:v>
                </c:pt>
                <c:pt idx="411">
                  <c:v>0.47766672972409574</c:v>
                </c:pt>
                <c:pt idx="412">
                  <c:v>0.47771633322628848</c:v>
                </c:pt>
                <c:pt idx="413">
                  <c:v>0.4779002649505707</c:v>
                </c:pt>
                <c:pt idx="414">
                  <c:v>0.47794827108226368</c:v>
                </c:pt>
                <c:pt idx="415">
                  <c:v>0.47801190565843432</c:v>
                </c:pt>
                <c:pt idx="416">
                  <c:v>0.47827696600998482</c:v>
                </c:pt>
                <c:pt idx="417">
                  <c:v>0.47870697615668267</c:v>
                </c:pt>
                <c:pt idx="418">
                  <c:v>0.47873336777613584</c:v>
                </c:pt>
                <c:pt idx="419">
                  <c:v>0.47876440293566636</c:v>
                </c:pt>
                <c:pt idx="420">
                  <c:v>0.47920496340035579</c:v>
                </c:pt>
                <c:pt idx="421">
                  <c:v>0.47930529532298027</c:v>
                </c:pt>
                <c:pt idx="422">
                  <c:v>0.47938902177549469</c:v>
                </c:pt>
                <c:pt idx="423">
                  <c:v>0.47947506247223048</c:v>
                </c:pt>
                <c:pt idx="424">
                  <c:v>0.47968959910990783</c:v>
                </c:pt>
                <c:pt idx="425">
                  <c:v>0.47983980848922647</c:v>
                </c:pt>
                <c:pt idx="426">
                  <c:v>0.47993845224427589</c:v>
                </c:pt>
                <c:pt idx="427">
                  <c:v>0.4799725465684781</c:v>
                </c:pt>
                <c:pt idx="428">
                  <c:v>0.4800624095301611</c:v>
                </c:pt>
                <c:pt idx="429">
                  <c:v>0.48016127451752821</c:v>
                </c:pt>
                <c:pt idx="430">
                  <c:v>0.48037616163669072</c:v>
                </c:pt>
                <c:pt idx="431">
                  <c:v>0.48057714769811155</c:v>
                </c:pt>
                <c:pt idx="432">
                  <c:v>0.48061251353995782</c:v>
                </c:pt>
                <c:pt idx="433">
                  <c:v>0.48097182303586272</c:v>
                </c:pt>
                <c:pt idx="434">
                  <c:v>0.48104505772609596</c:v>
                </c:pt>
                <c:pt idx="435">
                  <c:v>0.48108869010282163</c:v>
                </c:pt>
                <c:pt idx="436">
                  <c:v>0.48142493446783574</c:v>
                </c:pt>
                <c:pt idx="437">
                  <c:v>0.48144908083407489</c:v>
                </c:pt>
                <c:pt idx="438">
                  <c:v>0.48170023150833485</c:v>
                </c:pt>
                <c:pt idx="439">
                  <c:v>0.48170935703913109</c:v>
                </c:pt>
                <c:pt idx="440">
                  <c:v>0.48175662814820608</c:v>
                </c:pt>
                <c:pt idx="441">
                  <c:v>0.48190580798968796</c:v>
                </c:pt>
                <c:pt idx="442">
                  <c:v>0.48217890750224957</c:v>
                </c:pt>
                <c:pt idx="443">
                  <c:v>0.48236829003302739</c:v>
                </c:pt>
                <c:pt idx="444">
                  <c:v>0.48274269352001864</c:v>
                </c:pt>
                <c:pt idx="445">
                  <c:v>0.48284314260170402</c:v>
                </c:pt>
                <c:pt idx="446">
                  <c:v>0.48285360276761402</c:v>
                </c:pt>
                <c:pt idx="447">
                  <c:v>0.48301639255049467</c:v>
                </c:pt>
                <c:pt idx="448">
                  <c:v>0.48326619353883871</c:v>
                </c:pt>
                <c:pt idx="449">
                  <c:v>0.48331589321602342</c:v>
                </c:pt>
                <c:pt idx="450">
                  <c:v>0.48446499228495998</c:v>
                </c:pt>
                <c:pt idx="451">
                  <c:v>0.484563506324867</c:v>
                </c:pt>
                <c:pt idx="452">
                  <c:v>0.48458988600007258</c:v>
                </c:pt>
                <c:pt idx="453">
                  <c:v>0.48494864449796304</c:v>
                </c:pt>
                <c:pt idx="454">
                  <c:v>0.48536202611836654</c:v>
                </c:pt>
                <c:pt idx="455">
                  <c:v>0.48550728193173354</c:v>
                </c:pt>
                <c:pt idx="456">
                  <c:v>0.48563935696295746</c:v>
                </c:pt>
                <c:pt idx="457">
                  <c:v>0.48601359132243172</c:v>
                </c:pt>
                <c:pt idx="458">
                  <c:v>0.48604423980530331</c:v>
                </c:pt>
                <c:pt idx="459">
                  <c:v>0.48604937934025394</c:v>
                </c:pt>
                <c:pt idx="460">
                  <c:v>0.4862577027823608</c:v>
                </c:pt>
                <c:pt idx="461">
                  <c:v>0.48627355623559643</c:v>
                </c:pt>
                <c:pt idx="462">
                  <c:v>0.48663081450260315</c:v>
                </c:pt>
                <c:pt idx="463">
                  <c:v>0.48690988718371497</c:v>
                </c:pt>
                <c:pt idx="464">
                  <c:v>0.48724805903343615</c:v>
                </c:pt>
                <c:pt idx="465">
                  <c:v>0.4876857071574483</c:v>
                </c:pt>
                <c:pt idx="466">
                  <c:v>0.48770692603455723</c:v>
                </c:pt>
                <c:pt idx="467">
                  <c:v>0.48773628313945316</c:v>
                </c:pt>
                <c:pt idx="468">
                  <c:v>0.48796058221215355</c:v>
                </c:pt>
                <c:pt idx="469">
                  <c:v>0.48862139895848045</c:v>
                </c:pt>
                <c:pt idx="470">
                  <c:v>0.48918045777286689</c:v>
                </c:pt>
                <c:pt idx="471">
                  <c:v>0.48921593529124008</c:v>
                </c:pt>
                <c:pt idx="472">
                  <c:v>0.48978934611942981</c:v>
                </c:pt>
                <c:pt idx="473">
                  <c:v>0.48988469108507249</c:v>
                </c:pt>
                <c:pt idx="474">
                  <c:v>0.49016160631779859</c:v>
                </c:pt>
                <c:pt idx="475">
                  <c:v>0.49034949167502995</c:v>
                </c:pt>
                <c:pt idx="476">
                  <c:v>0.49072028300595483</c:v>
                </c:pt>
                <c:pt idx="477">
                  <c:v>0.49096273987423622</c:v>
                </c:pt>
                <c:pt idx="478">
                  <c:v>0.49109694019305039</c:v>
                </c:pt>
                <c:pt idx="479">
                  <c:v>0.49134021762834568</c:v>
                </c:pt>
                <c:pt idx="480">
                  <c:v>0.49135993187055071</c:v>
                </c:pt>
                <c:pt idx="481">
                  <c:v>0.49158196502846063</c:v>
                </c:pt>
                <c:pt idx="482">
                  <c:v>0.49166134553187402</c:v>
                </c:pt>
                <c:pt idx="483">
                  <c:v>0.4919502224850193</c:v>
                </c:pt>
                <c:pt idx="484">
                  <c:v>0.49251425808827587</c:v>
                </c:pt>
                <c:pt idx="485">
                  <c:v>0.49326467071068769</c:v>
                </c:pt>
                <c:pt idx="486">
                  <c:v>0.49330571254119171</c:v>
                </c:pt>
                <c:pt idx="487">
                  <c:v>0.49342473351894611</c:v>
                </c:pt>
                <c:pt idx="488">
                  <c:v>0.49351451762648157</c:v>
                </c:pt>
                <c:pt idx="489">
                  <c:v>0.49373738454743654</c:v>
                </c:pt>
                <c:pt idx="490">
                  <c:v>0.49381623184025791</c:v>
                </c:pt>
                <c:pt idx="491">
                  <c:v>0.49412602300055009</c:v>
                </c:pt>
                <c:pt idx="492">
                  <c:v>0.49452319291198366</c:v>
                </c:pt>
                <c:pt idx="493">
                  <c:v>0.49454568690673406</c:v>
                </c:pt>
                <c:pt idx="494">
                  <c:v>0.49489840438449195</c:v>
                </c:pt>
                <c:pt idx="495">
                  <c:v>0.49490883369652727</c:v>
                </c:pt>
                <c:pt idx="496">
                  <c:v>0.49515960777569312</c:v>
                </c:pt>
                <c:pt idx="497">
                  <c:v>0.49522631921073279</c:v>
                </c:pt>
                <c:pt idx="498">
                  <c:v>0.495415137165644</c:v>
                </c:pt>
                <c:pt idx="499">
                  <c:v>0.49543165573864867</c:v>
                </c:pt>
                <c:pt idx="500">
                  <c:v>0.49554465073286735</c:v>
                </c:pt>
                <c:pt idx="501">
                  <c:v>0.49560686585734437</c:v>
                </c:pt>
                <c:pt idx="502">
                  <c:v>0.49563281197912978</c:v>
                </c:pt>
                <c:pt idx="503">
                  <c:v>0.49565323634262526</c:v>
                </c:pt>
                <c:pt idx="504">
                  <c:v>0.49569063414213332</c:v>
                </c:pt>
                <c:pt idx="505">
                  <c:v>0.49578855847453052</c:v>
                </c:pt>
                <c:pt idx="506">
                  <c:v>0.49613638969576035</c:v>
                </c:pt>
                <c:pt idx="507">
                  <c:v>0.49664320921477312</c:v>
                </c:pt>
                <c:pt idx="508">
                  <c:v>0.49722701463875141</c:v>
                </c:pt>
                <c:pt idx="509">
                  <c:v>0.49728061256935818</c:v>
                </c:pt>
                <c:pt idx="510">
                  <c:v>0.49739140822689543</c:v>
                </c:pt>
                <c:pt idx="511">
                  <c:v>0.49757624017169755</c:v>
                </c:pt>
                <c:pt idx="512">
                  <c:v>0.49790046146564138</c:v>
                </c:pt>
                <c:pt idx="513">
                  <c:v>0.49792085636303951</c:v>
                </c:pt>
                <c:pt idx="514">
                  <c:v>0.49805645362567186</c:v>
                </c:pt>
                <c:pt idx="515">
                  <c:v>0.49815313503489</c:v>
                </c:pt>
                <c:pt idx="516">
                  <c:v>0.49862218465732033</c:v>
                </c:pt>
                <c:pt idx="517">
                  <c:v>0.49885748972988897</c:v>
                </c:pt>
                <c:pt idx="518">
                  <c:v>0.49912699019290308</c:v>
                </c:pt>
                <c:pt idx="519">
                  <c:v>0.49967070591957008</c:v>
                </c:pt>
                <c:pt idx="520">
                  <c:v>0.4996781647726305</c:v>
                </c:pt>
                <c:pt idx="521">
                  <c:v>0.49970803503112393</c:v>
                </c:pt>
                <c:pt idx="522">
                  <c:v>0.49974315143725245</c:v>
                </c:pt>
                <c:pt idx="523">
                  <c:v>0.49986285590219459</c:v>
                </c:pt>
                <c:pt idx="524">
                  <c:v>0.50017603236131336</c:v>
                </c:pt>
                <c:pt idx="525">
                  <c:v>0.50018751197347167</c:v>
                </c:pt>
                <c:pt idx="526">
                  <c:v>0.50072244811528566</c:v>
                </c:pt>
                <c:pt idx="527">
                  <c:v>0.50074617232453822</c:v>
                </c:pt>
                <c:pt idx="528">
                  <c:v>0.50109626324797418</c:v>
                </c:pt>
                <c:pt idx="529">
                  <c:v>0.50127141460588387</c:v>
                </c:pt>
                <c:pt idx="530">
                  <c:v>0.50171916317224485</c:v>
                </c:pt>
                <c:pt idx="531">
                  <c:v>0.50175040726772624</c:v>
                </c:pt>
                <c:pt idx="532">
                  <c:v>0.50176383673652902</c:v>
                </c:pt>
                <c:pt idx="533">
                  <c:v>0.50208944565579705</c:v>
                </c:pt>
                <c:pt idx="534">
                  <c:v>0.50232409698477598</c:v>
                </c:pt>
                <c:pt idx="535">
                  <c:v>0.50256418027246808</c:v>
                </c:pt>
                <c:pt idx="536">
                  <c:v>0.50268816776883729</c:v>
                </c:pt>
                <c:pt idx="537">
                  <c:v>0.50269496319001938</c:v>
                </c:pt>
                <c:pt idx="538">
                  <c:v>0.50282730897089756</c:v>
                </c:pt>
                <c:pt idx="539">
                  <c:v>0.50307961224418496</c:v>
                </c:pt>
                <c:pt idx="540">
                  <c:v>0.50311681488462534</c:v>
                </c:pt>
                <c:pt idx="541">
                  <c:v>0.50333056190857395</c:v>
                </c:pt>
                <c:pt idx="542">
                  <c:v>0.50340887643887589</c:v>
                </c:pt>
                <c:pt idx="543">
                  <c:v>0.50342480570378023</c:v>
                </c:pt>
                <c:pt idx="544">
                  <c:v>0.50359957629116503</c:v>
                </c:pt>
                <c:pt idx="545">
                  <c:v>0.50431903407308987</c:v>
                </c:pt>
                <c:pt idx="546">
                  <c:v>0.50480913222511248</c:v>
                </c:pt>
                <c:pt idx="547">
                  <c:v>0.50504929482694638</c:v>
                </c:pt>
                <c:pt idx="548">
                  <c:v>0.50509129689698529</c:v>
                </c:pt>
                <c:pt idx="549">
                  <c:v>0.50528944642891183</c:v>
                </c:pt>
                <c:pt idx="550">
                  <c:v>0.50560113635912396</c:v>
                </c:pt>
                <c:pt idx="551">
                  <c:v>0.50562246987147663</c:v>
                </c:pt>
                <c:pt idx="552">
                  <c:v>0.50570080546673479</c:v>
                </c:pt>
                <c:pt idx="553">
                  <c:v>0.50588122844506456</c:v>
                </c:pt>
                <c:pt idx="554">
                  <c:v>0.50615140965020011</c:v>
                </c:pt>
                <c:pt idx="555">
                  <c:v>0.50646084886626608</c:v>
                </c:pt>
                <c:pt idx="556">
                  <c:v>0.50663636561443304</c:v>
                </c:pt>
                <c:pt idx="557">
                  <c:v>0.50696493708326107</c:v>
                </c:pt>
                <c:pt idx="558">
                  <c:v>0.5073535616694459</c:v>
                </c:pt>
                <c:pt idx="559">
                  <c:v>0.50776398558168889</c:v>
                </c:pt>
                <c:pt idx="560">
                  <c:v>0.50791371096374072</c:v>
                </c:pt>
                <c:pt idx="561">
                  <c:v>0.50795339277279139</c:v>
                </c:pt>
                <c:pt idx="562">
                  <c:v>0.50819766760691398</c:v>
                </c:pt>
                <c:pt idx="563">
                  <c:v>0.50839500405523064</c:v>
                </c:pt>
                <c:pt idx="564">
                  <c:v>0.50843984230385075</c:v>
                </c:pt>
                <c:pt idx="565">
                  <c:v>0.50856545172626466</c:v>
                </c:pt>
                <c:pt idx="566">
                  <c:v>0.50858200649345131</c:v>
                </c:pt>
                <c:pt idx="567">
                  <c:v>0.50859294104559349</c:v>
                </c:pt>
                <c:pt idx="568">
                  <c:v>0.50934297859861466</c:v>
                </c:pt>
                <c:pt idx="569">
                  <c:v>0.50949646452675124</c:v>
                </c:pt>
                <c:pt idx="570">
                  <c:v>0.50951621622592613</c:v>
                </c:pt>
                <c:pt idx="571">
                  <c:v>0.50954060584934913</c:v>
                </c:pt>
                <c:pt idx="572">
                  <c:v>0.51021747638652037</c:v>
                </c:pt>
                <c:pt idx="573">
                  <c:v>0.51058816827450071</c:v>
                </c:pt>
                <c:pt idx="574">
                  <c:v>0.51064982999082853</c:v>
                </c:pt>
                <c:pt idx="575">
                  <c:v>0.51111634497039016</c:v>
                </c:pt>
                <c:pt idx="576">
                  <c:v>0.51131828871239982</c:v>
                </c:pt>
                <c:pt idx="577">
                  <c:v>0.51146349104780808</c:v>
                </c:pt>
                <c:pt idx="578">
                  <c:v>0.51163602443652767</c:v>
                </c:pt>
                <c:pt idx="579">
                  <c:v>0.51165969946881329</c:v>
                </c:pt>
                <c:pt idx="580">
                  <c:v>0.51186829795737798</c:v>
                </c:pt>
                <c:pt idx="581">
                  <c:v>0.51192135838038633</c:v>
                </c:pt>
                <c:pt idx="582">
                  <c:v>0.51235285382602069</c:v>
                </c:pt>
                <c:pt idx="583">
                  <c:v>0.5128322868889158</c:v>
                </c:pt>
                <c:pt idx="584">
                  <c:v>0.51283967706302447</c:v>
                </c:pt>
                <c:pt idx="585">
                  <c:v>0.51300221435355442</c:v>
                </c:pt>
                <c:pt idx="586">
                  <c:v>0.5136930367490532</c:v>
                </c:pt>
                <c:pt idx="587">
                  <c:v>0.51422623519133492</c:v>
                </c:pt>
                <c:pt idx="588">
                  <c:v>0.51428699792675703</c:v>
                </c:pt>
                <c:pt idx="589">
                  <c:v>0.51441188726957154</c:v>
                </c:pt>
                <c:pt idx="590">
                  <c:v>0.51494327966329956</c:v>
                </c:pt>
                <c:pt idx="591">
                  <c:v>0.51500839313604752</c:v>
                </c:pt>
                <c:pt idx="592">
                  <c:v>0.51500940033191156</c:v>
                </c:pt>
                <c:pt idx="593">
                  <c:v>0.51511256333141064</c:v>
                </c:pt>
                <c:pt idx="594">
                  <c:v>0.51559696746439987</c:v>
                </c:pt>
                <c:pt idx="595">
                  <c:v>0.51566163095296613</c:v>
                </c:pt>
                <c:pt idx="596">
                  <c:v>0.51568500821160379</c:v>
                </c:pt>
                <c:pt idx="597">
                  <c:v>0.51588414670176852</c:v>
                </c:pt>
                <c:pt idx="598">
                  <c:v>0.51637908065529659</c:v>
                </c:pt>
                <c:pt idx="599">
                  <c:v>0.51669201659548547</c:v>
                </c:pt>
                <c:pt idx="600">
                  <c:v>0.51674771954461074</c:v>
                </c:pt>
                <c:pt idx="601">
                  <c:v>0.51715375097661764</c:v>
                </c:pt>
                <c:pt idx="602">
                  <c:v>0.51720962428499806</c:v>
                </c:pt>
                <c:pt idx="603">
                  <c:v>0.51734323944597571</c:v>
                </c:pt>
                <c:pt idx="604">
                  <c:v>0.51748623945184224</c:v>
                </c:pt>
                <c:pt idx="605">
                  <c:v>0.51749938352953684</c:v>
                </c:pt>
                <c:pt idx="606">
                  <c:v>0.51753611228070118</c:v>
                </c:pt>
                <c:pt idx="607">
                  <c:v>0.51770582667787146</c:v>
                </c:pt>
                <c:pt idx="608">
                  <c:v>0.51795751794420331</c:v>
                </c:pt>
                <c:pt idx="609">
                  <c:v>0.51830091815675206</c:v>
                </c:pt>
                <c:pt idx="610">
                  <c:v>0.51881361429382711</c:v>
                </c:pt>
                <c:pt idx="611">
                  <c:v>0.51907874883615679</c:v>
                </c:pt>
                <c:pt idx="612">
                  <c:v>0.51917441131778619</c:v>
                </c:pt>
                <c:pt idx="613">
                  <c:v>0.51955125913833089</c:v>
                </c:pt>
                <c:pt idx="614">
                  <c:v>0.51964351386142638</c:v>
                </c:pt>
                <c:pt idx="615">
                  <c:v>0.5200143154683361</c:v>
                </c:pt>
                <c:pt idx="616">
                  <c:v>0.52002013986814122</c:v>
                </c:pt>
                <c:pt idx="617">
                  <c:v>0.52003015893371096</c:v>
                </c:pt>
                <c:pt idx="618">
                  <c:v>0.52008038262076295</c:v>
                </c:pt>
                <c:pt idx="619">
                  <c:v>0.5201606080343788</c:v>
                </c:pt>
                <c:pt idx="620">
                  <c:v>0.52027625988297055</c:v>
                </c:pt>
                <c:pt idx="621">
                  <c:v>0.52028931926861866</c:v>
                </c:pt>
                <c:pt idx="622">
                  <c:v>0.52061814303279186</c:v>
                </c:pt>
                <c:pt idx="623">
                  <c:v>0.52074609602544086</c:v>
                </c:pt>
                <c:pt idx="624">
                  <c:v>0.52111262011480974</c:v>
                </c:pt>
                <c:pt idx="625">
                  <c:v>0.52130884156601354</c:v>
                </c:pt>
                <c:pt idx="626">
                  <c:v>0.52139286282085073</c:v>
                </c:pt>
                <c:pt idx="627">
                  <c:v>0.5214372917039316</c:v>
                </c:pt>
                <c:pt idx="628">
                  <c:v>0.52153308879114524</c:v>
                </c:pt>
                <c:pt idx="629">
                  <c:v>0.52177556762864019</c:v>
                </c:pt>
                <c:pt idx="630">
                  <c:v>0.52193335994911616</c:v>
                </c:pt>
                <c:pt idx="631">
                  <c:v>0.52254064061466987</c:v>
                </c:pt>
                <c:pt idx="632">
                  <c:v>0.52275933001901209</c:v>
                </c:pt>
                <c:pt idx="633">
                  <c:v>0.52319289497612542</c:v>
                </c:pt>
                <c:pt idx="634">
                  <c:v>0.52344124433959982</c:v>
                </c:pt>
                <c:pt idx="635">
                  <c:v>0.52350055339940182</c:v>
                </c:pt>
                <c:pt idx="636">
                  <c:v>0.52351629966195168</c:v>
                </c:pt>
                <c:pt idx="637">
                  <c:v>0.52354376097786792</c:v>
                </c:pt>
                <c:pt idx="638">
                  <c:v>0.52426028353857124</c:v>
                </c:pt>
                <c:pt idx="639">
                  <c:v>0.52453662053261652</c:v>
                </c:pt>
                <c:pt idx="640">
                  <c:v>0.52454487451404563</c:v>
                </c:pt>
                <c:pt idx="641">
                  <c:v>0.52470756061109802</c:v>
                </c:pt>
                <c:pt idx="642">
                  <c:v>0.52486580338158073</c:v>
                </c:pt>
                <c:pt idx="643">
                  <c:v>0.52491537250873588</c:v>
                </c:pt>
                <c:pt idx="644">
                  <c:v>0.52504390549656121</c:v>
                </c:pt>
                <c:pt idx="645">
                  <c:v>0.52509599945066265</c:v>
                </c:pt>
                <c:pt idx="646">
                  <c:v>0.52529602459023017</c:v>
                </c:pt>
                <c:pt idx="647">
                  <c:v>0.52540680193025902</c:v>
                </c:pt>
                <c:pt idx="648">
                  <c:v>0.52557235514866596</c:v>
                </c:pt>
                <c:pt idx="649">
                  <c:v>0.5257801247881041</c:v>
                </c:pt>
                <c:pt idx="650">
                  <c:v>0.525921858748856</c:v>
                </c:pt>
                <c:pt idx="651">
                  <c:v>0.52646519980954576</c:v>
                </c:pt>
                <c:pt idx="652">
                  <c:v>0.52653716206439904</c:v>
                </c:pt>
                <c:pt idx="653">
                  <c:v>0.52672993946176516</c:v>
                </c:pt>
                <c:pt idx="654">
                  <c:v>0.52700462757274114</c:v>
                </c:pt>
                <c:pt idx="655">
                  <c:v>0.5270856409969964</c:v>
                </c:pt>
                <c:pt idx="656">
                  <c:v>0.52818355634922531</c:v>
                </c:pt>
                <c:pt idx="657">
                  <c:v>0.52850775647557413</c:v>
                </c:pt>
                <c:pt idx="658">
                  <c:v>0.52851101862775807</c:v>
                </c:pt>
                <c:pt idx="659">
                  <c:v>0.52896587377569049</c:v>
                </c:pt>
                <c:pt idx="660">
                  <c:v>0.52906103172120711</c:v>
                </c:pt>
                <c:pt idx="661">
                  <c:v>0.52917332313713261</c:v>
                </c:pt>
                <c:pt idx="662">
                  <c:v>0.52926990308255573</c:v>
                </c:pt>
                <c:pt idx="663">
                  <c:v>0.52929128019419014</c:v>
                </c:pt>
                <c:pt idx="664">
                  <c:v>0.5296800590376074</c:v>
                </c:pt>
                <c:pt idx="665">
                  <c:v>0.52979590325220138</c:v>
                </c:pt>
                <c:pt idx="666">
                  <c:v>0.52986943048455792</c:v>
                </c:pt>
                <c:pt idx="667">
                  <c:v>0.53025004434879608</c:v>
                </c:pt>
                <c:pt idx="668">
                  <c:v>0.53050679879693108</c:v>
                </c:pt>
                <c:pt idx="669">
                  <c:v>0.5305485046221825</c:v>
                </c:pt>
                <c:pt idx="670">
                  <c:v>0.53073211485623095</c:v>
                </c:pt>
                <c:pt idx="671">
                  <c:v>0.53088121759791473</c:v>
                </c:pt>
                <c:pt idx="672">
                  <c:v>0.53109750381958032</c:v>
                </c:pt>
                <c:pt idx="673">
                  <c:v>0.53120075477352968</c:v>
                </c:pt>
                <c:pt idx="674">
                  <c:v>0.53158783464854065</c:v>
                </c:pt>
                <c:pt idx="675">
                  <c:v>0.5316263899602558</c:v>
                </c:pt>
                <c:pt idx="676">
                  <c:v>0.53223340565754873</c:v>
                </c:pt>
                <c:pt idx="677">
                  <c:v>0.53248799353722165</c:v>
                </c:pt>
                <c:pt idx="678">
                  <c:v>0.53260582908865706</c:v>
                </c:pt>
                <c:pt idx="679">
                  <c:v>0.53318999185284377</c:v>
                </c:pt>
                <c:pt idx="680">
                  <c:v>0.53322252941606485</c:v>
                </c:pt>
                <c:pt idx="681">
                  <c:v>0.53356996072281337</c:v>
                </c:pt>
                <c:pt idx="682">
                  <c:v>0.53358746015695591</c:v>
                </c:pt>
                <c:pt idx="683">
                  <c:v>0.53376818078544885</c:v>
                </c:pt>
                <c:pt idx="684">
                  <c:v>0.5337737483110957</c:v>
                </c:pt>
                <c:pt idx="685">
                  <c:v>0.53382714546625598</c:v>
                </c:pt>
                <c:pt idx="686">
                  <c:v>0.5338890248341901</c:v>
                </c:pt>
                <c:pt idx="687">
                  <c:v>0.53391484388297883</c:v>
                </c:pt>
                <c:pt idx="688">
                  <c:v>0.53402270069215219</c:v>
                </c:pt>
                <c:pt idx="689">
                  <c:v>0.53420089781942171</c:v>
                </c:pt>
                <c:pt idx="690">
                  <c:v>0.53468536993870441</c:v>
                </c:pt>
                <c:pt idx="691">
                  <c:v>0.53514086883424461</c:v>
                </c:pt>
                <c:pt idx="692">
                  <c:v>0.53514552057843601</c:v>
                </c:pt>
                <c:pt idx="693">
                  <c:v>0.53594106287650889</c:v>
                </c:pt>
                <c:pt idx="694">
                  <c:v>0.53608912503768447</c:v>
                </c:pt>
                <c:pt idx="695">
                  <c:v>0.53610874189453595</c:v>
                </c:pt>
                <c:pt idx="696">
                  <c:v>0.53658829526386087</c:v>
                </c:pt>
                <c:pt idx="697">
                  <c:v>0.53691578361911707</c:v>
                </c:pt>
                <c:pt idx="698">
                  <c:v>0.53713101266611085</c:v>
                </c:pt>
                <c:pt idx="699">
                  <c:v>0.53752829890546006</c:v>
                </c:pt>
                <c:pt idx="700">
                  <c:v>0.53763785334157077</c:v>
                </c:pt>
                <c:pt idx="701">
                  <c:v>0.53775766970205641</c:v>
                </c:pt>
                <c:pt idx="702">
                  <c:v>0.53810834424193177</c:v>
                </c:pt>
                <c:pt idx="703">
                  <c:v>0.53829484187592835</c:v>
                </c:pt>
                <c:pt idx="704">
                  <c:v>0.53847746504711869</c:v>
                </c:pt>
                <c:pt idx="705">
                  <c:v>0.53850217840224635</c:v>
                </c:pt>
                <c:pt idx="706">
                  <c:v>0.53901055498366968</c:v>
                </c:pt>
                <c:pt idx="707">
                  <c:v>0.53911990759670991</c:v>
                </c:pt>
                <c:pt idx="708">
                  <c:v>0.53914067702756807</c:v>
                </c:pt>
                <c:pt idx="709">
                  <c:v>0.53944177051592634</c:v>
                </c:pt>
                <c:pt idx="710">
                  <c:v>0.539838511981515</c:v>
                </c:pt>
                <c:pt idx="711">
                  <c:v>0.54000375706079096</c:v>
                </c:pt>
                <c:pt idx="712">
                  <c:v>0.54056754091617887</c:v>
                </c:pt>
                <c:pt idx="713">
                  <c:v>0.54070576732228892</c:v>
                </c:pt>
                <c:pt idx="714">
                  <c:v>0.54071197397034665</c:v>
                </c:pt>
                <c:pt idx="715">
                  <c:v>0.54078228041358178</c:v>
                </c:pt>
                <c:pt idx="716">
                  <c:v>0.5410844960381902</c:v>
                </c:pt>
                <c:pt idx="717">
                  <c:v>0.54124269877747211</c:v>
                </c:pt>
                <c:pt idx="718">
                  <c:v>0.54164456106835912</c:v>
                </c:pt>
                <c:pt idx="719">
                  <c:v>0.54190118831879097</c:v>
                </c:pt>
                <c:pt idx="720">
                  <c:v>0.5419692405282629</c:v>
                </c:pt>
                <c:pt idx="721">
                  <c:v>0.54209447252676368</c:v>
                </c:pt>
                <c:pt idx="722">
                  <c:v>0.54219273398257362</c:v>
                </c:pt>
                <c:pt idx="723">
                  <c:v>0.54225755841725432</c:v>
                </c:pt>
                <c:pt idx="724">
                  <c:v>0.54230551893393686</c:v>
                </c:pt>
                <c:pt idx="725">
                  <c:v>0.54243944899857521</c:v>
                </c:pt>
                <c:pt idx="726">
                  <c:v>0.54257573973589945</c:v>
                </c:pt>
                <c:pt idx="727">
                  <c:v>0.54285753294257855</c:v>
                </c:pt>
                <c:pt idx="728">
                  <c:v>0.54300384251536926</c:v>
                </c:pt>
                <c:pt idx="729">
                  <c:v>0.54318077633059281</c:v>
                </c:pt>
                <c:pt idx="730">
                  <c:v>0.54321199921617735</c:v>
                </c:pt>
                <c:pt idx="731">
                  <c:v>0.54323157917340492</c:v>
                </c:pt>
                <c:pt idx="732">
                  <c:v>0.54334298143928683</c:v>
                </c:pt>
                <c:pt idx="733">
                  <c:v>0.54341057468349441</c:v>
                </c:pt>
                <c:pt idx="734">
                  <c:v>0.54364663369878785</c:v>
                </c:pt>
                <c:pt idx="735">
                  <c:v>0.54401063633808266</c:v>
                </c:pt>
                <c:pt idx="736">
                  <c:v>0.54436517373513993</c:v>
                </c:pt>
                <c:pt idx="737">
                  <c:v>0.54442832557860898</c:v>
                </c:pt>
                <c:pt idx="738">
                  <c:v>0.54467330704526529</c:v>
                </c:pt>
                <c:pt idx="739">
                  <c:v>0.54476791479171705</c:v>
                </c:pt>
                <c:pt idx="740">
                  <c:v>0.54486683946639725</c:v>
                </c:pt>
                <c:pt idx="741">
                  <c:v>0.54489815626611326</c:v>
                </c:pt>
                <c:pt idx="742">
                  <c:v>0.54590290904048311</c:v>
                </c:pt>
                <c:pt idx="743">
                  <c:v>0.54625589794184071</c:v>
                </c:pt>
                <c:pt idx="744">
                  <c:v>0.54668119897704692</c:v>
                </c:pt>
                <c:pt idx="745">
                  <c:v>0.54678642590712145</c:v>
                </c:pt>
                <c:pt idx="746">
                  <c:v>0.54685971351514795</c:v>
                </c:pt>
                <c:pt idx="747">
                  <c:v>0.54709960718213546</c:v>
                </c:pt>
                <c:pt idx="748">
                  <c:v>0.54747294349224318</c:v>
                </c:pt>
                <c:pt idx="749">
                  <c:v>0.5476148289419559</c:v>
                </c:pt>
                <c:pt idx="750">
                  <c:v>0.54810647390809797</c:v>
                </c:pt>
                <c:pt idx="751">
                  <c:v>0.54810686863045244</c:v>
                </c:pt>
                <c:pt idx="752">
                  <c:v>0.54820967656260811</c:v>
                </c:pt>
                <c:pt idx="753">
                  <c:v>0.54823403004134053</c:v>
                </c:pt>
                <c:pt idx="754">
                  <c:v>0.54846420669895057</c:v>
                </c:pt>
                <c:pt idx="755">
                  <c:v>0.54862994887356742</c:v>
                </c:pt>
                <c:pt idx="756">
                  <c:v>0.54875632902951355</c:v>
                </c:pt>
                <c:pt idx="757">
                  <c:v>0.54895923668312874</c:v>
                </c:pt>
                <c:pt idx="758">
                  <c:v>0.54918083162487841</c:v>
                </c:pt>
                <c:pt idx="759">
                  <c:v>0.54964171757744507</c:v>
                </c:pt>
                <c:pt idx="760">
                  <c:v>0.5497195781831925</c:v>
                </c:pt>
                <c:pt idx="761">
                  <c:v>0.54994175552476443</c:v>
                </c:pt>
                <c:pt idx="762">
                  <c:v>0.55020951120366735</c:v>
                </c:pt>
                <c:pt idx="763">
                  <c:v>0.55038424777589579</c:v>
                </c:pt>
                <c:pt idx="764">
                  <c:v>0.55040617681570081</c:v>
                </c:pt>
                <c:pt idx="765">
                  <c:v>0.55052015331512205</c:v>
                </c:pt>
                <c:pt idx="766">
                  <c:v>0.55060080398635214</c:v>
                </c:pt>
                <c:pt idx="767">
                  <c:v>0.55118339412191364</c:v>
                </c:pt>
                <c:pt idx="768">
                  <c:v>0.55142983991713157</c:v>
                </c:pt>
                <c:pt idx="769">
                  <c:v>0.55144256854630536</c:v>
                </c:pt>
                <c:pt idx="770">
                  <c:v>0.55163418414915111</c:v>
                </c:pt>
                <c:pt idx="771">
                  <c:v>0.55222157902918123</c:v>
                </c:pt>
                <c:pt idx="772">
                  <c:v>0.55237269106209952</c:v>
                </c:pt>
                <c:pt idx="773">
                  <c:v>0.55313191976201403</c:v>
                </c:pt>
                <c:pt idx="774">
                  <c:v>0.55335455937784395</c:v>
                </c:pt>
                <c:pt idx="775">
                  <c:v>0.55354709481823483</c:v>
                </c:pt>
                <c:pt idx="776">
                  <c:v>0.55355128083089045</c:v>
                </c:pt>
                <c:pt idx="777">
                  <c:v>0.55362597104632172</c:v>
                </c:pt>
                <c:pt idx="778">
                  <c:v>0.55366488092393107</c:v>
                </c:pt>
                <c:pt idx="779">
                  <c:v>0.55383799248080856</c:v>
                </c:pt>
                <c:pt idx="780">
                  <c:v>0.55441378062748137</c:v>
                </c:pt>
                <c:pt idx="781">
                  <c:v>0.55447836670620021</c:v>
                </c:pt>
                <c:pt idx="782">
                  <c:v>0.55493612675491699</c:v>
                </c:pt>
                <c:pt idx="783">
                  <c:v>0.55517041403361944</c:v>
                </c:pt>
                <c:pt idx="784">
                  <c:v>0.55539315894828478</c:v>
                </c:pt>
                <c:pt idx="785">
                  <c:v>0.55540754140794801</c:v>
                </c:pt>
                <c:pt idx="786">
                  <c:v>0.55595365209779546</c:v>
                </c:pt>
                <c:pt idx="787">
                  <c:v>0.55652805139997019</c:v>
                </c:pt>
                <c:pt idx="788">
                  <c:v>0.55656668397515996</c:v>
                </c:pt>
                <c:pt idx="789">
                  <c:v>0.55680355738296849</c:v>
                </c:pt>
                <c:pt idx="790">
                  <c:v>0.5568558908162472</c:v>
                </c:pt>
                <c:pt idx="791">
                  <c:v>0.55709301440784142</c:v>
                </c:pt>
                <c:pt idx="792">
                  <c:v>0.55715338804745773</c:v>
                </c:pt>
                <c:pt idx="793">
                  <c:v>0.55742786504848452</c:v>
                </c:pt>
                <c:pt idx="794">
                  <c:v>0.55806848961860844</c:v>
                </c:pt>
                <c:pt idx="795">
                  <c:v>0.55825293373628548</c:v>
                </c:pt>
                <c:pt idx="796">
                  <c:v>0.5583303395498288</c:v>
                </c:pt>
                <c:pt idx="797">
                  <c:v>0.55882124634348596</c:v>
                </c:pt>
                <c:pt idx="798">
                  <c:v>0.55942559732257735</c:v>
                </c:pt>
                <c:pt idx="799">
                  <c:v>0.55967056406948723</c:v>
                </c:pt>
                <c:pt idx="800">
                  <c:v>0.55985165357443845</c:v>
                </c:pt>
                <c:pt idx="801">
                  <c:v>0.55992761501513832</c:v>
                </c:pt>
                <c:pt idx="802">
                  <c:v>0.55998977325997523</c:v>
                </c:pt>
                <c:pt idx="803">
                  <c:v>0.56014216874873757</c:v>
                </c:pt>
                <c:pt idx="804">
                  <c:v>0.56017679606391668</c:v>
                </c:pt>
                <c:pt idx="805">
                  <c:v>0.5603907426833562</c:v>
                </c:pt>
                <c:pt idx="806">
                  <c:v>0.5605328191136002</c:v>
                </c:pt>
                <c:pt idx="807">
                  <c:v>0.56133465970797092</c:v>
                </c:pt>
                <c:pt idx="808">
                  <c:v>0.5615281681565869</c:v>
                </c:pt>
                <c:pt idx="809">
                  <c:v>0.56189408640326866</c:v>
                </c:pt>
                <c:pt idx="810">
                  <c:v>0.56200903298542726</c:v>
                </c:pt>
                <c:pt idx="811">
                  <c:v>0.56222011933985216</c:v>
                </c:pt>
                <c:pt idx="812">
                  <c:v>0.56304942626940158</c:v>
                </c:pt>
                <c:pt idx="813">
                  <c:v>0.56313353735728111</c:v>
                </c:pt>
                <c:pt idx="814">
                  <c:v>0.56388230332269962</c:v>
                </c:pt>
                <c:pt idx="815">
                  <c:v>0.56404513311287729</c:v>
                </c:pt>
                <c:pt idx="816">
                  <c:v>0.56415825499870287</c:v>
                </c:pt>
                <c:pt idx="817">
                  <c:v>0.56419303192671821</c:v>
                </c:pt>
                <c:pt idx="818">
                  <c:v>0.56511686448020793</c:v>
                </c:pt>
                <c:pt idx="819">
                  <c:v>0.56520795227798737</c:v>
                </c:pt>
                <c:pt idx="820">
                  <c:v>0.56521757310980125</c:v>
                </c:pt>
                <c:pt idx="821">
                  <c:v>0.56539608482277259</c:v>
                </c:pt>
                <c:pt idx="822">
                  <c:v>0.56546158658810053</c:v>
                </c:pt>
                <c:pt idx="823">
                  <c:v>0.56583189472706485</c:v>
                </c:pt>
                <c:pt idx="824">
                  <c:v>0.56601078637745517</c:v>
                </c:pt>
                <c:pt idx="825">
                  <c:v>0.56650823023946884</c:v>
                </c:pt>
                <c:pt idx="826">
                  <c:v>0.56650873985984584</c:v>
                </c:pt>
                <c:pt idx="827">
                  <c:v>0.56658075670376618</c:v>
                </c:pt>
                <c:pt idx="828">
                  <c:v>0.56675993678502035</c:v>
                </c:pt>
                <c:pt idx="829">
                  <c:v>0.56713007663268045</c:v>
                </c:pt>
                <c:pt idx="830">
                  <c:v>0.56717423988659965</c:v>
                </c:pt>
                <c:pt idx="831">
                  <c:v>0.56731253993217645</c:v>
                </c:pt>
                <c:pt idx="832">
                  <c:v>0.56775043821287363</c:v>
                </c:pt>
                <c:pt idx="833">
                  <c:v>0.56784802038215176</c:v>
                </c:pt>
                <c:pt idx="834">
                  <c:v>0.56794740565597757</c:v>
                </c:pt>
                <c:pt idx="835">
                  <c:v>0.56850913056454999</c:v>
                </c:pt>
                <c:pt idx="836">
                  <c:v>0.56857378904421008</c:v>
                </c:pt>
                <c:pt idx="837">
                  <c:v>0.56890311678179761</c:v>
                </c:pt>
                <c:pt idx="838">
                  <c:v>0.56936894532796956</c:v>
                </c:pt>
                <c:pt idx="839">
                  <c:v>0.5701283762509316</c:v>
                </c:pt>
                <c:pt idx="840">
                  <c:v>0.5701431575070619</c:v>
                </c:pt>
                <c:pt idx="841">
                  <c:v>0.57015994521474134</c:v>
                </c:pt>
                <c:pt idx="842">
                  <c:v>0.57177630172465999</c:v>
                </c:pt>
                <c:pt idx="843">
                  <c:v>0.57203994993008556</c:v>
                </c:pt>
                <c:pt idx="844">
                  <c:v>0.57231852132433692</c:v>
                </c:pt>
                <c:pt idx="845">
                  <c:v>0.57239781524689903</c:v>
                </c:pt>
                <c:pt idx="846">
                  <c:v>0.57261299550843225</c:v>
                </c:pt>
                <c:pt idx="847">
                  <c:v>0.572676178884445</c:v>
                </c:pt>
                <c:pt idx="848">
                  <c:v>0.57270447197916907</c:v>
                </c:pt>
                <c:pt idx="849">
                  <c:v>0.57276154296553061</c:v>
                </c:pt>
                <c:pt idx="850">
                  <c:v>0.57289624186619781</c:v>
                </c:pt>
                <c:pt idx="851">
                  <c:v>0.57353250802836742</c:v>
                </c:pt>
                <c:pt idx="852">
                  <c:v>0.57474876831122523</c:v>
                </c:pt>
                <c:pt idx="853">
                  <c:v>0.57495367664451547</c:v>
                </c:pt>
                <c:pt idx="854">
                  <c:v>0.57506979901087618</c:v>
                </c:pt>
                <c:pt idx="855">
                  <c:v>0.57548554009368491</c:v>
                </c:pt>
                <c:pt idx="856">
                  <c:v>0.57601494468839587</c:v>
                </c:pt>
                <c:pt idx="857">
                  <c:v>0.57640339026570342</c:v>
                </c:pt>
                <c:pt idx="858">
                  <c:v>0.57640592613702146</c:v>
                </c:pt>
                <c:pt idx="859">
                  <c:v>0.57652404409118441</c:v>
                </c:pt>
                <c:pt idx="860">
                  <c:v>0.57686552299903027</c:v>
                </c:pt>
                <c:pt idx="861">
                  <c:v>0.57713086795066904</c:v>
                </c:pt>
                <c:pt idx="862">
                  <c:v>0.57878833040304123</c:v>
                </c:pt>
                <c:pt idx="863">
                  <c:v>0.57899566867546637</c:v>
                </c:pt>
                <c:pt idx="864">
                  <c:v>0.57901800828502004</c:v>
                </c:pt>
                <c:pt idx="865">
                  <c:v>0.57923441180692359</c:v>
                </c:pt>
                <c:pt idx="866">
                  <c:v>0.58005399699273841</c:v>
                </c:pt>
                <c:pt idx="867">
                  <c:v>0.58015662131113332</c:v>
                </c:pt>
                <c:pt idx="868">
                  <c:v>0.5804469323335727</c:v>
                </c:pt>
                <c:pt idx="869">
                  <c:v>0.58057089793085281</c:v>
                </c:pt>
                <c:pt idx="870">
                  <c:v>0.58059475685334772</c:v>
                </c:pt>
                <c:pt idx="871">
                  <c:v>0.58074404520493816</c:v>
                </c:pt>
                <c:pt idx="872">
                  <c:v>0.58110237082984695</c:v>
                </c:pt>
                <c:pt idx="873">
                  <c:v>0.58111437898765772</c:v>
                </c:pt>
                <c:pt idx="874">
                  <c:v>0.58134081710487373</c:v>
                </c:pt>
                <c:pt idx="875">
                  <c:v>0.58177899503290176</c:v>
                </c:pt>
                <c:pt idx="876">
                  <c:v>0.58242978377774446</c:v>
                </c:pt>
                <c:pt idx="877">
                  <c:v>0.58276223728371523</c:v>
                </c:pt>
                <c:pt idx="878">
                  <c:v>0.58276532762266886</c:v>
                </c:pt>
                <c:pt idx="879">
                  <c:v>0.58326197392248313</c:v>
                </c:pt>
                <c:pt idx="880">
                  <c:v>0.58326240802567131</c:v>
                </c:pt>
                <c:pt idx="881">
                  <c:v>0.58356986839370473</c:v>
                </c:pt>
                <c:pt idx="882">
                  <c:v>0.5837633442657868</c:v>
                </c:pt>
                <c:pt idx="883">
                  <c:v>0.58390626124774003</c:v>
                </c:pt>
                <c:pt idx="884">
                  <c:v>0.58415518069702721</c:v>
                </c:pt>
                <c:pt idx="885">
                  <c:v>0.58419254051332437</c:v>
                </c:pt>
                <c:pt idx="886">
                  <c:v>0.58441122742731233</c:v>
                </c:pt>
                <c:pt idx="887">
                  <c:v>0.58473356854712055</c:v>
                </c:pt>
                <c:pt idx="888">
                  <c:v>0.58502957048157445</c:v>
                </c:pt>
                <c:pt idx="889">
                  <c:v>0.58539994427918163</c:v>
                </c:pt>
                <c:pt idx="890">
                  <c:v>0.58635837588403461</c:v>
                </c:pt>
                <c:pt idx="891">
                  <c:v>0.58702810726430132</c:v>
                </c:pt>
                <c:pt idx="892">
                  <c:v>0.58702895711608938</c:v>
                </c:pt>
                <c:pt idx="893">
                  <c:v>0.58711725965148853</c:v>
                </c:pt>
                <c:pt idx="894">
                  <c:v>0.5875922246295312</c:v>
                </c:pt>
                <c:pt idx="895">
                  <c:v>0.5876583172878953</c:v>
                </c:pt>
                <c:pt idx="896">
                  <c:v>0.58779825466151037</c:v>
                </c:pt>
                <c:pt idx="897">
                  <c:v>0.58807247429132392</c:v>
                </c:pt>
                <c:pt idx="898">
                  <c:v>0.58899289409869793</c:v>
                </c:pt>
                <c:pt idx="899">
                  <c:v>0.58903298472329768</c:v>
                </c:pt>
                <c:pt idx="900">
                  <c:v>0.58946063412392546</c:v>
                </c:pt>
                <c:pt idx="901">
                  <c:v>0.5895702711422024</c:v>
                </c:pt>
                <c:pt idx="902">
                  <c:v>0.58986324788251976</c:v>
                </c:pt>
                <c:pt idx="903">
                  <c:v>0.59017472974769813</c:v>
                </c:pt>
                <c:pt idx="904">
                  <c:v>0.59117176259623916</c:v>
                </c:pt>
                <c:pt idx="905">
                  <c:v>0.59258245154545464</c:v>
                </c:pt>
                <c:pt idx="906">
                  <c:v>0.59273912359994141</c:v>
                </c:pt>
                <c:pt idx="907">
                  <c:v>0.59366534109996461</c:v>
                </c:pt>
                <c:pt idx="908">
                  <c:v>0.59408846611837063</c:v>
                </c:pt>
                <c:pt idx="909">
                  <c:v>0.59416294534076253</c:v>
                </c:pt>
                <c:pt idx="910">
                  <c:v>0.59424467063811204</c:v>
                </c:pt>
                <c:pt idx="911">
                  <c:v>0.59436249888450143</c:v>
                </c:pt>
                <c:pt idx="912">
                  <c:v>0.59456315452914466</c:v>
                </c:pt>
                <c:pt idx="913">
                  <c:v>0.59497973539246651</c:v>
                </c:pt>
                <c:pt idx="914">
                  <c:v>0.59513455594803821</c:v>
                </c:pt>
                <c:pt idx="915">
                  <c:v>0.5951524188974906</c:v>
                </c:pt>
                <c:pt idx="916">
                  <c:v>0.59518498689670141</c:v>
                </c:pt>
                <c:pt idx="917">
                  <c:v>0.59561113899707829</c:v>
                </c:pt>
                <c:pt idx="918">
                  <c:v>0.59603408279851522</c:v>
                </c:pt>
                <c:pt idx="919">
                  <c:v>0.59722834040266182</c:v>
                </c:pt>
                <c:pt idx="920">
                  <c:v>0.59771483149930127</c:v>
                </c:pt>
                <c:pt idx="921">
                  <c:v>0.59790878921160961</c:v>
                </c:pt>
                <c:pt idx="922">
                  <c:v>0.5982487667102182</c:v>
                </c:pt>
                <c:pt idx="923">
                  <c:v>0.59869142461395453</c:v>
                </c:pt>
                <c:pt idx="924">
                  <c:v>0.59878225230405913</c:v>
                </c:pt>
                <c:pt idx="925">
                  <c:v>0.60055067103139548</c:v>
                </c:pt>
                <c:pt idx="926">
                  <c:v>0.60072721221077963</c:v>
                </c:pt>
                <c:pt idx="927">
                  <c:v>0.60126645669154732</c:v>
                </c:pt>
                <c:pt idx="928">
                  <c:v>0.60134839090811654</c:v>
                </c:pt>
                <c:pt idx="929">
                  <c:v>0.60140518443648239</c:v>
                </c:pt>
                <c:pt idx="930">
                  <c:v>0.60144499112706207</c:v>
                </c:pt>
                <c:pt idx="931">
                  <c:v>0.6017364222735071</c:v>
                </c:pt>
                <c:pt idx="932">
                  <c:v>0.60213389391995842</c:v>
                </c:pt>
                <c:pt idx="933">
                  <c:v>0.6022920625401702</c:v>
                </c:pt>
                <c:pt idx="934">
                  <c:v>0.60258194786712682</c:v>
                </c:pt>
                <c:pt idx="935">
                  <c:v>0.6027846099435803</c:v>
                </c:pt>
                <c:pt idx="936">
                  <c:v>0.60301812023841272</c:v>
                </c:pt>
                <c:pt idx="937">
                  <c:v>0.60313892374553479</c:v>
                </c:pt>
                <c:pt idx="938">
                  <c:v>0.60345412756881023</c:v>
                </c:pt>
                <c:pt idx="939">
                  <c:v>0.60352250116994632</c:v>
                </c:pt>
                <c:pt idx="940">
                  <c:v>0.60381507249081834</c:v>
                </c:pt>
                <c:pt idx="941">
                  <c:v>0.60398871246724439</c:v>
                </c:pt>
                <c:pt idx="942">
                  <c:v>0.60529091935881163</c:v>
                </c:pt>
                <c:pt idx="943">
                  <c:v>0.6061326592797488</c:v>
                </c:pt>
                <c:pt idx="944">
                  <c:v>0.60638363168339982</c:v>
                </c:pt>
                <c:pt idx="945">
                  <c:v>0.60641193233131951</c:v>
                </c:pt>
                <c:pt idx="946">
                  <c:v>0.60729175903884358</c:v>
                </c:pt>
                <c:pt idx="947">
                  <c:v>0.60748837167750769</c:v>
                </c:pt>
                <c:pt idx="948">
                  <c:v>0.60791646901829888</c:v>
                </c:pt>
                <c:pt idx="949">
                  <c:v>0.60793066180964661</c:v>
                </c:pt>
                <c:pt idx="950">
                  <c:v>0.60846178874637236</c:v>
                </c:pt>
                <c:pt idx="951">
                  <c:v>0.61013066582524456</c:v>
                </c:pt>
                <c:pt idx="952">
                  <c:v>0.61015321458766836</c:v>
                </c:pt>
                <c:pt idx="953">
                  <c:v>0.61043619118949788</c:v>
                </c:pt>
                <c:pt idx="954">
                  <c:v>0.61075173706520247</c:v>
                </c:pt>
                <c:pt idx="955">
                  <c:v>0.61087683541991344</c:v>
                </c:pt>
                <c:pt idx="956">
                  <c:v>0.61098832935144942</c:v>
                </c:pt>
                <c:pt idx="957">
                  <c:v>0.61169801815331004</c:v>
                </c:pt>
                <c:pt idx="958">
                  <c:v>0.6118784402821198</c:v>
                </c:pt>
                <c:pt idx="959">
                  <c:v>0.6120529946463551</c:v>
                </c:pt>
                <c:pt idx="960">
                  <c:v>0.61208414623010932</c:v>
                </c:pt>
                <c:pt idx="961">
                  <c:v>0.61241357470421864</c:v>
                </c:pt>
                <c:pt idx="962">
                  <c:v>0.61340034729275827</c:v>
                </c:pt>
                <c:pt idx="963">
                  <c:v>0.61404476590892509</c:v>
                </c:pt>
                <c:pt idx="964">
                  <c:v>0.61529228512578327</c:v>
                </c:pt>
                <c:pt idx="965">
                  <c:v>0.61566897655169583</c:v>
                </c:pt>
                <c:pt idx="966">
                  <c:v>0.61583934170827892</c:v>
                </c:pt>
                <c:pt idx="967">
                  <c:v>0.61660061502717867</c:v>
                </c:pt>
                <c:pt idx="968">
                  <c:v>0.61673027710247319</c:v>
                </c:pt>
                <c:pt idx="969">
                  <c:v>0.61717179103934428</c:v>
                </c:pt>
                <c:pt idx="970">
                  <c:v>0.6176205352066495</c:v>
                </c:pt>
                <c:pt idx="971">
                  <c:v>0.6179000934695843</c:v>
                </c:pt>
                <c:pt idx="972">
                  <c:v>0.6179429792800436</c:v>
                </c:pt>
                <c:pt idx="973">
                  <c:v>0.61943050221429652</c:v>
                </c:pt>
                <c:pt idx="974">
                  <c:v>0.62118533095020301</c:v>
                </c:pt>
                <c:pt idx="975">
                  <c:v>0.62176198567187069</c:v>
                </c:pt>
                <c:pt idx="976">
                  <c:v>0.62312999601081498</c:v>
                </c:pt>
                <c:pt idx="977">
                  <c:v>0.62427017224779491</c:v>
                </c:pt>
                <c:pt idx="978">
                  <c:v>0.62544072124882011</c:v>
                </c:pt>
                <c:pt idx="979">
                  <c:v>0.62634136086123127</c:v>
                </c:pt>
                <c:pt idx="980">
                  <c:v>0.62653063858571711</c:v>
                </c:pt>
                <c:pt idx="981">
                  <c:v>0.62706374931502373</c:v>
                </c:pt>
                <c:pt idx="982">
                  <c:v>0.62746866280498037</c:v>
                </c:pt>
                <c:pt idx="983">
                  <c:v>0.62833105439971382</c:v>
                </c:pt>
                <c:pt idx="984">
                  <c:v>0.62855617206512715</c:v>
                </c:pt>
                <c:pt idx="985">
                  <c:v>0.62924036951704054</c:v>
                </c:pt>
                <c:pt idx="986">
                  <c:v>0.6302986338024229</c:v>
                </c:pt>
                <c:pt idx="987">
                  <c:v>0.63046333714041602</c:v>
                </c:pt>
                <c:pt idx="988">
                  <c:v>0.63163600890655613</c:v>
                </c:pt>
                <c:pt idx="989">
                  <c:v>0.63184766232040512</c:v>
                </c:pt>
                <c:pt idx="990">
                  <c:v>0.6333029257948013</c:v>
                </c:pt>
                <c:pt idx="991">
                  <c:v>0.63341551141847185</c:v>
                </c:pt>
                <c:pt idx="992">
                  <c:v>0.636755981394724</c:v>
                </c:pt>
                <c:pt idx="993">
                  <c:v>0.63776766840272581</c:v>
                </c:pt>
                <c:pt idx="994">
                  <c:v>0.63820029634582953</c:v>
                </c:pt>
                <c:pt idx="995">
                  <c:v>0.63932739668247029</c:v>
                </c:pt>
                <c:pt idx="996">
                  <c:v>0.63959235914043377</c:v>
                </c:pt>
                <c:pt idx="997">
                  <c:v>0.64022762658884425</c:v>
                </c:pt>
                <c:pt idx="998">
                  <c:v>0.64058994530495772</c:v>
                </c:pt>
                <c:pt idx="999">
                  <c:v>0.64086043191767961</c:v>
                </c:pt>
                <c:pt idx="1000">
                  <c:v>0.64133230747229963</c:v>
                </c:pt>
                <c:pt idx="1001">
                  <c:v>0.64304188086912817</c:v>
                </c:pt>
                <c:pt idx="1002">
                  <c:v>0.64324522882468216</c:v>
                </c:pt>
                <c:pt idx="1003">
                  <c:v>0.64338320864888077</c:v>
                </c:pt>
                <c:pt idx="1004">
                  <c:v>0.64537970553856472</c:v>
                </c:pt>
                <c:pt idx="1005">
                  <c:v>0.64637239229125787</c:v>
                </c:pt>
                <c:pt idx="1006">
                  <c:v>0.64711980238647626</c:v>
                </c:pt>
                <c:pt idx="1007">
                  <c:v>0.64714054977108626</c:v>
                </c:pt>
                <c:pt idx="1008">
                  <c:v>0.64803533885258358</c:v>
                </c:pt>
                <c:pt idx="1009">
                  <c:v>0.64856762273418045</c:v>
                </c:pt>
                <c:pt idx="1010">
                  <c:v>0.64958444752749589</c:v>
                </c:pt>
                <c:pt idx="1011">
                  <c:v>0.65199745398893416</c:v>
                </c:pt>
                <c:pt idx="1012">
                  <c:v>0.65267554862359289</c:v>
                </c:pt>
                <c:pt idx="1013">
                  <c:v>0.65316384189746057</c:v>
                </c:pt>
                <c:pt idx="1014">
                  <c:v>0.65535140763641941</c:v>
                </c:pt>
                <c:pt idx="1015">
                  <c:v>0.65622700864226258</c:v>
                </c:pt>
                <c:pt idx="1016">
                  <c:v>0.65624034362017902</c:v>
                </c:pt>
                <c:pt idx="1017">
                  <c:v>0.65633914957117423</c:v>
                </c:pt>
                <c:pt idx="1018">
                  <c:v>0.65648245962465213</c:v>
                </c:pt>
                <c:pt idx="1019">
                  <c:v>0.65760363259981325</c:v>
                </c:pt>
                <c:pt idx="1020">
                  <c:v>0.65911631804541149</c:v>
                </c:pt>
                <c:pt idx="1021">
                  <c:v>0.65947921502391738</c:v>
                </c:pt>
                <c:pt idx="1022">
                  <c:v>0.66087128410825369</c:v>
                </c:pt>
                <c:pt idx="1023">
                  <c:v>0.66204393991833754</c:v>
                </c:pt>
                <c:pt idx="1024">
                  <c:v>0.66245633119265412</c:v>
                </c:pt>
                <c:pt idx="1025">
                  <c:v>0.66251214803959835</c:v>
                </c:pt>
                <c:pt idx="1026">
                  <c:v>0.66258451272796948</c:v>
                </c:pt>
                <c:pt idx="1027">
                  <c:v>0.66340435865693892</c:v>
                </c:pt>
                <c:pt idx="1028">
                  <c:v>0.66463539166919094</c:v>
                </c:pt>
                <c:pt idx="1029">
                  <c:v>0.66856585682055236</c:v>
                </c:pt>
                <c:pt idx="1030">
                  <c:v>0.67018885250435578</c:v>
                </c:pt>
                <c:pt idx="1031">
                  <c:v>0.67262289138837672</c:v>
                </c:pt>
                <c:pt idx="1032">
                  <c:v>0.67298744630494178</c:v>
                </c:pt>
                <c:pt idx="1033">
                  <c:v>0.67411307672875675</c:v>
                </c:pt>
                <c:pt idx="1034">
                  <c:v>0.67473715260387646</c:v>
                </c:pt>
                <c:pt idx="1035">
                  <c:v>0.67496525048158995</c:v>
                </c:pt>
                <c:pt idx="1036">
                  <c:v>0.67686584242377823</c:v>
                </c:pt>
                <c:pt idx="1037">
                  <c:v>0.67735011142735158</c:v>
                </c:pt>
                <c:pt idx="1038">
                  <c:v>0.67780189907767219</c:v>
                </c:pt>
                <c:pt idx="1039">
                  <c:v>0.67830941986816151</c:v>
                </c:pt>
                <c:pt idx="1040">
                  <c:v>0.68208742095450092</c:v>
                </c:pt>
                <c:pt idx="1041">
                  <c:v>0.68334581731975264</c:v>
                </c:pt>
                <c:pt idx="1042">
                  <c:v>0.6845120165627212</c:v>
                </c:pt>
                <c:pt idx="1043">
                  <c:v>0.68551923888548205</c:v>
                </c:pt>
                <c:pt idx="1044">
                  <c:v>0.68678499788464942</c:v>
                </c:pt>
                <c:pt idx="1045">
                  <c:v>0.68680308110207244</c:v>
                </c:pt>
                <c:pt idx="1046">
                  <c:v>0.68756497591962273</c:v>
                </c:pt>
                <c:pt idx="1047">
                  <c:v>0.69525000560731853</c:v>
                </c:pt>
                <c:pt idx="1048">
                  <c:v>0.69585450508233082</c:v>
                </c:pt>
                <c:pt idx="1049">
                  <c:v>0.69756261403371367</c:v>
                </c:pt>
                <c:pt idx="1050">
                  <c:v>0.69809894132839656</c:v>
                </c:pt>
                <c:pt idx="1051">
                  <c:v>0.69988532848582008</c:v>
                </c:pt>
                <c:pt idx="1052">
                  <c:v>0.70080122317140259</c:v>
                </c:pt>
                <c:pt idx="1053">
                  <c:v>0.70287859537929076</c:v>
                </c:pt>
                <c:pt idx="1054">
                  <c:v>0.70427856285545942</c:v>
                </c:pt>
                <c:pt idx="1055">
                  <c:v>0.70730883755662599</c:v>
                </c:pt>
                <c:pt idx="1056">
                  <c:v>0.70893831840402521</c:v>
                </c:pt>
                <c:pt idx="1057">
                  <c:v>0.71251920332818419</c:v>
                </c:pt>
                <c:pt idx="1058">
                  <c:v>0.71463126152516954</c:v>
                </c:pt>
                <c:pt idx="1059">
                  <c:v>0.71781700345332955</c:v>
                </c:pt>
                <c:pt idx="1060">
                  <c:v>0.71802346180781984</c:v>
                </c:pt>
                <c:pt idx="1061">
                  <c:v>0.71843952572005754</c:v>
                </c:pt>
                <c:pt idx="1062">
                  <c:v>0.71853339142101702</c:v>
                </c:pt>
                <c:pt idx="1063">
                  <c:v>0.72443928767285171</c:v>
                </c:pt>
                <c:pt idx="1064">
                  <c:v>0.72548761957380481</c:v>
                </c:pt>
                <c:pt idx="1065">
                  <c:v>0.72564932619572653</c:v>
                </c:pt>
                <c:pt idx="1066">
                  <c:v>0.73032761498061471</c:v>
                </c:pt>
                <c:pt idx="1067">
                  <c:v>0.73124625296301482</c:v>
                </c:pt>
                <c:pt idx="1068">
                  <c:v>0.73268715328849954</c:v>
                </c:pt>
                <c:pt idx="1069">
                  <c:v>0.73536020175476335</c:v>
                </c:pt>
                <c:pt idx="1070">
                  <c:v>0.74019959107755851</c:v>
                </c:pt>
                <c:pt idx="1071">
                  <c:v>0.74194518481163019</c:v>
                </c:pt>
                <c:pt idx="1072">
                  <c:v>0.74273018644433397</c:v>
                </c:pt>
                <c:pt idx="1073">
                  <c:v>0.74319254696542114</c:v>
                </c:pt>
                <c:pt idx="1074">
                  <c:v>0.74864851297853929</c:v>
                </c:pt>
                <c:pt idx="1075">
                  <c:v>0.74942188440726598</c:v>
                </c:pt>
                <c:pt idx="1076">
                  <c:v>0.75287194497025967</c:v>
                </c:pt>
                <c:pt idx="1077">
                  <c:v>0.75339489187071929</c:v>
                </c:pt>
                <c:pt idx="1078">
                  <c:v>0.75636585364740605</c:v>
                </c:pt>
                <c:pt idx="1079">
                  <c:v>0.75783579247017108</c:v>
                </c:pt>
                <c:pt idx="1080">
                  <c:v>0.75971770004304917</c:v>
                </c:pt>
                <c:pt idx="1081">
                  <c:v>0.77836303719130917</c:v>
                </c:pt>
                <c:pt idx="1082">
                  <c:v>0.77963498364507244</c:v>
                </c:pt>
                <c:pt idx="1083">
                  <c:v>0.78756065021902921</c:v>
                </c:pt>
                <c:pt idx="1084">
                  <c:v>0.7875781330241185</c:v>
                </c:pt>
                <c:pt idx="1085">
                  <c:v>0.79077094420368776</c:v>
                </c:pt>
                <c:pt idx="1086">
                  <c:v>0.7926717679327383</c:v>
                </c:pt>
                <c:pt idx="1087">
                  <c:v>0.80726104220843486</c:v>
                </c:pt>
                <c:pt idx="1088">
                  <c:v>0.80901773584015957</c:v>
                </c:pt>
                <c:pt idx="1089">
                  <c:v>0.82418030565187061</c:v>
                </c:pt>
                <c:pt idx="1090">
                  <c:v>0.83570540446534436</c:v>
                </c:pt>
                <c:pt idx="1091">
                  <c:v>0.84156507739397057</c:v>
                </c:pt>
                <c:pt idx="1092">
                  <c:v>0.84843426162595181</c:v>
                </c:pt>
                <c:pt idx="1093">
                  <c:v>0.84906815720018769</c:v>
                </c:pt>
                <c:pt idx="1094">
                  <c:v>0.8533455242200163</c:v>
                </c:pt>
                <c:pt idx="1095">
                  <c:v>0.85335421282829016</c:v>
                </c:pt>
                <c:pt idx="1096">
                  <c:v>0.89045235908596698</c:v>
                </c:pt>
                <c:pt idx="1097">
                  <c:v>0.89582538647508025</c:v>
                </c:pt>
                <c:pt idx="1098">
                  <c:v>0.90190773321954876</c:v>
                </c:pt>
                <c:pt idx="1099">
                  <c:v>0.9315956886096336</c:v>
                </c:pt>
                <c:pt idx="1100">
                  <c:v>0.93695369159720587</c:v>
                </c:pt>
                <c:pt idx="1101">
                  <c:v>0.94542567245537434</c:v>
                </c:pt>
                <c:pt idx="1102">
                  <c:v>1</c:v>
                </c:pt>
              </c:numCache>
            </c:numRef>
          </c:yVal>
          <c:smooth val="0"/>
          <c:extLst>
            <c:ext xmlns:c16="http://schemas.microsoft.com/office/drawing/2014/chart" uri="{C3380CC4-5D6E-409C-BE32-E72D297353CC}">
              <c16:uniqueId val="{00000000-ADD3-4397-8F6C-0658CFAFE73A}"/>
            </c:ext>
          </c:extLst>
        </c:ser>
        <c:dLbls>
          <c:showLegendKey val="0"/>
          <c:showVal val="0"/>
          <c:showCatName val="0"/>
          <c:showSerName val="0"/>
          <c:showPercent val="0"/>
          <c:showBubbleSize val="0"/>
        </c:dLbls>
        <c:axId val="2100131263"/>
        <c:axId val="2100130303"/>
      </c:scatterChart>
      <c:valAx>
        <c:axId val="2100131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100130303"/>
        <c:crosses val="autoZero"/>
        <c:crossBetween val="midCat"/>
      </c:valAx>
      <c:valAx>
        <c:axId val="210013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1001312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Comparativos_Mun!$D$4</c:f>
              <c:strCache>
                <c:ptCount val="1"/>
                <c:pt idx="0">
                  <c:v>Bogotá</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Comparativos_Mun!$E$5:$E$10</c:f>
              <c:numCache>
                <c:formatCode>0</c:formatCode>
                <c:ptCount val="6"/>
                <c:pt idx="0">
                  <c:v>5</c:v>
                </c:pt>
                <c:pt idx="1">
                  <c:v>5</c:v>
                </c:pt>
                <c:pt idx="2">
                  <c:v>5</c:v>
                </c:pt>
                <c:pt idx="3">
                  <c:v>5</c:v>
                </c:pt>
                <c:pt idx="4">
                  <c:v>5</c:v>
                </c:pt>
                <c:pt idx="5">
                  <c:v>5</c:v>
                </c:pt>
              </c:numCache>
            </c:numRef>
          </c:val>
          <c:extLst>
            <c:ext xmlns:c16="http://schemas.microsoft.com/office/drawing/2014/chart" uri="{C3380CC4-5D6E-409C-BE32-E72D297353CC}">
              <c16:uniqueId val="{00000000-EBAB-554B-8099-773E9F4C1047}"/>
            </c:ext>
          </c:extLst>
        </c:ser>
        <c:ser>
          <c:idx val="1"/>
          <c:order val="1"/>
          <c:tx>
            <c:strRef>
              <c:f>Comparativos_Mun!$E$4</c:f>
              <c:strCache>
                <c:ptCount val="1"/>
                <c:pt idx="0">
                  <c:v>Ciudades grandes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Comparativos_Mun!$E$5:$E$10</c:f>
              <c:numCache>
                <c:formatCode>0</c:formatCode>
                <c:ptCount val="6"/>
                <c:pt idx="0">
                  <c:v>5</c:v>
                </c:pt>
                <c:pt idx="1">
                  <c:v>5</c:v>
                </c:pt>
                <c:pt idx="2">
                  <c:v>5</c:v>
                </c:pt>
                <c:pt idx="3">
                  <c:v>5</c:v>
                </c:pt>
                <c:pt idx="4">
                  <c:v>5</c:v>
                </c:pt>
                <c:pt idx="5">
                  <c:v>5</c:v>
                </c:pt>
              </c:numCache>
            </c:numRef>
          </c:val>
          <c:extLst>
            <c:ext xmlns:c16="http://schemas.microsoft.com/office/drawing/2014/chart" uri="{C3380CC4-5D6E-409C-BE32-E72D297353CC}">
              <c16:uniqueId val="{00000003-EBAB-554B-8099-773E9F4C1047}"/>
            </c:ext>
          </c:extLst>
        </c:ser>
        <c:ser>
          <c:idx val="2"/>
          <c:order val="2"/>
          <c:tx>
            <c:strRef>
              <c:f>Comparativos_Mun!$F$4</c:f>
              <c:strCache>
                <c:ptCount val="1"/>
                <c:pt idx="0">
                  <c:v>SC- Centro aglomeración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Comparativos_Mun!$F$5:$F$10</c:f>
              <c:numCache>
                <c:formatCode>0</c:formatCode>
                <c:ptCount val="6"/>
                <c:pt idx="0">
                  <c:v>0</c:v>
                </c:pt>
                <c:pt idx="1">
                  <c:v>0</c:v>
                </c:pt>
                <c:pt idx="2">
                  <c:v>0</c:v>
                </c:pt>
                <c:pt idx="3">
                  <c:v>0</c:v>
                </c:pt>
                <c:pt idx="4">
                  <c:v>12</c:v>
                </c:pt>
                <c:pt idx="5">
                  <c:v>12</c:v>
                </c:pt>
              </c:numCache>
            </c:numRef>
          </c:val>
          <c:extLst>
            <c:ext xmlns:c16="http://schemas.microsoft.com/office/drawing/2014/chart" uri="{C3380CC4-5D6E-409C-BE32-E72D297353CC}">
              <c16:uniqueId val="{0000000A-EBAB-554B-8099-773E9F4C1047}"/>
            </c:ext>
          </c:extLst>
        </c:ser>
        <c:ser>
          <c:idx val="3"/>
          <c:order val="3"/>
          <c:tx>
            <c:strRef>
              <c:f>Comparativos_Mun!$G$4</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Comparativos_Mun!$G$5:$G$10</c:f>
              <c:numCache>
                <c:formatCode>0</c:formatCode>
                <c:ptCount val="6"/>
                <c:pt idx="0">
                  <c:v>20</c:v>
                </c:pt>
                <c:pt idx="1">
                  <c:v>50</c:v>
                </c:pt>
                <c:pt idx="2">
                  <c:v>49</c:v>
                </c:pt>
                <c:pt idx="3">
                  <c:v>49</c:v>
                </c:pt>
                <c:pt idx="4">
                  <c:v>77</c:v>
                </c:pt>
                <c:pt idx="5">
                  <c:v>85</c:v>
                </c:pt>
              </c:numCache>
            </c:numRef>
          </c:val>
          <c:extLst>
            <c:ext xmlns:c16="http://schemas.microsoft.com/office/drawing/2014/chart" uri="{C3380CC4-5D6E-409C-BE32-E72D297353CC}">
              <c16:uniqueId val="{0000000B-EBAB-554B-8099-773E9F4C1047}"/>
            </c:ext>
          </c:extLst>
        </c:ser>
        <c:ser>
          <c:idx val="4"/>
          <c:order val="4"/>
          <c:tx>
            <c:strRef>
              <c:f>Comparativos_Mun!$H$4</c:f>
              <c:strCache>
                <c:ptCount val="1"/>
                <c:pt idx="0">
                  <c:v>2</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Comparativos_Mun!$H$5:$H$10</c:f>
              <c:numCache>
                <c:formatCode>0</c:formatCode>
                <c:ptCount val="6"/>
                <c:pt idx="0">
                  <c:v>115</c:v>
                </c:pt>
                <c:pt idx="1">
                  <c:v>177</c:v>
                </c:pt>
                <c:pt idx="2">
                  <c:v>153</c:v>
                </c:pt>
                <c:pt idx="3">
                  <c:v>197</c:v>
                </c:pt>
                <c:pt idx="4">
                  <c:v>236</c:v>
                </c:pt>
                <c:pt idx="5">
                  <c:v>235</c:v>
                </c:pt>
              </c:numCache>
            </c:numRef>
          </c:val>
          <c:extLst>
            <c:ext xmlns:c16="http://schemas.microsoft.com/office/drawing/2014/chart" uri="{C3380CC4-5D6E-409C-BE32-E72D297353CC}">
              <c16:uniqueId val="{0000000C-EBAB-554B-8099-773E9F4C1047}"/>
            </c:ext>
          </c:extLst>
        </c:ser>
        <c:ser>
          <c:idx val="5"/>
          <c:order val="5"/>
          <c:tx>
            <c:strRef>
              <c:f>Comparativos_Mun!$I$4</c:f>
              <c:strCache>
                <c:ptCount val="1"/>
                <c:pt idx="0">
                  <c:v>3</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Comparativos_Mun!$I$5:$I$10</c:f>
              <c:numCache>
                <c:formatCode>0</c:formatCode>
                <c:ptCount val="6"/>
                <c:pt idx="0">
                  <c:v>356</c:v>
                </c:pt>
                <c:pt idx="1">
                  <c:v>375</c:v>
                </c:pt>
                <c:pt idx="2">
                  <c:v>368</c:v>
                </c:pt>
                <c:pt idx="3">
                  <c:v>393</c:v>
                </c:pt>
                <c:pt idx="4">
                  <c:v>366</c:v>
                </c:pt>
                <c:pt idx="5">
                  <c:v>393</c:v>
                </c:pt>
              </c:numCache>
            </c:numRef>
          </c:val>
          <c:extLst>
            <c:ext xmlns:c16="http://schemas.microsoft.com/office/drawing/2014/chart" uri="{C3380CC4-5D6E-409C-BE32-E72D297353CC}">
              <c16:uniqueId val="{0000000D-EBAB-554B-8099-773E9F4C1047}"/>
            </c:ext>
          </c:extLst>
        </c:ser>
        <c:ser>
          <c:idx val="6"/>
          <c:order val="6"/>
          <c:tx>
            <c:strRef>
              <c:f>Comparativos_Mun!$J$4</c:f>
              <c:strCache>
                <c:ptCount val="1"/>
                <c:pt idx="0">
                  <c:v>4</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Comparativos_Mun!$J$5:$J$10</c:f>
              <c:numCache>
                <c:formatCode>0</c:formatCode>
                <c:ptCount val="6"/>
                <c:pt idx="0">
                  <c:v>461</c:v>
                </c:pt>
                <c:pt idx="1">
                  <c:v>398</c:v>
                </c:pt>
                <c:pt idx="2">
                  <c:v>409</c:v>
                </c:pt>
                <c:pt idx="3">
                  <c:v>374</c:v>
                </c:pt>
                <c:pt idx="4">
                  <c:v>338</c:v>
                </c:pt>
                <c:pt idx="5">
                  <c:v>318</c:v>
                </c:pt>
              </c:numCache>
            </c:numRef>
          </c:val>
          <c:extLst>
            <c:ext xmlns:c16="http://schemas.microsoft.com/office/drawing/2014/chart" uri="{C3380CC4-5D6E-409C-BE32-E72D297353CC}">
              <c16:uniqueId val="{0000000E-EBAB-554B-8099-773E9F4C1047}"/>
            </c:ext>
          </c:extLst>
        </c:ser>
        <c:ser>
          <c:idx val="7"/>
          <c:order val="7"/>
          <c:tx>
            <c:strRef>
              <c:f>Comparativos_Mun!$K$4</c:f>
              <c:strCache>
                <c:ptCount val="1"/>
                <c:pt idx="0">
                  <c:v>5</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Comparativos_Mun!$K$5:$K$10</c:f>
              <c:numCache>
                <c:formatCode>0</c:formatCode>
                <c:ptCount val="6"/>
                <c:pt idx="0">
                  <c:v>145</c:v>
                </c:pt>
                <c:pt idx="1">
                  <c:v>97</c:v>
                </c:pt>
                <c:pt idx="2">
                  <c:v>118</c:v>
                </c:pt>
                <c:pt idx="3">
                  <c:v>83</c:v>
                </c:pt>
                <c:pt idx="4">
                  <c:v>67</c:v>
                </c:pt>
                <c:pt idx="5">
                  <c:v>53</c:v>
                </c:pt>
              </c:numCache>
            </c:numRef>
          </c:val>
          <c:extLst>
            <c:ext xmlns:c16="http://schemas.microsoft.com/office/drawing/2014/chart" uri="{C3380CC4-5D6E-409C-BE32-E72D297353CC}">
              <c16:uniqueId val="{0000000F-EBAB-554B-8099-773E9F4C1047}"/>
            </c:ext>
          </c:extLst>
        </c:ser>
        <c:dLbls>
          <c:dLblPos val="ctr"/>
          <c:showLegendKey val="0"/>
          <c:showVal val="1"/>
          <c:showCatName val="0"/>
          <c:showSerName val="0"/>
          <c:showPercent val="0"/>
          <c:showBubbleSize val="0"/>
        </c:dLbls>
        <c:gapWidth val="150"/>
        <c:overlap val="100"/>
        <c:axId val="1359598896"/>
        <c:axId val="1359600608"/>
      </c:barChart>
      <c:catAx>
        <c:axId val="13595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59600608"/>
        <c:crosses val="autoZero"/>
        <c:auto val="1"/>
        <c:lblAlgn val="ctr"/>
        <c:lblOffset val="100"/>
        <c:noMultiLvlLbl val="0"/>
      </c:catAx>
      <c:valAx>
        <c:axId val="135960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59598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Municipios!$Z$2</c:f>
              <c:strCache>
                <c:ptCount val="1"/>
                <c:pt idx="0">
                  <c:v>IC_2025</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yVal>
            <c:numRef>
              <c:f>Municipios!$Z$3:$Z$1105</c:f>
              <c:numCache>
                <c:formatCode>0.00</c:formatCode>
                <c:ptCount val="125"/>
                <c:pt idx="0">
                  <c:v>83.806883784421984</c:v>
                </c:pt>
                <c:pt idx="1">
                  <c:v>83.913926483900156</c:v>
                </c:pt>
                <c:pt idx="2">
                  <c:v>76.771487435173157</c:v>
                </c:pt>
                <c:pt idx="3">
                  <c:v>77.691728802256307</c:v>
                </c:pt>
                <c:pt idx="4">
                  <c:v>81.997720949776749</c:v>
                </c:pt>
                <c:pt idx="5">
                  <c:v>73.627079656112414</c:v>
                </c:pt>
                <c:pt idx="6">
                  <c:v>69.841272144912423</c:v>
                </c:pt>
                <c:pt idx="7">
                  <c:v>81.733980208649399</c:v>
                </c:pt>
                <c:pt idx="8">
                  <c:v>63.999969052171096</c:v>
                </c:pt>
                <c:pt idx="9">
                  <c:v>69.300246580668642</c:v>
                </c:pt>
                <c:pt idx="10">
                  <c:v>69.979843224483204</c:v>
                </c:pt>
                <c:pt idx="11">
                  <c:v>70.224358451542045</c:v>
                </c:pt>
                <c:pt idx="12">
                  <c:v>73.593315417131009</c:v>
                </c:pt>
                <c:pt idx="13">
                  <c:v>57.201380808786979</c:v>
                </c:pt>
                <c:pt idx="14">
                  <c:v>72.933372783115374</c:v>
                </c:pt>
                <c:pt idx="15">
                  <c:v>52.66376504251636</c:v>
                </c:pt>
                <c:pt idx="16">
                  <c:v>58.995775325591765</c:v>
                </c:pt>
                <c:pt idx="17">
                  <c:v>65.137091064378836</c:v>
                </c:pt>
                <c:pt idx="18">
                  <c:v>53.430716296723332</c:v>
                </c:pt>
                <c:pt idx="19">
                  <c:v>60.220424615337258</c:v>
                </c:pt>
                <c:pt idx="20">
                  <c:v>57.042443900016096</c:v>
                </c:pt>
                <c:pt idx="21">
                  <c:v>69.311755563359895</c:v>
                </c:pt>
                <c:pt idx="22">
                  <c:v>50.521078795254553</c:v>
                </c:pt>
                <c:pt idx="23">
                  <c:v>60.934122447118796</c:v>
                </c:pt>
                <c:pt idx="24">
                  <c:v>64.052318642592013</c:v>
                </c:pt>
                <c:pt idx="25">
                  <c:v>56.545355007634868</c:v>
                </c:pt>
                <c:pt idx="26">
                  <c:v>56.750207100884026</c:v>
                </c:pt>
                <c:pt idx="27">
                  <c:v>59.068691498058421</c:v>
                </c:pt>
                <c:pt idx="28">
                  <c:v>46.039983077086369</c:v>
                </c:pt>
                <c:pt idx="29">
                  <c:v>59.245209710097939</c:v>
                </c:pt>
                <c:pt idx="30">
                  <c:v>53.583473981838146</c:v>
                </c:pt>
                <c:pt idx="31">
                  <c:v>61.993860970074167</c:v>
                </c:pt>
                <c:pt idx="32">
                  <c:v>56.469854698718059</c:v>
                </c:pt>
                <c:pt idx="33">
                  <c:v>46.827557100351441</c:v>
                </c:pt>
                <c:pt idx="34">
                  <c:v>51.949779870642416</c:v>
                </c:pt>
                <c:pt idx="35">
                  <c:v>53.36418917744885</c:v>
                </c:pt>
                <c:pt idx="36">
                  <c:v>59.713842728949345</c:v>
                </c:pt>
                <c:pt idx="37">
                  <c:v>51.201357846383267</c:v>
                </c:pt>
                <c:pt idx="38">
                  <c:v>52.472239178989824</c:v>
                </c:pt>
                <c:pt idx="39">
                  <c:v>55.751482067257811</c:v>
                </c:pt>
                <c:pt idx="40">
                  <c:v>56.894294018872039</c:v>
                </c:pt>
                <c:pt idx="41">
                  <c:v>44.649743407981177</c:v>
                </c:pt>
                <c:pt idx="42">
                  <c:v>51.520323534143316</c:v>
                </c:pt>
                <c:pt idx="43">
                  <c:v>62.654822935576981</c:v>
                </c:pt>
                <c:pt idx="44">
                  <c:v>59.793158936237994</c:v>
                </c:pt>
                <c:pt idx="45">
                  <c:v>65.264464092510281</c:v>
                </c:pt>
                <c:pt idx="46">
                  <c:v>51.484559424930822</c:v>
                </c:pt>
                <c:pt idx="47">
                  <c:v>59.648059512996305</c:v>
                </c:pt>
                <c:pt idx="48">
                  <c:v>61.285951945796789</c:v>
                </c:pt>
                <c:pt idx="49">
                  <c:v>63.613980904956968</c:v>
                </c:pt>
                <c:pt idx="50">
                  <c:v>59.128961625393785</c:v>
                </c:pt>
                <c:pt idx="51">
                  <c:v>54.903875268295096</c:v>
                </c:pt>
                <c:pt idx="52">
                  <c:v>43.938954422107798</c:v>
                </c:pt>
                <c:pt idx="53">
                  <c:v>54.29485350209815</c:v>
                </c:pt>
                <c:pt idx="54">
                  <c:v>64.012547356491893</c:v>
                </c:pt>
                <c:pt idx="55">
                  <c:v>59.023275820306083</c:v>
                </c:pt>
                <c:pt idx="56">
                  <c:v>57.889459753177562</c:v>
                </c:pt>
                <c:pt idx="57">
                  <c:v>43.87324840123388</c:v>
                </c:pt>
                <c:pt idx="58">
                  <c:v>61.166731921847749</c:v>
                </c:pt>
                <c:pt idx="59">
                  <c:v>61.161780327551952</c:v>
                </c:pt>
                <c:pt idx="60">
                  <c:v>56.668387133904289</c:v>
                </c:pt>
                <c:pt idx="61">
                  <c:v>46.515713230572857</c:v>
                </c:pt>
                <c:pt idx="62">
                  <c:v>66.379827681128376</c:v>
                </c:pt>
                <c:pt idx="63">
                  <c:v>68.098560071165934</c:v>
                </c:pt>
                <c:pt idx="64">
                  <c:v>45.362505379494436</c:v>
                </c:pt>
                <c:pt idx="65">
                  <c:v>55.745550928894801</c:v>
                </c:pt>
                <c:pt idx="66">
                  <c:v>48.085073963539017</c:v>
                </c:pt>
                <c:pt idx="67">
                  <c:v>64.80198451281079</c:v>
                </c:pt>
                <c:pt idx="68">
                  <c:v>54.158768123507357</c:v>
                </c:pt>
                <c:pt idx="69">
                  <c:v>49.447854957070533</c:v>
                </c:pt>
                <c:pt idx="70">
                  <c:v>49.48760952543477</c:v>
                </c:pt>
                <c:pt idx="71">
                  <c:v>49.814400335497581</c:v>
                </c:pt>
                <c:pt idx="72">
                  <c:v>56.176360326168805</c:v>
                </c:pt>
                <c:pt idx="73">
                  <c:v>56.303426274013944</c:v>
                </c:pt>
                <c:pt idx="74">
                  <c:v>49.35791642102842</c:v>
                </c:pt>
                <c:pt idx="75">
                  <c:v>62.517618988717715</c:v>
                </c:pt>
                <c:pt idx="76">
                  <c:v>45.582024232044667</c:v>
                </c:pt>
                <c:pt idx="77">
                  <c:v>47.584120151065648</c:v>
                </c:pt>
                <c:pt idx="78">
                  <c:v>57.950708908079271</c:v>
                </c:pt>
                <c:pt idx="79">
                  <c:v>52.677859879059</c:v>
                </c:pt>
                <c:pt idx="80">
                  <c:v>55.506216257311536</c:v>
                </c:pt>
                <c:pt idx="81">
                  <c:v>61.0907431261721</c:v>
                </c:pt>
                <c:pt idx="82">
                  <c:v>51.245922892140385</c:v>
                </c:pt>
                <c:pt idx="83">
                  <c:v>55.099567755400543</c:v>
                </c:pt>
                <c:pt idx="84">
                  <c:v>68.264681923862909</c:v>
                </c:pt>
                <c:pt idx="85">
                  <c:v>52.181031820245806</c:v>
                </c:pt>
                <c:pt idx="86">
                  <c:v>69.51555191716389</c:v>
                </c:pt>
                <c:pt idx="87">
                  <c:v>52.914538760756955</c:v>
                </c:pt>
                <c:pt idx="88">
                  <c:v>51.303577873292603</c:v>
                </c:pt>
                <c:pt idx="89">
                  <c:v>54.371137213675901</c:v>
                </c:pt>
                <c:pt idx="90">
                  <c:v>44.358607716275856</c:v>
                </c:pt>
                <c:pt idx="91">
                  <c:v>60.54418122205648</c:v>
                </c:pt>
                <c:pt idx="92">
                  <c:v>48.782021676142406</c:v>
                </c:pt>
                <c:pt idx="93">
                  <c:v>49.599336741427749</c:v>
                </c:pt>
                <c:pt idx="94">
                  <c:v>54.458915498190009</c:v>
                </c:pt>
                <c:pt idx="95">
                  <c:v>57.873473783457868</c:v>
                </c:pt>
                <c:pt idx="96">
                  <c:v>63.852157202553158</c:v>
                </c:pt>
                <c:pt idx="97">
                  <c:v>61.186045469257593</c:v>
                </c:pt>
                <c:pt idx="98">
                  <c:v>56.973744215092495</c:v>
                </c:pt>
                <c:pt idx="99">
                  <c:v>57.971002333979762</c:v>
                </c:pt>
                <c:pt idx="100">
                  <c:v>55.234302918916697</c:v>
                </c:pt>
                <c:pt idx="101">
                  <c:v>43.399093515183161</c:v>
                </c:pt>
                <c:pt idx="102">
                  <c:v>46.490289481517884</c:v>
                </c:pt>
                <c:pt idx="103">
                  <c:v>48.039239393282656</c:v>
                </c:pt>
                <c:pt idx="104">
                  <c:v>61.150544625347877</c:v>
                </c:pt>
                <c:pt idx="105">
                  <c:v>58.673568310030106</c:v>
                </c:pt>
                <c:pt idx="106">
                  <c:v>58.965416382159191</c:v>
                </c:pt>
                <c:pt idx="107">
                  <c:v>58.894898811493476</c:v>
                </c:pt>
                <c:pt idx="108">
                  <c:v>56.254538213401972</c:v>
                </c:pt>
                <c:pt idx="109">
                  <c:v>55.437890705738326</c:v>
                </c:pt>
                <c:pt idx="110">
                  <c:v>47.313864157195994</c:v>
                </c:pt>
                <c:pt idx="111">
                  <c:v>59.837570041821387</c:v>
                </c:pt>
                <c:pt idx="112">
                  <c:v>48.58611113502279</c:v>
                </c:pt>
                <c:pt idx="113">
                  <c:v>55.478152178892792</c:v>
                </c:pt>
                <c:pt idx="114">
                  <c:v>59.916494338888626</c:v>
                </c:pt>
                <c:pt idx="115">
                  <c:v>52.574415639601142</c:v>
                </c:pt>
                <c:pt idx="116">
                  <c:v>59.321723799403998</c:v>
                </c:pt>
                <c:pt idx="117">
                  <c:v>55.680963840360519</c:v>
                </c:pt>
                <c:pt idx="118">
                  <c:v>61.269319978022423</c:v>
                </c:pt>
                <c:pt idx="119">
                  <c:v>44.910035631000326</c:v>
                </c:pt>
                <c:pt idx="120">
                  <c:v>63.119613644562563</c:v>
                </c:pt>
                <c:pt idx="121">
                  <c:v>41.364716964384122</c:v>
                </c:pt>
                <c:pt idx="122">
                  <c:v>51.101803780970236</c:v>
                </c:pt>
                <c:pt idx="123">
                  <c:v>45.172273274778732</c:v>
                </c:pt>
                <c:pt idx="124">
                  <c:v>45.889110903966667</c:v>
                </c:pt>
              </c:numCache>
            </c:numRef>
          </c:yVal>
          <c:smooth val="0"/>
          <c:extLst>
            <c:ext xmlns:c16="http://schemas.microsoft.com/office/drawing/2014/chart" uri="{C3380CC4-5D6E-409C-BE32-E72D297353CC}">
              <c16:uniqueId val="{00000003-5EA3-4C7F-9F48-A1A2B99F39D2}"/>
            </c:ext>
          </c:extLst>
        </c:ser>
        <c:ser>
          <c:idx val="0"/>
          <c:order val="1"/>
          <c:tx>
            <c:strRef>
              <c:f>Municipios!$P$2</c:f>
              <c:strCache>
                <c:ptCount val="1"/>
                <c:pt idx="0">
                  <c:v>IC_2026</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2700" cap="flat" cmpd="sng" algn="ctr">
                <a:solidFill>
                  <a:schemeClr val="dk1"/>
                </a:solidFill>
                <a:prstDash val="solid"/>
                <a:miter lim="800000"/>
              </a:ln>
              <a:effectLst/>
            </c:spPr>
            <c:trendlineType val="linear"/>
            <c:dispRSqr val="0"/>
            <c:dispEq val="0"/>
          </c:trendline>
          <c:yVal>
            <c:numRef>
              <c:f>Municipios!$P$3:$P$1105</c:f>
              <c:numCache>
                <c:formatCode>0.00</c:formatCode>
                <c:ptCount val="125"/>
                <c:pt idx="0">
                  <c:v>84.251983735459675</c:v>
                </c:pt>
                <c:pt idx="1">
                  <c:v>81.993617890042515</c:v>
                </c:pt>
                <c:pt idx="2">
                  <c:v>80.834259963509723</c:v>
                </c:pt>
                <c:pt idx="3">
                  <c:v>76.741962257738095</c:v>
                </c:pt>
                <c:pt idx="4">
                  <c:v>82.223861549108832</c:v>
                </c:pt>
                <c:pt idx="5">
                  <c:v>74.323159262420504</c:v>
                </c:pt>
                <c:pt idx="6">
                  <c:v>72.685862185066327</c:v>
                </c:pt>
                <c:pt idx="7">
                  <c:v>81.602762516258124</c:v>
                </c:pt>
                <c:pt idx="8">
                  <c:v>63.305354217858195</c:v>
                </c:pt>
                <c:pt idx="9">
                  <c:v>67.968966100510556</c:v>
                </c:pt>
                <c:pt idx="10">
                  <c:v>70.921128007270539</c:v>
                </c:pt>
                <c:pt idx="11">
                  <c:v>70.773100682623067</c:v>
                </c:pt>
                <c:pt idx="12">
                  <c:v>74.648015072661551</c:v>
                </c:pt>
                <c:pt idx="13">
                  <c:v>57.799402468221118</c:v>
                </c:pt>
                <c:pt idx="14">
                  <c:v>71.866798580586078</c:v>
                </c:pt>
                <c:pt idx="15">
                  <c:v>54.643911069641135</c:v>
                </c:pt>
                <c:pt idx="16">
                  <c:v>59.075856563735968</c:v>
                </c:pt>
                <c:pt idx="17">
                  <c:v>66.084996075430325</c:v>
                </c:pt>
                <c:pt idx="18">
                  <c:v>56.317091017813844</c:v>
                </c:pt>
                <c:pt idx="19">
                  <c:v>59.464376072383715</c:v>
                </c:pt>
                <c:pt idx="20">
                  <c:v>56.766036097753087</c:v>
                </c:pt>
                <c:pt idx="21">
                  <c:v>72.982442813107497</c:v>
                </c:pt>
                <c:pt idx="22">
                  <c:v>51.996695576757659</c:v>
                </c:pt>
                <c:pt idx="23">
                  <c:v>58.379360335789329</c:v>
                </c:pt>
                <c:pt idx="24">
                  <c:v>69.386214592327818</c:v>
                </c:pt>
                <c:pt idx="25">
                  <c:v>55.621163167304147</c:v>
                </c:pt>
                <c:pt idx="26">
                  <c:v>54.992983743838579</c:v>
                </c:pt>
                <c:pt idx="27">
                  <c:v>59.887890265687325</c:v>
                </c:pt>
                <c:pt idx="28">
                  <c:v>47.611272592128401</c:v>
                </c:pt>
                <c:pt idx="29">
                  <c:v>58.94078847554043</c:v>
                </c:pt>
                <c:pt idx="30">
                  <c:v>55.16844091415507</c:v>
                </c:pt>
                <c:pt idx="31">
                  <c:v>59.582209464266683</c:v>
                </c:pt>
                <c:pt idx="32">
                  <c:v>56.911547183904439</c:v>
                </c:pt>
                <c:pt idx="33">
                  <c:v>47.814517967501473</c:v>
                </c:pt>
                <c:pt idx="34">
                  <c:v>53.317998537427542</c:v>
                </c:pt>
                <c:pt idx="35">
                  <c:v>48.077497859571523</c:v>
                </c:pt>
                <c:pt idx="36">
                  <c:v>60.62077016537647</c:v>
                </c:pt>
                <c:pt idx="37">
                  <c:v>54.630980783944267</c:v>
                </c:pt>
                <c:pt idx="38">
                  <c:v>49.496694753671967</c:v>
                </c:pt>
                <c:pt idx="39">
                  <c:v>57.768098412104656</c:v>
                </c:pt>
                <c:pt idx="40">
                  <c:v>57.638187071858773</c:v>
                </c:pt>
                <c:pt idx="41">
                  <c:v>47.212858569146476</c:v>
                </c:pt>
                <c:pt idx="42">
                  <c:v>53.658294539210033</c:v>
                </c:pt>
                <c:pt idx="43">
                  <c:v>62.630302037250587</c:v>
                </c:pt>
                <c:pt idx="44">
                  <c:v>63.747733215098329</c:v>
                </c:pt>
                <c:pt idx="45">
                  <c:v>65.711141387276484</c:v>
                </c:pt>
                <c:pt idx="46">
                  <c:v>51.708806640927406</c:v>
                </c:pt>
                <c:pt idx="47">
                  <c:v>61.136348206642126</c:v>
                </c:pt>
                <c:pt idx="48">
                  <c:v>54.766362302974031</c:v>
                </c:pt>
                <c:pt idx="49">
                  <c:v>63.693187368445095</c:v>
                </c:pt>
                <c:pt idx="50">
                  <c:v>60.993271654154938</c:v>
                </c:pt>
                <c:pt idx="51">
                  <c:v>53.122792544180811</c:v>
                </c:pt>
                <c:pt idx="52">
                  <c:v>44.081187817075218</c:v>
                </c:pt>
                <c:pt idx="53">
                  <c:v>52.805940270032337</c:v>
                </c:pt>
                <c:pt idx="54">
                  <c:v>65.182319747705691</c:v>
                </c:pt>
                <c:pt idx="55">
                  <c:v>56.488647959399913</c:v>
                </c:pt>
                <c:pt idx="56">
                  <c:v>58.841927029992235</c:v>
                </c:pt>
                <c:pt idx="57">
                  <c:v>44.636383340304562</c:v>
                </c:pt>
                <c:pt idx="58">
                  <c:v>63.171748316721825</c:v>
                </c:pt>
                <c:pt idx="59">
                  <c:v>60.476903737566566</c:v>
                </c:pt>
                <c:pt idx="60">
                  <c:v>59.050911529076089</c:v>
                </c:pt>
                <c:pt idx="61">
                  <c:v>48.86810466267967</c:v>
                </c:pt>
                <c:pt idx="62">
                  <c:v>68.365385107000662</c:v>
                </c:pt>
                <c:pt idx="63">
                  <c:v>71.433649124018217</c:v>
                </c:pt>
                <c:pt idx="64">
                  <c:v>45.478411268464342</c:v>
                </c:pt>
                <c:pt idx="65">
                  <c:v>52.323168238735221</c:v>
                </c:pt>
                <c:pt idx="66">
                  <c:v>45.278794881009262</c:v>
                </c:pt>
                <c:pt idx="67">
                  <c:v>65.763828656086929</c:v>
                </c:pt>
                <c:pt idx="68">
                  <c:v>50.181890451727057</c:v>
                </c:pt>
                <c:pt idx="69">
                  <c:v>51.006735765782544</c:v>
                </c:pt>
                <c:pt idx="70">
                  <c:v>49.494392253346874</c:v>
                </c:pt>
                <c:pt idx="71">
                  <c:v>47.691874486590144</c:v>
                </c:pt>
                <c:pt idx="72">
                  <c:v>49.054750592019012</c:v>
                </c:pt>
                <c:pt idx="73">
                  <c:v>56.792558507097006</c:v>
                </c:pt>
                <c:pt idx="74">
                  <c:v>51.488620625821639</c:v>
                </c:pt>
                <c:pt idx="75">
                  <c:v>58.053554889079422</c:v>
                </c:pt>
                <c:pt idx="76">
                  <c:v>45.690285632595874</c:v>
                </c:pt>
                <c:pt idx="77">
                  <c:v>48.44034727204383</c:v>
                </c:pt>
                <c:pt idx="78">
                  <c:v>57.857948364740238</c:v>
                </c:pt>
                <c:pt idx="79">
                  <c:v>52.660367359695726</c:v>
                </c:pt>
                <c:pt idx="80">
                  <c:v>56.002375850588209</c:v>
                </c:pt>
                <c:pt idx="81">
                  <c:v>59.795723450818613</c:v>
                </c:pt>
                <c:pt idx="82">
                  <c:v>51.550264548412166</c:v>
                </c:pt>
                <c:pt idx="83">
                  <c:v>54.808400897146875</c:v>
                </c:pt>
                <c:pt idx="84">
                  <c:v>67.000140774916147</c:v>
                </c:pt>
                <c:pt idx="85">
                  <c:v>54.356115838232732</c:v>
                </c:pt>
                <c:pt idx="86">
                  <c:v>67.214614048195102</c:v>
                </c:pt>
                <c:pt idx="87">
                  <c:v>53.979356892642528</c:v>
                </c:pt>
                <c:pt idx="88">
                  <c:v>49.083691408036017</c:v>
                </c:pt>
                <c:pt idx="89">
                  <c:v>58.024091685741936</c:v>
                </c:pt>
                <c:pt idx="90">
                  <c:v>42.022055007043434</c:v>
                </c:pt>
                <c:pt idx="91">
                  <c:v>58.666151784394337</c:v>
                </c:pt>
                <c:pt idx="92">
                  <c:v>47.48938229984315</c:v>
                </c:pt>
                <c:pt idx="93">
                  <c:v>46.82083502429392</c:v>
                </c:pt>
                <c:pt idx="94">
                  <c:v>55.822175586682121</c:v>
                </c:pt>
                <c:pt idx="95">
                  <c:v>56.536153530250573</c:v>
                </c:pt>
                <c:pt idx="96">
                  <c:v>62.987615107896616</c:v>
                </c:pt>
                <c:pt idx="97">
                  <c:v>58.027684037280203</c:v>
                </c:pt>
                <c:pt idx="98">
                  <c:v>58.350763776181466</c:v>
                </c:pt>
                <c:pt idx="99">
                  <c:v>60.754994569685465</c:v>
                </c:pt>
                <c:pt idx="100">
                  <c:v>56.126585483060502</c:v>
                </c:pt>
                <c:pt idx="101">
                  <c:v>43.839631691253871</c:v>
                </c:pt>
                <c:pt idx="102">
                  <c:v>44.871906292405995</c:v>
                </c:pt>
                <c:pt idx="103">
                  <c:v>50.528931109114396</c:v>
                </c:pt>
                <c:pt idx="104">
                  <c:v>62.950782094621303</c:v>
                </c:pt>
                <c:pt idx="105">
                  <c:v>59.832886888479372</c:v>
                </c:pt>
                <c:pt idx="106">
                  <c:v>59.548037297489998</c:v>
                </c:pt>
                <c:pt idx="107">
                  <c:v>58.500334234090673</c:v>
                </c:pt>
                <c:pt idx="108">
                  <c:v>58.104150546537547</c:v>
                </c:pt>
                <c:pt idx="109">
                  <c:v>56.197733697414961</c:v>
                </c:pt>
                <c:pt idx="110">
                  <c:v>46.756732687390652</c:v>
                </c:pt>
                <c:pt idx="111">
                  <c:v>56.277639530516986</c:v>
                </c:pt>
                <c:pt idx="112">
                  <c:v>47.243772908784464</c:v>
                </c:pt>
                <c:pt idx="113">
                  <c:v>56.167199785975683</c:v>
                </c:pt>
                <c:pt idx="114">
                  <c:v>53.561707478432147</c:v>
                </c:pt>
                <c:pt idx="115">
                  <c:v>51.910136523145638</c:v>
                </c:pt>
                <c:pt idx="116">
                  <c:v>60.364729365325701</c:v>
                </c:pt>
                <c:pt idx="117">
                  <c:v>57.480629244194361</c:v>
                </c:pt>
                <c:pt idx="118">
                  <c:v>59.413948699561317</c:v>
                </c:pt>
                <c:pt idx="119">
                  <c:v>43.426360496115748</c:v>
                </c:pt>
                <c:pt idx="120">
                  <c:v>65.269033930171119</c:v>
                </c:pt>
                <c:pt idx="121">
                  <c:v>40.552527293605522</c:v>
                </c:pt>
                <c:pt idx="122">
                  <c:v>56.648201370639995</c:v>
                </c:pt>
                <c:pt idx="123">
                  <c:v>46.477435050288868</c:v>
                </c:pt>
                <c:pt idx="124">
                  <c:v>45.987489229683376</c:v>
                </c:pt>
              </c:numCache>
            </c:numRef>
          </c:yVal>
          <c:smooth val="0"/>
          <c:extLst>
            <c:ext xmlns:c16="http://schemas.microsoft.com/office/drawing/2014/chart" uri="{C3380CC4-5D6E-409C-BE32-E72D297353CC}">
              <c16:uniqueId val="{00000001-5EA3-4C7F-9F48-A1A2B99F39D2}"/>
            </c:ext>
          </c:extLst>
        </c:ser>
        <c:dLbls>
          <c:showLegendKey val="0"/>
          <c:showVal val="0"/>
          <c:showCatName val="0"/>
          <c:showSerName val="0"/>
          <c:showPercent val="0"/>
          <c:showBubbleSize val="0"/>
        </c:dLbls>
        <c:axId val="701194192"/>
        <c:axId val="701183632"/>
      </c:scatterChart>
      <c:valAx>
        <c:axId val="701194192"/>
        <c:scaling>
          <c:orientation val="minMax"/>
          <c:max val="1100"/>
          <c:min val="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701183632"/>
        <c:crosses val="autoZero"/>
        <c:crossBetween val="midCat"/>
      </c:valAx>
      <c:valAx>
        <c:axId val="701183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70119419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Ponderador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scatterChart>
        <c:scatterStyle val="lineMarker"/>
        <c:varyColors val="0"/>
        <c:ser>
          <c:idx val="0"/>
          <c:order val="0"/>
          <c:tx>
            <c:strRef>
              <c:f>Municipios!$S$2</c:f>
              <c:strCache>
                <c:ptCount val="1"/>
                <c:pt idx="0">
                  <c:v>Pond_2026</c:v>
                </c:pt>
              </c:strCache>
            </c:strRef>
          </c:tx>
          <c:spPr>
            <a:ln w="25400" cap="rnd">
              <a:noFill/>
              <a:round/>
            </a:ln>
            <a:effectLst/>
          </c:spPr>
          <c:marker>
            <c:symbol val="circle"/>
            <c:size val="5"/>
            <c:spPr>
              <a:solidFill>
                <a:schemeClr val="accent1"/>
              </a:solidFill>
              <a:ln w="9525">
                <a:solidFill>
                  <a:schemeClr val="accent1"/>
                </a:solidFill>
              </a:ln>
              <a:effectLst/>
            </c:spPr>
          </c:marker>
          <c:yVal>
            <c:numRef>
              <c:f>Municipios!$S$3:$S$1105</c:f>
              <c:numCache>
                <c:formatCode>0.00</c:formatCode>
                <c:ptCount val="125"/>
                <c:pt idx="0">
                  <c:v>1</c:v>
                </c:pt>
                <c:pt idx="1">
                  <c:v>0.94542567245537434</c:v>
                </c:pt>
                <c:pt idx="2">
                  <c:v>0.93695369159720587</c:v>
                </c:pt>
                <c:pt idx="3">
                  <c:v>0.89582538647508025</c:v>
                </c:pt>
                <c:pt idx="4">
                  <c:v>0.89045235908596698</c:v>
                </c:pt>
                <c:pt idx="5">
                  <c:v>0.85335421282829016</c:v>
                </c:pt>
                <c:pt idx="6">
                  <c:v>0.80901773584015957</c:v>
                </c:pt>
                <c:pt idx="7">
                  <c:v>0.74864851297853929</c:v>
                </c:pt>
                <c:pt idx="8">
                  <c:v>0.75636585364740605</c:v>
                </c:pt>
                <c:pt idx="9">
                  <c:v>0.75783579247017108</c:v>
                </c:pt>
                <c:pt idx="10">
                  <c:v>0.73032761498061471</c:v>
                </c:pt>
                <c:pt idx="11">
                  <c:v>0.71853339142101702</c:v>
                </c:pt>
                <c:pt idx="12">
                  <c:v>0.70893831840402521</c:v>
                </c:pt>
                <c:pt idx="13">
                  <c:v>0.70287859537929076</c:v>
                </c:pt>
                <c:pt idx="14">
                  <c:v>0.69756261403371367</c:v>
                </c:pt>
                <c:pt idx="15">
                  <c:v>0.6845120165627212</c:v>
                </c:pt>
                <c:pt idx="16">
                  <c:v>0.63959235914043377</c:v>
                </c:pt>
                <c:pt idx="17">
                  <c:v>0.63341551141847185</c:v>
                </c:pt>
                <c:pt idx="18">
                  <c:v>0.62833105439971382</c:v>
                </c:pt>
                <c:pt idx="19">
                  <c:v>0.6179000934695843</c:v>
                </c:pt>
                <c:pt idx="20">
                  <c:v>0.61566897655169583</c:v>
                </c:pt>
                <c:pt idx="21">
                  <c:v>0.61013066582524456</c:v>
                </c:pt>
                <c:pt idx="22">
                  <c:v>0.61241357470421864</c:v>
                </c:pt>
                <c:pt idx="23">
                  <c:v>0.60529091935881163</c:v>
                </c:pt>
                <c:pt idx="24">
                  <c:v>0.61660061502717867</c:v>
                </c:pt>
                <c:pt idx="25">
                  <c:v>0.59603408279851522</c:v>
                </c:pt>
                <c:pt idx="26">
                  <c:v>0.60126645669154732</c:v>
                </c:pt>
                <c:pt idx="27">
                  <c:v>0.60301812023841272</c:v>
                </c:pt>
                <c:pt idx="28">
                  <c:v>0.59408846611837063</c:v>
                </c:pt>
                <c:pt idx="29">
                  <c:v>0.58473356854712055</c:v>
                </c:pt>
                <c:pt idx="30">
                  <c:v>0.57713086795066904</c:v>
                </c:pt>
                <c:pt idx="31">
                  <c:v>0.58276223728371523</c:v>
                </c:pt>
                <c:pt idx="32">
                  <c:v>0.58276532762266886</c:v>
                </c:pt>
                <c:pt idx="33">
                  <c:v>0.57239781524689903</c:v>
                </c:pt>
                <c:pt idx="34">
                  <c:v>0.57901800828502004</c:v>
                </c:pt>
                <c:pt idx="35">
                  <c:v>0.57878833040304123</c:v>
                </c:pt>
                <c:pt idx="36">
                  <c:v>0.5804469323335727</c:v>
                </c:pt>
                <c:pt idx="37">
                  <c:v>0.58390626124774003</c:v>
                </c:pt>
                <c:pt idx="38">
                  <c:v>0.58134081710487373</c:v>
                </c:pt>
                <c:pt idx="39">
                  <c:v>0.57261299550843225</c:v>
                </c:pt>
                <c:pt idx="40">
                  <c:v>0.56521757310980125</c:v>
                </c:pt>
                <c:pt idx="41">
                  <c:v>0.54257573973589945</c:v>
                </c:pt>
                <c:pt idx="42">
                  <c:v>0.54747294349224318</c:v>
                </c:pt>
                <c:pt idx="43">
                  <c:v>0.54230551893393686</c:v>
                </c:pt>
                <c:pt idx="44">
                  <c:v>0.55237269106209952</c:v>
                </c:pt>
                <c:pt idx="45">
                  <c:v>0.55335455937784395</c:v>
                </c:pt>
                <c:pt idx="46">
                  <c:v>0.54875632902951355</c:v>
                </c:pt>
                <c:pt idx="47">
                  <c:v>0.54709960718213546</c:v>
                </c:pt>
                <c:pt idx="48">
                  <c:v>0.54810647390809797</c:v>
                </c:pt>
                <c:pt idx="49" formatCode="0.0000">
                  <c:v>0.54820967656260811</c:v>
                </c:pt>
                <c:pt idx="50">
                  <c:v>0.54994175552476443</c:v>
                </c:pt>
                <c:pt idx="51">
                  <c:v>0.539838511981515</c:v>
                </c:pt>
                <c:pt idx="52">
                  <c:v>0.5410844960381902</c:v>
                </c:pt>
                <c:pt idx="53">
                  <c:v>0.53713101266611085</c:v>
                </c:pt>
                <c:pt idx="54">
                  <c:v>0.53318999185284377</c:v>
                </c:pt>
                <c:pt idx="55">
                  <c:v>0.53752829890546006</c:v>
                </c:pt>
                <c:pt idx="56">
                  <c:v>0.54071197397034665</c:v>
                </c:pt>
                <c:pt idx="57">
                  <c:v>0.53608912503768447</c:v>
                </c:pt>
                <c:pt idx="58">
                  <c:v>0.53944177051592634</c:v>
                </c:pt>
                <c:pt idx="59">
                  <c:v>0.53382714546625598</c:v>
                </c:pt>
                <c:pt idx="60">
                  <c:v>0.5338890248341901</c:v>
                </c:pt>
                <c:pt idx="61">
                  <c:v>0.53109750381958032</c:v>
                </c:pt>
                <c:pt idx="62">
                  <c:v>0.53610874189453595</c:v>
                </c:pt>
                <c:pt idx="63">
                  <c:v>0.52979590325220138</c:v>
                </c:pt>
                <c:pt idx="64">
                  <c:v>0.52700462757274114</c:v>
                </c:pt>
                <c:pt idx="65">
                  <c:v>0.52426028353857124</c:v>
                </c:pt>
                <c:pt idx="66">
                  <c:v>0.51748623945184224</c:v>
                </c:pt>
                <c:pt idx="67">
                  <c:v>0.51715375097661764</c:v>
                </c:pt>
                <c:pt idx="68">
                  <c:v>0.51500839313604752</c:v>
                </c:pt>
                <c:pt idx="69">
                  <c:v>0.51795751794420331</c:v>
                </c:pt>
                <c:pt idx="70">
                  <c:v>0.51131828871239982</c:v>
                </c:pt>
                <c:pt idx="71">
                  <c:v>0.51720962428499806</c:v>
                </c:pt>
                <c:pt idx="72">
                  <c:v>0.50663636561443304</c:v>
                </c:pt>
                <c:pt idx="73">
                  <c:v>0.51165969946881329</c:v>
                </c:pt>
                <c:pt idx="74">
                  <c:v>0.51588414670176852</c:v>
                </c:pt>
                <c:pt idx="75">
                  <c:v>0.51441188726957154</c:v>
                </c:pt>
                <c:pt idx="76">
                  <c:v>0.49986285590219459</c:v>
                </c:pt>
                <c:pt idx="77">
                  <c:v>0.50072244811528566</c:v>
                </c:pt>
                <c:pt idx="78">
                  <c:v>0.48550728193173354</c:v>
                </c:pt>
                <c:pt idx="79">
                  <c:v>0.49815313503489</c:v>
                </c:pt>
                <c:pt idx="80">
                  <c:v>0.49664320921477312</c:v>
                </c:pt>
                <c:pt idx="81">
                  <c:v>0.49560686585734437</c:v>
                </c:pt>
                <c:pt idx="82">
                  <c:v>0.49490883369652727</c:v>
                </c:pt>
                <c:pt idx="83">
                  <c:v>0.4862577027823608</c:v>
                </c:pt>
                <c:pt idx="84">
                  <c:v>0.49412602300055009</c:v>
                </c:pt>
                <c:pt idx="85">
                  <c:v>0.48170935703913109</c:v>
                </c:pt>
                <c:pt idx="86">
                  <c:v>0.49790046146564138</c:v>
                </c:pt>
                <c:pt idx="87">
                  <c:v>0.47635274928211724</c:v>
                </c:pt>
                <c:pt idx="88">
                  <c:v>0.48921593529124008</c:v>
                </c:pt>
                <c:pt idx="89">
                  <c:v>0.48601359132243172</c:v>
                </c:pt>
                <c:pt idx="90">
                  <c:v>0.48918045777286689</c:v>
                </c:pt>
                <c:pt idx="91">
                  <c:v>0.47873336777613584</c:v>
                </c:pt>
                <c:pt idx="92">
                  <c:v>0.48284314260170402</c:v>
                </c:pt>
                <c:pt idx="93">
                  <c:v>0.48175662814820608</c:v>
                </c:pt>
                <c:pt idx="94">
                  <c:v>0.47876440293566636</c:v>
                </c:pt>
                <c:pt idx="95">
                  <c:v>0.48236829003302739</c:v>
                </c:pt>
                <c:pt idx="96">
                  <c:v>0.47794827108226368</c:v>
                </c:pt>
                <c:pt idx="97">
                  <c:v>0.48446499228495998</c:v>
                </c:pt>
                <c:pt idx="98">
                  <c:v>0.47173386646387416</c:v>
                </c:pt>
                <c:pt idx="99">
                  <c:v>0.47349793242107019</c:v>
                </c:pt>
                <c:pt idx="100">
                  <c:v>0.46557139030969064</c:v>
                </c:pt>
                <c:pt idx="101" formatCode="0.0000">
                  <c:v>0.4582353830678132</c:v>
                </c:pt>
                <c:pt idx="102">
                  <c:v>0.46278803592785001</c:v>
                </c:pt>
                <c:pt idx="103">
                  <c:v>0.46429406081371116</c:v>
                </c:pt>
                <c:pt idx="104">
                  <c:v>0.46184020260017389</c:v>
                </c:pt>
                <c:pt idx="105">
                  <c:v>0.46233951452443123</c:v>
                </c:pt>
                <c:pt idx="106">
                  <c:v>0.45028041144038622</c:v>
                </c:pt>
                <c:pt idx="107">
                  <c:v>0.45896081662642896</c:v>
                </c:pt>
                <c:pt idx="108">
                  <c:v>0.44783073173777532</c:v>
                </c:pt>
                <c:pt idx="109">
                  <c:v>0.44813570346574605</c:v>
                </c:pt>
                <c:pt idx="110">
                  <c:v>0.44482428542290342</c:v>
                </c:pt>
                <c:pt idx="111">
                  <c:v>0.44500716533569962</c:v>
                </c:pt>
                <c:pt idx="112">
                  <c:v>0.43749905324549898</c:v>
                </c:pt>
                <c:pt idx="113">
                  <c:v>0.42858653778912781</c:v>
                </c:pt>
                <c:pt idx="114">
                  <c:v>0.43020781924734897</c:v>
                </c:pt>
                <c:pt idx="115">
                  <c:v>0.4212238323115074</c:v>
                </c:pt>
                <c:pt idx="116">
                  <c:v>0.42387658079816593</c:v>
                </c:pt>
                <c:pt idx="117">
                  <c:v>0.43343270415149404</c:v>
                </c:pt>
                <c:pt idx="118">
                  <c:v>0.41880725726445345</c:v>
                </c:pt>
                <c:pt idx="119">
                  <c:v>0.41388007139991578</c:v>
                </c:pt>
                <c:pt idx="120">
                  <c:v>0.41530741101267465</c:v>
                </c:pt>
                <c:pt idx="121">
                  <c:v>0.39987824457311882</c:v>
                </c:pt>
                <c:pt idx="122">
                  <c:v>0.39119091792615091</c:v>
                </c:pt>
                <c:pt idx="123">
                  <c:v>0.35261456255572499</c:v>
                </c:pt>
                <c:pt idx="124">
                  <c:v>0.32834505889634713</c:v>
                </c:pt>
              </c:numCache>
            </c:numRef>
          </c:yVal>
          <c:smooth val="0"/>
          <c:extLst>
            <c:ext xmlns:c16="http://schemas.microsoft.com/office/drawing/2014/chart" uri="{C3380CC4-5D6E-409C-BE32-E72D297353CC}">
              <c16:uniqueId val="{00000000-BA69-44A9-A939-F08F4672D77C}"/>
            </c:ext>
          </c:extLst>
        </c:ser>
        <c:ser>
          <c:idx val="1"/>
          <c:order val="1"/>
          <c:tx>
            <c:strRef>
              <c:f>Municipios!$AA$2</c:f>
              <c:strCache>
                <c:ptCount val="1"/>
                <c:pt idx="0">
                  <c:v>Pond_2025a</c:v>
                </c:pt>
              </c:strCache>
            </c:strRef>
          </c:tx>
          <c:spPr>
            <a:ln w="25400" cap="rnd">
              <a:noFill/>
              <a:round/>
            </a:ln>
            <a:effectLst/>
          </c:spPr>
          <c:marker>
            <c:symbol val="circle"/>
            <c:size val="5"/>
            <c:spPr>
              <a:solidFill>
                <a:schemeClr val="accent2"/>
              </a:solidFill>
              <a:ln w="9525">
                <a:solidFill>
                  <a:schemeClr val="accent2"/>
                </a:solidFill>
              </a:ln>
              <a:effectLst/>
            </c:spPr>
          </c:marker>
          <c:yVal>
            <c:numRef>
              <c:f>Municipios!$AA$3:$AA$1105</c:f>
              <c:numCache>
                <c:formatCode>0.00</c:formatCode>
                <c:ptCount val="125"/>
                <c:pt idx="0">
                  <c:v>1</c:v>
                </c:pt>
                <c:pt idx="1">
                  <c:v>0.95136035971376331</c:v>
                </c:pt>
                <c:pt idx="2">
                  <c:v>0.9247507566981269</c:v>
                </c:pt>
                <c:pt idx="3">
                  <c:v>0.8994213779447251</c:v>
                </c:pt>
                <c:pt idx="4">
                  <c:v>0.88826716938097572</c:v>
                </c:pt>
                <c:pt idx="5">
                  <c:v>0.8471553857948052</c:v>
                </c:pt>
                <c:pt idx="6">
                  <c:v>0.81140164783166435</c:v>
                </c:pt>
                <c:pt idx="7">
                  <c:v>0.76393197604738472</c:v>
                </c:pt>
                <c:pt idx="8">
                  <c:v>0.76055113403382135</c:v>
                </c:pt>
                <c:pt idx="9">
                  <c:v>0.75947855736480507</c:v>
                </c:pt>
                <c:pt idx="10">
                  <c:v>0.7418534573753427</c:v>
                </c:pt>
                <c:pt idx="11">
                  <c:v>0.73207385357244303</c:v>
                </c:pt>
                <c:pt idx="12">
                  <c:v>0.72105870541715467</c:v>
                </c:pt>
                <c:pt idx="13">
                  <c:v>0.71153277088723677</c:v>
                </c:pt>
                <c:pt idx="14">
                  <c:v>0.71270638751351012</c:v>
                </c:pt>
                <c:pt idx="15">
                  <c:v>0.68398789635570878</c:v>
                </c:pt>
                <c:pt idx="16">
                  <c:v>0.64961845188517797</c:v>
                </c:pt>
                <c:pt idx="17">
                  <c:v>0.63960974749583799</c:v>
                </c:pt>
                <c:pt idx="18">
                  <c:v>0.63802572889353104</c:v>
                </c:pt>
                <c:pt idx="19">
                  <c:v>0.63369297959349113</c:v>
                </c:pt>
                <c:pt idx="20">
                  <c:v>0.62589275222992125</c:v>
                </c:pt>
                <c:pt idx="21">
                  <c:v>0.61750258646463918</c:v>
                </c:pt>
                <c:pt idx="22">
                  <c:v>0.61995977543508096</c:v>
                </c:pt>
                <c:pt idx="23">
                  <c:v>0.61376286625813292</c:v>
                </c:pt>
                <c:pt idx="24">
                  <c:v>0.61134027694085646</c:v>
                </c:pt>
                <c:pt idx="25">
                  <c:v>0.60987671083582728</c:v>
                </c:pt>
                <c:pt idx="26">
                  <c:v>0.61009033754915376</c:v>
                </c:pt>
                <c:pt idx="27">
                  <c:v>0.6085320169305064</c:v>
                </c:pt>
                <c:pt idx="28">
                  <c:v>0.60200669562123921</c:v>
                </c:pt>
                <c:pt idx="29">
                  <c:v>0.59082741308817699</c:v>
                </c:pt>
                <c:pt idx="30">
                  <c:v>0.58999232278709279</c:v>
                </c:pt>
                <c:pt idx="31">
                  <c:v>0.59015309389851489</c:v>
                </c:pt>
                <c:pt idx="32">
                  <c:v>0.59132162508866959</c:v>
                </c:pt>
                <c:pt idx="33">
                  <c:v>0.59008876575333058</c:v>
                </c:pt>
                <c:pt idx="34">
                  <c:v>0.58558901504229732</c:v>
                </c:pt>
                <c:pt idx="35">
                  <c:v>0.58473182884368824</c:v>
                </c:pt>
                <c:pt idx="36">
                  <c:v>0.58614966431306137</c:v>
                </c:pt>
                <c:pt idx="37">
                  <c:v>0.58332986959424837</c:v>
                </c:pt>
                <c:pt idx="38">
                  <c:v>0.58473532327488698</c:v>
                </c:pt>
                <c:pt idx="39">
                  <c:v>0.57625857681360881</c:v>
                </c:pt>
                <c:pt idx="40">
                  <c:v>0.57124544915183162</c:v>
                </c:pt>
                <c:pt idx="41">
                  <c:v>0.56123500893444078</c:v>
                </c:pt>
                <c:pt idx="42">
                  <c:v>0.56572825753247002</c:v>
                </c:pt>
                <c:pt idx="43">
                  <c:v>0.55797357231402622</c:v>
                </c:pt>
                <c:pt idx="44">
                  <c:v>0.55326236774485593</c:v>
                </c:pt>
                <c:pt idx="45">
                  <c:v>0.55270149270556912</c:v>
                </c:pt>
                <c:pt idx="46">
                  <c:v>0.5525713491412978</c:v>
                </c:pt>
                <c:pt idx="47">
                  <c:v>0.55249571950008214</c:v>
                </c:pt>
                <c:pt idx="48">
                  <c:v>0.55383865827803824</c:v>
                </c:pt>
                <c:pt idx="49" formatCode="0.0000">
                  <c:v>0.55246514693788218</c:v>
                </c:pt>
                <c:pt idx="50">
                  <c:v>0.55256135115698835</c:v>
                </c:pt>
                <c:pt idx="51">
                  <c:v>0.55335105798541318</c:v>
                </c:pt>
                <c:pt idx="52">
                  <c:v>0.54973089416339493</c:v>
                </c:pt>
                <c:pt idx="53">
                  <c:v>0.54708537276870217</c:v>
                </c:pt>
                <c:pt idx="54">
                  <c:v>0.54569577191325069</c:v>
                </c:pt>
                <c:pt idx="55">
                  <c:v>0.54673438834160759</c:v>
                </c:pt>
                <c:pt idx="56">
                  <c:v>0.54389160761262101</c:v>
                </c:pt>
                <c:pt idx="57">
                  <c:v>0.5385345842048942</c:v>
                </c:pt>
                <c:pt idx="58">
                  <c:v>0.53967901123080897</c:v>
                </c:pt>
                <c:pt idx="59">
                  <c:v>0.53833163818961616</c:v>
                </c:pt>
                <c:pt idx="60">
                  <c:v>0.53712151329168467</c:v>
                </c:pt>
                <c:pt idx="61">
                  <c:v>0.53584226894924303</c:v>
                </c:pt>
                <c:pt idx="62">
                  <c:v>0.5392073407299115</c:v>
                </c:pt>
                <c:pt idx="63">
                  <c:v>0.53623754669843648</c:v>
                </c:pt>
                <c:pt idx="64">
                  <c:v>0.53465875713310984</c:v>
                </c:pt>
                <c:pt idx="65">
                  <c:v>0.52696248989294336</c:v>
                </c:pt>
                <c:pt idx="66">
                  <c:v>0.52911983858481193</c:v>
                </c:pt>
                <c:pt idx="67">
                  <c:v>0.52433112245081481</c:v>
                </c:pt>
                <c:pt idx="68">
                  <c:v>0.52419525755831931</c:v>
                </c:pt>
                <c:pt idx="69">
                  <c:v>0.52018415513214022</c:v>
                </c:pt>
                <c:pt idx="70">
                  <c:v>0.52021796849996549</c:v>
                </c:pt>
                <c:pt idx="71">
                  <c:v>0.52268035011450986</c:v>
                </c:pt>
                <c:pt idx="72">
                  <c:v>0.5204031573937985</c:v>
                </c:pt>
                <c:pt idx="73">
                  <c:v>0.51884650136996313</c:v>
                </c:pt>
                <c:pt idx="74">
                  <c:v>0.52035930220250182</c:v>
                </c:pt>
                <c:pt idx="75">
                  <c:v>0.51457847911455756</c:v>
                </c:pt>
                <c:pt idx="76">
                  <c:v>0.51346125283077315</c:v>
                </c:pt>
                <c:pt idx="77">
                  <c:v>0.51198484133409516</c:v>
                </c:pt>
                <c:pt idx="78">
                  <c:v>0.50406656314839349</c:v>
                </c:pt>
                <c:pt idx="79">
                  <c:v>0.49843964434549137</c:v>
                </c:pt>
                <c:pt idx="80">
                  <c:v>0.50147126610051163</c:v>
                </c:pt>
                <c:pt idx="81">
                  <c:v>0.50001400467683965</c:v>
                </c:pt>
                <c:pt idx="82">
                  <c:v>0.49979782577737453</c:v>
                </c:pt>
                <c:pt idx="83">
                  <c:v>0.49811916167487247</c:v>
                </c:pt>
                <c:pt idx="84">
                  <c:v>0.5005913985565299</c:v>
                </c:pt>
                <c:pt idx="85">
                  <c:v>0.49499946842021791</c:v>
                </c:pt>
                <c:pt idx="86">
                  <c:v>0.49407003686023643</c:v>
                </c:pt>
                <c:pt idx="87">
                  <c:v>0.4966085831860676</c:v>
                </c:pt>
                <c:pt idx="88">
                  <c:v>0.49206732111855411</c:v>
                </c:pt>
                <c:pt idx="89">
                  <c:v>0.49269207731762621</c:v>
                </c:pt>
                <c:pt idx="90">
                  <c:v>0.49388332719598804</c:v>
                </c:pt>
                <c:pt idx="91">
                  <c:v>0.49045467047483682</c:v>
                </c:pt>
                <c:pt idx="92">
                  <c:v>0.48884877062473397</c:v>
                </c:pt>
                <c:pt idx="93">
                  <c:v>0.48576778949206811</c:v>
                </c:pt>
                <c:pt idx="94">
                  <c:v>0.48754409843332502</c:v>
                </c:pt>
                <c:pt idx="95">
                  <c:v>0.48505069551668656</c:v>
                </c:pt>
                <c:pt idx="96">
                  <c:v>0.48334992940472288</c:v>
                </c:pt>
                <c:pt idx="97">
                  <c:v>0.48086372009669953</c:v>
                </c:pt>
                <c:pt idx="98">
                  <c:v>0.47719457448268587</c:v>
                </c:pt>
                <c:pt idx="99">
                  <c:v>0.47789240233173824</c:v>
                </c:pt>
                <c:pt idx="100">
                  <c:v>0.47356431681023881</c:v>
                </c:pt>
                <c:pt idx="101" formatCode="0.0000">
                  <c:v>0.47074618212337316</c:v>
                </c:pt>
                <c:pt idx="102">
                  <c:v>0.46958440592880346</c:v>
                </c:pt>
                <c:pt idx="103">
                  <c:v>0.46827662830719441</c:v>
                </c:pt>
                <c:pt idx="104">
                  <c:v>0.46636769955657609</c:v>
                </c:pt>
                <c:pt idx="105">
                  <c:v>0.4644131956261196</c:v>
                </c:pt>
                <c:pt idx="106">
                  <c:v>0.45980089440735739</c:v>
                </c:pt>
                <c:pt idx="107">
                  <c:v>0.45337232306269282</c:v>
                </c:pt>
                <c:pt idx="108">
                  <c:v>0.45449758816236485</c:v>
                </c:pt>
                <c:pt idx="109">
                  <c:v>0.45074829502586711</c:v>
                </c:pt>
                <c:pt idx="110">
                  <c:v>0.45122054960858871</c:v>
                </c:pt>
                <c:pt idx="111">
                  <c:v>0.45145939311078376</c:v>
                </c:pt>
                <c:pt idx="112">
                  <c:v>0.44152702569476343</c:v>
                </c:pt>
                <c:pt idx="113">
                  <c:v>0.43852578193044967</c:v>
                </c:pt>
                <c:pt idx="114">
                  <c:v>0.43399164971879001</c:v>
                </c:pt>
                <c:pt idx="115">
                  <c:v>0.43039838638748618</c:v>
                </c:pt>
                <c:pt idx="116">
                  <c:v>0.42666778151719564</c:v>
                </c:pt>
                <c:pt idx="117">
                  <c:v>0.42425698267570588</c:v>
                </c:pt>
                <c:pt idx="118">
                  <c:v>0.41846410177238491</c:v>
                </c:pt>
                <c:pt idx="119">
                  <c:v>0.4160407644058276</c:v>
                </c:pt>
                <c:pt idx="120">
                  <c:v>0.41674103557729925</c:v>
                </c:pt>
                <c:pt idx="121">
                  <c:v>0.40156259357577984</c:v>
                </c:pt>
                <c:pt idx="122">
                  <c:v>0.39298706040218523</c:v>
                </c:pt>
                <c:pt idx="123">
                  <c:v>0.3448267610064798</c:v>
                </c:pt>
                <c:pt idx="124">
                  <c:v>0.32302259911277653</c:v>
                </c:pt>
              </c:numCache>
            </c:numRef>
          </c:yVal>
          <c:smooth val="0"/>
          <c:extLst>
            <c:ext xmlns:c16="http://schemas.microsoft.com/office/drawing/2014/chart" uri="{C3380CC4-5D6E-409C-BE32-E72D297353CC}">
              <c16:uniqueId val="{00000001-BA69-44A9-A939-F08F4672D77C}"/>
            </c:ext>
          </c:extLst>
        </c:ser>
        <c:dLbls>
          <c:showLegendKey val="0"/>
          <c:showVal val="0"/>
          <c:showCatName val="0"/>
          <c:showSerName val="0"/>
          <c:showPercent val="0"/>
          <c:showBubbleSize val="0"/>
        </c:dLbls>
        <c:axId val="1759010928"/>
        <c:axId val="1759027248"/>
      </c:scatterChart>
      <c:valAx>
        <c:axId val="17590109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27248"/>
        <c:crosses val="autoZero"/>
        <c:crossBetween val="midCat"/>
      </c:valAx>
      <c:valAx>
        <c:axId val="1759027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10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IC ponderado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scatterChart>
        <c:scatterStyle val="lineMarker"/>
        <c:varyColors val="0"/>
        <c:ser>
          <c:idx val="0"/>
          <c:order val="0"/>
          <c:tx>
            <c:strRef>
              <c:f>Municipios!$U$2</c:f>
              <c:strCache>
                <c:ptCount val="1"/>
                <c:pt idx="0">
                  <c:v>ICPond_2026</c:v>
                </c:pt>
              </c:strCache>
            </c:strRef>
          </c:tx>
          <c:spPr>
            <a:ln w="25400" cap="rnd">
              <a:noFill/>
              <a:round/>
            </a:ln>
            <a:effectLst/>
          </c:spPr>
          <c:marker>
            <c:symbol val="circle"/>
            <c:size val="5"/>
            <c:spPr>
              <a:solidFill>
                <a:schemeClr val="accent1"/>
              </a:solidFill>
              <a:ln w="9525">
                <a:solidFill>
                  <a:schemeClr val="accent1"/>
                </a:solidFill>
              </a:ln>
              <a:effectLst/>
            </c:spPr>
          </c:marker>
          <c:yVal>
            <c:numRef>
              <c:f>Municipios!$U$3:$U$1105</c:f>
              <c:numCache>
                <c:formatCode>General</c:formatCode>
                <c:ptCount val="125"/>
                <c:pt idx="0">
                  <c:v>84.251983735459675</c:v>
                </c:pt>
                <c:pt idx="1">
                  <c:v>77.518871330742456</c:v>
                </c:pt>
                <c:pt idx="2">
                  <c:v>75.73795828033866</c:v>
                </c:pt>
                <c:pt idx="3">
                  <c:v>68.747397998394248</c:v>
                </c:pt>
                <c:pt idx="4">
                  <c:v>73.216431489561884</c:v>
                </c:pt>
                <c:pt idx="5">
                  <c:v>63.423981067294491</c:v>
                </c:pt>
                <c:pt idx="6">
                  <c:v>58.804151652552235</c:v>
                </c:pt>
                <c:pt idx="7">
                  <c:v>61.091786812737531</c:v>
                </c:pt>
                <c:pt idx="8">
                  <c:v>47.882008283441728</c:v>
                </c:pt>
                <c:pt idx="9">
                  <c:v>51.509315288158611</c:v>
                </c:pt>
                <c:pt idx="10">
                  <c:v>51.795658269284772</c:v>
                </c:pt>
                <c:pt idx="11">
                  <c:v>50.852836054866245</c:v>
                </c:pt>
                <c:pt idx="12">
                  <c:v>52.920838277811008</c:v>
                </c:pt>
                <c:pt idx="13">
                  <c:v>40.625962820625574</c:v>
                </c:pt>
                <c:pt idx="14">
                  <c:v>50.131591880108004</c:v>
                </c:pt>
                <c:pt idx="15">
                  <c:v>37.40441375915406</c:v>
                </c:pt>
                <c:pt idx="16">
                  <c:v>37.784466467841767</c:v>
                </c:pt>
                <c:pt idx="17">
                  <c:v>41.859261586206408</c:v>
                </c:pt>
                <c:pt idx="18">
                  <c:v>35.385777179947624</c:v>
                </c:pt>
                <c:pt idx="19">
                  <c:v>36.74304353323641</c:v>
                </c:pt>
                <c:pt idx="20">
                  <c:v>34.949087347200262</c:v>
                </c:pt>
                <c:pt idx="21">
                  <c:v>44.528826427114112</c:v>
                </c:pt>
                <c:pt idx="22">
                  <c:v>31.843482210969192</c:v>
                </c:pt>
                <c:pt idx="23">
                  <c:v>35.336496689229264</c:v>
                </c:pt>
                <c:pt idx="24">
                  <c:v>42.783582592037135</c:v>
                </c:pt>
                <c:pt idx="25">
                  <c:v>33.152108972610684</c:v>
                </c:pt>
                <c:pt idx="26">
                  <c:v>33.065436478553686</c:v>
                </c:pt>
                <c:pt idx="27">
                  <c:v>36.11348301305911</c:v>
                </c:pt>
                <c:pt idx="28">
                  <c:v>28.285307904201183</c:v>
                </c:pt>
                <c:pt idx="29">
                  <c:v>34.464657578283756</c:v>
                </c:pt>
                <c:pt idx="30">
                  <c:v>31.839410188271518</c:v>
                </c:pt>
                <c:pt idx="31">
                  <c:v>34.722261689703004</c:v>
                </c:pt>
                <c:pt idx="32">
                  <c:v>33.166076440141047</c:v>
                </c:pt>
                <c:pt idx="33">
                  <c:v>27.368925621681441</c:v>
                </c:pt>
                <c:pt idx="34">
                  <c:v>30.872081318884906</c:v>
                </c:pt>
                <c:pt idx="35">
                  <c:v>27.82669471609719</c:v>
                </c:pt>
                <c:pt idx="36">
                  <c:v>35.187140078191341</c:v>
                </c:pt>
                <c:pt idx="37">
                  <c:v>31.899371737850025</c:v>
                </c:pt>
                <c:pt idx="38">
                  <c:v>28.774448972090177</c:v>
                </c:pt>
                <c:pt idx="39">
                  <c:v>33.078763876581156</c:v>
                </c:pt>
                <c:pt idx="40">
                  <c:v>32.578116215204737</c:v>
                </c:pt>
                <c:pt idx="41">
                  <c:v>25.616551663201047</c:v>
                </c:pt>
                <c:pt idx="42">
                  <c:v>29.376464454155077</c:v>
                </c:pt>
                <c:pt idx="43">
                  <c:v>33.964758447300383</c:v>
                </c:pt>
                <c:pt idx="44">
                  <c:v>35.212506945132652</c:v>
                </c:pt>
                <c:pt idx="45">
                  <c:v>36.361559688571582</c:v>
                </c:pt>
                <c:pt idx="46">
                  <c:v>28.375534910772256</c:v>
                </c:pt>
                <c:pt idx="47">
                  <c:v>33.447672088404161</c:v>
                </c:pt>
                <c:pt idx="48">
                  <c:v>30.017797730656476</c:v>
                </c:pt>
                <c:pt idx="49">
                  <c:v>34.917221646496884</c:v>
                </c:pt>
                <c:pt idx="50">
                  <c:v>33.542746888684817</c:v>
                </c:pt>
                <c:pt idx="51">
                  <c:v>28.67772927935329</c:v>
                </c:pt>
                <c:pt idx="52">
                  <c:v>23.851647294766956</c:v>
                </c:pt>
                <c:pt idx="53">
                  <c:v>28.363708172028634</c:v>
                </c:pt>
                <c:pt idx="54">
                  <c:v>34.754560535228656</c:v>
                </c:pt>
                <c:pt idx="55">
                  <c:v>30.364246845085624</c:v>
                </c:pt>
                <c:pt idx="56">
                  <c:v>31.816534516606197</c:v>
                </c:pt>
                <c:pt idx="57">
                  <c:v>23.929079689750548</c:v>
                </c:pt>
                <c:pt idx="58">
                  <c:v>34.077479758558908</c:v>
                </c:pt>
                <c:pt idx="59">
                  <c:v>32.284212888862704</c:v>
                </c:pt>
                <c:pt idx="60">
                  <c:v>31.526633571828466</c:v>
                </c:pt>
                <c:pt idx="61">
                  <c:v>25.953728402743167</c:v>
                </c:pt>
                <c:pt idx="62">
                  <c:v>36.651280598849567</c:v>
                </c:pt>
                <c:pt idx="63">
                  <c:v>37.845254660260053</c:v>
                </c:pt>
                <c:pt idx="64">
                  <c:v>23.967333193137005</c:v>
                </c:pt>
                <c:pt idx="65">
                  <c:v>27.430959016475693</c:v>
                </c:pt>
                <c:pt idx="66">
                  <c:v>23.431153289884808</c:v>
                </c:pt>
                <c:pt idx="67">
                  <c:v>34.010010668078934</c:v>
                </c:pt>
                <c:pt idx="68">
                  <c:v>25.844094766073116</c:v>
                </c:pt>
                <c:pt idx="69">
                  <c:v>26.419322255680548</c:v>
                </c:pt>
                <c:pt idx="70">
                  <c:v>25.307387947841583</c:v>
                </c:pt>
                <c:pt idx="71">
                  <c:v>24.666696484656573</c:v>
                </c:pt>
                <c:pt idx="72">
                  <c:v>24.852920556062969</c:v>
                </c:pt>
                <c:pt idx="73">
                  <c:v>29.058463417806248</c:v>
                </c:pt>
                <c:pt idx="74">
                  <c:v>26.562163116403074</c:v>
                </c:pt>
                <c:pt idx="75">
                  <c:v>29.863438733199008</c:v>
                </c:pt>
                <c:pt idx="76">
                  <c:v>22.838876663296382</c:v>
                </c:pt>
                <c:pt idx="77">
                  <c:v>24.255169273612385</c:v>
                </c:pt>
                <c:pt idx="78">
                  <c:v>28.090455248711621</c:v>
                </c:pt>
                <c:pt idx="79">
                  <c:v>26.232927092321418</c:v>
                </c:pt>
                <c:pt idx="80">
                  <c:v>27.813199666088039</c:v>
                </c:pt>
                <c:pt idx="81">
                  <c:v>29.635171091132722</c:v>
                </c:pt>
                <c:pt idx="82">
                  <c:v>25.512681304402101</c:v>
                </c:pt>
                <c:pt idx="83">
                  <c:v>26.651007113421322</c:v>
                </c:pt>
                <c:pt idx="84">
                  <c:v>33.106513101586309</c:v>
                </c:pt>
                <c:pt idx="85">
                  <c:v>26.183849611579621</c:v>
                </c:pt>
                <c:pt idx="86">
                  <c:v>33.466187351831323</c:v>
                </c:pt>
                <c:pt idx="87">
                  <c:v>25.713215060290874</c:v>
                </c:pt>
                <c:pt idx="88">
                  <c:v>24.012523999728945</c:v>
                </c:pt>
                <c:pt idx="89">
                  <c:v>28.200497183409489</c:v>
                </c:pt>
                <c:pt idx="90">
                  <c:v>20.556368104902102</c:v>
                </c:pt>
                <c:pt idx="91">
                  <c:v>28.085444418209061</c:v>
                </c:pt>
                <c:pt idx="92">
                  <c:v>22.929922589870007</c:v>
                </c:pt>
                <c:pt idx="93">
                  <c:v>22.55624760838727</c:v>
                </c:pt>
                <c:pt idx="94">
                  <c:v>26.725670565327796</c:v>
                </c:pt>
                <c:pt idx="95">
                  <c:v>27.271247703431673</c:v>
                </c:pt>
                <c:pt idx="96">
                  <c:v>30.104821740414259</c:v>
                </c:pt>
                <c:pt idx="97">
                  <c:v>28.112381499435049</c:v>
                </c:pt>
                <c:pt idx="98">
                  <c:v>27.526031407258255</c:v>
                </c:pt>
                <c:pt idx="99">
                  <c:v>28.767364312999415</c:v>
                </c:pt>
                <c:pt idx="100">
                  <c:v>26.130932436684176</c:v>
                </c:pt>
                <c:pt idx="101">
                  <c:v>20.088870421593562</c:v>
                </c:pt>
                <c:pt idx="102">
                  <c:v>20.766181381401104</c:v>
                </c:pt>
                <c:pt idx="103">
                  <c:v>23.46028261322698</c:v>
                </c:pt>
                <c:pt idx="104">
                  <c:v>29.0732019564193</c:v>
                </c:pt>
                <c:pt idx="105">
                  <c:v>27.66310787661476</c:v>
                </c:pt>
                <c:pt idx="106">
                  <c:v>26.813314734781262</c:v>
                </c:pt>
                <c:pt idx="107">
                  <c:v>26.849361172997295</c:v>
                </c:pt>
                <c:pt idx="108">
                  <c:v>26.020824256257768</c:v>
                </c:pt>
                <c:pt idx="109">
                  <c:v>25.184210923671714</c:v>
                </c:pt>
                <c:pt idx="110">
                  <c:v>20.798530206378256</c:v>
                </c:pt>
                <c:pt idx="111">
                  <c:v>25.043952839259678</c:v>
                </c:pt>
                <c:pt idx="112">
                  <c:v>20.669105919338556</c:v>
                </c:pt>
                <c:pt idx="113">
                  <c:v>24.072505693581558</c:v>
                </c:pt>
                <c:pt idx="114">
                  <c:v>23.042665369460718</c:v>
                </c:pt>
                <c:pt idx="115">
                  <c:v>21.865786642092953</c:v>
                </c:pt>
                <c:pt idx="116">
                  <c:v>25.587195084180898</c:v>
                </c:pt>
                <c:pt idx="117">
                  <c:v>24.913984569640611</c:v>
                </c:pt>
                <c:pt idx="118">
                  <c:v>24.882992898114217</c:v>
                </c:pt>
                <c:pt idx="119">
                  <c:v>17.973305182770869</c:v>
                </c:pt>
                <c:pt idx="120">
                  <c:v>27.106713500837785</c:v>
                </c:pt>
                <c:pt idx="121">
                  <c:v>16.216073427170464</c:v>
                </c:pt>
                <c:pt idx="122">
                  <c:v>22.160261893046101</c:v>
                </c:pt>
                <c:pt idx="123">
                  <c:v>16.38862042896973</c:v>
                </c:pt>
                <c:pt idx="124">
                  <c:v>15.099764859615517</c:v>
                </c:pt>
              </c:numCache>
            </c:numRef>
          </c:yVal>
          <c:smooth val="0"/>
          <c:extLst>
            <c:ext xmlns:c16="http://schemas.microsoft.com/office/drawing/2014/chart" uri="{C3380CC4-5D6E-409C-BE32-E72D297353CC}">
              <c16:uniqueId val="{00000000-05A5-4AFD-BC29-31E1495EDF48}"/>
            </c:ext>
          </c:extLst>
        </c:ser>
        <c:ser>
          <c:idx val="1"/>
          <c:order val="1"/>
          <c:tx>
            <c:strRef>
              <c:f>Municipios!$AB$2</c:f>
              <c:strCache>
                <c:ptCount val="1"/>
                <c:pt idx="0">
                  <c:v>ICPond_2025a</c:v>
                </c:pt>
              </c:strCache>
            </c:strRef>
          </c:tx>
          <c:spPr>
            <a:ln w="25400" cap="rnd">
              <a:noFill/>
              <a:round/>
            </a:ln>
            <a:effectLst/>
          </c:spPr>
          <c:marker>
            <c:symbol val="circle"/>
            <c:size val="5"/>
            <c:spPr>
              <a:solidFill>
                <a:schemeClr val="accent2"/>
              </a:solidFill>
              <a:ln w="9525">
                <a:solidFill>
                  <a:schemeClr val="accent2"/>
                </a:solidFill>
              </a:ln>
              <a:effectLst/>
            </c:spPr>
          </c:marker>
          <c:yVal>
            <c:numRef>
              <c:f>Municipios!$AB$3:$AB$1105</c:f>
              <c:numCache>
                <c:formatCode>0.00</c:formatCode>
                <c:ptCount val="125"/>
                <c:pt idx="0">
                  <c:v>83.806883784421984</c:v>
                </c:pt>
                <c:pt idx="1">
                  <c:v>0</c:v>
                </c:pt>
                <c:pt idx="2">
                  <c:v>70.994491098517116</c:v>
                </c:pt>
                <c:pt idx="3">
                  <c:v>69.877601774233256</c:v>
                </c:pt>
                <c:pt idx="4">
                  <c:v>72.835883483749328</c:v>
                </c:pt>
                <c:pt idx="5">
                  <c:v>62.373577071018765</c:v>
                </c:pt>
                <c:pt idx="6">
                  <c:v>56.669323305041658</c:v>
                </c:pt>
                <c:pt idx="7">
                  <c:v>62.43920101101137</c:v>
                </c:pt>
                <c:pt idx="8">
                  <c:v>48.675249040758196</c:v>
                </c:pt>
                <c:pt idx="9">
                  <c:v>52.632051298111485</c:v>
                </c:pt>
                <c:pt idx="10">
                  <c:v>51.914788642667318</c:v>
                </c:pt>
                <c:pt idx="11">
                  <c:v>51.409416706272943</c:v>
                </c:pt>
                <c:pt idx="12">
                  <c:v>53.065100742032818</c:v>
                </c:pt>
                <c:pt idx="13">
                  <c:v>40.700656985452206</c:v>
                </c:pt>
                <c:pt idx="14">
                  <c:v>51.98008064543032</c:v>
                </c:pt>
                <c:pt idx="15">
                  <c:v>36.021377865602076</c:v>
                </c:pt>
                <c:pt idx="16">
                  <c:v>38.324744234776702</c:v>
                </c:pt>
                <c:pt idx="17">
                  <c:v>41.662318368300753</c:v>
                </c:pt>
                <c:pt idx="18">
                  <c:v>34.090171710520373</c:v>
                </c:pt>
                <c:pt idx="19">
                  <c:v>38.161260306878283</c:v>
                </c:pt>
                <c:pt idx="20">
                  <c:v>35.70245220650196</c:v>
                </c:pt>
                <c:pt idx="21">
                  <c:v>42.800188332779577</c:v>
                </c:pt>
                <c:pt idx="22">
                  <c:v>31.321036664644044</c:v>
                </c:pt>
                <c:pt idx="23">
                  <c:v>37.39910164606767</c:v>
                </c:pt>
                <c:pt idx="24">
                  <c:v>39.157762217666182</c:v>
                </c:pt>
                <c:pt idx="25">
                  <c:v>34.485695125100527</c:v>
                </c:pt>
                <c:pt idx="26">
                  <c:v>34.622753006162718</c:v>
                </c:pt>
                <c:pt idx="27">
                  <c:v>35.945189974759344</c:v>
                </c:pt>
                <c:pt idx="28">
                  <c:v>27.716378078694536</c:v>
                </c:pt>
                <c:pt idx="29">
                  <c:v>35.003693990883711</c:v>
                </c:pt>
                <c:pt idx="30">
                  <c:v>31.613838277546439</c:v>
                </c:pt>
                <c:pt idx="31">
                  <c:v>36.58586885420366</c:v>
                </c:pt>
                <c:pt idx="32">
                  <c:v>33.391846248967006</c:v>
                </c:pt>
                <c:pt idx="33">
                  <c:v>27.632415372589993</c:v>
                </c:pt>
                <c:pt idx="34">
                  <c:v>30.421220426113656</c:v>
                </c:pt>
                <c:pt idx="35">
                  <c:v>31.203739932490222</c:v>
                </c:pt>
                <c:pt idx="36">
                  <c:v>35.001248870416596</c:v>
                </c:pt>
                <c:pt idx="37">
                  <c:v>29.867281395579198</c:v>
                </c:pt>
                <c:pt idx="38">
                  <c:v>30.682371739283806</c:v>
                </c:pt>
                <c:pt idx="39">
                  <c:v>32.127269711327422</c:v>
                </c:pt>
                <c:pt idx="40">
                  <c:v>32.500606540986922</c:v>
                </c:pt>
                <c:pt idx="41">
                  <c:v>25.058999140498806</c:v>
                </c:pt>
                <c:pt idx="42">
                  <c:v>29.146502860480005</c:v>
                </c:pt>
                <c:pt idx="43">
                  <c:v>34.959735376066668</c:v>
                </c:pt>
                <c:pt idx="44">
                  <c:v>33.081304688007521</c:v>
                </c:pt>
                <c:pt idx="45">
                  <c:v>36.071766724559446</c:v>
                </c:pt>
                <c:pt idx="46">
                  <c:v>28.448892461379344</c:v>
                </c:pt>
                <c:pt idx="47">
                  <c:v>32.955297557416614</c:v>
                </c:pt>
                <c:pt idx="48">
                  <c:v>33.942529396952423</c:v>
                </c:pt>
                <c:pt idx="49">
                  <c:v>35.14450730796068</c:v>
                </c:pt>
                <c:pt idx="50">
                  <c:v>32.6723789282373</c:v>
                </c:pt>
                <c:pt idx="51">
                  <c:v>30.381117467210252</c:v>
                </c:pt>
                <c:pt idx="52">
                  <c:v>24.154600703069978</c:v>
                </c:pt>
                <c:pt idx="53">
                  <c:v>29.70392016761744</c:v>
                </c:pt>
                <c:pt idx="54">
                  <c:v>34.93137644183436</c:v>
                </c:pt>
                <c:pt idx="55">
                  <c:v>32.27005460353304</c:v>
                </c:pt>
                <c:pt idx="56">
                  <c:v>31.485591328981865</c:v>
                </c:pt>
                <c:pt idx="57">
                  <c:v>23.627261585476528</c:v>
                </c:pt>
                <c:pt idx="58">
                  <c:v>33.010401403802753</c:v>
                </c:pt>
                <c:pt idx="59">
                  <c:v>32.925321398324478</c:v>
                </c:pt>
                <c:pt idx="60">
                  <c:v>30.437809853161706</c:v>
                </c:pt>
                <c:pt idx="61">
                  <c:v>24.925085319262482</c:v>
                </c:pt>
                <c:pt idx="62">
                  <c:v>35.792490362050998</c:v>
                </c:pt>
                <c:pt idx="63">
                  <c:v>36.517004786258127</c:v>
                </c:pt>
                <c:pt idx="64">
                  <c:v>24.253460746644503</c:v>
                </c:pt>
                <c:pt idx="65">
                  <c:v>29.375814317944286</c:v>
                </c:pt>
                <c:pt idx="66">
                  <c:v>25.442766573926509</c:v>
                </c:pt>
                <c:pt idx="67">
                  <c:v>33.977697276642402</c:v>
                </c:pt>
                <c:pt idx="68">
                  <c:v>28.389769405543234</c:v>
                </c:pt>
                <c:pt idx="69">
                  <c:v>25.721990653940345</c:v>
                </c:pt>
                <c:pt idx="70">
                  <c:v>25.744343693241216</c:v>
                </c:pt>
                <c:pt idx="71">
                  <c:v>26.037008208102232</c:v>
                </c:pt>
                <c:pt idx="72">
                  <c:v>29.234355284629963</c:v>
                </c:pt>
                <c:pt idx="73">
                  <c:v>29.212835737413794</c:v>
                </c:pt>
                <c:pt idx="74">
                  <c:v>25.683850947015756</c:v>
                </c:pt>
                <c:pt idx="75">
                  <c:v>32.170221297077745</c:v>
                </c:pt>
                <c:pt idx="76">
                  <c:v>23.404603268748314</c:v>
                </c:pt>
                <c:pt idx="77">
                  <c:v>24.362348205565866</c:v>
                </c:pt>
                <c:pt idx="78">
                  <c:v>29.211014671308508</c:v>
                </c:pt>
                <c:pt idx="79">
                  <c:v>26.256733742999796</c:v>
                </c:pt>
                <c:pt idx="80">
                  <c:v>27.834772543002817</c:v>
                </c:pt>
                <c:pt idx="81">
                  <c:v>30.546227119201426</c:v>
                </c:pt>
                <c:pt idx="82">
                  <c:v>25.612600841446749</c:v>
                </c:pt>
                <c:pt idx="83">
                  <c:v>27.446150498967953</c:v>
                </c:pt>
                <c:pt idx="84">
                  <c:v>34.172712596283198</c:v>
                </c:pt>
                <c:pt idx="85">
                  <c:v>25.82958301264015</c:v>
                </c:pt>
                <c:pt idx="86">
                  <c:v>34.345551298072841</c:v>
                </c:pt>
                <c:pt idx="87">
                  <c:v>26.277814123923768</c:v>
                </c:pt>
                <c:pt idx="88">
                  <c:v>25.244814127908217</c:v>
                </c:pt>
                <c:pt idx="89">
                  <c:v>26.788228539927669</c:v>
                </c:pt>
                <c:pt idx="90">
                  <c:v>21.907976768695949</c:v>
                </c:pt>
                <c:pt idx="91">
                  <c:v>29.694176450432515</c:v>
                </c:pt>
                <c:pt idx="92">
                  <c:v>23.84703132497134</c:v>
                </c:pt>
                <c:pt idx="93">
                  <c:v>24.093760169156074</c:v>
                </c:pt>
                <c:pt idx="94">
                  <c:v>26.551122858221678</c:v>
                </c:pt>
                <c:pt idx="95">
                  <c:v>28.071568710632963</c:v>
                </c:pt>
                <c:pt idx="96">
                  <c:v>30.862935676193338</c:v>
                </c:pt>
                <c:pt idx="97">
                  <c:v>29.422149442353014</c:v>
                </c:pt>
                <c:pt idx="98">
                  <c:v>27.187561627406449</c:v>
                </c:pt>
                <c:pt idx="99">
                  <c:v>27.703901570964394</c:v>
                </c:pt>
                <c:pt idx="100">
                  <c:v>26.156994926286565</c:v>
                </c:pt>
                <c:pt idx="101">
                  <c:v>20.429957579887716</c:v>
                </c:pt>
                <c:pt idx="102">
                  <c:v>21.831114967636676</c:v>
                </c:pt>
                <c:pt idx="103">
                  <c:v>22.495653049528553</c:v>
                </c:pt>
                <c:pt idx="104">
                  <c:v>28.518638823555236</c:v>
                </c:pt>
                <c:pt idx="105">
                  <c:v>27.248779357648502</c:v>
                </c:pt>
                <c:pt idx="106">
                  <c:v>27.112351191619041</c:v>
                </c:pt>
                <c:pt idx="107">
                  <c:v>26.701317090709022</c:v>
                </c:pt>
                <c:pt idx="108">
                  <c:v>25.567551941178785</c:v>
                </c:pt>
                <c:pt idx="109">
                  <c:v>24.988534715441915</c:v>
                </c:pt>
                <c:pt idx="110">
                  <c:v>21.34898778911608</c:v>
                </c:pt>
                <c:pt idx="111">
                  <c:v>27.0142330563047</c:v>
                </c:pt>
                <c:pt idx="112">
                  <c:v>21.452081139521837</c:v>
                </c:pt>
                <c:pt idx="113">
                  <c:v>24.328600064305441</c:v>
                </c:pt>
                <c:pt idx="114">
                  <c:v>26.003258223500819</c:v>
                </c:pt>
                <c:pt idx="115">
                  <c:v>22.627943656549348</c:v>
                </c:pt>
                <c:pt idx="116">
                  <c:v>25.310668289267529</c:v>
                </c:pt>
                <c:pt idx="117">
                  <c:v>23.623037711386438</c:v>
                </c:pt>
                <c:pt idx="118">
                  <c:v>25.639010950807993</c:v>
                </c:pt>
                <c:pt idx="119">
                  <c:v>18.684405553414329</c:v>
                </c:pt>
                <c:pt idx="120">
                  <c:v>26.304533155474029</c:v>
                </c:pt>
                <c:pt idx="121">
                  <c:v>16.610523026746147</c:v>
                </c:pt>
                <c:pt idx="122">
                  <c:v>20.082347649132767</c:v>
                </c:pt>
                <c:pt idx="123">
                  <c:v>15.57660868064152</c:v>
                </c:pt>
                <c:pt idx="124">
                  <c:v>14.823219875173766</c:v>
                </c:pt>
              </c:numCache>
            </c:numRef>
          </c:yVal>
          <c:smooth val="0"/>
          <c:extLst>
            <c:ext xmlns:c16="http://schemas.microsoft.com/office/drawing/2014/chart" uri="{C3380CC4-5D6E-409C-BE32-E72D297353CC}">
              <c16:uniqueId val="{00000001-05A5-4AFD-BC29-31E1495EDF48}"/>
            </c:ext>
          </c:extLst>
        </c:ser>
        <c:dLbls>
          <c:showLegendKey val="0"/>
          <c:showVal val="0"/>
          <c:showCatName val="0"/>
          <c:showSerName val="0"/>
          <c:showPercent val="0"/>
          <c:showBubbleSize val="0"/>
        </c:dLbls>
        <c:axId val="1759010928"/>
        <c:axId val="1759027248"/>
      </c:scatterChart>
      <c:valAx>
        <c:axId val="17590109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27248"/>
        <c:crosses val="autoZero"/>
        <c:crossBetween val="midCat"/>
      </c:valAx>
      <c:valAx>
        <c:axId val="175902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10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Comparativos_Mun!$H$33:$H$39</c:f>
              <c:strCache>
                <c:ptCount val="7"/>
                <c:pt idx="0">
                  <c:v>Bogotá</c:v>
                </c:pt>
                <c:pt idx="1">
                  <c:v>Ciudades grandes</c:v>
                </c:pt>
                <c:pt idx="2">
                  <c:v>Tipología 1</c:v>
                </c:pt>
                <c:pt idx="3">
                  <c:v>Tipología 2</c:v>
                </c:pt>
                <c:pt idx="4">
                  <c:v>Tipología 3</c:v>
                </c:pt>
                <c:pt idx="5">
                  <c:v>Tipología 4</c:v>
                </c:pt>
                <c:pt idx="6">
                  <c:v>Tipología 5</c:v>
                </c:pt>
              </c:strCache>
            </c:strRef>
          </c:cat>
          <c:val>
            <c:numRef>
              <c:f>Comparativos_Mun!$D$33:$D$39</c:f>
              <c:numCache>
                <c:formatCode>General</c:formatCode>
                <c:ptCount val="7"/>
                <c:pt idx="0">
                  <c:v>1</c:v>
                </c:pt>
                <c:pt idx="1">
                  <c:v>5</c:v>
                </c:pt>
                <c:pt idx="2">
                  <c:v>49</c:v>
                </c:pt>
                <c:pt idx="3">
                  <c:v>153</c:v>
                </c:pt>
                <c:pt idx="4">
                  <c:v>368</c:v>
                </c:pt>
                <c:pt idx="5">
                  <c:v>409</c:v>
                </c:pt>
                <c:pt idx="6">
                  <c:v>118</c:v>
                </c:pt>
              </c:numCache>
            </c:numRef>
          </c:val>
          <c:extLst>
            <c:ext xmlns:c16="http://schemas.microsoft.com/office/drawing/2014/chart" uri="{C3380CC4-5D6E-409C-BE32-E72D297353CC}">
              <c16:uniqueId val="{00000000-2740-4788-9F29-1A6073D36637}"/>
            </c:ext>
          </c:extLst>
        </c:ser>
        <c:dLbls>
          <c:dLblPos val="outEnd"/>
          <c:showLegendKey val="0"/>
          <c:showVal val="1"/>
          <c:showCatName val="0"/>
          <c:showSerName val="0"/>
          <c:showPercent val="0"/>
          <c:showBubbleSize val="0"/>
        </c:dLbls>
        <c:gapWidth val="182"/>
        <c:axId val="1942987344"/>
        <c:axId val="1942994544"/>
      </c:barChart>
      <c:catAx>
        <c:axId val="1942987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s-US"/>
          </a:p>
        </c:txPr>
        <c:crossAx val="1942994544"/>
        <c:crosses val="autoZero"/>
        <c:auto val="1"/>
        <c:lblAlgn val="ctr"/>
        <c:lblOffset val="100"/>
        <c:noMultiLvlLbl val="0"/>
      </c:catAx>
      <c:valAx>
        <c:axId val="1942994544"/>
        <c:scaling>
          <c:orientation val="minMax"/>
        </c:scaling>
        <c:delete val="1"/>
        <c:axPos val="t"/>
        <c:numFmt formatCode="General" sourceLinked="1"/>
        <c:majorTickMark val="none"/>
        <c:minorTickMark val="none"/>
        <c:tickLblPos val="nextTo"/>
        <c:crossAx val="194298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ptos" panose="020B0004020202020204" pitchFamily="34" charset="0"/>
        </a:defRPr>
      </a:pPr>
      <a:endParaRPr lang="es-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CO" sz="960" b="1" i="0" u="none" strike="noStrike" kern="1200" spc="0" baseline="0" dirty="0">
                <a:solidFill>
                  <a:prstClr val="black">
                    <a:lumMod val="65000"/>
                    <a:lumOff val="35000"/>
                  </a:prstClr>
                </a:solidFill>
                <a:latin typeface="HelveticaNeue" panose="00000400000000000000"/>
              </a:rPr>
              <a:t>Indicadores de contraste por tipología municipal</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8.6374891018016167E-2"/>
          <c:y val="0.1111059450696619"/>
          <c:w val="0.89323363650018106"/>
          <c:h val="0.67107767128868423"/>
        </c:manualLayout>
      </c:layout>
      <c:lineChart>
        <c:grouping val="standard"/>
        <c:varyColors val="0"/>
        <c:ser>
          <c:idx val="0"/>
          <c:order val="0"/>
          <c:tx>
            <c:strRef>
              <c:f>Contrastes_Mun2!$D$14</c:f>
              <c:strCache>
                <c:ptCount val="1"/>
                <c:pt idx="0">
                  <c:v>IPM</c:v>
                </c:pt>
              </c:strCache>
            </c:strRef>
          </c:tx>
          <c:spPr>
            <a:ln w="28575" cap="rnd">
              <a:solidFill>
                <a:schemeClr val="accent1"/>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Contrastes_Mun2!$D$15:$D$21</c:f>
              <c:numCache>
                <c:formatCode>0.00</c:formatCode>
                <c:ptCount val="7"/>
                <c:pt idx="0">
                  <c:v>9</c:v>
                </c:pt>
                <c:pt idx="1">
                  <c:v>15.239999999999998</c:v>
                </c:pt>
                <c:pt idx="2">
                  <c:v>14.293877551020408</c:v>
                </c:pt>
                <c:pt idx="3">
                  <c:v>26.743137254901967</c:v>
                </c:pt>
                <c:pt idx="4">
                  <c:v>39.168478260869563</c:v>
                </c:pt>
                <c:pt idx="5">
                  <c:v>47.355882352941137</c:v>
                </c:pt>
                <c:pt idx="6">
                  <c:v>55.444067796610184</c:v>
                </c:pt>
              </c:numCache>
            </c:numRef>
          </c:val>
          <c:smooth val="0"/>
          <c:extLst>
            <c:ext xmlns:c16="http://schemas.microsoft.com/office/drawing/2014/chart" uri="{C3380CC4-5D6E-409C-BE32-E72D297353CC}">
              <c16:uniqueId val="{00000000-AA47-46DE-8AB8-513FC4AD9F44}"/>
            </c:ext>
          </c:extLst>
        </c:ser>
        <c:ser>
          <c:idx val="1"/>
          <c:order val="1"/>
          <c:tx>
            <c:strRef>
              <c:f>Contrastes_Mun2!$E$14</c:f>
              <c:strCache>
                <c:ptCount val="1"/>
                <c:pt idx="0">
                  <c:v>NBI</c:v>
                </c:pt>
              </c:strCache>
            </c:strRef>
          </c:tx>
          <c:spPr>
            <a:ln w="28575" cap="rnd">
              <a:solidFill>
                <a:schemeClr val="accent2"/>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Contrastes_Mun2!$E$15:$E$21</c:f>
              <c:numCache>
                <c:formatCode>0.00</c:formatCode>
                <c:ptCount val="7"/>
                <c:pt idx="0">
                  <c:v>3.4711883561739638</c:v>
                </c:pt>
                <c:pt idx="1">
                  <c:v>7.2988214724703884</c:v>
                </c:pt>
                <c:pt idx="2">
                  <c:v>5.9467009602528673</c:v>
                </c:pt>
                <c:pt idx="3">
                  <c:v>12.645839444194069</c:v>
                </c:pt>
                <c:pt idx="4">
                  <c:v>19.098774243283518</c:v>
                </c:pt>
                <c:pt idx="5">
                  <c:v>26.151735783262374</c:v>
                </c:pt>
                <c:pt idx="6">
                  <c:v>37.125504666403394</c:v>
                </c:pt>
              </c:numCache>
            </c:numRef>
          </c:val>
          <c:smooth val="0"/>
          <c:extLst>
            <c:ext xmlns:c16="http://schemas.microsoft.com/office/drawing/2014/chart" uri="{C3380CC4-5D6E-409C-BE32-E72D297353CC}">
              <c16:uniqueId val="{00000001-AA47-46DE-8AB8-513FC4AD9F44}"/>
            </c:ext>
          </c:extLst>
        </c:ser>
        <c:ser>
          <c:idx val="2"/>
          <c:order val="2"/>
          <c:tx>
            <c:strRef>
              <c:f>Contrastes_Mun2!$F$14</c:f>
              <c:strCache>
                <c:ptCount val="1"/>
                <c:pt idx="0">
                  <c:v>IRCA</c:v>
                </c:pt>
              </c:strCache>
            </c:strRef>
          </c:tx>
          <c:spPr>
            <a:ln w="28575" cap="rnd">
              <a:solidFill>
                <a:schemeClr val="accent3"/>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Contrastes_Mun2!$F$15:$F$21</c:f>
              <c:numCache>
                <c:formatCode>0.00</c:formatCode>
                <c:ptCount val="7"/>
                <c:pt idx="0">
                  <c:v>2.3078607939310496</c:v>
                </c:pt>
                <c:pt idx="1">
                  <c:v>1.0567541212849296</c:v>
                </c:pt>
                <c:pt idx="2">
                  <c:v>3.1615469800322735</c:v>
                </c:pt>
                <c:pt idx="3">
                  <c:v>11.984576826841833</c:v>
                </c:pt>
                <c:pt idx="4">
                  <c:v>18.821717234350462</c:v>
                </c:pt>
                <c:pt idx="5">
                  <c:v>25.865581903000784</c:v>
                </c:pt>
                <c:pt idx="6">
                  <c:v>19.917853261034097</c:v>
                </c:pt>
              </c:numCache>
            </c:numRef>
          </c:val>
          <c:smooth val="0"/>
          <c:extLst>
            <c:ext xmlns:c16="http://schemas.microsoft.com/office/drawing/2014/chart" uri="{C3380CC4-5D6E-409C-BE32-E72D297353CC}">
              <c16:uniqueId val="{00000002-AA47-46DE-8AB8-513FC4AD9F44}"/>
            </c:ext>
          </c:extLst>
        </c:ser>
        <c:ser>
          <c:idx val="3"/>
          <c:order val="3"/>
          <c:tx>
            <c:strRef>
              <c:f>Contrastes_Mun2!$G$14</c:f>
              <c:strCache>
                <c:ptCount val="1"/>
                <c:pt idx="0">
                  <c:v>IICA</c:v>
                </c:pt>
              </c:strCache>
            </c:strRef>
          </c:tx>
          <c:spPr>
            <a:ln w="28575" cap="rnd">
              <a:solidFill>
                <a:schemeClr val="accent4"/>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Contrastes_Mun2!$G$15:$G$21</c:f>
              <c:numCache>
                <c:formatCode>0.00</c:formatCode>
                <c:ptCount val="7"/>
                <c:pt idx="0">
                  <c:v>1.4185282205437935</c:v>
                </c:pt>
                <c:pt idx="1">
                  <c:v>2.0090203996498905</c:v>
                </c:pt>
                <c:pt idx="2">
                  <c:v>3.7128050999986657</c:v>
                </c:pt>
                <c:pt idx="3">
                  <c:v>4.9440448738451073</c:v>
                </c:pt>
                <c:pt idx="4">
                  <c:v>5.1602855186043204</c:v>
                </c:pt>
                <c:pt idx="5">
                  <c:v>9.436598986131397</c:v>
                </c:pt>
                <c:pt idx="6">
                  <c:v>15.225053129063619</c:v>
                </c:pt>
              </c:numCache>
            </c:numRef>
          </c:val>
          <c:smooth val="0"/>
          <c:extLst>
            <c:ext xmlns:c16="http://schemas.microsoft.com/office/drawing/2014/chart" uri="{C3380CC4-5D6E-409C-BE32-E72D297353CC}">
              <c16:uniqueId val="{00000003-AA47-46DE-8AB8-513FC4AD9F44}"/>
            </c:ext>
          </c:extLst>
        </c:ser>
        <c:dLbls>
          <c:showLegendKey val="0"/>
          <c:showVal val="0"/>
          <c:showCatName val="0"/>
          <c:showSerName val="0"/>
          <c:showPercent val="0"/>
          <c:showBubbleSize val="0"/>
        </c:dLbls>
        <c:smooth val="0"/>
        <c:axId val="1144136784"/>
        <c:axId val="1144138224"/>
      </c:lineChart>
      <c:catAx>
        <c:axId val="114413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0.45701389326334202"/>
              <c:y val="0.847448583852391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8224"/>
        <c:crosses val="autoZero"/>
        <c:auto val="1"/>
        <c:lblAlgn val="ctr"/>
        <c:lblOffset val="100"/>
        <c:noMultiLvlLbl val="0"/>
      </c:catAx>
      <c:valAx>
        <c:axId val="1144138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layout>
            <c:manualLayout>
              <c:xMode val="edge"/>
              <c:yMode val="edge"/>
              <c:x val="4.1222102252560676E-3"/>
              <c:y val="0.31445282463070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6784"/>
        <c:crosses val="autoZero"/>
        <c:crossBetween val="between"/>
      </c:valAx>
      <c:spPr>
        <a:noFill/>
        <a:ln>
          <a:solidFill>
            <a:schemeClr val="bg1">
              <a:lumMod val="85000"/>
            </a:schemeClr>
          </a:solidFill>
        </a:ln>
        <a:effectLst/>
      </c:spPr>
    </c:plotArea>
    <c:legend>
      <c:legendPos val="b"/>
      <c:layout>
        <c:manualLayout>
          <c:xMode val="edge"/>
          <c:yMode val="edge"/>
          <c:x val="0.3364549431321085"/>
          <c:y val="0.91604418850628744"/>
          <c:w val="0.3306456692913386"/>
          <c:h val="8.39558114937125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s-CO" sz="960" b="1" i="0" u="none" strike="noStrike" kern="1200" spc="0" baseline="0">
                <a:solidFill>
                  <a:prstClr val="black">
                    <a:lumMod val="65000"/>
                    <a:lumOff val="35000"/>
                  </a:prstClr>
                </a:solidFill>
                <a:latin typeface="HelveticaNeue" panose="00000400000000000000"/>
                <a:ea typeface="+mn-ea"/>
                <a:cs typeface="+mn-cs"/>
              </a:defRPr>
            </a:pPr>
            <a:r>
              <a:rPr lang="es-CO" sz="960" b="1" i="0" u="none" strike="noStrike" kern="1200" spc="0" baseline="0">
                <a:solidFill>
                  <a:prstClr val="black">
                    <a:lumMod val="65000"/>
                    <a:lumOff val="35000"/>
                  </a:prstClr>
                </a:solidFill>
                <a:latin typeface="HelveticaNeue" panose="00000400000000000000"/>
                <a:ea typeface="+mn-ea"/>
                <a:cs typeface="+mn-cs"/>
              </a:rPr>
              <a:t>MDM resultados por tipología municipal</a:t>
            </a:r>
          </a:p>
        </c:rich>
      </c:tx>
      <c:overlay val="0"/>
      <c:spPr>
        <a:noFill/>
        <a:ln>
          <a:noFill/>
        </a:ln>
        <a:effectLst/>
      </c:spPr>
      <c:txPr>
        <a:bodyPr rot="0" spcFirstLastPara="1" vertOverflow="ellipsis" vert="horz" wrap="square" anchor="ctr" anchorCtr="1"/>
        <a:lstStyle/>
        <a:p>
          <a:pPr algn="ctr" rtl="0">
            <a:defRPr lang="es-CO" sz="960" b="1" i="0" u="none" strike="noStrike" kern="1200" spc="0" baseline="0">
              <a:solidFill>
                <a:prstClr val="black">
                  <a:lumMod val="65000"/>
                  <a:lumOff val="35000"/>
                </a:prstClr>
              </a:solidFill>
              <a:latin typeface="HelveticaNeue" panose="00000400000000000000"/>
              <a:ea typeface="+mn-ea"/>
              <a:cs typeface="+mn-cs"/>
            </a:defRPr>
          </a:pPr>
          <a:endParaRPr lang="es-US"/>
        </a:p>
      </c:txPr>
    </c:title>
    <c:autoTitleDeleted val="0"/>
    <c:plotArea>
      <c:layout>
        <c:manualLayout>
          <c:layoutTarget val="inner"/>
          <c:xMode val="edge"/>
          <c:yMode val="edge"/>
          <c:x val="9.2824647965862692E-2"/>
          <c:y val="0.14034384806971811"/>
          <c:w val="0.88605435287323797"/>
          <c:h val="0.62689189211288476"/>
        </c:manualLayout>
      </c:layout>
      <c:lineChart>
        <c:grouping val="standard"/>
        <c:varyColors val="0"/>
        <c:ser>
          <c:idx val="0"/>
          <c:order val="0"/>
          <c:tx>
            <c:strRef>
              <c:f>Contrastes_Mun2!$F$35</c:f>
              <c:strCache>
                <c:ptCount val="1"/>
                <c:pt idx="0">
                  <c:v>Educacion</c:v>
                </c:pt>
              </c:strCache>
            </c:strRef>
          </c:tx>
          <c:spPr>
            <a:ln w="28575" cap="rnd">
              <a:solidFill>
                <a:schemeClr val="accent1"/>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Contrastes_Mun2!$F$36:$F$42</c:f>
              <c:numCache>
                <c:formatCode>0.00</c:formatCode>
                <c:ptCount val="7"/>
                <c:pt idx="0">
                  <c:v>66.512582015959836</c:v>
                </c:pt>
                <c:pt idx="1">
                  <c:v>71.975055896216602</c:v>
                </c:pt>
                <c:pt idx="2">
                  <c:v>70.696929445253033</c:v>
                </c:pt>
                <c:pt idx="3">
                  <c:v>64.852783836620603</c:v>
                </c:pt>
                <c:pt idx="4">
                  <c:v>61.196905880818797</c:v>
                </c:pt>
                <c:pt idx="5">
                  <c:v>60.049777250139037</c:v>
                </c:pt>
                <c:pt idx="6">
                  <c:v>57.681020685236668</c:v>
                </c:pt>
              </c:numCache>
            </c:numRef>
          </c:val>
          <c:smooth val="0"/>
          <c:extLst>
            <c:ext xmlns:c16="http://schemas.microsoft.com/office/drawing/2014/chart" uri="{C3380CC4-5D6E-409C-BE32-E72D297353CC}">
              <c16:uniqueId val="{00000000-6A11-4B3C-AF6D-7DA6316385C7}"/>
            </c:ext>
          </c:extLst>
        </c:ser>
        <c:ser>
          <c:idx val="1"/>
          <c:order val="1"/>
          <c:tx>
            <c:strRef>
              <c:f>Contrastes_Mun2!$G$35</c:f>
              <c:strCache>
                <c:ptCount val="1"/>
                <c:pt idx="0">
                  <c:v>Salud</c:v>
                </c:pt>
              </c:strCache>
            </c:strRef>
          </c:tx>
          <c:spPr>
            <a:ln w="28575" cap="rnd">
              <a:solidFill>
                <a:schemeClr val="accent2"/>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Contrastes_Mun2!$G$36:$G$42</c:f>
              <c:numCache>
                <c:formatCode>0.00</c:formatCode>
                <c:ptCount val="7"/>
                <c:pt idx="0">
                  <c:v>95.329519373609784</c:v>
                </c:pt>
                <c:pt idx="1">
                  <c:v>96.253838955888355</c:v>
                </c:pt>
                <c:pt idx="2">
                  <c:v>92.24405753478861</c:v>
                </c:pt>
                <c:pt idx="3">
                  <c:v>89.389431782724145</c:v>
                </c:pt>
                <c:pt idx="4">
                  <c:v>89.295216441191158</c:v>
                </c:pt>
                <c:pt idx="5">
                  <c:v>89.445559138135692</c:v>
                </c:pt>
                <c:pt idx="6">
                  <c:v>88.287462534680728</c:v>
                </c:pt>
              </c:numCache>
            </c:numRef>
          </c:val>
          <c:smooth val="0"/>
          <c:extLst>
            <c:ext xmlns:c16="http://schemas.microsoft.com/office/drawing/2014/chart" uri="{C3380CC4-5D6E-409C-BE32-E72D297353CC}">
              <c16:uniqueId val="{00000001-6A11-4B3C-AF6D-7DA6316385C7}"/>
            </c:ext>
          </c:extLst>
        </c:ser>
        <c:ser>
          <c:idx val="2"/>
          <c:order val="2"/>
          <c:tx>
            <c:strRef>
              <c:f>Contrastes_Mun2!$H$35</c:f>
              <c:strCache>
                <c:ptCount val="1"/>
                <c:pt idx="0">
                  <c:v>Servicios</c:v>
                </c:pt>
              </c:strCache>
            </c:strRef>
          </c:tx>
          <c:spPr>
            <a:ln w="28575" cap="rnd">
              <a:solidFill>
                <a:schemeClr val="accent3"/>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Contrastes_Mun2!$H$36:$H$42</c:f>
              <c:numCache>
                <c:formatCode>0.00</c:formatCode>
                <c:ptCount val="7"/>
                <c:pt idx="0">
                  <c:v>58.914494822278172</c:v>
                </c:pt>
                <c:pt idx="1">
                  <c:v>62.79091392690674</c:v>
                </c:pt>
                <c:pt idx="2">
                  <c:v>66.552335577196359</c:v>
                </c:pt>
                <c:pt idx="3">
                  <c:v>53.965420822394023</c:v>
                </c:pt>
                <c:pt idx="4">
                  <c:v>46.872827762640455</c:v>
                </c:pt>
                <c:pt idx="5">
                  <c:v>42.324048737564823</c:v>
                </c:pt>
                <c:pt idx="6">
                  <c:v>37.728005588096423</c:v>
                </c:pt>
              </c:numCache>
            </c:numRef>
          </c:val>
          <c:smooth val="0"/>
          <c:extLst>
            <c:ext xmlns:c16="http://schemas.microsoft.com/office/drawing/2014/chart" uri="{C3380CC4-5D6E-409C-BE32-E72D297353CC}">
              <c16:uniqueId val="{00000002-6A11-4B3C-AF6D-7DA6316385C7}"/>
            </c:ext>
          </c:extLst>
        </c:ser>
        <c:ser>
          <c:idx val="3"/>
          <c:order val="3"/>
          <c:tx>
            <c:strRef>
              <c:f>Contrastes_Mun2!$I$35</c:f>
              <c:strCache>
                <c:ptCount val="1"/>
                <c:pt idx="0">
                  <c:v>Seguridad</c:v>
                </c:pt>
              </c:strCache>
            </c:strRef>
          </c:tx>
          <c:spPr>
            <a:ln w="28575" cap="rnd">
              <a:solidFill>
                <a:schemeClr val="accent4"/>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Contrastes_Mun2!$I$36:$I$42</c:f>
              <c:numCache>
                <c:formatCode>0.00</c:formatCode>
                <c:ptCount val="7"/>
                <c:pt idx="0">
                  <c:v>48.99277268675462</c:v>
                </c:pt>
                <c:pt idx="1">
                  <c:v>69.675366406274989</c:v>
                </c:pt>
                <c:pt idx="2">
                  <c:v>82.195006918864493</c:v>
                </c:pt>
                <c:pt idx="3">
                  <c:v>85.819868019950235</c:v>
                </c:pt>
                <c:pt idx="4">
                  <c:v>90.687853106470826</c:v>
                </c:pt>
                <c:pt idx="5">
                  <c:v>92.465297619373445</c:v>
                </c:pt>
                <c:pt idx="6">
                  <c:v>92.544593034669305</c:v>
                </c:pt>
              </c:numCache>
            </c:numRef>
          </c:val>
          <c:smooth val="0"/>
          <c:extLst>
            <c:ext xmlns:c16="http://schemas.microsoft.com/office/drawing/2014/chart" uri="{C3380CC4-5D6E-409C-BE32-E72D297353CC}">
              <c16:uniqueId val="{00000003-6A11-4B3C-AF6D-7DA6316385C7}"/>
            </c:ext>
          </c:extLst>
        </c:ser>
        <c:dLbls>
          <c:showLegendKey val="0"/>
          <c:showVal val="0"/>
          <c:showCatName val="0"/>
          <c:showSerName val="0"/>
          <c:showPercent val="0"/>
          <c:showBubbleSize val="0"/>
        </c:dLbls>
        <c:smooth val="0"/>
        <c:axId val="1560149488"/>
        <c:axId val="1560150928"/>
      </c:lineChart>
      <c:catAx>
        <c:axId val="15601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0.48839534538782703"/>
              <c:y val="0.840540989156013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50928"/>
        <c:crosses val="autoZero"/>
        <c:auto val="1"/>
        <c:lblAlgn val="ctr"/>
        <c:lblOffset val="100"/>
        <c:noMultiLvlLbl val="0"/>
      </c:catAx>
      <c:valAx>
        <c:axId val="1560150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layout>
            <c:manualLayout>
              <c:xMode val="edge"/>
              <c:yMode val="edge"/>
              <c:x val="1.556153332540338E-2"/>
              <c:y val="0.257640341395049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49488"/>
        <c:crosses val="autoZero"/>
        <c:crossBetween val="between"/>
      </c:valAx>
      <c:spPr>
        <a:noFill/>
        <a:ln>
          <a:solidFill>
            <a:schemeClr val="bg1">
              <a:lumMod val="85000"/>
            </a:schemeClr>
          </a:solidFill>
        </a:ln>
        <a:effectLst/>
      </c:spPr>
    </c:plotArea>
    <c:legend>
      <c:legendPos val="b"/>
      <c:layout>
        <c:manualLayout>
          <c:xMode val="edge"/>
          <c:yMode val="edge"/>
          <c:x val="0.24894909069357893"/>
          <c:y val="0.89621417128821612"/>
          <c:w val="0.5136222096702403"/>
          <c:h val="0.10378582871178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Contrastes_Mun2!$E$46</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Contrastes_Mun2!$A$47:$A$48</c:f>
              <c:strCache>
                <c:ptCount val="2"/>
                <c:pt idx="0">
                  <c:v>Bogotá</c:v>
                </c:pt>
                <c:pt idx="1">
                  <c:v>Ciudades grandes</c:v>
                </c:pt>
              </c:strCache>
            </c:strRef>
          </c:cat>
          <c:val>
            <c:numRef>
              <c:f>Contrastes_Mun2!$E$47:$E$48</c:f>
              <c:numCache>
                <c:formatCode>#,##0</c:formatCode>
                <c:ptCount val="2"/>
                <c:pt idx="0">
                  <c:v>14031.891662421</c:v>
                </c:pt>
                <c:pt idx="1">
                  <c:v>2055.8802216570002</c:v>
                </c:pt>
              </c:numCache>
            </c:numRef>
          </c:val>
          <c:extLst>
            <c:ext xmlns:c16="http://schemas.microsoft.com/office/drawing/2014/chart" uri="{C3380CC4-5D6E-409C-BE32-E72D297353CC}">
              <c16:uniqueId val="{00000000-BD03-43FF-8A56-4459A2986DB5}"/>
            </c:ext>
          </c:extLst>
        </c:ser>
        <c:ser>
          <c:idx val="1"/>
          <c:order val="1"/>
          <c:tx>
            <c:strRef>
              <c:f>Contrastes_Mun2!$D$46</c:f>
              <c:strCache>
                <c:ptCount val="1"/>
                <c:pt idx="0">
                  <c:v>Totales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Contrastes_Mun2!$A$47:$A$48</c:f>
              <c:strCache>
                <c:ptCount val="2"/>
                <c:pt idx="0">
                  <c:v>Bogotá</c:v>
                </c:pt>
                <c:pt idx="1">
                  <c:v>Ciudades grandes</c:v>
                </c:pt>
              </c:strCache>
            </c:strRef>
          </c:cat>
          <c:val>
            <c:numRef>
              <c:f>Contrastes_Mun2!$D$47:$D$48</c:f>
              <c:numCache>
                <c:formatCode>#,##0</c:formatCode>
                <c:ptCount val="2"/>
                <c:pt idx="0">
                  <c:v>25039.940850430998</c:v>
                </c:pt>
                <c:pt idx="1">
                  <c:v>5120.4368301608001</c:v>
                </c:pt>
              </c:numCache>
            </c:numRef>
          </c:val>
          <c:extLst>
            <c:ext xmlns:c16="http://schemas.microsoft.com/office/drawing/2014/chart" uri="{C3380CC4-5D6E-409C-BE32-E72D297353CC}">
              <c16:uniqueId val="{00000001-BD03-43FF-8A56-4459A2986DB5}"/>
            </c:ext>
          </c:extLst>
        </c:ser>
        <c:dLbls>
          <c:showLegendKey val="0"/>
          <c:showVal val="0"/>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Miles</a:t>
                </a:r>
                <a:r>
                  <a:rPr lang="es-CO" baseline="0"/>
                  <a:t> de millones de pesos </a:t>
                </a:r>
                <a:endParaRPr lang="es-CO"/>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Contrastes_Mun2!$E$46</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Contrastes_Mun2!$A$49:$A$53</c:f>
              <c:numCache>
                <c:formatCode>General</c:formatCode>
                <c:ptCount val="5"/>
                <c:pt idx="0">
                  <c:v>1</c:v>
                </c:pt>
                <c:pt idx="1">
                  <c:v>2</c:v>
                </c:pt>
                <c:pt idx="2">
                  <c:v>3</c:v>
                </c:pt>
                <c:pt idx="3">
                  <c:v>4</c:v>
                </c:pt>
                <c:pt idx="4">
                  <c:v>5</c:v>
                </c:pt>
              </c:numCache>
            </c:numRef>
          </c:cat>
          <c:val>
            <c:numRef>
              <c:f>Contrastes_Mun2!$E$49:$E$53</c:f>
              <c:numCache>
                <c:formatCode>#,##0</c:formatCode>
                <c:ptCount val="5"/>
                <c:pt idx="0">
                  <c:v>154.18461903544895</c:v>
                </c:pt>
                <c:pt idx="1">
                  <c:v>37.990644686725489</c:v>
                </c:pt>
                <c:pt idx="2">
                  <c:v>7.2166242109320624</c:v>
                </c:pt>
                <c:pt idx="3">
                  <c:v>4.6372036726552563</c:v>
                </c:pt>
                <c:pt idx="4">
                  <c:v>4.1376403726949151</c:v>
                </c:pt>
              </c:numCache>
            </c:numRef>
          </c:val>
          <c:extLst>
            <c:ext xmlns:c16="http://schemas.microsoft.com/office/drawing/2014/chart" uri="{C3380CC4-5D6E-409C-BE32-E72D297353CC}">
              <c16:uniqueId val="{00000000-1A8E-4200-BFC3-DF939025C50E}"/>
            </c:ext>
          </c:extLst>
        </c:ser>
        <c:ser>
          <c:idx val="1"/>
          <c:order val="1"/>
          <c:tx>
            <c:strRef>
              <c:f>Contrastes_Mun2!$D$46</c:f>
              <c:strCache>
                <c:ptCount val="1"/>
                <c:pt idx="0">
                  <c:v>Totales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Contrastes_Mun2!$A$49:$A$53</c:f>
              <c:numCache>
                <c:formatCode>General</c:formatCode>
                <c:ptCount val="5"/>
                <c:pt idx="0">
                  <c:v>1</c:v>
                </c:pt>
                <c:pt idx="1">
                  <c:v>2</c:v>
                </c:pt>
                <c:pt idx="2">
                  <c:v>3</c:v>
                </c:pt>
                <c:pt idx="3">
                  <c:v>4</c:v>
                </c:pt>
                <c:pt idx="4">
                  <c:v>5</c:v>
                </c:pt>
              </c:numCache>
            </c:numRef>
          </c:cat>
          <c:val>
            <c:numRef>
              <c:f>Contrastes_Mun2!$D$49:$D$53</c:f>
              <c:numCache>
                <c:formatCode>#,##0</c:formatCode>
                <c:ptCount val="5"/>
                <c:pt idx="0">
                  <c:v>427.79106206549005</c:v>
                </c:pt>
                <c:pt idx="1">
                  <c:v>143.0284682390261</c:v>
                </c:pt>
                <c:pt idx="2">
                  <c:v>51.179978026097849</c:v>
                </c:pt>
                <c:pt idx="3">
                  <c:v>41.937747973369191</c:v>
                </c:pt>
                <c:pt idx="4">
                  <c:v>39.143923690754242</c:v>
                </c:pt>
              </c:numCache>
            </c:numRef>
          </c:val>
          <c:extLst>
            <c:ext xmlns:c16="http://schemas.microsoft.com/office/drawing/2014/chart" uri="{C3380CC4-5D6E-409C-BE32-E72D297353CC}">
              <c16:uniqueId val="{00000001-1A8E-4200-BFC3-DF939025C50E}"/>
            </c:ext>
          </c:extLst>
        </c:ser>
        <c:dLbls>
          <c:showLegendKey val="0"/>
          <c:showVal val="0"/>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sz="1000" b="0" i="0" u="none" strike="noStrike" kern="1200" baseline="0">
                    <a:solidFill>
                      <a:sysClr val="windowText" lastClr="000000">
                        <a:lumMod val="65000"/>
                        <a:lumOff val="35000"/>
                      </a:sysClr>
                    </a:solidFill>
                  </a:rPr>
                  <a:t>Miles de millones de pesos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IC</a:t>
            </a:r>
            <a:r>
              <a:rPr lang="es-CO" baseline="0"/>
              <a:t> pond- Categorías de ruralidad</a:t>
            </a:r>
            <a:endParaRPr lang="es-CO"/>
          </a:p>
        </c:rich>
      </c:tx>
      <c:layout>
        <c:manualLayout>
          <c:xMode val="edge"/>
          <c:yMode val="edge"/>
          <c:x val="0.26883686875303686"/>
          <c:y val="5.256243962562298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Contrastes_Mun2!$L$176:$P$176</c:f>
              <c:strCache>
                <c:ptCount val="5"/>
                <c:pt idx="0">
                  <c:v>Ciudades y aglomeraciones</c:v>
                </c:pt>
                <c:pt idx="1">
                  <c:v>Intermedio</c:v>
                </c:pt>
                <c:pt idx="2">
                  <c:v>Rural</c:v>
                </c:pt>
                <c:pt idx="3">
                  <c:v>Rural disperso</c:v>
                </c:pt>
                <c:pt idx="4">
                  <c:v>N.D.</c:v>
                </c:pt>
              </c:strCache>
            </c:strRef>
          </c:cat>
          <c:val>
            <c:numRef>
              <c:f>Contrastes_Mun2!$L$184:$P$184</c:f>
              <c:numCache>
                <c:formatCode>General</c:formatCode>
                <c:ptCount val="5"/>
                <c:pt idx="0">
                  <c:v>44.467668426117847</c:v>
                </c:pt>
                <c:pt idx="1">
                  <c:v>33.232534548660588</c:v>
                </c:pt>
                <c:pt idx="2">
                  <c:v>26.754255238862992</c:v>
                </c:pt>
                <c:pt idx="3">
                  <c:v>22.473576118725227</c:v>
                </c:pt>
                <c:pt idx="4">
                  <c:v>23.349697247778646</c:v>
                </c:pt>
              </c:numCache>
            </c:numRef>
          </c:val>
          <c:extLst>
            <c:ext xmlns:c16="http://schemas.microsoft.com/office/drawing/2014/chart" uri="{C3380CC4-5D6E-409C-BE32-E72D297353CC}">
              <c16:uniqueId val="{00000000-095C-4C13-85CF-CEEC8FF44602}"/>
            </c:ext>
          </c:extLst>
        </c:ser>
        <c:dLbls>
          <c:showLegendKey val="0"/>
          <c:showVal val="0"/>
          <c:showCatName val="0"/>
          <c:showSerName val="0"/>
          <c:showPercent val="0"/>
          <c:showBubbleSize val="0"/>
        </c:dLbls>
        <c:axId val="1541765248"/>
        <c:axId val="1541768608"/>
      </c:radarChart>
      <c:catAx>
        <c:axId val="154176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1768608"/>
        <c:crosses val="autoZero"/>
        <c:auto val="1"/>
        <c:lblAlgn val="ctr"/>
        <c:lblOffset val="100"/>
        <c:noMultiLvlLbl val="0"/>
      </c:catAx>
      <c:valAx>
        <c:axId val="154176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176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IC pond- Sistema de ciudades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Contrastes_Mun2!$L$188:$P$188</c:f>
              <c:strCache>
                <c:ptCount val="5"/>
                <c:pt idx="0">
                  <c:v>Centro aglomeración</c:v>
                </c:pt>
                <c:pt idx="1">
                  <c:v>En aglomeración</c:v>
                </c:pt>
                <c:pt idx="2">
                  <c:v>Uninodal</c:v>
                </c:pt>
                <c:pt idx="3">
                  <c:v>Fuera SC</c:v>
                </c:pt>
                <c:pt idx="4">
                  <c:v>N.D.</c:v>
                </c:pt>
              </c:strCache>
            </c:strRef>
          </c:cat>
          <c:val>
            <c:numRef>
              <c:f>Contrastes_Mun2!$L$196:$P$196</c:f>
              <c:numCache>
                <c:formatCode>General</c:formatCode>
                <c:ptCount val="5"/>
                <c:pt idx="0">
                  <c:v>55.88354207863847</c:v>
                </c:pt>
                <c:pt idx="1">
                  <c:v>43.155070068687422</c:v>
                </c:pt>
                <c:pt idx="2">
                  <c:v>32.62959247900887</c:v>
                </c:pt>
                <c:pt idx="3">
                  <c:v>28.014942994110513</c:v>
                </c:pt>
                <c:pt idx="4">
                  <c:v>23.349697247778646</c:v>
                </c:pt>
              </c:numCache>
            </c:numRef>
          </c:val>
          <c:extLst>
            <c:ext xmlns:c16="http://schemas.microsoft.com/office/drawing/2014/chart" uri="{C3380CC4-5D6E-409C-BE32-E72D297353CC}">
              <c16:uniqueId val="{00000000-99D5-4759-BA35-28547AACBFE3}"/>
            </c:ext>
          </c:extLst>
        </c:ser>
        <c:dLbls>
          <c:showLegendKey val="0"/>
          <c:showVal val="0"/>
          <c:showCatName val="0"/>
          <c:showSerName val="0"/>
          <c:showPercent val="0"/>
          <c:showBubbleSize val="0"/>
        </c:dLbls>
        <c:axId val="1546833488"/>
        <c:axId val="1546835888"/>
      </c:radarChart>
      <c:catAx>
        <c:axId val="15468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6835888"/>
        <c:crosses val="autoZero"/>
        <c:auto val="1"/>
        <c:lblAlgn val="ctr"/>
        <c:lblOffset val="100"/>
        <c:noMultiLvlLbl val="0"/>
      </c:catAx>
      <c:valAx>
        <c:axId val="154683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683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IC pond- Categorías Ley 617 de 2000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radarChart>
        <c:radarStyle val="marker"/>
        <c:varyColors val="0"/>
        <c:ser>
          <c:idx val="1"/>
          <c:order val="0"/>
          <c:spPr>
            <a:ln w="28575" cap="rnd">
              <a:solidFill>
                <a:schemeClr val="accent2"/>
              </a:solidFill>
              <a:round/>
            </a:ln>
            <a:effectLst/>
          </c:spPr>
          <c:marker>
            <c:symbol val="none"/>
          </c:marker>
          <c:cat>
            <c:strRef>
              <c:f>Contrastes_Mun2!$O$199:$V$199</c:f>
              <c:strCache>
                <c:ptCount val="8"/>
                <c:pt idx="0">
                  <c:v>ESP</c:v>
                </c:pt>
                <c:pt idx="1">
                  <c:v>1</c:v>
                </c:pt>
                <c:pt idx="2">
                  <c:v>2</c:v>
                </c:pt>
                <c:pt idx="3">
                  <c:v>3</c:v>
                </c:pt>
                <c:pt idx="4">
                  <c:v>4</c:v>
                </c:pt>
                <c:pt idx="5">
                  <c:v>5</c:v>
                </c:pt>
                <c:pt idx="6">
                  <c:v>6</c:v>
                </c:pt>
                <c:pt idx="7">
                  <c:v>N.D.</c:v>
                </c:pt>
              </c:strCache>
            </c:strRef>
          </c:cat>
          <c:val>
            <c:numRef>
              <c:f>Contrastes_Mun2!$O$207:$V$207</c:f>
              <c:numCache>
                <c:formatCode>General</c:formatCode>
                <c:ptCount val="8"/>
                <c:pt idx="0">
                  <c:v>68.52043045717538</c:v>
                </c:pt>
                <c:pt idx="1">
                  <c:v>53.500749591222288</c:v>
                </c:pt>
                <c:pt idx="2">
                  <c:v>44.754679932335407</c:v>
                </c:pt>
                <c:pt idx="3">
                  <c:v>42.199486458045577</c:v>
                </c:pt>
                <c:pt idx="4">
                  <c:v>35.696968868093876</c:v>
                </c:pt>
                <c:pt idx="5">
                  <c:v>35.371816138816712</c:v>
                </c:pt>
                <c:pt idx="6">
                  <c:v>27.93420041795947</c:v>
                </c:pt>
                <c:pt idx="7">
                  <c:v>23.349697247778646</c:v>
                </c:pt>
              </c:numCache>
            </c:numRef>
          </c:val>
          <c:extLst>
            <c:ext xmlns:c16="http://schemas.microsoft.com/office/drawing/2014/chart" uri="{C3380CC4-5D6E-409C-BE32-E72D297353CC}">
              <c16:uniqueId val="{00000001-A1A6-4E11-AE5D-955164EEDB58}"/>
            </c:ext>
          </c:extLst>
        </c:ser>
        <c:dLbls>
          <c:showLegendKey val="0"/>
          <c:showVal val="0"/>
          <c:showCatName val="0"/>
          <c:showSerName val="0"/>
          <c:showPercent val="0"/>
          <c:showBubbleSize val="0"/>
        </c:dLbls>
        <c:axId val="144243632"/>
        <c:axId val="144246992"/>
      </c:radarChart>
      <c:catAx>
        <c:axId val="14424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44246992"/>
        <c:crosses val="autoZero"/>
        <c:auto val="1"/>
        <c:lblAlgn val="ctr"/>
        <c:lblOffset val="100"/>
        <c:noMultiLvlLbl val="0"/>
      </c:catAx>
      <c:valAx>
        <c:axId val="14424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4424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spc="0" baseline="0">
                <a:solidFill>
                  <a:schemeClr val="tx1">
                    <a:lumMod val="65000"/>
                    <a:lumOff val="35000"/>
                  </a:schemeClr>
                </a:solidFill>
                <a:latin typeface="+mn-lt"/>
                <a:ea typeface="+mn-ea"/>
                <a:cs typeface="+mn-cs"/>
              </a:defRPr>
            </a:pPr>
            <a:r>
              <a:rPr lang="es-CO" sz="960" b="1"/>
              <a:t>Ingresos percapita promedio</a:t>
            </a:r>
            <a:r>
              <a:rPr lang="es-CO" sz="960" b="1" baseline="0"/>
              <a:t> </a:t>
            </a:r>
            <a:r>
              <a:rPr lang="es-CO" sz="960" b="1"/>
              <a:t>por tipología</a:t>
            </a: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12254275147645288"/>
          <c:y val="0.15367998613365916"/>
          <c:w val="0.85503520433544256"/>
          <c:h val="0.73000878659220936"/>
        </c:manualLayout>
      </c:layout>
      <c:barChart>
        <c:barDir val="bar"/>
        <c:grouping val="stacked"/>
        <c:varyColors val="0"/>
        <c:ser>
          <c:idx val="0"/>
          <c:order val="0"/>
          <c:tx>
            <c:strRef>
              <c:f>Contrastes_Mun2!$E$57</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Contrastes_Mun2!$B$58:$B$64</c:f>
              <c:strCache>
                <c:ptCount val="7"/>
                <c:pt idx="0">
                  <c:v>Bogotá</c:v>
                </c:pt>
                <c:pt idx="1">
                  <c:v>CG</c:v>
                </c:pt>
                <c:pt idx="2">
                  <c:v>1</c:v>
                </c:pt>
                <c:pt idx="3">
                  <c:v>2</c:v>
                </c:pt>
                <c:pt idx="4">
                  <c:v>3</c:v>
                </c:pt>
                <c:pt idx="5">
                  <c:v>4</c:v>
                </c:pt>
                <c:pt idx="6">
                  <c:v>5</c:v>
                </c:pt>
              </c:strCache>
            </c:strRef>
          </c:cat>
          <c:val>
            <c:numRef>
              <c:f>Contrastes_Mun2!$E$58:$E$64</c:f>
              <c:numCache>
                <c:formatCode>#,##0.00</c:formatCode>
                <c:ptCount val="7"/>
                <c:pt idx="0">
                  <c:v>1.7720033013692973</c:v>
                </c:pt>
                <c:pt idx="1">
                  <c:v>1.3527392232878426</c:v>
                </c:pt>
                <c:pt idx="2">
                  <c:v>0.95112940955512459</c:v>
                </c:pt>
                <c:pt idx="3">
                  <c:v>0.60382249278006939</c:v>
                </c:pt>
                <c:pt idx="4">
                  <c:v>0.35608331047197916</c:v>
                </c:pt>
                <c:pt idx="5">
                  <c:v>0.29965275855652379</c:v>
                </c:pt>
                <c:pt idx="6">
                  <c:v>0.26755959713043681</c:v>
                </c:pt>
              </c:numCache>
            </c:numRef>
          </c:val>
          <c:extLst>
            <c:ext xmlns:c16="http://schemas.microsoft.com/office/drawing/2014/chart" uri="{C3380CC4-5D6E-409C-BE32-E72D297353CC}">
              <c16:uniqueId val="{00000000-3BDD-4A51-995F-B10C7EC3C87C}"/>
            </c:ext>
          </c:extLst>
        </c:ser>
        <c:ser>
          <c:idx val="1"/>
          <c:order val="1"/>
          <c:tx>
            <c:strRef>
              <c:f>Contrastes_Mun2!$G$57</c:f>
              <c:strCache>
                <c:ptCount val="1"/>
                <c:pt idx="0">
                  <c:v>No tributarios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Contrastes_Mun2!$B$58:$B$64</c:f>
              <c:strCache>
                <c:ptCount val="7"/>
                <c:pt idx="0">
                  <c:v>Bogotá</c:v>
                </c:pt>
                <c:pt idx="1">
                  <c:v>CG</c:v>
                </c:pt>
                <c:pt idx="2">
                  <c:v>1</c:v>
                </c:pt>
                <c:pt idx="3">
                  <c:v>2</c:v>
                </c:pt>
                <c:pt idx="4">
                  <c:v>3</c:v>
                </c:pt>
                <c:pt idx="5">
                  <c:v>4</c:v>
                </c:pt>
                <c:pt idx="6">
                  <c:v>5</c:v>
                </c:pt>
              </c:strCache>
            </c:strRef>
          </c:cat>
          <c:val>
            <c:numRef>
              <c:f>Contrastes_Mun2!$G$58:$G$64</c:f>
              <c:numCache>
                <c:formatCode>#,##0.00</c:formatCode>
                <c:ptCount val="7"/>
                <c:pt idx="0">
                  <c:v>1.3901404010287095</c:v>
                </c:pt>
                <c:pt idx="1">
                  <c:v>1.9576910052246923</c:v>
                </c:pt>
                <c:pt idx="2">
                  <c:v>1.2240574975287484</c:v>
                </c:pt>
                <c:pt idx="3">
                  <c:v>1.588200668482596</c:v>
                </c:pt>
                <c:pt idx="4">
                  <c:v>2.1487392378369963</c:v>
                </c:pt>
                <c:pt idx="5">
                  <c:v>2.5567675393811777</c:v>
                </c:pt>
                <c:pt idx="6">
                  <c:v>2.830052585862878</c:v>
                </c:pt>
              </c:numCache>
            </c:numRef>
          </c:val>
          <c:extLst>
            <c:ext xmlns:c16="http://schemas.microsoft.com/office/drawing/2014/chart" uri="{C3380CC4-5D6E-409C-BE32-E72D297353CC}">
              <c16:uniqueId val="{00000001-3BDD-4A51-995F-B10C7EC3C87C}"/>
            </c:ext>
          </c:extLst>
        </c:ser>
        <c:dLbls>
          <c:showLegendKey val="0"/>
          <c:showVal val="1"/>
          <c:showCatName val="0"/>
          <c:showSerName val="0"/>
          <c:showPercent val="0"/>
          <c:showBubbleSize val="0"/>
        </c:dLbls>
        <c:gapWidth val="182"/>
        <c:overlap val="100"/>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6.1151084910127168E-3"/>
              <c:y val="0.333168785504185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1"/>
        <c:axPos val="t"/>
        <c:numFmt formatCode="#,##0.00" sourceLinked="1"/>
        <c:majorTickMark val="none"/>
        <c:minorTickMark val="none"/>
        <c:tickLblPos val="nextTo"/>
        <c:crossAx val="2030391631"/>
        <c:crosses val="autoZero"/>
        <c:crossBetween val="between"/>
      </c:valAx>
      <c:spPr>
        <a:noFill/>
        <a:ln>
          <a:solidFill>
            <a:schemeClr val="bg1">
              <a:lumMod val="85000"/>
            </a:schemeClr>
          </a:solidFill>
        </a:ln>
        <a:effectLst/>
      </c:spPr>
    </c:plotArea>
    <c:legend>
      <c:legendPos val="b"/>
      <c:layout>
        <c:manualLayout>
          <c:xMode val="edge"/>
          <c:yMode val="edge"/>
          <c:x val="0.24279758319272349"/>
          <c:y val="0.88080867538690177"/>
          <c:w val="0.47215336870792712"/>
          <c:h val="9.19477403699292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Departamentos!$Z$3</c:f>
              <c:strCache>
                <c:ptCount val="1"/>
                <c:pt idx="0">
                  <c:v>IC_2025</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olid"/>
              </a:ln>
              <a:effectLst/>
            </c:spPr>
            <c:trendlineType val="linear"/>
            <c:dispRSqr val="0"/>
            <c:dispEq val="0"/>
          </c:trendline>
          <c:yVal>
            <c:numRef>
              <c:f>Departamentos!$Z$4:$Z$35</c:f>
              <c:numCache>
                <c:formatCode>0</c:formatCode>
                <c:ptCount val="32"/>
                <c:pt idx="0">
                  <c:v>79.485233917667728</c:v>
                </c:pt>
                <c:pt idx="1">
                  <c:v>75.360277272327238</c:v>
                </c:pt>
                <c:pt idx="2">
                  <c:v>61.234985457919691</c:v>
                </c:pt>
                <c:pt idx="3">
                  <c:v>68.065575324387225</c:v>
                </c:pt>
                <c:pt idx="4">
                  <c:v>77.172484669667028</c:v>
                </c:pt>
                <c:pt idx="5">
                  <c:v>57.2730424221959</c:v>
                </c:pt>
                <c:pt idx="6">
                  <c:v>60.970982190687103</c:v>
                </c:pt>
                <c:pt idx="7">
                  <c:v>72.229695757680801</c:v>
                </c:pt>
                <c:pt idx="8">
                  <c:v>61.761903301266869</c:v>
                </c:pt>
                <c:pt idx="9">
                  <c:v>83.259058475960856</c:v>
                </c:pt>
                <c:pt idx="10">
                  <c:v>56.113841496899362</c:v>
                </c:pt>
                <c:pt idx="11">
                  <c:v>69.923623527225303</c:v>
                </c:pt>
                <c:pt idx="12">
                  <c:v>58.542577716609848</c:v>
                </c:pt>
                <c:pt idx="13">
                  <c:v>59.981182489476311</c:v>
                </c:pt>
                <c:pt idx="14">
                  <c:v>77.84333062164086</c:v>
                </c:pt>
                <c:pt idx="15">
                  <c:v>60.329193427951367</c:v>
                </c:pt>
                <c:pt idx="16">
                  <c:v>68.403649010947959</c:v>
                </c:pt>
                <c:pt idx="17">
                  <c:v>70.961820389378175</c:v>
                </c:pt>
                <c:pt idx="18">
                  <c:v>71.14114568778129</c:v>
                </c:pt>
                <c:pt idx="19">
                  <c:v>66.628010296784907</c:v>
                </c:pt>
                <c:pt idx="20">
                  <c:v>71.682732209444268</c:v>
                </c:pt>
                <c:pt idx="21">
                  <c:v>67.874393829484802</c:v>
                </c:pt>
                <c:pt idx="22">
                  <c:v>74.275985054801836</c:v>
                </c:pt>
                <c:pt idx="23">
                  <c:v>57.354888019282242</c:v>
                </c:pt>
                <c:pt idx="24">
                  <c:v>65.889530902819416</c:v>
                </c:pt>
                <c:pt idx="25">
                  <c:v>58.409860182318404</c:v>
                </c:pt>
                <c:pt idx="26">
                  <c:v>62.099988644528111</c:v>
                </c:pt>
                <c:pt idx="27">
                  <c:v>49.940316565448477</c:v>
                </c:pt>
                <c:pt idx="28">
                  <c:v>57.445621463747599</c:v>
                </c:pt>
                <c:pt idx="29">
                  <c:v>63.508100196266838</c:v>
                </c:pt>
                <c:pt idx="30">
                  <c:v>59.466139983169398</c:v>
                </c:pt>
                <c:pt idx="31">
                  <c:v>53.280418986960086</c:v>
                </c:pt>
              </c:numCache>
            </c:numRef>
          </c:yVal>
          <c:smooth val="0"/>
          <c:extLst>
            <c:ext xmlns:c16="http://schemas.microsoft.com/office/drawing/2014/chart" uri="{C3380CC4-5D6E-409C-BE32-E72D297353CC}">
              <c16:uniqueId val="{00000001-DDFD-46B4-8FFF-7BDFAE003EF4}"/>
            </c:ext>
          </c:extLst>
        </c:ser>
        <c:ser>
          <c:idx val="0"/>
          <c:order val="1"/>
          <c:tx>
            <c:strRef>
              <c:f>Departamentos!$T$3</c:f>
              <c:strCache>
                <c:ptCount val="1"/>
                <c:pt idx="0">
                  <c:v>IC_2026</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olid"/>
              </a:ln>
              <a:effectLst/>
            </c:spPr>
            <c:trendlineType val="linear"/>
            <c:dispRSqr val="0"/>
            <c:dispEq val="0"/>
          </c:trendline>
          <c:yVal>
            <c:numRef>
              <c:f>Departamentos!$T$4:$T$35</c:f>
              <c:numCache>
                <c:formatCode>0.00</c:formatCode>
                <c:ptCount val="32"/>
                <c:pt idx="0">
                  <c:v>77.783900807499379</c:v>
                </c:pt>
                <c:pt idx="1">
                  <c:v>76.242626102179742</c:v>
                </c:pt>
                <c:pt idx="2">
                  <c:v>62.063909985981198</c:v>
                </c:pt>
                <c:pt idx="3">
                  <c:v>70.398881659190025</c:v>
                </c:pt>
                <c:pt idx="4">
                  <c:v>74.257730460463989</c:v>
                </c:pt>
                <c:pt idx="5">
                  <c:v>56.303426895846187</c:v>
                </c:pt>
                <c:pt idx="6">
                  <c:v>64.127229866119194</c:v>
                </c:pt>
                <c:pt idx="7">
                  <c:v>72.74017482805391</c:v>
                </c:pt>
                <c:pt idx="8">
                  <c:v>63.841106742758718</c:v>
                </c:pt>
                <c:pt idx="9">
                  <c:v>79.9046596148807</c:v>
                </c:pt>
                <c:pt idx="10">
                  <c:v>57.60715483042604</c:v>
                </c:pt>
                <c:pt idx="11">
                  <c:v>71.399748636229489</c:v>
                </c:pt>
                <c:pt idx="12">
                  <c:v>61.302997633918281</c:v>
                </c:pt>
                <c:pt idx="13">
                  <c:v>59.551803786102823</c:v>
                </c:pt>
                <c:pt idx="14">
                  <c:v>74.151360758651776</c:v>
                </c:pt>
                <c:pt idx="15">
                  <c:v>60.755567420739183</c:v>
                </c:pt>
                <c:pt idx="16">
                  <c:v>66.802922920186646</c:v>
                </c:pt>
                <c:pt idx="17">
                  <c:v>70.577595018332318</c:v>
                </c:pt>
                <c:pt idx="18">
                  <c:v>70.426198420164155</c:v>
                </c:pt>
                <c:pt idx="19">
                  <c:v>67.315591707428396</c:v>
                </c:pt>
                <c:pt idx="20">
                  <c:v>72.8235986548314</c:v>
                </c:pt>
                <c:pt idx="21">
                  <c:v>67.252658685836394</c:v>
                </c:pt>
                <c:pt idx="22">
                  <c:v>75.021652412585809</c:v>
                </c:pt>
                <c:pt idx="23">
                  <c:v>57.882194432299926</c:v>
                </c:pt>
                <c:pt idx="24">
                  <c:v>70.000711293434932</c:v>
                </c:pt>
                <c:pt idx="25">
                  <c:v>60.909266146875879</c:v>
                </c:pt>
                <c:pt idx="26">
                  <c:v>60.139966235427998</c:v>
                </c:pt>
                <c:pt idx="27">
                  <c:v>51.451185601747113</c:v>
                </c:pt>
                <c:pt idx="28">
                  <c:v>57.481395086273288</c:v>
                </c:pt>
                <c:pt idx="29">
                  <c:v>62.975697158507067</c:v>
                </c:pt>
                <c:pt idx="30">
                  <c:v>61.656942399119586</c:v>
                </c:pt>
                <c:pt idx="31">
                  <c:v>55.105828276651394</c:v>
                </c:pt>
              </c:numCache>
            </c:numRef>
          </c:yVal>
          <c:smooth val="0"/>
          <c:extLst>
            <c:ext xmlns:c16="http://schemas.microsoft.com/office/drawing/2014/chart" uri="{C3380CC4-5D6E-409C-BE32-E72D297353CC}">
              <c16:uniqueId val="{00000000-DDFD-46B4-8FFF-7BDFAE003EF4}"/>
            </c:ext>
          </c:extLst>
        </c:ser>
        <c:dLbls>
          <c:showLegendKey val="0"/>
          <c:showVal val="0"/>
          <c:showCatName val="0"/>
          <c:showSerName val="0"/>
          <c:showPercent val="0"/>
          <c:showBubbleSize val="0"/>
        </c:dLbls>
        <c:axId val="1143636623"/>
        <c:axId val="1143635663"/>
      </c:scatterChart>
      <c:valAx>
        <c:axId val="11436366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3635663"/>
        <c:crosses val="autoZero"/>
        <c:crossBetween val="midCat"/>
      </c:valAx>
      <c:valAx>
        <c:axId val="1143635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363662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Departamentos!$AA$3</c:f>
              <c:strCache>
                <c:ptCount val="1"/>
                <c:pt idx="0">
                  <c:v>Pond_2025a</c:v>
                </c:pt>
              </c:strCache>
            </c:strRef>
          </c:tx>
          <c:spPr>
            <a:ln w="25400" cap="rnd">
              <a:noFill/>
              <a:round/>
            </a:ln>
            <a:effectLst/>
          </c:spPr>
          <c:marker>
            <c:symbol val="circle"/>
            <c:size val="5"/>
            <c:spPr>
              <a:solidFill>
                <a:schemeClr val="accent2"/>
              </a:solidFill>
              <a:ln w="9525">
                <a:solidFill>
                  <a:schemeClr val="accent2"/>
                </a:solidFill>
              </a:ln>
              <a:effectLst/>
            </c:spPr>
          </c:marker>
          <c:yVal>
            <c:numRef>
              <c:f>Departamentos!$AA$4:$AA$35</c:f>
              <c:numCache>
                <c:formatCode>0.00</c:formatCode>
                <c:ptCount val="32"/>
                <c:pt idx="0">
                  <c:v>0.7818751863897242</c:v>
                </c:pt>
                <c:pt idx="1">
                  <c:v>1</c:v>
                </c:pt>
                <c:pt idx="2">
                  <c:v>0.73152863868753981</c:v>
                </c:pt>
                <c:pt idx="3">
                  <c:v>0.68713433061283224</c:v>
                </c:pt>
                <c:pt idx="4">
                  <c:v>0.80458975075006789</c:v>
                </c:pt>
                <c:pt idx="5">
                  <c:v>0.44957717179734658</c:v>
                </c:pt>
                <c:pt idx="6">
                  <c:v>0.7342161463735537</c:v>
                </c:pt>
                <c:pt idx="7">
                  <c:v>0.70568878853846773</c:v>
                </c:pt>
                <c:pt idx="8">
                  <c:v>0.80472800261449118</c:v>
                </c:pt>
                <c:pt idx="9">
                  <c:v>0.80015717774324191</c:v>
                </c:pt>
                <c:pt idx="10">
                  <c:v>0.52543638124725089</c:v>
                </c:pt>
                <c:pt idx="11">
                  <c:v>0.68993111264285523</c:v>
                </c:pt>
                <c:pt idx="12">
                  <c:v>0.74415289013006625</c:v>
                </c:pt>
                <c:pt idx="13">
                  <c:v>0.72025451289917009</c:v>
                </c:pt>
                <c:pt idx="14">
                  <c:v>0.51150093473356884</c:v>
                </c:pt>
                <c:pt idx="15">
                  <c:v>0.71314268973397088</c:v>
                </c:pt>
                <c:pt idx="16">
                  <c:v>0.68931496040880802</c:v>
                </c:pt>
                <c:pt idx="17">
                  <c:v>0.87997602159359856</c:v>
                </c:pt>
                <c:pt idx="18">
                  <c:v>0.88513196772273595</c:v>
                </c:pt>
                <c:pt idx="19">
                  <c:v>0.68662229298270261</c:v>
                </c:pt>
                <c:pt idx="20">
                  <c:v>0.8096141276340173</c:v>
                </c:pt>
                <c:pt idx="21">
                  <c:v>0.69601718751051678</c:v>
                </c:pt>
                <c:pt idx="22">
                  <c:v>0.86424812892937752</c:v>
                </c:pt>
                <c:pt idx="23">
                  <c:v>0.46442406722491048</c:v>
                </c:pt>
                <c:pt idx="24">
                  <c:v>0.4747577696919435</c:v>
                </c:pt>
                <c:pt idx="25">
                  <c:v>0.59907630115672017</c:v>
                </c:pt>
                <c:pt idx="26">
                  <c:v>0.78470518988133942</c:v>
                </c:pt>
                <c:pt idx="27">
                  <c:v>0.35645805342614156</c:v>
                </c:pt>
                <c:pt idx="28">
                  <c:v>0.17128948263889171</c:v>
                </c:pt>
                <c:pt idx="29">
                  <c:v>0.19258650669586241</c:v>
                </c:pt>
                <c:pt idx="30">
                  <c:v>0.1</c:v>
                </c:pt>
                <c:pt idx="31">
                  <c:v>0.14578440708494797</c:v>
                </c:pt>
              </c:numCache>
            </c:numRef>
          </c:yVal>
          <c:smooth val="0"/>
          <c:extLst>
            <c:ext xmlns:c16="http://schemas.microsoft.com/office/drawing/2014/chart" uri="{C3380CC4-5D6E-409C-BE32-E72D297353CC}">
              <c16:uniqueId val="{00000001-FA6F-4A31-AA75-4670DED8BA32}"/>
            </c:ext>
          </c:extLst>
        </c:ser>
        <c:ser>
          <c:idx val="0"/>
          <c:order val="1"/>
          <c:tx>
            <c:strRef>
              <c:f>Departamentos!$W$3</c:f>
              <c:strCache>
                <c:ptCount val="1"/>
                <c:pt idx="0">
                  <c:v>Pond_2026</c:v>
                </c:pt>
              </c:strCache>
            </c:strRef>
          </c:tx>
          <c:spPr>
            <a:ln w="38100" cap="rnd">
              <a:noFill/>
              <a:round/>
            </a:ln>
            <a:effectLst/>
          </c:spPr>
          <c:marker>
            <c:symbol val="circle"/>
            <c:size val="5"/>
            <c:spPr>
              <a:solidFill>
                <a:schemeClr val="accent1"/>
              </a:solidFill>
              <a:ln w="9525">
                <a:solidFill>
                  <a:schemeClr val="accent1"/>
                </a:solidFill>
              </a:ln>
              <a:effectLst/>
            </c:spPr>
          </c:marker>
          <c:yVal>
            <c:numRef>
              <c:f>Departamentos!$W$4:$W$35</c:f>
              <c:numCache>
                <c:formatCode>0.0000</c:formatCode>
                <c:ptCount val="32"/>
                <c:pt idx="0">
                  <c:v>0.78450202092561949</c:v>
                </c:pt>
                <c:pt idx="1">
                  <c:v>1</c:v>
                </c:pt>
                <c:pt idx="2">
                  <c:v>0.72835534190393336</c:v>
                </c:pt>
                <c:pt idx="3">
                  <c:v>0.67821137867930092</c:v>
                </c:pt>
                <c:pt idx="4">
                  <c:v>0.79449156073327432</c:v>
                </c:pt>
                <c:pt idx="5">
                  <c:v>0.45073510594113808</c:v>
                </c:pt>
                <c:pt idx="6">
                  <c:v>0.73037312517661668</c:v>
                </c:pt>
                <c:pt idx="7">
                  <c:v>0.70604151650826696</c:v>
                </c:pt>
                <c:pt idx="8">
                  <c:v>0.80326512862634292</c:v>
                </c:pt>
                <c:pt idx="9">
                  <c:v>0.78409359084970243</c:v>
                </c:pt>
                <c:pt idx="10">
                  <c:v>0.51997613452781366</c:v>
                </c:pt>
                <c:pt idx="11">
                  <c:v>0.68639132143841575</c:v>
                </c:pt>
                <c:pt idx="12">
                  <c:v>0.73118930874335031</c:v>
                </c:pt>
                <c:pt idx="13">
                  <c:v>0.71909085172908038</c:v>
                </c:pt>
                <c:pt idx="14">
                  <c:v>0.5042511622635466</c:v>
                </c:pt>
                <c:pt idx="15">
                  <c:v>0.70841052328603726</c:v>
                </c:pt>
                <c:pt idx="16">
                  <c:v>0.68604857812925679</c:v>
                </c:pt>
                <c:pt idx="17">
                  <c:v>0.87030663946153464</c:v>
                </c:pt>
                <c:pt idx="18">
                  <c:v>0.87692327174004026</c:v>
                </c:pt>
                <c:pt idx="19">
                  <c:v>0.68781080481042955</c:v>
                </c:pt>
                <c:pt idx="20">
                  <c:v>0.8085712158506787</c:v>
                </c:pt>
                <c:pt idx="21">
                  <c:v>0.69185576614350719</c:v>
                </c:pt>
                <c:pt idx="22">
                  <c:v>0.85621779365482387</c:v>
                </c:pt>
                <c:pt idx="23">
                  <c:v>0.45024701863657535</c:v>
                </c:pt>
                <c:pt idx="24">
                  <c:v>0.47370162696999585</c:v>
                </c:pt>
                <c:pt idx="25">
                  <c:v>0.59652176858269834</c:v>
                </c:pt>
                <c:pt idx="26">
                  <c:v>0.78598149445765286</c:v>
                </c:pt>
                <c:pt idx="27">
                  <c:v>0.36278719731340858</c:v>
                </c:pt>
                <c:pt idx="28">
                  <c:v>0.15808666585925057</c:v>
                </c:pt>
                <c:pt idx="29">
                  <c:v>0.17544078979018957</c:v>
                </c:pt>
                <c:pt idx="30">
                  <c:v>0.1</c:v>
                </c:pt>
                <c:pt idx="31">
                  <c:v>0.16296960138525748</c:v>
                </c:pt>
              </c:numCache>
            </c:numRef>
          </c:yVal>
          <c:smooth val="0"/>
          <c:extLst>
            <c:ext xmlns:c16="http://schemas.microsoft.com/office/drawing/2014/chart" uri="{C3380CC4-5D6E-409C-BE32-E72D297353CC}">
              <c16:uniqueId val="{00000000-FA6F-4A31-AA75-4670DED8BA32}"/>
            </c:ext>
          </c:extLst>
        </c:ser>
        <c:dLbls>
          <c:showLegendKey val="0"/>
          <c:showVal val="0"/>
          <c:showCatName val="0"/>
          <c:showSerName val="0"/>
          <c:showPercent val="0"/>
          <c:showBubbleSize val="0"/>
        </c:dLbls>
        <c:axId val="242247823"/>
        <c:axId val="242243983"/>
      </c:scatterChart>
      <c:valAx>
        <c:axId val="24224782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42243983"/>
        <c:crosses val="autoZero"/>
        <c:crossBetween val="midCat"/>
      </c:valAx>
      <c:valAx>
        <c:axId val="24224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422478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CO" sz="960" b="1" i="0" u="none" strike="noStrike" kern="1200" spc="0" baseline="0" dirty="0">
                <a:solidFill>
                  <a:prstClr val="black">
                    <a:lumMod val="65000"/>
                    <a:lumOff val="35000"/>
                  </a:prstClr>
                </a:solidFill>
                <a:latin typeface="HelveticaNeue" panose="00000400000000000000"/>
              </a:rPr>
              <a:t>Indicadores de contraste por tipología departamental</a:t>
            </a:r>
          </a:p>
        </c:rich>
      </c:tx>
      <c:layout>
        <c:manualLayout>
          <c:xMode val="edge"/>
          <c:yMode val="edge"/>
          <c:x val="0.13892011057880305"/>
          <c:y val="0"/>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11927266415870819"/>
          <c:y val="0.13050570962479607"/>
          <c:w val="0.84421102818630278"/>
          <c:h val="0.55632374664423068"/>
        </c:manualLayout>
      </c:layout>
      <c:lineChart>
        <c:grouping val="standard"/>
        <c:varyColors val="0"/>
        <c:ser>
          <c:idx val="1"/>
          <c:order val="0"/>
          <c:tx>
            <c:strRef>
              <c:f>Contrastes_Dptos2!$C$9</c:f>
              <c:strCache>
                <c:ptCount val="1"/>
                <c:pt idx="0">
                  <c:v>IPM</c:v>
                </c:pt>
              </c:strCache>
            </c:strRef>
          </c:tx>
          <c:spPr>
            <a:ln w="28575" cap="rnd">
              <a:solidFill>
                <a:schemeClr val="tx2">
                  <a:lumMod val="75000"/>
                  <a:lumOff val="25000"/>
                </a:schemeClr>
              </a:solidFill>
              <a:round/>
            </a:ln>
            <a:effectLst/>
          </c:spPr>
          <c:marker>
            <c:symbol val="none"/>
          </c:marker>
          <c:cat>
            <c:numRef>
              <c:f>Contrastes_Dptos2!$A$10:$A$12</c:f>
              <c:numCache>
                <c:formatCode>General</c:formatCode>
                <c:ptCount val="3"/>
                <c:pt idx="0">
                  <c:v>1</c:v>
                </c:pt>
                <c:pt idx="1">
                  <c:v>2</c:v>
                </c:pt>
                <c:pt idx="2">
                  <c:v>3</c:v>
                </c:pt>
              </c:numCache>
            </c:numRef>
          </c:cat>
          <c:val>
            <c:numRef>
              <c:f>Contrastes_Dptos2!$C$10:$C$12</c:f>
              <c:numCache>
                <c:formatCode>0.00</c:formatCode>
                <c:ptCount val="3"/>
                <c:pt idx="0">
                  <c:v>17.787499999999998</c:v>
                </c:pt>
                <c:pt idx="1">
                  <c:v>25.906250000000004</c:v>
                </c:pt>
                <c:pt idx="2">
                  <c:v>45.024999999999999</c:v>
                </c:pt>
              </c:numCache>
            </c:numRef>
          </c:val>
          <c:smooth val="0"/>
          <c:extLst>
            <c:ext xmlns:c16="http://schemas.microsoft.com/office/drawing/2014/chart" uri="{C3380CC4-5D6E-409C-BE32-E72D297353CC}">
              <c16:uniqueId val="{00000001-C775-455A-A3C0-2588CAB492DD}"/>
            </c:ext>
          </c:extLst>
        </c:ser>
        <c:ser>
          <c:idx val="2"/>
          <c:order val="1"/>
          <c:tx>
            <c:strRef>
              <c:f>Contrastes_Dptos2!$D$9</c:f>
              <c:strCache>
                <c:ptCount val="1"/>
                <c:pt idx="0">
                  <c:v>NBI</c:v>
                </c:pt>
              </c:strCache>
            </c:strRef>
          </c:tx>
          <c:spPr>
            <a:ln w="28575" cap="rnd">
              <a:solidFill>
                <a:schemeClr val="accent2"/>
              </a:solidFill>
              <a:round/>
            </a:ln>
            <a:effectLst/>
          </c:spPr>
          <c:marker>
            <c:symbol val="none"/>
          </c:marker>
          <c:cat>
            <c:numRef>
              <c:f>Contrastes_Dptos2!$A$10:$A$12</c:f>
              <c:numCache>
                <c:formatCode>General</c:formatCode>
                <c:ptCount val="3"/>
                <c:pt idx="0">
                  <c:v>1</c:v>
                </c:pt>
                <c:pt idx="1">
                  <c:v>2</c:v>
                </c:pt>
                <c:pt idx="2">
                  <c:v>3</c:v>
                </c:pt>
              </c:numCache>
            </c:numRef>
          </c:cat>
          <c:val>
            <c:numRef>
              <c:f>Contrastes_Dptos2!$D$10:$D$12</c:f>
              <c:numCache>
                <c:formatCode>0.00</c:formatCode>
                <c:ptCount val="3"/>
                <c:pt idx="0">
                  <c:v>10.967568040361387</c:v>
                </c:pt>
                <c:pt idx="1">
                  <c:v>20.769348164556924</c:v>
                </c:pt>
                <c:pt idx="2">
                  <c:v>47.674384769718998</c:v>
                </c:pt>
              </c:numCache>
            </c:numRef>
          </c:val>
          <c:smooth val="0"/>
          <c:extLst>
            <c:ext xmlns:c16="http://schemas.microsoft.com/office/drawing/2014/chart" uri="{C3380CC4-5D6E-409C-BE32-E72D297353CC}">
              <c16:uniqueId val="{00000002-C775-455A-A3C0-2588CAB492DD}"/>
            </c:ext>
          </c:extLst>
        </c:ser>
        <c:ser>
          <c:idx val="3"/>
          <c:order val="2"/>
          <c:tx>
            <c:strRef>
              <c:f>Contrastes_Dptos2!$E$9</c:f>
              <c:strCache>
                <c:ptCount val="1"/>
                <c:pt idx="0">
                  <c:v>IRCA</c:v>
                </c:pt>
              </c:strCache>
            </c:strRef>
          </c:tx>
          <c:spPr>
            <a:ln w="28575" cap="rnd">
              <a:solidFill>
                <a:schemeClr val="accent3"/>
              </a:solidFill>
              <a:round/>
            </a:ln>
            <a:effectLst/>
          </c:spPr>
          <c:marker>
            <c:symbol val="none"/>
          </c:marker>
          <c:val>
            <c:numRef>
              <c:f>Contrastes_Dptos2!$E$10:$E$12</c:f>
              <c:numCache>
                <c:formatCode>0.00</c:formatCode>
                <c:ptCount val="3"/>
                <c:pt idx="0">
                  <c:v>15.26706003116654</c:v>
                </c:pt>
                <c:pt idx="1">
                  <c:v>17.135414351948153</c:v>
                </c:pt>
                <c:pt idx="2">
                  <c:v>21.22819729452495</c:v>
                </c:pt>
              </c:numCache>
            </c:numRef>
          </c:val>
          <c:smooth val="0"/>
          <c:extLst>
            <c:ext xmlns:c16="http://schemas.microsoft.com/office/drawing/2014/chart" uri="{C3380CC4-5D6E-409C-BE32-E72D297353CC}">
              <c16:uniqueId val="{00000003-C775-455A-A3C0-2588CAB492DD}"/>
            </c:ext>
          </c:extLst>
        </c:ser>
        <c:ser>
          <c:idx val="4"/>
          <c:order val="3"/>
          <c:tx>
            <c:strRef>
              <c:f>Contrastes_Dptos2!$F$9</c:f>
              <c:strCache>
                <c:ptCount val="1"/>
                <c:pt idx="0">
                  <c:v>IICA</c:v>
                </c:pt>
              </c:strCache>
            </c:strRef>
          </c:tx>
          <c:spPr>
            <a:ln w="28575" cap="rnd">
              <a:solidFill>
                <a:schemeClr val="accent4"/>
              </a:solidFill>
              <a:round/>
            </a:ln>
            <a:effectLst/>
          </c:spPr>
          <c:marker>
            <c:symbol val="none"/>
          </c:marker>
          <c:val>
            <c:numRef>
              <c:f>Contrastes_Dptos2!$F$10:$F$12</c:f>
              <c:numCache>
                <c:formatCode>0.00</c:formatCode>
                <c:ptCount val="3"/>
                <c:pt idx="0">
                  <c:v>4.843134127407887</c:v>
                </c:pt>
                <c:pt idx="1">
                  <c:v>8.4912650328543346</c:v>
                </c:pt>
                <c:pt idx="2">
                  <c:v>14.248045528890154</c:v>
                </c:pt>
              </c:numCache>
            </c:numRef>
          </c:val>
          <c:smooth val="0"/>
          <c:extLst>
            <c:ext xmlns:c16="http://schemas.microsoft.com/office/drawing/2014/chart" uri="{C3380CC4-5D6E-409C-BE32-E72D297353CC}">
              <c16:uniqueId val="{00000004-C775-455A-A3C0-2588CAB492DD}"/>
            </c:ext>
          </c:extLst>
        </c:ser>
        <c:dLbls>
          <c:showLegendKey val="0"/>
          <c:showVal val="0"/>
          <c:showCatName val="0"/>
          <c:showSerName val="0"/>
          <c:showPercent val="0"/>
          <c:showBubbleSize val="0"/>
        </c:dLbls>
        <c:smooth val="0"/>
        <c:axId val="1144136784"/>
        <c:axId val="1144138224"/>
      </c:lineChart>
      <c:catAx>
        <c:axId val="114413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a:t>
                </a:r>
              </a:p>
            </c:rich>
          </c:tx>
          <c:layout>
            <c:manualLayout>
              <c:xMode val="edge"/>
              <c:yMode val="edge"/>
              <c:x val="0.43472572776452234"/>
              <c:y val="0.811581611026191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8224"/>
        <c:crosses val="autoZero"/>
        <c:auto val="1"/>
        <c:lblAlgn val="ctr"/>
        <c:lblOffset val="100"/>
        <c:noMultiLvlLbl val="0"/>
      </c:catAx>
      <c:valAx>
        <c:axId val="1144138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6784"/>
        <c:crosses val="autoZero"/>
        <c:crossBetween val="between"/>
      </c:valAx>
      <c:spPr>
        <a:noFill/>
        <a:ln>
          <a:solidFill>
            <a:schemeClr val="bg1">
              <a:lumMod val="85000"/>
            </a:schemeClr>
          </a:solidFill>
        </a:ln>
        <a:effectLst/>
      </c:spPr>
    </c:plotArea>
    <c:legend>
      <c:legendPos val="b"/>
      <c:layout>
        <c:manualLayout>
          <c:xMode val="edge"/>
          <c:yMode val="edge"/>
          <c:x val="0.19129082141565126"/>
          <c:y val="0.88988503680106867"/>
          <c:w val="0.61741835716869753"/>
          <c:h val="0.1101149631989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CO" sz="960" b="1" i="0" u="none" strike="noStrike" kern="1200" spc="0" baseline="0">
                <a:solidFill>
                  <a:prstClr val="black">
                    <a:lumMod val="65000"/>
                    <a:lumOff val="35000"/>
                  </a:prstClr>
                </a:solidFill>
                <a:latin typeface="HelveticaNeue" panose="00000400000000000000"/>
              </a:rPr>
              <a:t>MDM resultados por tipología departamental</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10047446203778988"/>
          <c:y val="0.16445042712814442"/>
          <c:w val="0.87020485023362104"/>
          <c:h val="0.57536913429163461"/>
        </c:manualLayout>
      </c:layout>
      <c:lineChart>
        <c:grouping val="standard"/>
        <c:varyColors val="0"/>
        <c:ser>
          <c:idx val="1"/>
          <c:order val="0"/>
          <c:tx>
            <c:strRef>
              <c:f>Contrastes_Dptos2!$E$16</c:f>
              <c:strCache>
                <c:ptCount val="1"/>
                <c:pt idx="0">
                  <c:v>Educacion</c:v>
                </c:pt>
              </c:strCache>
            </c:strRef>
          </c:tx>
          <c:spPr>
            <a:ln w="28575" cap="rnd">
              <a:solidFill>
                <a:schemeClr val="accent1"/>
              </a:solidFill>
              <a:round/>
            </a:ln>
            <a:effectLst/>
          </c:spPr>
          <c:marker>
            <c:symbol val="none"/>
          </c:marker>
          <c:cat>
            <c:numRef>
              <c:f>Contrastes_Dptos2!$A$17:$A$19</c:f>
              <c:numCache>
                <c:formatCode>General</c:formatCode>
                <c:ptCount val="3"/>
                <c:pt idx="0">
                  <c:v>1</c:v>
                </c:pt>
                <c:pt idx="1">
                  <c:v>2</c:v>
                </c:pt>
                <c:pt idx="2">
                  <c:v>3</c:v>
                </c:pt>
              </c:numCache>
            </c:numRef>
          </c:cat>
          <c:val>
            <c:numRef>
              <c:f>Contrastes_Dptos2!$E$17:$E$19</c:f>
              <c:numCache>
                <c:formatCode>0.00</c:formatCode>
                <c:ptCount val="3"/>
                <c:pt idx="0">
                  <c:v>63.459762180277892</c:v>
                </c:pt>
                <c:pt idx="1">
                  <c:v>60.017950033136962</c:v>
                </c:pt>
                <c:pt idx="2">
                  <c:v>45.089368927410582</c:v>
                </c:pt>
              </c:numCache>
            </c:numRef>
          </c:val>
          <c:smooth val="0"/>
          <c:extLst>
            <c:ext xmlns:c16="http://schemas.microsoft.com/office/drawing/2014/chart" uri="{C3380CC4-5D6E-409C-BE32-E72D297353CC}">
              <c16:uniqueId val="{00000001-415D-4FED-8F48-15297E19428E}"/>
            </c:ext>
          </c:extLst>
        </c:ser>
        <c:ser>
          <c:idx val="2"/>
          <c:order val="1"/>
          <c:tx>
            <c:strRef>
              <c:f>Contrastes_Dptos2!$F$16</c:f>
              <c:strCache>
                <c:ptCount val="1"/>
                <c:pt idx="0">
                  <c:v>Salud</c:v>
                </c:pt>
              </c:strCache>
            </c:strRef>
          </c:tx>
          <c:spPr>
            <a:ln w="28575" cap="rnd">
              <a:solidFill>
                <a:schemeClr val="accent2"/>
              </a:solidFill>
              <a:round/>
            </a:ln>
            <a:effectLst/>
          </c:spPr>
          <c:marker>
            <c:symbol val="none"/>
          </c:marker>
          <c:cat>
            <c:numRef>
              <c:f>Contrastes_Dptos2!$A$17:$A$19</c:f>
              <c:numCache>
                <c:formatCode>General</c:formatCode>
                <c:ptCount val="3"/>
                <c:pt idx="0">
                  <c:v>1</c:v>
                </c:pt>
                <c:pt idx="1">
                  <c:v>2</c:v>
                </c:pt>
                <c:pt idx="2">
                  <c:v>3</c:v>
                </c:pt>
              </c:numCache>
            </c:numRef>
          </c:cat>
          <c:val>
            <c:numRef>
              <c:f>Contrastes_Dptos2!$F$17:$F$19</c:f>
              <c:numCache>
                <c:formatCode>0.00</c:formatCode>
                <c:ptCount val="3"/>
                <c:pt idx="0">
                  <c:v>91.014656725870466</c:v>
                </c:pt>
                <c:pt idx="1">
                  <c:v>92.839960520465908</c:v>
                </c:pt>
                <c:pt idx="2">
                  <c:v>80.683987071918821</c:v>
                </c:pt>
              </c:numCache>
            </c:numRef>
          </c:val>
          <c:smooth val="0"/>
          <c:extLst>
            <c:ext xmlns:c16="http://schemas.microsoft.com/office/drawing/2014/chart" uri="{C3380CC4-5D6E-409C-BE32-E72D297353CC}">
              <c16:uniqueId val="{00000002-415D-4FED-8F48-15297E19428E}"/>
            </c:ext>
          </c:extLst>
        </c:ser>
        <c:ser>
          <c:idx val="3"/>
          <c:order val="2"/>
          <c:tx>
            <c:strRef>
              <c:f>Contrastes_Dptos2!$G$16</c:f>
              <c:strCache>
                <c:ptCount val="1"/>
                <c:pt idx="0">
                  <c:v>Servicios</c:v>
                </c:pt>
              </c:strCache>
            </c:strRef>
          </c:tx>
          <c:spPr>
            <a:ln w="28575" cap="rnd">
              <a:solidFill>
                <a:schemeClr val="accent3"/>
              </a:solidFill>
              <a:round/>
            </a:ln>
            <a:effectLst/>
          </c:spPr>
          <c:marker>
            <c:symbol val="none"/>
          </c:marker>
          <c:cat>
            <c:numRef>
              <c:f>Contrastes_Dptos2!$A$17:$A$19</c:f>
              <c:numCache>
                <c:formatCode>General</c:formatCode>
                <c:ptCount val="3"/>
                <c:pt idx="0">
                  <c:v>1</c:v>
                </c:pt>
                <c:pt idx="1">
                  <c:v>2</c:v>
                </c:pt>
                <c:pt idx="2">
                  <c:v>3</c:v>
                </c:pt>
              </c:numCache>
            </c:numRef>
          </c:cat>
          <c:val>
            <c:numRef>
              <c:f>Contrastes_Dptos2!$G$17:$G$19</c:f>
              <c:numCache>
                <c:formatCode>0.00</c:formatCode>
                <c:ptCount val="3"/>
                <c:pt idx="0">
                  <c:v>73.766665660139097</c:v>
                </c:pt>
                <c:pt idx="1">
                  <c:v>52.37450598083506</c:v>
                </c:pt>
                <c:pt idx="2">
                  <c:v>41.283908089695331</c:v>
                </c:pt>
              </c:numCache>
            </c:numRef>
          </c:val>
          <c:smooth val="0"/>
          <c:extLst>
            <c:ext xmlns:c16="http://schemas.microsoft.com/office/drawing/2014/chart" uri="{C3380CC4-5D6E-409C-BE32-E72D297353CC}">
              <c16:uniqueId val="{00000003-415D-4FED-8F48-15297E19428E}"/>
            </c:ext>
          </c:extLst>
        </c:ser>
        <c:ser>
          <c:idx val="4"/>
          <c:order val="3"/>
          <c:tx>
            <c:strRef>
              <c:f>Contrastes_Dptos2!$H$16</c:f>
              <c:strCache>
                <c:ptCount val="1"/>
                <c:pt idx="0">
                  <c:v>Seguridad</c:v>
                </c:pt>
              </c:strCache>
            </c:strRef>
          </c:tx>
          <c:spPr>
            <a:ln w="28575" cap="rnd">
              <a:solidFill>
                <a:schemeClr val="accent4"/>
              </a:solidFill>
              <a:round/>
            </a:ln>
            <a:effectLst/>
          </c:spPr>
          <c:marker>
            <c:symbol val="none"/>
          </c:marker>
          <c:cat>
            <c:numRef>
              <c:f>Contrastes_Dptos2!$A$17:$A$19</c:f>
              <c:numCache>
                <c:formatCode>General</c:formatCode>
                <c:ptCount val="3"/>
                <c:pt idx="0">
                  <c:v>1</c:v>
                </c:pt>
                <c:pt idx="1">
                  <c:v>2</c:v>
                </c:pt>
                <c:pt idx="2">
                  <c:v>3</c:v>
                </c:pt>
              </c:numCache>
            </c:numRef>
          </c:cat>
          <c:val>
            <c:numRef>
              <c:f>Contrastes_Dptos2!$H$17:$H$19</c:f>
              <c:numCache>
                <c:formatCode>0.00</c:formatCode>
                <c:ptCount val="3"/>
                <c:pt idx="0">
                  <c:v>60.170679791907006</c:v>
                </c:pt>
                <c:pt idx="1">
                  <c:v>60.690354666916797</c:v>
                </c:pt>
                <c:pt idx="2">
                  <c:v>76.28850991583613</c:v>
                </c:pt>
              </c:numCache>
            </c:numRef>
          </c:val>
          <c:smooth val="0"/>
          <c:extLst>
            <c:ext xmlns:c16="http://schemas.microsoft.com/office/drawing/2014/chart" uri="{C3380CC4-5D6E-409C-BE32-E72D297353CC}">
              <c16:uniqueId val="{00000004-415D-4FED-8F48-15297E19428E}"/>
            </c:ext>
          </c:extLst>
        </c:ser>
        <c:dLbls>
          <c:showLegendKey val="0"/>
          <c:showVal val="0"/>
          <c:showCatName val="0"/>
          <c:showSerName val="0"/>
          <c:showPercent val="0"/>
          <c:showBubbleSize val="0"/>
        </c:dLbls>
        <c:smooth val="0"/>
        <c:axId val="1560149488"/>
        <c:axId val="1560150928"/>
      </c:lineChart>
      <c:catAx>
        <c:axId val="15601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0.46586689960907152"/>
              <c:y val="0.8163500645702190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50928"/>
        <c:crosses val="autoZero"/>
        <c:auto val="1"/>
        <c:lblAlgn val="ctr"/>
        <c:lblOffset val="100"/>
        <c:noMultiLvlLbl val="0"/>
      </c:catAx>
      <c:valAx>
        <c:axId val="1560150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49488"/>
        <c:crosses val="autoZero"/>
        <c:crossBetween val="between"/>
      </c:valAx>
      <c:spPr>
        <a:noFill/>
        <a:ln>
          <a:solidFill>
            <a:schemeClr val="bg1">
              <a:lumMod val="85000"/>
            </a:schemeClr>
          </a:solidFill>
        </a:ln>
        <a:effectLst/>
      </c:spPr>
    </c:plotArea>
    <c:legend>
      <c:legendPos val="b"/>
      <c:layout>
        <c:manualLayout>
          <c:xMode val="edge"/>
          <c:yMode val="edge"/>
          <c:x val="0.14348835169042054"/>
          <c:y val="0.8871132562137336"/>
          <c:w val="0.71302308673592529"/>
          <c:h val="0.10657144320530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Contrastes_Dptos2!$D$23</c:f>
              <c:strCache>
                <c:ptCount val="1"/>
                <c:pt idx="0">
                  <c:v>Tributarios</c:v>
                </c:pt>
              </c:strCache>
            </c:strRef>
          </c:tx>
          <c:spPr>
            <a:solidFill>
              <a:schemeClr val="accent1"/>
            </a:solidFill>
            <a:ln>
              <a:noFill/>
            </a:ln>
            <a:effectLst/>
          </c:spPr>
          <c:invertIfNegative val="0"/>
          <c:cat>
            <c:numRef>
              <c:f>Contrastes_Dptos2!$A$24:$A$26</c:f>
              <c:numCache>
                <c:formatCode>General</c:formatCode>
                <c:ptCount val="3"/>
                <c:pt idx="0">
                  <c:v>1</c:v>
                </c:pt>
                <c:pt idx="1">
                  <c:v>2</c:v>
                </c:pt>
                <c:pt idx="2">
                  <c:v>3</c:v>
                </c:pt>
              </c:numCache>
            </c:numRef>
          </c:cat>
          <c:val>
            <c:numRef>
              <c:f>Contrastes_Dptos2!$D$24:$D$26</c:f>
              <c:numCache>
                <c:formatCode>#,##0</c:formatCode>
                <c:ptCount val="3"/>
                <c:pt idx="0">
                  <c:v>893.06320532175005</c:v>
                </c:pt>
                <c:pt idx="1">
                  <c:v>302.96469569081256</c:v>
                </c:pt>
                <c:pt idx="2">
                  <c:v>47.054889211125001</c:v>
                </c:pt>
              </c:numCache>
            </c:numRef>
          </c:val>
          <c:extLst>
            <c:ext xmlns:c16="http://schemas.microsoft.com/office/drawing/2014/chart" uri="{C3380CC4-5D6E-409C-BE32-E72D297353CC}">
              <c16:uniqueId val="{00000000-75BB-474A-8BC4-E690669CC74F}"/>
            </c:ext>
          </c:extLst>
        </c:ser>
        <c:ser>
          <c:idx val="1"/>
          <c:order val="1"/>
          <c:tx>
            <c:strRef>
              <c:f>Contrastes_Dptos2!$C$23</c:f>
              <c:strCache>
                <c:ptCount val="1"/>
                <c:pt idx="0">
                  <c:v>Totales</c:v>
                </c:pt>
              </c:strCache>
            </c:strRef>
          </c:tx>
          <c:spPr>
            <a:solidFill>
              <a:schemeClr val="accent2"/>
            </a:solidFill>
            <a:ln>
              <a:noFill/>
            </a:ln>
            <a:effectLst/>
          </c:spPr>
          <c:invertIfNegative val="0"/>
          <c:cat>
            <c:numRef>
              <c:f>Contrastes_Dptos2!$A$24:$A$26</c:f>
              <c:numCache>
                <c:formatCode>General</c:formatCode>
                <c:ptCount val="3"/>
                <c:pt idx="0">
                  <c:v>1</c:v>
                </c:pt>
                <c:pt idx="1">
                  <c:v>2</c:v>
                </c:pt>
                <c:pt idx="2">
                  <c:v>3</c:v>
                </c:pt>
              </c:numCache>
            </c:numRef>
          </c:cat>
          <c:val>
            <c:numRef>
              <c:f>Contrastes_Dptos2!$C$24:$C$26</c:f>
              <c:numCache>
                <c:formatCode>#,##0</c:formatCode>
                <c:ptCount val="3"/>
                <c:pt idx="0">
                  <c:v>2406.3517853766252</c:v>
                </c:pt>
                <c:pt idx="1">
                  <c:v>1389.9673956148124</c:v>
                </c:pt>
                <c:pt idx="2">
                  <c:v>419.97854077387501</c:v>
                </c:pt>
              </c:numCache>
            </c:numRef>
          </c:val>
          <c:extLst>
            <c:ext xmlns:c16="http://schemas.microsoft.com/office/drawing/2014/chart" uri="{C3380CC4-5D6E-409C-BE32-E72D297353CC}">
              <c16:uniqueId val="{00000001-75BB-474A-8BC4-E690669CC74F}"/>
            </c:ext>
          </c:extLst>
        </c:ser>
        <c:dLbls>
          <c:showLegendKey val="0"/>
          <c:showVal val="0"/>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sz="1000" b="0" i="0" u="none" strike="noStrike" kern="1200" baseline="0">
                    <a:solidFill>
                      <a:sysClr val="windowText" lastClr="000000">
                        <a:lumMod val="65000"/>
                        <a:lumOff val="35000"/>
                      </a:sysClr>
                    </a:solidFill>
                  </a:rPr>
                  <a:t>Miles de millones de pesos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Contrastes_Dptos2!$J$4:$J$6</c:f>
              <c:strCache>
                <c:ptCount val="3"/>
                <c:pt idx="0">
                  <c:v>Tipología 1</c:v>
                </c:pt>
                <c:pt idx="1">
                  <c:v>Tipología 2</c:v>
                </c:pt>
                <c:pt idx="2">
                  <c:v>Tipología 3</c:v>
                </c:pt>
              </c:strCache>
            </c:strRef>
          </c:cat>
          <c:val>
            <c:numRef>
              <c:f>Contrastes_Dptos2!$B$4:$B$6</c:f>
              <c:numCache>
                <c:formatCode>General</c:formatCode>
                <c:ptCount val="3"/>
                <c:pt idx="0">
                  <c:v>8</c:v>
                </c:pt>
                <c:pt idx="1">
                  <c:v>16</c:v>
                </c:pt>
                <c:pt idx="2">
                  <c:v>8</c:v>
                </c:pt>
              </c:numCache>
            </c:numRef>
          </c:val>
          <c:extLst>
            <c:ext xmlns:c16="http://schemas.microsoft.com/office/drawing/2014/chart" uri="{C3380CC4-5D6E-409C-BE32-E72D297353CC}">
              <c16:uniqueId val="{00000000-F05A-4993-B465-EB4A049C2D7A}"/>
            </c:ext>
          </c:extLst>
        </c:ser>
        <c:dLbls>
          <c:dLblPos val="outEnd"/>
          <c:showLegendKey val="0"/>
          <c:showVal val="1"/>
          <c:showCatName val="0"/>
          <c:showSerName val="0"/>
          <c:showPercent val="0"/>
          <c:showBubbleSize val="0"/>
        </c:dLbls>
        <c:gapWidth val="182"/>
        <c:axId val="2008301088"/>
        <c:axId val="2008297248"/>
      </c:barChart>
      <c:catAx>
        <c:axId val="200830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s-US"/>
          </a:p>
        </c:txPr>
        <c:crossAx val="2008297248"/>
        <c:crosses val="autoZero"/>
        <c:auto val="1"/>
        <c:lblAlgn val="ctr"/>
        <c:lblOffset val="100"/>
        <c:noMultiLvlLbl val="0"/>
      </c:catAx>
      <c:valAx>
        <c:axId val="2008297248"/>
        <c:scaling>
          <c:orientation val="minMax"/>
        </c:scaling>
        <c:delete val="1"/>
        <c:axPos val="t"/>
        <c:numFmt formatCode="General" sourceLinked="1"/>
        <c:majorTickMark val="none"/>
        <c:minorTickMark val="none"/>
        <c:tickLblPos val="nextTo"/>
        <c:crossAx val="200830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ptos" panose="020B0004020202020204" pitchFamily="34" charset="0"/>
        </a:defRPr>
      </a:pPr>
      <a:endParaRPr lang="es-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Contrastes_Dptos2!$D$30</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Contrastes_Dptos2!$A$31:$A$33</c:f>
              <c:numCache>
                <c:formatCode>General</c:formatCode>
                <c:ptCount val="3"/>
                <c:pt idx="0">
                  <c:v>1</c:v>
                </c:pt>
                <c:pt idx="1">
                  <c:v>2</c:v>
                </c:pt>
                <c:pt idx="2">
                  <c:v>3</c:v>
                </c:pt>
              </c:numCache>
            </c:numRef>
          </c:cat>
          <c:val>
            <c:numRef>
              <c:f>Contrastes_Dptos2!$D$31:$D$33</c:f>
              <c:numCache>
                <c:formatCode>#,##0.00</c:formatCode>
                <c:ptCount val="3"/>
                <c:pt idx="0">
                  <c:v>0.30893059604472661</c:v>
                </c:pt>
                <c:pt idx="1">
                  <c:v>0.27530971052917663</c:v>
                </c:pt>
                <c:pt idx="2">
                  <c:v>0.29362040239465981</c:v>
                </c:pt>
              </c:numCache>
            </c:numRef>
          </c:val>
          <c:extLst>
            <c:ext xmlns:c16="http://schemas.microsoft.com/office/drawing/2014/chart" uri="{C3380CC4-5D6E-409C-BE32-E72D297353CC}">
              <c16:uniqueId val="{00000000-D9DE-476E-BAE8-92868DB5DA59}"/>
            </c:ext>
          </c:extLst>
        </c:ser>
        <c:ser>
          <c:idx val="1"/>
          <c:order val="1"/>
          <c:tx>
            <c:strRef>
              <c:f>Contrastes_Dptos2!$C$30</c:f>
              <c:strCache>
                <c:ptCount val="1"/>
                <c:pt idx="0">
                  <c:v>Totales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Contrastes_Dptos2!$A$31:$A$33</c:f>
              <c:numCache>
                <c:formatCode>General</c:formatCode>
                <c:ptCount val="3"/>
                <c:pt idx="0">
                  <c:v>1</c:v>
                </c:pt>
                <c:pt idx="1">
                  <c:v>2</c:v>
                </c:pt>
                <c:pt idx="2">
                  <c:v>3</c:v>
                </c:pt>
              </c:numCache>
            </c:numRef>
          </c:cat>
          <c:val>
            <c:numRef>
              <c:f>Contrastes_Dptos2!$C$31:$C$33</c:f>
              <c:numCache>
                <c:formatCode>#,##0.00</c:formatCode>
                <c:ptCount val="3"/>
                <c:pt idx="0">
                  <c:v>0.9306529864339077</c:v>
                </c:pt>
                <c:pt idx="1">
                  <c:v>1.5625912355668858</c:v>
                </c:pt>
                <c:pt idx="2">
                  <c:v>2.9484566337843567</c:v>
                </c:pt>
              </c:numCache>
            </c:numRef>
          </c:val>
          <c:extLst>
            <c:ext xmlns:c16="http://schemas.microsoft.com/office/drawing/2014/chart" uri="{C3380CC4-5D6E-409C-BE32-E72D297353CC}">
              <c16:uniqueId val="{00000001-D9DE-476E-BAE8-92868DB5DA59}"/>
            </c:ext>
          </c:extLst>
        </c:ser>
        <c:dLbls>
          <c:dLblPos val="outEnd"/>
          <c:showLegendKey val="0"/>
          <c:showVal val="1"/>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1"/>
        <c:axPos val="t"/>
        <c:numFmt formatCode="#,##0.00" sourceLinked="1"/>
        <c:majorTickMark val="none"/>
        <c:minorTickMark val="none"/>
        <c:tickLblPos val="nextTo"/>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'San Andrés'!$AI$16</c:f>
              <c:strCache>
                <c:ptCount val="1"/>
                <c:pt idx="0">
                  <c:v>San Andrés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Andrés'!$AJ$16:$AM$16</c:f>
              <c:numCache>
                <c:formatCode>0.0</c:formatCode>
                <c:ptCount val="4"/>
                <c:pt idx="0">
                  <c:v>8.5</c:v>
                </c:pt>
                <c:pt idx="1">
                  <c:v>14.886900531003052</c:v>
                </c:pt>
                <c:pt idx="2">
                  <c:v>2.65</c:v>
                </c:pt>
                <c:pt idx="3">
                  <c:v>3.0968529027713911</c:v>
                </c:pt>
              </c:numCache>
            </c:numRef>
          </c:val>
          <c:extLst>
            <c:ext xmlns:c16="http://schemas.microsoft.com/office/drawing/2014/chart" uri="{C3380CC4-5D6E-409C-BE32-E72D297353CC}">
              <c16:uniqueId val="{00000000-6661-472C-A6CB-344B2CC867D7}"/>
            </c:ext>
          </c:extLst>
        </c:ser>
        <c:ser>
          <c:idx val="1"/>
          <c:order val="1"/>
          <c:tx>
            <c:strRef>
              <c:f>'San Andrés'!$AI$17</c:f>
              <c:strCache>
                <c:ptCount val="1"/>
                <c:pt idx="0">
                  <c:v>T1 (promedio)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Andrés'!$AJ$17:$AM$17</c:f>
              <c:numCache>
                <c:formatCode>0.0</c:formatCode>
                <c:ptCount val="4"/>
                <c:pt idx="0">
                  <c:v>17.787499999999998</c:v>
                </c:pt>
                <c:pt idx="1">
                  <c:v>10.967568040361387</c:v>
                </c:pt>
                <c:pt idx="2">
                  <c:v>15.26706003116654</c:v>
                </c:pt>
                <c:pt idx="3">
                  <c:v>4.843134127407887</c:v>
                </c:pt>
              </c:numCache>
            </c:numRef>
          </c:val>
          <c:extLst>
            <c:ext xmlns:c16="http://schemas.microsoft.com/office/drawing/2014/chart" uri="{C3380CC4-5D6E-409C-BE32-E72D297353CC}">
              <c16:uniqueId val="{00000001-6661-472C-A6CB-344B2CC867D7}"/>
            </c:ext>
          </c:extLst>
        </c:ser>
        <c:ser>
          <c:idx val="2"/>
          <c:order val="2"/>
          <c:tx>
            <c:strRef>
              <c:f>'San Andrés'!$AI$18</c:f>
              <c:strCache>
                <c:ptCount val="1"/>
                <c:pt idx="0">
                  <c:v>T2 (promedio)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Andrés'!$AJ$18:$AM$18</c:f>
              <c:numCache>
                <c:formatCode>0.0</c:formatCode>
                <c:ptCount val="4"/>
                <c:pt idx="0">
                  <c:v>25.906250000000004</c:v>
                </c:pt>
                <c:pt idx="1">
                  <c:v>20.769348164556924</c:v>
                </c:pt>
                <c:pt idx="2">
                  <c:v>17.135414351948153</c:v>
                </c:pt>
                <c:pt idx="3">
                  <c:v>8.4912650328543346</c:v>
                </c:pt>
              </c:numCache>
            </c:numRef>
          </c:val>
          <c:extLst>
            <c:ext xmlns:c16="http://schemas.microsoft.com/office/drawing/2014/chart" uri="{C3380CC4-5D6E-409C-BE32-E72D297353CC}">
              <c16:uniqueId val="{00000002-6661-472C-A6CB-344B2CC867D7}"/>
            </c:ext>
          </c:extLst>
        </c:ser>
        <c:ser>
          <c:idx val="3"/>
          <c:order val="3"/>
          <c:tx>
            <c:strRef>
              <c:f>'San Andrés'!$AI$19</c:f>
              <c:strCache>
                <c:ptCount val="1"/>
                <c:pt idx="0">
                  <c:v>T3 (promedio)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Andrés'!$AJ$19:$AM$19</c:f>
              <c:numCache>
                <c:formatCode>0.0</c:formatCode>
                <c:ptCount val="4"/>
                <c:pt idx="0">
                  <c:v>45.024999999999999</c:v>
                </c:pt>
                <c:pt idx="1">
                  <c:v>47.674384769718998</c:v>
                </c:pt>
                <c:pt idx="2">
                  <c:v>21.22819729452495</c:v>
                </c:pt>
                <c:pt idx="3">
                  <c:v>14.248045528890154</c:v>
                </c:pt>
              </c:numCache>
            </c:numRef>
          </c:val>
          <c:extLst>
            <c:ext xmlns:c16="http://schemas.microsoft.com/office/drawing/2014/chart" uri="{C3380CC4-5D6E-409C-BE32-E72D297353CC}">
              <c16:uniqueId val="{00000003-6661-472C-A6CB-344B2CC867D7}"/>
            </c:ext>
          </c:extLst>
        </c:ser>
        <c:dLbls>
          <c:dLblPos val="outEnd"/>
          <c:showLegendKey val="0"/>
          <c:showVal val="1"/>
          <c:showCatName val="0"/>
          <c:showSerName val="0"/>
          <c:showPercent val="0"/>
          <c:showBubbleSize val="0"/>
        </c:dLbls>
        <c:gapWidth val="219"/>
        <c:overlap val="-27"/>
        <c:axId val="1087933327"/>
        <c:axId val="1087933807"/>
      </c:barChart>
      <c:catAx>
        <c:axId val="10879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807"/>
        <c:crosses val="autoZero"/>
        <c:auto val="1"/>
        <c:lblAlgn val="ctr"/>
        <c:lblOffset val="100"/>
        <c:noMultiLvlLbl val="0"/>
      </c:catAx>
      <c:valAx>
        <c:axId val="1087933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'San Andrés'!$BD$5</c:f>
              <c:strCache>
                <c:ptCount val="1"/>
                <c:pt idx="0">
                  <c:v>San Andrés</c:v>
                </c:pt>
              </c:strCache>
            </c:strRef>
          </c:tx>
          <c:spPr>
            <a:ln w="28575" cap="rnd">
              <a:solidFill>
                <a:schemeClr val="accent1"/>
              </a:solidFill>
              <a:prstDash val="dash"/>
              <a:round/>
            </a:ln>
            <a:effectLst/>
          </c:spPr>
          <c:marker>
            <c:symbol val="none"/>
          </c:marker>
          <c:cat>
            <c:strRef>
              <c:f>'San Andrés'!$BE$4:$BH$4</c:f>
              <c:strCache>
                <c:ptCount val="4"/>
                <c:pt idx="0">
                  <c:v>Educación</c:v>
                </c:pt>
                <c:pt idx="1">
                  <c:v>Salud</c:v>
                </c:pt>
                <c:pt idx="2">
                  <c:v>Servicios</c:v>
                </c:pt>
                <c:pt idx="3">
                  <c:v>Seguridad</c:v>
                </c:pt>
              </c:strCache>
            </c:strRef>
          </c:cat>
          <c:val>
            <c:numRef>
              <c:f>'San Andrés'!$BE$5:$BH$5</c:f>
              <c:numCache>
                <c:formatCode>General</c:formatCode>
                <c:ptCount val="4"/>
                <c:pt idx="0">
                  <c:v>59.143417529625353</c:v>
                </c:pt>
                <c:pt idx="1">
                  <c:v>96.611347483530963</c:v>
                </c:pt>
                <c:pt idx="2">
                  <c:v>25.354085323398451</c:v>
                </c:pt>
                <c:pt idx="3">
                  <c:v>34.031845770580418</c:v>
                </c:pt>
              </c:numCache>
            </c:numRef>
          </c:val>
          <c:extLst>
            <c:ext xmlns:c16="http://schemas.microsoft.com/office/drawing/2014/chart" uri="{C3380CC4-5D6E-409C-BE32-E72D297353CC}">
              <c16:uniqueId val="{00000000-DEA9-402D-A794-346426D0027A}"/>
            </c:ext>
          </c:extLst>
        </c:ser>
        <c:ser>
          <c:idx val="1"/>
          <c:order val="1"/>
          <c:tx>
            <c:strRef>
              <c:f>'San Andrés'!$BD$6</c:f>
              <c:strCache>
                <c:ptCount val="1"/>
                <c:pt idx="0">
                  <c:v>T1 (promedio)</c:v>
                </c:pt>
              </c:strCache>
            </c:strRef>
          </c:tx>
          <c:spPr>
            <a:ln w="28575" cap="rnd">
              <a:solidFill>
                <a:schemeClr val="accent2"/>
              </a:solidFill>
              <a:round/>
            </a:ln>
            <a:effectLst/>
          </c:spPr>
          <c:marker>
            <c:symbol val="none"/>
          </c:marker>
          <c:cat>
            <c:strRef>
              <c:f>'San Andrés'!$BE$4:$BH$4</c:f>
              <c:strCache>
                <c:ptCount val="4"/>
                <c:pt idx="0">
                  <c:v>Educación</c:v>
                </c:pt>
                <c:pt idx="1">
                  <c:v>Salud</c:v>
                </c:pt>
                <c:pt idx="2">
                  <c:v>Servicios</c:v>
                </c:pt>
                <c:pt idx="3">
                  <c:v>Seguridad</c:v>
                </c:pt>
              </c:strCache>
            </c:strRef>
          </c:cat>
          <c:val>
            <c:numRef>
              <c:f>'San Andrés'!$BE$6:$BH$6</c:f>
              <c:numCache>
                <c:formatCode>General</c:formatCode>
                <c:ptCount val="4"/>
                <c:pt idx="0">
                  <c:v>63.459762180277892</c:v>
                </c:pt>
                <c:pt idx="1">
                  <c:v>91.014656725870466</c:v>
                </c:pt>
                <c:pt idx="2">
                  <c:v>73.766665660139097</c:v>
                </c:pt>
                <c:pt idx="3">
                  <c:v>60.170679791907006</c:v>
                </c:pt>
              </c:numCache>
            </c:numRef>
          </c:val>
          <c:extLst>
            <c:ext xmlns:c16="http://schemas.microsoft.com/office/drawing/2014/chart" uri="{C3380CC4-5D6E-409C-BE32-E72D297353CC}">
              <c16:uniqueId val="{00000001-DEA9-402D-A794-346426D0027A}"/>
            </c:ext>
          </c:extLst>
        </c:ser>
        <c:ser>
          <c:idx val="2"/>
          <c:order val="2"/>
          <c:tx>
            <c:strRef>
              <c:f>'San Andrés'!$BD$7</c:f>
              <c:strCache>
                <c:ptCount val="1"/>
                <c:pt idx="0">
                  <c:v>T2 (promedio)</c:v>
                </c:pt>
              </c:strCache>
            </c:strRef>
          </c:tx>
          <c:spPr>
            <a:ln w="28575" cap="rnd">
              <a:solidFill>
                <a:schemeClr val="accent3"/>
              </a:solidFill>
              <a:round/>
            </a:ln>
            <a:effectLst/>
          </c:spPr>
          <c:marker>
            <c:symbol val="none"/>
          </c:marker>
          <c:cat>
            <c:strRef>
              <c:f>'San Andrés'!$BE$4:$BH$4</c:f>
              <c:strCache>
                <c:ptCount val="4"/>
                <c:pt idx="0">
                  <c:v>Educación</c:v>
                </c:pt>
                <c:pt idx="1">
                  <c:v>Salud</c:v>
                </c:pt>
                <c:pt idx="2">
                  <c:v>Servicios</c:v>
                </c:pt>
                <c:pt idx="3">
                  <c:v>Seguridad</c:v>
                </c:pt>
              </c:strCache>
            </c:strRef>
          </c:cat>
          <c:val>
            <c:numRef>
              <c:f>'San Andrés'!$BE$7:$BH$7</c:f>
              <c:numCache>
                <c:formatCode>General</c:formatCode>
                <c:ptCount val="4"/>
                <c:pt idx="0">
                  <c:v>60.017950033136962</c:v>
                </c:pt>
                <c:pt idx="1">
                  <c:v>92.839960520465908</c:v>
                </c:pt>
                <c:pt idx="2">
                  <c:v>52.37450598083506</c:v>
                </c:pt>
                <c:pt idx="3">
                  <c:v>60.690354666916797</c:v>
                </c:pt>
              </c:numCache>
            </c:numRef>
          </c:val>
          <c:extLst>
            <c:ext xmlns:c16="http://schemas.microsoft.com/office/drawing/2014/chart" uri="{C3380CC4-5D6E-409C-BE32-E72D297353CC}">
              <c16:uniqueId val="{00000002-DEA9-402D-A794-346426D0027A}"/>
            </c:ext>
          </c:extLst>
        </c:ser>
        <c:ser>
          <c:idx val="3"/>
          <c:order val="3"/>
          <c:tx>
            <c:strRef>
              <c:f>'San Andrés'!$BD$8</c:f>
              <c:strCache>
                <c:ptCount val="1"/>
                <c:pt idx="0">
                  <c:v>T3 (promedio)</c:v>
                </c:pt>
              </c:strCache>
            </c:strRef>
          </c:tx>
          <c:spPr>
            <a:ln w="28575" cap="rnd">
              <a:solidFill>
                <a:schemeClr val="accent4"/>
              </a:solidFill>
              <a:round/>
            </a:ln>
            <a:effectLst/>
          </c:spPr>
          <c:marker>
            <c:symbol val="none"/>
          </c:marker>
          <c:cat>
            <c:strRef>
              <c:f>'San Andrés'!$BE$4:$BH$4</c:f>
              <c:strCache>
                <c:ptCount val="4"/>
                <c:pt idx="0">
                  <c:v>Educación</c:v>
                </c:pt>
                <c:pt idx="1">
                  <c:v>Salud</c:v>
                </c:pt>
                <c:pt idx="2">
                  <c:v>Servicios</c:v>
                </c:pt>
                <c:pt idx="3">
                  <c:v>Seguridad</c:v>
                </c:pt>
              </c:strCache>
            </c:strRef>
          </c:cat>
          <c:val>
            <c:numRef>
              <c:f>'San Andrés'!$BE$8:$BH$8</c:f>
              <c:numCache>
                <c:formatCode>General</c:formatCode>
                <c:ptCount val="4"/>
                <c:pt idx="0">
                  <c:v>45.089368927410582</c:v>
                </c:pt>
                <c:pt idx="1">
                  <c:v>80.683987071918821</c:v>
                </c:pt>
                <c:pt idx="2">
                  <c:v>41.283908089695331</c:v>
                </c:pt>
                <c:pt idx="3">
                  <c:v>76.28850991583613</c:v>
                </c:pt>
              </c:numCache>
            </c:numRef>
          </c:val>
          <c:extLst>
            <c:ext xmlns:c16="http://schemas.microsoft.com/office/drawing/2014/chart" uri="{C3380CC4-5D6E-409C-BE32-E72D297353CC}">
              <c16:uniqueId val="{00000003-DEA9-402D-A794-346426D0027A}"/>
            </c:ext>
          </c:extLst>
        </c:ser>
        <c:dLbls>
          <c:showLegendKey val="0"/>
          <c:showVal val="0"/>
          <c:showCatName val="0"/>
          <c:showSerName val="0"/>
          <c:showPercent val="0"/>
          <c:showBubbleSize val="0"/>
        </c:dLbls>
        <c:axId val="2015953040"/>
        <c:axId val="2015953520"/>
      </c:radarChart>
      <c:catAx>
        <c:axId val="201595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15953520"/>
        <c:crosses val="autoZero"/>
        <c:auto val="1"/>
        <c:lblAlgn val="ctr"/>
        <c:lblOffset val="100"/>
        <c:noMultiLvlLbl val="0"/>
      </c:catAx>
      <c:valAx>
        <c:axId val="201595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1595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'San Andrés'!$AI$27</c:f>
              <c:strCache>
                <c:ptCount val="1"/>
                <c:pt idx="0">
                  <c:v>Providencia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Andrés'!$AJ$27:$AM$27</c:f>
              <c:numCache>
                <c:formatCode>0.00</c:formatCode>
                <c:ptCount val="4"/>
                <c:pt idx="0">
                  <c:v>13.7</c:v>
                </c:pt>
                <c:pt idx="1">
                  <c:v>8.5368536853685377</c:v>
                </c:pt>
                <c:pt idx="2">
                  <c:v>0.20333333333333334</c:v>
                </c:pt>
                <c:pt idx="3" formatCode="General">
                  <c:v>0</c:v>
                </c:pt>
              </c:numCache>
            </c:numRef>
          </c:val>
          <c:extLst>
            <c:ext xmlns:c16="http://schemas.microsoft.com/office/drawing/2014/chart" uri="{C3380CC4-5D6E-409C-BE32-E72D297353CC}">
              <c16:uniqueId val="{00000000-211E-4CF5-B12A-4B24E33E9BD3}"/>
            </c:ext>
          </c:extLst>
        </c:ser>
        <c:ser>
          <c:idx val="1"/>
          <c:order val="1"/>
          <c:tx>
            <c:strRef>
              <c:f>'San Andrés'!$AI$28</c:f>
              <c:strCache>
                <c:ptCount val="1"/>
                <c:pt idx="0">
                  <c:v>T4 (promedio)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Andrés'!$AJ$28:$AM$28</c:f>
              <c:numCache>
                <c:formatCode>0.00</c:formatCode>
                <c:ptCount val="4"/>
                <c:pt idx="0">
                  <c:v>47.355882352941137</c:v>
                </c:pt>
                <c:pt idx="1">
                  <c:v>26.151735783262374</c:v>
                </c:pt>
                <c:pt idx="2">
                  <c:v>25.865581903000784</c:v>
                </c:pt>
                <c:pt idx="3">
                  <c:v>9.436598986131397</c:v>
                </c:pt>
              </c:numCache>
            </c:numRef>
          </c:val>
          <c:extLst>
            <c:ext xmlns:c16="http://schemas.microsoft.com/office/drawing/2014/chart" uri="{C3380CC4-5D6E-409C-BE32-E72D297353CC}">
              <c16:uniqueId val="{00000001-211E-4CF5-B12A-4B24E33E9BD3}"/>
            </c:ext>
          </c:extLst>
        </c:ser>
        <c:ser>
          <c:idx val="2"/>
          <c:order val="2"/>
          <c:tx>
            <c:strRef>
              <c:f>'San Andrés'!$AI$29</c:f>
              <c:strCache>
                <c:ptCount val="1"/>
                <c:pt idx="0">
                  <c:v>San Andrés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Andrés'!$AJ$29:$AM$29</c:f>
              <c:numCache>
                <c:formatCode>0.0</c:formatCode>
                <c:ptCount val="4"/>
                <c:pt idx="0">
                  <c:v>8.5</c:v>
                </c:pt>
                <c:pt idx="1">
                  <c:v>14.886900531003052</c:v>
                </c:pt>
                <c:pt idx="2">
                  <c:v>1.4242155055922279</c:v>
                </c:pt>
                <c:pt idx="3">
                  <c:v>3.0968529027713911</c:v>
                </c:pt>
              </c:numCache>
            </c:numRef>
          </c:val>
          <c:extLst>
            <c:ext xmlns:c16="http://schemas.microsoft.com/office/drawing/2014/chart" uri="{C3380CC4-5D6E-409C-BE32-E72D297353CC}">
              <c16:uniqueId val="{00000004-211E-4CF5-B12A-4B24E33E9BD3}"/>
            </c:ext>
          </c:extLst>
        </c:ser>
        <c:dLbls>
          <c:dLblPos val="outEnd"/>
          <c:showLegendKey val="0"/>
          <c:showVal val="1"/>
          <c:showCatName val="0"/>
          <c:showSerName val="0"/>
          <c:showPercent val="0"/>
          <c:showBubbleSize val="0"/>
        </c:dLbls>
        <c:gapWidth val="219"/>
        <c:overlap val="-27"/>
        <c:axId val="1087933327"/>
        <c:axId val="1087933807"/>
      </c:barChart>
      <c:catAx>
        <c:axId val="10879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807"/>
        <c:crosses val="autoZero"/>
        <c:auto val="1"/>
        <c:lblAlgn val="ctr"/>
        <c:lblOffset val="100"/>
        <c:noMultiLvlLbl val="0"/>
      </c:catAx>
      <c:valAx>
        <c:axId val="1087933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'San Andrés'!$BR$28</c:f>
              <c:strCache>
                <c:ptCount val="1"/>
                <c:pt idx="0">
                  <c:v>Providencia</c:v>
                </c:pt>
              </c:strCache>
            </c:strRef>
          </c:tx>
          <c:spPr>
            <a:ln w="28575" cap="rnd">
              <a:solidFill>
                <a:schemeClr val="accent3">
                  <a:lumMod val="40000"/>
                  <a:lumOff val="60000"/>
                </a:schemeClr>
              </a:solidFill>
              <a:prstDash val="dash"/>
              <a:round/>
            </a:ln>
            <a:effectLst/>
          </c:spPr>
          <c:marker>
            <c:symbol val="none"/>
          </c:marker>
          <c:cat>
            <c:strRef>
              <c:f>'San Andrés'!$BS$27:$BV$27</c:f>
              <c:strCache>
                <c:ptCount val="4"/>
                <c:pt idx="0">
                  <c:v>Educación</c:v>
                </c:pt>
                <c:pt idx="1">
                  <c:v>Salud</c:v>
                </c:pt>
                <c:pt idx="2">
                  <c:v>Servicios</c:v>
                </c:pt>
                <c:pt idx="3">
                  <c:v>Seguridad</c:v>
                </c:pt>
              </c:strCache>
            </c:strRef>
          </c:cat>
          <c:val>
            <c:numRef>
              <c:f>'San Andrés'!$BS$28:$BV$28</c:f>
              <c:numCache>
                <c:formatCode>0.00</c:formatCode>
                <c:ptCount val="4"/>
                <c:pt idx="0">
                  <c:v>62.144519685658928</c:v>
                </c:pt>
                <c:pt idx="1">
                  <c:v>88.994961548660839</c:v>
                </c:pt>
                <c:pt idx="2">
                  <c:v>43.41</c:v>
                </c:pt>
                <c:pt idx="3">
                  <c:v>90.141180741767315</c:v>
                </c:pt>
              </c:numCache>
            </c:numRef>
          </c:val>
          <c:extLst>
            <c:ext xmlns:c16="http://schemas.microsoft.com/office/drawing/2014/chart" uri="{C3380CC4-5D6E-409C-BE32-E72D297353CC}">
              <c16:uniqueId val="{00000000-174D-4CCB-B910-F817DB0BF94F}"/>
            </c:ext>
          </c:extLst>
        </c:ser>
        <c:ser>
          <c:idx val="1"/>
          <c:order val="1"/>
          <c:tx>
            <c:strRef>
              <c:f>'San Andrés'!$BR$29</c:f>
              <c:strCache>
                <c:ptCount val="1"/>
                <c:pt idx="0">
                  <c:v>T4 (promedio)</c:v>
                </c:pt>
              </c:strCache>
            </c:strRef>
          </c:tx>
          <c:spPr>
            <a:ln w="28575" cap="rnd">
              <a:solidFill>
                <a:schemeClr val="accent2"/>
              </a:solidFill>
              <a:round/>
            </a:ln>
            <a:effectLst/>
          </c:spPr>
          <c:marker>
            <c:symbol val="none"/>
          </c:marker>
          <c:cat>
            <c:strRef>
              <c:f>'San Andrés'!$BS$27:$BV$27</c:f>
              <c:strCache>
                <c:ptCount val="4"/>
                <c:pt idx="0">
                  <c:v>Educación</c:v>
                </c:pt>
                <c:pt idx="1">
                  <c:v>Salud</c:v>
                </c:pt>
                <c:pt idx="2">
                  <c:v>Servicios</c:v>
                </c:pt>
                <c:pt idx="3">
                  <c:v>Seguridad</c:v>
                </c:pt>
              </c:strCache>
            </c:strRef>
          </c:cat>
          <c:val>
            <c:numRef>
              <c:f>'San Andrés'!$BS$29:$BV$29</c:f>
              <c:numCache>
                <c:formatCode>0.00</c:formatCode>
                <c:ptCount val="4"/>
                <c:pt idx="0">
                  <c:v>60.049777250139037</c:v>
                </c:pt>
                <c:pt idx="1">
                  <c:v>89.445559138135692</c:v>
                </c:pt>
                <c:pt idx="2">
                  <c:v>42.324048737564823</c:v>
                </c:pt>
                <c:pt idx="3">
                  <c:v>92.465297619373445</c:v>
                </c:pt>
              </c:numCache>
            </c:numRef>
          </c:val>
          <c:extLst>
            <c:ext xmlns:c16="http://schemas.microsoft.com/office/drawing/2014/chart" uri="{C3380CC4-5D6E-409C-BE32-E72D297353CC}">
              <c16:uniqueId val="{00000001-174D-4CCB-B910-F817DB0BF94F}"/>
            </c:ext>
          </c:extLst>
        </c:ser>
        <c:ser>
          <c:idx val="2"/>
          <c:order val="2"/>
          <c:tx>
            <c:strRef>
              <c:f>'San Andrés'!$BR$30</c:f>
              <c:strCache>
                <c:ptCount val="1"/>
                <c:pt idx="0">
                  <c:v>San Andrés</c:v>
                </c:pt>
              </c:strCache>
            </c:strRef>
          </c:tx>
          <c:spPr>
            <a:ln w="28575" cap="rnd">
              <a:solidFill>
                <a:schemeClr val="accent1"/>
              </a:solidFill>
              <a:round/>
            </a:ln>
            <a:effectLst/>
          </c:spPr>
          <c:marker>
            <c:symbol val="none"/>
          </c:marker>
          <c:cat>
            <c:strRef>
              <c:f>'San Andrés'!$BS$27:$BV$27</c:f>
              <c:strCache>
                <c:ptCount val="4"/>
                <c:pt idx="0">
                  <c:v>Educación</c:v>
                </c:pt>
                <c:pt idx="1">
                  <c:v>Salud</c:v>
                </c:pt>
                <c:pt idx="2">
                  <c:v>Servicios</c:v>
                </c:pt>
                <c:pt idx="3">
                  <c:v>Seguridad</c:v>
                </c:pt>
              </c:strCache>
            </c:strRef>
          </c:cat>
          <c:val>
            <c:numRef>
              <c:f>'San Andrés'!$BS$30:$BV$30</c:f>
              <c:numCache>
                <c:formatCode>0.00</c:formatCode>
                <c:ptCount val="4"/>
                <c:pt idx="0">
                  <c:v>59.143417529625353</c:v>
                </c:pt>
                <c:pt idx="1">
                  <c:v>96.611347483530963</c:v>
                </c:pt>
                <c:pt idx="2">
                  <c:v>25.354085323398451</c:v>
                </c:pt>
                <c:pt idx="3">
                  <c:v>34.031845770580418</c:v>
                </c:pt>
              </c:numCache>
            </c:numRef>
          </c:val>
          <c:extLst>
            <c:ext xmlns:c16="http://schemas.microsoft.com/office/drawing/2014/chart" uri="{C3380CC4-5D6E-409C-BE32-E72D297353CC}">
              <c16:uniqueId val="{00000002-174D-4CCB-B910-F817DB0BF94F}"/>
            </c:ext>
          </c:extLst>
        </c:ser>
        <c:dLbls>
          <c:showLegendKey val="0"/>
          <c:showVal val="0"/>
          <c:showCatName val="0"/>
          <c:showSerName val="0"/>
          <c:showPercent val="0"/>
          <c:showBubbleSize val="0"/>
        </c:dLbls>
        <c:axId val="1000653615"/>
        <c:axId val="1256999487"/>
      </c:radarChart>
      <c:catAx>
        <c:axId val="100065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256999487"/>
        <c:crosses val="autoZero"/>
        <c:auto val="1"/>
        <c:lblAlgn val="ctr"/>
        <c:lblOffset val="100"/>
        <c:noMultiLvlLbl val="0"/>
      </c:catAx>
      <c:valAx>
        <c:axId val="1256999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00653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txData>
          <cx:v>IC</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IC</a:t>
          </a:r>
        </a:p>
      </cx:txPr>
    </cx:title>
    <cx:plotArea>
      <cx:plotAreaRegion>
        <cx:series layoutId="boxWhisker" uniqueId="{1428D795-6A04-43D8-9E0B-652723B6888E}" formatIdx="0">
          <cx:tx>
            <cx:txData>
              <cx:f>_xlchart.v1.5</cx:f>
              <cx:v>IC</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IDDr</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IDDr</a:t>
          </a:r>
        </a:p>
      </cx:txPr>
    </cx:title>
    <cx:plotArea>
      <cx:plotAreaRegion>
        <cx:series layoutId="boxWhisker" uniqueId="{4345FF31-C29E-4744-BB1A-2624C1D0B2F3}">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IC_pond</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IC_pond</a:t>
          </a:r>
        </a:p>
      </cx:txPr>
    </cx:title>
    <cx:plotArea>
      <cx:plotAreaRegion>
        <cx:series layoutId="boxWhisker" uniqueId="{318CB3E3-BBC1-4492-B814-3A8A63255D3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1</xdr:col>
      <xdr:colOff>1551811</xdr:colOff>
      <xdr:row>24</xdr:row>
      <xdr:rowOff>89647</xdr:rowOff>
    </xdr:from>
    <xdr:to>
      <xdr:col>6</xdr:col>
      <xdr:colOff>1645770</xdr:colOff>
      <xdr:row>35</xdr:row>
      <xdr:rowOff>153776</xdr:rowOff>
    </xdr:to>
    <xdr:pic>
      <xdr:nvPicPr>
        <xdr:cNvPr id="19" name="Imagen 1">
          <a:extLst>
            <a:ext uri="{FF2B5EF4-FFF2-40B4-BE49-F238E27FC236}">
              <a16:creationId xmlns:a16="http://schemas.microsoft.com/office/drawing/2014/main" id="{64404FCB-22FB-1E17-F336-196CE73364AE}"/>
            </a:ext>
          </a:extLst>
        </xdr:cNvPr>
        <xdr:cNvPicPr>
          <a:picLocks noChangeAspect="1"/>
        </xdr:cNvPicPr>
      </xdr:nvPicPr>
      <xdr:blipFill>
        <a:blip xmlns:r="http://schemas.openxmlformats.org/officeDocument/2006/relationships" r:embed="rId1"/>
        <a:stretch>
          <a:fillRect/>
        </a:stretch>
      </xdr:blipFill>
      <xdr:spPr>
        <a:xfrm>
          <a:off x="6975458" y="13088471"/>
          <a:ext cx="6337130" cy="2159629"/>
        </a:xfrm>
        <a:prstGeom prst="rect">
          <a:avLst/>
        </a:prstGeom>
      </xdr:spPr>
    </xdr:pic>
    <xdr:clientData/>
  </xdr:twoCellAnchor>
  <xdr:twoCellAnchor editAs="oneCell">
    <xdr:from>
      <xdr:col>6</xdr:col>
      <xdr:colOff>297517</xdr:colOff>
      <xdr:row>12</xdr:row>
      <xdr:rowOff>2650445</xdr:rowOff>
    </xdr:from>
    <xdr:to>
      <xdr:col>7</xdr:col>
      <xdr:colOff>1109382</xdr:colOff>
      <xdr:row>18</xdr:row>
      <xdr:rowOff>45357</xdr:rowOff>
    </xdr:to>
    <xdr:pic>
      <xdr:nvPicPr>
        <xdr:cNvPr id="8" name="Imagen 2">
          <a:extLst>
            <a:ext uri="{FF2B5EF4-FFF2-40B4-BE49-F238E27FC236}">
              <a16:creationId xmlns:a16="http://schemas.microsoft.com/office/drawing/2014/main" id="{0A87FA02-8170-4095-8C81-D763406534F4}"/>
            </a:ext>
          </a:extLst>
        </xdr:cNvPr>
        <xdr:cNvPicPr>
          <a:picLocks noChangeAspect="1"/>
        </xdr:cNvPicPr>
      </xdr:nvPicPr>
      <xdr:blipFill rotWithShape="1">
        <a:blip xmlns:r="http://schemas.openxmlformats.org/officeDocument/2006/relationships" r:embed="rId2"/>
        <a:srcRect l="7033" r="1541"/>
        <a:stretch/>
      </xdr:blipFill>
      <xdr:spPr>
        <a:xfrm>
          <a:off x="10775017" y="20333327"/>
          <a:ext cx="3097865" cy="3490912"/>
        </a:xfrm>
        <a:prstGeom prst="rect">
          <a:avLst/>
        </a:prstGeom>
      </xdr:spPr>
    </xdr:pic>
    <xdr:clientData/>
  </xdr:twoCellAnchor>
  <xdr:twoCellAnchor editAs="oneCell">
    <xdr:from>
      <xdr:col>8</xdr:col>
      <xdr:colOff>1037167</xdr:colOff>
      <xdr:row>14</xdr:row>
      <xdr:rowOff>857249</xdr:rowOff>
    </xdr:from>
    <xdr:to>
      <xdr:col>9</xdr:col>
      <xdr:colOff>2186475</xdr:colOff>
      <xdr:row>42</xdr:row>
      <xdr:rowOff>560</xdr:rowOff>
    </xdr:to>
    <xdr:pic>
      <xdr:nvPicPr>
        <xdr:cNvPr id="4" name="Imagen 3">
          <a:extLst>
            <a:ext uri="{FF2B5EF4-FFF2-40B4-BE49-F238E27FC236}">
              <a16:creationId xmlns:a16="http://schemas.microsoft.com/office/drawing/2014/main" id="{A0158F41-EBDC-4B97-81BA-AB6DA62B2927}"/>
            </a:ext>
          </a:extLst>
        </xdr:cNvPr>
        <xdr:cNvPicPr>
          <a:picLocks noChangeAspect="1"/>
        </xdr:cNvPicPr>
      </xdr:nvPicPr>
      <xdr:blipFill rotWithShape="1">
        <a:blip xmlns:r="http://schemas.openxmlformats.org/officeDocument/2006/relationships" r:embed="rId3"/>
        <a:srcRect t="9941"/>
        <a:stretch/>
      </xdr:blipFill>
      <xdr:spPr>
        <a:xfrm>
          <a:off x="16458142" y="9182099"/>
          <a:ext cx="4483058" cy="1997075"/>
        </a:xfrm>
        <a:prstGeom prst="rect">
          <a:avLst/>
        </a:prstGeom>
      </xdr:spPr>
    </xdr:pic>
    <xdr:clientData/>
  </xdr:twoCellAnchor>
  <xdr:twoCellAnchor editAs="oneCell">
    <xdr:from>
      <xdr:col>0</xdr:col>
      <xdr:colOff>0</xdr:colOff>
      <xdr:row>37</xdr:row>
      <xdr:rowOff>183925</xdr:rowOff>
    </xdr:from>
    <xdr:to>
      <xdr:col>2</xdr:col>
      <xdr:colOff>112991</xdr:colOff>
      <xdr:row>52</xdr:row>
      <xdr:rowOff>52698</xdr:rowOff>
    </xdr:to>
    <xdr:pic>
      <xdr:nvPicPr>
        <xdr:cNvPr id="18" name="Imagen 4">
          <a:extLst>
            <a:ext uri="{FF2B5EF4-FFF2-40B4-BE49-F238E27FC236}">
              <a16:creationId xmlns:a16="http://schemas.microsoft.com/office/drawing/2014/main" id="{FD3F4989-B406-84FD-37BD-079EB60848BB}"/>
            </a:ext>
          </a:extLst>
        </xdr:cNvPr>
        <xdr:cNvPicPr>
          <a:picLocks noChangeAspect="1"/>
        </xdr:cNvPicPr>
      </xdr:nvPicPr>
      <xdr:blipFill rotWithShape="1">
        <a:blip xmlns:r="http://schemas.openxmlformats.org/officeDocument/2006/relationships" r:embed="rId4"/>
        <a:srcRect l="3588" t="1706" r="2977"/>
        <a:stretch/>
      </xdr:blipFill>
      <xdr:spPr>
        <a:xfrm>
          <a:off x="0" y="15659249"/>
          <a:ext cx="5888130" cy="2716748"/>
        </a:xfrm>
        <a:prstGeom prst="rect">
          <a:avLst/>
        </a:prstGeom>
      </xdr:spPr>
    </xdr:pic>
    <xdr:clientData/>
  </xdr:twoCellAnchor>
  <xdr:twoCellAnchor editAs="oneCell">
    <xdr:from>
      <xdr:col>0</xdr:col>
      <xdr:colOff>0</xdr:colOff>
      <xdr:row>24</xdr:row>
      <xdr:rowOff>123262</xdr:rowOff>
    </xdr:from>
    <xdr:to>
      <xdr:col>2</xdr:col>
      <xdr:colOff>325142</xdr:colOff>
      <xdr:row>35</xdr:row>
      <xdr:rowOff>34487</xdr:rowOff>
    </xdr:to>
    <xdr:pic>
      <xdr:nvPicPr>
        <xdr:cNvPr id="17" name="Imagen 5">
          <a:extLst>
            <a:ext uri="{FF2B5EF4-FFF2-40B4-BE49-F238E27FC236}">
              <a16:creationId xmlns:a16="http://schemas.microsoft.com/office/drawing/2014/main" id="{427E5ACD-1DF2-07BA-DB25-4C6E23DA43E7}"/>
            </a:ext>
          </a:extLst>
        </xdr:cNvPr>
        <xdr:cNvPicPr>
          <a:picLocks noChangeAspect="1"/>
        </xdr:cNvPicPr>
      </xdr:nvPicPr>
      <xdr:blipFill>
        <a:blip xmlns:r="http://schemas.openxmlformats.org/officeDocument/2006/relationships" r:embed="rId5"/>
        <a:stretch>
          <a:fillRect/>
        </a:stretch>
      </xdr:blipFill>
      <xdr:spPr>
        <a:xfrm>
          <a:off x="0" y="13122086"/>
          <a:ext cx="6100281" cy="199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501650</xdr:colOff>
      <xdr:row>1088</xdr:row>
      <xdr:rowOff>31750</xdr:rowOff>
    </xdr:from>
    <xdr:to>
      <xdr:col>10</xdr:col>
      <xdr:colOff>501650</xdr:colOff>
      <xdr:row>1103</xdr:row>
      <xdr:rowOff>12700</xdr:rowOff>
    </xdr:to>
    <xdr:graphicFrame macro="">
      <xdr:nvGraphicFramePr>
        <xdr:cNvPr id="4" name="Gráfico 3">
          <a:extLst>
            <a:ext uri="{FF2B5EF4-FFF2-40B4-BE49-F238E27FC236}">
              <a16:creationId xmlns:a16="http://schemas.microsoft.com/office/drawing/2014/main" id="{12BC036C-5C74-48DA-102E-FC57FAA1F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44</xdr:row>
      <xdr:rowOff>0</xdr:rowOff>
    </xdr:from>
    <xdr:to>
      <xdr:col>11</xdr:col>
      <xdr:colOff>304800</xdr:colOff>
      <xdr:row>45</xdr:row>
      <xdr:rowOff>130175</xdr:rowOff>
    </xdr:to>
    <xdr:sp macro="" textlink="">
      <xdr:nvSpPr>
        <xdr:cNvPr id="3073" name="AutoShape 1">
          <a:extLst>
            <a:ext uri="{FF2B5EF4-FFF2-40B4-BE49-F238E27FC236}">
              <a16:creationId xmlns:a16="http://schemas.microsoft.com/office/drawing/2014/main" id="{5F493D47-DCF9-83A4-321A-5ABE51C2EBFF}"/>
            </a:ext>
          </a:extLst>
        </xdr:cNvPr>
        <xdr:cNvSpPr>
          <a:spLocks noChangeAspect="1" noChangeArrowheads="1"/>
        </xdr:cNvSpPr>
      </xdr:nvSpPr>
      <xdr:spPr bwMode="auto">
        <a:xfrm>
          <a:off x="8953500" y="1599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44</xdr:row>
      <xdr:rowOff>0</xdr:rowOff>
    </xdr:from>
    <xdr:to>
      <xdr:col>14</xdr:col>
      <xdr:colOff>304800</xdr:colOff>
      <xdr:row>45</xdr:row>
      <xdr:rowOff>130175</xdr:rowOff>
    </xdr:to>
    <xdr:sp macro="" textlink="">
      <xdr:nvSpPr>
        <xdr:cNvPr id="3074" name="AutoShape 2">
          <a:extLst>
            <a:ext uri="{FF2B5EF4-FFF2-40B4-BE49-F238E27FC236}">
              <a16:creationId xmlns:a16="http://schemas.microsoft.com/office/drawing/2014/main" id="{8C068ED9-79DA-769F-C7AB-8CAB8BEBDB72}"/>
            </a:ext>
          </a:extLst>
        </xdr:cNvPr>
        <xdr:cNvSpPr>
          <a:spLocks noChangeAspect="1" noChangeArrowheads="1"/>
        </xdr:cNvSpPr>
      </xdr:nvSpPr>
      <xdr:spPr bwMode="auto">
        <a:xfrm>
          <a:off x="10788650" y="139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44</xdr:row>
      <xdr:rowOff>0</xdr:rowOff>
    </xdr:from>
    <xdr:to>
      <xdr:col>14</xdr:col>
      <xdr:colOff>304800</xdr:colOff>
      <xdr:row>45</xdr:row>
      <xdr:rowOff>130175</xdr:rowOff>
    </xdr:to>
    <xdr:sp macro="" textlink="">
      <xdr:nvSpPr>
        <xdr:cNvPr id="3075" name="AutoShape 3">
          <a:extLst>
            <a:ext uri="{FF2B5EF4-FFF2-40B4-BE49-F238E27FC236}">
              <a16:creationId xmlns:a16="http://schemas.microsoft.com/office/drawing/2014/main" id="{BAD09973-D908-E00B-C255-028D9712C3EB}"/>
            </a:ext>
          </a:extLst>
        </xdr:cNvPr>
        <xdr:cNvSpPr>
          <a:spLocks noChangeAspect="1" noChangeArrowheads="1"/>
        </xdr:cNvSpPr>
      </xdr:nvSpPr>
      <xdr:spPr bwMode="auto">
        <a:xfrm>
          <a:off x="10788650" y="1470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128814</xdr:colOff>
      <xdr:row>6</xdr:row>
      <xdr:rowOff>55336</xdr:rowOff>
    </xdr:from>
    <xdr:to>
      <xdr:col>25</xdr:col>
      <xdr:colOff>628650</xdr:colOff>
      <xdr:row>42</xdr:row>
      <xdr:rowOff>152400</xdr:rowOff>
    </xdr:to>
    <xdr:graphicFrame macro="">
      <xdr:nvGraphicFramePr>
        <xdr:cNvPr id="6" name="Chart 5">
          <a:extLst>
            <a:ext uri="{FF2B5EF4-FFF2-40B4-BE49-F238E27FC236}">
              <a16:creationId xmlns:a16="http://schemas.microsoft.com/office/drawing/2014/main" id="{AE75D5A6-A54A-CCF4-5A5D-DA8B53C2D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493674</xdr:colOff>
      <xdr:row>68</xdr:row>
      <xdr:rowOff>114300</xdr:rowOff>
    </xdr:from>
    <xdr:to>
      <xdr:col>15</xdr:col>
      <xdr:colOff>390525</xdr:colOff>
      <xdr:row>82</xdr:row>
      <xdr:rowOff>111047</xdr:rowOff>
    </xdr:to>
    <xdr:graphicFrame macro="">
      <xdr:nvGraphicFramePr>
        <xdr:cNvPr id="45" name="Gráfico 1">
          <a:extLst>
            <a:ext uri="{FF2B5EF4-FFF2-40B4-BE49-F238E27FC236}">
              <a16:creationId xmlns:a16="http://schemas.microsoft.com/office/drawing/2014/main" id="{00AF8DE0-D782-43B3-8D41-76950415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473075</xdr:colOff>
      <xdr:row>83</xdr:row>
      <xdr:rowOff>142875</xdr:rowOff>
    </xdr:from>
    <xdr:to>
      <xdr:col>15</xdr:col>
      <xdr:colOff>415925</xdr:colOff>
      <xdr:row>98</xdr:row>
      <xdr:rowOff>124757</xdr:rowOff>
    </xdr:to>
    <xdr:graphicFrame macro="">
      <xdr:nvGraphicFramePr>
        <xdr:cNvPr id="46" name="Gráfico 2">
          <a:extLst>
            <a:ext uri="{FF2B5EF4-FFF2-40B4-BE49-F238E27FC236}">
              <a16:creationId xmlns:a16="http://schemas.microsoft.com/office/drawing/2014/main" id="{B4F3DEF6-1F8F-4600-AFA7-46148A521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98</xdr:row>
      <xdr:rowOff>171450</xdr:rowOff>
    </xdr:from>
    <xdr:to>
      <xdr:col>15</xdr:col>
      <xdr:colOff>438150</xdr:colOff>
      <xdr:row>113</xdr:row>
      <xdr:rowOff>159682</xdr:rowOff>
    </xdr:to>
    <xdr:graphicFrame macro="">
      <xdr:nvGraphicFramePr>
        <xdr:cNvPr id="47" name="Gráfico 3">
          <a:extLst>
            <a:ext uri="{FF2B5EF4-FFF2-40B4-BE49-F238E27FC236}">
              <a16:creationId xmlns:a16="http://schemas.microsoft.com/office/drawing/2014/main" id="{B2DB4910-8F0D-475C-AA03-E2922DA82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xdr:colOff>
      <xdr:row>29</xdr:row>
      <xdr:rowOff>176212</xdr:rowOff>
    </xdr:from>
    <xdr:to>
      <xdr:col>14</xdr:col>
      <xdr:colOff>571500</xdr:colOff>
      <xdr:row>42</xdr:row>
      <xdr:rowOff>61912</xdr:rowOff>
    </xdr:to>
    <xdr:graphicFrame macro="">
      <xdr:nvGraphicFramePr>
        <xdr:cNvPr id="7" name="Gráfico 6">
          <a:extLst>
            <a:ext uri="{FF2B5EF4-FFF2-40B4-BE49-F238E27FC236}">
              <a16:creationId xmlns:a16="http://schemas.microsoft.com/office/drawing/2014/main" id="{8782EAF6-760F-E418-1C52-02CA91296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841933</xdr:colOff>
      <xdr:row>17</xdr:row>
      <xdr:rowOff>112058</xdr:rowOff>
    </xdr:from>
    <xdr:to>
      <xdr:col>16</xdr:col>
      <xdr:colOff>593911</xdr:colOff>
      <xdr:row>30</xdr:row>
      <xdr:rowOff>184522</xdr:rowOff>
    </xdr:to>
    <xdr:graphicFrame macro="">
      <xdr:nvGraphicFramePr>
        <xdr:cNvPr id="3" name="Gráfico 2">
          <a:extLst>
            <a:ext uri="{FF2B5EF4-FFF2-40B4-BE49-F238E27FC236}">
              <a16:creationId xmlns:a16="http://schemas.microsoft.com/office/drawing/2014/main" id="{91DB5878-F4FB-D477-D3A4-43B2A2C03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818964</xdr:colOff>
      <xdr:row>32</xdr:row>
      <xdr:rowOff>86566</xdr:rowOff>
    </xdr:from>
    <xdr:to>
      <xdr:col>16</xdr:col>
      <xdr:colOff>605118</xdr:colOff>
      <xdr:row>44</xdr:row>
      <xdr:rowOff>56030</xdr:rowOff>
    </xdr:to>
    <xdr:graphicFrame macro="">
      <xdr:nvGraphicFramePr>
        <xdr:cNvPr id="4" name="Gráfico 3">
          <a:extLst>
            <a:ext uri="{FF2B5EF4-FFF2-40B4-BE49-F238E27FC236}">
              <a16:creationId xmlns:a16="http://schemas.microsoft.com/office/drawing/2014/main" id="{E7E546F2-2578-9A2E-C921-7E7530885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138206</xdr:colOff>
      <xdr:row>25</xdr:row>
      <xdr:rowOff>23529</xdr:rowOff>
    </xdr:from>
    <xdr:to>
      <xdr:col>30</xdr:col>
      <xdr:colOff>1270000</xdr:colOff>
      <xdr:row>38</xdr:row>
      <xdr:rowOff>126999</xdr:rowOff>
    </xdr:to>
    <xdr:graphicFrame macro="">
      <xdr:nvGraphicFramePr>
        <xdr:cNvPr id="2" name="Gráfico 1">
          <a:extLst>
            <a:ext uri="{FF2B5EF4-FFF2-40B4-BE49-F238E27FC236}">
              <a16:creationId xmlns:a16="http://schemas.microsoft.com/office/drawing/2014/main" id="{3CF144C6-5FE2-5833-8015-77896BF8E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55843</xdr:colOff>
      <xdr:row>39</xdr:row>
      <xdr:rowOff>104590</xdr:rowOff>
    </xdr:from>
    <xdr:to>
      <xdr:col>30</xdr:col>
      <xdr:colOff>948765</xdr:colOff>
      <xdr:row>53</xdr:row>
      <xdr:rowOff>32501</xdr:rowOff>
    </xdr:to>
    <xdr:graphicFrame macro="">
      <xdr:nvGraphicFramePr>
        <xdr:cNvPr id="5" name="Gráfico 4">
          <a:extLst>
            <a:ext uri="{FF2B5EF4-FFF2-40B4-BE49-F238E27FC236}">
              <a16:creationId xmlns:a16="http://schemas.microsoft.com/office/drawing/2014/main" id="{A404735E-0382-425B-AC11-6707736C0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59579</xdr:colOff>
      <xdr:row>174</xdr:row>
      <xdr:rowOff>58645</xdr:rowOff>
    </xdr:from>
    <xdr:to>
      <xdr:col>24</xdr:col>
      <xdr:colOff>599701</xdr:colOff>
      <xdr:row>185</xdr:row>
      <xdr:rowOff>151466</xdr:rowOff>
    </xdr:to>
    <xdr:graphicFrame macro="">
      <xdr:nvGraphicFramePr>
        <xdr:cNvPr id="14" name="Gráfico 13">
          <a:extLst>
            <a:ext uri="{FF2B5EF4-FFF2-40B4-BE49-F238E27FC236}">
              <a16:creationId xmlns:a16="http://schemas.microsoft.com/office/drawing/2014/main" id="{9E450338-A1E4-5AEE-F0AA-39778E3DA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276411</xdr:colOff>
      <xdr:row>185</xdr:row>
      <xdr:rowOff>161366</xdr:rowOff>
    </xdr:from>
    <xdr:to>
      <xdr:col>25</xdr:col>
      <xdr:colOff>163232</xdr:colOff>
      <xdr:row>196</xdr:row>
      <xdr:rowOff>92823</xdr:rowOff>
    </xdr:to>
    <xdr:graphicFrame macro="">
      <xdr:nvGraphicFramePr>
        <xdr:cNvPr id="16" name="Gráfico 15">
          <a:extLst>
            <a:ext uri="{FF2B5EF4-FFF2-40B4-BE49-F238E27FC236}">
              <a16:creationId xmlns:a16="http://schemas.microsoft.com/office/drawing/2014/main" id="{BCDE7F0C-07DB-300C-33AE-70E6927F1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29883</xdr:colOff>
      <xdr:row>197</xdr:row>
      <xdr:rowOff>28574</xdr:rowOff>
    </xdr:from>
    <xdr:to>
      <xdr:col>30</xdr:col>
      <xdr:colOff>803088</xdr:colOff>
      <xdr:row>209</xdr:row>
      <xdr:rowOff>179294</xdr:rowOff>
    </xdr:to>
    <xdr:graphicFrame macro="">
      <xdr:nvGraphicFramePr>
        <xdr:cNvPr id="17" name="Gráfico 16">
          <a:extLst>
            <a:ext uri="{FF2B5EF4-FFF2-40B4-BE49-F238E27FC236}">
              <a16:creationId xmlns:a16="http://schemas.microsoft.com/office/drawing/2014/main" id="{97F0EF73-B212-EC11-C192-C5F8C93BA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885265</xdr:colOff>
      <xdr:row>51</xdr:row>
      <xdr:rowOff>89647</xdr:rowOff>
    </xdr:from>
    <xdr:to>
      <xdr:col>12</xdr:col>
      <xdr:colOff>571500</xdr:colOff>
      <xdr:row>62</xdr:row>
      <xdr:rowOff>134471</xdr:rowOff>
    </xdr:to>
    <xdr:graphicFrame macro="">
      <xdr:nvGraphicFramePr>
        <xdr:cNvPr id="7" name="Gráfico 6">
          <a:extLst>
            <a:ext uri="{FF2B5EF4-FFF2-40B4-BE49-F238E27FC236}">
              <a16:creationId xmlns:a16="http://schemas.microsoft.com/office/drawing/2014/main" id="{60C6EC6F-D18A-4C83-B597-4E46EC4E9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237671</xdr:colOff>
      <xdr:row>2</xdr:row>
      <xdr:rowOff>74385</xdr:rowOff>
    </xdr:from>
    <xdr:to>
      <xdr:col>9</xdr:col>
      <xdr:colOff>734784</xdr:colOff>
      <xdr:row>24</xdr:row>
      <xdr:rowOff>81643</xdr:rowOff>
    </xdr:to>
    <mc:AlternateContent xmlns:mc="http://schemas.openxmlformats.org/markup-compatibility/2006">
      <mc:Choice xmlns:cx1="http://schemas.microsoft.com/office/drawing/2015/9/8/chartex" Requires="cx1">
        <xdr:graphicFrame macro="">
          <xdr:nvGraphicFramePr>
            <xdr:cNvPr id="8" name="Gráfico 7">
              <a:extLst>
                <a:ext uri="{FF2B5EF4-FFF2-40B4-BE49-F238E27FC236}">
                  <a16:creationId xmlns:a16="http://schemas.microsoft.com/office/drawing/2014/main" id="{B3C314D4-8199-4104-B808-2B98F366B8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77571" y="429985"/>
              <a:ext cx="6993163" cy="3918858"/>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10</xdr:col>
      <xdr:colOff>701674</xdr:colOff>
      <xdr:row>2</xdr:row>
      <xdr:rowOff>3175</xdr:rowOff>
    </xdr:from>
    <xdr:to>
      <xdr:col>19</xdr:col>
      <xdr:colOff>148318</xdr:colOff>
      <xdr:row>24</xdr:row>
      <xdr:rowOff>90714</xdr:rowOff>
    </xdr:to>
    <mc:AlternateContent xmlns:mc="http://schemas.openxmlformats.org/markup-compatibility/2006">
      <mc:Choice xmlns:cx1="http://schemas.microsoft.com/office/drawing/2015/9/8/chartex" Requires="cx1">
        <xdr:graphicFrame macro="">
          <xdr:nvGraphicFramePr>
            <xdr:cNvPr id="12" name="Gráfico 11">
              <a:extLst>
                <a:ext uri="{FF2B5EF4-FFF2-40B4-BE49-F238E27FC236}">
                  <a16:creationId xmlns:a16="http://schemas.microsoft.com/office/drawing/2014/main" id="{AE1EA6F6-B727-42AB-9266-EFFE50E772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807574" y="358775"/>
              <a:ext cx="7276194" cy="3999139"/>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20</xdr:col>
      <xdr:colOff>42636</xdr:colOff>
      <xdr:row>2</xdr:row>
      <xdr:rowOff>36285</xdr:rowOff>
    </xdr:from>
    <xdr:to>
      <xdr:col>27</xdr:col>
      <xdr:colOff>517524</xdr:colOff>
      <xdr:row>24</xdr:row>
      <xdr:rowOff>90714</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F57AC283-BD85-4792-AB6D-B9FD0C764E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848036" y="391885"/>
              <a:ext cx="6564538" cy="3966029"/>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xdr:colOff>
      <xdr:row>33</xdr:row>
      <xdr:rowOff>66675</xdr:rowOff>
    </xdr:from>
    <xdr:to>
      <xdr:col>11</xdr:col>
      <xdr:colOff>76200</xdr:colOff>
      <xdr:row>44</xdr:row>
      <xdr:rowOff>95251</xdr:rowOff>
    </xdr:to>
    <xdr:graphicFrame macro="">
      <xdr:nvGraphicFramePr>
        <xdr:cNvPr id="12" name="Gráfico 1">
          <a:extLst>
            <a:ext uri="{FF2B5EF4-FFF2-40B4-BE49-F238E27FC236}">
              <a16:creationId xmlns:a16="http://schemas.microsoft.com/office/drawing/2014/main" id="{93E848D3-1EA2-4F23-B9FF-F4D0E637F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45</xdr:row>
      <xdr:rowOff>0</xdr:rowOff>
    </xdr:from>
    <xdr:to>
      <xdr:col>10</xdr:col>
      <xdr:colOff>571500</xdr:colOff>
      <xdr:row>59</xdr:row>
      <xdr:rowOff>165100</xdr:rowOff>
    </xdr:to>
    <xdr:graphicFrame macro="">
      <xdr:nvGraphicFramePr>
        <xdr:cNvPr id="2" name="Gráfico 1">
          <a:extLst>
            <a:ext uri="{FF2B5EF4-FFF2-40B4-BE49-F238E27FC236}">
              <a16:creationId xmlns:a16="http://schemas.microsoft.com/office/drawing/2014/main" id="{420D5B99-E0B1-49D5-9162-E10FF793B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101598</xdr:colOff>
      <xdr:row>2</xdr:row>
      <xdr:rowOff>92075</xdr:rowOff>
    </xdr:from>
    <xdr:to>
      <xdr:col>21</xdr:col>
      <xdr:colOff>476249</xdr:colOff>
      <xdr:row>10</xdr:row>
      <xdr:rowOff>133350</xdr:rowOff>
    </xdr:to>
    <xdr:graphicFrame macro="">
      <xdr:nvGraphicFramePr>
        <xdr:cNvPr id="2" name="Gráfico 1">
          <a:extLst>
            <a:ext uri="{FF2B5EF4-FFF2-40B4-BE49-F238E27FC236}">
              <a16:creationId xmlns:a16="http://schemas.microsoft.com/office/drawing/2014/main" id="{4628F475-E072-47B3-B21E-D9B7A9CD4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6350</xdr:colOff>
      <xdr:row>13</xdr:row>
      <xdr:rowOff>161925</xdr:rowOff>
    </xdr:from>
    <xdr:to>
      <xdr:col>18</xdr:col>
      <xdr:colOff>198904</xdr:colOff>
      <xdr:row>22</xdr:row>
      <xdr:rowOff>267914</xdr:rowOff>
    </xdr:to>
    <xdr:graphicFrame macro="">
      <xdr:nvGraphicFramePr>
        <xdr:cNvPr id="3" name="Gráfico 2">
          <a:extLst>
            <a:ext uri="{FF2B5EF4-FFF2-40B4-BE49-F238E27FC236}">
              <a16:creationId xmlns:a16="http://schemas.microsoft.com/office/drawing/2014/main" id="{48656FF6-ECA8-4EAC-964D-3180C9A1A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212726</xdr:colOff>
      <xdr:row>23</xdr:row>
      <xdr:rowOff>187325</xdr:rowOff>
    </xdr:from>
    <xdr:to>
      <xdr:col>17</xdr:col>
      <xdr:colOff>657226</xdr:colOff>
      <xdr:row>42</xdr:row>
      <xdr:rowOff>130175</xdr:rowOff>
    </xdr:to>
    <xdr:graphicFrame macro="">
      <xdr:nvGraphicFramePr>
        <xdr:cNvPr id="5" name="Gráfico 4">
          <a:extLst>
            <a:ext uri="{FF2B5EF4-FFF2-40B4-BE49-F238E27FC236}">
              <a16:creationId xmlns:a16="http://schemas.microsoft.com/office/drawing/2014/main" id="{B41A6645-4189-4584-A8A0-A070C8D25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1004887</xdr:colOff>
      <xdr:row>0</xdr:row>
      <xdr:rowOff>0</xdr:rowOff>
    </xdr:from>
    <xdr:to>
      <xdr:col>15</xdr:col>
      <xdr:colOff>709612</xdr:colOff>
      <xdr:row>12</xdr:row>
      <xdr:rowOff>76200</xdr:rowOff>
    </xdr:to>
    <xdr:graphicFrame macro="">
      <xdr:nvGraphicFramePr>
        <xdr:cNvPr id="4" name="Gráfico 3">
          <a:extLst>
            <a:ext uri="{FF2B5EF4-FFF2-40B4-BE49-F238E27FC236}">
              <a16:creationId xmlns:a16="http://schemas.microsoft.com/office/drawing/2014/main" id="{D7F79BCE-D5CE-8095-08E0-EB9A92531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371474</xdr:colOff>
      <xdr:row>21</xdr:row>
      <xdr:rowOff>133350</xdr:rowOff>
    </xdr:from>
    <xdr:to>
      <xdr:col>27</xdr:col>
      <xdr:colOff>723899</xdr:colOff>
      <xdr:row>34</xdr:row>
      <xdr:rowOff>152399</xdr:rowOff>
    </xdr:to>
    <xdr:graphicFrame macro="">
      <xdr:nvGraphicFramePr>
        <xdr:cNvPr id="6" name="Gráfico 5">
          <a:extLst>
            <a:ext uri="{FF2B5EF4-FFF2-40B4-BE49-F238E27FC236}">
              <a16:creationId xmlns:a16="http://schemas.microsoft.com/office/drawing/2014/main" id="{E347232E-FA54-4424-B504-F22740B4B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40</xdr:col>
      <xdr:colOff>317500</xdr:colOff>
      <xdr:row>6</xdr:row>
      <xdr:rowOff>74612</xdr:rowOff>
    </xdr:from>
    <xdr:to>
      <xdr:col>46</xdr:col>
      <xdr:colOff>317500</xdr:colOff>
      <xdr:row>19</xdr:row>
      <xdr:rowOff>150812</xdr:rowOff>
    </xdr:to>
    <xdr:graphicFrame macro="">
      <xdr:nvGraphicFramePr>
        <xdr:cNvPr id="3" name="Gráfico 2">
          <a:extLst>
            <a:ext uri="{FF2B5EF4-FFF2-40B4-BE49-F238E27FC236}">
              <a16:creationId xmlns:a16="http://schemas.microsoft.com/office/drawing/2014/main" id="{B9684532-7D26-3DE5-3B91-F78CA5484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62</xdr:col>
      <xdr:colOff>701675</xdr:colOff>
      <xdr:row>4</xdr:row>
      <xdr:rowOff>123825</xdr:rowOff>
    </xdr:from>
    <xdr:to>
      <xdr:col>68</xdr:col>
      <xdr:colOff>701675</xdr:colOff>
      <xdr:row>17</xdr:row>
      <xdr:rowOff>149225</xdr:rowOff>
    </xdr:to>
    <xdr:graphicFrame macro="">
      <xdr:nvGraphicFramePr>
        <xdr:cNvPr id="5" name="Gráfico 4">
          <a:extLst>
            <a:ext uri="{FF2B5EF4-FFF2-40B4-BE49-F238E27FC236}">
              <a16:creationId xmlns:a16="http://schemas.microsoft.com/office/drawing/2014/main" id="{B80A2877-EA02-94F3-A456-68E8ED110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0</xdr:colOff>
      <xdr:row>25</xdr:row>
      <xdr:rowOff>0</xdr:rowOff>
    </xdr:from>
    <xdr:to>
      <xdr:col>47</xdr:col>
      <xdr:colOff>0</xdr:colOff>
      <xdr:row>39</xdr:row>
      <xdr:rowOff>63500</xdr:rowOff>
    </xdr:to>
    <xdr:graphicFrame macro="">
      <xdr:nvGraphicFramePr>
        <xdr:cNvPr id="2" name="Gráfico 1">
          <a:extLst>
            <a:ext uri="{FF2B5EF4-FFF2-40B4-BE49-F238E27FC236}">
              <a16:creationId xmlns:a16="http://schemas.microsoft.com/office/drawing/2014/main" id="{4C6FF220-3B9F-4DD0-96CF-4B2689324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74</xdr:col>
      <xdr:colOff>215900</xdr:colOff>
      <xdr:row>24</xdr:row>
      <xdr:rowOff>101600</xdr:rowOff>
    </xdr:from>
    <xdr:to>
      <xdr:col>80</xdr:col>
      <xdr:colOff>698500</xdr:colOff>
      <xdr:row>42</xdr:row>
      <xdr:rowOff>139700</xdr:rowOff>
    </xdr:to>
    <xdr:graphicFrame macro="">
      <xdr:nvGraphicFramePr>
        <xdr:cNvPr id="7" name="Gráfico 6">
          <a:extLst>
            <a:ext uri="{FF2B5EF4-FFF2-40B4-BE49-F238E27FC236}">
              <a16:creationId xmlns:a16="http://schemas.microsoft.com/office/drawing/2014/main" id="{67149848-0ACE-F518-E678-1589DED6D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laneacionnacional.sharepoint.com/sites/MDinterno/Documentos%20compartidos/Informaci&#243;n%20SD/03%20TIPOLOG&#205;AS/24.%20Vigencia%202026/00_BD_Originales/10_Categorias%20Ley%20617%20de%202000/HISTORIC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laneacionnacional.sharepoint.com/sites/MDinterno/Documentos%20compartidos/Informaci&#243;n%20SD/03%20TIPOLOG&#205;AS/24.%20Vigencia%202026/00_BD_Originales/08_Ambiental/20250825_Area_ambiental_2025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CATEG-DEPTOS"/>
      <sheetName val="HISTORIA-CAT-MUNIC"/>
    </sheetNames>
    <sheetDataSet>
      <sheetData sheetId="0">
        <row r="9">
          <cell r="B9">
            <v>5</v>
          </cell>
          <cell r="C9" t="str">
            <v>ANTIOQUIA</v>
          </cell>
          <cell r="D9">
            <v>1</v>
          </cell>
          <cell r="E9" t="str">
            <v>CGN</v>
          </cell>
          <cell r="F9" t="str">
            <v>ESP</v>
          </cell>
          <cell r="G9" t="str">
            <v>CGN</v>
          </cell>
          <cell r="H9" t="str">
            <v>ESP</v>
          </cell>
          <cell r="I9" t="str">
            <v>AUTOCAT</v>
          </cell>
          <cell r="J9" t="str">
            <v>ESP</v>
          </cell>
          <cell r="K9" t="str">
            <v>AUTOCAT</v>
          </cell>
          <cell r="L9" t="str">
            <v>ESP</v>
          </cell>
          <cell r="M9" t="str">
            <v>AUTOCAT</v>
          </cell>
          <cell r="N9" t="str">
            <v>ESP</v>
          </cell>
          <cell r="O9" t="str">
            <v>AUTOCAT</v>
          </cell>
          <cell r="P9" t="str">
            <v>ESP</v>
          </cell>
          <cell r="Q9" t="str">
            <v>AUTOCAT</v>
          </cell>
          <cell r="R9" t="str">
            <v>ESP</v>
          </cell>
          <cell r="S9" t="str">
            <v>AUTOCAT</v>
          </cell>
          <cell r="T9" t="str">
            <v>ESP</v>
          </cell>
          <cell r="U9" t="str">
            <v>AUTOCAT</v>
          </cell>
          <cell r="V9" t="str">
            <v>ESP</v>
          </cell>
          <cell r="W9" t="str">
            <v>AUTOCAT</v>
          </cell>
          <cell r="X9" t="str">
            <v>ESP</v>
          </cell>
          <cell r="Y9" t="str">
            <v>AUTOCAT</v>
          </cell>
          <cell r="Z9" t="str">
            <v>ESP</v>
          </cell>
          <cell r="AA9" t="str">
            <v>AUTOCAT</v>
          </cell>
          <cell r="AB9" t="str">
            <v>ESP</v>
          </cell>
          <cell r="AC9" t="str">
            <v>INF CGR</v>
          </cell>
          <cell r="AD9" t="str">
            <v>ESP</v>
          </cell>
          <cell r="AE9" t="str">
            <v>AUTOCAT</v>
          </cell>
          <cell r="AG9" t="str">
            <v>AUTO CATEGORIZADA</v>
          </cell>
          <cell r="AH9" t="str">
            <v>DECRETO</v>
          </cell>
          <cell r="AI9" t="str">
            <v>2786</v>
          </cell>
          <cell r="AJ9">
            <v>42228</v>
          </cell>
          <cell r="AK9" t="str">
            <v>ESP</v>
          </cell>
          <cell r="AL9" t="str">
            <v>ESP</v>
          </cell>
          <cell r="AM9" t="str">
            <v>AUTOCAT</v>
          </cell>
          <cell r="AN9" t="str">
            <v>ESP</v>
          </cell>
          <cell r="AO9" t="str">
            <v>INFO CGR</v>
          </cell>
          <cell r="AP9" t="str">
            <v>ESP</v>
          </cell>
          <cell r="AQ9" t="str">
            <v>AUTOCAT</v>
          </cell>
          <cell r="AR9" t="str">
            <v>ESP</v>
          </cell>
          <cell r="AS9" t="str">
            <v>AUTOCAT</v>
          </cell>
          <cell r="AT9" t="str">
            <v>ESP</v>
          </cell>
          <cell r="AU9" t="str">
            <v>AUTOCAT</v>
          </cell>
          <cell r="AV9" t="str">
            <v>ESP</v>
          </cell>
          <cell r="AW9" t="str">
            <v>AUTOCAT</v>
          </cell>
          <cell r="AX9" t="str">
            <v>ESP</v>
          </cell>
          <cell r="AY9" t="str">
            <v>INFO CGR</v>
          </cell>
          <cell r="AZ9" t="str">
            <v>ESP</v>
          </cell>
          <cell r="BA9" t="str">
            <v>INFO CGR</v>
          </cell>
          <cell r="BB9" t="str">
            <v>ESP</v>
          </cell>
        </row>
        <row r="10">
          <cell r="B10">
            <v>8</v>
          </cell>
          <cell r="C10" t="str">
            <v>ATLANTICO</v>
          </cell>
          <cell r="D10">
            <v>1</v>
          </cell>
          <cell r="E10" t="str">
            <v>AUTOCAT</v>
          </cell>
          <cell r="F10">
            <v>1</v>
          </cell>
          <cell r="G10" t="str">
            <v>CGN</v>
          </cell>
          <cell r="H10">
            <v>1</v>
          </cell>
          <cell r="I10" t="str">
            <v>AUTOCAT</v>
          </cell>
          <cell r="J10">
            <v>1</v>
          </cell>
          <cell r="K10" t="str">
            <v>AUTOCAT</v>
          </cell>
          <cell r="L10">
            <v>1</v>
          </cell>
          <cell r="M10" t="str">
            <v>AUTOCAT</v>
          </cell>
          <cell r="N10">
            <v>1</v>
          </cell>
          <cell r="O10" t="str">
            <v>AUTOCAT</v>
          </cell>
          <cell r="P10">
            <v>1</v>
          </cell>
          <cell r="Q10" t="str">
            <v>AUTOCAT</v>
          </cell>
          <cell r="R10">
            <v>1</v>
          </cell>
          <cell r="S10" t="str">
            <v>INF CGR</v>
          </cell>
          <cell r="T10">
            <v>1</v>
          </cell>
          <cell r="U10" t="str">
            <v>AUTOCAT</v>
          </cell>
          <cell r="V10">
            <v>1</v>
          </cell>
          <cell r="W10" t="str">
            <v>AUTOCAT</v>
          </cell>
          <cell r="X10">
            <v>1</v>
          </cell>
          <cell r="Y10" t="str">
            <v>AUTOCAT</v>
          </cell>
          <cell r="Z10">
            <v>1</v>
          </cell>
          <cell r="AA10" t="str">
            <v>AUTOCAT</v>
          </cell>
          <cell r="AB10">
            <v>1</v>
          </cell>
          <cell r="AC10" t="str">
            <v>AUTOCAT</v>
          </cell>
          <cell r="AD10">
            <v>1</v>
          </cell>
          <cell r="AE10" t="str">
            <v>AUTOCAT</v>
          </cell>
          <cell r="AG10" t="str">
            <v>AUTO CATEGORIZADA</v>
          </cell>
          <cell r="AH10" t="str">
            <v>DECRETO</v>
          </cell>
          <cell r="AI10" t="str">
            <v>000893</v>
          </cell>
          <cell r="AJ10">
            <v>42251</v>
          </cell>
          <cell r="AK10">
            <v>1</v>
          </cell>
          <cell r="AL10">
            <v>1</v>
          </cell>
          <cell r="AM10" t="str">
            <v>AUTOCAT</v>
          </cell>
          <cell r="AN10">
            <v>1</v>
          </cell>
          <cell r="AO10" t="str">
            <v>AUTOCAT</v>
          </cell>
          <cell r="AP10">
            <v>1</v>
          </cell>
          <cell r="AQ10" t="str">
            <v>AUTOCAT</v>
          </cell>
          <cell r="AR10">
            <v>1</v>
          </cell>
          <cell r="AS10" t="str">
            <v>INFO CGR</v>
          </cell>
          <cell r="AT10">
            <v>1</v>
          </cell>
          <cell r="AU10" t="str">
            <v>AUTOCAT</v>
          </cell>
          <cell r="AV10">
            <v>1</v>
          </cell>
          <cell r="AW10" t="str">
            <v>AUTOCAT</v>
          </cell>
          <cell r="AX10">
            <v>1</v>
          </cell>
          <cell r="AY10" t="str">
            <v>AUTOCAT</v>
          </cell>
          <cell r="AZ10">
            <v>1</v>
          </cell>
          <cell r="BA10" t="str">
            <v>AUTOCAT</v>
          </cell>
          <cell r="BB10">
            <v>1</v>
          </cell>
        </row>
        <row r="11">
          <cell r="B11">
            <v>13</v>
          </cell>
          <cell r="C11" t="str">
            <v>BOLIVAR</v>
          </cell>
          <cell r="D11">
            <v>2</v>
          </cell>
          <cell r="E11" t="str">
            <v>CGN</v>
          </cell>
          <cell r="F11">
            <v>1</v>
          </cell>
          <cell r="G11" t="str">
            <v>AUTOCAT</v>
          </cell>
          <cell r="H11">
            <v>1</v>
          </cell>
          <cell r="I11" t="str">
            <v>CGN</v>
          </cell>
          <cell r="J11">
            <v>1</v>
          </cell>
          <cell r="K11" t="str">
            <v>CGN</v>
          </cell>
          <cell r="L11">
            <v>2</v>
          </cell>
          <cell r="M11" t="str">
            <v>CGN</v>
          </cell>
          <cell r="N11">
            <v>2</v>
          </cell>
          <cell r="O11" t="str">
            <v>CGR</v>
          </cell>
          <cell r="P11">
            <v>2</v>
          </cell>
          <cell r="Q11" t="str">
            <v>CGN</v>
          </cell>
          <cell r="R11">
            <v>1</v>
          </cell>
          <cell r="S11" t="str">
            <v>INF CGR</v>
          </cell>
          <cell r="T11">
            <v>1</v>
          </cell>
          <cell r="U11" t="str">
            <v>INF CGR</v>
          </cell>
          <cell r="V11">
            <v>2</v>
          </cell>
          <cell r="W11" t="str">
            <v>INF CGR</v>
          </cell>
          <cell r="X11">
            <v>2</v>
          </cell>
          <cell r="Y11" t="str">
            <v>INF CGR</v>
          </cell>
          <cell r="Z11">
            <v>1</v>
          </cell>
          <cell r="AA11" t="str">
            <v>INF CGR</v>
          </cell>
          <cell r="AB11">
            <v>1</v>
          </cell>
          <cell r="AC11" t="str">
            <v>INF CGR</v>
          </cell>
          <cell r="AD11">
            <v>2</v>
          </cell>
          <cell r="AE11" t="str">
            <v>AUTOCAT</v>
          </cell>
          <cell r="AG11" t="str">
            <v>AUTO CATEGORIZADA</v>
          </cell>
          <cell r="AH11" t="str">
            <v>DECRETO</v>
          </cell>
          <cell r="AI11" t="str">
            <v>251</v>
          </cell>
          <cell r="AJ11">
            <v>42304</v>
          </cell>
          <cell r="AK11">
            <v>2</v>
          </cell>
          <cell r="AL11">
            <v>1</v>
          </cell>
          <cell r="AM11" t="str">
            <v>HISTORICO CGN</v>
          </cell>
          <cell r="AN11">
            <v>1</v>
          </cell>
          <cell r="AO11" t="str">
            <v>INFO CGR</v>
          </cell>
          <cell r="AP11">
            <v>1</v>
          </cell>
          <cell r="AQ11" t="str">
            <v>INFO CGR</v>
          </cell>
          <cell r="AR11">
            <v>1</v>
          </cell>
          <cell r="AS11" t="str">
            <v>INFO CGR</v>
          </cell>
          <cell r="AT11">
            <v>1</v>
          </cell>
          <cell r="AU11" t="str">
            <v>INFO CGR</v>
          </cell>
          <cell r="AV11">
            <v>1</v>
          </cell>
          <cell r="AW11" t="str">
            <v>INFO CGR</v>
          </cell>
          <cell r="AX11">
            <v>1</v>
          </cell>
          <cell r="AY11" t="str">
            <v>INFO CGR</v>
          </cell>
          <cell r="AZ11">
            <v>1</v>
          </cell>
          <cell r="BA11" t="str">
            <v>INFO CGR</v>
          </cell>
          <cell r="BB11">
            <v>1</v>
          </cell>
        </row>
        <row r="12">
          <cell r="B12">
            <v>15</v>
          </cell>
          <cell r="C12" t="str">
            <v>BOYACA</v>
          </cell>
          <cell r="D12" t="str">
            <v>SIN</v>
          </cell>
          <cell r="E12"/>
          <cell r="F12">
            <v>1</v>
          </cell>
          <cell r="G12" t="str">
            <v>AUTOCAT</v>
          </cell>
          <cell r="H12">
            <v>1</v>
          </cell>
          <cell r="I12" t="str">
            <v>AUTOCAT</v>
          </cell>
          <cell r="J12">
            <v>1</v>
          </cell>
          <cell r="K12" t="str">
            <v>AUTOCAT</v>
          </cell>
          <cell r="L12">
            <v>1</v>
          </cell>
          <cell r="M12" t="str">
            <v>AUTOCAT</v>
          </cell>
          <cell r="N12">
            <v>1</v>
          </cell>
          <cell r="O12" t="str">
            <v>CGR</v>
          </cell>
          <cell r="P12">
            <v>1</v>
          </cell>
          <cell r="Q12" t="str">
            <v>AUTOCAT</v>
          </cell>
          <cell r="R12">
            <v>1</v>
          </cell>
          <cell r="S12" t="str">
            <v>AUTOCAT</v>
          </cell>
          <cell r="T12">
            <v>1</v>
          </cell>
          <cell r="U12" t="str">
            <v>AUTOCAT</v>
          </cell>
          <cell r="V12">
            <v>1</v>
          </cell>
          <cell r="W12" t="str">
            <v>AUTOCAT</v>
          </cell>
          <cell r="X12">
            <v>1</v>
          </cell>
          <cell r="Y12" t="str">
            <v>AUTOCAT</v>
          </cell>
          <cell r="Z12">
            <v>1</v>
          </cell>
          <cell r="AA12" t="str">
            <v>AUTOCAT</v>
          </cell>
          <cell r="AB12">
            <v>1</v>
          </cell>
          <cell r="AC12" t="str">
            <v>SIN</v>
          </cell>
          <cell r="AD12">
            <v>1</v>
          </cell>
          <cell r="AE12" t="str">
            <v>AUTOCAT</v>
          </cell>
          <cell r="AG12" t="str">
            <v>AUTO CATEGORIZADA</v>
          </cell>
          <cell r="AH12" t="str">
            <v>DECRETO</v>
          </cell>
          <cell r="AI12" t="str">
            <v>1030</v>
          </cell>
          <cell r="AJ12">
            <v>42300</v>
          </cell>
          <cell r="AK12">
            <v>1</v>
          </cell>
          <cell r="AL12">
            <v>1</v>
          </cell>
          <cell r="AM12" t="str">
            <v>INFO CGR</v>
          </cell>
          <cell r="AN12">
            <v>1</v>
          </cell>
          <cell r="AO12" t="str">
            <v>AUTOCAT</v>
          </cell>
          <cell r="AP12">
            <v>1</v>
          </cell>
          <cell r="AQ12" t="str">
            <v>AUTOCAT</v>
          </cell>
          <cell r="AR12">
            <v>1</v>
          </cell>
          <cell r="AS12" t="str">
            <v>AUTOCAT</v>
          </cell>
          <cell r="AT12">
            <v>1</v>
          </cell>
          <cell r="AU12" t="str">
            <v>INFO CGR</v>
          </cell>
          <cell r="AV12">
            <v>1</v>
          </cell>
          <cell r="AW12" t="str">
            <v>INFO CGR</v>
          </cell>
          <cell r="AX12">
            <v>1</v>
          </cell>
          <cell r="AY12" t="str">
            <v>INFO CGR</v>
          </cell>
          <cell r="AZ12">
            <v>1</v>
          </cell>
          <cell r="BA12" t="str">
            <v>INFO CGR</v>
          </cell>
          <cell r="BB12">
            <v>1</v>
          </cell>
        </row>
        <row r="13">
          <cell r="B13">
            <v>17</v>
          </cell>
          <cell r="C13" t="str">
            <v>CALDAS</v>
          </cell>
          <cell r="D13" t="str">
            <v>SIN</v>
          </cell>
          <cell r="E13"/>
          <cell r="F13">
            <v>2</v>
          </cell>
          <cell r="G13" t="str">
            <v>AUTOCAT</v>
          </cell>
          <cell r="H13">
            <v>2</v>
          </cell>
          <cell r="I13" t="str">
            <v>AUTOCAT</v>
          </cell>
          <cell r="J13">
            <v>2</v>
          </cell>
          <cell r="K13" t="str">
            <v>AUTOCAT</v>
          </cell>
          <cell r="L13">
            <v>2</v>
          </cell>
          <cell r="M13" t="str">
            <v>AUTOCAT</v>
          </cell>
          <cell r="N13">
            <v>2</v>
          </cell>
          <cell r="O13" t="str">
            <v>CGR</v>
          </cell>
          <cell r="P13">
            <v>2</v>
          </cell>
          <cell r="Q13" t="str">
            <v>AUTOCAT</v>
          </cell>
          <cell r="R13">
            <v>2</v>
          </cell>
          <cell r="S13" t="str">
            <v>AUTOCAT</v>
          </cell>
          <cell r="T13">
            <v>2</v>
          </cell>
          <cell r="U13" t="str">
            <v>AUTOCAT</v>
          </cell>
          <cell r="V13">
            <v>2</v>
          </cell>
          <cell r="W13" t="str">
            <v>AUTOCAT</v>
          </cell>
          <cell r="X13">
            <v>2</v>
          </cell>
          <cell r="Y13" t="str">
            <v>AUTOCAT</v>
          </cell>
          <cell r="Z13">
            <v>2</v>
          </cell>
          <cell r="AA13" t="str">
            <v>AUTOCAT</v>
          </cell>
          <cell r="AB13">
            <v>2</v>
          </cell>
          <cell r="AC13" t="str">
            <v>AUTOCAT</v>
          </cell>
          <cell r="AD13">
            <v>2</v>
          </cell>
          <cell r="AE13" t="str">
            <v>INF CGR</v>
          </cell>
          <cell r="AG13" t="str">
            <v>INF CGR</v>
          </cell>
          <cell r="AH13">
            <v>0</v>
          </cell>
          <cell r="AI13"/>
          <cell r="AJ13"/>
          <cell r="AK13"/>
          <cell r="AL13">
            <v>2</v>
          </cell>
          <cell r="AM13" t="str">
            <v>INFO CGR</v>
          </cell>
          <cell r="AN13">
            <v>2</v>
          </cell>
          <cell r="AO13" t="str">
            <v>INFO CGR</v>
          </cell>
          <cell r="AP13">
            <v>2</v>
          </cell>
          <cell r="AQ13" t="str">
            <v>INFO CGR</v>
          </cell>
          <cell r="AR13">
            <v>2</v>
          </cell>
          <cell r="AS13" t="str">
            <v>INFO CGR</v>
          </cell>
          <cell r="AT13">
            <v>2</v>
          </cell>
          <cell r="AU13" t="str">
            <v>INFO CGR</v>
          </cell>
          <cell r="AV13">
            <v>3</v>
          </cell>
          <cell r="AW13" t="str">
            <v>INFO CGR</v>
          </cell>
          <cell r="AX13">
            <v>2</v>
          </cell>
          <cell r="AY13" t="str">
            <v>INFO CGR</v>
          </cell>
          <cell r="AZ13">
            <v>2</v>
          </cell>
          <cell r="BA13" t="str">
            <v>INFO CGR</v>
          </cell>
          <cell r="BB13">
            <v>2</v>
          </cell>
        </row>
        <row r="14">
          <cell r="B14">
            <v>18</v>
          </cell>
          <cell r="C14" t="str">
            <v>CAQUETA</v>
          </cell>
          <cell r="D14" t="str">
            <v>SIN</v>
          </cell>
          <cell r="E14"/>
          <cell r="F14">
            <v>4</v>
          </cell>
          <cell r="G14" t="str">
            <v>AUTOCAT</v>
          </cell>
          <cell r="H14">
            <v>4</v>
          </cell>
          <cell r="I14" t="str">
            <v>AUTOCAT</v>
          </cell>
          <cell r="J14">
            <v>4</v>
          </cell>
          <cell r="K14" t="str">
            <v>AUTOCAT</v>
          </cell>
          <cell r="L14">
            <v>4</v>
          </cell>
          <cell r="M14" t="str">
            <v>AUTOCAT</v>
          </cell>
          <cell r="N14">
            <v>4</v>
          </cell>
          <cell r="O14" t="str">
            <v>CGR</v>
          </cell>
          <cell r="P14">
            <v>4</v>
          </cell>
          <cell r="Q14" t="str">
            <v>AUTOCAT</v>
          </cell>
          <cell r="R14">
            <v>4</v>
          </cell>
          <cell r="S14" t="str">
            <v>AUTOCAT</v>
          </cell>
          <cell r="T14">
            <v>4</v>
          </cell>
          <cell r="U14" t="str">
            <v>AUTOCAT</v>
          </cell>
          <cell r="V14">
            <v>4</v>
          </cell>
          <cell r="W14" t="str">
            <v>AUTOCAT</v>
          </cell>
          <cell r="X14">
            <v>4</v>
          </cell>
          <cell r="Y14" t="str">
            <v>AUTOCAT</v>
          </cell>
          <cell r="Z14">
            <v>4</v>
          </cell>
          <cell r="AA14" t="str">
            <v>INF CGR</v>
          </cell>
          <cell r="AB14">
            <v>4</v>
          </cell>
          <cell r="AC14" t="str">
            <v>AUTOCAT</v>
          </cell>
          <cell r="AD14">
            <v>4</v>
          </cell>
          <cell r="AE14" t="str">
            <v>AUTOCAT</v>
          </cell>
          <cell r="AG14" t="str">
            <v>AUTO CATEGORIZADA</v>
          </cell>
          <cell r="AH14" t="str">
            <v>DECRETO</v>
          </cell>
          <cell r="AI14" t="str">
            <v>001669</v>
          </cell>
          <cell r="AJ14">
            <v>42304</v>
          </cell>
          <cell r="AK14">
            <v>4</v>
          </cell>
          <cell r="AL14">
            <v>4</v>
          </cell>
          <cell r="AM14" t="str">
            <v>INFO CGR</v>
          </cell>
          <cell r="AN14">
            <v>4</v>
          </cell>
          <cell r="AO14" t="str">
            <v>AUTOCAT</v>
          </cell>
          <cell r="AP14">
            <v>4</v>
          </cell>
          <cell r="AQ14" t="str">
            <v>AUTOCAT</v>
          </cell>
          <cell r="AR14">
            <v>4</v>
          </cell>
          <cell r="AS14" t="str">
            <v>AUTOCAT</v>
          </cell>
          <cell r="AT14">
            <v>4</v>
          </cell>
          <cell r="AU14" t="str">
            <v>INFO CGR</v>
          </cell>
          <cell r="AV14">
            <v>4</v>
          </cell>
          <cell r="AW14" t="str">
            <v>INFO CGR</v>
          </cell>
          <cell r="AX14">
            <v>4</v>
          </cell>
          <cell r="AY14" t="str">
            <v>AUTOCAT</v>
          </cell>
          <cell r="AZ14">
            <v>4</v>
          </cell>
          <cell r="BA14" t="str">
            <v>AUTOCAT</v>
          </cell>
          <cell r="BB14">
            <v>4</v>
          </cell>
        </row>
        <row r="15">
          <cell r="B15">
            <v>19</v>
          </cell>
          <cell r="C15" t="str">
            <v>CAUCA</v>
          </cell>
          <cell r="D15">
            <v>3</v>
          </cell>
          <cell r="E15" t="str">
            <v>AUTOCAT</v>
          </cell>
          <cell r="F15">
            <v>3</v>
          </cell>
          <cell r="G15" t="str">
            <v>AUTOCAT</v>
          </cell>
          <cell r="H15">
            <v>3</v>
          </cell>
          <cell r="I15" t="str">
            <v>CGN</v>
          </cell>
          <cell r="J15">
            <v>3</v>
          </cell>
          <cell r="K15" t="str">
            <v>AUTOCAT</v>
          </cell>
          <cell r="L15">
            <v>3</v>
          </cell>
          <cell r="M15" t="str">
            <v>AUTOCAT</v>
          </cell>
          <cell r="N15">
            <v>3</v>
          </cell>
          <cell r="O15" t="str">
            <v>AUTOCAT</v>
          </cell>
          <cell r="P15">
            <v>3</v>
          </cell>
          <cell r="Q15" t="str">
            <v>AUTOCAT</v>
          </cell>
          <cell r="R15">
            <v>3</v>
          </cell>
          <cell r="S15" t="str">
            <v>INF CGR</v>
          </cell>
          <cell r="T15">
            <v>3</v>
          </cell>
          <cell r="U15" t="str">
            <v>AUTOCAT</v>
          </cell>
          <cell r="V15">
            <v>3</v>
          </cell>
          <cell r="W15" t="str">
            <v>AUTOCAT</v>
          </cell>
          <cell r="X15">
            <v>3</v>
          </cell>
          <cell r="Y15" t="str">
            <v>AUTOCAT</v>
          </cell>
          <cell r="Z15">
            <v>3</v>
          </cell>
          <cell r="AA15" t="str">
            <v>AUTOCAT</v>
          </cell>
          <cell r="AB15">
            <v>3</v>
          </cell>
          <cell r="AC15" t="str">
            <v>AUTOCAT</v>
          </cell>
          <cell r="AD15">
            <v>3</v>
          </cell>
          <cell r="AE15" t="str">
            <v>INF CGR</v>
          </cell>
          <cell r="AG15" t="str">
            <v>INF CGR</v>
          </cell>
          <cell r="AH15">
            <v>0</v>
          </cell>
          <cell r="AI15"/>
          <cell r="AJ15"/>
          <cell r="AK15"/>
          <cell r="AL15">
            <v>3</v>
          </cell>
          <cell r="AM15" t="str">
            <v>AUTOCAT</v>
          </cell>
          <cell r="AN15">
            <v>3</v>
          </cell>
          <cell r="AO15" t="str">
            <v>AUTOCAT</v>
          </cell>
          <cell r="AP15">
            <v>3</v>
          </cell>
          <cell r="AQ15" t="str">
            <v>AUTOCAT</v>
          </cell>
          <cell r="AR15">
            <v>3</v>
          </cell>
          <cell r="AS15" t="str">
            <v>INFO CGR</v>
          </cell>
          <cell r="AT15">
            <v>3</v>
          </cell>
          <cell r="AU15" t="str">
            <v>AUTOCAT</v>
          </cell>
          <cell r="AV15">
            <v>3</v>
          </cell>
          <cell r="AW15" t="str">
            <v>AUTOCAT</v>
          </cell>
          <cell r="AX15">
            <v>2</v>
          </cell>
          <cell r="AY15" t="str">
            <v>INFO CGR</v>
          </cell>
          <cell r="AZ15">
            <v>3</v>
          </cell>
          <cell r="BA15" t="str">
            <v>AUTOCAT</v>
          </cell>
          <cell r="BB15">
            <v>3</v>
          </cell>
        </row>
        <row r="16">
          <cell r="B16">
            <v>20</v>
          </cell>
          <cell r="C16" t="str">
            <v>CESAR</v>
          </cell>
          <cell r="D16">
            <v>3</v>
          </cell>
          <cell r="E16" t="str">
            <v>CGN</v>
          </cell>
          <cell r="F16">
            <v>3</v>
          </cell>
          <cell r="G16" t="str">
            <v>CGN</v>
          </cell>
          <cell r="H16">
            <v>3</v>
          </cell>
          <cell r="I16" t="str">
            <v>CGN</v>
          </cell>
          <cell r="J16">
            <v>3</v>
          </cell>
          <cell r="K16" t="str">
            <v>CGN</v>
          </cell>
          <cell r="L16">
            <v>3</v>
          </cell>
          <cell r="M16" t="str">
            <v>CGN</v>
          </cell>
          <cell r="N16">
            <v>3</v>
          </cell>
          <cell r="O16" t="str">
            <v>CGR</v>
          </cell>
          <cell r="P16">
            <v>3</v>
          </cell>
          <cell r="Q16" t="str">
            <v>CGN</v>
          </cell>
          <cell r="R16">
            <v>3</v>
          </cell>
          <cell r="S16" t="str">
            <v>INF CGR</v>
          </cell>
          <cell r="T16">
            <v>3</v>
          </cell>
          <cell r="U16" t="str">
            <v>AUTOCAT</v>
          </cell>
          <cell r="V16">
            <v>3</v>
          </cell>
          <cell r="W16" t="str">
            <v>AUTOCAT</v>
          </cell>
          <cell r="X16">
            <v>3</v>
          </cell>
          <cell r="Y16" t="str">
            <v>AUTOCAT</v>
          </cell>
          <cell r="Z16">
            <v>2</v>
          </cell>
          <cell r="AA16" t="str">
            <v>INF CGR</v>
          </cell>
          <cell r="AB16">
            <v>3</v>
          </cell>
          <cell r="AC16" t="str">
            <v>INF CGR</v>
          </cell>
          <cell r="AD16">
            <v>2</v>
          </cell>
          <cell r="AE16" t="str">
            <v>AUTOCAT</v>
          </cell>
          <cell r="AG16" t="str">
            <v>AUTO CATEGORIZADA</v>
          </cell>
          <cell r="AH16" t="str">
            <v>DECRETO</v>
          </cell>
          <cell r="AI16" t="str">
            <v>000138</v>
          </cell>
          <cell r="AJ16">
            <v>42243</v>
          </cell>
          <cell r="AK16">
            <v>2</v>
          </cell>
          <cell r="AL16">
            <v>2</v>
          </cell>
          <cell r="AM16" t="str">
            <v>AUTOCAT</v>
          </cell>
          <cell r="AN16">
            <v>2</v>
          </cell>
          <cell r="AO16" t="str">
            <v>INFO CGR</v>
          </cell>
          <cell r="AP16">
            <v>2</v>
          </cell>
          <cell r="AQ16" t="str">
            <v>AUTOCAT</v>
          </cell>
          <cell r="AR16">
            <v>2</v>
          </cell>
          <cell r="AS16" t="str">
            <v>INFO CGR</v>
          </cell>
          <cell r="AT16">
            <v>3</v>
          </cell>
          <cell r="AU16" t="str">
            <v>INFO CGR</v>
          </cell>
          <cell r="AV16">
            <v>2</v>
          </cell>
          <cell r="AW16" t="str">
            <v>INFO CGR</v>
          </cell>
          <cell r="AX16">
            <v>2</v>
          </cell>
          <cell r="AY16" t="str">
            <v>INFO CGR</v>
          </cell>
          <cell r="AZ16">
            <v>2</v>
          </cell>
          <cell r="BA16" t="str">
            <v>INFO CGR</v>
          </cell>
          <cell r="BB16">
            <v>2</v>
          </cell>
        </row>
        <row r="17">
          <cell r="B17">
            <v>23</v>
          </cell>
          <cell r="C17" t="str">
            <v>CORDOBA</v>
          </cell>
          <cell r="D17">
            <v>2</v>
          </cell>
          <cell r="E17" t="str">
            <v>CGN</v>
          </cell>
          <cell r="F17">
            <v>2</v>
          </cell>
          <cell r="G17" t="str">
            <v>AUTOCAT</v>
          </cell>
          <cell r="H17">
            <v>2</v>
          </cell>
          <cell r="I17" t="str">
            <v>AUTOCAT</v>
          </cell>
          <cell r="J17">
            <v>2</v>
          </cell>
          <cell r="K17" t="str">
            <v>AUTOCAT</v>
          </cell>
          <cell r="L17">
            <v>2</v>
          </cell>
          <cell r="M17" t="str">
            <v>AUTOCAT</v>
          </cell>
          <cell r="N17">
            <v>2</v>
          </cell>
          <cell r="O17" t="str">
            <v>AUTOCAT</v>
          </cell>
          <cell r="P17">
            <v>2</v>
          </cell>
          <cell r="Q17" t="str">
            <v>AUTOCAT</v>
          </cell>
          <cell r="R17">
            <v>2</v>
          </cell>
          <cell r="S17" t="str">
            <v>AUTOCAT</v>
          </cell>
          <cell r="T17">
            <v>2</v>
          </cell>
          <cell r="U17" t="str">
            <v>AUTOCAT</v>
          </cell>
          <cell r="V17">
            <v>2</v>
          </cell>
          <cell r="W17" t="str">
            <v>INF CGR</v>
          </cell>
          <cell r="X17">
            <v>2</v>
          </cell>
          <cell r="Y17" t="str">
            <v>AUTOCAT</v>
          </cell>
          <cell r="Z17">
            <v>2</v>
          </cell>
          <cell r="AA17" t="str">
            <v>INF CGR</v>
          </cell>
          <cell r="AB17">
            <v>2</v>
          </cell>
          <cell r="AC17" t="str">
            <v>AUTOCAT</v>
          </cell>
          <cell r="AD17">
            <v>2</v>
          </cell>
          <cell r="AE17" t="str">
            <v>INF CGR</v>
          </cell>
          <cell r="AG17" t="str">
            <v>INF CGR</v>
          </cell>
          <cell r="AH17">
            <v>0</v>
          </cell>
          <cell r="AI17"/>
          <cell r="AJ17"/>
          <cell r="AK17"/>
          <cell r="AL17">
            <v>1</v>
          </cell>
          <cell r="AM17" t="str">
            <v>INFO CGR</v>
          </cell>
          <cell r="AN17">
            <v>2</v>
          </cell>
          <cell r="AO17" t="str">
            <v>HISTORICO CGN</v>
          </cell>
          <cell r="AP17">
            <v>1</v>
          </cell>
          <cell r="AQ17" t="str">
            <v>INFO CGR</v>
          </cell>
          <cell r="AR17">
            <v>2</v>
          </cell>
          <cell r="AS17" t="str">
            <v>AUTOCAT</v>
          </cell>
          <cell r="AT17">
            <v>2</v>
          </cell>
          <cell r="AU17" t="str">
            <v>INFO CGR</v>
          </cell>
          <cell r="AV17">
            <v>2</v>
          </cell>
          <cell r="AW17" t="str">
            <v>INFO CGR</v>
          </cell>
          <cell r="AX17">
            <v>1</v>
          </cell>
          <cell r="AY17" t="str">
            <v>INFO CGR</v>
          </cell>
          <cell r="AZ17">
            <v>1</v>
          </cell>
          <cell r="BA17" t="str">
            <v>INFO CGR</v>
          </cell>
          <cell r="BB17">
            <v>1</v>
          </cell>
        </row>
        <row r="18">
          <cell r="B18">
            <v>25</v>
          </cell>
          <cell r="C18" t="str">
            <v>CUNDINAMARCA</v>
          </cell>
          <cell r="D18" t="str">
            <v>ESP</v>
          </cell>
          <cell r="E18" t="str">
            <v>CGN</v>
          </cell>
          <cell r="F18" t="str">
            <v>ESP</v>
          </cell>
          <cell r="G18" t="str">
            <v>CGN</v>
          </cell>
          <cell r="H18" t="str">
            <v>ESP</v>
          </cell>
          <cell r="I18" t="str">
            <v>CGN</v>
          </cell>
          <cell r="J18" t="str">
            <v>ESP</v>
          </cell>
          <cell r="K18" t="str">
            <v>CGN</v>
          </cell>
          <cell r="L18" t="str">
            <v>ESP</v>
          </cell>
          <cell r="M18" t="str">
            <v>CGN</v>
          </cell>
          <cell r="N18" t="str">
            <v>ESP</v>
          </cell>
          <cell r="O18" t="str">
            <v>AUTOCAT</v>
          </cell>
          <cell r="P18" t="str">
            <v>ESP</v>
          </cell>
          <cell r="Q18" t="str">
            <v>CGN</v>
          </cell>
          <cell r="R18" t="str">
            <v>ESP</v>
          </cell>
          <cell r="S18" t="str">
            <v>INF CGR</v>
          </cell>
          <cell r="T18" t="str">
            <v>ESP</v>
          </cell>
          <cell r="U18" t="str">
            <v>INF CGR</v>
          </cell>
          <cell r="V18" t="str">
            <v>ESP</v>
          </cell>
          <cell r="W18" t="str">
            <v>AUTOCAT</v>
          </cell>
          <cell r="X18" t="str">
            <v>ESP</v>
          </cell>
          <cell r="Y18" t="str">
            <v>INF CGR</v>
          </cell>
          <cell r="Z18" t="str">
            <v>ESP</v>
          </cell>
          <cell r="AA18" t="str">
            <v>INF CGR</v>
          </cell>
          <cell r="AB18" t="str">
            <v>ESP</v>
          </cell>
          <cell r="AC18" t="str">
            <v>INF CGR</v>
          </cell>
          <cell r="AD18" t="str">
            <v>ESP</v>
          </cell>
          <cell r="AE18" t="str">
            <v>HISTORICO CGN</v>
          </cell>
          <cell r="AG18" t="str">
            <v>HISTORICO CGN</v>
          </cell>
          <cell r="AH18"/>
          <cell r="AI18"/>
          <cell r="AJ18"/>
          <cell r="AK18"/>
          <cell r="AL18" t="str">
            <v>ESP</v>
          </cell>
          <cell r="AM18" t="str">
            <v>INFO CGR</v>
          </cell>
          <cell r="AN18" t="str">
            <v>ESP</v>
          </cell>
          <cell r="AO18" t="str">
            <v>AUTOCAT</v>
          </cell>
          <cell r="AP18" t="str">
            <v>ESP</v>
          </cell>
          <cell r="AQ18" t="str">
            <v>INFO CGR</v>
          </cell>
          <cell r="AR18" t="str">
            <v>ESP</v>
          </cell>
          <cell r="AS18" t="str">
            <v>INFO CGR</v>
          </cell>
          <cell r="AT18" t="str">
            <v>ESP</v>
          </cell>
          <cell r="AU18" t="str">
            <v>INFO CGR</v>
          </cell>
          <cell r="AV18" t="str">
            <v>ESP</v>
          </cell>
          <cell r="AW18" t="str">
            <v>INFO CGR</v>
          </cell>
          <cell r="AX18" t="str">
            <v>ESP</v>
          </cell>
          <cell r="AY18" t="str">
            <v>AUTOCAT</v>
          </cell>
          <cell r="AZ18" t="str">
            <v>ESP</v>
          </cell>
          <cell r="BA18" t="str">
            <v>AUTOCAT</v>
          </cell>
          <cell r="BB18" t="str">
            <v>ESP</v>
          </cell>
        </row>
        <row r="19">
          <cell r="B19">
            <v>27</v>
          </cell>
          <cell r="C19" t="str">
            <v>CHOCO</v>
          </cell>
          <cell r="D19">
            <v>4</v>
          </cell>
          <cell r="E19" t="str">
            <v>CGN</v>
          </cell>
          <cell r="F19">
            <v>4</v>
          </cell>
          <cell r="G19" t="str">
            <v>CGN</v>
          </cell>
          <cell r="H19">
            <v>4</v>
          </cell>
          <cell r="I19" t="str">
            <v>AUTOCAT</v>
          </cell>
          <cell r="J19">
            <v>4</v>
          </cell>
          <cell r="K19" t="str">
            <v>CGN</v>
          </cell>
          <cell r="L19">
            <v>4</v>
          </cell>
          <cell r="M19" t="str">
            <v>CGN</v>
          </cell>
          <cell r="N19">
            <v>4</v>
          </cell>
          <cell r="O19" t="str">
            <v>CGN</v>
          </cell>
          <cell r="P19">
            <v>4</v>
          </cell>
          <cell r="Q19" t="str">
            <v>CGN</v>
          </cell>
          <cell r="R19">
            <v>4</v>
          </cell>
          <cell r="S19" t="str">
            <v>INF CGR</v>
          </cell>
          <cell r="T19">
            <v>4</v>
          </cell>
          <cell r="U19" t="str">
            <v>AUTOCAT</v>
          </cell>
          <cell r="V19">
            <v>4</v>
          </cell>
          <cell r="W19" t="str">
            <v>AUTOCAT</v>
          </cell>
          <cell r="X19">
            <v>4</v>
          </cell>
          <cell r="Y19" t="str">
            <v>INF CGR</v>
          </cell>
          <cell r="Z19">
            <v>4</v>
          </cell>
          <cell r="AA19" t="str">
            <v>AUTOCAT</v>
          </cell>
          <cell r="AB19">
            <v>4</v>
          </cell>
          <cell r="AC19" t="str">
            <v>SIN</v>
          </cell>
          <cell r="AD19">
            <v>4</v>
          </cell>
          <cell r="AE19" t="str">
            <v>INF CGR</v>
          </cell>
          <cell r="AG19" t="str">
            <v>INF CGR</v>
          </cell>
          <cell r="AH19"/>
          <cell r="AI19"/>
          <cell r="AJ19"/>
          <cell r="AK19"/>
          <cell r="AL19">
            <v>4</v>
          </cell>
          <cell r="AM19" t="str">
            <v>INFO CGR</v>
          </cell>
          <cell r="AN19">
            <v>4</v>
          </cell>
          <cell r="AO19" t="str">
            <v>INFO CGR</v>
          </cell>
          <cell r="AP19">
            <v>4</v>
          </cell>
          <cell r="AQ19" t="str">
            <v>INFO CGR</v>
          </cell>
          <cell r="AR19">
            <v>4</v>
          </cell>
          <cell r="AS19" t="str">
            <v>INFO CGR</v>
          </cell>
          <cell r="AT19">
            <v>4</v>
          </cell>
          <cell r="AU19" t="str">
            <v>INFO CGR</v>
          </cell>
          <cell r="AV19">
            <v>4</v>
          </cell>
          <cell r="AW19" t="str">
            <v>INFO CGR</v>
          </cell>
          <cell r="AX19">
            <v>3</v>
          </cell>
          <cell r="AY19" t="str">
            <v>INFO CGR</v>
          </cell>
          <cell r="AZ19">
            <v>3</v>
          </cell>
          <cell r="BA19" t="str">
            <v>AUTOCAT</v>
          </cell>
          <cell r="BB19">
            <v>4</v>
          </cell>
        </row>
        <row r="20">
          <cell r="B20">
            <v>41</v>
          </cell>
          <cell r="C20" t="str">
            <v>HUILA</v>
          </cell>
          <cell r="D20">
            <v>2</v>
          </cell>
          <cell r="E20" t="str">
            <v>AUTOCAT</v>
          </cell>
          <cell r="F20">
            <v>3</v>
          </cell>
          <cell r="G20" t="str">
            <v>CGN</v>
          </cell>
          <cell r="H20">
            <v>3</v>
          </cell>
          <cell r="I20" t="str">
            <v>AUTOCAT</v>
          </cell>
          <cell r="J20">
            <v>3</v>
          </cell>
          <cell r="K20" t="str">
            <v>AUTOCAT</v>
          </cell>
          <cell r="L20">
            <v>2</v>
          </cell>
          <cell r="M20" t="str">
            <v>CGN</v>
          </cell>
          <cell r="N20">
            <v>3</v>
          </cell>
          <cell r="O20" t="str">
            <v>AUTOCAT</v>
          </cell>
          <cell r="P20">
            <v>3</v>
          </cell>
          <cell r="Q20" t="str">
            <v>AUTOCAT</v>
          </cell>
          <cell r="R20">
            <v>3</v>
          </cell>
          <cell r="S20" t="str">
            <v>AUTOCAT</v>
          </cell>
          <cell r="T20">
            <v>3</v>
          </cell>
          <cell r="U20" t="str">
            <v>AUTOCAT</v>
          </cell>
          <cell r="V20">
            <v>3</v>
          </cell>
          <cell r="W20" t="str">
            <v>AUTOCAT</v>
          </cell>
          <cell r="X20">
            <v>3</v>
          </cell>
          <cell r="Y20" t="str">
            <v>AUTOCAT</v>
          </cell>
          <cell r="Z20">
            <v>3</v>
          </cell>
          <cell r="AA20" t="str">
            <v>AUTOCAT</v>
          </cell>
          <cell r="AB20">
            <v>2</v>
          </cell>
          <cell r="AC20" t="str">
            <v>INF CGR</v>
          </cell>
          <cell r="AD20">
            <v>2</v>
          </cell>
          <cell r="AE20" t="str">
            <v>AUTOCAT</v>
          </cell>
          <cell r="AG20" t="str">
            <v>AUTO CATEGORIZADA</v>
          </cell>
          <cell r="AH20" t="str">
            <v>DECRETO</v>
          </cell>
          <cell r="AI20" t="str">
            <v>3065</v>
          </cell>
          <cell r="AJ20">
            <v>42235</v>
          </cell>
          <cell r="AK20">
            <v>2</v>
          </cell>
          <cell r="AL20">
            <v>2</v>
          </cell>
          <cell r="AM20" t="str">
            <v>AUTOCAT</v>
          </cell>
          <cell r="AN20">
            <v>2</v>
          </cell>
          <cell r="AO20" t="str">
            <v>AUTOCAT</v>
          </cell>
          <cell r="AP20">
            <v>2</v>
          </cell>
          <cell r="AQ20" t="str">
            <v>AUTOCAT</v>
          </cell>
          <cell r="AR20">
            <v>2</v>
          </cell>
          <cell r="AS20" t="str">
            <v>AUTOCAT</v>
          </cell>
          <cell r="AT20">
            <v>2</v>
          </cell>
          <cell r="AU20" t="str">
            <v>AUTOCAT</v>
          </cell>
          <cell r="AV20">
            <v>3</v>
          </cell>
          <cell r="AW20" t="str">
            <v>INFO CGR</v>
          </cell>
          <cell r="AX20">
            <v>2</v>
          </cell>
          <cell r="AY20" t="str">
            <v>AUTOCAT</v>
          </cell>
          <cell r="AZ20">
            <v>2</v>
          </cell>
          <cell r="BA20" t="str">
            <v>INFO CGR</v>
          </cell>
          <cell r="BB20">
            <v>2</v>
          </cell>
        </row>
        <row r="21">
          <cell r="B21">
            <v>44</v>
          </cell>
          <cell r="C21" t="str">
            <v>GUAJIRA</v>
          </cell>
          <cell r="D21">
            <v>3</v>
          </cell>
          <cell r="E21" t="str">
            <v>CGN</v>
          </cell>
          <cell r="F21">
            <v>4</v>
          </cell>
          <cell r="G21" t="str">
            <v>AUTOCAT</v>
          </cell>
          <cell r="H21">
            <v>4</v>
          </cell>
          <cell r="I21" t="str">
            <v>AUTOCAT</v>
          </cell>
          <cell r="J21">
            <v>4</v>
          </cell>
          <cell r="K21" t="str">
            <v>CGN</v>
          </cell>
          <cell r="L21">
            <v>4</v>
          </cell>
          <cell r="M21" t="str">
            <v>CGN</v>
          </cell>
          <cell r="N21">
            <v>4</v>
          </cell>
          <cell r="O21" t="str">
            <v>CGR</v>
          </cell>
          <cell r="P21">
            <v>4</v>
          </cell>
          <cell r="Q21" t="str">
            <v>CGN</v>
          </cell>
          <cell r="R21">
            <v>4</v>
          </cell>
          <cell r="S21" t="str">
            <v>INF CGR</v>
          </cell>
          <cell r="T21">
            <v>4</v>
          </cell>
          <cell r="U21" t="str">
            <v>INF CGR</v>
          </cell>
          <cell r="V21">
            <v>4</v>
          </cell>
          <cell r="W21" t="str">
            <v>INF CGR</v>
          </cell>
          <cell r="X21">
            <v>4</v>
          </cell>
          <cell r="Y21" t="str">
            <v>AUTOCAT</v>
          </cell>
          <cell r="Z21">
            <v>4</v>
          </cell>
          <cell r="AA21" t="str">
            <v>INF CGR</v>
          </cell>
          <cell r="AB21">
            <v>4</v>
          </cell>
          <cell r="AC21" t="str">
            <v>INF CGR</v>
          </cell>
          <cell r="AD21">
            <v>4</v>
          </cell>
          <cell r="AE21" t="str">
            <v>INF CGR</v>
          </cell>
          <cell r="AG21" t="str">
            <v>INF CGR</v>
          </cell>
          <cell r="AH21"/>
          <cell r="AI21"/>
          <cell r="AJ21"/>
          <cell r="AK21"/>
          <cell r="AL21">
            <v>4</v>
          </cell>
          <cell r="AM21" t="str">
            <v>INFO CGR</v>
          </cell>
          <cell r="AN21">
            <v>4</v>
          </cell>
          <cell r="AO21" t="str">
            <v>INFO CGR</v>
          </cell>
          <cell r="AP21">
            <v>4</v>
          </cell>
          <cell r="AQ21" t="str">
            <v>INFO CGR</v>
          </cell>
          <cell r="AR21">
            <v>4</v>
          </cell>
          <cell r="AS21" t="str">
            <v>INFO CGR</v>
          </cell>
          <cell r="AT21">
            <v>4</v>
          </cell>
          <cell r="AU21" t="str">
            <v>AUTOCAT</v>
          </cell>
          <cell r="AV21">
            <v>4</v>
          </cell>
          <cell r="AW21" t="str">
            <v>AUTOCAT</v>
          </cell>
          <cell r="AX21">
            <v>4</v>
          </cell>
          <cell r="AY21" t="str">
            <v>AUTOCAT</v>
          </cell>
          <cell r="AZ21">
            <v>4</v>
          </cell>
          <cell r="BA21" t="str">
            <v>AUTOCAT</v>
          </cell>
          <cell r="BB21">
            <v>4</v>
          </cell>
        </row>
        <row r="22">
          <cell r="B22">
            <v>47</v>
          </cell>
          <cell r="C22" t="str">
            <v>MAGDALENA</v>
          </cell>
          <cell r="D22">
            <v>4</v>
          </cell>
          <cell r="E22" t="str">
            <v>CGN</v>
          </cell>
          <cell r="F22">
            <v>3</v>
          </cell>
          <cell r="G22" t="str">
            <v>CGN</v>
          </cell>
          <cell r="H22">
            <v>3</v>
          </cell>
          <cell r="I22" t="str">
            <v>AUTOCAT</v>
          </cell>
          <cell r="J22">
            <v>3</v>
          </cell>
          <cell r="K22" t="str">
            <v>AUTOCAT</v>
          </cell>
          <cell r="L22">
            <v>3</v>
          </cell>
          <cell r="M22" t="str">
            <v>CGN</v>
          </cell>
          <cell r="N22">
            <v>3</v>
          </cell>
          <cell r="O22" t="str">
            <v>CGR</v>
          </cell>
          <cell r="P22">
            <v>4</v>
          </cell>
          <cell r="Q22" t="str">
            <v>CGN</v>
          </cell>
          <cell r="R22">
            <v>4</v>
          </cell>
          <cell r="S22" t="str">
            <v>INF CGR</v>
          </cell>
          <cell r="T22">
            <v>3</v>
          </cell>
          <cell r="U22" t="str">
            <v>INF CGR</v>
          </cell>
          <cell r="V22">
            <v>3</v>
          </cell>
          <cell r="W22" t="str">
            <v>INF CGR</v>
          </cell>
          <cell r="X22">
            <v>4</v>
          </cell>
          <cell r="Y22" t="str">
            <v>INF CGR</v>
          </cell>
          <cell r="Z22">
            <v>3</v>
          </cell>
          <cell r="AA22" t="str">
            <v>INF CGR</v>
          </cell>
          <cell r="AB22">
            <v>3</v>
          </cell>
          <cell r="AC22" t="str">
            <v>INF CGR</v>
          </cell>
          <cell r="AD22">
            <v>2</v>
          </cell>
          <cell r="AE22" t="str">
            <v>INF CGR</v>
          </cell>
          <cell r="AG22" t="str">
            <v>INF CGR</v>
          </cell>
          <cell r="AH22"/>
          <cell r="AI22"/>
          <cell r="AJ22"/>
          <cell r="AK22"/>
          <cell r="AL22">
            <v>2</v>
          </cell>
          <cell r="AM22" t="str">
            <v>INFO CGR</v>
          </cell>
          <cell r="AN22">
            <v>2</v>
          </cell>
          <cell r="AO22" t="str">
            <v>AUTOCAT</v>
          </cell>
          <cell r="AP22">
            <v>2</v>
          </cell>
          <cell r="AQ22" t="str">
            <v>INFO CGR</v>
          </cell>
          <cell r="AR22">
            <v>2</v>
          </cell>
          <cell r="AS22" t="str">
            <v>INFO CGR</v>
          </cell>
          <cell r="AT22">
            <v>2</v>
          </cell>
          <cell r="AU22" t="str">
            <v>AUTOCAT</v>
          </cell>
          <cell r="AV22">
            <v>3</v>
          </cell>
          <cell r="AW22" t="str">
            <v>INFO CGR</v>
          </cell>
          <cell r="AX22">
            <v>2</v>
          </cell>
          <cell r="AY22" t="str">
            <v>INFO CGR</v>
          </cell>
          <cell r="AZ22">
            <v>2</v>
          </cell>
          <cell r="BA22" t="str">
            <v>INFO CGR</v>
          </cell>
          <cell r="BB22">
            <v>2</v>
          </cell>
        </row>
        <row r="23">
          <cell r="B23">
            <v>50</v>
          </cell>
          <cell r="C23" t="str">
            <v>META</v>
          </cell>
          <cell r="D23">
            <v>2</v>
          </cell>
          <cell r="E23" t="str">
            <v>CGN</v>
          </cell>
          <cell r="F23">
            <v>2</v>
          </cell>
          <cell r="G23" t="str">
            <v>CGN</v>
          </cell>
          <cell r="H23">
            <v>2</v>
          </cell>
          <cell r="I23" t="str">
            <v>AUTOCAT</v>
          </cell>
          <cell r="J23">
            <v>2</v>
          </cell>
          <cell r="K23" t="str">
            <v>AUTOCAT</v>
          </cell>
          <cell r="L23">
            <v>2</v>
          </cell>
          <cell r="M23" t="str">
            <v>AUTOCAT</v>
          </cell>
          <cell r="N23">
            <v>2</v>
          </cell>
          <cell r="O23" t="str">
            <v>CGR</v>
          </cell>
          <cell r="P23">
            <v>1</v>
          </cell>
          <cell r="Q23" t="str">
            <v>AUTOCAT</v>
          </cell>
          <cell r="R23">
            <v>2</v>
          </cell>
          <cell r="S23" t="str">
            <v>AUTOCAT</v>
          </cell>
          <cell r="T23">
            <v>2</v>
          </cell>
          <cell r="U23" t="str">
            <v>AUTOCAT</v>
          </cell>
          <cell r="V23">
            <v>2</v>
          </cell>
          <cell r="W23" t="str">
            <v>AUTOCAT</v>
          </cell>
          <cell r="X23">
            <v>2</v>
          </cell>
          <cell r="Y23" t="str">
            <v>AUTOCAT</v>
          </cell>
          <cell r="Z23">
            <v>1</v>
          </cell>
          <cell r="AA23" t="str">
            <v>AUTOCAT</v>
          </cell>
          <cell r="AB23">
            <v>1</v>
          </cell>
          <cell r="AC23" t="str">
            <v>INF CGR</v>
          </cell>
          <cell r="AD23">
            <v>1</v>
          </cell>
          <cell r="AE23" t="str">
            <v>INF CGR</v>
          </cell>
          <cell r="AG23" t="str">
            <v>INF CGR</v>
          </cell>
          <cell r="AH23"/>
          <cell r="AI23"/>
          <cell r="AJ23"/>
          <cell r="AK23"/>
          <cell r="AL23">
            <v>1</v>
          </cell>
          <cell r="AM23" t="str">
            <v>AUTOCAT</v>
          </cell>
          <cell r="AN23">
            <v>1</v>
          </cell>
          <cell r="AO23" t="str">
            <v>AUTOCAT</v>
          </cell>
          <cell r="AP23">
            <v>1</v>
          </cell>
          <cell r="AQ23" t="str">
            <v>AUTOCAT</v>
          </cell>
          <cell r="AR23">
            <v>1</v>
          </cell>
          <cell r="AS23" t="str">
            <v>AUTOCAT</v>
          </cell>
          <cell r="AT23">
            <v>1</v>
          </cell>
          <cell r="AU23" t="str">
            <v>AUTOCAT</v>
          </cell>
          <cell r="AV23">
            <v>1</v>
          </cell>
          <cell r="AW23" t="str">
            <v>AUTOCAT</v>
          </cell>
          <cell r="AX23">
            <v>1</v>
          </cell>
          <cell r="AY23" t="str">
            <v>AUTOCAT</v>
          </cell>
          <cell r="AZ23">
            <v>1</v>
          </cell>
          <cell r="BA23" t="str">
            <v>AUTOCAT</v>
          </cell>
          <cell r="BB23">
            <v>1</v>
          </cell>
        </row>
        <row r="24">
          <cell r="B24">
            <v>52</v>
          </cell>
          <cell r="C24" t="str">
            <v>NARIÑO</v>
          </cell>
          <cell r="D24">
            <v>3</v>
          </cell>
          <cell r="E24" t="str">
            <v>AUTOCAT</v>
          </cell>
          <cell r="F24">
            <v>1</v>
          </cell>
          <cell r="G24" t="str">
            <v>AUTOCAT</v>
          </cell>
          <cell r="H24">
            <v>1</v>
          </cell>
          <cell r="I24" t="str">
            <v>AUTOCAT</v>
          </cell>
          <cell r="J24">
            <v>1</v>
          </cell>
          <cell r="K24" t="str">
            <v>AUTOCAT</v>
          </cell>
          <cell r="L24">
            <v>1</v>
          </cell>
          <cell r="M24" t="str">
            <v>AUTOCAT</v>
          </cell>
          <cell r="N24">
            <v>1</v>
          </cell>
          <cell r="O24" t="str">
            <v>CGR</v>
          </cell>
          <cell r="P24">
            <v>2</v>
          </cell>
          <cell r="Q24" t="str">
            <v>AUTOCAT</v>
          </cell>
          <cell r="R24">
            <v>2</v>
          </cell>
          <cell r="S24" t="str">
            <v>INF CGR</v>
          </cell>
          <cell r="T24">
            <v>2</v>
          </cell>
          <cell r="U24" t="str">
            <v>INF CGR</v>
          </cell>
          <cell r="V24">
            <v>1</v>
          </cell>
          <cell r="W24" t="str">
            <v>INF CGR</v>
          </cell>
          <cell r="X24">
            <v>1</v>
          </cell>
          <cell r="Y24" t="str">
            <v>AUTOCAT</v>
          </cell>
          <cell r="Z24">
            <v>2</v>
          </cell>
          <cell r="AA24" t="str">
            <v>INF CGR</v>
          </cell>
          <cell r="AB24">
            <v>2</v>
          </cell>
          <cell r="AC24" t="str">
            <v>SIN</v>
          </cell>
          <cell r="AD24">
            <v>2</v>
          </cell>
          <cell r="AE24" t="str">
            <v>AUTOCAT</v>
          </cell>
          <cell r="AG24" t="str">
            <v>AUTO CATEGORIZADA</v>
          </cell>
          <cell r="AH24" t="str">
            <v>DECRETO</v>
          </cell>
          <cell r="AI24" t="str">
            <v>596</v>
          </cell>
          <cell r="AJ24">
            <v>42292</v>
          </cell>
          <cell r="AK24">
            <v>2</v>
          </cell>
          <cell r="AL24">
            <v>1</v>
          </cell>
          <cell r="AM24" t="str">
            <v>INFO CGR</v>
          </cell>
          <cell r="AN24">
            <v>2</v>
          </cell>
          <cell r="AO24" t="str">
            <v>AUTOCAT</v>
          </cell>
          <cell r="AP24">
            <v>1</v>
          </cell>
          <cell r="AQ24" t="str">
            <v>AUTOCAT</v>
          </cell>
          <cell r="AR24">
            <v>1</v>
          </cell>
          <cell r="AS24" t="str">
            <v>AUTOCAT</v>
          </cell>
          <cell r="AT24">
            <v>1</v>
          </cell>
          <cell r="AU24" t="str">
            <v>INFO CGR</v>
          </cell>
          <cell r="AV24">
            <v>1</v>
          </cell>
          <cell r="AW24" t="str">
            <v>AUTOCAT</v>
          </cell>
          <cell r="AX24">
            <v>1</v>
          </cell>
          <cell r="AY24" t="str">
            <v>AUTOCAT</v>
          </cell>
          <cell r="AZ24">
            <v>1</v>
          </cell>
          <cell r="BA24" t="str">
            <v>AUTOCAT</v>
          </cell>
          <cell r="BB24">
            <v>1</v>
          </cell>
        </row>
        <row r="25">
          <cell r="B25">
            <v>54</v>
          </cell>
          <cell r="C25" t="str">
            <v>NORTE DE SANTANDER</v>
          </cell>
          <cell r="D25">
            <v>2</v>
          </cell>
          <cell r="E25" t="str">
            <v>AUTOCAT</v>
          </cell>
          <cell r="F25">
            <v>2</v>
          </cell>
          <cell r="G25" t="str">
            <v>AUTOCAT</v>
          </cell>
          <cell r="H25">
            <v>2</v>
          </cell>
          <cell r="I25" t="str">
            <v>AUTOCAT</v>
          </cell>
          <cell r="J25">
            <v>2</v>
          </cell>
          <cell r="K25" t="str">
            <v>AUTOCAT</v>
          </cell>
          <cell r="L25">
            <v>2</v>
          </cell>
          <cell r="M25" t="str">
            <v>CGN</v>
          </cell>
          <cell r="N25">
            <v>2</v>
          </cell>
          <cell r="O25" t="str">
            <v>CGR</v>
          </cell>
          <cell r="P25">
            <v>2</v>
          </cell>
          <cell r="Q25" t="str">
            <v>CGN</v>
          </cell>
          <cell r="R25">
            <v>2</v>
          </cell>
          <cell r="S25" t="str">
            <v>AUTOCAT</v>
          </cell>
          <cell r="T25">
            <v>2</v>
          </cell>
          <cell r="U25" t="str">
            <v>AUTOCAT</v>
          </cell>
          <cell r="V25">
            <v>2</v>
          </cell>
          <cell r="W25" t="str">
            <v>AUTOCAT</v>
          </cell>
          <cell r="X25">
            <v>2</v>
          </cell>
          <cell r="Y25" t="str">
            <v>AUTOCAT</v>
          </cell>
          <cell r="Z25">
            <v>2</v>
          </cell>
          <cell r="AA25" t="str">
            <v>INF CGR</v>
          </cell>
          <cell r="AB25">
            <v>2</v>
          </cell>
          <cell r="AC25" t="str">
            <v>AUTOCAT</v>
          </cell>
          <cell r="AD25">
            <v>2</v>
          </cell>
          <cell r="AE25" t="str">
            <v>INF CGR</v>
          </cell>
          <cell r="AG25" t="str">
            <v>INF CGR</v>
          </cell>
          <cell r="AH25">
            <v>0</v>
          </cell>
          <cell r="AI25"/>
          <cell r="AJ25"/>
          <cell r="AK25"/>
          <cell r="AL25">
            <v>2</v>
          </cell>
          <cell r="AM25" t="str">
            <v>INFO CGR</v>
          </cell>
          <cell r="AN25">
            <v>2</v>
          </cell>
          <cell r="AO25" t="str">
            <v>AUTOCAT</v>
          </cell>
          <cell r="AP25">
            <v>2</v>
          </cell>
          <cell r="AQ25" t="str">
            <v>AUTOCAT</v>
          </cell>
          <cell r="AR25">
            <v>2</v>
          </cell>
          <cell r="AS25" t="str">
            <v>INFO CGR</v>
          </cell>
          <cell r="AT25">
            <v>2</v>
          </cell>
          <cell r="AU25" t="str">
            <v>AUTOCAT</v>
          </cell>
          <cell r="AV25">
            <v>2</v>
          </cell>
          <cell r="AW25" t="str">
            <v>INFO CGR</v>
          </cell>
          <cell r="AX25">
            <v>2</v>
          </cell>
          <cell r="AY25" t="str">
            <v>HISTORICO CGN</v>
          </cell>
          <cell r="AZ25">
            <v>2</v>
          </cell>
          <cell r="BA25" t="str">
            <v>AUTOCAT</v>
          </cell>
          <cell r="BB25">
            <v>1</v>
          </cell>
        </row>
        <row r="26">
          <cell r="B26">
            <v>63</v>
          </cell>
          <cell r="C26" t="str">
            <v>QUINDIO</v>
          </cell>
          <cell r="D26" t="str">
            <v>SIN</v>
          </cell>
          <cell r="E26"/>
          <cell r="F26">
            <v>3</v>
          </cell>
          <cell r="G26" t="str">
            <v>CGN</v>
          </cell>
          <cell r="H26">
            <v>3</v>
          </cell>
          <cell r="I26" t="str">
            <v>AUTOCAT</v>
          </cell>
          <cell r="J26">
            <v>3</v>
          </cell>
          <cell r="K26" t="str">
            <v>CGN</v>
          </cell>
          <cell r="L26">
            <v>3</v>
          </cell>
          <cell r="M26" t="str">
            <v>CGN</v>
          </cell>
          <cell r="N26">
            <v>3</v>
          </cell>
          <cell r="O26" t="str">
            <v>CGR</v>
          </cell>
          <cell r="P26">
            <v>3</v>
          </cell>
          <cell r="Q26" t="str">
            <v>CGN</v>
          </cell>
          <cell r="R26">
            <v>3</v>
          </cell>
          <cell r="S26" t="str">
            <v>INF CGR</v>
          </cell>
          <cell r="T26">
            <v>3</v>
          </cell>
          <cell r="U26" t="str">
            <v>AUTOCAT</v>
          </cell>
          <cell r="V26">
            <v>3</v>
          </cell>
          <cell r="W26" t="str">
            <v>AUTOCAT</v>
          </cell>
          <cell r="X26">
            <v>3</v>
          </cell>
          <cell r="Y26" t="str">
            <v>AUTOCAT</v>
          </cell>
          <cell r="Z26">
            <v>3</v>
          </cell>
          <cell r="AA26" t="str">
            <v>AUTOCAT</v>
          </cell>
          <cell r="AB26">
            <v>3</v>
          </cell>
          <cell r="AC26" t="str">
            <v>INF CGR</v>
          </cell>
          <cell r="AD26">
            <v>3</v>
          </cell>
          <cell r="AE26" t="str">
            <v>AUTOCAT</v>
          </cell>
          <cell r="AG26" t="str">
            <v>AUTO CATEGORIZADA</v>
          </cell>
          <cell r="AH26" t="str">
            <v>DECRETO</v>
          </cell>
          <cell r="AI26" t="str">
            <v>608</v>
          </cell>
          <cell r="AJ26">
            <v>42216</v>
          </cell>
          <cell r="AK26">
            <v>3</v>
          </cell>
          <cell r="AL26">
            <v>3</v>
          </cell>
          <cell r="AM26" t="str">
            <v>AUTOCAT</v>
          </cell>
          <cell r="AN26">
            <v>3</v>
          </cell>
          <cell r="AO26" t="str">
            <v>INFO CGR</v>
          </cell>
          <cell r="AP26">
            <v>3</v>
          </cell>
          <cell r="AQ26" t="str">
            <v>AUTOCAT</v>
          </cell>
          <cell r="AR26">
            <v>3</v>
          </cell>
          <cell r="AS26" t="str">
            <v>INFO CGR</v>
          </cell>
          <cell r="AT26">
            <v>3</v>
          </cell>
          <cell r="AU26" t="str">
            <v>AUTOCAT</v>
          </cell>
          <cell r="AV26">
            <v>3</v>
          </cell>
          <cell r="AW26" t="str">
            <v>AUTOCAT</v>
          </cell>
          <cell r="AX26">
            <v>3</v>
          </cell>
          <cell r="AY26" t="str">
            <v>AUTOCAT</v>
          </cell>
          <cell r="AZ26">
            <v>3</v>
          </cell>
          <cell r="BA26" t="str">
            <v>AUTOCAT</v>
          </cell>
          <cell r="BB26">
            <v>3</v>
          </cell>
        </row>
        <row r="27">
          <cell r="B27">
            <v>66</v>
          </cell>
          <cell r="C27" t="str">
            <v>RISARALDA</v>
          </cell>
          <cell r="D27">
            <v>2</v>
          </cell>
          <cell r="E27" t="str">
            <v>AUTOCAT</v>
          </cell>
          <cell r="F27">
            <v>2</v>
          </cell>
          <cell r="G27" t="str">
            <v>AUTOCAT</v>
          </cell>
          <cell r="H27">
            <v>2</v>
          </cell>
          <cell r="I27" t="str">
            <v>AUTOCAT</v>
          </cell>
          <cell r="J27">
            <v>2</v>
          </cell>
          <cell r="K27" t="str">
            <v>AUTOCAT</v>
          </cell>
          <cell r="L27">
            <v>2</v>
          </cell>
          <cell r="M27" t="str">
            <v>AUTOCAT</v>
          </cell>
          <cell r="N27">
            <v>2</v>
          </cell>
          <cell r="O27" t="str">
            <v>CGR</v>
          </cell>
          <cell r="P27">
            <v>2</v>
          </cell>
          <cell r="Q27" t="str">
            <v>AUTOCAT</v>
          </cell>
          <cell r="R27">
            <v>2</v>
          </cell>
          <cell r="S27" t="str">
            <v>INF CGR</v>
          </cell>
          <cell r="T27">
            <v>2</v>
          </cell>
          <cell r="U27" t="str">
            <v>AUTOCAT</v>
          </cell>
          <cell r="V27">
            <v>2</v>
          </cell>
          <cell r="W27" t="str">
            <v>AUTOCAT</v>
          </cell>
          <cell r="X27">
            <v>2</v>
          </cell>
          <cell r="Y27" t="str">
            <v>AUTOCAT</v>
          </cell>
          <cell r="Z27">
            <v>2</v>
          </cell>
          <cell r="AA27" t="str">
            <v>INF CGR</v>
          </cell>
          <cell r="AB27">
            <v>2</v>
          </cell>
          <cell r="AC27" t="str">
            <v>INF CGR</v>
          </cell>
          <cell r="AD27">
            <v>2</v>
          </cell>
          <cell r="AE27" t="str">
            <v>AUTOCAT</v>
          </cell>
          <cell r="AG27" t="str">
            <v>AUTO CATEGORIZADA</v>
          </cell>
          <cell r="AH27" t="str">
            <v>DECRETO</v>
          </cell>
          <cell r="AI27" t="str">
            <v>1211</v>
          </cell>
          <cell r="AJ27">
            <v>42292</v>
          </cell>
          <cell r="AK27">
            <v>2</v>
          </cell>
          <cell r="AL27">
            <v>2</v>
          </cell>
          <cell r="AM27" t="str">
            <v>AUTOCAT</v>
          </cell>
          <cell r="AN27">
            <v>2</v>
          </cell>
          <cell r="AO27" t="str">
            <v>INFO CGR</v>
          </cell>
          <cell r="AP27">
            <v>2</v>
          </cell>
          <cell r="AQ27" t="str">
            <v>AUTOCAT</v>
          </cell>
          <cell r="AR27">
            <v>2</v>
          </cell>
          <cell r="AS27" t="str">
            <v>AUTOCAT</v>
          </cell>
          <cell r="AT27">
            <v>2</v>
          </cell>
          <cell r="AU27" t="str">
            <v>AUTOCAT</v>
          </cell>
          <cell r="AV27">
            <v>2</v>
          </cell>
          <cell r="AW27" t="str">
            <v>AUTOCAT</v>
          </cell>
          <cell r="AX27">
            <v>2</v>
          </cell>
          <cell r="AY27" t="str">
            <v>INFO CGR</v>
          </cell>
          <cell r="AZ27">
            <v>2</v>
          </cell>
          <cell r="BA27" t="str">
            <v>AUTOCAT</v>
          </cell>
          <cell r="BB27">
            <v>2</v>
          </cell>
        </row>
        <row r="28">
          <cell r="B28">
            <v>68</v>
          </cell>
          <cell r="C28" t="str">
            <v>SANTANDER</v>
          </cell>
          <cell r="D28">
            <v>3</v>
          </cell>
          <cell r="E28" t="str">
            <v>AUTOCAT</v>
          </cell>
          <cell r="F28">
            <v>1</v>
          </cell>
          <cell r="G28" t="str">
            <v>CGN</v>
          </cell>
          <cell r="H28">
            <v>1</v>
          </cell>
          <cell r="I28" t="str">
            <v>AUTOCAT</v>
          </cell>
          <cell r="J28">
            <v>1</v>
          </cell>
          <cell r="K28" t="str">
            <v>AUTOCAT</v>
          </cell>
          <cell r="L28">
            <v>1</v>
          </cell>
          <cell r="M28" t="str">
            <v>AUTOCAT</v>
          </cell>
          <cell r="N28">
            <v>1</v>
          </cell>
          <cell r="O28" t="str">
            <v>CGR</v>
          </cell>
          <cell r="P28">
            <v>2</v>
          </cell>
          <cell r="Q28" t="str">
            <v>AUTOCAT</v>
          </cell>
          <cell r="R28">
            <v>1</v>
          </cell>
          <cell r="S28" t="str">
            <v>AUTOCAT</v>
          </cell>
          <cell r="T28">
            <v>1</v>
          </cell>
          <cell r="U28" t="str">
            <v>AUTOCAT</v>
          </cell>
          <cell r="V28">
            <v>1</v>
          </cell>
          <cell r="W28" t="str">
            <v>AUTOCAT</v>
          </cell>
          <cell r="X28">
            <v>1</v>
          </cell>
          <cell r="Y28" t="str">
            <v>INF CGR</v>
          </cell>
          <cell r="Z28">
            <v>1</v>
          </cell>
          <cell r="AA28" t="str">
            <v>INF CGR</v>
          </cell>
          <cell r="AB28">
            <v>1</v>
          </cell>
          <cell r="AC28" t="str">
            <v>INF CGR</v>
          </cell>
          <cell r="AD28">
            <v>1</v>
          </cell>
          <cell r="AE28" t="str">
            <v>AUTOCAT</v>
          </cell>
          <cell r="AG28" t="str">
            <v>AUTO CATEGORIZADA</v>
          </cell>
          <cell r="AH28" t="str">
            <v>DECRETO</v>
          </cell>
          <cell r="AI28" t="str">
            <v>0271</v>
          </cell>
          <cell r="AJ28">
            <v>42268</v>
          </cell>
          <cell r="AK28">
            <v>1</v>
          </cell>
          <cell r="AL28">
            <v>1</v>
          </cell>
          <cell r="AM28" t="str">
            <v>INFO CGR</v>
          </cell>
          <cell r="AN28">
            <v>2</v>
          </cell>
          <cell r="AO28" t="str">
            <v>AUTOCAT</v>
          </cell>
          <cell r="AP28">
            <v>2</v>
          </cell>
          <cell r="AQ28" t="str">
            <v>AUTOCAT</v>
          </cell>
          <cell r="AR28">
            <v>2</v>
          </cell>
          <cell r="AS28" t="str">
            <v>AUTOCAT</v>
          </cell>
          <cell r="AT28">
            <v>1</v>
          </cell>
          <cell r="AU28" t="str">
            <v>AUTOCAT</v>
          </cell>
          <cell r="AV28">
            <v>1</v>
          </cell>
          <cell r="AW28" t="str">
            <v>AUTOCAT</v>
          </cell>
          <cell r="AX28">
            <v>1</v>
          </cell>
          <cell r="AY28" t="str">
            <v>AUTOCAT</v>
          </cell>
          <cell r="AZ28">
            <v>1</v>
          </cell>
          <cell r="BA28" t="str">
            <v>AUTOCAT</v>
          </cell>
          <cell r="BB28">
            <v>1</v>
          </cell>
        </row>
        <row r="29">
          <cell r="B29">
            <v>70</v>
          </cell>
          <cell r="C29" t="str">
            <v>SUCRE</v>
          </cell>
          <cell r="D29">
            <v>3</v>
          </cell>
          <cell r="E29" t="str">
            <v>CGN</v>
          </cell>
          <cell r="F29">
            <v>3</v>
          </cell>
          <cell r="G29" t="str">
            <v>CGN</v>
          </cell>
          <cell r="H29">
            <v>3</v>
          </cell>
          <cell r="I29" t="str">
            <v>CGN</v>
          </cell>
          <cell r="J29">
            <v>3</v>
          </cell>
          <cell r="K29" t="str">
            <v>CGN</v>
          </cell>
          <cell r="L29">
            <v>3</v>
          </cell>
          <cell r="M29" t="str">
            <v>CGN</v>
          </cell>
          <cell r="N29">
            <v>3</v>
          </cell>
          <cell r="O29" t="str">
            <v>CGR</v>
          </cell>
          <cell r="P29">
            <v>3</v>
          </cell>
          <cell r="Q29" t="str">
            <v>CGN</v>
          </cell>
          <cell r="R29">
            <v>3</v>
          </cell>
          <cell r="S29" t="str">
            <v>INF CGR</v>
          </cell>
          <cell r="T29">
            <v>3</v>
          </cell>
          <cell r="U29" t="str">
            <v>INF CGR</v>
          </cell>
          <cell r="V29">
            <v>3</v>
          </cell>
          <cell r="W29" t="str">
            <v>INF CGR</v>
          </cell>
          <cell r="X29">
            <v>3</v>
          </cell>
          <cell r="Y29" t="str">
            <v>INF CGR</v>
          </cell>
          <cell r="Z29">
            <v>3</v>
          </cell>
          <cell r="AA29" t="str">
            <v>INF CGR</v>
          </cell>
          <cell r="AB29">
            <v>3</v>
          </cell>
          <cell r="AC29" t="str">
            <v>INF CGR</v>
          </cell>
          <cell r="AD29">
            <v>3</v>
          </cell>
          <cell r="AE29" t="str">
            <v>INF CGR</v>
          </cell>
          <cell r="AG29" t="str">
            <v>INF CGR</v>
          </cell>
          <cell r="AH29">
            <v>0</v>
          </cell>
          <cell r="AI29"/>
          <cell r="AJ29"/>
          <cell r="AK29"/>
          <cell r="AL29">
            <v>3</v>
          </cell>
          <cell r="AM29" t="str">
            <v>INFO CGR</v>
          </cell>
          <cell r="AN29">
            <v>3</v>
          </cell>
          <cell r="AO29" t="str">
            <v>INFO CGR</v>
          </cell>
          <cell r="AP29">
            <v>3</v>
          </cell>
          <cell r="AQ29" t="str">
            <v>INFO CGR</v>
          </cell>
          <cell r="AR29">
            <v>3</v>
          </cell>
          <cell r="AS29" t="str">
            <v>INFO CGR</v>
          </cell>
          <cell r="AT29">
            <v>3</v>
          </cell>
          <cell r="AU29" t="str">
            <v>INFO CGR</v>
          </cell>
          <cell r="AV29">
            <v>3</v>
          </cell>
          <cell r="AW29" t="str">
            <v>INFO CGR</v>
          </cell>
          <cell r="AX29">
            <v>4</v>
          </cell>
          <cell r="AY29" t="str">
            <v>HISTORICO CGN</v>
          </cell>
          <cell r="AZ29">
            <v>3</v>
          </cell>
          <cell r="BA29" t="str">
            <v>AUTOCAT</v>
          </cell>
          <cell r="BB29">
            <v>3</v>
          </cell>
        </row>
        <row r="30">
          <cell r="B30">
            <v>73</v>
          </cell>
          <cell r="C30" t="str">
            <v>TOLIMA</v>
          </cell>
          <cell r="D30">
            <v>3</v>
          </cell>
          <cell r="E30" t="str">
            <v>CGN</v>
          </cell>
          <cell r="F30">
            <v>2</v>
          </cell>
          <cell r="G30" t="str">
            <v>AUTOCAT</v>
          </cell>
          <cell r="H30">
            <v>2</v>
          </cell>
          <cell r="I30" t="str">
            <v>CGN</v>
          </cell>
          <cell r="J30">
            <v>2</v>
          </cell>
          <cell r="K30" t="str">
            <v>AUTOCAT</v>
          </cell>
          <cell r="L30">
            <v>2</v>
          </cell>
          <cell r="M30" t="str">
            <v>AUTOCAT</v>
          </cell>
          <cell r="N30">
            <v>2</v>
          </cell>
          <cell r="O30" t="str">
            <v>CGR</v>
          </cell>
          <cell r="P30">
            <v>3</v>
          </cell>
          <cell r="Q30" t="str">
            <v>AUTOCAT</v>
          </cell>
          <cell r="R30">
            <v>2</v>
          </cell>
          <cell r="S30" t="str">
            <v>INF CGR</v>
          </cell>
          <cell r="T30">
            <v>3</v>
          </cell>
          <cell r="U30" t="str">
            <v>AUTOCAT</v>
          </cell>
          <cell r="V30">
            <v>3</v>
          </cell>
          <cell r="W30" t="str">
            <v>AUTOCAT</v>
          </cell>
          <cell r="X30">
            <v>3</v>
          </cell>
          <cell r="Y30" t="str">
            <v>AUTOCAT</v>
          </cell>
          <cell r="Z30">
            <v>1</v>
          </cell>
          <cell r="AA30" t="str">
            <v>INF CGR</v>
          </cell>
          <cell r="AB30">
            <v>2</v>
          </cell>
          <cell r="AC30" t="str">
            <v>AUTOCAT</v>
          </cell>
          <cell r="AD30">
            <v>2</v>
          </cell>
          <cell r="AE30" t="str">
            <v>AUTOCAT</v>
          </cell>
          <cell r="AG30" t="str">
            <v>AUTO CATEGORIZADA</v>
          </cell>
          <cell r="AH30">
            <v>0</v>
          </cell>
          <cell r="AI30" t="str">
            <v>1558</v>
          </cell>
          <cell r="AJ30">
            <v>42306</v>
          </cell>
          <cell r="AK30">
            <v>2</v>
          </cell>
          <cell r="AL30">
            <v>2</v>
          </cell>
          <cell r="AM30" t="str">
            <v>INFO CGR</v>
          </cell>
          <cell r="AN30">
            <v>1</v>
          </cell>
          <cell r="AO30" t="str">
            <v>INFO CGR</v>
          </cell>
          <cell r="AP30">
            <v>2</v>
          </cell>
          <cell r="AQ30" t="str">
            <v>AUTOCAT</v>
          </cell>
          <cell r="AR30">
            <v>2</v>
          </cell>
          <cell r="AS30" t="str">
            <v>AUTOCAT</v>
          </cell>
          <cell r="AT30">
            <v>1</v>
          </cell>
          <cell r="AU30" t="str">
            <v>INFO CGR</v>
          </cell>
          <cell r="AV30">
            <v>2</v>
          </cell>
          <cell r="AW30" t="str">
            <v>AUTOCAT</v>
          </cell>
          <cell r="AX30">
            <v>1</v>
          </cell>
          <cell r="AY30" t="str">
            <v>INFO CGR</v>
          </cell>
          <cell r="AZ30">
            <v>2</v>
          </cell>
          <cell r="BA30" t="str">
            <v>AUTOCAT</v>
          </cell>
          <cell r="BB30">
            <v>2</v>
          </cell>
        </row>
        <row r="31">
          <cell r="B31">
            <v>76</v>
          </cell>
          <cell r="C31" t="str">
            <v>VALLE DEL CAUCA</v>
          </cell>
          <cell r="D31" t="str">
            <v>ESP</v>
          </cell>
          <cell r="E31" t="str">
            <v>CGN</v>
          </cell>
          <cell r="F31" t="str">
            <v>ESP</v>
          </cell>
          <cell r="G31" t="str">
            <v>CGN</v>
          </cell>
          <cell r="H31" t="str">
            <v>ESP</v>
          </cell>
          <cell r="I31" t="str">
            <v>AUTOCAT</v>
          </cell>
          <cell r="J31" t="str">
            <v>ESP</v>
          </cell>
          <cell r="K31" t="str">
            <v>AUTOCAT</v>
          </cell>
          <cell r="L31" t="str">
            <v>ESP</v>
          </cell>
          <cell r="M31" t="str">
            <v>CGN</v>
          </cell>
          <cell r="N31" t="str">
            <v>ESP</v>
          </cell>
          <cell r="O31" t="str">
            <v>AUTOCAT</v>
          </cell>
          <cell r="P31" t="str">
            <v>ESP</v>
          </cell>
          <cell r="Q31" t="str">
            <v>CGN</v>
          </cell>
          <cell r="R31" t="str">
            <v>ESP</v>
          </cell>
          <cell r="S31" t="str">
            <v>INF CGR</v>
          </cell>
          <cell r="T31">
            <v>1</v>
          </cell>
          <cell r="U31" t="str">
            <v>INF CGR</v>
          </cell>
          <cell r="V31">
            <v>1</v>
          </cell>
          <cell r="W31" t="str">
            <v>INF CGR</v>
          </cell>
          <cell r="X31">
            <v>1</v>
          </cell>
          <cell r="Y31" t="str">
            <v>AUTOCAT</v>
          </cell>
          <cell r="Z31">
            <v>1</v>
          </cell>
          <cell r="AA31" t="str">
            <v>AUTOCAT</v>
          </cell>
          <cell r="AB31">
            <v>1</v>
          </cell>
          <cell r="AC31" t="str">
            <v>AUTOCAT</v>
          </cell>
          <cell r="AD31" t="str">
            <v>ESP</v>
          </cell>
          <cell r="AE31" t="str">
            <v>AUTOCAT</v>
          </cell>
          <cell r="AG31" t="str">
            <v>AUTO CATEGORIZADA</v>
          </cell>
          <cell r="AH31">
            <v>0</v>
          </cell>
          <cell r="AI31" t="str">
            <v>1561</v>
          </cell>
          <cell r="AJ31">
            <v>42305</v>
          </cell>
          <cell r="AK31" t="str">
            <v>ESP</v>
          </cell>
          <cell r="AL31" t="str">
            <v>ESP</v>
          </cell>
          <cell r="AM31" t="str">
            <v>INFO CGR</v>
          </cell>
          <cell r="AN31" t="str">
            <v>ESP</v>
          </cell>
          <cell r="AO31" t="str">
            <v>AUTOCAT</v>
          </cell>
          <cell r="AP31" t="str">
            <v>ESP</v>
          </cell>
          <cell r="AQ31" t="str">
            <v>AUTOCAT</v>
          </cell>
          <cell r="AR31" t="str">
            <v>ESP</v>
          </cell>
          <cell r="AS31" t="str">
            <v>INFO CGR</v>
          </cell>
          <cell r="AT31" t="str">
            <v>ESP</v>
          </cell>
          <cell r="AU31" t="str">
            <v>AUTOCAT</v>
          </cell>
          <cell r="AV31" t="str">
            <v>ESP</v>
          </cell>
          <cell r="AW31" t="str">
            <v>AUTOCAT</v>
          </cell>
          <cell r="AX31" t="str">
            <v>ESP</v>
          </cell>
          <cell r="AY31" t="str">
            <v>AUTOCAT</v>
          </cell>
          <cell r="AZ31" t="str">
            <v>ESP</v>
          </cell>
          <cell r="BA31" t="str">
            <v>INFO CGR</v>
          </cell>
          <cell r="BB31" t="str">
            <v>ESP</v>
          </cell>
        </row>
        <row r="32">
          <cell r="B32">
            <v>81</v>
          </cell>
          <cell r="C32" t="str">
            <v>ARAUCA</v>
          </cell>
          <cell r="D32">
            <v>4</v>
          </cell>
          <cell r="E32" t="str">
            <v>AUTOCAT</v>
          </cell>
          <cell r="F32">
            <v>4</v>
          </cell>
          <cell r="G32" t="str">
            <v>AUTOCAT</v>
          </cell>
          <cell r="H32">
            <v>4</v>
          </cell>
          <cell r="I32" t="str">
            <v>AUTOCAT</v>
          </cell>
          <cell r="J32">
            <v>4</v>
          </cell>
          <cell r="K32" t="str">
            <v>AUTOCAT</v>
          </cell>
          <cell r="L32">
            <v>4</v>
          </cell>
          <cell r="M32" t="str">
            <v>AUTOCAT</v>
          </cell>
          <cell r="N32">
            <v>4</v>
          </cell>
          <cell r="O32" t="str">
            <v>AUTOCAT</v>
          </cell>
          <cell r="P32">
            <v>4</v>
          </cell>
          <cell r="Q32" t="str">
            <v>AUTOCAT</v>
          </cell>
          <cell r="R32">
            <v>4</v>
          </cell>
          <cell r="S32" t="str">
            <v>INF CGR</v>
          </cell>
          <cell r="T32">
            <v>4</v>
          </cell>
          <cell r="U32" t="str">
            <v>AUTOCAT</v>
          </cell>
          <cell r="V32">
            <v>4</v>
          </cell>
          <cell r="W32" t="str">
            <v>AUTOCAT</v>
          </cell>
          <cell r="X32">
            <v>4</v>
          </cell>
          <cell r="Y32" t="str">
            <v>AUTOCAT</v>
          </cell>
          <cell r="Z32">
            <v>4</v>
          </cell>
          <cell r="AA32" t="str">
            <v>AUTOCAT</v>
          </cell>
          <cell r="AB32">
            <v>4</v>
          </cell>
          <cell r="AC32" t="str">
            <v>AUTOCAT</v>
          </cell>
          <cell r="AD32">
            <v>4</v>
          </cell>
          <cell r="AE32" t="str">
            <v>HISTORICO CGN</v>
          </cell>
          <cell r="AG32" t="str">
            <v>HISTORICO CGN</v>
          </cell>
          <cell r="AH32">
            <v>0</v>
          </cell>
          <cell r="AI32"/>
          <cell r="AJ32"/>
          <cell r="AK32"/>
          <cell r="AL32">
            <v>4</v>
          </cell>
          <cell r="AM32" t="str">
            <v>AUTOCAT</v>
          </cell>
          <cell r="AN32">
            <v>4</v>
          </cell>
          <cell r="AO32" t="str">
            <v>AUTOCAT</v>
          </cell>
          <cell r="AP32">
            <v>4</v>
          </cell>
          <cell r="AQ32" t="str">
            <v>AUTOCAT</v>
          </cell>
          <cell r="AR32">
            <v>4</v>
          </cell>
          <cell r="AS32" t="str">
            <v>AUTOCAT</v>
          </cell>
          <cell r="AT32">
            <v>4</v>
          </cell>
          <cell r="AU32" t="str">
            <v>AUTOCAT</v>
          </cell>
          <cell r="AV32">
            <v>4</v>
          </cell>
          <cell r="AW32" t="str">
            <v>AUTOCAT</v>
          </cell>
          <cell r="AX32">
            <v>4</v>
          </cell>
          <cell r="AY32" t="str">
            <v>HISTORICO CGN</v>
          </cell>
          <cell r="AZ32">
            <v>4</v>
          </cell>
          <cell r="BA32" t="str">
            <v>INFO CGR</v>
          </cell>
          <cell r="BB32">
            <v>4</v>
          </cell>
        </row>
        <row r="33">
          <cell r="B33">
            <v>85</v>
          </cell>
          <cell r="C33" t="str">
            <v>CASANARE</v>
          </cell>
          <cell r="D33">
            <v>4</v>
          </cell>
          <cell r="E33" t="str">
            <v>CGN</v>
          </cell>
          <cell r="F33">
            <v>4</v>
          </cell>
          <cell r="G33" t="str">
            <v>CGN</v>
          </cell>
          <cell r="H33">
            <v>3</v>
          </cell>
          <cell r="I33" t="str">
            <v>AUTOCAT</v>
          </cell>
          <cell r="J33">
            <v>4</v>
          </cell>
          <cell r="K33" t="str">
            <v>CGN</v>
          </cell>
          <cell r="L33">
            <v>3</v>
          </cell>
          <cell r="M33" t="str">
            <v>AUTOCAT</v>
          </cell>
          <cell r="N33">
            <v>4</v>
          </cell>
          <cell r="O33" t="str">
            <v>CGR</v>
          </cell>
          <cell r="P33">
            <v>3</v>
          </cell>
          <cell r="Q33" t="str">
            <v>AUTOCAT</v>
          </cell>
          <cell r="R33">
            <v>3</v>
          </cell>
          <cell r="S33" t="str">
            <v>AUTOCAT</v>
          </cell>
          <cell r="T33">
            <v>3</v>
          </cell>
          <cell r="U33" t="str">
            <v>AUTOCAT</v>
          </cell>
          <cell r="V33">
            <v>3</v>
          </cell>
          <cell r="W33" t="str">
            <v>AUTOCAT</v>
          </cell>
          <cell r="X33">
            <v>3</v>
          </cell>
          <cell r="Y33" t="str">
            <v>AUTOCAT</v>
          </cell>
          <cell r="Z33">
            <v>3</v>
          </cell>
          <cell r="AA33" t="str">
            <v>AUTOCAT</v>
          </cell>
          <cell r="AB33">
            <v>3</v>
          </cell>
          <cell r="AC33" t="str">
            <v>INF CGR</v>
          </cell>
          <cell r="AD33">
            <v>3</v>
          </cell>
          <cell r="AE33" t="str">
            <v>AUTOCAT</v>
          </cell>
          <cell r="AG33" t="str">
            <v>AUTO CATEGORIZADA</v>
          </cell>
          <cell r="AH33" t="str">
            <v>DECRETO</v>
          </cell>
          <cell r="AI33" t="str">
            <v>0186</v>
          </cell>
          <cell r="AJ33">
            <v>42241</v>
          </cell>
          <cell r="AK33">
            <v>3</v>
          </cell>
          <cell r="AL33">
            <v>3</v>
          </cell>
          <cell r="AM33" t="str">
            <v>AUTOCAT</v>
          </cell>
          <cell r="AN33">
            <v>3</v>
          </cell>
          <cell r="AO33" t="str">
            <v>INFO CGR</v>
          </cell>
          <cell r="AP33">
            <v>3</v>
          </cell>
          <cell r="AQ33" t="str">
            <v>INFO CGR</v>
          </cell>
          <cell r="AR33">
            <v>3</v>
          </cell>
          <cell r="AS33" t="str">
            <v>INFO CGR</v>
          </cell>
          <cell r="AT33">
            <v>3</v>
          </cell>
          <cell r="AU33" t="str">
            <v>INFO CGR</v>
          </cell>
          <cell r="AV33">
            <v>3</v>
          </cell>
          <cell r="AW33" t="str">
            <v>INFO CGR</v>
          </cell>
          <cell r="AX33">
            <v>3</v>
          </cell>
          <cell r="AY33" t="str">
            <v>INFO CGR</v>
          </cell>
          <cell r="AZ33">
            <v>3</v>
          </cell>
          <cell r="BA33" t="str">
            <v>INFO CGR</v>
          </cell>
          <cell r="BB33">
            <v>3</v>
          </cell>
        </row>
        <row r="34">
          <cell r="B34">
            <v>86</v>
          </cell>
          <cell r="C34" t="str">
            <v>PUTUMAYO</v>
          </cell>
          <cell r="D34">
            <v>4</v>
          </cell>
          <cell r="E34" t="str">
            <v>CGN</v>
          </cell>
          <cell r="F34">
            <v>4</v>
          </cell>
          <cell r="G34" t="str">
            <v>CGN</v>
          </cell>
          <cell r="H34">
            <v>4</v>
          </cell>
          <cell r="I34" t="str">
            <v>AUTOCAT</v>
          </cell>
          <cell r="J34">
            <v>4</v>
          </cell>
          <cell r="K34" t="str">
            <v>CGN</v>
          </cell>
          <cell r="L34">
            <v>4</v>
          </cell>
          <cell r="M34" t="str">
            <v>CGN</v>
          </cell>
          <cell r="N34">
            <v>4</v>
          </cell>
          <cell r="O34" t="str">
            <v>CGR</v>
          </cell>
          <cell r="P34">
            <v>4</v>
          </cell>
          <cell r="Q34" t="str">
            <v>AUTOCAT</v>
          </cell>
          <cell r="R34">
            <v>4</v>
          </cell>
          <cell r="S34" t="str">
            <v>INF CGR</v>
          </cell>
          <cell r="T34">
            <v>4</v>
          </cell>
          <cell r="U34" t="str">
            <v>AUTOCAT</v>
          </cell>
          <cell r="V34">
            <v>4</v>
          </cell>
          <cell r="W34" t="str">
            <v>INF CGR</v>
          </cell>
          <cell r="X34">
            <v>4</v>
          </cell>
          <cell r="Y34" t="str">
            <v>AUTOCAT</v>
          </cell>
          <cell r="Z34">
            <v>4</v>
          </cell>
          <cell r="AA34" t="str">
            <v>INF CGR</v>
          </cell>
          <cell r="AB34">
            <v>4</v>
          </cell>
          <cell r="AC34" t="str">
            <v>INF CGR</v>
          </cell>
          <cell r="AD34">
            <v>4</v>
          </cell>
          <cell r="AE34" t="str">
            <v>AUTOCAT</v>
          </cell>
          <cell r="AG34" t="str">
            <v>AUTO CATEGORIZADA</v>
          </cell>
          <cell r="AH34" t="str">
            <v>DECRETO</v>
          </cell>
          <cell r="AI34" t="str">
            <v>0270</v>
          </cell>
          <cell r="AJ34">
            <v>42240</v>
          </cell>
          <cell r="AK34">
            <v>4</v>
          </cell>
          <cell r="AL34">
            <v>4</v>
          </cell>
          <cell r="AM34" t="str">
            <v>INFO CGR</v>
          </cell>
          <cell r="AN34">
            <v>4</v>
          </cell>
          <cell r="AO34" t="str">
            <v>INFO CGR</v>
          </cell>
          <cell r="AP34">
            <v>4</v>
          </cell>
          <cell r="AQ34" t="str">
            <v>INFO CGR</v>
          </cell>
          <cell r="AR34">
            <v>4</v>
          </cell>
          <cell r="AS34" t="str">
            <v>INFO CGR</v>
          </cell>
          <cell r="AT34">
            <v>4</v>
          </cell>
          <cell r="AU34" t="str">
            <v>INFO CGR</v>
          </cell>
          <cell r="AV34">
            <v>4</v>
          </cell>
          <cell r="AW34" t="str">
            <v>INFO CGR</v>
          </cell>
          <cell r="AX34">
            <v>4</v>
          </cell>
          <cell r="AY34" t="str">
            <v>AUTOCAT</v>
          </cell>
          <cell r="AZ34">
            <v>4</v>
          </cell>
          <cell r="BA34" t="str">
            <v>AUTOCAT</v>
          </cell>
          <cell r="BB34">
            <v>4</v>
          </cell>
        </row>
        <row r="35">
          <cell r="B35">
            <v>88</v>
          </cell>
          <cell r="C35" t="str">
            <v>SAN ANDRES</v>
          </cell>
          <cell r="D35">
            <v>3</v>
          </cell>
          <cell r="E35" t="str">
            <v>CGN</v>
          </cell>
          <cell r="F35">
            <v>3</v>
          </cell>
          <cell r="G35" t="str">
            <v>CGN</v>
          </cell>
          <cell r="H35">
            <v>3</v>
          </cell>
          <cell r="I35" t="str">
            <v>AUTOCAT</v>
          </cell>
          <cell r="J35">
            <v>3</v>
          </cell>
          <cell r="K35" t="str">
            <v>CGN</v>
          </cell>
          <cell r="L35">
            <v>3</v>
          </cell>
          <cell r="M35" t="str">
            <v>AUTOCAT</v>
          </cell>
          <cell r="N35">
            <v>3</v>
          </cell>
          <cell r="O35" t="str">
            <v>CGR</v>
          </cell>
          <cell r="P35">
            <v>3</v>
          </cell>
          <cell r="Q35" t="str">
            <v>AUTOCAT</v>
          </cell>
          <cell r="R35">
            <v>3</v>
          </cell>
          <cell r="S35" t="str">
            <v>AUTOCAT</v>
          </cell>
          <cell r="T35">
            <v>3</v>
          </cell>
          <cell r="U35" t="str">
            <v>AUTOCAT</v>
          </cell>
          <cell r="V35">
            <v>3</v>
          </cell>
          <cell r="W35" t="str">
            <v>INF CGR</v>
          </cell>
          <cell r="X35">
            <v>3</v>
          </cell>
          <cell r="Y35" t="str">
            <v>AUTOCAT</v>
          </cell>
          <cell r="Z35">
            <v>3</v>
          </cell>
          <cell r="AA35" t="str">
            <v>AUTOCAT</v>
          </cell>
          <cell r="AB35">
            <v>3</v>
          </cell>
          <cell r="AC35" t="str">
            <v>AUTOCAT</v>
          </cell>
          <cell r="AD35">
            <v>2</v>
          </cell>
          <cell r="AE35" t="str">
            <v>AUTOCAT</v>
          </cell>
          <cell r="AG35" t="str">
            <v>AUTO CATEGORIZADA</v>
          </cell>
          <cell r="AH35" t="str">
            <v>DECRETO</v>
          </cell>
          <cell r="AI35" t="str">
            <v>0381</v>
          </cell>
          <cell r="AJ35">
            <v>42264</v>
          </cell>
          <cell r="AK35">
            <v>2</v>
          </cell>
          <cell r="AL35">
            <v>3</v>
          </cell>
          <cell r="AM35" t="str">
            <v>INFO CGR</v>
          </cell>
          <cell r="AN35">
            <v>3</v>
          </cell>
          <cell r="AO35" t="str">
            <v>INFO CGR</v>
          </cell>
          <cell r="AP35">
            <v>2</v>
          </cell>
          <cell r="AQ35" t="str">
            <v>AUTOCAT</v>
          </cell>
          <cell r="AR35">
            <v>3</v>
          </cell>
          <cell r="AS35" t="str">
            <v>INFO CGR</v>
          </cell>
          <cell r="AT35">
            <v>3</v>
          </cell>
          <cell r="AU35" t="str">
            <v>INFO CGR</v>
          </cell>
          <cell r="AV35">
            <v>3</v>
          </cell>
          <cell r="AW35" t="str">
            <v>INFO CGR</v>
          </cell>
          <cell r="AX35">
            <v>3</v>
          </cell>
          <cell r="AY35" t="str">
            <v>AUTOCAT</v>
          </cell>
          <cell r="AZ35">
            <v>3</v>
          </cell>
          <cell r="BA35" t="str">
            <v>INFO CGR</v>
          </cell>
          <cell r="BB35">
            <v>3</v>
          </cell>
        </row>
        <row r="36">
          <cell r="B36">
            <v>91</v>
          </cell>
          <cell r="C36" t="str">
            <v>AMAZONAS</v>
          </cell>
          <cell r="D36" t="str">
            <v>SIN</v>
          </cell>
          <cell r="E36"/>
          <cell r="F36">
            <v>4</v>
          </cell>
          <cell r="G36" t="str">
            <v>AUTOCAT</v>
          </cell>
          <cell r="H36">
            <v>4</v>
          </cell>
          <cell r="I36" t="str">
            <v>AUTOCAT</v>
          </cell>
          <cell r="J36">
            <v>4</v>
          </cell>
          <cell r="K36" t="str">
            <v>AUTOCAT</v>
          </cell>
          <cell r="L36">
            <v>4</v>
          </cell>
          <cell r="M36" t="str">
            <v>CGN</v>
          </cell>
          <cell r="N36">
            <v>4</v>
          </cell>
          <cell r="O36" t="str">
            <v>AUTOCAT</v>
          </cell>
          <cell r="P36">
            <v>4</v>
          </cell>
          <cell r="Q36" t="str">
            <v>CGN</v>
          </cell>
          <cell r="R36">
            <v>4</v>
          </cell>
          <cell r="S36" t="str">
            <v>INF CGR</v>
          </cell>
          <cell r="T36">
            <v>4</v>
          </cell>
          <cell r="U36" t="str">
            <v>AUTOCAT</v>
          </cell>
          <cell r="V36">
            <v>4</v>
          </cell>
          <cell r="W36" t="str">
            <v>AUTOCAT</v>
          </cell>
          <cell r="X36">
            <v>4</v>
          </cell>
          <cell r="Y36" t="str">
            <v>AUTOCAT</v>
          </cell>
          <cell r="Z36">
            <v>4</v>
          </cell>
          <cell r="AA36" t="str">
            <v>AUTOCAT</v>
          </cell>
          <cell r="AB36">
            <v>4</v>
          </cell>
          <cell r="AC36" t="str">
            <v>INF CGR</v>
          </cell>
          <cell r="AD36">
            <v>4</v>
          </cell>
          <cell r="AE36" t="str">
            <v>INF CGR</v>
          </cell>
          <cell r="AG36" t="str">
            <v>INF CGR</v>
          </cell>
          <cell r="AH36"/>
          <cell r="AI36"/>
          <cell r="AJ36"/>
          <cell r="AK36"/>
          <cell r="AL36">
            <v>4</v>
          </cell>
          <cell r="AM36" t="str">
            <v>INFO CGR</v>
          </cell>
          <cell r="AN36">
            <v>4</v>
          </cell>
          <cell r="AO36" t="str">
            <v>INFO CGR</v>
          </cell>
          <cell r="AP36">
            <v>4</v>
          </cell>
          <cell r="AQ36" t="str">
            <v>INFO CGR</v>
          </cell>
          <cell r="AR36">
            <v>4</v>
          </cell>
          <cell r="AS36" t="str">
            <v>INFO CGR</v>
          </cell>
          <cell r="AT36">
            <v>4</v>
          </cell>
          <cell r="AU36" t="str">
            <v>INFO CGR</v>
          </cell>
          <cell r="AV36">
            <v>4</v>
          </cell>
          <cell r="AW36" t="str">
            <v>INFO CGR</v>
          </cell>
          <cell r="AX36">
            <v>4</v>
          </cell>
          <cell r="AY36" t="str">
            <v>INFO CGR</v>
          </cell>
          <cell r="AZ36">
            <v>4</v>
          </cell>
          <cell r="BA36" t="str">
            <v>INFO CGR</v>
          </cell>
          <cell r="BB36">
            <v>4</v>
          </cell>
        </row>
        <row r="37">
          <cell r="B37">
            <v>94</v>
          </cell>
          <cell r="C37" t="str">
            <v>GUAINIA</v>
          </cell>
          <cell r="D37">
            <v>4</v>
          </cell>
          <cell r="E37" t="str">
            <v>CGN</v>
          </cell>
          <cell r="F37">
            <v>4</v>
          </cell>
          <cell r="G37" t="str">
            <v>CGN</v>
          </cell>
          <cell r="H37">
            <v>4</v>
          </cell>
          <cell r="I37" t="str">
            <v>CGN</v>
          </cell>
          <cell r="J37">
            <v>4</v>
          </cell>
          <cell r="K37" t="str">
            <v>CGN</v>
          </cell>
          <cell r="L37">
            <v>4</v>
          </cell>
          <cell r="M37" t="str">
            <v>CGN</v>
          </cell>
          <cell r="N37">
            <v>4</v>
          </cell>
          <cell r="O37" t="str">
            <v>CGN</v>
          </cell>
          <cell r="P37">
            <v>4</v>
          </cell>
          <cell r="Q37" t="str">
            <v>CGN</v>
          </cell>
          <cell r="R37">
            <v>4</v>
          </cell>
          <cell r="S37" t="str">
            <v>INF CGR</v>
          </cell>
          <cell r="T37">
            <v>4</v>
          </cell>
          <cell r="U37" t="str">
            <v>INF CGR</v>
          </cell>
          <cell r="V37">
            <v>4</v>
          </cell>
          <cell r="W37" t="str">
            <v>INF CGR</v>
          </cell>
          <cell r="X37">
            <v>4</v>
          </cell>
          <cell r="Y37" t="str">
            <v>AUTOCAT</v>
          </cell>
          <cell r="Z37">
            <v>4</v>
          </cell>
          <cell r="AA37" t="str">
            <v>AUTOCAT</v>
          </cell>
          <cell r="AB37">
            <v>4</v>
          </cell>
          <cell r="AC37" t="str">
            <v>INF CGR</v>
          </cell>
          <cell r="AD37">
            <v>4</v>
          </cell>
          <cell r="AE37" t="str">
            <v>AUTOCAT</v>
          </cell>
          <cell r="AG37" t="str">
            <v>AUTO CATEGORIZADA</v>
          </cell>
          <cell r="AH37" t="str">
            <v>DECRETO</v>
          </cell>
          <cell r="AI37" t="str">
            <v>0510</v>
          </cell>
          <cell r="AJ37">
            <v>42283</v>
          </cell>
          <cell r="AK37">
            <v>4</v>
          </cell>
          <cell r="AL37">
            <v>4</v>
          </cell>
          <cell r="AM37" t="str">
            <v>INFO CGR</v>
          </cell>
          <cell r="AN37">
            <v>4</v>
          </cell>
          <cell r="AO37" t="str">
            <v>INFO CGR</v>
          </cell>
          <cell r="AP37">
            <v>4</v>
          </cell>
          <cell r="AQ37" t="str">
            <v>AUTOCAT</v>
          </cell>
          <cell r="AR37">
            <v>4</v>
          </cell>
          <cell r="AS37" t="str">
            <v>AUTOCAT</v>
          </cell>
          <cell r="AT37">
            <v>4</v>
          </cell>
          <cell r="AU37" t="str">
            <v>INFO CGR</v>
          </cell>
          <cell r="AV37">
            <v>4</v>
          </cell>
          <cell r="AW37" t="str">
            <v>INFO CGR</v>
          </cell>
          <cell r="AX37">
            <v>4</v>
          </cell>
          <cell r="AY37" t="str">
            <v>INFO CGR</v>
          </cell>
          <cell r="AZ37">
            <v>4</v>
          </cell>
          <cell r="BA37" t="str">
            <v>AUTOCAT</v>
          </cell>
          <cell r="BB37">
            <v>4</v>
          </cell>
        </row>
        <row r="38">
          <cell r="B38">
            <v>95</v>
          </cell>
          <cell r="C38" t="str">
            <v>GUAVIARE</v>
          </cell>
          <cell r="D38">
            <v>4</v>
          </cell>
          <cell r="E38" t="str">
            <v>CGN</v>
          </cell>
          <cell r="F38">
            <v>4</v>
          </cell>
          <cell r="G38" t="str">
            <v>CGN</v>
          </cell>
          <cell r="H38">
            <v>4</v>
          </cell>
          <cell r="I38" t="str">
            <v>AUTOCAT</v>
          </cell>
          <cell r="J38">
            <v>4</v>
          </cell>
          <cell r="K38" t="str">
            <v>AUTOCAT</v>
          </cell>
          <cell r="L38">
            <v>4</v>
          </cell>
          <cell r="M38" t="str">
            <v>AUTOCAT</v>
          </cell>
          <cell r="N38">
            <v>4</v>
          </cell>
          <cell r="O38" t="str">
            <v>CGR</v>
          </cell>
          <cell r="P38">
            <v>4</v>
          </cell>
          <cell r="Q38" t="str">
            <v>AUTOCAT</v>
          </cell>
          <cell r="R38">
            <v>4</v>
          </cell>
          <cell r="S38" t="str">
            <v>AUTOCAT</v>
          </cell>
          <cell r="T38">
            <v>4</v>
          </cell>
          <cell r="U38" t="str">
            <v>AUTOCAT</v>
          </cell>
          <cell r="V38">
            <v>4</v>
          </cell>
          <cell r="W38" t="str">
            <v>INF CGR</v>
          </cell>
          <cell r="X38">
            <v>4</v>
          </cell>
          <cell r="Y38" t="str">
            <v>AUTOCAT</v>
          </cell>
          <cell r="Z38">
            <v>4</v>
          </cell>
          <cell r="AA38" t="str">
            <v>AUTOCAT</v>
          </cell>
          <cell r="AB38">
            <v>4</v>
          </cell>
          <cell r="AC38" t="str">
            <v>INF CGR</v>
          </cell>
          <cell r="AD38">
            <v>4</v>
          </cell>
          <cell r="AE38" t="str">
            <v>AUTOCAT</v>
          </cell>
          <cell r="AG38" t="str">
            <v>AUTO CATEGORIZADA</v>
          </cell>
          <cell r="AH38" t="str">
            <v>DECRETO</v>
          </cell>
          <cell r="AI38" t="str">
            <v>287</v>
          </cell>
          <cell r="AJ38">
            <v>42226</v>
          </cell>
          <cell r="AK38">
            <v>4</v>
          </cell>
          <cell r="AL38">
            <v>4</v>
          </cell>
          <cell r="AM38" t="str">
            <v>AUTOCAT</v>
          </cell>
          <cell r="AN38">
            <v>4</v>
          </cell>
          <cell r="AO38" t="str">
            <v>AUTOCAT</v>
          </cell>
          <cell r="AP38">
            <v>4</v>
          </cell>
          <cell r="AQ38" t="str">
            <v>AUTOCAT</v>
          </cell>
          <cell r="AR38">
            <v>4</v>
          </cell>
          <cell r="AS38" t="str">
            <v>AUTOCAT</v>
          </cell>
          <cell r="AT38">
            <v>4</v>
          </cell>
          <cell r="AU38" t="str">
            <v>AUTOCAT</v>
          </cell>
          <cell r="AV38">
            <v>4</v>
          </cell>
          <cell r="AW38" t="str">
            <v>AUTOCAT</v>
          </cell>
          <cell r="AX38">
            <v>4</v>
          </cell>
          <cell r="AY38" t="str">
            <v>AUTOCAT</v>
          </cell>
          <cell r="AZ38">
            <v>4</v>
          </cell>
          <cell r="BA38" t="str">
            <v>AUTOCAT</v>
          </cell>
          <cell r="BB38">
            <v>4</v>
          </cell>
        </row>
        <row r="39">
          <cell r="B39">
            <v>97</v>
          </cell>
          <cell r="C39" t="str">
            <v>VAUPES</v>
          </cell>
          <cell r="D39" t="str">
            <v>SIN</v>
          </cell>
          <cell r="E39"/>
          <cell r="F39">
            <v>4</v>
          </cell>
          <cell r="G39" t="str">
            <v>AUTOCAT</v>
          </cell>
          <cell r="H39">
            <v>4</v>
          </cell>
          <cell r="I39" t="str">
            <v>AUTOCAT</v>
          </cell>
          <cell r="J39">
            <v>4</v>
          </cell>
          <cell r="K39" t="str">
            <v>AUTOCAT</v>
          </cell>
          <cell r="L39">
            <v>4</v>
          </cell>
          <cell r="M39" t="str">
            <v>CGN</v>
          </cell>
          <cell r="N39">
            <v>4</v>
          </cell>
          <cell r="O39" t="str">
            <v>CGR</v>
          </cell>
          <cell r="P39">
            <v>4</v>
          </cell>
          <cell r="Q39" t="str">
            <v>AUTOCAT</v>
          </cell>
          <cell r="R39">
            <v>4</v>
          </cell>
          <cell r="S39" t="str">
            <v>INF CGR</v>
          </cell>
          <cell r="T39">
            <v>4</v>
          </cell>
          <cell r="U39" t="str">
            <v>INF CGR</v>
          </cell>
          <cell r="V39">
            <v>4</v>
          </cell>
          <cell r="W39" t="str">
            <v>INF CGR</v>
          </cell>
          <cell r="X39">
            <v>4</v>
          </cell>
          <cell r="Y39" t="str">
            <v>INF CGR</v>
          </cell>
          <cell r="Z39">
            <v>4</v>
          </cell>
          <cell r="AA39" t="str">
            <v>INF CGR</v>
          </cell>
          <cell r="AB39">
            <v>4</v>
          </cell>
          <cell r="AC39" t="str">
            <v>INF CGR</v>
          </cell>
          <cell r="AD39">
            <v>4</v>
          </cell>
          <cell r="AE39" t="str">
            <v>INF CGR</v>
          </cell>
          <cell r="AG39" t="str">
            <v>INF CGR</v>
          </cell>
          <cell r="AH39"/>
          <cell r="AI39"/>
          <cell r="AJ39"/>
          <cell r="AK39"/>
          <cell r="AL39">
            <v>4</v>
          </cell>
          <cell r="AM39" t="str">
            <v>INFO CGR</v>
          </cell>
          <cell r="AN39">
            <v>4</v>
          </cell>
          <cell r="AO39" t="str">
            <v>INFO CGR</v>
          </cell>
          <cell r="AP39">
            <v>4</v>
          </cell>
          <cell r="AQ39" t="str">
            <v>INFO CGR</v>
          </cell>
          <cell r="AR39">
            <v>4</v>
          </cell>
          <cell r="AS39" t="str">
            <v>INFO CGR</v>
          </cell>
          <cell r="AT39">
            <v>4</v>
          </cell>
          <cell r="AU39" t="str">
            <v>INFO CGR</v>
          </cell>
          <cell r="AV39">
            <v>4</v>
          </cell>
          <cell r="AW39" t="str">
            <v>AUTOCAT</v>
          </cell>
          <cell r="AX39">
            <v>4</v>
          </cell>
          <cell r="AY39" t="str">
            <v>INFO CGR</v>
          </cell>
          <cell r="AZ39">
            <v>4</v>
          </cell>
          <cell r="BA39" t="str">
            <v>AUTOCAT</v>
          </cell>
          <cell r="BB39">
            <v>4</v>
          </cell>
        </row>
        <row r="40">
          <cell r="B40">
            <v>99</v>
          </cell>
          <cell r="C40" t="str">
            <v>VICHADA</v>
          </cell>
          <cell r="D40" t="str">
            <v>SIN</v>
          </cell>
          <cell r="E40"/>
          <cell r="F40">
            <v>4</v>
          </cell>
          <cell r="G40" t="str">
            <v>CGN</v>
          </cell>
          <cell r="H40">
            <v>4</v>
          </cell>
          <cell r="I40" t="str">
            <v>AUTOCAT</v>
          </cell>
          <cell r="J40">
            <v>4</v>
          </cell>
          <cell r="K40" t="str">
            <v>AUTOCAT</v>
          </cell>
          <cell r="L40">
            <v>4</v>
          </cell>
          <cell r="M40" t="str">
            <v>AUTOCAT</v>
          </cell>
          <cell r="N40">
            <v>4</v>
          </cell>
          <cell r="O40" t="str">
            <v>CGR</v>
          </cell>
          <cell r="P40">
            <v>4</v>
          </cell>
          <cell r="Q40" t="str">
            <v>AUTOCAT</v>
          </cell>
          <cell r="R40">
            <v>4</v>
          </cell>
          <cell r="S40" t="str">
            <v>INF CGR</v>
          </cell>
          <cell r="T40">
            <v>4</v>
          </cell>
          <cell r="U40" t="str">
            <v>AUTOCAT</v>
          </cell>
          <cell r="V40">
            <v>4</v>
          </cell>
          <cell r="W40" t="str">
            <v>AUTOCAT</v>
          </cell>
          <cell r="X40">
            <v>4</v>
          </cell>
          <cell r="Y40" t="str">
            <v>INF CGR</v>
          </cell>
          <cell r="Z40">
            <v>4</v>
          </cell>
          <cell r="AA40" t="str">
            <v>AUTOCAT</v>
          </cell>
          <cell r="AB40">
            <v>4</v>
          </cell>
          <cell r="AC40" t="str">
            <v>INF CGR</v>
          </cell>
          <cell r="AD40">
            <v>4</v>
          </cell>
          <cell r="AE40" t="str">
            <v>AUTOCAT</v>
          </cell>
          <cell r="AG40" t="str">
            <v>AUTO CATEGORIZADA</v>
          </cell>
          <cell r="AH40" t="str">
            <v>DECRETO</v>
          </cell>
          <cell r="AI40" t="str">
            <v>354</v>
          </cell>
          <cell r="AJ40">
            <v>42227</v>
          </cell>
          <cell r="AK40">
            <v>4</v>
          </cell>
          <cell r="AL40">
            <v>4</v>
          </cell>
          <cell r="AM40" t="str">
            <v>AUTOCAT</v>
          </cell>
          <cell r="AN40">
            <v>4</v>
          </cell>
          <cell r="AO40" t="str">
            <v>AUTOCAT</v>
          </cell>
          <cell r="AP40">
            <v>4</v>
          </cell>
          <cell r="AQ40" t="str">
            <v>HISTORICO CGN</v>
          </cell>
          <cell r="AR40">
            <v>4</v>
          </cell>
          <cell r="AS40" t="str">
            <v>INFO CGR</v>
          </cell>
          <cell r="AT40">
            <v>4</v>
          </cell>
          <cell r="AU40" t="str">
            <v>AUTOCAT</v>
          </cell>
          <cell r="AV40">
            <v>4</v>
          </cell>
          <cell r="AW40" t="str">
            <v>AUTOCAT</v>
          </cell>
          <cell r="AX40">
            <v>4</v>
          </cell>
          <cell r="AY40" t="str">
            <v>AUTOCAT</v>
          </cell>
          <cell r="AZ40">
            <v>4</v>
          </cell>
          <cell r="BA40" t="str">
            <v>AUTOCAT</v>
          </cell>
          <cell r="BB40">
            <v>4</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Departamentos"/>
    </sheetNames>
    <sheetDataSet>
      <sheetData sheetId="0"/>
      <sheetData sheetId="1">
        <row r="42">
          <cell r="A42" t="str">
            <v>Amazonas</v>
          </cell>
          <cell r="B42">
            <v>10798250.430805</v>
          </cell>
        </row>
        <row r="43">
          <cell r="A43" t="str">
            <v>Antioquia</v>
          </cell>
          <cell r="B43">
            <v>6278580.5906779962</v>
          </cell>
        </row>
        <row r="44">
          <cell r="A44" t="str">
            <v>Arauca</v>
          </cell>
          <cell r="B44">
            <v>2371365.2615670003</v>
          </cell>
        </row>
        <row r="45">
          <cell r="A45" t="str">
            <v>Atlántico</v>
          </cell>
          <cell r="B45">
            <v>331338.44614199997</v>
          </cell>
        </row>
        <row r="46">
          <cell r="A46" t="str">
            <v>Bolívar</v>
          </cell>
          <cell r="B46">
            <v>2666277.6536619994</v>
          </cell>
        </row>
        <row r="47">
          <cell r="A47" t="str">
            <v>Boyacá</v>
          </cell>
          <cell r="B47">
            <v>2305746.1612489992</v>
          </cell>
        </row>
        <row r="48">
          <cell r="A48" t="str">
            <v>Caldas</v>
          </cell>
          <cell r="B48">
            <v>742220.83486000006</v>
          </cell>
        </row>
        <row r="49">
          <cell r="A49" t="str">
            <v>Caquetá</v>
          </cell>
          <cell r="B49">
            <v>9270907.4851400014</v>
          </cell>
        </row>
        <row r="50">
          <cell r="A50" t="str">
            <v>Casanare</v>
          </cell>
          <cell r="B50">
            <v>4426704.4033630006</v>
          </cell>
        </row>
        <row r="51">
          <cell r="A51" t="str">
            <v>Cauca</v>
          </cell>
          <cell r="B51">
            <v>3091866.855335</v>
          </cell>
        </row>
        <row r="52">
          <cell r="A52" t="str">
            <v>Cesar</v>
          </cell>
          <cell r="B52">
            <v>2249999.4542729999</v>
          </cell>
        </row>
        <row r="53">
          <cell r="A53" t="str">
            <v>Chocó</v>
          </cell>
          <cell r="B53">
            <v>4842831.5768200001</v>
          </cell>
        </row>
        <row r="54">
          <cell r="A54" t="str">
            <v>Córdoba</v>
          </cell>
          <cell r="B54">
            <v>2508375.1621310003</v>
          </cell>
        </row>
        <row r="55">
          <cell r="A55" t="str">
            <v>Cundinamarca</v>
          </cell>
          <cell r="B55">
            <v>2396365.3732999996</v>
          </cell>
        </row>
        <row r="56">
          <cell r="A56" t="str">
            <v>Guainía</v>
          </cell>
          <cell r="B56">
            <v>7091805.6026100004</v>
          </cell>
        </row>
        <row r="57">
          <cell r="A57" t="str">
            <v>Guaviare</v>
          </cell>
          <cell r="B57">
            <v>5540320.1006109994</v>
          </cell>
        </row>
        <row r="58">
          <cell r="A58" t="str">
            <v>Huila</v>
          </cell>
          <cell r="B58">
            <v>1813706.6736250001</v>
          </cell>
        </row>
        <row r="59">
          <cell r="A59" t="str">
            <v>La Guajira</v>
          </cell>
          <cell r="B59">
            <v>2057274.6967249999</v>
          </cell>
        </row>
        <row r="60">
          <cell r="A60" t="str">
            <v>Magdalena</v>
          </cell>
          <cell r="B60">
            <v>2310948.4170260001</v>
          </cell>
        </row>
        <row r="61">
          <cell r="A61" t="str">
            <v>Meta</v>
          </cell>
          <cell r="B61">
            <v>8266211.4632329997</v>
          </cell>
        </row>
        <row r="62">
          <cell r="A62" t="str">
            <v>N/A</v>
          </cell>
          <cell r="B62">
            <v>34209.908734999997</v>
          </cell>
        </row>
        <row r="63">
          <cell r="A63" t="str">
            <v>Nariño</v>
          </cell>
          <cell r="B63">
            <v>3150584.6970140012</v>
          </cell>
        </row>
        <row r="64">
          <cell r="A64" t="str">
            <v>Norte de Santander</v>
          </cell>
          <cell r="B64">
            <v>2195155.8718989994</v>
          </cell>
        </row>
        <row r="65">
          <cell r="A65" t="str">
            <v>Putumayo</v>
          </cell>
          <cell r="B65">
            <v>2570043.8747439999</v>
          </cell>
        </row>
        <row r="66">
          <cell r="A66" t="str">
            <v>Quindío</v>
          </cell>
          <cell r="B66">
            <v>193297.88121299999</v>
          </cell>
        </row>
        <row r="67">
          <cell r="A67" t="str">
            <v>Risaralda</v>
          </cell>
          <cell r="B67">
            <v>355650.75270700001</v>
          </cell>
        </row>
        <row r="68">
          <cell r="A68" t="str">
            <v>Archipiélago de San Andrés</v>
          </cell>
          <cell r="B68">
            <v>4988.876741</v>
          </cell>
        </row>
        <row r="69">
          <cell r="A69" t="str">
            <v>Santander</v>
          </cell>
          <cell r="B69">
            <v>3043699.8027260001</v>
          </cell>
        </row>
        <row r="70">
          <cell r="A70" t="str">
            <v>Sucre</v>
          </cell>
          <cell r="B70">
            <v>1058483.8713810001</v>
          </cell>
        </row>
        <row r="71">
          <cell r="A71" t="str">
            <v>Tolima</v>
          </cell>
          <cell r="B71">
            <v>2412813.0425779996</v>
          </cell>
        </row>
        <row r="72">
          <cell r="A72" t="str">
            <v>Valle del Cauca</v>
          </cell>
          <cell r="B72">
            <v>2067233.9433990002</v>
          </cell>
        </row>
        <row r="73">
          <cell r="A73" t="str">
            <v>Vaupés</v>
          </cell>
          <cell r="B73">
            <v>5306061.7560860002</v>
          </cell>
        </row>
        <row r="74">
          <cell r="A74" t="str">
            <v>Vichada</v>
          </cell>
          <cell r="B74">
            <v>9909473.0456969999</v>
          </cell>
        </row>
        <row r="75">
          <cell r="A75" t="str">
            <v>(en blanco)</v>
          </cell>
          <cell r="B75">
            <v>113662793.96807493</v>
          </cell>
        </row>
      </sheetData>
    </sheetDataSet>
  </externalBook>
</externalLink>
</file>

<file path=xl/persons/person.xml><?xml version="1.0" encoding="utf-8"?>
<personList xmlns="http://schemas.microsoft.com/office/spreadsheetml/2018/threadedcomments" xmlns:x="http://schemas.openxmlformats.org/spreadsheetml/2006/main">
  <person displayName="Liliana Munoz Bernal" id="{FBA18817-0309-45C9-ADEC-72FD8D391F7D}" userId="S::numunoz@dnp.gov.co::2324f3e0-d9ca-457e-9d37-4a3322601678" providerId="AD"/>
  <person displayName="Sindy Lorena Murcia Florez" id="{A3265705-E4EB-4E58-929F-AC7C79AE65B1}" userId="S::smurcia@dnp.gov.co::4b175f4e-f540-40fc-b3d8-a6481cd9e9d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planeacionnacional.sharepoint.com/sites/MDinterno/Documentos%20compartidos/Informaci&#243;n%20SD/03%20TIPOLOG&#205;AS/24.%20Vigencia%202026/09_Fichas%20departamentales/01_Tipolog&#237;as_2026_nueva%20metodologia.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580.983270486111" createdVersion="8" refreshedVersion="8" minRefreshableVersion="3" recordCount="32" xr:uid="{678BE34C-B662-475B-840A-CB98B9E04639}">
  <cacheSource type="worksheet">
    <worksheetSource ref="A3:BY35" sheet="Departamentos"/>
  </cacheSource>
  <cacheFields count="65">
    <cacheField name="cod_dep_txt" numFmtId="0">
      <sharedItems/>
    </cacheField>
    <cacheField name="cod_dep_txt_corto" numFmtId="0">
      <sharedItems/>
    </cacheField>
    <cacheField name="cod_dep" numFmtId="0">
      <sharedItems containsSemiMixedTypes="0" containsString="0" containsNumber="1" containsInteger="1" minValue="5" maxValue="99"/>
    </cacheField>
    <cacheField name="Pais" numFmtId="0">
      <sharedItems/>
    </cacheField>
    <cacheField name="Departamento" numFmtId="0">
      <sharedItems/>
    </cacheField>
    <cacheField name="IC 2024" numFmtId="2">
      <sharedItems containsSemiMixedTypes="0" containsString="0" containsNumber="1" minValue="59.166222578555306" maxValue="86.807321050377936"/>
    </cacheField>
    <cacheField name="IC_pond_2024" numFmtId="2">
      <sharedItems containsSemiMixedTypes="0" containsString="0" containsNumber="1" minValue="15.23273299156423" maxValue="63.122228466967897"/>
    </cacheField>
    <cacheField name="Z_IC_pond_2024" numFmtId="2">
      <sharedItems containsSemiMixedTypes="0" containsString="0" containsNumber="1" minValue="0" maxValue="1"/>
    </cacheField>
    <cacheField name="Tipología 2024" numFmtId="0">
      <sharedItems containsSemiMixedTypes="0" containsString="0" containsNumber="1" containsInteger="1" minValue="1" maxValue="3"/>
    </cacheField>
    <cacheField name="IDI_2020" numFmtId="164">
      <sharedItems containsSemiMixedTypes="0" containsString="0" containsNumber="1" minValue="54.93" maxValue="98.186804756425005"/>
    </cacheField>
    <cacheField name="IDI_2021" numFmtId="164">
      <sharedItems containsSemiMixedTypes="0" containsString="0" containsNumber="1" minValue="57.580966666666697" maxValue="98.731403170950003"/>
    </cacheField>
    <cacheField name="IDI_2022" numFmtId="0">
      <sharedItems containsSemiMixedTypes="0" containsString="0" containsNumber="1" minValue="46.92" maxValue="90.61"/>
    </cacheField>
    <cacheField name="IDI_2023" numFmtId="0">
      <sharedItems containsSemiMixedTypes="0" containsString="0" containsNumber="1" minValue="53.47" maxValue="93.36"/>
    </cacheField>
    <cacheField name="IDF_2020" numFmtId="2">
      <sharedItems containsSemiMixedTypes="0" containsString="0" containsNumber="1" minValue="38.857279272800881" maxValue="73.550686132216313"/>
    </cacheField>
    <cacheField name="IDF_2021" numFmtId="2">
      <sharedItems containsSemiMixedTypes="0" containsString="0" containsNumber="1" minValue="40.293189955343266" maxValue="75.965847648560668"/>
    </cacheField>
    <cacheField name="IDF_2022" numFmtId="2">
      <sharedItems containsSemiMixedTypes="0" containsString="0" containsNumber="1" minValue="40.171050290088061" maxValue="74.95498647627592"/>
    </cacheField>
    <cacheField name="IDF_2023" numFmtId="2">
      <sharedItems containsSemiMixedTypes="0" containsString="0" containsNumber="1" minValue="42.085960409147482" maxValue="73.040468377285023"/>
    </cacheField>
    <cacheField name="IDF_2020C" numFmtId="0">
      <sharedItems/>
    </cacheField>
    <cacheField name="IDF_2021C" numFmtId="0">
      <sharedItems/>
    </cacheField>
    <cacheField name="IDF_2022C" numFmtId="0">
      <sharedItems/>
    </cacheField>
    <cacheField name="IDF_2023C" numFmtId="0">
      <sharedItems/>
    </cacheField>
    <cacheField name="IDI_prom" numFmtId="164">
      <sharedItems containsSemiMixedTypes="0" containsString="0" containsNumber="1" minValue="55.220183333333324" maxValue="94.589551981843755"/>
    </cacheField>
    <cacheField name="IDF_prom" numFmtId="2">
      <sharedItems containsSemiMixedTypes="0" containsString="0" containsNumber="1" minValue="44.660449797563629" maxValue="71.928564970077957"/>
    </cacheField>
    <cacheField name="IC 2025" numFmtId="2">
      <sharedItems containsSemiMixedTypes="0" containsString="0" containsNumber="1" minValue="49.940316565448477" maxValue="83.259058475960856"/>
    </cacheField>
    <cacheField name="IDD_2024" numFmtId="2">
      <sharedItems containsSemiMixedTypes="0" containsString="0" containsNumber="1" minValue="31.447759389871777" maxValue="91.086772914962779"/>
    </cacheField>
    <cacheField name="IDDr_2024" numFmtId="2">
      <sharedItems containsSemiMixedTypes="0" containsString="0" containsNumber="1" minValue="0" maxValue="59.639013525091002"/>
    </cacheField>
    <cacheField name="IDDr_jenk_2024" numFmtId="2">
      <sharedItems containsSemiMixedTypes="0" containsString="0" containsNumber="1" containsInteger="1" minValue="1" maxValue="3" count="3">
        <n v="1"/>
        <n v="3"/>
        <n v="2"/>
      </sharedItems>
    </cacheField>
    <cacheField name="Ponderador_2025_IDD2024" numFmtId="2">
      <sharedItems containsSemiMixedTypes="0" containsString="0" containsNumber="1" minValue="0.28246173582854223" maxValue="0.78187868387923143"/>
    </cacheField>
    <cacheField name="IC_pond_2025" numFmtId="2">
      <sharedItems containsSemiMixedTypes="0" containsString="0" containsNumber="1" minValue="14.106228504903479" maxValue="65.098483062208246"/>
    </cacheField>
    <cacheField name="Z_IC_pond_2025_IDD2024" numFmtId="2">
      <sharedItems containsSemiMixedTypes="0" containsString="0" containsNumber="1" minValue="0" maxValue="1"/>
    </cacheField>
    <cacheField name="Tipología_2025_IDD_2024" numFmtId="2">
      <sharedItems containsSemiMixedTypes="0" containsString="0" containsNumber="1" containsInteger="1" minValue="1" maxValue="3"/>
    </cacheField>
    <cacheField name="v2025VSv2024" numFmtId="2">
      <sharedItems/>
    </cacheField>
    <cacheField name="v2025VSv20242" numFmtId="2">
      <sharedItems containsSemiMixedTypes="0" containsString="0" containsNumber="1" containsInteger="1" minValue="-1" maxValue="0"/>
    </cacheField>
    <cacheField name="IC2025vsIC2024" numFmtId="2">
      <sharedItems containsSemiMixedTypes="0" containsString="0" containsNumber="1" minValue="-12.698873574693337" maxValue="0.83688638689463346"/>
    </cacheField>
    <cacheField name="Diferencia z" numFmtId="2">
      <sharedItems containsSemiMixedTypes="0" containsString="0" containsNumber="1" minValue="-0.13530026224280189" maxValue="6.5404736460228818E-2"/>
    </cacheField>
    <cacheField name="Tip2025_ran2024" numFmtId="2">
      <sharedItems containsSemiMixedTypes="0" containsString="0" containsNumber="1" containsInteger="1" minValue="1" maxValue="3"/>
    </cacheField>
    <cacheField name="TipV2025_rang2025vsTip2025_ran2024" numFmtId="2">
      <sharedItems/>
    </cacheField>
    <cacheField name="Cambios Z_Icpond" numFmtId="2">
      <sharedItems/>
    </cacheField>
    <cacheField name="IDD_2025" numFmtId="2">
      <sharedItems containsSemiMixedTypes="0" containsString="0" containsNumber="1" minValue="34.850467453597787" maxValue="94.281581391216093"/>
    </cacheField>
    <cacheField name="IDD_jenk_2025" numFmtId="1">
      <sharedItems containsSemiMixedTypes="0" containsString="0" containsNumber="1" containsInteger="1" minValue="1" maxValue="3" count="3">
        <n v="1"/>
        <n v="2"/>
        <n v="3"/>
      </sharedItems>
    </cacheField>
    <cacheField name="Ponderador" numFmtId="2">
      <sharedItems containsSemiMixedTypes="0" containsString="0" containsNumber="1" minValue="0.10851749367146865" maxValue="0.64656438100216296"/>
    </cacheField>
    <cacheField name="IDDr_2025" numFmtId="2">
      <sharedItems containsSemiMixedTypes="0" containsString="0" containsNumber="1" minValue="0" maxValue="59.431113937618306"/>
    </cacheField>
    <cacheField name="IDDr_jenks" numFmtId="1">
      <sharedItems containsSemiMixedTypes="0" containsString="0" containsNumber="1" containsInteger="1" minValue="1" maxValue="3" count="3">
        <n v="1"/>
        <n v="2"/>
        <n v="3"/>
      </sharedItems>
    </cacheField>
    <cacheField name="Ponderador2" numFmtId="0">
      <sharedItems containsNonDate="0" containsString="0" containsBlank="1"/>
    </cacheField>
    <cacheField name="IC_pond" numFmtId="2">
      <sharedItems containsSemiMixedTypes="0" containsString="0" containsNumber="1" minValue="5.4193979868421964" maxValue="53.83234160633252"/>
    </cacheField>
    <cacheField name="Z_IC_pond_2025_IDD2025" numFmtId="2">
      <sharedItems containsSemiMixedTypes="0" containsString="0" containsNumber="1" minValue="0" maxValue="1"/>
    </cacheField>
    <cacheField name="Tipología1" numFmtId="2">
      <sharedItems containsSemiMixedTypes="0" containsString="0" containsNumber="1" containsInteger="1" minValue="1" maxValue="3"/>
    </cacheField>
    <cacheField name="v2025VSv20243" numFmtId="2">
      <sharedItems/>
    </cacheField>
    <cacheField name="v2025VSv20244" numFmtId="2">
      <sharedItems containsSemiMixedTypes="0" containsString="0" containsNumber="1" containsInteger="1" minValue="-1" maxValue="0"/>
    </cacheField>
    <cacheField name="IC2025vsIC20242" numFmtId="2">
      <sharedItems containsSemiMixedTypes="0" containsString="0" containsNumber="1" minValue="-12.698873574693337" maxValue="0.83688638689463346"/>
    </cacheField>
    <cacheField name="Diferencia z2" numFmtId="2">
      <sharedItems containsSemiMixedTypes="0" containsString="0" containsNumber="1" minValue="-9.1734737356073959E-2" maxValue="0.3399579636942392"/>
    </cacheField>
    <cacheField name="Tip2025_ran20242" numFmtId="2">
      <sharedItems containsSemiMixedTypes="0" containsString="0" containsNumber="1" containsInteger="1" minValue="1" maxValue="3"/>
    </cacheField>
    <cacheField name="TipV2025_rang2025vsTip2025_ran20242" numFmtId="2">
      <sharedItems/>
    </cacheField>
    <cacheField name="Cambios Z_Icpond2" numFmtId="2">
      <sharedItems/>
    </cacheField>
    <cacheField name="Cambio IDD jenks" numFmtId="2">
      <sharedItems containsSemiMixedTypes="0" containsString="0" containsNumber="1" containsInteger="1" minValue="-1" maxValue="0"/>
    </cacheField>
    <cacheField name="Cambios_Tipologías" numFmtId="1">
      <sharedItems containsSemiMixedTypes="0" containsString="0" containsNumber="1" containsInteger="1" minValue="0" maxValue="0"/>
    </cacheField>
    <cacheField name="IPM_2018" numFmtId="2">
      <sharedItems containsSemiMixedTypes="0" containsString="0" containsNumber="1" minValue="8.5" maxValue="68.5"/>
    </cacheField>
    <cacheField name="NBI_2018" numFmtId="164">
      <sharedItems containsSemiMixedTypes="0" containsString="0" containsNumber="1" minValue="6.2504435535423282" maxValue="68.936228981804376"/>
    </cacheField>
    <cacheField name="Cat 617_2023" numFmtId="0">
      <sharedItems containsMixedTypes="1" containsNumber="1" containsInteger="1" minValue="1" maxValue="4"/>
    </cacheField>
    <cacheField name="AA_V2025_Ha" numFmtId="4">
      <sharedItems containsSemiMixedTypes="0" containsString="0" containsNumber="1" minValue="1045.084063" maxValue="5850259.8512260001"/>
    </cacheField>
    <cacheField name="% _AA_V2025" numFmtId="10">
      <sharedItems containsSemiMixedTypes="0" containsString="0" containsNumber="1" minValue="5.5400323235012663E-2" maxValue="0.63103477192710355"/>
    </cacheField>
    <cacheField name="Rangos_AA_V2025" numFmtId="2">
      <sharedItems/>
    </cacheField>
    <cacheField name="ATE_V2025_Ha" numFmtId="4">
      <sharedItems containsSemiMixedTypes="0" containsString="0" containsNumber="1" minValue="0" maxValue="9164278.2629630007"/>
    </cacheField>
    <cacheField name="% _ATE_V2025" numFmtId="10">
      <sharedItems containsSemiMixedTypes="0" containsString="0" containsNumber="1" minValue="0" maxValue="0.91268825097574002"/>
    </cacheField>
    <cacheField name="Rangos_ATE_V2025"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iana Munoz Bernal" refreshedDate="45568.731599305553" createdVersion="8" refreshedVersion="8" minRefreshableVersion="3" recordCount="1103" xr:uid="{561AB5AA-9771-4D80-ABE1-E94ED67364EB}">
  <cacheSource type="worksheet">
    <worksheetSource ref="A2:AC1105" sheet="Municipios" r:id="rId2"/>
  </cacheSource>
  <cacheFields count="53">
    <cacheField name="Codigo_DANE_num" numFmtId="0">
      <sharedItems containsSemiMixedTypes="0" containsString="0" containsNumber="1" containsInteger="1" minValue="5001" maxValue="99773"/>
    </cacheField>
    <cacheField name="Codigo_DANE" numFmtId="0">
      <sharedItems/>
    </cacheField>
    <cacheField name="Codigo_DANE_dep" numFmtId="0">
      <sharedItems/>
    </cacheField>
    <cacheField name="País" numFmtId="0">
      <sharedItems/>
    </cacheField>
    <cacheField name="Departamento" numFmtId="0">
      <sharedItems/>
    </cacheField>
    <cacheField name="Municipio" numFmtId="0">
      <sharedItems/>
    </cacheField>
    <cacheField name="Tipología 2024" numFmtId="0">
      <sharedItems containsMixedTypes="1" containsNumber="1" containsInteger="1" minValue="1" maxValue="5" count="9">
        <n v="1"/>
        <s v="Ciudades grandes"/>
        <s v="Bogotá"/>
        <s v="SC- Centro aglomeración_x000a_"/>
        <n v="2"/>
        <n v="3"/>
        <n v="4"/>
        <n v="5"/>
        <s v="N.D."/>
      </sharedItems>
    </cacheField>
    <cacheField name="Especial" numFmtId="0">
      <sharedItems containsSemiMixedTypes="0" containsString="0" containsNumber="1" containsInteger="1" minValue="0" maxValue="1"/>
    </cacheField>
    <cacheField name="Ciudad_capital" numFmtId="0">
      <sharedItems containsSemiMixedTypes="0" containsString="0" containsNumber="1" containsInteger="1" minValue="0" maxValue="1"/>
    </cacheField>
    <cacheField name="PDET" numFmtId="0">
      <sharedItems containsSemiMixedTypes="0" containsString="0" containsNumber="1" containsInteger="1" minValue="0" maxValue="1"/>
    </cacheField>
    <cacheField name="IDI_2020" numFmtId="2">
      <sharedItems containsMixedTypes="1" containsNumber="1" minValue="15.13" maxValue="97.698120444955904"/>
    </cacheField>
    <cacheField name="IDI_2021" numFmtId="2">
      <sharedItems containsMixedTypes="1" containsNumber="1" minValue="22.172633333333302" maxValue="98.415413629970601"/>
    </cacheField>
    <cacheField name="IDI_2022" numFmtId="0">
      <sharedItems containsMixedTypes="1" containsNumber="1" minValue="13.66" maxValue="97.18"/>
    </cacheField>
    <cacheField name="IDI_2023" numFmtId="0">
      <sharedItems containsMixedTypes="1" containsNumber="1" minValue="2.67" maxValue="97.75"/>
    </cacheField>
    <cacheField name="IDF_2020" numFmtId="2">
      <sharedItems containsMixedTypes="1" containsNumber="1" minValue="17.588961446560575" maxValue="80.7994415391302"/>
    </cacheField>
    <cacheField name="IDF_2021" numFmtId="2">
      <sharedItems containsMixedTypes="1" containsNumber="1" minValue="21.026624090858725" maxValue="85.778165683202474"/>
    </cacheField>
    <cacheField name="IDF_2022" numFmtId="2">
      <sharedItems containsMixedTypes="1" containsNumber="1" minValue="29.056797733347679" maxValue="82.908132551957024"/>
    </cacheField>
    <cacheField name="IDF_2023" numFmtId="2">
      <sharedItems containsMixedTypes="1" containsNumber="1" minValue="5.9835292062067129" maxValue="90.065246221784676"/>
    </cacheField>
    <cacheField name="IDF_2020C" numFmtId="2">
      <sharedItems/>
    </cacheField>
    <cacheField name="IDF_2021C" numFmtId="2">
      <sharedItems/>
    </cacheField>
    <cacheField name="IDF_2022C" numFmtId="2">
      <sharedItems/>
    </cacheField>
    <cacheField name="IDF_2023C" numFmtId="2">
      <sharedItems/>
    </cacheField>
    <cacheField name="IDI_prom" numFmtId="2">
      <sharedItems containsMixedTypes="1" containsNumber="1" minValue="27.070358333333321" maxValue="96.878383518731624"/>
    </cacheField>
    <cacheField name="IDF_prom" numFmtId="2">
      <sharedItems containsMixedTypes="1" containsNumber="1" minValue="30.285817581345537" maxValue="80.904692506381494"/>
    </cacheField>
    <cacheField name="IC" numFmtId="2">
      <sharedItems containsMixedTypes="1" containsNumber="1" minValue="33.839432211988466" maxValue="88.891538012556566"/>
    </cacheField>
    <cacheField name="IDD" numFmtId="2">
      <sharedItems containsSemiMixedTypes="0" containsString="0" containsNumber="1" minValue="0" maxValue="100"/>
    </cacheField>
    <cacheField name="IDD_jenk" numFmtId="1">
      <sharedItems containsSemiMixedTypes="0" containsString="0" containsNumber="1" containsInteger="1" minValue="1" maxValue="5" count="5">
        <n v="1"/>
        <n v="2"/>
        <n v="3"/>
        <n v="4"/>
        <n v="5"/>
      </sharedItems>
    </cacheField>
    <cacheField name="IDDr" numFmtId="1">
      <sharedItems containsSemiMixedTypes="0" containsString="0" containsNumber="1" minValue="0" maxValue="100"/>
    </cacheField>
    <cacheField name="Ponderador" numFmtId="2">
      <sharedItems containsMixedTypes="1" containsNumber="1" minValue="0.35881802248113021" maxValue="1.1166517821440873"/>
    </cacheField>
    <cacheField name="IC_pond" numFmtId="2">
      <sharedItems containsMixedTypes="1" containsNumber="1" minValue="13.640318952308144" maxValue="93.583106133817225"/>
    </cacheField>
    <cacheField name="Z_ICpond1" numFmtId="2">
      <sharedItems containsMixedTypes="1" containsNumber="1" minValue="0" maxValue="1"/>
    </cacheField>
    <cacheField name="Tipología1" numFmtId="0">
      <sharedItems containsMixedTypes="1" containsNumber="1" containsInteger="1" minValue="1" maxValue="5"/>
    </cacheField>
    <cacheField name="v2025VSv2024" numFmtId="0">
      <sharedItems/>
    </cacheField>
    <cacheField name="v2025VSv20242" numFmtId="0">
      <sharedItems containsSemiMixedTypes="0" containsString="0" containsNumber="1" containsInteger="1" minValue="-2" maxValue="2"/>
    </cacheField>
    <cacheField name="Ponderador2" numFmtId="2">
      <sharedItems containsSemiMixedTypes="0" containsString="0" containsNumber="1" minValue="0.35881802248113037" maxValue="1.1053083370280605"/>
    </cacheField>
    <cacheField name="IC_pond2" numFmtId="2">
      <sharedItems containsMixedTypes="1" containsNumber="1" minValue="13.640318952308149" maxValue="98.25255805652553"/>
    </cacheField>
    <cacheField name="Z_ICpond2" numFmtId="2">
      <sharedItems containsMixedTypes="1" containsNumber="1" minValue="0" maxValue="1"/>
    </cacheField>
    <cacheField name="Tipología2" numFmtId="0">
      <sharedItems containsMixedTypes="1" containsNumber="1" containsInteger="1" minValue="1" maxValue="5"/>
    </cacheField>
    <cacheField name="v2025VSv20243" numFmtId="0">
      <sharedItems/>
    </cacheField>
    <cacheField name="v2025VSv20244" numFmtId="0">
      <sharedItems containsSemiMixedTypes="0" containsString="0" containsNumber="1" containsInteger="1" minValue="-2" maxValue="2"/>
    </cacheField>
    <cacheField name="IDD_sinEsp" numFmtId="164">
      <sharedItems containsMixedTypes="1" containsNumber="1" minValue="0" maxValue="100"/>
    </cacheField>
    <cacheField name="IDD_jenk_sinEsp" numFmtId="0">
      <sharedItems containsMixedTypes="1" containsNumber="1" containsInteger="1" minValue="1" maxValue="5" count="6">
        <n v="1"/>
        <s v="N.D."/>
        <n v="2"/>
        <n v="3"/>
        <n v="4"/>
        <n v="5"/>
      </sharedItems>
    </cacheField>
    <cacheField name="IDDr_sinEsp" numFmtId="164">
      <sharedItems containsMixedTypes="1" containsNumber="1" minValue="0" maxValue="100"/>
    </cacheField>
    <cacheField name="Ponderador3" numFmtId="2">
      <sharedItems containsMixedTypes="1" containsNumber="1" minValue="0.35666977852479015" maxValue="1.0959480328186668"/>
    </cacheField>
    <cacheField name="IC_pond3" numFmtId="2">
      <sharedItems containsMixedTypes="1" containsNumber="1" minValue="13.558654345415697" maxValue="91.847989420199895"/>
    </cacheField>
    <cacheField name="Z_ICpond3" numFmtId="2">
      <sharedItems containsMixedTypes="1" containsNumber="1" minValue="0" maxValue="1"/>
    </cacheField>
    <cacheField name="Tipología3" numFmtId="0">
      <sharedItems containsMixedTypes="1" containsNumber="1" containsInteger="1" minValue="1" maxValue="5"/>
    </cacheField>
    <cacheField name="v2025VSv20245" numFmtId="0">
      <sharedItems/>
    </cacheField>
    <cacheField name="v2025VSv20246" numFmtId="0">
      <sharedItems containsSemiMixedTypes="0" containsString="0" containsNumber="1" containsInteger="1" minValue="-2" maxValue="2"/>
    </cacheField>
    <cacheField name="Pond_prueba" numFmtId="2">
      <sharedItems containsMixedTypes="1" containsNumber="1" minValue="0" maxValue="0.19989596855933939"/>
    </cacheField>
    <cacheField name="IC_pond_prueba" numFmtId="2">
      <sharedItems containsMixedTypes="1" containsNumber="1" minValue="0" maxValue="16.752658206027029"/>
    </cacheField>
    <cacheField name="Z_ICpond4" numFmtId="2">
      <sharedItems containsMixedTypes="1" containsNumber="1" minValue="0" maxValue="1"/>
    </cacheField>
    <cacheField name="Tipología_4" numFmtId="1">
      <sharedItems containsMixedTypes="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iana Munoz Bernal" refreshedDate="45950.883735069445" createdVersion="8" refreshedVersion="8" minRefreshableVersion="3" recordCount="1103" xr:uid="{52BF39E8-4720-485B-8756-FE3624B6F365}">
  <cacheSource type="worksheet">
    <worksheetSource ref="A2:CU1105" sheet="Municipios"/>
  </cacheSource>
  <cacheFields count="94">
    <cacheField name="Codigo_DANE_num" numFmtId="0">
      <sharedItems containsSemiMixedTypes="0" containsString="0" containsNumber="1" containsInteger="1" minValue="5001" maxValue="99773"/>
    </cacheField>
    <cacheField name="Codigo_DANE_txt" numFmtId="0">
      <sharedItems/>
    </cacheField>
    <cacheField name="Codigo_DANE_dpto" numFmtId="0">
      <sharedItems count="33">
        <s v="68"/>
        <s v="05"/>
        <s v="08"/>
        <s v="76"/>
        <s v="11"/>
        <s v="25"/>
        <s v="66"/>
        <s v="63"/>
        <s v="13"/>
        <s v="70"/>
        <s v="15"/>
        <s v="17"/>
        <s v="54"/>
        <s v="19"/>
        <s v="23"/>
        <s v="73"/>
        <s v="50"/>
        <s v="47"/>
        <s v="52"/>
        <s v="41"/>
        <s v="20"/>
        <s v="44"/>
        <s v="86"/>
        <s v="85"/>
        <s v="18"/>
        <s v="81"/>
        <s v="27"/>
        <s v="95"/>
        <s v="97"/>
        <s v="99"/>
        <s v="94"/>
        <s v="88"/>
        <s v="91"/>
      </sharedItems>
    </cacheField>
    <cacheField name="Departamento" numFmtId="0">
      <sharedItems count="33">
        <s v="SANTANDER"/>
        <s v="ANTIOQUIA"/>
        <s v="ATLÁNTICO"/>
        <s v="VALLE DEL CAUCA"/>
        <s v="BOGOTÁ. D.C."/>
        <s v="CUNDINAMARCA"/>
        <s v="RISARALDA"/>
        <s v="QUINDÍO"/>
        <s v="BOLÍVAR"/>
        <s v="SUCRE"/>
        <s v="BOYACÁ"/>
        <s v="CALDAS"/>
        <s v="NORTE DE SANTANDER"/>
        <s v="CAUCA"/>
        <s v="CÓRDOBA"/>
        <s v="TOLIMA"/>
        <s v="META"/>
        <s v="MAGDALENA"/>
        <s v="NARIÑO"/>
        <s v="HUILA"/>
        <s v="CESAR"/>
        <s v="LA GUAJIRA"/>
        <s v="PUTUMAYO"/>
        <s v="CASANARE"/>
        <s v="CAQUETÁ"/>
        <s v="ARAUCA"/>
        <s v="CHOCÓ"/>
        <s v="GUAVIARE"/>
        <s v="VAUPÉS"/>
        <s v="VICHADA"/>
        <s v="GUAINÍA"/>
        <s v="ARCHIPIÉLAGO DE SAN ANDRÉS. PROVIDENCIA Y SANTA CATALINA"/>
        <s v="AMAZONAS"/>
      </sharedItems>
    </cacheField>
    <cacheField name="Municipio" numFmtId="0">
      <sharedItems/>
    </cacheField>
    <cacheField name="IDI_2021" numFmtId="2">
      <sharedItems containsMixedTypes="1" containsNumber="1" minValue="22.172633333333302" maxValue="98.415413629970601"/>
    </cacheField>
    <cacheField name="IDI_2022" numFmtId="0">
      <sharedItems containsMixedTypes="1" containsNumber="1" minValue="0" maxValue="97.18"/>
    </cacheField>
    <cacheField name="IDI_2023" numFmtId="0">
      <sharedItems containsMixedTypes="1" containsNumber="1" minValue="0" maxValue="97.75"/>
    </cacheField>
    <cacheField name="IDI_2024" numFmtId="0">
      <sharedItems containsMixedTypes="1" containsNumber="1" minValue="0" maxValue="98.09"/>
    </cacheField>
    <cacheField name="IDF_2021" numFmtId="2">
      <sharedItems containsMixedTypes="1" containsNumber="1" minValue="21.026624090858725" maxValue="85.778165683202474"/>
    </cacheField>
    <cacheField name="IDF_2022" numFmtId="2">
      <sharedItems containsMixedTypes="1" containsNumber="1" minValue="29.056797733347679" maxValue="82.908132551957024"/>
    </cacheField>
    <cacheField name="IDF_2023" numFmtId="2">
      <sharedItems containsMixedTypes="1" containsNumber="1" minValue="5.9835292062067129" maxValue="90.065246221784676"/>
    </cacheField>
    <cacheField name="IDF_2024" numFmtId="2">
      <sharedItems containsSemiMixedTypes="0" containsString="0" containsNumber="1" minValue="27.426100000000002" maxValue="81.096100000000007"/>
    </cacheField>
    <cacheField name="IDI_prom" numFmtId="2">
      <sharedItems containsMixedTypes="1" containsNumber="1" minValue="17.312008333333324" maxValue="96.758853407492637"/>
    </cacheField>
    <cacheField name="IDF_prom" numFmtId="2">
      <sharedItems containsSemiMixedTypes="0" containsString="0" containsNumber="1" minValue="32.789928661974713" maxValue="83.075975973808866"/>
    </cacheField>
    <cacheField name="IC_2026" numFmtId="2">
      <sharedItems containsSemiMixedTypes="0" containsString="0" containsNumber="1" minValue="31.309925429739465" maxValue="89.917414690650759"/>
    </cacheField>
    <cacheField name="IDD_2026" numFmtId="2">
      <sharedItems containsSemiMixedTypes="0" containsString="0" containsNumber="1" minValue="0" maxValue="100"/>
    </cacheField>
    <cacheField name="IDDr_2026" numFmtId="1">
      <sharedItems containsSemiMixedTypes="0" containsString="0" containsNumber="1" minValue="0" maxValue="100"/>
    </cacheField>
    <cacheField name="Pond_2026" numFmtId="0">
      <sharedItems containsSemiMixedTypes="0" containsString="0" containsNumber="1" minValue="0.1" maxValue="1"/>
    </cacheField>
    <cacheField name="T_Especiales" numFmtId="0">
      <sharedItems containsSemiMixedTypes="0" containsString="0" containsNumber="1" containsInteger="1" minValue="0" maxValue="1"/>
    </cacheField>
    <cacheField name="ICPond_2026" numFmtId="0">
      <sharedItems containsSemiMixedTypes="0" containsString="0" containsNumber="1" minValue="4.8376540401080623" maxValue="84.251983735459675"/>
    </cacheField>
    <cacheField name="Tipología_2026_CortesR" numFmtId="0">
      <sharedItems containsMixedTypes="1" containsNumber="1" containsInteger="1" minValue="1" maxValue="5"/>
    </cacheField>
    <cacheField name="Tipologia_2026R" numFmtId="0">
      <sharedItems containsMixedTypes="1" containsNumber="1" containsInteger="1" minValue="1" maxValue="5"/>
    </cacheField>
    <cacheField name="Diferencias" numFmtId="2">
      <sharedItems/>
    </cacheField>
    <cacheField name="Tipología_2026_CortesArcMap" numFmtId="1">
      <sharedItems containsMixedTypes="1" containsNumber="1" containsInteger="1" minValue="1" maxValue="5" count="7">
        <n v="1"/>
        <s v="Ciudades grandes"/>
        <s v="Bogotá"/>
        <n v="2"/>
        <n v="3"/>
        <n v="4"/>
        <n v="5"/>
      </sharedItems>
    </cacheField>
    <cacheField name="IC_2025" numFmtId="2">
      <sharedItems containsMixedTypes="1" containsNumber="1" minValue="33.839432211988466" maxValue="88.891538012556566"/>
    </cacheField>
    <cacheField name="Pond_2025a" numFmtId="0">
      <sharedItems containsSemiMixedTypes="0" containsString="0" containsNumber="1" minValue="0.10000009" maxValue="1"/>
    </cacheField>
    <cacheField name="ICPond_2025a" numFmtId="2">
      <sharedItems containsMixedTypes="1" containsNumber="1" minValue="4.7499036952289533" maxValue="83.806883784421984"/>
    </cacheField>
    <cacheField name="Tipoogía2025a" numFmtId="0">
      <sharedItems containsMixedTypes="1" containsNumber="1" containsInteger="1" minValue="1" maxValue="5"/>
    </cacheField>
    <cacheField name="Saltos_2026vs2025A" numFmtId="0">
      <sharedItems containsSemiMixedTypes="0" containsString="0" containsNumber="1" containsInteger="1" minValue="-1" maxValue="1"/>
    </cacheField>
    <cacheField name="IC2026vsIC2025" numFmtId="2">
      <sharedItems containsMixedTypes="1" containsNumber="1" minValue="-12.104364132147197" maxValue="9.2849604079042365"/>
    </cacheField>
    <cacheField name="Pond2025Avs2026" numFmtId="0">
      <sharedItems containsSemiMixedTypes="0" containsString="0" containsNumber="1" minValue="-5.7211208449674644E-2" maxValue="3.0608894872739989E-2"/>
    </cacheField>
    <cacheField name="ICPond2025Avs2026" numFmtId="0">
      <sharedItems containsSemiMixedTypes="0" containsString="0" containsNumber="1" minValue="-6.3770281989868778" maxValue="4.7434671818215435"/>
    </cacheField>
    <cacheField name="Tip2026_Cortes2025A" numFmtId="0">
      <sharedItems containsSemiMixedTypes="0" containsString="0" containsNumber="1" containsInteger="1" minValue="1" maxValue="5"/>
    </cacheField>
    <cacheField name="TipV2026_cor2026vsTip2026_ran2025" numFmtId="0">
      <sharedItems/>
    </cacheField>
    <cacheField name="Cambios" numFmtId="0">
      <sharedItems containsMixedTypes="1" containsNumber="1" containsInteger="1" minValue="0" maxValue="0"/>
    </cacheField>
    <cacheField name="Pond2025p" numFmtId="165">
      <sharedItems containsMixedTypes="1" containsNumber="1" minValue="0.35881802248113021" maxValue="1.1166517821440873"/>
    </cacheField>
    <cacheField name="ICPond_2025p" numFmtId="165">
      <sharedItems containsMixedTypes="1" containsNumber="1" minValue="13.640318952308144" maxValue="93.583106133817225"/>
    </cacheField>
    <cacheField name="Z_ICPond_2025p" numFmtId="165">
      <sharedItems containsMixedTypes="1" containsNumber="1" minValue="0" maxValue="1"/>
    </cacheField>
    <cacheField name="Tipoogía2025_p" numFmtId="0">
      <sharedItems containsMixedTypes="1" containsNumber="1" containsInteger="1" minValue="1" maxValue="5"/>
    </cacheField>
    <cacheField name="Saltos_2026vs2025p" numFmtId="0">
      <sharedItems containsSemiMixedTypes="0" containsString="0" containsNumber="1" containsInteger="1" minValue="-2" maxValue="2"/>
    </cacheField>
    <cacheField name="Z_ICPond_p*100" numFmtId="0">
      <sharedItems containsMixedTypes="1" containsNumber="1" minValue="0" maxValue="100"/>
    </cacheField>
    <cacheField name="Tip2026_Cortes2025P" numFmtId="0">
      <sharedItems containsSemiMixedTypes="0" containsString="0" containsNumber="1" containsInteger="1" minValue="1" maxValue="5"/>
    </cacheField>
    <cacheField name="Pond2025Pvs2026" numFmtId="165">
      <sharedItems containsMixedTypes="1" containsNumber="1" minValue="-0.4290868062244646" maxValue="-6.2034599254052192E-3"/>
    </cacheField>
    <cacheField name="TipV2026_cor2026vsTip2026_ran20252" numFmtId="0">
      <sharedItems/>
    </cacheField>
    <cacheField name="Cambios2" numFmtId="0">
      <sharedItems containsMixedTypes="1" containsNumber="1" containsInteger="1" minValue="0" maxValue="0"/>
    </cacheField>
    <cacheField name="Tipología_2024" numFmtId="0">
      <sharedItems containsMixedTypes="1" containsNumber="1" containsInteger="1" minValue="1" maxValue="5"/>
    </cacheField>
    <cacheField name="Saltos_2026vs2024" numFmtId="0">
      <sharedItems containsSemiMixedTypes="0" containsString="0" containsNumber="1" containsInteger="1" minValue="-2" maxValue="2"/>
    </cacheField>
    <cacheField name="Ciudad_capital" numFmtId="0">
      <sharedItems containsSemiMixedTypes="0" containsString="0" containsNumber="1" containsInteger="1" minValue="0" maxValue="1"/>
    </cacheField>
    <cacheField name="Ciudades intermedias" numFmtId="0">
      <sharedItems containsSemiMixedTypes="0" containsString="0" containsNumber="1" containsInteger="1" minValue="0" maxValue="1"/>
    </cacheField>
    <cacheField name="Distritos" numFmtId="0">
      <sharedItems containsSemiMixedTypes="0" containsString="0" containsNumber="1" containsInteger="1" minValue="0" maxValue="1"/>
    </cacheField>
    <cacheField name="PDET" numFmtId="0">
      <sharedItems containsSemiMixedTypes="0" containsString="0" containsNumber="1" containsInteger="1" minValue="0" maxValue="1"/>
    </cacheField>
    <cacheField name="ZOMAC" numFmtId="0">
      <sharedItems containsSemiMixedTypes="0" containsString="0" containsNumber="1" containsInteger="1" minValue="0" maxValue="1"/>
    </cacheField>
    <cacheField name="Cat_Ruralidad 2024" numFmtId="0">
      <sharedItems/>
    </cacheField>
    <cacheField name="Cat 617_2025" numFmtId="0">
      <sharedItems containsMixedTypes="1" containsNumber="1" containsInteger="1" minValue="1" maxValue="6"/>
    </cacheField>
    <cacheField name="Sistema_de_ciudades_2019" numFmtId="0">
      <sharedItems/>
    </cacheField>
    <cacheField name="EAT" numFmtId="0">
      <sharedItems containsNonDate="0" containsString="0" containsBlank="1"/>
    </cacheField>
    <cacheField name="EC_educ_2025" numFmtId="0">
      <sharedItems/>
    </cacheField>
    <cacheField name="EC_salud_2025" numFmtId="0">
      <sharedItems/>
    </cacheField>
    <cacheField name="IPM_2018" numFmtId="2">
      <sharedItems containsMixedTypes="1" containsNumber="1" minValue="4.5" maxValue="92.2"/>
    </cacheField>
    <cacheField name="NBI_2018" numFmtId="2">
      <sharedItems containsMixedTypes="1" containsNumber="1" minValue="1.5913267181183388" maxValue="93.444015116130956"/>
    </cacheField>
    <cacheField name="IRCA_2024" numFmtId="2">
      <sharedItems containsMixedTypes="1" containsNumber="1" minValue="0" maxValue="96.9"/>
    </cacheField>
    <cacheField name="IRCA_2024C" numFmtId="0">
      <sharedItems/>
    </cacheField>
    <cacheField name="IICA_2023" numFmtId="0">
      <sharedItems containsMixedTypes="1" containsNumber="1" minValue="0" maxValue="100"/>
    </cacheField>
    <cacheField name="IICA_2023C" numFmtId="0">
      <sharedItems/>
    </cacheField>
    <cacheField name="IngresosTot_2024" numFmtId="3">
      <sharedItems containsSemiMixedTypes="0" containsString="0" containsNumber="1" minValue="4719.4295529999999" maxValue="25039940.850430999"/>
    </cacheField>
    <cacheField name="IngresosTrib_2024" numFmtId="3">
      <sharedItems containsSemiMixedTypes="0" containsString="0" containsNumber="1" minValue="1219.275157" maxValue="16376496.4677286"/>
    </cacheField>
    <cacheField name="Poblacion_2024" numFmtId="3">
      <sharedItems containsSemiMixedTypes="0" containsString="0" containsNumber="1" containsInteger="1" minValue="1055" maxValue="7918660"/>
    </cacheField>
    <cacheField name="Ingresos_totales_pc_2023" numFmtId="165">
      <sharedItems containsSemiMixedTypes="0" containsString="0" containsNumber="1" minValue="0.76668152150140878" maxValue="13.04496073540175"/>
    </cacheField>
    <cacheField name="Ingresos_propios_pc_2023" numFmtId="165">
      <sharedItems containsSemiMixedTypes="0" containsString="0" containsNumber="1" minValue="9.6654576121596086E-2" maxValue="12.043580999681783"/>
    </cacheField>
    <cacheField name="MDM_educacion" numFmtId="0">
      <sharedItems containsNonDate="0" containsString="0" containsBlank="1"/>
    </cacheField>
    <cacheField name="MDM_salud" numFmtId="0">
      <sharedItems containsNonDate="0" containsString="0" containsBlank="1"/>
    </cacheField>
    <cacheField name="MDM_servicios" numFmtId="0">
      <sharedItems containsNonDate="0" containsString="0" containsBlank="1"/>
    </cacheField>
    <cacheField name="MDM_seguridad" numFmtId="0">
      <sharedItems containsNonDate="0" containsString="0" containsBlank="1"/>
    </cacheField>
    <cacheField name="MDM_gestion" numFmtId="0">
      <sharedItems containsNonDate="0" containsString="0" containsBlank="1"/>
    </cacheField>
    <cacheField name="MDM_resultados" numFmtId="0">
      <sharedItems containsNonDate="0" containsString="0" containsBlank="1"/>
    </cacheField>
    <cacheField name="MDM_2023" numFmtId="0">
      <sharedItems containsNonDate="0" containsString="0" containsBlank="1"/>
    </cacheField>
    <cacheField name="Subregiones funcionales JF" numFmtId="0">
      <sharedItems containsMixedTypes="1" containsNumber="1" containsInteger="1" minValue="0" maxValue="100"/>
    </cacheField>
    <cacheField name="Subregiones funcionales JF_nodos" numFmtId="0">
      <sharedItems containsMixedTypes="1" containsNumber="1" containsInteger="1" minValue="0" maxValue="1"/>
    </cacheField>
    <cacheField name="Jerarquía HM" numFmtId="0">
      <sharedItems containsMixedTypes="1" containsNumber="1" containsInteger="1" minValue="1" maxValue="7"/>
    </cacheField>
    <cacheField name="Area_municipal" numFmtId="0">
      <sharedItems containsMixedTypes="1" containsNumber="1" minValue="1573.2851519999999" maxValue="6518750.5245519998"/>
    </cacheField>
    <cacheField name="AA_V2026_Ha" numFmtId="3">
      <sharedItems containsMixedTypes="1" containsNumber="1" minValue="0" maxValue="3413627.469724"/>
    </cacheField>
    <cacheField name="% _AA_V2026" numFmtId="0">
      <sharedItems containsMixedTypes="1" containsNumber="1" minValue="0" maxValue="1.000000000649097"/>
    </cacheField>
    <cacheField name="Rangos_AA_V2026" numFmtId="0">
      <sharedItems containsMixedTypes="1" containsNumber="1" containsInteger="1" minValue="0" maxValue="0"/>
    </cacheField>
    <cacheField name="% ambiental mpio del total nacional" numFmtId="0">
      <sharedItems containsMixedTypes="1" containsNumber="1" minValue="0" maxValue="9.9315291327042352E-2"/>
    </cacheField>
    <cacheField name="ATE_V2026_Ha" numFmtId="0">
      <sharedItems containsMixedTypes="1" containsNumber="1" minValue="3.57E-4" maxValue="3653157.8841800001"/>
    </cacheField>
    <cacheField name="% _ATE_V2026" numFmtId="10">
      <sharedItems containsMixedTypes="1" containsNumber="1" minValue="1.8125391675593314E-8" maxValue="0.99974859760782964"/>
    </cacheField>
    <cacheField name="Rangos_ATE_V2026" numFmtId="0">
      <sharedItems containsMixedTypes="1" containsNumber="1" containsInteger="1" minValue="0" maxValue="0"/>
    </cacheField>
    <cacheField name="CalMonitoreoSGP2023" numFmtId="0">
      <sharedItems containsSemiMixedTypes="0" containsString="0" containsNumber="1" minValue="0.46530326525327215" maxValue="0.99711995712636903"/>
    </cacheField>
    <cacheField name="CalMonitoreoSGP2023_C" numFmtId="0">
      <sharedItems/>
    </cacheField>
    <cacheField name="Requisitos_Reslución1166/2022" numFmtId="0">
      <sharedItems containsSemiMixedTypes="0" containsString="0" containsNumber="1" containsInteger="1" minValue="0" maxValue="3"/>
    </cacheField>
    <cacheField name="Calificación Final delegación de la competencia" numFmtId="0">
      <sharedItems/>
    </cacheField>
    <cacheField name="Municipiofronterizo_OT" numFmtId="0">
      <sharedItems containsSemiMixedTypes="0" containsString="0" containsNumber="1" containsInteger="1" minValue="0" maxValue="1"/>
    </cacheField>
    <cacheField name="Tipo_Frontera"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05000"/>
    <s v="05"/>
    <n v="5"/>
    <s v="Colombia"/>
    <s v="Antioquia"/>
    <n v="81.354762921589497"/>
    <n v="59.157382924331394"/>
    <n v="0.91720845034433773"/>
    <n v="1"/>
    <n v="93.14"/>
    <n v="95.363966666666698"/>
    <n v="88.81"/>
    <n v="93.36"/>
    <n v="65.636264881346705"/>
    <n v="67.021451072467954"/>
    <n v="63.706604590308586"/>
    <n v="68.843584130551861"/>
    <s v="3. Vulnerable (&gt;=60 y &lt;70)"/>
    <s v="3. Vulnerable (&gt;=60 y &lt;70)"/>
    <s v="3. Vulnerable (&gt;=60 y &lt;70)"/>
    <s v="3. Vulnerable (&gt;=60 y &lt;70)"/>
    <n v="92.668491666666682"/>
    <n v="66.301976168668773"/>
    <n v="79.485233917667728"/>
    <n v="44.784611921483268"/>
    <n v="46.302160993479511"/>
    <x v="0"/>
    <n v="0.78187868387923143"/>
    <n v="62.147810083378886"/>
    <n v="0.94213487902337378"/>
    <n v="1"/>
    <b v="1"/>
    <n v="0"/>
    <n v="-1.8695290039217696"/>
    <n v="2.492642867903605E-2"/>
    <n v="1"/>
    <b v="1"/>
    <s v="Efecto ponderador"/>
    <n v="49.25424353031547"/>
    <x v="0"/>
    <n v="0.64656438100216296"/>
    <n v="45.027337860900623"/>
    <x v="0"/>
    <m/>
    <n v="51.392321066788959"/>
    <n v="0.94959983101376122"/>
    <n v="1"/>
    <b v="1"/>
    <n v="0"/>
    <n v="-1.8695290039217696"/>
    <n v="3.2391380669423486E-2"/>
    <n v="1"/>
    <b v="1"/>
    <s v="Efecto ponderador"/>
    <n v="0"/>
    <n v="0"/>
    <n v="15.3"/>
    <n v="10.733471443609803"/>
    <s v="ESP"/>
    <n v="1143169.8478020001"/>
    <n v="0.18205947361686139"/>
    <s v="0% - 30%"/>
    <n v="612872.31499400001"/>
    <n v="9.7605103280751254E-2"/>
    <s v="0,01% - 30%"/>
  </r>
  <r>
    <s v="08000"/>
    <s v="08"/>
    <n v="8"/>
    <s v="Colombia"/>
    <s v="Atlántico"/>
    <n v="74.523390885432605"/>
    <n v="54.189928322675151"/>
    <n v="0.81348101382942273"/>
    <n v="1"/>
    <n v="71.73"/>
    <n v="77.991200000000006"/>
    <n v="86.61"/>
    <n v="82.46"/>
    <n v="65.270209361179894"/>
    <n v="75.965847648560668"/>
    <n v="74.95498647627592"/>
    <n v="67.899974692601404"/>
    <s v="3. Vulnerable (&gt;=60 y &lt;70)"/>
    <s v="4. Solvente (&gt;=70 y &lt;80)"/>
    <s v="4. Solvente (&gt;=70 y &lt;80)"/>
    <s v="3. Vulnerable (&gt;=60 y &lt;70)"/>
    <n v="79.697800000000001"/>
    <n v="71.022754544654475"/>
    <n v="75.360277272327238"/>
    <n v="31.447759389871777"/>
    <n v="59.639013525091002"/>
    <x v="0"/>
    <n v="0.78187868387923143"/>
    <n v="58.92259441046118"/>
    <n v="0.87888575028965155"/>
    <n v="1"/>
    <b v="1"/>
    <n v="0"/>
    <n v="0.83688638689463346"/>
    <n v="6.5404736460228818E-2"/>
    <n v="1"/>
    <b v="1"/>
    <s v="Efecto ponderador"/>
    <n v="34.850467453597787"/>
    <x v="0"/>
    <n v="0.64656438100216296"/>
    <n v="59.431113937618306"/>
    <x v="0"/>
    <m/>
    <n v="48.72527102673363"/>
    <n v="0.89451022396533519"/>
    <n v="1"/>
    <b v="1"/>
    <n v="0"/>
    <n v="0.83688638689463346"/>
    <n v="8.1029210135912466E-2"/>
    <n v="1"/>
    <b v="1"/>
    <s v="Efecto ponderador"/>
    <n v="0"/>
    <n v="0"/>
    <n v="21.1"/>
    <n v="11.369719838009548"/>
    <n v="1"/>
    <n v="24031.596799999999"/>
    <n v="7.2555655027296523E-2"/>
    <s v="0% - 30%"/>
    <n v="330.35170399999998"/>
    <n v="9.9739041365339378E-4"/>
    <s v="0,01% - 30%"/>
  </r>
  <r>
    <s v="13000"/>
    <s v="13"/>
    <n v="13"/>
    <s v="Colombia"/>
    <s v="Bolívar"/>
    <n v="73.477413551232303"/>
    <n v="53.429342470447956"/>
    <n v="0.79759891182194098"/>
    <n v="2"/>
    <n v="75.88"/>
    <n v="81.516400000000004"/>
    <n v="77.53"/>
    <n v="67.78"/>
    <n v="46.408403775507892"/>
    <n v="56.849877568087607"/>
    <n v="41.829241910614492"/>
    <n v="42.085960409147482"/>
    <s v="2. Riesgo (&gt;=40 y &lt;60)"/>
    <s v="2. Riesgo (&gt;=40 y &lt;60)"/>
    <s v="2. Riesgo (&gt;=40 y &lt;60)"/>
    <s v="2. Riesgo (&gt;=40 y &lt;60)"/>
    <n v="75.676600000000008"/>
    <n v="46.793370915839368"/>
    <n v="61.234985457919691"/>
    <n v="47.853898267700544"/>
    <n v="43.232874647262236"/>
    <x v="0"/>
    <n v="0.78187868387923143"/>
    <n v="47.878329837202124"/>
    <n v="0.66229864957913909"/>
    <n v="2"/>
    <b v="1"/>
    <n v="0"/>
    <n v="-12.242428093312611"/>
    <n v="-0.13530026224280189"/>
    <n v="2"/>
    <b v="1"/>
    <s v="Cambio en corte"/>
    <n v="52.578855651858568"/>
    <x v="0"/>
    <n v="0.64656438100216296"/>
    <n v="41.702725739357525"/>
    <x v="0"/>
    <m/>
    <n v="39.592360468276297"/>
    <n v="0.70586417446586702"/>
    <n v="2"/>
    <b v="1"/>
    <n v="0"/>
    <n v="-12.242428093312611"/>
    <n v="-9.1734737356073959E-2"/>
    <n v="2"/>
    <b v="1"/>
    <s v="Cambio en corte"/>
    <n v="0"/>
    <n v="0"/>
    <n v="31.9"/>
    <n v="26.729485735420205"/>
    <n v="1"/>
    <n v="770170.50913000002"/>
    <n v="0.28851940342104154"/>
    <s v="0% - 30%"/>
    <n v="4245.4156849999999"/>
    <n v="1.5904073009679204E-3"/>
    <s v="0,01% - 30%"/>
  </r>
  <r>
    <s v="15000"/>
    <s v="15"/>
    <n v="15"/>
    <s v="Colombia"/>
    <s v="Boyacá"/>
    <n v="78.516910590146551"/>
    <n v="57.093829285613509"/>
    <n v="0.8741185489320803"/>
    <n v="1"/>
    <n v="78.53"/>
    <n v="85.624766666666702"/>
    <n v="87.79"/>
    <n v="88.26"/>
    <n v="44.924049321577627"/>
    <n v="57.508622733549423"/>
    <n v="44.625743579637593"/>
    <n v="57.261420293666461"/>
    <s v="2. Riesgo (&gt;=40 y &lt;60)"/>
    <s v="2. Riesgo (&gt;=40 y &lt;60)"/>
    <s v="2. Riesgo (&gt;=40 y &lt;60)"/>
    <s v="2. Riesgo (&gt;=40 y &lt;60)"/>
    <n v="85.051191666666682"/>
    <n v="51.079958982107783"/>
    <n v="68.065575324387225"/>
    <n v="50.23495232493466"/>
    <n v="40.851820590028119"/>
    <x v="0"/>
    <n v="0.78187868387923143"/>
    <n v="53.219022452114572"/>
    <n v="0.76703401892647027"/>
    <n v="1"/>
    <b v="1"/>
    <n v="0"/>
    <n v="-10.451335265759326"/>
    <n v="-0.10708453000561002"/>
    <n v="2"/>
    <b v="0"/>
    <s v="Cambio en corte"/>
    <n v="55.510414248999219"/>
    <x v="0"/>
    <n v="0.64656438100216296"/>
    <n v="38.771167142216875"/>
    <x v="0"/>
    <m/>
    <n v="44.008776577168526"/>
    <n v="0.7970880451646577"/>
    <n v="1"/>
    <b v="1"/>
    <n v="0"/>
    <n v="-10.451335265759326"/>
    <n v="-7.7030503767422598E-2"/>
    <n v="2"/>
    <b v="0"/>
    <s v="Cambio en corte"/>
    <n v="0"/>
    <n v="0"/>
    <n v="16.5"/>
    <n v="10.151535362697757"/>
    <n v="1"/>
    <n v="793604.45607700001"/>
    <n v="0.34363421135023509"/>
    <s v="31% - 50%"/>
    <n v="171474.07109700001"/>
    <n v="7.424902511222109E-2"/>
    <s v="0,01% - 30%"/>
  </r>
  <r>
    <s v="17000"/>
    <s v="17"/>
    <n v="17"/>
    <s v="Colombia"/>
    <s v="Caldas"/>
    <n v="85.013761330910697"/>
    <n v="61.818035629181104"/>
    <n v="0.97276661980169266"/>
    <n v="1"/>
    <n v="97.5285769083237"/>
    <n v="98.290117938882503"/>
    <n v="86.53"/>
    <n v="82.72"/>
    <n v="66.657356765300747"/>
    <n v="63.593460729914398"/>
    <n v="60.504718834772305"/>
    <n v="61.555646180142674"/>
    <s v="3. Vulnerable (&gt;=60 y &lt;70)"/>
    <s v="3. Vulnerable (&gt;=60 y &lt;70)"/>
    <s v="3. Vulnerable (&gt;=60 y &lt;70)"/>
    <s v="3. Vulnerable (&gt;=60 y &lt;70)"/>
    <n v="91.267173711801547"/>
    <n v="63.077795627532524"/>
    <n v="77.172484669667028"/>
    <n v="43.180119938130247"/>
    <n v="47.906652976832532"/>
    <x v="0"/>
    <n v="0.78187868387923143"/>
    <n v="60.33952074520942"/>
    <n v="0.90667283966331136"/>
    <n v="1"/>
    <b v="1"/>
    <n v="0"/>
    <n v="-7.8412766612436684"/>
    <n v="-6.6093780138381297E-2"/>
    <n v="1"/>
    <b v="1"/>
    <s v="Cambio en corte"/>
    <n v="47.754297268762912"/>
    <x v="0"/>
    <n v="0.64656438100216296"/>
    <n v="46.527284122453182"/>
    <x v="0"/>
    <m/>
    <n v="49.896979780842173"/>
    <n v="0.91871261007343441"/>
    <n v="1"/>
    <b v="1"/>
    <n v="0"/>
    <n v="-7.8412766612436684"/>
    <n v="-5.4054009728258245E-2"/>
    <n v="1"/>
    <b v="1"/>
    <s v="Cambio en corte"/>
    <n v="0"/>
    <n v="0"/>
    <n v="13.8"/>
    <n v="8.9481232728163143"/>
    <n v="2"/>
    <n v="138404.72579699999"/>
    <n v="0.18647984357331338"/>
    <s v="0% - 30%"/>
    <n v="6199.0930060000001"/>
    <n v="8.3523585441065782E-3"/>
    <s v="0,01% - 30%"/>
  </r>
  <r>
    <s v="18000"/>
    <s v="18"/>
    <n v="18"/>
    <s v="Colombia"/>
    <s v="Caquetá"/>
    <n v="69.971915996889237"/>
    <n v="17.918997772577502"/>
    <n v="5.609298561921483E-2"/>
    <n v="3"/>
    <n v="68.52"/>
    <n v="70.503"/>
    <n v="62.04"/>
    <n v="60.5"/>
    <n v="49.806224210797701"/>
    <n v="48.242112877432511"/>
    <n v="49.601751666582217"/>
    <n v="48.971250622754766"/>
    <s v="2. Riesgo (&gt;=40 y &lt;60)"/>
    <s v="2. Riesgo (&gt;=40 y &lt;60)"/>
    <s v="2. Riesgo (&gt;=40 y &lt;60)"/>
    <s v="2. Riesgo (&gt;=40 y &lt;60)"/>
    <n v="65.390749999999997"/>
    <n v="49.155334844391803"/>
    <n v="57.2730424221959"/>
    <n v="64.619543865970684"/>
    <n v="26.467229048992095"/>
    <x v="1"/>
    <n v="0.28246173582854223"/>
    <n v="16.177442978755192"/>
    <n v="4.0618217253447685E-2"/>
    <n v="3"/>
    <b v="1"/>
    <n v="0"/>
    <n v="-12.698873574693337"/>
    <n v="-1.5474768365767146E-2"/>
    <n v="3"/>
    <b v="1"/>
    <s v="Cambio en corte"/>
    <n v="71.197396689764147"/>
    <x v="1"/>
    <n v="0.42940603862296323"/>
    <n v="23.084184701451946"/>
    <x v="1"/>
    <m/>
    <n v="24.593390266400064"/>
    <n v="0.39605094931345403"/>
    <n v="3"/>
    <b v="1"/>
    <n v="0"/>
    <n v="-12.698873574693337"/>
    <n v="0.3399579636942392"/>
    <n v="3"/>
    <b v="1"/>
    <s v="Efecto ponderador"/>
    <n v="-1"/>
    <n v="0"/>
    <n v="26.9"/>
    <n v="23.621613242158567"/>
    <n v="4"/>
    <n v="5850259.8512260001"/>
    <n v="0.63103477192710355"/>
    <s v="51% - 70%"/>
    <n v="1490813.2582960001"/>
    <n v="0.16080567844137225"/>
    <s v="0,01% - 30%"/>
  </r>
  <r>
    <s v="19000"/>
    <s v="19"/>
    <n v="19"/>
    <s v="Colombia"/>
    <s v="Cauca"/>
    <n v="65.013178428194465"/>
    <n v="47.274546114914038"/>
    <n v="0.66907811003786166"/>
    <n v="2"/>
    <n v="57.71"/>
    <n v="60.338500000000003"/>
    <n v="79.98"/>
    <n v="85.95"/>
    <n v="55.642418596543294"/>
    <n v="51.612100493011042"/>
    <n v="47.400745099247189"/>
    <n v="49.134093336695301"/>
    <s v="2. Riesgo (&gt;=40 y &lt;60)"/>
    <s v="2. Riesgo (&gt;=40 y &lt;60)"/>
    <s v="2. Riesgo (&gt;=40 y &lt;60)"/>
    <s v="2. Riesgo (&gt;=40 y &lt;60)"/>
    <n v="70.994624999999999"/>
    <n v="50.947339381374206"/>
    <n v="60.970982190687103"/>
    <n v="47.421731786071469"/>
    <n v="43.665041128891311"/>
    <x v="0"/>
    <n v="0.78187868387923143"/>
    <n v="47.671911310078492"/>
    <n v="0.65825061269754437"/>
    <n v="2"/>
    <b v="1"/>
    <n v="0"/>
    <n v="-4.0421962375073619"/>
    <n v="-1.0827497340317294E-2"/>
    <n v="2"/>
    <b v="1"/>
    <s v="Cambio en corte"/>
    <n v="52.401387264502297"/>
    <x v="0"/>
    <n v="0.64656438100216296"/>
    <n v="41.880194126713796"/>
    <x v="0"/>
    <m/>
    <n v="39.42166535921551"/>
    <n v="0.70233835892359398"/>
    <n v="2"/>
    <b v="1"/>
    <n v="0"/>
    <n v="-4.0421962375073619"/>
    <n v="3.3260248885732313E-2"/>
    <n v="2"/>
    <b v="1"/>
    <s v="Efecto ponderador"/>
    <n v="0"/>
    <n v="0"/>
    <n v="27.7"/>
    <n v="18.807900065882443"/>
    <n v="3"/>
    <n v="908168.20987100003"/>
    <n v="0.29051525349994001"/>
    <s v="0% - 30%"/>
    <n v="1031200.93045"/>
    <n v="0.32987236996724351"/>
    <s v="31% - 50%"/>
  </r>
  <r>
    <s v="20000"/>
    <s v="20"/>
    <n v="20"/>
    <s v="Colombia"/>
    <s v="Cesar"/>
    <n v="72.987182179238005"/>
    <n v="53.072869119004004"/>
    <n v="0.79015524702854101"/>
    <n v="2"/>
    <n v="78.989999999999995"/>
    <n v="81.887366666666694"/>
    <n v="70.540000000000006"/>
    <n v="78.95"/>
    <n v="63.964067437015117"/>
    <n v="68.377552000934728"/>
    <n v="62.088111579544844"/>
    <n v="73.040468377285023"/>
    <s v="3. Vulnerable (&gt;=60 y &lt;70)"/>
    <s v="3. Vulnerable (&gt;=60 y &lt;70)"/>
    <s v="3. Vulnerable (&gt;=60 y &lt;70)"/>
    <s v="4. Solvente (&gt;=70 y &lt;80)"/>
    <n v="77.591841666666667"/>
    <n v="66.867549848694935"/>
    <n v="72.229695757680801"/>
    <n v="49.266044300756064"/>
    <n v="41.820728614206715"/>
    <x v="0"/>
    <n v="0.78187868387923143"/>
    <n v="56.474859456012773"/>
    <n v="0.83088365711493894"/>
    <n v="1"/>
    <b v="0"/>
    <n v="-1"/>
    <n v="-0.75748642155720347"/>
    <n v="4.0728410086397937E-2"/>
    <n v="1"/>
    <b v="0"/>
    <s v="Efecto ponderador"/>
    <n v="54.285178785127435"/>
    <x v="0"/>
    <n v="0.64656438100216296"/>
    <n v="39.996402606088658"/>
    <x v="0"/>
    <m/>
    <n v="46.701148527539445"/>
    <n v="0.85270069230159007"/>
    <n v="1"/>
    <b v="0"/>
    <n v="-1"/>
    <n v="-0.75748642155720347"/>
    <n v="6.2545445273049061E-2"/>
    <n v="1"/>
    <b v="0"/>
    <s v="Efecto ponderador"/>
    <n v="0"/>
    <n v="0"/>
    <n v="31.7"/>
    <n v="23.043061203402029"/>
    <n v="2"/>
    <n v="635591.49097499996"/>
    <n v="0.28212248431264225"/>
    <s v="0% - 30%"/>
    <n v="177870.48732399999"/>
    <n v="7.8952069815738019E-2"/>
    <s v="0,01% - 30%"/>
  </r>
  <r>
    <s v="23000"/>
    <s v="23"/>
    <n v="23"/>
    <s v="Colombia"/>
    <s v="Córdoba"/>
    <n v="72.275093077780085"/>
    <n v="52.555071191281073"/>
    <n v="0.77934289825387326"/>
    <n v="2"/>
    <n v="72.5"/>
    <n v="74.360866666666695"/>
    <n v="78.540000000000006"/>
    <n v="84.18"/>
    <n v="41.337772468065161"/>
    <n v="45.369880949041338"/>
    <n v="43.063566456892623"/>
    <n v="54.743139869469104"/>
    <s v="2. Riesgo (&gt;=40 y &lt;60)"/>
    <s v="2. Riesgo (&gt;=40 y &lt;60)"/>
    <s v="2. Riesgo (&gt;=40 y &lt;60)"/>
    <s v="2. Riesgo (&gt;=40 y &lt;60)"/>
    <n v="77.395216666666684"/>
    <n v="46.128589935867055"/>
    <n v="61.761903301266869"/>
    <n v="43.578444535424175"/>
    <n v="47.508328379538604"/>
    <x v="0"/>
    <n v="0.78187868387923143"/>
    <n v="48.2903156670709"/>
    <n v="0.67037803013301878"/>
    <n v="2"/>
    <b v="1"/>
    <n v="0"/>
    <n v="-10.513189776513215"/>
    <n v="-0.10896486812085449"/>
    <n v="2"/>
    <b v="1"/>
    <s v="Cambio en corte"/>
    <n v="47.745167867736122"/>
    <x v="0"/>
    <n v="0.64656438100216296"/>
    <n v="46.536413523479972"/>
    <x v="0"/>
    <m/>
    <n v="39.933046777499058"/>
    <n v="0.71290126586647351"/>
    <n v="2"/>
    <b v="1"/>
    <n v="0"/>
    <n v="-10.513189776513215"/>
    <n v="-6.6441632387399752E-2"/>
    <n v="2"/>
    <b v="1"/>
    <s v="Cambio en corte"/>
    <n v="0"/>
    <n v="0"/>
    <n v="34.4"/>
    <n v="35.083723510427667"/>
    <n v="1"/>
    <n v="645022.19843800005"/>
    <n v="0.257158675424975"/>
    <s v="0% - 30%"/>
    <n v="124376.19798099999"/>
    <n v="4.95865388891151E-2"/>
    <s v="0,01% - 30%"/>
  </r>
  <r>
    <s v="25000"/>
    <s v="25"/>
    <n v="25"/>
    <s v="Colombia"/>
    <s v="Cundinamarca"/>
    <n v="86.807321050377936"/>
    <n v="63.122228466967897"/>
    <n v="1"/>
    <n v="1"/>
    <n v="98.186804756425005"/>
    <n v="98.731403170950003"/>
    <n v="88.78"/>
    <n v="92.66"/>
    <n v="73.550686132216313"/>
    <n v="71.648254076249856"/>
    <n v="71.937321253336677"/>
    <n v="70.577998418508969"/>
    <s v="4. Solvente (&gt;=70 y &lt;80)"/>
    <s v="4. Solvente (&gt;=70 y &lt;80)"/>
    <s v="4. Solvente (&gt;=70 y &lt;80)"/>
    <s v="4. Solvente (&gt;=70 y &lt;80)"/>
    <n v="94.589551981843755"/>
    <n v="71.928564970077957"/>
    <n v="83.259058475960856"/>
    <n v="43.426374696833975"/>
    <n v="47.660398218128805"/>
    <x v="0"/>
    <n v="0.78187868387923143"/>
    <n v="65.098483062208246"/>
    <n v="1"/>
    <n v="1"/>
    <b v="1"/>
    <n v="0"/>
    <n v="-3.5482625744170804"/>
    <n v="0"/>
    <n v="1"/>
    <b v="1"/>
    <s v="Cambio en corte"/>
    <n v="48.047000276629312"/>
    <x v="0"/>
    <n v="0.64656438100216296"/>
    <n v="46.234581114586781"/>
    <x v="0"/>
    <m/>
    <n v="53.83234160633252"/>
    <n v="1"/>
    <n v="1"/>
    <b v="1"/>
    <n v="0"/>
    <n v="-3.5482625744170804"/>
    <n v="0"/>
    <n v="1"/>
    <b v="1"/>
    <s v="Cambio en corte"/>
    <n v="0"/>
    <n v="0"/>
    <n v="10.5"/>
    <n v="6.3600545652137015"/>
    <s v="ESP"/>
    <n v="681225.29259500001"/>
    <n v="0.30489724504334004"/>
    <s v="31% - 50%"/>
    <n v="778.70841499999995"/>
    <n v="3.4852794370146751E-4"/>
    <s v="0,01% - 30%"/>
  </r>
  <r>
    <s v="27000"/>
    <s v="27"/>
    <n v="27"/>
    <s v="Colombia"/>
    <s v="Chocó"/>
    <n v="59.166222578555306"/>
    <n v="31.188124977591166"/>
    <n v="0.33317101856338666"/>
    <n v="3"/>
    <n v="63.12"/>
    <n v="63.8205666666667"/>
    <n v="60.52"/>
    <n v="62.76"/>
    <n v="45.760693331786591"/>
    <n v="52.128463550265096"/>
    <n v="51.491295448780598"/>
    <n v="49.309712977695945"/>
    <s v="2. Riesgo (&gt;=40 y &lt;60)"/>
    <s v="2. Riesgo (&gt;=40 y &lt;60)"/>
    <s v="2. Riesgo (&gt;=40 y &lt;60)"/>
    <s v="2. Riesgo (&gt;=40 y &lt;60)"/>
    <n v="62.555141666666671"/>
    <n v="49.672541327132052"/>
    <n v="56.113841496899362"/>
    <n v="60.412033774940163"/>
    <n v="30.674739140022616"/>
    <x v="2"/>
    <n v="0.59592872638902006"/>
    <n v="33.439850096042576"/>
    <n v="0.37914820121185461"/>
    <n v="2"/>
    <b v="0"/>
    <n v="-1"/>
    <n v="-3.0523810816559447"/>
    <n v="4.5977182648467951E-2"/>
    <n v="3"/>
    <b v="1"/>
    <s v="Efecto ponderador"/>
    <n v="66.188067177049902"/>
    <x v="1"/>
    <n v="0.42940603862296323"/>
    <n v="28.093514214166191"/>
    <x v="1"/>
    <m/>
    <n v="24.095622389100402"/>
    <n v="0.38576923867813401"/>
    <n v="3"/>
    <b v="1"/>
    <n v="0"/>
    <n v="-3.0523810816559447"/>
    <n v="5.2598220114747352E-2"/>
    <n v="3"/>
    <b v="1"/>
    <s v="Efecto ponderador"/>
    <n v="0"/>
    <n v="0"/>
    <n v="46.3"/>
    <n v="65.794889063493841"/>
    <n v="3"/>
    <n v="485797.287786"/>
    <n v="0.10040603977224091"/>
    <s v="0% - 30%"/>
    <n v="4352936.0038760006"/>
    <n v="0.89967786259795712"/>
    <s v="71% - 100%"/>
  </r>
  <r>
    <s v="41000"/>
    <s v="41"/>
    <n v="41"/>
    <s v="Colombia"/>
    <s v="Huila"/>
    <n v="77.03404391703873"/>
    <n v="56.015557916409023"/>
    <n v="0.85160272665205039"/>
    <n v="1"/>
    <n v="82.54"/>
    <n v="87.400566666666705"/>
    <n v="79.48"/>
    <n v="80.97"/>
    <n v="49.583799127966493"/>
    <n v="54.065159520126599"/>
    <n v="66.233994741658975"/>
    <n v="59.115468161383646"/>
    <s v="2. Riesgo (&gt;=40 y &lt;60)"/>
    <s v="2. Riesgo (&gt;=40 y &lt;60)"/>
    <s v="3. Vulnerable (&gt;=60 y &lt;70)"/>
    <s v="2. Riesgo (&gt;=40 y &lt;60)"/>
    <n v="82.597641666666675"/>
    <n v="57.24960538778393"/>
    <n v="69.923623527225303"/>
    <n v="50.085572574754835"/>
    <n v="41.001200340207944"/>
    <x v="0"/>
    <n v="0.78187868387923143"/>
    <n v="54.671790735533783"/>
    <n v="0.79552399835631871"/>
    <n v="1"/>
    <b v="1"/>
    <n v="0"/>
    <n v="-7.1104203898134273"/>
    <n v="-5.6078728295731683E-2"/>
    <n v="2"/>
    <b v="0"/>
    <s v="Cambio en corte"/>
    <n v="55.325729978424604"/>
    <x v="0"/>
    <n v="0.64656438100216296"/>
    <n v="38.955851412791489"/>
    <x v="0"/>
    <m/>
    <n v="45.210124363308708"/>
    <n v="0.82190264424341597"/>
    <n v="1"/>
    <b v="1"/>
    <n v="0"/>
    <n v="-7.1104203898134273"/>
    <n v="-2.9700082408634421E-2"/>
    <n v="1"/>
    <b v="1"/>
    <s v="Cambio en corte"/>
    <n v="0"/>
    <n v="0"/>
    <n v="18"/>
    <n v="12.862652642001729"/>
    <n v="2"/>
    <n v="791810.75433699996"/>
    <n v="0.43656918319483751"/>
    <s v="31% - 50%"/>
    <n v="17143.873705999998"/>
    <n v="9.4523683842748403E-3"/>
    <s v="0,01% - 30%"/>
  </r>
  <r>
    <s v="44000"/>
    <s v="44"/>
    <n v="44"/>
    <s v="Colombia"/>
    <s v="La Guajira"/>
    <n v="63.871163017930371"/>
    <n v="46.444125860409777"/>
    <n v="0.65173776752097767"/>
    <n v="2"/>
    <n v="63.93"/>
    <n v="65.954666666666697"/>
    <n v="63.04"/>
    <n v="75.23"/>
    <n v="48.366540661532483"/>
    <n v="50.112734745348355"/>
    <n v="50.417031254064376"/>
    <n v="51.289648405266874"/>
    <s v="2. Riesgo (&gt;=40 y &lt;60)"/>
    <s v="2. Riesgo (&gt;=40 y &lt;60)"/>
    <s v="2. Riesgo (&gt;=40 y &lt;60)"/>
    <s v="2. Riesgo (&gt;=40 y &lt;60)"/>
    <n v="67.038666666666671"/>
    <n v="50.046488766553026"/>
    <n v="58.542577716609848"/>
    <n v="47.066811095852792"/>
    <n v="44.019961819109987"/>
    <x v="0"/>
    <n v="0.78187868387923143"/>
    <n v="45.77319361596053"/>
    <n v="0.62101519899399471"/>
    <n v="2"/>
    <b v="1"/>
    <n v="0"/>
    <n v="-5.3285853013205227"/>
    <n v="-3.0722568526982963E-2"/>
    <n v="2"/>
    <b v="1"/>
    <s v="Cambio en corte"/>
    <n v="51.745218763396984"/>
    <x v="0"/>
    <n v="0.64656438100216296"/>
    <n v="42.536362627819109"/>
    <x v="0"/>
    <m/>
    <n v="37.851545523610866"/>
    <n v="0.66990653969885805"/>
    <n v="2"/>
    <b v="1"/>
    <n v="0"/>
    <n v="-5.3285853013205227"/>
    <n v="1.8168772177880377E-2"/>
    <n v="2"/>
    <b v="1"/>
    <s v="Efecto ponderador"/>
    <n v="0"/>
    <n v="0"/>
    <n v="53.3"/>
    <n v="53.325594467117966"/>
    <n v="4"/>
    <n v="380722.65436599997"/>
    <n v="0.18507564298086959"/>
    <s v="0% - 30%"/>
    <n v="1287635.31302"/>
    <n v="0.62594103804749002"/>
    <s v="51% - 70%"/>
  </r>
  <r>
    <s v="47000"/>
    <s v="47"/>
    <n v="47"/>
    <s v="Colombia"/>
    <s v="Magdalena"/>
    <n v="68.45988038600953"/>
    <n v="49.780826758138666"/>
    <n v="0.72141277379542557"/>
    <n v="2"/>
    <n v="63.79"/>
    <n v="69.451999999999998"/>
    <n v="69.56"/>
    <n v="69.209999999999994"/>
    <n v="49.083229626987901"/>
    <n v="58.026375816822082"/>
    <n v="53.44153511269154"/>
    <n v="47.286319359308919"/>
    <s v="2. Riesgo (&gt;=40 y &lt;60)"/>
    <s v="2. Riesgo (&gt;=40 y &lt;60)"/>
    <s v="2. Riesgo (&gt;=40 y &lt;60)"/>
    <s v="2. Riesgo (&gt;=40 y &lt;60)"/>
    <n v="68.003"/>
    <n v="51.959364978952614"/>
    <n v="59.981182489476311"/>
    <n v="48.481652368653165"/>
    <n v="42.605120546309614"/>
    <x v="0"/>
    <n v="0.78187868387923143"/>
    <n v="46.898008022391743"/>
    <n v="0.64307373349489916"/>
    <n v="2"/>
    <b v="1"/>
    <n v="0"/>
    <n v="-8.4786978965332196"/>
    <n v="-7.8339040300526408E-2"/>
    <n v="2"/>
    <b v="1"/>
    <s v="Cambio en corte"/>
    <n v="53.32333758689677"/>
    <x v="0"/>
    <n v="0.64656438100216296"/>
    <n v="40.958243804319324"/>
    <x v="0"/>
    <m/>
    <n v="38.781696128086026"/>
    <n v="0.68911938929928374"/>
    <n v="2"/>
    <b v="1"/>
    <n v="0"/>
    <n v="-8.4786978965332196"/>
    <n v="-3.229338449614183E-2"/>
    <n v="2"/>
    <b v="1"/>
    <s v="Cambio en corte"/>
    <n v="0"/>
    <n v="0"/>
    <n v="36.4"/>
    <n v="26.712874303275893"/>
    <n v="2"/>
    <n v="982488.19854699995"/>
    <n v="0.42514234083193037"/>
    <s v="31% - 50%"/>
    <n v="300405.03878900001"/>
    <n v="0.12999128292567752"/>
    <s v="0,01% - 30%"/>
  </r>
  <r>
    <s v="50000"/>
    <s v="50"/>
    <n v="50"/>
    <s v="Colombia"/>
    <s v="Meta"/>
    <n v="85.753667223365156"/>
    <n v="45.20309010936321"/>
    <n v="0.62582319609510062"/>
    <n v="2"/>
    <n v="97.6666666666667"/>
    <n v="98.388377777777805"/>
    <n v="84.17"/>
    <n v="83.84"/>
    <n v="69.305292237245908"/>
    <n v="63.346520051345749"/>
    <n v="68.178979803432441"/>
    <n v="57.850808436658269"/>
    <s v="3. Vulnerable (&gt;=60 y &lt;70)"/>
    <s v="3. Vulnerable (&gt;=60 y &lt;70)"/>
    <s v="3. Vulnerable (&gt;=60 y &lt;70)"/>
    <s v="2. Riesgo (&gt;=40 y &lt;60)"/>
    <n v="91.016261111111135"/>
    <n v="64.670400132170585"/>
    <n v="77.84333062164086"/>
    <n v="60.710666376502473"/>
    <n v="30.376106538460306"/>
    <x v="2"/>
    <n v="0.59592872638902006"/>
    <n v="46.38907687523384"/>
    <n v="0.63309317563221501"/>
    <n v="2"/>
    <b v="1"/>
    <n v="0"/>
    <n v="-7.9103366017242962"/>
    <n v="7.2699795371143905E-3"/>
    <n v="2"/>
    <b v="1"/>
    <s v="Efecto ponderador"/>
    <n v="67.108288255018522"/>
    <x v="1"/>
    <n v="0.42940603862296323"/>
    <n v="27.173293136197572"/>
    <x v="1"/>
    <m/>
    <n v="33.426396235456409"/>
    <n v="0.57850227965355572"/>
    <n v="2"/>
    <b v="1"/>
    <n v="0"/>
    <n v="-7.9103366017242962"/>
    <n v="-4.7320916441544902E-2"/>
    <n v="2"/>
    <b v="1"/>
    <s v="Cambio en corte"/>
    <n v="0"/>
    <n v="0"/>
    <n v="15.6"/>
    <n v="13.446883114001022"/>
    <n v="1"/>
    <n v="1456981.754796"/>
    <n v="0.17625339576685695"/>
    <s v="0% - 30%"/>
    <n v="456210.48823299998"/>
    <n v="5.5188506973980901E-2"/>
    <s v="0,01% - 30%"/>
  </r>
  <r>
    <s v="52000"/>
    <s v="52"/>
    <n v="52"/>
    <s v="Colombia"/>
    <s v="Nariño"/>
    <n v="70.2300210049155"/>
    <n v="51.067990320073704"/>
    <n v="0.74829055877013106"/>
    <n v="2"/>
    <n v="73.45"/>
    <n v="72.581233333333302"/>
    <n v="77.06"/>
    <n v="65.88"/>
    <n v="39.95960805769748"/>
    <n v="52.548688707040263"/>
    <n v="46.585275202102721"/>
    <n v="54.568742123437204"/>
    <s v="1. Deterioro (&lt;40)"/>
    <s v="2. Riesgo (&gt;=40 y &lt;60)"/>
    <s v="2. Riesgo (&gt;=40 y &lt;60)"/>
    <s v="2. Riesgo (&gt;=40 y &lt;60)"/>
    <n v="72.242808333333329"/>
    <n v="48.415578522569412"/>
    <n v="60.329193427951367"/>
    <n v="48.883653659389942"/>
    <n v="42.203119255572837"/>
    <x v="0"/>
    <n v="0.78187868387923143"/>
    <n v="47.170110356942196"/>
    <n v="0.64840988379679787"/>
    <n v="2"/>
    <b v="1"/>
    <n v="0"/>
    <n v="-9.900827576964133"/>
    <n v="-9.9880674973333194E-2"/>
    <n v="2"/>
    <b v="1"/>
    <s v="Cambio en corte"/>
    <n v="53.79296369991556"/>
    <x v="0"/>
    <n v="0.64656438100216296"/>
    <n v="40.488617691300533"/>
    <x v="0"/>
    <m/>
    <n v="39.006707605103131"/>
    <n v="0.69376714380860716"/>
    <n v="2"/>
    <b v="1"/>
    <n v="0"/>
    <n v="-9.900827576964133"/>
    <n v="-5.4523414961523908E-2"/>
    <n v="2"/>
    <b v="1"/>
    <s v="Cambio en corte"/>
    <n v="0"/>
    <n v="0"/>
    <n v="33.1"/>
    <n v="21.980164135484518"/>
    <n v="1"/>
    <n v="1139401.546667"/>
    <n v="0.36128546364735525"/>
    <s v="31% - 50%"/>
    <n v="1630693.728602"/>
    <n v="0.51706612258706286"/>
    <s v="51% - 70%"/>
  </r>
  <r>
    <s v="54000"/>
    <s v="54"/>
    <n v="54"/>
    <s v="Colombia"/>
    <s v="Norte de Santander"/>
    <n v="76.873015843772464"/>
    <n v="55.89846582432142"/>
    <n v="0.84915767913327367"/>
    <n v="1"/>
    <n v="80.05"/>
    <n v="80.771466666666697"/>
    <n v="76.510000000000005"/>
    <n v="76.16"/>
    <n v="63.014608726090536"/>
    <n v="57.772156887655584"/>
    <n v="54.812290357739414"/>
    <n v="58.138669449431433"/>
    <s v="3. Vulnerable (&gt;=60 y &lt;70)"/>
    <s v="2. Riesgo (&gt;=40 y &lt;60)"/>
    <s v="2. Riesgo (&gt;=40 y &lt;60)"/>
    <s v="2. Riesgo (&gt;=40 y &lt;60)"/>
    <n v="78.372866666666681"/>
    <n v="58.434431355229243"/>
    <n v="68.403649010947959"/>
    <n v="50.335173024072688"/>
    <n v="40.751599890890091"/>
    <x v="0"/>
    <n v="0.78187868387923143"/>
    <n v="53.483355061216884"/>
    <n v="0.77221779852980699"/>
    <n v="1"/>
    <b v="1"/>
    <n v="0"/>
    <n v="-8.4693668328245053"/>
    <n v="-7.6939880603466682E-2"/>
    <n v="2"/>
    <b v="0"/>
    <s v="Cambio en corte"/>
    <n v="55.366417320050218"/>
    <x v="0"/>
    <n v="0.64656438100216296"/>
    <n v="38.915164071165876"/>
    <x v="0"/>
    <m/>
    <n v="44.227362981052785"/>
    <n v="0.80160308572080063"/>
    <n v="1"/>
    <b v="1"/>
    <n v="0"/>
    <n v="-8.4693668328245053"/>
    <n v="-4.7554593412473034E-2"/>
    <n v="1"/>
    <b v="1"/>
    <s v="Cambio en corte"/>
    <n v="0"/>
    <n v="0"/>
    <n v="29.5"/>
    <n v="18.428801346745974"/>
    <n v="2"/>
    <n v="848294.37743700005"/>
    <n v="0.388902796095695"/>
    <s v="31% - 50%"/>
    <n v="169843.733592"/>
    <n v="7.7865307905057565E-2"/>
    <s v="0,01% - 30%"/>
  </r>
  <r>
    <s v="63000"/>
    <s v="63"/>
    <n v="63"/>
    <s v="Colombia"/>
    <s v="Quindío"/>
    <n v="79.194365051210269"/>
    <n v="57.586442520877547"/>
    <n v="0.88440500591755955"/>
    <n v="1"/>
    <n v="94.3"/>
    <n v="96.138866666666701"/>
    <n v="90.61"/>
    <n v="87.31"/>
    <n v="47.698702968366817"/>
    <n v="61.468330179307671"/>
    <n v="40.171050290088061"/>
    <n v="49.997613010596091"/>
    <s v="2. Riesgo (&gt;=40 y &lt;60)"/>
    <s v="3. Vulnerable (&gt;=60 y &lt;70)"/>
    <s v="2. Riesgo (&gt;=40 y &lt;60)"/>
    <s v="2. Riesgo (&gt;=40 y &lt;60)"/>
    <n v="92.089716666666675"/>
    <n v="49.833924112089662"/>
    <n v="70.961820389378175"/>
    <n v="38.470733422702089"/>
    <n v="52.61603949226069"/>
    <x v="0"/>
    <n v="0.78187868387923143"/>
    <n v="55.48353473172142"/>
    <n v="0.81144296493731993"/>
    <n v="1"/>
    <b v="1"/>
    <n v="0"/>
    <n v="-8.2325446618320939"/>
    <n v="-7.2962040980239617E-2"/>
    <n v="1"/>
    <b v="1"/>
    <s v="Cambio en corte"/>
    <n v="42.776198048794782"/>
    <x v="0"/>
    <n v="0.64656438100216296"/>
    <n v="51.505383342421311"/>
    <x v="0"/>
    <m/>
    <n v="45.881385474844969"/>
    <n v="0.83576796746796833"/>
    <n v="1"/>
    <b v="1"/>
    <n v="0"/>
    <n v="-8.2325446618320939"/>
    <n v="-4.8637038449591219E-2"/>
    <n v="1"/>
    <b v="1"/>
    <s v="Cambio en corte"/>
    <n v="0"/>
    <n v="0"/>
    <n v="14.2"/>
    <n v="6.7589510513022857"/>
    <n v="3"/>
    <n v="115423.940948"/>
    <n v="0.59705873574638968"/>
    <s v="51% - 70%"/>
    <n v="544.81090399999994"/>
    <n v="2.8181684570069603E-3"/>
    <s v="0,01% - 30%"/>
  </r>
  <r>
    <s v="66000"/>
    <s v="66"/>
    <n v="66"/>
    <s v="Colombia"/>
    <s v="Risaralda"/>
    <n v="78.645088701223841"/>
    <n v="57.187034419857767"/>
    <n v="0.87606480318510593"/>
    <n v="1"/>
    <n v="83.05"/>
    <n v="87.048666666666705"/>
    <n v="86.31"/>
    <n v="88.73"/>
    <n v="68.351578140937121"/>
    <n v="57.255454440138315"/>
    <n v="51.656281202566419"/>
    <n v="46.727185051941774"/>
    <s v="3. Vulnerable (&gt;=60 y &lt;70)"/>
    <s v="2. Riesgo (&gt;=40 y &lt;60)"/>
    <s v="2. Riesgo (&gt;=40 y &lt;60)"/>
    <s v="2. Riesgo (&gt;=40 y &lt;60)"/>
    <n v="86.284666666666681"/>
    <n v="55.997624708895906"/>
    <n v="71.14114568778129"/>
    <n v="38.22432136078114"/>
    <n v="52.862451554181639"/>
    <x v="0"/>
    <n v="0.78187868387923143"/>
    <n v="55.623745360023094"/>
    <n v="0.81419261053583147"/>
    <n v="1"/>
    <b v="1"/>
    <n v="0"/>
    <n v="-7.5039430134425515"/>
    <n v="-6.187219264927446E-2"/>
    <n v="1"/>
    <b v="1"/>
    <s v="Cambio en corte"/>
    <n v="42.435727415130863"/>
    <x v="0"/>
    <n v="0.64656438100216296"/>
    <n v="51.84585397608523"/>
    <x v="0"/>
    <m/>
    <n v="45.997330825405001"/>
    <n v="0.83816289208712236"/>
    <n v="1"/>
    <b v="1"/>
    <n v="0"/>
    <n v="-7.5039430134425515"/>
    <n v="-3.7901911097983576E-2"/>
    <n v="1"/>
    <b v="1"/>
    <s v="Cambio en corte"/>
    <n v="0"/>
    <n v="0"/>
    <n v="11.6"/>
    <n v="8.1914562269394793"/>
    <n v="2"/>
    <n v="140134.947598"/>
    <n v="0.39403248992584888"/>
    <s v="31% - 50%"/>
    <n v="40346.340575000002"/>
    <n v="0.11344614108515533"/>
    <s v="0,01% - 30%"/>
  </r>
  <r>
    <s v="68000"/>
    <s v="68"/>
    <n v="68"/>
    <s v="Colombia"/>
    <s v="Santander"/>
    <n v="72.884611919090659"/>
    <n v="52.998284817627166"/>
    <n v="0.78859782194739447"/>
    <n v="2"/>
    <n v="75.75"/>
    <n v="79.400333333333293"/>
    <n v="83.12"/>
    <n v="84.37"/>
    <n v="47.508048714852137"/>
    <n v="56.797822593655219"/>
    <n v="51.349174625630468"/>
    <n v="54.728703106808155"/>
    <s v="2. Riesgo (&gt;=40 y &lt;60)"/>
    <s v="2. Riesgo (&gt;=40 y &lt;60)"/>
    <s v="2. Riesgo (&gt;=40 y &lt;60)"/>
    <s v="2. Riesgo (&gt;=40 y &lt;60)"/>
    <n v="80.660083333333318"/>
    <n v="52.595937260236497"/>
    <n v="66.628010296784907"/>
    <n v="50.397635042831674"/>
    <n v="40.689137872131106"/>
    <x v="0"/>
    <n v="0.78187868387923143"/>
    <n v="52.095021000342065"/>
    <n v="0.74499142713423327"/>
    <n v="1"/>
    <b v="0"/>
    <n v="-1"/>
    <n v="-6.2566016223057517"/>
    <n v="-4.3606394813161198E-2"/>
    <n v="2"/>
    <b v="1"/>
    <s v="Cambio en corte"/>
    <n v="55.544226428572777"/>
    <x v="0"/>
    <n v="0.64656438100216296"/>
    <n v="38.737354962643316"/>
    <x v="0"/>
    <m/>
    <n v="43.079298234946471"/>
    <n v="0.77788908156666936"/>
    <n v="1"/>
    <b v="0"/>
    <n v="-1"/>
    <n v="-6.2566016223057517"/>
    <n v="-1.0708740380725112E-2"/>
    <n v="2"/>
    <b v="1"/>
    <s v="Cambio en corte"/>
    <n v="0"/>
    <n v="0"/>
    <n v="12.6"/>
    <n v="9.5834448193274291"/>
    <n v="1"/>
    <n v="889464.344606"/>
    <n v="0.29151685540502226"/>
    <s v="0% - 30%"/>
    <n v="0"/>
    <n v="0"/>
    <s v="0%"/>
  </r>
  <r>
    <s v="70000"/>
    <s v="70"/>
    <n v="70"/>
    <s v="Colombia"/>
    <s v="Sucre"/>
    <n v="72.947256192564922"/>
    <n v="53.043836806728351"/>
    <n v="0.78954901152767687"/>
    <n v="2"/>
    <n v="74.069999999999993"/>
    <n v="77.5439333333333"/>
    <n v="74.709999999999994"/>
    <n v="80.59"/>
    <n v="60.508968436902947"/>
    <n v="70.327337918984554"/>
    <n v="68.205988113636295"/>
    <n v="67.505629872697114"/>
    <s v="3. Vulnerable (&gt;=60 y &lt;70)"/>
    <s v="4. Solvente (&gt;=70 y &lt;80)"/>
    <s v="3. Vulnerable (&gt;=60 y &lt;70)"/>
    <s v="3. Vulnerable (&gt;=60 y &lt;70)"/>
    <n v="76.728483333333315"/>
    <n v="66.63698108555522"/>
    <n v="71.682732209444268"/>
    <n v="43.305201194593522"/>
    <n v="47.781571720369257"/>
    <x v="0"/>
    <n v="0.78187868387923143"/>
    <n v="56.047200316787674"/>
    <n v="0.82249691008957448"/>
    <n v="1"/>
    <b v="0"/>
    <n v="-1"/>
    <n v="-1.2645239831206538"/>
    <n v="3.2947898561897615E-2"/>
    <n v="1"/>
    <b v="0"/>
    <s v="Efecto ponderador"/>
    <n v="47.422514752305396"/>
    <x v="0"/>
    <n v="0.64656438100216296"/>
    <n v="46.859066638910697"/>
    <x v="0"/>
    <m/>
    <n v="46.347501379543139"/>
    <n v="0.84539588657079512"/>
    <n v="1"/>
    <b v="0"/>
    <n v="-1"/>
    <n v="-1.2645239831206538"/>
    <n v="5.5846875043118249E-2"/>
    <n v="1"/>
    <b v="0"/>
    <s v="Efecto ponderador"/>
    <n v="0"/>
    <n v="0"/>
    <n v="41.7"/>
    <n v="29.128324371457637"/>
    <n v="3"/>
    <n v="77761.803404999999"/>
    <n v="7.3459791521688911E-2"/>
    <s v="0% - 30%"/>
    <n v="3770.3517980000001"/>
    <n v="3.5617648371912133E-3"/>
    <s v="0,01% - 30%"/>
  </r>
  <r>
    <s v="73000"/>
    <s v="73"/>
    <n v="73"/>
    <s v="Colombia"/>
    <s v="Tolima"/>
    <n v="72.967269751188681"/>
    <n v="53.058389731580768"/>
    <n v="0.78985289706056783"/>
    <n v="2"/>
    <n v="78.45"/>
    <n v="81.288033333333303"/>
    <n v="68.900000000000006"/>
    <n v="75.36"/>
    <n v="58.122281149187231"/>
    <n v="69.457535515616172"/>
    <n v="58.088143128065255"/>
    <n v="53.32915750967652"/>
    <s v="2. Riesgo (&gt;=40 y &lt;60)"/>
    <s v="3. Vulnerable (&gt;=60 y &lt;70)"/>
    <s v="2. Riesgo (&gt;=40 y &lt;60)"/>
    <s v="2. Riesgo (&gt;=40 y &lt;60)"/>
    <n v="75.999508333333324"/>
    <n v="59.749279325636294"/>
    <n v="67.874393829484802"/>
    <n v="49.718277849792194"/>
    <n v="41.368495065170585"/>
    <x v="0"/>
    <n v="0.78187868387923143"/>
    <n v="53.0695417164982"/>
    <n v="0.76410257890848898"/>
    <n v="1"/>
    <b v="0"/>
    <n v="-1"/>
    <n v="-5.0928759217038788"/>
    <n v="-2.5750318152078844E-2"/>
    <n v="2"/>
    <b v="1"/>
    <s v="Cambio en corte"/>
    <n v="54.923838702833351"/>
    <x v="0"/>
    <n v="0.64656438100216296"/>
    <n v="39.357742688382743"/>
    <x v="0"/>
    <m/>
    <n v="43.885165432257871"/>
    <n v="0.79453477871008726"/>
    <n v="1"/>
    <b v="0"/>
    <n v="-1"/>
    <n v="-5.0928759217038788"/>
    <n v="4.6818816495194371E-3"/>
    <n v="2"/>
    <b v="1"/>
    <s v="Efecto ponderador"/>
    <n v="0"/>
    <n v="0"/>
    <n v="22.2"/>
    <n v="12.22299794661191"/>
    <n v="2"/>
    <n v="1041913.088705"/>
    <n v="0.43182453540196231"/>
    <s v="31% - 50%"/>
    <n v="30395.830471000001"/>
    <n v="1.2597658589365023E-2"/>
    <s v="0,01% - 30%"/>
  </r>
  <r>
    <s v="76000"/>
    <s v="76"/>
    <n v="76"/>
    <s v="Colombia"/>
    <s v="Valle del Cauca"/>
    <n v="82.531631030687549"/>
    <n v="60.013146433204845"/>
    <n v="0.93507799564604122"/>
    <n v="1"/>
    <n v="76.86"/>
    <n v="81.437433333333303"/>
    <n v="82.38"/>
    <n v="84.06"/>
    <n v="63.404561137728138"/>
    <n v="69.686723042599894"/>
    <n v="63.477218735238715"/>
    <n v="72.901944189514623"/>
    <s v="3. Vulnerable (&gt;=60 y &lt;70)"/>
    <s v="3. Vulnerable (&gt;=60 y &lt;70)"/>
    <s v="3. Vulnerable (&gt;=60 y &lt;70)"/>
    <s v="4. Solvente (&gt;=70 y &lt;80)"/>
    <n v="81.184358333333321"/>
    <n v="67.367611776270351"/>
    <n v="74.275985054801836"/>
    <n v="39.541386687664854"/>
    <n v="51.545386227297925"/>
    <x v="0"/>
    <n v="0.78187868387923143"/>
    <n v="58.074809438481921"/>
    <n v="0.86225999056713276"/>
    <n v="1"/>
    <b v="1"/>
    <n v="0"/>
    <n v="-8.255645975885713"/>
    <n v="-7.2818005078908454E-2"/>
    <n v="1"/>
    <b v="1"/>
    <s v="Cambio en corte"/>
    <n v="43.814782519513699"/>
    <x v="0"/>
    <n v="0.64656438100216296"/>
    <n v="50.466798871702395"/>
    <x v="0"/>
    <m/>
    <n v="48.024206300283858"/>
    <n v="0.88002928820650361"/>
    <n v="1"/>
    <b v="1"/>
    <n v="0"/>
    <n v="-8.255645975885713"/>
    <n v="-5.5048707439537603E-2"/>
    <n v="1"/>
    <b v="1"/>
    <s v="Cambio en corte"/>
    <n v="0"/>
    <n v="0"/>
    <n v="14.1"/>
    <n v="6.2504435535423282"/>
    <s v="ESP"/>
    <n v="1000627.606544"/>
    <n v="0.4840230152580331"/>
    <s v="31% - 50%"/>
    <n v="479182.95378600003"/>
    <n v="0.23179010516491452"/>
    <s v="0,01% - 30%"/>
  </r>
  <r>
    <s v="81000"/>
    <s v="81"/>
    <n v="81"/>
    <s v="Colombia"/>
    <s v="Arauca"/>
    <n v="67.888987103219606"/>
    <n v="35.786131378694954"/>
    <n v="0.42918385719237895"/>
    <n v="3"/>
    <n v="68.61"/>
    <n v="69.947966666666701"/>
    <n v="67.75"/>
    <n v="60.86"/>
    <n v="42.89064869585853"/>
    <n v="40.293189955343266"/>
    <n v="57.300690480227615"/>
    <n v="51.186608356161841"/>
    <s v="2. Riesgo (&gt;=40 y &lt;60)"/>
    <s v="2. Riesgo (&gt;=40 y &lt;60)"/>
    <s v="2. Riesgo (&gt;=40 y &lt;60)"/>
    <s v="2. Riesgo (&gt;=40 y &lt;60)"/>
    <n v="66.791991666666675"/>
    <n v="47.91778437189781"/>
    <n v="57.354888019282242"/>
    <n v="63.695364606868409"/>
    <n v="27.39140830809437"/>
    <x v="2"/>
    <n v="0.59592872638902006"/>
    <n v="34.179425369515734"/>
    <n v="0.39365187985665795"/>
    <n v="2"/>
    <b v="0"/>
    <n v="-1"/>
    <n v="-10.534099083937363"/>
    <n v="-3.5531977335720999E-2"/>
    <n v="3"/>
    <b v="1"/>
    <s v="Cambio en corte"/>
    <n v="70.216988483868036"/>
    <x v="1"/>
    <n v="0.42940603862296323"/>
    <n v="24.064592907348057"/>
    <x v="1"/>
    <m/>
    <n v="24.628535260023643"/>
    <n v="0.39677689140653988"/>
    <n v="3"/>
    <b v="1"/>
    <n v="0"/>
    <n v="-10.534099083937363"/>
    <n v="-3.240696578583907E-2"/>
    <n v="3"/>
    <b v="1"/>
    <s v="Cambio en corte"/>
    <n v="0"/>
    <n v="0"/>
    <n v="27.6"/>
    <n v="32.451657050171917"/>
    <n v="4"/>
    <n v="249362.79758899999"/>
    <n v="0.10489257063270604"/>
    <s v="0% - 30%"/>
    <n v="133102.85873000001"/>
    <n v="5.5988708603450066E-2"/>
    <s v="0,01% - 30%"/>
  </r>
  <r>
    <s v="85000"/>
    <s v="85"/>
    <n v="85"/>
    <s v="Colombia"/>
    <s v="Casanare"/>
    <n v="73.061685621236109"/>
    <n v="38.512801441788888"/>
    <n v="0.48612056191281955"/>
    <n v="2"/>
    <n v="75.760000000000005"/>
    <n v="80.039299999999997"/>
    <n v="84.81"/>
    <n v="82.43"/>
    <n v="52.074856875075852"/>
    <n v="46.880264994213825"/>
    <n v="49.3250610886939"/>
    <n v="55.796764264571728"/>
    <s v="2. Riesgo (&gt;=40 y &lt;60)"/>
    <s v="2. Riesgo (&gt;=40 y &lt;60)"/>
    <s v="2. Riesgo (&gt;=40 y &lt;60)"/>
    <s v="2. Riesgo (&gt;=40 y &lt;60)"/>
    <n v="80.759825000000006"/>
    <n v="51.019236805638826"/>
    <n v="65.889530902819416"/>
    <n v="62.988143623388837"/>
    <n v="28.098629291573943"/>
    <x v="2"/>
    <n v="0.59592872638902006"/>
    <n v="39.265464233287155"/>
    <n v="0.49339327995607429"/>
    <n v="2"/>
    <b v="1"/>
    <n v="0"/>
    <n v="-7.1721547184166923"/>
    <n v="7.2727180432547445E-3"/>
    <n v="2"/>
    <b v="1"/>
    <s v="Efecto ponderador"/>
    <n v="69.534606989002853"/>
    <x v="1"/>
    <n v="0.42940603862296323"/>
    <n v="24.74697440221324"/>
    <x v="1"/>
    <m/>
    <n v="28.293362451705004"/>
    <n v="0.4724762172001889"/>
    <n v="2"/>
    <b v="1"/>
    <n v="0"/>
    <n v="-7.1721547184166923"/>
    <n v="-1.3644344712630652E-2"/>
    <n v="2"/>
    <b v="1"/>
    <s v="Cambio en corte"/>
    <n v="0"/>
    <n v="0"/>
    <n v="19"/>
    <n v="16.083421420716018"/>
    <n v="3"/>
    <n v="245240.74754700001"/>
    <n v="5.5400323235012663E-2"/>
    <s v="0% - 30%"/>
    <n v="150813.64861400001"/>
    <n v="3.4069072799029751E-2"/>
    <s v="0,01% - 30%"/>
  </r>
  <r>
    <s v="86000"/>
    <s v="86"/>
    <n v="86"/>
    <s v="Colombia"/>
    <s v="Putumayo"/>
    <n v="60.288444961089425"/>
    <n v="31.779678914850798"/>
    <n v="0.34552349652096837"/>
    <n v="3"/>
    <n v="56.52"/>
    <n v="57.580966666666697"/>
    <n v="63.93"/>
    <n v="68.3"/>
    <n v="54.034752283540165"/>
    <n v="53.809124642813828"/>
    <n v="52.085488236309267"/>
    <n v="61.018549629217262"/>
    <s v="2. Riesgo (&gt;=40 y &lt;60)"/>
    <s v="2. Riesgo (&gt;=40 y &lt;60)"/>
    <s v="2. Riesgo (&gt;=40 y &lt;60)"/>
    <s v="3. Vulnerable (&gt;=60 y &lt;70)"/>
    <n v="61.582741666666678"/>
    <n v="55.23697869797013"/>
    <n v="58.409860182318404"/>
    <n v="55.620326404431694"/>
    <n v="35.466446510531085"/>
    <x v="2"/>
    <n v="0.59592872638902006"/>
    <n v="34.808113587009743"/>
    <n v="0.40598097224435564"/>
    <n v="2"/>
    <b v="0"/>
    <n v="-1"/>
    <n v="-1.878584778771021"/>
    <n v="6.0457475723387277E-2"/>
    <n v="3"/>
    <b v="1"/>
    <s v="Efecto ponderador"/>
    <n v="61.32528747249706"/>
    <x v="1"/>
    <n v="0.42940603862296323"/>
    <n v="32.956293918719034"/>
    <x v="1"/>
    <m/>
    <n v="25.081546677410497"/>
    <n v="0.40613412902768875"/>
    <n v="3"/>
    <b v="1"/>
    <n v="0"/>
    <n v="-1.878584778771021"/>
    <n v="6.0610632506720385E-2"/>
    <n v="3"/>
    <b v="1"/>
    <s v="Efecto ponderador"/>
    <n v="0"/>
    <n v="0"/>
    <n v="24.1"/>
    <n v="18.960130028795181"/>
    <n v="4"/>
    <n v="559956.679428"/>
    <n v="0.21557918003203713"/>
    <s v="0% - 30%"/>
    <n v="614748.57412300003"/>
    <n v="0.23667365423817727"/>
    <s v="0,01% - 30%"/>
  </r>
  <r>
    <s v="88000"/>
    <s v="88"/>
    <n v="88"/>
    <s v="Colombia"/>
    <s v="Archipiélago de San Andrés"/>
    <n v="65.502279437860267"/>
    <n v="34.52803286051811"/>
    <n v="0.40291299119791446"/>
    <n v="3"/>
    <n v="77.67"/>
    <n v="76.121533333333304"/>
    <n v="71.38"/>
    <n v="65.72"/>
    <n v="38.857279272800881"/>
    <n v="45.630413474656187"/>
    <n v="60.385471887348842"/>
    <n v="61.035211188085682"/>
    <s v="1. Deterioro (&lt;40)"/>
    <s v="2. Riesgo (&gt;=40 y &lt;60)"/>
    <s v="3. Vulnerable (&gt;=60 y &lt;70)"/>
    <s v="3. Vulnerable (&gt;=60 y &lt;70)"/>
    <n v="72.722883333333328"/>
    <n v="51.477093955722893"/>
    <n v="62.099988644528111"/>
    <n v="52.398845035673212"/>
    <n v="38.687927879289568"/>
    <x v="2"/>
    <n v="0.59592872638902006"/>
    <n v="37.007167141706248"/>
    <n v="0.44910621888794588"/>
    <n v="2"/>
    <b v="0"/>
    <n v="-1"/>
    <n v="-3.4022907933321562"/>
    <n v="4.6193227690031424E-2"/>
    <n v="2"/>
    <b v="0"/>
    <s v="Efecto ponderador"/>
    <n v="49.067365495144358"/>
    <x v="0"/>
    <n v="0.64656438100216296"/>
    <n v="45.214215896071735"/>
    <x v="0"/>
    <m/>
    <n v="40.15164071819067"/>
    <n v="0.71741646210014365"/>
    <n v="2"/>
    <b v="0"/>
    <n v="-1"/>
    <n v="-3.4022907933321562"/>
    <n v="0.31450347090222919"/>
    <n v="2"/>
    <b v="0"/>
    <s v="Efecto ponderador"/>
    <n v="-1"/>
    <n v="0"/>
    <n v="8.5"/>
    <n v="14.886900531003052"/>
    <n v="3"/>
    <n v="1045.084063"/>
    <n v="0.2107488977694813"/>
    <s v="0% - 30%"/>
    <n v="0"/>
    <n v="0"/>
    <n v="0"/>
  </r>
  <r>
    <s v="91000"/>
    <s v="91"/>
    <n v="91"/>
    <s v="Colombia"/>
    <s v="Amazonas"/>
    <n v="59.482317416207806"/>
    <n v="15.23273299156423"/>
    <n v="0"/>
    <n v="3"/>
    <n v="56.23"/>
    <n v="57.740733333333303"/>
    <n v="53.44"/>
    <n v="53.47"/>
    <n v="43.715147709610889"/>
    <n v="40.962653269645386"/>
    <n v="42.011141900483068"/>
    <n v="51.952856310515187"/>
    <s v="2. Riesgo (&gt;=40 y &lt;60)"/>
    <s v="2. Riesgo (&gt;=40 y &lt;60)"/>
    <s v="2. Riesgo (&gt;=40 y &lt;60)"/>
    <s v="2. Riesgo (&gt;=40 y &lt;60)"/>
    <n v="55.220183333333324"/>
    <n v="44.660449797563629"/>
    <n v="49.940316565448477"/>
    <n v="77.80330035895291"/>
    <n v="13.283472556009869"/>
    <x v="1"/>
    <n v="0.28246173582854223"/>
    <n v="14.106228504903479"/>
    <n v="0"/>
    <n v="3"/>
    <b v="1"/>
    <n v="0"/>
    <n v="-9.5420008507593295"/>
    <n v="0"/>
    <n v="3"/>
    <b v="1"/>
    <s v="Cambio en corte"/>
    <n v="77.346476692540222"/>
    <x v="2"/>
    <n v="0.10851749367146865"/>
    <n v="16.935104698675872"/>
    <x v="1"/>
    <m/>
    <n v="5.4193979868421964"/>
    <n v="0"/>
    <n v="3"/>
    <b v="1"/>
    <n v="0"/>
    <n v="-9.5420008507593295"/>
    <n v="0"/>
    <n v="3"/>
    <b v="1"/>
    <s v="Cambio en corte"/>
    <n v="0"/>
    <n v="0"/>
    <n v="35.4"/>
    <n v="35.24389851763722"/>
    <n v="4"/>
    <n v="2789265.1894700001"/>
    <n v="0.25548610668685601"/>
    <s v="0% - 30%"/>
    <n v="9164278.2629630007"/>
    <n v="0.83941311239907224"/>
    <s v="71% - 100%"/>
  </r>
  <r>
    <s v="94000"/>
    <s v="94"/>
    <n v="94"/>
    <s v="Colombia"/>
    <s v="Guainía"/>
    <n v="64.151557238208369"/>
    <n v="16.428471264241768"/>
    <n v="2.496869638753401E-2"/>
    <n v="3"/>
    <n v="62.68"/>
    <n v="62.271533333333302"/>
    <n v="54.07"/>
    <n v="64.849999999999994"/>
    <n v="49.160811019794494"/>
    <n v="56.60552922786259"/>
    <n v="49.734335628775931"/>
    <n v="60.192762500214521"/>
    <s v="2. Riesgo (&gt;=40 y &lt;60)"/>
    <s v="2. Riesgo (&gt;=40 y &lt;60)"/>
    <s v="2. Riesgo (&gt;=40 y &lt;60)"/>
    <s v="3. Vulnerable (&gt;=60 y &lt;70)"/>
    <n v="60.967883333333326"/>
    <n v="53.92335959416188"/>
    <n v="57.445621463747599"/>
    <n v="91.086772914962779"/>
    <n v="0"/>
    <x v="1"/>
    <n v="0.28246173582854223"/>
    <n v="16.226189954399509"/>
    <n v="4.1574185489555687E-2"/>
    <n v="3"/>
    <b v="1"/>
    <n v="0"/>
    <n v="-6.7059357744607695"/>
    <n v="1.6605489102021677E-2"/>
    <n v="3"/>
    <b v="1"/>
    <s v="Efecto ponderador"/>
    <n v="89.574001777470528"/>
    <x v="2"/>
    <n v="0.10851749367146865"/>
    <n v="4.7075796137455654"/>
    <x v="2"/>
    <m/>
    <n v="6.2338548636458135"/>
    <n v="1.682312241133235E-2"/>
    <n v="3"/>
    <b v="1"/>
    <n v="0"/>
    <n v="-6.7059357744607695"/>
    <n v="-8.1455739762016609E-3"/>
    <n v="3"/>
    <b v="1"/>
    <s v="Cambio en corte"/>
    <n v="0"/>
    <n v="0"/>
    <n v="60.6"/>
    <n v="59.680166036932576"/>
    <n v="4"/>
    <n v="1813422.295471"/>
    <n v="0.25557925716832247"/>
    <s v="0% - 30%"/>
    <n v="6475835.486304"/>
    <n v="0.91268825097574002"/>
    <s v="71% - 100%"/>
  </r>
  <r>
    <s v="95000"/>
    <s v="95"/>
    <n v="95"/>
    <s v="Colombia"/>
    <s v="Guaviare"/>
    <n v="65.490459514120587"/>
    <n v="16.771348639513821"/>
    <n v="3.2128458081999073E-2"/>
    <n v="3"/>
    <n v="60.89"/>
    <n v="63.892200000000003"/>
    <n v="68.66"/>
    <n v="67.28"/>
    <n v="63.17562430207812"/>
    <n v="63.933533767117517"/>
    <n v="65.529454179559906"/>
    <n v="54.703989321379105"/>
    <s v="3. Vulnerable (&gt;=60 y &lt;70)"/>
    <s v="3. Vulnerable (&gt;=60 y &lt;70)"/>
    <s v="3. Vulnerable (&gt;=60 y &lt;70)"/>
    <s v="2. Riesgo (&gt;=40 y &lt;60)"/>
    <n v="65.180550000000011"/>
    <n v="61.835650392533665"/>
    <n v="63.508100196266838"/>
    <n v="79.60541009016822"/>
    <n v="11.481362824794559"/>
    <x v="1"/>
    <n v="0.28246173582854223"/>
    <n v="17.938608220610515"/>
    <n v="7.5156114374198391E-2"/>
    <n v="3"/>
    <b v="1"/>
    <n v="0"/>
    <n v="-1.9823593178537493"/>
    <n v="4.3027656292199318E-2"/>
    <n v="3"/>
    <b v="1"/>
    <s v="Efecto ponderador"/>
    <n v="88.167662166035214"/>
    <x v="2"/>
    <n v="0.10851749367146865"/>
    <n v="6.1139192251808794"/>
    <x v="2"/>
    <m/>
    <n v="6.8917398611353837"/>
    <n v="3.0412153532024536E-2"/>
    <n v="3"/>
    <b v="1"/>
    <n v="0"/>
    <n v="-1.9823593178537493"/>
    <n v="-1.7163045499745365E-3"/>
    <n v="3"/>
    <b v="1"/>
    <s v="Cambio en corte"/>
    <n v="0"/>
    <n v="0"/>
    <n v="31.4"/>
    <n v="27.906664478493742"/>
    <n v="4"/>
    <n v="3098653.5709629999"/>
    <n v="0.55928990411432078"/>
    <s v="51% - 70%"/>
    <n v="2005303.348791"/>
    <n v="0.36194621050099851"/>
    <s v="31% - 50%"/>
  </r>
  <r>
    <s v="97000"/>
    <s v="97"/>
    <n v="97"/>
    <s v="Colombia"/>
    <s v="Vaupés"/>
    <n v="62.160579817124699"/>
    <n v="15.918604991961381"/>
    <n v="1.4321971730719498E-2"/>
    <n v="3"/>
    <n v="54.93"/>
    <n v="61.591799999999999"/>
    <n v="74.36"/>
    <n v="71.25"/>
    <n v="55.908880672398453"/>
    <n v="59.076647655798382"/>
    <n v="49.364132354043178"/>
    <n v="49.247659183115147"/>
    <s v="2. Riesgo (&gt;=40 y &lt;60)"/>
    <s v="2. Riesgo (&gt;=40 y &lt;60)"/>
    <s v="2. Riesgo (&gt;=40 y &lt;60)"/>
    <s v="2. Riesgo (&gt;=40 y &lt;60)"/>
    <n v="65.53295"/>
    <n v="53.399329966338797"/>
    <n v="59.466139983169398"/>
    <n v="87.748983988939514"/>
    <n v="3.3377889260232649"/>
    <x v="1"/>
    <n v="0.28246173582854223"/>
    <n v="16.796909122669106"/>
    <n v="5.2766457202669044E-2"/>
    <n v="3"/>
    <b v="1"/>
    <n v="0"/>
    <n v="-2.6944398339553004"/>
    <n v="3.8444485471949549E-2"/>
    <n v="3"/>
    <b v="1"/>
    <s v="Efecto ponderador"/>
    <n v="94.281581391216093"/>
    <x v="2"/>
    <n v="0.10851749367146865"/>
    <n v="0"/>
    <x v="2"/>
    <m/>
    <n v="6.4531164692902543"/>
    <n v="2.1352109687292356E-2"/>
    <n v="3"/>
    <b v="1"/>
    <n v="0"/>
    <n v="-2.6944398339553004"/>
    <n v="7.0301379565728579E-3"/>
    <n v="3"/>
    <b v="1"/>
    <s v="Efecto ponderador"/>
    <n v="0"/>
    <n v="0"/>
    <n v="68.5"/>
    <n v="68.936228981804376"/>
    <n v="4"/>
    <n v="1162194.6295970001"/>
    <n v="0.21883059368981064"/>
    <s v="0% - 30%"/>
    <n v="4708843.5148109999"/>
    <n v="0.88663206290655328"/>
    <s v="71% - 100%"/>
  </r>
  <r>
    <s v="99000"/>
    <s v="99"/>
    <n v="99"/>
    <s v="Colombia"/>
    <s v="Vichada"/>
    <n v="62.067327388764511"/>
    <n v="15.894724124440932"/>
    <n v="1.3823305639473791E-2"/>
    <n v="3"/>
    <n v="61.41"/>
    <n v="63.367699999999999"/>
    <n v="46.92"/>
    <n v="63.46"/>
    <n v="47.160425682469537"/>
    <n v="53.010389526023644"/>
    <n v="41.649701610927316"/>
    <n v="49.265135076260194"/>
    <s v="2. Riesgo (&gt;=40 y &lt;60)"/>
    <s v="2. Riesgo (&gt;=40 y &lt;60)"/>
    <s v="2. Riesgo (&gt;=40 y &lt;60)"/>
    <s v="2. Riesgo (&gt;=40 y &lt;60)"/>
    <n v="58.789425000000001"/>
    <n v="47.771412973920178"/>
    <n v="53.280418986960086"/>
    <n v="83.509650635254445"/>
    <n v="7.577122279708334"/>
    <x v="1"/>
    <n v="0.28246173582854223"/>
    <n v="15.049679632728765"/>
    <n v="1.8501851624643142E-2"/>
    <n v="3"/>
    <b v="1"/>
    <n v="0"/>
    <n v="-8.7869084018044248"/>
    <n v="4.6785459851693516E-3"/>
    <n v="3"/>
    <b v="1"/>
    <s v="Efecto ponderador"/>
    <n v="91.258218217674127"/>
    <x v="2"/>
    <n v="0.10851749367146865"/>
    <n v="3.0233631735419664"/>
    <x v="2"/>
    <m/>
    <n v="5.7818575302306394"/>
    <n v="7.4868313366205285E-3"/>
    <n v="3"/>
    <b v="1"/>
    <n v="0"/>
    <n v="-8.7869084018044248"/>
    <n v="-6.3364743028532624E-3"/>
    <n v="3"/>
    <b v="1"/>
    <s v="Cambio en corte"/>
    <n v="0"/>
    <n v="0"/>
    <n v="63.5"/>
    <n v="67.759960787059725"/>
    <n v="4"/>
    <n v="654348.45718799997"/>
    <n v="6.5676091535439338E-2"/>
    <s v="0% - 30%"/>
    <n v="3813847.8044560002"/>
    <n v="0.38279087351117863"/>
    <s v="31% - 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3">
  <r>
    <n v="5360"/>
    <s v="05360"/>
    <s v="50"/>
    <s v="COLOMBIA"/>
    <s v="ANTIOQUIA"/>
    <s v="ITAGÜÍ"/>
    <x v="0"/>
    <n v="0"/>
    <n v="0"/>
    <n v="0"/>
    <n v="93.42"/>
    <n v="95.554866666666697"/>
    <n v="90.41"/>
    <n v="93.41"/>
    <n v="73.759400391698492"/>
    <n v="66.501443996238592"/>
    <n v="75.94250982080851"/>
    <n v="81.456849399963701"/>
    <s v="4. Solvente (&gt;=70 y &lt;80)"/>
    <s v="3. Vulnerable (&gt;=60 y &lt;70)"/>
    <s v="4. Solvente (&gt;=70 y &lt;80)"/>
    <s v="5. Sostenible (&gt;=80)"/>
    <n v="93.198716666666655"/>
    <n v="74.415050902177327"/>
    <n v="83.806883784421984"/>
    <n v="0"/>
    <x v="0"/>
    <n v="100"/>
    <n v="1.1166517821440873"/>
    <n v="93.583106133817225"/>
    <n v="1"/>
    <n v="1"/>
    <b v="1"/>
    <n v="0"/>
    <n v="1.1053083370280605"/>
    <n v="92.632447347263394"/>
    <n v="0.93357804061490668"/>
    <n v="1"/>
    <b v="1"/>
    <n v="0"/>
    <n v="0"/>
    <x v="0"/>
    <n v="100"/>
    <n v="1.0959480328186668"/>
    <n v="91.847989420199895"/>
    <n v="1"/>
    <n v="1"/>
    <b v="1"/>
    <n v="0"/>
    <n v="0.19989596855933939"/>
    <n v="16.752658206027029"/>
    <n v="1"/>
    <n v="1"/>
  </r>
  <r>
    <n v="5001"/>
    <s v="05001"/>
    <s v="50"/>
    <s v="COLOMBIA"/>
    <s v="ANTIOQUIA"/>
    <s v="MEDELLÍN"/>
    <x v="1"/>
    <n v="1"/>
    <n v="1"/>
    <n v="0"/>
    <n v="97.665132336018402"/>
    <n v="98.381821557345603"/>
    <n v="85.96"/>
    <n v="89.34"/>
    <n v="78.55563641484278"/>
    <n v="80.448674356060337"/>
    <n v="71.179987405011389"/>
    <n v="69.780159801922764"/>
    <s v="4. Solvente (&gt;=70 y &lt;80)"/>
    <s v="5. Sostenible (&gt;=80)"/>
    <s v="4. Solvente (&gt;=70 y &lt;80)"/>
    <s v="3. Vulnerable (&gt;=60 y &lt;70)"/>
    <n v="92.836738473341001"/>
    <n v="74.99111449445931"/>
    <n v="83.913926483900156"/>
    <n v="5.4044044762485246"/>
    <x v="0"/>
    <n v="94.59559552375147"/>
    <s v="Especial"/>
    <s v="N.D."/>
    <s v="N.D."/>
    <s v="Ciudades grandes"/>
    <b v="1"/>
    <n v="0"/>
    <n v="1.1053083370280605"/>
    <n v="92.750762535414609"/>
    <n v="0.93497636300187814"/>
    <n v="1"/>
    <b v="0"/>
    <n v="0"/>
    <s v="N.D."/>
    <x v="1"/>
    <s v="N.D."/>
    <s v="N.D."/>
    <s v="N.D."/>
    <s v="N.D."/>
    <s v="Ciudades grandes"/>
    <b v="1"/>
    <n v="0"/>
    <s v="Especial"/>
    <s v="N.D."/>
    <s v="N.D."/>
    <s v="Ciudades grandes"/>
  </r>
  <r>
    <n v="8758"/>
    <s v="08758"/>
    <s v="87"/>
    <s v="COLOMBIA"/>
    <s v="ATLÁNTICO"/>
    <s v="SOLEDAD"/>
    <x v="0"/>
    <n v="0"/>
    <n v="0"/>
    <n v="0"/>
    <n v="56.72"/>
    <n v="56.134266666666697"/>
    <n v="56.34"/>
    <n v="61.74"/>
    <n v="47.321956384229956"/>
    <n v="61.028939755525542"/>
    <n v="65.730071374051647"/>
    <n v="64.871141557937023"/>
    <s v="2. Riesgo (&gt;=40 y &lt;60)"/>
    <s v="3. Vulnerable (&gt;=60 y &lt;70)"/>
    <s v="3. Vulnerable (&gt;=60 y &lt;70)"/>
    <s v="3. Vulnerable (&gt;=60 y &lt;70)"/>
    <n v="57.733566666666675"/>
    <n v="59.73802726793604"/>
    <n v="58.735796967301354"/>
    <n v="5.4622722449607117"/>
    <x v="0"/>
    <n v="94.537727755039285"/>
    <n v="1.1166517821440873"/>
    <n v="65.587432359190331"/>
    <n v="0.64980363130118213"/>
    <n v="1"/>
    <b v="1"/>
    <n v="0"/>
    <n v="1.1053083370280605"/>
    <n v="64.921166069945656"/>
    <n v="0.6060689051671897"/>
    <n v="2"/>
    <b v="0"/>
    <n v="1"/>
    <n v="5.4622722449607117"/>
    <x v="0"/>
    <n v="94.537727755039285"/>
    <n v="1.0959480328186668"/>
    <n v="64.371381142350529"/>
    <n v="0.64903765945127867"/>
    <n v="1"/>
    <b v="1"/>
    <n v="0"/>
    <n v="0.18897710654992722"/>
    <n v="11.0997209617846"/>
    <n v="0.66256475988934715"/>
    <n v="1"/>
  </r>
  <r>
    <n v="8001"/>
    <s v="08001"/>
    <s v="87"/>
    <s v="COLOMBIA"/>
    <s v="ATLÁNTICO"/>
    <s v="BARRANQUILLA"/>
    <x v="1"/>
    <n v="1"/>
    <n v="1"/>
    <n v="0"/>
    <n v="89.31"/>
    <n v="89.114699999999999"/>
    <n v="82.38"/>
    <n v="82.84"/>
    <n v="64.029402628814168"/>
    <n v="59.14951482607708"/>
    <n v="75.702898328320217"/>
    <n v="72.664147104551546"/>
    <s v="3. Vulnerable (&gt;=60 y &lt;70)"/>
    <s v="2. Riesgo (&gt;=40 y &lt;60)"/>
    <s v="4. Solvente (&gt;=70 y &lt;80)"/>
    <s v="4. Solvente (&gt;=70 y &lt;80)"/>
    <n v="85.911175000000014"/>
    <n v="67.88649072194076"/>
    <n v="76.898832860970387"/>
    <n v="8.2688188677944243"/>
    <x v="0"/>
    <n v="91.731181132205577"/>
    <s v="Especial"/>
    <s v="N.D."/>
    <s v="N.D."/>
    <s v="Ciudades grandes"/>
    <b v="1"/>
    <n v="0"/>
    <n v="1.1053083370280605"/>
    <n v="84.996921068957946"/>
    <n v="0.8433366481267498"/>
    <n v="1"/>
    <b v="0"/>
    <n v="0"/>
    <s v="N.D."/>
    <x v="1"/>
    <s v="N.D."/>
    <s v="N.D."/>
    <s v="N.D."/>
    <s v="N.D."/>
    <s v="Ciudades grandes"/>
    <b v="1"/>
    <n v="0"/>
    <s v="Especial"/>
    <s v="N.D."/>
    <s v="N.D."/>
    <s v="Ciudades grandes"/>
  </r>
  <r>
    <n v="5631"/>
    <s v="05631"/>
    <s v="50"/>
    <s v="COLOMBIA"/>
    <s v="ANTIOQUIA"/>
    <s v="SABANETA"/>
    <x v="0"/>
    <n v="0"/>
    <n v="0"/>
    <n v="0"/>
    <n v="77.53"/>
    <n v="84.963700000000003"/>
    <n v="95.26"/>
    <n v="96.47"/>
    <n v="60.764219773307588"/>
    <n v="65.68202080537165"/>
    <n v="74.49339264966541"/>
    <n v="59.008566253040605"/>
    <s v="3. Vulnerable (&gt;=60 y &lt;70)"/>
    <s v="3. Vulnerable (&gt;=60 y &lt;70)"/>
    <s v="4. Solvente (&gt;=70 y &lt;80)"/>
    <s v="2. Riesgo (&gt;=40 y &lt;60)"/>
    <n v="88.555925000000002"/>
    <n v="64.987049870346311"/>
    <n v="76.771487435173157"/>
    <n v="8.3610270335414683"/>
    <x v="0"/>
    <n v="91.638972966458539"/>
    <n v="1.1166517821440873"/>
    <n v="85.727018262338518"/>
    <n v="0.90172862182498636"/>
    <n v="1"/>
    <b v="1"/>
    <n v="0"/>
    <n v="1.1053083370280605"/>
    <n v="84.85616510814188"/>
    <n v="0.84167310674897478"/>
    <n v="1"/>
    <b v="1"/>
    <n v="0"/>
    <n v="8.3610270335414683"/>
    <x v="0"/>
    <n v="91.638972966458539"/>
    <n v="1.0959480328186668"/>
    <n v="84.137560631141014"/>
    <n v="0.90151367639419011"/>
    <n v="1"/>
    <b v="1"/>
    <n v="0"/>
    <n v="0.18318261258913351"/>
    <n v="14.063201640728856"/>
    <n v="0.83946090630974624"/>
    <n v="1"/>
  </r>
  <r>
    <n v="5088"/>
    <s v="05088"/>
    <s v="50"/>
    <s v="COLOMBIA"/>
    <s v="ANTIOQUIA"/>
    <s v="BELLO"/>
    <x v="0"/>
    <n v="0"/>
    <n v="0"/>
    <n v="0"/>
    <n v="97.029152282316801"/>
    <n v="96.869668188211193"/>
    <n v="88.43"/>
    <n v="87.58"/>
    <n v="51.921480073829002"/>
    <n v="71.156792833747446"/>
    <n v="65.988288373102677"/>
    <n v="62.55844866684339"/>
    <s v="2. Riesgo (&gt;=40 y &lt;60)"/>
    <s v="4. Solvente (&gt;=70 y &lt;80)"/>
    <s v="3. Vulnerable (&gt;=60 y &lt;70)"/>
    <s v="3. Vulnerable (&gt;=60 y &lt;70)"/>
    <n v="92.477205117631996"/>
    <n v="62.906252486880632"/>
    <n v="77.691728802256307"/>
    <n v="11.175402450586104"/>
    <x v="0"/>
    <n v="88.824597549413895"/>
    <n v="1.1166517821440873"/>
    <n v="86.75460742489463"/>
    <n v="0.91458267906748636"/>
    <n v="1"/>
    <b v="1"/>
    <n v="0"/>
    <n v="1.1053083370280605"/>
    <n v="85.873315563256995"/>
    <n v="0.85369442264704809"/>
    <n v="1"/>
    <b v="1"/>
    <n v="0"/>
    <n v="11.175402450586104"/>
    <x v="0"/>
    <n v="88.824597549413895"/>
    <n v="1.0959480328186668"/>
    <n v="85.146097347114164"/>
    <n v="0.914395848851138"/>
    <n v="1"/>
    <b v="1"/>
    <n v="0"/>
    <n v="0.17755678959033616"/>
    <n v="13.794693943851684"/>
    <n v="0.82343313963683851"/>
    <n v="1"/>
  </r>
  <r>
    <n v="5266"/>
    <s v="05266"/>
    <s v="50"/>
    <s v="COLOMBIA"/>
    <s v="ANTIOQUIA"/>
    <s v="ENVIGADO"/>
    <x v="0"/>
    <n v="0"/>
    <n v="0"/>
    <n v="0"/>
    <n v="90.17"/>
    <n v="93.383499999999998"/>
    <n v="80.680000000000007"/>
    <n v="87.94"/>
    <n v="73.887075205343422"/>
    <n v="77.919438136979181"/>
    <n v="75.80273504364591"/>
    <n v="76.199019212245545"/>
    <s v="4. Solvente (&gt;=70 y &lt;80)"/>
    <s v="4. Solvente (&gt;=70 y &lt;80)"/>
    <s v="4. Solvente (&gt;=70 y &lt;80)"/>
    <s v="4. Solvente (&gt;=70 y &lt;80)"/>
    <n v="88.043374999999997"/>
    <n v="75.952066899553515"/>
    <n v="81.997720949776749"/>
    <n v="12.414758957669362"/>
    <x v="0"/>
    <n v="87.585241042330637"/>
    <n v="1.1166517821440873"/>
    <n v="91.562901230321771"/>
    <n v="0.97472936615396455"/>
    <n v="1"/>
    <b v="1"/>
    <n v="0"/>
    <n v="1.1053083370280605"/>
    <n v="90.632764583088701"/>
    <n v="0.90994454757246779"/>
    <n v="1"/>
    <b v="1"/>
    <n v="0"/>
    <n v="12.414758957669362"/>
    <x v="0"/>
    <n v="87.585241042330637"/>
    <n v="1.0959480328186668"/>
    <n v="89.86524097052181"/>
    <n v="0.97467409261064619"/>
    <n v="1"/>
    <b v="1"/>
    <n v="0"/>
    <n v="0.17507936589659889"/>
    <n v="14.356108988853176"/>
    <n v="0.85694513744023881"/>
    <n v="1"/>
  </r>
  <r>
    <n v="11001"/>
    <s v="11001"/>
    <s v="11"/>
    <s v="COLOMBIA"/>
    <s v="BOGOTÁ. D.C."/>
    <s v="BOGOTÁ. D.C."/>
    <x v="2"/>
    <n v="1"/>
    <n v="1"/>
    <n v="0"/>
    <n v="97.698120444955904"/>
    <n v="98.415413629970601"/>
    <n v="93.83"/>
    <n v="97.57"/>
    <n v="68.353366130290539"/>
    <n v="85.778165683202474"/>
    <n v="79.421991990248301"/>
    <n v="90.065246221784676"/>
    <s v="3. Vulnerable (&gt;=60 y &lt;70)"/>
    <s v="5. Sostenible (&gt;=80)"/>
    <s v="4. Solvente (&gt;=70 y &lt;80)"/>
    <s v="5. Sostenible (&gt;=80)"/>
    <n v="96.878383518731624"/>
    <n v="80.904692506381494"/>
    <n v="88.891538012556566"/>
    <n v="13.979366700262819"/>
    <x v="0"/>
    <n v="86.020633299737185"/>
    <s v="Especial"/>
    <s v="N.D."/>
    <s v="N.D."/>
    <s v="Bogotá"/>
    <b v="1"/>
    <n v="0"/>
    <n v="1.1053083370280605"/>
    <n v="98.25255805652553"/>
    <n v="1"/>
    <n v="1"/>
    <b v="0"/>
    <n v="0"/>
    <s v="N.D."/>
    <x v="1"/>
    <s v="N.D."/>
    <s v="N.D."/>
    <s v="N.D."/>
    <s v="N.D."/>
    <s v="Bogotá"/>
    <b v="1"/>
    <n v="0"/>
    <s v="Especial"/>
    <s v="N.D."/>
    <s v="N.D."/>
    <s v="Bogotá"/>
  </r>
  <r>
    <n v="76001"/>
    <s v="76001"/>
    <s v="76"/>
    <s v="COLOMBIA"/>
    <s v="VALLE DEL CAUCA"/>
    <s v="CALI"/>
    <x v="1"/>
    <n v="1"/>
    <n v="1"/>
    <n v="0"/>
    <n v="87.64"/>
    <n v="90.782966666666695"/>
    <n v="81.900000000000006"/>
    <n v="80.239999999999995"/>
    <n v="65.015843417894047"/>
    <n v="70.70761459700897"/>
    <n v="65.960382286614475"/>
    <n v="69.60542878881175"/>
    <s v="3. Vulnerable (&gt;=60 y &lt;70)"/>
    <s v="4. Solvente (&gt;=70 y &lt;80)"/>
    <s v="3. Vulnerable (&gt;=60 y &lt;70)"/>
    <s v="3. Vulnerable (&gt;=60 y &lt;70)"/>
    <n v="85.140741666666685"/>
    <n v="67.82231727258231"/>
    <n v="76.481529469624491"/>
    <n v="14.19231236277248"/>
    <x v="0"/>
    <n v="85.807687637227517"/>
    <s v="Especial"/>
    <s v="N.D."/>
    <s v="N.D."/>
    <s v="Ciudades grandes"/>
    <b v="1"/>
    <n v="0"/>
    <n v="1.1053083370280605"/>
    <n v="84.535672151433246"/>
    <n v="0.83788532190718745"/>
    <n v="1"/>
    <b v="0"/>
    <n v="0"/>
    <s v="N.D."/>
    <x v="1"/>
    <s v="N.D."/>
    <s v="N.D."/>
    <s v="N.D."/>
    <s v="N.D."/>
    <s v="Ciudades grandes"/>
    <b v="1"/>
    <n v="0"/>
    <s v="Especial"/>
    <s v="N.D."/>
    <s v="N.D."/>
    <s v="Ciudades grandes"/>
  </r>
  <r>
    <n v="25754"/>
    <s v="25754"/>
    <s v="25"/>
    <s v="COLOMBIA"/>
    <s v="CUNDINAMARCA"/>
    <s v="SOACHA"/>
    <x v="0"/>
    <n v="0"/>
    <n v="0"/>
    <n v="0"/>
    <n v="79.92"/>
    <n v="82.064466666666704"/>
    <n v="83.95"/>
    <n v="62.99"/>
    <n v="48.359210708878621"/>
    <n v="43.553512162953325"/>
    <n v="58.346971433530641"/>
    <n v="68.957333628555546"/>
    <s v="2. Riesgo (&gt;=40 y &lt;60)"/>
    <s v="2. Riesgo (&gt;=40 y &lt;60)"/>
    <s v="2. Riesgo (&gt;=40 y &lt;60)"/>
    <s v="3. Vulnerable (&gt;=60 y &lt;70)"/>
    <n v="77.231116666666679"/>
    <n v="54.804256983479533"/>
    <n v="66.017686825073099"/>
    <n v="15.073710689853581"/>
    <x v="0"/>
    <n v="84.926289310146416"/>
    <n v="1.1166517821440873"/>
    <n v="73.718767646248111"/>
    <n v="0.75151806450696568"/>
    <n v="1"/>
    <b v="1"/>
    <n v="0"/>
    <n v="1.1053083370280605"/>
    <n v="72.969899639060841"/>
    <n v="0.70119383808855484"/>
    <n v="1"/>
    <b v="1"/>
    <n v="0"/>
    <n v="15.073710689853581"/>
    <x v="0"/>
    <n v="84.926289310146416"/>
    <n v="1.0959480328186668"/>
    <n v="72.351954007177682"/>
    <n v="0.75097456895758485"/>
    <n v="1"/>
    <b v="1"/>
    <n v="0"/>
    <n v="0.16976422857802392"/>
    <n v="11.207441676364109"/>
    <n v="0.66899482688258138"/>
    <n v="1"/>
  </r>
  <r>
    <n v="68001"/>
    <s v="68001"/>
    <s v="68"/>
    <s v="COLOMBIA"/>
    <s v="SANTANDER"/>
    <s v="BUCARAMANGA"/>
    <x v="1"/>
    <n v="1"/>
    <n v="1"/>
    <n v="0"/>
    <n v="73.41"/>
    <n v="82.215433333333294"/>
    <n v="93.63"/>
    <n v="91.71"/>
    <n v="54.326870055407433"/>
    <n v="61.338595252757287"/>
    <n v="73.367856106440854"/>
    <n v="76.140322745256881"/>
    <s v="2. Riesgo (&gt;=40 y &lt;60)"/>
    <s v="3. Vulnerable (&gt;=60 y &lt;70)"/>
    <s v="4. Solvente (&gt;=70 y &lt;80)"/>
    <s v="4. Solvente (&gt;=70 y &lt;80)"/>
    <n v="85.241358333333324"/>
    <n v="66.293411039965619"/>
    <n v="75.767384686649478"/>
    <n v="15.420177041089412"/>
    <x v="0"/>
    <n v="84.579822958910583"/>
    <s v="Especial"/>
    <s v="N.D."/>
    <s v="N.D."/>
    <s v="Ciudades grandes"/>
    <b v="1"/>
    <n v="0"/>
    <n v="1.1053083370280605"/>
    <n v="83.746321968965873"/>
    <n v="0.82855629113310381"/>
    <n v="1"/>
    <b v="0"/>
    <n v="0"/>
    <s v="N.D."/>
    <x v="1"/>
    <s v="N.D."/>
    <s v="N.D."/>
    <s v="N.D."/>
    <s v="N.D."/>
    <s v="Ciudades grandes"/>
    <b v="1"/>
    <n v="0"/>
    <s v="Especial"/>
    <s v="N.D."/>
    <s v="N.D."/>
    <s v="Ciudades grandes"/>
  </r>
  <r>
    <n v="66170"/>
    <s v="66170"/>
    <s v="66"/>
    <s v="COLOMBIA"/>
    <s v="RISARALDA"/>
    <s v="DOSQUEBRADAS"/>
    <x v="0"/>
    <n v="0"/>
    <n v="0"/>
    <n v="0"/>
    <n v="76.63"/>
    <n v="82.241"/>
    <n v="81.239999999999995"/>
    <n v="86.36"/>
    <n v="52.852694178515605"/>
    <n v="62.410350080476761"/>
    <n v="58.520621074417363"/>
    <n v="60.452727085604856"/>
    <s v="2. Riesgo (&gt;=40 y &lt;60)"/>
    <s v="3. Vulnerable (&gt;=60 y &lt;70)"/>
    <s v="2. Riesgo (&gt;=40 y &lt;60)"/>
    <s v="3. Vulnerable (&gt;=60 y &lt;70)"/>
    <n v="81.617750000000001"/>
    <n v="58.559098104753645"/>
    <n v="70.088424052376823"/>
    <n v="15.862993810413437"/>
    <x v="0"/>
    <n v="84.137006189586558"/>
    <n v="1.1166517821440873"/>
    <n v="78.264363625757099"/>
    <n v="0.80837867870081737"/>
    <n v="1"/>
    <b v="1"/>
    <n v="0"/>
    <n v="1.1053083370280605"/>
    <n v="77.469319434250139"/>
    <n v="0.75437077611577497"/>
    <n v="1"/>
    <b v="1"/>
    <n v="0"/>
    <n v="15.862993810413437"/>
    <x v="0"/>
    <n v="84.137006189586558"/>
    <n v="1.0959480328186668"/>
    <n v="76.813270463562915"/>
    <n v="0.80795955231609284"/>
    <n v="1"/>
    <b v="1"/>
    <n v="0"/>
    <n v="0.1681864834395054"/>
    <n v="11.787925571186106"/>
    <n v="0.70364508284095573"/>
    <n v="1"/>
  </r>
  <r>
    <n v="68276"/>
    <s v="68276"/>
    <s v="68"/>
    <s v="COLOMBIA"/>
    <s v="SANTANDER"/>
    <s v="FLORIDABLANCA"/>
    <x v="0"/>
    <n v="0"/>
    <n v="0"/>
    <n v="0"/>
    <n v="95.81"/>
    <n v="97.140933333333294"/>
    <n v="78.23"/>
    <n v="83.06"/>
    <n v="67.051363391985404"/>
    <n v="56.446677094272502"/>
    <n v="57.085798777637805"/>
    <n v="63.040599454534998"/>
    <s v="3. Vulnerable (&gt;=60 y &lt;70)"/>
    <s v="2. Riesgo (&gt;=40 y &lt;60)"/>
    <s v="2. Riesgo (&gt;=40 y &lt;60)"/>
    <s v="3. Vulnerable (&gt;=60 y &lt;70)"/>
    <n v="88.560233333333329"/>
    <n v="60.906109679607674"/>
    <n v="74.733171506470498"/>
    <n v="16.862254681609198"/>
    <x v="0"/>
    <n v="83.137745318390799"/>
    <n v="1.1166517821440873"/>
    <n v="83.450929147980005"/>
    <n v="0.87325714622843653"/>
    <n v="1"/>
    <b v="1"/>
    <n v="0"/>
    <n v="1.1053083370280605"/>
    <n v="82.603197518649736"/>
    <n v="0.81504613630895184"/>
    <n v="1"/>
    <b v="1"/>
    <n v="0"/>
    <n v="16.862254681609198"/>
    <x v="0"/>
    <n v="83.137745318390799"/>
    <n v="1.0959480328186668"/>
    <n v="81.903672298816389"/>
    <n v="0.87297992616894227"/>
    <n v="1"/>
    <b v="1"/>
    <n v="0"/>
    <n v="0.16618900124259414"/>
    <n v="12.419831132351828"/>
    <n v="0.74136480190848764"/>
    <n v="1"/>
  </r>
  <r>
    <n v="5380"/>
    <s v="05380"/>
    <s v="50"/>
    <s v="COLOMBIA"/>
    <s v="ANTIOQUIA"/>
    <s v="LA ESTRELLA"/>
    <x v="0"/>
    <n v="0"/>
    <n v="0"/>
    <n v="0"/>
    <n v="72.349999999999994"/>
    <n v="73.229633333333297"/>
    <n v="74.87"/>
    <n v="77.88"/>
    <n v="66.923363149535305"/>
    <n v="79.786719584831474"/>
    <n v="68.636060495332089"/>
    <n v="75.340860685867156"/>
    <s v="3. Vulnerable (&gt;=60 y &lt;70)"/>
    <s v="4. Solvente (&gt;=70 y &lt;80)"/>
    <s v="3. Vulnerable (&gt;=60 y &lt;70)"/>
    <s v="4. Solvente (&gt;=70 y &lt;80)"/>
    <n v="74.582408333333319"/>
    <n v="72.671750978891509"/>
    <n v="73.627079656112414"/>
    <n v="16.982734911688318"/>
    <x v="0"/>
    <n v="83.017265088311689"/>
    <n v="1.1166517821440873"/>
    <n v="82.215809712062608"/>
    <n v="0.85780710402371496"/>
    <n v="1"/>
    <b v="1"/>
    <n v="0"/>
    <n v="1.1053083370280605"/>
    <n v="81.380624974930157"/>
    <n v="0.80059701456648469"/>
    <n v="1"/>
    <b v="1"/>
    <n v="0"/>
    <n v="16.982734911688318"/>
    <x v="0"/>
    <n v="83.017265088311689"/>
    <n v="1.0959480328186668"/>
    <n v="80.69145311129968"/>
    <n v="0.85749609064576726"/>
    <n v="1"/>
    <b v="1"/>
    <n v="0"/>
    <n v="0.16594816611975499"/>
    <n v="12.218278845684976"/>
    <n v="0.72933373888624198"/>
    <n v="1"/>
  </r>
  <r>
    <n v="63001"/>
    <s v="63001"/>
    <s v="63"/>
    <s v="COLOMBIA"/>
    <s v="QUINDÍO"/>
    <s v="ARMENIA"/>
    <x v="3"/>
    <n v="1"/>
    <n v="1"/>
    <n v="0"/>
    <n v="79.58"/>
    <n v="80.838899999999995"/>
    <n v="73.58"/>
    <n v="71.02"/>
    <n v="52.125490414567707"/>
    <n v="55.589241951223649"/>
    <n v="59.478834146350508"/>
    <n v="72.671761002416531"/>
    <s v="2. Riesgo (&gt;=40 y &lt;60)"/>
    <s v="2. Riesgo (&gt;=40 y &lt;60)"/>
    <s v="2. Riesgo (&gt;=40 y &lt;60)"/>
    <s v="4. Solvente (&gt;=70 y &lt;80)"/>
    <n v="76.254724999999993"/>
    <n v="59.966331878639593"/>
    <n v="68.110528439319793"/>
    <n v="18.936558644740217"/>
    <x v="0"/>
    <n v="81.063441355259783"/>
    <s v="Especial"/>
    <s v="N.D."/>
    <s v="N.D."/>
    <s v="SC- Centro aglomeración_x000a_"/>
    <b v="1"/>
    <n v="0"/>
    <n v="1.1053083370280605"/>
    <n v="75.283134923366987"/>
    <n v="0.72853308958214691"/>
    <n v="1"/>
    <b v="0"/>
    <n v="0"/>
    <s v="N.D."/>
    <x v="1"/>
    <s v="N.D."/>
    <s v="N.D."/>
    <s v="N.D."/>
    <s v="N.D."/>
    <s v="SC- Centro aglomeración_x000a_"/>
    <b v="1"/>
    <n v="0"/>
    <s v="Especial"/>
    <s v="N.D."/>
    <s v="N.D."/>
    <s v="SC- Centro aglomeración_x000a_"/>
  </r>
  <r>
    <n v="5212"/>
    <s v="05212"/>
    <s v="50"/>
    <s v="COLOMBIA"/>
    <s v="ANTIOQUIA"/>
    <s v="COPACABANA"/>
    <x v="0"/>
    <n v="0"/>
    <n v="0"/>
    <n v="0"/>
    <n v="68.75"/>
    <n v="73.544300000000007"/>
    <n v="84.79"/>
    <n v="76.7"/>
    <n v="61.52407967876875"/>
    <n v="56.744030513408632"/>
    <n v="62.162810269285885"/>
    <n v="74.514956697836098"/>
    <s v="3. Vulnerable (&gt;=60 y &lt;70)"/>
    <s v="2. Riesgo (&gt;=40 y &lt;60)"/>
    <s v="3. Vulnerable (&gt;=60 y &lt;70)"/>
    <s v="4. Solvente (&gt;=70 y &lt;80)"/>
    <n v="75.946075000000008"/>
    <n v="63.736469289824839"/>
    <n v="69.841272144912423"/>
    <n v="20.955372463148404"/>
    <x v="0"/>
    <n v="79.044627536851593"/>
    <n v="1.1166517821440873"/>
    <n v="77.988381007826661"/>
    <n v="0.80492642706360817"/>
    <n v="1"/>
    <b v="1"/>
    <n v="0"/>
    <n v="1.1053083370280605"/>
    <n v="77.196140370417353"/>
    <n v="0.75114217624978741"/>
    <n v="1"/>
    <b v="1"/>
    <n v="0"/>
    <n v="20.955372463148404"/>
    <x v="0"/>
    <n v="79.044627536851593"/>
    <n v="1.0959480328186668"/>
    <n v="76.542404816769917"/>
    <n v="0.80449974969375271"/>
    <n v="1"/>
    <b v="1"/>
    <n v="0"/>
    <n v="0.15800702380891182"/>
    <n v="11.035411550645867"/>
    <n v="0.65872600126681424"/>
    <n v="1"/>
  </r>
  <r>
    <n v="13001"/>
    <s v="13001"/>
    <s v="13"/>
    <s v="COLOMBIA"/>
    <s v="BOLÍVAR"/>
    <s v="CARTAGENA"/>
    <x v="1"/>
    <n v="1"/>
    <n v="1"/>
    <n v="0"/>
    <n v="63.05"/>
    <n v="74.895200000000003"/>
    <n v="83.93"/>
    <n v="87.68"/>
    <n v="51.473828173264522"/>
    <n v="50.389288136943634"/>
    <n v="62.995235603873802"/>
    <n v="59.246471070715515"/>
    <s v="2. Riesgo (&gt;=40 y &lt;60)"/>
    <s v="2. Riesgo (&gt;=40 y &lt;60)"/>
    <s v="3. Vulnerable (&gt;=60 y &lt;70)"/>
    <s v="2. Riesgo (&gt;=40 y &lt;60)"/>
    <n v="77.388800000000003"/>
    <n v="56.026205746199366"/>
    <n v="66.707502873099685"/>
    <n v="21.321990836271642"/>
    <x v="0"/>
    <n v="78.678009163728362"/>
    <s v="Especial"/>
    <s v="N.D."/>
    <s v="N.D."/>
    <s v="Ciudades grandes"/>
    <b v="1"/>
    <n v="0"/>
    <n v="1.1053083370280605"/>
    <n v="73.732359067960388"/>
    <n v="0.7102050572333457"/>
    <n v="1"/>
    <b v="0"/>
    <n v="0"/>
    <s v="N.D."/>
    <x v="1"/>
    <s v="N.D."/>
    <s v="N.D."/>
    <s v="N.D."/>
    <s v="N.D."/>
    <s v="Ciudades grandes"/>
    <b v="1"/>
    <n v="0"/>
    <s v="Especial"/>
    <s v="N.D."/>
    <s v="N.D."/>
    <s v="Ciudades grandes"/>
  </r>
  <r>
    <n v="25175"/>
    <s v="25175"/>
    <s v="25"/>
    <s v="COLOMBIA"/>
    <s v="CUNDINAMARCA"/>
    <s v="CHÍA"/>
    <x v="0"/>
    <n v="0"/>
    <n v="0"/>
    <n v="0"/>
    <n v="70.41"/>
    <n v="74.293400000000005"/>
    <n v="74.31"/>
    <n v="69.56"/>
    <n v="66.04834470178254"/>
    <n v="56.333168428156796"/>
    <n v="54.103281455242339"/>
    <n v="65.948572006954805"/>
    <s v="3. Vulnerable (&gt;=60 y &lt;70)"/>
    <s v="2. Riesgo (&gt;=40 y &lt;60)"/>
    <s v="2. Riesgo (&gt;=40 y &lt;60)"/>
    <s v="3. Vulnerable (&gt;=60 y &lt;70)"/>
    <n v="72.143349999999998"/>
    <n v="60.60834164803412"/>
    <n v="66.375845824017063"/>
    <n v="22.086583357789888"/>
    <x v="0"/>
    <n v="77.913416642210109"/>
    <n v="1.1166517821440873"/>
    <n v="74.118706530709829"/>
    <n v="0.75652087837626025"/>
    <n v="1"/>
    <b v="1"/>
    <n v="0"/>
    <n v="1.1053083370280605"/>
    <n v="73.36577576657524"/>
    <n v="0.70587254806840538"/>
    <n v="1"/>
    <b v="1"/>
    <n v="0"/>
    <n v="22.086583357789888"/>
    <x v="0"/>
    <n v="77.913416642210109"/>
    <n v="1.0959480328186668"/>
    <n v="72.744477657506621"/>
    <n v="0.75598832530069326"/>
    <n v="1"/>
    <b v="1"/>
    <n v="0"/>
    <n v="0.15574577883461946"/>
    <n v="10.337757803668161"/>
    <n v="0.61708164021092438"/>
    <n v="1"/>
  </r>
  <r>
    <n v="8433"/>
    <s v="08433"/>
    <s v="87"/>
    <s v="COLOMBIA"/>
    <s v="ATLÁNTICO"/>
    <s v="MALAMBO"/>
    <x v="0"/>
    <n v="0"/>
    <n v="0"/>
    <n v="0"/>
    <n v="61.91"/>
    <n v="64.637733333333301"/>
    <n v="71.83"/>
    <n v="43.63"/>
    <n v="49.07834861890332"/>
    <n v="44.3830130672427"/>
    <n v="46.902502303824747"/>
    <n v="45.188416240799057"/>
    <s v="2. Riesgo (&gt;=40 y &lt;60)"/>
    <s v="2. Riesgo (&gt;=40 y &lt;60)"/>
    <s v="2. Riesgo (&gt;=40 y &lt;60)"/>
    <s v="2. Riesgo (&gt;=40 y &lt;60)"/>
    <n v="60.501933333333326"/>
    <n v="46.388070057692453"/>
    <n v="53.445001695512886"/>
    <n v="21.973424446777447"/>
    <x v="0"/>
    <n v="78.026575553222557"/>
    <n v="1.1166517821440873"/>
    <n v="59.679456389988232"/>
    <n v="0.57590107952014258"/>
    <n v="2"/>
    <b v="0"/>
    <n v="1"/>
    <n v="1.1053083370280605"/>
    <n v="59.073205946529221"/>
    <n v="0.53695407987325716"/>
    <n v="2"/>
    <b v="0"/>
    <n v="1"/>
    <n v="21.973424446777447"/>
    <x v="0"/>
    <n v="78.026575553222557"/>
    <n v="1.0959480328186668"/>
    <n v="58.572944472187658"/>
    <n v="0.57497346329194177"/>
    <n v="2"/>
    <b v="0"/>
    <n v="1"/>
    <n v="0.15597197893579898"/>
    <n v="8.3359226786762761"/>
    <n v="0.49758805893128644"/>
    <n v="2"/>
  </r>
  <r>
    <n v="25126"/>
    <s v="25126"/>
    <s v="25"/>
    <s v="COLOMBIA"/>
    <s v="CUNDINAMARCA"/>
    <s v="CAJICÁ"/>
    <x v="0"/>
    <n v="0"/>
    <n v="0"/>
    <n v="0"/>
    <n v="96.84"/>
    <n v="97.266999999999996"/>
    <n v="69.92"/>
    <n v="74.760000000000005"/>
    <n v="69.598149072074051"/>
    <n v="58.649205860033739"/>
    <n v="65.104106113408875"/>
    <n v="72.752293922325251"/>
    <s v="3. Vulnerable (&gt;=60 y &lt;70)"/>
    <s v="2. Riesgo (&gt;=40 y &lt;60)"/>
    <s v="3. Vulnerable (&gt;=60 y &lt;70)"/>
    <s v="4. Solvente (&gt;=70 y &lt;80)"/>
    <n v="84.696749999999994"/>
    <n v="66.525938741960474"/>
    <n v="75.611344370980234"/>
    <n v="22.555340032118512"/>
    <x v="0"/>
    <n v="77.444659967881492"/>
    <n v="1.1166517821440873"/>
    <n v="84.43154244216538"/>
    <n v="0.88552358487485139"/>
    <n v="1"/>
    <b v="1"/>
    <n v="0"/>
    <n v="1.1053083370280605"/>
    <n v="83.573849307144172"/>
    <n v="0.82651790208150022"/>
    <n v="1"/>
    <b v="1"/>
    <n v="0"/>
    <n v="22.555340032118512"/>
    <x v="0"/>
    <n v="77.444659967881492"/>
    <n v="1.0959480328186668"/>
    <n v="82.86610412215056"/>
    <n v="0.88527319475290511"/>
    <n v="1"/>
    <b v="1"/>
    <n v="0"/>
    <n v="0.15480875314028369"/>
    <n v="11.705297945332058"/>
    <n v="0.69871287298877116"/>
    <n v="1"/>
  </r>
  <r>
    <n v="25286"/>
    <s v="25286"/>
    <s v="25"/>
    <s v="COLOMBIA"/>
    <s v="CUNDINAMARCA"/>
    <s v="FUNZA"/>
    <x v="0"/>
    <n v="0"/>
    <n v="0"/>
    <n v="0"/>
    <n v="64.16"/>
    <n v="75.839833333333303"/>
    <n v="95.18"/>
    <n v="97.75"/>
    <n v="62.738241230625547"/>
    <n v="62.085722877350975"/>
    <n v="67.479381106820711"/>
    <n v="71.531562771808822"/>
    <s v="3. Vulnerable (&gt;=60 y &lt;70)"/>
    <s v="3. Vulnerable (&gt;=60 y &lt;70)"/>
    <s v="3. Vulnerable (&gt;=60 y &lt;70)"/>
    <s v="4. Solvente (&gt;=70 y &lt;80)"/>
    <n v="83.232458333333327"/>
    <n v="65.958726996651507"/>
    <n v="74.595592664992409"/>
    <n v="22.61161090261465"/>
    <x v="0"/>
    <n v="77.388389097385357"/>
    <n v="1.1166517821440873"/>
    <n v="83.297301489458178"/>
    <n v="0.87133542615914483"/>
    <n v="1"/>
    <b v="1"/>
    <n v="0"/>
    <n v="1.1053083370280605"/>
    <n v="82.451130478165354"/>
    <n v="0.81324891356559581"/>
    <n v="1"/>
    <b v="1"/>
    <n v="0"/>
    <n v="22.61161090261465"/>
    <x v="0"/>
    <n v="77.388389097385357"/>
    <n v="1.0959480328186668"/>
    <n v="81.752893038140996"/>
    <n v="0.87105400279085554"/>
    <n v="1"/>
    <b v="1"/>
    <n v="0"/>
    <n v="0.15469626993868868"/>
    <n v="11.539659939140131"/>
    <n v="0.68882560589629649"/>
    <n v="1"/>
  </r>
  <r>
    <n v="25473"/>
    <s v="25473"/>
    <s v="25"/>
    <s v="COLOMBIA"/>
    <s v="CUNDINAMARCA"/>
    <s v="MOSQUERA"/>
    <x v="0"/>
    <n v="0"/>
    <n v="0"/>
    <n v="0"/>
    <n v="96.8"/>
    <n v="97.808199999999999"/>
    <n v="92.25"/>
    <n v="85.48"/>
    <n v="57.921732301005946"/>
    <n v="76.888314628730058"/>
    <n v="75.994803223378881"/>
    <n v="75.743822098711831"/>
    <s v="2. Riesgo (&gt;=40 y &lt;60)"/>
    <s v="4. Solvente (&gt;=70 y &lt;80)"/>
    <s v="4. Solvente (&gt;=70 y &lt;80)"/>
    <s v="4. Solvente (&gt;=70 y &lt;80)"/>
    <n v="93.084550000000007"/>
    <n v="71.637168062956675"/>
    <n v="82.360859031478341"/>
    <n v="23.75381512141934"/>
    <x v="0"/>
    <n v="76.246184878580664"/>
    <n v="1.1166517821440873"/>
    <n v="91.968400016418244"/>
    <n v="0.97980172853202119"/>
    <n v="1"/>
    <b v="1"/>
    <n v="0"/>
    <n v="1.1053083370280605"/>
    <n v="91.034144132285846"/>
    <n v="0.91468830040830473"/>
    <n v="1"/>
    <b v="1"/>
    <n v="0"/>
    <n v="23.75381512141934"/>
    <x v="0"/>
    <n v="76.246184878580664"/>
    <n v="1.0959480328186668"/>
    <n v="90.263221436804216"/>
    <n v="0.97975754958345418"/>
    <n v="1"/>
    <b v="1"/>
    <n v="0"/>
    <n v="0.15241304975258341"/>
    <n v="12.552869705230217"/>
    <n v="0.74930614299252685"/>
    <n v="1"/>
  </r>
  <r>
    <n v="70001"/>
    <s v="70001"/>
    <s v="70"/>
    <s v="COLOMBIA"/>
    <s v="SUCRE"/>
    <s v="SINCELEJO"/>
    <x v="0"/>
    <n v="0"/>
    <n v="1"/>
    <n v="0"/>
    <n v="70.59"/>
    <n v="72.725300000000004"/>
    <n v="64.849999999999994"/>
    <n v="44.65"/>
    <n v="47.898843464858828"/>
    <n v="50.099772758574538"/>
    <n v="45.330025167192971"/>
    <n v="47.609172278552045"/>
    <s v="2. Riesgo (&gt;=40 y &lt;60)"/>
    <s v="2. Riesgo (&gt;=40 y &lt;60)"/>
    <s v="2. Riesgo (&gt;=40 y &lt;60)"/>
    <s v="2. Riesgo (&gt;=40 y &lt;60)"/>
    <n v="63.203825000000002"/>
    <n v="47.734453417294596"/>
    <n v="55.469139208647299"/>
    <n v="25.038687934185788"/>
    <x v="0"/>
    <n v="74.961312065814212"/>
    <n v="1.1166517821440873"/>
    <n v="61.939713151334473"/>
    <n v="0.60417450906938197"/>
    <n v="2"/>
    <b v="0"/>
    <n v="1"/>
    <n v="1.1053083370280605"/>
    <n v="61.310502015087934"/>
    <n v="0.563395834544269"/>
    <n v="2"/>
    <b v="0"/>
    <n v="1"/>
    <n v="25.038687934185788"/>
    <x v="0"/>
    <n v="74.961312065814212"/>
    <n v="1.0959480328186668"/>
    <n v="60.791293997861786"/>
    <n v="0.60330873429092391"/>
    <n v="2"/>
    <b v="0"/>
    <n v="1"/>
    <n v="0.14984464079874829"/>
    <n v="8.3117532401355199"/>
    <n v="0.49614533633505625"/>
    <n v="2"/>
  </r>
  <r>
    <n v="15001"/>
    <s v="15001"/>
    <s v="15"/>
    <s v="COLOMBIA"/>
    <s v="BOYACÁ"/>
    <s v="TUNJA"/>
    <x v="3"/>
    <n v="1"/>
    <n v="1"/>
    <n v="0"/>
    <n v="89.33"/>
    <n v="92.825100000000006"/>
    <n v="83.71"/>
    <n v="80.64"/>
    <n v="53.783408498738432"/>
    <n v="54.274797186542401"/>
    <n v="58.353021475563793"/>
    <n v="61.666846874981147"/>
    <s v="2. Riesgo (&gt;=40 y &lt;60)"/>
    <s v="2. Riesgo (&gt;=40 y &lt;60)"/>
    <s v="2. Riesgo (&gt;=40 y &lt;60)"/>
    <s v="3. Vulnerable (&gt;=60 y &lt;70)"/>
    <n v="86.626274999999993"/>
    <n v="57.019518508956438"/>
    <n v="71.822896754478222"/>
    <n v="25.461321743119449"/>
    <x v="0"/>
    <n v="74.538678256880559"/>
    <s v="Especial"/>
    <s v="N.D."/>
    <s v="N.D."/>
    <s v="SC- Centro aglomeración_x000a_"/>
    <b v="1"/>
    <n v="0"/>
    <n v="1.1053083370280605"/>
    <n v="79.386446572230412"/>
    <n v="0.77702857548708026"/>
    <n v="1"/>
    <b v="0"/>
    <n v="0"/>
    <s v="N.D."/>
    <x v="1"/>
    <s v="N.D."/>
    <s v="N.D."/>
    <s v="N.D."/>
    <s v="N.D."/>
    <s v="SC- Centro aglomeración_x000a_"/>
    <b v="1"/>
    <n v="0"/>
    <s v="Especial"/>
    <s v="N.D."/>
    <s v="N.D."/>
    <s v="SC- Centro aglomeración_x000a_"/>
  </r>
  <r>
    <n v="25430"/>
    <s v="25430"/>
    <s v="25"/>
    <s v="COLOMBIA"/>
    <s v="CUNDINAMARCA"/>
    <s v="MADRID"/>
    <x v="0"/>
    <n v="0"/>
    <n v="0"/>
    <n v="0"/>
    <n v="77.09"/>
    <n v="81.328266666666707"/>
    <n v="80.48"/>
    <n v="82.13"/>
    <n v="60.046329147493395"/>
    <n v="61.690108479053002"/>
    <n v="62.488810893256684"/>
    <n v="63.718913333769393"/>
    <s v="3. Vulnerable (&gt;=60 y &lt;70)"/>
    <s v="3. Vulnerable (&gt;=60 y &lt;70)"/>
    <s v="3. Vulnerable (&gt;=60 y &lt;70)"/>
    <s v="3. Vulnerable (&gt;=60 y &lt;70)"/>
    <n v="80.257066666666674"/>
    <n v="61.986040463393117"/>
    <n v="71.121553565029899"/>
    <n v="25.817424299781276"/>
    <x v="0"/>
    <n v="74.18257570021872"/>
    <n v="1.1166517821440873"/>
    <n v="79.418009537246803"/>
    <n v="0.82280957299613844"/>
    <n v="1"/>
    <b v="1"/>
    <n v="0"/>
    <n v="1.1053083370280605"/>
    <n v="78.611246097815325"/>
    <n v="0.76786677475207943"/>
    <n v="1"/>
    <b v="1"/>
    <n v="0"/>
    <n v="25.817424299781276"/>
    <x v="0"/>
    <n v="74.18257570021872"/>
    <n v="1.0959480328186668"/>
    <n v="77.945526720601961"/>
    <n v="0.82242201078450994"/>
    <n v="1"/>
    <b v="1"/>
    <n v="0"/>
    <n v="0.14828797819821737"/>
    <n v="10.546471384474502"/>
    <n v="0.62954017534245676"/>
    <n v="1"/>
  </r>
  <r>
    <n v="5615"/>
    <s v="05615"/>
    <s v="50"/>
    <s v="COLOMBIA"/>
    <s v="ANTIOQUIA"/>
    <s v="RIONEGRO"/>
    <x v="3"/>
    <n v="1"/>
    <n v="0"/>
    <n v="0"/>
    <n v="84.98"/>
    <n v="89.920533333333296"/>
    <n v="92.16"/>
    <n v="87.16"/>
    <n v="80.7994415391302"/>
    <n v="70.997214314042921"/>
    <n v="69.683874690410363"/>
    <n v="78.170777792278471"/>
    <s v="5. Sostenible (&gt;=80)"/>
    <s v="4. Solvente (&gt;=70 y &lt;80)"/>
    <s v="3. Vulnerable (&gt;=60 y &lt;70)"/>
    <s v="4. Solvente (&gt;=70 y &lt;80)"/>
    <n v="88.555133333333316"/>
    <n v="74.912827083965482"/>
    <n v="81.733980208649399"/>
    <n v="26.229780439179486"/>
    <x v="0"/>
    <n v="73.770219560820522"/>
    <s v="Especial"/>
    <s v="N.D."/>
    <s v="N.D."/>
    <s v="SC- Centro aglomeración_x000a_"/>
    <b v="1"/>
    <n v="0"/>
    <n v="1.1053083370280605"/>
    <n v="90.341249743106673"/>
    <n v="0.90649924411438332"/>
    <n v="1"/>
    <b v="0"/>
    <n v="0"/>
    <s v="N.D."/>
    <x v="1"/>
    <s v="N.D."/>
    <s v="N.D."/>
    <s v="N.D."/>
    <s v="N.D."/>
    <s v="SC- Centro aglomeración_x000a_"/>
    <b v="1"/>
    <n v="0"/>
    <s v="Especial"/>
    <s v="N.D."/>
    <s v="N.D."/>
    <s v="SC- Centro aglomeración_x000a_"/>
  </r>
  <r>
    <n v="17001"/>
    <s v="17001"/>
    <s v="17"/>
    <s v="COLOMBIA"/>
    <s v="CALDAS"/>
    <s v="MANIZALES"/>
    <x v="3"/>
    <n v="1"/>
    <n v="1"/>
    <n v="0"/>
    <n v="87.12"/>
    <n v="87.128699999999995"/>
    <n v="82.04"/>
    <n v="82"/>
    <n v="57.414215425802439"/>
    <n v="64.407701741134844"/>
    <n v="72.246907467207762"/>
    <n v="69.146946724617422"/>
    <s v="2. Riesgo (&gt;=40 y &lt;60)"/>
    <s v="3. Vulnerable (&gt;=60 y &lt;70)"/>
    <s v="4. Solvente (&gt;=70 y &lt;80)"/>
    <s v="3. Vulnerable (&gt;=60 y &lt;70)"/>
    <n v="84.572175000000001"/>
    <n v="65.80394283969062"/>
    <n v="75.188058919845304"/>
    <n v="26.422637399766064"/>
    <x v="0"/>
    <n v="73.57736260023394"/>
    <s v="Especial"/>
    <s v="N.D."/>
    <s v="N.D."/>
    <s v="SC- Centro aglomeración_x000a_"/>
    <b v="1"/>
    <n v="0"/>
    <n v="1.1053083370280605"/>
    <n v="83.105988369062047"/>
    <n v="0.82098843089582629"/>
    <n v="1"/>
    <b v="0"/>
    <n v="0"/>
    <s v="N.D."/>
    <x v="1"/>
    <s v="N.D."/>
    <s v="N.D."/>
    <s v="N.D."/>
    <s v="N.D."/>
    <s v="SC- Centro aglomeración_x000a_"/>
    <b v="1"/>
    <n v="0"/>
    <s v="Especial"/>
    <s v="N.D."/>
    <s v="N.D."/>
    <s v="SC- Centro aglomeración_x000a_"/>
  </r>
  <r>
    <n v="8634"/>
    <s v="08634"/>
    <s v="87"/>
    <s v="COLOMBIA"/>
    <s v="ATLÁNTICO"/>
    <s v="SABANAGRANDE"/>
    <x v="0"/>
    <n v="0"/>
    <n v="0"/>
    <n v="0"/>
    <n v="73.37"/>
    <n v="77.573033333333299"/>
    <n v="74.06"/>
    <n v="78.540000000000006"/>
    <n v="53.075533567560704"/>
    <n v="56.766908431088503"/>
    <n v="60.607084873468786"/>
    <n v="58.302242758981855"/>
    <s v="2. Riesgo (&gt;=40 y &lt;60)"/>
    <s v="2. Riesgo (&gt;=40 y &lt;60)"/>
    <s v="3. Vulnerable (&gt;=60 y &lt;70)"/>
    <s v="2. Riesgo (&gt;=40 y &lt;60)"/>
    <n v="75.885758333333328"/>
    <n v="57.187942407774962"/>
    <n v="66.536850370554149"/>
    <n v="26.602558309459283"/>
    <x v="0"/>
    <n v="73.397441690540717"/>
    <n v="1.1166517821440873"/>
    <n v="74.298492544533772"/>
    <n v="0.75876981189687598"/>
    <n v="1"/>
    <b v="1"/>
    <n v="0"/>
    <n v="1.1053083370280605"/>
    <n v="73.543735434162102"/>
    <n v="0.70797578596248434"/>
    <n v="1"/>
    <b v="1"/>
    <n v="0"/>
    <n v="26.602558309459283"/>
    <x v="0"/>
    <n v="73.397441690540717"/>
    <n v="1.0959480328186668"/>
    <n v="72.920930273558795"/>
    <n v="0.75824217783224968"/>
    <n v="1"/>
    <b v="1"/>
    <n v="0"/>
    <n v="0.14671852696508275"/>
    <n v="9.7621886752638254"/>
    <n v="0.58272475658529976"/>
    <n v="1"/>
  </r>
  <r>
    <n v="25269"/>
    <s v="25269"/>
    <s v="25"/>
    <s v="COLOMBIA"/>
    <s v="CUNDINAMARCA"/>
    <s v="FACATATIVÁ"/>
    <x v="0"/>
    <n v="0"/>
    <n v="0"/>
    <n v="0"/>
    <n v="79.19"/>
    <n v="83.763499999999993"/>
    <n v="71.900000000000006"/>
    <n v="65.31"/>
    <n v="55.286503322221847"/>
    <n v="56.314835404300567"/>
    <n v="57.896000795450774"/>
    <n v="60.354304125394819"/>
    <s v="2. Riesgo (&gt;=40 y &lt;60)"/>
    <s v="2. Riesgo (&gt;=40 y &lt;60)"/>
    <s v="2. Riesgo (&gt;=40 y &lt;60)"/>
    <s v="3. Vulnerable (&gt;=60 y &lt;70)"/>
    <n v="75.040875"/>
    <n v="57.462910911842002"/>
    <n v="66.251892955920994"/>
    <n v="26.767940166728177"/>
    <x v="0"/>
    <n v="73.232059833271819"/>
    <n v="1.1166517821440873"/>
    <n v="73.980294339648481"/>
    <n v="0.75478948776628463"/>
    <n v="1"/>
    <b v="1"/>
    <n v="0"/>
    <n v="1.1053083370280605"/>
    <n v="73.228769628070111"/>
    <n v="0.70425332441996391"/>
    <n v="1"/>
    <b v="1"/>
    <n v="0"/>
    <n v="26.767940166728177"/>
    <x v="0"/>
    <n v="73.232059833271819"/>
    <n v="1.0959480328186668"/>
    <n v="72.608631755554498"/>
    <n v="0.75425314768266449"/>
    <n v="1"/>
    <b v="1"/>
    <n v="0"/>
    <n v="0.14638793529967367"/>
    <n v="9.6984778195122683"/>
    <n v="0.57892172694259891"/>
    <n v="1"/>
  </r>
  <r>
    <n v="66001"/>
    <s v="66001"/>
    <s v="66"/>
    <s v="COLOMBIA"/>
    <s v="RISARALDA"/>
    <s v="PEREIRA"/>
    <x v="3"/>
    <n v="1"/>
    <n v="1"/>
    <n v="0"/>
    <n v="82.12"/>
    <n v="83.0535"/>
    <n v="82.34"/>
    <n v="81.22"/>
    <n v="63.83631538416347"/>
    <n v="62.123529939647554"/>
    <n v="65.469876079772746"/>
    <n v="75.232254030406466"/>
    <s v="3. Vulnerable (&gt;=60 y &lt;70)"/>
    <s v="3. Vulnerable (&gt;=60 y &lt;70)"/>
    <s v="3. Vulnerable (&gt;=60 y &lt;70)"/>
    <s v="4. Solvente (&gt;=70 y &lt;80)"/>
    <n v="82.183374999999998"/>
    <n v="66.665493858497555"/>
    <n v="74.424434429248777"/>
    <n v="26.998604548094473"/>
    <x v="0"/>
    <n v="73.001395451905523"/>
    <s v="Especial"/>
    <s v="N.D."/>
    <s v="N.D."/>
    <s v="SC- Centro aglomeración_x000a_"/>
    <b v="1"/>
    <n v="0"/>
    <n v="1.1053083370280605"/>
    <n v="82.261947853246895"/>
    <n v="0.81101303579044981"/>
    <n v="1"/>
    <b v="0"/>
    <n v="0"/>
    <s v="N.D."/>
    <x v="1"/>
    <s v="N.D."/>
    <s v="N.D."/>
    <s v="N.D."/>
    <s v="N.D."/>
    <s v="SC- Centro aglomeración_x000a_"/>
    <b v="1"/>
    <n v="0"/>
    <s v="Especial"/>
    <s v="N.D."/>
    <s v="N.D."/>
    <s v="SC- Centro aglomeración_x000a_"/>
  </r>
  <r>
    <n v="5129"/>
    <s v="05129"/>
    <s v="50"/>
    <s v="COLOMBIA"/>
    <s v="ANTIOQUIA"/>
    <s v="CALDAS"/>
    <x v="0"/>
    <n v="0"/>
    <n v="0"/>
    <n v="0"/>
    <n v="71.47"/>
    <n v="72.090033333333295"/>
    <n v="61.28"/>
    <n v="59.35"/>
    <n v="56.703818674503232"/>
    <n v="53.881608875691967"/>
    <n v="59.363295642146653"/>
    <n v="77.860995891693605"/>
    <s v="2. Riesgo (&gt;=40 y &lt;60)"/>
    <s v="2. Riesgo (&gt;=40 y &lt;60)"/>
    <s v="2. Riesgo (&gt;=40 y &lt;60)"/>
    <s v="4. Solvente (&gt;=70 y &lt;80)"/>
    <n v="66.047508333333326"/>
    <n v="61.952429771008866"/>
    <n v="63.999969052171096"/>
    <n v="26.605429551797627"/>
    <x v="0"/>
    <n v="73.394570448202373"/>
    <n v="1.1166517821440873"/>
    <n v="71.465679499273293"/>
    <n v="0.72333430676708088"/>
    <n v="1"/>
    <b v="1"/>
    <n v="0"/>
    <n v="1.1053083370280605"/>
    <n v="70.73969936290257"/>
    <n v="0.67483594589979812"/>
    <n v="1"/>
    <b v="1"/>
    <n v="0"/>
    <n v="26.605429551797627"/>
    <x v="0"/>
    <n v="73.394570448202373"/>
    <n v="1.0959480328186668"/>
    <n v="70.14064018318247"/>
    <n v="0.72272916590386238"/>
    <n v="1"/>
    <b v="1"/>
    <n v="0"/>
    <n v="0.14671278746740082"/>
    <n v="9.3896138574714083"/>
    <n v="0.56048501330334244"/>
    <n v="1"/>
  </r>
  <r>
    <n v="54874"/>
    <s v="54874"/>
    <s v="54"/>
    <s v="COLOMBIA"/>
    <s v="NORTE DE SANTANDER"/>
    <s v="VILLA DEL ROSARIO"/>
    <x v="0"/>
    <n v="0"/>
    <n v="0"/>
    <n v="0"/>
    <n v="60.99"/>
    <n v="66.119566666666699"/>
    <n v="70.44"/>
    <n v="65.349999999999994"/>
    <n v="64.493667429885946"/>
    <n v="62.523819930457663"/>
    <n v="67.335367930750223"/>
    <n v="63.455340503873188"/>
    <s v="3. Vulnerable (&gt;=60 y &lt;70)"/>
    <s v="3. Vulnerable (&gt;=60 y &lt;70)"/>
    <s v="3. Vulnerable (&gt;=60 y &lt;70)"/>
    <s v="3. Vulnerable (&gt;=60 y &lt;70)"/>
    <n v="65.724891666666679"/>
    <n v="64.452048948741748"/>
    <n v="65.088470307704213"/>
    <n v="27.178415073948852"/>
    <x v="0"/>
    <n v="72.821584926051145"/>
    <n v="1.1166517821440873"/>
    <n v="72.681156366130423"/>
    <n v="0.7385386411380781"/>
    <n v="1"/>
    <b v="1"/>
    <n v="0"/>
    <n v="1.1053083370280605"/>
    <n v="71.942828875508837"/>
    <n v="0.68905527782321363"/>
    <n v="1"/>
    <b v="1"/>
    <n v="0"/>
    <n v="27.178415073948852"/>
    <x v="0"/>
    <n v="72.821584926051145"/>
    <n v="1.0959480328186668"/>
    <n v="71.333580992904643"/>
    <n v="0.73796675616545604"/>
    <n v="1"/>
    <b v="1"/>
    <n v="0"/>
    <n v="0.14556741250819186"/>
    <n v="9.4747602068087762"/>
    <n v="0.56556757084676179"/>
    <n v="1"/>
  </r>
  <r>
    <n v="66400"/>
    <s v="66400"/>
    <s v="66"/>
    <s v="COLOMBIA"/>
    <s v="RISARALDA"/>
    <s v="LA VIRGINIA"/>
    <x v="0"/>
    <n v="0"/>
    <n v="0"/>
    <n v="0"/>
    <n v="53.35"/>
    <n v="60.301299999999998"/>
    <n v="80.33"/>
    <n v="82.24"/>
    <n v="45.659606445324059"/>
    <n v="48.869582048989102"/>
    <n v="57.782397811441818"/>
    <n v="67.316037002735072"/>
    <s v="2. Riesgo (&gt;=40 y &lt;60)"/>
    <s v="2. Riesgo (&gt;=40 y &lt;60)"/>
    <s v="2. Riesgo (&gt;=40 y &lt;60)"/>
    <s v="3. Vulnerable (&gt;=60 y &lt;70)"/>
    <n v="69.055324999999996"/>
    <n v="54.906905827122515"/>
    <n v="61.981115413561255"/>
    <n v="27.375492306947528"/>
    <x v="0"/>
    <n v="72.624507693052465"/>
    <n v="1.1166517821440873"/>
    <n v="69.211322985831544"/>
    <n v="0.69513468309967907"/>
    <n v="1"/>
    <b v="1"/>
    <n v="0"/>
    <n v="1.1053083370280605"/>
    <n v="68.508243604907676"/>
    <n v="0.64846321564683318"/>
    <n v="1"/>
    <b v="1"/>
    <n v="0"/>
    <n v="27.375492306947528"/>
    <x v="0"/>
    <n v="72.624507693052465"/>
    <n v="1.0959480328186668"/>
    <n v="67.928081509399206"/>
    <n v="0.6944678622196534"/>
    <n v="1"/>
    <b v="1"/>
    <n v="0"/>
    <n v="0.1451734630644792"/>
    <n v="8.9980131691858567"/>
    <n v="0.53710957738925769"/>
    <n v="1"/>
  </r>
  <r>
    <n v="5308"/>
    <s v="05308"/>
    <s v="50"/>
    <s v="COLOMBIA"/>
    <s v="ANTIOQUIA"/>
    <s v="GIRARDOTA"/>
    <x v="0"/>
    <n v="0"/>
    <n v="0"/>
    <n v="0"/>
    <n v="62.88"/>
    <n v="65.574633333333296"/>
    <n v="78.47"/>
    <n v="66.27"/>
    <n v="68.331643841264693"/>
    <n v="76.549318667629962"/>
    <n v="77.795170489241187"/>
    <n v="58.531206313880013"/>
    <s v="3. Vulnerable (&gt;=60 y &lt;70)"/>
    <s v="4. Solvente (&gt;=70 y &lt;80)"/>
    <s v="4. Solvente (&gt;=70 y &lt;80)"/>
    <s v="2. Riesgo (&gt;=40 y &lt;60)"/>
    <n v="68.298658333333321"/>
    <n v="70.301834828003962"/>
    <n v="69.300246580668642"/>
    <n v="26.72460473724388"/>
    <x v="0"/>
    <n v="73.27539526275612"/>
    <n v="1.1166517821440873"/>
    <n v="77.384243847328335"/>
    <n v="0.79736930800636741"/>
    <n v="1"/>
    <b v="1"/>
    <n v="0"/>
    <n v="1.1053083370280605"/>
    <n v="76.598140303713393"/>
    <n v="0.74407464000402745"/>
    <n v="1"/>
    <b v="1"/>
    <n v="0"/>
    <n v="26.72460473724388"/>
    <x v="0"/>
    <n v="73.27539526275612"/>
    <n v="1.0959480328186668"/>
    <n v="75.949468913932336"/>
    <n v="0.79692610122335517"/>
    <n v="1"/>
    <b v="1"/>
    <n v="0"/>
    <n v="0.14647456107617066"/>
    <n v="10.150723200373836"/>
    <n v="0.60591716702737697"/>
    <n v="1"/>
  </r>
  <r>
    <n v="25307"/>
    <s v="25307"/>
    <s v="25"/>
    <s v="COLOMBIA"/>
    <s v="CUNDINAMARCA"/>
    <s v="GIRARDOT"/>
    <x v="3"/>
    <n v="1"/>
    <n v="0"/>
    <n v="0"/>
    <n v="72.13"/>
    <n v="73.777366666666694"/>
    <n v="68.45"/>
    <n v="55.34"/>
    <n v="44.71154005004739"/>
    <n v="56.436456239719149"/>
    <n v="51.839486931596646"/>
    <n v="61.582703610025654"/>
    <s v="2. Riesgo (&gt;=40 y &lt;60)"/>
    <s v="2. Riesgo (&gt;=40 y &lt;60)"/>
    <s v="2. Riesgo (&gt;=40 y &lt;60)"/>
    <s v="3. Vulnerable (&gt;=60 y &lt;70)"/>
    <n v="67.424341666666663"/>
    <n v="53.64254670784721"/>
    <n v="60.533444187256933"/>
    <n v="27.706219131866678"/>
    <x v="0"/>
    <n v="72.293780868133325"/>
    <s v="Especial"/>
    <s v="N.D."/>
    <s v="N.D."/>
    <s v="SC- Centro aglomeración_x000a_"/>
    <b v="1"/>
    <n v="0"/>
    <n v="1.1053083370280605"/>
    <n v="66.908120529197873"/>
    <n v="0.62955196719566142"/>
    <n v="1"/>
    <b v="0"/>
    <n v="0"/>
    <s v="N.D."/>
    <x v="1"/>
    <s v="N.D."/>
    <s v="N.D."/>
    <s v="N.D."/>
    <s v="N.D."/>
    <s v="SC- Centro aglomeración_x000a_"/>
    <b v="1"/>
    <n v="0"/>
    <s v="Especial"/>
    <s v="N.D."/>
    <s v="N.D."/>
    <s v="SC- Centro aglomeración_x000a_"/>
  </r>
  <r>
    <n v="8573"/>
    <s v="08573"/>
    <s v="87"/>
    <s v="COLOMBIA"/>
    <s v="ATLÁNTICO"/>
    <s v="PUERTO COLOMBIA"/>
    <x v="0"/>
    <n v="0"/>
    <n v="0"/>
    <n v="0"/>
    <n v="55.63"/>
    <n v="57.840966666666702"/>
    <n v="74.19"/>
    <n v="76"/>
    <n v="67.898483372575299"/>
    <n v="56.590059229633269"/>
    <n v="56.598340535111937"/>
    <n v="59.397859465815102"/>
    <s v="3. Vulnerable (&gt;=60 y &lt;70)"/>
    <s v="2. Riesgo (&gt;=40 y &lt;60)"/>
    <s v="2. Riesgo (&gt;=40 y &lt;60)"/>
    <s v="2. Riesgo (&gt;=40 y &lt;60)"/>
    <n v="65.915241666666674"/>
    <n v="60.1211856507839"/>
    <n v="63.018213658725287"/>
    <n v="27.810490531384779"/>
    <x v="0"/>
    <n v="72.189509468615228"/>
    <n v="1.1166517821440873"/>
    <n v="70.369400589552455"/>
    <n v="0.70962101319336868"/>
    <n v="1"/>
    <b v="1"/>
    <n v="0"/>
    <n v="1.1053083370280605"/>
    <n v="69.654556941604653"/>
    <n v="0.66201105871106247"/>
    <n v="1"/>
    <b v="1"/>
    <n v="0"/>
    <n v="27.810490531384779"/>
    <x v="0"/>
    <n v="72.189509468615228"/>
    <n v="1.0959480328186668"/>
    <n v="69.064687291026416"/>
    <n v="0.70898587773915545"/>
    <n v="1"/>
    <b v="1"/>
    <n v="0"/>
    <n v="0.14430391915052446"/>
    <n v="9.093775208819169"/>
    <n v="0.54282580692463134"/>
    <n v="1"/>
  </r>
  <r>
    <n v="25290"/>
    <s v="25290"/>
    <s v="25"/>
    <s v="COLOMBIA"/>
    <s v="CUNDINAMARCA"/>
    <s v="FUSAGASUGÁ"/>
    <x v="0"/>
    <n v="0"/>
    <n v="0"/>
    <n v="0"/>
    <n v="66.239999999999995"/>
    <n v="70.881900000000002"/>
    <n v="79.650000000000006"/>
    <n v="74.63"/>
    <n v="55.863188467051259"/>
    <n v="60.480560908245096"/>
    <n v="63.958343914931476"/>
    <n v="62.731495048111725"/>
    <s v="2. Riesgo (&gt;=40 y &lt;60)"/>
    <s v="3. Vulnerable (&gt;=60 y &lt;70)"/>
    <s v="3. Vulnerable (&gt;=60 y &lt;70)"/>
    <s v="3. Vulnerable (&gt;=60 y &lt;70)"/>
    <n v="72.850474999999989"/>
    <n v="60.758397084584892"/>
    <n v="66.804436042292437"/>
    <n v="28.146650181634765"/>
    <x v="0"/>
    <n v="71.853349818365231"/>
    <n v="1.1166517821440873"/>
    <n v="74.597292561756547"/>
    <n v="0.76250748514742639"/>
    <n v="1"/>
    <b v="1"/>
    <n v="0"/>
    <n v="1.1053083370280605"/>
    <n v="73.839500108003676"/>
    <n v="0.71147131659697427"/>
    <n v="1"/>
    <b v="1"/>
    <n v="0"/>
    <n v="28.146650181634765"/>
    <x v="0"/>
    <n v="71.853349818365231"/>
    <n v="1.0959480328186668"/>
    <n v="73.21419026411084"/>
    <n v="0.76198802636030161"/>
    <n v="1"/>
    <b v="1"/>
    <n v="0"/>
    <n v="0.14363194956175152"/>
    <n v="9.595251388127803"/>
    <n v="0.5727599327893983"/>
    <n v="1"/>
  </r>
  <r>
    <n v="8296"/>
    <s v="08296"/>
    <s v="87"/>
    <s v="COLOMBIA"/>
    <s v="ATLÁNTICO"/>
    <s v="GALAPA"/>
    <x v="0"/>
    <n v="0"/>
    <n v="0"/>
    <n v="0"/>
    <n v="79.48"/>
    <n v="83.0238333333333"/>
    <n v="77.760000000000005"/>
    <n v="81.41"/>
    <n v="76.50549348886338"/>
    <n v="28.12129355196025"/>
    <n v="70.593965695232043"/>
    <n v="57.283204199262201"/>
    <s v="4. Solvente (&gt;=70 y &lt;80)"/>
    <s v="1. Deterioro (&lt;40)"/>
    <s v="4. Solvente (&gt;=70 y &lt;80)"/>
    <s v="2. Riesgo (&gt;=40 y &lt;60)"/>
    <n v="80.418458333333319"/>
    <n v="58.125989233829465"/>
    <n v="69.272223783581396"/>
    <n v="28.215243898424053"/>
    <x v="0"/>
    <n v="71.784756101575951"/>
    <n v="1.1166517821440873"/>
    <n v="77.352952141020197"/>
    <n v="0.79697788174502016"/>
    <n v="1"/>
    <b v="1"/>
    <n v="0"/>
    <n v="1.1053083370280605"/>
    <n v="76.567166472466013"/>
    <n v="0.74370857202644769"/>
    <n v="1"/>
    <b v="1"/>
    <n v="0"/>
    <n v="28.215243898424053"/>
    <x v="0"/>
    <n v="71.784756101575951"/>
    <n v="1.0959480328186668"/>
    <n v="75.918757384590492"/>
    <n v="0.79653381880950525"/>
    <n v="1"/>
    <b v="1"/>
    <n v="0"/>
    <n v="0.14349483348720476"/>
    <n v="9.9402062171133974"/>
    <n v="0.59335098316142176"/>
    <n v="1"/>
  </r>
  <r>
    <n v="5440"/>
    <s v="05440"/>
    <s v="50"/>
    <s v="COLOMBIA"/>
    <s v="ANTIOQUIA"/>
    <s v="MARINILLA"/>
    <x v="0"/>
    <n v="0"/>
    <n v="0"/>
    <n v="0"/>
    <n v="74.39"/>
    <n v="76.140666666666704"/>
    <n v="70.31"/>
    <n v="79.489999999999995"/>
    <n v="62.06062173770129"/>
    <n v="75.727916216154966"/>
    <n v="67.491197223835684"/>
    <n v="54.228343951507"/>
    <s v="3. Vulnerable (&gt;=60 y &lt;70)"/>
    <s v="4. Solvente (&gt;=70 y &lt;80)"/>
    <s v="3. Vulnerable (&gt;=60 y &lt;70)"/>
    <s v="2. Riesgo (&gt;=40 y &lt;60)"/>
    <n v="75.082666666666682"/>
    <n v="64.87701978229974"/>
    <n v="69.979843224483204"/>
    <n v="28.682949180517475"/>
    <x v="0"/>
    <n v="71.317050819482517"/>
    <n v="1.1166517821440873"/>
    <n v="78.143116650783"/>
    <n v="0.80686200685025"/>
    <n v="1"/>
    <b v="1"/>
    <n v="0"/>
    <n v="1.1053083370280605"/>
    <n v="77.349304139937914"/>
    <n v="0.7529523608181441"/>
    <n v="1"/>
    <b v="1"/>
    <n v="0"/>
    <n v="28.682949180517475"/>
    <x v="0"/>
    <n v="71.317050819482517"/>
    <n v="1.0959480328186668"/>
    <n v="76.694271518831073"/>
    <n v="0.80643956310404785"/>
    <n v="1"/>
    <b v="1"/>
    <n v="0"/>
    <n v="0.14255990948356087"/>
    <n v="9.9763201157561063"/>
    <n v="0.59550669470275297"/>
    <n v="1"/>
  </r>
  <r>
    <n v="25899"/>
    <s v="25899"/>
    <s v="25"/>
    <s v="COLOMBIA"/>
    <s v="CUNDINAMARCA"/>
    <s v="ZIPAQUIRÁ"/>
    <x v="0"/>
    <n v="0"/>
    <n v="0"/>
    <n v="0"/>
    <n v="73.5"/>
    <n v="72.913866666666706"/>
    <n v="65.540000000000006"/>
    <n v="66.31"/>
    <n v="56.963185167073803"/>
    <n v="66.525072819559398"/>
    <n v="71.152085615178649"/>
    <n v="67.443292488845145"/>
    <s v="2. Riesgo (&gt;=40 y &lt;60)"/>
    <s v="3. Vulnerable (&gt;=60 y &lt;70)"/>
    <s v="4. Solvente (&gt;=70 y &lt;80)"/>
    <s v="3. Vulnerable (&gt;=60 y &lt;70)"/>
    <n v="69.565966666666682"/>
    <n v="65.520909022664256"/>
    <n v="67.543437844665476"/>
    <n v="29.753439662698582"/>
    <x v="0"/>
    <n v="70.246560337301418"/>
    <n v="1.1166517821440873"/>
    <n v="75.4225002413841"/>
    <n v="0.77282996336868148"/>
    <n v="1"/>
    <b v="1"/>
    <n v="0"/>
    <n v="1.1053083370280605"/>
    <n v="74.65632496124536"/>
    <n v="0.72112506009660671"/>
    <n v="1"/>
    <b v="1"/>
    <n v="0"/>
    <n v="29.753439662698582"/>
    <x v="0"/>
    <n v="70.246560337301418"/>
    <n v="1.0959480328186668"/>
    <n v="74.024097835671029"/>
    <n v="0.77233308256478395"/>
    <n v="1"/>
    <b v="1"/>
    <n v="0"/>
    <n v="0.14042004216586942"/>
    <n v="9.4844523901757061"/>
    <n v="0.56614611684511817"/>
    <n v="1"/>
  </r>
  <r>
    <n v="76147"/>
    <s v="76147"/>
    <s v="76"/>
    <s v="COLOMBIA"/>
    <s v="VALLE DEL CAUCA"/>
    <s v="CARTAGO"/>
    <x v="0"/>
    <n v="0"/>
    <n v="0"/>
    <n v="0"/>
    <n v="62.7"/>
    <n v="65.288466666666693"/>
    <n v="60.95"/>
    <n v="56.49"/>
    <n v="62.848068580418328"/>
    <n v="63.223044265253478"/>
    <n v="63.549178605741893"/>
    <n v="64.497112205091383"/>
    <s v="3. Vulnerable (&gt;=60 y &lt;70)"/>
    <s v="3. Vulnerable (&gt;=60 y &lt;70)"/>
    <s v="3. Vulnerable (&gt;=60 y &lt;70)"/>
    <s v="3. Vulnerable (&gt;=60 y &lt;70)"/>
    <n v="61.357116666666677"/>
    <n v="63.529350914126269"/>
    <n v="62.443233790396476"/>
    <n v="29.648752833064961"/>
    <x v="0"/>
    <n v="70.351247166935039"/>
    <n v="1.1166517821440873"/>
    <n v="69.727348294886113"/>
    <n v="0.70158961577400458"/>
    <n v="1"/>
    <b v="1"/>
    <n v="0"/>
    <n v="1.1053083370280605"/>
    <n v="69.019026899517527"/>
    <n v="0.6544999699038706"/>
    <n v="1"/>
    <b v="1"/>
    <n v="0"/>
    <n v="29.648752833064961"/>
    <x v="0"/>
    <n v="70.351247166935039"/>
    <n v="1.0959480328186668"/>
    <n v="68.434539235421127"/>
    <n v="0.70093691353472898"/>
    <n v="1"/>
    <b v="1"/>
    <n v="0"/>
    <n v="0.14062930691791964"/>
    <n v="8.7813486896570758"/>
    <n v="0.52417643705629058"/>
    <n v="2"/>
  </r>
  <r>
    <n v="5376"/>
    <s v="05376"/>
    <s v="50"/>
    <s v="COLOMBIA"/>
    <s v="ANTIOQUIA"/>
    <s v="LA CEJA"/>
    <x v="0"/>
    <n v="0"/>
    <n v="0"/>
    <n v="0"/>
    <n v="69.52"/>
    <n v="71.1541"/>
    <n v="66.89"/>
    <n v="64.95"/>
    <n v="69.070962151351907"/>
    <n v="81.281366690449033"/>
    <n v="71.82064414154658"/>
    <n v="67.107794628988842"/>
    <s v="3. Vulnerable (&gt;=60 y &lt;70)"/>
    <s v="5. Sostenible (&gt;=80)"/>
    <s v="4. Solvente (&gt;=70 y &lt;80)"/>
    <s v="3. Vulnerable (&gt;=60 y &lt;70)"/>
    <n v="68.128524999999996"/>
    <n v="72.320191903084094"/>
    <n v="70.224358451542045"/>
    <n v="29.769571825284103"/>
    <x v="0"/>
    <n v="70.230428174715897"/>
    <n v="1.1166517821440873"/>
    <n v="78.416155014839632"/>
    <n v="0.81027742897503408"/>
    <n v="1"/>
    <b v="1"/>
    <n v="0"/>
    <n v="1.1053083370280605"/>
    <n v="77.619568858936361"/>
    <n v="0.75614651714658687"/>
    <n v="1"/>
    <b v="1"/>
    <n v="0"/>
    <n v="29.769571825284103"/>
    <x v="0"/>
    <n v="70.230428174715897"/>
    <n v="1.0959480328186668"/>
    <n v="76.962247500920427"/>
    <n v="0.80986245565810233"/>
    <n v="1"/>
    <b v="1"/>
    <n v="0"/>
    <n v="0.14038779462321954"/>
    <n v="9.8586428118424365"/>
    <n v="0.58848229878501535"/>
    <n v="1"/>
  </r>
  <r>
    <n v="25214"/>
    <s v="25214"/>
    <s v="25"/>
    <s v="COLOMBIA"/>
    <s v="CUNDINAMARCA"/>
    <s v="COTA"/>
    <x v="0"/>
    <n v="0"/>
    <n v="0"/>
    <n v="0"/>
    <n v="69.02"/>
    <n v="70.875066666666697"/>
    <n v="67.540000000000006"/>
    <n v="45.82"/>
    <n v="71.172628685308524"/>
    <n v="64.564169737557052"/>
    <n v="69.846018855300542"/>
    <n v="64.702246174049236"/>
    <s v="4. Solvente (&gt;=70 y &lt;80)"/>
    <s v="3. Vulnerable (&gt;=60 y &lt;70)"/>
    <s v="3. Vulnerable (&gt;=60 y &lt;70)"/>
    <s v="3. Vulnerable (&gt;=60 y &lt;70)"/>
    <n v="63.31376666666668"/>
    <n v="67.571265863053839"/>
    <n v="65.442516264860259"/>
    <n v="30.01865555583214"/>
    <x v="0"/>
    <n v="69.98134444416786"/>
    <n v="1.1166517821440873"/>
    <n v="73.076502415149633"/>
    <n v="0.74348400347729182"/>
    <n v="1"/>
    <b v="1"/>
    <n v="0"/>
    <n v="1.1053083370280605"/>
    <n v="72.334158823644501"/>
    <n v="0.69368025823123314"/>
    <n v="1"/>
    <b v="1"/>
    <n v="0"/>
    <n v="30.01865555583214"/>
    <x v="0"/>
    <n v="69.98134444416786"/>
    <n v="1.0959480328186668"/>
    <n v="71.721596963177205"/>
    <n v="0.74292293531682974"/>
    <n v="1"/>
    <b v="1"/>
    <n v="0"/>
    <n v="0.13988988628751681"/>
    <n v="9.1547461586602701"/>
    <n v="0.54646528605034805"/>
    <n v="1"/>
  </r>
  <r>
    <n v="8078"/>
    <s v="08078"/>
    <s v="87"/>
    <s v="COLOMBIA"/>
    <s v="ATLÁNTICO"/>
    <s v="BARANOA"/>
    <x v="0"/>
    <n v="0"/>
    <n v="0"/>
    <n v="0"/>
    <n v="62.94"/>
    <n v="64.849699999999999"/>
    <n v="62.7"/>
    <n v="59.82"/>
    <n v="61.562979450539451"/>
    <n v="57.270651332432195"/>
    <n v="51.190404344657381"/>
    <n v="63.309228116865114"/>
    <s v="3. Vulnerable (&gt;=60 y &lt;70)"/>
    <s v="2. Riesgo (&gt;=40 y &lt;60)"/>
    <s v="2. Riesgo (&gt;=40 y &lt;60)"/>
    <s v="3. Vulnerable (&gt;=60 y &lt;70)"/>
    <n v="62.577424999999998"/>
    <n v="58.333315811123533"/>
    <n v="60.455370405561766"/>
    <n v="30.121494648718816"/>
    <x v="0"/>
    <n v="69.878505351281177"/>
    <n v="1.1166517821440873"/>
    <n v="67.507597103551461"/>
    <n v="0.67382286820871473"/>
    <n v="1"/>
    <b v="1"/>
    <n v="0"/>
    <n v="1.1053083370280605"/>
    <n v="66.821824927386899"/>
    <n v="0.62853207216954488"/>
    <n v="1"/>
    <b v="1"/>
    <n v="0"/>
    <n v="30.121494648718816"/>
    <x v="0"/>
    <n v="69.878505351281177"/>
    <n v="1.0959480328186668"/>
    <n v="66.255944269299263"/>
    <n v="0.67310943276687207"/>
    <n v="1"/>
    <b v="1"/>
    <n v="0"/>
    <n v="0.13968431508673332"/>
    <n v="8.4446670084156619"/>
    <n v="0.50407922758058554"/>
    <n v="2"/>
  </r>
  <r>
    <n v="13836"/>
    <s v="13836"/>
    <s v="13"/>
    <s v="COLOMBIA"/>
    <s v="BOLÍVAR"/>
    <s v="TURBACO"/>
    <x v="0"/>
    <n v="0"/>
    <n v="0"/>
    <n v="0"/>
    <n v="56.2"/>
    <n v="57.903066666666703"/>
    <n v="55.41"/>
    <n v="52.46"/>
    <n v="58.443386028987391"/>
    <n v="58.653838808579465"/>
    <n v="63.931507969888642"/>
    <n v="63.838232933745743"/>
    <s v="2. Riesgo (&gt;=40 y &lt;60)"/>
    <s v="2. Riesgo (&gt;=40 y &lt;60)"/>
    <s v="3. Vulnerable (&gt;=60 y &lt;70)"/>
    <s v="3. Vulnerable (&gt;=60 y &lt;70)"/>
    <n v="55.493266666666678"/>
    <n v="61.216741435300307"/>
    <n v="58.355004050983496"/>
    <n v="30.197172401386712"/>
    <x v="0"/>
    <n v="69.802827598613291"/>
    <n v="1.1166517821440873"/>
    <n v="65.16221927055615"/>
    <n v="0.64448466377921243"/>
    <n v="1"/>
    <b v="1"/>
    <n v="0"/>
    <n v="1.1053083370280605"/>
    <n v="64.5002724848583"/>
    <n v="0.60109452333374203"/>
    <n v="2"/>
    <b v="0"/>
    <n v="1"/>
    <n v="30.197172401386712"/>
    <x v="0"/>
    <n v="69.802827598613291"/>
    <n v="1.0959480328186668"/>
    <n v="63.954051894800692"/>
    <n v="0.6437070579440467"/>
    <n v="2"/>
    <b v="0"/>
    <n v="1"/>
    <n v="0.1395330383100539"/>
    <n v="8.1424510158292307"/>
    <n v="0.48603934466351484"/>
    <n v="2"/>
  </r>
  <r>
    <n v="8685"/>
    <s v="08685"/>
    <s v="87"/>
    <s v="COLOMBIA"/>
    <s v="ATLÁNTICO"/>
    <s v="SANTO TOMÁS"/>
    <x v="0"/>
    <n v="0"/>
    <n v="0"/>
    <n v="0"/>
    <n v="67.59"/>
    <n v="68.402799999999999"/>
    <n v="69.83"/>
    <n v="70.25"/>
    <n v="47.912087833628902"/>
    <n v="44.376979209834857"/>
    <n v="49.333896094608797"/>
    <n v="56.205222415677724"/>
    <s v="2. Riesgo (&gt;=40 y &lt;60)"/>
    <s v="2. Riesgo (&gt;=40 y &lt;60)"/>
    <s v="2. Riesgo (&gt;=40 y &lt;60)"/>
    <s v="2. Riesgo (&gt;=40 y &lt;60)"/>
    <n v="69.018199999999993"/>
    <n v="49.457046388437568"/>
    <n v="59.237623194218784"/>
    <n v="30.735320101223774"/>
    <x v="0"/>
    <n v="69.264679898776222"/>
    <n v="1.1166517821440873"/>
    <n v="66.147797509804334"/>
    <n v="0.65681320865481752"/>
    <n v="1"/>
    <b v="1"/>
    <n v="0"/>
    <n v="1.1053083370280605"/>
    <n v="65.475838782296833"/>
    <n v="0.61262437182571872"/>
    <n v="2"/>
    <b v="0"/>
    <n v="1"/>
    <n v="30.735320101223774"/>
    <x v="0"/>
    <n v="69.264679898776222"/>
    <n v="1.0959480328186668"/>
    <n v="64.921356608557502"/>
    <n v="0.65606256859990819"/>
    <n v="1"/>
    <b v="1"/>
    <n v="0"/>
    <n v="0.1384573027531848"/>
    <n v="8.2018815289810316"/>
    <n v="0.48958687201236384"/>
    <n v="2"/>
  </r>
  <r>
    <n v="54405"/>
    <s v="54405"/>
    <s v="54"/>
    <s v="COLOMBIA"/>
    <s v="NORTE DE SANTANDER"/>
    <s v="LOS PATIOS"/>
    <x v="0"/>
    <n v="0"/>
    <n v="0"/>
    <n v="0"/>
    <n v="66.55"/>
    <n v="70.431166666666698"/>
    <n v="72.83"/>
    <n v="80.739999999999995"/>
    <n v="64.667431501868492"/>
    <n v="60.549856304441299"/>
    <n v="69.825177647380968"/>
    <n v="61.362313854386151"/>
    <s v="3. Vulnerable (&gt;=60 y &lt;70)"/>
    <s v="3. Vulnerable (&gt;=60 y &lt;70)"/>
    <s v="3. Vulnerable (&gt;=60 y &lt;70)"/>
    <s v="3. Vulnerable (&gt;=60 y &lt;70)"/>
    <n v="72.637791666666672"/>
    <n v="64.101194827019228"/>
    <n v="68.36949324684295"/>
    <n v="30.813813571415604"/>
    <x v="0"/>
    <n v="69.186186428584392"/>
    <n v="1.1166517821440873"/>
    <n v="76.344916478375325"/>
    <n v="0.78436841817507807"/>
    <n v="1"/>
    <b v="1"/>
    <n v="0"/>
    <n v="1.1053083370280605"/>
    <n v="75.569370884119195"/>
    <n v="0.73191600396643186"/>
    <n v="1"/>
    <b v="1"/>
    <n v="0"/>
    <n v="30.813813571415604"/>
    <x v="0"/>
    <n v="69.186186428584392"/>
    <n v="1.0959480328186668"/>
    <n v="74.929411628686651"/>
    <n v="0.78389677501600785"/>
    <n v="1"/>
    <b v="1"/>
    <n v="0"/>
    <n v="0.13830039747068901"/>
    <n v="9.4555280909079684"/>
    <n v="0.5644195670097415"/>
    <n v="1"/>
  </r>
  <r>
    <n v="76892"/>
    <s v="76892"/>
    <s v="76"/>
    <s v="COLOMBIA"/>
    <s v="VALLE DEL CAUCA"/>
    <s v="YUMBO"/>
    <x v="0"/>
    <n v="0"/>
    <n v="0"/>
    <n v="0"/>
    <n v="66.87"/>
    <n v="74.478399999999993"/>
    <n v="83.96"/>
    <n v="85.28"/>
    <n v="64.381356489214369"/>
    <n v="59.595953555419484"/>
    <n v="59.603452709479811"/>
    <n v="68.446902906305638"/>
    <s v="3. Vulnerable (&gt;=60 y &lt;70)"/>
    <s v="2. Riesgo (&gt;=40 y &lt;60)"/>
    <s v="2. Riesgo (&gt;=40 y &lt;60)"/>
    <s v="3. Vulnerable (&gt;=60 y &lt;70)"/>
    <n v="77.647099999999995"/>
    <n v="63.006916415104826"/>
    <n v="70.32700820755241"/>
    <n v="31.249683409095177"/>
    <x v="0"/>
    <n v="68.750316590904816"/>
    <n v="1.1166517821440873"/>
    <n v="78.530779047825263"/>
    <n v="0.81171125480256467"/>
    <n v="1"/>
    <b v="1"/>
    <n v="0"/>
    <n v="1.1053083370280605"/>
    <n v="77.733028490048525"/>
    <n v="0.75748745354436275"/>
    <n v="1"/>
    <b v="1"/>
    <n v="0"/>
    <n v="31.249683409095177"/>
    <x v="0"/>
    <n v="68.750316590904816"/>
    <n v="1.0959480328186668"/>
    <n v="77.074746299089298"/>
    <n v="0.81129941764100089"/>
    <n v="1"/>
    <b v="1"/>
    <n v="0"/>
    <n v="0.13742911123700141"/>
    <n v="9.6649782339212322"/>
    <n v="0.5769220690268787"/>
    <n v="1"/>
  </r>
  <r>
    <n v="25817"/>
    <s v="25817"/>
    <s v="25"/>
    <s v="COLOMBIA"/>
    <s v="CUNDINAMARCA"/>
    <s v="TOCANCIPÁ"/>
    <x v="0"/>
    <n v="0"/>
    <n v="0"/>
    <n v="0"/>
    <n v="77.2"/>
    <n v="80.736133333333299"/>
    <n v="68.209999999999994"/>
    <n v="68.75"/>
    <n v="57.334113978366929"/>
    <n v="64.703723563046324"/>
    <n v="66.644619572490029"/>
    <n v="79.715588020975161"/>
    <s v="2. Riesgo (&gt;=40 y &lt;60)"/>
    <s v="3. Vulnerable (&gt;=60 y &lt;70)"/>
    <s v="3. Vulnerable (&gt;=60 y &lt;70)"/>
    <s v="4. Solvente (&gt;=70 y &lt;80)"/>
    <n v="73.724033333333324"/>
    <n v="67.099511283719607"/>
    <n v="70.411772308526466"/>
    <n v="31.746465967768739"/>
    <x v="0"/>
    <n v="68.253534032231258"/>
    <n v="1.1166517821440873"/>
    <n v="78.625431032239774"/>
    <n v="0.81289525135499419"/>
    <n v="1"/>
    <b v="1"/>
    <n v="0"/>
    <n v="1.1053083370280605"/>
    <n v="77.826718957535832"/>
    <n v="0.75859474568648311"/>
    <n v="1"/>
    <b v="1"/>
    <n v="0"/>
    <n v="31.746465967768739"/>
    <x v="0"/>
    <n v="68.253534032231258"/>
    <n v="1.0959480328186668"/>
    <n v="77.167643348805456"/>
    <n v="0.81248600390626191"/>
    <n v="1"/>
    <b v="1"/>
    <n v="0"/>
    <n v="0.13643606292970703"/>
    <n v="9.6067049976783192"/>
    <n v="0.57344362187382047"/>
    <n v="1"/>
  </r>
  <r>
    <n v="5318"/>
    <s v="05318"/>
    <s v="50"/>
    <s v="COLOMBIA"/>
    <s v="ANTIOQUIA"/>
    <s v="GUARNE"/>
    <x v="0"/>
    <n v="0"/>
    <n v="0"/>
    <n v="0"/>
    <n v="77.11"/>
    <n v="79.920566666666701"/>
    <n v="77.11"/>
    <n v="84.86"/>
    <n v="63.78620275575561"/>
    <n v="62.569790243957108"/>
    <n v="72.492495396379269"/>
    <n v="70.897468274289338"/>
    <s v="3. Vulnerable (&gt;=60 y &lt;70)"/>
    <s v="3. Vulnerable (&gt;=60 y &lt;70)"/>
    <s v="4. Solvente (&gt;=70 y &lt;80)"/>
    <s v="4. Solvente (&gt;=70 y &lt;80)"/>
    <n v="79.750141666666678"/>
    <n v="67.43648916759534"/>
    <n v="73.593315417131009"/>
    <n v="30.993477175871696"/>
    <x v="0"/>
    <n v="69.006522824128297"/>
    <n v="1.1166517821440873"/>
    <n v="82.178106814431274"/>
    <n v="0.85733548051694708"/>
    <n v="1"/>
    <b v="1"/>
    <n v="0"/>
    <n v="1.1053083370280605"/>
    <n v="81.343305080090602"/>
    <n v="0.80015594486741215"/>
    <n v="1"/>
    <b v="1"/>
    <n v="0"/>
    <n v="30.993477175871696"/>
    <x v="0"/>
    <n v="69.006522824128297"/>
    <n v="1.0959480328186668"/>
    <n v="80.654449260008391"/>
    <n v="0.85702343557396266"/>
    <n v="1"/>
    <b v="1"/>
    <n v="0"/>
    <n v="0.13794125716841288"/>
    <n v="10.151554447830593"/>
    <n v="0.60596678586675956"/>
    <n v="1"/>
  </r>
  <r>
    <n v="19001"/>
    <s v="19001"/>
    <s v="19"/>
    <s v="COLOMBIA"/>
    <s v="CAUCA"/>
    <s v="POPAYÁN"/>
    <x v="0"/>
    <n v="0"/>
    <n v="1"/>
    <n v="0"/>
    <n v="61.73"/>
    <n v="62.670400000000001"/>
    <n v="55.67"/>
    <n v="54.88"/>
    <n v="48.007827299154663"/>
    <n v="51.880330755391192"/>
    <n v="55.272577584178528"/>
    <n v="59.628743475793726"/>
    <s v="2. Riesgo (&gt;=40 y &lt;60)"/>
    <s v="2. Riesgo (&gt;=40 y &lt;60)"/>
    <s v="2. Riesgo (&gt;=40 y &lt;60)"/>
    <s v="2. Riesgo (&gt;=40 y &lt;60)"/>
    <n v="58.7376"/>
    <n v="53.697369778629529"/>
    <n v="56.217484889314761"/>
    <n v="31.614952983319462"/>
    <x v="0"/>
    <n v="68.385047016680545"/>
    <n v="1.1166517821440873"/>
    <n v="62.775354689311627"/>
    <n v="0.6146275038602671"/>
    <n v="2"/>
    <b v="0"/>
    <n v="1"/>
    <n v="1.1053083370280605"/>
    <n v="62.137654734908622"/>
    <n v="0.5731716391864542"/>
    <n v="2"/>
    <b v="0"/>
    <n v="1"/>
    <n v="31.614952983319462"/>
    <x v="0"/>
    <n v="68.385047016680545"/>
    <n v="1.0959480328186668"/>
    <n v="61.611441974457641"/>
    <n v="0.61378459253920803"/>
    <n v="2"/>
    <b v="0"/>
    <n v="1"/>
    <n v="0.13669895208375324"/>
    <n v="7.6848712731535604"/>
    <n v="0.45872548574940836"/>
    <n v="2"/>
  </r>
  <r>
    <n v="17174"/>
    <s v="17174"/>
    <s v="17"/>
    <s v="COLOMBIA"/>
    <s v="CALDAS"/>
    <s v="CHINCHINÁ"/>
    <x v="0"/>
    <n v="0"/>
    <n v="0"/>
    <n v="0"/>
    <n v="66.58"/>
    <n v="67.830533333333307"/>
    <n v="74.53"/>
    <n v="67.790000000000006"/>
    <n v="48.864026072383119"/>
    <n v="50.736855148642377"/>
    <n v="51.910720051656412"/>
    <n v="56.699895888973479"/>
    <s v="2. Riesgo (&gt;=40 y &lt;60)"/>
    <s v="2. Riesgo (&gt;=40 y &lt;60)"/>
    <s v="2. Riesgo (&gt;=40 y &lt;60)"/>
    <s v="2. Riesgo (&gt;=40 y &lt;60)"/>
    <n v="69.182633333333328"/>
    <n v="52.052874290413847"/>
    <n v="60.617753811873584"/>
    <n v="32.028412544251871"/>
    <x v="0"/>
    <n v="67.971587455748136"/>
    <n v="1.1166517821440873"/>
    <n v="67.68892282360018"/>
    <n v="0.67609106183119905"/>
    <n v="1"/>
    <b v="1"/>
    <n v="0"/>
    <n v="1.1053083370280605"/>
    <n v="67.001308660178367"/>
    <n v="0.63065332241290983"/>
    <n v="1"/>
    <b v="1"/>
    <n v="0"/>
    <n v="32.028412544251871"/>
    <x v="0"/>
    <n v="67.971587455748136"/>
    <n v="1.0959480328186668"/>
    <n v="66.433908044009101"/>
    <n v="0.67538258752722147"/>
    <n v="1"/>
    <b v="1"/>
    <n v="0"/>
    <n v="0.13587246308982617"/>
    <n v="8.2362835173919642"/>
    <n v="0.49164039617478933"/>
    <n v="2"/>
  </r>
  <r>
    <n v="68077"/>
    <s v="68077"/>
    <s v="68"/>
    <s v="COLOMBIA"/>
    <s v="SANTANDER"/>
    <s v="BARBOSA"/>
    <x v="4"/>
    <n v="0"/>
    <n v="0"/>
    <n v="0"/>
    <n v="68.510000000000005"/>
    <n v="68.915333333333294"/>
    <n v="72.819999999999993"/>
    <n v="64.959999999999994"/>
    <n v="59.356152443381475"/>
    <n v="51.261148142728352"/>
    <n v="61.898749533840657"/>
    <n v="60.926025587202041"/>
    <s v="2. Riesgo (&gt;=40 y &lt;60)"/>
    <s v="2. Riesgo (&gt;=40 y &lt;60)"/>
    <s v="3. Vulnerable (&gt;=60 y &lt;70)"/>
    <s v="3. Vulnerable (&gt;=60 y &lt;70)"/>
    <n v="68.801333333333318"/>
    <n v="58.360518926788131"/>
    <n v="63.580926130060725"/>
    <n v="32.147600935916351"/>
    <x v="0"/>
    <n v="67.852399064083642"/>
    <n v="1.1166517821440873"/>
    <n v="70.997754473503875"/>
    <n v="0.71748105793417494"/>
    <n v="1"/>
    <b v="0"/>
    <n v="-1"/>
    <n v="1.1053083370280605"/>
    <n v="70.276527727521383"/>
    <n v="0.66936189580628036"/>
    <n v="1"/>
    <b v="0"/>
    <n v="-1"/>
    <n v="32.147600935916351"/>
    <x v="0"/>
    <n v="67.852399064083642"/>
    <n v="1.0959480328186668"/>
    <n v="69.68139091702902"/>
    <n v="0.71686311447150874"/>
    <n v="1"/>
    <b v="0"/>
    <n v="-1"/>
    <n v="0.13563421029989814"/>
    <n v="8.6237487057869444"/>
    <n v="0.51476897574884073"/>
    <n v="2"/>
  </r>
  <r>
    <n v="54001"/>
    <s v="54001"/>
    <s v="54"/>
    <s v="COLOMBIA"/>
    <s v="NORTE DE SANTANDER"/>
    <s v="SAN JOSÉ DE CÚCUTA"/>
    <x v="3"/>
    <n v="1"/>
    <n v="1"/>
    <n v="0"/>
    <n v="69.33"/>
    <n v="72.171966666666705"/>
    <n v="72.209999999999994"/>
    <n v="73.77"/>
    <n v="68.881175818912965"/>
    <n v="63.712114714844517"/>
    <n v="64.436771094801699"/>
    <n v="65.963360038953496"/>
    <s v="3. Vulnerable (&gt;=60 y &lt;70)"/>
    <s v="3. Vulnerable (&gt;=60 y &lt;70)"/>
    <s v="3. Vulnerable (&gt;=60 y &lt;70)"/>
    <s v="3. Vulnerable (&gt;=60 y &lt;70)"/>
    <n v="71.870491666666666"/>
    <n v="65.748355416878169"/>
    <n v="68.809423541772418"/>
    <n v="31.944452115555617"/>
    <x v="0"/>
    <n v="68.05554788444438"/>
    <s v="Especial"/>
    <s v="N.D."/>
    <s v="N.D."/>
    <s v="SC- Centro aglomeración_x000a_"/>
    <b v="1"/>
    <n v="0"/>
    <n v="1.1053083370280605"/>
    <n v="76.055629506815947"/>
    <n v="0.73766291041690202"/>
    <n v="1"/>
    <b v="0"/>
    <n v="0"/>
    <s v="N.D."/>
    <x v="1"/>
    <s v="N.D."/>
    <s v="N.D."/>
    <s v="N.D."/>
    <s v="N.D."/>
    <s v="SC- Centro aglomeración_x000a_"/>
    <b v="1"/>
    <n v="0"/>
    <s v="Especial"/>
    <s v="N.D."/>
    <s v="N.D."/>
    <s v="SC- Centro aglomeración_x000a_"/>
  </r>
  <r>
    <n v="23815"/>
    <s v="23815"/>
    <s v="23"/>
    <s v="COLOMBIA"/>
    <s v="CÓRDOBA"/>
    <s v="TUCHÍN"/>
    <x v="4"/>
    <n v="0"/>
    <n v="0"/>
    <n v="0"/>
    <n v="54.31"/>
    <n v="55.060166666666703"/>
    <n v="44.48"/>
    <n v="28.7"/>
    <n v="59.785101786047548"/>
    <n v="53.822081934766778"/>
    <n v="73.850860009736323"/>
    <n v="65.53274900019521"/>
    <s v="2. Riesgo (&gt;=40 y &lt;60)"/>
    <s v="2. Riesgo (&gt;=40 y &lt;60)"/>
    <s v="4. Solvente (&gt;=70 y &lt;80)"/>
    <s v="3. Vulnerable (&gt;=60 y &lt;70)"/>
    <n v="45.637541666666671"/>
    <n v="63.247698182686463"/>
    <n v="54.442619924676563"/>
    <n v="32.190136339709262"/>
    <x v="0"/>
    <n v="67.809863660290745"/>
    <n v="1.1166517821440873"/>
    <n v="60.793448563483281"/>
    <n v="0.58983594735213019"/>
    <n v="2"/>
    <b v="1"/>
    <n v="0"/>
    <n v="1.1053083370280605"/>
    <n v="60.175881692395009"/>
    <n v="0.54998618678284517"/>
    <n v="2"/>
    <b v="1"/>
    <n v="0"/>
    <n v="32.190136339709262"/>
    <x v="0"/>
    <n v="67.809863660290745"/>
    <n v="1.0959480328186668"/>
    <n v="59.666282207943631"/>
    <n v="0.58893881035628448"/>
    <n v="2"/>
    <b v="1"/>
    <n v="0"/>
    <n v="0.13554918374250571"/>
    <n v="7.3796526915933862"/>
    <n v="0.44050637223282224"/>
    <n v="2"/>
  </r>
  <r>
    <n v="5030"/>
    <s v="05030"/>
    <s v="50"/>
    <s v="COLOMBIA"/>
    <s v="ANTIOQUIA"/>
    <s v="AMAGÁ"/>
    <x v="0"/>
    <n v="0"/>
    <n v="0"/>
    <n v="0"/>
    <n v="48.59"/>
    <n v="53.830599999999997"/>
    <n v="58.64"/>
    <n v="43.02"/>
    <n v="56.187626724526808"/>
    <n v="60.750091468026511"/>
    <n v="72.167404447145245"/>
    <n v="64.425323830597222"/>
    <s v="2. Riesgo (&gt;=40 y &lt;60)"/>
    <s v="3. Vulnerable (&gt;=60 y &lt;70)"/>
    <s v="4. Solvente (&gt;=70 y &lt;80)"/>
    <s v="3. Vulnerable (&gt;=60 y &lt;70)"/>
    <n v="51.020150000000008"/>
    <n v="63.382611617573943"/>
    <n v="57.201380808786979"/>
    <n v="32.051914345862585"/>
    <x v="0"/>
    <n v="67.948085654137415"/>
    <n v="1.1166517821440873"/>
    <n v="63.874023821234573"/>
    <n v="0.62837069659419609"/>
    <n v="2"/>
    <b v="0"/>
    <n v="1"/>
    <n v="1.1053083370280605"/>
    <n v="63.225163097469149"/>
    <n v="0.58602448853867417"/>
    <n v="2"/>
    <b v="0"/>
    <n v="1"/>
    <n v="32.051914345862585"/>
    <x v="0"/>
    <n v="67.948085654137415"/>
    <n v="1.0959480328186668"/>
    <n v="62.689740771901533"/>
    <n v="0.62755784526148328"/>
    <n v="2"/>
    <b v="0"/>
    <n v="1"/>
    <n v="0.13582548393586755"/>
    <n v="7.7694052301533381"/>
    <n v="0.46377148835748194"/>
    <n v="2"/>
  </r>
  <r>
    <n v="5697"/>
    <s v="05697"/>
    <s v="50"/>
    <s v="COLOMBIA"/>
    <s v="ANTIOQUIA"/>
    <s v="EL SANTUARIO"/>
    <x v="0"/>
    <n v="0"/>
    <n v="0"/>
    <n v="0"/>
    <n v="83.68"/>
    <n v="84.315299999999993"/>
    <n v="77.819999999999993"/>
    <n v="79.84"/>
    <n v="68.675593620234352"/>
    <n v="58.034764466681729"/>
    <n v="66.861928020081947"/>
    <n v="64.239396157924944"/>
    <s v="3. Vulnerable (&gt;=60 y &lt;70)"/>
    <s v="2. Riesgo (&gt;=40 y &lt;60)"/>
    <s v="3. Vulnerable (&gt;=60 y &lt;70)"/>
    <s v="3. Vulnerable (&gt;=60 y &lt;70)"/>
    <n v="81.413825000000003"/>
    <n v="64.452920566230745"/>
    <n v="72.933372783115374"/>
    <n v="31.921512498498871"/>
    <x v="0"/>
    <n v="68.078487501501129"/>
    <n v="1.1166517821440873"/>
    <n v="81.441180696044853"/>
    <n v="0.84811731156928161"/>
    <n v="1"/>
    <b v="1"/>
    <n v="0"/>
    <n v="1.1053083370280605"/>
    <n v="80.613864984752865"/>
    <n v="0.7915349687171499"/>
    <n v="1"/>
    <b v="1"/>
    <n v="0"/>
    <n v="31.921512498498871"/>
    <x v="0"/>
    <n v="68.078487501501129"/>
    <n v="1.0959480328186668"/>
    <n v="79.931186428485788"/>
    <n v="0.84778510405879903"/>
    <n v="1"/>
    <b v="1"/>
    <n v="0"/>
    <n v="0.13608615197167451"/>
    <n v="9.9252220523698274"/>
    <n v="0.59245654810763548"/>
    <n v="1"/>
  </r>
  <r>
    <n v="76520"/>
    <s v="76520"/>
    <s v="76"/>
    <s v="COLOMBIA"/>
    <s v="VALLE DEL CAUCA"/>
    <s v="PALMIRA"/>
    <x v="0"/>
    <n v="0"/>
    <n v="0"/>
    <n v="0"/>
    <n v="69.61"/>
    <n v="72.999733333333296"/>
    <n v="79.98"/>
    <n v="82"/>
    <n v="44.892684752248769"/>
    <n v="57.700775200812203"/>
    <n v="58.843563028243381"/>
    <n v="52.580807541655275"/>
    <s v="2. Riesgo (&gt;=40 y &lt;60)"/>
    <s v="2. Riesgo (&gt;=40 y &lt;60)"/>
    <s v="2. Riesgo (&gt;=40 y &lt;60)"/>
    <s v="2. Riesgo (&gt;=40 y &lt;60)"/>
    <n v="76.147433333333325"/>
    <n v="53.504457630739907"/>
    <n v="64.825945482036616"/>
    <n v="33.386265552398896"/>
    <x v="1"/>
    <n v="66.613734447601104"/>
    <n v="0.9741882058902549"/>
    <n v="63.152671524284727"/>
    <n v="0.61934733973634692"/>
    <n v="2"/>
    <b v="0"/>
    <n v="1"/>
    <n v="0.97428046393498691"/>
    <n v="63.1586522392628"/>
    <n v="0.58523842190209185"/>
    <n v="2"/>
    <b v="0"/>
    <n v="1"/>
    <n v="33.386265552398896"/>
    <x v="0"/>
    <n v="66.613734447601104"/>
    <n v="1.0959480328186668"/>
    <n v="71.045867426648172"/>
    <n v="0.7342917528462729"/>
    <n v="1"/>
    <b v="1"/>
    <n v="0"/>
    <n v="0.13315816966757854"/>
    <n v="8.6321042473582281"/>
    <n v="0.51526773489909172"/>
    <n v="2"/>
  </r>
  <r>
    <n v="15759"/>
    <s v="15759"/>
    <s v="15"/>
    <s v="COLOMBIA"/>
    <s v="BOYACÁ"/>
    <s v="SOGAMOSO"/>
    <x v="3"/>
    <n v="1"/>
    <n v="0"/>
    <n v="0"/>
    <n v="77.77"/>
    <n v="82.696799999999996"/>
    <n v="88.93"/>
    <n v="86.28"/>
    <n v="55.503427141043936"/>
    <n v="48.374072534065427"/>
    <n v="56.387633763452321"/>
    <n v="58.987908863127927"/>
    <s v="2. Riesgo (&gt;=40 y &lt;60)"/>
    <s v="2. Riesgo (&gt;=40 y &lt;60)"/>
    <s v="2. Riesgo (&gt;=40 y &lt;60)"/>
    <s v="2. Riesgo (&gt;=40 y &lt;60)"/>
    <n v="83.919199999999989"/>
    <n v="54.813260575422404"/>
    <n v="69.366230287711204"/>
    <n v="33.460884993974837"/>
    <x v="1"/>
    <n v="66.539115006025156"/>
    <s v="Especial"/>
    <s v="N.D."/>
    <s v="N.D."/>
    <s v="SC- Centro aglomeración_x000a_"/>
    <b v="1"/>
    <n v="0"/>
    <n v="0.97428046393498691"/>
    <n v="67.582163026132406"/>
    <n v="0.63751822011687664"/>
    <n v="1"/>
    <b v="0"/>
    <n v="0"/>
    <s v="N.D."/>
    <x v="1"/>
    <s v="N.D."/>
    <s v="N.D."/>
    <s v="N.D."/>
    <s v="N.D."/>
    <s v="SC- Centro aglomeración_x000a_"/>
    <b v="1"/>
    <n v="0"/>
    <s v="Especial"/>
    <s v="N.D."/>
    <s v="N.D."/>
    <s v="SC- Centro aglomeración_x000a_"/>
  </r>
  <r>
    <n v="19573"/>
    <s v="19573"/>
    <s v="19"/>
    <s v="COLOMBIA"/>
    <s v="CAUCA"/>
    <s v="PUERTO TEJADA"/>
    <x v="4"/>
    <n v="0"/>
    <n v="0"/>
    <n v="0"/>
    <n v="48.87"/>
    <n v="54.482300000000002"/>
    <n v="72.12"/>
    <n v="81.77"/>
    <n v="53.069045573388792"/>
    <n v="59.929687566540366"/>
    <n v="56.669071570400348"/>
    <n v="47.562715820724804"/>
    <s v="2. Riesgo (&gt;=40 y &lt;60)"/>
    <s v="2. Riesgo (&gt;=40 y &lt;60)"/>
    <s v="2. Riesgo (&gt;=40 y &lt;60)"/>
    <s v="2. Riesgo (&gt;=40 y &lt;60)"/>
    <n v="64.310575"/>
    <n v="54.307630132763578"/>
    <n v="59.309102566381789"/>
    <n v="33.617117156684252"/>
    <x v="1"/>
    <n v="66.382882843315741"/>
    <n v="0.9741882058902549"/>
    <n v="57.778228222104588"/>
    <n v="0.55211871922331013"/>
    <n v="2"/>
    <b v="1"/>
    <n v="0"/>
    <n v="0.97428046393498691"/>
    <n v="57.783699963942169"/>
    <n v="0.52171389717346173"/>
    <n v="2"/>
    <b v="1"/>
    <n v="0"/>
    <n v="33.617117156684252"/>
    <x v="0"/>
    <n v="66.382882843315741"/>
    <n v="1.0959480328186668"/>
    <n v="64.999694285866667"/>
    <n v="0.65706318608164227"/>
    <n v="1"/>
    <b v="0"/>
    <n v="-1"/>
    <n v="0.13269670661725755"/>
    <n v="7.8701225829840009"/>
    <n v="0.46978351054476847"/>
    <n v="2"/>
  </r>
  <r>
    <n v="8520"/>
    <s v="08520"/>
    <s v="87"/>
    <s v="COLOMBIA"/>
    <s v="ATLÁNTICO"/>
    <s v="PALMAR DE VARELA"/>
    <x v="4"/>
    <n v="0"/>
    <n v="0"/>
    <n v="0"/>
    <n v="58.95"/>
    <n v="65.743700000000004"/>
    <n v="68.91"/>
    <n v="55"/>
    <n v="58.813324251671943"/>
    <n v="53.412704969634312"/>
    <n v="60.574079628510006"/>
    <n v="70.963654717301893"/>
    <s v="2. Riesgo (&gt;=40 y &lt;60)"/>
    <s v="2. Riesgo (&gt;=40 y &lt;60)"/>
    <s v="3. Vulnerable (&gt;=60 y &lt;70)"/>
    <s v="4. Solvente (&gt;=70 y &lt;80)"/>
    <n v="62.150925000000001"/>
    <n v="60.940940891779533"/>
    <n v="61.545932945889767"/>
    <n v="33.805676823789526"/>
    <x v="1"/>
    <n v="66.194323176210474"/>
    <n v="0.9741882058902549"/>
    <n v="59.957321996398285"/>
    <n v="0.57937688535837484"/>
    <n v="2"/>
    <b v="1"/>
    <n v="0"/>
    <n v="0.97428046393498691"/>
    <n v="59.963000103833075"/>
    <n v="0.54747021993436451"/>
    <n v="2"/>
    <b v="1"/>
    <n v="0"/>
    <n v="33.805676823789526"/>
    <x v="0"/>
    <n v="66.194323176210474"/>
    <n v="1.0959480328186668"/>
    <n v="67.451144140037471"/>
    <n v="0.6883758783126992"/>
    <n v="1"/>
    <b v="0"/>
    <n v="-1"/>
    <n v="0.13231978344438519"/>
    <n v="8.1437445192827855"/>
    <n v="0.48611655649686369"/>
    <n v="2"/>
  </r>
  <r>
    <n v="25843"/>
    <s v="25843"/>
    <s v="25"/>
    <s v="COLOMBIA"/>
    <s v="CUNDINAMARCA"/>
    <s v="VILLA DE SAN DIEGO DE UBATÉ"/>
    <x v="0"/>
    <n v="0"/>
    <n v="0"/>
    <n v="0"/>
    <n v="79.72"/>
    <n v="86.414333333333303"/>
    <n v="91.21"/>
    <n v="90.53"/>
    <n v="61.026693571372277"/>
    <n v="67.473615376793902"/>
    <n v="62.262567369970974"/>
    <n v="62.748600039503501"/>
    <s v="3. Vulnerable (&gt;=60 y &lt;70)"/>
    <s v="3. Vulnerable (&gt;=60 y &lt;70)"/>
    <s v="3. Vulnerable (&gt;=60 y &lt;70)"/>
    <s v="3. Vulnerable (&gt;=60 y &lt;70)"/>
    <n v="86.968583333333328"/>
    <n v="63.377869089410169"/>
    <n v="75.173226211371741"/>
    <n v="34.25021895964003"/>
    <x v="1"/>
    <n v="65.749781040359977"/>
    <n v="0.9741882058902549"/>
    <n v="73.232870373838523"/>
    <n v="0.74544000181312486"/>
    <n v="1"/>
    <b v="1"/>
    <n v="0"/>
    <n v="0.97428046393498691"/>
    <n v="73.239805708704978"/>
    <n v="0.70438375567614753"/>
    <n v="1"/>
    <b v="1"/>
    <n v="0"/>
    <n v="34.25021895964003"/>
    <x v="0"/>
    <n v="65.749781040359977"/>
    <n v="1.0959480328186668"/>
    <n v="82.385949386985502"/>
    <n v="0.87914011500830902"/>
    <n v="1"/>
    <b v="1"/>
    <n v="0"/>
    <n v="0.13143116163627247"/>
    <n v="9.8801044449068733"/>
    <n v="0.58976338700400111"/>
    <n v="1"/>
  </r>
  <r>
    <n v="23162"/>
    <s v="23162"/>
    <s v="23"/>
    <s v="COLOMBIA"/>
    <s v="CÓRDOBA"/>
    <s v="CERETÉ"/>
    <x v="4"/>
    <n v="0"/>
    <n v="0"/>
    <n v="0"/>
    <n v="69.19"/>
    <n v="68.2177333333333"/>
    <n v="47.5"/>
    <n v="45.74"/>
    <n v="65.194728699945713"/>
    <n v="61.258916053052829"/>
    <n v="71.013728149304512"/>
    <n v="53.939946835500955"/>
    <s v="3. Vulnerable (&gt;=60 y &lt;70)"/>
    <s v="3. Vulnerable (&gt;=60 y &lt;70)"/>
    <s v="4. Solvente (&gt;=70 y &lt;80)"/>
    <s v="2. Riesgo (&gt;=40 y &lt;60)"/>
    <n v="57.661933333333323"/>
    <n v="62.851829934451004"/>
    <n v="60.256881633892164"/>
    <n v="34.021490550996937"/>
    <x v="1"/>
    <n v="65.97850944900307"/>
    <n v="0.9741882058902549"/>
    <n v="58.701543411462858"/>
    <n v="0.56366841897623332"/>
    <n v="2"/>
    <b v="1"/>
    <n v="0"/>
    <n v="0.97428046393498691"/>
    <n v="58.70710259354405"/>
    <n v="0.53262724303663544"/>
    <n v="2"/>
    <b v="1"/>
    <n v="0"/>
    <n v="34.021490550996937"/>
    <x v="0"/>
    <n v="65.97850944900307"/>
    <n v="1.0959480328186668"/>
    <n v="66.038410890451374"/>
    <n v="0.67033085023529104"/>
    <n v="1"/>
    <b v="0"/>
    <n v="-1"/>
    <n v="0.13188838050409996"/>
    <n v="7.947182532921282"/>
    <n v="0.47438337457766311"/>
    <n v="2"/>
  </r>
  <r>
    <n v="25295"/>
    <s v="25295"/>
    <s v="25"/>
    <s v="COLOMBIA"/>
    <s v="CUNDINAMARCA"/>
    <s v="GACHANCIPÁ"/>
    <x v="0"/>
    <n v="0"/>
    <n v="0"/>
    <n v="0"/>
    <n v="63.52"/>
    <n v="71.590800000000002"/>
    <n v="85.79"/>
    <n v="49.43"/>
    <n v="58.335975016805236"/>
    <n v="57.018038062873629"/>
    <n v="64.443756893948304"/>
    <n v="64.888026338788791"/>
    <s v="2. Riesgo (&gt;=40 y &lt;60)"/>
    <s v="2. Riesgo (&gt;=40 y &lt;60)"/>
    <s v="3. Vulnerable (&gt;=60 y &lt;70)"/>
    <s v="3. Vulnerable (&gt;=60 y &lt;70)"/>
    <n v="67.582700000000003"/>
    <n v="61.17144907810399"/>
    <n v="64.377074539051989"/>
    <n v="34.425226382640261"/>
    <x v="1"/>
    <n v="65.574773617359739"/>
    <n v="0.9741882058902549"/>
    <n v="62.715386745662265"/>
    <n v="0.61387736809738458"/>
    <n v="2"/>
    <b v="0"/>
    <n v="1"/>
    <n v="0.97428046393498691"/>
    <n v="62.721326048684809"/>
    <n v="0.58006982932957607"/>
    <n v="2"/>
    <b v="0"/>
    <n v="1"/>
    <n v="34.425226382640261"/>
    <x v="0"/>
    <n v="65.574773617359739"/>
    <n v="1.0959480328186668"/>
    <n v="70.55392819969471"/>
    <n v="0.7280081482341817"/>
    <n v="1"/>
    <b v="1"/>
    <n v="0"/>
    <n v="0.13108132885301543"/>
    <n v="8.4386324782485609"/>
    <n v="0.50371901428828958"/>
    <n v="2"/>
  </r>
  <r>
    <n v="63401"/>
    <s v="63401"/>
    <s v="63"/>
    <s v="COLOMBIA"/>
    <s v="QUINDÍO"/>
    <s v="LA TEBAIDA"/>
    <x v="0"/>
    <n v="0"/>
    <n v="0"/>
    <n v="0"/>
    <n v="70.73"/>
    <n v="71.642099999999999"/>
    <n v="70.55"/>
    <n v="67.8"/>
    <n v="55.109433574882047"/>
    <n v="50.336469226468367"/>
    <n v="52.475237760317285"/>
    <n v="13.864202829387549"/>
    <s v="2. Riesgo (&gt;=40 y &lt;60)"/>
    <s v="2. Riesgo (&gt;=40 y &lt;60)"/>
    <s v="2. Riesgo (&gt;=40 y &lt;60)"/>
    <s v="1. Deterioro (&lt;40)"/>
    <n v="70.180525000000003"/>
    <n v="42.946335847763812"/>
    <n v="56.563430423881911"/>
    <n v="34.217749429357127"/>
    <x v="1"/>
    <n v="65.782250570642873"/>
    <n v="0.9741882058902549"/>
    <n v="55.103426803639778"/>
    <n v="0.5186597729847745"/>
    <n v="2"/>
    <b v="0"/>
    <n v="1"/>
    <n v="0.97428046393498691"/>
    <n v="55.10864523513402"/>
    <n v="0.49009843873472131"/>
    <n v="2"/>
    <b v="0"/>
    <n v="1"/>
    <n v="34.217749429357127"/>
    <x v="0"/>
    <n v="65.782250570642873"/>
    <n v="1.0959480328186668"/>
    <n v="61.990580302528912"/>
    <n v="0.61862737639615495"/>
    <n v="2"/>
    <b v="0"/>
    <n v="1"/>
    <n v="0.13149606691831817"/>
    <n v="7.4378686321484091"/>
    <n v="0.44398139929056274"/>
    <n v="2"/>
  </r>
  <r>
    <n v="68547"/>
    <s v="68547"/>
    <s v="68"/>
    <s v="COLOMBIA"/>
    <s v="SANTANDER"/>
    <s v="PIEDECUESTA"/>
    <x v="4"/>
    <n v="0"/>
    <n v="0"/>
    <n v="0"/>
    <n v="62.65"/>
    <n v="71.256699999999995"/>
    <n v="73.36"/>
    <n v="67.400000000000006"/>
    <n v="55.885469732949844"/>
    <n v="61.188819014925102"/>
    <n v="63.04297927249354"/>
    <n v="64.360882417693702"/>
    <s v="2. Riesgo (&gt;=40 y &lt;60)"/>
    <s v="3. Vulnerable (&gt;=60 y &lt;70)"/>
    <s v="3. Vulnerable (&gt;=60 y &lt;70)"/>
    <s v="3. Vulnerable (&gt;=60 y &lt;70)"/>
    <n v="68.666674999999998"/>
    <n v="61.119537609515547"/>
    <n v="64.893106304757765"/>
    <n v="34.298132331055889"/>
    <x v="1"/>
    <n v="65.701867668944118"/>
    <n v="0.9741882058902549"/>
    <n v="63.218098805677556"/>
    <n v="0.62016576605971596"/>
    <n v="2"/>
    <b v="1"/>
    <n v="0"/>
    <n v="0.97428046393498691"/>
    <n v="63.224085716781822"/>
    <n v="0.58601175538447892"/>
    <n v="2"/>
    <b v="1"/>
    <n v="0"/>
    <n v="34.298132331055889"/>
    <x v="0"/>
    <n v="65.701867668944118"/>
    <n v="1.0959480328186668"/>
    <n v="71.1194721981919"/>
    <n v="0.73523191629859264"/>
    <n v="1"/>
    <b v="0"/>
    <n v="-1"/>
    <n v="0.1313353847384113"/>
    <n v="8.5227610834059853"/>
    <n v="0.50874082062629256"/>
    <n v="2"/>
  </r>
  <r>
    <n v="15238"/>
    <s v="15238"/>
    <s v="15"/>
    <s v="COLOMBIA"/>
    <s v="BOYACÁ"/>
    <s v="DUITAMA"/>
    <x v="3"/>
    <n v="1"/>
    <n v="0"/>
    <n v="0"/>
    <n v="58.9"/>
    <n v="56.996833333333299"/>
    <n v="55.61"/>
    <n v="54.78"/>
    <n v="59.663664662225791"/>
    <n v="57.092778535663491"/>
    <n v="57.291450525943326"/>
    <n v="57.692940917302835"/>
    <s v="2. Riesgo (&gt;=40 y &lt;60)"/>
    <s v="2. Riesgo (&gt;=40 y &lt;60)"/>
    <s v="2. Riesgo (&gt;=40 y &lt;60)"/>
    <s v="2. Riesgo (&gt;=40 y &lt;60)"/>
    <n v="56.571708333333326"/>
    <n v="57.935208660283863"/>
    <n v="57.253458496808591"/>
    <n v="34.38348720677434"/>
    <x v="1"/>
    <n v="65.616512793225667"/>
    <s v="Especial"/>
    <s v="N.D."/>
    <s v="N.D."/>
    <s v="SC- Centro aglomeración_x000a_"/>
    <b v="1"/>
    <n v="0"/>
    <n v="0.97428046393498691"/>
    <n v="55.780926106153188"/>
    <n v="0.49804387166660619"/>
    <n v="2"/>
    <b v="0"/>
    <n v="0"/>
    <s v="N.D."/>
    <x v="1"/>
    <s v="N.D."/>
    <s v="N.D."/>
    <s v="N.D."/>
    <s v="N.D."/>
    <s v="SC- Centro aglomeración_x000a_"/>
    <b v="1"/>
    <n v="0"/>
    <s v="Especial"/>
    <s v="N.D."/>
    <s v="N.D."/>
    <s v="SC- Centro aglomeración_x000a_"/>
  </r>
  <r>
    <n v="73001"/>
    <s v="73001"/>
    <s v="73"/>
    <s v="COLOMBIA"/>
    <s v="TOLIMA"/>
    <s v="IBAGUÉ"/>
    <x v="0"/>
    <n v="0"/>
    <n v="1"/>
    <n v="0"/>
    <n v="97.411200613732305"/>
    <n v="98.213133742488196"/>
    <n v="86.44"/>
    <n v="85.44"/>
    <n v="60.25259351209575"/>
    <n v="49.048113175611228"/>
    <n v="56.058816399255477"/>
    <n v="59.66103266941839"/>
    <s v="3. Vulnerable (&gt;=60 y &lt;70)"/>
    <s v="2. Riesgo (&gt;=40 y &lt;60)"/>
    <s v="2. Riesgo (&gt;=40 y &lt;60)"/>
    <s v="2. Riesgo (&gt;=40 y &lt;60)"/>
    <n v="91.876083589055128"/>
    <n v="56.255138939095204"/>
    <n v="74.065611264075159"/>
    <n v="34.764195899002821"/>
    <x v="1"/>
    <n v="65.235804100997171"/>
    <n v="0.9741882058902549"/>
    <n v="72.15384495551443"/>
    <n v="0.73194253122989161"/>
    <n v="1"/>
    <b v="1"/>
    <n v="0"/>
    <n v="0.97428046393498691"/>
    <n v="72.160678103991543"/>
    <n v="0.69162995532600824"/>
    <n v="1"/>
    <b v="1"/>
    <n v="0"/>
    <n v="34.764195899002821"/>
    <x v="0"/>
    <n v="65.235804100997171"/>
    <n v="1.0959480328186668"/>
    <n v="81.172060964375262"/>
    <n v="0.86363495812518187"/>
    <n v="1"/>
    <b v="1"/>
    <n v="0"/>
    <n v="0.13040374245516156"/>
    <n v="9.6584328960645696"/>
    <n v="0.57653136459202625"/>
    <n v="1"/>
  </r>
  <r>
    <n v="70221"/>
    <s v="70221"/>
    <s v="70"/>
    <s v="COLOMBIA"/>
    <s v="SUCRE"/>
    <s v="COVEÑAS"/>
    <x v="4"/>
    <n v="0"/>
    <n v="0"/>
    <n v="0"/>
    <n v="60.34"/>
    <n v="65.873900000000006"/>
    <n v="74.25"/>
    <n v="67.94"/>
    <n v="61.149819288184872"/>
    <n v="53.85517970048879"/>
    <n v="62.701503405177775"/>
    <n v="72.661851348855421"/>
    <s v="3. Vulnerable (&gt;=60 y &lt;70)"/>
    <s v="2. Riesgo (&gt;=40 y &lt;60)"/>
    <s v="3. Vulnerable (&gt;=60 y &lt;70)"/>
    <s v="4. Solvente (&gt;=70 y &lt;80)"/>
    <n v="67.100975000000005"/>
    <n v="62.592088435676715"/>
    <n v="64.84653171783836"/>
    <n v="34.623935846919721"/>
    <x v="1"/>
    <n v="65.376064153080279"/>
    <n v="0.9741882058902549"/>
    <n v="63.17272639240646"/>
    <n v="0.61959820499672624"/>
    <n v="2"/>
    <b v="1"/>
    <n v="0"/>
    <n v="0.97428046393498691"/>
    <n v="63.178709006630399"/>
    <n v="0.58547546523742899"/>
    <n v="2"/>
    <b v="1"/>
    <n v="0"/>
    <n v="34.623935846919721"/>
    <x v="0"/>
    <n v="65.376064153080279"/>
    <n v="1.0959480328186668"/>
    <n v="71.068428871278229"/>
    <n v="0.73457993315344383"/>
    <n v="1"/>
    <b v="0"/>
    <n v="-1"/>
    <n v="0.13068411664477492"/>
    <n v="8.4744117150230842"/>
    <n v="0.50585474918686535"/>
    <n v="2"/>
  </r>
  <r>
    <n v="68307"/>
    <s v="68307"/>
    <s v="68"/>
    <s v="COLOMBIA"/>
    <s v="SANTANDER"/>
    <s v="GIRÓN"/>
    <x v="0"/>
    <n v="0"/>
    <n v="0"/>
    <n v="0"/>
    <n v="75.62"/>
    <n v="75.634133333333295"/>
    <n v="59.94"/>
    <n v="62.95"/>
    <n v="44.789172391146643"/>
    <n v="48.076813222393483"/>
    <n v="50.952739505402675"/>
    <n v="59.421512703002691"/>
    <s v="2. Riesgo (&gt;=40 y &lt;60)"/>
    <s v="2. Riesgo (&gt;=40 y &lt;60)"/>
    <s v="2. Riesgo (&gt;=40 y &lt;60)"/>
    <s v="2. Riesgo (&gt;=40 y &lt;60)"/>
    <n v="68.536033333333322"/>
    <n v="50.810059455486368"/>
    <n v="59.673046394409845"/>
    <n v="34.848436337183685"/>
    <x v="1"/>
    <n v="65.151563662816315"/>
    <n v="0.9741882058902549"/>
    <n v="58.132778006976068"/>
    <n v="0.55655376330135153"/>
    <n v="2"/>
    <b v="0"/>
    <n v="1"/>
    <n v="0.97428046393498691"/>
    <n v="58.13828332555962"/>
    <n v="0.5259045835962699"/>
    <n v="2"/>
    <b v="0"/>
    <n v="1"/>
    <n v="34.848436337183685"/>
    <x v="0"/>
    <n v="65.151563662816315"/>
    <n v="1.0959480328186668"/>
    <n v="65.398557808250501"/>
    <n v="0.66215792244647198"/>
    <n v="1"/>
    <b v="1"/>
    <n v="0"/>
    <n v="0.1302353492153413"/>
    <n v="7.7715400359192293"/>
    <n v="0.4638989192248486"/>
    <n v="2"/>
  </r>
  <r>
    <n v="63130"/>
    <s v="63130"/>
    <s v="63"/>
    <s v="COLOMBIA"/>
    <s v="QUINDÍO"/>
    <s v="CALARCÁ"/>
    <x v="4"/>
    <n v="0"/>
    <n v="0"/>
    <n v="0"/>
    <n v="71.81"/>
    <n v="70.714200000000005"/>
    <n v="58.4"/>
    <n v="56.23"/>
    <n v="55.48982773218475"/>
    <n v="62.399175298127496"/>
    <n v="61.157035741305407"/>
    <n v="12.596453985372122"/>
    <s v="2. Riesgo (&gt;=40 y &lt;60)"/>
    <s v="3. Vulnerable (&gt;=60 y &lt;70)"/>
    <s v="3. Vulnerable (&gt;=60 y &lt;70)"/>
    <s v="1. Deterioro (&lt;40)"/>
    <n v="64.288550000000001"/>
    <n v="47.910623189247445"/>
    <n v="56.099586594623723"/>
    <n v="35.268876752654442"/>
    <x v="1"/>
    <n v="64.73112324734555"/>
    <n v="0.9741882058902549"/>
    <n v="54.651555615801477"/>
    <n v="0.51300734074204657"/>
    <n v="2"/>
    <b v="1"/>
    <n v="0"/>
    <n v="0.97428046393498691"/>
    <n v="54.656731253970975"/>
    <n v="0.48475743859162829"/>
    <n v="2"/>
    <b v="1"/>
    <n v="0"/>
    <n v="35.268876752654442"/>
    <x v="0"/>
    <n v="64.73112324734555"/>
    <n v="1.0959480328186668"/>
    <n v="61.482231570318319"/>
    <n v="0.61213417100968692"/>
    <n v="2"/>
    <b v="1"/>
    <n v="0"/>
    <n v="0.12939490577462109"/>
    <n v="7.2590007214065331"/>
    <n v="0.43330441247795498"/>
    <n v="2"/>
  </r>
  <r>
    <n v="50001"/>
    <s v="50001"/>
    <s v="50"/>
    <s v="COLOMBIA"/>
    <s v="META"/>
    <s v="VILLAVICENCIO"/>
    <x v="3"/>
    <n v="1"/>
    <n v="1"/>
    <n v="0"/>
    <n v="69.430000000000007"/>
    <n v="72.340900000000005"/>
    <n v="63.64"/>
    <n v="63.47"/>
    <n v="53.799138806845463"/>
    <n v="59.027523972691824"/>
    <n v="64.39243200043822"/>
    <n v="68.298698643393323"/>
    <s v="2. Riesgo (&gt;=40 y &lt;60)"/>
    <s v="2. Riesgo (&gt;=40 y &lt;60)"/>
    <s v="3. Vulnerable (&gt;=60 y &lt;70)"/>
    <s v="3. Vulnerable (&gt;=60 y &lt;70)"/>
    <n v="67.220224999999999"/>
    <n v="61.379448355842207"/>
    <n v="64.299836677921107"/>
    <n v="35.403275535830545"/>
    <x v="1"/>
    <n v="64.596724464169455"/>
    <s v="Especial"/>
    <s v="N.D."/>
    <s v="N.D."/>
    <s v="SC- Centro aglomeración_x000a_"/>
    <b v="1"/>
    <n v="0"/>
    <n v="0.97428046393498691"/>
    <n v="62.646074709508866"/>
    <n v="0.5791804622596034"/>
    <n v="2"/>
    <b v="0"/>
    <n v="0"/>
    <s v="N.D."/>
    <x v="1"/>
    <s v="N.D."/>
    <s v="N.D."/>
    <s v="N.D."/>
    <s v="N.D."/>
    <s v="SC- Centro aglomeración_x000a_"/>
    <b v="1"/>
    <n v="0"/>
    <s v="Especial"/>
    <s v="N.D."/>
    <s v="N.D."/>
    <s v="SC- Centro aglomeración_x000a_"/>
  </r>
  <r>
    <n v="76130"/>
    <s v="76130"/>
    <s v="76"/>
    <s v="COLOMBIA"/>
    <s v="VALLE DEL CAUCA"/>
    <s v="CANDELARIA"/>
    <x v="0"/>
    <n v="0"/>
    <n v="0"/>
    <n v="0"/>
    <n v="75.19"/>
    <n v="75.087500000000006"/>
    <n v="69.98"/>
    <n v="65.59"/>
    <n v="63.911957983747122"/>
    <n v="67.949189574200986"/>
    <n v="65.47761112464525"/>
    <n v="71.587107393001787"/>
    <s v="3. Vulnerable (&gt;=60 y &lt;70)"/>
    <s v="3. Vulnerable (&gt;=60 y &lt;70)"/>
    <s v="3. Vulnerable (&gt;=60 y &lt;70)"/>
    <s v="4. Solvente (&gt;=70 y &lt;80)"/>
    <n v="71.461874999999992"/>
    <n v="67.231466518898785"/>
    <n v="69.346670759449381"/>
    <n v="34.958301705984326"/>
    <x v="1"/>
    <n v="65.041698294015674"/>
    <n v="0.9741882058902549"/>
    <n v="67.55670877161019"/>
    <n v="0.67443720340755164"/>
    <n v="1"/>
    <b v="1"/>
    <n v="0"/>
    <n v="0.97428046393498691"/>
    <n v="67.56310655986313"/>
    <n v="0.63729299896127289"/>
    <n v="1"/>
    <b v="1"/>
    <n v="0"/>
    <n v="34.958301705984326"/>
    <x v="0"/>
    <n v="65.041698294015674"/>
    <n v="1.0959480328186668"/>
    <n v="76.00034740134231"/>
    <n v="0.79757597885178788"/>
    <n v="1"/>
    <b v="1"/>
    <n v="0"/>
    <n v="0.13001573277226597"/>
    <n v="9.0161582141068806"/>
    <n v="0.53819269176417495"/>
    <n v="1"/>
  </r>
  <r>
    <n v="63190"/>
    <s v="63190"/>
    <s v="63"/>
    <s v="COLOMBIA"/>
    <s v="QUINDÍO"/>
    <s v="CIRCASIA"/>
    <x v="4"/>
    <n v="0"/>
    <n v="0"/>
    <n v="0"/>
    <n v="46.92"/>
    <n v="53.182066666666699"/>
    <n v="62.3"/>
    <n v="58.42"/>
    <n v="51.715038363312537"/>
    <n v="56.018566128825725"/>
    <n v="62.907561943691491"/>
    <n v="69.52907766026928"/>
    <s v="2. Riesgo (&gt;=40 y &lt;60)"/>
    <s v="2. Riesgo (&gt;=40 y &lt;60)"/>
    <s v="3. Vulnerable (&gt;=60 y &lt;70)"/>
    <s v="3. Vulnerable (&gt;=60 y &lt;70)"/>
    <n v="55.205516666666682"/>
    <n v="60.042561024024756"/>
    <n v="57.624038845345723"/>
    <n v="35.555172676420966"/>
    <x v="1"/>
    <n v="64.444827323579034"/>
    <n v="0.9741882058902549"/>
    <n v="56.136659018897703"/>
    <n v="0.53158441886823593"/>
    <n v="2"/>
    <b v="1"/>
    <n v="0"/>
    <n v="0.97428046393498691"/>
    <n v="56.141975300051136"/>
    <n v="0.50231097531166213"/>
    <n v="2"/>
    <b v="1"/>
    <n v="0"/>
    <n v="35.555172676420966"/>
    <x v="0"/>
    <n v="64.444827323579034"/>
    <n v="1.0959480328186668"/>
    <n v="63.152952015623086"/>
    <n v="0.63347450355573354"/>
    <n v="2"/>
    <b v="1"/>
    <n v="0"/>
    <n v="0.12882261176486212"/>
    <n v="7.4232791844973054"/>
    <n v="0.4431105256971497"/>
    <n v="2"/>
  </r>
  <r>
    <n v="68679"/>
    <s v="68679"/>
    <s v="68"/>
    <s v="COLOMBIA"/>
    <s v="SANTANDER"/>
    <s v="SAN GIL"/>
    <x v="0"/>
    <n v="0"/>
    <n v="0"/>
    <n v="0"/>
    <n v="78.989999999999995"/>
    <n v="81.741600000000005"/>
    <n v="70.09"/>
    <n v="75.569999999999993"/>
    <n v="61.041347812921288"/>
    <n v="62.187317421544584"/>
    <n v="65.095125188447781"/>
    <n v="68.150648430872721"/>
    <s v="3. Vulnerable (&gt;=60 y &lt;70)"/>
    <s v="3. Vulnerable (&gt;=60 y &lt;70)"/>
    <s v="3. Vulnerable (&gt;=60 y &lt;70)"/>
    <s v="3. Vulnerable (&gt;=60 y &lt;70)"/>
    <n v="76.59790000000001"/>
    <n v="64.118609713446588"/>
    <n v="70.358254856723306"/>
    <n v="35.042548135876416"/>
    <x v="1"/>
    <n v="64.957451864123584"/>
    <n v="0.9741882058902549"/>
    <n v="68.542182068440596"/>
    <n v="0.68676443556413003"/>
    <n v="1"/>
    <b v="1"/>
    <n v="0"/>
    <n v="0.97428046393498691"/>
    <n v="68.54867318346443"/>
    <n v="0.64894103751970622"/>
    <n v="1"/>
    <b v="1"/>
    <n v="0"/>
    <n v="35.042548135876416"/>
    <x v="0"/>
    <n v="64.957451864123584"/>
    <n v="1.0959480328186668"/>
    <n v="77.108991002780314"/>
    <n v="0.81173682975669081"/>
    <n v="1"/>
    <b v="1"/>
    <n v="0"/>
    <n v="0.12984732755525652"/>
    <n v="9.1358313645971698"/>
    <n v="0.54533622379464608"/>
    <n v="1"/>
  </r>
  <r>
    <n v="25740"/>
    <s v="25740"/>
    <s v="25"/>
    <s v="COLOMBIA"/>
    <s v="CUNDINAMARCA"/>
    <s v="SIBATÉ"/>
    <x v="0"/>
    <n v="0"/>
    <n v="0"/>
    <n v="0"/>
    <n v="66.64"/>
    <n v="68.126000000000005"/>
    <n v="87.55"/>
    <n v="80.97"/>
    <n v="62.454681969572995"/>
    <n v="56.401457516077869"/>
    <n v="61.448134651014783"/>
    <n v="64.481549198031857"/>
    <s v="3. Vulnerable (&gt;=60 y &lt;70)"/>
    <s v="2. Riesgo (&gt;=40 y &lt;60)"/>
    <s v="3. Vulnerable (&gt;=60 y &lt;70)"/>
    <s v="3. Vulnerable (&gt;=60 y &lt;70)"/>
    <n v="75.821500000000015"/>
    <n v="61.196455833674378"/>
    <n v="68.508977916837196"/>
    <n v="35.856297681189368"/>
    <x v="1"/>
    <n v="64.143702318810625"/>
    <n v="0.9741882058902549"/>
    <n v="66.740638284178715"/>
    <n v="0.6642290218291611"/>
    <n v="1"/>
    <b v="1"/>
    <n v="0"/>
    <n v="0.97428046393498691"/>
    <n v="66.74695878852792"/>
    <n v="0.62764725763619156"/>
    <n v="1"/>
    <b v="1"/>
    <n v="0"/>
    <n v="35.856297681189368"/>
    <x v="0"/>
    <n v="64.143702318810625"/>
    <n v="1.0959480328186668"/>
    <n v="75.082279578375207"/>
    <n v="0.78584937749427042"/>
    <n v="1"/>
    <b v="1"/>
    <n v="0"/>
    <n v="0.12822067502000595"/>
    <n v="8.7842673934275464"/>
    <n v="0.52435066037861799"/>
    <n v="2"/>
  </r>
  <r>
    <n v="73268"/>
    <s v="73268"/>
    <s v="73"/>
    <s v="COLOMBIA"/>
    <s v="TOLIMA"/>
    <s v="ESPINAL"/>
    <x v="4"/>
    <n v="0"/>
    <n v="0"/>
    <n v="0"/>
    <n v="51.89"/>
    <n v="56.284966666666698"/>
    <n v="68.27"/>
    <n v="56.48"/>
    <n v="51.080140840694988"/>
    <n v="61.352071294982096"/>
    <n v="61.026923769874337"/>
    <n v="54.446961404550542"/>
    <s v="2. Riesgo (&gt;=40 y &lt;60)"/>
    <s v="3. Vulnerable (&gt;=60 y &lt;70)"/>
    <s v="3. Vulnerable (&gt;=60 y &lt;70)"/>
    <s v="2. Riesgo (&gt;=40 y &lt;60)"/>
    <n v="58.231241666666669"/>
    <n v="56.976524327525489"/>
    <n v="57.603882997096079"/>
    <n v="35.62941992226645"/>
    <x v="1"/>
    <n v="64.37058007773355"/>
    <n v="0.9741882058902549"/>
    <n v="56.117023429253187"/>
    <n v="0.53133879833964548"/>
    <n v="2"/>
    <b v="1"/>
    <n v="0"/>
    <n v="0.97428046393498691"/>
    <n v="56.122337850867474"/>
    <n v="0.50207888773908915"/>
    <n v="2"/>
    <b v="1"/>
    <n v="0"/>
    <n v="35.62941992226645"/>
    <x v="0"/>
    <n v="64.37058007773355"/>
    <n v="1.0959480328186668"/>
    <n v="63.130862253384095"/>
    <n v="0.63319234810993885"/>
    <n v="2"/>
    <b v="1"/>
    <n v="0"/>
    <n v="0.12867419451365064"/>
    <n v="7.4121332455099136"/>
    <n v="0.4424452020899754"/>
    <n v="2"/>
  </r>
  <r>
    <n v="5079"/>
    <s v="05079"/>
    <s v="50"/>
    <s v="COLOMBIA"/>
    <s v="ANTIOQUIA"/>
    <s v="BARBOSA"/>
    <x v="4"/>
    <n v="0"/>
    <n v="0"/>
    <n v="0"/>
    <n v="55.83"/>
    <n v="59.380699999999997"/>
    <n v="50.89"/>
    <n v="54.53"/>
    <n v="47.883331783001786"/>
    <n v="54.698758425580756"/>
    <n v="48.192155583429816"/>
    <n v="49.905174548118524"/>
    <s v="2. Riesgo (&gt;=40 y &lt;60)"/>
    <s v="2. Riesgo (&gt;=40 y &lt;60)"/>
    <s v="2. Riesgo (&gt;=40 y &lt;60)"/>
    <s v="2. Riesgo (&gt;=40 y &lt;60)"/>
    <n v="55.157675000000005"/>
    <n v="50.169855085032722"/>
    <n v="52.66376504251636"/>
    <n v="35.112455960476794"/>
    <x v="1"/>
    <n v="64.887544039523206"/>
    <n v="0.9741882058902549"/>
    <n v="51.304418782194936"/>
    <n v="0.47113818716841754"/>
    <n v="3"/>
    <b v="0"/>
    <n v="1"/>
    <n v="0.97428046393498691"/>
    <n v="51.309277438185987"/>
    <n v="0.44519515007138349"/>
    <n v="3"/>
    <b v="0"/>
    <n v="1"/>
    <n v="35.112455960476794"/>
    <x v="0"/>
    <n v="64.887544039523206"/>
    <n v="1.0959480328186668"/>
    <n v="57.716749699170279"/>
    <n v="0.56403717455990043"/>
    <n v="2"/>
    <b v="1"/>
    <n v="0"/>
    <n v="0.12970758463217283"/>
    <n v="6.830889761301056"/>
    <n v="0.40774960470712268"/>
    <n v="2"/>
  </r>
  <r>
    <n v="76834"/>
    <s v="76834"/>
    <s v="76"/>
    <s v="COLOMBIA"/>
    <s v="VALLE DEL CAUCA"/>
    <s v="TULUÁ"/>
    <x v="3"/>
    <n v="1"/>
    <n v="0"/>
    <n v="0"/>
    <n v="74.5"/>
    <n v="76.768133333333296"/>
    <n v="70.19"/>
    <n v="75.44"/>
    <n v="59.47919433111047"/>
    <n v="60.358220275382621"/>
    <n v="68.017478470936354"/>
    <n v="61.445881945098392"/>
    <s v="2. Riesgo (&gt;=40 y &lt;60)"/>
    <s v="3. Vulnerable (&gt;=60 y &lt;70)"/>
    <s v="3. Vulnerable (&gt;=60 y &lt;70)"/>
    <s v="3. Vulnerable (&gt;=60 y &lt;70)"/>
    <n v="74.224533333333326"/>
    <n v="62.325193755631958"/>
    <n v="68.274863544482642"/>
    <n v="35.850498040962094"/>
    <x v="1"/>
    <n v="64.149501959037906"/>
    <s v="Especial"/>
    <s v="N.D."/>
    <s v="N.D."/>
    <s v="SC- Centro aglomeración_x000a_"/>
    <b v="1"/>
    <n v="0"/>
    <n v="0.97428046393498691"/>
    <n v="66.518865729216472"/>
    <n v="0.62495151217754108"/>
    <n v="2"/>
    <b v="0"/>
    <n v="0"/>
    <s v="N.D."/>
    <x v="1"/>
    <s v="N.D."/>
    <s v="N.D."/>
    <s v="N.D."/>
    <s v="N.D."/>
    <s v="SC- Centro aglomeración_x000a_"/>
    <b v="1"/>
    <n v="0"/>
    <s v="Especial"/>
    <s v="N.D."/>
    <s v="N.D."/>
    <s v="SC- Centro aglomeración_x000a_"/>
  </r>
  <r>
    <n v="8770"/>
    <s v="08770"/>
    <s v="87"/>
    <s v="COLOMBIA"/>
    <s v="ATLÁNTICO"/>
    <s v="SUAN"/>
    <x v="5"/>
    <n v="0"/>
    <n v="0"/>
    <n v="0"/>
    <n v="66.17"/>
    <n v="67.968066666666701"/>
    <n v="53.83"/>
    <n v="45.07"/>
    <n v="64.386630746868803"/>
    <n v="53.489860166125823"/>
    <n v="45.832189083924156"/>
    <n v="45.805656042810256"/>
    <s v="3. Vulnerable (&gt;=60 y &lt;70)"/>
    <s v="2. Riesgo (&gt;=40 y &lt;60)"/>
    <s v="2. Riesgo (&gt;=40 y &lt;60)"/>
    <s v="2. Riesgo (&gt;=40 y &lt;60)"/>
    <n v="58.25951666666667"/>
    <n v="52.378584009932261"/>
    <n v="55.319050338299462"/>
    <n v="35.893565768750229"/>
    <x v="1"/>
    <n v="64.106434231249779"/>
    <n v="0.9741882058902549"/>
    <n v="53.891166400620648"/>
    <n v="0.50349567318591826"/>
    <n v="2"/>
    <b v="0"/>
    <n v="-1"/>
    <n v="0.97428046393498691"/>
    <n v="53.896270028041293"/>
    <n v="0.47576983545075147"/>
    <n v="2"/>
    <b v="0"/>
    <n v="-1"/>
    <n v="35.893565768750229"/>
    <x v="0"/>
    <n v="64.106434231249779"/>
    <n v="1.0959480328186668"/>
    <n v="60.626804395656102"/>
    <n v="0.60120768691265003"/>
    <n v="2"/>
    <b v="0"/>
    <n v="-1"/>
    <n v="0.12814617761541267"/>
    <n v="7.0889248501676771"/>
    <n v="0.42315224025864306"/>
    <n v="2"/>
  </r>
  <r>
    <n v="76364"/>
    <s v="76364"/>
    <s v="76"/>
    <s v="COLOMBIA"/>
    <s v="VALLE DEL CAUCA"/>
    <s v="JAMUNDÍ"/>
    <x v="4"/>
    <n v="0"/>
    <n v="0"/>
    <n v="0"/>
    <n v="63.45"/>
    <n v="66.396799999999999"/>
    <n v="66.66"/>
    <n v="66.36"/>
    <n v="46.852576281477155"/>
    <n v="54.542945343434333"/>
    <n v="56.87601061093325"/>
    <n v="53.739291991247143"/>
    <s v="2. Riesgo (&gt;=40 y &lt;60)"/>
    <s v="2. Riesgo (&gt;=40 y &lt;60)"/>
    <s v="2. Riesgo (&gt;=40 y &lt;60)"/>
    <s v="2. Riesgo (&gt;=40 y &lt;60)"/>
    <n v="65.716700000000003"/>
    <n v="53.002706056772972"/>
    <n v="59.359703028386491"/>
    <n v="36.15339368754816"/>
    <x v="1"/>
    <n v="63.84660631245184"/>
    <n v="0.9741882058902549"/>
    <n v="57.827522595402165"/>
    <n v="0.55273533987209555"/>
    <n v="2"/>
    <b v="1"/>
    <n v="0"/>
    <n v="0.97428046393498691"/>
    <n v="57.832999005539435"/>
    <n v="0.52229654386995839"/>
    <n v="2"/>
    <b v="1"/>
    <n v="0"/>
    <n v="36.15339368754816"/>
    <x v="0"/>
    <n v="63.84660631245184"/>
    <n v="1.0959480328186668"/>
    <n v="65.055149762660434"/>
    <n v="0.65777152619898771"/>
    <n v="1"/>
    <b v="0"/>
    <n v="-1"/>
    <n v="0.12762679208054395"/>
    <n v="7.5758884763667176"/>
    <n v="0.45222008252046675"/>
    <n v="2"/>
  </r>
  <r>
    <n v="8558"/>
    <s v="08558"/>
    <s v="87"/>
    <s v="COLOMBIA"/>
    <s v="ATLÁNTICO"/>
    <s v="POLONUEVO"/>
    <x v="4"/>
    <n v="0"/>
    <n v="0"/>
    <n v="0"/>
    <n v="65.89"/>
    <n v="67.878766666666706"/>
    <n v="69.67"/>
    <n v="62.93"/>
    <n v="37.464663370774915"/>
    <n v="48.316071330944375"/>
    <n v="46.980822413641206"/>
    <n v="6.2348156654105713"/>
    <s v="1. Deterioro (&lt;40)"/>
    <s v="2. Riesgo (&gt;=40 y &lt;60)"/>
    <s v="2. Riesgo (&gt;=40 y &lt;60)"/>
    <s v="1. Deterioro (&lt;40)"/>
    <n v="66.592191666666679"/>
    <n v="34.749093195192771"/>
    <n v="50.670642430929725"/>
    <n v="36.23800675513931"/>
    <x v="1"/>
    <n v="63.76199324486069"/>
    <n v="0.9741882058902549"/>
    <n v="49.362742241094054"/>
    <n v="0.44684986035924174"/>
    <n v="3"/>
    <b v="0"/>
    <n v="1"/>
    <n v="0.97428046393498691"/>
    <n v="49.367417015490048"/>
    <n v="0.42224503737782693"/>
    <n v="3"/>
    <b v="0"/>
    <n v="1"/>
    <n v="36.23800675513931"/>
    <x v="0"/>
    <n v="63.76199324486069"/>
    <n v="1.0959480328186668"/>
    <n v="55.532390893835505"/>
    <n v="0.53613607151376752"/>
    <n v="2"/>
    <b v="1"/>
    <n v="0"/>
    <n v="0.12745765396955483"/>
    <n v="6.4583612093764833"/>
    <n v="0.38551262312825002"/>
    <n v="2"/>
  </r>
  <r>
    <n v="76400"/>
    <s v="76400"/>
    <s v="76"/>
    <s v="COLOMBIA"/>
    <s v="VALLE DEL CAUCA"/>
    <s v="LA UNIÓN"/>
    <x v="0"/>
    <n v="0"/>
    <n v="0"/>
    <n v="0"/>
    <n v="77.739999999999995"/>
    <n v="85.0957333333333"/>
    <n v="89.81"/>
    <n v="86.16"/>
    <n v="57.298490461625065"/>
    <n v="48.145420365667697"/>
    <n v="60.113063270906352"/>
    <n v="73.504396916552309"/>
    <s v="2. Riesgo (&gt;=40 y &lt;60)"/>
    <s v="2. Riesgo (&gt;=40 y &lt;60)"/>
    <s v="3. Vulnerable (&gt;=60 y &lt;70)"/>
    <s v="4. Solvente (&gt;=70 y &lt;80)"/>
    <n v="84.701433333333313"/>
    <n v="59.765342753687861"/>
    <n v="72.233388043510587"/>
    <n v="36.397797511985864"/>
    <x v="1"/>
    <n v="63.602202488014136"/>
    <n v="0.9741882058902549"/>
    <n v="70.368914703482162"/>
    <n v="0.70961493527080144"/>
    <n v="1"/>
    <b v="1"/>
    <n v="0"/>
    <n v="0.97428046393498691"/>
    <n v="70.375578814627431"/>
    <n v="0.67053254308089094"/>
    <n v="1"/>
    <b v="1"/>
    <n v="0"/>
    <n v="36.397797511985864"/>
    <x v="0"/>
    <n v="63.602202488014136"/>
    <n v="1.0959480328186668"/>
    <n v="79.164039530112831"/>
    <n v="0.83798623557128193"/>
    <n v="1"/>
    <b v="1"/>
    <n v="0"/>
    <n v="0.12713823868848811"/>
    <n v="9.1836257303540325"/>
    <n v="0.54818916600650758"/>
    <n v="1"/>
  </r>
  <r>
    <n v="25785"/>
    <s v="25785"/>
    <s v="25"/>
    <s v="COLOMBIA"/>
    <s v="CUNDINAMARCA"/>
    <s v="TABIO"/>
    <x v="4"/>
    <n v="0"/>
    <n v="0"/>
    <n v="0"/>
    <n v="65.650000000000006"/>
    <n v="66.511700000000005"/>
    <n v="67.73"/>
    <n v="61.62"/>
    <n v="65.675258373045892"/>
    <n v="61.535782851672508"/>
    <n v="60.32772370091287"/>
    <n v="60.012108917965577"/>
    <s v="3. Vulnerable (&gt;=60 y &lt;70)"/>
    <s v="3. Vulnerable (&gt;=60 y &lt;70)"/>
    <s v="3. Vulnerable (&gt;=60 y &lt;70)"/>
    <s v="3. Vulnerable (&gt;=60 y &lt;70)"/>
    <n v="65.377925000000005"/>
    <n v="61.887718460899208"/>
    <n v="63.632821730449606"/>
    <n v="36.507790065643746"/>
    <x v="1"/>
    <n v="63.492209934356254"/>
    <n v="0.9741882058902549"/>
    <n v="61.990344437321127"/>
    <n v="0.60480785308666896"/>
    <n v="2"/>
    <b v="1"/>
    <n v="0"/>
    <n v="0.97428046393498691"/>
    <n v="61.996215077034762"/>
    <n v="0.5715000174521605"/>
    <n v="2"/>
    <b v="1"/>
    <n v="0"/>
    <n v="36.507790065643746"/>
    <x v="0"/>
    <n v="63.492209934356254"/>
    <n v="1.0959480328186668"/>
    <n v="69.738265798187157"/>
    <n v="0.71758958482796031"/>
    <n v="1"/>
    <b v="0"/>
    <n v="-1"/>
    <n v="0.12691836800801054"/>
    <n v="8.0761738857733327"/>
    <n v="0.48208312892504451"/>
    <n v="2"/>
  </r>
  <r>
    <n v="73275"/>
    <s v="73275"/>
    <s v="73"/>
    <s v="COLOMBIA"/>
    <s v="TOLIMA"/>
    <s v="FLANDES"/>
    <x v="4"/>
    <n v="0"/>
    <n v="0"/>
    <n v="0"/>
    <n v="41.62"/>
    <n v="50.209099999999999"/>
    <n v="53.74"/>
    <n v="37.53"/>
    <n v="53.499557932273511"/>
    <n v="60.417220869435859"/>
    <n v="64.300297952061683"/>
    <n v="62.449922161887606"/>
    <s v="2. Riesgo (&gt;=40 y &lt;60)"/>
    <s v="3. Vulnerable (&gt;=60 y &lt;70)"/>
    <s v="3. Vulnerable (&gt;=60 y &lt;70)"/>
    <s v="3. Vulnerable (&gt;=60 y &lt;70)"/>
    <n v="45.774774999999998"/>
    <n v="60.16674972891466"/>
    <n v="52.970762364457329"/>
    <n v="36.386352385907259"/>
    <x v="1"/>
    <n v="63.613647614092741"/>
    <n v="0.9741882058902549"/>
    <n v="51.603491952469724"/>
    <n v="0.47487927727571821"/>
    <n v="3"/>
    <b v="0"/>
    <n v="1"/>
    <n v="0.97428046393498691"/>
    <n v="51.608378931433428"/>
    <n v="0.44873011731033147"/>
    <n v="3"/>
    <b v="0"/>
    <n v="1"/>
    <n v="36.386352385907259"/>
    <x v="0"/>
    <n v="63.613647614092741"/>
    <n v="1.0959480328186668"/>
    <n v="58.053202810232079"/>
    <n v="0.56833473451159"/>
    <n v="2"/>
    <b v="1"/>
    <n v="0"/>
    <n v="0.12716111703411581"/>
    <n v="6.7358213124130959"/>
    <n v="0.40207477700403271"/>
    <n v="2"/>
  </r>
  <r>
    <n v="8638"/>
    <s v="08638"/>
    <s v="87"/>
    <s v="COLOMBIA"/>
    <s v="ATLÁNTICO"/>
    <s v="SABANALARGA"/>
    <x v="5"/>
    <n v="0"/>
    <n v="0"/>
    <n v="0"/>
    <n v="43.35"/>
    <n v="49.290966666666698"/>
    <n v="52.26"/>
    <n v="50.47"/>
    <n v="54.830364704586678"/>
    <n v="66.285467255663235"/>
    <n v="62.37442106981878"/>
    <n v="72.821740479234663"/>
    <s v="2. Riesgo (&gt;=40 y &lt;60)"/>
    <s v="3. Vulnerable (&gt;=60 y &lt;70)"/>
    <s v="3. Vulnerable (&gt;=60 y &lt;70)"/>
    <s v="4. Solvente (&gt;=70 y &lt;80)"/>
    <n v="48.842741666666676"/>
    <n v="64.077998377325841"/>
    <n v="56.460370021996255"/>
    <n v="36.390761362398479"/>
    <x v="1"/>
    <n v="63.609238637601521"/>
    <n v="0.9741882058902549"/>
    <n v="55.003026575628461"/>
    <n v="0.51740387196416882"/>
    <n v="2"/>
    <b v="0"/>
    <n v="-1"/>
    <n v="0.97428046393498691"/>
    <n v="55.008235498971537"/>
    <n v="0.48891173410161487"/>
    <n v="2"/>
    <b v="0"/>
    <n v="-1"/>
    <n v="36.390761362398479"/>
    <x v="0"/>
    <n v="63.609238637601521"/>
    <n v="1.0959480328186668"/>
    <n v="61.877631457820826"/>
    <n v="0.61718466590946863"/>
    <n v="2"/>
    <b v="0"/>
    <n v="-1"/>
    <n v="0.12715230366785513"/>
    <n v="7.1790661142363321"/>
    <n v="0.42853295434951044"/>
    <n v="2"/>
  </r>
  <r>
    <n v="8675"/>
    <s v="08675"/>
    <s v="87"/>
    <s v="COLOMBIA"/>
    <s v="ATLÁNTICO"/>
    <s v="SANTA LUCÍA"/>
    <x v="5"/>
    <n v="0"/>
    <n v="0"/>
    <n v="0"/>
    <n v="46.53"/>
    <n v="49.135933333333298"/>
    <n v="59.69"/>
    <n v="9.11"/>
    <n v="46.358721639729609"/>
    <n v="49.396139135048344"/>
    <n v="55.797770186953073"/>
    <n v="50.712338163318229"/>
    <s v="2. Riesgo (&gt;=40 y &lt;60)"/>
    <s v="2. Riesgo (&gt;=40 y &lt;60)"/>
    <s v="2. Riesgo (&gt;=40 y &lt;60)"/>
    <s v="2. Riesgo (&gt;=40 y &lt;60)"/>
    <n v="41.116483333333321"/>
    <n v="50.566242281262319"/>
    <n v="45.84136280729782"/>
    <n v="36.570745318173721"/>
    <x v="1"/>
    <n v="63.429254681826279"/>
    <n v="0.9741882058902549"/>
    <n v="44.658114988805721"/>
    <n v="0.38799993257768295"/>
    <n v="3"/>
    <b v="1"/>
    <n v="0"/>
    <n v="0.97428046393498691"/>
    <n v="44.662344223306171"/>
    <n v="0.36663756448742618"/>
    <n v="3"/>
    <b v="1"/>
    <n v="0"/>
    <n v="36.570745318173721"/>
    <x v="0"/>
    <n v="63.429254681826279"/>
    <n v="1.0959480328186668"/>
    <n v="50.239751390384846"/>
    <n v="0.46853248925834312"/>
    <n v="3"/>
    <b v="1"/>
    <n v="0"/>
    <n v="0.12679252299620677"/>
    <n v="5.8123420479217671"/>
    <n v="0.34695043475731435"/>
    <n v="3"/>
  </r>
  <r>
    <n v="47001"/>
    <s v="47001"/>
    <s v="47"/>
    <s v="COLOMBIA"/>
    <s v="MAGDALENA"/>
    <s v="SANTA MARTA"/>
    <x v="4"/>
    <n v="0"/>
    <n v="1"/>
    <n v="1"/>
    <n v="65.08"/>
    <n v="67.262533333333295"/>
    <n v="78.63"/>
    <n v="85.54"/>
    <n v="46.019546654382452"/>
    <n v="51.757874808827438"/>
    <n v="52.848860103469285"/>
    <n v="66.200011977547007"/>
    <s v="2. Riesgo (&gt;=40 y &lt;60)"/>
    <s v="2. Riesgo (&gt;=40 y &lt;60)"/>
    <s v="2. Riesgo (&gt;=40 y &lt;60)"/>
    <s v="3. Vulnerable (&gt;=60 y &lt;70)"/>
    <n v="74.128133333333324"/>
    <n v="54.206573386056547"/>
    <n v="64.167353359694943"/>
    <n v="36.961030546697394"/>
    <x v="1"/>
    <n v="63.038969453302606"/>
    <n v="0.9741882058902549"/>
    <n v="62.511078846207234"/>
    <n v="0.6113216916360279"/>
    <n v="2"/>
    <b v="1"/>
    <n v="0"/>
    <n v="0.97428046393498691"/>
    <n v="62.51699880076383"/>
    <n v="0.57765496299245778"/>
    <n v="2"/>
    <b v="1"/>
    <n v="0"/>
    <n v="36.961030546697394"/>
    <x v="2"/>
    <n v="63.038969453302606"/>
    <n v="0.94927242218174535"/>
    <n v="60.912298948749573"/>
    <n v="0.60485434648410707"/>
    <n v="2"/>
    <b v="1"/>
    <n v="0"/>
    <n v="0.12601235855850534"/>
    <n v="8.0858795393121916"/>
    <n v="0.48266247898516612"/>
    <n v="2"/>
  </r>
  <r>
    <n v="15176"/>
    <s v="15176"/>
    <s v="15"/>
    <s v="COLOMBIA"/>
    <s v="BOYACÁ"/>
    <s v="CHIQUINQUIRÁ"/>
    <x v="0"/>
    <n v="0"/>
    <n v="0"/>
    <n v="0"/>
    <n v="81.72"/>
    <n v="87.560500000000005"/>
    <n v="90.29"/>
    <n v="83.13"/>
    <n v="61.747068408675815"/>
    <n v="62.317694218679229"/>
    <n v="60.821459826627262"/>
    <n v="68.794346607716435"/>
    <s v="3. Vulnerable (&gt;=60 y &lt;70)"/>
    <s v="3. Vulnerable (&gt;=60 y &lt;70)"/>
    <s v="3. Vulnerable (&gt;=60 y &lt;70)"/>
    <s v="3. Vulnerable (&gt;=60 y &lt;70)"/>
    <n v="85.675125000000008"/>
    <n v="63.420142265424687"/>
    <n v="74.547633632712348"/>
    <n v="37.201998721658015"/>
    <x v="1"/>
    <n v="62.798001278341985"/>
    <n v="0.9741882058902549"/>
    <n v="72.623425462016073"/>
    <n v="0.73781648838171654"/>
    <n v="1"/>
    <b v="1"/>
    <n v="0"/>
    <n v="0.97428046393498691"/>
    <n v="72.630303080934425"/>
    <n v="0.69718027501869995"/>
    <n v="1"/>
    <b v="1"/>
    <n v="0"/>
    <n v="37.201998721658015"/>
    <x v="2"/>
    <n v="62.798001278341985"/>
    <n v="0.94927242218174535"/>
    <n v="70.7660127464422"/>
    <n v="0.73071713211487122"/>
    <n v="1"/>
    <b v="1"/>
    <n v="0"/>
    <n v="0.12553067289124806"/>
    <n v="9.3580146123646166"/>
    <n v="0.55859879054882922"/>
    <n v="1"/>
  </r>
  <r>
    <n v="70670"/>
    <s v="70670"/>
    <s v="70"/>
    <s v="COLOMBIA"/>
    <s v="SUCRE"/>
    <s v="SAMPUÉS"/>
    <x v="4"/>
    <n v="0"/>
    <n v="0"/>
    <n v="0"/>
    <n v="61.83"/>
    <n v="63.239899999999999"/>
    <n v="50.8"/>
    <n v="50.73"/>
    <n v="52.607141134778558"/>
    <n v="53.371633661181704"/>
    <n v="58.341499698790237"/>
    <n v="57.865428301255491"/>
    <s v="2. Riesgo (&gt;=40 y &lt;60)"/>
    <s v="2. Riesgo (&gt;=40 y &lt;60)"/>
    <s v="2. Riesgo (&gt;=40 y &lt;60)"/>
    <s v="2. Riesgo (&gt;=40 y &lt;60)"/>
    <n v="56.649974999999991"/>
    <n v="55.546425699001496"/>
    <n v="56.098200349500743"/>
    <n v="37.181319647872193"/>
    <x v="1"/>
    <n v="62.818680352127807"/>
    <n v="0.9741882058902549"/>
    <n v="54.650205152152196"/>
    <n v="0.51299044786531689"/>
    <n v="2"/>
    <b v="1"/>
    <n v="0"/>
    <n v="0.97428046393498691"/>
    <n v="54.65538066242943"/>
    <n v="0.48474147646184845"/>
    <n v="2"/>
    <b v="1"/>
    <n v="0"/>
    <n v="37.181319647872193"/>
    <x v="2"/>
    <n v="62.818680352127807"/>
    <n v="0.94927242218174535"/>
    <n v="53.252474525807401"/>
    <n v="0.5070143991193059"/>
    <n v="2"/>
    <b v="1"/>
    <n v="0"/>
    <n v="0.12557200952608133"/>
    <n v="7.0443637486835264"/>
    <n v="0.42049229812073691"/>
    <n v="2"/>
  </r>
  <r>
    <n v="25260"/>
    <s v="25260"/>
    <s v="25"/>
    <s v="COLOMBIA"/>
    <s v="CUNDINAMARCA"/>
    <s v="EL ROSAL"/>
    <x v="4"/>
    <n v="0"/>
    <n v="0"/>
    <n v="0"/>
    <n v="68.61"/>
    <n v="71.142466666666706"/>
    <n v="73.69"/>
    <n v="76.599999999999994"/>
    <n v="64.714917519824994"/>
    <n v="72.832957871055442"/>
    <n v="70.884601636522845"/>
    <n v="56.148666321229719"/>
    <s v="3. Vulnerable (&gt;=60 y &lt;70)"/>
    <s v="4. Solvente (&gt;=70 y &lt;80)"/>
    <s v="4. Solvente (&gt;=70 y &lt;80)"/>
    <s v="2. Riesgo (&gt;=40 y &lt;60)"/>
    <n v="72.510616666666664"/>
    <n v="66.145285837158255"/>
    <n v="69.327951251912452"/>
    <n v="37.383639109087298"/>
    <x v="1"/>
    <n v="62.616360890912702"/>
    <n v="0.9741882058902549"/>
    <n v="67.538472448147644"/>
    <n v="0.67420908622393205"/>
    <n v="1"/>
    <b v="0"/>
    <n v="-1"/>
    <n v="0.97428046393498691"/>
    <n v="67.544868509375419"/>
    <n v="0.6370774503517479"/>
    <n v="1"/>
    <b v="0"/>
    <n v="-1"/>
    <n v="37.383639109087298"/>
    <x v="2"/>
    <n v="62.616360890912702"/>
    <n v="0.94927242218174535"/>
    <n v="65.811112209800896"/>
    <n v="0.66742753421615053"/>
    <n v="1"/>
    <b v="0"/>
    <n v="-1"/>
    <n v="0.12516758107950138"/>
    <n v="8.6776119593994707"/>
    <n v="0.51798418213281316"/>
    <n v="2"/>
  </r>
  <r>
    <n v="19845"/>
    <s v="19845"/>
    <s v="19"/>
    <s v="COLOMBIA"/>
    <s v="CAUCA"/>
    <s v="VILLA RICA"/>
    <x v="4"/>
    <n v="0"/>
    <n v="0"/>
    <n v="0"/>
    <n v="53.33"/>
    <n v="59.549966666666698"/>
    <n v="69.14"/>
    <n v="60.67"/>
    <n v="61.752003268750698"/>
    <n v="55.286860182122524"/>
    <n v="61.905926897472668"/>
    <n v="63.692295592112913"/>
    <s v="3. Vulnerable (&gt;=60 y &lt;70)"/>
    <s v="2. Riesgo (&gt;=40 y &lt;60)"/>
    <s v="3. Vulnerable (&gt;=60 y &lt;70)"/>
    <s v="3. Vulnerable (&gt;=60 y &lt;70)"/>
    <n v="60.672491666666673"/>
    <n v="60.659271485114701"/>
    <n v="60.665881575890687"/>
    <n v="36.943825964837963"/>
    <x v="1"/>
    <n v="63.056174035162037"/>
    <n v="0.9741882058902549"/>
    <n v="59.099986331167621"/>
    <n v="0.56865251990331389"/>
    <n v="2"/>
    <b v="1"/>
    <n v="0"/>
    <n v="0.97428046393498691"/>
    <n v="59.105583246783752"/>
    <n v="0.53733673491935108"/>
    <n v="2"/>
    <b v="1"/>
    <n v="0"/>
    <n v="36.943825964837963"/>
    <x v="2"/>
    <n v="63.056174035162037"/>
    <n v="0.94927242218174535"/>
    <n v="57.588448347336673"/>
    <n v="0.56239836447534608"/>
    <n v="2"/>
    <b v="1"/>
    <n v="0"/>
    <n v="0.12604674982404984"/>
    <n v="7.6467371978517278"/>
    <n v="0.45644918578358479"/>
    <n v="2"/>
  </r>
  <r>
    <n v="63470"/>
    <s v="63470"/>
    <s v="63"/>
    <s v="COLOMBIA"/>
    <s v="QUINDÍO"/>
    <s v="MONTENEGRO"/>
    <x v="4"/>
    <n v="0"/>
    <n v="0"/>
    <n v="0"/>
    <n v="61.67"/>
    <n v="68.840966666666702"/>
    <n v="72.44"/>
    <n v="66.290000000000006"/>
    <n v="56.928628140353752"/>
    <n v="52.960333741399346"/>
    <n v="50.474243105996024"/>
    <n v="53.612639135296988"/>
    <s v="2. Riesgo (&gt;=40 y &lt;60)"/>
    <s v="2. Riesgo (&gt;=40 y &lt;60)"/>
    <s v="2. Riesgo (&gt;=40 y &lt;60)"/>
    <s v="2. Riesgo (&gt;=40 y &lt;60)"/>
    <n v="67.310241666666684"/>
    <n v="53.493961030761525"/>
    <n v="60.402101348714105"/>
    <n v="37.242604626110463"/>
    <x v="1"/>
    <n v="62.757395373889537"/>
    <n v="0.9741882058902549"/>
    <n v="58.84301474490514"/>
    <n v="0.56543807623275455"/>
    <n v="2"/>
    <b v="1"/>
    <n v="0"/>
    <n v="0.97428046393498691"/>
    <n v="58.848587324673275"/>
    <n v="0.53429939747465893"/>
    <n v="2"/>
    <b v="1"/>
    <n v="0"/>
    <n v="37.242604626110463"/>
    <x v="2"/>
    <n v="62.757395373889537"/>
    <n v="0.94927242218174535"/>
    <n v="57.338049052161104"/>
    <n v="0.55919998126087145"/>
    <n v="2"/>
    <b v="1"/>
    <n v="0"/>
    <n v="0.12544950332525057"/>
    <n v="7.5774136139976322"/>
    <n v="0.4523111210656432"/>
    <n v="2"/>
  </r>
  <r>
    <n v="70215"/>
    <s v="70215"/>
    <s v="70"/>
    <s v="COLOMBIA"/>
    <s v="SUCRE"/>
    <s v="COROZAL"/>
    <x v="4"/>
    <n v="0"/>
    <n v="0"/>
    <n v="0"/>
    <n v="60.74"/>
    <n v="58.263566666666698"/>
    <n v="48.32"/>
    <n v="46.5"/>
    <n v="56.924361860453494"/>
    <n v="50.937302619212701"/>
    <n v="62.537312834172596"/>
    <n v="60.342849744583916"/>
    <s v="2. Riesgo (&gt;=40 y &lt;60)"/>
    <s v="2. Riesgo (&gt;=40 y &lt;60)"/>
    <s v="3. Vulnerable (&gt;=60 y &lt;70)"/>
    <s v="3. Vulnerable (&gt;=60 y &lt;70)"/>
    <n v="53.455891666666673"/>
    <n v="57.685456764605675"/>
    <n v="55.570674215636174"/>
    <n v="37.387888034783167"/>
    <x v="1"/>
    <n v="62.612111965216833"/>
    <n v="0.9741882058902549"/>
    <n v="54.136295414242454"/>
    <n v="0.50656197875599107"/>
    <n v="2"/>
    <b v="1"/>
    <n v="0"/>
    <n v="0.97428046393498691"/>
    <n v="54.14142225599003"/>
    <n v="0.47866719676093716"/>
    <n v="2"/>
    <b v="1"/>
    <n v="0"/>
    <n v="37.387888034783167"/>
    <x v="2"/>
    <n v="62.612111965216833"/>
    <n v="0.94927242218174535"/>
    <n v="52.751708514949613"/>
    <n v="0.50061804883252103"/>
    <n v="2"/>
    <b v="1"/>
    <n v="0"/>
    <n v="0.12515908764832823"/>
    <n v="6.9551748848315009"/>
    <n v="0.41516843472215464"/>
    <n v="2"/>
  </r>
  <r>
    <n v="76318"/>
    <s v="76318"/>
    <s v="76"/>
    <s v="COLOMBIA"/>
    <s v="VALLE DEL CAUCA"/>
    <s v="GUACARÍ"/>
    <x v="4"/>
    <n v="0"/>
    <n v="0"/>
    <n v="0"/>
    <n v="54.31"/>
    <n v="55.438566666666702"/>
    <n v="48.81"/>
    <n v="42.36"/>
    <n v="61.308337109161663"/>
    <n v="59.722255019901588"/>
    <n v="55.270346991226148"/>
    <n v="59.682786394285799"/>
    <s v="3. Vulnerable (&gt;=60 y &lt;70)"/>
    <s v="2. Riesgo (&gt;=40 y &lt;60)"/>
    <s v="2. Riesgo (&gt;=40 y &lt;60)"/>
    <s v="2. Riesgo (&gt;=40 y &lt;60)"/>
    <n v="50.22964166666668"/>
    <n v="58.995931378643803"/>
    <n v="54.612786522655242"/>
    <n v="37.572553122382139"/>
    <x v="1"/>
    <n v="62.427446877617861"/>
    <n v="0.9741882058902549"/>
    <n v="53.203132521173004"/>
    <n v="0.49488909461009911"/>
    <n v="2"/>
    <b v="1"/>
    <n v="0"/>
    <n v="0.97428046393498691"/>
    <n v="53.208170990074947"/>
    <n v="0.46763745359617359"/>
    <n v="2"/>
    <b v="1"/>
    <n v="0"/>
    <n v="37.572553122382139"/>
    <x v="2"/>
    <n v="62.427446877617861"/>
    <n v="0.94927242218174535"/>
    <n v="51.842412144455515"/>
    <n v="0.48900348639402913"/>
    <n v="2"/>
    <b v="1"/>
    <n v="0"/>
    <n v="0.12478994958288131"/>
    <n v="6.8151268767428075"/>
    <n v="0.40680868629498812"/>
    <n v="2"/>
  </r>
  <r>
    <n v="76020"/>
    <s v="76020"/>
    <s v="76"/>
    <s v="COLOMBIA"/>
    <s v="VALLE DEL CAUCA"/>
    <s v="ALCALÁ"/>
    <x v="4"/>
    <n v="0"/>
    <n v="0"/>
    <n v="0"/>
    <n v="63.39"/>
    <n v="65.256033333333306"/>
    <n v="55.62"/>
    <n v="32.299999999999997"/>
    <n v="54.55764174089979"/>
    <n v="54.843174945570205"/>
    <n v="58.468215645405103"/>
    <n v="53.106410544356663"/>
    <s v="2. Riesgo (&gt;=40 y &lt;60)"/>
    <s v="2. Riesgo (&gt;=40 y &lt;60)"/>
    <s v="2. Riesgo (&gt;=40 y &lt;60)"/>
    <s v="2. Riesgo (&gt;=40 y &lt;60)"/>
    <n v="54.141508333333334"/>
    <n v="55.243860719057942"/>
    <n v="54.692684526195634"/>
    <n v="37.670568916679116"/>
    <x v="1"/>
    <n v="62.329431083320884"/>
    <n v="0.9741882058902549"/>
    <n v="53.28096821389623"/>
    <n v="0.49586273707951289"/>
    <n v="2"/>
    <b v="1"/>
    <n v="0"/>
    <n v="0.97428046393498691"/>
    <n v="53.28601405403176"/>
    <n v="0.46855745127949849"/>
    <n v="2"/>
    <b v="1"/>
    <n v="0"/>
    <n v="37.670568916679116"/>
    <x v="2"/>
    <n v="62.329431083320884"/>
    <n v="0.94927242218174535"/>
    <n v="51.91825711580379"/>
    <n v="0.48997226421384105"/>
    <n v="2"/>
    <b v="1"/>
    <n v="0"/>
    <n v="0.12459401996153024"/>
    <n v="6.8143814276064951"/>
    <n v="0.40676418893062094"/>
    <n v="2"/>
  </r>
  <r>
    <n v="8137"/>
    <s v="08137"/>
    <s v="87"/>
    <s v="COLOMBIA"/>
    <s v="ATLÁNTICO"/>
    <s v="CAMPO DE LA CRUZ"/>
    <x v="5"/>
    <n v="0"/>
    <n v="0"/>
    <n v="0"/>
    <n v="52.11"/>
    <n v="50.5463666666667"/>
    <n v="47.38"/>
    <n v="38.549999999999997"/>
    <n v="56.773306937351862"/>
    <n v="53.511891105533635"/>
    <n v="48.856299331413197"/>
    <n v="49.879812460546169"/>
    <s v="2. Riesgo (&gt;=40 y &lt;60)"/>
    <s v="2. Riesgo (&gt;=40 y &lt;60)"/>
    <s v="2. Riesgo (&gt;=40 y &lt;60)"/>
    <s v="2. Riesgo (&gt;=40 y &lt;60)"/>
    <n v="47.14659166666668"/>
    <n v="52.255327458711214"/>
    <n v="49.700959562688951"/>
    <n v="37.6503195119437"/>
    <x v="1"/>
    <n v="62.3496804880563"/>
    <n v="0.9741882058902549"/>
    <n v="48.41808862740006"/>
    <n v="0.43503323941069799"/>
    <n v="3"/>
    <b v="1"/>
    <n v="0"/>
    <n v="0.97428046393498691"/>
    <n v="48.422673940750613"/>
    <n v="0.41107947687805352"/>
    <n v="3"/>
    <b v="1"/>
    <n v="0"/>
    <n v="37.6503195119437"/>
    <x v="2"/>
    <n v="62.3496804880563"/>
    <n v="0.94927242218174535"/>
    <n v="47.179750268830716"/>
    <n v="0.42944669144653225"/>
    <n v="3"/>
    <b v="1"/>
    <n v="0"/>
    <n v="0.1246344977052536"/>
    <n v="6.1944541305648579"/>
    <n v="0.3697594766385377"/>
    <n v="3"/>
  </r>
  <r>
    <n v="76036"/>
    <s v="76036"/>
    <s v="76"/>
    <s v="COLOMBIA"/>
    <s v="VALLE DEL CAUCA"/>
    <s v="ANDALUCÍA"/>
    <x v="4"/>
    <n v="0"/>
    <n v="0"/>
    <n v="0"/>
    <n v="67.77"/>
    <n v="68.669899999999998"/>
    <n v="61.54"/>
    <n v="60.96"/>
    <n v="56.950557701427925"/>
    <n v="49.168958633560443"/>
    <n v="55.34823338068226"/>
    <n v="59.397264617249505"/>
    <s v="2. Riesgo (&gt;=40 y &lt;60)"/>
    <s v="2. Riesgo (&gt;=40 y &lt;60)"/>
    <s v="2. Riesgo (&gt;=40 y &lt;60)"/>
    <s v="2. Riesgo (&gt;=40 y &lt;60)"/>
    <n v="64.734974999999991"/>
    <n v="55.216253583230028"/>
    <n v="59.97561429161501"/>
    <n v="37.814167545187388"/>
    <x v="1"/>
    <n v="62.185832454812612"/>
    <n v="0.9741882058902549"/>
    <n v="58.427536083914354"/>
    <n v="0.56024087613954976"/>
    <n v="2"/>
    <b v="1"/>
    <n v="0"/>
    <n v="0.97428046393498691"/>
    <n v="58.4330693168205"/>
    <n v="0.52938854755209663"/>
    <n v="2"/>
    <b v="1"/>
    <n v="0"/>
    <n v="37.814167545187388"/>
    <x v="2"/>
    <n v="62.185832454812612"/>
    <n v="0.94927242218174535"/>
    <n v="56.933196650439484"/>
    <n v="0.55402874815057757"/>
    <n v="2"/>
    <b v="1"/>
    <n v="0"/>
    <n v="0.12430697209223571"/>
    <n v="7.4553870119624799"/>
    <n v="0.44502710675970747"/>
    <n v="2"/>
  </r>
  <r>
    <n v="63594"/>
    <s v="63594"/>
    <s v="63"/>
    <s v="COLOMBIA"/>
    <s v="QUINDÍO"/>
    <s v="QUIMBAYA"/>
    <x v="4"/>
    <n v="0"/>
    <n v="0"/>
    <n v="0"/>
    <n v="54.68"/>
    <n v="57.4232333333333"/>
    <n v="59.28"/>
    <n v="65.59"/>
    <n v="57.806124527868491"/>
    <n v="59.221827380067239"/>
    <n v="52.739464368612772"/>
    <n v="51.195118400677885"/>
    <s v="2. Riesgo (&gt;=40 y &lt;60)"/>
    <s v="2. Riesgo (&gt;=40 y &lt;60)"/>
    <s v="2. Riesgo (&gt;=40 y &lt;60)"/>
    <s v="2. Riesgo (&gt;=40 y &lt;60)"/>
    <n v="59.243308333333324"/>
    <n v="55.24063366930659"/>
    <n v="57.241971001319953"/>
    <n v="37.837159938428329"/>
    <x v="1"/>
    <n v="62.162840061571671"/>
    <n v="0.9741882058902549"/>
    <n v="55.764453031397885"/>
    <n v="0.52692851430670584"/>
    <n v="2"/>
    <b v="1"/>
    <n v="0"/>
    <n v="0.97428046393498691"/>
    <n v="55.769734063719071"/>
    <n v="0.4979115971570009"/>
    <n v="2"/>
    <b v="1"/>
    <n v="0"/>
    <n v="37.837159938428329"/>
    <x v="2"/>
    <n v="62.162840061571671"/>
    <n v="0.94927242218174535"/>
    <n v="54.33822446288022"/>
    <n v="0.52088282623055515"/>
    <n v="2"/>
    <b v="1"/>
    <n v="0"/>
    <n v="0.12426101122507176"/>
    <n v="7.112945201140251"/>
    <n v="0.42458606351684886"/>
    <n v="2"/>
  </r>
  <r>
    <n v="68432"/>
    <s v="68432"/>
    <s v="68"/>
    <s v="COLOMBIA"/>
    <s v="SANTANDER"/>
    <s v="MÁLAGA"/>
    <x v="4"/>
    <n v="0"/>
    <n v="0"/>
    <n v="0"/>
    <n v="53.25"/>
    <n v="54.680300000000003"/>
    <n v="58.36"/>
    <n v="44.93"/>
    <n v="55.313204903028158"/>
    <n v="56.044445261455529"/>
    <n v="53.493382803515907"/>
    <n v="61.311257349476705"/>
    <s v="2. Riesgo (&gt;=40 y &lt;60)"/>
    <s v="2. Riesgo (&gt;=40 y &lt;60)"/>
    <s v="2. Riesgo (&gt;=40 y &lt;60)"/>
    <s v="3. Vulnerable (&gt;=60 y &lt;70)"/>
    <n v="52.805075000000002"/>
    <n v="56.540572579369076"/>
    <n v="54.672823789684543"/>
    <n v="38.043895585106355"/>
    <x v="1"/>
    <n v="61.956104414893645"/>
    <n v="0.9741882058902549"/>
    <n v="53.26162011862683"/>
    <n v="0.49562071280250752"/>
    <n v="2"/>
    <b v="1"/>
    <n v="0"/>
    <n v="0.97428046393498691"/>
    <n v="53.266664126449648"/>
    <n v="0.46832876181581135"/>
    <n v="2"/>
    <b v="1"/>
    <n v="0"/>
    <n v="38.043895585106355"/>
    <x v="2"/>
    <n v="61.956104414893645"/>
    <n v="0.94927242218174535"/>
    <n v="51.899403866349594"/>
    <n v="0.4897314491726073"/>
    <n v="2"/>
    <b v="1"/>
    <n v="0"/>
    <n v="0.1238477550017873"/>
    <n v="6.7711064859607397"/>
    <n v="0.40418102027084452"/>
    <n v="2"/>
  </r>
  <r>
    <n v="23670"/>
    <s v="23670"/>
    <s v="23"/>
    <s v="COLOMBIA"/>
    <s v="CÓRDOBA"/>
    <s v="SAN ANDRÉS DE SOTAVENTO"/>
    <x v="4"/>
    <n v="0"/>
    <n v="0"/>
    <n v="0"/>
    <n v="55.83"/>
    <n v="55.746033333333301"/>
    <n v="46.74"/>
    <n v="42.34"/>
    <n v="65.499591439029786"/>
    <n v="63.373986487267125"/>
    <n v="54.993615815801078"/>
    <n v="63.650121114702955"/>
    <s v="3. Vulnerable (&gt;=60 y &lt;70)"/>
    <s v="3. Vulnerable (&gt;=60 y &lt;70)"/>
    <s v="2. Riesgo (&gt;=40 y &lt;60)"/>
    <s v="3. Vulnerable (&gt;=60 y &lt;70)"/>
    <n v="50.164008333333328"/>
    <n v="61.879328714200234"/>
    <n v="56.021668523766778"/>
    <n v="38.136058210279977"/>
    <x v="1"/>
    <n v="61.863941789720023"/>
    <n v="0.9741882058902549"/>
    <n v="54.575648750146925"/>
    <n v="0.5120578258660865"/>
    <n v="2"/>
    <b v="1"/>
    <n v="0"/>
    <n v="0.97428046393498691"/>
    <n v="54.58081719974755"/>
    <n v="0.48386023914356829"/>
    <n v="2"/>
    <b v="1"/>
    <n v="0"/>
    <n v="38.136058210279977"/>
    <x v="2"/>
    <n v="61.863941789720023"/>
    <n v="0.94927242218174535"/>
    <n v="53.179824974218931"/>
    <n v="0.50608643681742815"/>
    <n v="2"/>
    <b v="1"/>
    <n v="0"/>
    <n v="0.12366352562954677"/>
    <n v="6.9278370412988064"/>
    <n v="0.41353658363342061"/>
    <n v="2"/>
  </r>
  <r>
    <n v="25386"/>
    <s v="25386"/>
    <s v="25"/>
    <s v="COLOMBIA"/>
    <s v="CUNDINAMARCA"/>
    <s v="LA MESA"/>
    <x v="0"/>
    <n v="0"/>
    <n v="0"/>
    <n v="0"/>
    <n v="70.510000000000005"/>
    <n v="75.036733333333302"/>
    <n v="78.78"/>
    <n v="73.8"/>
    <n v="56.728715270706537"/>
    <n v="70.316895658116863"/>
    <n v="75.844055708961108"/>
    <n v="78.347307575539048"/>
    <s v="2. Riesgo (&gt;=40 y &lt;60)"/>
    <s v="4. Solvente (&gt;=70 y &lt;80)"/>
    <s v="4. Solvente (&gt;=70 y &lt;80)"/>
    <s v="4. Solvente (&gt;=70 y &lt;80)"/>
    <n v="74.531683333333319"/>
    <n v="70.309243553330887"/>
    <n v="72.420463443332096"/>
    <n v="38.114519515881852"/>
    <x v="1"/>
    <n v="61.885480484118148"/>
    <n v="0.9741882058902549"/>
    <n v="70.551161351600484"/>
    <n v="0.71189464873268682"/>
    <n v="1"/>
    <b v="1"/>
    <n v="0"/>
    <n v="0.97428046393498691"/>
    <n v="70.557842721956348"/>
    <n v="0.67268665115388993"/>
    <n v="1"/>
    <b v="1"/>
    <n v="0"/>
    <n v="38.114519515881852"/>
    <x v="2"/>
    <n v="61.885480484118148"/>
    <n v="0.94927242218174535"/>
    <n v="68.746748748376405"/>
    <n v="0.70492480681108705"/>
    <n v="1"/>
    <b v="1"/>
    <n v="0"/>
    <n v="0.12370658061132894"/>
    <n v="8.958887898862363"/>
    <n v="0.53477411099089123"/>
    <n v="1"/>
  </r>
  <r>
    <n v="25758"/>
    <s v="25758"/>
    <s v="25"/>
    <s v="COLOMBIA"/>
    <s v="CUNDINAMARCA"/>
    <s v="SOPÓ"/>
    <x v="0"/>
    <n v="0"/>
    <n v="0"/>
    <n v="0"/>
    <n v="91.55"/>
    <n v="94.301833333333306"/>
    <n v="81.89"/>
    <n v="88.74"/>
    <n v="71.464315874281894"/>
    <n v="78.505673549088513"/>
    <n v="61.885100463227673"/>
    <n v="75.872328277612212"/>
    <s v="4. Solvente (&gt;=70 y &lt;80)"/>
    <s v="4. Solvente (&gt;=70 y &lt;80)"/>
    <s v="3. Vulnerable (&gt;=60 y &lt;70)"/>
    <s v="4. Solvente (&gt;=70 y &lt;80)"/>
    <n v="89.120458333333332"/>
    <n v="71.931854541052573"/>
    <n v="80.526156437192952"/>
    <n v="38.496782872467094"/>
    <x v="1"/>
    <n v="61.503217127532906"/>
    <n v="0.9741882058902549"/>
    <n v="78.447631866787006"/>
    <n v="0.81067117121316623"/>
    <n v="1"/>
    <b v="1"/>
    <n v="0"/>
    <n v="0.97428046393498691"/>
    <n v="78.455061052529686"/>
    <n v="0.76602088287001657"/>
    <n v="1"/>
    <b v="1"/>
    <n v="0"/>
    <n v="38.496782872467094"/>
    <x v="2"/>
    <n v="61.503217127532906"/>
    <n v="0.94927242218174535"/>
    <n v="76.441259570120295"/>
    <n v="0.8032078081214683"/>
    <n v="1"/>
    <b v="1"/>
    <n v="0"/>
    <n v="0.12294245157223543"/>
    <n v="9.9000830880778494"/>
    <n v="0.59095595256137567"/>
    <n v="1"/>
  </r>
  <r>
    <n v="52001"/>
    <s v="52001"/>
    <s v="52"/>
    <s v="COLOMBIA"/>
    <s v="NARIÑO"/>
    <s v="PASTO"/>
    <x v="3"/>
    <n v="1"/>
    <n v="1"/>
    <n v="0"/>
    <n v="71.099999999999994"/>
    <n v="73.581366666666696"/>
    <n v="81.27"/>
    <n v="80.12"/>
    <n v="62.197271962953529"/>
    <n v="63.485270237553223"/>
    <n v="68.234214197829502"/>
    <n v="63.529756677093971"/>
    <s v="3. Vulnerable (&gt;=60 y &lt;70)"/>
    <s v="3. Vulnerable (&gt;=60 y &lt;70)"/>
    <s v="3. Vulnerable (&gt;=60 y &lt;70)"/>
    <s v="3. Vulnerable (&gt;=60 y &lt;70)"/>
    <n v="76.517841666666669"/>
    <n v="64.361628268857558"/>
    <n v="70.439734967762121"/>
    <n v="38.396383657994171"/>
    <x v="1"/>
    <n v="61.603616342005829"/>
    <s v="Especial"/>
    <s v="N.D."/>
    <s v="N.D."/>
    <s v="SC- Centro aglomeración_x000a_"/>
    <b v="1"/>
    <n v="0"/>
    <n v="0.97428046393498691"/>
    <n v="68.628057663848793"/>
    <n v="0.64987925261984769"/>
    <n v="1"/>
    <b v="0"/>
    <n v="0"/>
    <s v="N.D."/>
    <x v="1"/>
    <s v="N.D."/>
    <s v="N.D."/>
    <s v="N.D."/>
    <s v="N.D."/>
    <s v="SC- Centro aglomeración_x000a_"/>
    <b v="1"/>
    <n v="0"/>
    <s v="Especial"/>
    <s v="N.D."/>
    <s v="N.D."/>
    <s v="SC- Centro aglomeración_x000a_"/>
  </r>
  <r>
    <n v="41001"/>
    <s v="41001"/>
    <s v="41"/>
    <s v="COLOMBIA"/>
    <s v="HUILA"/>
    <s v="NEIVA"/>
    <x v="0"/>
    <n v="0"/>
    <n v="1"/>
    <n v="0"/>
    <n v="89.42"/>
    <n v="90.693866666666693"/>
    <n v="76.239999999999995"/>
    <n v="76.72"/>
    <n v="50.997321742936549"/>
    <n v="54.547522082438803"/>
    <n v="51.741523525289075"/>
    <n v="53.905447746053227"/>
    <s v="2. Riesgo (&gt;=40 y &lt;60)"/>
    <s v="2. Riesgo (&gt;=40 y &lt;60)"/>
    <s v="2. Riesgo (&gt;=40 y &lt;60)"/>
    <s v="2. Riesgo (&gt;=40 y &lt;60)"/>
    <n v="83.268466666666683"/>
    <n v="52.797953774179412"/>
    <n v="68.033210220423044"/>
    <n v="38.744693638410013"/>
    <x v="1"/>
    <n v="61.255306361589987"/>
    <n v="0.9741882058902549"/>
    <n v="66.277151005588479"/>
    <n v="0.65843128453564026"/>
    <n v="1"/>
    <b v="1"/>
    <n v="0"/>
    <n v="0.97428046393498691"/>
    <n v="66.283427616540251"/>
    <n v="0.62216895831572649"/>
    <n v="2"/>
    <b v="0"/>
    <n v="1"/>
    <n v="38.744693638410013"/>
    <x v="2"/>
    <n v="61.255306361589987"/>
    <n v="0.94927242218174535"/>
    <n v="64.582050254740849"/>
    <n v="0.6517285638022875"/>
    <n v="1"/>
    <b v="1"/>
    <n v="0"/>
    <n v="0.12244688794549095"/>
    <n v="8.3304548684321702"/>
    <n v="0.49726167429567447"/>
    <n v="2"/>
  </r>
  <r>
    <n v="23300"/>
    <s v="23300"/>
    <s v="23"/>
    <s v="COLOMBIA"/>
    <s v="CÓRDOBA"/>
    <s v="COTORRA"/>
    <x v="5"/>
    <n v="0"/>
    <n v="0"/>
    <n v="0"/>
    <n v="60.1"/>
    <n v="62.413600000000002"/>
    <n v="41.64"/>
    <n v="35.9"/>
    <n v="54.498695742952314"/>
    <n v="49.969585049527836"/>
    <n v="58.698604048738446"/>
    <n v="56.732403943956882"/>
    <s v="2. Riesgo (&gt;=40 y &lt;60)"/>
    <s v="2. Riesgo (&gt;=40 y &lt;60)"/>
    <s v="2. Riesgo (&gt;=40 y &lt;60)"/>
    <s v="2. Riesgo (&gt;=40 y &lt;60)"/>
    <n v="50.013399999999997"/>
    <n v="54.974822196293871"/>
    <n v="52.494111098146931"/>
    <n v="38.88783380625253"/>
    <x v="1"/>
    <n v="61.11216619374747"/>
    <n v="0.9741882058902549"/>
    <n v="51.139143910507478"/>
    <n v="0.46907077273974368"/>
    <n v="3"/>
    <b v="1"/>
    <n v="0"/>
    <n v="0.97428046393498691"/>
    <n v="51.143986914557338"/>
    <n v="0.44324164399024718"/>
    <n v="3"/>
    <b v="1"/>
    <n v="0"/>
    <n v="38.88783380625253"/>
    <x v="2"/>
    <n v="61.11216619374747"/>
    <n v="0.94927242218174535"/>
    <n v="49.831211992415575"/>
    <n v="0.46331416165881728"/>
    <n v="3"/>
    <b v="1"/>
    <n v="0"/>
    <n v="0.1221607565205847"/>
    <n v="6.4127203246252504"/>
    <n v="0.3827882265465295"/>
    <n v="2"/>
  </r>
  <r>
    <n v="17777"/>
    <s v="17777"/>
    <s v="17"/>
    <s v="COLOMBIA"/>
    <s v="CALDAS"/>
    <s v="SUPÍA"/>
    <x v="4"/>
    <n v="0"/>
    <n v="0"/>
    <n v="0"/>
    <n v="68.22"/>
    <n v="70.201800000000006"/>
    <n v="53.69"/>
    <n v="41.6"/>
    <n v="56.086837049722213"/>
    <n v="57.423883097800505"/>
    <n v="61.082142472768808"/>
    <n v="61.125104376794951"/>
    <s v="2. Riesgo (&gt;=40 y &lt;60)"/>
    <s v="2. Riesgo (&gt;=40 y &lt;60)"/>
    <s v="3. Vulnerable (&gt;=60 y &lt;70)"/>
    <s v="3. Vulnerable (&gt;=60 y &lt;70)"/>
    <n v="58.427950000000003"/>
    <n v="58.929491749271619"/>
    <n v="58.678720874635815"/>
    <n v="38.883476105185942"/>
    <x v="1"/>
    <n v="61.116523894814058"/>
    <n v="0.9741882058902549"/>
    <n v="57.164117812796512"/>
    <n v="0.54443684533625458"/>
    <n v="2"/>
    <b v="1"/>
    <n v="0"/>
    <n v="0.97428046393498691"/>
    <n v="57.169531396851781"/>
    <n v="0.51445527154680837"/>
    <n v="2"/>
    <b v="1"/>
    <n v="0"/>
    <n v="38.883476105185942"/>
    <x v="2"/>
    <n v="61.116523894814058"/>
    <n v="0.94927242218174535"/>
    <n v="55.702091495192086"/>
    <n v="0.53830367967130877"/>
    <n v="2"/>
    <b v="1"/>
    <n v="0"/>
    <n v="0.12216946738933868"/>
    <n v="7.1687480763419265"/>
    <n v="0.42791704983050738"/>
    <n v="2"/>
  </r>
  <r>
    <n v="19698"/>
    <s v="19698"/>
    <s v="19"/>
    <s v="COLOMBIA"/>
    <s v="CAUCA"/>
    <s v="SANTANDER DE QUILICHAO"/>
    <x v="4"/>
    <n v="0"/>
    <n v="0"/>
    <n v="1"/>
    <n v="66.12"/>
    <n v="76.745699999999999"/>
    <n v="78.33"/>
    <n v="62.61"/>
    <n v="46.760673983209699"/>
    <n v="44.801141636024504"/>
    <n v="45.286333422257783"/>
    <n v="59.307662392604456"/>
    <s v="2. Riesgo (&gt;=40 y &lt;60)"/>
    <s v="2. Riesgo (&gt;=40 y &lt;60)"/>
    <s v="2. Riesgo (&gt;=40 y &lt;60)"/>
    <s v="2. Riesgo (&gt;=40 y &lt;60)"/>
    <n v="70.951425"/>
    <n v="49.038952858524112"/>
    <n v="59.995188929262056"/>
    <n v="38.839100509638882"/>
    <x v="1"/>
    <n v="61.160899490361118"/>
    <n v="0.9741882058902549"/>
    <n v="58.446605465044684"/>
    <n v="0.56047941399646772"/>
    <n v="2"/>
    <b v="1"/>
    <n v="0"/>
    <n v="0.97428046393498691"/>
    <n v="58.452140503868627"/>
    <n v="0.5296139426870089"/>
    <n v="2"/>
    <b v="1"/>
    <n v="0"/>
    <n v="38.839100509638882"/>
    <x v="2"/>
    <n v="61.160899490361118"/>
    <n v="0.94927242218174535"/>
    <n v="56.951778314132028"/>
    <n v="0.55426609419106687"/>
    <n v="2"/>
    <b v="1"/>
    <n v="0"/>
    <n v="0.12225817241586143"/>
    <n v="7.3349021522359008"/>
    <n v="0.43783512216569048"/>
    <n v="2"/>
  </r>
  <r>
    <n v="17442"/>
    <s v="17442"/>
    <s v="17"/>
    <s v="COLOMBIA"/>
    <s v="CALDAS"/>
    <s v="MARMATO"/>
    <x v="4"/>
    <n v="0"/>
    <n v="0"/>
    <n v="0"/>
    <n v="48.8"/>
    <n v="48.853166666666702"/>
    <n v="52.47"/>
    <n v="51.65"/>
    <n v="50.326488280513765"/>
    <n v="56.541971131802981"/>
    <n v="57.904241756030622"/>
    <n v="66.430887717277869"/>
    <s v="2. Riesgo (&gt;=40 y &lt;60)"/>
    <s v="2. Riesgo (&gt;=40 y &lt;60)"/>
    <s v="2. Riesgo (&gt;=40 y &lt;60)"/>
    <s v="3. Vulnerable (&gt;=60 y &lt;70)"/>
    <n v="50.443291666666674"/>
    <n v="57.800897221406309"/>
    <n v="54.122094444036492"/>
    <n v="38.812677809979071"/>
    <x v="1"/>
    <n v="61.187322190020929"/>
    <n v="0.9741882058902549"/>
    <n v="52.72510608545884"/>
    <n v="0.48890948778667409"/>
    <n v="2"/>
    <b v="1"/>
    <n v="0"/>
    <n v="0.97428046393498691"/>
    <n v="52.730099284069048"/>
    <n v="0.46198730521259213"/>
    <n v="3"/>
    <b v="0"/>
    <n v="1"/>
    <n v="38.812677809979071"/>
    <x v="2"/>
    <n v="61.187322190020929"/>
    <n v="0.94927242218174535"/>
    <n v="51.376611686439702"/>
    <n v="0.48305375572418929"/>
    <n v="2"/>
    <b v="1"/>
    <n v="0"/>
    <n v="0.12231099032726593"/>
    <n v="6.6197269700359209"/>
    <n v="0.39514487125716991"/>
    <n v="2"/>
  </r>
  <r>
    <n v="25245"/>
    <s v="25245"/>
    <s v="25"/>
    <s v="COLOMBIA"/>
    <s v="CUNDINAMARCA"/>
    <s v="EL COLEGIO"/>
    <x v="4"/>
    <n v="0"/>
    <n v="0"/>
    <n v="0"/>
    <n v="59.28"/>
    <n v="62.829066666666698"/>
    <n v="66.66"/>
    <n v="65.069999999999993"/>
    <n v="63.346151973593628"/>
    <n v="59.534465421201965"/>
    <n v="62.416595915490632"/>
    <n v="74.620015170744509"/>
    <s v="3. Vulnerable (&gt;=60 y &lt;70)"/>
    <s v="2. Riesgo (&gt;=40 y &lt;60)"/>
    <s v="3. Vulnerable (&gt;=60 y &lt;70)"/>
    <s v="4. Solvente (&gt;=70 y &lt;80)"/>
    <n v="63.459766666666674"/>
    <n v="64.979307120257687"/>
    <n v="64.219536893462177"/>
    <n v="38.974071191422723"/>
    <x v="1"/>
    <n v="61.025928808577277"/>
    <n v="0.9741882058902549"/>
    <n v="62.56191542934495"/>
    <n v="0.61195760370427099"/>
    <n v="2"/>
    <b v="1"/>
    <n v="0"/>
    <n v="0.97428046393498691"/>
    <n v="62.567840198252334"/>
    <n v="0.57825583820893656"/>
    <n v="2"/>
    <b v="1"/>
    <n v="0"/>
    <n v="38.974071191422723"/>
    <x v="2"/>
    <n v="61.025928808577277"/>
    <n v="0.94927242218174535"/>
    <n v="60.9618353382468"/>
    <n v="0.6054870813189337"/>
    <n v="2"/>
    <b v="1"/>
    <n v="0"/>
    <n v="0.12198837146423849"/>
    <n v="7.8340367218210325"/>
    <n v="0.46762947261722421"/>
    <n v="2"/>
  </r>
  <r>
    <n v="68755"/>
    <s v="68755"/>
    <s v="68"/>
    <s v="COLOMBIA"/>
    <s v="SANTANDER"/>
    <s v="SOCORRO"/>
    <x v="0"/>
    <n v="0"/>
    <n v="0"/>
    <n v="0"/>
    <n v="83.57"/>
    <n v="85.166766666666703"/>
    <n v="80.27"/>
    <n v="77.27"/>
    <n v="56.825094301423292"/>
    <n v="57.812026177457653"/>
    <n v="62.890132080218535"/>
    <n v="59.662302750713323"/>
    <s v="2. Riesgo (&gt;=40 y &lt;60)"/>
    <s v="2. Riesgo (&gt;=40 y &lt;60)"/>
    <s v="3. Vulnerable (&gt;=60 y &lt;70)"/>
    <s v="2. Riesgo (&gt;=40 y &lt;60)"/>
    <n v="81.569191666666669"/>
    <n v="59.297388827453204"/>
    <n v="70.433290247059944"/>
    <n v="38.841847621013081"/>
    <x v="1"/>
    <n v="61.158152378986919"/>
    <n v="0.9741882058902549"/>
    <n v="68.615280660730917"/>
    <n v="0.68767882190050278"/>
    <n v="1"/>
    <b v="1"/>
    <n v="0"/>
    <n v="0.97428046393498691"/>
    <n v="68.621778698373149"/>
    <n v="0.64980504390557514"/>
    <n v="1"/>
    <b v="1"/>
    <n v="0"/>
    <n v="38.841847621013081"/>
    <x v="2"/>
    <n v="61.158152378986919"/>
    <n v="0.94927242218174535"/>
    <n v="66.860380035056494"/>
    <n v="0.68082997050269334"/>
    <n v="1"/>
    <b v="1"/>
    <n v="0"/>
    <n v="0.12225268105097258"/>
    <n v="8.6106585679443963"/>
    <n v="0.51398759898572866"/>
    <n v="2"/>
  </r>
  <r>
    <n v="5190"/>
    <s v="05190"/>
    <s v="50"/>
    <s v="COLOMBIA"/>
    <s v="ANTIOQUIA"/>
    <s v="CISNEROS"/>
    <x v="4"/>
    <n v="0"/>
    <n v="0"/>
    <n v="0"/>
    <n v="58.74"/>
    <n v="61.076266666666697"/>
    <n v="51.43"/>
    <n v="55.91"/>
    <n v="54.211150094846417"/>
    <n v="63.62667926729366"/>
    <n v="66.15318255543076"/>
    <n v="60.818924020496588"/>
    <s v="2. Riesgo (&gt;=40 y &lt;60)"/>
    <s v="3. Vulnerable (&gt;=60 y &lt;70)"/>
    <s v="3. Vulnerable (&gt;=60 y &lt;70)"/>
    <s v="3. Vulnerable (&gt;=60 y &lt;70)"/>
    <n v="56.789066666666677"/>
    <n v="61.202483984516853"/>
    <n v="58.995775325591765"/>
    <n v="38.931283123869115"/>
    <x v="1"/>
    <n v="61.068716876130885"/>
    <n v="0.9741882058902549"/>
    <n v="57.47298851954281"/>
    <n v="0.54830049229723687"/>
    <n v="2"/>
    <b v="1"/>
    <n v="0"/>
    <n v="0.97428046393498691"/>
    <n v="57.478431354421801"/>
    <n v="0.51810604312359587"/>
    <n v="2"/>
    <b v="1"/>
    <n v="0"/>
    <n v="38.931283123869115"/>
    <x v="2"/>
    <n v="61.068716876130885"/>
    <n v="0.94927242218174535"/>
    <n v="56.003062541814543"/>
    <n v="0.54214802253531402"/>
    <n v="2"/>
    <b v="1"/>
    <n v="0"/>
    <n v="0.12207390308630259"/>
    <n v="7.2018445595975704"/>
    <n v="0.42989264575377029"/>
    <n v="2"/>
  </r>
  <r>
    <n v="15322"/>
    <s v="15322"/>
    <s v="15"/>
    <s v="COLOMBIA"/>
    <s v="BOYACÁ"/>
    <s v="GUATEQUE"/>
    <x v="4"/>
    <n v="0"/>
    <n v="0"/>
    <n v="0"/>
    <n v="58.66"/>
    <n v="57.736899999999999"/>
    <n v="80.19"/>
    <n v="51.41"/>
    <n v="63.135270464884044"/>
    <n v="56.800040779635772"/>
    <n v="63.2009425834312"/>
    <n v="67.08687434377407"/>
    <s v="3. Vulnerable (&gt;=60 y &lt;70)"/>
    <s v="2. Riesgo (&gt;=40 y &lt;60)"/>
    <s v="3. Vulnerable (&gt;=60 y &lt;70)"/>
    <s v="3. Vulnerable (&gt;=60 y &lt;70)"/>
    <n v="61.999224999999996"/>
    <n v="62.55578204293127"/>
    <n v="62.277503521465633"/>
    <n v="39.150674057896815"/>
    <x v="1"/>
    <n v="60.849325942103185"/>
    <n v="0.9741882058902549"/>
    <n v="60.670009422900634"/>
    <n v="0.58829185382056026"/>
    <n v="2"/>
    <b v="1"/>
    <n v="0"/>
    <n v="0.97428046393498691"/>
    <n v="60.675755023606321"/>
    <n v="0.55589400031553771"/>
    <n v="2"/>
    <b v="1"/>
    <n v="0"/>
    <n v="39.150674057896815"/>
    <x v="2"/>
    <n v="60.849325942103185"/>
    <n v="0.94927242218174535"/>
    <n v="59.118316615253853"/>
    <n v="0.58193957358710835"/>
    <n v="2"/>
    <b v="1"/>
    <n v="0"/>
    <n v="0.12163534945379653"/>
    <n v="7.5751459039435165"/>
    <n v="0.45217575687291467"/>
    <n v="2"/>
  </r>
  <r>
    <n v="25797"/>
    <s v="25797"/>
    <s v="25"/>
    <s v="COLOMBIA"/>
    <s v="CUNDINAMARCA"/>
    <s v="TENA"/>
    <x v="4"/>
    <n v="0"/>
    <n v="0"/>
    <n v="0"/>
    <n v="74.540000000000006"/>
    <n v="81.8172"/>
    <n v="65.31"/>
    <n v="62.03"/>
    <n v="54.132137733435243"/>
    <n v="52.050047802911095"/>
    <n v="53.064310665872469"/>
    <n v="73.223446150980976"/>
    <s v="2. Riesgo (&gt;=40 y &lt;60)"/>
    <s v="2. Riesgo (&gt;=40 y &lt;60)"/>
    <s v="2. Riesgo (&gt;=40 y &lt;60)"/>
    <s v="4. Solvente (&gt;=70 y &lt;80)"/>
    <n v="70.924300000000002"/>
    <n v="58.117485588299942"/>
    <n v="64.520892794149972"/>
    <n v="39.378743195160531"/>
    <x v="1"/>
    <n v="60.621256804839469"/>
    <n v="0.9741882058902549"/>
    <n v="62.855492793570434"/>
    <n v="0.61562994707102059"/>
    <n v="2"/>
    <b v="1"/>
    <n v="0"/>
    <n v="0.97428046393498691"/>
    <n v="62.861445364983986"/>
    <n v="0.58172584644698855"/>
    <n v="2"/>
    <b v="1"/>
    <n v="0"/>
    <n v="39.378743195160531"/>
    <x v="2"/>
    <n v="60.621256804839469"/>
    <n v="0.94927242218174535"/>
    <n v="61.247904184031462"/>
    <n v="0.60914107640666049"/>
    <n v="2"/>
    <b v="1"/>
    <n v="0"/>
    <n v="0.12117944844287831"/>
    <n v="7.8186062018371754"/>
    <n v="0.46670839371773909"/>
    <n v="2"/>
  </r>
  <r>
    <n v="25799"/>
    <s v="25799"/>
    <s v="25"/>
    <s v="COLOMBIA"/>
    <s v="CUNDINAMARCA"/>
    <s v="TENJO"/>
    <x v="0"/>
    <n v="0"/>
    <n v="0"/>
    <n v="0"/>
    <n v="68.180000000000007"/>
    <n v="71.543300000000002"/>
    <n v="71.209999999999994"/>
    <n v="73.73"/>
    <n v="68.612583219958736"/>
    <n v="58.345588584822131"/>
    <n v="62.456299769347098"/>
    <n v="69.157075453429869"/>
    <s v="3. Vulnerable (&gt;=60 y &lt;70)"/>
    <s v="2. Riesgo (&gt;=40 y &lt;60)"/>
    <s v="3. Vulnerable (&gt;=60 y &lt;70)"/>
    <s v="3. Vulnerable (&gt;=60 y &lt;70)"/>
    <n v="71.165824999999998"/>
    <n v="64.642886756889453"/>
    <n v="67.904355878444733"/>
    <n v="39.582474241208139"/>
    <x v="1"/>
    <n v="60.417525758791861"/>
    <n v="0.9741882058902549"/>
    <n v="66.151622625355458"/>
    <n v="0.6568610568183102"/>
    <n v="1"/>
    <b v="1"/>
    <n v="0"/>
    <n v="0.97428046393498691"/>
    <n v="66.157887348457592"/>
    <n v="0.62068524544614934"/>
    <n v="2"/>
    <b v="0"/>
    <n v="1"/>
    <n v="39.582474241208139"/>
    <x v="2"/>
    <n v="60.417525758791861"/>
    <n v="0.94927242218174535"/>
    <n v="64.459732381422469"/>
    <n v="0.65016618147777883"/>
    <n v="1"/>
    <b v="1"/>
    <n v="0"/>
    <n v="0.12077219829512538"/>
    <n v="8.2009583332542899"/>
    <n v="0.48953176459505798"/>
    <n v="2"/>
  </r>
  <r>
    <n v="76111"/>
    <s v="76111"/>
    <s v="76"/>
    <s v="COLOMBIA"/>
    <s v="VALLE DEL CAUCA"/>
    <s v="GUADALAJARA DE BUGA"/>
    <x v="4"/>
    <n v="0"/>
    <n v="0"/>
    <n v="0"/>
    <n v="70.8"/>
    <n v="72.272266666666695"/>
    <n v="73.17"/>
    <n v="72.41"/>
    <n v="54.162608470589973"/>
    <n v="51.669162565042171"/>
    <n v="54.794002961553758"/>
    <n v="58.728439107034362"/>
    <s v="2. Riesgo (&gt;=40 y &lt;60)"/>
    <s v="2. Riesgo (&gt;=40 y &lt;60)"/>
    <s v="2. Riesgo (&gt;=40 y &lt;60)"/>
    <s v="2. Riesgo (&gt;=40 y &lt;60)"/>
    <n v="72.16306666666668"/>
    <n v="54.838553276055066"/>
    <n v="63.500809971360873"/>
    <n v="39.5829099187224"/>
    <x v="1"/>
    <n v="60.4170900812776"/>
    <n v="0.9741882058902549"/>
    <n v="61.861740138578057"/>
    <n v="0.60319914887110193"/>
    <n v="2"/>
    <b v="1"/>
    <n v="0"/>
    <n v="0.97428046393498691"/>
    <n v="61.867598599144912"/>
    <n v="0.56997994802424445"/>
    <n v="2"/>
    <b v="1"/>
    <n v="0"/>
    <n v="39.5829099187224"/>
    <x v="2"/>
    <n v="60.4170900812776"/>
    <n v="0.94927242218174535"/>
    <n v="60.279567692016464"/>
    <n v="0.59677238671105881"/>
    <n v="2"/>
    <b v="1"/>
    <n v="0"/>
    <n v="0.12077132739333844"/>
    <n v="7.6690771107933946"/>
    <n v="0.45778270030211238"/>
    <n v="2"/>
  </r>
  <r>
    <n v="15491"/>
    <s v="15491"/>
    <s v="15"/>
    <s v="COLOMBIA"/>
    <s v="BOYACÁ"/>
    <s v="NOBSA"/>
    <x v="0"/>
    <n v="0"/>
    <n v="0"/>
    <n v="0"/>
    <n v="88.1"/>
    <n v="89.825299999999999"/>
    <n v="81.87"/>
    <n v="55.16"/>
    <n v="59.173587408821497"/>
    <n v="68.692723701971602"/>
    <n v="71.372196190056542"/>
    <n v="86.456496639672224"/>
    <s v="2. Riesgo (&gt;=40 y &lt;60)"/>
    <s v="3. Vulnerable (&gt;=60 y &lt;70)"/>
    <s v="4. Solvente (&gt;=70 y &lt;80)"/>
    <s v="5. Sostenible (&gt;=80)"/>
    <n v="78.738824999999991"/>
    <n v="71.423750985130468"/>
    <n v="75.081287992565223"/>
    <n v="39.47879653843102"/>
    <x v="1"/>
    <n v="60.52120346156898"/>
    <n v="0.9741882058902549"/>
    <n v="73.143305245406651"/>
    <n v="0.74431963646698662"/>
    <n v="1"/>
    <b v="1"/>
    <n v="0"/>
    <n v="0.97428046393498691"/>
    <n v="73.150232098232806"/>
    <n v="0.70332511910748463"/>
    <n v="1"/>
    <b v="1"/>
    <n v="0"/>
    <n v="39.47879653843102"/>
    <x v="2"/>
    <n v="60.52120346156898"/>
    <n v="0.94927242218174535"/>
    <n v="71.272596113227578"/>
    <n v="0.73718778825598519"/>
    <n v="1"/>
    <b v="1"/>
    <n v="0"/>
    <n v="0.12097944584327178"/>
    <n v="9.0832926145396353"/>
    <n v="0.54220007970268147"/>
    <n v="1"/>
  </r>
  <r>
    <n v="13222"/>
    <s v="13222"/>
    <s v="13"/>
    <s v="COLOMBIA"/>
    <s v="BOLÍVAR"/>
    <s v="CLEMENCIA"/>
    <x v="5"/>
    <n v="0"/>
    <n v="0"/>
    <n v="0"/>
    <n v="53.25"/>
    <n v="53.096066666666701"/>
    <n v="56.83"/>
    <n v="51.34"/>
    <n v="53.374415970620191"/>
    <n v="46.92437026980248"/>
    <n v="48.220260788973079"/>
    <n v="38.768997106571689"/>
    <s v="2. Riesgo (&gt;=40 y &lt;60)"/>
    <s v="2. Riesgo (&gt;=40 y &lt;60)"/>
    <s v="2. Riesgo (&gt;=40 y &lt;60)"/>
    <s v="1. Deterioro (&lt;40)"/>
    <n v="53.629016666666679"/>
    <n v="46.822011033991856"/>
    <n v="50.225513850329264"/>
    <n v="39.600611166982183"/>
    <x v="1"/>
    <n v="60.399388833017817"/>
    <n v="0.9741882058902549"/>
    <n v="48.929103227768415"/>
    <n v="0.44142549340114373"/>
    <n v="3"/>
    <b v="1"/>
    <n v="0"/>
    <n v="0.97428046393498691"/>
    <n v="48.933736935471906"/>
    <n v="0.41711953680474823"/>
    <n v="3"/>
    <b v="1"/>
    <n v="0"/>
    <n v="39.600611166982183"/>
    <x v="2"/>
    <n v="60.399388833017817"/>
    <n v="0.94927242218174535"/>
    <n v="47.677695188024856"/>
    <n v="0.43580700755751323"/>
    <n v="3"/>
    <b v="1"/>
    <n v="0"/>
    <n v="0.12073594331168246"/>
    <n v="6.0640247930334761"/>
    <n v="0.3619738860816637"/>
    <n v="3"/>
  </r>
  <r>
    <n v="25123"/>
    <s v="25123"/>
    <s v="25"/>
    <s v="COLOMBIA"/>
    <s v="CUNDINAMARCA"/>
    <s v="CACHIPAY"/>
    <x v="4"/>
    <n v="0"/>
    <n v="0"/>
    <n v="0"/>
    <n v="67.56"/>
    <n v="77.333933333333306"/>
    <n v="90.85"/>
    <n v="87.89"/>
    <n v="62.989299088777855"/>
    <n v="69.00743019526233"/>
    <n v="71.324366588208633"/>
    <n v="69.93147189841676"/>
    <s v="3. Vulnerable (&gt;=60 y &lt;70)"/>
    <s v="3. Vulnerable (&gt;=60 y &lt;70)"/>
    <s v="4. Solvente (&gt;=70 y &lt;80)"/>
    <s v="3. Vulnerable (&gt;=60 y &lt;70)"/>
    <n v="80.908483333333322"/>
    <n v="68.313141942666391"/>
    <n v="74.610812637999857"/>
    <n v="39.766397561659474"/>
    <x v="1"/>
    <n v="60.233602438340526"/>
    <n v="0.9741882058902549"/>
    <n v="72.68497370382704"/>
    <n v="0.7385863920088096"/>
    <n v="1"/>
    <b v="0"/>
    <n v="-1"/>
    <n v="0.97428046393498691"/>
    <n v="72.691857151516885"/>
    <n v="0.69790775926015403"/>
    <n v="1"/>
    <b v="0"/>
    <n v="-1"/>
    <n v="39.766397561659474"/>
    <x v="2"/>
    <n v="60.233602438340526"/>
    <n v="0.94927242218174535"/>
    <n v="70.825986833822498"/>
    <n v="0.73148318904105425"/>
    <n v="1"/>
    <b v="0"/>
    <n v="-1"/>
    <n v="0.12040454299230269"/>
    <n v="8.9834807979626952"/>
    <n v="0.53624211080309325"/>
    <n v="1"/>
  </r>
  <r>
    <n v="19548"/>
    <s v="19548"/>
    <s v="19"/>
    <s v="COLOMBIA"/>
    <s v="CAUCA"/>
    <s v="PIENDAMÓ - TUNÍA"/>
    <x v="4"/>
    <n v="0"/>
    <n v="0"/>
    <n v="1"/>
    <n v="53.53"/>
    <n v="54.459899999999998"/>
    <n v="45.55"/>
    <n v="83.34"/>
    <n v="62.34691118700205"/>
    <n v="63.864381740886685"/>
    <n v="65.699585435610146"/>
    <n v="59.048154894296317"/>
    <s v="3. Vulnerable (&gt;=60 y &lt;70)"/>
    <s v="3. Vulnerable (&gt;=60 y &lt;70)"/>
    <s v="3. Vulnerable (&gt;=60 y &lt;70)"/>
    <s v="2. Riesgo (&gt;=40 y &lt;60)"/>
    <n v="59.219974999999998"/>
    <n v="62.7397583144488"/>
    <n v="60.979866657224399"/>
    <n v="39.67999746854489"/>
    <x v="1"/>
    <n v="60.32000253145511"/>
    <n v="0.9741882058902549"/>
    <n v="59.40586689422841"/>
    <n v="0.57247876331869907"/>
    <n v="2"/>
    <b v="1"/>
    <n v="0"/>
    <n v="0.97428046393498691"/>
    <n v="59.411492777494225"/>
    <n v="0.54095216377396016"/>
    <n v="2"/>
    <b v="1"/>
    <n v="0"/>
    <n v="39.67999746854489"/>
    <x v="2"/>
    <n v="60.32000253145511"/>
    <n v="0.94927242218174535"/>
    <n v="57.886505726023259"/>
    <n v="0.56620549067461545"/>
    <n v="2"/>
    <b v="1"/>
    <n v="0"/>
    <n v="0.12057725329527025"/>
    <n v="7.352784827839951"/>
    <n v="0.43890257518622761"/>
    <n v="2"/>
  </r>
  <r>
    <n v="19300"/>
    <s v="19300"/>
    <s v="19"/>
    <s v="COLOMBIA"/>
    <s v="CAUCA"/>
    <s v="GUACHENÉ"/>
    <x v="4"/>
    <n v="0"/>
    <n v="0"/>
    <n v="0"/>
    <n v="77.72"/>
    <n v="76.848133333333294"/>
    <n v="71.58"/>
    <n v="82.51"/>
    <n v="68.333237844007741"/>
    <n v="66.029496747813312"/>
    <n v="60.09647323380252"/>
    <n v="68.855572702561233"/>
    <s v="3. Vulnerable (&gt;=60 y &lt;70)"/>
    <s v="3. Vulnerable (&gt;=60 y &lt;70)"/>
    <s v="3. Vulnerable (&gt;=60 y &lt;70)"/>
    <s v="3. Vulnerable (&gt;=60 y &lt;70)"/>
    <n v="77.164533333333324"/>
    <n v="65.828695132046192"/>
    <n v="71.496614232689751"/>
    <n v="39.706782897116554"/>
    <x v="1"/>
    <n v="60.293217102883446"/>
    <n v="0.9741882058902549"/>
    <n v="69.651158346571691"/>
    <n v="0.70063655983236683"/>
    <n v="1"/>
    <b v="0"/>
    <n v="-1"/>
    <n v="0.97428046393498691"/>
    <n v="69.657754484405757"/>
    <n v="0.66204884925809149"/>
    <n v="1"/>
    <b v="0"/>
    <n v="-1"/>
    <n v="39.706782897116554"/>
    <x v="2"/>
    <n v="60.293217102883446"/>
    <n v="0.94927242218174535"/>
    <n v="67.869764170459248"/>
    <n v="0.69372296715975479"/>
    <n v="1"/>
    <b v="0"/>
    <n v="-1"/>
    <n v="0.12052371030339415"/>
    <n v="8.6170372214542272"/>
    <n v="0.51436835369530276"/>
    <n v="2"/>
  </r>
  <r>
    <n v="25875"/>
    <s v="25875"/>
    <s v="25"/>
    <s v="COLOMBIA"/>
    <s v="CUNDINAMARCA"/>
    <s v="VILLETA"/>
    <x v="0"/>
    <n v="0"/>
    <n v="0"/>
    <n v="0"/>
    <n v="66.61"/>
    <n v="72.882833333333295"/>
    <n v="78.180000000000007"/>
    <n v="82.09"/>
    <n v="64.015707125006685"/>
    <n v="62.049069856366515"/>
    <n v="63.093424849033141"/>
    <n v="69.919551412011003"/>
    <s v="3. Vulnerable (&gt;=60 y &lt;70)"/>
    <s v="3. Vulnerable (&gt;=60 y &lt;70)"/>
    <s v="3. Vulnerable (&gt;=60 y &lt;70)"/>
    <s v="3. Vulnerable (&gt;=60 y &lt;70)"/>
    <n v="74.940708333333333"/>
    <n v="64.769438310604329"/>
    <n v="69.855073321968831"/>
    <n v="40.287457789338781"/>
    <x v="1"/>
    <n v="59.712542210661219"/>
    <n v="0.9741882058902549"/>
    <n v="68.051988551861029"/>
    <n v="0.68063263138439101"/>
    <n v="1"/>
    <b v="1"/>
    <n v="0"/>
    <n v="0.97428046393498691"/>
    <n v="68.058433244340321"/>
    <n v="0.64314707739863819"/>
    <n v="1"/>
    <b v="1"/>
    <n v="0"/>
    <n v="40.287457789338781"/>
    <x v="2"/>
    <n v="59.712542210661219"/>
    <n v="0.94927242218174535"/>
    <n v="66.311494654028778"/>
    <n v="0.67381898515579519"/>
    <n v="1"/>
    <b v="1"/>
    <n v="0"/>
    <n v="0.11936296460340562"/>
    <n v="8.3381086442984689"/>
    <n v="0.49771854363379209"/>
    <n v="2"/>
  </r>
  <r>
    <n v="5148"/>
    <s v="05148"/>
    <s v="50"/>
    <s v="COLOMBIA"/>
    <s v="ANTIOQUIA"/>
    <s v="EL CARMEN DE VIBORAL"/>
    <x v="0"/>
    <n v="0"/>
    <n v="0"/>
    <n v="0"/>
    <n v="66.180000000000007"/>
    <n v="70.951700000000002"/>
    <n v="60"/>
    <n v="72.53"/>
    <n v="57.409959911588089"/>
    <n v="65.206023361741899"/>
    <n v="68.281297281248087"/>
    <n v="60.537747960452563"/>
    <s v="2. Riesgo (&gt;=40 y &lt;60)"/>
    <s v="3. Vulnerable (&gt;=60 y &lt;70)"/>
    <s v="3. Vulnerable (&gt;=60 y &lt;70)"/>
    <s v="3. Vulnerable (&gt;=60 y &lt;70)"/>
    <n v="67.415424999999999"/>
    <n v="62.858757128757659"/>
    <n v="65.137091064378836"/>
    <n v="40.04336138935134"/>
    <x v="1"/>
    <n v="59.95663861064866"/>
    <n v="0.9741882058902549"/>
    <n v="63.455785880917375"/>
    <n v="0.62313898082517249"/>
    <n v="2"/>
    <b v="0"/>
    <n v="1"/>
    <n v="0.97428046393498691"/>
    <n v="63.461795301578505"/>
    <n v="0.58882115491477494"/>
    <n v="2"/>
    <b v="0"/>
    <n v="1"/>
    <n v="40.04336138935134"/>
    <x v="2"/>
    <n v="59.95663861064866"/>
    <n v="0.94927242218174535"/>
    <n v="61.832844208555819"/>
    <n v="0.61661259246904132"/>
    <n v="2"/>
    <b v="0"/>
    <n v="1"/>
    <n v="0.119850903466379"/>
    <n v="7.8067392132376057"/>
    <n v="0.4660000292030676"/>
    <n v="2"/>
  </r>
  <r>
    <n v="5541"/>
    <s v="05541"/>
    <s v="50"/>
    <s v="COLOMBIA"/>
    <s v="ANTIOQUIA"/>
    <s v="PEÑOL"/>
    <x v="4"/>
    <n v="0"/>
    <n v="0"/>
    <n v="0"/>
    <n v="50.33"/>
    <n v="53.290999999999997"/>
    <n v="41.53"/>
    <n v="42.78"/>
    <n v="58.330102231275845"/>
    <n v="61.707333094180662"/>
    <n v="56.201509500428699"/>
    <n v="63.275785547901407"/>
    <s v="2. Riesgo (&gt;=40 y &lt;60)"/>
    <s v="3. Vulnerable (&gt;=60 y &lt;70)"/>
    <s v="2. Riesgo (&gt;=40 y &lt;60)"/>
    <s v="3. Vulnerable (&gt;=60 y &lt;70)"/>
    <n v="46.982750000000003"/>
    <n v="59.878682593446655"/>
    <n v="53.430716296723332"/>
    <n v="40.219363456274323"/>
    <x v="1"/>
    <n v="59.780636543725677"/>
    <n v="0.9741882058902549"/>
    <n v="52.051573648536106"/>
    <n v="0.48048430697088035"/>
    <n v="2"/>
    <b v="1"/>
    <n v="0"/>
    <n v="0.97428046393498691"/>
    <n v="52.056503061950274"/>
    <n v="0.45402632664436038"/>
    <n v="3"/>
    <b v="0"/>
    <n v="1"/>
    <n v="40.219363456274323"/>
    <x v="2"/>
    <n v="59.780636543725677"/>
    <n v="0.94927242218174535"/>
    <n v="50.720305477896211"/>
    <n v="0.47467066998311652"/>
    <n v="3"/>
    <b v="0"/>
    <n v="1"/>
    <n v="0.11949908243001883"/>
    <n v="6.3849215710370917"/>
    <n v="0.38112886280578551"/>
    <n v="2"/>
  </r>
  <r>
    <n v="13620"/>
    <s v="13620"/>
    <s v="13"/>
    <s v="COLOMBIA"/>
    <s v="BOLÍVAR"/>
    <s v="SAN CRISTÓBAL"/>
    <x v="6"/>
    <n v="0"/>
    <n v="0"/>
    <n v="0"/>
    <n v="49.76"/>
    <n v="48.212499999999999"/>
    <n v="33.71"/>
    <n v="23.93"/>
    <n v="39.937441113301936"/>
    <n v="49.8445066488175"/>
    <n v="44.261606827217371"/>
    <n v="40.607994636166069"/>
    <s v="1. Deterioro (&lt;40)"/>
    <s v="2. Riesgo (&gt;=40 y &lt;60)"/>
    <s v="2. Riesgo (&gt;=40 y &lt;60)"/>
    <s v="2. Riesgo (&gt;=40 y &lt;60)"/>
    <n v="38.903125000000003"/>
    <n v="43.662887306375723"/>
    <n v="41.283006153187863"/>
    <n v="40.563817626749533"/>
    <x v="1"/>
    <n v="59.436182373250467"/>
    <n v="0.9741882058902549"/>
    <n v="40.21741769813044"/>
    <n v="0.33245149040750022"/>
    <n v="4"/>
    <b v="1"/>
    <n v="0"/>
    <n v="0.97428046393498691"/>
    <n v="40.221226387558787"/>
    <n v="0.31414967523209947"/>
    <n v="4"/>
    <b v="1"/>
    <n v="0"/>
    <n v="40.563817626749533"/>
    <x v="2"/>
    <n v="59.436182373250467"/>
    <n v="0.94927242218174535"/>
    <n v="39.18881924598054"/>
    <n v="0.32737747582199012"/>
    <n v="4"/>
    <b v="1"/>
    <n v="0"/>
    <n v="0.11881053242970439"/>
    <n v="4.9048559413590125"/>
    <n v="0.2927807564052381"/>
    <n v="3"/>
  </r>
  <r>
    <n v="13873"/>
    <s v="13873"/>
    <s v="13"/>
    <s v="COLOMBIA"/>
    <s v="BOLÍVAR"/>
    <s v="VILLANUEVA"/>
    <x v="5"/>
    <n v="0"/>
    <n v="0"/>
    <n v="0"/>
    <n v="58.07"/>
    <n v="55.689"/>
    <n v="39.18"/>
    <n v="39.04"/>
    <n v="37.562438175124825"/>
    <n v="37.487210377784336"/>
    <n v="38.066054204345846"/>
    <n v="43.902911559524441"/>
    <s v="1. Deterioro (&lt;40)"/>
    <s v="1. Deterioro (&lt;40)"/>
    <s v="1. Deterioro (&lt;40)"/>
    <s v="2. Riesgo (&gt;=40 y &lt;60)"/>
    <n v="47.994749999999996"/>
    <n v="39.254653579194866"/>
    <n v="43.624701789597431"/>
    <n v="40.559621609417313"/>
    <x v="1"/>
    <n v="59.440378390582687"/>
    <n v="0.9741882058902549"/>
    <n v="42.498669968905311"/>
    <n v="0.36098755164833884"/>
    <n v="3"/>
    <b v="1"/>
    <n v="0"/>
    <n v="0.97428046393498691"/>
    <n v="42.502694698594439"/>
    <n v="0.34111348490300958"/>
    <n v="3"/>
    <b v="1"/>
    <n v="0"/>
    <n v="40.559621609417313"/>
    <x v="2"/>
    <n v="59.440378390582687"/>
    <n v="0.94927242218174535"/>
    <n v="41.411726334767472"/>
    <n v="0.35577096117556412"/>
    <n v="3"/>
    <b v="1"/>
    <n v="0"/>
    <n v="0.11881892009919155"/>
    <n v="5.1834399562892362"/>
    <n v="0.30940999885166959"/>
    <n v="3"/>
  </r>
  <r>
    <n v="23672"/>
    <s v="23672"/>
    <s v="23"/>
    <s v="COLOMBIA"/>
    <s v="CÓRDOBA"/>
    <s v="SAN ANTERO"/>
    <x v="4"/>
    <n v="0"/>
    <n v="0"/>
    <n v="0"/>
    <n v="57.19"/>
    <n v="58.889899999999997"/>
    <n v="58.04"/>
    <n v="59.31"/>
    <n v="60.682638669701966"/>
    <n v="58.952120938045255"/>
    <n v="57.436528312170658"/>
    <n v="51.952014342731523"/>
    <s v="3. Vulnerable (&gt;=60 y &lt;70)"/>
    <s v="2. Riesgo (&gt;=40 y &lt;60)"/>
    <s v="2. Riesgo (&gt;=40 y &lt;60)"/>
    <s v="2. Riesgo (&gt;=40 y &lt;60)"/>
    <n v="58.357475000000001"/>
    <n v="57.255825565662349"/>
    <n v="57.806650282831171"/>
    <n v="40.626064081838017"/>
    <x v="1"/>
    <n v="59.373935918161983"/>
    <n v="0.9741882058902549"/>
    <n v="56.314556927556694"/>
    <n v="0.53380973418348854"/>
    <n v="2"/>
    <b v="1"/>
    <n v="0"/>
    <n v="0.97428046393498691"/>
    <n v="56.319890056084297"/>
    <n v="0.50441368241310192"/>
    <n v="2"/>
    <b v="1"/>
    <n v="0"/>
    <n v="40.626064081838017"/>
    <x v="2"/>
    <n v="59.373935918161983"/>
    <n v="0.94927242218174535"/>
    <n v="54.87425893219622"/>
    <n v="0.52772966518766173"/>
    <n v="2"/>
    <b v="1"/>
    <n v="0"/>
    <n v="0.1186861042754114"/>
    <n v="6.8608461232803402"/>
    <n v="0.40953776044998308"/>
    <n v="2"/>
  </r>
  <r>
    <n v="5045"/>
    <s v="05045"/>
    <s v="50"/>
    <s v="COLOMBIA"/>
    <s v="ANTIOQUIA"/>
    <s v="APARTADÓ"/>
    <x v="4"/>
    <n v="0"/>
    <n v="0"/>
    <n v="1"/>
    <n v="65.790000000000006"/>
    <n v="67.260933333333298"/>
    <n v="61.26"/>
    <n v="63.83"/>
    <n v="52.682088343628351"/>
    <n v="57.672571554911542"/>
    <n v="61.171900736144863"/>
    <n v="52.095902954680014"/>
    <s v="2. Riesgo (&gt;=40 y &lt;60)"/>
    <s v="2. Riesgo (&gt;=40 y &lt;60)"/>
    <s v="3. Vulnerable (&gt;=60 y &lt;70)"/>
    <s v="2. Riesgo (&gt;=40 y &lt;60)"/>
    <n v="64.535233333333323"/>
    <n v="55.905615897341193"/>
    <n v="60.220424615337258"/>
    <n v="40.700780045167654"/>
    <x v="1"/>
    <n v="59.299219954832346"/>
    <n v="0.9741882058902549"/>
    <n v="58.666027413964748"/>
    <n v="0.5632241512849222"/>
    <n v="2"/>
    <b v="1"/>
    <n v="0"/>
    <n v="0.97428046393498691"/>
    <n v="58.671583232592688"/>
    <n v="0.53220745316548435"/>
    <n v="2"/>
    <b v="1"/>
    <n v="0"/>
    <n v="40.700780045167654"/>
    <x v="2"/>
    <n v="59.299219954832346"/>
    <n v="0.94927242218174535"/>
    <n v="57.165588339414398"/>
    <n v="0.55699711783660089"/>
    <n v="2"/>
    <b v="1"/>
    <n v="0"/>
    <n v="0.11853675007684519"/>
    <n v="7.1383334221497288"/>
    <n v="0.42610153769994558"/>
    <n v="2"/>
  </r>
  <r>
    <n v="54498"/>
    <s v="54498"/>
    <s v="54"/>
    <s v="COLOMBIA"/>
    <s v="NORTE DE SANTANDER"/>
    <s v="OCAÑA"/>
    <x v="4"/>
    <n v="0"/>
    <n v="0"/>
    <n v="0"/>
    <n v="67.790000000000006"/>
    <n v="68.843533333333298"/>
    <n v="59.56"/>
    <n v="53.99"/>
    <n v="35.524760492929374"/>
    <n v="35.685887847096552"/>
    <n v="48.06043453374739"/>
    <n v="45.749781419426455"/>
    <s v="1. Deterioro (&lt;40)"/>
    <s v="1. Deterioro (&lt;40)"/>
    <s v="2. Riesgo (&gt;=40 y &lt;60)"/>
    <s v="2. Riesgo (&gt;=40 y &lt;60)"/>
    <n v="62.545883333333329"/>
    <n v="41.255216073299941"/>
    <n v="51.900549703316635"/>
    <n v="40.892490234385512"/>
    <x v="1"/>
    <n v="59.107509765614488"/>
    <n v="0.9741882058902549"/>
    <n v="50.560903400192032"/>
    <n v="0.46183759347864839"/>
    <n v="3"/>
    <b v="0"/>
    <n v="1"/>
    <n v="0.97428046393498691"/>
    <n v="50.565691643428181"/>
    <n v="0.43640699125854404"/>
    <n v="3"/>
    <b v="0"/>
    <n v="1"/>
    <n v="40.892490234385512"/>
    <x v="2"/>
    <n v="59.107509765614488"/>
    <n v="0.94927242218174535"/>
    <n v="49.267760529431449"/>
    <n v="0.45611712182643271"/>
    <n v="3"/>
    <b v="0"/>
    <n v="1"/>
    <n v="0.11815352913728119"/>
    <n v="6.1322331116117326"/>
    <n v="0.36604537836303297"/>
    <n v="3"/>
  </r>
  <r>
    <n v="19455"/>
    <s v="19455"/>
    <s v="19"/>
    <s v="COLOMBIA"/>
    <s v="CAUCA"/>
    <s v="MIRANDA"/>
    <x v="4"/>
    <n v="0"/>
    <n v="0"/>
    <n v="1"/>
    <n v="59.6"/>
    <n v="62.253733333333301"/>
    <n v="64.709999999999994"/>
    <n v="75.36"/>
    <n v="56.000952127934056"/>
    <n v="59.956517873152713"/>
    <n v="53.483760072328039"/>
    <n v="64.771368798388437"/>
    <s v="2. Riesgo (&gt;=40 y &lt;60)"/>
    <s v="2. Riesgo (&gt;=40 y &lt;60)"/>
    <s v="2. Riesgo (&gt;=40 y &lt;60)"/>
    <s v="3. Vulnerable (&gt;=60 y &lt;70)"/>
    <n v="65.480933333333326"/>
    <n v="58.553149717950809"/>
    <n v="62.017041525642071"/>
    <n v="40.782096817678095"/>
    <x v="1"/>
    <n v="59.217903182321905"/>
    <n v="0.9741882058902549"/>
    <n v="60.416270418486683"/>
    <n v="0.58511784634146347"/>
    <n v="2"/>
    <b v="1"/>
    <n v="0"/>
    <n v="0.97428046393498691"/>
    <n v="60.421991989477903"/>
    <n v="0.55289487114917857"/>
    <n v="2"/>
    <b v="1"/>
    <n v="0"/>
    <n v="40.782096817678095"/>
    <x v="2"/>
    <n v="59.217903182321905"/>
    <n v="0.94927242218174535"/>
    <n v="58.871067225592135"/>
    <n v="0.57878142453110293"/>
    <n v="2"/>
    <b v="1"/>
    <n v="0"/>
    <n v="0.11837420112683424"/>
    <n v="7.341217746847585"/>
    <n v="0.43821211276228794"/>
    <n v="2"/>
  </r>
  <r>
    <n v="66594"/>
    <s v="66594"/>
    <s v="66"/>
    <s v="COLOMBIA"/>
    <s v="RISARALDA"/>
    <s v="QUINCHÍA"/>
    <x v="0"/>
    <n v="0"/>
    <n v="0"/>
    <n v="0"/>
    <n v="97.471039509014204"/>
    <n v="98.249126339342794"/>
    <n v="85.84"/>
    <n v="75.69"/>
    <n v="57.865682839108743"/>
    <n v="60.233108792979792"/>
    <n v="56.671133915885193"/>
    <n v="55.667859512484462"/>
    <s v="2. Riesgo (&gt;=40 y &lt;60)"/>
    <s v="3. Vulnerable (&gt;=60 y &lt;70)"/>
    <s v="2. Riesgo (&gt;=40 y &lt;60)"/>
    <s v="2. Riesgo (&gt;=40 y &lt;60)"/>
    <n v="89.312541462089243"/>
    <n v="57.609446265114549"/>
    <n v="73.4609938636019"/>
    <n v="40.865518898508121"/>
    <x v="1"/>
    <n v="59.134481101491879"/>
    <n v="0.9741882058902549"/>
    <n v="71.564833814897355"/>
    <n v="0.72457462273703743"/>
    <n v="1"/>
    <b v="1"/>
    <n v="0"/>
    <n v="0.97428046393498691"/>
    <n v="71.571611182555287"/>
    <n v="0.68466799653999033"/>
    <n v="1"/>
    <b v="1"/>
    <n v="0"/>
    <n v="40.865518898508121"/>
    <x v="2"/>
    <n v="59.134481101491879"/>
    <n v="0.94927242218174535"/>
    <n v="69.734495580779708"/>
    <n v="0.71754142734388093"/>
    <n v="1"/>
    <b v="1"/>
    <n v="0"/>
    <n v="0.11820744375036672"/>
    <n v="8.6836362999777563"/>
    <n v="0.51834378718797491"/>
    <n v="2"/>
  </r>
  <r>
    <n v="25200"/>
    <s v="25200"/>
    <s v="25"/>
    <s v="COLOMBIA"/>
    <s v="CUNDINAMARCA"/>
    <s v="COGUA"/>
    <x v="4"/>
    <n v="0"/>
    <n v="0"/>
    <n v="0"/>
    <n v="60.88"/>
    <n v="65.660433333333302"/>
    <n v="68.63"/>
    <n v="49.82"/>
    <n v="63.144017517896927"/>
    <n v="77.002683610946022"/>
    <n v="64.163816243828222"/>
    <n v="70.407708325020636"/>
    <s v="3. Vulnerable (&gt;=60 y &lt;70)"/>
    <s v="4. Solvente (&gt;=70 y &lt;80)"/>
    <s v="3. Vulnerable (&gt;=60 y &lt;70)"/>
    <s v="4. Solvente (&gt;=70 y &lt;80)"/>
    <n v="61.247608333333325"/>
    <n v="68.679556424422955"/>
    <n v="64.963582378878144"/>
    <n v="41.277065399786089"/>
    <x v="1"/>
    <n v="58.722934600213911"/>
    <n v="0.9741882058902549"/>
    <n v="63.286755765883079"/>
    <n v="0.62102459226062934"/>
    <n v="2"/>
    <b v="1"/>
    <n v="0"/>
    <n v="0.97428046393498691"/>
    <n v="63.292749178972137"/>
    <n v="0.58682326283206865"/>
    <n v="2"/>
    <b v="1"/>
    <n v="0"/>
    <n v="41.277065399786089"/>
    <x v="2"/>
    <n v="58.722934600213911"/>
    <n v="0.94927242218174535"/>
    <n v="61.668137198401006"/>
    <n v="0.61450876811036614"/>
    <n v="2"/>
    <b v="1"/>
    <n v="0"/>
    <n v="0.11738477888556505"/>
    <n v="7.6257357531588008"/>
    <n v="0.45519556713783632"/>
    <n v="2"/>
  </r>
  <r>
    <n v="73449"/>
    <s v="73449"/>
    <s v="73"/>
    <s v="COLOMBIA"/>
    <s v="TOLIMA"/>
    <s v="MELGAR"/>
    <x v="4"/>
    <n v="0"/>
    <n v="0"/>
    <n v="0"/>
    <n v="54.11"/>
    <n v="56.528500000000001"/>
    <n v="48.62"/>
    <n v="71.87"/>
    <n v="57.73410969714984"/>
    <n v="70.277161221567539"/>
    <n v="68.406912690948502"/>
    <n v="66.309012693530534"/>
    <s v="2. Riesgo (&gt;=40 y &lt;60)"/>
    <s v="4. Solvente (&gt;=70 y &lt;80)"/>
    <s v="3. Vulnerable (&gt;=60 y &lt;70)"/>
    <s v="3. Vulnerable (&gt;=60 y &lt;70)"/>
    <n v="57.782125000000001"/>
    <n v="65.681799075799105"/>
    <n v="61.73196203789955"/>
    <n v="40.953240276522443"/>
    <x v="1"/>
    <n v="59.046759723477557"/>
    <n v="0.9741882058902549"/>
    <n v="60.138549343786686"/>
    <n v="0.58164384844257311"/>
    <n v="2"/>
    <b v="1"/>
    <n v="0"/>
    <n v="0.97428046393498691"/>
    <n v="60.144244613901776"/>
    <n v="0.5496122801373271"/>
    <n v="2"/>
    <b v="1"/>
    <n v="0"/>
    <n v="40.953240276522443"/>
    <x v="2"/>
    <n v="59.046759723477557"/>
    <n v="0.94927242218174535"/>
    <n v="58.600449129748455"/>
    <n v="0.57532478390968012"/>
    <n v="2"/>
    <b v="1"/>
    <n v="0"/>
    <n v="0.11803209225215139"/>
    <n v="7.2863526381636667"/>
    <n v="0.4349371036258764"/>
    <n v="2"/>
  </r>
  <r>
    <n v="47980"/>
    <s v="47980"/>
    <s v="47"/>
    <s v="COLOMBIA"/>
    <s v="MAGDALENA"/>
    <s v="ZONA BANANERA"/>
    <x v="5"/>
    <n v="0"/>
    <n v="0"/>
    <n v="0"/>
    <n v="41.71"/>
    <n v="44.429666666666698"/>
    <n v="68.98"/>
    <n v="39.22"/>
    <n v="66.937353280059568"/>
    <n v="45.095008320651154"/>
    <n v="61.655974091442808"/>
    <n v="58.966856631611542"/>
    <s v="3. Vulnerable (&gt;=60 y &lt;70)"/>
    <s v="2. Riesgo (&gt;=40 y &lt;60)"/>
    <s v="3. Vulnerable (&gt;=60 y &lt;70)"/>
    <s v="2. Riesgo (&gt;=40 y &lt;60)"/>
    <n v="48.584916666666679"/>
    <n v="58.163798080941262"/>
    <n v="53.374357373803974"/>
    <n v="41.095091204510538"/>
    <x v="1"/>
    <n v="58.904908795489462"/>
    <n v="0.9741882058902549"/>
    <n v="51.996669450531392"/>
    <n v="0.47979751332832127"/>
    <n v="2"/>
    <b v="0"/>
    <n v="-1"/>
    <n v="0.97428046393498691"/>
    <n v="52.001593664381524"/>
    <n v="0.45337737327602895"/>
    <n v="3"/>
    <b v="1"/>
    <n v="0"/>
    <n v="41.095091204510538"/>
    <x v="2"/>
    <n v="58.904908795489462"/>
    <n v="0.94927242218174535"/>
    <n v="50.666805506624996"/>
    <n v="0.47398730779566006"/>
    <n v="3"/>
    <b v="1"/>
    <n v="0"/>
    <n v="0.11774853796573917"/>
    <n v="6.2847525456262874"/>
    <n v="0.37514957138952731"/>
    <n v="3"/>
  </r>
  <r>
    <n v="76622"/>
    <s v="76622"/>
    <s v="76"/>
    <s v="COLOMBIA"/>
    <s v="VALLE DEL CAUCA"/>
    <s v="ROLDANILLO"/>
    <x v="4"/>
    <n v="0"/>
    <n v="0"/>
    <n v="0"/>
    <n v="64.13"/>
    <n v="68.873633333333302"/>
    <n v="80.900000000000006"/>
    <n v="73.89"/>
    <n v="58.58211380481989"/>
    <n v="49.740680454469704"/>
    <n v="60.932765296792141"/>
    <n v="63.735014887961789"/>
    <s v="2. Riesgo (&gt;=40 y &lt;60)"/>
    <s v="2. Riesgo (&gt;=40 y &lt;60)"/>
    <s v="3. Vulnerable (&gt;=60 y &lt;70)"/>
    <s v="3. Vulnerable (&gt;=60 y &lt;70)"/>
    <n v="71.948408333333333"/>
    <n v="58.247643611010879"/>
    <n v="65.09802597217211"/>
    <n v="41.190852403497125"/>
    <x v="1"/>
    <n v="58.809147596502875"/>
    <n v="0.9741882058902549"/>
    <n v="63.417729128827567"/>
    <n v="0.62266293097212699"/>
    <n v="2"/>
    <b v="1"/>
    <n v="0"/>
    <n v="0.97428046393498691"/>
    <n v="63.423734945419667"/>
    <n v="0.58837133398388142"/>
    <n v="2"/>
    <b v="1"/>
    <n v="0"/>
    <n v="41.190852403497125"/>
    <x v="2"/>
    <n v="58.809147596502875"/>
    <n v="0.94927242218174535"/>
    <n v="61.795760793853987"/>
    <n v="0.61613892112330293"/>
    <n v="2"/>
    <b v="1"/>
    <n v="0"/>
    <n v="0.11755711518952089"/>
    <n v="7.6527361378210594"/>
    <n v="0.45680727462510212"/>
    <n v="2"/>
  </r>
  <r>
    <n v="23001"/>
    <s v="23001"/>
    <s v="23"/>
    <s v="COLOMBIA"/>
    <s v="CÓRDOBA"/>
    <s v="MONTERÍA"/>
    <x v="4"/>
    <n v="0"/>
    <n v="1"/>
    <n v="0"/>
    <n v="65.19"/>
    <n v="69.881166666666701"/>
    <n v="75.25"/>
    <n v="79.16"/>
    <n v="62.801750177155149"/>
    <n v="63.839104212441619"/>
    <n v="53.602182661820805"/>
    <n v="66.383182195661163"/>
    <s v="3. Vulnerable (&gt;=60 y &lt;70)"/>
    <s v="3. Vulnerable (&gt;=60 y &lt;70)"/>
    <s v="2. Riesgo (&gt;=40 y &lt;60)"/>
    <s v="3. Vulnerable (&gt;=60 y &lt;70)"/>
    <n v="72.370291666666674"/>
    <n v="61.656554811769681"/>
    <n v="67.013423239218184"/>
    <n v="41.158753989166982"/>
    <x v="1"/>
    <n v="58.841246010833018"/>
    <n v="0.9741882058902549"/>
    <n v="65.283686555978278"/>
    <n v="0.64600409148125559"/>
    <n v="1"/>
    <b v="0"/>
    <n v="-1"/>
    <n v="0.97428046393498691"/>
    <n v="65.289869083377127"/>
    <n v="0.61042646640578713"/>
    <n v="2"/>
    <b v="1"/>
    <n v="0"/>
    <n v="41.158753989166982"/>
    <x v="2"/>
    <n v="58.841246010833018"/>
    <n v="0.94927242218174535"/>
    <n v="63.613994596983112"/>
    <n v="0.63936346123968402"/>
    <n v="2"/>
    <b v="1"/>
    <n v="0"/>
    <n v="0.11762127862573832"/>
    <n v="7.8822045264846095"/>
    <n v="0.47050470615158041"/>
    <n v="2"/>
  </r>
  <r>
    <n v="66682"/>
    <s v="66682"/>
    <s v="66"/>
    <s v="COLOMBIA"/>
    <s v="RISARALDA"/>
    <s v="SANTA ROSA DE CABAL"/>
    <x v="0"/>
    <n v="0"/>
    <n v="0"/>
    <n v="0"/>
    <n v="76"/>
    <n v="77.905933333333294"/>
    <n v="71.48"/>
    <n v="74.3"/>
    <n v="56.202124238951498"/>
    <n v="52.554566570822708"/>
    <n v="59.618381886090475"/>
    <n v="59.826301499548023"/>
    <s v="2. Riesgo (&gt;=40 y &lt;60)"/>
    <s v="2. Riesgo (&gt;=40 y &lt;60)"/>
    <s v="2. Riesgo (&gt;=40 y &lt;60)"/>
    <s v="2. Riesgo (&gt;=40 y &lt;60)"/>
    <n v="74.921483333333327"/>
    <n v="57.050343548853178"/>
    <n v="65.98591344109326"/>
    <n v="41.385494466415309"/>
    <x v="1"/>
    <n v="58.614505533584691"/>
    <n v="0.9741882058902549"/>
    <n v="64.282698629208298"/>
    <n v="0.63348278765809451"/>
    <n v="2"/>
    <b v="0"/>
    <n v="1"/>
    <n v="0.97428046393498691"/>
    <n v="64.288786360562227"/>
    <n v="0.59859504894877047"/>
    <n v="2"/>
    <b v="0"/>
    <n v="1"/>
    <n v="41.385494466415309"/>
    <x v="2"/>
    <n v="58.614505533584691"/>
    <n v="0.94927242218174535"/>
    <n v="62.638607882101589"/>
    <n v="0.62690471811777848"/>
    <n v="2"/>
    <b v="0"/>
    <n v="1"/>
    <n v="0.11716803355262671"/>
    <n v="7.7314397200667369"/>
    <n v="0.46150525038976986"/>
    <n v="2"/>
  </r>
  <r>
    <n v="76122"/>
    <s v="76122"/>
    <s v="76"/>
    <s v="COLOMBIA"/>
    <s v="VALLE DEL CAUCA"/>
    <s v="CAICEDONIA"/>
    <x v="4"/>
    <n v="0"/>
    <n v="0"/>
    <n v="0"/>
    <n v="67.319999999999993"/>
    <n v="69.364366666666697"/>
    <n v="65.010000000000005"/>
    <n v="67.31"/>
    <n v="41.217680348215495"/>
    <n v="37.538322744468708"/>
    <n v="37.418801255702554"/>
    <n v="47.971330066980656"/>
    <s v="2. Riesgo (&gt;=40 y &lt;60)"/>
    <s v="1. Deterioro (&lt;40)"/>
    <s v="1. Deterioro (&lt;40)"/>
    <s v="2. Riesgo (&gt;=40 y &lt;60)"/>
    <n v="67.251091666666667"/>
    <n v="41.03653360384186"/>
    <n v="54.143812635254264"/>
    <n v="41.259289736457156"/>
    <x v="1"/>
    <n v="58.740710263542844"/>
    <n v="0.9741882058902549"/>
    <n v="52.746263691196468"/>
    <n v="0.48917414713223317"/>
    <n v="2"/>
    <b v="1"/>
    <n v="0"/>
    <n v="0.97428046393498691"/>
    <n v="52.751258893484533"/>
    <n v="0.46223738262029934"/>
    <n v="3"/>
    <b v="0"/>
    <n v="1"/>
    <n v="41.259289736457156"/>
    <x v="2"/>
    <n v="58.740710263542844"/>
    <n v="0.94927242218174535"/>
    <n v="51.397228166422401"/>
    <n v="0.48331709274145995"/>
    <n v="2"/>
    <b v="1"/>
    <n v="0"/>
    <n v="0.11742031171994426"/>
    <n v="6.3575833573378118"/>
    <n v="0.37949698962106043"/>
    <n v="2"/>
  </r>
  <r>
    <n v="23586"/>
    <s v="23586"/>
    <s v="23"/>
    <s v="COLOMBIA"/>
    <s v="CÓRDOBA"/>
    <s v="PURÍSIMA DE LA CONCEPCIÓN"/>
    <x v="5"/>
    <n v="0"/>
    <n v="0"/>
    <n v="0"/>
    <n v="53.75"/>
    <n v="62.441166666666703"/>
    <n v="64.760000000000005"/>
    <n v="30.9"/>
    <n v="57.240907844530909"/>
    <n v="54.597375344758483"/>
    <n v="55.227606415584852"/>
    <n v="51.815045156246626"/>
    <s v="2. Riesgo (&gt;=40 y &lt;60)"/>
    <s v="2. Riesgo (&gt;=40 y &lt;60)"/>
    <s v="2. Riesgo (&gt;=40 y &lt;60)"/>
    <s v="2. Riesgo (&gt;=40 y &lt;60)"/>
    <n v="52.962791666666682"/>
    <n v="54.720233690280224"/>
    <n v="53.84151267847345"/>
    <n v="41.497071478955903"/>
    <x v="1"/>
    <n v="58.502928521044097"/>
    <n v="0.9741882058902549"/>
    <n v="52.451766638659464"/>
    <n v="0.4854902994341494"/>
    <n v="2"/>
    <b v="0"/>
    <n v="-1"/>
    <n v="0.97428046393498691"/>
    <n v="52.456733951344589"/>
    <n v="0.45875650390513883"/>
    <n v="3"/>
    <b v="1"/>
    <n v="0"/>
    <n v="41.497071478955903"/>
    <x v="2"/>
    <n v="58.502928521044097"/>
    <n v="0.94927242218174535"/>
    <n v="51.110263154223645"/>
    <n v="0.47965165080195904"/>
    <n v="3"/>
    <b v="1"/>
    <n v="0"/>
    <n v="0.11694499560271912"/>
    <n v="6.2964954634278234"/>
    <n v="0.37585052986770551"/>
    <n v="3"/>
  </r>
  <r>
    <n v="17042"/>
    <s v="17042"/>
    <s v="17"/>
    <s v="COLOMBIA"/>
    <s v="CALDAS"/>
    <s v="ANSERMA"/>
    <x v="4"/>
    <n v="0"/>
    <n v="0"/>
    <n v="0"/>
    <n v="70.81"/>
    <n v="73.301100000000005"/>
    <n v="64.069999999999993"/>
    <n v="60.99"/>
    <n v="53.048281366824312"/>
    <n v="50.668406711912446"/>
    <n v="50.750691249360948"/>
    <n v="55.623845993611177"/>
    <s v="2. Riesgo (&gt;=40 y &lt;60)"/>
    <s v="2. Riesgo (&gt;=40 y &lt;60)"/>
    <s v="2. Riesgo (&gt;=40 y &lt;60)"/>
    <s v="2. Riesgo (&gt;=40 y &lt;60)"/>
    <n v="67.292775000000006"/>
    <n v="52.522806330427223"/>
    <n v="59.907790665213611"/>
    <n v="41.518413097843833"/>
    <x v="1"/>
    <n v="58.481586902156167"/>
    <n v="0.9741882058902549"/>
    <n v="58.361463106993405"/>
    <n v="0.55941437284575124"/>
    <n v="2"/>
    <b v="1"/>
    <n v="0"/>
    <n v="0.97428046393498691"/>
    <n v="58.366990082624397"/>
    <n v="0.52860758211617764"/>
    <n v="2"/>
    <b v="1"/>
    <n v="0"/>
    <n v="41.518413097843833"/>
    <x v="2"/>
    <n v="58.481586902156167"/>
    <n v="0.94927242218174535"/>
    <n v="56.868813552324276"/>
    <n v="0.5532063743489134"/>
    <n v="2"/>
    <b v="1"/>
    <n v="0"/>
    <n v="0.11690233456693686"/>
    <n v="7.0033605875108185"/>
    <n v="0.41804473662521513"/>
    <n v="2"/>
  </r>
  <r>
    <n v="5400"/>
    <s v="05400"/>
    <s v="50"/>
    <s v="COLOMBIA"/>
    <s v="ANTIOQUIA"/>
    <s v="LA UNIÓN"/>
    <x v="4"/>
    <n v="0"/>
    <n v="0"/>
    <n v="0"/>
    <n v="49.87"/>
    <n v="50.572566666666702"/>
    <n v="50.4"/>
    <n v="49.84"/>
    <n v="57.912362418104095"/>
    <n v="56.386026807232682"/>
    <n v="64.937479037088096"/>
    <n v="76.421116271037192"/>
    <s v="2. Riesgo (&gt;=40 y &lt;60)"/>
    <s v="2. Riesgo (&gt;=40 y &lt;60)"/>
    <s v="3. Vulnerable (&gt;=60 y &lt;70)"/>
    <s v="4. Solvente (&gt;=70 y &lt;80)"/>
    <n v="50.170641666666675"/>
    <n v="63.914246133365516"/>
    <n v="57.042443900016096"/>
    <n v="41.567471974453198"/>
    <x v="1"/>
    <n v="58.432528025546802"/>
    <n v="0.9741882058902549"/>
    <n v="55.570076082552198"/>
    <n v="0.52449706356926329"/>
    <n v="2"/>
    <b v="1"/>
    <n v="0"/>
    <n v="0.97428046393498691"/>
    <n v="55.575338706893149"/>
    <n v="0.49561411207819939"/>
    <n v="2"/>
    <b v="1"/>
    <n v="0"/>
    <n v="41.567471974453198"/>
    <x v="2"/>
    <n v="58.432528025546802"/>
    <n v="0.94927242218174535"/>
    <n v="54.148818888134606"/>
    <n v="0.51846352384965377"/>
    <n v="2"/>
    <b v="1"/>
    <n v="0"/>
    <n v="0.11680426785037423"/>
    <n v="6.6628008961374254"/>
    <n v="0.39771604089316281"/>
    <n v="2"/>
  </r>
  <r>
    <n v="13683"/>
    <s v="13683"/>
    <s v="13"/>
    <s v="COLOMBIA"/>
    <s v="BOLÍVAR"/>
    <s v="SANTA ROSA"/>
    <x v="4"/>
    <n v="0"/>
    <n v="0"/>
    <n v="0"/>
    <n v="70.31"/>
    <n v="71.400499999999994"/>
    <n v="89.81"/>
    <n v="91.29"/>
    <n v="45.157794820588713"/>
    <n v="61.540459261881892"/>
    <n v="61.948153785114734"/>
    <n v="62.996073159594154"/>
    <s v="2. Riesgo (&gt;=40 y &lt;60)"/>
    <s v="3. Vulnerable (&gt;=60 y &lt;70)"/>
    <s v="3. Vulnerable (&gt;=60 y &lt;70)"/>
    <s v="3. Vulnerable (&gt;=60 y &lt;70)"/>
    <n v="80.702624999999998"/>
    <n v="57.910620256794871"/>
    <n v="69.306622628397434"/>
    <n v="41.652921016919045"/>
    <x v="1"/>
    <n v="58.347078983080955"/>
    <n v="0.9741882058902549"/>
    <n v="67.517694354671434"/>
    <n v="0.67394917417671962"/>
    <n v="1"/>
    <b v="0"/>
    <n v="-1"/>
    <n v="0.97428046393498691"/>
    <n v="67.524088448162118"/>
    <n v="0.63683185868045666"/>
    <n v="1"/>
    <b v="0"/>
    <n v="-1"/>
    <n v="41.652921016919045"/>
    <x v="2"/>
    <n v="58.347078983080955"/>
    <n v="0.94927242218174535"/>
    <n v="65.790865535694991"/>
    <n v="0.66716892077810608"/>
    <n v="1"/>
    <b v="0"/>
    <n v="-1"/>
    <n v="0.11663345865931243"/>
    <n v="8.0834711051457599"/>
    <n v="0.48251871468598373"/>
    <n v="2"/>
  </r>
  <r>
    <n v="76248"/>
    <s v="76248"/>
    <s v="76"/>
    <s v="COLOMBIA"/>
    <s v="VALLE DEL CAUCA"/>
    <s v="EL CERRITO"/>
    <x v="4"/>
    <n v="0"/>
    <n v="0"/>
    <n v="0"/>
    <n v="51.85"/>
    <n v="53.2143333333333"/>
    <n v="52.61"/>
    <n v="51.13"/>
    <n v="58.736447776812355"/>
    <n v="48.582540636300827"/>
    <n v="63.426727547754396"/>
    <n v="74.136703151822843"/>
    <s v="2. Riesgo (&gt;=40 y &lt;60)"/>
    <s v="2. Riesgo (&gt;=40 y &lt;60)"/>
    <s v="3. Vulnerable (&gt;=60 y &lt;70)"/>
    <s v="4. Solvente (&gt;=70 y &lt;80)"/>
    <n v="52.20108333333333"/>
    <n v="61.220604778172607"/>
    <n v="56.710844055752972"/>
    <n v="41.671966527809047"/>
    <x v="1"/>
    <n v="58.328033472190953"/>
    <n v="0.9741882058902549"/>
    <n v="55.247035425196017"/>
    <n v="0.52045616546268714"/>
    <n v="2"/>
    <b v="1"/>
    <n v="0"/>
    <n v="0.97428046393498691"/>
    <n v="55.252267456783699"/>
    <n v="0.49179585536345249"/>
    <n v="2"/>
    <b v="1"/>
    <n v="0"/>
    <n v="41.671966527809047"/>
    <x v="2"/>
    <n v="58.328033472190953"/>
    <n v="0.94927242218174535"/>
    <n v="53.834040300775861"/>
    <n v="0.51444281544718673"/>
    <n v="2"/>
    <b v="1"/>
    <n v="0"/>
    <n v="0.11659538745085178"/>
    <n v="6.612222835345352"/>
    <n v="0.39469693430302916"/>
    <n v="2"/>
  </r>
  <r>
    <n v="25743"/>
    <s v="25743"/>
    <s v="25"/>
    <s v="COLOMBIA"/>
    <s v="CUNDINAMARCA"/>
    <s v="SILVANIA"/>
    <x v="0"/>
    <n v="0"/>
    <n v="0"/>
    <n v="0"/>
    <n v="70.22"/>
    <n v="71.965133333333299"/>
    <n v="68.739999999999995"/>
    <n v="56.98"/>
    <n v="54.946358317291356"/>
    <n v="49.719260041086514"/>
    <n v="59.772690112975809"/>
    <n v="63.818650042431827"/>
    <s v="2. Riesgo (&gt;=40 y &lt;60)"/>
    <s v="2. Riesgo (&gt;=40 y &lt;60)"/>
    <s v="2. Riesgo (&gt;=40 y &lt;60)"/>
    <s v="3. Vulnerable (&gt;=60 y &lt;70)"/>
    <n v="66.976283333333328"/>
    <n v="57.064239628446373"/>
    <n v="62.02026148088985"/>
    <n v="42.11553941970741"/>
    <x v="1"/>
    <n v="57.88446058029259"/>
    <n v="0.9741882058902549"/>
    <n v="60.419407260912564"/>
    <n v="0.58515708493366758"/>
    <n v="2"/>
    <b v="0"/>
    <n v="1"/>
    <n v="0.97428046393498691"/>
    <n v="60.425129128970561"/>
    <n v="0.55293194781238786"/>
    <n v="2"/>
    <b v="0"/>
    <n v="1"/>
    <n v="42.11553941970741"/>
    <x v="2"/>
    <n v="57.88446058029259"/>
    <n v="0.94927242218174535"/>
    <n v="58.874123840309508"/>
    <n v="0.57882046707392765"/>
    <n v="2"/>
    <b v="0"/>
    <n v="1"/>
    <n v="0.11570870312232488"/>
    <n v="7.1762840232612453"/>
    <n v="0.42836688572082643"/>
    <n v="2"/>
  </r>
  <r>
    <n v="25151"/>
    <s v="25151"/>
    <s v="25"/>
    <s v="COLOMBIA"/>
    <s v="CUNDINAMARCA"/>
    <s v="CÁQUEZA"/>
    <x v="4"/>
    <n v="0"/>
    <n v="0"/>
    <n v="0"/>
    <n v="60.09"/>
    <n v="63.668033333333298"/>
    <n v="61.33"/>
    <n v="63.44"/>
    <n v="51.22670701745777"/>
    <n v="55.755286300829908"/>
    <n v="53.724375053299411"/>
    <n v="69.389530967102516"/>
    <s v="2. Riesgo (&gt;=40 y &lt;60)"/>
    <s v="2. Riesgo (&gt;=40 y &lt;60)"/>
    <s v="2. Riesgo (&gt;=40 y &lt;60)"/>
    <s v="3. Vulnerable (&gt;=60 y &lt;70)"/>
    <n v="62.132008333333324"/>
    <n v="57.523974834672401"/>
    <n v="59.827991584002859"/>
    <n v="42.040849266051609"/>
    <x v="1"/>
    <n v="57.959150733948391"/>
    <n v="0.9741882058902549"/>
    <n v="58.283723783237015"/>
    <n v="0.55844193585053015"/>
    <n v="2"/>
    <b v="1"/>
    <n v="0"/>
    <n v="0.97428046393498691"/>
    <n v="58.289243396760796"/>
    <n v="0.52768872348902518"/>
    <n v="2"/>
    <b v="1"/>
    <n v="0"/>
    <n v="42.040849266051609"/>
    <x v="2"/>
    <n v="57.959150733948391"/>
    <n v="0.94927242218174535"/>
    <n v="56.793062485215472"/>
    <n v="0.55223879598033432"/>
    <n v="2"/>
    <b v="1"/>
    <n v="0"/>
    <n v="0.11585800572839361"/>
    <n v="6.9315517916576876"/>
    <n v="0.41375832458421163"/>
    <n v="2"/>
  </r>
  <r>
    <n v="52019"/>
    <s v="52019"/>
    <s v="52"/>
    <s v="COLOMBIA"/>
    <s v="NARIÑO"/>
    <s v="ALBÁN"/>
    <x v="5"/>
    <n v="0"/>
    <n v="0"/>
    <n v="0"/>
    <n v="67.48"/>
    <n v="71.844666666666697"/>
    <n v="56.27"/>
    <n v="56.22"/>
    <n v="54.936447866908026"/>
    <n v="53.68771511916534"/>
    <n v="48.553822536562208"/>
    <n v="49.541750312796239"/>
    <s v="2. Riesgo (&gt;=40 y &lt;60)"/>
    <s v="2. Riesgo (&gt;=40 y &lt;60)"/>
    <s v="2. Riesgo (&gt;=40 y &lt;60)"/>
    <s v="2. Riesgo (&gt;=40 y &lt;60)"/>
    <n v="62.953666666666678"/>
    <n v="51.679933958857958"/>
    <n v="57.316800312762318"/>
    <n v="41.887640962688913"/>
    <x v="1"/>
    <n v="58.112359037311087"/>
    <n v="0.9741882058902549"/>
    <n v="55.837350864059921"/>
    <n v="0.52784038935174926"/>
    <n v="2"/>
    <b v="0"/>
    <n v="-1"/>
    <n v="0.97428046393498691"/>
    <n v="55.842638799987071"/>
    <n v="0.49877323061617695"/>
    <n v="2"/>
    <b v="0"/>
    <n v="-1"/>
    <n v="41.887640962688913"/>
    <x v="2"/>
    <n v="58.112359037311087"/>
    <n v="0.94927242218174535"/>
    <n v="54.409257864603305"/>
    <n v="0.52179014523709977"/>
    <n v="2"/>
    <b v="0"/>
    <n v="-1"/>
    <n v="0.1161642629503138"/>
    <n v="6.6581638630023505"/>
    <n v="0.39743924702092787"/>
    <n v="2"/>
  </r>
  <r>
    <n v="17873"/>
    <s v="17873"/>
    <s v="17"/>
    <s v="COLOMBIA"/>
    <s v="CALDAS"/>
    <s v="VILLAMARÍA"/>
    <x v="4"/>
    <n v="0"/>
    <n v="0"/>
    <n v="0"/>
    <n v="59.9"/>
    <n v="65.292766666666694"/>
    <n v="62.32"/>
    <n v="64.05"/>
    <n v="59.116647736895587"/>
    <n v="69.070904491648108"/>
    <n v="67.995364276177696"/>
    <n v="68.649531256207482"/>
    <s v="2. Riesgo (&gt;=40 y &lt;60)"/>
    <s v="3. Vulnerable (&gt;=60 y &lt;70)"/>
    <s v="3. Vulnerable (&gt;=60 y &lt;70)"/>
    <s v="3. Vulnerable (&gt;=60 y &lt;70)"/>
    <n v="62.890691666666669"/>
    <n v="66.208111940232214"/>
    <n v="64.549401803449442"/>
    <n v="41.966939371876791"/>
    <x v="1"/>
    <n v="58.033060628123209"/>
    <n v="0.9741882058902549"/>
    <n v="62.883265934191598"/>
    <n v="0.6159773597845416"/>
    <n v="2"/>
    <b v="1"/>
    <n v="0"/>
    <n v="0.97428046393498691"/>
    <n v="62.889221135790599"/>
    <n v="0.58205411775975213"/>
    <n v="2"/>
    <b v="1"/>
    <n v="0"/>
    <n v="41.966939371876791"/>
    <x v="2"/>
    <n v="58.033060628123209"/>
    <n v="0.94927242218174535"/>
    <n v="61.274967000343175"/>
    <n v="0.60948675332786395"/>
    <n v="2"/>
    <b v="1"/>
    <n v="0"/>
    <n v="0.11600574862721555"/>
    <n v="7.4881016796480901"/>
    <n v="0.44697991134052562"/>
    <n v="2"/>
  </r>
  <r>
    <n v="52323"/>
    <s v="52323"/>
    <s v="52"/>
    <s v="COLOMBIA"/>
    <s v="NARIÑO"/>
    <s v="GUALMATÁN"/>
    <x v="5"/>
    <n v="0"/>
    <n v="0"/>
    <n v="0"/>
    <n v="63.23"/>
    <n v="68.227033333333296"/>
    <n v="63.31"/>
    <n v="71.31"/>
    <n v="61.460414841371026"/>
    <n v="45.931849616143651"/>
    <n v="61.468591321408226"/>
    <n v="67.5957537589656"/>
    <s v="3. Vulnerable (&gt;=60 y &lt;70)"/>
    <s v="2. Riesgo (&gt;=40 y &lt;60)"/>
    <s v="3. Vulnerable (&gt;=60 y &lt;70)"/>
    <s v="3. Vulnerable (&gt;=60 y &lt;70)"/>
    <n v="66.519258333333326"/>
    <n v="59.114152384472121"/>
    <n v="62.816705358902723"/>
    <n v="42.11003530468529"/>
    <x v="1"/>
    <n v="57.88996469531471"/>
    <n v="0.9741882058902549"/>
    <n v="61.195293493526208"/>
    <n v="0.59486260384248435"/>
    <n v="2"/>
    <b v="0"/>
    <n v="-1"/>
    <n v="0.97428046393498691"/>
    <n v="61.201088839939125"/>
    <n v="0.56210272167658981"/>
    <n v="2"/>
    <b v="0"/>
    <n v="-1"/>
    <n v="42.11003530468529"/>
    <x v="2"/>
    <n v="57.88996469531471"/>
    <n v="0.94927242218174535"/>
    <n v="59.630166049522614"/>
    <n v="0.58847749390256165"/>
    <n v="2"/>
    <b v="0"/>
    <n v="-1"/>
    <n v="0.11571970562635897"/>
    <n v="7.2691306525499488"/>
    <n v="0.43390908852511334"/>
    <n v="2"/>
  </r>
  <r>
    <n v="17524"/>
    <s v="17524"/>
    <s v="17"/>
    <s v="COLOMBIA"/>
    <s v="CALDAS"/>
    <s v="PALESTINA"/>
    <x v="4"/>
    <n v="0"/>
    <n v="0"/>
    <n v="0"/>
    <n v="57.78"/>
    <n v="58.746899999999997"/>
    <n v="41.25"/>
    <n v="68.260000000000005"/>
    <n v="55.38087919224381"/>
    <n v="60.691128668456209"/>
    <n v="55.248820293738135"/>
    <n v="56.270526237390413"/>
    <s v="2. Riesgo (&gt;=40 y &lt;60)"/>
    <s v="3. Vulnerable (&gt;=60 y &lt;70)"/>
    <s v="2. Riesgo (&gt;=40 y &lt;60)"/>
    <s v="2. Riesgo (&gt;=40 y &lt;60)"/>
    <n v="56.509225000000001"/>
    <n v="56.89783859795714"/>
    <n v="56.703531798978574"/>
    <n v="42.27307804946085"/>
    <x v="1"/>
    <n v="57.72692195053915"/>
    <n v="0.9741882058902549"/>
    <n v="55.239911910887955"/>
    <n v="0.52036705780758519"/>
    <n v="2"/>
    <b v="1"/>
    <n v="0"/>
    <n v="0.97428046393498691"/>
    <n v="55.245143267861131"/>
    <n v="0.49171165727345995"/>
    <n v="2"/>
    <b v="1"/>
    <n v="0"/>
    <n v="42.27307804946085"/>
    <x v="2"/>
    <n v="57.72692195053915"/>
    <n v="0.94927242218174535"/>
    <n v="53.827098977076012"/>
    <n v="0.51435415300429821"/>
    <n v="2"/>
    <b v="1"/>
    <n v="0"/>
    <n v="0.11539378975252415"/>
    <n v="6.5432354266369011"/>
    <n v="0.39057893655843051"/>
    <n v="2"/>
  </r>
  <r>
    <n v="19513"/>
    <s v="19513"/>
    <s v="19"/>
    <s v="COLOMBIA"/>
    <s v="CAUCA"/>
    <s v="PADILLA"/>
    <x v="5"/>
    <n v="0"/>
    <n v="0"/>
    <n v="0"/>
    <n v="65.23"/>
    <n v="68.167000000000002"/>
    <n v="41.49"/>
    <n v="56.2"/>
    <n v="47.706399822735229"/>
    <n v="40.50540833362345"/>
    <n v="54.098305544819439"/>
    <n v="50.587986714326121"/>
    <s v="2. Riesgo (&gt;=40 y &lt;60)"/>
    <s v="2. Riesgo (&gt;=40 y &lt;60)"/>
    <s v="2. Riesgo (&gt;=40 y &lt;60)"/>
    <s v="2. Riesgo (&gt;=40 y &lt;60)"/>
    <n v="57.771749999999997"/>
    <n v="48.224525103876061"/>
    <n v="52.998137551938029"/>
    <n v="42.235389015313494"/>
    <x v="1"/>
    <n v="57.764610984686506"/>
    <n v="0.9741882058902549"/>
    <n v="51.630160537247455"/>
    <n v="0.47521287315994953"/>
    <n v="3"/>
    <b v="1"/>
    <n v="0"/>
    <n v="0.97428046393498691"/>
    <n v="51.635050041792432"/>
    <n v="0.44904533305974748"/>
    <n v="3"/>
    <b v="1"/>
    <n v="0"/>
    <n v="42.235389015313494"/>
    <x v="2"/>
    <n v="57.764610984686506"/>
    <n v="0.94927242218174535"/>
    <n v="50.30967040504953"/>
    <n v="0.46942557405204965"/>
    <n v="3"/>
    <b v="1"/>
    <n v="0"/>
    <n v="0.11546912861237367"/>
    <n v="6.1196487612010033"/>
    <n v="0.36529419307315447"/>
    <n v="3"/>
  </r>
  <r>
    <n v="76845"/>
    <s v="76845"/>
    <s v="76"/>
    <s v="COLOMBIA"/>
    <s v="VALLE DEL CAUCA"/>
    <s v="ULLOA"/>
    <x v="4"/>
    <n v="0"/>
    <n v="0"/>
    <n v="0"/>
    <n v="55.45"/>
    <n v="58.907833333333301"/>
    <n v="39.97"/>
    <n v="41.37"/>
    <n v="57.460651546359358"/>
    <n v="59.882198413139285"/>
    <n v="61.66295651873773"/>
    <n v="55.239613625819104"/>
    <s v="2. Riesgo (&gt;=40 y &lt;60)"/>
    <s v="2. Riesgo (&gt;=40 y &lt;60)"/>
    <s v="3. Vulnerable (&gt;=60 y &lt;70)"/>
    <s v="2. Riesgo (&gt;=40 y &lt;60)"/>
    <n v="48.924458333333327"/>
    <n v="58.561355026013871"/>
    <n v="53.742906679673595"/>
    <n v="42.323487440564556"/>
    <x v="1"/>
    <n v="57.676512559435444"/>
    <n v="0.9741882058902549"/>
    <n v="52.355705837598613"/>
    <n v="0.48428868007050691"/>
    <n v="2"/>
    <b v="1"/>
    <n v="0"/>
    <n v="0.97428046393498691"/>
    <n v="52.360664053087099"/>
    <n v="0.45762109017215441"/>
    <n v="3"/>
    <b v="0"/>
    <n v="1"/>
    <n v="42.323487440564556"/>
    <x v="2"/>
    <n v="57.676512559435444"/>
    <n v="0.94927242218174535"/>
    <n v="51.016659198901252"/>
    <n v="0.47845603513817825"/>
    <n v="3"/>
    <b v="0"/>
    <n v="1"/>
    <n v="0.11529302341193252"/>
    <n v="6.1961821980449123"/>
    <n v="0.36986262847622237"/>
    <n v="3"/>
  </r>
  <r>
    <n v="76563"/>
    <s v="76563"/>
    <s v="76"/>
    <s v="COLOMBIA"/>
    <s v="VALLE DEL CAUCA"/>
    <s v="PRADERA"/>
    <x v="4"/>
    <n v="0"/>
    <n v="0"/>
    <n v="1"/>
    <n v="69.08"/>
    <n v="67.944900000000004"/>
    <n v="62.13"/>
    <n v="57.14"/>
    <n v="61.686815502283359"/>
    <n v="46.150533668974319"/>
    <n v="63.40294282717965"/>
    <n v="54.320486612315577"/>
    <s v="3. Vulnerable (&gt;=60 y &lt;70)"/>
    <s v="2. Riesgo (&gt;=40 y &lt;60)"/>
    <s v="3. Vulnerable (&gt;=60 y &lt;70)"/>
    <s v="2. Riesgo (&gt;=40 y &lt;60)"/>
    <n v="64.073724999999996"/>
    <n v="56.390194652688223"/>
    <n v="60.231959826344109"/>
    <n v="42.011844515778201"/>
    <x v="1"/>
    <n v="57.988155484221799"/>
    <n v="0.9741882058902549"/>
    <n v="58.677264880480074"/>
    <n v="0.56336472014562267"/>
    <n v="2"/>
    <b v="1"/>
    <n v="0"/>
    <n v="0.97428046393498691"/>
    <n v="58.682821763324036"/>
    <n v="0.5323402771026633"/>
    <n v="2"/>
    <b v="1"/>
    <n v="0"/>
    <n v="42.011844515778201"/>
    <x v="2"/>
    <n v="57.988155484221799"/>
    <n v="0.94927242218174535"/>
    <n v="57.176538397107251"/>
    <n v="0.55713698436736647"/>
    <n v="2"/>
    <b v="1"/>
    <n v="0"/>
    <n v="0.11591598505488086"/>
    <n v="6.981846955056688"/>
    <n v="0.41676054445764676"/>
    <n v="2"/>
  </r>
  <r>
    <n v="76275"/>
    <s v="76275"/>
    <s v="76"/>
    <s v="COLOMBIA"/>
    <s v="VALLE DEL CAUCA"/>
    <s v="FLORIDA"/>
    <x v="4"/>
    <n v="0"/>
    <n v="0"/>
    <n v="1"/>
    <n v="63.96"/>
    <n v="67.231833333333299"/>
    <n v="56.81"/>
    <n v="60"/>
    <n v="49.752282480495055"/>
    <n v="49.740946475680765"/>
    <n v="45.931522765242462"/>
    <n v="51.188639975550231"/>
    <s v="2. Riesgo (&gt;=40 y &lt;60)"/>
    <s v="2. Riesgo (&gt;=40 y &lt;60)"/>
    <s v="2. Riesgo (&gt;=40 y &lt;60)"/>
    <s v="2. Riesgo (&gt;=40 y &lt;60)"/>
    <n v="62.000458333333327"/>
    <n v="49.153347924242127"/>
    <n v="55.576903128787727"/>
    <n v="42.043635710776208"/>
    <x v="1"/>
    <n v="57.956364289223792"/>
    <n v="0.9741882058902549"/>
    <n v="54.142363547970213"/>
    <n v="0.50663788471250937"/>
    <n v="2"/>
    <b v="1"/>
    <n v="0"/>
    <n v="0.97428046393498691"/>
    <n v="54.147490964385135"/>
    <n v="0.47873892052642725"/>
    <n v="2"/>
    <b v="1"/>
    <n v="0"/>
    <n v="42.043635710776208"/>
    <x v="2"/>
    <n v="57.956364289223792"/>
    <n v="0.94927242218174535"/>
    <n v="52.757621450424544"/>
    <n v="0.50069357553701133"/>
    <n v="2"/>
    <b v="1"/>
    <n v="0"/>
    <n v="0.115852435737723"/>
    <n v="6.438719598229536"/>
    <n v="0.3843401756930197"/>
    <n v="2"/>
  </r>
  <r>
    <n v="8560"/>
    <s v="08560"/>
    <s v="87"/>
    <s v="COLOMBIA"/>
    <s v="ATLÁNTICO"/>
    <s v="PONEDERA"/>
    <x v="4"/>
    <n v="0"/>
    <n v="0"/>
    <n v="0"/>
    <n v="71.75"/>
    <n v="73.406733333333307"/>
    <n v="68.52"/>
    <n v="15.21"/>
    <n v="58.661829951655697"/>
    <n v="55.720477828615856"/>
    <n v="65.987275526460266"/>
    <n v="54.454608322287839"/>
    <s v="2. Riesgo (&gt;=40 y &lt;60)"/>
    <s v="2. Riesgo (&gt;=40 y &lt;60)"/>
    <s v="3. Vulnerable (&gt;=60 y &lt;70)"/>
    <s v="2. Riesgo (&gt;=40 y &lt;60)"/>
    <n v="57.221683333333324"/>
    <n v="58.70604790725492"/>
    <n v="57.963865620294122"/>
    <n v="42.184466464271644"/>
    <x v="1"/>
    <n v="57.815533535728356"/>
    <n v="0.9741882058902549"/>
    <n v="56.467714255098159"/>
    <n v="0.53572557090799156"/>
    <n v="2"/>
    <b v="1"/>
    <n v="0"/>
    <n v="0.97428046393498691"/>
    <n v="56.473061888005397"/>
    <n v="0.50622396226791622"/>
    <n v="2"/>
    <b v="1"/>
    <n v="0"/>
    <n v="42.184466464271644"/>
    <x v="2"/>
    <n v="57.815533535728356"/>
    <n v="0.94927242218174535"/>
    <n v="55.023499116393793"/>
    <n v="0.52963592973895746"/>
    <n v="2"/>
    <b v="1"/>
    <n v="0"/>
    <n v="0.1155709207389939"/>
    <n v="6.6989373193287056"/>
    <n v="0.39987309697028611"/>
    <n v="2"/>
  </r>
  <r>
    <n v="8421"/>
    <s v="08421"/>
    <s v="87"/>
    <s v="COLOMBIA"/>
    <s v="ATLÁNTICO"/>
    <s v="LURUACO"/>
    <x v="4"/>
    <n v="0"/>
    <n v="0"/>
    <n v="0"/>
    <n v="55.36"/>
    <n v="56.902299999999997"/>
    <n v="56.84"/>
    <n v="61.09"/>
    <n v="56.025658510227444"/>
    <n v="63.919434927720928"/>
    <n v="61.546940846823532"/>
    <n v="58.016236654825747"/>
    <s v="2. Riesgo (&gt;=40 y &lt;60)"/>
    <s v="3. Vulnerable (&gt;=60 y &lt;70)"/>
    <s v="3. Vulnerable (&gt;=60 y &lt;70)"/>
    <s v="2. Riesgo (&gt;=40 y &lt;60)"/>
    <n v="57.548075000000004"/>
    <n v="59.877067734899413"/>
    <n v="58.712571367449712"/>
    <n v="42.26496198704308"/>
    <x v="1"/>
    <n v="57.73503801295692"/>
    <n v="0.9741882058902549"/>
    <n v="57.197094563659384"/>
    <n v="0.54484934972877719"/>
    <n v="2"/>
    <b v="1"/>
    <n v="0"/>
    <n v="0.97428046393498691"/>
    <n v="57.202511270694934"/>
    <n v="0.51484504818187093"/>
    <n v="2"/>
    <b v="1"/>
    <n v="0"/>
    <n v="42.26496198704308"/>
    <x v="2"/>
    <n v="57.73503801295692"/>
    <n v="0.94927242218174535"/>
    <n v="55.734224834497574"/>
    <n v="0.53871412305130162"/>
    <n v="2"/>
    <b v="1"/>
    <n v="0"/>
    <n v="0.11541001343410302"/>
    <n v="6.7760186502681039"/>
    <n v="0.40447423727837567"/>
    <n v="2"/>
  </r>
  <r>
    <n v="8849"/>
    <s v="08849"/>
    <s v="87"/>
    <s v="COLOMBIA"/>
    <s v="ATLÁNTICO"/>
    <s v="USIACURÍ"/>
    <x v="4"/>
    <n v="0"/>
    <n v="0"/>
    <n v="0"/>
    <n v="48.71"/>
    <n v="58.525599999999997"/>
    <n v="74.56"/>
    <n v="73.92"/>
    <n v="47.726864852416256"/>
    <n v="59.225808619245328"/>
    <n v="66.245231753388111"/>
    <n v="65.13473680504228"/>
    <s v="2. Riesgo (&gt;=40 y &lt;60)"/>
    <s v="2. Riesgo (&gt;=40 y &lt;60)"/>
    <s v="3. Vulnerable (&gt;=60 y &lt;70)"/>
    <s v="3. Vulnerable (&gt;=60 y &lt;70)"/>
    <n v="63.928899999999999"/>
    <n v="59.58316050752299"/>
    <n v="61.756030253761494"/>
    <n v="42.358376997987492"/>
    <x v="1"/>
    <n v="57.641623002012508"/>
    <n v="0.9741882058902549"/>
    <n v="60.161996315816211"/>
    <n v="0.58193714534722429"/>
    <n v="2"/>
    <b v="1"/>
    <n v="0"/>
    <n v="0.97428046393498691"/>
    <n v="60.167693806417837"/>
    <n v="0.54988941726032869"/>
    <n v="2"/>
    <b v="1"/>
    <n v="0"/>
    <n v="42.358376997987492"/>
    <x v="2"/>
    <n v="57.641623002012508"/>
    <n v="0.94927242218174535"/>
    <n v="58.623296423317321"/>
    <n v="0.57561661540303799"/>
    <n v="2"/>
    <b v="1"/>
    <n v="0"/>
    <n v="0.11522328059319588"/>
    <n v="7.1157324022510542"/>
    <n v="0.42475243717985361"/>
    <n v="2"/>
  </r>
  <r>
    <n v="5607"/>
    <s v="05607"/>
    <s v="50"/>
    <s v="COLOMBIA"/>
    <s v="ANTIOQUIA"/>
    <s v="RETIRO"/>
    <x v="0"/>
    <n v="0"/>
    <n v="0"/>
    <n v="0"/>
    <n v="67.53"/>
    <n v="73.561899999999994"/>
    <n v="71.099999999999994"/>
    <n v="76.45"/>
    <n v="63.602802002019104"/>
    <n v="66.732966266231386"/>
    <n v="65.279584288087989"/>
    <n v="70.236791950540578"/>
    <s v="3. Vulnerable (&gt;=60 y &lt;70)"/>
    <s v="3. Vulnerable (&gt;=60 y &lt;70)"/>
    <s v="3. Vulnerable (&gt;=60 y &lt;70)"/>
    <s v="4. Solvente (&gt;=70 y &lt;80)"/>
    <n v="72.160475000000005"/>
    <n v="66.463036126719771"/>
    <n v="69.311755563359895"/>
    <n v="42.499712615040089"/>
    <x v="1"/>
    <n v="57.500287384959911"/>
    <n v="0.9741882058902549"/>
    <n v="67.522694799373468"/>
    <n v="0.6740117244689765"/>
    <n v="1"/>
    <b v="1"/>
    <n v="0"/>
    <n v="0.97428046393498691"/>
    <n v="67.529089366418688"/>
    <n v="0.6368909626388144"/>
    <n v="1"/>
    <b v="1"/>
    <n v="0"/>
    <n v="42.499712615040089"/>
    <x v="2"/>
    <n v="57.500287384959911"/>
    <n v="0.94927242218174535"/>
    <n v="65.795738089299718"/>
    <n v="0.66723115854778536"/>
    <n v="1"/>
    <b v="1"/>
    <n v="0"/>
    <n v="0.11494075639256927"/>
    <n v="7.9667456113494577"/>
    <n v="0.47555113423631468"/>
    <n v="2"/>
  </r>
  <r>
    <n v="25645"/>
    <s v="25645"/>
    <s v="25"/>
    <s v="COLOMBIA"/>
    <s v="CUNDINAMARCA"/>
    <s v="SAN ANTONIO DEL TEQUENDAMA"/>
    <x v="4"/>
    <n v="0"/>
    <n v="0"/>
    <n v="0"/>
    <n v="48.42"/>
    <n v="60.3539666666667"/>
    <n v="77.33"/>
    <n v="60.53"/>
    <n v="61.436273492197756"/>
    <n v="63.218320748251429"/>
    <n v="63.415232932879036"/>
    <n v="68.674242396996206"/>
    <s v="3. Vulnerable (&gt;=60 y &lt;70)"/>
    <s v="3. Vulnerable (&gt;=60 y &lt;70)"/>
    <s v="3. Vulnerable (&gt;=60 y &lt;70)"/>
    <s v="3. Vulnerable (&gt;=60 y &lt;70)"/>
    <n v="61.65849166666667"/>
    <n v="64.186017392581107"/>
    <n v="62.922254529623885"/>
    <n v="42.224983947694064"/>
    <x v="1"/>
    <n v="57.775016052305936"/>
    <n v="0.9741882058902549"/>
    <n v="61.298118250784256"/>
    <n v="0.59614883316827183"/>
    <n v="2"/>
    <b v="1"/>
    <n v="0"/>
    <n v="0.97428046393498691"/>
    <n v="61.30392333495729"/>
    <n v="0.56331808361603108"/>
    <n v="2"/>
    <b v="1"/>
    <n v="0"/>
    <n v="42.224983947694064"/>
    <x v="2"/>
    <n v="57.775016052305936"/>
    <n v="0.94927242218174535"/>
    <n v="59.730360966472361"/>
    <n v="0.58975729678828082"/>
    <n v="2"/>
    <b v="1"/>
    <n v="0"/>
    <n v="0.11548992792307078"/>
    <n v="7.2668866403833761"/>
    <n v="0.43377513890714975"/>
    <n v="2"/>
  </r>
  <r>
    <n v="68081"/>
    <s v="68081"/>
    <s v="68"/>
    <s v="COLOMBIA"/>
    <s v="SANTANDER"/>
    <s v="BARRANCABERMEJA"/>
    <x v="0"/>
    <n v="0"/>
    <n v="0"/>
    <n v="0"/>
    <n v="76.2"/>
    <n v="76.667366666666695"/>
    <n v="64.14"/>
    <n v="69.790000000000006"/>
    <n v="54.64046569680167"/>
    <n v="55.976064558697729"/>
    <n v="60.616484239856803"/>
    <n v="64.593928240920292"/>
    <s v="2. Riesgo (&gt;=40 y &lt;60)"/>
    <s v="2. Riesgo (&gt;=40 y &lt;60)"/>
    <s v="3. Vulnerable (&gt;=60 y &lt;70)"/>
    <s v="3. Vulnerable (&gt;=60 y &lt;70)"/>
    <n v="71.699341666666683"/>
    <n v="58.956735684069123"/>
    <n v="65.328038675367907"/>
    <n v="42.407312390030413"/>
    <x v="1"/>
    <n v="57.592687609969587"/>
    <n v="0.9741882058902549"/>
    <n v="63.641804791485846"/>
    <n v="0.62546588131396985"/>
    <n v="2"/>
    <b v="0"/>
    <n v="1"/>
    <n v="0.97428046393498691"/>
    <n v="63.647831828600211"/>
    <n v="0.59101985015072722"/>
    <n v="2"/>
    <b v="0"/>
    <n v="1"/>
    <n v="42.407312390030413"/>
    <x v="2"/>
    <n v="57.592687609969587"/>
    <n v="0.94927242218174535"/>
    <n v="62.014105509749228"/>
    <n v="0.61892786696997126"/>
    <n v="2"/>
    <b v="0"/>
    <n v="1"/>
    <n v="0.11512546071730337"/>
    <n v="7.5209205502595431"/>
    <n v="0.44893893600442319"/>
    <n v="2"/>
  </r>
  <r>
    <n v="25001"/>
    <s v="25001"/>
    <s v="25"/>
    <s v="COLOMBIA"/>
    <s v="CUNDINAMARCA"/>
    <s v="AGUA DE DIOS"/>
    <x v="4"/>
    <n v="0"/>
    <n v="0"/>
    <n v="0"/>
    <n v="58.63"/>
    <n v="61.833666666666701"/>
    <n v="75.7"/>
    <n v="74.510000000000005"/>
    <n v="60.79026033146009"/>
    <n v="61.010832781151421"/>
    <n v="67.586349224111686"/>
    <n v="64.249724630331642"/>
    <s v="3. Vulnerable (&gt;=60 y &lt;70)"/>
    <s v="3. Vulnerable (&gt;=60 y &lt;70)"/>
    <s v="3. Vulnerable (&gt;=60 y &lt;70)"/>
    <s v="3. Vulnerable (&gt;=60 y &lt;70)"/>
    <n v="67.668416666666673"/>
    <n v="63.40929174176371"/>
    <n v="65.538854204215198"/>
    <n v="42.52803957895533"/>
    <x v="1"/>
    <n v="57.47196042104467"/>
    <n v="0.9741882058902549"/>
    <n v="63.847178793307393"/>
    <n v="0.62803489359215381"/>
    <n v="2"/>
    <b v="1"/>
    <n v="0"/>
    <n v="0.97428046393498691"/>
    <n v="63.85322527985025"/>
    <n v="0.59344731754107793"/>
    <n v="2"/>
    <b v="1"/>
    <n v="0"/>
    <n v="42.52803957895533"/>
    <x v="2"/>
    <n v="57.47196042104467"/>
    <n v="0.94927242218174535"/>
    <n v="62.214226877451622"/>
    <n v="0.6214840435872746"/>
    <n v="2"/>
    <b v="1"/>
    <n v="0"/>
    <n v="0.11488413193368745"/>
    <n v="7.5293743731797651"/>
    <n v="0.44944356176686967"/>
    <n v="2"/>
  </r>
  <r>
    <n v="54553"/>
    <s v="54553"/>
    <s v="54"/>
    <s v="COLOMBIA"/>
    <s v="NORTE DE SANTANDER"/>
    <s v="PUERTO SANTANDER"/>
    <x v="5"/>
    <n v="0"/>
    <n v="0"/>
    <n v="0"/>
    <n v="44.1"/>
    <n v="56.0137"/>
    <n v="70.03"/>
    <n v="72.98"/>
    <n v="59.571904986409265"/>
    <n v="52.762857590666215"/>
    <n v="52.805541300703581"/>
    <n v="62.293607089537645"/>
    <s v="2. Riesgo (&gt;=40 y &lt;60)"/>
    <s v="2. Riesgo (&gt;=40 y &lt;60)"/>
    <s v="2. Riesgo (&gt;=40 y &lt;60)"/>
    <s v="3. Vulnerable (&gt;=60 y &lt;70)"/>
    <n v="60.780924999999996"/>
    <n v="56.858477741829176"/>
    <n v="58.819701370914586"/>
    <n v="42.386201410761501"/>
    <x v="1"/>
    <n v="57.613798589238499"/>
    <n v="0.9741882058902549"/>
    <n v="57.301459349531846"/>
    <n v="0.54615484318918783"/>
    <n v="2"/>
    <b v="0"/>
    <n v="-1"/>
    <n v="0.97428046393498691"/>
    <n v="57.306885940172052"/>
    <n v="0.51607861285977241"/>
    <n v="2"/>
    <b v="0"/>
    <n v="-1"/>
    <n v="42.386201410761501"/>
    <x v="2"/>
    <n v="57.613798589238499"/>
    <n v="0.94927242218174535"/>
    <n v="55.835920392375016"/>
    <n v="0.54001309382146212"/>
    <n v="2"/>
    <b v="0"/>
    <n v="-1"/>
    <n v="0.11516766071378531"/>
    <n v="6.7741274107716638"/>
    <n v="0.40436134537351009"/>
    <n v="2"/>
  </r>
  <r>
    <n v="13052"/>
    <s v="13052"/>
    <s v="13"/>
    <s v="COLOMBIA"/>
    <s v="BOLÍVAR"/>
    <s v="ARJONA"/>
    <x v="5"/>
    <n v="0"/>
    <n v="0"/>
    <n v="0"/>
    <n v="46.04"/>
    <n v="47.155299999999997"/>
    <n v="37.479999999999997"/>
    <n v="29.29"/>
    <n v="50.959516220193521"/>
    <n v="46.569539686131989"/>
    <n v="31.804862635461024"/>
    <n v="45.512413597395458"/>
    <s v="2. Riesgo (&gt;=40 y &lt;60)"/>
    <s v="2. Riesgo (&gt;=40 y &lt;60)"/>
    <s v="1. Deterioro (&lt;40)"/>
    <s v="2. Riesgo (&gt;=40 y &lt;60)"/>
    <n v="39.991324999999996"/>
    <n v="43.711583034795503"/>
    <n v="41.851454017397749"/>
    <n v="42.531775252044625"/>
    <x v="1"/>
    <n v="57.468224747955375"/>
    <n v="0.9741882058902549"/>
    <n v="40.771192903107213"/>
    <n v="0.33937863448767142"/>
    <n v="4"/>
    <b v="0"/>
    <n v="1"/>
    <n v="0.97428046393498691"/>
    <n v="40.775054036424052"/>
    <n v="0.32069515440542701"/>
    <n v="4"/>
    <b v="0"/>
    <n v="1"/>
    <n v="42.531775252044625"/>
    <x v="2"/>
    <n v="57.468224747955375"/>
    <n v="0.94927242218174535"/>
    <n v="39.728431126923098"/>
    <n v="0.33427000952951369"/>
    <n v="4"/>
    <b v="0"/>
    <n v="1"/>
    <n v="0.11487666447378339"/>
    <n v="4.8077554408965755"/>
    <n v="0.28698463143997716"/>
    <n v="4"/>
  </r>
  <r>
    <n v="52399"/>
    <s v="52399"/>
    <s v="52"/>
    <s v="COLOMBIA"/>
    <s v="NARIÑO"/>
    <s v="LA UNIÓN"/>
    <x v="5"/>
    <n v="0"/>
    <n v="0"/>
    <n v="0"/>
    <n v="50.6"/>
    <n v="49.963466666666697"/>
    <n v="54.09"/>
    <n v="43.52"/>
    <n v="53.633784614019753"/>
    <n v="55.807394088589191"/>
    <n v="65.716040865231804"/>
    <n v="70.371862080786769"/>
    <s v="2. Riesgo (&gt;=40 y &lt;60)"/>
    <s v="2. Riesgo (&gt;=40 y &lt;60)"/>
    <s v="3. Vulnerable (&gt;=60 y &lt;70)"/>
    <s v="4. Solvente (&gt;=70 y &lt;80)"/>
    <n v="49.543366666666678"/>
    <n v="61.382270412156878"/>
    <n v="55.462818539411778"/>
    <n v="42.512355155952278"/>
    <x v="1"/>
    <n v="57.487644844047722"/>
    <n v="0.9741882058902549"/>
    <n v="54.031223686526324"/>
    <n v="0.50524764219830298"/>
    <n v="2"/>
    <b v="0"/>
    <n v="-1"/>
    <n v="0.97428046393498691"/>
    <n v="54.036340577720097"/>
    <n v="0.47742527621395214"/>
    <n v="2"/>
    <b v="0"/>
    <n v="-1"/>
    <n v="42.512355155952278"/>
    <x v="2"/>
    <n v="57.487644844047722"/>
    <n v="0.94927242218174535"/>
    <n v="52.649324095934027"/>
    <n v="0.49931027914821113"/>
    <n v="2"/>
    <b v="0"/>
    <n v="-1"/>
    <n v="0.11491548446296233"/>
    <n v="6.3735366621378731"/>
    <n v="0.38044927460197897"/>
    <n v="2"/>
  </r>
  <r>
    <n v="5390"/>
    <s v="05390"/>
    <s v="50"/>
    <s v="COLOMBIA"/>
    <s v="ANTIOQUIA"/>
    <s v="LA PINTADA"/>
    <x v="5"/>
    <n v="0"/>
    <n v="0"/>
    <n v="0"/>
    <n v="44.77"/>
    <n v="46.582799999999999"/>
    <n v="44.88"/>
    <n v="49.52"/>
    <n v="61.380365747975127"/>
    <n v="56.411658879341388"/>
    <n v="42.857350059228182"/>
    <n v="57.766455675491734"/>
    <s v="3. Vulnerable (&gt;=60 y &lt;70)"/>
    <s v="2. Riesgo (&gt;=40 y &lt;60)"/>
    <s v="2. Riesgo (&gt;=40 y &lt;60)"/>
    <s v="2. Riesgo (&gt;=40 y &lt;60)"/>
    <n v="46.438200000000002"/>
    <n v="54.603957590509111"/>
    <n v="50.521078795254553"/>
    <n v="42.226691618324345"/>
    <x v="1"/>
    <n v="57.773308381675655"/>
    <n v="0.9741882058902549"/>
    <n v="49.21703911118923"/>
    <n v="0.44502726778970814"/>
    <n v="3"/>
    <b v="1"/>
    <n v="0"/>
    <n v="0.97428046393498691"/>
    <n v="49.221700087136632"/>
    <n v="0.42052286420410989"/>
    <n v="3"/>
    <b v="1"/>
    <n v="0"/>
    <n v="42.226691618324345"/>
    <x v="2"/>
    <n v="57.773308381675655"/>
    <n v="0.94927242218174535"/>
    <n v="47.958266839206104"/>
    <n v="0.43939078625372052"/>
    <n v="3"/>
    <b v="1"/>
    <n v="0"/>
    <n v="0.11548651435832458"/>
    <n v="5.8345032916862118"/>
    <n v="0.34827328415183439"/>
    <n v="3"/>
  </r>
  <r>
    <n v="41551"/>
    <s v="41551"/>
    <s v="41"/>
    <s v="COLOMBIA"/>
    <s v="HUILA"/>
    <s v="PITALITO"/>
    <x v="4"/>
    <n v="0"/>
    <n v="0"/>
    <n v="0"/>
    <n v="66.52"/>
    <n v="69.794899999999998"/>
    <n v="70.099999999999994"/>
    <n v="66.45"/>
    <n v="54.461053813555736"/>
    <n v="59.583313792015879"/>
    <n v="59.030910461287732"/>
    <n v="54.897960914006248"/>
    <s v="2. Riesgo (&gt;=40 y &lt;60)"/>
    <s v="2. Riesgo (&gt;=40 y &lt;60)"/>
    <s v="2. Riesgo (&gt;=40 y &lt;60)"/>
    <s v="2. Riesgo (&gt;=40 y &lt;60)"/>
    <n v="68.216224999999994"/>
    <n v="56.993309745216393"/>
    <n v="62.604767372608194"/>
    <n v="42.66467170995513"/>
    <x v="1"/>
    <n v="57.33532829004487"/>
    <n v="0.9741882058902549"/>
    <n v="60.988826006897945"/>
    <n v="0.5922799132220099"/>
    <n v="2"/>
    <b v="1"/>
    <n v="0"/>
    <n v="0.97428046393498691"/>
    <n v="60.994601800326642"/>
    <n v="0.55966232957967166"/>
    <n v="2"/>
    <b v="1"/>
    <n v="0"/>
    <n v="42.66467170995513"/>
    <x v="2"/>
    <n v="57.33532829004487"/>
    <n v="0.94927242218174535"/>
    <n v="59.428979163920481"/>
    <n v="0.5859077072846276"/>
    <n v="2"/>
    <b v="1"/>
    <n v="0"/>
    <n v="0.11461100981206213"/>
    <n v="7.1751956076238645"/>
    <n v="0.42830191599339601"/>
    <n v="2"/>
  </r>
  <r>
    <n v="54518"/>
    <s v="54518"/>
    <s v="54"/>
    <s v="COLOMBIA"/>
    <s v="NORTE DE SANTANDER"/>
    <s v="PAMPLONA"/>
    <x v="4"/>
    <n v="0"/>
    <n v="0"/>
    <n v="0"/>
    <n v="69.930000000000007"/>
    <n v="73.629199999999997"/>
    <n v="64.040000000000006"/>
    <n v="79.099999999999994"/>
    <n v="44.463575967049628"/>
    <n v="42.67365193038242"/>
    <n v="45.948251238953318"/>
    <n v="54.917496770563559"/>
    <s v="2. Riesgo (&gt;=40 y &lt;60)"/>
    <s v="2. Riesgo (&gt;=40 y &lt;60)"/>
    <s v="2. Riesgo (&gt;=40 y &lt;60)"/>
    <s v="2. Riesgo (&gt;=40 y &lt;60)"/>
    <n v="71.674800000000005"/>
    <n v="47.000743976737226"/>
    <n v="59.337771988368615"/>
    <n v="42.488090262517872"/>
    <x v="1"/>
    <n v="57.511909737482128"/>
    <n v="0.9741882058902549"/>
    <n v="57.806157634873841"/>
    <n v="0.55246808673667747"/>
    <n v="2"/>
    <b v="1"/>
    <n v="0"/>
    <n v="0.97428046393498691"/>
    <n v="57.811632021696248"/>
    <n v="0.52204401558245062"/>
    <n v="2"/>
    <b v="1"/>
    <n v="0"/>
    <n v="42.488090262517872"/>
    <x v="2"/>
    <n v="57.511909737482128"/>
    <n v="0.94927242218174535"/>
    <n v="56.327710542266793"/>
    <n v="0.54629479425258731"/>
    <n v="2"/>
    <b v="1"/>
    <n v="0"/>
    <n v="0.11496398900671294"/>
    <n v="6.8217069665536485"/>
    <n v="0.40720146514416639"/>
    <n v="2"/>
  </r>
  <r>
    <n v="8372"/>
    <s v="08372"/>
    <s v="87"/>
    <s v="COLOMBIA"/>
    <s v="ATLÁNTICO"/>
    <s v="JUAN DE ACOSTA"/>
    <x v="5"/>
    <n v="0"/>
    <n v="0"/>
    <n v="0"/>
    <n v="38.21"/>
    <n v="42.2961666666667"/>
    <n v="65.75"/>
    <n v="55.32"/>
    <n v="62.014218194474012"/>
    <n v="48.312917430334309"/>
    <n v="50.080389120855969"/>
    <n v="53.345812302839889"/>
    <s v="3. Vulnerable (&gt;=60 y &lt;70)"/>
    <s v="2. Riesgo (&gt;=40 y &lt;60)"/>
    <s v="2. Riesgo (&gt;=40 y &lt;60)"/>
    <s v="2. Riesgo (&gt;=40 y &lt;60)"/>
    <n v="50.394041666666674"/>
    <n v="53.438334262126048"/>
    <n v="51.916187964396357"/>
    <n v="42.769764192415515"/>
    <x v="1"/>
    <n v="57.230235807584485"/>
    <n v="0.9741882058902549"/>
    <n v="50.576138009696535"/>
    <n v="0.46202816238475758"/>
    <n v="3"/>
    <b v="1"/>
    <n v="0"/>
    <n v="0.97428046393498691"/>
    <n v="50.580927695688068"/>
    <n v="0.43658706038827266"/>
    <n v="3"/>
    <b v="1"/>
    <n v="0"/>
    <n v="42.769764192415515"/>
    <x v="2"/>
    <n v="57.230235807584485"/>
    <n v="0.94927242218174535"/>
    <n v="49.282605499405307"/>
    <n v="0.4563067385853396"/>
    <n v="3"/>
    <b v="1"/>
    <n v="0"/>
    <n v="0.11440093417636489"/>
    <n v="5.9392604020026951"/>
    <n v="0.35452644762166485"/>
    <n v="3"/>
  </r>
  <r>
    <n v="50313"/>
    <s v="50313"/>
    <s v="50"/>
    <s v="COLOMBIA"/>
    <s v="META"/>
    <s v="GRANADA"/>
    <x v="0"/>
    <n v="0"/>
    <n v="0"/>
    <n v="0"/>
    <n v="69.569999999999993"/>
    <n v="73.116366666666707"/>
    <n v="76.72"/>
    <n v="59.38"/>
    <n v="67.363629926563448"/>
    <n v="67.924420648000307"/>
    <n v="55.113414642475327"/>
    <n v="56.947385547582172"/>
    <s v="3. Vulnerable (&gt;=60 y &lt;70)"/>
    <s v="3. Vulnerable (&gt;=60 y &lt;70)"/>
    <s v="2. Riesgo (&gt;=40 y &lt;60)"/>
    <s v="2. Riesgo (&gt;=40 y &lt;60)"/>
    <n v="69.696591666666677"/>
    <n v="61.837212691155315"/>
    <n v="65.766902178910996"/>
    <n v="42.944039219816787"/>
    <x v="1"/>
    <n v="57.055960780183213"/>
    <n v="0.9741882058902549"/>
    <n v="64.069340440633198"/>
    <n v="0.63081390161974971"/>
    <n v="2"/>
    <b v="0"/>
    <n v="1"/>
    <n v="0.97428046393498691"/>
    <n v="64.075407966436302"/>
    <n v="0.59607321054353568"/>
    <n v="2"/>
    <b v="0"/>
    <n v="1"/>
    <n v="42.944039219816787"/>
    <x v="2"/>
    <n v="57.055960780183213"/>
    <n v="0.94927242218174535"/>
    <n v="62.430706530764745"/>
    <n v="0.62424916674365771"/>
    <n v="2"/>
    <b v="0"/>
    <n v="1"/>
    <n v="0.11405256542238405"/>
    <n v="7.5008839133877787"/>
    <n v="0.44774290868593136"/>
    <n v="2"/>
  </r>
  <r>
    <n v="25019"/>
    <s v="25019"/>
    <s v="25"/>
    <s v="COLOMBIA"/>
    <s v="CUNDINAMARCA"/>
    <s v="ALBÁN"/>
    <x v="4"/>
    <n v="0"/>
    <n v="0"/>
    <n v="0"/>
    <n v="50.41"/>
    <n v="61.272066666666703"/>
    <n v="88.09"/>
    <n v="44.65"/>
    <n v="61.463876326276321"/>
    <n v="59.202681551809107"/>
    <n v="69.658619267999839"/>
    <n v="75.347457460788277"/>
    <s v="3. Vulnerable (&gt;=60 y &lt;70)"/>
    <s v="2. Riesgo (&gt;=40 y &lt;60)"/>
    <s v="3. Vulnerable (&gt;=60 y &lt;70)"/>
    <s v="4. Solvente (&gt;=70 y &lt;80)"/>
    <n v="61.105516666666681"/>
    <n v="66.418158651718386"/>
    <n v="63.761837659192537"/>
    <n v="43.134979097709419"/>
    <x v="1"/>
    <n v="56.865020902290581"/>
    <n v="0.9741882058902549"/>
    <n v="62.116030233474469"/>
    <n v="0.60638004991123018"/>
    <n v="2"/>
    <b v="1"/>
    <n v="0"/>
    <n v="0.97428046393498691"/>
    <n v="62.121912775945425"/>
    <n v="0.5729855909370537"/>
    <n v="2"/>
    <b v="1"/>
    <n v="0"/>
    <n v="43.134979097709419"/>
    <x v="2"/>
    <n v="56.865020902290581"/>
    <n v="0.94927242218174535"/>
    <n v="60.527354077500924"/>
    <n v="0.59993739488551534"/>
    <n v="2"/>
    <b v="1"/>
    <n v="0"/>
    <n v="0.11367088430410456"/>
    <n v="7.2478644715751717"/>
    <n v="0.43263966723607122"/>
    <n v="2"/>
  </r>
  <r>
    <n v="25486"/>
    <s v="25486"/>
    <s v="25"/>
    <s v="COLOMBIA"/>
    <s v="CUNDINAMARCA"/>
    <s v="NEMOCÓN"/>
    <x v="4"/>
    <n v="0"/>
    <n v="0"/>
    <n v="0"/>
    <n v="63.41"/>
    <n v="68.3048"/>
    <n v="91.23"/>
    <n v="44.21"/>
    <n v="53.7842971148198"/>
    <n v="54.70370090748871"/>
    <n v="53.452103303370514"/>
    <n v="59.492878802808875"/>
    <s v="2. Riesgo (&gt;=40 y &lt;60)"/>
    <s v="2. Riesgo (&gt;=40 y &lt;60)"/>
    <s v="2. Riesgo (&gt;=40 y &lt;60)"/>
    <s v="2. Riesgo (&gt;=40 y &lt;60)"/>
    <n v="66.788699999999992"/>
    <n v="55.358245032121971"/>
    <n v="61.073472516060981"/>
    <n v="43.163613068935653"/>
    <x v="1"/>
    <n v="56.836386931064347"/>
    <n v="0.9741882058902549"/>
    <n v="59.497056617909237"/>
    <n v="0.57361945063891706"/>
    <n v="2"/>
    <b v="1"/>
    <n v="0"/>
    <n v="0.97428046393498691"/>
    <n v="59.502691137068567"/>
    <n v="0.54203000263675172"/>
    <n v="2"/>
    <b v="1"/>
    <n v="0"/>
    <n v="43.163613068935653"/>
    <x v="2"/>
    <n v="56.836386931064347"/>
    <n v="0.94927242218174535"/>
    <n v="57.97536318637146"/>
    <n v="0.56734047873222659"/>
    <n v="2"/>
    <b v="1"/>
    <n v="0"/>
    <n v="0.11361364614998488"/>
    <n v="6.9387798955905797"/>
    <n v="0.41418978470498763"/>
    <n v="2"/>
  </r>
  <r>
    <n v="23660"/>
    <s v="23660"/>
    <s v="23"/>
    <s v="COLOMBIA"/>
    <s v="CÓRDOBA"/>
    <s v="SAHAGÚN"/>
    <x v="4"/>
    <n v="0"/>
    <n v="0"/>
    <n v="0"/>
    <n v="62.07"/>
    <n v="64.136033333333302"/>
    <n v="45"/>
    <n v="51.85"/>
    <n v="62.999898619609603"/>
    <n v="56.843726850025242"/>
    <n v="49.872561429425701"/>
    <n v="55.919511946679599"/>
    <s v="3. Vulnerable (&gt;=60 y &lt;70)"/>
    <s v="2. Riesgo (&gt;=40 y &lt;60)"/>
    <s v="2. Riesgo (&gt;=40 y &lt;60)"/>
    <s v="2. Riesgo (&gt;=40 y &lt;60)"/>
    <n v="55.764008333333322"/>
    <n v="56.408924711435034"/>
    <n v="56.086466522384178"/>
    <n v="42.953537121416687"/>
    <x v="1"/>
    <n v="57.046462878583313"/>
    <n v="0.9741882058902549"/>
    <n v="54.638774196165286"/>
    <n v="0.51284745865528403"/>
    <n v="2"/>
    <b v="1"/>
    <n v="0"/>
    <n v="0.97428046393498691"/>
    <n v="54.643948623902567"/>
    <n v="0.48460636552934161"/>
    <n v="2"/>
    <b v="1"/>
    <n v="0"/>
    <n v="42.953537121416687"/>
    <x v="2"/>
    <n v="57.046462878583313"/>
    <n v="0.94927242218174535"/>
    <n v="53.241335927319"/>
    <n v="0.50687212433209816"/>
    <n v="2"/>
    <b v="1"/>
    <n v="0"/>
    <n v="0.11403357949998814"/>
    <n v="6.3957405390537199"/>
    <n v="0.38177466885540307"/>
    <n v="2"/>
  </r>
  <r>
    <n v="25312"/>
    <s v="25312"/>
    <s v="25"/>
    <s v="COLOMBIA"/>
    <s v="CUNDINAMARCA"/>
    <s v="GRANADA"/>
    <x v="0"/>
    <n v="0"/>
    <n v="0"/>
    <n v="0"/>
    <n v="76.11"/>
    <n v="78.777433333333306"/>
    <n v="92.13"/>
    <n v="44.38"/>
    <n v="68.83975084772284"/>
    <n v="68.878308814424486"/>
    <n v="68.337421517303383"/>
    <n v="71.599118898077535"/>
    <s v="3. Vulnerable (&gt;=60 y &lt;70)"/>
    <s v="3. Vulnerable (&gt;=60 y &lt;70)"/>
    <s v="3. Vulnerable (&gt;=60 y &lt;70)"/>
    <s v="4. Solvente (&gt;=70 y &lt;80)"/>
    <n v="72.849358333333328"/>
    <n v="69.413650019382061"/>
    <n v="71.131504176357694"/>
    <n v="42.952464598332462"/>
    <x v="1"/>
    <n v="57.047535401667538"/>
    <n v="0.9741882058902549"/>
    <n v="69.295472435841077"/>
    <n v="0.69618730401741713"/>
    <n v="1"/>
    <b v="1"/>
    <n v="0"/>
    <n v="0.97428046393498691"/>
    <n v="69.302034889335232"/>
    <n v="0.65784473412254496"/>
    <n v="1"/>
    <b v="1"/>
    <n v="0"/>
    <n v="42.952464598332462"/>
    <x v="2"/>
    <n v="57.047535401667538"/>
    <n v="0.94927242218174535"/>
    <n v="67.52317526292201"/>
    <n v="0.68929594134319672"/>
    <n v="1"/>
    <b v="1"/>
    <n v="0"/>
    <n v="0.11403572343039536"/>
    <n v="8.1115325374431393"/>
    <n v="0.4841937582493559"/>
    <n v="2"/>
  </r>
  <r>
    <n v="23464"/>
    <s v="23464"/>
    <s v="23"/>
    <s v="COLOMBIA"/>
    <s v="CÓRDOBA"/>
    <s v="MOMIL"/>
    <x v="5"/>
    <n v="0"/>
    <n v="0"/>
    <n v="0"/>
    <n v="37.11"/>
    <n v="37.633033333333302"/>
    <n v="31.29"/>
    <n v="31.55"/>
    <n v="53.7295093888373"/>
    <n v="48.070814753778954"/>
    <n v="56.167032294179876"/>
    <n v="49.555304184800349"/>
    <s v="2. Riesgo (&gt;=40 y &lt;60)"/>
    <s v="2. Riesgo (&gt;=40 y &lt;60)"/>
    <s v="2. Riesgo (&gt;=40 y &lt;60)"/>
    <s v="2. Riesgo (&gt;=40 y &lt;60)"/>
    <n v="34.395758333333326"/>
    <n v="51.880665155399122"/>
    <n v="43.138211744366224"/>
    <n v="42.936834743339972"/>
    <x v="1"/>
    <n v="57.063165256660028"/>
    <n v="0.9741882058902549"/>
    <n v="42.024737104558056"/>
    <n v="0.35505915108768293"/>
    <n v="3"/>
    <b v="1"/>
    <n v="0"/>
    <n v="0.97428046393498691"/>
    <n v="42.028716951626826"/>
    <n v="0.33551172147037173"/>
    <n v="4"/>
    <b v="0"/>
    <n v="1"/>
    <n v="42.936834743339972"/>
    <x v="2"/>
    <n v="57.063165256660028"/>
    <n v="0.94927242218174535"/>
    <n v="40.94991475116354"/>
    <n v="0.34987218092455297"/>
    <n v="4"/>
    <b v="0"/>
    <n v="1"/>
    <n v="0.11406696688041702"/>
    <n v="4.9206449703250383"/>
    <n v="0.29372323542987105"/>
    <n v="3"/>
  </r>
  <r>
    <n v="19807"/>
    <s v="19807"/>
    <s v="19"/>
    <s v="COLOMBIA"/>
    <s v="CAUCA"/>
    <s v="TIMBÍO"/>
    <x v="4"/>
    <n v="0"/>
    <n v="0"/>
    <n v="0"/>
    <n v="61.89"/>
    <n v="63.480133333333299"/>
    <n v="63.91"/>
    <n v="60.77"/>
    <n v="50.295522235678987"/>
    <n v="51.597366775897754"/>
    <n v="56.431438257873822"/>
    <n v="56.880176265957147"/>
    <s v="2. Riesgo (&gt;=40 y &lt;60)"/>
    <s v="2. Riesgo (&gt;=40 y &lt;60)"/>
    <s v="2. Riesgo (&gt;=40 y &lt;60)"/>
    <s v="2. Riesgo (&gt;=40 y &lt;60)"/>
    <n v="62.51253333333333"/>
    <n v="53.801125883851931"/>
    <n v="58.156829608592631"/>
    <n v="42.968824297740696"/>
    <x v="1"/>
    <n v="57.031175702259304"/>
    <n v="0.9741882058902549"/>
    <n v="56.65569749666011"/>
    <n v="0.53807704310691717"/>
    <n v="2"/>
    <b v="1"/>
    <n v="0"/>
    <n v="0.97428046393498691"/>
    <n v="56.661062932047614"/>
    <n v="0.5084458753863087"/>
    <n v="2"/>
    <b v="1"/>
    <n v="0"/>
    <n v="42.968824297740696"/>
    <x v="2"/>
    <n v="57.031175702259304"/>
    <n v="0.94927242218174535"/>
    <n v="55.206674508959772"/>
    <n v="0.53197565318137785"/>
    <n v="2"/>
    <b v="1"/>
    <n v="0"/>
    <n v="0.11400302105080988"/>
    <n v="6.6300542701167489"/>
    <n v="0.3957613286547853"/>
    <n v="2"/>
  </r>
  <r>
    <n v="76895"/>
    <s v="76895"/>
    <s v="76"/>
    <s v="COLOMBIA"/>
    <s v="VALLE DEL CAUCA"/>
    <s v="ZARZAL"/>
    <x v="0"/>
    <n v="0"/>
    <n v="0"/>
    <n v="0"/>
    <n v="79.92"/>
    <n v="82.6779333333333"/>
    <n v="77.069999999999993"/>
    <n v="81.8"/>
    <n v="57.694407089128156"/>
    <n v="60.133691759904508"/>
    <n v="60.499319405997134"/>
    <n v="71.437672704678661"/>
    <s v="2. Riesgo (&gt;=40 y &lt;60)"/>
    <s v="3. Vulnerable (&gt;=60 y &lt;70)"/>
    <s v="3. Vulnerable (&gt;=60 y &lt;70)"/>
    <s v="4. Solvente (&gt;=70 y &lt;80)"/>
    <n v="80.366983333333323"/>
    <n v="62.441272739927115"/>
    <n v="71.404128036630226"/>
    <n v="43.05684236324943"/>
    <x v="1"/>
    <n v="56.94315763675057"/>
    <n v="0.9741882058902549"/>
    <n v="69.561059385162849"/>
    <n v="0.69950951679839957"/>
    <n v="1"/>
    <b v="1"/>
    <n v="0"/>
    <n v="0.97428046393498691"/>
    <n v="69.5676469904013"/>
    <n v="0.66098390292221365"/>
    <n v="1"/>
    <b v="1"/>
    <n v="0"/>
    <n v="43.05684236324943"/>
    <x v="2"/>
    <n v="56.94315763675057"/>
    <n v="0.94927242218174535"/>
    <n v="67.781969575107453"/>
    <n v="0.69260155521689015"/>
    <n v="1"/>
    <b v="1"/>
    <n v="0"/>
    <n v="0.11382707648625401"/>
    <n v="8.1277231434597823"/>
    <n v="0.48516020821911759"/>
    <n v="2"/>
  </r>
  <r>
    <n v="52838"/>
    <s v="52838"/>
    <s v="52"/>
    <s v="COLOMBIA"/>
    <s v="NARIÑO"/>
    <s v="TÚQUERRES"/>
    <x v="4"/>
    <n v="0"/>
    <n v="0"/>
    <n v="0"/>
    <n v="50.19"/>
    <n v="54.001833333333302"/>
    <n v="41.35"/>
    <n v="48.64"/>
    <n v="44.034996971671887"/>
    <n v="56.053053135901209"/>
    <n v="50.010760096350211"/>
    <n v="52.232093641386307"/>
    <s v="2. Riesgo (&gt;=40 y &lt;60)"/>
    <s v="2. Riesgo (&gt;=40 y &lt;60)"/>
    <s v="2. Riesgo (&gt;=40 y &lt;60)"/>
    <s v="2. Riesgo (&gt;=40 y &lt;60)"/>
    <n v="48.545458333333329"/>
    <n v="50.582725961327405"/>
    <n v="49.564092147330371"/>
    <n v="43.015179425737692"/>
    <x v="1"/>
    <n v="56.984820574262308"/>
    <n v="0.9741882058902549"/>
    <n v="48.284754005587047"/>
    <n v="0.43336536383975655"/>
    <n v="3"/>
    <b v="0"/>
    <n v="1"/>
    <n v="0.97428046393498691"/>
    <n v="48.289326691817472"/>
    <n v="0.40950349625935251"/>
    <n v="3"/>
    <b v="0"/>
    <n v="1"/>
    <n v="43.015179425737692"/>
    <x v="2"/>
    <n v="56.984820574262308"/>
    <n v="0.94927242218174535"/>
    <n v="47.049825805935527"/>
    <n v="0.42778714915036786"/>
    <n v="3"/>
    <b v="0"/>
    <n v="1"/>
    <n v="0.11391035901872336"/>
    <n v="5.64586353093949"/>
    <n v="0.33701299587836769"/>
    <n v="3"/>
  </r>
  <r>
    <n v="70418"/>
    <s v="70418"/>
    <s v="70"/>
    <s v="COLOMBIA"/>
    <s v="SUCRE"/>
    <s v="LOS PALMITOS"/>
    <x v="5"/>
    <n v="0"/>
    <n v="0"/>
    <n v="1"/>
    <n v="46.39"/>
    <n v="52.856533333333303"/>
    <n v="59.6"/>
    <n v="63.61"/>
    <n v="49.089508992704573"/>
    <n v="52.3002717340324"/>
    <n v="56.058878221933753"/>
    <n v="42.807858933876986"/>
    <s v="2. Riesgo (&gt;=40 y &lt;60)"/>
    <s v="2. Riesgo (&gt;=40 y &lt;60)"/>
    <s v="2. Riesgo (&gt;=40 y &lt;60)"/>
    <s v="2. Riesgo (&gt;=40 y &lt;60)"/>
    <n v="55.614133333333328"/>
    <n v="50.064129470636928"/>
    <n v="52.839131401985128"/>
    <n v="43.071675258888916"/>
    <x v="1"/>
    <n v="56.928324741111084"/>
    <n v="0.9741882058902549"/>
    <n v="51.475258621299318"/>
    <n v="0.47327521347344859"/>
    <n v="3"/>
    <b v="1"/>
    <n v="0"/>
    <n v="0.97428046393498691"/>
    <n v="51.480133456247806"/>
    <n v="0.44721443262282823"/>
    <n v="3"/>
    <b v="1"/>
    <n v="0"/>
    <n v="43.071675258888916"/>
    <x v="2"/>
    <n v="56.928324741111084"/>
    <n v="0.94927242218174535"/>
    <n v="50.158730251941947"/>
    <n v="0.46749759557371157"/>
    <n v="3"/>
    <b v="1"/>
    <n v="0"/>
    <n v="0.11379742612585005"/>
    <n v="6.0129571522714862"/>
    <n v="0.358925555474428"/>
    <n v="3"/>
  </r>
  <r>
    <n v="8141"/>
    <s v="08141"/>
    <s v="87"/>
    <s v="COLOMBIA"/>
    <s v="ATLÁNTICO"/>
    <s v="CANDELARIA"/>
    <x v="4"/>
    <n v="0"/>
    <n v="0"/>
    <n v="0"/>
    <n v="72.13"/>
    <n v="75.525966666666704"/>
    <n v="57.45"/>
    <n v="66.91"/>
    <n v="46.332034074287051"/>
    <n v="37.997208220371981"/>
    <n v="51.870440604476528"/>
    <n v="43.22924638843719"/>
    <s v="2. Riesgo (&gt;=40 y &lt;60)"/>
    <s v="1. Deterioro (&lt;40)"/>
    <s v="2. Riesgo (&gt;=40 y &lt;60)"/>
    <s v="2. Riesgo (&gt;=40 y &lt;60)"/>
    <n v="68.003991666666678"/>
    <n v="44.857232321893186"/>
    <n v="56.430611994279928"/>
    <n v="43.073543384527717"/>
    <x v="1"/>
    <n v="56.926456615472283"/>
    <n v="0.9741882058902549"/>
    <n v="54.974036655996663"/>
    <n v="0.51704123862783069"/>
    <n v="2"/>
    <b v="1"/>
    <n v="0"/>
    <n v="0.97428046393498691"/>
    <n v="54.979242833922285"/>
    <n v="0.48856908077679811"/>
    <n v="2"/>
    <b v="1"/>
    <n v="0"/>
    <n v="43.073543384527717"/>
    <x v="2"/>
    <n v="56.926456615472283"/>
    <n v="0.94927242218174535"/>
    <n v="53.56802373300836"/>
    <n v="0.51104495075063006"/>
    <n v="2"/>
    <b v="1"/>
    <n v="0"/>
    <n v="0.11379369181801047"/>
    <n v="6.4214476703788153"/>
    <n v="0.38330917943927251"/>
    <n v="2"/>
  </r>
  <r>
    <n v="68327"/>
    <s v="68327"/>
    <s v="68"/>
    <s v="COLOMBIA"/>
    <s v="SANTANDER"/>
    <s v="GÜEPSA"/>
    <x v="4"/>
    <n v="0"/>
    <n v="0"/>
    <n v="0"/>
    <n v="77.349999999999994"/>
    <n v="76.781599999999997"/>
    <n v="66.040000000000006"/>
    <n v="61.97"/>
    <n v="51.943908460582662"/>
    <n v="41.299066328359146"/>
    <n v="41.58548583051266"/>
    <n v="57.173986234690702"/>
    <s v="2. Riesgo (&gt;=40 y &lt;60)"/>
    <s v="2. Riesgo (&gt;=40 y &lt;60)"/>
    <s v="2. Riesgo (&gt;=40 y &lt;60)"/>
    <s v="2. Riesgo (&gt;=40 y &lt;60)"/>
    <n v="70.53540000000001"/>
    <n v="48.000611713536287"/>
    <n v="59.268005856768148"/>
    <n v="43.549483656340222"/>
    <x v="1"/>
    <n v="56.450516343659778"/>
    <n v="0.9741882058902549"/>
    <n v="57.738192292298081"/>
    <n v="0.55161791194327869"/>
    <n v="2"/>
    <b v="1"/>
    <n v="0"/>
    <n v="0.97428046393498691"/>
    <n v="57.743660242633595"/>
    <n v="0.5212406828757139"/>
    <n v="2"/>
    <b v="1"/>
    <n v="0"/>
    <n v="43.549483656340222"/>
    <x v="2"/>
    <n v="56.450516343659778"/>
    <n v="0.94927242218174535"/>
    <n v="56.261483477536167"/>
    <n v="0.54544886722220232"/>
    <n v="2"/>
    <b v="1"/>
    <n v="0"/>
    <n v="0.1128423064019069"/>
    <n v="6.6879384767194443"/>
    <n v="0.39921655384298088"/>
    <n v="2"/>
  </r>
  <r>
    <n v="76869"/>
    <s v="76869"/>
    <s v="76"/>
    <s v="COLOMBIA"/>
    <s v="VALLE DEL CAUCA"/>
    <s v="VIJES"/>
    <x v="5"/>
    <n v="0"/>
    <n v="0"/>
    <n v="0"/>
    <n v="48.6"/>
    <n v="52.731999999999999"/>
    <n v="50.19"/>
    <n v="51.2"/>
    <n v="50.351234660609592"/>
    <n v="52.882321773699722"/>
    <n v="55.81429741120786"/>
    <n v="56.088258777574481"/>
    <s v="2. Riesgo (&gt;=40 y &lt;60)"/>
    <s v="2. Riesgo (&gt;=40 y &lt;60)"/>
    <s v="2. Riesgo (&gt;=40 y &lt;60)"/>
    <s v="2. Riesgo (&gt;=40 y &lt;60)"/>
    <n v="50.680499999999995"/>
    <n v="53.784028155772916"/>
    <n v="52.232264077886455"/>
    <n v="43.11557397370499"/>
    <x v="1"/>
    <n v="56.88442602629501"/>
    <n v="0.9741882058902549"/>
    <n v="50.884055631622218"/>
    <n v="0.46587988725928015"/>
    <n v="3"/>
    <b v="1"/>
    <n v="0"/>
    <n v="0.97428046393498691"/>
    <n v="50.888874478177968"/>
    <n v="0.44022656674988309"/>
    <n v="3"/>
    <b v="1"/>
    <n v="0"/>
    <n v="43.11557397370499"/>
    <x v="2"/>
    <n v="56.88442602629501"/>
    <n v="0.94927242218174535"/>
    <n v="49.582647837251841"/>
    <n v="0.46013921892969206"/>
    <n v="3"/>
    <b v="1"/>
    <n v="0"/>
    <n v="0.11370967436468335"/>
    <n v="5.9393137396266162"/>
    <n v="0.35452963145215105"/>
    <n v="3"/>
  </r>
  <r>
    <n v="23417"/>
    <s v="23417"/>
    <s v="23"/>
    <s v="COLOMBIA"/>
    <s v="CÓRDOBA"/>
    <s v="LORICA"/>
    <x v="4"/>
    <n v="0"/>
    <n v="0"/>
    <n v="0"/>
    <n v="63.17"/>
    <n v="64.372666666666703"/>
    <n v="58.3"/>
    <n v="59.71"/>
    <n v="51.2293642421375"/>
    <n v="52.022231681790856"/>
    <n v="55.455237008432768"/>
    <n v="57.178336556804496"/>
    <s v="2. Riesgo (&gt;=40 y &lt;60)"/>
    <s v="2. Riesgo (&gt;=40 y &lt;60)"/>
    <s v="2. Riesgo (&gt;=40 y &lt;60)"/>
    <s v="2. Riesgo (&gt;=40 y &lt;60)"/>
    <n v="61.388166666666677"/>
    <n v="53.971292372291401"/>
    <n v="57.679729519479039"/>
    <n v="43.18706467669827"/>
    <x v="1"/>
    <n v="56.81293532330173"/>
    <n v="0.9741882058902549"/>
    <n v="56.190912216816457"/>
    <n v="0.53226306918593835"/>
    <n v="2"/>
    <b v="1"/>
    <n v="0"/>
    <n v="0.97428046393498691"/>
    <n v="56.196233635882599"/>
    <n v="0.50295223402796474"/>
    <n v="2"/>
    <b v="1"/>
    <n v="0"/>
    <n v="43.18706467669827"/>
    <x v="2"/>
    <n v="56.81293532330173"/>
    <n v="0.94927242218174535"/>
    <n v="54.753776551743783"/>
    <n v="0.52619072785555454"/>
    <n v="2"/>
    <b v="1"/>
    <n v="0"/>
    <n v="0.11356676733150506"/>
    <n v="6.5505004220828198"/>
    <n v="0.39101259880812084"/>
    <n v="2"/>
  </r>
  <r>
    <n v="23500"/>
    <s v="23500"/>
    <s v="23"/>
    <s v="COLOMBIA"/>
    <s v="CÓRDOBA"/>
    <s v="MOÑITOS"/>
    <x v="4"/>
    <n v="0"/>
    <n v="0"/>
    <n v="0"/>
    <n v="73.47"/>
    <n v="72.960133333333303"/>
    <n v="62.7"/>
    <n v="52.74"/>
    <n v="47.089852500215208"/>
    <n v="49.506403743956"/>
    <n v="41.067858464808602"/>
    <n v="51.718703018074386"/>
    <s v="2. Riesgo (&gt;=40 y &lt;60)"/>
    <s v="2. Riesgo (&gt;=40 y &lt;60)"/>
    <s v="2. Riesgo (&gt;=40 y &lt;60)"/>
    <s v="2. Riesgo (&gt;=40 y &lt;60)"/>
    <n v="65.467533333333321"/>
    <n v="47.345704431763551"/>
    <n v="56.406618882548436"/>
    <n v="43.211313418913008"/>
    <x v="1"/>
    <n v="56.788686581086992"/>
    <n v="0.9741882058902549"/>
    <n v="54.950662849525237"/>
    <n v="0.51674885694718764"/>
    <n v="2"/>
    <b v="1"/>
    <n v="0"/>
    <n v="0.97428046393498691"/>
    <n v="54.95586681389328"/>
    <n v="0.48829280845170087"/>
    <n v="2"/>
    <b v="1"/>
    <n v="0"/>
    <n v="43.211313418913008"/>
    <x v="2"/>
    <n v="56.788686581086992"/>
    <n v="0.94927242218174535"/>
    <n v="53.545247733719329"/>
    <n v="0.51075402990850927"/>
    <n v="2"/>
    <b v="1"/>
    <n v="0"/>
    <n v="0.11351829507339145"/>
    <n v="6.4031832064014669"/>
    <n v="0.38221893669971863"/>
    <n v="2"/>
  </r>
  <r>
    <n v="5679"/>
    <s v="05679"/>
    <s v="50"/>
    <s v="COLOMBIA"/>
    <s v="ANTIOQUIA"/>
    <s v="SANTA BÁRBARA"/>
    <x v="0"/>
    <n v="0"/>
    <n v="0"/>
    <n v="0"/>
    <n v="95.12"/>
    <n v="94.980266666666694"/>
    <n v="80.14"/>
    <n v="68"/>
    <n v="41.575996890635693"/>
    <n v="33.121756356189039"/>
    <n v="44.032288908990814"/>
    <n v="30.50267075446812"/>
    <s v="2. Riesgo (&gt;=40 y &lt;60)"/>
    <s v="1. Deterioro (&lt;40)"/>
    <s v="2. Riesgo (&gt;=40 y &lt;60)"/>
    <s v="1. Deterioro (&lt;40)"/>
    <n v="84.560066666666671"/>
    <n v="37.308178227570913"/>
    <n v="60.934122447118796"/>
    <n v="42.915237082429684"/>
    <x v="1"/>
    <n v="57.084762917570316"/>
    <n v="0.9741882058902549"/>
    <n v="59.361303424255766"/>
    <n v="0.57192132128366646"/>
    <n v="2"/>
    <b v="0"/>
    <n v="1"/>
    <n v="0.97428046393498691"/>
    <n v="59.366925087250202"/>
    <n v="0.54042543512671171"/>
    <n v="2"/>
    <b v="0"/>
    <n v="1"/>
    <n v="42.915237082429684"/>
    <x v="2"/>
    <n v="57.084762917570316"/>
    <n v="0.94927242218174535"/>
    <n v="57.843082008895522"/>
    <n v="0.56565083380997017"/>
    <n v="2"/>
    <b v="0"/>
    <n v="1"/>
    <n v="0.1141101397338798"/>
    <n v="6.9532012270020678"/>
    <n v="0.41505062310055046"/>
    <n v="2"/>
  </r>
  <r>
    <n v="5656"/>
    <s v="05656"/>
    <s v="50"/>
    <s v="COLOMBIA"/>
    <s v="ANTIOQUIA"/>
    <s v="SAN JERÓNIMO"/>
    <x v="4"/>
    <n v="0"/>
    <n v="0"/>
    <n v="0"/>
    <n v="61.45"/>
    <n v="67.755766666666702"/>
    <n v="82"/>
    <n v="79.86"/>
    <n v="54.434832402113564"/>
    <n v="52.674343948168982"/>
    <n v="55.676478419716631"/>
    <n v="58.567127704070202"/>
    <s v="2. Riesgo (&gt;=40 y &lt;60)"/>
    <s v="2. Riesgo (&gt;=40 y &lt;60)"/>
    <s v="2. Riesgo (&gt;=40 y &lt;60)"/>
    <s v="2. Riesgo (&gt;=40 y &lt;60)"/>
    <n v="72.76644166666668"/>
    <n v="55.338195618517346"/>
    <n v="64.052318642592013"/>
    <n v="43.184413673238161"/>
    <x v="1"/>
    <n v="56.815586326761839"/>
    <n v="0.9741882058902549"/>
    <n v="62.399013381537642"/>
    <n v="0.60991987080114562"/>
    <n v="2"/>
    <b v="1"/>
    <n v="0"/>
    <n v="0.97428046393498691"/>
    <n v="62.40492272321616"/>
    <n v="0.57633037829012379"/>
    <n v="2"/>
    <b v="1"/>
    <n v="0"/>
    <n v="43.184413673238161"/>
    <x v="2"/>
    <n v="56.815586326761839"/>
    <n v="0.94927242218174535"/>
    <n v="60.803099664210286"/>
    <n v="0.60345952962386717"/>
    <n v="2"/>
    <b v="1"/>
    <n v="0"/>
    <n v="0.11357206658054819"/>
    <n v="7.2745541975149486"/>
    <n v="0.43423283087682257"/>
    <n v="2"/>
  </r>
  <r>
    <n v="5664"/>
    <s v="05664"/>
    <s v="50"/>
    <s v="COLOMBIA"/>
    <s v="ANTIOQUIA"/>
    <s v="SAN PEDRO DE LOS MILAGROS"/>
    <x v="4"/>
    <n v="0"/>
    <n v="0"/>
    <n v="0"/>
    <n v="60.3"/>
    <n v="63.296466666666703"/>
    <n v="60.71"/>
    <n v="63.87"/>
    <n v="67.094934722645803"/>
    <n v="58.989262799907223"/>
    <n v="64.317308178421243"/>
    <n v="13.784867693438001"/>
    <s v="3. Vulnerable (&gt;=60 y &lt;70)"/>
    <s v="2. Riesgo (&gt;=40 y &lt;60)"/>
    <s v="3. Vulnerable (&gt;=60 y &lt;70)"/>
    <s v="1. Deterioro (&lt;40)"/>
    <n v="62.044116666666675"/>
    <n v="51.046593348603068"/>
    <n v="56.545355007634868"/>
    <n v="43.34703212935252"/>
    <x v="1"/>
    <n v="56.65296787064748"/>
    <n v="0.9741882058902549"/>
    <n v="55.085817946315352"/>
    <n v="0.5184395047411311"/>
    <n v="2"/>
    <b v="1"/>
    <n v="0"/>
    <n v="0.97428046393498691"/>
    <n v="55.091034710207033"/>
    <n v="0.48989030661207061"/>
    <n v="2"/>
    <b v="1"/>
    <n v="0"/>
    <n v="43.34703212935252"/>
    <x v="2"/>
    <n v="56.65296787064748"/>
    <n v="0.94927242218174535"/>
    <n v="53.676946111224233"/>
    <n v="0.51243623064988875"/>
    <n v="2"/>
    <b v="1"/>
    <n v="0"/>
    <n v="0.11324699884264215"/>
    <n v="6.403591753106415"/>
    <n v="0.38224332367758951"/>
    <n v="2"/>
  </r>
  <r>
    <n v="66088"/>
    <s v="66088"/>
    <s v="66"/>
    <s v="COLOMBIA"/>
    <s v="RISARALDA"/>
    <s v="BELÉN DE UMBRÍA"/>
    <x v="4"/>
    <n v="0"/>
    <n v="0"/>
    <n v="0"/>
    <n v="66.489999999999995"/>
    <n v="65.507366666666698"/>
    <n v="46.09"/>
    <n v="45.22"/>
    <n v="52.447049785835034"/>
    <n v="51.688693549672436"/>
    <n v="55.721556011765436"/>
    <n v="62.667546239163599"/>
    <s v="2. Riesgo (&gt;=40 y &lt;60)"/>
    <s v="2. Riesgo (&gt;=40 y &lt;60)"/>
    <s v="2. Riesgo (&gt;=40 y &lt;60)"/>
    <s v="3. Vulnerable (&gt;=60 y &lt;70)"/>
    <n v="55.826841666666674"/>
    <n v="55.631211396609132"/>
    <n v="55.729026531637899"/>
    <n v="43.49356865460711"/>
    <x v="1"/>
    <n v="56.50643134539289"/>
    <n v="0.9741882058902549"/>
    <n v="54.290560372866743"/>
    <n v="0.50849167077778701"/>
    <n v="2"/>
    <b v="1"/>
    <n v="0"/>
    <n v="0.97428046393498691"/>
    <n v="54.295701823889367"/>
    <n v="0.4804905685276305"/>
    <n v="2"/>
    <b v="1"/>
    <n v="0"/>
    <n v="43.49356865460711"/>
    <x v="2"/>
    <n v="56.50643134539289"/>
    <n v="0.94927242218174535"/>
    <n v="52.902028001518659"/>
    <n v="0.50253809945532246"/>
    <n v="2"/>
    <b v="1"/>
    <n v="0"/>
    <n v="0.11295407823619127"/>
    <n v="6.2948208228814062"/>
    <n v="0.37575056719158434"/>
    <n v="3"/>
  </r>
  <r>
    <n v="76606"/>
    <s v="76606"/>
    <s v="76"/>
    <s v="COLOMBIA"/>
    <s v="VALLE DEL CAUCA"/>
    <s v="RESTREPO"/>
    <x v="5"/>
    <n v="0"/>
    <n v="0"/>
    <n v="0"/>
    <n v="49.38"/>
    <n v="50.624533333333297"/>
    <n v="48.7"/>
    <n v="47.92"/>
    <n v="52.129411995551685"/>
    <n v="58.488561686808964"/>
    <n v="54.197214560562252"/>
    <n v="52.515144504992008"/>
    <s v="2. Riesgo (&gt;=40 y &lt;60)"/>
    <s v="2. Riesgo (&gt;=40 y &lt;60)"/>
    <s v="2. Riesgo (&gt;=40 y &lt;60)"/>
    <s v="2. Riesgo (&gt;=40 y &lt;60)"/>
    <n v="49.156133333333329"/>
    <n v="54.332583186978731"/>
    <n v="51.744358260156034"/>
    <n v="43.455013287487937"/>
    <x v="1"/>
    <n v="56.544986712512063"/>
    <n v="0.9741882058902549"/>
    <n v="50.408743538403996"/>
    <n v="0.45993423399929273"/>
    <n v="3"/>
    <b v="1"/>
    <n v="0"/>
    <n v="0.97428046393498691"/>
    <n v="50.413517371722989"/>
    <n v="0.43460850119001199"/>
    <n v="3"/>
    <b v="1"/>
    <n v="0"/>
    <n v="43.455013287487937"/>
    <x v="2"/>
    <n v="56.544986712512063"/>
    <n v="0.94927242218174535"/>
    <n v="49.119492299858322"/>
    <n v="0.45422327217971525"/>
    <n v="3"/>
    <b v="1"/>
    <n v="0"/>
    <n v="0.11303114886072577"/>
    <n v="5.8487242612064216"/>
    <n v="0.34912216254147965"/>
    <n v="3"/>
  </r>
  <r>
    <n v="23686"/>
    <s v="23686"/>
    <s v="23"/>
    <s v="COLOMBIA"/>
    <s v="CÓRDOBA"/>
    <s v="SAN PELAYO"/>
    <x v="5"/>
    <n v="0"/>
    <n v="0"/>
    <n v="0"/>
    <n v="50.18"/>
    <n v="52.683666666666703"/>
    <n v="48.99"/>
    <n v="47.97"/>
    <n v="56.880374588655798"/>
    <n v="48.481867574528394"/>
    <n v="66.146087969596238"/>
    <n v="43.705703497651989"/>
    <s v="2. Riesgo (&gt;=40 y &lt;60)"/>
    <s v="2. Riesgo (&gt;=40 y &lt;60)"/>
    <s v="3. Vulnerable (&gt;=60 y &lt;70)"/>
    <s v="2. Riesgo (&gt;=40 y &lt;60)"/>
    <n v="49.955916666666674"/>
    <n v="53.803508407608106"/>
    <n v="51.879712537137394"/>
    <n v="43.536441119370473"/>
    <x v="1"/>
    <n v="56.463558880629527"/>
    <n v="0.9741882058902549"/>
    <n v="50.540604078656038"/>
    <n v="0.46158367036373488"/>
    <n v="3"/>
    <b v="1"/>
    <n v="0"/>
    <n v="0.97428046393498691"/>
    <n v="50.545390399495979"/>
    <n v="0.43616705854730592"/>
    <n v="3"/>
    <b v="1"/>
    <n v="0"/>
    <n v="43.536441119370473"/>
    <x v="2"/>
    <n v="56.463558880629527"/>
    <n v="0.94927242218174535"/>
    <n v="49.247980382221073"/>
    <n v="0.45586446739794023"/>
    <n v="3"/>
    <b v="1"/>
    <n v="0"/>
    <n v="0.1128683779075073"/>
    <n v="5.8555790003744672"/>
    <n v="0.34953133576543882"/>
    <n v="3"/>
  </r>
  <r>
    <n v="25035"/>
    <s v="25035"/>
    <s v="25"/>
    <s v="COLOMBIA"/>
    <s v="CUNDINAMARCA"/>
    <s v="ANAPOIMA"/>
    <x v="0"/>
    <n v="0"/>
    <n v="0"/>
    <n v="0"/>
    <n v="67.94"/>
    <n v="70.854366666666706"/>
    <n v="75.7"/>
    <n v="78.77"/>
    <n v="66.804585200438908"/>
    <n v="63.242340836731003"/>
    <n v="63.8090783322383"/>
    <n v="66.640516527648145"/>
    <s v="3. Vulnerable (&gt;=60 y &lt;70)"/>
    <s v="3. Vulnerable (&gt;=60 y &lt;70)"/>
    <s v="3. Vulnerable (&gt;=60 y &lt;70)"/>
    <s v="3. Vulnerable (&gt;=60 y &lt;70)"/>
    <n v="73.316091666666665"/>
    <n v="65.124130224264093"/>
    <n v="69.220110945465379"/>
    <n v="43.4590312354307"/>
    <x v="1"/>
    <n v="56.5409687645693"/>
    <n v="0.9741882058902549"/>
    <n v="67.433415693487319"/>
    <n v="0.67289493696338909"/>
    <n v="1"/>
    <b v="1"/>
    <n v="0"/>
    <n v="0.97428046393498691"/>
    <n v="67.439801805579279"/>
    <n v="0.63583570678239587"/>
    <n v="1"/>
    <b v="1"/>
    <n v="0"/>
    <n v="43.4590312354307"/>
    <x v="2"/>
    <n v="56.5409687645693"/>
    <n v="0.94927242218174535"/>
    <n v="65.708742380891067"/>
    <n v="0.66611995089318521"/>
    <n v="1"/>
    <b v="1"/>
    <n v="0"/>
    <n v="0.11302311714476937"/>
    <n v="7.8234727081632656"/>
    <n v="0.46699888530816264"/>
    <n v="2"/>
  </r>
  <r>
    <n v="25745"/>
    <s v="25745"/>
    <s v="25"/>
    <s v="COLOMBIA"/>
    <s v="CUNDINAMARCA"/>
    <s v="SIMIJACA"/>
    <x v="4"/>
    <n v="0"/>
    <n v="0"/>
    <n v="0"/>
    <n v="64.67"/>
    <n v="60.173566666666702"/>
    <n v="64.650000000000006"/>
    <n v="33.69"/>
    <n v="53.095941638871849"/>
    <n v="61.625507131947295"/>
    <n v="56.961891610431351"/>
    <n v="69.441861654551872"/>
    <s v="2. Riesgo (&gt;=40 y &lt;60)"/>
    <s v="3. Vulnerable (&gt;=60 y &lt;70)"/>
    <s v="2. Riesgo (&gt;=40 y &lt;60)"/>
    <s v="3. Vulnerable (&gt;=60 y &lt;70)"/>
    <n v="55.795891666666677"/>
    <n v="60.281300508950594"/>
    <n v="58.038596087808635"/>
    <n v="43.91294747461599"/>
    <x v="1"/>
    <n v="56.08705252538401"/>
    <n v="0.9741882058902549"/>
    <n v="56.540515795171459"/>
    <n v="0.53663624143425182"/>
    <n v="2"/>
    <b v="1"/>
    <n v="0"/>
    <n v="0.97428046393498691"/>
    <n v="56.545870322565513"/>
    <n v="0.50708445757368914"/>
    <n v="2"/>
    <b v="1"/>
    <n v="0"/>
    <n v="43.91294747461599"/>
    <x v="2"/>
    <n v="56.08705252538401"/>
    <n v="0.94927242218174535"/>
    <n v="55.09443868830207"/>
    <n v="0.53054205024490519"/>
    <n v="2"/>
    <b v="1"/>
    <n v="0"/>
    <n v="0.1121157568820018"/>
    <n v="6.5070411287534542"/>
    <n v="0.38841842582405489"/>
    <n v="2"/>
  </r>
  <r>
    <n v="5674"/>
    <s v="05674"/>
    <s v="50"/>
    <s v="COLOMBIA"/>
    <s v="ANTIOQUIA"/>
    <s v="SAN VICENTE"/>
    <x v="4"/>
    <n v="0"/>
    <n v="0"/>
    <n v="0"/>
    <n v="61"/>
    <n v="60.160166666666697"/>
    <n v="43.97"/>
    <n v="41.56"/>
    <n v="61.349886856363661"/>
    <n v="71.138730421076147"/>
    <n v="50.210524963073972"/>
    <n v="64.612347899891773"/>
    <s v="3. Vulnerable (&gt;=60 y &lt;70)"/>
    <s v="4. Solvente (&gt;=70 y &lt;80)"/>
    <s v="2. Riesgo (&gt;=40 y &lt;60)"/>
    <s v="3. Vulnerable (&gt;=60 y &lt;70)"/>
    <n v="51.672541666666675"/>
    <n v="61.827872535101385"/>
    <n v="56.750207100884026"/>
    <n v="43.323295827871803"/>
    <x v="1"/>
    <n v="56.676704172128197"/>
    <n v="0.9741882058902549"/>
    <n v="55.285382439510613"/>
    <n v="0.52093584619019961"/>
    <n v="2"/>
    <b v="1"/>
    <n v="0"/>
    <n v="0.97428046393498691"/>
    <n v="55.290618102655877"/>
    <n v="0.49224910711849634"/>
    <n v="2"/>
    <b v="1"/>
    <n v="0"/>
    <n v="43.323295827871803"/>
    <x v="2"/>
    <n v="56.676704172128197"/>
    <n v="0.94927242218174535"/>
    <n v="53.871406553971866"/>
    <n v="0.51492009952630569"/>
    <n v="2"/>
    <b v="1"/>
    <n v="0"/>
    <n v="0.11329444675238719"/>
    <n v="6.4294833165780503"/>
    <n v="0.38378884338874314"/>
    <n v="2"/>
  </r>
  <r>
    <n v="52683"/>
    <s v="52683"/>
    <s v="52"/>
    <s v="COLOMBIA"/>
    <s v="NARIÑO"/>
    <s v="SANDONÁ"/>
    <x v="4"/>
    <n v="0"/>
    <n v="0"/>
    <n v="0"/>
    <n v="46.03"/>
    <n v="52.463999999999999"/>
    <n v="55.04"/>
    <n v="33"/>
    <n v="59.580612486232184"/>
    <n v="45.170398222438564"/>
    <n v="54.543477093957236"/>
    <n v="52.67747020137692"/>
    <s v="2. Riesgo (&gt;=40 y &lt;60)"/>
    <s v="2. Riesgo (&gt;=40 y &lt;60)"/>
    <s v="2. Riesgo (&gt;=40 y &lt;60)"/>
    <s v="2. Riesgo (&gt;=40 y &lt;60)"/>
    <n v="46.633499999999998"/>
    <n v="52.992989501001233"/>
    <n v="49.813244750500616"/>
    <n v="43.788558236486558"/>
    <x v="1"/>
    <n v="56.211441763513442"/>
    <n v="0.9741882058902549"/>
    <n v="48.527475533062351"/>
    <n v="0.43640155429586619"/>
    <n v="3"/>
    <b v="0"/>
    <n v="1"/>
    <n v="0.97428046393498691"/>
    <n v="48.532071205624788"/>
    <n v="0.41237240170822415"/>
    <n v="3"/>
    <b v="0"/>
    <n v="1"/>
    <n v="43.788558236486558"/>
    <x v="2"/>
    <n v="56.211441763513442"/>
    <n v="0.94927242218174535"/>
    <n v="47.286339501039834"/>
    <n v="0.43080816976420222"/>
    <n v="3"/>
    <b v="0"/>
    <n v="1"/>
    <n v="0.1123644059543442"/>
    <n v="5.5972356550483564"/>
    <n v="0.33411029976333334"/>
    <n v="3"/>
  </r>
  <r>
    <n v="13430"/>
    <s v="13430"/>
    <s v="13"/>
    <s v="COLOMBIA"/>
    <s v="BOLÍVAR"/>
    <s v="MAGANGUÉ"/>
    <x v="5"/>
    <n v="0"/>
    <n v="0"/>
    <n v="0"/>
    <n v="55.09"/>
    <n v="54.165100000000002"/>
    <n v="44.54"/>
    <n v="41.7"/>
    <n v="69.627399802369325"/>
    <n v="63.864805873693086"/>
    <n v="55.618851255748822"/>
    <n v="63.57928992619302"/>
    <s v="3. Vulnerable (&gt;=60 y &lt;70)"/>
    <s v="3. Vulnerable (&gt;=60 y &lt;70)"/>
    <s v="2. Riesgo (&gt;=40 y &lt;60)"/>
    <s v="3. Vulnerable (&gt;=60 y &lt;70)"/>
    <n v="48.873774999999995"/>
    <n v="63.172586714501058"/>
    <n v="56.023180857250523"/>
    <n v="43.822489548202732"/>
    <x v="1"/>
    <n v="56.177510451797268"/>
    <n v="0.9741882058902549"/>
    <n v="54.577122047590159"/>
    <n v="0.51207625526409939"/>
    <n v="2"/>
    <b v="0"/>
    <n v="-1"/>
    <n v="0.97428046393498691"/>
    <n v="54.582290636715719"/>
    <n v="0.48387765313690739"/>
    <n v="2"/>
    <b v="0"/>
    <n v="-1"/>
    <n v="43.822489548202732"/>
    <x v="2"/>
    <n v="56.177510451797268"/>
    <n v="0.94927242218174535"/>
    <n v="53.18126059068819"/>
    <n v="0.50610477413588784"/>
    <n v="2"/>
    <b v="0"/>
    <n v="-1"/>
    <n v="0.11229657863014429"/>
    <n v="6.2912115342470276"/>
    <n v="0.37553512146410689"/>
    <n v="3"/>
  </r>
  <r>
    <n v="47189"/>
    <s v="47189"/>
    <s v="47"/>
    <s v="COLOMBIA"/>
    <s v="MAGDALENA"/>
    <s v="CIÉNAGA"/>
    <x v="4"/>
    <n v="0"/>
    <n v="0"/>
    <n v="1"/>
    <n v="50.98"/>
    <n v="51.732599999999998"/>
    <n v="38.950000000000003"/>
    <n v="42.77"/>
    <n v="60.389997489454636"/>
    <n v="53.892509681568626"/>
    <n v="61.260814088557133"/>
    <n v="59.865644381506641"/>
    <s v="3. Vulnerable (&gt;=60 y &lt;70)"/>
    <s v="2. Riesgo (&gt;=40 y &lt;60)"/>
    <s v="3. Vulnerable (&gt;=60 y &lt;70)"/>
    <s v="2. Riesgo (&gt;=40 y &lt;60)"/>
    <n v="46.108150000000002"/>
    <n v="58.852241410271759"/>
    <n v="52.480195705135884"/>
    <n v="43.846048093083425"/>
    <x v="1"/>
    <n v="56.153951906916575"/>
    <n v="0.9741882058902549"/>
    <n v="51.125587698755787"/>
    <n v="0.46890119882032411"/>
    <n v="3"/>
    <b v="0"/>
    <n v="1"/>
    <n v="0.97428046393498691"/>
    <n v="51.130429418998695"/>
    <n v="0.44308141308627658"/>
    <n v="3"/>
    <b v="0"/>
    <n v="1"/>
    <n v="43.846048093083425"/>
    <x v="2"/>
    <n v="56.153951906916575"/>
    <n v="0.94927242218174535"/>
    <n v="49.81800249358637"/>
    <n v="0.46314543498849131"/>
    <n v="3"/>
    <b v="0"/>
    <n v="1"/>
    <n v="0.11224948604867653"/>
    <n v="5.890874995635464"/>
    <n v="0.3516382250021749"/>
    <n v="3"/>
  </r>
  <r>
    <n v="63272"/>
    <s v="63272"/>
    <s v="63"/>
    <s v="COLOMBIA"/>
    <s v="QUINDÍO"/>
    <s v="FILANDIA"/>
    <x v="4"/>
    <n v="0"/>
    <n v="0"/>
    <n v="0"/>
    <n v="61.01"/>
    <n v="68.563999999999993"/>
    <n v="80.819999999999993"/>
    <n v="76.67"/>
    <n v="54.072418932375612"/>
    <n v="52.352052424420258"/>
    <n v="47.231663665737244"/>
    <n v="55.255765029626872"/>
    <s v="2. Riesgo (&gt;=40 y &lt;60)"/>
    <s v="2. Riesgo (&gt;=40 y &lt;60)"/>
    <s v="2. Riesgo (&gt;=40 y &lt;60)"/>
    <s v="2. Riesgo (&gt;=40 y &lt;60)"/>
    <n v="71.765999999999991"/>
    <n v="52.227975013039995"/>
    <n v="61.996987506519993"/>
    <n v="43.961011179765812"/>
    <x v="1"/>
    <n v="56.038988820234188"/>
    <n v="0.9741882058902549"/>
    <n v="60.39673402957726"/>
    <n v="0.58487346670950158"/>
    <n v="2"/>
    <b v="1"/>
    <n v="0"/>
    <n v="0.97428046393498691"/>
    <n v="60.402453750423888"/>
    <n v="0.55266395610354369"/>
    <n v="2"/>
    <b v="1"/>
    <n v="0"/>
    <n v="43.961011179765812"/>
    <x v="2"/>
    <n v="56.038988820234188"/>
    <n v="0.94927242218174535"/>
    <n v="58.852030498285636"/>
    <n v="0.57853826590306867"/>
    <n v="2"/>
    <b v="1"/>
    <n v="0"/>
    <n v="0.11201967947306705"/>
    <n v="6.9448826687761125"/>
    <n v="0.41455407156086926"/>
    <n v="2"/>
  </r>
  <r>
    <n v="17614"/>
    <s v="17614"/>
    <s v="17"/>
    <s v="COLOMBIA"/>
    <s v="CALDAS"/>
    <s v="RIOSUCIO"/>
    <x v="0"/>
    <n v="0"/>
    <n v="0"/>
    <n v="0"/>
    <n v="78.58"/>
    <n v="79.659166666666707"/>
    <n v="74.790000000000006"/>
    <n v="68.23"/>
    <n v="58.188983817753126"/>
    <n v="51.433312942333956"/>
    <n v="56.296145167487595"/>
    <n v="59.800395649896871"/>
    <s v="2. Riesgo (&gt;=40 y &lt;60)"/>
    <s v="2. Riesgo (&gt;=40 y &lt;60)"/>
    <s v="2. Riesgo (&gt;=40 y &lt;60)"/>
    <s v="2. Riesgo (&gt;=40 y &lt;60)"/>
    <n v="75.314791666666679"/>
    <n v="56.42970939436789"/>
    <n v="65.872250530517277"/>
    <n v="43.888023162509285"/>
    <x v="1"/>
    <n v="56.111976837490715"/>
    <n v="0.9741882058902549"/>
    <n v="64.171969562278022"/>
    <n v="0.63209768375023523"/>
    <n v="2"/>
    <b v="0"/>
    <n v="1"/>
    <n v="0.97428046393498691"/>
    <n v="64.178046807314061"/>
    <n v="0.59728626012081187"/>
    <n v="2"/>
    <b v="0"/>
    <n v="1"/>
    <n v="43.888023162509285"/>
    <x v="2"/>
    <n v="56.111976837490715"/>
    <n v="0.94927242218174535"/>
    <n v="62.530710815666893"/>
    <n v="0.62552653466109653"/>
    <n v="2"/>
    <b v="0"/>
    <n v="1"/>
    <n v="0.11216557957709425"/>
    <n v="7.3885991588030242"/>
    <n v="0.44104040492778995"/>
    <n v="2"/>
  </r>
  <r>
    <n v="17616"/>
    <s v="17616"/>
    <s v="17"/>
    <s v="COLOMBIA"/>
    <s v="CALDAS"/>
    <s v="RISARALDA"/>
    <x v="4"/>
    <n v="0"/>
    <n v="0"/>
    <n v="0"/>
    <n v="43.72"/>
    <n v="49.2642666666667"/>
    <n v="71.83"/>
    <n v="80.25"/>
    <n v="54.962716161761904"/>
    <n v="59.704880756457477"/>
    <n v="54.108431113014824"/>
    <n v="57.211726479117203"/>
    <s v="2. Riesgo (&gt;=40 y &lt;60)"/>
    <s v="2. Riesgo (&gt;=40 y &lt;60)"/>
    <s v="2. Riesgo (&gt;=40 y &lt;60)"/>
    <s v="2. Riesgo (&gt;=40 y &lt;60)"/>
    <n v="61.266066666666674"/>
    <n v="56.496938627587852"/>
    <n v="58.881502647127263"/>
    <n v="44.172228566603309"/>
    <x v="1"/>
    <n v="55.827771433396691"/>
    <n v="0.9741882058902549"/>
    <n v="57.361665423927207"/>
    <n v="0.54690795771668943"/>
    <n v="2"/>
    <b v="1"/>
    <n v="0"/>
    <n v="0.97428046393498691"/>
    <n v="57.367097716232308"/>
    <n v="0.51679023303077509"/>
    <n v="2"/>
    <b v="1"/>
    <n v="0"/>
    <n v="44.172228566603309"/>
    <x v="2"/>
    <n v="55.827771433396691"/>
    <n v="0.94927242218174535"/>
    <n v="55.894586639539348"/>
    <n v="0.54076244553211705"/>
    <n v="2"/>
    <b v="1"/>
    <n v="0"/>
    <n v="0.11159746443188251"/>
    <n v="6.5710263973585805"/>
    <n v="0.39223783572415699"/>
    <n v="2"/>
  </r>
  <r>
    <n v="23675"/>
    <s v="23675"/>
    <s v="23"/>
    <s v="COLOMBIA"/>
    <s v="CÓRDOBA"/>
    <s v="SAN BERNARDO DEL VIENTO"/>
    <x v="5"/>
    <n v="0"/>
    <n v="0"/>
    <n v="0"/>
    <n v="53.74"/>
    <n v="56.869866666666702"/>
    <n v="71.33"/>
    <n v="65.03"/>
    <n v="58.976484636325182"/>
    <n v="60.076731506139907"/>
    <n v="56.267754848893432"/>
    <n v="61.135636818829511"/>
    <s v="2. Riesgo (&gt;=40 y &lt;60)"/>
    <s v="3. Vulnerable (&gt;=60 y &lt;70)"/>
    <s v="2. Riesgo (&gt;=40 y &lt;60)"/>
    <s v="3. Vulnerable (&gt;=60 y &lt;70)"/>
    <n v="61.742466666666679"/>
    <n v="59.114151952547012"/>
    <n v="60.428309309606846"/>
    <n v="44.129842660799966"/>
    <x v="1"/>
    <n v="55.870157339200034"/>
    <n v="0.9741882058902549"/>
    <n v="58.868546231307278"/>
    <n v="0.5657574482149218"/>
    <n v="2"/>
    <b v="0"/>
    <n v="-1"/>
    <n v="0.97428046393498691"/>
    <n v="58.874121228970644"/>
    <n v="0.53460117301644461"/>
    <n v="2"/>
    <b v="0"/>
    <n v="-1"/>
    <n v="44.129842660799966"/>
    <x v="2"/>
    <n v="55.870157339200034"/>
    <n v="0.94927242218174535"/>
    <n v="57.3629275466782"/>
    <n v="0.55951775755177158"/>
    <n v="2"/>
    <b v="0"/>
    <n v="-1"/>
    <n v="0.11168219214882076"/>
    <n v="6.7487660515438863"/>
    <n v="0.40284747462440995"/>
    <n v="2"/>
  </r>
  <r>
    <n v="70820"/>
    <s v="70820"/>
    <s v="70"/>
    <s v="COLOMBIA"/>
    <s v="SUCRE"/>
    <s v="SANTIAGO DE TOLÚ"/>
    <x v="4"/>
    <n v="0"/>
    <n v="0"/>
    <n v="0"/>
    <n v="73.66"/>
    <n v="77.722966666666693"/>
    <n v="67.510000000000005"/>
    <n v="47.7"/>
    <n v="64.935939559232068"/>
    <n v="59.254645107713522"/>
    <n v="62.423312146678413"/>
    <n v="61.904912449859509"/>
    <s v="3. Vulnerable (&gt;=60 y &lt;70)"/>
    <s v="2. Riesgo (&gt;=40 y &lt;60)"/>
    <s v="3. Vulnerable (&gt;=60 y &lt;70)"/>
    <s v="3. Vulnerable (&gt;=60 y &lt;70)"/>
    <n v="66.648241666666664"/>
    <n v="62.129702315870887"/>
    <n v="64.388971991268775"/>
    <n v="44.173070276523873"/>
    <x v="1"/>
    <n v="55.826929723476127"/>
    <n v="0.9741882058902549"/>
    <n v="62.726977103292"/>
    <n v="0.614022351253944"/>
    <n v="2"/>
    <b v="1"/>
    <n v="0"/>
    <n v="0.97428046393498691"/>
    <n v="62.732917503950219"/>
    <n v="0.58020682434812343"/>
    <n v="2"/>
    <b v="1"/>
    <n v="0"/>
    <n v="44.173070276523873"/>
    <x v="2"/>
    <n v="55.826929723476127"/>
    <n v="0.94927242218174535"/>
    <n v="61.122675403944271"/>
    <n v="0.60754151268616696"/>
    <n v="2"/>
    <b v="1"/>
    <n v="0"/>
    <n v="0.11159578188768433"/>
    <n v="7.1855376743098462"/>
    <n v="0.42891925483949395"/>
    <n v="2"/>
  </r>
  <r>
    <n v="25612"/>
    <s v="25612"/>
    <s v="25"/>
    <s v="COLOMBIA"/>
    <s v="CUNDINAMARCA"/>
    <s v="RICAURTE"/>
    <x v="0"/>
    <n v="0"/>
    <n v="0"/>
    <n v="0"/>
    <n v="73.14"/>
    <n v="72.662199999999999"/>
    <n v="62.74"/>
    <n v="61.47"/>
    <n v="59.468356091346614"/>
    <n v="57.884862605052774"/>
    <n v="66.05325267567585"/>
    <n v="80.156691871501096"/>
    <s v="2. Riesgo (&gt;=40 y &lt;60)"/>
    <s v="2. Riesgo (&gt;=40 y &lt;60)"/>
    <s v="3. Vulnerable (&gt;=60 y &lt;70)"/>
    <s v="5. Sostenible (&gt;=80)"/>
    <n v="67.503050000000002"/>
    <n v="65.890790810894089"/>
    <n v="66.696920405447045"/>
    <n v="44.181487925101628"/>
    <x v="1"/>
    <n v="55.818512074898372"/>
    <n v="0.9741882058902549"/>
    <n v="64.975353228187586"/>
    <n v="0.64214716656455706"/>
    <n v="2"/>
    <b v="0"/>
    <n v="1"/>
    <n v="0.97428046393498691"/>
    <n v="64.981506555653837"/>
    <n v="0.60678204650876155"/>
    <n v="2"/>
    <b v="0"/>
    <n v="1"/>
    <n v="44.181487925101628"/>
    <x v="2"/>
    <n v="55.818512074898372"/>
    <n v="0.94927242218174535"/>
    <n v="63.313547185341797"/>
    <n v="0.63552580683433846"/>
    <n v="2"/>
    <b v="0"/>
    <n v="1"/>
    <n v="0.11157895534752993"/>
    <n v="7.4419727037371333"/>
    <n v="0.44422637961179012"/>
    <n v="2"/>
  </r>
  <r>
    <n v="25040"/>
    <s v="25040"/>
    <s v="25"/>
    <s v="COLOMBIA"/>
    <s v="CUNDINAMARCA"/>
    <s v="ANOLAIMA"/>
    <x v="5"/>
    <n v="0"/>
    <n v="0"/>
    <n v="0"/>
    <n v="37.76"/>
    <n v="46.5062"/>
    <n v="84.5"/>
    <n v="58.46"/>
    <n v="62.190906515913902"/>
    <n v="58.184534110123806"/>
    <n v="61.998700238698888"/>
    <n v="64.946465011733906"/>
    <s v="3. Vulnerable (&gt;=60 y &lt;70)"/>
    <s v="2. Riesgo (&gt;=40 y &lt;60)"/>
    <s v="3. Vulnerable (&gt;=60 y &lt;70)"/>
    <s v="3. Vulnerable (&gt;=60 y &lt;70)"/>
    <n v="56.806550000000001"/>
    <n v="61.830151469117624"/>
    <n v="59.318350734558813"/>
    <n v="44.186929532224354"/>
    <x v="1"/>
    <n v="55.813070467775646"/>
    <n v="0.9741882058902549"/>
    <n v="57.787237678468735"/>
    <n v="0.55223141802556341"/>
    <n v="2"/>
    <b v="0"/>
    <n v="-1"/>
    <n v="0.97428046393498691"/>
    <n v="57.792710273524229"/>
    <n v="0.52182038660900254"/>
    <n v="2"/>
    <b v="0"/>
    <n v="-1"/>
    <n v="44.186929532224354"/>
    <x v="2"/>
    <n v="55.813070467775646"/>
    <n v="0.94927242218174535"/>
    <n v="56.30927448162096"/>
    <n v="0.54605930801901259"/>
    <n v="2"/>
    <b v="0"/>
    <n v="-1"/>
    <n v="0.11156807779426675"/>
    <n v="6.6180343693808581"/>
    <n v="0.39504383650589359"/>
    <n v="2"/>
  </r>
  <r>
    <n v="66440"/>
    <s v="66440"/>
    <s v="66"/>
    <s v="COLOMBIA"/>
    <s v="RISARALDA"/>
    <s v="MARSELLA"/>
    <x v="4"/>
    <n v="0"/>
    <n v="0"/>
    <n v="0"/>
    <n v="63.33"/>
    <n v="66.0362333333333"/>
    <n v="63.82"/>
    <n v="53.17"/>
    <n v="47.876519737862616"/>
    <n v="50.906353854896544"/>
    <n v="58.496859444012046"/>
    <n v="52.912376283239119"/>
    <s v="2. Riesgo (&gt;=40 y &lt;60)"/>
    <s v="2. Riesgo (&gt;=40 y &lt;60)"/>
    <s v="2. Riesgo (&gt;=40 y &lt;60)"/>
    <s v="2. Riesgo (&gt;=40 y &lt;60)"/>
    <n v="61.589058333333327"/>
    <n v="52.548027330002583"/>
    <n v="57.068542831667955"/>
    <n v="44.224422028826801"/>
    <x v="1"/>
    <n v="55.775577971173199"/>
    <n v="0.9741882058902549"/>
    <n v="55.595501353953772"/>
    <n v="0.52481510691373479"/>
    <n v="2"/>
    <b v="1"/>
    <n v="0"/>
    <n v="0.97428046393498691"/>
    <n v="55.600766386131127"/>
    <n v="0.4959146321862497"/>
    <n v="2"/>
    <b v="1"/>
    <n v="0"/>
    <n v="44.224422028826801"/>
    <x v="2"/>
    <n v="55.775577971173199"/>
    <n v="0.94927242218174535"/>
    <n v="54.173593884200123"/>
    <n v="0.51877997814118471"/>
    <n v="2"/>
    <b v="1"/>
    <n v="0"/>
    <n v="0.11149313180504622"/>
    <n v="6.3627505678530811"/>
    <n v="0.37980543085180257"/>
    <n v="2"/>
  </r>
  <r>
    <n v="76670"/>
    <s v="76670"/>
    <s v="76"/>
    <s v="COLOMBIA"/>
    <s v="VALLE DEL CAUCA"/>
    <s v="SAN PEDRO"/>
    <x v="4"/>
    <n v="0"/>
    <n v="0"/>
    <n v="0"/>
    <n v="65.709999999999994"/>
    <n v="70.693733333333299"/>
    <n v="66.03"/>
    <n v="66.19"/>
    <n v="61.279647695206421"/>
    <n v="57.24261662675621"/>
    <n v="56.272122019367927"/>
    <n v="61.588516916139803"/>
    <s v="3. Vulnerable (&gt;=60 y &lt;70)"/>
    <s v="2. Riesgo (&gt;=40 y &lt;60)"/>
    <s v="2. Riesgo (&gt;=40 y &lt;60)"/>
    <s v="3. Vulnerable (&gt;=60 y &lt;70)"/>
    <n v="67.155933333333323"/>
    <n v="59.09572581436759"/>
    <n v="63.125829573850453"/>
    <n v="44.317902145334173"/>
    <x v="1"/>
    <n v="55.682097854665827"/>
    <n v="0.9741882058902549"/>
    <n v="61.496438657883367"/>
    <n v="0.59862961241166779"/>
    <n v="2"/>
    <b v="1"/>
    <n v="0"/>
    <n v="0.97428046393498691"/>
    <n v="61.502262523491936"/>
    <n v="0.56566217934774132"/>
    <n v="2"/>
    <b v="1"/>
    <n v="0"/>
    <n v="44.317902145334173"/>
    <x v="2"/>
    <n v="55.682097854665827"/>
    <n v="0.94927242218174535"/>
    <n v="59.923609141801073"/>
    <n v="0.59222568121310848"/>
    <n v="2"/>
    <b v="1"/>
    <n v="0"/>
    <n v="0.11130626882074342"/>
    <n v="7.0263005560794332"/>
    <n v="0.41941406967591643"/>
    <n v="2"/>
  </r>
  <r>
    <n v="13760"/>
    <s v="13760"/>
    <s v="13"/>
    <s v="COLOMBIA"/>
    <s v="BOLÍVAR"/>
    <s v="SOPLAVIENTO"/>
    <x v="5"/>
    <n v="0"/>
    <n v="0"/>
    <n v="0"/>
    <n v="43.23"/>
    <n v="44.2068333333333"/>
    <n v="30.98"/>
    <n v="26.7"/>
    <n v="50.543874850205199"/>
    <n v="46.934754565837721"/>
    <n v="39.855255774617802"/>
    <n v="52.365998489445204"/>
    <s v="2. Riesgo (&gt;=40 y &lt;60)"/>
    <s v="2. Riesgo (&gt;=40 y &lt;60)"/>
    <s v="1. Deterioro (&lt;40)"/>
    <s v="2. Riesgo (&gt;=40 y &lt;60)"/>
    <n v="36.279208333333322"/>
    <n v="47.424970920026482"/>
    <n v="41.852089626679899"/>
    <n v="44.236199082259382"/>
    <x v="1"/>
    <n v="55.763800917740618"/>
    <n v="0.9741882058902549"/>
    <n v="40.771812106173435"/>
    <n v="0.33938638006532829"/>
    <n v="4"/>
    <b v="0"/>
    <n v="1"/>
    <n v="0.97428046393498691"/>
    <n v="40.775673298130343"/>
    <n v="0.32070247322493645"/>
    <n v="4"/>
    <b v="0"/>
    <n v="1"/>
    <n v="44.236199082259382"/>
    <x v="2"/>
    <n v="55.763800917740618"/>
    <n v="0.94927242218174535"/>
    <n v="39.729034493285923"/>
    <n v="0.33427771640762483"/>
    <n v="4"/>
    <b v="0"/>
    <n v="1"/>
    <n v="0.11146958995001942"/>
    <n v="4.6652352692374697"/>
    <n v="0.27847731457680425"/>
    <n v="4"/>
  </r>
  <r>
    <n v="17877"/>
    <s v="17877"/>
    <s v="17"/>
    <s v="COLOMBIA"/>
    <s v="CALDAS"/>
    <s v="VITERBO"/>
    <x v="4"/>
    <n v="0"/>
    <n v="0"/>
    <n v="0"/>
    <n v="61.42"/>
    <n v="63.152266666666698"/>
    <n v="54.82"/>
    <n v="55.69"/>
    <n v="61.213588514002439"/>
    <n v="67.605705592773504"/>
    <n v="65.037459350253442"/>
    <n v="52.146551011443606"/>
    <s v="3. Vulnerable (&gt;=60 y &lt;70)"/>
    <s v="3. Vulnerable (&gt;=60 y &lt;70)"/>
    <s v="3. Vulnerable (&gt;=60 y &lt;70)"/>
    <s v="2. Riesgo (&gt;=40 y &lt;60)"/>
    <n v="58.770566666666674"/>
    <n v="61.500826117118251"/>
    <n v="60.135696391892466"/>
    <n v="44.307590029273236"/>
    <x v="1"/>
    <n v="55.692409970726764"/>
    <n v="0.9741882058902549"/>
    <n v="58.583486177978799"/>
    <n v="0.56219164742940186"/>
    <n v="2"/>
    <b v="1"/>
    <n v="0"/>
    <n v="0.97428046393498691"/>
    <n v="58.589034179746513"/>
    <n v="0.53123183718226363"/>
    <n v="2"/>
    <b v="1"/>
    <n v="0"/>
    <n v="44.307590029273236"/>
    <x v="2"/>
    <n v="55.692409970726764"/>
    <n v="0.94927242218174535"/>
    <n v="57.085158173517804"/>
    <n v="0.55596977272222781"/>
    <n v="2"/>
    <b v="1"/>
    <n v="0"/>
    <n v="0.11132688232502239"/>
    <n v="6.6947195957534857"/>
    <n v="0.39962133253246679"/>
    <n v="2"/>
  </r>
  <r>
    <n v="5237"/>
    <s v="05237"/>
    <s v="50"/>
    <s v="COLOMBIA"/>
    <s v="ANTIOQUIA"/>
    <s v="DON MATÍAS"/>
    <x v="4"/>
    <n v="0"/>
    <n v="0"/>
    <n v="0"/>
    <n v="64.02"/>
    <n v="65.793633333333304"/>
    <n v="63.4"/>
    <n v="43.64"/>
    <n v="54.763009858968722"/>
    <n v="50.317893178190047"/>
    <n v="54.880055967667161"/>
    <n v="75.734939646308092"/>
    <s v="2. Riesgo (&gt;=40 y &lt;60)"/>
    <s v="2. Riesgo (&gt;=40 y &lt;60)"/>
    <s v="2. Riesgo (&gt;=40 y &lt;60)"/>
    <s v="4. Solvente (&gt;=70 y &lt;80)"/>
    <n v="59.213408333333334"/>
    <n v="58.923974662783507"/>
    <n v="59.068691498058421"/>
    <n v="43.496442563277057"/>
    <x v="1"/>
    <n v="56.503557436722943"/>
    <n v="0.9741882058902549"/>
    <n v="57.544022594778482"/>
    <n v="0.54918905370146209"/>
    <n v="2"/>
    <b v="1"/>
    <n v="0"/>
    <n v="0.97428046393498691"/>
    <n v="57.549472156760977"/>
    <n v="0.51894564745378824"/>
    <n v="2"/>
    <b v="1"/>
    <n v="0"/>
    <n v="43.496442563277057"/>
    <x v="2"/>
    <n v="56.503557436722943"/>
    <n v="0.94927242218174535"/>
    <n v="56.072279853468181"/>
    <n v="0.5430321443839351"/>
    <n v="2"/>
    <b v="1"/>
    <n v="0"/>
    <n v="0.11294833340861998"/>
    <n v="6.6717102613336188"/>
    <n v="0.3982478588940212"/>
    <n v="2"/>
  </r>
  <r>
    <n v="25402"/>
    <s v="25402"/>
    <s v="25"/>
    <s v="COLOMBIA"/>
    <s v="CUNDINAMARCA"/>
    <s v="LA VEGA"/>
    <x v="0"/>
    <n v="0"/>
    <n v="0"/>
    <n v="0"/>
    <n v="67.290000000000006"/>
    <n v="77.0981666666667"/>
    <n v="78.42"/>
    <n v="86.83"/>
    <n v="58.173512444113044"/>
    <n v="50.355107302643468"/>
    <n v="63.477947263257008"/>
    <n v="66.2913531393516"/>
    <s v="2. Riesgo (&gt;=40 y &lt;60)"/>
    <s v="2. Riesgo (&gt;=40 y &lt;60)"/>
    <s v="3. Vulnerable (&gt;=60 y &lt;70)"/>
    <s v="3. Vulnerable (&gt;=60 y &lt;70)"/>
    <n v="77.409541666666669"/>
    <n v="59.574480037341274"/>
    <n v="68.492010852003972"/>
    <n v="44.765451527419017"/>
    <x v="1"/>
    <n v="55.234548472580983"/>
    <n v="0.9741882058902549"/>
    <n v="66.724109169729616"/>
    <n v="0.66402226003073184"/>
    <n v="1"/>
    <b v="1"/>
    <n v="0"/>
    <n v="0.97428046393498691"/>
    <n v="66.730428108730592"/>
    <n v="0.62745188779404659"/>
    <n v="1"/>
    <b v="1"/>
    <n v="0"/>
    <n v="44.765451527419017"/>
    <x v="2"/>
    <n v="55.234548472580983"/>
    <n v="0.94927242218174535"/>
    <n v="65.017577041580196"/>
    <n v="0.65729160487835891"/>
    <n v="1"/>
    <b v="1"/>
    <n v="0"/>
    <n v="0.11041163564864356"/>
    <n v="7.5623149470344035"/>
    <n v="0.45140985114313043"/>
    <n v="2"/>
  </r>
  <r>
    <n v="5282"/>
    <s v="05282"/>
    <s v="50"/>
    <s v="COLOMBIA"/>
    <s v="ANTIOQUIA"/>
    <s v="FREDONIA"/>
    <x v="4"/>
    <n v="0"/>
    <n v="0"/>
    <n v="0"/>
    <n v="46.92"/>
    <n v="47.847633333333299"/>
    <n v="55.1"/>
    <n v="38.42"/>
    <n v="44.87258387966375"/>
    <n v="44.088121846281339"/>
    <n v="40.045710628441661"/>
    <n v="51.025814928970917"/>
    <s v="2. Riesgo (&gt;=40 y &lt;60)"/>
    <s v="2. Riesgo (&gt;=40 y &lt;60)"/>
    <s v="2. Riesgo (&gt;=40 y &lt;60)"/>
    <s v="2. Riesgo (&gt;=40 y &lt;60)"/>
    <n v="47.071908333333326"/>
    <n v="45.008057820839412"/>
    <n v="46.039983077086369"/>
    <n v="44.221478264306754"/>
    <x v="1"/>
    <n v="55.778521735693246"/>
    <n v="0.9741882058902549"/>
    <n v="44.851608513084464"/>
    <n v="0.39042033260501025"/>
    <n v="3"/>
    <b v="0"/>
    <n v="1"/>
    <n v="0.97428046393498691"/>
    <n v="44.85585607190265"/>
    <n v="0.36892460771716662"/>
    <n v="3"/>
    <b v="0"/>
    <n v="1"/>
    <n v="44.221478264306754"/>
    <x v="2"/>
    <n v="55.778521735693246"/>
    <n v="0.94927242218174535"/>
    <n v="43.704486252792343"/>
    <n v="0.38505668592766173"/>
    <n v="3"/>
    <b v="0"/>
    <n v="1"/>
    <n v="0.11149901627164568"/>
    <n v="5.1334128222583448"/>
    <n v="0.30642377819249722"/>
    <n v="3"/>
  </r>
  <r>
    <n v="73520"/>
    <s v="73520"/>
    <s v="73"/>
    <s v="COLOMBIA"/>
    <s v="TOLIMA"/>
    <s v="PALOCABILDO"/>
    <x v="5"/>
    <n v="0"/>
    <n v="0"/>
    <n v="0"/>
    <n v="46.01"/>
    <n v="51.700466666666699"/>
    <n v="39.880000000000003"/>
    <n v="42.94"/>
    <n v="58.133385656676595"/>
    <n v="42.978972125139947"/>
    <n v="59.528177658390952"/>
    <n v="51.786771060709683"/>
    <s v="2. Riesgo (&gt;=40 y &lt;60)"/>
    <s v="2. Riesgo (&gt;=40 y &lt;60)"/>
    <s v="2. Riesgo (&gt;=40 y &lt;60)"/>
    <s v="2. Riesgo (&gt;=40 y &lt;60)"/>
    <n v="45.132616666666671"/>
    <n v="53.106826625229289"/>
    <n v="49.119721645947976"/>
    <n v="44.548631793574984"/>
    <x v="1"/>
    <n v="55.451368206425016"/>
    <n v="0.9741882058902549"/>
    <n v="47.851853504094777"/>
    <n v="0.42795023488622913"/>
    <n v="3"/>
    <b v="1"/>
    <n v="0"/>
    <n v="0.97428046393498691"/>
    <n v="47.856385193571612"/>
    <n v="0.40438672470444065"/>
    <n v="3"/>
    <b v="1"/>
    <n v="0"/>
    <n v="44.548631793574984"/>
    <x v="2"/>
    <n v="55.451368206425016"/>
    <n v="0.94927242218174535"/>
    <n v="46.627997143742142"/>
    <n v="0.42239907602660914"/>
    <n v="3"/>
    <b v="1"/>
    <n v="0"/>
    <n v="0.11084504955563888"/>
    <n v="5.4446779800042915"/>
    <n v="0.32500382405256045"/>
    <n v="3"/>
  </r>
  <r>
    <n v="19142"/>
    <s v="19142"/>
    <s v="19"/>
    <s v="COLOMBIA"/>
    <s v="CAUCA"/>
    <s v="CALOTO"/>
    <x v="4"/>
    <n v="0"/>
    <n v="0"/>
    <n v="1"/>
    <n v="50.65"/>
    <n v="56.820799999999998"/>
    <n v="67.08"/>
    <n v="72.59"/>
    <n v="43.02188438947158"/>
    <n v="47.115056827593548"/>
    <n v="48.081061812973914"/>
    <n v="57.560595406969554"/>
    <s v="2. Riesgo (&gt;=40 y &lt;60)"/>
    <s v="2. Riesgo (&gt;=40 y &lt;60)"/>
    <s v="2. Riesgo (&gt;=40 y &lt;60)"/>
    <s v="2. Riesgo (&gt;=40 y &lt;60)"/>
    <n v="61.785199999999996"/>
    <n v="48.944649609252146"/>
    <n v="55.364924804626071"/>
    <n v="44.39775361715472"/>
    <x v="1"/>
    <n v="55.60224638284528"/>
    <n v="0.9741882058902549"/>
    <n v="53.935856764667541"/>
    <n v="0.50405470253206075"/>
    <n v="2"/>
    <b v="1"/>
    <n v="0"/>
    <n v="0.97428046393498691"/>
    <n v="53.940964624376754"/>
    <n v="0.47629806395301827"/>
    <n v="2"/>
    <b v="1"/>
    <n v="0"/>
    <n v="44.39775361715472"/>
    <x v="2"/>
    <n v="55.60224638284528"/>
    <n v="0.94927242218174535"/>
    <n v="52.556396273197585"/>
    <n v="0.49812329981510434"/>
    <n v="2"/>
    <b v="1"/>
    <n v="0"/>
    <n v="0.11114664894773883"/>
    <n v="6.1536258612777317"/>
    <n v="0.36732235479285724"/>
    <n v="3"/>
  </r>
  <r>
    <n v="25099"/>
    <s v="25099"/>
    <s v="25"/>
    <s v="COLOMBIA"/>
    <s v="CUNDINAMARCA"/>
    <s v="BOJACÁ"/>
    <x v="0"/>
    <n v="0"/>
    <n v="0"/>
    <n v="0"/>
    <n v="68.59"/>
    <n v="78.996499999999997"/>
    <n v="83.18"/>
    <n v="76.44"/>
    <n v="61.353114237947018"/>
    <n v="71.816786911754463"/>
    <n v="60.558159233863506"/>
    <n v="66.336128390696217"/>
    <s v="3. Vulnerable (&gt;=60 y &lt;70)"/>
    <s v="4. Solvente (&gt;=70 y &lt;80)"/>
    <s v="3. Vulnerable (&gt;=60 y &lt;70)"/>
    <s v="3. Vulnerable (&gt;=60 y &lt;70)"/>
    <n v="76.801625000000001"/>
    <n v="65.016047193565299"/>
    <n v="70.90883609678265"/>
    <n v="44.557992813250955"/>
    <x v="1"/>
    <n v="55.442007186749045"/>
    <n v="0.9741882058902549"/>
    <n v="69.07855181889083"/>
    <n v="0.69347385575525267"/>
    <n v="1"/>
    <b v="1"/>
    <n v="0"/>
    <n v="0.97428046393498691"/>
    <n v="69.085093729463352"/>
    <n v="0.6552807887386547"/>
    <n v="1"/>
    <b v="1"/>
    <n v="0"/>
    <n v="44.557992813250955"/>
    <x v="2"/>
    <n v="55.442007186749045"/>
    <n v="0.94927242218174535"/>
    <n v="67.311802595681243"/>
    <n v="0.68659605039331373"/>
    <n v="1"/>
    <b v="1"/>
    <n v="0"/>
    <n v="0.11082633725469056"/>
    <n v="7.8585665835996092"/>
    <n v="0.4690937096043879"/>
    <n v="2"/>
  </r>
  <r>
    <n v="52480"/>
    <s v="52480"/>
    <s v="52"/>
    <s v="COLOMBIA"/>
    <s v="NARIÑO"/>
    <s v="NARIÑO"/>
    <x v="0"/>
    <n v="0"/>
    <n v="0"/>
    <n v="0"/>
    <n v="88.11"/>
    <n v="88.822966666666701"/>
    <n v="85.56"/>
    <n v="88.48"/>
    <n v="62.414365146652869"/>
    <n v="43.461159938094099"/>
    <n v="62.326054497334383"/>
    <n v="57.907496435238272"/>
    <s v="3. Vulnerable (&gt;=60 y &lt;70)"/>
    <s v="2. Riesgo (&gt;=40 y &lt;60)"/>
    <s v="3. Vulnerable (&gt;=60 y &lt;70)"/>
    <s v="2. Riesgo (&gt;=40 y &lt;60)"/>
    <n v="87.743241666666677"/>
    <n v="56.527269004329909"/>
    <n v="72.1352553354983"/>
    <n v="44.628738992266989"/>
    <x v="1"/>
    <n v="55.371261007733011"/>
    <n v="0.9741882058902549"/>
    <n v="70.273314976724521"/>
    <n v="0.70841908346067406"/>
    <n v="1"/>
    <b v="1"/>
    <n v="0"/>
    <n v="0.97428046393498691"/>
    <n v="70.279970034338021"/>
    <n v="0.66940257912648415"/>
    <n v="1"/>
    <b v="1"/>
    <n v="0"/>
    <n v="44.628738992266989"/>
    <x v="2"/>
    <n v="55.371261007733011"/>
    <n v="0.94927242218174535"/>
    <n v="68.476008557027143"/>
    <n v="0.70146660664767213"/>
    <n v="1"/>
    <b v="1"/>
    <n v="0"/>
    <n v="0.11068491849492774"/>
    <n v="7.9842848574204313"/>
    <n v="0.47659808725447289"/>
    <n v="2"/>
  </r>
  <r>
    <n v="8832"/>
    <s v="08832"/>
    <s v="87"/>
    <s v="COLOMBIA"/>
    <s v="ATLÁNTICO"/>
    <s v="TUBARÁ"/>
    <x v="0"/>
    <n v="0"/>
    <n v="0"/>
    <n v="0"/>
    <n v="68.709999999999994"/>
    <n v="72.168133333333301"/>
    <n v="72.06"/>
    <n v="77.47"/>
    <n v="61.228260706491412"/>
    <n v="65.822177615764446"/>
    <n v="65.125136213547265"/>
    <n v="62.646518417291801"/>
    <s v="3. Vulnerable (&gt;=60 y &lt;70)"/>
    <s v="3. Vulnerable (&gt;=60 y &lt;70)"/>
    <s v="3. Vulnerable (&gt;=60 y &lt;70)"/>
    <s v="3. Vulnerable (&gt;=60 y &lt;70)"/>
    <n v="72.602033333333324"/>
    <n v="63.705523238273727"/>
    <n v="68.153778285803526"/>
    <n v="44.638062692809946"/>
    <x v="1"/>
    <n v="55.361937307190054"/>
    <n v="0.9741882058902549"/>
    <n v="66.394606992889152"/>
    <n v="0.65990053512649083"/>
    <n v="1"/>
    <b v="1"/>
    <n v="0"/>
    <n v="0.97428046393498691"/>
    <n v="66.40089472721489"/>
    <n v="0.62355725759628267"/>
    <n v="2"/>
    <b v="0"/>
    <n v="1"/>
    <n v="44.638062692809946"/>
    <x v="2"/>
    <n v="55.361937307190054"/>
    <n v="0.94927242218174535"/>
    <n v="64.696502194202353"/>
    <n v="0.65319047351645454"/>
    <n v="1"/>
    <b v="1"/>
    <n v="0"/>
    <n v="0.11066628079342182"/>
    <n v="7.5423251649093475"/>
    <n v="0.45021662067909191"/>
    <n v="2"/>
  </r>
  <r>
    <n v="52210"/>
    <s v="52210"/>
    <s v="52"/>
    <s v="COLOMBIA"/>
    <s v="NARIÑO"/>
    <s v="CONTADERO"/>
    <x v="4"/>
    <n v="0"/>
    <n v="0"/>
    <n v="0"/>
    <n v="58.42"/>
    <n v="55.658633333333299"/>
    <n v="43.78"/>
    <n v="45.9"/>
    <n v="51.724759556450941"/>
    <n v="50.593623123255639"/>
    <n v="53.101727081254694"/>
    <n v="60.07508037161746"/>
    <s v="2. Riesgo (&gt;=40 y &lt;60)"/>
    <s v="2. Riesgo (&gt;=40 y &lt;60)"/>
    <s v="2. Riesgo (&gt;=40 y &lt;60)"/>
    <s v="3. Vulnerable (&gt;=60 y &lt;70)"/>
    <n v="50.939658333333327"/>
    <n v="53.873797533144682"/>
    <n v="52.406727933239004"/>
    <n v="44.704405019809514"/>
    <x v="1"/>
    <n v="55.295594980190486"/>
    <n v="0.9741882058902549"/>
    <n v="51.054016261860809"/>
    <n v="0.46800591558817367"/>
    <n v="3"/>
    <b v="0"/>
    <n v="1"/>
    <n v="0.97428046393498691"/>
    <n v="51.058851204110738"/>
    <n v="0.44223545728076014"/>
    <n v="3"/>
    <b v="0"/>
    <n v="1"/>
    <n v="44.704405019809514"/>
    <x v="2"/>
    <n v="55.295594980190486"/>
    <n v="0.94927242218174535"/>
    <n v="49.748261563805521"/>
    <n v="0.46225462489648794"/>
    <n v="3"/>
    <b v="0"/>
    <n v="1"/>
    <n v="0.11053366515630125"/>
    <n v="5.7927077173100194"/>
    <n v="0.34577842191193292"/>
    <n v="3"/>
  </r>
  <r>
    <n v="73443"/>
    <s v="73443"/>
    <s v="73"/>
    <s v="COLOMBIA"/>
    <s v="TOLIMA"/>
    <s v="SAN SEBASTIÁN DE MARIQUITA"/>
    <x v="4"/>
    <n v="0"/>
    <n v="0"/>
    <n v="0"/>
    <n v="53.63"/>
    <n v="59.3588666666667"/>
    <n v="75.040000000000006"/>
    <n v="56.05"/>
    <n v="61.469684051611651"/>
    <n v="65.797217246942495"/>
    <n v="65.265221694185584"/>
    <n v="63.382975247653228"/>
    <s v="3. Vulnerable (&gt;=60 y &lt;70)"/>
    <s v="3. Vulnerable (&gt;=60 y &lt;70)"/>
    <s v="3. Vulnerable (&gt;=60 y &lt;70)"/>
    <s v="3. Vulnerable (&gt;=60 y &lt;70)"/>
    <n v="61.019716666666682"/>
    <n v="63.978774560098245"/>
    <n v="62.499245613382463"/>
    <n v="44.929728357853776"/>
    <x v="1"/>
    <n v="55.070271642146224"/>
    <n v="0.9741882058902549"/>
    <n v="60.886027953595445"/>
    <n v="0.59099401793455764"/>
    <n v="2"/>
    <b v="1"/>
    <n v="0"/>
    <n v="0.97428046393498691"/>
    <n v="60.89179401179296"/>
    <n v="0.55844728327405324"/>
    <n v="2"/>
    <b v="1"/>
    <n v="0"/>
    <n v="44.929728357853776"/>
    <x v="2"/>
    <n v="55.070271642146224"/>
    <n v="0.94927242218174535"/>
    <n v="59.328810267947397"/>
    <n v="0.58462823676827436"/>
    <n v="2"/>
    <b v="1"/>
    <n v="0"/>
    <n v="0.11008325288732743"/>
    <n v="6.880120260125171"/>
    <n v="0.41068827260201257"/>
    <n v="2"/>
  </r>
  <r>
    <n v="20001"/>
    <s v="20001"/>
    <s v="20"/>
    <s v="COLOMBIA"/>
    <s v="CESAR"/>
    <s v="VALLEDUPAR"/>
    <x v="4"/>
    <n v="0"/>
    <n v="1"/>
    <n v="1"/>
    <n v="51.35"/>
    <n v="55.495466666666701"/>
    <n v="58.26"/>
    <n v="71.97"/>
    <n v="49.080232746432117"/>
    <n v="62.591075821576915"/>
    <n v="63.176481034710008"/>
    <n v="61.098730407538191"/>
    <s v="2. Riesgo (&gt;=40 y &lt;60)"/>
    <s v="3. Vulnerable (&gt;=60 y &lt;70)"/>
    <s v="3. Vulnerable (&gt;=60 y &lt;70)"/>
    <s v="3. Vulnerable (&gt;=60 y &lt;70)"/>
    <n v="59.268866666666675"/>
    <n v="58.986630002564311"/>
    <n v="59.12774833461549"/>
    <n v="44.750569772905749"/>
    <x v="1"/>
    <n v="55.249430227094251"/>
    <n v="0.9741882058902549"/>
    <n v="57.601555068429569"/>
    <n v="0.54990872430189364"/>
    <n v="2"/>
    <b v="1"/>
    <n v="0"/>
    <n v="0.97428046393498691"/>
    <n v="57.607010078880329"/>
    <n v="0.51962566635800944"/>
    <n v="2"/>
    <b v="1"/>
    <n v="0"/>
    <n v="44.750569772905749"/>
    <x v="2"/>
    <n v="55.249430227094251"/>
    <n v="0.94927242218174535"/>
    <n v="56.128340879753104"/>
    <n v="0.54374821926477768"/>
    <n v="2"/>
    <b v="1"/>
    <n v="0"/>
    <n v="0.11044138367596648"/>
    <n v="6.5301503397192571"/>
    <n v="0.3897978612952262"/>
    <n v="2"/>
  </r>
  <r>
    <n v="73283"/>
    <s v="73283"/>
    <s v="73"/>
    <s v="COLOMBIA"/>
    <s v="TOLIMA"/>
    <s v="FRESNO"/>
    <x v="5"/>
    <n v="0"/>
    <n v="0"/>
    <n v="0"/>
    <n v="50.85"/>
    <n v="54.4782333333333"/>
    <n v="60.95"/>
    <n v="41.19"/>
    <n v="39.302012963321829"/>
    <n v="55.442011589757094"/>
    <n v="55.908267233328289"/>
    <n v="56.146884105996328"/>
    <s v="1. Deterioro (&lt;40)"/>
    <s v="2. Riesgo (&gt;=40 y &lt;60)"/>
    <s v="2. Riesgo (&gt;=40 y &lt;60)"/>
    <s v="2. Riesgo (&gt;=40 y &lt;60)"/>
    <n v="51.867058333333325"/>
    <n v="51.699793973100881"/>
    <n v="51.783426153217107"/>
    <n v="44.629324800901543"/>
    <x v="1"/>
    <n v="55.370675199098457"/>
    <n v="0.9741882058902549"/>
    <n v="50.446803019053078"/>
    <n v="0.4604103179837386"/>
    <n v="3"/>
    <b v="1"/>
    <n v="0"/>
    <n v="0.97428046393498691"/>
    <n v="50.451580456699496"/>
    <n v="0.43505835437176771"/>
    <n v="3"/>
    <b v="1"/>
    <n v="0"/>
    <n v="44.629324800901543"/>
    <x v="2"/>
    <n v="55.370675199098457"/>
    <n v="0.94927242218174535"/>
    <n v="49.156578373333943"/>
    <n v="0.45469697748632176"/>
    <n v="3"/>
    <b v="1"/>
    <n v="0"/>
    <n v="0.1106837474870838"/>
    <n v="5.7315836643587339"/>
    <n v="0.3421298037523805"/>
    <n v="3"/>
  </r>
  <r>
    <n v="66318"/>
    <s v="66318"/>
    <s v="66"/>
    <s v="COLOMBIA"/>
    <s v="RISARALDA"/>
    <s v="GUÁTICA"/>
    <x v="4"/>
    <n v="0"/>
    <n v="0"/>
    <n v="0"/>
    <n v="87.21"/>
    <n v="88.166899999999998"/>
    <n v="66.17"/>
    <n v="51.35"/>
    <n v="61.010496318457029"/>
    <n v="47.264732797760395"/>
    <n v="49.411599493335586"/>
    <n v="52.448390510132114"/>
    <s v="3. Vulnerable (&gt;=60 y &lt;70)"/>
    <s v="2. Riesgo (&gt;=40 y &lt;60)"/>
    <s v="2. Riesgo (&gt;=40 y &lt;60)"/>
    <s v="2. Riesgo (&gt;=40 y &lt;60)"/>
    <n v="73.224225000000004"/>
    <n v="52.533804779921283"/>
    <n v="62.879014889960644"/>
    <n v="44.784530607545825"/>
    <x v="1"/>
    <n v="55.215469392454175"/>
    <n v="0.9741882058902549"/>
    <n v="61.255994703797384"/>
    <n v="0.59562191199786996"/>
    <n v="2"/>
    <b v="1"/>
    <n v="0"/>
    <n v="0.97428046393498691"/>
    <n v="61.261795798765803"/>
    <n v="0.56282019422511687"/>
    <n v="2"/>
    <b v="1"/>
    <n v="0"/>
    <n v="44.784530607545825"/>
    <x v="2"/>
    <n v="55.215469392454175"/>
    <n v="0.94927242218174535"/>
    <n v="59.689314768994969"/>
    <n v="0.58923300829562497"/>
    <n v="2"/>
    <b v="1"/>
    <n v="0"/>
    <n v="0.11037349733663186"/>
    <n v="6.9401767824871063"/>
    <n v="0.41427316770482847"/>
    <n v="2"/>
  </r>
  <r>
    <n v="20011"/>
    <s v="20011"/>
    <s v="20"/>
    <s v="COLOMBIA"/>
    <s v="CESAR"/>
    <s v="AGUACHICA"/>
    <x v="4"/>
    <n v="0"/>
    <n v="0"/>
    <n v="0"/>
    <n v="48.52"/>
    <n v="49.656933333333299"/>
    <n v="51.48"/>
    <n v="47.26"/>
    <n v="50.605608229688464"/>
    <n v="51.369086559018001"/>
    <n v="54.390044133205372"/>
    <n v="53.57273719853066"/>
    <s v="2. Riesgo (&gt;=40 y &lt;60)"/>
    <s v="2. Riesgo (&gt;=40 y &lt;60)"/>
    <s v="2. Riesgo (&gt;=40 y &lt;60)"/>
    <s v="2. Riesgo (&gt;=40 y &lt;60)"/>
    <n v="49.229233333333319"/>
    <n v="52.484369030110628"/>
    <n v="50.856801181721977"/>
    <n v="44.872061553882176"/>
    <x v="1"/>
    <n v="55.127938446117824"/>
    <n v="0.9741882058902549"/>
    <n v="49.544095900539126"/>
    <n v="0.44911840347412352"/>
    <n v="3"/>
    <b v="0"/>
    <n v="1"/>
    <n v="0.97428046393498691"/>
    <n v="49.548787849577479"/>
    <n v="0.42438859055651112"/>
    <n v="3"/>
    <b v="0"/>
    <n v="1"/>
    <n v="44.872061553882176"/>
    <x v="2"/>
    <n v="55.127938446117824"/>
    <n v="0.94927242218174535"/>
    <n v="48.27695884218867"/>
    <n v="0.44346148122996659"/>
    <n v="3"/>
    <b v="0"/>
    <n v="1"/>
    <n v="0.11019852650366367"/>
    <n v="5.6043445529155429"/>
    <n v="0.33453464423331297"/>
    <n v="3"/>
  </r>
  <r>
    <n v="76306"/>
    <s v="76306"/>
    <s v="76"/>
    <s v="COLOMBIA"/>
    <s v="VALLE DEL CAUCA"/>
    <s v="GINEBRA"/>
    <x v="4"/>
    <n v="0"/>
    <n v="0"/>
    <n v="0"/>
    <n v="52.41"/>
    <n v="53.476300000000002"/>
    <n v="44.69"/>
    <n v="45.11"/>
    <n v="59.898517837602299"/>
    <n v="63.585469460940402"/>
    <n v="62.690568335947063"/>
    <n v="59.765483555479875"/>
    <s v="2. Riesgo (&gt;=40 y &lt;60)"/>
    <s v="3. Vulnerable (&gt;=60 y &lt;70)"/>
    <s v="3. Vulnerable (&gt;=60 y &lt;70)"/>
    <s v="2. Riesgo (&gt;=40 y &lt;60)"/>
    <n v="48.921575000000004"/>
    <n v="61.48500979749241"/>
    <n v="55.203292398746207"/>
    <n v="44.794127308892719"/>
    <x v="1"/>
    <n v="55.205872691107281"/>
    <n v="0.9741882058902549"/>
    <n v="53.778396381169713"/>
    <n v="0.5020850391133922"/>
    <n v="2"/>
    <b v="1"/>
    <n v="0"/>
    <n v="0.97428046393498691"/>
    <n v="53.783489328989191"/>
    <n v="0.47443692309379104"/>
    <n v="2"/>
    <b v="1"/>
    <n v="0"/>
    <n v="44.794127308892719"/>
    <x v="2"/>
    <n v="55.205872691107281"/>
    <n v="0.94927242218174535"/>
    <n v="52.402963087764945"/>
    <n v="0.49616347750615158"/>
    <n v="2"/>
    <b v="1"/>
    <n v="0"/>
    <n v="0.11035431391752475"/>
    <n v="6.0919214586521466"/>
    <n v="0.36363909438924047"/>
    <n v="3"/>
  </r>
  <r>
    <n v="70473"/>
    <s v="70473"/>
    <s v="70"/>
    <s v="COLOMBIA"/>
    <s v="SUCRE"/>
    <s v="MORROA"/>
    <x v="5"/>
    <n v="0"/>
    <n v="0"/>
    <n v="1"/>
    <n v="37.44"/>
    <n v="39.5276"/>
    <n v="41.91"/>
    <n v="41.01"/>
    <n v="57.386470073109315"/>
    <n v="53.576354194858631"/>
    <n v="55.747977861559406"/>
    <n v="60.510269834570877"/>
    <s v="2. Riesgo (&gt;=40 y &lt;60)"/>
    <s v="2. Riesgo (&gt;=40 y &lt;60)"/>
    <s v="2. Riesgo (&gt;=40 y &lt;60)"/>
    <s v="3. Vulnerable (&gt;=60 y &lt;70)"/>
    <n v="39.971899999999998"/>
    <n v="56.80526799102455"/>
    <n v="48.388583995512278"/>
    <n v="44.964372113923361"/>
    <x v="1"/>
    <n v="55.035627886076639"/>
    <n v="0.9741882058902549"/>
    <n v="47.139587828158007"/>
    <n v="0.41904054207905217"/>
    <n v="3"/>
    <b v="1"/>
    <n v="0"/>
    <n v="0.97428046393498691"/>
    <n v="47.144052064304788"/>
    <n v="0.39596792930547431"/>
    <n v="3"/>
    <b v="1"/>
    <n v="0"/>
    <n v="44.964372113923361"/>
    <x v="2"/>
    <n v="55.035627886076639"/>
    <n v="0.94927242218174535"/>
    <n v="45.933948335364775"/>
    <n v="0.41353389908118748"/>
    <n v="3"/>
    <b v="1"/>
    <n v="0"/>
    <n v="0.1100140014155868"/>
    <n v="5.3234217481805288"/>
    <n v="0.31776579470029093"/>
    <n v="3"/>
  </r>
  <r>
    <n v="8436"/>
    <s v="08436"/>
    <s v="87"/>
    <s v="COLOMBIA"/>
    <s v="ATLÁNTICO"/>
    <s v="MANATÍ"/>
    <x v="4"/>
    <n v="0"/>
    <n v="0"/>
    <n v="0"/>
    <n v="64.94"/>
    <n v="68.058599999999998"/>
    <n v="70.83"/>
    <n v="73.09"/>
    <n v="53.623240927605451"/>
    <n v="32.708432052626776"/>
    <n v="56.167640210549244"/>
    <n v="51.309797953494467"/>
    <s v="2. Riesgo (&gt;=40 y &lt;60)"/>
    <s v="1. Deterioro (&lt;40)"/>
    <s v="2. Riesgo (&gt;=40 y &lt;60)"/>
    <s v="2. Riesgo (&gt;=40 y &lt;60)"/>
    <n v="69.229649999999992"/>
    <n v="48.452277786068983"/>
    <n v="58.840963893034484"/>
    <n v="45.01198381012"/>
    <x v="1"/>
    <n v="54.98801618988"/>
    <n v="0.9741882058902549"/>
    <n v="57.322173047808533"/>
    <n v="0.54641394972033308"/>
    <n v="2"/>
    <b v="1"/>
    <n v="0"/>
    <n v="0.97428046393498691"/>
    <n v="57.327601600087448"/>
    <n v="0.51632344339652114"/>
    <n v="2"/>
    <b v="1"/>
    <n v="0"/>
    <n v="45.01198381012"/>
    <x v="2"/>
    <n v="54.98801618988"/>
    <n v="0.94927242218174535"/>
    <n v="55.856104318249464"/>
    <n v="0.54027090576807235"/>
    <n v="2"/>
    <b v="1"/>
    <n v="0"/>
    <n v="0.109918827554327"/>
    <n v="6.4677297632888386"/>
    <n v="0.38607185103089925"/>
    <n v="2"/>
  </r>
  <r>
    <n v="23189"/>
    <s v="23189"/>
    <s v="23"/>
    <s v="COLOMBIA"/>
    <s v="CÓRDOBA"/>
    <s v="CIÉNAGA DE ORO"/>
    <x v="5"/>
    <n v="0"/>
    <n v="0"/>
    <n v="0"/>
    <n v="58.1"/>
    <n v="56.895400000000002"/>
    <n v="51.73"/>
    <n v="43.79"/>
    <n v="66.899957283201203"/>
    <n v="56.788277073810917"/>
    <n v="60.777725734621058"/>
    <n v="51.036761118207139"/>
    <s v="3. Vulnerable (&gt;=60 y &lt;70)"/>
    <s v="2. Riesgo (&gt;=40 y &lt;60)"/>
    <s v="3. Vulnerable (&gt;=60 y &lt;70)"/>
    <s v="2. Riesgo (&gt;=40 y &lt;60)"/>
    <n v="52.62885"/>
    <n v="58.875680302460083"/>
    <n v="55.752265151230041"/>
    <n v="45.024823607851559"/>
    <x v="1"/>
    <n v="54.975176392148441"/>
    <n v="0.9741882058902549"/>
    <n v="54.313199161994575"/>
    <n v="0.50877485816624302"/>
    <n v="2"/>
    <b v="0"/>
    <n v="-1"/>
    <n v="0.97428046393498691"/>
    <n v="54.318342756966807"/>
    <n v="0.48075815313852294"/>
    <n v="2"/>
    <b v="0"/>
    <n v="-1"/>
    <n v="45.024823607851559"/>
    <x v="2"/>
    <n v="54.975176392148441"/>
    <n v="0.94927242218174535"/>
    <n v="52.924087782227055"/>
    <n v="0.50281987194307354"/>
    <n v="2"/>
    <b v="0"/>
    <n v="-1"/>
    <n v="0.10989316131629044"/>
    <n v="6.1267926680127207"/>
    <n v="0.36572062729773308"/>
    <n v="3"/>
  </r>
  <r>
    <n v="52224"/>
    <s v="52224"/>
    <s v="52"/>
    <s v="COLOMBIA"/>
    <s v="NARIÑO"/>
    <s v="CUASPUD CARLOSAMA"/>
    <x v="5"/>
    <n v="0"/>
    <n v="0"/>
    <n v="0"/>
    <n v="49.41"/>
    <n v="52.116666666666703"/>
    <n v="45"/>
    <n v="41.38"/>
    <n v="54.06820463814676"/>
    <n v="51.171184130848026"/>
    <n v="51.728916076078448"/>
    <n v="51.099123524330807"/>
    <s v="2. Riesgo (&gt;=40 y &lt;60)"/>
    <s v="2. Riesgo (&gt;=40 y &lt;60)"/>
    <s v="2. Riesgo (&gt;=40 y &lt;60)"/>
    <s v="2. Riesgo (&gt;=40 y &lt;60)"/>
    <n v="46.976666666666674"/>
    <n v="52.016857092351017"/>
    <n v="49.496761879508846"/>
    <n v="45.124902544384135"/>
    <x v="1"/>
    <n v="54.875097455615865"/>
    <n v="0.9741882058902549"/>
    <n v="48.219161652775881"/>
    <n v="0.43254487264694585"/>
    <n v="3"/>
    <b v="1"/>
    <n v="0"/>
    <n v="0.97428046393498691"/>
    <n v="48.223728127247455"/>
    <n v="0.40872821167565038"/>
    <n v="3"/>
    <b v="1"/>
    <n v="0"/>
    <n v="45.124902544384135"/>
    <x v="2"/>
    <n v="54.875097455615865"/>
    <n v="0.94927242218174535"/>
    <n v="46.985911039514441"/>
    <n v="0.42697075741118612"/>
    <n v="3"/>
    <b v="1"/>
    <n v="0"/>
    <n v="0.10969310755678476"/>
    <n v="5.4294536245615275"/>
    <n v="0.3240950515308787"/>
    <n v="3"/>
  </r>
  <r>
    <n v="13838"/>
    <s v="13838"/>
    <s v="13"/>
    <s v="COLOMBIA"/>
    <s v="BOLÍVAR"/>
    <s v="TURBANÁ"/>
    <x v="5"/>
    <n v="0"/>
    <n v="0"/>
    <n v="0"/>
    <n v="45.83"/>
    <n v="48.208233333333297"/>
    <s v="N.D."/>
    <n v="41.1"/>
    <n v="44.312254330416501"/>
    <n v="43.300970104358825"/>
    <n v="41.232492158693049"/>
    <n v="57.710768067828695"/>
    <s v="2. Riesgo (&gt;=40 y &lt;60)"/>
    <s v="2. Riesgo (&gt;=40 y &lt;60)"/>
    <s v="2. Riesgo (&gt;=40 y &lt;60)"/>
    <s v="2. Riesgo (&gt;=40 y &lt;60)"/>
    <n v="45.046077777777761"/>
    <n v="46.639121165324269"/>
    <n v="45.842599471551011"/>
    <n v="45.207517208194716"/>
    <x v="1"/>
    <n v="54.792482791805284"/>
    <n v="0.9741882058902549"/>
    <n v="44.659319732535828"/>
    <n v="0.38801500265182698"/>
    <n v="3"/>
    <b v="1"/>
    <n v="0"/>
    <n v="0.97428046393498691"/>
    <n v="44.663549081128508"/>
    <n v="0.36665180424558752"/>
    <n v="3"/>
    <b v="1"/>
    <n v="0"/>
    <n v="45.207517208194716"/>
    <x v="2"/>
    <n v="54.792482791805284"/>
    <n v="0.94927242218174535"/>
    <n v="43.517115439466828"/>
    <n v="0.38266337382267918"/>
    <n v="3"/>
    <b v="1"/>
    <n v="0"/>
    <n v="0.10952796417438855"/>
    <n v="5.0210465925808823"/>
    <n v="0.29971641102153468"/>
    <n v="3"/>
  </r>
  <r>
    <n v="17444"/>
    <s v="17444"/>
    <s v="17"/>
    <s v="COLOMBIA"/>
    <s v="CALDAS"/>
    <s v="MARQUETALIA"/>
    <x v="4"/>
    <n v="0"/>
    <n v="0"/>
    <n v="0"/>
    <n v="58.8"/>
    <n v="62.250066666666697"/>
    <n v="59.08"/>
    <n v="59.19"/>
    <n v="55.057857358078728"/>
    <n v="54.449309913419931"/>
    <n v="56.499093964304144"/>
    <n v="45.016837963792312"/>
    <s v="2. Riesgo (&gt;=40 y &lt;60)"/>
    <s v="2. Riesgo (&gt;=40 y &lt;60)"/>
    <s v="2. Riesgo (&gt;=40 y &lt;60)"/>
    <s v="2. Riesgo (&gt;=40 y &lt;60)"/>
    <n v="59.830016666666673"/>
    <n v="52.755774799898781"/>
    <n v="56.292895733282727"/>
    <n v="45.192036506664543"/>
    <x v="1"/>
    <n v="54.807963493335457"/>
    <n v="0.9741882058902549"/>
    <n v="54.839875098773888"/>
    <n v="0.51536301896658521"/>
    <n v="2"/>
    <b v="1"/>
    <n v="0"/>
    <n v="0.97428046393498691"/>
    <n v="54.845068571266538"/>
    <n v="0.48698332599621036"/>
    <n v="2"/>
    <b v="1"/>
    <n v="0"/>
    <n v="45.192036506664543"/>
    <x v="2"/>
    <n v="54.807963493335457"/>
    <n v="0.94927242218174535"/>
    <n v="53.437293484357731"/>
    <n v="0.509375116046762"/>
    <n v="2"/>
    <b v="1"/>
    <n v="0"/>
    <n v="0.10955890947265205"/>
    <n v="6.1673882675961629"/>
    <n v="0.36814386061892851"/>
    <n v="3"/>
  </r>
  <r>
    <n v="73411"/>
    <s v="73411"/>
    <s v="73"/>
    <s v="COLOMBIA"/>
    <s v="TOLIMA"/>
    <s v="LÍBANO"/>
    <x v="4"/>
    <n v="0"/>
    <n v="0"/>
    <n v="0"/>
    <n v="70.09"/>
    <n v="72.379066666666702"/>
    <n v="74.819999999999993"/>
    <n v="74.38"/>
    <n v="45.992675568029007"/>
    <n v="42.849790254103112"/>
    <n v="49.76607889991142"/>
    <n v="54.159382509316252"/>
    <s v="2. Riesgo (&gt;=40 y &lt;60)"/>
    <s v="2. Riesgo (&gt;=40 y &lt;60)"/>
    <s v="2. Riesgo (&gt;=40 y &lt;60)"/>
    <s v="2. Riesgo (&gt;=40 y &lt;60)"/>
    <n v="72.917266666666677"/>
    <n v="48.191981807839944"/>
    <n v="60.554624237253307"/>
    <n v="45.244655310592606"/>
    <x v="1"/>
    <n v="54.755344689407394"/>
    <n v="0.9741882058902549"/>
    <n v="58.991600744048341"/>
    <n v="0.56729673045762963"/>
    <n v="2"/>
    <b v="1"/>
    <n v="0"/>
    <n v="0.97428046393498691"/>
    <n v="58.997187395279958"/>
    <n v="0.53605564541443573"/>
    <n v="2"/>
    <b v="1"/>
    <n v="0"/>
    <n v="45.244655310592606"/>
    <x v="2"/>
    <n v="54.755344689407394"/>
    <n v="0.94927242218174535"/>
    <n v="57.482834824002872"/>
    <n v="0.56104934901579573"/>
    <n v="2"/>
    <b v="1"/>
    <n v="0"/>
    <n v="0.10945372660489572"/>
    <n v="6.6279292859265153"/>
    <n v="0.39563448405710416"/>
    <n v="2"/>
  </r>
  <r>
    <n v="17380"/>
    <s v="17380"/>
    <s v="17"/>
    <s v="COLOMBIA"/>
    <s v="CALDAS"/>
    <s v="LA DORADA"/>
    <x v="4"/>
    <n v="0"/>
    <n v="0"/>
    <n v="0"/>
    <n v="75.78"/>
    <n v="77.032233333333295"/>
    <n v="69.31"/>
    <n v="58.94"/>
    <n v="60.360656575324484"/>
    <n v="58.760560557101726"/>
    <n v="62.466781997631259"/>
    <n v="64.079727594912711"/>
    <s v="3. Vulnerable (&gt;=60 y &lt;70)"/>
    <s v="2. Riesgo (&gt;=40 y &lt;60)"/>
    <s v="3. Vulnerable (&gt;=60 y &lt;70)"/>
    <s v="3. Vulnerable (&gt;=60 y &lt;70)"/>
    <n v="70.265558333333331"/>
    <n v="61.416931681242545"/>
    <n v="65.841245007287938"/>
    <n v="45.453669157141654"/>
    <x v="1"/>
    <n v="54.546330842858346"/>
    <n v="0.9741882058902549"/>
    <n v="64.141764347230534"/>
    <n v="0.63171984834928896"/>
    <n v="2"/>
    <b v="1"/>
    <n v="0"/>
    <n v="0.97428046393498691"/>
    <n v="64.147838731757631"/>
    <n v="0.59692924231964928"/>
    <n v="2"/>
    <b v="1"/>
    <n v="0"/>
    <n v="45.453669157141654"/>
    <x v="2"/>
    <n v="54.546330842858346"/>
    <n v="0.94927242218174535"/>
    <n v="62.501278127529972"/>
    <n v="0.62515058705458282"/>
    <n v="2"/>
    <b v="1"/>
    <n v="0"/>
    <n v="0.10903591635191337"/>
    <n v="7.1790604831204812"/>
    <n v="0.42853261821683336"/>
    <n v="2"/>
  </r>
  <r>
    <n v="52022"/>
    <s v="52022"/>
    <s v="52"/>
    <s v="COLOMBIA"/>
    <s v="NARIÑO"/>
    <s v="ALDANA"/>
    <x v="5"/>
    <n v="0"/>
    <n v="0"/>
    <n v="0"/>
    <n v="61.78"/>
    <n v="63.165199999999999"/>
    <n v="58.04"/>
    <n v="35.28"/>
    <n v="56.642319653281568"/>
    <n v="62.839053039697149"/>
    <n v="53.243778678791188"/>
    <n v="54.835585052973499"/>
    <s v="2. Riesgo (&gt;=40 y &lt;60)"/>
    <s v="3. Vulnerable (&gt;=60 y &lt;70)"/>
    <s v="2. Riesgo (&gt;=40 y &lt;60)"/>
    <s v="2. Riesgo (&gt;=40 y &lt;60)"/>
    <n v="54.566299999999998"/>
    <n v="56.890184106185849"/>
    <n v="55.728242053092927"/>
    <n v="45.311500366243038"/>
    <x v="1"/>
    <n v="54.688499633756962"/>
    <n v="0.9741882058902549"/>
    <n v="54.289796143120455"/>
    <n v="0.50848211106923502"/>
    <n v="2"/>
    <b v="0"/>
    <n v="-1"/>
    <n v="0.97428046393498691"/>
    <n v="54.294937521768624"/>
    <n v="0.4804815355304089"/>
    <n v="2"/>
    <b v="0"/>
    <n v="-1"/>
    <n v="45.311500366243038"/>
    <x v="2"/>
    <n v="54.688499633756962"/>
    <n v="0.94927242218174535"/>
    <n v="52.901283317670121"/>
    <n v="0.50252858751033236"/>
    <n v="2"/>
    <b v="0"/>
    <n v="-1"/>
    <n v="0.10932010603346926"/>
    <n v="6.092217330302959"/>
    <n v="0.36365675556558474"/>
    <n v="3"/>
  </r>
  <r>
    <n v="15407"/>
    <s v="15407"/>
    <s v="15"/>
    <s v="COLOMBIA"/>
    <s v="BOYACÁ"/>
    <s v="VILLA DE LEYVA"/>
    <x v="0"/>
    <n v="0"/>
    <n v="0"/>
    <n v="0"/>
    <n v="75.5"/>
    <n v="76.523233333333295"/>
    <n v="72.260000000000005"/>
    <n v="55.74"/>
    <n v="67.649354480493386"/>
    <n v="63.893458319294638"/>
    <n v="62.70839340265718"/>
    <n v="65.810545611150303"/>
    <s v="3. Vulnerable (&gt;=60 y &lt;70)"/>
    <s v="3. Vulnerable (&gt;=60 y &lt;70)"/>
    <s v="3. Vulnerable (&gt;=60 y &lt;70)"/>
    <s v="3. Vulnerable (&gt;=60 y &lt;70)"/>
    <n v="70.00580833333332"/>
    <n v="65.015437953398873"/>
    <n v="67.510623143366104"/>
    <n v="45.570726650058887"/>
    <x v="1"/>
    <n v="54.429273349941113"/>
    <n v="0.9741882058902549"/>
    <n v="65.768052838568948"/>
    <n v="0.65206300310627718"/>
    <n v="1"/>
    <b v="1"/>
    <n v="0"/>
    <n v="0.97428046393498691"/>
    <n v="65.774281236658794"/>
    <n v="0.61615155013374534"/>
    <n v="2"/>
    <b v="0"/>
    <n v="1"/>
    <n v="45.570726650058887"/>
    <x v="2"/>
    <n v="54.429273349941113"/>
    <n v="0.94927242218174535"/>
    <n v="64.085972754302134"/>
    <n v="0.645392100477304"/>
    <n v="2"/>
    <b v="0"/>
    <n v="1"/>
    <n v="0.10880192314267519"/>
    <n v="7.3452856305586272"/>
    <n v="0.43845493295601573"/>
    <n v="2"/>
  </r>
  <r>
    <n v="15806"/>
    <s v="15806"/>
    <s v="15"/>
    <s v="COLOMBIA"/>
    <s v="BOYACÁ"/>
    <s v="TIBASOSA"/>
    <x v="0"/>
    <n v="0"/>
    <n v="0"/>
    <n v="0"/>
    <n v="93.5"/>
    <n v="95.602199999999996"/>
    <n v="84.04"/>
    <n v="66.510000000000005"/>
    <n v="67.704856833994057"/>
    <n v="57.455969461506569"/>
    <n v="61.404912281904842"/>
    <n v="66.696719230705654"/>
    <s v="3. Vulnerable (&gt;=60 y &lt;70)"/>
    <s v="2. Riesgo (&gt;=40 y &lt;60)"/>
    <s v="3. Vulnerable (&gt;=60 y &lt;70)"/>
    <s v="3. Vulnerable (&gt;=60 y &lt;70)"/>
    <n v="84.913049999999998"/>
    <n v="63.315614452027773"/>
    <n v="74.114332226013886"/>
    <n v="45.327321992743194"/>
    <x v="1"/>
    <n v="54.672678007256806"/>
    <n v="0.9741882058902549"/>
    <n v="72.201308342014769"/>
    <n v="0.73253624816388563"/>
    <n v="1"/>
    <b v="1"/>
    <n v="0"/>
    <n v="0.97428046393498691"/>
    <n v="72.208145985392562"/>
    <n v="0.69219096023385085"/>
    <n v="1"/>
    <b v="1"/>
    <n v="0"/>
    <n v="45.327321992743194"/>
    <x v="2"/>
    <n v="54.672678007256806"/>
    <n v="0.94927242218174535"/>
    <n v="70.354691670570787"/>
    <n v="0.72546327377671438"/>
    <n v="1"/>
    <b v="1"/>
    <n v="0"/>
    <n v="0.10928847923993494"/>
    <n v="8.0998426588643593"/>
    <n v="0.48349596578949572"/>
    <n v="2"/>
  </r>
  <r>
    <n v="13140"/>
    <s v="13140"/>
    <s v="13"/>
    <s v="COLOMBIA"/>
    <s v="BOLÍVAR"/>
    <s v="CALAMAR"/>
    <x v="5"/>
    <n v="0"/>
    <n v="0"/>
    <n v="0"/>
    <n v="49.33"/>
    <n v="48.314866666666703"/>
    <n v="35.96"/>
    <n v="44.49"/>
    <n v="40.936334733269121"/>
    <n v="47.371186833885915"/>
    <n v="49.171002987948278"/>
    <n v="52.251491025945043"/>
    <s v="2. Riesgo (&gt;=40 y &lt;60)"/>
    <s v="2. Riesgo (&gt;=40 y &lt;60)"/>
    <s v="2. Riesgo (&gt;=40 y &lt;60)"/>
    <s v="2. Riesgo (&gt;=40 y &lt;60)"/>
    <n v="44.523716666666679"/>
    <n v="47.432503895262087"/>
    <n v="45.978110280964387"/>
    <n v="45.42397015950025"/>
    <x v="1"/>
    <n v="54.57602984049975"/>
    <n v="0.9741882058902549"/>
    <n v="44.79133276483698"/>
    <n v="0.38966634653106175"/>
    <n v="3"/>
    <b v="1"/>
    <n v="0"/>
    <n v="0.97428046393498691"/>
    <n v="44.795574615391978"/>
    <n v="0.36821216401931783"/>
    <n v="3"/>
    <b v="1"/>
    <n v="0"/>
    <n v="45.42397015950025"/>
    <x v="2"/>
    <n v="54.57602984049975"/>
    <n v="0.94927242218174535"/>
    <n v="43.645752113750468"/>
    <n v="0.38430646702510274"/>
    <n v="3"/>
    <b v="1"/>
    <n v="0"/>
    <n v="0.10909528345090108"/>
    <n v="5.0159949736385991"/>
    <n v="0.29941486968521908"/>
    <n v="3"/>
  </r>
  <r>
    <n v="5576"/>
    <s v="05576"/>
    <s v="50"/>
    <s v="COLOMBIA"/>
    <s v="ANTIOQUIA"/>
    <s v="PUEBLORRICO"/>
    <x v="4"/>
    <n v="0"/>
    <n v="0"/>
    <n v="0"/>
    <n v="65.069999999999993"/>
    <n v="68.378533333333294"/>
    <n v="66.290000000000006"/>
    <n v="65.400000000000006"/>
    <n v="59.546869876460086"/>
    <n v="42.723422948309413"/>
    <n v="50.435549463197376"/>
    <n v="56.117302059483364"/>
    <s v="2. Riesgo (&gt;=40 y &lt;60)"/>
    <s v="2. Riesgo (&gt;=40 y &lt;60)"/>
    <s v="2. Riesgo (&gt;=40 y &lt;60)"/>
    <s v="2. Riesgo (&gt;=40 y &lt;60)"/>
    <n v="66.284633333333318"/>
    <n v="52.20578608686256"/>
    <n v="59.245209710097939"/>
    <n v="45.463620767980338"/>
    <x v="1"/>
    <n v="54.536379232019662"/>
    <n v="0.9741882058902549"/>
    <n v="57.715984555072218"/>
    <n v="0.55134011655974469"/>
    <n v="2"/>
    <b v="1"/>
    <n v="0"/>
    <n v="0.97428046393498691"/>
    <n v="57.721450402279814"/>
    <n v="0.52097819318640981"/>
    <n v="2"/>
    <b v="1"/>
    <n v="0"/>
    <n v="45.463620767980338"/>
    <x v="2"/>
    <n v="54.536379232019662"/>
    <n v="0.94927242218174535"/>
    <n v="56.239843724170129"/>
    <n v="0.54517245979907925"/>
    <n v="2"/>
    <b v="1"/>
    <n v="0"/>
    <n v="0.10901602348304014"/>
    <n v="6.4586771730136743"/>
    <n v="0.38553148363583667"/>
    <n v="2"/>
  </r>
  <r>
    <n v="25718"/>
    <s v="25718"/>
    <s v="25"/>
    <s v="COLOMBIA"/>
    <s v="CUNDINAMARCA"/>
    <s v="SASAIMA"/>
    <x v="4"/>
    <n v="0"/>
    <n v="0"/>
    <n v="0"/>
    <n v="66.81"/>
    <n v="72.180700000000002"/>
    <n v="79.180000000000007"/>
    <n v="78.540000000000006"/>
    <n v="55.327356024706127"/>
    <n v="51.353101097816037"/>
    <n v="41.155151871859893"/>
    <n v="53.529305556912917"/>
    <s v="2. Riesgo (&gt;=40 y &lt;60)"/>
    <s v="2. Riesgo (&gt;=40 y &lt;60)"/>
    <s v="2. Riesgo (&gt;=40 y &lt;60)"/>
    <s v="2. Riesgo (&gt;=40 y &lt;60)"/>
    <n v="74.177675000000008"/>
    <n v="50.341228637823747"/>
    <n v="62.259451818911877"/>
    <n v="45.647944960656183"/>
    <x v="1"/>
    <n v="54.352055039343817"/>
    <n v="0.9741882058902549"/>
    <n v="60.652423667176528"/>
    <n v="0.58807187455358545"/>
    <n v="2"/>
    <b v="1"/>
    <n v="0"/>
    <n v="0.97428046393498691"/>
    <n v="60.658167602467429"/>
    <n v="0.55568614124780613"/>
    <n v="2"/>
    <b v="1"/>
    <n v="0"/>
    <n v="45.647944960656183"/>
    <x v="2"/>
    <n v="54.352055039343817"/>
    <n v="0.94927242218174535"/>
    <n v="59.101180631846148"/>
    <n v="0.58172069341152199"/>
    <n v="2"/>
    <b v="1"/>
    <n v="0"/>
    <n v="0.10864756685280157"/>
    <n v="6.7643379537140067"/>
    <n v="0.40377699291211178"/>
    <n v="2"/>
  </r>
  <r>
    <n v="44430"/>
    <s v="44430"/>
    <s v="44"/>
    <s v="COLOMBIA"/>
    <s v="LA GUAJIRA"/>
    <s v="MAICAO"/>
    <x v="4"/>
    <n v="0"/>
    <n v="0"/>
    <n v="0"/>
    <n v="64.739999999999995"/>
    <n v="66.8309"/>
    <n v="60.92"/>
    <n v="57.71"/>
    <n v="57.680674531249757"/>
    <n v="42.692646512186386"/>
    <n v="33.908931014159286"/>
    <n v="56.686379490101402"/>
    <s v="2. Riesgo (&gt;=40 y &lt;60)"/>
    <s v="2. Riesgo (&gt;=40 y &lt;60)"/>
    <s v="1. Deterioro (&lt;40)"/>
    <s v="2. Riesgo (&gt;=40 y &lt;60)"/>
    <n v="62.550225000000005"/>
    <n v="47.742157886924204"/>
    <n v="55.146191443462101"/>
    <n v="45.52265978285687"/>
    <x v="1"/>
    <n v="54.47734021714313"/>
    <n v="0.9741882058902549"/>
    <n v="53.722769303986873"/>
    <n v="0.50138920301430123"/>
    <n v="2"/>
    <b v="1"/>
    <n v="0"/>
    <n v="0.97428046393498691"/>
    <n v="53.727856983783859"/>
    <n v="0.47377942548121982"/>
    <n v="2"/>
    <b v="1"/>
    <n v="0"/>
    <n v="45.52265978285687"/>
    <x v="2"/>
    <n v="54.47734021714313"/>
    <n v="0.94927242218174535"/>
    <n v="52.348758725633509"/>
    <n v="0.49547111804135779"/>
    <n v="2"/>
    <b v="1"/>
    <n v="0"/>
    <n v="0.10889800687242479"/>
    <n v="6.0053103347981889"/>
    <n v="0.35846910149684097"/>
    <n v="3"/>
  </r>
  <r>
    <n v="5147"/>
    <s v="05147"/>
    <s v="50"/>
    <s v="COLOMBIA"/>
    <s v="ANTIOQUIA"/>
    <s v="CAREPA"/>
    <x v="4"/>
    <n v="0"/>
    <n v="0"/>
    <n v="1"/>
    <n v="46.81"/>
    <n v="53.224166666666697"/>
    <n v="69.61"/>
    <n v="38.520000000000003"/>
    <n v="62.971564541464602"/>
    <n v="48.532970559766191"/>
    <n v="53.169227915439606"/>
    <n v="55.829862171368035"/>
    <s v="3. Vulnerable (&gt;=60 y &lt;70)"/>
    <s v="2. Riesgo (&gt;=40 y &lt;60)"/>
    <s v="2. Riesgo (&gt;=40 y &lt;60)"/>
    <s v="2. Riesgo (&gt;=40 y &lt;60)"/>
    <n v="52.041041666666679"/>
    <n v="55.125906297009614"/>
    <n v="53.583473981838146"/>
    <n v="45.556408579211912"/>
    <x v="1"/>
    <n v="54.443591420788088"/>
    <n v="0.9741882058902549"/>
    <n v="52.200388383734058"/>
    <n v="0.48234582244268981"/>
    <n v="2"/>
    <b v="1"/>
    <n v="0"/>
    <n v="0.97428046393498691"/>
    <n v="52.20533189027357"/>
    <n v="0.4557852781849287"/>
    <n v="3"/>
    <b v="0"/>
    <n v="1"/>
    <n v="45.556408579211912"/>
    <x v="2"/>
    <n v="54.443591420788088"/>
    <n v="0.94927242218174535"/>
    <n v="50.865314135652028"/>
    <n v="0.47652288468921028"/>
    <n v="3"/>
    <b v="0"/>
    <n v="1"/>
    <n v="0.10883054438907376"/>
    <n v="5.831518643701215"/>
    <n v="0.34809512448616875"/>
    <n v="3"/>
  </r>
  <r>
    <n v="13673"/>
    <s v="13673"/>
    <s v="13"/>
    <s v="COLOMBIA"/>
    <s v="BOLÍVAR"/>
    <s v="SANTA CATALINA"/>
    <x v="5"/>
    <n v="0"/>
    <n v="0"/>
    <n v="0"/>
    <n v="59.08"/>
    <n v="61.6492"/>
    <n v="53.02"/>
    <n v="57.39"/>
    <n v="32.693596949010612"/>
    <n v="39.998040396278441"/>
    <n v="45.974222532227529"/>
    <n v="51.050777883096224"/>
    <s v="1. Deterioro (&lt;40)"/>
    <s v="1. Deterioro (&lt;40)"/>
    <s v="2. Riesgo (&gt;=40 y &lt;60)"/>
    <s v="2. Riesgo (&gt;=40 y &lt;60)"/>
    <n v="57.784800000000004"/>
    <n v="42.4291594401532"/>
    <n v="50.106979720076602"/>
    <n v="45.513376105894338"/>
    <x v="1"/>
    <n v="54.486623894105662"/>
    <n v="0.9741882058902549"/>
    <n v="48.81362867608081"/>
    <n v="0.43998102848118265"/>
    <n v="3"/>
    <b v="1"/>
    <n v="0"/>
    <n v="0.97428046393498691"/>
    <n v="48.818251448057211"/>
    <n v="0.41575465757879543"/>
    <n v="3"/>
    <b v="1"/>
    <n v="0"/>
    <n v="45.513376105894338"/>
    <x v="2"/>
    <n v="54.486623894105662"/>
    <n v="0.94927242218174535"/>
    <n v="47.565174007088707"/>
    <n v="0.43436975967657687"/>
    <n v="3"/>
    <b v="1"/>
    <n v="0"/>
    <n v="0.10891656456840698"/>
    <n v="5.4574800920095825"/>
    <n v="0.32576800797178379"/>
    <n v="3"/>
  </r>
  <r>
    <n v="19137"/>
    <s v="19137"/>
    <s v="19"/>
    <s v="COLOMBIA"/>
    <s v="CAUCA"/>
    <s v="CALDONO"/>
    <x v="4"/>
    <n v="0"/>
    <n v="0"/>
    <n v="1"/>
    <n v="60.98"/>
    <n v="58.591700000000003"/>
    <n v="42.31"/>
    <n v="42.49"/>
    <n v="34.923597815854279"/>
    <n v="25.915960477614732"/>
    <n v="45.26281778266118"/>
    <n v="45.011234953814593"/>
    <s v="1. Deterioro (&lt;40)"/>
    <s v="1. Deterioro (&lt;40)"/>
    <s v="2. Riesgo (&gt;=40 y &lt;60)"/>
    <s v="2. Riesgo (&gt;=40 y &lt;60)"/>
    <n v="51.092925000000001"/>
    <n v="37.778402757486191"/>
    <n v="44.4356638787431"/>
    <n v="45.430658115066457"/>
    <x v="1"/>
    <n v="54.569341884933543"/>
    <n v="0.9741882058902549"/>
    <n v="43.288699671575145"/>
    <n v="0.37086999045893576"/>
    <n v="3"/>
    <b v="0"/>
    <n v="1"/>
    <n v="0.97428046393498691"/>
    <n v="43.292799219040965"/>
    <n v="0.35045143091190017"/>
    <n v="3"/>
    <b v="0"/>
    <n v="1"/>
    <n v="45.430658115066457"/>
    <x v="2"/>
    <n v="54.569341884933543"/>
    <n v="0.94927242218174535"/>
    <n v="42.181550281428351"/>
    <n v="0.36560402395385339"/>
    <n v="3"/>
    <b v="0"/>
    <n v="1"/>
    <n v="0.10908191449734519"/>
    <n v="4.8471272878538247"/>
    <n v="0.28933481649556936"/>
    <n v="4"/>
  </r>
  <r>
    <n v="86749"/>
    <s v="86749"/>
    <s v="86"/>
    <s v="COLOMBIA"/>
    <s v="PUTUMAYO"/>
    <s v="SIBUNDOY"/>
    <x v="4"/>
    <n v="0"/>
    <n v="0"/>
    <n v="0"/>
    <n v="59.29"/>
    <n v="55.789466666666698"/>
    <n v="54.41"/>
    <n v="25.71"/>
    <n v="52.766503169688995"/>
    <n v="52.329926350137114"/>
    <n v="49.309118195251713"/>
    <n v="52.162985345103522"/>
    <s v="2. Riesgo (&gt;=40 y &lt;60)"/>
    <s v="2. Riesgo (&gt;=40 y &lt;60)"/>
    <s v="2. Riesgo (&gt;=40 y &lt;60)"/>
    <s v="2. Riesgo (&gt;=40 y &lt;60)"/>
    <n v="48.799866666666674"/>
    <n v="51.642133265045338"/>
    <n v="50.220999965856009"/>
    <n v="45.626278064400246"/>
    <x v="1"/>
    <n v="54.373721935599754"/>
    <n v="0.9741882058902549"/>
    <n v="48.924705854751821"/>
    <n v="0.44137048689997421"/>
    <n v="3"/>
    <b v="0"/>
    <n v="1"/>
    <n v="0.97428046393498691"/>
    <n v="48.929339146013156"/>
    <n v="0.41706756099716635"/>
    <n v="3"/>
    <b v="0"/>
    <n v="1"/>
    <n v="45.626278064400246"/>
    <x v="2"/>
    <n v="54.373721935599754"/>
    <n v="0.94927242218174535"/>
    <n v="47.673410281977482"/>
    <n v="0.43575227588757015"/>
    <n v="3"/>
    <b v="0"/>
    <n v="1"/>
    <n v="0.10869087810492911"/>
    <n v="5.4585645855965046"/>
    <n v="0.32583274358410186"/>
    <n v="3"/>
  </r>
  <r>
    <n v="5321"/>
    <s v="05321"/>
    <s v="50"/>
    <s v="COLOMBIA"/>
    <s v="ANTIOQUIA"/>
    <s v="GUATAPÉ"/>
    <x v="4"/>
    <n v="0"/>
    <n v="0"/>
    <n v="0"/>
    <n v="67.849999999999994"/>
    <n v="68.5619333333333"/>
    <n v="51.48"/>
    <n v="52.67"/>
    <n v="66.911512046459976"/>
    <n v="75.844298413022045"/>
    <n v="55.274776274710007"/>
    <n v="57.35836769306804"/>
    <s v="3. Vulnerable (&gt;=60 y &lt;70)"/>
    <s v="4. Solvente (&gt;=70 y &lt;80)"/>
    <s v="2. Riesgo (&gt;=40 y &lt;60)"/>
    <s v="2. Riesgo (&gt;=40 y &lt;60)"/>
    <n v="60.140483333333322"/>
    <n v="63.847238606815012"/>
    <n v="61.993860970074167"/>
    <n v="45.538545122387234"/>
    <x v="1"/>
    <n v="54.461454877612766"/>
    <n v="0.9741882058902549"/>
    <n v="60.393688194646451"/>
    <n v="0.5848353665251298"/>
    <n v="2"/>
    <b v="1"/>
    <n v="0"/>
    <n v="0.97428046393498691"/>
    <n v="60.399407627044937"/>
    <n v="0.55262795512530227"/>
    <n v="2"/>
    <b v="1"/>
    <n v="0"/>
    <n v="45.538545122387234"/>
    <x v="2"/>
    <n v="54.461454877612766"/>
    <n v="0.94927242218174535"/>
    <n v="58.84906256346067"/>
    <n v="0.57850035608020289"/>
    <n v="2"/>
    <b v="1"/>
    <n v="0"/>
    <n v="0.10886625271911163"/>
    <n v="6.749039335401565"/>
    <n v="0.40286378748976648"/>
    <n v="2"/>
  </r>
  <r>
    <n v="25772"/>
    <s v="25772"/>
    <s v="25"/>
    <s v="COLOMBIA"/>
    <s v="CUNDINAMARCA"/>
    <s v="SUESCA"/>
    <x v="4"/>
    <n v="0"/>
    <n v="0"/>
    <n v="0"/>
    <n v="50.16"/>
    <n v="57.4739"/>
    <n v="60.53"/>
    <n v="58.2"/>
    <n v="53.677326253454197"/>
    <n v="55.338196457370721"/>
    <n v="60.654922096414467"/>
    <n v="65.213550074804971"/>
    <s v="2. Riesgo (&gt;=40 y &lt;60)"/>
    <s v="2. Riesgo (&gt;=40 y &lt;60)"/>
    <s v="3. Vulnerable (&gt;=60 y &lt;70)"/>
    <s v="3. Vulnerable (&gt;=60 y &lt;70)"/>
    <n v="56.590975"/>
    <n v="58.720998720511091"/>
    <n v="57.655986860255545"/>
    <n v="45.861484244791043"/>
    <x v="1"/>
    <n v="54.138515755208957"/>
    <n v="0.9741882058902549"/>
    <n v="56.16778239822446"/>
    <n v="0.53197373953647942"/>
    <n v="2"/>
    <b v="1"/>
    <n v="0"/>
    <n v="0.97428046393498691"/>
    <n v="56.173101626839284"/>
    <n v="0.50267884557626774"/>
    <n v="2"/>
    <b v="1"/>
    <n v="0"/>
    <n v="45.861484244791043"/>
    <x v="2"/>
    <n v="54.138515755208957"/>
    <n v="0.94927242218174535"/>
    <n v="54.731238300113667"/>
    <n v="0.52590284379563002"/>
    <n v="2"/>
    <b v="1"/>
    <n v="0"/>
    <n v="0.10822071043252553"/>
    <n v="6.2395718587052116"/>
    <n v="0.37245264494564984"/>
    <n v="3"/>
  </r>
  <r>
    <n v="13188"/>
    <s v="13188"/>
    <s v="13"/>
    <s v="COLOMBIA"/>
    <s v="BOLÍVAR"/>
    <s v="CICUCO"/>
    <x v="4"/>
    <n v="0"/>
    <n v="0"/>
    <n v="0"/>
    <n v="56.85"/>
    <n v="57.331666666666699"/>
    <s v="N.D."/>
    <n v="58.78"/>
    <n v="56.491772445118812"/>
    <n v="61.90942933288234"/>
    <n v="70.415778714758659"/>
    <n v="21.663008752493575"/>
    <s v="2. Riesgo (&gt;=40 y &lt;60)"/>
    <s v="3. Vulnerable (&gt;=60 y &lt;70)"/>
    <s v="4. Solvente (&gt;=70 y &lt;80)"/>
    <s v="1. Deterioro (&lt;40)"/>
    <n v="57.653888888888901"/>
    <n v="52.619997311313341"/>
    <n v="55.136943100101121"/>
    <n v="45.698080510217217"/>
    <x v="1"/>
    <n v="54.301919489782783"/>
    <n v="0.9741882058902549"/>
    <n v="53.713759676960578"/>
    <n v="0.50127650207724428"/>
    <n v="2"/>
    <b v="1"/>
    <n v="0"/>
    <n v="0.97428046393498691"/>
    <n v="53.718846503523494"/>
    <n v="0.47367293402849664"/>
    <n v="2"/>
    <b v="1"/>
    <n v="0"/>
    <n v="45.698080510217217"/>
    <x v="2"/>
    <n v="54.301919489782783"/>
    <n v="0.94927242218174535"/>
    <n v="52.339979528330062"/>
    <n v="0.49535898019659186"/>
    <n v="2"/>
    <b v="1"/>
    <n v="0"/>
    <n v="0.10854734791041398"/>
    <n v="5.9849689454033763"/>
    <n v="0.35725488288480634"/>
    <n v="3"/>
  </r>
  <r>
    <n v="5861"/>
    <s v="05861"/>
    <s v="50"/>
    <s v="COLOMBIA"/>
    <s v="ANTIOQUIA"/>
    <s v="VENECIA"/>
    <x v="4"/>
    <n v="0"/>
    <n v="0"/>
    <n v="0"/>
    <n v="54.82"/>
    <n v="59.457233333333299"/>
    <n v="65.260000000000005"/>
    <n v="63.23"/>
    <n v="52.567660118508975"/>
    <n v="55.290735652875775"/>
    <n v="49.464327093855957"/>
    <n v="51.668881391170494"/>
    <s v="2. Riesgo (&gt;=40 y &lt;60)"/>
    <s v="2. Riesgo (&gt;=40 y &lt;60)"/>
    <s v="2. Riesgo (&gt;=40 y &lt;60)"/>
    <s v="2. Riesgo (&gt;=40 y &lt;60)"/>
    <n v="60.69180833333332"/>
    <n v="52.247901064102798"/>
    <n v="56.469854698718059"/>
    <n v="45.408708323481164"/>
    <x v="1"/>
    <n v="54.591291676518836"/>
    <n v="0.9741882058902549"/>
    <n v="55.012266435827527"/>
    <n v="0.51751945287552847"/>
    <n v="2"/>
    <b v="1"/>
    <n v="0"/>
    <n v="0.97428046393498691"/>
    <n v="55.017476234208331"/>
    <n v="0.48902094685067604"/>
    <n v="2"/>
    <b v="1"/>
    <n v="0"/>
    <n v="45.408708323481164"/>
    <x v="2"/>
    <n v="54.591291676518836"/>
    <n v="0.94927242218174535"/>
    <n v="53.605275750103303"/>
    <n v="0.51152077567696719"/>
    <n v="2"/>
    <b v="1"/>
    <n v="0"/>
    <n v="0.10912579124583138"/>
    <n v="6.162317575534737"/>
    <n v="0.36784118076961347"/>
    <n v="3"/>
  </r>
  <r>
    <n v="70717"/>
    <s v="70717"/>
    <s v="70"/>
    <s v="COLOMBIA"/>
    <s v="SUCRE"/>
    <s v="SAN PEDRO"/>
    <x v="5"/>
    <n v="0"/>
    <n v="0"/>
    <n v="0"/>
    <n v="47.91"/>
    <n v="50.574033333333297"/>
    <n v="34.28"/>
    <n v="39.56"/>
    <n v="54.162577242647949"/>
    <n v="40.818859190536905"/>
    <n v="52.452366346272136"/>
    <n v="57.323861384295256"/>
    <s v="2. Riesgo (&gt;=40 y &lt;60)"/>
    <s v="2. Riesgo (&gt;=40 y &lt;60)"/>
    <s v="2. Riesgo (&gt;=40 y &lt;60)"/>
    <s v="2. Riesgo (&gt;=40 y &lt;60)"/>
    <n v="43.081008333333322"/>
    <n v="51.189416040938056"/>
    <n v="47.135212187135693"/>
    <n v="45.714769457894064"/>
    <x v="1"/>
    <n v="54.285230542105936"/>
    <n v="0.9741882058902549"/>
    <n v="45.918567794842197"/>
    <n v="0.40376686853870508"/>
    <n v="3"/>
    <b v="1"/>
    <n v="0"/>
    <n v="0.97428046393498691"/>
    <n v="45.922916397356609"/>
    <n v="0.38153578946523092"/>
    <n v="3"/>
    <b v="1"/>
    <n v="0"/>
    <n v="45.714769457894064"/>
    <x v="2"/>
    <n v="54.285230542105936"/>
    <n v="0.94927242218174535"/>
    <n v="44.744157042932819"/>
    <n v="0.39833653801923147"/>
    <n v="3"/>
    <b v="1"/>
    <n v="0"/>
    <n v="0.108513987376813"/>
    <n v="5.1148298202782447"/>
    <n v="0.30531452127627756"/>
    <n v="3"/>
  </r>
  <r>
    <n v="44874"/>
    <s v="44874"/>
    <s v="44"/>
    <s v="COLOMBIA"/>
    <s v="LA GUAJIRA"/>
    <s v="VILLANUEVA"/>
    <x v="4"/>
    <n v="0"/>
    <n v="0"/>
    <n v="0"/>
    <n v="72.77"/>
    <n v="75.061266666666697"/>
    <n v="66.48"/>
    <n v="80.38"/>
    <n v="31.780959741397908"/>
    <n v="48.449340576871407"/>
    <n v="39.127334415061036"/>
    <n v="49.227397000216847"/>
    <s v="1. Deterioro (&lt;40)"/>
    <s v="2. Riesgo (&gt;=40 y &lt;60)"/>
    <s v="1. Deterioro (&lt;40)"/>
    <s v="2. Riesgo (&gt;=40 y &lt;60)"/>
    <n v="73.672816666666677"/>
    <n v="42.146257933386799"/>
    <n v="57.909537300026741"/>
    <n v="45.628960189881596"/>
    <x v="1"/>
    <n v="54.371039810118404"/>
    <n v="0.9741882058902549"/>
    <n v="56.414788246247845"/>
    <n v="0.53506352232654608"/>
    <n v="2"/>
    <b v="1"/>
    <n v="0"/>
    <n v="0.97428046393498691"/>
    <n v="56.420130866930485"/>
    <n v="0.5055983905818896"/>
    <n v="2"/>
    <b v="1"/>
    <n v="0"/>
    <n v="45.628960189881596"/>
    <x v="2"/>
    <n v="54.371039810118404"/>
    <n v="0.94927242218174535"/>
    <n v="54.971926740220518"/>
    <n v="0.52897718897785617"/>
    <n v="2"/>
    <b v="1"/>
    <n v="0"/>
    <n v="0.10868551664422021"/>
    <n v="6.2939279800811478"/>
    <n v="0.37569727160175748"/>
    <n v="3"/>
  </r>
  <r>
    <n v="5467"/>
    <s v="05467"/>
    <s v="50"/>
    <s v="COLOMBIA"/>
    <s v="ANTIOQUIA"/>
    <s v="MONTEBELLO"/>
    <x v="5"/>
    <n v="0"/>
    <n v="0"/>
    <n v="0"/>
    <n v="45.18"/>
    <n v="46.476599999999998"/>
    <n v="31.82"/>
    <n v="49.46"/>
    <n v="53.54221306279976"/>
    <n v="58.555950494560072"/>
    <n v="56.462775217754064"/>
    <n v="33.122918027697672"/>
    <s v="2. Riesgo (&gt;=40 y &lt;60)"/>
    <s v="2. Riesgo (&gt;=40 y &lt;60)"/>
    <s v="2. Riesgo (&gt;=40 y &lt;60)"/>
    <s v="1. Deterioro (&lt;40)"/>
    <n v="43.23415"/>
    <n v="50.42096420070289"/>
    <n v="46.827557100351441"/>
    <n v="45.545692694074376"/>
    <x v="1"/>
    <n v="54.454307305925624"/>
    <n v="0.9741882058902549"/>
    <n v="45.618853837814839"/>
    <n v="0.40001776286458268"/>
    <n v="3"/>
    <b v="1"/>
    <n v="0"/>
    <n v="0.97428046393498691"/>
    <n v="45.623174056672489"/>
    <n v="0.37799324829320347"/>
    <n v="3"/>
    <b v="1"/>
    <n v="0"/>
    <n v="45.545692694074376"/>
    <x v="2"/>
    <n v="54.454307305925624"/>
    <n v="0.94927242218174535"/>
    <n v="44.452108553504601"/>
    <n v="0.3946061641547805"/>
    <n v="3"/>
    <b v="1"/>
    <n v="0"/>
    <n v="0.10885196501145915"/>
    <n v="5.0972716070595601"/>
    <n v="0.30426643607076859"/>
    <n v="3"/>
  </r>
  <r>
    <n v="15367"/>
    <s v="15367"/>
    <s v="15"/>
    <s v="COLOMBIA"/>
    <s v="BOYACÁ"/>
    <s v="JENESANO"/>
    <x v="0"/>
    <n v="0"/>
    <n v="0"/>
    <n v="0"/>
    <n v="61.65"/>
    <n v="70.143133333333296"/>
    <n v="68.7"/>
    <n v="78.900000000000006"/>
    <n v="63.524683681778207"/>
    <n v="56.747605235906335"/>
    <n v="60.202377598378355"/>
    <n v="62.931027960069329"/>
    <s v="3. Vulnerable (&gt;=60 y &lt;70)"/>
    <s v="2. Riesgo (&gt;=40 y &lt;60)"/>
    <s v="3. Vulnerable (&gt;=60 y &lt;70)"/>
    <s v="3. Vulnerable (&gt;=60 y &lt;70)"/>
    <n v="69.848283333333313"/>
    <n v="60.851423619033056"/>
    <n v="65.349853476183185"/>
    <n v="45.868837086661237"/>
    <x v="1"/>
    <n v="54.131162913338763"/>
    <n v="0.9741882058902549"/>
    <n v="63.663056513153933"/>
    <n v="0.62573171795061144"/>
    <n v="2"/>
    <b v="0"/>
    <n v="1"/>
    <n v="0.97428046393498691"/>
    <n v="63.669085562859173"/>
    <n v="0.59127103998430186"/>
    <n v="2"/>
    <b v="0"/>
    <n v="1"/>
    <n v="45.868837086661237"/>
    <x v="2"/>
    <n v="54.131162913338763"/>
    <n v="0.94927242218174535"/>
    <n v="62.034813698558565"/>
    <n v="0.61919237539617711"/>
    <n v="2"/>
    <b v="0"/>
    <n v="1"/>
    <n v="0.10820601239805246"/>
    <n v="7.0712470554547888"/>
    <n v="0.42209701699225249"/>
    <n v="2"/>
  </r>
  <r>
    <n v="25898"/>
    <s v="25898"/>
    <s v="25"/>
    <s v="COLOMBIA"/>
    <s v="CUNDINAMARCA"/>
    <s v="ZIPACÓN"/>
    <x v="4"/>
    <n v="0"/>
    <n v="0"/>
    <n v="0"/>
    <n v="94.63"/>
    <n v="95.932066666666699"/>
    <n v="92.39"/>
    <n v="86.78"/>
    <n v="51.918883693379854"/>
    <n v="50.548785677099524"/>
    <n v="52.281953791019959"/>
    <n v="58.725667508077507"/>
    <s v="2. Riesgo (&gt;=40 y &lt;60)"/>
    <s v="2. Riesgo (&gt;=40 y &lt;60)"/>
    <s v="2. Riesgo (&gt;=40 y &lt;60)"/>
    <s v="2. Riesgo (&gt;=40 y &lt;60)"/>
    <n v="92.433016666666674"/>
    <n v="53.368822667394213"/>
    <n v="72.90091966703045"/>
    <n v="45.783263499837688"/>
    <x v="1"/>
    <n v="54.216736500162312"/>
    <n v="0.9741882058902549"/>
    <n v="71.019216138173988"/>
    <n v="0.71774952073647114"/>
    <n v="1"/>
    <b v="0"/>
    <n v="-1"/>
    <n v="0.97428046393498691"/>
    <n v="71.025941834481642"/>
    <n v="0.67821893723307913"/>
    <n v="1"/>
    <b v="0"/>
    <n v="-1"/>
    <n v="45.783263499837688"/>
    <x v="2"/>
    <n v="54.216736500162312"/>
    <n v="0.94927242218174535"/>
    <n v="69.202832591598835"/>
    <n v="0.71075042587895587"/>
    <n v="1"/>
    <b v="0"/>
    <n v="-1"/>
    <n v="0.10837707054826436"/>
    <n v="7.9007881137871117"/>
    <n v="0.47161399800687637"/>
    <n v="2"/>
  </r>
  <r>
    <n v="70523"/>
    <s v="70523"/>
    <s v="70"/>
    <s v="COLOMBIA"/>
    <s v="SUCRE"/>
    <s v="PALMITO"/>
    <x v="5"/>
    <n v="0"/>
    <n v="0"/>
    <n v="1"/>
    <n v="47.52"/>
    <n v="49.107566666666699"/>
    <n v="69.55"/>
    <n v="54.67"/>
    <n v="50.271825440658006"/>
    <n v="43.519329667392412"/>
    <n v="30.207824889895303"/>
    <n v="31.219246102339881"/>
    <s v="2. Riesgo (&gt;=40 y &lt;60)"/>
    <s v="2. Riesgo (&gt;=40 y &lt;60)"/>
    <s v="1. Deterioro (&lt;40)"/>
    <s v="1. Deterioro (&lt;40)"/>
    <n v="55.211891666666673"/>
    <n v="38.804556525071405"/>
    <n v="47.008224095869039"/>
    <n v="45.850364195224699"/>
    <x v="1"/>
    <n v="54.149635804775301"/>
    <n v="0.9741882058902549"/>
    <n v="45.794857494041707"/>
    <n v="0.40221938307863969"/>
    <n v="3"/>
    <b v="1"/>
    <n v="0"/>
    <n v="0.97428046393498691"/>
    <n v="45.799194380883115"/>
    <n v="0.38007356582260748"/>
    <n v="3"/>
    <b v="1"/>
    <n v="0"/>
    <n v="45.850364195224699"/>
    <x v="2"/>
    <n v="54.149635804775301"/>
    <n v="0.94927242218174535"/>
    <n v="44.623610749947886"/>
    <n v="0.39679678432391924"/>
    <n v="3"/>
    <b v="1"/>
    <n v="0"/>
    <n v="0.10824293896331044"/>
    <n v="5.0883083315827715"/>
    <n v="0.30373140005639065"/>
    <n v="3"/>
  </r>
  <r>
    <n v="17088"/>
    <s v="17088"/>
    <s v="17"/>
    <s v="COLOMBIA"/>
    <s v="CALDAS"/>
    <s v="BELALCÁZAR"/>
    <x v="4"/>
    <n v="0"/>
    <n v="0"/>
    <n v="0"/>
    <n v="72.17"/>
    <n v="78.370266666666694"/>
    <n v="54.61"/>
    <n v="49.24"/>
    <n v="49.304164507984694"/>
    <n v="45.954325341880974"/>
    <n v="46.749953556935957"/>
    <n v="57.546994009478084"/>
    <s v="2. Riesgo (&gt;=40 y &lt;60)"/>
    <s v="2. Riesgo (&gt;=40 y &lt;60)"/>
    <s v="2. Riesgo (&gt;=40 y &lt;60)"/>
    <s v="2. Riesgo (&gt;=40 y &lt;60)"/>
    <n v="63.59756666666668"/>
    <n v="49.888859354069929"/>
    <n v="56.743213010368308"/>
    <n v="45.920954138576768"/>
    <x v="1"/>
    <n v="54.079045861423232"/>
    <n v="0.9741882058902549"/>
    <n v="55.278568879019275"/>
    <n v="0.52085061573062275"/>
    <n v="2"/>
    <b v="1"/>
    <n v="0"/>
    <n v="0.97428046393498691"/>
    <n v="55.283803896903422"/>
    <n v="0.49216857260215929"/>
    <n v="2"/>
    <b v="1"/>
    <n v="0"/>
    <n v="45.920954138576768"/>
    <x v="2"/>
    <n v="54.079045861423232"/>
    <n v="0.94927242218174535"/>
    <n v="53.864767256727049"/>
    <n v="0.51483529490715196"/>
    <n v="2"/>
    <b v="1"/>
    <n v="0"/>
    <n v="0.10810183251234132"/>
    <n v="6.1340453090589415"/>
    <n v="0.36615355208835598"/>
    <n v="3"/>
  </r>
  <r>
    <n v="25377"/>
    <s v="25377"/>
    <s v="25"/>
    <s v="COLOMBIA"/>
    <s v="CUNDINAMARCA"/>
    <s v="LA CALERA"/>
    <x v="4"/>
    <n v="0"/>
    <n v="0"/>
    <n v="0"/>
    <n v="53.17"/>
    <n v="56.319133333333298"/>
    <n v="62.05"/>
    <n v="63.69"/>
    <n v="60.06806454799262"/>
    <n v="58.788224809496043"/>
    <n v="63.142739738548286"/>
    <n v="63.126159352453662"/>
    <s v="3. Vulnerable (&gt;=60 y &lt;70)"/>
    <s v="2. Riesgo (&gt;=40 y &lt;60)"/>
    <s v="3. Vulnerable (&gt;=60 y &lt;70)"/>
    <s v="3. Vulnerable (&gt;=60 y &lt;70)"/>
    <n v="58.807283333333324"/>
    <n v="61.281297112122658"/>
    <n v="60.044290222727994"/>
    <n v="46.0133191126246"/>
    <x v="1"/>
    <n v="53.9866808873754"/>
    <n v="0.9741882058902549"/>
    <n v="58.494439366033156"/>
    <n v="0.5610777656761492"/>
    <n v="2"/>
    <b v="1"/>
    <n v="0"/>
    <n v="0.97428046393498691"/>
    <n v="58.499978934846432"/>
    <n v="0.53017932697992287"/>
    <n v="2"/>
    <b v="1"/>
    <n v="0"/>
    <n v="46.0133191126246"/>
    <x v="2"/>
    <n v="53.9866808873754"/>
    <n v="0.94927242218174535"/>
    <n v="56.998388817912691"/>
    <n v="0.55486145630183381"/>
    <n v="2"/>
    <b v="1"/>
    <n v="0"/>
    <n v="0.10791719865285883"/>
    <n v="6.4798115959360461"/>
    <n v="0.38679304002064779"/>
    <n v="2"/>
  </r>
  <r>
    <n v="23182"/>
    <s v="23182"/>
    <s v="23"/>
    <s v="COLOMBIA"/>
    <s v="CÓRDOBA"/>
    <s v="CHINÚ"/>
    <x v="4"/>
    <n v="0"/>
    <n v="0"/>
    <n v="0"/>
    <n v="61.51"/>
    <n v="62.301866666666697"/>
    <n v="55.78"/>
    <n v="51.78"/>
    <n v="38.800921262919019"/>
    <n v="56.057750717107581"/>
    <n v="65.823754435913656"/>
    <n v="68.905349803658694"/>
    <s v="1. Deterioro (&lt;40)"/>
    <s v="2. Riesgo (&gt;=40 y &lt;60)"/>
    <s v="3. Vulnerable (&gt;=60 y &lt;70)"/>
    <s v="3. Vulnerable (&gt;=60 y &lt;70)"/>
    <n v="57.842966666666676"/>
    <n v="57.396944054899734"/>
    <n v="57.619955360783209"/>
    <n v="46.033055931611734"/>
    <x v="1"/>
    <n v="53.966944068388266"/>
    <n v="0.9741882058902549"/>
    <n v="56.132680936397968"/>
    <n v="0.53153465724945848"/>
    <n v="2"/>
    <b v="1"/>
    <n v="0"/>
    <n v="0.97428046393498691"/>
    <n v="56.137996840817102"/>
    <n v="0.5022639554091497"/>
    <n v="2"/>
    <b v="1"/>
    <n v="0"/>
    <n v="46.033055931611734"/>
    <x v="2"/>
    <n v="53.966944068388266"/>
    <n v="0.94927242218174535"/>
    <n v="54.69703459133472"/>
    <n v="0.52546595531335749"/>
    <n v="2"/>
    <b v="1"/>
    <n v="0"/>
    <n v="0.10787774554738171"/>
    <n v="6.2159108828620635"/>
    <n v="0.37104027351467084"/>
    <n v="3"/>
  </r>
  <r>
    <n v="5034"/>
    <s v="05034"/>
    <s v="50"/>
    <s v="COLOMBIA"/>
    <s v="ANTIOQUIA"/>
    <s v="ANDES"/>
    <x v="5"/>
    <n v="0"/>
    <n v="0"/>
    <n v="0"/>
    <n v="50.45"/>
    <n v="51.396666666666697"/>
    <n v="39.9"/>
    <n v="40.51"/>
    <n v="52.551150665719007"/>
    <n v="59.048263098827626"/>
    <n v="61.830204222990346"/>
    <n v="59.911954310935641"/>
    <s v="2. Riesgo (&gt;=40 y &lt;60)"/>
    <s v="2. Riesgo (&gt;=40 y &lt;60)"/>
    <s v="3. Vulnerable (&gt;=60 y &lt;70)"/>
    <s v="2. Riesgo (&gt;=40 y &lt;60)"/>
    <n v="45.564166666666672"/>
    <n v="58.335393074618153"/>
    <n v="51.949779870642416"/>
    <n v="46.045664995300292"/>
    <x v="1"/>
    <n v="53.954335004699708"/>
    <n v="0.9741882058902549"/>
    <n v="50.608862848574816"/>
    <n v="0.46243751562389324"/>
    <n v="3"/>
    <b v="1"/>
    <n v="0"/>
    <n v="0.97428046393498691"/>
    <n v="50.613655633689937"/>
    <n v="0.43697385948906892"/>
    <n v="3"/>
    <b v="1"/>
    <n v="0"/>
    <n v="46.045664995300292"/>
    <x v="2"/>
    <n v="53.954335004699708"/>
    <n v="0.94927242218174535"/>
    <n v="49.314493369613203"/>
    <n v="0.45671404655618181"/>
    <n v="3"/>
    <b v="1"/>
    <n v="0"/>
    <n v="0.10785254053739519"/>
    <n v="5.6029157394072184"/>
    <n v="0.33444935546953869"/>
    <n v="3"/>
  </r>
  <r>
    <n v="44378"/>
    <s v="44378"/>
    <s v="44"/>
    <s v="COLOMBIA"/>
    <s v="LA GUAJIRA"/>
    <s v="HATONUEVO"/>
    <x v="4"/>
    <n v="0"/>
    <n v="0"/>
    <n v="0"/>
    <n v="58.39"/>
    <n v="59.174266666666703"/>
    <n v="80.38"/>
    <n v="65.2"/>
    <n v="61.948588065962277"/>
    <n v="77.22558113750047"/>
    <n v="67.885251144288631"/>
    <n v="66.151280523989513"/>
    <s v="3. Vulnerable (&gt;=60 y &lt;70)"/>
    <s v="4. Solvente (&gt;=70 y &lt;80)"/>
    <s v="3. Vulnerable (&gt;=60 y &lt;70)"/>
    <s v="3. Vulnerable (&gt;=60 y &lt;70)"/>
    <n v="65.78606666666667"/>
    <n v="68.302675217935217"/>
    <n v="67.044370942300944"/>
    <n v="46.04344533622028"/>
    <x v="1"/>
    <n v="53.95655466377972"/>
    <n v="0.9741882058902549"/>
    <n v="65.313835443320897"/>
    <n v="0.64638122228198891"/>
    <n v="1"/>
    <b v="0"/>
    <n v="-1"/>
    <n v="0.97428046393498691"/>
    <n v="65.320020825894318"/>
    <n v="0.61078281842809978"/>
    <n v="2"/>
    <b v="1"/>
    <n v="0"/>
    <n v="46.04344533622028"/>
    <x v="2"/>
    <n v="53.95655466377972"/>
    <n v="0.94927242218174535"/>
    <n v="63.643372398049443"/>
    <n v="0.63973870776640784"/>
    <n v="2"/>
    <b v="1"/>
    <n v="0"/>
    <n v="0.10785697754641188"/>
    <n v="7.2312032113370623"/>
    <n v="0.43164512296535273"/>
    <n v="2"/>
  </r>
  <r>
    <n v="25658"/>
    <s v="25658"/>
    <s v="25"/>
    <s v="COLOMBIA"/>
    <s v="CUNDINAMARCA"/>
    <s v="SAN FRANCISCO"/>
    <x v="4"/>
    <n v="0"/>
    <n v="0"/>
    <n v="0"/>
    <n v="60.96"/>
    <n v="61.270899999999997"/>
    <n v="62.32"/>
    <n v="60.95"/>
    <n v="53.754641142520363"/>
    <n v="49.3002320247233"/>
    <n v="64.761627217777601"/>
    <n v="66.854377205112527"/>
    <s v="2. Riesgo (&gt;=40 y &lt;60)"/>
    <s v="2. Riesgo (&gt;=40 y &lt;60)"/>
    <s v="3. Vulnerable (&gt;=60 y &lt;70)"/>
    <s v="3. Vulnerable (&gt;=60 y &lt;70)"/>
    <n v="61.375225"/>
    <n v="58.667719397533446"/>
    <n v="60.021472198766723"/>
    <n v="46.241186489696759"/>
    <x v="1"/>
    <n v="53.758813510303241"/>
    <n v="0.9741882058902549"/>
    <n v="58.472210316208368"/>
    <n v="0.5607997036944683"/>
    <n v="2"/>
    <b v="1"/>
    <n v="0"/>
    <n v="0.97428046393498691"/>
    <n v="58.477747779875365"/>
    <n v="0.52991658538123187"/>
    <n v="2"/>
    <b v="1"/>
    <n v="0"/>
    <n v="46.241186489696759"/>
    <x v="2"/>
    <n v="53.758813510303241"/>
    <n v="0.94927242218174535"/>
    <n v="56.976728297037575"/>
    <n v="0.5545847836125789"/>
    <n v="2"/>
    <b v="1"/>
    <n v="0"/>
    <n v="0.10746170095242967"/>
    <n v="6.4500094961484411"/>
    <n v="0.38501409249953839"/>
    <n v="2"/>
  </r>
  <r>
    <n v="25781"/>
    <s v="25781"/>
    <s v="25"/>
    <s v="COLOMBIA"/>
    <s v="CUNDINAMARCA"/>
    <s v="SUTATAUSA"/>
    <x v="4"/>
    <n v="0"/>
    <n v="0"/>
    <n v="0"/>
    <n v="52.45"/>
    <n v="60.695066666666698"/>
    <n v="85.19"/>
    <n v="89"/>
    <n v="51.018619387493231"/>
    <n v="51.784162135290671"/>
    <n v="57.116966781555703"/>
    <n v="68.808867541539271"/>
    <s v="2. Riesgo (&gt;=40 y &lt;60)"/>
    <s v="2. Riesgo (&gt;=40 y &lt;60)"/>
    <s v="2. Riesgo (&gt;=40 y &lt;60)"/>
    <s v="3. Vulnerable (&gt;=60 y &lt;70)"/>
    <n v="71.833766666666676"/>
    <n v="57.182153961469723"/>
    <n v="64.5079603140682"/>
    <n v="46.441905359253091"/>
    <x v="1"/>
    <n v="53.558094640746909"/>
    <n v="0.9741882058902549"/>
    <n v="62.842894124001866"/>
    <n v="0.61547235099496722"/>
    <n v="2"/>
    <b v="1"/>
    <n v="0"/>
    <n v="0.97428046393498691"/>
    <n v="62.848845502290089"/>
    <n v="0.58157693344306272"/>
    <n v="2"/>
    <b v="1"/>
    <n v="0"/>
    <n v="46.441905359253091"/>
    <x v="2"/>
    <n v="53.558094640746909"/>
    <n v="0.94927242218174535"/>
    <n v="61.235627737339421"/>
    <n v="0.60898426773431313"/>
    <n v="2"/>
    <b v="1"/>
    <n v="0"/>
    <n v="0.10706047202404868"/>
    <n v="6.9062526805327416"/>
    <n v="0.41224816955007831"/>
    <n v="2"/>
  </r>
  <r>
    <n v="5101"/>
    <s v="05101"/>
    <s v="50"/>
    <s v="COLOMBIA"/>
    <s v="ANTIOQUIA"/>
    <s v="CIUDAD BOLÍVAR"/>
    <x v="4"/>
    <n v="0"/>
    <n v="0"/>
    <n v="0"/>
    <n v="64.180000000000007"/>
    <n v="59.024833333333298"/>
    <n v="33.72"/>
    <n v="38.64"/>
    <n v="61.984930543018635"/>
    <n v="56.767513041395262"/>
    <n v="52.707091189121144"/>
    <n v="59.889145312722491"/>
    <s v="3. Vulnerable (&gt;=60 y &lt;70)"/>
    <s v="2. Riesgo (&gt;=40 y &lt;60)"/>
    <s v="2. Riesgo (&gt;=40 y &lt;60)"/>
    <s v="2. Riesgo (&gt;=40 y &lt;60)"/>
    <n v="48.891208333333324"/>
    <n v="57.837170021564383"/>
    <n v="53.36418917744885"/>
    <n v="46.140907906256871"/>
    <x v="1"/>
    <n v="53.859092093743129"/>
    <n v="0.9741882058902549"/>
    <n v="51.986763713567051"/>
    <n v="0.4796736030005283"/>
    <n v="2"/>
    <b v="1"/>
    <n v="0"/>
    <n v="0.97428046393498691"/>
    <n v="51.99168698931927"/>
    <n v="0.45326029003645113"/>
    <n v="3"/>
    <b v="0"/>
    <n v="1"/>
    <n v="46.140907906256871"/>
    <x v="2"/>
    <n v="53.859092093743129"/>
    <n v="0.94927242218174535"/>
    <n v="50.657153118241752"/>
    <n v="0.47386401656609445"/>
    <n v="3"/>
    <b v="0"/>
    <n v="1"/>
    <n v="0.10766215379805442"/>
    <n v="5.7453035425309693"/>
    <n v="0.34294877098752047"/>
    <n v="3"/>
  </r>
  <r>
    <n v="5809"/>
    <s v="05809"/>
    <s v="50"/>
    <s v="COLOMBIA"/>
    <s v="ANTIOQUIA"/>
    <s v="TITIRIBÍ"/>
    <x v="4"/>
    <n v="0"/>
    <n v="0"/>
    <n v="0"/>
    <n v="60.47"/>
    <n v="62.213000000000001"/>
    <n v="65.34"/>
    <n v="76.37"/>
    <n v="54.093380508582918"/>
    <n v="48.452398900997139"/>
    <n v="55.503993348925121"/>
    <n v="55.267969073089517"/>
    <s v="2. Riesgo (&gt;=40 y &lt;60)"/>
    <s v="2. Riesgo (&gt;=40 y &lt;60)"/>
    <s v="2. Riesgo (&gt;=40 y &lt;60)"/>
    <s v="2. Riesgo (&gt;=40 y &lt;60)"/>
    <n v="66.098250000000007"/>
    <n v="53.329435457898676"/>
    <n v="59.713842728949345"/>
    <n v="45.983370631882075"/>
    <x v="1"/>
    <n v="54.016629368117925"/>
    <n v="0.9741882058902549"/>
    <n v="58.172521314928005"/>
    <n v="0.55705091019043496"/>
    <n v="2"/>
    <b v="1"/>
    <n v="0"/>
    <n v="0.97428046393498691"/>
    <n v="58.178030397301612"/>
    <n v="0.52637433917965593"/>
    <n v="2"/>
    <b v="1"/>
    <n v="0"/>
    <n v="45.983370631882075"/>
    <x v="2"/>
    <n v="54.016629368117925"/>
    <n v="0.94927242218174535"/>
    <n v="56.684704125089546"/>
    <n v="0.55085472035850891"/>
    <n v="2"/>
    <b v="1"/>
    <n v="0"/>
    <n v="0.10797706445850792"/>
    <n v="6.4477254454089685"/>
    <n v="0.38487775289830117"/>
    <n v="2"/>
  </r>
  <r>
    <n v="52051"/>
    <s v="52051"/>
    <s v="52"/>
    <s v="COLOMBIA"/>
    <s v="NARIÑO"/>
    <s v="ARBOLEDA"/>
    <x v="5"/>
    <n v="0"/>
    <n v="0"/>
    <n v="0"/>
    <n v="50.71"/>
    <n v="53.464599999999997"/>
    <n v="44.29"/>
    <n v="45.37"/>
    <n v="50.69082093893617"/>
    <n v="53.517363664255335"/>
    <n v="47.731121173178096"/>
    <n v="64.068905547222286"/>
    <s v="2. Riesgo (&gt;=40 y &lt;60)"/>
    <s v="2. Riesgo (&gt;=40 y &lt;60)"/>
    <s v="2. Riesgo (&gt;=40 y &lt;60)"/>
    <s v="3. Vulnerable (&gt;=60 y &lt;70)"/>
    <n v="48.458649999999999"/>
    <n v="54.002052830897981"/>
    <n v="51.230351415448993"/>
    <n v="46.285826282521796"/>
    <x v="1"/>
    <n v="53.714173717478204"/>
    <n v="0.9741882058902549"/>
    <n v="49.908004132543532"/>
    <n v="0.45367051186106477"/>
    <n v="3"/>
    <b v="1"/>
    <n v="0"/>
    <n v="0.97428046393498691"/>
    <n v="49.912730544596059"/>
    <n v="0.4286898913951559"/>
    <n v="3"/>
    <b v="1"/>
    <n v="0"/>
    <n v="46.285826282521796"/>
    <x v="2"/>
    <n v="53.714173717478204"/>
    <n v="0.94927242218174535"/>
    <n v="48.631559777365268"/>
    <n v="0.4479908457320137"/>
    <n v="3"/>
    <b v="1"/>
    <n v="0"/>
    <n v="0.10737246780619919"/>
    <n v="5.5007292580555678"/>
    <n v="0.32834963803395661"/>
    <n v="3"/>
  </r>
  <r>
    <n v="5353"/>
    <s v="05353"/>
    <s v="50"/>
    <s v="COLOMBIA"/>
    <s v="ANTIOQUIA"/>
    <s v="HISPANIA"/>
    <x v="5"/>
    <n v="0"/>
    <n v="0"/>
    <n v="0"/>
    <n v="33.14"/>
    <n v="45.9069"/>
    <n v="79.239999999999995"/>
    <n v="26.67"/>
    <n v="56.877716499511941"/>
    <n v="62.294156586861604"/>
    <n v="45.224841541819224"/>
    <n v="60.257248142873337"/>
    <s v="2. Riesgo (&gt;=40 y &lt;60)"/>
    <s v="3. Vulnerable (&gt;=60 y &lt;70)"/>
    <s v="2. Riesgo (&gt;=40 y &lt;60)"/>
    <s v="3. Vulnerable (&gt;=60 y &lt;70)"/>
    <n v="46.239225000000005"/>
    <n v="56.16349069276653"/>
    <n v="51.201357846383267"/>
    <n v="46.29668115619463"/>
    <x v="1"/>
    <n v="53.70331884380537"/>
    <n v="0.9741882058902549"/>
    <n v="49.879758939513039"/>
    <n v="0.45331719426949313"/>
    <n v="3"/>
    <b v="1"/>
    <n v="0"/>
    <n v="0.97428046393498691"/>
    <n v="49.884482676675574"/>
    <n v="0.42835604054544968"/>
    <n v="3"/>
    <b v="1"/>
    <n v="0"/>
    <n v="46.29668115619463"/>
    <x v="2"/>
    <n v="53.70331884380537"/>
    <n v="0.94927242218174535"/>
    <n v="48.604036981830554"/>
    <n v="0.44763929343554282"/>
    <n v="3"/>
    <b v="1"/>
    <n v="0"/>
    <n v="0.10735076935133499"/>
    <n v="5.4965051566422565"/>
    <n v="0.32809749289010165"/>
    <n v="3"/>
  </r>
  <r>
    <n v="15686"/>
    <s v="15686"/>
    <s v="15"/>
    <s v="COLOMBIA"/>
    <s v="BOYACÁ"/>
    <s v="SANTANA"/>
    <x v="4"/>
    <n v="0"/>
    <n v="0"/>
    <n v="0"/>
    <n v="63.27"/>
    <n v="66.414933333333295"/>
    <n v="67.61"/>
    <n v="64.349999999999994"/>
    <n v="60.82822747025709"/>
    <n v="55.14976899925913"/>
    <n v="56.61963819403789"/>
    <n v="60.97930779031482"/>
    <s v="3. Vulnerable (&gt;=60 y &lt;70)"/>
    <s v="2. Riesgo (&gt;=40 y &lt;60)"/>
    <s v="2. Riesgo (&gt;=40 y &lt;60)"/>
    <s v="3. Vulnerable (&gt;=60 y &lt;70)"/>
    <n v="65.411233333333314"/>
    <n v="58.394235613467231"/>
    <n v="61.902734473400272"/>
    <n v="46.81054571682607"/>
    <x v="1"/>
    <n v="53.18945428317393"/>
    <n v="0.9741882058902549"/>
    <n v="60.304913836342642"/>
    <n v="0.58372489287974327"/>
    <n v="2"/>
    <b v="1"/>
    <n v="0"/>
    <n v="0.97428046393498691"/>
    <n v="60.310624861588728"/>
    <n v="0.55157866525428423"/>
    <n v="2"/>
    <b v="1"/>
    <n v="0"/>
    <n v="46.81054571682607"/>
    <x v="2"/>
    <n v="53.18945428317393"/>
    <n v="0.94927242218174535"/>
    <n v="58.762558693238105"/>
    <n v="0.57739543073960664"/>
    <n v="2"/>
    <b v="1"/>
    <n v="0"/>
    <n v="0.10632357481077756"/>
    <n v="6.5817200197742727"/>
    <n v="0.39287615964172162"/>
    <n v="2"/>
  </r>
  <r>
    <n v="5036"/>
    <s v="05036"/>
    <s v="50"/>
    <s v="COLOMBIA"/>
    <s v="ANTIOQUIA"/>
    <s v="ANGELÓPOLIS"/>
    <x v="4"/>
    <n v="0"/>
    <n v="0"/>
    <n v="0"/>
    <n v="55.77"/>
    <n v="56.986466666666701"/>
    <n v="41.65"/>
    <n v="39.119999999999997"/>
    <n v="47.037555402542843"/>
    <n v="60.032250426824739"/>
    <n v="47.117796536248406"/>
    <n v="72.063844399635883"/>
    <s v="2. Riesgo (&gt;=40 y &lt;60)"/>
    <s v="3. Vulnerable (&gt;=60 y &lt;70)"/>
    <s v="2. Riesgo (&gt;=40 y &lt;60)"/>
    <s v="4. Solvente (&gt;=70 y &lt;80)"/>
    <n v="48.38161666666668"/>
    <n v="56.562861691312968"/>
    <n v="52.472239178989824"/>
    <n v="46.140519636123663"/>
    <x v="1"/>
    <n v="53.859480363876337"/>
    <n v="0.9741882058902549"/>
    <n v="51.117836544824435"/>
    <n v="0.46880424005512927"/>
    <n v="3"/>
    <b v="0"/>
    <n v="1"/>
    <n v="0.97428046393498691"/>
    <n v="51.1226775310138"/>
    <n v="0.44298979645886"/>
    <n v="3"/>
    <b v="0"/>
    <n v="1"/>
    <n v="46.140519636123663"/>
    <x v="2"/>
    <n v="53.859480363876337"/>
    <n v="0.94927242218174535"/>
    <n v="49.810449582739544"/>
    <n v="0.46304896066233164"/>
    <n v="3"/>
    <b v="0"/>
    <n v="1"/>
    <n v="0.10766292993439781"/>
    <n v="5.6493150102285457"/>
    <n v="0.33721902164732981"/>
    <n v="3"/>
  </r>
  <r>
    <n v="15646"/>
    <s v="15646"/>
    <s v="15"/>
    <s v="COLOMBIA"/>
    <s v="BOYACÁ"/>
    <s v="SAMACÁ"/>
    <x v="0"/>
    <n v="0"/>
    <n v="0"/>
    <n v="0"/>
    <n v="62.56"/>
    <n v="65.828766666666695"/>
    <n v="54.97"/>
    <n v="76.64"/>
    <n v="62.847380857336191"/>
    <n v="65.237164034413155"/>
    <n v="74.922606591823907"/>
    <n v="77.853580468006854"/>
    <s v="3. Vulnerable (&gt;=60 y &lt;70)"/>
    <s v="3. Vulnerable (&gt;=60 y &lt;70)"/>
    <s v="4. Solvente (&gt;=70 y &lt;80)"/>
    <s v="4. Solvente (&gt;=70 y &lt;80)"/>
    <n v="64.999691666666678"/>
    <n v="70.21518298789502"/>
    <n v="67.607437327280849"/>
    <n v="46.527460186496718"/>
    <x v="1"/>
    <n v="53.472539813503282"/>
    <n v="0.9741882058902549"/>
    <n v="65.862368074701578"/>
    <n v="0.65324278729266649"/>
    <n v="1"/>
    <b v="1"/>
    <n v="0"/>
    <n v="0.97428046393498691"/>
    <n v="65.868605404678732"/>
    <n v="0.61726633174239376"/>
    <n v="2"/>
    <b v="0"/>
    <n v="1"/>
    <n v="46.527460186496718"/>
    <x v="2"/>
    <n v="53.472539813503282"/>
    <n v="0.94927242218174535"/>
    <n v="64.177875789168439"/>
    <n v="0.64656599005981885"/>
    <n v="2"/>
    <b v="0"/>
    <n v="1"/>
    <n v="0.10688945137348077"/>
    <n v="7.226521884680035"/>
    <n v="0.4313656851233425"/>
    <n v="2"/>
  </r>
  <r>
    <n v="70702"/>
    <s v="70702"/>
    <s v="70"/>
    <s v="COLOMBIA"/>
    <s v="SUCRE"/>
    <s v="SAN JUAN DE BETULIA"/>
    <x v="5"/>
    <n v="0"/>
    <n v="0"/>
    <n v="0"/>
    <n v="59.96"/>
    <n v="55.595366666666699"/>
    <n v="28.44"/>
    <n v="21.04"/>
    <n v="49.990896821915285"/>
    <n v="47.722987820200018"/>
    <n v="39.884569870647155"/>
    <n v="50.935414735308768"/>
    <s v="2. Riesgo (&gt;=40 y &lt;60)"/>
    <s v="2. Riesgo (&gt;=40 y &lt;60)"/>
    <s v="1. Deterioro (&lt;40)"/>
    <s v="2. Riesgo (&gt;=40 y &lt;60)"/>
    <n v="41.258841666666676"/>
    <n v="47.133467312017807"/>
    <n v="44.196154489342241"/>
    <n v="46.431060546766304"/>
    <x v="1"/>
    <n v="53.568939453233696"/>
    <n v="0.9741882058902549"/>
    <n v="43.055372449220854"/>
    <n v="0.36795131285735899"/>
    <n v="3"/>
    <b v="1"/>
    <n v="0"/>
    <n v="0.97428046393498691"/>
    <n v="43.059449900018713"/>
    <n v="0.34769356371097626"/>
    <n v="3"/>
    <b v="1"/>
    <n v="0"/>
    <n v="46.431060546766304"/>
    <x v="2"/>
    <n v="53.568939453233696"/>
    <n v="0.94927242218174535"/>
    <n v="41.954190623216526"/>
    <n v="0.36269992906028142"/>
    <n v="3"/>
    <b v="1"/>
    <n v="0"/>
    <n v="0.10708215036700759"/>
    <n v="4.7326192606712434"/>
    <n v="0.28249960110620598"/>
    <n v="4"/>
  </r>
  <r>
    <n v="13442"/>
    <s v="13442"/>
    <s v="13"/>
    <s v="COLOMBIA"/>
    <s v="BOLÍVAR"/>
    <s v="MARÍA LA BAJA"/>
    <x v="5"/>
    <n v="0"/>
    <n v="0"/>
    <n v="1"/>
    <n v="56.51"/>
    <n v="55.512900000000002"/>
    <n v="39.74"/>
    <n v="49.6"/>
    <n v="53.663953124655997"/>
    <n v="59.871836650075537"/>
    <n v="43.984768894361437"/>
    <n v="43.983024534382189"/>
    <s v="2. Riesgo (&gt;=40 y &lt;60)"/>
    <s v="2. Riesgo (&gt;=40 y &lt;60)"/>
    <s v="2. Riesgo (&gt;=40 y &lt;60)"/>
    <s v="2. Riesgo (&gt;=40 y &lt;60)"/>
    <n v="50.340724999999999"/>
    <n v="50.37589580086879"/>
    <n v="50.358310400434391"/>
    <n v="46.421726480264461"/>
    <x v="1"/>
    <n v="53.578273519735539"/>
    <n v="0.9741882058902549"/>
    <n v="49.058472060663746"/>
    <n v="0.4430437611330606"/>
    <n v="3"/>
    <b v="1"/>
    <n v="0"/>
    <n v="0.97428046393498691"/>
    <n v="49.063118019917297"/>
    <n v="0.4186486428278855"/>
    <n v="3"/>
    <b v="1"/>
    <n v="0"/>
    <n v="46.421726480264461"/>
    <x v="2"/>
    <n v="53.578273519735539"/>
    <n v="0.94927242218174535"/>
    <n v="47.803755290800531"/>
    <n v="0.43741718987232353"/>
    <n v="3"/>
    <b v="1"/>
    <n v="0"/>
    <n v="0.10710080878964742"/>
    <n v="5.3934157731666366"/>
    <n v="0.32194387940334579"/>
    <n v="3"/>
  </r>
  <r>
    <n v="52083"/>
    <s v="52083"/>
    <s v="52"/>
    <s v="COLOMBIA"/>
    <s v="NARIÑO"/>
    <s v="BELÉN"/>
    <x v="5"/>
    <n v="0"/>
    <n v="0"/>
    <n v="0"/>
    <n v="47.93"/>
    <n v="50.876033333333297"/>
    <n v="47.02"/>
    <n v="37.89"/>
    <n v="59.760170980972049"/>
    <n v="59.15437231227957"/>
    <n v="48.307195313082303"/>
    <n v="56.282532975253226"/>
    <s v="2. Riesgo (&gt;=40 y &lt;60)"/>
    <s v="2. Riesgo (&gt;=40 y &lt;60)"/>
    <s v="2. Riesgo (&gt;=40 y &lt;60)"/>
    <s v="2. Riesgo (&gt;=40 y &lt;60)"/>
    <n v="45.929008333333329"/>
    <n v="55.876067895396787"/>
    <n v="50.902538114365058"/>
    <n v="46.465184676851869"/>
    <x v="1"/>
    <n v="53.534815323148131"/>
    <n v="0.9741882058902549"/>
    <n v="49.588652280893612"/>
    <n v="0.4496757568255062"/>
    <n v="3"/>
    <b v="1"/>
    <n v="0"/>
    <n v="0.97428046393498691"/>
    <n v="49.593348449531945"/>
    <n v="0.42491523540631332"/>
    <n v="3"/>
    <b v="1"/>
    <n v="0"/>
    <n v="46.465184676851869"/>
    <x v="2"/>
    <n v="53.534815323148131"/>
    <n v="0.94927242218174535"/>
    <n v="48.320375651021934"/>
    <n v="0.44401604985405557"/>
    <n v="3"/>
    <b v="1"/>
    <n v="0"/>
    <n v="0.10701393760666061"/>
    <n v="5.4472810377913259"/>
    <n v="0.3251592058286954"/>
    <n v="3"/>
  </r>
  <r>
    <n v="15764"/>
    <s v="15764"/>
    <s v="15"/>
    <s v="COLOMBIA"/>
    <s v="BOYACÁ"/>
    <s v="SORACÁ"/>
    <x v="4"/>
    <n v="0"/>
    <n v="0"/>
    <n v="0"/>
    <n v="46.93"/>
    <n v="53.5264666666667"/>
    <n v="56.47"/>
    <n v="85.65"/>
    <n v="53.201685349664068"/>
    <n v="63.784017512328901"/>
    <n v="52.369898176716049"/>
    <n v="66.626133260752198"/>
    <s v="2. Riesgo (&gt;=40 y &lt;60)"/>
    <s v="3. Vulnerable (&gt;=60 y &lt;70)"/>
    <s v="2. Riesgo (&gt;=40 y &lt;60)"/>
    <s v="3. Vulnerable (&gt;=60 y &lt;70)"/>
    <n v="60.644116666666676"/>
    <n v="58.995433574865302"/>
    <n v="59.819775120765989"/>
    <n v="46.589552068557936"/>
    <x v="1"/>
    <n v="53.410447931442064"/>
    <n v="0.9741882058902549"/>
    <n v="58.275719401657526"/>
    <n v="0.55834180947438417"/>
    <n v="2"/>
    <b v="1"/>
    <n v="0"/>
    <n v="0.97428046393498691"/>
    <n v="58.281238257146477"/>
    <n v="0.52759411377654064"/>
    <n v="2"/>
    <b v="1"/>
    <n v="0"/>
    <n v="46.589552068557936"/>
    <x v="2"/>
    <n v="53.410447931442064"/>
    <n v="0.94927242218174535"/>
    <n v="56.785262823256836"/>
    <n v="0.55213916986968736"/>
    <n v="2"/>
    <b v="1"/>
    <n v="0"/>
    <n v="0.10676533220443778"/>
    <n v="6.3866781631633431"/>
    <n v="0.38123371733720662"/>
    <n v="2"/>
  </r>
  <r>
    <n v="13647"/>
    <s v="13647"/>
    <s v="13"/>
    <s v="COLOMBIA"/>
    <s v="BOLÍVAR"/>
    <s v="SAN ESTANISLAO"/>
    <x v="6"/>
    <n v="0"/>
    <n v="0"/>
    <n v="0"/>
    <n v="39.840000000000003"/>
    <n v="38.632666666666701"/>
    <n v="25.92"/>
    <n v="23.8"/>
    <n v="56.169499629346113"/>
    <n v="52.045784006391351"/>
    <n v="59.499988011420456"/>
    <n v="55.010445237026055"/>
    <s v="2. Riesgo (&gt;=40 y &lt;60)"/>
    <s v="2. Riesgo (&gt;=40 y &lt;60)"/>
    <s v="2. Riesgo (&gt;=40 y &lt;60)"/>
    <s v="2. Riesgo (&gt;=40 y &lt;60)"/>
    <n v="32.048166666666674"/>
    <n v="55.681429221045995"/>
    <n v="43.864797943856331"/>
    <n v="46.520691089568508"/>
    <x v="1"/>
    <n v="53.479308910431492"/>
    <n v="0.9741882058902549"/>
    <n v="42.732568810663942"/>
    <n v="0.3639133796061203"/>
    <n v="3"/>
    <b v="0"/>
    <n v="-1"/>
    <n v="0.97428046393498691"/>
    <n v="42.736615691154803"/>
    <n v="0.34387810849691114"/>
    <n v="3"/>
    <b v="0"/>
    <n v="-1"/>
    <n v="46.520691089568508"/>
    <x v="2"/>
    <n v="53.479308910431492"/>
    <n v="0.94927242218174535"/>
    <n v="41.639642992677345"/>
    <n v="0.35868217069972419"/>
    <n v="3"/>
    <b v="0"/>
    <n v="-1"/>
    <n v="0.10690298252534815"/>
    <n v="4.6892777280700004"/>
    <n v="0.27991245749781729"/>
    <n v="4"/>
  </r>
  <r>
    <n v="52585"/>
    <s v="52585"/>
    <s v="52"/>
    <s v="COLOMBIA"/>
    <s v="NARIÑO"/>
    <s v="PUPIALES"/>
    <x v="4"/>
    <n v="0"/>
    <n v="0"/>
    <n v="0"/>
    <n v="64.2"/>
    <n v="67.061066666666704"/>
    <n v="62.75"/>
    <n v="59.89"/>
    <n v="64.83772501128"/>
    <n v="52.296704114096897"/>
    <n v="55.3942814531257"/>
    <n v="56.307600046364662"/>
    <s v="3. Vulnerable (&gt;=60 y &lt;70)"/>
    <s v="2. Riesgo (&gt;=40 y &lt;60)"/>
    <s v="2. Riesgo (&gt;=40 y &lt;60)"/>
    <s v="2. Riesgo (&gt;=40 y &lt;60)"/>
    <n v="63.47526666666667"/>
    <n v="57.209077656216813"/>
    <n v="60.342172161441738"/>
    <n v="46.534570856249438"/>
    <x v="1"/>
    <n v="53.465429143750562"/>
    <n v="0.9741882058902549"/>
    <n v="58.784632437475814"/>
    <n v="0.56470777510756642"/>
    <n v="2"/>
    <b v="1"/>
    <n v="0"/>
    <n v="0.97428046393498691"/>
    <n v="58.790199488294306"/>
    <n v="0.53360933375577957"/>
    <n v="2"/>
    <b v="1"/>
    <n v="0"/>
    <n v="46.534570856249438"/>
    <x v="2"/>
    <n v="53.465429143750562"/>
    <n v="0.94927242218174535"/>
    <n v="57.281159927399685"/>
    <n v="0.55847332896899704"/>
    <n v="2"/>
    <b v="1"/>
    <n v="0"/>
    <n v="0.10687523743130752"/>
    <n v="6.4490839768749204"/>
    <n v="0.38495884638503292"/>
    <n v="2"/>
  </r>
  <r>
    <n v="76823"/>
    <s v="76823"/>
    <s v="76"/>
    <s v="COLOMBIA"/>
    <s v="VALLE DEL CAUCA"/>
    <s v="TORO"/>
    <x v="4"/>
    <n v="0"/>
    <n v="0"/>
    <n v="0"/>
    <n v="50.77"/>
    <n v="52.986800000000002"/>
    <n v="58.27"/>
    <n v="55.32"/>
    <n v="52.194933819255169"/>
    <n v="59.686889617856657"/>
    <n v="55.785243465562772"/>
    <n v="53.916781657365689"/>
    <s v="2. Riesgo (&gt;=40 y &lt;60)"/>
    <s v="2. Riesgo (&gt;=40 y &lt;60)"/>
    <s v="2. Riesgo (&gt;=40 y &lt;60)"/>
    <s v="2. Riesgo (&gt;=40 y &lt;60)"/>
    <n v="54.3367"/>
    <n v="55.39596214001007"/>
    <n v="54.866331070005032"/>
    <n v="46.618685335312051"/>
    <x v="1"/>
    <n v="53.381314664687949"/>
    <n v="0.9741882058902549"/>
    <n v="53.45013262886895"/>
    <n v="0.4979788055947203"/>
    <n v="2"/>
    <b v="1"/>
    <n v="0"/>
    <n v="0.97428046393498691"/>
    <n v="53.455194489295089"/>
    <n v="0.47055693075261523"/>
    <n v="2"/>
    <b v="1"/>
    <n v="0"/>
    <n v="46.618685335312051"/>
    <x v="2"/>
    <n v="53.381314664687949"/>
    <n v="0.94927242218174535"/>
    <n v="52.083094991049229"/>
    <n v="0.49207776012957444"/>
    <n v="2"/>
    <b v="1"/>
    <n v="0"/>
    <n v="0.10670709597868666"/>
    <n v="5.8546268554854253"/>
    <n v="0.34947450031417299"/>
    <n v="3"/>
  </r>
  <r>
    <n v="25491"/>
    <s v="25491"/>
    <s v="25"/>
    <s v="COLOMBIA"/>
    <s v="CUNDINAMARCA"/>
    <s v="NOCAIMA"/>
    <x v="4"/>
    <n v="0"/>
    <n v="0"/>
    <n v="0"/>
    <n v="55.09"/>
    <n v="59.719466666666698"/>
    <n v="60.23"/>
    <n v="58.5"/>
    <n v="55.651912036977166"/>
    <n v="67.036676414616394"/>
    <n v="49.474711132627959"/>
    <n v="64.980280418926938"/>
    <s v="2. Riesgo (&gt;=40 y &lt;60)"/>
    <s v="3. Vulnerable (&gt;=60 y &lt;70)"/>
    <s v="2. Riesgo (&gt;=40 y &lt;60)"/>
    <s v="3. Vulnerable (&gt;=60 y &lt;70)"/>
    <n v="58.384866666666674"/>
    <n v="59.285895000787121"/>
    <n v="58.835380833726902"/>
    <n v="46.868981871409623"/>
    <x v="1"/>
    <n v="53.131018128590377"/>
    <n v="0.9741882058902549"/>
    <n v="57.316734097278299"/>
    <n v="0.5463459141823942"/>
    <n v="2"/>
    <b v="1"/>
    <n v="0"/>
    <n v="0.97428046393498691"/>
    <n v="57.322162134475086"/>
    <n v="0.51625915641310194"/>
    <n v="2"/>
    <b v="1"/>
    <n v="0"/>
    <n v="46.868981871409623"/>
    <x v="2"/>
    <n v="53.131018128590377"/>
    <n v="0.94927242218174535"/>
    <n v="55.850804474017373"/>
    <n v="0.54020321015886796"/>
    <n v="2"/>
    <b v="1"/>
    <n v="0"/>
    <n v="0.10620676329358394"/>
    <n v="6.2487153654954986"/>
    <n v="0.37299843933110427"/>
    <n v="3"/>
  </r>
  <r>
    <n v="41298"/>
    <s v="41298"/>
    <s v="41"/>
    <s v="COLOMBIA"/>
    <s v="HUILA"/>
    <s v="GARZÓN"/>
    <x v="4"/>
    <n v="0"/>
    <n v="0"/>
    <n v="0"/>
    <n v="56.5"/>
    <n v="61.975266666666698"/>
    <n v="70.319999999999993"/>
    <n v="75.87"/>
    <n v="54.09555478137834"/>
    <n v="57.721008105760973"/>
    <n v="59.242321975664879"/>
    <n v="60.751243350670492"/>
    <s v="2. Riesgo (&gt;=40 y &lt;60)"/>
    <s v="2. Riesgo (&gt;=40 y &lt;60)"/>
    <s v="2. Riesgo (&gt;=40 y &lt;60)"/>
    <s v="3. Vulnerable (&gt;=60 y &lt;70)"/>
    <n v="66.166316666666674"/>
    <n v="57.952532053368671"/>
    <n v="62.059424360017672"/>
    <n v="46.575970519271699"/>
    <x v="1"/>
    <n v="53.424029480728301"/>
    <n v="0.9741882058902549"/>
    <n v="60.457559275867595"/>
    <n v="0.58563432642474056"/>
    <n v="2"/>
    <b v="1"/>
    <n v="0"/>
    <n v="0.97428046393498691"/>
    <n v="60.463284757016247"/>
    <n v="0.55338289472561975"/>
    <n v="2"/>
    <b v="1"/>
    <n v="0"/>
    <n v="46.575970519271699"/>
    <x v="2"/>
    <n v="53.424029480728301"/>
    <n v="0.94927242218174535"/>
    <n v="58.911300081438789"/>
    <n v="0.57929532410386375"/>
    <n v="2"/>
    <b v="1"/>
    <n v="0"/>
    <n v="0.10679248117392887"/>
    <n v="6.6274799076320496"/>
    <n v="0.39560765975919637"/>
    <n v="2"/>
  </r>
  <r>
    <n v="52685"/>
    <s v="52685"/>
    <s v="52"/>
    <s v="COLOMBIA"/>
    <s v="NARIÑO"/>
    <s v="SAN BERNARDO"/>
    <x v="4"/>
    <n v="0"/>
    <n v="0"/>
    <n v="0"/>
    <n v="63.87"/>
    <n v="67.339933333333306"/>
    <n v="56.2"/>
    <n v="48.52"/>
    <n v="62.57005107184284"/>
    <n v="55.73398244037773"/>
    <n v="57.000436922869241"/>
    <n v="62.770349796707933"/>
    <s v="3. Vulnerable (&gt;=60 y &lt;70)"/>
    <s v="2. Riesgo (&gt;=40 y &lt;60)"/>
    <s v="2. Riesgo (&gt;=40 y &lt;60)"/>
    <s v="3. Vulnerable (&gt;=60 y &lt;70)"/>
    <n v="58.982483333333327"/>
    <n v="59.518705057949433"/>
    <n v="59.250594195641384"/>
    <n v="46.618112084978712"/>
    <x v="1"/>
    <n v="53.381887915021288"/>
    <n v="0.9741882058902549"/>
    <n v="57.72123005738343"/>
    <n v="0.55140573226437728"/>
    <n v="2"/>
    <b v="1"/>
    <n v="0"/>
    <n v="0.97428046393498691"/>
    <n v="57.726696401353131"/>
    <n v="0.52104019366209586"/>
    <n v="2"/>
    <b v="1"/>
    <n v="0"/>
    <n v="46.618112084978712"/>
    <x v="2"/>
    <n v="53.381887915021288"/>
    <n v="0.94927242218174535"/>
    <n v="56.244955067804156"/>
    <n v="0.54523774766528921"/>
    <n v="2"/>
    <b v="1"/>
    <n v="0"/>
    <n v="0.10670824188299276"/>
    <n v="6.3225267371395475"/>
    <n v="0.37740438916523233"/>
    <n v="3"/>
  </r>
  <r>
    <n v="44279"/>
    <s v="44279"/>
    <s v="44"/>
    <s v="COLOMBIA"/>
    <s v="LA GUAJIRA"/>
    <s v="FONSECA"/>
    <x v="4"/>
    <n v="0"/>
    <n v="0"/>
    <n v="1"/>
    <n v="68.900000000000006"/>
    <n v="73.132900000000006"/>
    <n v="78.22"/>
    <n v="47.82"/>
    <n v="50.51098330793819"/>
    <n v="63.104481900175777"/>
    <n v="54.580520918253875"/>
    <n v="68.985426608880488"/>
    <s v="2. Riesgo (&gt;=40 y &lt;60)"/>
    <s v="3. Vulnerable (&gt;=60 y &lt;70)"/>
    <s v="2. Riesgo (&gt;=40 y &lt;60)"/>
    <s v="3. Vulnerable (&gt;=60 y &lt;70)"/>
    <n v="67.018225000000001"/>
    <n v="59.295353183812082"/>
    <n v="63.156789091906042"/>
    <n v="46.724209460817875"/>
    <x v="1"/>
    <n v="53.275790539182125"/>
    <n v="0.9741882058902549"/>
    <n v="61.52659905523317"/>
    <n v="0.59900688719045836"/>
    <n v="2"/>
    <b v="1"/>
    <n v="0"/>
    <n v="0.97428046393498691"/>
    <n v="61.53242577710634"/>
    <n v="0.56601866741535123"/>
    <n v="2"/>
    <b v="1"/>
    <n v="0"/>
    <n v="46.724209460817875"/>
    <x v="2"/>
    <n v="53.275790539182125"/>
    <n v="0.94927242218174535"/>
    <n v="59.952998158495284"/>
    <n v="0.5926010709985261"/>
    <n v="2"/>
    <b v="1"/>
    <n v="0"/>
    <n v="0.10649615750594303"/>
    <n v="6.7259553587012508"/>
    <n v="0.40148585830286232"/>
    <n v="2"/>
  </r>
  <r>
    <n v="54172"/>
    <s v="54172"/>
    <s v="54"/>
    <s v="COLOMBIA"/>
    <s v="NORTE DE SANTANDER"/>
    <s v="CHINÁCOTA"/>
    <x v="4"/>
    <n v="0"/>
    <n v="0"/>
    <n v="0"/>
    <n v="77.97"/>
    <n v="82.559899999999999"/>
    <n v="90.28"/>
    <n v="88.45"/>
    <n v="45.294945775246525"/>
    <n v="54.300280184952399"/>
    <n v="56.010500236598602"/>
    <n v="63.934938122387734"/>
    <s v="2. Riesgo (&gt;=40 y &lt;60)"/>
    <s v="2. Riesgo (&gt;=40 y &lt;60)"/>
    <s v="2. Riesgo (&gt;=40 y &lt;60)"/>
    <s v="3. Vulnerable (&gt;=60 y &lt;70)"/>
    <n v="84.814975000000004"/>
    <n v="54.885166079796313"/>
    <n v="69.850070539898155"/>
    <n v="46.60692837315473"/>
    <x v="1"/>
    <n v="53.39307162684527"/>
    <n v="0.9741882058902549"/>
    <n v="68.047114900571131"/>
    <n v="0.68057166714406714"/>
    <n v="1"/>
    <b v="0"/>
    <n v="-1"/>
    <n v="0.97428046393498691"/>
    <n v="68.053559131503533"/>
    <n v="0.64308947210549861"/>
    <n v="1"/>
    <b v="0"/>
    <n v="-1"/>
    <n v="46.60692837315473"/>
    <x v="2"/>
    <n v="53.39307162684527"/>
    <n v="0.94927242218174535"/>
    <n v="66.306745650974889"/>
    <n v="0.67375832551359294"/>
    <n v="1"/>
    <b v="0"/>
    <n v="-1"/>
    <n v="0.10673059767206421"/>
    <n v="7.4551397761591742"/>
    <n v="0.44501234875532003"/>
    <n v="2"/>
  </r>
  <r>
    <n v="15104"/>
    <s v="15104"/>
    <s v="15"/>
    <s v="COLOMBIA"/>
    <s v="BOYACÁ"/>
    <s v="BOYACÁ"/>
    <x v="4"/>
    <n v="0"/>
    <n v="0"/>
    <n v="0"/>
    <n v="74.72"/>
    <n v="75.767766666666702"/>
    <n v="80.459999999999994"/>
    <n v="76.14"/>
    <n v="55.902038491702172"/>
    <n v="60.587412665377201"/>
    <n v="67.80703573778527"/>
    <n v="60.460422558621616"/>
    <s v="2. Riesgo (&gt;=40 y &lt;60)"/>
    <s v="3. Vulnerable (&gt;=60 y &lt;70)"/>
    <s v="3. Vulnerable (&gt;=60 y &lt;70)"/>
    <s v="3. Vulnerable (&gt;=60 y &lt;70)"/>
    <n v="76.771941666666663"/>
    <n v="61.189227363371565"/>
    <n v="68.980584515019117"/>
    <n v="46.898820679444441"/>
    <x v="1"/>
    <n v="53.101179320555559"/>
    <n v="0.9741882058902549"/>
    <n v="67.200071869947578"/>
    <n v="0.66997605169848162"/>
    <n v="1"/>
    <b v="0"/>
    <n v="-1"/>
    <n v="0.97428046393498691"/>
    <n v="67.206435883799401"/>
    <n v="0.63307764335976924"/>
    <n v="1"/>
    <b v="0"/>
    <n v="-1"/>
    <n v="46.898820679444441"/>
    <x v="2"/>
    <n v="53.101179320555559"/>
    <n v="0.94927242218174535"/>
    <n v="65.4813665460848"/>
    <n v="0.66321564937383948"/>
    <n v="1"/>
    <b v="0"/>
    <n v="-1"/>
    <n v="0.1061471167192562"/>
    <n v="7.322090155878251"/>
    <n v="0.43707034822951352"/>
    <n v="2"/>
  </r>
  <r>
    <n v="15516"/>
    <s v="15516"/>
    <s v="15"/>
    <s v="COLOMBIA"/>
    <s v="BOYACÁ"/>
    <s v="PAIPA"/>
    <x v="0"/>
    <n v="0"/>
    <n v="0"/>
    <n v="0"/>
    <n v="75.58"/>
    <n v="83.654466666666707"/>
    <n v="83.95"/>
    <n v="68.06"/>
    <n v="61.3789257179629"/>
    <n v="74.278053702437575"/>
    <n v="68.672628394533646"/>
    <n v="69.487966084375856"/>
    <s v="3. Vulnerable (&gt;=60 y &lt;70)"/>
    <s v="4. Solvente (&gt;=70 y &lt;80)"/>
    <s v="3. Vulnerable (&gt;=60 y &lt;70)"/>
    <s v="3. Vulnerable (&gt;=60 y &lt;70)"/>
    <n v="77.811116666666678"/>
    <n v="68.454393474827498"/>
    <n v="73.132755070747095"/>
    <n v="46.804322626826874"/>
    <x v="1"/>
    <n v="53.195677373173126"/>
    <n v="0.9741882058902549"/>
    <n v="71.245067454182561"/>
    <n v="0.72057468263001101"/>
    <n v="1"/>
    <b v="1"/>
    <n v="0"/>
    <n v="0.97428046393498691"/>
    <n v="71.251814539171249"/>
    <n v="0.68088844116159941"/>
    <n v="1"/>
    <b v="1"/>
    <n v="0"/>
    <n v="46.804322626826874"/>
    <x v="2"/>
    <n v="53.195677373173126"/>
    <n v="0.94927242218174535"/>
    <n v="69.42290754683242"/>
    <n v="0.71356147230083899"/>
    <n v="1"/>
    <b v="1"/>
    <n v="0"/>
    <n v="0.10633601451680579"/>
    <n v="7.776645704856965"/>
    <n v="0.46420368691454567"/>
    <n v="2"/>
  </r>
  <r>
    <n v="68406"/>
    <s v="68406"/>
    <s v="68"/>
    <s v="COLOMBIA"/>
    <s v="SANTANDER"/>
    <s v="LEBRÍJA"/>
    <x v="4"/>
    <n v="0"/>
    <n v="0"/>
    <n v="0"/>
    <n v="56.18"/>
    <n v="61.915033333333298"/>
    <n v="63.96"/>
    <n v="66.55"/>
    <n v="62.980301697616397"/>
    <n v="60.602091033193553"/>
    <n v="67.944023716846502"/>
    <n v="71.621676497190691"/>
    <s v="3. Vulnerable (&gt;=60 y &lt;70)"/>
    <s v="3. Vulnerable (&gt;=60 y &lt;70)"/>
    <s v="3. Vulnerable (&gt;=60 y &lt;70)"/>
    <s v="4. Solvente (&gt;=70 y &lt;80)"/>
    <n v="62.151258333333331"/>
    <n v="65.78702323621178"/>
    <n v="63.969140784772556"/>
    <n v="46.699459660646774"/>
    <x v="1"/>
    <n v="53.300540339353226"/>
    <n v="0.9741882058902549"/>
    <n v="62.317982493458707"/>
    <n v="0.60890625980588531"/>
    <n v="2"/>
    <b v="1"/>
    <n v="0"/>
    <n v="0.97428046393498691"/>
    <n v="62.323884161310701"/>
    <n v="0.57537261422710639"/>
    <n v="2"/>
    <b v="1"/>
    <n v="0"/>
    <n v="46.699459660646774"/>
    <x v="2"/>
    <n v="53.300540339353226"/>
    <n v="0.94927242218174535"/>
    <n v="60.724141217646121"/>
    <n v="0.60245098297458544"/>
    <n v="2"/>
    <b v="1"/>
    <n v="0"/>
    <n v="0.10654563135871155"/>
    <n v="6.8156324923878966"/>
    <n v="0.4068388675139249"/>
    <n v="2"/>
  </r>
  <r>
    <n v="70823"/>
    <s v="70823"/>
    <s v="70"/>
    <s v="COLOMBIA"/>
    <s v="SUCRE"/>
    <s v="SAN JOSÉ DE TOLUVIEJO"/>
    <x v="5"/>
    <n v="0"/>
    <n v="0"/>
    <n v="1"/>
    <n v="58.09"/>
    <n v="53.316333333333297"/>
    <n v="55.28"/>
    <n v="62.93"/>
    <n v="55.003652916133468"/>
    <n v="36.995785519607047"/>
    <n v="59.117419057436386"/>
    <n v="62.637045812356362"/>
    <s v="2. Riesgo (&gt;=40 y &lt;60)"/>
    <s v="1. Deterioro (&lt;40)"/>
    <s v="2. Riesgo (&gt;=40 y &lt;60)"/>
    <s v="3. Vulnerable (&gt;=60 y &lt;70)"/>
    <n v="57.404083333333325"/>
    <n v="53.438475826383311"/>
    <n v="55.421279579858322"/>
    <n v="46.909363313863956"/>
    <x v="1"/>
    <n v="53.090636686136044"/>
    <n v="0.9741882058902549"/>
    <n v="53.990756922044397"/>
    <n v="0.50474144563062462"/>
    <n v="2"/>
    <b v="0"/>
    <n v="-1"/>
    <n v="0.97428046393498691"/>
    <n v="53.995869980934984"/>
    <n v="0.4769469695621773"/>
    <n v="2"/>
    <b v="0"/>
    <n v="-1"/>
    <n v="46.909363313863956"/>
    <x v="2"/>
    <n v="53.090636686136044"/>
    <n v="0.94927242218174535"/>
    <n v="52.609892307183813"/>
    <n v="0.49880661171110047"/>
    <n v="2"/>
    <b v="0"/>
    <n v="-1"/>
    <n v="0.10612604241807162"/>
    <n v="5.8816410675558508"/>
    <n v="0.35108703318735646"/>
    <n v="3"/>
  </r>
  <r>
    <n v="41807"/>
    <s v="41807"/>
    <s v="41"/>
    <s v="COLOMBIA"/>
    <s v="HUILA"/>
    <s v="TIMANÁ"/>
    <x v="4"/>
    <n v="0"/>
    <n v="0"/>
    <n v="0"/>
    <n v="64.75"/>
    <n v="67.644599999999997"/>
    <n v="22.46"/>
    <n v="22.47"/>
    <n v="55.932764661846555"/>
    <n v="62.335248005888658"/>
    <n v="60.991793489038713"/>
    <n v="62.125803926991736"/>
    <s v="2. Riesgo (&gt;=40 y &lt;60)"/>
    <s v="3. Vulnerable (&gt;=60 y &lt;70)"/>
    <s v="3. Vulnerable (&gt;=60 y &lt;70)"/>
    <s v="3. Vulnerable (&gt;=60 y &lt;70)"/>
    <n v="44.331150000000001"/>
    <n v="60.34640252094141"/>
    <n v="52.338776260470709"/>
    <n v="47.018399078406347"/>
    <x v="1"/>
    <n v="52.981600921593653"/>
    <n v="0.9741882058902549"/>
    <n v="50.987818543679424"/>
    <n v="0.46717785191269678"/>
    <n v="3"/>
    <b v="0"/>
    <n v="1"/>
    <n v="0.97428046393498691"/>
    <n v="50.992647216840879"/>
    <n v="0.44145301743552318"/>
    <n v="3"/>
    <b v="0"/>
    <n v="1"/>
    <n v="47.018399078406347"/>
    <x v="2"/>
    <n v="52.981600921593653"/>
    <n v="0.94927242218174535"/>
    <n v="49.683756914805464"/>
    <n v="0.46143069850934415"/>
    <n v="3"/>
    <b v="0"/>
    <n v="1"/>
    <n v="0.10590808432046353"/>
    <n v="5.5430995294238068"/>
    <n v="0.33087880509790324"/>
    <n v="3"/>
  </r>
  <r>
    <n v="15469"/>
    <s v="15469"/>
    <s v="15"/>
    <s v="COLOMBIA"/>
    <s v="BOYACÁ"/>
    <s v="MONIQUIRÁ"/>
    <x v="4"/>
    <n v="0"/>
    <n v="0"/>
    <n v="0"/>
    <n v="51.33"/>
    <n v="53.723133333333301"/>
    <n v="68.150000000000006"/>
    <n v="57.04"/>
    <n v="60.8433889089861"/>
    <n v="60.561321329111145"/>
    <n v="61.439309263861105"/>
    <n v="67.642235841440353"/>
    <s v="3. Vulnerable (&gt;=60 y &lt;70)"/>
    <s v="3. Vulnerable (&gt;=60 y &lt;70)"/>
    <s v="3. Vulnerable (&gt;=60 y &lt;70)"/>
    <s v="3. Vulnerable (&gt;=60 y &lt;70)"/>
    <n v="57.560783333333326"/>
    <n v="62.62156383584967"/>
    <n v="60.091173584591502"/>
    <n v="47.245993846056834"/>
    <x v="1"/>
    <n v="52.754006153943166"/>
    <n v="0.9741882058902549"/>
    <n v="58.54011258421307"/>
    <n v="0.56164908949146997"/>
    <n v="2"/>
    <b v="1"/>
    <n v="0"/>
    <n v="0.97428046393498691"/>
    <n v="58.545656478393639"/>
    <n v="0.53071917256291168"/>
    <n v="2"/>
    <b v="1"/>
    <n v="0"/>
    <n v="47.245993846056834"/>
    <x v="2"/>
    <n v="52.754006153943166"/>
    <n v="0.94927242218174535"/>
    <n v="57.04289390038889"/>
    <n v="0.55542992558866178"/>
    <n v="2"/>
    <b v="1"/>
    <n v="0"/>
    <n v="0.1054531315552782"/>
    <n v="6.3368024333269863"/>
    <n v="0.37825653430016398"/>
    <n v="2"/>
  </r>
  <r>
    <n v="52565"/>
    <s v="52565"/>
    <s v="52"/>
    <s v="COLOMBIA"/>
    <s v="NARIÑO"/>
    <s v="PROVIDENCIA"/>
    <x v="6"/>
    <n v="0"/>
    <n v="0"/>
    <n v="0"/>
    <n v="44.51"/>
    <n v="46.616500000000002"/>
    <n v="37.33"/>
    <n v="24.38"/>
    <n v="46.844952383784687"/>
    <n v="52.579246144651634"/>
    <n v="55.769644716930387"/>
    <n v="62.031335126814952"/>
    <s v="2. Riesgo (&gt;=40 y &lt;60)"/>
    <s v="2. Riesgo (&gt;=40 y &lt;60)"/>
    <s v="2. Riesgo (&gt;=40 y &lt;60)"/>
    <s v="3. Vulnerable (&gt;=60 y &lt;70)"/>
    <n v="38.209125"/>
    <n v="54.306294593045415"/>
    <n v="46.257709796522704"/>
    <n v="46.993221274449418"/>
    <x v="1"/>
    <n v="53.006778725550582"/>
    <n v="0.9741882058902549"/>
    <n v="45.063715315266521"/>
    <n v="0.39307356511866365"/>
    <n v="3"/>
    <b v="0"/>
    <n v="-1"/>
    <n v="0.97428046393498691"/>
    <n v="45.067982961126127"/>
    <n v="0.3714316550600717"/>
    <n v="3"/>
    <b v="0"/>
    <n v="-1"/>
    <n v="46.993221274449418"/>
    <x v="2"/>
    <n v="53.006778725550582"/>
    <n v="0.94927242218174535"/>
    <n v="43.911168223125358"/>
    <n v="0.38769666198743519"/>
    <n v="3"/>
    <b v="0"/>
    <n v="-1"/>
    <n v="0.1059584137355452"/>
    <n v="4.9013935530787345"/>
    <n v="0.29257407945655944"/>
    <n v="3"/>
  </r>
  <r>
    <n v="15861"/>
    <s v="15861"/>
    <s v="15"/>
    <s v="COLOMBIA"/>
    <s v="BOYACÁ"/>
    <s v="VENTAQUEMADA"/>
    <x v="4"/>
    <n v="0"/>
    <n v="0"/>
    <n v="0"/>
    <n v="58.24"/>
    <n v="63.345100000000002"/>
    <n v="70.48"/>
    <n v="60.24"/>
    <n v="61.635831257058392"/>
    <n v="57.312116511760166"/>
    <n v="53.306212333735957"/>
    <n v="64.442979133234104"/>
    <s v="3. Vulnerable (&gt;=60 y &lt;70)"/>
    <s v="2. Riesgo (&gt;=40 y &lt;60)"/>
    <s v="2. Riesgo (&gt;=40 y &lt;60)"/>
    <s v="3. Vulnerable (&gt;=60 y &lt;70)"/>
    <n v="63.07627500000001"/>
    <n v="59.174284808947156"/>
    <n v="61.125279904473587"/>
    <n v="47.070748865072176"/>
    <x v="1"/>
    <n v="52.929251134927824"/>
    <n v="0.9741882058902549"/>
    <n v="59.547526764678771"/>
    <n v="0.57425077897445453"/>
    <n v="2"/>
    <b v="1"/>
    <n v="0"/>
    <n v="0.97428046393498691"/>
    <n v="59.553166063486458"/>
    <n v="0.5426265466704786"/>
    <n v="2"/>
    <b v="1"/>
    <n v="0"/>
    <n v="47.070748865072176"/>
    <x v="2"/>
    <n v="52.929251134927824"/>
    <n v="0.94927242218174535"/>
    <n v="58.024542511456808"/>
    <n v="0.56796865273623842"/>
    <n v="2"/>
    <b v="1"/>
    <n v="0"/>
    <n v="0.10580343920736912"/>
    <n v="6.4672648364063923"/>
    <n v="0.38604409860637479"/>
    <n v="2"/>
  </r>
  <r>
    <n v="52693"/>
    <s v="52693"/>
    <s v="52"/>
    <s v="COLOMBIA"/>
    <s v="NARIÑO"/>
    <s v="SAN PABLO"/>
    <x v="4"/>
    <n v="0"/>
    <n v="0"/>
    <n v="0"/>
    <n v="44.34"/>
    <n v="48.950433333333301"/>
    <n v="52.01"/>
    <n v="46.03"/>
    <n v="61.825392698889466"/>
    <n v="50.426446705114635"/>
    <n v="60.400752525431358"/>
    <n v="64.387250776283878"/>
    <s v="3. Vulnerable (&gt;=60 y &lt;70)"/>
    <s v="2. Riesgo (&gt;=40 y &lt;60)"/>
    <s v="3. Vulnerable (&gt;=60 y &lt;70)"/>
    <s v="3. Vulnerable (&gt;=60 y &lt;70)"/>
    <n v="47.832608333333326"/>
    <n v="59.259960676429834"/>
    <n v="53.546284504881584"/>
    <n v="47.034334495734974"/>
    <x v="1"/>
    <n v="52.965665504265026"/>
    <n v="0.9741882058902549"/>
    <n v="52.164158833899748"/>
    <n v="0.48189262896380786"/>
    <n v="2"/>
    <b v="1"/>
    <n v="0"/>
    <n v="0.97428046393498691"/>
    <n v="52.169098909410828"/>
    <n v="0.45535705431038836"/>
    <n v="3"/>
    <b v="0"/>
    <n v="1"/>
    <n v="47.034334495734974"/>
    <x v="2"/>
    <n v="52.965665504265026"/>
    <n v="0.94927242218174535"/>
    <n v="50.830011190781796"/>
    <n v="0.47607195551940051"/>
    <n v="3"/>
    <b v="0"/>
    <n v="1"/>
    <n v="0.1058762300636505"/>
    <n v="5.6692787372925268"/>
    <n v="0.33841069683215502"/>
    <n v="3"/>
  </r>
  <r>
    <n v="15693"/>
    <s v="15693"/>
    <s v="15"/>
    <s v="COLOMBIA"/>
    <s v="BOYACÁ"/>
    <s v="SANTA ROSA DE VITERBO"/>
    <x v="4"/>
    <n v="0"/>
    <n v="0"/>
    <n v="0"/>
    <n v="63.85"/>
    <n v="62.690266666666702"/>
    <n v="25.72"/>
    <n v="24.6"/>
    <n v="74.512308402317231"/>
    <n v="50.162956171510814"/>
    <n v="63.950722223777049"/>
    <n v="59.306883190706891"/>
    <s v="4. Solvente (&gt;=70 y &lt;80)"/>
    <s v="2. Riesgo (&gt;=40 y &lt;60)"/>
    <s v="3. Vulnerable (&gt;=60 y &lt;70)"/>
    <s v="2. Riesgo (&gt;=40 y &lt;60)"/>
    <n v="44.215066666666672"/>
    <n v="61.983217497077995"/>
    <n v="53.09914208187233"/>
    <n v="46.927685588358116"/>
    <x v="1"/>
    <n v="53.072314411641884"/>
    <n v="0.9741882058902549"/>
    <n v="51.728557959050939"/>
    <n v="0.47644372118605194"/>
    <n v="3"/>
    <b v="0"/>
    <n v="1"/>
    <n v="0.97428046393498691"/>
    <n v="51.73345678207636"/>
    <n v="0.4502083650433677"/>
    <n v="3"/>
    <b v="0"/>
    <n v="1"/>
    <n v="46.927685588358116"/>
    <x v="2"/>
    <n v="53.072314411641884"/>
    <n v="0.94927242218174535"/>
    <n v="50.405551219831594"/>
    <n v="0.47065027234193135"/>
    <n v="3"/>
    <b v="0"/>
    <n v="1"/>
    <n v="0.10608941693000942"/>
    <n v="5.6332570229495618"/>
    <n v="0.33626048795784003"/>
    <n v="3"/>
  </r>
  <r>
    <n v="5761"/>
    <s v="05761"/>
    <s v="50"/>
    <s v="COLOMBIA"/>
    <s v="ANTIOQUIA"/>
    <s v="SOPETRÁN"/>
    <x v="4"/>
    <n v="0"/>
    <n v="0"/>
    <n v="0"/>
    <n v="42.87"/>
    <n v="48.732066666666697"/>
    <n v="58.45"/>
    <n v="63.1"/>
    <n v="51.649869241225247"/>
    <n v="56.477086388725731"/>
    <n v="55.74891660288062"/>
    <n v="68.983917638564165"/>
    <s v="2. Riesgo (&gt;=40 y &lt;60)"/>
    <s v="2. Riesgo (&gt;=40 y &lt;60)"/>
    <s v="2. Riesgo (&gt;=40 y &lt;60)"/>
    <s v="3. Vulnerable (&gt;=60 y &lt;70)"/>
    <n v="53.288016666666671"/>
    <n v="58.214947467848944"/>
    <n v="55.751482067257811"/>
    <n v="47.082380354043465"/>
    <x v="1"/>
    <n v="52.917619645956535"/>
    <n v="0.9741882058902549"/>
    <n v="54.312436290824607"/>
    <n v="0.50876531545204873"/>
    <n v="2"/>
    <b v="1"/>
    <n v="0"/>
    <n v="0.97428046393498691"/>
    <n v="54.317579813551042"/>
    <n v="0.48074913619932075"/>
    <n v="2"/>
    <b v="1"/>
    <n v="0"/>
    <n v="47.082380354043465"/>
    <x v="2"/>
    <n v="52.917619645956535"/>
    <n v="0.94927242218174535"/>
    <n v="52.923344422207961"/>
    <n v="0.5028103769075315"/>
    <n v="2"/>
    <b v="1"/>
    <n v="0"/>
    <n v="0.10578018832983209"/>
    <n v="5.8974022727417879"/>
    <n v="0.35202785135436632"/>
    <n v="3"/>
  </r>
  <r>
    <n v="52317"/>
    <s v="52317"/>
    <s v="52"/>
    <s v="COLOMBIA"/>
    <s v="NARIÑO"/>
    <s v="GUACHUCAL"/>
    <x v="4"/>
    <n v="0"/>
    <n v="0"/>
    <n v="0"/>
    <n v="59.43"/>
    <n v="63.007599999999996"/>
    <n v="56.93"/>
    <n v="53.55"/>
    <n v="51.402110521608392"/>
    <n v="40.90777702062362"/>
    <n v="41.65128939562112"/>
    <n v="50.59495313975625"/>
    <s v="2. Riesgo (&gt;=40 y &lt;60)"/>
    <s v="2. Riesgo (&gt;=40 y &lt;60)"/>
    <s v="2. Riesgo (&gt;=40 y &lt;60)"/>
    <s v="2. Riesgo (&gt;=40 y &lt;60)"/>
    <n v="58.229399999999998"/>
    <n v="46.139032519402349"/>
    <n v="52.184216259701174"/>
    <n v="47.107880500648832"/>
    <x v="1"/>
    <n v="52.892119499351168"/>
    <n v="0.9741882058902549"/>
    <n v="50.837248013827356"/>
    <n v="0.46529437330054635"/>
    <n v="3"/>
    <b v="0"/>
    <n v="1"/>
    <n v="0.97428046393498691"/>
    <n v="50.842062427585347"/>
    <n v="0.43967331285791406"/>
    <n v="3"/>
    <b v="0"/>
    <n v="1"/>
    <n v="47.107880500648832"/>
    <x v="2"/>
    <n v="52.892119499351168"/>
    <n v="0.94927242218174535"/>
    <n v="49.537037368502553"/>
    <n v="0.45955663039824374"/>
    <n v="3"/>
    <b v="0"/>
    <n v="1"/>
    <n v="0.10572921456479124"/>
    <n v="5.5173961978174137"/>
    <n v="0.32934452132691666"/>
    <n v="3"/>
  </r>
  <r>
    <n v="52203"/>
    <s v="52203"/>
    <s v="52"/>
    <s v="COLOMBIA"/>
    <s v="NARIÑO"/>
    <s v="COLÓN"/>
    <x v="5"/>
    <n v="0"/>
    <n v="0"/>
    <n v="0"/>
    <n v="54.85"/>
    <n v="58.852233333333302"/>
    <n v="52.12"/>
    <n v="61.8"/>
    <n v="55.05461437713295"/>
    <n v="55.872185967056637"/>
    <n v="55.872887421747208"/>
    <n v="51.478173350468893"/>
    <s v="2. Riesgo (&gt;=40 y &lt;60)"/>
    <s v="2. Riesgo (&gt;=40 y &lt;60)"/>
    <s v="2. Riesgo (&gt;=40 y &lt;60)"/>
    <s v="2. Riesgo (&gt;=40 y &lt;60)"/>
    <n v="56.905558333333332"/>
    <n v="54.569465279101422"/>
    <n v="55.737511806217377"/>
    <n v="47.144279844402618"/>
    <x v="1"/>
    <n v="52.855720155597382"/>
    <n v="0.9741882058902549"/>
    <n v="54.298826627285806"/>
    <n v="0.50859507290711592"/>
    <n v="2"/>
    <b v="0"/>
    <n v="-1"/>
    <n v="0.97428046393498691"/>
    <n v="54.303968861143275"/>
    <n v="0.4805882735091016"/>
    <n v="2"/>
    <b v="0"/>
    <n v="-1"/>
    <n v="47.144279844402618"/>
    <x v="2"/>
    <n v="52.855720155597382"/>
    <n v="0.94927242218174535"/>
    <n v="52.910082838671599"/>
    <n v="0.50264098495237319"/>
    <n v="2"/>
    <b v="0"/>
    <n v="-1"/>
    <n v="0.10565645374404538"/>
    <n v="5.8890278379617893"/>
    <n v="0.35152796443033263"/>
    <n v="3"/>
  </r>
  <r>
    <n v="13244"/>
    <s v="13244"/>
    <s v="13"/>
    <s v="COLOMBIA"/>
    <s v="BOLÍVAR"/>
    <s v="EL CARMEN DE BOLÍVAR"/>
    <x v="5"/>
    <n v="0"/>
    <n v="0"/>
    <n v="1"/>
    <n v="60.43"/>
    <n v="62.640599999999999"/>
    <n v="51.48"/>
    <n v="55.22"/>
    <n v="43.105107756498327"/>
    <n v="59.485243782753926"/>
    <n v="55.542711740519124"/>
    <n v="55.376619661532118"/>
    <s v="2. Riesgo (&gt;=40 y &lt;60)"/>
    <s v="2. Riesgo (&gt;=40 y &lt;60)"/>
    <s v="2. Riesgo (&gt;=40 y &lt;60)"/>
    <s v="2. Riesgo (&gt;=40 y &lt;60)"/>
    <n v="57.44265"/>
    <n v="53.37742073532587"/>
    <n v="55.410035367662935"/>
    <n v="47.175958439126291"/>
    <x v="1"/>
    <n v="52.824041560873709"/>
    <n v="0.9741882058902549"/>
    <n v="53.979802943139127"/>
    <n v="0.50460442290110175"/>
    <n v="2"/>
    <b v="0"/>
    <n v="-1"/>
    <n v="0.97428046393498691"/>
    <n v="53.984914964660675"/>
    <n v="0.47681749637496124"/>
    <n v="2"/>
    <b v="0"/>
    <n v="-1"/>
    <n v="47.175958439126291"/>
    <x v="2"/>
    <n v="52.824041560873709"/>
    <n v="0.94927242218174535"/>
    <n v="52.599218486637568"/>
    <n v="0.49867027359383265"/>
    <n v="2"/>
    <b v="0"/>
    <n v="-1"/>
    <n v="0.10559312951029651"/>
    <n v="5.8509190407477423"/>
    <n v="0.34925317336461764"/>
    <n v="3"/>
  </r>
  <r>
    <n v="25736"/>
    <s v="25736"/>
    <s v="25"/>
    <s v="COLOMBIA"/>
    <s v="CUNDINAMARCA"/>
    <s v="SESQUILÉ"/>
    <x v="0"/>
    <n v="0"/>
    <n v="0"/>
    <n v="0"/>
    <n v="66.48"/>
    <n v="69.034099999999995"/>
    <n v="66.02"/>
    <n v="68.95"/>
    <n v="64.600187141557583"/>
    <n v="70.979070386584652"/>
    <n v="64.298228272229011"/>
    <n v="59.997746798796825"/>
    <s v="3. Vulnerable (&gt;=60 y &lt;70)"/>
    <s v="4. Solvente (&gt;=70 y &lt;80)"/>
    <s v="3. Vulnerable (&gt;=60 y &lt;70)"/>
    <s v="2. Riesgo (&gt;=40 y &lt;60)"/>
    <n v="67.621024999999989"/>
    <n v="64.968808149792025"/>
    <n v="66.294916574896007"/>
    <n v="47.429786544558638"/>
    <x v="1"/>
    <n v="52.570213455441362"/>
    <n v="0.9741882058902549"/>
    <n v="64.583725837742065"/>
    <n v="0.63724832072426463"/>
    <n v="2"/>
    <b v="0"/>
    <n v="1"/>
    <n v="0.97428046393498691"/>
    <n v="64.589842077120935"/>
    <n v="0.60215311241270864"/>
    <n v="2"/>
    <b v="0"/>
    <n v="1"/>
    <n v="47.429786544558638"/>
    <x v="2"/>
    <n v="52.570213455441362"/>
    <n v="0.94927242218174535"/>
    <n v="62.931936035388269"/>
    <n v="0.63065143729742779"/>
    <n v="2"/>
    <b v="0"/>
    <n v="1"/>
    <n v="0.10508573736046668"/>
    <n v="6.9666501915235717"/>
    <n v="0.41585341895277317"/>
    <n v="2"/>
  </r>
  <r>
    <n v="15494"/>
    <s v="15494"/>
    <s v="15"/>
    <s v="COLOMBIA"/>
    <s v="BOYACÁ"/>
    <s v="NUEVO COLÓN"/>
    <x v="4"/>
    <n v="0"/>
    <n v="0"/>
    <n v="0"/>
    <n v="53.83"/>
    <n v="56.201266666666697"/>
    <n v="49.83"/>
    <n v="46.67"/>
    <n v="47.739461470825191"/>
    <n v="44.59112685588147"/>
    <n v="56.202164036477313"/>
    <n v="58.77669754110088"/>
    <s v="2. Riesgo (&gt;=40 y &lt;60)"/>
    <s v="2. Riesgo (&gt;=40 y &lt;60)"/>
    <s v="2. Riesgo (&gt;=40 y &lt;60)"/>
    <s v="2. Riesgo (&gt;=40 y &lt;60)"/>
    <n v="51.63281666666667"/>
    <n v="51.827362476071215"/>
    <n v="51.730089571368943"/>
    <n v="47.376508914916386"/>
    <x v="1"/>
    <n v="52.623491085083614"/>
    <n v="0.9741882058902549"/>
    <n v="50.394843150074095"/>
    <n v="0.45976035479367611"/>
    <n v="3"/>
    <b v="0"/>
    <n v="1"/>
    <n v="0.97428046393498691"/>
    <n v="50.399615666991764"/>
    <n v="0.43444420220822871"/>
    <n v="3"/>
    <b v="0"/>
    <n v="1"/>
    <n v="47.376508914916386"/>
    <x v="2"/>
    <n v="52.623491085083614"/>
    <n v="0.94927242218174535"/>
    <n v="49.10594742709204"/>
    <n v="0.45405026173386914"/>
    <n v="3"/>
    <b v="0"/>
    <n v="1"/>
    <n v="0.10519223719426551"/>
    <n v="5.4416038522720429"/>
    <n v="0.32482032316007864"/>
    <n v="3"/>
  </r>
  <r>
    <n v="76113"/>
    <s v="76113"/>
    <s v="76"/>
    <s v="COLOMBIA"/>
    <s v="VALLE DEL CAUCA"/>
    <s v="BUGALAGRANDE"/>
    <x v="4"/>
    <n v="0"/>
    <n v="0"/>
    <n v="0"/>
    <n v="64.75"/>
    <n v="64.996366666666702"/>
    <n v="56.31"/>
    <n v="58.43"/>
    <n v="63.694739777291346"/>
    <n v="47.996785647031437"/>
    <n v="60.41250921115703"/>
    <n v="66.507256385963487"/>
    <s v="3. Vulnerable (&gt;=60 y &lt;70)"/>
    <s v="2. Riesgo (&gt;=40 y &lt;60)"/>
    <s v="3. Vulnerable (&gt;=60 y &lt;70)"/>
    <s v="3. Vulnerable (&gt;=60 y &lt;70)"/>
    <n v="61.121591666666674"/>
    <n v="59.65282275536083"/>
    <n v="60.387207211013752"/>
    <n v="47.288853149040769"/>
    <x v="1"/>
    <n v="52.711146850959231"/>
    <n v="0.9741882058902549"/>
    <n v="58.828505051620553"/>
    <n v="0.56525657526442274"/>
    <n v="2"/>
    <b v="1"/>
    <n v="0"/>
    <n v="0.97428046393498691"/>
    <n v="58.834076257284664"/>
    <n v="0.5341278966664752"/>
    <n v="2"/>
    <b v="1"/>
    <n v="0"/>
    <n v="47.288853149040769"/>
    <x v="2"/>
    <n v="52.711146850959231"/>
    <n v="0.94927242218174535"/>
    <n v="57.323910457989982"/>
    <n v="0.55901938713323429"/>
    <n v="2"/>
    <b v="1"/>
    <n v="0"/>
    <n v="0.10536745753646069"/>
    <n v="6.3628464915519443"/>
    <n v="0.37981115673110383"/>
    <n v="2"/>
  </r>
  <r>
    <n v="19212"/>
    <s v="19212"/>
    <s v="19"/>
    <s v="COLOMBIA"/>
    <s v="CAUCA"/>
    <s v="CORINTO"/>
    <x v="5"/>
    <n v="0"/>
    <n v="0"/>
    <n v="1"/>
    <n v="45.02"/>
    <n v="53.8618666666667"/>
    <n v="39.630000000000003"/>
    <n v="52.38"/>
    <n v="53.549434692451115"/>
    <n v="57.423622353774249"/>
    <n v="58.252749855900092"/>
    <n v="54.925216053912706"/>
    <s v="2. Riesgo (&gt;=40 y &lt;60)"/>
    <s v="2. Riesgo (&gt;=40 y &lt;60)"/>
    <s v="2. Riesgo (&gt;=40 y &lt;60)"/>
    <s v="2. Riesgo (&gt;=40 y &lt;60)"/>
    <n v="47.722966666666672"/>
    <n v="56.03775573900954"/>
    <n v="51.880361202838102"/>
    <n v="47.171593349742267"/>
    <x v="1"/>
    <n v="52.828406650257733"/>
    <n v="0.9741882058902549"/>
    <n v="50.541236001131239"/>
    <n v="0.46159157504779058"/>
    <n v="3"/>
    <b v="1"/>
    <n v="0"/>
    <n v="0.97428046393498691"/>
    <n v="50.546022381815803"/>
    <n v="0.43617452770692766"/>
    <n v="3"/>
    <b v="1"/>
    <n v="0"/>
    <n v="47.171593349742267"/>
    <x v="2"/>
    <n v="52.828406650257733"/>
    <n v="0.94927242218174535"/>
    <n v="49.248596142681976"/>
    <n v="0.45587233258750037"/>
    <n v="3"/>
    <b v="1"/>
    <n v="0"/>
    <n v="0.10560185514799916"/>
    <n v="5.4786623887679848"/>
    <n v="0.3270324220425479"/>
    <n v="3"/>
  </r>
  <r>
    <n v="25053"/>
    <s v="25053"/>
    <s v="25"/>
    <s v="COLOMBIA"/>
    <s v="CUNDINAMARCA"/>
    <s v="ARBELÁEZ"/>
    <x v="4"/>
    <n v="0"/>
    <n v="0"/>
    <n v="0"/>
    <n v="60.5"/>
    <n v="60.577933333333299"/>
    <n v="43.53"/>
    <n v="40.53"/>
    <n v="53.089450598979354"/>
    <n v="47.65363065781473"/>
    <n v="61.329483955013416"/>
    <n v="62.313998730355877"/>
    <s v="2. Riesgo (&gt;=40 y &lt;60)"/>
    <s v="2. Riesgo (&gt;=40 y &lt;60)"/>
    <s v="3. Vulnerable (&gt;=60 y &lt;70)"/>
    <s v="3. Vulnerable (&gt;=60 y &lt;70)"/>
    <n v="51.284483333333327"/>
    <n v="56.096640985540844"/>
    <n v="53.690562159437086"/>
    <n v="47.413951180002414"/>
    <x v="1"/>
    <n v="52.586048819997586"/>
    <n v="0.9741882058902549"/>
    <n v="52.304712423341222"/>
    <n v="0.48365080621027223"/>
    <n v="2"/>
    <b v="1"/>
    <n v="0"/>
    <n v="0.97428046393498691"/>
    <n v="52.309665809626615"/>
    <n v="0.4570183612525513"/>
    <n v="3"/>
    <b v="0"/>
    <n v="1"/>
    <n v="47.413951180002414"/>
    <x v="2"/>
    <n v="52.586048819997586"/>
    <n v="0.94927242218174535"/>
    <n v="50.966969989388403"/>
    <n v="0.47782134831314155"/>
    <n v="3"/>
    <b v="0"/>
    <n v="1"/>
    <n v="0.10511739161582126"/>
    <n v="5.6438118485871422"/>
    <n v="0.33689052681542164"/>
    <n v="3"/>
  </r>
  <r>
    <n v="76736"/>
    <s v="76736"/>
    <s v="76"/>
    <s v="COLOMBIA"/>
    <s v="VALLE DEL CAUCA"/>
    <s v="SEVILLA"/>
    <x v="4"/>
    <n v="0"/>
    <n v="0"/>
    <n v="0"/>
    <n v="74.959999999999994"/>
    <n v="76.189666666666696"/>
    <n v="70.98"/>
    <n v="68.36"/>
    <n v="53.3751590677401"/>
    <n v="45.684663929056157"/>
    <n v="52.109492208063521"/>
    <n v="56.128674047872984"/>
    <s v="2. Riesgo (&gt;=40 y &lt;60)"/>
    <s v="2. Riesgo (&gt;=40 y &lt;60)"/>
    <s v="2. Riesgo (&gt;=40 y &lt;60)"/>
    <s v="2. Riesgo (&gt;=40 y &lt;60)"/>
    <n v="72.62241666666668"/>
    <n v="51.824497313183187"/>
    <n v="62.223456989924934"/>
    <n v="47.402611029485293"/>
    <x v="1"/>
    <n v="52.597388970514707"/>
    <n v="0.9741882058902549"/>
    <n v="60.617357929304411"/>
    <n v="0.58763323913557708"/>
    <n v="2"/>
    <b v="1"/>
    <n v="0"/>
    <n v="0.97428046393498691"/>
    <n v="60.623098543782767"/>
    <n v="0.55527167332855543"/>
    <n v="2"/>
    <b v="1"/>
    <n v="0"/>
    <n v="47.402611029485293"/>
    <x v="2"/>
    <n v="52.597388970514707"/>
    <n v="0.94927242218174535"/>
    <n v="59.067011733347698"/>
    <n v="0.58128424956555236"/>
    <n v="2"/>
    <b v="1"/>
    <n v="0"/>
    <n v="0.10514006011953353"/>
    <n v="6.5421780087659167"/>
    <n v="0.39051581715027567"/>
    <n v="2"/>
  </r>
  <r>
    <n v="68549"/>
    <s v="68549"/>
    <s v="68"/>
    <s v="COLOMBIA"/>
    <s v="SANTANDER"/>
    <s v="PINCHOTE"/>
    <x v="4"/>
    <n v="0"/>
    <n v="0"/>
    <n v="0"/>
    <n v="56.64"/>
    <n v="64.627833333333299"/>
    <n v="64.05"/>
    <n v="64.72"/>
    <n v="58.040401511036009"/>
    <n v="41.998670618969534"/>
    <n v="68.674710229324788"/>
    <n v="66.791193942653166"/>
    <s v="2. Riesgo (&gt;=40 y &lt;60)"/>
    <s v="2. Riesgo (&gt;=40 y &lt;60)"/>
    <s v="3. Vulnerable (&gt;=60 y &lt;70)"/>
    <s v="3. Vulnerable (&gt;=60 y &lt;70)"/>
    <n v="62.50945833333332"/>
    <n v="58.876244075495869"/>
    <n v="60.692851204414595"/>
    <n v="46.961036996780372"/>
    <x v="1"/>
    <n v="53.038963003219628"/>
    <n v="0.9741882058902549"/>
    <n v="59.126259825192854"/>
    <n v="0.56898117361869638"/>
    <n v="2"/>
    <b v="1"/>
    <n v="0"/>
    <n v="0.97428046393498691"/>
    <n v="59.131859228974179"/>
    <n v="0.53764728079863056"/>
    <n v="2"/>
    <b v="1"/>
    <n v="0"/>
    <n v="46.961036996780372"/>
    <x v="2"/>
    <n v="53.038963003219628"/>
    <n v="0.94927242218174535"/>
    <n v="57.614049871930902"/>
    <n v="0.56272537612475881"/>
    <n v="2"/>
    <b v="1"/>
    <n v="0"/>
    <n v="0.10602274880911558"/>
    <n v="6.4348229177546763"/>
    <n v="0.3841075749662014"/>
    <n v="2"/>
  </r>
  <r>
    <n v="52694"/>
    <s v="52694"/>
    <s v="52"/>
    <s v="COLOMBIA"/>
    <s v="NARIÑO"/>
    <s v="SAN PEDRO DE CARTAGO"/>
    <x v="5"/>
    <n v="0"/>
    <n v="0"/>
    <n v="0"/>
    <n v="60.92"/>
    <n v="62.288866666666699"/>
    <n v="48.64"/>
    <n v="47.64"/>
    <n v="65.883067647981846"/>
    <n v="60.538787884747599"/>
    <n v="50.86928359783392"/>
    <n v="71.101944013050357"/>
    <s v="3. Vulnerable (&gt;=60 y &lt;70)"/>
    <s v="3. Vulnerable (&gt;=60 y &lt;70)"/>
    <s v="2. Riesgo (&gt;=40 y &lt;60)"/>
    <s v="4. Solvente (&gt;=70 y &lt;80)"/>
    <n v="54.872216666666674"/>
    <n v="62.098270785903424"/>
    <n v="58.485243726285049"/>
    <n v="47.377202655837451"/>
    <x v="1"/>
    <n v="52.622797344162549"/>
    <n v="0.9741882058902549"/>
    <n v="56.975634656763916"/>
    <n v="0.54207911973426059"/>
    <n v="2"/>
    <b v="0"/>
    <n v="-1"/>
    <n v="0.97428046393498691"/>
    <n v="56.981030390995777"/>
    <n v="0.51222744956914124"/>
    <n v="2"/>
    <b v="0"/>
    <n v="-1"/>
    <n v="47.377202655837451"/>
    <x v="2"/>
    <n v="52.622797344162549"/>
    <n v="0.94927242218174535"/>
    <n v="55.518428973940331"/>
    <n v="0.53595773406995306"/>
    <n v="2"/>
    <b v="0"/>
    <n v="-1"/>
    <n v="0.10519085043413207"/>
    <n v="6.1521125254154114"/>
    <n v="0.36723202071908168"/>
    <n v="3"/>
  </r>
  <r>
    <n v="41615"/>
    <s v="41615"/>
    <s v="41"/>
    <s v="COLOMBIA"/>
    <s v="HUILA"/>
    <s v="RIVERA"/>
    <x v="4"/>
    <n v="0"/>
    <n v="0"/>
    <n v="0"/>
    <n v="67.86"/>
    <n v="69.2453"/>
    <n v="59.6"/>
    <n v="64.489999999999995"/>
    <n v="60.306531312636722"/>
    <n v="55.46594442428335"/>
    <n v="61.551287188714909"/>
    <n v="63.028907415208337"/>
    <s v="3. Vulnerable (&gt;=60 y &lt;70)"/>
    <s v="2. Riesgo (&gt;=40 y &lt;60)"/>
    <s v="3. Vulnerable (&gt;=60 y &lt;70)"/>
    <s v="3. Vulnerable (&gt;=60 y &lt;70)"/>
    <n v="65.298824999999994"/>
    <n v="60.088167585210826"/>
    <n v="62.69349629260541"/>
    <n v="47.523642633817744"/>
    <x v="1"/>
    <n v="52.476357366182256"/>
    <n v="0.9741882058902549"/>
    <n v="61.075264674280611"/>
    <n v="0.59336116983602327"/>
    <n v="2"/>
    <b v="1"/>
    <n v="0"/>
    <n v="0.97428046393498691"/>
    <n v="61.081048653665981"/>
    <n v="0.56068401219030284"/>
    <n v="2"/>
    <b v="1"/>
    <n v="0"/>
    <n v="47.523642633817744"/>
    <x v="2"/>
    <n v="52.476357366182256"/>
    <n v="0.94927242218174535"/>
    <n v="59.513207080723809"/>
    <n v="0.58698356157209697"/>
    <n v="2"/>
    <b v="1"/>
    <n v="0"/>
    <n v="0.10489812282179027"/>
    <n v="6.576430074229175"/>
    <n v="0.39256039210918792"/>
    <n v="2"/>
  </r>
  <r>
    <n v="66045"/>
    <s v="66045"/>
    <s v="66"/>
    <s v="COLOMBIA"/>
    <s v="RISARALDA"/>
    <s v="APÍA"/>
    <x v="4"/>
    <n v="0"/>
    <n v="0"/>
    <n v="0"/>
    <n v="59.27"/>
    <n v="60.474566666666703"/>
    <n v="54.47"/>
    <n v="52.93"/>
    <n v="58.958293153529574"/>
    <n v="57.818707727933301"/>
    <n v="54.1835884650827"/>
    <n v="55.537399162111342"/>
    <s v="2. Riesgo (&gt;=40 y &lt;60)"/>
    <s v="2. Riesgo (&gt;=40 y &lt;60)"/>
    <s v="2. Riesgo (&gt;=40 y &lt;60)"/>
    <s v="2. Riesgo (&gt;=40 y &lt;60)"/>
    <n v="56.78614166666668"/>
    <n v="56.624497127164226"/>
    <n v="56.705319396915456"/>
    <n v="47.536550358046377"/>
    <x v="1"/>
    <n v="52.463449641953623"/>
    <n v="0.9741882058902549"/>
    <n v="55.241653367714939"/>
    <n v="0.52038884159682219"/>
    <n v="2"/>
    <b v="1"/>
    <n v="0"/>
    <n v="0.97428046393498691"/>
    <n v="55.246884889608403"/>
    <n v="0.49173224084110584"/>
    <n v="2"/>
    <b v="1"/>
    <n v="0"/>
    <n v="47.536550358046377"/>
    <x v="2"/>
    <n v="52.463449641953623"/>
    <n v="0.94927242218174535"/>
    <n v="53.828795894499443"/>
    <n v="0.51437582795430015"/>
    <n v="2"/>
    <b v="1"/>
    <n v="0"/>
    <n v="0.10487232080142449"/>
    <n v="5.9468184469405561"/>
    <n v="0.35497760258733718"/>
    <n v="3"/>
  </r>
  <r>
    <n v="63111"/>
    <s v="63111"/>
    <s v="63"/>
    <s v="COLOMBIA"/>
    <s v="QUINDÍO"/>
    <s v="BUENAVISTA"/>
    <x v="4"/>
    <n v="0"/>
    <n v="0"/>
    <n v="0"/>
    <n v="51.49"/>
    <n v="53.2383666666667"/>
    <n v="43.94"/>
    <n v="48.35"/>
    <n v="54.421301193967722"/>
    <n v="47.922091718936471"/>
    <n v="42.304750870841332"/>
    <n v="50.524331908697121"/>
    <s v="2. Riesgo (&gt;=40 y &lt;60)"/>
    <s v="2. Riesgo (&gt;=40 y &lt;60)"/>
    <s v="2. Riesgo (&gt;=40 y &lt;60)"/>
    <s v="2. Riesgo (&gt;=40 y &lt;60)"/>
    <n v="49.254591666666677"/>
    <n v="48.793118923110661"/>
    <n v="49.023855294888669"/>
    <n v="47.726349969334301"/>
    <x v="1"/>
    <n v="52.273650030665699"/>
    <n v="0.9741882058902549"/>
    <n v="47.758461635551065"/>
    <n v="0.42678200105505598"/>
    <n v="3"/>
    <b v="0"/>
    <n v="1"/>
    <n v="0.97428046393498691"/>
    <n v="47.7629844805858"/>
    <n v="0.4032828570610047"/>
    <n v="3"/>
    <b v="0"/>
    <n v="1"/>
    <n v="47.726349969334301"/>
    <x v="2"/>
    <n v="52.273650030665699"/>
    <n v="0.94927242218174535"/>
    <n v="46.536993860466346"/>
    <n v="0.42123667908979945"/>
    <n v="3"/>
    <b v="0"/>
    <n v="1"/>
    <n v="0.10449291903011862"/>
    <n v="5.122645741873054"/>
    <n v="0.30578106942038025"/>
    <n v="3"/>
  </r>
  <r>
    <n v="15476"/>
    <s v="15476"/>
    <s v="15"/>
    <s v="COLOMBIA"/>
    <s v="BOYACÁ"/>
    <s v="MOTAVITA"/>
    <x v="4"/>
    <n v="0"/>
    <n v="0"/>
    <n v="0"/>
    <n v="74.72"/>
    <n v="81.145133333333305"/>
    <n v="85.91"/>
    <n v="52.87"/>
    <n v="61.334707670887198"/>
    <n v="62.345935740143879"/>
    <n v="69.586485860265327"/>
    <n v="60.778348465153869"/>
    <s v="3. Vulnerable (&gt;=60 y &lt;70)"/>
    <s v="3. Vulnerable (&gt;=60 y &lt;70)"/>
    <s v="3. Vulnerable (&gt;=60 y &lt;70)"/>
    <s v="3. Vulnerable (&gt;=60 y &lt;70)"/>
    <n v="73.661283333333316"/>
    <n v="63.511369434112567"/>
    <n v="68.586326383722934"/>
    <n v="47.677811125774802"/>
    <x v="1"/>
    <n v="52.322188874225198"/>
    <n v="0.9741882058902549"/>
    <n v="66.815990248362496"/>
    <n v="0.66517159547264315"/>
    <n v="1"/>
    <b v="0"/>
    <n v="-1"/>
    <n v="0.97428046393498691"/>
    <n v="66.822317888730012"/>
    <n v="0.62853789829290874"/>
    <n v="1"/>
    <b v="0"/>
    <n v="-1"/>
    <n v="47.677811125774802"/>
    <x v="2"/>
    <n v="52.322188874225198"/>
    <n v="0.94927242218174535"/>
    <n v="65.107108174824418"/>
    <n v="0.6584351978487003"/>
    <n v="1"/>
    <b v="0"/>
    <n v="-1"/>
    <n v="0.1045899462215794"/>
    <n v="7.1734401880092742"/>
    <n v="0.42819713145156379"/>
    <n v="2"/>
  </r>
  <r>
    <n v="17665"/>
    <s v="17665"/>
    <s v="17"/>
    <s v="COLOMBIA"/>
    <s v="CALDAS"/>
    <s v="SAN JOSÉ"/>
    <x v="4"/>
    <n v="0"/>
    <n v="0"/>
    <n v="0"/>
    <n v="64.14"/>
    <n v="64.395033333333302"/>
    <n v="78.77"/>
    <n v="68.150000000000006"/>
    <n v="47.060452538180016"/>
    <n v="52.361551800967128"/>
    <n v="57.033669354025498"/>
    <n v="57.394112371157277"/>
    <s v="2. Riesgo (&gt;=40 y &lt;60)"/>
    <s v="2. Riesgo (&gt;=40 y &lt;60)"/>
    <s v="2. Riesgo (&gt;=40 y &lt;60)"/>
    <s v="2. Riesgo (&gt;=40 y &lt;60)"/>
    <n v="68.863758333333323"/>
    <n v="53.46244651608248"/>
    <n v="61.163102424707901"/>
    <n v="47.688364096349964"/>
    <x v="1"/>
    <n v="52.311635903650036"/>
    <n v="0.9741882058902549"/>
    <n v="59.58437301780809"/>
    <n v="0.57471168676149054"/>
    <n v="2"/>
    <b v="1"/>
    <n v="0"/>
    <n v="0.97428046393498691"/>
    <n v="59.590015806047539"/>
    <n v="0.54306205981788147"/>
    <n v="2"/>
    <b v="1"/>
    <n v="0"/>
    <n v="47.688364096349964"/>
    <x v="2"/>
    <n v="52.311635903650036"/>
    <n v="0.94927242218174535"/>
    <n v="58.060446386852654"/>
    <n v="0.56842725767088942"/>
    <n v="2"/>
    <b v="1"/>
    <n v="0"/>
    <n v="0.10456885125883639"/>
    <n v="6.3957553599782555"/>
    <n v="0.3817755535463192"/>
    <n v="2"/>
  </r>
  <r>
    <n v="70742"/>
    <s v="70742"/>
    <s v="70"/>
    <s v="COLOMBIA"/>
    <s v="SUCRE"/>
    <s v="SAN LUIS DE SINCÉ"/>
    <x v="5"/>
    <n v="0"/>
    <n v="0"/>
    <n v="0"/>
    <n v="15.13"/>
    <n v="22.172633333333302"/>
    <n v="37.79"/>
    <n v="33.950000000000003"/>
    <n v="58.140119797700578"/>
    <n v="52.030605567363544"/>
    <n v="82.836508552576248"/>
    <n v="56.018003814791761"/>
    <s v="2. Riesgo (&gt;=40 y &lt;60)"/>
    <s v="2. Riesgo (&gt;=40 y &lt;60)"/>
    <s v="5. Sostenible (&gt;=80)"/>
    <s v="2. Riesgo (&gt;=40 y &lt;60)"/>
    <n v="27.260658333333328"/>
    <n v="62.256309433108036"/>
    <n v="44.758483883220684"/>
    <n v="47.641411861136611"/>
    <x v="1"/>
    <n v="52.358588138863389"/>
    <n v="0.9741882058902549"/>
    <n v="43.603187112562651"/>
    <n v="0.37480389684467968"/>
    <n v="3"/>
    <b v="1"/>
    <n v="0"/>
    <n v="0.97428046393498691"/>
    <n v="43.60731644277088"/>
    <n v="0.35416859082942137"/>
    <n v="3"/>
    <b v="1"/>
    <n v="0"/>
    <n v="47.641411861136611"/>
    <x v="2"/>
    <n v="52.358588138863389"/>
    <n v="0.94927242218174535"/>
    <n v="42.487994409007513"/>
    <n v="0.36951827520258912"/>
    <n v="3"/>
    <b v="1"/>
    <n v="0"/>
    <n v="0.10466270688417638"/>
    <n v="4.6845440792496591"/>
    <n v="0.27962989644021519"/>
    <n v="4"/>
  </r>
  <r>
    <n v="52036"/>
    <s v="52036"/>
    <s v="52"/>
    <s v="COLOMBIA"/>
    <s v="NARIÑO"/>
    <s v="ANCUYÁ"/>
    <x v="5"/>
    <n v="0"/>
    <n v="0"/>
    <n v="0"/>
    <n v="62.75"/>
    <n v="57.875866666666703"/>
    <n v="27.44"/>
    <n v="29.55"/>
    <n v="54.310390265027323"/>
    <n v="58.386914359301024"/>
    <n v="41.96085109011787"/>
    <n v="62.453593001270512"/>
    <s v="2. Riesgo (&gt;=40 y &lt;60)"/>
    <s v="2. Riesgo (&gt;=40 y &lt;60)"/>
    <s v="2. Riesgo (&gt;=40 y &lt;60)"/>
    <s v="3. Vulnerable (&gt;=60 y &lt;70)"/>
    <n v="44.403966666666676"/>
    <n v="54.277937178929186"/>
    <n v="49.340951922797927"/>
    <n v="47.612172954101872"/>
    <x v="1"/>
    <n v="52.387827045898128"/>
    <n v="0.9741882058902549"/>
    <n v="48.067373430587836"/>
    <n v="0.43064616198724104"/>
    <n v="3"/>
    <b v="1"/>
    <n v="0"/>
    <n v="0.97428046393498691"/>
    <n v="48.071925530337452"/>
    <n v="0.40693411429071974"/>
    <n v="3"/>
    <b v="1"/>
    <n v="0"/>
    <n v="47.612172954101872"/>
    <x v="2"/>
    <n v="52.387827045898128"/>
    <n v="0.94927242218174535"/>
    <n v="46.838004944507432"/>
    <n v="0.42508153335703203"/>
    <n v="3"/>
    <b v="1"/>
    <n v="0"/>
    <n v="0.10472115428058963"/>
    <n v="5.1670414386584778"/>
    <n v="0.30843113821778773"/>
    <n v="3"/>
  </r>
  <r>
    <n v="8606"/>
    <s v="08606"/>
    <s v="87"/>
    <s v="COLOMBIA"/>
    <s v="ATLÁNTICO"/>
    <s v="REPELÓN"/>
    <x v="5"/>
    <n v="0"/>
    <n v="0"/>
    <n v="0"/>
    <n v="43.15"/>
    <n v="53.815166666666698"/>
    <n v="26.38"/>
    <n v="34.9"/>
    <n v="36.694222663842837"/>
    <n v="39.712173074632332"/>
    <n v="46.358902105358915"/>
    <n v="50.235180460617855"/>
    <s v="1. Deterioro (&lt;40)"/>
    <s v="1. Deterioro (&lt;40)"/>
    <s v="2. Riesgo (&gt;=40 y &lt;60)"/>
    <s v="2. Riesgo (&gt;=40 y &lt;60)"/>
    <n v="39.561291666666676"/>
    <n v="43.250119576112979"/>
    <n v="41.405705621389828"/>
    <n v="47.696206682656943"/>
    <x v="1"/>
    <n v="52.303793317343057"/>
    <n v="0.9741882058902549"/>
    <n v="40.336950072921795"/>
    <n v="0.33394671441714052"/>
    <n v="4"/>
    <b v="0"/>
    <n v="1"/>
    <n v="0.97428046393498691"/>
    <n v="40.340770082363179"/>
    <n v="0.3155625168738051"/>
    <n v="4"/>
    <b v="0"/>
    <n v="1"/>
    <n v="47.696206682656943"/>
    <x v="2"/>
    <n v="52.303793317343057"/>
    <n v="0.94927242218174535"/>
    <n v="39.30529446736103"/>
    <n v="0.32886522918289463"/>
    <n v="4"/>
    <b v="0"/>
    <n v="1"/>
    <n v="0.10455317424497795"/>
    <n v="4.3290979545694341"/>
    <n v="0.25841259944120237"/>
    <n v="4"/>
  </r>
  <r>
    <n v="5209"/>
    <s v="05209"/>
    <s v="50"/>
    <s v="COLOMBIA"/>
    <s v="ANTIOQUIA"/>
    <s v="CONCORDIA"/>
    <x v="4"/>
    <n v="0"/>
    <n v="0"/>
    <n v="0"/>
    <n v="67.08"/>
    <n v="67.549633333333304"/>
    <n v="65.56"/>
    <n v="65.47"/>
    <n v="48.277055576106115"/>
    <n v="40.817729292811926"/>
    <n v="45.642947356700027"/>
    <n v="54.756986592024937"/>
    <s v="2. Riesgo (&gt;=40 y &lt;60)"/>
    <s v="2. Riesgo (&gt;=40 y &lt;60)"/>
    <s v="2. Riesgo (&gt;=40 y &lt;60)"/>
    <s v="2. Riesgo (&gt;=40 y &lt;60)"/>
    <n v="66.414908333333329"/>
    <n v="47.373679704410748"/>
    <n v="56.894294018872039"/>
    <n v="47.63939453868538"/>
    <x v="1"/>
    <n v="52.36060546131462"/>
    <n v="0.9741882058902549"/>
    <n v="55.425750215637613"/>
    <n v="0.52269169910796565"/>
    <n v="2"/>
    <b v="1"/>
    <n v="0"/>
    <n v="0.97428046393498691"/>
    <n v="55.430999171960202"/>
    <n v="0.49390821779551575"/>
    <n v="2"/>
    <b v="1"/>
    <n v="0"/>
    <n v="47.63939453868538"/>
    <x v="2"/>
    <n v="52.36060546131462"/>
    <n v="0.94927242218174535"/>
    <n v="54.008184291615045"/>
    <n v="0.51666717960448649"/>
    <n v="2"/>
    <b v="1"/>
    <n v="0"/>
    <n v="0.10466673943042924"/>
    <n v="5.9549402471515087"/>
    <n v="0.35546240924375372"/>
    <n v="3"/>
  </r>
  <r>
    <n v="25328"/>
    <s v="25328"/>
    <s v="25"/>
    <s v="COLOMBIA"/>
    <s v="CUNDINAMARCA"/>
    <s v="GUAYABAL DE SÍQUIMA"/>
    <x v="4"/>
    <n v="0"/>
    <n v="0"/>
    <n v="0"/>
    <n v="59.55"/>
    <n v="63.3046333333333"/>
    <n v="66.42"/>
    <n v="62.02"/>
    <n v="61.844115155286339"/>
    <n v="67.895948610165604"/>
    <n v="58.880807903162612"/>
    <n v="65.604145749694752"/>
    <s v="3. Vulnerable (&gt;=60 y &lt;70)"/>
    <s v="3. Vulnerable (&gt;=60 y &lt;70)"/>
    <s v="2. Riesgo (&gt;=40 y &lt;60)"/>
    <s v="3. Vulnerable (&gt;=60 y &lt;70)"/>
    <n v="62.823658333333327"/>
    <n v="63.55625435457732"/>
    <n v="63.189956343955323"/>
    <n v="47.956636997790945"/>
    <x v="2"/>
    <n v="52.043363002209055"/>
    <n v="0.81759069605862034"/>
    <n v="51.663520391168262"/>
    <n v="0.47563016976789824"/>
    <n v="3"/>
    <b v="0"/>
    <n v="1"/>
    <n v="0.81759069605862023"/>
    <n v="51.663520391168255"/>
    <n v="0.44938181333349081"/>
    <n v="3"/>
    <b v="0"/>
    <n v="1"/>
    <n v="47.956636997790945"/>
    <x v="2"/>
    <n v="52.043363002209055"/>
    <n v="0.94927242218174535"/>
    <n v="59.984482916185215"/>
    <n v="0.59300322996002264"/>
    <n v="2"/>
    <b v="1"/>
    <n v="0"/>
    <n v="0.10403258454411871"/>
    <n v="6.5738144756917025"/>
    <n v="0.39240426175033349"/>
    <n v="2"/>
  </r>
  <r>
    <n v="66383"/>
    <s v="66383"/>
    <s v="66"/>
    <s v="COLOMBIA"/>
    <s v="RISARALDA"/>
    <s v="LA CELIA"/>
    <x v="5"/>
    <n v="0"/>
    <n v="0"/>
    <n v="0"/>
    <n v="50.5"/>
    <n v="54.124233333333301"/>
    <n v="58.22"/>
    <n v="53.14"/>
    <n v="48.437844040156193"/>
    <n v="52.990977884702296"/>
    <n v="62.569126143334998"/>
    <n v="58.196904263269147"/>
    <s v="2. Riesgo (&gt;=40 y &lt;60)"/>
    <s v="2. Riesgo (&gt;=40 y &lt;60)"/>
    <s v="3. Vulnerable (&gt;=60 y &lt;70)"/>
    <s v="2. Riesgo (&gt;=40 y &lt;60)"/>
    <n v="53.996058333333323"/>
    <n v="55.548713082865653"/>
    <n v="54.772385708099492"/>
    <n v="47.841462580566898"/>
    <x v="1"/>
    <n v="52.158537419433102"/>
    <n v="0.9741882058902549"/>
    <n v="53.358612165302482"/>
    <n v="0.49683398106716575"/>
    <n v="2"/>
    <b v="0"/>
    <n v="-1"/>
    <n v="0.97428046393498691"/>
    <n v="53.363665358513217"/>
    <n v="0.46947518263022908"/>
    <n v="2"/>
    <b v="0"/>
    <n v="-1"/>
    <n v="47.841462580566898"/>
    <x v="2"/>
    <n v="52.158537419433102"/>
    <n v="0.94927242218174535"/>
    <n v="51.993915249800416"/>
    <n v="0.49093865553552435"/>
    <n v="2"/>
    <b v="0"/>
    <n v="-1"/>
    <n v="0.10426281356096129"/>
    <n v="5.7107230393726383"/>
    <n v="0.34088459091931556"/>
    <n v="3"/>
  </r>
  <r>
    <n v="15820"/>
    <s v="15820"/>
    <s v="15"/>
    <s v="COLOMBIA"/>
    <s v="BOYACÁ"/>
    <s v="TÓPAGA"/>
    <x v="4"/>
    <n v="0"/>
    <n v="0"/>
    <n v="0"/>
    <n v="38.72"/>
    <n v="51.3975333333333"/>
    <n v="70.92"/>
    <n v="66.14"/>
    <n v="51.572142663812819"/>
    <n v="51.635402947787142"/>
    <n v="58.05914869996608"/>
    <n v="54.088996887795979"/>
    <s v="2. Riesgo (&gt;=40 y &lt;60)"/>
    <s v="2. Riesgo (&gt;=40 y &lt;60)"/>
    <s v="2. Riesgo (&gt;=40 y &lt;60)"/>
    <s v="2. Riesgo (&gt;=40 y &lt;60)"/>
    <n v="56.794383333333329"/>
    <n v="53.838922799840503"/>
    <n v="55.316653066586916"/>
    <n v="47.792695798992007"/>
    <x v="1"/>
    <n v="52.207304201007993"/>
    <n v="0.9741882058902549"/>
    <n v="53.888831006791975"/>
    <n v="0.5034664598708587"/>
    <n v="2"/>
    <b v="1"/>
    <n v="0"/>
    <n v="0.97428046393498691"/>
    <n v="53.893934413045017"/>
    <n v="0.47574223170192032"/>
    <n v="2"/>
    <b v="1"/>
    <n v="0"/>
    <n v="47.792695798992007"/>
    <x v="2"/>
    <n v="52.207304201007993"/>
    <n v="0.94927242218174535"/>
    <n v="52.510573243506236"/>
    <n v="0.49753799621471512"/>
    <n v="2"/>
    <b v="1"/>
    <n v="0"/>
    <n v="0.10436029639132563"/>
    <n v="5.7728623094051423"/>
    <n v="0.34459380943665796"/>
    <n v="3"/>
  </r>
  <r>
    <n v="47205"/>
    <s v="47205"/>
    <s v="47"/>
    <s v="COLOMBIA"/>
    <s v="MAGDALENA"/>
    <s v="CONCORDIA"/>
    <x v="5"/>
    <n v="0"/>
    <n v="0"/>
    <n v="0"/>
    <n v="67.53"/>
    <n v="71.805599999999998"/>
    <n v="40.89"/>
    <n v="32.130000000000003"/>
    <n v="49.01463155232026"/>
    <n v="41.785665201152433"/>
    <n v="46.600784729039724"/>
    <n v="51.20415134250608"/>
    <s v="2. Riesgo (&gt;=40 y &lt;60)"/>
    <s v="2. Riesgo (&gt;=40 y &lt;60)"/>
    <s v="2. Riesgo (&gt;=40 y &lt;60)"/>
    <s v="2. Riesgo (&gt;=40 y &lt;60)"/>
    <n v="53.088899999999995"/>
    <n v="47.151308206254626"/>
    <n v="50.120104103127311"/>
    <n v="47.906659519993731"/>
    <x v="1"/>
    <n v="52.093340480006269"/>
    <n v="0.9741882058902549"/>
    <n v="48.826414295258395"/>
    <n v="0.44014096309978129"/>
    <n v="3"/>
    <b v="1"/>
    <n v="0"/>
    <n v="0.97428046393498691"/>
    <n v="48.831038278064717"/>
    <n v="0.41590578027857122"/>
    <n v="3"/>
    <b v="1"/>
    <n v="0"/>
    <n v="47.906659519993731"/>
    <x v="2"/>
    <n v="52.093340480006269"/>
    <n v="0.94927242218174535"/>
    <n v="47.577632621976896"/>
    <n v="0.43452889520731408"/>
    <n v="3"/>
    <b v="1"/>
    <n v="0"/>
    <n v="0.10413248750742296"/>
    <n v="5.2191311143896426"/>
    <n v="0.31154047615631408"/>
    <n v="3"/>
  </r>
  <r>
    <n v="25769"/>
    <s v="25769"/>
    <s v="25"/>
    <s v="COLOMBIA"/>
    <s v="CUNDINAMARCA"/>
    <s v="SUBACHOQUE"/>
    <x v="0"/>
    <n v="0"/>
    <n v="0"/>
    <n v="0"/>
    <n v="87.07"/>
    <n v="91.3136333333333"/>
    <n v="82.44"/>
    <n v="74.17"/>
    <n v="62.798338806344589"/>
    <n v="67.688691876790386"/>
    <n v="65.739722945168381"/>
    <n v="67.995238932455891"/>
    <s v="3. Vulnerable (&gt;=60 y &lt;70)"/>
    <s v="3. Vulnerable (&gt;=60 y &lt;70)"/>
    <s v="3. Vulnerable (&gt;=60 y &lt;70)"/>
    <s v="3. Vulnerable (&gt;=60 y &lt;70)"/>
    <n v="83.74840833333333"/>
    <n v="66.055498140189812"/>
    <n v="74.901953236761571"/>
    <n v="48.047881305067989"/>
    <x v="2"/>
    <n v="51.952118694932011"/>
    <n v="0.81759069605862034"/>
    <n v="61.239140082994126"/>
    <n v="0.59541107845806618"/>
    <n v="2"/>
    <b v="0"/>
    <n v="1"/>
    <n v="0.81759069605862023"/>
    <n v="61.239140082994112"/>
    <n v="0.5625524349031612"/>
    <n v="2"/>
    <b v="0"/>
    <n v="1"/>
    <n v="48.047881305067989"/>
    <x v="2"/>
    <n v="51.952118694932011"/>
    <n v="0.94927242218174535"/>
    <n v="71.102358575204477"/>
    <n v="0.73501332173560296"/>
    <n v="1"/>
    <b v="1"/>
    <n v="0"/>
    <n v="0.10385019085233198"/>
    <n v="7.7785821388501342"/>
    <n v="0.46431927657019045"/>
    <n v="2"/>
  </r>
  <r>
    <n v="19780"/>
    <s v="19780"/>
    <s v="19"/>
    <s v="COLOMBIA"/>
    <s v="CAUCA"/>
    <s v="SUÁREZ"/>
    <x v="5"/>
    <n v="0"/>
    <n v="0"/>
    <n v="1"/>
    <n v="50.26"/>
    <n v="49.210566666666701"/>
    <n v="79.89"/>
    <n v="26.42"/>
    <n v="57.067153033336602"/>
    <n v="55.033613691260847"/>
    <n v="57.350608996626889"/>
    <n v="53.082712363078414"/>
    <s v="2. Riesgo (&gt;=40 y &lt;60)"/>
    <s v="2. Riesgo (&gt;=40 y &lt;60)"/>
    <s v="2. Riesgo (&gt;=40 y &lt;60)"/>
    <s v="2. Riesgo (&gt;=40 y &lt;60)"/>
    <n v="51.445141666666672"/>
    <n v="55.633522021075692"/>
    <n v="53.539331843871182"/>
    <n v="47.83413387939428"/>
    <x v="1"/>
    <n v="52.16586612060572"/>
    <n v="0.9741882058902549"/>
    <n v="52.157385633543861"/>
    <n v="0.48180790336698182"/>
    <n v="2"/>
    <b v="0"/>
    <n v="-1"/>
    <n v="0.97428046393498691"/>
    <n v="52.162325067616031"/>
    <n v="0.45527699684037559"/>
    <n v="3"/>
    <b v="1"/>
    <n v="0"/>
    <n v="47.83413387939428"/>
    <x v="2"/>
    <n v="52.16586612060572"/>
    <n v="0.94927242218174535"/>
    <n v="50.823411221423846"/>
    <n v="0.47598765324053138"/>
    <n v="3"/>
    <b v="1"/>
    <n v="0"/>
    <n v="0.10427746333915311"/>
    <n v="5.5829457135520295"/>
    <n v="0.33325730429714601"/>
    <n v="3"/>
  </r>
  <r>
    <n v="15778"/>
    <s v="15778"/>
    <s v="15"/>
    <s v="COLOMBIA"/>
    <s v="BOYACÁ"/>
    <s v="SUTATENZA"/>
    <x v="4"/>
    <n v="0"/>
    <n v="0"/>
    <n v="0"/>
    <n v="71.19"/>
    <n v="75.674766666666699"/>
    <n v="57.58"/>
    <n v="62.77"/>
    <n v="63.809484140084642"/>
    <n v="47.813523517134918"/>
    <n v="42.849072309845326"/>
    <n v="47.930746981359128"/>
    <s v="3. Vulnerable (&gt;=60 y &lt;70)"/>
    <s v="2. Riesgo (&gt;=40 y &lt;60)"/>
    <s v="2. Riesgo (&gt;=40 y &lt;60)"/>
    <s v="2. Riesgo (&gt;=40 y &lt;60)"/>
    <n v="66.803691666666666"/>
    <n v="50.600706737106002"/>
    <n v="58.70219920188633"/>
    <n v="47.831397417173044"/>
    <x v="1"/>
    <n v="52.168602582826956"/>
    <n v="0.9741882058902549"/>
    <n v="57.186990122297999"/>
    <n v="0.54472295381843139"/>
    <n v="2"/>
    <b v="1"/>
    <n v="0"/>
    <n v="0.97428046393498691"/>
    <n v="57.192405872417829"/>
    <n v="0.51472561630789992"/>
    <n v="2"/>
    <b v="1"/>
    <n v="0"/>
    <n v="47.831397417173044"/>
    <x v="2"/>
    <n v="52.168602582826956"/>
    <n v="0.94927242218174535"/>
    <n v="55.724378823769953"/>
    <n v="0.53858835865800059"/>
    <n v="2"/>
    <b v="1"/>
    <n v="0"/>
    <n v="0.10428293341681451"/>
    <n v="6.1216375307908937"/>
    <n v="0.36541290674625831"/>
    <n v="3"/>
  </r>
  <r>
    <n v="70110"/>
    <s v="70110"/>
    <s v="70"/>
    <s v="COLOMBIA"/>
    <s v="SUCRE"/>
    <s v="BUENAVISTA"/>
    <x v="5"/>
    <n v="0"/>
    <n v="0"/>
    <n v="0"/>
    <n v="43.39"/>
    <n v="47.211433333333297"/>
    <n v="60.72"/>
    <n v="57.04"/>
    <n v="66.789020100290216"/>
    <n v="48.433273008138855"/>
    <n v="63.046281139229784"/>
    <n v="55.398077337434231"/>
    <s v="3. Vulnerable (&gt;=60 y &lt;70)"/>
    <s v="2. Riesgo (&gt;=40 y &lt;60)"/>
    <s v="3. Vulnerable (&gt;=60 y &lt;70)"/>
    <s v="2. Riesgo (&gt;=40 y &lt;60)"/>
    <n v="52.09035833333332"/>
    <n v="58.416662896273266"/>
    <n v="55.25351061480329"/>
    <n v="48.012626278010934"/>
    <x v="2"/>
    <n v="51.987373721989066"/>
    <n v="0.81759069605862034"/>
    <n v="45.17475620323939"/>
    <n v="0.39446256957907549"/>
    <n v="3"/>
    <b v="1"/>
    <n v="0"/>
    <n v="0.81759069605862023"/>
    <n v="45.174756203239383"/>
    <n v="0.37269356755929939"/>
    <n v="3"/>
    <b v="1"/>
    <n v="0"/>
    <n v="48.012626278010934"/>
    <x v="2"/>
    <n v="51.987373721989066"/>
    <n v="0.94927242218174535"/>
    <n v="52.450633855359094"/>
    <n v="0.49677238250641259"/>
    <n v="2"/>
    <b v="0"/>
    <n v="-1"/>
    <n v="0.10392066423013353"/>
    <n v="5.741981524137092"/>
    <n v="0.3427504730008355"/>
    <n v="3"/>
  </r>
  <r>
    <n v="15204"/>
    <s v="15204"/>
    <s v="15"/>
    <s v="COLOMBIA"/>
    <s v="BOYACÁ"/>
    <s v="CÓMBITA"/>
    <x v="4"/>
    <n v="0"/>
    <n v="0"/>
    <n v="0"/>
    <n v="54.04"/>
    <n v="67.388999999999996"/>
    <n v="84.75"/>
    <n v="85.99"/>
    <n v="58.329646583120713"/>
    <n v="69.458743415022468"/>
    <n v="66.491821400284891"/>
    <n v="61.369204168814107"/>
    <s v="2. Riesgo (&gt;=40 y &lt;60)"/>
    <s v="3. Vulnerable (&gt;=60 y &lt;70)"/>
    <s v="3. Vulnerable (&gt;=60 y &lt;70)"/>
    <s v="3. Vulnerable (&gt;=60 y &lt;70)"/>
    <n v="73.042249999999996"/>
    <n v="63.91235389181054"/>
    <n v="68.477301945905268"/>
    <n v="48.121170186755236"/>
    <x v="2"/>
    <n v="51.878829813244764"/>
    <n v="0.81759069605862034"/>
    <n v="55.986404962169004"/>
    <n v="0.52970489900126472"/>
    <n v="2"/>
    <b v="1"/>
    <n v="0"/>
    <n v="0.81759069605862023"/>
    <n v="55.986404962168997"/>
    <n v="0.50047234842352928"/>
    <n v="2"/>
    <b v="1"/>
    <n v="0"/>
    <n v="48.121170186755236"/>
    <x v="2"/>
    <n v="51.878829813244764"/>
    <n v="0.94927242218174535"/>
    <n v="65.003614282660237"/>
    <n v="0.65711325671757026"/>
    <n v="1"/>
    <b v="0"/>
    <n v="-1"/>
    <n v="0.10370368933243697"/>
    <n v="7.1013488473216411"/>
    <n v="0.42389385373879473"/>
    <n v="2"/>
  </r>
  <r>
    <n v="52207"/>
    <s v="52207"/>
    <s v="52"/>
    <s v="COLOMBIA"/>
    <s v="NARIÑO"/>
    <s v="CONSACÁ"/>
    <x v="5"/>
    <n v="0"/>
    <n v="0"/>
    <n v="0"/>
    <n v="56.52"/>
    <n v="58.561966666666699"/>
    <n v="57.97"/>
    <n v="51.32"/>
    <n v="59.788594096959002"/>
    <n v="44.130580106218865"/>
    <n v="54.259536433536404"/>
    <n v="63.862613278650969"/>
    <s v="2. Riesgo (&gt;=40 y &lt;60)"/>
    <s v="2. Riesgo (&gt;=40 y &lt;60)"/>
    <s v="2. Riesgo (&gt;=40 y &lt;60)"/>
    <s v="3. Vulnerable (&gt;=60 y &lt;70)"/>
    <n v="56.092991666666677"/>
    <n v="55.51033097884131"/>
    <n v="55.801661322753993"/>
    <n v="48.041243595292244"/>
    <x v="2"/>
    <n v="51.958756404707756"/>
    <n v="0.81759069605862034"/>
    <n v="45.622919122097834"/>
    <n v="0.40006861528574938"/>
    <n v="3"/>
    <b v="1"/>
    <n v="0"/>
    <n v="0.81759069605862023"/>
    <n v="45.622919122097827"/>
    <n v="0.37799023531804338"/>
    <n v="3"/>
    <b v="1"/>
    <n v="0"/>
    <n v="48.041243595292244"/>
    <x v="2"/>
    <n v="51.958756404707756"/>
    <n v="0.94927242218174535"/>
    <n v="52.970978205616099"/>
    <n v="0.50341880950390794"/>
    <n v="2"/>
    <b v="0"/>
    <n v="-1"/>
    <n v="0.10386345936657837"/>
    <n v="5.7957535833834273"/>
    <n v="0.34596023580892465"/>
    <n v="3"/>
  </r>
  <r>
    <n v="25599"/>
    <s v="25599"/>
    <s v="25"/>
    <s v="COLOMBIA"/>
    <s v="CUNDINAMARCA"/>
    <s v="APULO"/>
    <x v="4"/>
    <n v="0"/>
    <n v="0"/>
    <n v="0"/>
    <n v="60.03"/>
    <n v="61.6327"/>
    <n v="50.71"/>
    <n v="51.28"/>
    <n v="55.148488687975174"/>
    <n v="47.209754890212487"/>
    <n v="43.828874663458151"/>
    <n v="66.263279937602363"/>
    <s v="2. Riesgo (&gt;=40 y &lt;60)"/>
    <s v="2. Riesgo (&gt;=40 y &lt;60)"/>
    <s v="2. Riesgo (&gt;=40 y &lt;60)"/>
    <s v="3. Vulnerable (&gt;=60 y &lt;70)"/>
    <n v="55.913175000000003"/>
    <n v="53.112599544812042"/>
    <n v="54.512887272406019"/>
    <n v="47.994840753681281"/>
    <x v="2"/>
    <n v="52.005159246318719"/>
    <n v="0.81759069605862034"/>
    <n v="44.569229449211541"/>
    <n v="0.38688806817155003"/>
    <n v="3"/>
    <b v="0"/>
    <n v="1"/>
    <n v="0.81759069605862023"/>
    <n v="44.569229449211534"/>
    <n v="0.36553707624742171"/>
    <n v="3"/>
    <b v="0"/>
    <n v="1"/>
    <n v="47.994840753681281"/>
    <x v="2"/>
    <n v="52.005159246318719"/>
    <n v="0.94927242218174535"/>
    <n v="51.747580541197301"/>
    <n v="0.48779218982128869"/>
    <n v="2"/>
    <b v="1"/>
    <n v="0"/>
    <n v="0.10395621677625566"/>
    <n v="5.6669535263898281"/>
    <n v="0.33827190029765269"/>
    <n v="3"/>
  </r>
  <r>
    <n v="47268"/>
    <s v="47268"/>
    <s v="47"/>
    <s v="COLOMBIA"/>
    <s v="MAGDALENA"/>
    <s v="EL RETÉN"/>
    <x v="5"/>
    <n v="0"/>
    <n v="0"/>
    <n v="0"/>
    <n v="49.52"/>
    <n v="52.131999999999998"/>
    <n v="72.67"/>
    <n v="33.68"/>
    <n v="59.785621738183657"/>
    <n v="60.018644506686357"/>
    <n v="53.414022208329158"/>
    <n v="48.503733093946231"/>
    <s v="2. Riesgo (&gt;=40 y &lt;60)"/>
    <s v="3. Vulnerable (&gt;=60 y &lt;70)"/>
    <s v="2. Riesgo (&gt;=40 y &lt;60)"/>
    <s v="2. Riesgo (&gt;=40 y &lt;60)"/>
    <n v="52.000500000000002"/>
    <n v="55.430505386786351"/>
    <n v="53.715502693393177"/>
    <n v="48.148809675450984"/>
    <x v="2"/>
    <n v="51.851190324549016"/>
    <n v="0.81759069605862034"/>
    <n v="43.917295236230025"/>
    <n v="0.37873305837058691"/>
    <n v="3"/>
    <b v="1"/>
    <n v="0"/>
    <n v="0.81759069605862023"/>
    <n v="43.917295236230018"/>
    <n v="0.35783211275888283"/>
    <n v="3"/>
    <b v="1"/>
    <n v="0"/>
    <n v="48.148809675450984"/>
    <x v="2"/>
    <n v="51.851190324549016"/>
    <n v="0.94927242218174535"/>
    <n v="50.990645350467403"/>
    <n v="0.47812375682199382"/>
    <n v="3"/>
    <b v="1"/>
    <n v="0"/>
    <n v="0.10364843910880374"/>
    <n v="5.5675280101149456"/>
    <n v="0.33233699044322057"/>
    <n v="3"/>
  </r>
  <r>
    <n v="19110"/>
    <s v="19110"/>
    <s v="19"/>
    <s v="COLOMBIA"/>
    <s v="CAUCA"/>
    <s v="BUENOS AIRES"/>
    <x v="5"/>
    <n v="0"/>
    <n v="0"/>
    <n v="1"/>
    <n v="44.71"/>
    <n v="48.712699999999998"/>
    <n v="56.39"/>
    <n v="32.06"/>
    <n v="37.507508310860082"/>
    <n v="46.915558095165579"/>
    <n v="54.644077945954315"/>
    <n v="56.624554909888793"/>
    <s v="1. Deterioro (&lt;40)"/>
    <s v="2. Riesgo (&gt;=40 y &lt;60)"/>
    <s v="2. Riesgo (&gt;=40 y &lt;60)"/>
    <s v="2. Riesgo (&gt;=40 y &lt;60)"/>
    <n v="45.468175000000002"/>
    <n v="48.922924815467191"/>
    <n v="47.195549907733593"/>
    <n v="48.173527924142959"/>
    <x v="2"/>
    <n v="51.826472075857041"/>
    <n v="0.81759069605862034"/>
    <n v="38.586642499933262"/>
    <n v="0.3120522116771437"/>
    <n v="4"/>
    <b v="0"/>
    <n v="1"/>
    <n v="0.81759069605862023"/>
    <n v="38.586642499933255"/>
    <n v="0.29483114749981471"/>
    <n v="4"/>
    <b v="0"/>
    <n v="1"/>
    <n v="48.173527924142959"/>
    <x v="2"/>
    <n v="51.826472075857041"/>
    <n v="0.94927242218174535"/>
    <n v="44.801433977113717"/>
    <n v="0.39906814385195677"/>
    <n v="3"/>
    <b v="1"/>
    <n v="0"/>
    <n v="0.10359902832617"/>
    <n v="4.8894131117604624"/>
    <n v="0.29185894271999296"/>
    <n v="3"/>
  </r>
  <r>
    <n v="73671"/>
    <s v="73671"/>
    <s v="73"/>
    <s v="COLOMBIA"/>
    <s v="TOLIMA"/>
    <s v="SALDAÑA"/>
    <x v="4"/>
    <n v="0"/>
    <n v="0"/>
    <n v="0"/>
    <n v="81.47"/>
    <n v="83.166166666666697"/>
    <n v="74.38"/>
    <n v="63.56"/>
    <n v="50.828960030735949"/>
    <n v="46.503841191017322"/>
    <n v="59.139363823261945"/>
    <n v="41.28098145277616"/>
    <s v="2. Riesgo (&gt;=40 y &lt;60)"/>
    <s v="2. Riesgo (&gt;=40 y &lt;60)"/>
    <s v="2. Riesgo (&gt;=40 y &lt;60)"/>
    <s v="2. Riesgo (&gt;=40 y &lt;60)"/>
    <n v="75.644041666666681"/>
    <n v="49.438286624447848"/>
    <n v="62.541164145557261"/>
    <n v="48.162432637874517"/>
    <x v="2"/>
    <n v="51.837567362125483"/>
    <n v="0.81759069605862034"/>
    <n v="51.133073926082588"/>
    <n v="0.46899484363295496"/>
    <n v="3"/>
    <b v="0"/>
    <n v="1"/>
    <n v="0.81759069605862023"/>
    <n v="51.133073926082581"/>
    <n v="0.44311266751367245"/>
    <n v="3"/>
    <b v="0"/>
    <n v="1"/>
    <n v="48.162432637874517"/>
    <x v="2"/>
    <n v="51.837567362125483"/>
    <n v="0.94927242218174535"/>
    <n v="59.36860237451927"/>
    <n v="0.58513650659243199"/>
    <n v="2"/>
    <b v="1"/>
    <n v="0"/>
    <n v="0.10362120735612074"/>
    <n v="6.4805909382199722"/>
    <n v="0.38683956053544261"/>
    <n v="2"/>
  </r>
  <r>
    <n v="52885"/>
    <s v="52885"/>
    <s v="52"/>
    <s v="COLOMBIA"/>
    <s v="NARIÑO"/>
    <s v="YACUANQUER"/>
    <x v="4"/>
    <n v="0"/>
    <n v="0"/>
    <n v="0"/>
    <n v="60.47"/>
    <n v="60.508466666666699"/>
    <n v="46.62"/>
    <n v="49.11"/>
    <n v="49.479988933899108"/>
    <n v="52.947505353691497"/>
    <n v="52.489124998035294"/>
    <n v="61.82622099370834"/>
    <s v="2. Riesgo (&gt;=40 y &lt;60)"/>
    <s v="2. Riesgo (&gt;=40 y &lt;60)"/>
    <s v="2. Riesgo (&gt;=40 y &lt;60)"/>
    <s v="3. Vulnerable (&gt;=60 y &lt;70)"/>
    <n v="54.177116666666677"/>
    <n v="54.185710069833561"/>
    <n v="54.181413368250119"/>
    <n v="48.205111967264294"/>
    <x v="2"/>
    <n v="51.794888032735706"/>
    <n v="0.81759069605862034"/>
    <n v="44.298219469187451"/>
    <n v="0.38349801899289471"/>
    <n v="3"/>
    <b v="0"/>
    <n v="1"/>
    <n v="0.81759069605862023"/>
    <n v="44.298219469187444"/>
    <n v="0.36233411196124693"/>
    <n v="3"/>
    <b v="0"/>
    <n v="1"/>
    <n v="48.205111967264294"/>
    <x v="2"/>
    <n v="51.794888032735706"/>
    <n v="0.94927242218174535"/>
    <n v="51.432921505309189"/>
    <n v="0.48377300846551985"/>
    <n v="2"/>
    <b v="1"/>
    <n v="0"/>
    <n v="0.10353589309726242"/>
    <n v="5.6097210223537299"/>
    <n v="0.33485557655175857"/>
    <n v="3"/>
  </r>
  <r>
    <n v="25317"/>
    <s v="25317"/>
    <s v="25"/>
    <s v="COLOMBIA"/>
    <s v="CUNDINAMARCA"/>
    <s v="GUACHETÁ"/>
    <x v="4"/>
    <n v="0"/>
    <n v="0"/>
    <n v="0"/>
    <n v="56.56"/>
    <n v="61.910499999999999"/>
    <n v="66.41"/>
    <n v="55.76"/>
    <n v="56.2046307159493"/>
    <n v="58.258083728479704"/>
    <n v="64.540622405180031"/>
    <n v="76.49918808684339"/>
    <s v="2. Riesgo (&gt;=40 y &lt;60)"/>
    <s v="2. Riesgo (&gt;=40 y &lt;60)"/>
    <s v="3. Vulnerable (&gt;=60 y &lt;70)"/>
    <s v="4. Solvente (&gt;=70 y &lt;80)"/>
    <n v="60.160124999999994"/>
    <n v="63.875631234113101"/>
    <n v="62.017878117056547"/>
    <n v="48.501025194909019"/>
    <x v="2"/>
    <n v="51.498974805090981"/>
    <n v="0.81759069605862034"/>
    <n v="50.705240137802939"/>
    <n v="0.46364309392089831"/>
    <n v="3"/>
    <b v="0"/>
    <n v="1"/>
    <n v="0.81759069605862023"/>
    <n v="50.705240137802932"/>
    <n v="0.43805626204787829"/>
    <n v="3"/>
    <b v="0"/>
    <n v="1"/>
    <n v="48.501025194909019"/>
    <x v="2"/>
    <n v="51.498974805090981"/>
    <n v="0.94927242218174535"/>
    <n v="58.87186137875053"/>
    <n v="0.57879156835411072"/>
    <n v="2"/>
    <b v="1"/>
    <n v="0"/>
    <n v="0.1029443744847668"/>
    <n v="6.3843916696328931"/>
    <n v="0.38109723192084283"/>
    <n v="2"/>
  </r>
  <r>
    <n v="76377"/>
    <s v="76377"/>
    <s v="76"/>
    <s v="COLOMBIA"/>
    <s v="VALLE DEL CAUCA"/>
    <s v="LA CUMBRE"/>
    <x v="5"/>
    <n v="0"/>
    <n v="0"/>
    <n v="0"/>
    <n v="52.48"/>
    <n v="54.781333333333301"/>
    <n v="65.23"/>
    <n v="56.17"/>
    <n v="65.063127736875842"/>
    <n v="63.670243600477235"/>
    <n v="64.345907888858534"/>
    <n v="12.180237076747249"/>
    <s v="3. Vulnerable (&gt;=60 y &lt;70)"/>
    <s v="3. Vulnerable (&gt;=60 y &lt;70)"/>
    <s v="3. Vulnerable (&gt;=60 y &lt;70)"/>
    <s v="1. Deterioro (&lt;40)"/>
    <n v="57.165333333333322"/>
    <n v="51.314879075739718"/>
    <n v="54.240106204536517"/>
    <n v="48.223990783797078"/>
    <x v="2"/>
    <n v="51.776009216202922"/>
    <n v="0.81759069605862034"/>
    <n v="44.346206186060499"/>
    <n v="0.38409828223820908"/>
    <n v="3"/>
    <b v="1"/>
    <n v="0"/>
    <n v="0.81759069605862023"/>
    <n v="44.346206186060499"/>
    <n v="0.36290124878898111"/>
    <n v="3"/>
    <b v="1"/>
    <n v="0"/>
    <n v="48.223990783797078"/>
    <x v="2"/>
    <n v="51.776009216202922"/>
    <n v="0.94927242218174535"/>
    <n v="51.488636996175494"/>
    <n v="0.48448466977689875"/>
    <n v="2"/>
    <b v="0"/>
    <n v="-1"/>
    <n v="0.10349815510410168"/>
    <n v="5.6137509248200681"/>
    <n v="0.33509612956828749"/>
    <n v="3"/>
  </r>
  <r>
    <n v="15224"/>
    <s v="15224"/>
    <s v="15"/>
    <s v="COLOMBIA"/>
    <s v="BOYACÁ"/>
    <s v="CUCAITA"/>
    <x v="4"/>
    <n v="0"/>
    <n v="0"/>
    <n v="0"/>
    <n v="80.010000000000005"/>
    <n v="78.933166666666693"/>
    <n v="64.62"/>
    <n v="33.479999999999997"/>
    <n v="53.969630803461222"/>
    <n v="54.704011510647753"/>
    <n v="50.180203265519026"/>
    <n v="44.439316747869334"/>
    <s v="2. Riesgo (&gt;=40 y &lt;60)"/>
    <s v="2. Riesgo (&gt;=40 y &lt;60)"/>
    <s v="2. Riesgo (&gt;=40 y &lt;60)"/>
    <s v="2. Riesgo (&gt;=40 y &lt;60)"/>
    <n v="64.260791666666677"/>
    <n v="50.823290581874332"/>
    <n v="57.542041124270504"/>
    <n v="48.379375071608713"/>
    <x v="2"/>
    <n v="51.620624928391287"/>
    <n v="0.81759069605862034"/>
    <n v="47.045837455426081"/>
    <n v="0.41786782373838349"/>
    <n v="3"/>
    <b v="0"/>
    <n v="1"/>
    <n v="0.81759069605862023"/>
    <n v="47.045837455426074"/>
    <n v="0.39480716805014648"/>
    <n v="3"/>
    <b v="0"/>
    <n v="1"/>
    <n v="48.379375071608713"/>
    <x v="2"/>
    <n v="51.620624928391287"/>
    <n v="0.94927242218174535"/>
    <n v="54.623072755317864"/>
    <n v="0.52452123102944059"/>
    <n v="2"/>
    <b v="1"/>
    <n v="0"/>
    <n v="0.10318754817699156"/>
    <n v="5.9376221407130929"/>
    <n v="0.35442865649685024"/>
    <n v="3"/>
  </r>
  <r>
    <n v="70204"/>
    <s v="70204"/>
    <s v="70"/>
    <s v="COLOMBIA"/>
    <s v="SUCRE"/>
    <s v="COLOSÓ"/>
    <x v="6"/>
    <n v="0"/>
    <n v="0"/>
    <n v="1"/>
    <n v="46.72"/>
    <n v="48.616500000000002"/>
    <n v="50.42"/>
    <n v="37.31"/>
    <n v="50.555279832434678"/>
    <n v="51.940623685784963"/>
    <n v="54.839443514859717"/>
    <n v="56.82276191277407"/>
    <s v="2. Riesgo (&gt;=40 y &lt;60)"/>
    <s v="2. Riesgo (&gt;=40 y &lt;60)"/>
    <s v="2. Riesgo (&gt;=40 y &lt;60)"/>
    <s v="2. Riesgo (&gt;=40 y &lt;60)"/>
    <n v="45.766625000000005"/>
    <n v="53.539527236463357"/>
    <n v="49.653076118231681"/>
    <n v="48.377101443330879"/>
    <x v="2"/>
    <n v="51.622898556669121"/>
    <n v="0.81759069605862034"/>
    <n v="40.595893064956698"/>
    <n v="0.33718581829585537"/>
    <n v="4"/>
    <b v="1"/>
    <n v="0"/>
    <n v="0.81759069605862023"/>
    <n v="40.595893064956691"/>
    <n v="0.31857771875587887"/>
    <n v="4"/>
    <b v="1"/>
    <n v="0"/>
    <n v="48.377101443330879"/>
    <x v="2"/>
    <n v="51.622898556669121"/>
    <n v="0.94927242218174535"/>
    <n v="47.134295835528363"/>
    <n v="0.42886609597642211"/>
    <n v="3"/>
    <b v="0"/>
    <n v="-1"/>
    <n v="0.10319209306825898"/>
    <n v="5.1238048519179111"/>
    <n v="0.30585025903975899"/>
    <n v="3"/>
  </r>
  <r>
    <n v="73349"/>
    <s v="73349"/>
    <s v="73"/>
    <s v="COLOMBIA"/>
    <s v="TOLIMA"/>
    <s v="HONDA"/>
    <x v="4"/>
    <n v="0"/>
    <n v="0"/>
    <n v="0"/>
    <n v="53.19"/>
    <n v="54.262999999999998"/>
    <n v="38.28"/>
    <n v="40.33"/>
    <n v="53.165095683843887"/>
    <n v="47.295507506020158"/>
    <n v="48.027687962380796"/>
    <n v="51.656218627744437"/>
    <s v="2. Riesgo (&gt;=40 y &lt;60)"/>
    <s v="2. Riesgo (&gt;=40 y &lt;60)"/>
    <s v="2. Riesgo (&gt;=40 y &lt;60)"/>
    <s v="2. Riesgo (&gt;=40 y &lt;60)"/>
    <n v="46.515749999999997"/>
    <n v="50.036127444997319"/>
    <n v="48.275938722498658"/>
    <n v="48.604559809174511"/>
    <x v="2"/>
    <n v="51.395440190825489"/>
    <n v="0.81759069605862034"/>
    <n v="39.46995834301098"/>
    <n v="0.3231015617713825"/>
    <n v="4"/>
    <b v="0"/>
    <n v="2"/>
    <n v="0.81759069605862023"/>
    <n v="39.469958343010973"/>
    <n v="0.30527072281928752"/>
    <n v="4"/>
    <b v="0"/>
    <n v="2"/>
    <n v="48.604559809174511"/>
    <x v="2"/>
    <n v="51.395440190825489"/>
    <n v="0.94927242218174535"/>
    <n v="45.827017284203812"/>
    <n v="0.41216805466497397"/>
    <n v="3"/>
    <b v="0"/>
    <n v="1"/>
    <n v="0.10273741296478661"/>
    <n v="4.9597450527960776"/>
    <n v="0.29605719831445809"/>
    <n v="3"/>
  </r>
  <r>
    <n v="13433"/>
    <s v="13433"/>
    <s v="13"/>
    <s v="COLOMBIA"/>
    <s v="BOLÍVAR"/>
    <s v="MAHATES"/>
    <x v="5"/>
    <n v="0"/>
    <n v="0"/>
    <n v="0"/>
    <n v="60.24"/>
    <n v="62.552566666666699"/>
    <n v="66.02"/>
    <n v="44.44"/>
    <n v="38.010125977185609"/>
    <n v="38.618292097863403"/>
    <n v="38.109537734073548"/>
    <n v="33.563755388038459"/>
    <s v="1. Deterioro (&lt;40)"/>
    <s v="1. Deterioro (&lt;40)"/>
    <s v="1. Deterioro (&lt;40)"/>
    <s v="1. Deterioro (&lt;40)"/>
    <n v="58.313141666666674"/>
    <n v="37.075427799290253"/>
    <n v="47.69428473297846"/>
    <n v="48.359291276550174"/>
    <x v="2"/>
    <n v="51.640708723449826"/>
    <n v="0.81759069605862034"/>
    <n v="38.994403452853888"/>
    <n v="0.31715287137762188"/>
    <n v="4"/>
    <b v="0"/>
    <n v="1"/>
    <n v="0.81759069605862023"/>
    <n v="38.994403452853881"/>
    <n v="0.29965031972876832"/>
    <n v="4"/>
    <b v="0"/>
    <n v="1"/>
    <n v="48.359291276550174"/>
    <x v="2"/>
    <n v="51.640708723449826"/>
    <n v="0.94927242218174535"/>
    <n v="45.274869192700301"/>
    <n v="0.40511539428695337"/>
    <n v="3"/>
    <b v="1"/>
    <n v="0"/>
    <n v="0.1032276948736473"/>
    <n v="4.9233710716327552"/>
    <n v="0.29388596192223965"/>
    <n v="3"/>
  </r>
  <r>
    <n v="52506"/>
    <s v="52506"/>
    <s v="52"/>
    <s v="COLOMBIA"/>
    <s v="NARIÑO"/>
    <s v="OSPINA"/>
    <x v="5"/>
    <n v="0"/>
    <n v="0"/>
    <n v="0"/>
    <n v="61.69"/>
    <n v="63.491866666666702"/>
    <n v="62.09"/>
    <n v="57.59"/>
    <n v="61.624586106127317"/>
    <n v="58.626021319934324"/>
    <n v="72.701235285578719"/>
    <n v="68.728488493440807"/>
    <s v="3. Vulnerable (&gt;=60 y &lt;70)"/>
    <s v="2. Riesgo (&gt;=40 y &lt;60)"/>
    <s v="4. Solvente (&gt;=70 y &lt;80)"/>
    <s v="3. Vulnerable (&gt;=60 y &lt;70)"/>
    <n v="61.215466666666678"/>
    <n v="65.420082801270297"/>
    <n v="63.317774733968491"/>
    <n v="48.353932928316965"/>
    <x v="2"/>
    <n v="51.646067071683035"/>
    <n v="0.81759069605862034"/>
    <n v="51.768023517628222"/>
    <n v="0.47693739372323379"/>
    <n v="3"/>
    <b v="1"/>
    <n v="0"/>
    <n v="0.81759069605862023"/>
    <n v="51.768023517628215"/>
    <n v="0.45061689619580869"/>
    <n v="3"/>
    <b v="1"/>
    <n v="0"/>
    <n v="48.353932928316965"/>
    <x v="2"/>
    <n v="51.646067071683035"/>
    <n v="0.94927242218174535"/>
    <n v="60.105817388872389"/>
    <n v="0.59455305117859958"/>
    <n v="2"/>
    <b v="0"/>
    <n v="-1"/>
    <n v="0.10323840599574685"/>
    <n v="6.5368261347326815"/>
    <n v="0.39019635298122163"/>
    <n v="2"/>
  </r>
  <r>
    <n v="25524"/>
    <s v="25524"/>
    <s v="25"/>
    <s v="COLOMBIA"/>
    <s v="CUNDINAMARCA"/>
    <s v="PANDI"/>
    <x v="4"/>
    <n v="0"/>
    <n v="0"/>
    <n v="0"/>
    <n v="67.34"/>
    <n v="67.052533333333301"/>
    <n v="42.2"/>
    <n v="59.76"/>
    <n v="59.20201341517614"/>
    <n v="54.046146421866972"/>
    <n v="57.826933269166986"/>
    <n v="65.499525269850082"/>
    <s v="2. Riesgo (&gt;=40 y &lt;60)"/>
    <s v="2. Riesgo (&gt;=40 y &lt;60)"/>
    <s v="2. Riesgo (&gt;=40 y &lt;60)"/>
    <s v="3. Vulnerable (&gt;=60 y &lt;70)"/>
    <n v="59.088133333333317"/>
    <n v="59.143654594015047"/>
    <n v="59.115893963674182"/>
    <n v="48.424322257280018"/>
    <x v="2"/>
    <n v="51.575677742719982"/>
    <n v="0.81759069605862034"/>
    <n v="48.332604893887968"/>
    <n v="0.43396392801281042"/>
    <n v="3"/>
    <b v="0"/>
    <n v="1"/>
    <n v="0.81759069605862023"/>
    <n v="48.332604893887961"/>
    <n v="0.4100149849343796"/>
    <n v="3"/>
    <b v="0"/>
    <n v="1"/>
    <n v="48.424322257280018"/>
    <x v="2"/>
    <n v="51.575677742719982"/>
    <n v="0.94927242218174535"/>
    <n v="56.117087852336212"/>
    <n v="0.54360448286177798"/>
    <n v="2"/>
    <b v="1"/>
    <n v="0"/>
    <n v="0.10309770056485376"/>
    <n v="6.0947127344905265"/>
    <n v="0.36380571128096312"/>
    <n v="3"/>
  </r>
  <r>
    <n v="76497"/>
    <s v="76497"/>
    <s v="76"/>
    <s v="COLOMBIA"/>
    <s v="VALLE DEL CAUCA"/>
    <s v="OBANDO"/>
    <x v="4"/>
    <n v="0"/>
    <n v="0"/>
    <n v="0"/>
    <n v="74.06"/>
    <n v="77.034599999999998"/>
    <n v="82.2"/>
    <n v="70.56"/>
    <n v="59.191020901927658"/>
    <n v="53.535713012927914"/>
    <n v="66.084586283779757"/>
    <n v="61.130026403868229"/>
    <s v="2. Riesgo (&gt;=40 y &lt;60)"/>
    <s v="2. Riesgo (&gt;=40 y &lt;60)"/>
    <s v="3. Vulnerable (&gt;=60 y &lt;70)"/>
    <s v="3. Vulnerable (&gt;=60 y &lt;70)"/>
    <n v="75.963650000000001"/>
    <n v="59.985336650625882"/>
    <n v="67.974493325312949"/>
    <n v="48.430574509965311"/>
    <x v="2"/>
    <n v="51.569425490034689"/>
    <n v="0.81759069605862034"/>
    <n v="55.575313312074655"/>
    <n v="0.52456257579002896"/>
    <n v="2"/>
    <b v="1"/>
    <n v="0"/>
    <n v="0.81759069605862023"/>
    <n v="55.575313312074648"/>
    <n v="0.49561381194645998"/>
    <n v="2"/>
    <b v="1"/>
    <n v="0"/>
    <n v="48.430574509965311"/>
    <x v="2"/>
    <n v="51.569425490034689"/>
    <n v="0.94927242218174535"/>
    <n v="64.526311925496699"/>
    <n v="0.65101661077329698"/>
    <n v="1"/>
    <b v="0"/>
    <n v="-1"/>
    <n v="0.10308520256379169"/>
    <n v="7.0071644136109921"/>
    <n v="0.41827179468689069"/>
    <n v="2"/>
  </r>
  <r>
    <n v="25873"/>
    <s v="25873"/>
    <s v="25"/>
    <s v="COLOMBIA"/>
    <s v="CUNDINAMARCA"/>
    <s v="VILLAPINZÓN"/>
    <x v="4"/>
    <n v="0"/>
    <n v="0"/>
    <n v="0"/>
    <n v="58.63"/>
    <n v="66.123233333333303"/>
    <n v="64.599999999999994"/>
    <n v="60.17"/>
    <n v="61.033606444918604"/>
    <n v="57.812649635412598"/>
    <n v="62.962053668648672"/>
    <n v="70.940527924604623"/>
    <s v="3. Vulnerable (&gt;=60 y &lt;70)"/>
    <s v="2. Riesgo (&gt;=40 y &lt;60)"/>
    <s v="3. Vulnerable (&gt;=60 y &lt;70)"/>
    <s v="4. Solvente (&gt;=70 y &lt;80)"/>
    <n v="62.38080833333332"/>
    <n v="63.187209418396122"/>
    <n v="62.784008875864721"/>
    <n v="48.432256962879201"/>
    <x v="2"/>
    <n v="51.567743037120799"/>
    <n v="0.81759069605862034"/>
    <n v="51.331621518168838"/>
    <n v="0.47147846472106453"/>
    <n v="3"/>
    <b v="0"/>
    <n v="1"/>
    <n v="0.81759069605862023"/>
    <n v="51.331621518168831"/>
    <n v="0.44545922628800882"/>
    <n v="3"/>
    <b v="0"/>
    <n v="1"/>
    <n v="48.432256962879201"/>
    <x v="2"/>
    <n v="51.567743037120799"/>
    <n v="0.94927242218174535"/>
    <n v="59.599128179872302"/>
    <n v="0.58808104310092102"/>
    <n v="2"/>
    <b v="1"/>
    <n v="0"/>
    <n v="0.10308183940824393"/>
    <n v="6.4718911203476486"/>
    <n v="0.38632025083752292"/>
    <n v="2"/>
  </r>
  <r>
    <n v="25878"/>
    <s v="25878"/>
    <s v="25"/>
    <s v="COLOMBIA"/>
    <s v="CUNDINAMARCA"/>
    <s v="VIOTÁ"/>
    <x v="4"/>
    <n v="0"/>
    <n v="0"/>
    <n v="0"/>
    <n v="49.48"/>
    <n v="50.927333333333301"/>
    <n v="61.1"/>
    <n v="30.79"/>
    <n v="55.746289298993204"/>
    <n v="51.738822265138459"/>
    <n v="63.73820446006507"/>
    <n v="67.299052732703871"/>
    <s v="2. Riesgo (&gt;=40 y &lt;60)"/>
    <s v="2. Riesgo (&gt;=40 y &lt;60)"/>
    <s v="3. Vulnerable (&gt;=60 y &lt;70)"/>
    <s v="3. Vulnerable (&gt;=60 y &lt;70)"/>
    <n v="48.074333333333321"/>
    <n v="59.630592189225155"/>
    <n v="53.852462761279241"/>
    <n v="48.310581262176591"/>
    <x v="2"/>
    <n v="51.689418737823409"/>
    <n v="0.81759069605862034"/>
    <n v="44.029272513465223"/>
    <n v="0.38013377607362314"/>
    <n v="3"/>
    <b v="0"/>
    <n v="1"/>
    <n v="0.81759069605862023"/>
    <n v="44.029272513465223"/>
    <n v="0.35915552977775267"/>
    <n v="3"/>
    <b v="0"/>
    <n v="1"/>
    <n v="48.310581262176591"/>
    <x v="2"/>
    <n v="51.689418737823409"/>
    <n v="0.94927242218174535"/>
    <n v="51.120657765851789"/>
    <n v="0.47978442254689996"/>
    <n v="3"/>
    <b v="0"/>
    <n v="1"/>
    <n v="0.10332506422866478"/>
    <n v="5.5643091736809556"/>
    <n v="0.3321448515960953"/>
    <n v="3"/>
  </r>
  <r>
    <n v="76041"/>
    <s v="76041"/>
    <s v="76"/>
    <s v="COLOMBIA"/>
    <s v="VALLE DEL CAUCA"/>
    <s v="ANSERMANUEVO"/>
    <x v="4"/>
    <n v="0"/>
    <n v="0"/>
    <n v="0"/>
    <n v="67.03"/>
    <n v="70.033000000000001"/>
    <n v="58.46"/>
    <n v="49.81"/>
    <n v="52.652486253797761"/>
    <n v="52.395850738035087"/>
    <n v="60.604363246180057"/>
    <n v="55.39700030954473"/>
    <s v="2. Riesgo (&gt;=40 y &lt;60)"/>
    <s v="2. Riesgo (&gt;=40 y &lt;60)"/>
    <s v="3. Vulnerable (&gt;=60 y &lt;70)"/>
    <s v="2. Riesgo (&gt;=40 y &lt;60)"/>
    <n v="61.33325"/>
    <n v="55.262425136889412"/>
    <n v="58.297837568444706"/>
    <n v="48.496148607535552"/>
    <x v="2"/>
    <n v="51.503851392464448"/>
    <n v="0.81759069605862034"/>
    <n v="47.663769596297094"/>
    <n v="0.42559750345880665"/>
    <n v="3"/>
    <b v="0"/>
    <n v="1"/>
    <n v="0.81759069605862023"/>
    <n v="47.663769596297087"/>
    <n v="0.40211027392954413"/>
    <n v="3"/>
    <b v="0"/>
    <n v="1"/>
    <n v="48.496148607535552"/>
    <x v="2"/>
    <n v="51.503851392464448"/>
    <n v="0.94927242218174535"/>
    <n v="55.34052947655546"/>
    <n v="0.5336854003323509"/>
    <n v="2"/>
    <b v="1"/>
    <n v="0"/>
    <n v="0.10295412258632963"/>
    <n v="6.0020027155395894"/>
    <n v="0.35827166302361951"/>
    <n v="3"/>
  </r>
  <r>
    <n v="70235"/>
    <s v="70235"/>
    <s v="70"/>
    <s v="COLOMBIA"/>
    <s v="SUCRE"/>
    <s v="GALERAS"/>
    <x v="6"/>
    <n v="0"/>
    <n v="0"/>
    <n v="0"/>
    <n v="45.19"/>
    <n v="43.072233333333301"/>
    <n v="33.36"/>
    <n v="44.58"/>
    <n v="46.235997531831224"/>
    <n v="50.123062937837467"/>
    <n v="54.671659708492818"/>
    <n v="56.919834500187761"/>
    <s v="2. Riesgo (&gt;=40 y &lt;60)"/>
    <s v="2. Riesgo (&gt;=40 y &lt;60)"/>
    <s v="2. Riesgo (&gt;=40 y &lt;60)"/>
    <s v="2. Riesgo (&gt;=40 y &lt;60)"/>
    <n v="41.550558333333328"/>
    <n v="51.987638669587319"/>
    <n v="46.76909850146032"/>
    <n v="48.512433148357012"/>
    <x v="2"/>
    <n v="51.487566851642988"/>
    <n v="0.81759069605862034"/>
    <n v="38.237979797843117"/>
    <n v="0.30769080879912658"/>
    <n v="4"/>
    <b v="1"/>
    <n v="0"/>
    <n v="0.81759069605862023"/>
    <n v="38.237979797843117"/>
    <n v="0.29071043510901406"/>
    <n v="4"/>
    <b v="1"/>
    <n v="0"/>
    <n v="48.512433148357012"/>
    <x v="2"/>
    <n v="51.487566851642988"/>
    <n v="0.94927242218174535"/>
    <n v="44.396615417737877"/>
    <n v="0.39389734301440787"/>
    <n v="3"/>
    <b v="0"/>
    <n v="-1"/>
    <n v="0.10292157044572914"/>
    <n v="4.8135490661012934"/>
    <n v="0.28733046462856532"/>
    <n v="4"/>
  </r>
  <r>
    <n v="13657"/>
    <s v="13657"/>
    <s v="13"/>
    <s v="COLOMBIA"/>
    <s v="BOLÍVAR"/>
    <s v="SAN JUAN NEPOMUCENO"/>
    <x v="5"/>
    <n v="0"/>
    <n v="0"/>
    <n v="1"/>
    <n v="51.26"/>
    <n v="56.449833333333302"/>
    <n v="68.92"/>
    <n v="77.569999999999993"/>
    <n v="56.130387127570472"/>
    <n v="57.695631040892771"/>
    <n v="51.380262744385853"/>
    <n v="56.189011839772341"/>
    <s v="2. Riesgo (&gt;=40 y &lt;60)"/>
    <s v="2. Riesgo (&gt;=40 y &lt;60)"/>
    <s v="2. Riesgo (&gt;=40 y &lt;60)"/>
    <s v="2. Riesgo (&gt;=40 y &lt;60)"/>
    <n v="63.549958333333322"/>
    <n v="55.348823188155357"/>
    <n v="59.449390760744336"/>
    <n v="48.554958713376422"/>
    <x v="2"/>
    <n v="51.445041286623578"/>
    <n v="0.81759069605862034"/>
    <n v="48.605268772337872"/>
    <n v="0.43737466571739936"/>
    <n v="3"/>
    <b v="1"/>
    <n v="0"/>
    <n v="0.81759069605862023"/>
    <n v="48.605268772337865"/>
    <n v="0.4132374960194965"/>
    <n v="3"/>
    <b v="1"/>
    <n v="0"/>
    <n v="48.554958713376422"/>
    <x v="2"/>
    <n v="51.445041286623578"/>
    <n v="0.94927242218174535"/>
    <n v="56.433667164680848"/>
    <n v="0.54764819216193017"/>
    <n v="2"/>
    <b v="0"/>
    <n v="-1"/>
    <n v="0.10283656355564826"/>
    <n v="6.1135710513118529"/>
    <n v="0.36493140229604881"/>
    <n v="3"/>
  </r>
  <r>
    <n v="15638"/>
    <s v="15638"/>
    <s v="15"/>
    <s v="COLOMBIA"/>
    <s v="BOYACÁ"/>
    <s v="SÁCHICA"/>
    <x v="0"/>
    <n v="0"/>
    <n v="0"/>
    <n v="0"/>
    <n v="69.78"/>
    <n v="68.601666666666702"/>
    <n v="55.66"/>
    <n v="57.33"/>
    <n v="67.746425964566697"/>
    <n v="60.209033814077934"/>
    <n v="73.051737029861897"/>
    <n v="61.221330679868338"/>
    <s v="3. Vulnerable (&gt;=60 y &lt;70)"/>
    <s v="3. Vulnerable (&gt;=60 y &lt;70)"/>
    <s v="4. Solvente (&gt;=70 y &lt;80)"/>
    <s v="3. Vulnerable (&gt;=60 y &lt;70)"/>
    <n v="62.842916666666682"/>
    <n v="65.55713187209372"/>
    <n v="64.200024269380208"/>
    <n v="48.678489091431864"/>
    <x v="2"/>
    <n v="51.321510908568136"/>
    <n v="0.81759069605862034"/>
    <n v="52.489342529382881"/>
    <n v="0.48596033421837703"/>
    <n v="2"/>
    <b v="0"/>
    <n v="1"/>
    <n v="0.81759069605862023"/>
    <n v="52.489342529382874"/>
    <n v="0.45914189233574304"/>
    <n v="3"/>
    <b v="0"/>
    <n v="2"/>
    <n v="48.678489091431864"/>
    <x v="2"/>
    <n v="51.321510908568136"/>
    <n v="0.94927242218174535"/>
    <n v="60.943312542321387"/>
    <n v="0.60525048720419605"/>
    <n v="2"/>
    <b v="0"/>
    <n v="1"/>
    <n v="0.10258963130996931"/>
    <n v="6.5862568198867972"/>
    <n v="0.3931469704024218"/>
    <n v="2"/>
  </r>
  <r>
    <n v="25815"/>
    <s v="25815"/>
    <s v="25"/>
    <s v="COLOMBIA"/>
    <s v="CUNDINAMARCA"/>
    <s v="TOCAIMA"/>
    <x v="4"/>
    <n v="0"/>
    <n v="0"/>
    <n v="0"/>
    <n v="69.55"/>
    <n v="70.6143"/>
    <n v="61.57"/>
    <n v="61.1"/>
    <n v="60.743447869228213"/>
    <n v="66.957319659631423"/>
    <n v="64.396705819585833"/>
    <n v="71.105219200134243"/>
    <s v="3. Vulnerable (&gt;=60 y &lt;70)"/>
    <s v="3. Vulnerable (&gt;=60 y &lt;70)"/>
    <s v="3. Vulnerable (&gt;=60 y &lt;70)"/>
    <s v="4. Solvente (&gt;=70 y &lt;80)"/>
    <n v="65.708574999999996"/>
    <n v="65.800673137144926"/>
    <n v="65.754624068572468"/>
    <n v="48.481287500562352"/>
    <x v="2"/>
    <n v="51.518712499437648"/>
    <n v="0.81759069605862034"/>
    <n v="53.760368861297074"/>
    <n v="0.50185953384258264"/>
    <n v="2"/>
    <b v="1"/>
    <n v="0"/>
    <n v="0.81759069605862023"/>
    <n v="53.760368861297067"/>
    <n v="0.47416367104495155"/>
    <n v="2"/>
    <b v="1"/>
    <n v="0"/>
    <n v="48.481287500562352"/>
    <x v="2"/>
    <n v="51.518712499437648"/>
    <n v="0.94927242218174535"/>
    <n v="62.419051259223878"/>
    <n v="0.62410029242342324"/>
    <n v="2"/>
    <b v="1"/>
    <n v="0"/>
    <n v="0.10298382934005235"/>
    <n v="6.7716629833971655"/>
    <n v="0.40421423872666101"/>
    <n v="2"/>
  </r>
  <r>
    <n v="47288"/>
    <s v="47288"/>
    <s v="47"/>
    <s v="COLOMBIA"/>
    <s v="MAGDALENA"/>
    <s v="FUNDACIÓN"/>
    <x v="4"/>
    <n v="0"/>
    <n v="0"/>
    <n v="1"/>
    <n v="64.05"/>
    <n v="63.101233333333298"/>
    <n v="57.53"/>
    <n v="59.21"/>
    <n v="59.235181832030463"/>
    <n v="59.976181320312108"/>
    <n v="56.862856340184351"/>
    <n v="54.302477282439604"/>
    <s v="2. Riesgo (&gt;=40 y &lt;60)"/>
    <s v="2. Riesgo (&gt;=40 y &lt;60)"/>
    <s v="2. Riesgo (&gt;=40 y &lt;60)"/>
    <s v="2. Riesgo (&gt;=40 y &lt;60)"/>
    <n v="60.972808333333326"/>
    <n v="57.594174193741637"/>
    <n v="59.283491263537485"/>
    <n v="48.617382511536903"/>
    <x v="2"/>
    <n v="51.382617488463097"/>
    <n v="0.81759069605862034"/>
    <n v="48.469630886940749"/>
    <n v="0.43567797874688929"/>
    <n v="3"/>
    <b v="0"/>
    <n v="1"/>
    <n v="0.81759069605862023"/>
    <n v="48.469630886940742"/>
    <n v="0.41163444323619813"/>
    <n v="3"/>
    <b v="0"/>
    <n v="1"/>
    <n v="48.617382511536903"/>
    <x v="2"/>
    <n v="51.382617488463097"/>
    <n v="0.94927242218174535"/>
    <n v="56.276183347128566"/>
    <n v="0.54563663059480416"/>
    <n v="2"/>
    <b v="1"/>
    <n v="0"/>
    <n v="0.10271178089970383"/>
    <n v="6.0891129656299681"/>
    <n v="0.36347144976904711"/>
    <n v="3"/>
  </r>
  <r>
    <n v="25178"/>
    <s v="25178"/>
    <s v="25"/>
    <s v="COLOMBIA"/>
    <s v="CUNDINAMARCA"/>
    <s v="CHIPAQUE"/>
    <x v="4"/>
    <n v="0"/>
    <n v="0"/>
    <n v="0"/>
    <n v="78.900000000000006"/>
    <n v="79.084766666666695"/>
    <n v="97.18"/>
    <n v="86.73"/>
    <n v="65.596490082865884"/>
    <n v="77.13940704162107"/>
    <n v="79.372124193900703"/>
    <n v="79.425877887916869"/>
    <s v="3. Vulnerable (&gt;=60 y &lt;70)"/>
    <s v="4. Solvente (&gt;=70 y &lt;80)"/>
    <s v="4. Solvente (&gt;=70 y &lt;80)"/>
    <s v="4. Solvente (&gt;=70 y &lt;80)"/>
    <n v="85.473691666666681"/>
    <n v="75.383474801576128"/>
    <n v="80.428583234121405"/>
    <n v="48.783441188577385"/>
    <x v="2"/>
    <n v="51.216558811422615"/>
    <n v="0.81759069605862034"/>
    <n v="65.757661349393999"/>
    <n v="0.65193301653036062"/>
    <n v="1"/>
    <b v="0"/>
    <n v="-1"/>
    <n v="0.81759069605862023"/>
    <n v="65.757661349393999"/>
    <n v="0.61595512598233715"/>
    <n v="2"/>
    <b v="1"/>
    <n v="0"/>
    <n v="48.783441188577385"/>
    <x v="2"/>
    <n v="51.216558811422615"/>
    <n v="0.94927242218174535"/>
    <n v="76.348636019300542"/>
    <n v="0.80202471529367414"/>
    <n v="1"/>
    <b v="0"/>
    <n v="-1"/>
    <n v="0.10237983629885694"/>
    <n v="8.2342651852583391"/>
    <n v="0.49151991785374899"/>
    <n v="2"/>
  </r>
  <r>
    <n v="76828"/>
    <s v="76828"/>
    <s v="76"/>
    <s v="COLOMBIA"/>
    <s v="VALLE DEL CAUCA"/>
    <s v="TRUJILLO"/>
    <x v="4"/>
    <n v="0"/>
    <n v="0"/>
    <n v="0"/>
    <n v="62.78"/>
    <n v="64.520366666666703"/>
    <n v="53.82"/>
    <n v="57.38"/>
    <n v="52.383581989049389"/>
    <n v="54.059804333792016"/>
    <n v="56.880441478725743"/>
    <n v="63.979454242545913"/>
    <s v="2. Riesgo (&gt;=40 y &lt;60)"/>
    <s v="2. Riesgo (&gt;=40 y &lt;60)"/>
    <s v="2. Riesgo (&gt;=40 y &lt;60)"/>
    <s v="3. Vulnerable (&gt;=60 y &lt;70)"/>
    <n v="59.625091666666677"/>
    <n v="56.825820511028269"/>
    <n v="58.225456088847473"/>
    <n v="48.613917735034939"/>
    <x v="2"/>
    <n v="51.386082264965061"/>
    <n v="0.81759069605862034"/>
    <n v="47.604591172011439"/>
    <n v="0.42485724375093215"/>
    <n v="3"/>
    <b v="0"/>
    <n v="1"/>
    <n v="0.81759069605862023"/>
    <n v="47.604591172011432"/>
    <n v="0.401410866551697"/>
    <n v="3"/>
    <b v="0"/>
    <n v="1"/>
    <n v="48.613917735034939"/>
    <x v="2"/>
    <n v="51.386082264965061"/>
    <n v="0.94927242218174535"/>
    <n v="55.271819734097093"/>
    <n v="0.53280776173198818"/>
    <n v="2"/>
    <b v="1"/>
    <n v="0"/>
    <n v="0.10271870684825085"/>
    <n v="5.9808435550960262"/>
    <n v="0.35700863000621147"/>
    <n v="3"/>
  </r>
  <r>
    <n v="25224"/>
    <s v="25224"/>
    <s v="25"/>
    <s v="COLOMBIA"/>
    <s v="CUNDINAMARCA"/>
    <s v="CUCUNUBÁ"/>
    <x v="5"/>
    <n v="0"/>
    <n v="0"/>
    <n v="0"/>
    <n v="51.24"/>
    <n v="61.4726"/>
    <n v="86.57"/>
    <n v="85.11"/>
    <n v="61.67236152601896"/>
    <n v="53.993204340878535"/>
    <n v="60.059580986764338"/>
    <n v="65.774932410954577"/>
    <s v="3. Vulnerable (&gt;=60 y &lt;70)"/>
    <s v="2. Riesgo (&gt;=40 y &lt;60)"/>
    <s v="3. Vulnerable (&gt;=60 y &lt;70)"/>
    <s v="3. Vulnerable (&gt;=60 y &lt;70)"/>
    <n v="71.098150000000004"/>
    <n v="60.375019816154108"/>
    <n v="65.736584908077049"/>
    <n v="48.965355239273585"/>
    <x v="2"/>
    <n v="51.034644760726415"/>
    <n v="0.81759069605862034"/>
    <n v="53.745620211511309"/>
    <n v="0.50167504378030492"/>
    <n v="2"/>
    <b v="0"/>
    <n v="-1"/>
    <n v="0.81759069605862023"/>
    <n v="53.745620211511302"/>
    <n v="0.47398936234042005"/>
    <n v="2"/>
    <b v="0"/>
    <n v="-1"/>
    <n v="48.965355239273585"/>
    <x v="2"/>
    <n v="51.034644760726415"/>
    <n v="0.94927242218174535"/>
    <n v="62.401927181646265"/>
    <n v="0.62388156432257458"/>
    <n v="2"/>
    <b v="0"/>
    <n v="-1"/>
    <n v="0.10201619744527224"/>
    <n v="6.7061964253602913"/>
    <n v="0.40030640766894132"/>
    <n v="2"/>
  </r>
  <r>
    <n v="20060"/>
    <s v="20060"/>
    <s v="20"/>
    <s v="COLOMBIA"/>
    <s v="CESAR"/>
    <s v="BOSCONIA"/>
    <x v="5"/>
    <n v="0"/>
    <n v="0"/>
    <n v="0"/>
    <n v="59.5"/>
    <n v="66.872966666666699"/>
    <s v="N.D."/>
    <n v="44.52"/>
    <n v="62.324805781070154"/>
    <n v="58.168098411375652"/>
    <n v="56.58904919256765"/>
    <n v="54.064488150520987"/>
    <s v="3. Vulnerable (&gt;=60 y &lt;70)"/>
    <s v="2. Riesgo (&gt;=40 y &lt;60)"/>
    <s v="2. Riesgo (&gt;=40 y &lt;60)"/>
    <s v="2. Riesgo (&gt;=40 y &lt;60)"/>
    <n v="56.964322222222229"/>
    <n v="57.786610383883612"/>
    <n v="57.375466303052917"/>
    <n v="48.717084079390212"/>
    <x v="2"/>
    <n v="51.282915920609788"/>
    <n v="0.81759069605862034"/>
    <n v="46.909647431400948"/>
    <n v="0.41616423009564607"/>
    <n v="3"/>
    <b v="1"/>
    <n v="0"/>
    <n v="0.81759069605862023"/>
    <n v="46.909647431400941"/>
    <n v="0.39319758974957236"/>
    <n v="3"/>
    <b v="1"/>
    <n v="0"/>
    <n v="48.717084079390212"/>
    <x v="2"/>
    <n v="51.282915920609788"/>
    <n v="0.94927242218174535"/>
    <n v="54.464947871306151"/>
    <n v="0.52250148103589844"/>
    <n v="2"/>
    <b v="0"/>
    <n v="-1"/>
    <n v="0.10251248148497462"/>
    <n v="5.8817014270834971"/>
    <n v="0.35109063616945663"/>
    <n v="3"/>
  </r>
  <r>
    <n v="5659"/>
    <s v="05659"/>
    <s v="50"/>
    <s v="COLOMBIA"/>
    <s v="ANTIOQUIA"/>
    <s v="SAN JUAN DE URABÁ"/>
    <x v="5"/>
    <n v="0"/>
    <n v="0"/>
    <n v="0"/>
    <n v="27.62"/>
    <n v="36.544333333333299"/>
    <n v="35.53"/>
    <n v="39.33"/>
    <n v="48.96577871067759"/>
    <n v="54.898987597569857"/>
    <n v="55.3594527002641"/>
    <n v="58.949394922004558"/>
    <s v="2. Riesgo (&gt;=40 y &lt;60)"/>
    <s v="2. Riesgo (&gt;=40 y &lt;60)"/>
    <s v="2. Riesgo (&gt;=40 y &lt;60)"/>
    <s v="2. Riesgo (&gt;=40 y &lt;60)"/>
    <n v="34.756083333333322"/>
    <n v="54.543403482629031"/>
    <n v="44.649743407981177"/>
    <n v="48.751665673951031"/>
    <x v="2"/>
    <n v="51.248334326048969"/>
    <n v="0.81759069605862034"/>
    <n v="36.505214791770122"/>
    <n v="0.28601574507963456"/>
    <n v="4"/>
    <b v="0"/>
    <n v="1"/>
    <n v="0.81759069605862023"/>
    <n v="36.505214791770122"/>
    <n v="0.27023154193212107"/>
    <n v="4"/>
    <b v="0"/>
    <n v="1"/>
    <n v="48.751665673951031"/>
    <x v="2"/>
    <n v="51.248334326048969"/>
    <n v="0.94927242218174535"/>
    <n v="42.384770074687708"/>
    <n v="0.36819977716934865"/>
    <n v="3"/>
    <b v="1"/>
    <n v="0"/>
    <n v="0.10244335427158399"/>
    <n v="4.5740694820791381"/>
    <n v="0.27303544463370866"/>
    <n v="4"/>
  </r>
  <r>
    <n v="5197"/>
    <s v="05197"/>
    <s v="50"/>
    <s v="COLOMBIA"/>
    <s v="ANTIOQUIA"/>
    <s v="COCORNÁ"/>
    <x v="5"/>
    <n v="0"/>
    <n v="0"/>
    <n v="0"/>
    <n v="53.71"/>
    <n v="55.940966666666696"/>
    <n v="32.24"/>
    <n v="56.29"/>
    <n v="51.618131959466211"/>
    <n v="55.847238603011668"/>
    <n v="52.483672495629605"/>
    <n v="54.032578548372328"/>
    <s v="2. Riesgo (&gt;=40 y &lt;60)"/>
    <s v="2. Riesgo (&gt;=40 y &lt;60)"/>
    <s v="2. Riesgo (&gt;=40 y &lt;60)"/>
    <s v="2. Riesgo (&gt;=40 y &lt;60)"/>
    <n v="49.545241666666676"/>
    <n v="53.495405401619955"/>
    <n v="51.520323534143316"/>
    <n v="48.252415829725564"/>
    <x v="2"/>
    <n v="51.747584170274436"/>
    <n v="0.81759069605862034"/>
    <n v="42.122537179445551"/>
    <n v="0.3562825269335293"/>
    <n v="3"/>
    <b v="1"/>
    <n v="0"/>
    <n v="0.81759069605862023"/>
    <n v="42.122537179445544"/>
    <n v="0.3366205472006914"/>
    <n v="4"/>
    <b v="0"/>
    <n v="1"/>
    <n v="48.252415829725564"/>
    <x v="2"/>
    <n v="51.747584170274436"/>
    <n v="0.94927242218174535"/>
    <n v="48.906822312843403"/>
    <n v="0.45150681039329477"/>
    <n v="3"/>
    <b v="1"/>
    <n v="0"/>
    <n v="0.1034413345832295"/>
    <n v="5.3293310245315517"/>
    <n v="0.31811853133935736"/>
    <n v="3"/>
  </r>
  <r>
    <n v="52240"/>
    <s v="52240"/>
    <s v="52"/>
    <s v="COLOMBIA"/>
    <s v="NARIÑO"/>
    <s v="CHACHAGÜÍ"/>
    <x v="5"/>
    <n v="0"/>
    <n v="0"/>
    <n v="0"/>
    <n v="38.61"/>
    <n v="39.230133333333299"/>
    <n v="34.409999999999997"/>
    <n v="43.52"/>
    <n v="68.553775161152487"/>
    <n v="46.407200495233383"/>
    <n v="63.305002215271216"/>
    <n v="63.775170868584411"/>
    <s v="3. Vulnerable (&gt;=60 y &lt;70)"/>
    <s v="2. Riesgo (&gt;=40 y &lt;60)"/>
    <s v="3. Vulnerable (&gt;=60 y &lt;70)"/>
    <s v="3. Vulnerable (&gt;=60 y &lt;70)"/>
    <n v="38.942533333333323"/>
    <n v="60.510287185060371"/>
    <n v="49.726410259196847"/>
    <n v="48.680864446825112"/>
    <x v="2"/>
    <n v="51.319135553174888"/>
    <n v="0.81759069605862034"/>
    <n v="40.655850376313268"/>
    <n v="0.33793582105996262"/>
    <n v="4"/>
    <b v="0"/>
    <n v="1"/>
    <n v="0.81759069605862023"/>
    <n v="40.655850376313261"/>
    <n v="0.31928633150494845"/>
    <n v="4"/>
    <b v="0"/>
    <n v="1"/>
    <n v="48.680864446825112"/>
    <x v="2"/>
    <n v="51.319135553174888"/>
    <n v="0.94927242218174535"/>
    <n v="47.20390991315098"/>
    <n v="0.42975528576908184"/>
    <n v="3"/>
    <b v="1"/>
    <n v="0"/>
    <n v="0.10258488307029925"/>
    <n v="5.1011779819454377"/>
    <n v="0.30449961547655818"/>
    <n v="3"/>
  </r>
  <r>
    <n v="68872"/>
    <s v="68872"/>
    <s v="68"/>
    <s v="COLOMBIA"/>
    <s v="SANTANDER"/>
    <s v="VILLANUEVA"/>
    <x v="5"/>
    <n v="0"/>
    <n v="0"/>
    <n v="0"/>
    <n v="69.05"/>
    <n v="67.518533333333295"/>
    <n v="57.72"/>
    <n v="59.06"/>
    <n v="54.03552361703322"/>
    <n v="53.276336800556571"/>
    <n v="62.524683522671168"/>
    <n v="57.452440794359688"/>
    <s v="2. Riesgo (&gt;=40 y &lt;60)"/>
    <s v="2. Riesgo (&gt;=40 y &lt;60)"/>
    <s v="3. Vulnerable (&gt;=60 y &lt;70)"/>
    <s v="2. Riesgo (&gt;=40 y &lt;60)"/>
    <n v="63.33713333333332"/>
    <n v="56.822246183655167"/>
    <n v="60.07968975849424"/>
    <n v="48.504729982904252"/>
    <x v="2"/>
    <n v="51.495270017095748"/>
    <n v="0.81759069605862034"/>
    <n v="49.120595368633268"/>
    <n v="0.44382085823162021"/>
    <n v="3"/>
    <b v="1"/>
    <n v="0"/>
    <n v="0.81759069605862023"/>
    <n v="49.120595368633261"/>
    <n v="0.41932794583799932"/>
    <n v="3"/>
    <b v="1"/>
    <n v="0"/>
    <n v="48.504729982904252"/>
    <x v="2"/>
    <n v="51.495270017095748"/>
    <n v="0.94927242218174535"/>
    <n v="57.031992620973625"/>
    <n v="0.55529068210926769"/>
    <n v="2"/>
    <b v="0"/>
    <n v="-1"/>
    <n v="0.10293696876292065"/>
    <n v="6.1844211479560851"/>
    <n v="0.36916058764519794"/>
    <n v="3"/>
  </r>
  <r>
    <n v="25867"/>
    <s v="25867"/>
    <s v="25"/>
    <s v="COLOMBIA"/>
    <s v="CUNDINAMARCA"/>
    <s v="VIANÍ"/>
    <x v="5"/>
    <n v="0"/>
    <n v="0"/>
    <n v="0"/>
    <n v="66.599999999999994"/>
    <n v="73.343933333333297"/>
    <n v="83.06"/>
    <n v="84.5"/>
    <n v="57.440000000974223"/>
    <n v="54.37762694601556"/>
    <n v="47.860342849093854"/>
    <n v="68.796493553327807"/>
    <s v="2. Riesgo (&gt;=40 y &lt;60)"/>
    <s v="2. Riesgo (&gt;=40 y &lt;60)"/>
    <s v="2. Riesgo (&gt;=40 y &lt;60)"/>
    <s v="3. Vulnerable (&gt;=60 y &lt;70)"/>
    <n v="76.875983333333323"/>
    <n v="57.118615837352863"/>
    <n v="66.997299585343086"/>
    <n v="49.069622265829068"/>
    <x v="2"/>
    <n v="50.930377734170932"/>
    <n v="0.81759069605862034"/>
    <n v="54.776368802028571"/>
    <n v="0.51456862213624799"/>
    <n v="2"/>
    <b v="0"/>
    <n v="-1"/>
    <n v="0.81759069605862023"/>
    <n v="54.776368802028564"/>
    <n v="0.48617138944937865"/>
    <n v="2"/>
    <b v="0"/>
    <n v="-1"/>
    <n v="49.069622265829068"/>
    <x v="2"/>
    <n v="50.930377734170932"/>
    <n v="0.94927242218174535"/>
    <n v="63.598688857014672"/>
    <n v="0.63916795900487999"/>
    <n v="2"/>
    <b v="0"/>
    <n v="-1"/>
    <n v="0.10180777186265112"/>
    <n v="6.8208457915982992"/>
    <n v="0.40715005987195479"/>
    <n v="2"/>
  </r>
  <r>
    <n v="19473"/>
    <s v="19473"/>
    <s v="19"/>
    <s v="COLOMBIA"/>
    <s v="CAUCA"/>
    <s v="MORALES"/>
    <x v="5"/>
    <n v="0"/>
    <n v="0"/>
    <n v="1"/>
    <n v="45.17"/>
    <n v="51.843033333333302"/>
    <n v="66.02"/>
    <n v="63.37"/>
    <n v="44.02623499028924"/>
    <n v="37.014705204474907"/>
    <n v="40.588229930738407"/>
    <n v="54.554231757413589"/>
    <s v="2. Riesgo (&gt;=40 y &lt;60)"/>
    <s v="1. Deterioro (&lt;40)"/>
    <s v="2. Riesgo (&gt;=40 y &lt;60)"/>
    <s v="2. Riesgo (&gt;=40 y &lt;60)"/>
    <n v="56.600758333333332"/>
    <n v="44.045850470729036"/>
    <n v="50.323304402031184"/>
    <n v="48.785836284555081"/>
    <x v="2"/>
    <n v="51.214163715444919"/>
    <n v="0.81759069605862034"/>
    <n v="41.143865474026505"/>
    <n v="0.34404037551595384"/>
    <n v="4"/>
    <b v="0"/>
    <n v="1"/>
    <n v="0.81759069605862023"/>
    <n v="41.143865474026505"/>
    <n v="0.32505399706822652"/>
    <n v="4"/>
    <b v="0"/>
    <n v="1"/>
    <n v="48.785836284555081"/>
    <x v="2"/>
    <n v="51.214163715444919"/>
    <n v="0.94927242218174535"/>
    <n v="47.770525061905431"/>
    <n v="0.43699273577696868"/>
    <n v="3"/>
    <b v="1"/>
    <n v="0"/>
    <n v="0.10237504859855438"/>
    <n v="5.1518507337977884"/>
    <n v="0.30752437436730667"/>
    <n v="3"/>
  </r>
  <r>
    <n v="19130"/>
    <s v="19130"/>
    <s v="19"/>
    <s v="COLOMBIA"/>
    <s v="CAUCA"/>
    <s v="CAJIBÍO"/>
    <x v="5"/>
    <n v="0"/>
    <n v="0"/>
    <n v="1"/>
    <n v="66.63"/>
    <n v="68.692233333333306"/>
    <n v="56.23"/>
    <n v="58.22"/>
    <n v="60.512602366400316"/>
    <n v="56.35053315439832"/>
    <n v="55.533983894515352"/>
    <n v="53.028153516619028"/>
    <s v="3. Vulnerable (&gt;=60 y &lt;70)"/>
    <s v="2. Riesgo (&gt;=40 y &lt;60)"/>
    <s v="2. Riesgo (&gt;=40 y &lt;60)"/>
    <s v="2. Riesgo (&gt;=40 y &lt;60)"/>
    <n v="62.443058333333326"/>
    <n v="56.356318232983256"/>
    <n v="59.399688283158291"/>
    <n v="48.785614121283317"/>
    <x v="2"/>
    <n v="51.214385878716683"/>
    <n v="0.81759069605862034"/>
    <n v="48.56463248909246"/>
    <n v="0.43686634864867935"/>
    <n v="3"/>
    <b v="1"/>
    <n v="0"/>
    <n v="0.81759069605862023"/>
    <n v="48.564632489092453"/>
    <n v="0.41275723118221497"/>
    <n v="3"/>
    <b v="1"/>
    <n v="0"/>
    <n v="48.785614121283317"/>
    <x v="2"/>
    <n v="51.214385878716683"/>
    <n v="0.94927242218174535"/>
    <n v="56.386485973394308"/>
    <n v="0.5470455405844008"/>
    <n v="2"/>
    <b v="0"/>
    <n v="-1"/>
    <n v="0.10237549269397828"/>
    <n v="6.081072353857059"/>
    <n v="0.36299148941445597"/>
    <n v="3"/>
  </r>
  <r>
    <n v="15189"/>
    <s v="15189"/>
    <s v="15"/>
    <s v="COLOMBIA"/>
    <s v="BOYACÁ"/>
    <s v="CIÉNEGA"/>
    <x v="5"/>
    <n v="0"/>
    <n v="0"/>
    <n v="0"/>
    <n v="59.07"/>
    <n v="60.289766666666701"/>
    <n v="74.06"/>
    <n v="33.06"/>
    <n v="55.997242902703157"/>
    <n v="45.537216477640385"/>
    <n v="48.361658354135471"/>
    <n v="66.782269698980869"/>
    <s v="2. Riesgo (&gt;=40 y &lt;60)"/>
    <s v="2. Riesgo (&gt;=40 y &lt;60)"/>
    <s v="2. Riesgo (&gt;=40 y &lt;60)"/>
    <s v="3. Vulnerable (&gt;=60 y &lt;70)"/>
    <n v="56.619941666666676"/>
    <n v="54.169596858364969"/>
    <n v="55.394769262515823"/>
    <n v="49.10359542368419"/>
    <x v="2"/>
    <n v="50.89640457631581"/>
    <n v="0.81759069605862034"/>
    <n v="45.290247959346978"/>
    <n v="0.39590724970819541"/>
    <n v="3"/>
    <b v="1"/>
    <n v="0"/>
    <n v="0.81759069605862023"/>
    <n v="45.290247959346971"/>
    <n v="0.37405852087255864"/>
    <n v="3"/>
    <b v="1"/>
    <n v="0"/>
    <n v="49.10359542368419"/>
    <x v="2"/>
    <n v="50.89640457631581"/>
    <n v="0.94927242218174535"/>
    <n v="52.58472679402729"/>
    <n v="0.49848516929327324"/>
    <n v="2"/>
    <b v="0"/>
    <n v="-1"/>
    <n v="0.10173986088970643"/>
    <n v="5.6358561187857461"/>
    <n v="0.3364156332371277"/>
    <n v="3"/>
  </r>
  <r>
    <n v="73319"/>
    <s v="73319"/>
    <s v="73"/>
    <s v="COLOMBIA"/>
    <s v="TOLIMA"/>
    <s v="GUAMO"/>
    <x v="4"/>
    <n v="0"/>
    <n v="0"/>
    <n v="0"/>
    <n v="67.540000000000006"/>
    <n v="69.783933333333295"/>
    <n v="57.41"/>
    <n v="56.89"/>
    <n v="48.342287871240103"/>
    <n v="58.277053416847963"/>
    <n v="61.162308232442754"/>
    <n v="63.661949279102892"/>
    <s v="2. Riesgo (&gt;=40 y &lt;60)"/>
    <s v="2. Riesgo (&gt;=40 y &lt;60)"/>
    <s v="3. Vulnerable (&gt;=60 y &lt;70)"/>
    <s v="3. Vulnerable (&gt;=60 y &lt;70)"/>
    <n v="62.905983333333324"/>
    <n v="57.86089969990843"/>
    <n v="60.383441516620877"/>
    <n v="48.91693114968394"/>
    <x v="2"/>
    <n v="51.08306885031606"/>
    <n v="0.81759069605862034"/>
    <n v="49.368939979989058"/>
    <n v="0.44692738753978567"/>
    <n v="3"/>
    <b v="0"/>
    <n v="1"/>
    <n v="0.81759069605862023"/>
    <n v="49.368939979989051"/>
    <n v="0.4222630367182903"/>
    <n v="3"/>
    <b v="0"/>
    <n v="1"/>
    <n v="48.91693114968394"/>
    <x v="2"/>
    <n v="51.08306885031606"/>
    <n v="0.94927242218174535"/>
    <n v="57.320335788152462"/>
    <n v="0.55897372740405027"/>
    <n v="2"/>
    <b v="1"/>
    <n v="0"/>
    <n v="0.10211299524817349"/>
    <n v="6.1659340766550699"/>
    <n v="0.36805705702494301"/>
    <n v="3"/>
  </r>
  <r>
    <n v="44001"/>
    <s v="44001"/>
    <s v="44"/>
    <s v="COLOMBIA"/>
    <s v="LA GUAJIRA"/>
    <s v="RIOHACHA"/>
    <x v="5"/>
    <n v="0"/>
    <n v="1"/>
    <n v="0"/>
    <n v="52.9"/>
    <n v="59.009399999999999"/>
    <n v="62.89"/>
    <n v="60.46"/>
    <n v="48.368541623452145"/>
    <n v="54.181192413250635"/>
    <n v="50.366792257412108"/>
    <n v="51.361662247054156"/>
    <s v="2. Riesgo (&gt;=40 y &lt;60)"/>
    <s v="2. Riesgo (&gt;=40 y &lt;60)"/>
    <s v="2. Riesgo (&gt;=40 y &lt;60)"/>
    <s v="2. Riesgo (&gt;=40 y &lt;60)"/>
    <n v="58.81485"/>
    <n v="51.069547135292254"/>
    <n v="54.94219856764613"/>
    <n v="48.944326715774999"/>
    <x v="2"/>
    <n v="51.055673284225001"/>
    <n v="0.81759069605862034"/>
    <n v="44.92023036991273"/>
    <n v="0.39127871969967659"/>
    <n v="3"/>
    <b v="1"/>
    <n v="0"/>
    <n v="0.81759069605862023"/>
    <n v="44.92023036991273"/>
    <n v="0.36968542315819031"/>
    <n v="3"/>
    <b v="1"/>
    <n v="0"/>
    <n v="48.944326715774999"/>
    <x v="2"/>
    <n v="51.055673284225001"/>
    <n v="0.94927242218174535"/>
    <n v="52.155113914299861"/>
    <n v="0.49299766733253941"/>
    <n v="2"/>
    <b v="0"/>
    <n v="-1"/>
    <n v="0.10205823261599346"/>
    <n v="5.6073036818509321"/>
    <n v="0.33471128061537231"/>
    <n v="3"/>
  </r>
  <r>
    <n v="25183"/>
    <s v="25183"/>
    <s v="25"/>
    <s v="COLOMBIA"/>
    <s v="CUNDINAMARCA"/>
    <s v="CHOCONTÁ"/>
    <x v="4"/>
    <n v="0"/>
    <n v="0"/>
    <n v="0"/>
    <n v="68.16"/>
    <n v="68.416633333333294"/>
    <n v="52.41"/>
    <n v="62.38"/>
    <n v="58.203807992126308"/>
    <n v="58.122547183671216"/>
    <n v="55.65158076900407"/>
    <n v="60.006437492502805"/>
    <s v="2. Riesgo (&gt;=40 y &lt;60)"/>
    <s v="2. Riesgo (&gt;=40 y &lt;60)"/>
    <s v="2. Riesgo (&gt;=40 y &lt;60)"/>
    <s v="3. Vulnerable (&gt;=60 y &lt;70)"/>
    <n v="62.841658333333321"/>
    <n v="57.996093359326096"/>
    <n v="60.418875846329712"/>
    <n v="49.030594093876516"/>
    <x v="2"/>
    <n v="50.969405906123484"/>
    <n v="0.81759069605862034"/>
    <n v="49.397910758280076"/>
    <n v="0.44728978143812748"/>
    <n v="3"/>
    <b v="0"/>
    <n v="1"/>
    <n v="0.81759069605862023"/>
    <n v="49.397910758280069"/>
    <n v="0.42260543137180295"/>
    <n v="3"/>
    <b v="0"/>
    <n v="1"/>
    <n v="49.030594093876516"/>
    <x v="2"/>
    <n v="50.969405906123484"/>
    <n v="0.94927242218174535"/>
    <n v="57.353972620143558"/>
    <n v="0.55940337509436422"/>
    <n v="2"/>
    <b v="1"/>
    <n v="0"/>
    <n v="0.10188578760498669"/>
    <n v="6.1558247518112097"/>
    <n v="0.36745361100941915"/>
    <n v="3"/>
  </r>
  <r>
    <n v="17433"/>
    <s v="17433"/>
    <s v="17"/>
    <s v="COLOMBIA"/>
    <s v="CALDAS"/>
    <s v="MANZANARES"/>
    <x v="5"/>
    <n v="0"/>
    <n v="0"/>
    <n v="0"/>
    <n v="55.08"/>
    <n v="60.613833333333297"/>
    <n v="54.54"/>
    <n v="71.22"/>
    <n v="59.332412669200004"/>
    <n v="53.244350243798344"/>
    <n v="51.030349751041058"/>
    <n v="50.485834864090108"/>
    <s v="2. Riesgo (&gt;=40 y &lt;60)"/>
    <s v="2. Riesgo (&gt;=40 y &lt;60)"/>
    <s v="2. Riesgo (&gt;=40 y &lt;60)"/>
    <s v="2. Riesgo (&gt;=40 y &lt;60)"/>
    <n v="60.36345833333332"/>
    <n v="53.523236882032379"/>
    <n v="56.943347607682853"/>
    <n v="48.897285008498557"/>
    <x v="2"/>
    <n v="51.102714991501443"/>
    <n v="0.81759069605862034"/>
    <n v="46.556351206473394"/>
    <n v="0.41174486673112637"/>
    <n v="3"/>
    <b v="1"/>
    <n v="0"/>
    <n v="0.81759069605862023"/>
    <n v="46.556351206473387"/>
    <n v="0.38902211550769117"/>
    <n v="3"/>
    <b v="1"/>
    <n v="0"/>
    <n v="48.897285008498557"/>
    <x v="2"/>
    <n v="51.102714991501443"/>
    <n v="0.94927242218174535"/>
    <n v="54.054749510682193"/>
    <n v="0.51726196328763652"/>
    <n v="2"/>
    <b v="0"/>
    <n v="-1"/>
    <n v="0.10215226709238057"/>
    <n v="5.8168920539542883"/>
    <n v="0.34722203380604821"/>
    <n v="3"/>
  </r>
  <r>
    <n v="23678"/>
    <s v="23678"/>
    <s v="23"/>
    <s v="COLOMBIA"/>
    <s v="CÓRDOBA"/>
    <s v="SAN CARLOS"/>
    <x v="6"/>
    <n v="0"/>
    <n v="0"/>
    <n v="0"/>
    <n v="47.35"/>
    <n v="47.596299999999999"/>
    <n v="47.58"/>
    <n v="49.14"/>
    <n v="40.104967347516201"/>
    <n v="45.436085419611928"/>
    <n v="46.817887415543616"/>
    <n v="40.868181109607349"/>
    <s v="2. Riesgo (&gt;=40 y &lt;60)"/>
    <s v="2. Riesgo (&gt;=40 y &lt;60)"/>
    <s v="2. Riesgo (&gt;=40 y &lt;60)"/>
    <s v="2. Riesgo (&gt;=40 y &lt;60)"/>
    <n v="47.916574999999995"/>
    <n v="43.306780323069773"/>
    <n v="45.611677661534884"/>
    <n v="49.027817296571968"/>
    <x v="2"/>
    <n v="50.972182703428032"/>
    <n v="0.81759069605862034"/>
    <n v="37.291683287695733"/>
    <n v="0.29585363694772698"/>
    <n v="4"/>
    <b v="1"/>
    <n v="0"/>
    <n v="0.81759069605862023"/>
    <n v="37.291683287695726"/>
    <n v="0.27952651514464777"/>
    <n v="4"/>
    <b v="1"/>
    <n v="0"/>
    <n v="49.027817296571968"/>
    <x v="2"/>
    <n v="50.972182703428032"/>
    <n v="0.94927242218174535"/>
    <n v="43.297907733538224"/>
    <n v="0.37986340489052245"/>
    <n v="3"/>
    <b v="0"/>
    <n v="-1"/>
    <n v="0.10189133831085354"/>
    <n v="4.6474348795370517"/>
    <n v="0.27741477336802972"/>
    <n v="4"/>
  </r>
  <r>
    <n v="15299"/>
    <s v="15299"/>
    <s v="15"/>
    <s v="COLOMBIA"/>
    <s v="BOYACÁ"/>
    <s v="GARAGOA"/>
    <x v="4"/>
    <n v="0"/>
    <n v="0"/>
    <n v="0"/>
    <n v="58.78"/>
    <n v="65.395133333333305"/>
    <n v="60.07"/>
    <n v="86.36"/>
    <n v="59.462021946699053"/>
    <n v="65.42412333885828"/>
    <n v="56.76746447400533"/>
    <n v="64.097436246040417"/>
    <s v="2. Riesgo (&gt;=40 y &lt;60)"/>
    <s v="3. Vulnerable (&gt;=60 y &lt;70)"/>
    <s v="2. Riesgo (&gt;=40 y &lt;60)"/>
    <s v="3. Vulnerable (&gt;=60 y &lt;70)"/>
    <n v="67.651283333333325"/>
    <n v="61.437761501400772"/>
    <n v="64.544522417367048"/>
    <n v="48.994651979917705"/>
    <x v="2"/>
    <n v="51.005348020082295"/>
    <n v="0.81759069605862034"/>
    <n v="52.77100100998635"/>
    <n v="0.48948358491470273"/>
    <n v="2"/>
    <b v="1"/>
    <n v="0"/>
    <n v="0.81759069605862023"/>
    <n v="52.771001009986342"/>
    <n v="0.462470707216254"/>
    <n v="3"/>
    <b v="0"/>
    <n v="1"/>
    <n v="48.994651979917705"/>
    <x v="2"/>
    <n v="51.005348020082295"/>
    <n v="0.94927242218174535"/>
    <n v="61.270335133697976"/>
    <n v="0.60942758988445533"/>
    <n v="2"/>
    <b v="1"/>
    <n v="0"/>
    <n v="0.10195763444180535"/>
    <n v="6.5808068218508202"/>
    <n v="0.39282164901348449"/>
    <n v="2"/>
  </r>
  <r>
    <n v="47245"/>
    <s v="47245"/>
    <s v="47"/>
    <s v="COLOMBIA"/>
    <s v="MAGDALENA"/>
    <s v="EL BANCO"/>
    <x v="5"/>
    <n v="0"/>
    <n v="0"/>
    <n v="0"/>
    <n v="58.02"/>
    <n v="63.216933333333301"/>
    <n v="50.82"/>
    <n v="65.58"/>
    <n v="53.326557485515259"/>
    <n v="44.89173538567897"/>
    <n v="48.176367456555035"/>
    <n v="41.514050299338379"/>
    <s v="2. Riesgo (&gt;=40 y &lt;60)"/>
    <s v="2. Riesgo (&gt;=40 y &lt;60)"/>
    <s v="2. Riesgo (&gt;=40 y &lt;60)"/>
    <s v="2. Riesgo (&gt;=40 y &lt;60)"/>
    <n v="59.409233333333319"/>
    <n v="46.977177656771907"/>
    <n v="53.193205495052609"/>
    <n v="49.057348028754987"/>
    <x v="2"/>
    <n v="50.942651971245013"/>
    <n v="0.81759069605862034"/>
    <n v="43.490269906289292"/>
    <n v="0.37339142162015465"/>
    <n v="3"/>
    <b v="1"/>
    <n v="0"/>
    <n v="0.81759069605862023"/>
    <n v="43.490269906289285"/>
    <n v="0.35278526215592498"/>
    <n v="3"/>
    <b v="1"/>
    <n v="0"/>
    <n v="49.057348028754987"/>
    <x v="2"/>
    <n v="50.942651971245013"/>
    <n v="0.94927242218174535"/>
    <n v="50.494843023899918"/>
    <n v="0.47179080832915143"/>
    <n v="3"/>
    <b v="1"/>
    <n v="0"/>
    <n v="0.10183230756773363"/>
    <n v="5.4167868624858562"/>
    <n v="0.32333894692229098"/>
    <n v="3"/>
  </r>
  <r>
    <n v="5172"/>
    <s v="05172"/>
    <s v="50"/>
    <s v="COLOMBIA"/>
    <s v="ANTIOQUIA"/>
    <s v="CHIGORODÓ"/>
    <x v="5"/>
    <n v="0"/>
    <n v="0"/>
    <n v="1"/>
    <n v="62.9"/>
    <n v="73.254766666666697"/>
    <n v="83.14"/>
    <n v="54.1"/>
    <n v="52.540267186611111"/>
    <n v="54.825910872418611"/>
    <n v="58.048613409852251"/>
    <n v="62.429025349067153"/>
    <s v="2. Riesgo (&gt;=40 y &lt;60)"/>
    <s v="2. Riesgo (&gt;=40 y &lt;60)"/>
    <s v="2. Riesgo (&gt;=40 y &lt;60)"/>
    <s v="3. Vulnerable (&gt;=60 y &lt;70)"/>
    <n v="68.348691666666681"/>
    <n v="56.96095420448728"/>
    <n v="62.654822935576981"/>
    <n v="49.114047520663753"/>
    <x v="2"/>
    <n v="50.885952479336247"/>
    <n v="0.81759069605862034"/>
    <n v="51.226000295327992"/>
    <n v="0.47015725455858876"/>
    <n v="3"/>
    <b v="1"/>
    <n v="0"/>
    <n v="0.81759069605862023"/>
    <n v="51.226000295327985"/>
    <n v="0.44421092906813797"/>
    <n v="3"/>
    <b v="1"/>
    <n v="0"/>
    <n v="49.114047520663753"/>
    <x v="2"/>
    <n v="50.885952479336247"/>
    <n v="0.94927242218174535"/>
    <n v="59.476495529423531"/>
    <n v="0.58651464008661991"/>
    <n v="2"/>
    <b v="0"/>
    <n v="-1"/>
    <n v="0.10171896756921439"/>
    <n v="6.373183902238825"/>
    <n v="0.38042821765121271"/>
    <n v="2"/>
  </r>
  <r>
    <n v="50006"/>
    <s v="50006"/>
    <s v="50"/>
    <s v="COLOMBIA"/>
    <s v="META"/>
    <s v="ACACÍAS"/>
    <x v="4"/>
    <n v="0"/>
    <n v="0"/>
    <n v="0"/>
    <n v="85.88"/>
    <n v="87.364900000000006"/>
    <n v="78.39"/>
    <n v="81.650000000000006"/>
    <n v="59.942253857153474"/>
    <n v="48.650736029465655"/>
    <n v="57.958102363490624"/>
    <n v="54.37655432427043"/>
    <s v="2. Riesgo (&gt;=40 y &lt;60)"/>
    <s v="2. Riesgo (&gt;=40 y &lt;60)"/>
    <s v="2. Riesgo (&gt;=40 y &lt;60)"/>
    <s v="2. Riesgo (&gt;=40 y &lt;60)"/>
    <n v="83.321224999999998"/>
    <n v="55.231911643595055"/>
    <n v="69.276568321797527"/>
    <n v="49.3695146263765"/>
    <x v="2"/>
    <n v="50.6304853736235"/>
    <n v="0.81759069605862034"/>
    <n v="56.639877714771011"/>
    <n v="0.53787915431110656"/>
    <n v="2"/>
    <b v="1"/>
    <n v="0"/>
    <n v="0.81759069605862023"/>
    <n v="56.639877714770996"/>
    <n v="0.50819549532899189"/>
    <n v="2"/>
    <b v="1"/>
    <n v="0"/>
    <n v="49.3695146263765"/>
    <x v="3"/>
    <n v="50.6304853736235"/>
    <n v="0.80397277260026034"/>
    <n v="55.696474709906923"/>
    <n v="0.53823193573224226"/>
    <n v="2"/>
    <b v="1"/>
    <n v="0"/>
    <n v="0.10120829912389938"/>
    <n v="7.011363648989736"/>
    <n v="0.4185224555269258"/>
    <n v="2"/>
  </r>
  <r>
    <n v="52320"/>
    <s v="52320"/>
    <s v="52"/>
    <s v="COLOMBIA"/>
    <s v="NARIÑO"/>
    <s v="GUAITARILLA"/>
    <x v="5"/>
    <n v="0"/>
    <n v="0"/>
    <n v="0"/>
    <n v="71.64"/>
    <n v="72.620166666666705"/>
    <n v="63.62"/>
    <n v="53.17"/>
    <n v="55.963393220527777"/>
    <n v="34.358944833002752"/>
    <n v="51.373062997202204"/>
    <n v="58.654143972545775"/>
    <s v="2. Riesgo (&gt;=40 y &lt;60)"/>
    <s v="1. Deterioro (&lt;40)"/>
    <s v="2. Riesgo (&gt;=40 y &lt;60)"/>
    <s v="2. Riesgo (&gt;=40 y &lt;60)"/>
    <n v="65.262541666666678"/>
    <n v="50.087386255819624"/>
    <n v="57.674963961243151"/>
    <n v="49.202099699161025"/>
    <x v="2"/>
    <n v="50.797900300838975"/>
    <n v="0.81759069605862034"/>
    <n v="47.154513930228632"/>
    <n v="0.41922725188236104"/>
    <n v="3"/>
    <b v="1"/>
    <n v="0"/>
    <n v="0.81759069605862023"/>
    <n v="47.154513930228624"/>
    <n v="0.39609157413552015"/>
    <n v="3"/>
    <b v="1"/>
    <n v="0"/>
    <n v="49.202099699161025"/>
    <x v="2"/>
    <n v="50.797900300838975"/>
    <n v="0.94927242218174535"/>
    <n v="54.749252738734157"/>
    <n v="0.52613294459548077"/>
    <n v="2"/>
    <b v="0"/>
    <n v="-1"/>
    <n v="0.10154295481416965"/>
    <n v="5.8564862594253766"/>
    <n v="0.34958549189038041"/>
    <n v="3"/>
  </r>
  <r>
    <n v="17388"/>
    <s v="17388"/>
    <s v="17"/>
    <s v="COLOMBIA"/>
    <s v="CALDAS"/>
    <s v="LA MERCED"/>
    <x v="5"/>
    <n v="0"/>
    <n v="0"/>
    <n v="0"/>
    <n v="63.34"/>
    <n v="67.508300000000006"/>
    <n v="66.650000000000006"/>
    <n v="65.599999999999994"/>
    <n v="53.707922672117611"/>
    <n v="52.181992522014497"/>
    <n v="50.311158060611"/>
    <n v="55.310497457685187"/>
    <s v="2. Riesgo (&gt;=40 y &lt;60)"/>
    <s v="2. Riesgo (&gt;=40 y &lt;60)"/>
    <s v="2. Riesgo (&gt;=40 y &lt;60)"/>
    <s v="2. Riesgo (&gt;=40 y &lt;60)"/>
    <n v="65.774574999999999"/>
    <n v="52.877892678107074"/>
    <n v="59.326233839053536"/>
    <n v="49.069778520012136"/>
    <x v="2"/>
    <n v="50.930221479987864"/>
    <n v="0.81759069605862034"/>
    <n v="48.504576819008257"/>
    <n v="0.43611511552056925"/>
    <n v="3"/>
    <b v="1"/>
    <n v="0"/>
    <n v="0.81759069605862023"/>
    <n v="48.50457681900825"/>
    <n v="0.41204745596860515"/>
    <n v="3"/>
    <b v="1"/>
    <n v="0"/>
    <n v="49.069778520012136"/>
    <x v="2"/>
    <n v="50.930221479987864"/>
    <n v="0.94927242218174535"/>
    <n v="56.316757695318977"/>
    <n v="0.54615489209430035"/>
    <n v="2"/>
    <b v="0"/>
    <n v="-1"/>
    <n v="0.10180745951683848"/>
    <n v="6.0398531498559356"/>
    <n v="0.36053103188621161"/>
    <n v="3"/>
  </r>
  <r>
    <n v="19821"/>
    <s v="19821"/>
    <s v="19"/>
    <s v="COLOMBIA"/>
    <s v="CAUCA"/>
    <s v="TORIBÍO"/>
    <x v="5"/>
    <n v="0"/>
    <n v="0"/>
    <n v="1"/>
    <n v="46.23"/>
    <n v="55.8021666666667"/>
    <n v="43.55"/>
    <n v="60.9"/>
    <n v="47.874152904211968"/>
    <n v="53.970655326461831"/>
    <n v="57.674007635797089"/>
    <n v="59.044995586982623"/>
    <s v="2. Riesgo (&gt;=40 y &lt;60)"/>
    <s v="2. Riesgo (&gt;=40 y &lt;60)"/>
    <s v="2. Riesgo (&gt;=40 y &lt;60)"/>
    <s v="2. Riesgo (&gt;=40 y &lt;60)"/>
    <n v="51.620541666666675"/>
    <n v="54.640952863363381"/>
    <n v="53.130747265015032"/>
    <n v="49.141643182618004"/>
    <x v="2"/>
    <n v="50.858356817381996"/>
    <n v="0.81759069605862034"/>
    <n v="43.439204638518277"/>
    <n v="0.37275264894820526"/>
    <n v="3"/>
    <b v="1"/>
    <n v="0"/>
    <n v="0.81759069605862023"/>
    <n v="43.43920463851827"/>
    <n v="0.35218174110138678"/>
    <n v="3"/>
    <b v="1"/>
    <n v="0"/>
    <n v="49.141643182618004"/>
    <x v="2"/>
    <n v="50.858356817381996"/>
    <n v="0.94927242218174535"/>
    <n v="50.435553148586962"/>
    <n v="0.4710334909339236"/>
    <n v="3"/>
    <b v="1"/>
    <n v="0"/>
    <n v="0.10166380495347056"/>
    <n v="5.4014739269826277"/>
    <n v="0.32242488687791432"/>
    <n v="3"/>
  </r>
  <r>
    <n v="17050"/>
    <s v="17050"/>
    <s v="17"/>
    <s v="COLOMBIA"/>
    <s v="CALDAS"/>
    <s v="ARANZAZU"/>
    <x v="5"/>
    <n v="0"/>
    <n v="0"/>
    <n v="0"/>
    <n v="60.94"/>
    <n v="65.190366666666705"/>
    <n v="54.92"/>
    <n v="50.64"/>
    <n v="56.95441865864462"/>
    <n v="47.415292010877238"/>
    <n v="53.437954058906293"/>
    <n v="60.46316299706217"/>
    <s v="2. Riesgo (&gt;=40 y &lt;60)"/>
    <s v="2. Riesgo (&gt;=40 y &lt;60)"/>
    <s v="2. Riesgo (&gt;=40 y &lt;60)"/>
    <s v="3. Vulnerable (&gt;=60 y &lt;70)"/>
    <n v="57.922591666666676"/>
    <n v="54.567706931372577"/>
    <n v="56.24514929901963"/>
    <n v="49.300292066801873"/>
    <x v="2"/>
    <n v="50.699707933198127"/>
    <n v="0.81759069605862034"/>
    <n v="45.985510765306479"/>
    <n v="0.40460425453467108"/>
    <n v="3"/>
    <b v="1"/>
    <n v="0"/>
    <n v="0.81759069605862023"/>
    <n v="45.985510765306472"/>
    <n v="0.38227556858717054"/>
    <n v="3"/>
    <b v="1"/>
    <n v="0"/>
    <n v="49.300292066801873"/>
    <x v="2"/>
    <n v="50.699707933198127"/>
    <n v="0.94927242218174535"/>
    <n v="53.391969111054259"/>
    <n v="0.50879618185016706"/>
    <n v="2"/>
    <b v="0"/>
    <n v="-1"/>
    <n v="0.10134667222982265"/>
    <n v="5.7002587105251816"/>
    <n v="0.34025995399789299"/>
    <n v="3"/>
  </r>
  <r>
    <n v="52354"/>
    <s v="52354"/>
    <s v="52"/>
    <s v="COLOMBIA"/>
    <s v="NARIÑO"/>
    <s v="IMUÉS"/>
    <x v="5"/>
    <n v="0"/>
    <n v="0"/>
    <n v="0"/>
    <n v="64.77"/>
    <n v="67.516800000000003"/>
    <n v="57.18"/>
    <n v="49.02"/>
    <n v="56.01672823695197"/>
    <n v="54.110272238028855"/>
    <n v="58.672716339546426"/>
    <n v="76.569346204624651"/>
    <s v="2. Riesgo (&gt;=40 y &lt;60)"/>
    <s v="2. Riesgo (&gt;=40 y &lt;60)"/>
    <s v="2. Riesgo (&gt;=40 y &lt;60)"/>
    <s v="4. Solvente (&gt;=70 y &lt;80)"/>
    <n v="59.621700000000004"/>
    <n v="61.342265754787974"/>
    <n v="60.481982877393989"/>
    <n v="49.340179262237193"/>
    <x v="2"/>
    <n v="50.659820737762807"/>
    <n v="0.81759069605862034"/>
    <n v="49.449506479734112"/>
    <n v="0.44793518952650058"/>
    <n v="3"/>
    <b v="1"/>
    <n v="0"/>
    <n v="0.81759069605862023"/>
    <n v="49.449506479734104"/>
    <n v="0.423215221657467"/>
    <n v="3"/>
    <b v="1"/>
    <n v="0"/>
    <n v="49.340179262237193"/>
    <x v="3"/>
    <n v="50.659820737762807"/>
    <n v="0.80397277260026034"/>
    <n v="48.625867466299916"/>
    <n v="0.44791813709219813"/>
    <n v="3"/>
    <b v="1"/>
    <n v="0"/>
    <n v="0.10126693933417605"/>
    <n v="6.1248252908557319"/>
    <n v="0.36560319058215079"/>
    <n v="3"/>
  </r>
  <r>
    <n v="15599"/>
    <s v="15599"/>
    <s v="15"/>
    <s v="COLOMBIA"/>
    <s v="BOYACÁ"/>
    <s v="RAMIRIQUÍ"/>
    <x v="5"/>
    <n v="0"/>
    <n v="0"/>
    <n v="0"/>
    <n v="36.159999999999997"/>
    <n v="36.253866666666703"/>
    <n v="40.840000000000003"/>
    <n v="45.52"/>
    <n v="57.056624614963539"/>
    <n v="51.135753840412036"/>
    <n v="52.660565182834951"/>
    <n v="56.985725164157188"/>
    <s v="2. Riesgo (&gt;=40 y &lt;60)"/>
    <s v="2. Riesgo (&gt;=40 y &lt;60)"/>
    <s v="2. Riesgo (&gt;=40 y &lt;60)"/>
    <s v="2. Riesgo (&gt;=40 y &lt;60)"/>
    <n v="39.69346666666668"/>
    <n v="54.459667200591923"/>
    <n v="47.076566933629302"/>
    <n v="49.529658473620685"/>
    <x v="2"/>
    <n v="50.470341526379315"/>
    <n v="0.81759069605862034"/>
    <n v="38.48936312731621"/>
    <n v="0.31083534926782863"/>
    <n v="4"/>
    <b v="0"/>
    <n v="1"/>
    <n v="0.81759069605862023"/>
    <n v="38.489363127316203"/>
    <n v="0.29368143944756436"/>
    <n v="4"/>
    <b v="0"/>
    <n v="1"/>
    <n v="49.529658473620685"/>
    <x v="3"/>
    <n v="50.470341526379315"/>
    <n v="0.80397277260026034"/>
    <n v="37.848278042131689"/>
    <n v="0.31025456626389603"/>
    <n v="4"/>
    <b v="0"/>
    <n v="1"/>
    <n v="0.10088817802936241"/>
    <n v="4.7494690658111889"/>
    <n v="0.28350540000287799"/>
    <n v="4"/>
  </r>
  <r>
    <n v="20443"/>
    <s v="20443"/>
    <s v="20"/>
    <s v="COLOMBIA"/>
    <s v="CESAR"/>
    <s v="MANAURE"/>
    <x v="5"/>
    <n v="0"/>
    <n v="0"/>
    <n v="1"/>
    <n v="56.78"/>
    <n v="60.518366666666701"/>
    <n v="47.01"/>
    <n v="27.11"/>
    <n v="52.853215120090944"/>
    <n v="39.129579925283288"/>
    <n v="49.004062230245971"/>
    <n v="64.144072731714104"/>
    <s v="2. Riesgo (&gt;=40 y &lt;60)"/>
    <s v="1. Deterioro (&lt;40)"/>
    <s v="2. Riesgo (&gt;=40 y &lt;60)"/>
    <s v="3. Vulnerable (&gt;=60 y &lt;70)"/>
    <n v="47.854591666666678"/>
    <n v="51.282732501833578"/>
    <n v="49.568662084250128"/>
    <n v="49.270225431955552"/>
    <x v="2"/>
    <n v="50.729774568044448"/>
    <n v="0.81759069605862034"/>
    <n v="40.526876936156604"/>
    <n v="0.33632249927442331"/>
    <n v="4"/>
    <b v="0"/>
    <n v="1"/>
    <n v="0.81759069605862023"/>
    <n v="40.526876936156597"/>
    <n v="0.31776204327523022"/>
    <n v="4"/>
    <b v="0"/>
    <n v="1"/>
    <n v="49.270225431955552"/>
    <x v="2"/>
    <n v="50.729774568044448"/>
    <n v="0.94927242218174535"/>
    <n v="47.054163921024561"/>
    <n v="0.42784256046641606"/>
    <n v="3"/>
    <b v="1"/>
    <n v="0"/>
    <n v="0.1014067742207619"/>
    <n v="5.0265981244027937"/>
    <n v="0.30004779316719998"/>
    <n v="3"/>
  </r>
  <r>
    <n v="52352"/>
    <s v="52352"/>
    <s v="52"/>
    <s v="COLOMBIA"/>
    <s v="NARIÑO"/>
    <s v="ILES"/>
    <x v="5"/>
    <n v="0"/>
    <n v="0"/>
    <n v="0"/>
    <n v="58.6"/>
    <n v="56.4838666666667"/>
    <n v="40.729999999999997"/>
    <n v="56.26"/>
    <n v="53.07498170123089"/>
    <n v="64.013198349070507"/>
    <n v="54.781812642626612"/>
    <n v="63.020219198785817"/>
    <s v="2. Riesgo (&gt;=40 y &lt;60)"/>
    <s v="3. Vulnerable (&gt;=60 y &lt;70)"/>
    <s v="2. Riesgo (&gt;=40 y &lt;60)"/>
    <s v="3. Vulnerable (&gt;=60 y &lt;70)"/>
    <n v="53.018466666666669"/>
    <n v="58.722552972928455"/>
    <n v="55.870509819797562"/>
    <n v="49.440855876560441"/>
    <x v="2"/>
    <n v="50.559144123439559"/>
    <n v="0.81759069605862034"/>
    <n v="45.679209012718268"/>
    <n v="0.4007727424822734"/>
    <n v="3"/>
    <b v="1"/>
    <n v="0"/>
    <n v="0.81759069605862023"/>
    <n v="45.679209012718268"/>
    <n v="0.37865550421077537"/>
    <n v="3"/>
    <b v="1"/>
    <n v="0"/>
    <n v="49.440855876560441"/>
    <x v="3"/>
    <n v="50.559144123439559"/>
    <n v="0.80397277260026034"/>
    <n v="44.91836868641272"/>
    <n v="0.40056176631263168"/>
    <n v="3"/>
    <b v="1"/>
    <n v="0"/>
    <n v="0.10106569084086185"/>
    <n v="5.6465916725689969"/>
    <n v="0.33705646012270146"/>
    <n v="3"/>
  </r>
  <r>
    <n v="66687"/>
    <s v="66687"/>
    <s v="66"/>
    <s v="COLOMBIA"/>
    <s v="RISARALDA"/>
    <s v="SANTUARIO"/>
    <x v="5"/>
    <n v="0"/>
    <n v="0"/>
    <n v="0"/>
    <n v="59.25"/>
    <n v="59.532600000000002"/>
    <n v="64.53"/>
    <n v="65.2"/>
    <n v="49.354905238141114"/>
    <n v="57.227129776998936"/>
    <n v="56.608032764489636"/>
    <n v="63.165060102942917"/>
    <s v="2. Riesgo (&gt;=40 y &lt;60)"/>
    <s v="2. Riesgo (&gt;=40 y &lt;60)"/>
    <s v="2. Riesgo (&gt;=40 y &lt;60)"/>
    <s v="3. Vulnerable (&gt;=60 y &lt;70)"/>
    <n v="62.128150000000005"/>
    <n v="56.588781970643154"/>
    <n v="59.35846598532158"/>
    <n v="49.472190259194996"/>
    <x v="2"/>
    <n v="50.527809740805004"/>
    <n v="0.81759069605862034"/>
    <n v="48.530929521911013"/>
    <n v="0.43644476005551552"/>
    <n v="3"/>
    <b v="1"/>
    <n v="0"/>
    <n v="0.81759069605862023"/>
    <n v="48.530929521911006"/>
    <n v="0.41235890858091928"/>
    <n v="3"/>
    <b v="1"/>
    <n v="0"/>
    <n v="49.472190259194996"/>
    <x v="3"/>
    <n v="50.527809740805004"/>
    <n v="0.80397277260026034"/>
    <n v="47.722590475517237"/>
    <n v="0.43638046098446459"/>
    <n v="3"/>
    <b v="1"/>
    <n v="0"/>
    <n v="0.10100305467320241"/>
    <n v="5.9953863852328606"/>
    <n v="0.3578767209060546"/>
    <n v="3"/>
  </r>
  <r>
    <n v="15835"/>
    <s v="15835"/>
    <s v="15"/>
    <s v="COLOMBIA"/>
    <s v="BOYACÁ"/>
    <s v="TURMEQUÉ"/>
    <x v="5"/>
    <n v="0"/>
    <n v="0"/>
    <n v="0"/>
    <n v="54.85"/>
    <n v="55.332933333333301"/>
    <n v="42.07"/>
    <n v="41.57"/>
    <n v="60.768889570113743"/>
    <n v="47.942355634746725"/>
    <n v="56.603329530309978"/>
    <n v="59.517546901002888"/>
    <s v="3. Vulnerable (&gt;=60 y &lt;70)"/>
    <s v="2. Riesgo (&gt;=40 y &lt;60)"/>
    <s v="2. Riesgo (&gt;=40 y &lt;60)"/>
    <s v="2. Riesgo (&gt;=40 y &lt;60)"/>
    <n v="48.45573333333332"/>
    <n v="56.208030409043332"/>
    <n v="52.33188187118833"/>
    <n v="49.57367130251528"/>
    <x v="2"/>
    <n v="50.42632869748472"/>
    <n v="0.81759069605862034"/>
    <n v="42.786059725122364"/>
    <n v="0.36458249456125652"/>
    <n v="3"/>
    <b v="1"/>
    <n v="0"/>
    <n v="0.81759069605862023"/>
    <n v="42.786059725122357"/>
    <n v="0.34446246880330433"/>
    <n v="3"/>
    <b v="1"/>
    <n v="0"/>
    <n v="49.57367130251528"/>
    <x v="3"/>
    <n v="50.42632869748472"/>
    <n v="0.80397277260026034"/>
    <n v="42.073408163368583"/>
    <n v="0.36422271042045234"/>
    <n v="3"/>
    <b v="1"/>
    <n v="0"/>
    <n v="0.10080019815875321"/>
    <n v="5.2750640626362486"/>
    <n v="0.31487922679270458"/>
    <n v="3"/>
  </r>
  <r>
    <n v="76890"/>
    <s v="76890"/>
    <s v="76"/>
    <s v="COLOMBIA"/>
    <s v="VALLE DEL CAUCA"/>
    <s v="YOTOCO"/>
    <x v="4"/>
    <n v="0"/>
    <n v="0"/>
    <n v="0"/>
    <n v="70.2"/>
    <n v="69.653933333333299"/>
    <n v="52.56"/>
    <n v="69.180000000000007"/>
    <n v="65.224454134576135"/>
    <n v="55.675529082885554"/>
    <n v="75.311075543247156"/>
    <n v="69.091354746722189"/>
    <s v="3. Vulnerable (&gt;=60 y &lt;70)"/>
    <s v="2. Riesgo (&gt;=40 y &lt;60)"/>
    <s v="4. Solvente (&gt;=70 y &lt;80)"/>
    <s v="3. Vulnerable (&gt;=60 y &lt;70)"/>
    <n v="65.398483333333331"/>
    <n v="66.325603376857757"/>
    <n v="65.862043355095551"/>
    <n v="49.594608825577637"/>
    <x v="2"/>
    <n v="50.405391174422363"/>
    <n v="0.81759069605862034"/>
    <n v="53.848193870535603"/>
    <n v="0.50295813213187068"/>
    <n v="2"/>
    <b v="1"/>
    <n v="0"/>
    <n v="0.81759069605862023"/>
    <n v="53.848193870535596"/>
    <n v="0.47520164155806321"/>
    <n v="2"/>
    <b v="1"/>
    <n v="0"/>
    <n v="49.594608825577637"/>
    <x v="3"/>
    <n v="50.405391174422363"/>
    <n v="0.80397277260026034"/>
    <n v="52.95128960531472"/>
    <n v="0.5031673244161553"/>
    <n v="2"/>
    <b v="1"/>
    <n v="0"/>
    <n v="0.10075834489423537"/>
    <n v="6.6361504798117998"/>
    <n v="0.39612522372266523"/>
    <n v="2"/>
  </r>
  <r>
    <n v="47570"/>
    <s v="47570"/>
    <s v="47"/>
    <s v="COLOMBIA"/>
    <s v="MAGDALENA"/>
    <s v="PUEBLOVIEJO"/>
    <x v="5"/>
    <n v="0"/>
    <n v="0"/>
    <n v="0"/>
    <n v="63.58"/>
    <n v="69.092833333333303"/>
    <n v="69.650000000000006"/>
    <n v="66.930000000000007"/>
    <n v="53.601404229387711"/>
    <n v="54.571199861560451"/>
    <n v="45.285291705408184"/>
    <n v="48.04733360580471"/>
    <s v="2. Riesgo (&gt;=40 y &lt;60)"/>
    <s v="2. Riesgo (&gt;=40 y &lt;60)"/>
    <s v="2. Riesgo (&gt;=40 y &lt;60)"/>
    <s v="2. Riesgo (&gt;=40 y &lt;60)"/>
    <n v="67.313208333333336"/>
    <n v="50.376307350540266"/>
    <n v="58.844757841936797"/>
    <n v="49.543551717930626"/>
    <x v="2"/>
    <n v="50.456448282069374"/>
    <n v="0.81759069605862034"/>
    <n v="48.110926523390063"/>
    <n v="0.43119096526890971"/>
    <n v="3"/>
    <b v="1"/>
    <n v="0"/>
    <n v="0.81759069605862023"/>
    <n v="48.110926523390056"/>
    <n v="0.40739505225271561"/>
    <n v="3"/>
    <b v="1"/>
    <n v="0"/>
    <n v="49.543551717930626"/>
    <x v="3"/>
    <n v="50.456448282069374"/>
    <n v="0.80397277260026034"/>
    <n v="47.309583115172842"/>
    <n v="0.43110506351238392"/>
    <n v="3"/>
    <b v="1"/>
    <n v="0"/>
    <n v="0.10086040599408475"/>
    <n v="5.9351061665613472"/>
    <n v="0.3542784729187694"/>
    <n v="3"/>
  </r>
  <r>
    <n v="68855"/>
    <s v="68855"/>
    <s v="68"/>
    <s v="COLOMBIA"/>
    <s v="SANTANDER"/>
    <s v="VALLE DE SAN JOSÉ"/>
    <x v="4"/>
    <n v="0"/>
    <n v="0"/>
    <n v="0"/>
    <n v="75.599999999999994"/>
    <n v="76.811033333333299"/>
    <n v="79.05"/>
    <n v="79.62"/>
    <n v="69.271383951228017"/>
    <n v="59.214844117177137"/>
    <n v="58.732527111263465"/>
    <n v="63.595097880147378"/>
    <s v="3. Vulnerable (&gt;=60 y &lt;70)"/>
    <s v="2. Riesgo (&gt;=40 y &lt;60)"/>
    <s v="2. Riesgo (&gt;=40 y &lt;60)"/>
    <s v="3. Vulnerable (&gt;=60 y &lt;70)"/>
    <n v="77.770258333333331"/>
    <n v="62.703463264953996"/>
    <n v="70.23686079914367"/>
    <n v="49.123711417317018"/>
    <x v="2"/>
    <n v="50.876288582682982"/>
    <n v="0.81759069605862034"/>
    <n v="57.425003909744298"/>
    <n v="0.54770025540920397"/>
    <n v="2"/>
    <b v="1"/>
    <n v="0"/>
    <n v="0.81759069605862023"/>
    <n v="57.425003909744291"/>
    <n v="0.51747460439507209"/>
    <n v="2"/>
    <b v="1"/>
    <n v="0"/>
    <n v="49.123711417317018"/>
    <x v="2"/>
    <n v="50.876288582682982"/>
    <n v="0.94927242218174535"/>
    <n v="66.67391497724519"/>
    <n v="0.67844822773232516"/>
    <n v="1"/>
    <b v="0"/>
    <n v="-1"/>
    <n v="0.10169964982939875"/>
    <n v="7.1430641483891355"/>
    <n v="0.4263839243027896"/>
    <n v="2"/>
  </r>
  <r>
    <n v="13654"/>
    <s v="13654"/>
    <s v="13"/>
    <s v="COLOMBIA"/>
    <s v="BOLÍVAR"/>
    <s v="SAN JACINTO"/>
    <x v="6"/>
    <n v="0"/>
    <n v="0"/>
    <n v="1"/>
    <n v="49.14"/>
    <n v="46.187333333333299"/>
    <n v="34.03"/>
    <n v="33.79"/>
    <n v="53.291878104360777"/>
    <n v="37.889263006424002"/>
    <n v="50.325364292901064"/>
    <n v="46.070801737494875"/>
    <s v="2. Riesgo (&gt;=40 y &lt;60)"/>
    <s v="1. Deterioro (&lt;40)"/>
    <s v="2. Riesgo (&gt;=40 y &lt;60)"/>
    <s v="2. Riesgo (&gt;=40 y &lt;60)"/>
    <n v="40.786833333333327"/>
    <n v="46.894326785295178"/>
    <n v="43.840580059314249"/>
    <n v="49.538281861237564"/>
    <x v="2"/>
    <n v="50.461718138762436"/>
    <n v="0.81759069605862034"/>
    <n v="35.84365036630841"/>
    <n v="0.27774027147174501"/>
    <n v="4"/>
    <b v="1"/>
    <n v="0"/>
    <n v="0.81759069605862023"/>
    <n v="35.843650366308403"/>
    <n v="0.26241276261052826"/>
    <n v="4"/>
    <b v="1"/>
    <n v="0"/>
    <n v="49.538281861237564"/>
    <x v="3"/>
    <n v="50.461718138762436"/>
    <n v="0.80397277260026034"/>
    <n v="35.246632702690562"/>
    <n v="0.27702340729497693"/>
    <n v="4"/>
    <b v="1"/>
    <n v="0"/>
    <n v="0.10087094022516302"/>
    <n v="4.4222405305995611"/>
    <n v="0.2639724679041438"/>
    <n v="4"/>
  </r>
  <r>
    <n v="5042"/>
    <s v="05042"/>
    <s v="50"/>
    <s v="COLOMBIA"/>
    <s v="ANTIOQUIA"/>
    <s v="SANTAFÉ DE ANTIOQUIA"/>
    <x v="5"/>
    <n v="0"/>
    <n v="0"/>
    <n v="0"/>
    <n v="58.28"/>
    <n v="65.990399999999994"/>
    <n v="64.069999999999993"/>
    <n v="62.23"/>
    <n v="52.875805769117292"/>
    <n v="46.786457573539799"/>
    <n v="63.740784411565599"/>
    <n v="64.371823735681261"/>
    <s v="2. Riesgo (&gt;=40 y &lt;60)"/>
    <s v="2. Riesgo (&gt;=40 y &lt;60)"/>
    <s v="3. Vulnerable (&gt;=60 y &lt;70)"/>
    <s v="3. Vulnerable (&gt;=60 y &lt;70)"/>
    <n v="62.642599999999995"/>
    <n v="56.943717872475993"/>
    <n v="59.793158936237994"/>
    <n v="49.637514695016002"/>
    <x v="2"/>
    <n v="50.362485304983998"/>
    <n v="0.81759069605862034"/>
    <n v="48.886330434222536"/>
    <n v="0.44089045084065903"/>
    <n v="3"/>
    <b v="1"/>
    <n v="0"/>
    <n v="0.81759069605862023"/>
    <n v="48.886330434222529"/>
    <n v="0.41655925732566496"/>
    <n v="3"/>
    <b v="1"/>
    <n v="0"/>
    <n v="49.637514695016002"/>
    <x v="3"/>
    <n v="50.362485304983998"/>
    <n v="0.80397277260026034"/>
    <n v="48.072071772495292"/>
    <n v="0.44084443167273552"/>
    <n v="3"/>
    <b v="1"/>
    <n v="0"/>
    <n v="0.10067257779095273"/>
    <n v="6.0195314443752199"/>
    <n v="0.35931798824676076"/>
    <n v="3"/>
  </r>
  <r>
    <n v="19364"/>
    <s v="19364"/>
    <s v="19"/>
    <s v="COLOMBIA"/>
    <s v="CAUCA"/>
    <s v="JAMBALÓ"/>
    <x v="5"/>
    <n v="0"/>
    <n v="0"/>
    <n v="1"/>
    <n v="49"/>
    <n v="54.083100000000002"/>
    <n v="64.95"/>
    <n v="54.87"/>
    <n v="57.396174927829691"/>
    <n v="59.759727645475984"/>
    <n v="49.805884891959032"/>
    <n v="51.069438588074512"/>
    <s v="2. Riesgo (&gt;=40 y &lt;60)"/>
    <s v="2. Riesgo (&gt;=40 y &lt;60)"/>
    <s v="2. Riesgo (&gt;=40 y &lt;60)"/>
    <s v="2. Riesgo (&gt;=40 y &lt;60)"/>
    <n v="55.725774999999999"/>
    <n v="54.507806513334806"/>
    <n v="55.116790756667399"/>
    <n v="49.402296849651769"/>
    <x v="2"/>
    <n v="50.597703150348231"/>
    <n v="0.81759069605862034"/>
    <n v="45.062975319261028"/>
    <n v="0.39306430854866425"/>
    <n v="3"/>
    <b v="1"/>
    <n v="0"/>
    <n v="0.81759069605862023"/>
    <n v="45.062975319261021"/>
    <n v="0.3713724716379318"/>
    <n v="3"/>
    <b v="1"/>
    <n v="0"/>
    <n v="49.402296849651769"/>
    <x v="3"/>
    <n v="50.597703150348231"/>
    <n v="0.80397277260026034"/>
    <n v="44.312399081466289"/>
    <n v="0.39282163664659747"/>
    <n v="3"/>
    <b v="1"/>
    <n v="0"/>
    <n v="0.10114276878116799"/>
    <n v="5.5746648234616272"/>
    <n v="0.33276300124454605"/>
    <n v="3"/>
  </r>
  <r>
    <n v="5306"/>
    <s v="05306"/>
    <s v="50"/>
    <s v="COLOMBIA"/>
    <s v="ANTIOQUIA"/>
    <s v="GIRALDO"/>
    <x v="5"/>
    <n v="0"/>
    <n v="0"/>
    <n v="0"/>
    <n v="70.099999999999994"/>
    <n v="71.308433333333298"/>
    <n v="76.349999999999994"/>
    <n v="78.17"/>
    <n v="51.237581641870463"/>
    <n v="55.350168191104679"/>
    <n v="61.055077087282037"/>
    <n v="58.544452486491878"/>
    <s v="2. Riesgo (&gt;=40 y &lt;60)"/>
    <s v="2. Riesgo (&gt;=40 y &lt;60)"/>
    <s v="3. Vulnerable (&gt;=60 y &lt;70)"/>
    <s v="2. Riesgo (&gt;=40 y &lt;60)"/>
    <n v="73.982108333333315"/>
    <n v="56.54681985168726"/>
    <n v="65.264464092510281"/>
    <n v="49.699834143825647"/>
    <x v="2"/>
    <n v="50.300165856174353"/>
    <n v="0.81759069605862034"/>
    <n v="53.359618625288313"/>
    <n v="0.49684657082067968"/>
    <n v="2"/>
    <b v="0"/>
    <n v="-1"/>
    <n v="0.81759069605862023"/>
    <n v="53.359618625288306"/>
    <n v="0.46942735582328304"/>
    <n v="2"/>
    <b v="0"/>
    <n v="-1"/>
    <n v="49.699834143825647"/>
    <x v="3"/>
    <n v="50.300165856174353"/>
    <n v="0.80397277260026034"/>
    <n v="52.470852148725626"/>
    <n v="0.49703063343353082"/>
    <n v="2"/>
    <b v="0"/>
    <n v="-1"/>
    <n v="0.10054800372515386"/>
    <n v="6.5622115786938942"/>
    <n v="0.39171166139669922"/>
    <n v="2"/>
  </r>
  <r>
    <n v="68498"/>
    <s v="68498"/>
    <s v="68"/>
    <s v="COLOMBIA"/>
    <s v="SANTANDER"/>
    <s v="OCAMONTE"/>
    <x v="5"/>
    <n v="0"/>
    <n v="0"/>
    <n v="0"/>
    <n v="60.48"/>
    <n v="62.447366666666703"/>
    <n v="56.8"/>
    <n v="35.65"/>
    <n v="57.019534614821161"/>
    <n v="73.470297626046445"/>
    <n v="49.17535388813959"/>
    <n v="63.481018588817889"/>
    <s v="2. Riesgo (&gt;=40 y &lt;60)"/>
    <s v="4. Solvente (&gt;=70 y &lt;80)"/>
    <s v="2. Riesgo (&gt;=40 y &lt;60)"/>
    <s v="3. Vulnerable (&gt;=60 y &lt;70)"/>
    <n v="53.844341666666672"/>
    <n v="60.786551179456268"/>
    <n v="57.315446423061474"/>
    <n v="49.428269217822859"/>
    <x v="2"/>
    <n v="50.571730782177141"/>
    <n v="0.81759069605862034"/>
    <n v="46.860575735941389"/>
    <n v="0.41555039491188966"/>
    <n v="3"/>
    <b v="1"/>
    <n v="0"/>
    <n v="0.81759069605862023"/>
    <n v="46.860575735941381"/>
    <n v="0.39261762997095079"/>
    <n v="3"/>
    <b v="1"/>
    <n v="0"/>
    <n v="49.428269217822859"/>
    <x v="3"/>
    <n v="50.571730782177141"/>
    <n v="0.80397277260026034"/>
    <n v="46.080058373570409"/>
    <n v="0.41540018186499278"/>
    <n v="3"/>
    <b v="1"/>
    <n v="0"/>
    <n v="0.10109085106425458"/>
    <n v="5.7940672580349704"/>
    <n v="0.3458595756433725"/>
    <n v="3"/>
  </r>
  <r>
    <n v="13468"/>
    <s v="13468"/>
    <s v="13"/>
    <s v="COLOMBIA"/>
    <s v="BOLÍVAR"/>
    <s v="SANTA CRUZ DE MOMPOX"/>
    <x v="5"/>
    <n v="0"/>
    <n v="0"/>
    <n v="0"/>
    <n v="57.51"/>
    <n v="58.300766666666703"/>
    <n v="35.58"/>
    <n v="41.92"/>
    <n v="43.386905885540351"/>
    <n v="21.026624090858725"/>
    <n v="42.302000736036902"/>
    <n v="44.103486311091132"/>
    <s v="2. Riesgo (&gt;=40 y &lt;60)"/>
    <s v="1. Deterioro (&lt;40)"/>
    <s v="2. Riesgo (&gt;=40 y &lt;60)"/>
    <s v="2. Riesgo (&gt;=40 y &lt;60)"/>
    <n v="48.327691666666681"/>
    <n v="37.704754255881781"/>
    <n v="43.016222961274231"/>
    <n v="49.689318729005329"/>
    <x v="2"/>
    <n v="50.310681270994671"/>
    <n v="0.81759069605862034"/>
    <n v="35.169663672721008"/>
    <n v="0.26930940838390788"/>
    <n v="4"/>
    <b v="0"/>
    <n v="1"/>
    <n v="0.81759069605862023"/>
    <n v="35.169663672721001"/>
    <n v="0.25444716920793259"/>
    <n v="4"/>
    <b v="0"/>
    <n v="1"/>
    <n v="49.689318729005329"/>
    <x v="3"/>
    <n v="50.310681270994671"/>
    <n v="0.80397277260026034"/>
    <n v="34.583872040966625"/>
    <n v="0.26855787797235786"/>
    <n v="4"/>
    <b v="0"/>
    <n v="1"/>
    <n v="0.10056902361545697"/>
    <n v="4.3260995428401507"/>
    <n v="0.25823361818984458"/>
    <n v="4"/>
  </r>
  <r>
    <n v="5642"/>
    <s v="05642"/>
    <s v="50"/>
    <s v="COLOMBIA"/>
    <s v="ANTIOQUIA"/>
    <s v="SALGAR"/>
    <x v="5"/>
    <n v="0"/>
    <n v="0"/>
    <n v="0"/>
    <n v="49.75"/>
    <n v="54.641066666666703"/>
    <n v="50.51"/>
    <n v="52.25"/>
    <n v="51.205222272027328"/>
    <n v="46.697722736078148"/>
    <n v="47.847047101570162"/>
    <n v="58.975416623104259"/>
    <s v="2. Riesgo (&gt;=40 y &lt;60)"/>
    <s v="2. Riesgo (&gt;=40 y &lt;60)"/>
    <s v="2. Riesgo (&gt;=40 y &lt;60)"/>
    <s v="2. Riesgo (&gt;=40 y &lt;60)"/>
    <n v="51.787766666666677"/>
    <n v="51.181352183194974"/>
    <n v="51.484559424930822"/>
    <n v="49.7142945398558"/>
    <x v="2"/>
    <n v="50.2857054601442"/>
    <n v="0.81759069605862034"/>
    <n v="42.093296776500594"/>
    <n v="0.35591676031497788"/>
    <n v="3"/>
    <b v="1"/>
    <n v="0"/>
    <n v="0.81759069605862023"/>
    <n v="42.093296776500587"/>
    <n v="0.3362749659555368"/>
    <n v="4"/>
    <b v="0"/>
    <n v="1"/>
    <n v="49.7142945398558"/>
    <x v="3"/>
    <n v="50.2857054601442"/>
    <n v="0.80397277260026034"/>
    <n v="41.392183986964497"/>
    <n v="0.35552134419025816"/>
    <n v="3"/>
    <b v="1"/>
    <n v="0"/>
    <n v="0.10051909797645187"/>
    <n v="5.1751814731090793"/>
    <n v="0.30891703331279258"/>
    <n v="3"/>
  </r>
  <r>
    <n v="5364"/>
    <s v="05364"/>
    <s v="50"/>
    <s v="COLOMBIA"/>
    <s v="ANTIOQUIA"/>
    <s v="JARDÍN"/>
    <x v="5"/>
    <n v="0"/>
    <n v="0"/>
    <n v="0"/>
    <n v="52.62"/>
    <n v="56.977566666666696"/>
    <n v="74.06"/>
    <n v="72.2"/>
    <n v="53.067190450833429"/>
    <n v="47.193565133689347"/>
    <n v="56.35381456504718"/>
    <n v="64.712339287733798"/>
    <s v="2. Riesgo (&gt;=40 y &lt;60)"/>
    <s v="2. Riesgo (&gt;=40 y &lt;60)"/>
    <s v="2. Riesgo (&gt;=40 y &lt;60)"/>
    <s v="3. Vulnerable (&gt;=60 y &lt;70)"/>
    <n v="63.964391666666671"/>
    <n v="55.331727359325939"/>
    <n v="59.648059512996305"/>
    <n v="49.722697833324219"/>
    <x v="2"/>
    <n v="50.277302166675781"/>
    <n v="0.81759069605862034"/>
    <n v="48.767698495776656"/>
    <n v="0.43940649034055129"/>
    <n v="3"/>
    <b v="1"/>
    <n v="0"/>
    <n v="0.81759069605862023"/>
    <n v="48.767698495776649"/>
    <n v="0.4151571913869565"/>
    <n v="3"/>
    <b v="1"/>
    <n v="0"/>
    <n v="49.722697833324219"/>
    <x v="3"/>
    <n v="50.277302166675781"/>
    <n v="0.80397277260026034"/>
    <n v="47.955415786888977"/>
    <n v="0.43935436938653932"/>
    <n v="3"/>
    <b v="1"/>
    <n v="0"/>
    <n v="0.10050230013158229"/>
    <n v="5.9947671794416371"/>
    <n v="0.35783975926190187"/>
    <n v="3"/>
  </r>
  <r>
    <n v="5240"/>
    <s v="05240"/>
    <s v="50"/>
    <s v="COLOMBIA"/>
    <s v="ANTIOQUIA"/>
    <s v="EBÉJICO"/>
    <x v="5"/>
    <n v="0"/>
    <n v="0"/>
    <n v="0"/>
    <n v="80.44"/>
    <n v="82.656000000000006"/>
    <n v="70.989999999999995"/>
    <n v="28.94"/>
    <n v="48.467517142582118"/>
    <n v="63.884248078770206"/>
    <n v="54.324479296877932"/>
    <n v="60.585371048144061"/>
    <s v="2. Riesgo (&gt;=40 y &lt;60)"/>
    <s v="3. Vulnerable (&gt;=60 y &lt;70)"/>
    <s v="2. Riesgo (&gt;=40 y &lt;60)"/>
    <s v="3. Vulnerable (&gt;=60 y &lt;70)"/>
    <n v="65.756500000000003"/>
    <n v="56.815403891593576"/>
    <n v="61.285951945796789"/>
    <n v="49.573482413551304"/>
    <x v="2"/>
    <n v="50.426517586448696"/>
    <n v="0.81759069605862034"/>
    <n v="50.106824109979158"/>
    <n v="0.45615754020277377"/>
    <n v="3"/>
    <b v="1"/>
    <n v="0"/>
    <n v="0.81759069605862023"/>
    <n v="50.106824109979151"/>
    <n v="0.43098380971522332"/>
    <n v="3"/>
    <b v="1"/>
    <n v="0"/>
    <n v="49.573482413551304"/>
    <x v="3"/>
    <n v="50.426517586448696"/>
    <n v="0.80397277260026034"/>
    <n v="49.272236707308565"/>
    <n v="0.4561742966366778"/>
    <n v="3"/>
    <b v="1"/>
    <n v="0"/>
    <n v="0.10080057574017726"/>
    <n v="6.1776592409211526"/>
    <n v="0.36875695575873707"/>
    <n v="3"/>
  </r>
  <r>
    <n v="25288"/>
    <s v="25288"/>
    <s v="25"/>
    <s v="COLOMBIA"/>
    <s v="CUNDINAMARCA"/>
    <s v="FÚQUENE"/>
    <x v="4"/>
    <n v="0"/>
    <n v="0"/>
    <n v="0"/>
    <n v="73.16"/>
    <n v="77.146366666666694"/>
    <n v="73.19"/>
    <n v="36.83"/>
    <n v="49.929202196833835"/>
    <n v="55.589468438890464"/>
    <n v="57.304477082776913"/>
    <n v="69.422668108974023"/>
    <s v="2. Riesgo (&gt;=40 y &lt;60)"/>
    <s v="2. Riesgo (&gt;=40 y &lt;60)"/>
    <s v="2. Riesgo (&gt;=40 y &lt;60)"/>
    <s v="3. Vulnerable (&gt;=60 y &lt;70)"/>
    <n v="65.081591666666668"/>
    <n v="58.06145395686881"/>
    <n v="61.571522811767736"/>
    <n v="49.98835760755253"/>
    <x v="2"/>
    <n v="50.01164239244747"/>
    <n v="0.81759069605862034"/>
    <n v="50.340304193062401"/>
    <n v="0.45907812993093938"/>
    <n v="3"/>
    <b v="0"/>
    <n v="1"/>
    <n v="0.81759069605862023"/>
    <n v="50.340304193062394"/>
    <n v="0.43374322236704627"/>
    <n v="3"/>
    <b v="0"/>
    <n v="1"/>
    <n v="49.98835760755253"/>
    <x v="3"/>
    <n v="50.01164239244747"/>
    <n v="0.80397277260026034"/>
    <n v="49.501827908197086"/>
    <n v="0.45910689531910637"/>
    <n v="3"/>
    <b v="0"/>
    <n v="1"/>
    <n v="9.9971256952816057E-2"/>
    <n v="6.1553825279914074"/>
    <n v="0.36742721377655235"/>
    <n v="3"/>
  </r>
  <r>
    <n v="63212"/>
    <s v="63212"/>
    <s v="63"/>
    <s v="COLOMBIA"/>
    <s v="QUINDÍO"/>
    <s v="CÓRDOBA"/>
    <x v="5"/>
    <n v="0"/>
    <n v="0"/>
    <n v="0"/>
    <n v="53.53"/>
    <n v="57.083433333333303"/>
    <n v="57.41"/>
    <n v="56.64"/>
    <n v="59.007320800117682"/>
    <n v="49.40323958140003"/>
    <n v="52.530464112224614"/>
    <n v="46.320483748122228"/>
    <s v="2. Riesgo (&gt;=40 y &lt;60)"/>
    <s v="2. Riesgo (&gt;=40 y &lt;60)"/>
    <s v="2. Riesgo (&gt;=40 y &lt;60)"/>
    <s v="2. Riesgo (&gt;=40 y &lt;60)"/>
    <n v="56.165858333333318"/>
    <n v="51.81537706046614"/>
    <n v="53.990617696899733"/>
    <n v="49.908072236957764"/>
    <x v="2"/>
    <n v="50.091927763042236"/>
    <n v="0.81759069605862034"/>
    <n v="44.142226703443114"/>
    <n v="0.38154671392530737"/>
    <n v="3"/>
    <b v="1"/>
    <n v="0"/>
    <n v="0.81759069605862023"/>
    <n v="44.142226703443114"/>
    <n v="0.36049049255824078"/>
    <n v="3"/>
    <b v="1"/>
    <n v="0"/>
    <n v="49.908072236957764"/>
    <x v="3"/>
    <n v="50.091927763042236"/>
    <n v="0.80397277260026034"/>
    <n v="43.406986604177163"/>
    <n v="0.38125668368813576"/>
    <n v="3"/>
    <b v="1"/>
    <n v="0"/>
    <n v="0.10013174417197791"/>
    <n v="5.4061747189130278"/>
    <n v="0.32270548664140192"/>
    <n v="3"/>
  </r>
  <r>
    <n v="25779"/>
    <s v="25779"/>
    <s v="25"/>
    <s v="COLOMBIA"/>
    <s v="CUNDINAMARCA"/>
    <s v="SUSA"/>
    <x v="5"/>
    <n v="0"/>
    <n v="0"/>
    <n v="0"/>
    <n v="53.98"/>
    <n v="57.092466666666702"/>
    <n v="72.13"/>
    <n v="73.87"/>
    <n v="54.424062491466074"/>
    <n v="45.58107143905238"/>
    <n v="48.957909994842154"/>
    <n v="59.468102107349374"/>
    <s v="2. Riesgo (&gt;=40 y &lt;60)"/>
    <s v="2. Riesgo (&gt;=40 y &lt;60)"/>
    <s v="2. Riesgo (&gt;=40 y &lt;60)"/>
    <s v="2. Riesgo (&gt;=40 y &lt;60)"/>
    <n v="64.268116666666671"/>
    <n v="52.107786508177497"/>
    <n v="58.187951587422084"/>
    <n v="50.011394788854467"/>
    <x v="2"/>
    <n v="49.988605211145533"/>
    <n v="0.81759069605862034"/>
    <n v="47.573927840585725"/>
    <n v="0.42447367779699446"/>
    <n v="3"/>
    <b v="1"/>
    <n v="0"/>
    <n v="0.81759069605862023"/>
    <n v="47.573927840585718"/>
    <n v="0.40104846825388168"/>
    <n v="3"/>
    <b v="1"/>
    <n v="0"/>
    <n v="50.011394788854467"/>
    <x v="3"/>
    <n v="49.988605211145533"/>
    <n v="0.80397277260026034"/>
    <n v="46.78152876966945"/>
    <n v="0.4243601557289805"/>
    <n v="3"/>
    <b v="1"/>
    <n v="0"/>
    <n v="9.9925206556123775E-2"/>
    <n v="5.8144430814508823"/>
    <n v="0.34707584969166544"/>
    <n v="3"/>
  </r>
  <r>
    <n v="76616"/>
    <s v="76616"/>
    <s v="76"/>
    <s v="COLOMBIA"/>
    <s v="VALLE DEL CAUCA"/>
    <s v="RIOFRÍO"/>
    <x v="5"/>
    <n v="0"/>
    <n v="0"/>
    <n v="0"/>
    <n v="59.85"/>
    <n v="63.439333333333302"/>
    <n v="65.5"/>
    <n v="62.27"/>
    <n v="52.853540114811835"/>
    <n v="53.740284140277886"/>
    <n v="62.392172987668069"/>
    <n v="60.900459678533387"/>
    <s v="2. Riesgo (&gt;=40 y &lt;60)"/>
    <s v="2. Riesgo (&gt;=40 y &lt;60)"/>
    <s v="3. Vulnerable (&gt;=60 y &lt;70)"/>
    <s v="3. Vulnerable (&gt;=60 y &lt;70)"/>
    <n v="62.764833333333328"/>
    <n v="57.471614230322793"/>
    <n v="60.118223781828064"/>
    <n v="49.745080577286103"/>
    <x v="2"/>
    <n v="50.254919422713897"/>
    <n v="0.81759069605862034"/>
    <n v="49.152100427592707"/>
    <n v="0.44421495330974037"/>
    <n v="3"/>
    <b v="1"/>
    <n v="0"/>
    <n v="0.81759069605862023"/>
    <n v="49.1521004275927"/>
    <n v="0.41970029219466093"/>
    <n v="3"/>
    <b v="1"/>
    <n v="0"/>
    <n v="49.745080577286103"/>
    <x v="3"/>
    <n v="50.254919422713897"/>
    <n v="0.80397277260026034"/>
    <n v="48.333415057679218"/>
    <n v="0.44418260391464159"/>
    <n v="3"/>
    <b v="1"/>
    <n v="0"/>
    <n v="0.10045755792874952"/>
    <n v="6.0393299481365199"/>
    <n v="0.36049980091898354"/>
    <n v="3"/>
  </r>
  <r>
    <n v="25841"/>
    <s v="25841"/>
    <s v="25"/>
    <s v="COLOMBIA"/>
    <s v="CUNDINAMARCA"/>
    <s v="UBAQUE"/>
    <x v="5"/>
    <n v="0"/>
    <n v="0"/>
    <n v="0"/>
    <n v="59.24"/>
    <n v="59.613666666666703"/>
    <n v="56.56"/>
    <n v="65.37"/>
    <n v="51.284487960698776"/>
    <n v="60.006217259404188"/>
    <n v="68.286927701936051"/>
    <n v="63.431661463373288"/>
    <s v="2. Riesgo (&gt;=40 y &lt;60)"/>
    <s v="3. Vulnerable (&gt;=60 y &lt;70)"/>
    <s v="3. Vulnerable (&gt;=60 y &lt;70)"/>
    <s v="3. Vulnerable (&gt;=60 y &lt;70)"/>
    <n v="60.195916666666676"/>
    <n v="60.752323596353079"/>
    <n v="60.474120131509878"/>
    <n v="49.881920469341985"/>
    <x v="2"/>
    <n v="50.118079530658015"/>
    <n v="0.81759069605862034"/>
    <n v="49.443077971853789"/>
    <n v="0.44785477566920379"/>
    <n v="3"/>
    <b v="1"/>
    <n v="0"/>
    <n v="0.81759069605862023"/>
    <n v="49.443077971853782"/>
    <n v="0.42313924555816529"/>
    <n v="3"/>
    <b v="1"/>
    <n v="0"/>
    <n v="49.881920469341985"/>
    <x v="3"/>
    <n v="50.118079530658015"/>
    <n v="0.80397277260026034"/>
    <n v="48.619546032691218"/>
    <n v="0.44783739258718142"/>
    <n v="3"/>
    <b v="1"/>
    <n v="0"/>
    <n v="0.10018402050114886"/>
    <n v="6.0585404910441243"/>
    <n v="0.36164651702047323"/>
    <n v="3"/>
  </r>
  <r>
    <n v="5368"/>
    <s v="05368"/>
    <s v="50"/>
    <s v="COLOMBIA"/>
    <s v="ANTIOQUIA"/>
    <s v="JERICÓ"/>
    <x v="5"/>
    <n v="0"/>
    <n v="0"/>
    <n v="0"/>
    <n v="56.14"/>
    <n v="57.356866666666697"/>
    <n v="91.08"/>
    <n v="63.09"/>
    <n v="55.351948292095038"/>
    <n v="57.620432387535431"/>
    <n v="60.164683548911682"/>
    <n v="68.107916344446906"/>
    <s v="2. Riesgo (&gt;=40 y &lt;60)"/>
    <s v="2. Riesgo (&gt;=40 y &lt;60)"/>
    <s v="3. Vulnerable (&gt;=60 y &lt;70)"/>
    <s v="3. Vulnerable (&gt;=60 y &lt;70)"/>
    <n v="66.916716666666673"/>
    <n v="60.311245143247262"/>
    <n v="63.613980904956968"/>
    <n v="49.726094784679766"/>
    <x v="2"/>
    <n v="50.273905215320234"/>
    <n v="0.81759069605862034"/>
    <n v="52.010198927143549"/>
    <n v="0.47996675281932671"/>
    <n v="2"/>
    <b v="0"/>
    <n v="-1"/>
    <n v="0.81759069605862023"/>
    <n v="52.010198927143541"/>
    <n v="0.45347907561664913"/>
    <n v="3"/>
    <b v="1"/>
    <n v="0"/>
    <n v="49.726094784679766"/>
    <x v="3"/>
    <n v="50.273905215320234"/>
    <n v="0.80397277260026034"/>
    <n v="51.143908604298275"/>
    <n v="0.48008140857219028"/>
    <n v="3"/>
    <b v="1"/>
    <n v="0"/>
    <n v="0.10049550976276864"/>
    <n v="6.3929194390826805"/>
    <n v="0.38160627170097272"/>
    <n v="2"/>
  </r>
  <r>
    <n v="76054"/>
    <s v="76054"/>
    <s v="76"/>
    <s v="COLOMBIA"/>
    <s v="VALLE DEL CAUCA"/>
    <s v="ARGELIA"/>
    <x v="5"/>
    <n v="0"/>
    <n v="0"/>
    <n v="0"/>
    <n v="60.2"/>
    <n v="66.145133333333305"/>
    <n v="67.94"/>
    <n v="44.06"/>
    <n v="61.315134253084764"/>
    <n v="54.533270537887532"/>
    <n v="49.824282413939244"/>
    <n v="57.840969848278249"/>
    <s v="3. Vulnerable (&gt;=60 y &lt;70)"/>
    <s v="2. Riesgo (&gt;=40 y &lt;60)"/>
    <s v="2. Riesgo (&gt;=40 y &lt;60)"/>
    <s v="2. Riesgo (&gt;=40 y &lt;60)"/>
    <n v="59.586283333333327"/>
    <n v="55.878414263297444"/>
    <n v="57.732348798315385"/>
    <n v="49.837309263734937"/>
    <x v="2"/>
    <n v="50.162690736265063"/>
    <n v="0.81759069605862034"/>
    <n v="47.201431239113731"/>
    <n v="0.41981413796100847"/>
    <n v="3"/>
    <b v="1"/>
    <n v="0"/>
    <n v="0.81759069605862023"/>
    <n v="47.201431239113724"/>
    <n v="0.39664607203537255"/>
    <n v="3"/>
    <b v="1"/>
    <n v="0"/>
    <n v="49.837309263734937"/>
    <x v="3"/>
    <n v="50.162690736265063"/>
    <n v="0.80397277260026034"/>
    <n v="46.415236532106931"/>
    <n v="0.41968145667996409"/>
    <n v="3"/>
    <b v="1"/>
    <n v="0"/>
    <n v="0.10027319650268307"/>
    <n v="5.7890071556149172"/>
    <n v="0.34555752791113664"/>
    <n v="3"/>
  </r>
  <r>
    <n v="25407"/>
    <s v="25407"/>
    <s v="25"/>
    <s v="COLOMBIA"/>
    <s v="CUNDINAMARCA"/>
    <s v="LENGUAZAQUE"/>
    <x v="5"/>
    <n v="0"/>
    <n v="0"/>
    <n v="0"/>
    <n v="50.64"/>
    <n v="57.255966666666701"/>
    <n v="56.79"/>
    <n v="54.2"/>
    <n v="59.531522819306048"/>
    <n v="58.512859239263662"/>
    <n v="64.571639804440252"/>
    <n v="57.990559673698669"/>
    <s v="2. Riesgo (&gt;=40 y &lt;60)"/>
    <s v="2. Riesgo (&gt;=40 y &lt;60)"/>
    <s v="3. Vulnerable (&gt;=60 y &lt;70)"/>
    <s v="2. Riesgo (&gt;=40 y &lt;60)"/>
    <n v="54.72149166666668"/>
    <n v="60.151645384177158"/>
    <n v="57.436568525421919"/>
    <n v="50.049469533361012"/>
    <x v="2"/>
    <n v="49.950530466638988"/>
    <n v="0.81759069605862034"/>
    <n v="46.959604039918354"/>
    <n v="0.41678913460896982"/>
    <n v="3"/>
    <b v="1"/>
    <n v="0"/>
    <n v="0.81759069605862023"/>
    <n v="46.959604039918347"/>
    <n v="0.39378800798038971"/>
    <n v="3"/>
    <b v="1"/>
    <n v="0"/>
    <n v="50.049469533361012"/>
    <x v="3"/>
    <n v="49.950530466638988"/>
    <n v="0.80397277260026034"/>
    <n v="46.177437246028305"/>
    <n v="0.41664401504309906"/>
    <n v="3"/>
    <b v="1"/>
    <n v="0"/>
    <n v="9.9849096676815935E-2"/>
    <n v="5.7349894834794162"/>
    <n v="0.3423331039736825"/>
    <n v="3"/>
  </r>
  <r>
    <n v="73408"/>
    <s v="73408"/>
    <s v="73"/>
    <s v="COLOMBIA"/>
    <s v="TOLIMA"/>
    <s v="LÉRIDA"/>
    <x v="5"/>
    <n v="0"/>
    <n v="0"/>
    <n v="0"/>
    <n v="54.35"/>
    <n v="59.562600000000003"/>
    <n v="70.44"/>
    <n v="77.39"/>
    <n v="54.509070198213067"/>
    <n v="50.232080162667245"/>
    <n v="53.377067341409386"/>
    <n v="56.542319843669844"/>
    <s v="2. Riesgo (&gt;=40 y &lt;60)"/>
    <s v="2. Riesgo (&gt;=40 y &lt;60)"/>
    <s v="2. Riesgo (&gt;=40 y &lt;60)"/>
    <s v="2. Riesgo (&gt;=40 y &lt;60)"/>
    <n v="65.435649999999995"/>
    <n v="53.665134386489889"/>
    <n v="59.550392193244946"/>
    <n v="50.055385175114573"/>
    <x v="2"/>
    <n v="49.944614824885427"/>
    <n v="0.81759069605862034"/>
    <n v="48.687846603838963"/>
    <n v="0.43840762734423877"/>
    <n v="3"/>
    <b v="1"/>
    <n v="0"/>
    <n v="0.81759069605862023"/>
    <n v="48.687846603838956"/>
    <n v="0.41421345212673744"/>
    <n v="3"/>
    <b v="1"/>
    <n v="0"/>
    <n v="50.055385175114573"/>
    <x v="3"/>
    <n v="49.944614824885427"/>
    <n v="0.80397277260026034"/>
    <n v="47.876893921036036"/>
    <n v="0.4383513992402488"/>
    <n v="3"/>
    <b v="1"/>
    <n v="0"/>
    <n v="9.9837271547436143E-2"/>
    <n v="5.9453486761533174"/>
    <n v="0.3548898690008721"/>
    <n v="3"/>
  </r>
  <r>
    <n v="5264"/>
    <s v="05264"/>
    <s v="50"/>
    <s v="COLOMBIA"/>
    <s v="ANTIOQUIA"/>
    <s v="ENTRERRIOS"/>
    <x v="5"/>
    <n v="0"/>
    <n v="0"/>
    <n v="0"/>
    <n v="60.99"/>
    <n v="68.875699999999995"/>
    <n v="51.6"/>
    <n v="48.62"/>
    <n v="59.270719769910713"/>
    <n v="64.763279081380006"/>
    <n v="60.659310330208889"/>
    <n v="58.252683821650663"/>
    <s v="2. Riesgo (&gt;=40 y &lt;60)"/>
    <s v="3. Vulnerable (&gt;=60 y &lt;70)"/>
    <s v="3. Vulnerable (&gt;=60 y &lt;70)"/>
    <s v="2. Riesgo (&gt;=40 y &lt;60)"/>
    <n v="57.521425000000001"/>
    <n v="60.736498250787569"/>
    <n v="59.128961625393785"/>
    <n v="49.715405427001294"/>
    <x v="2"/>
    <n v="50.284594572998706"/>
    <n v="0.81759069605862034"/>
    <n v="48.343288892529152"/>
    <n v="0.43409757357381551"/>
    <n v="3"/>
    <b v="1"/>
    <n v="0"/>
    <n v="0.81759069605862023"/>
    <n v="48.343288892529152"/>
    <n v="0.41014125506686044"/>
    <n v="3"/>
    <b v="1"/>
    <n v="0"/>
    <n v="49.715405427001294"/>
    <x v="3"/>
    <n v="50.284594572998706"/>
    <n v="0.80397277260026034"/>
    <n v="47.53807521894224"/>
    <n v="0.43402362328238497"/>
    <n v="3"/>
    <b v="1"/>
    <n v="0"/>
    <n v="0.10051687735783278"/>
    <n v="5.9434585839957084"/>
    <n v="0.3547770455829784"/>
    <n v="3"/>
  </r>
  <r>
    <n v="68079"/>
    <s v="68079"/>
    <s v="68"/>
    <s v="COLOMBIA"/>
    <s v="SANTANDER"/>
    <s v="BARICHARA"/>
    <x v="4"/>
    <n v="0"/>
    <n v="0"/>
    <n v="0"/>
    <n v="70.180000000000007"/>
    <n v="71.445566666666707"/>
    <n v="71.02"/>
    <n v="64.489999999999995"/>
    <n v="60.407344216851655"/>
    <n v="54.061347747177848"/>
    <n v="74.520581560794895"/>
    <n v="68.785022834974711"/>
    <s v="3. Vulnerable (&gt;=60 y &lt;70)"/>
    <s v="2. Riesgo (&gt;=40 y &lt;60)"/>
    <s v="4. Solvente (&gt;=70 y &lt;80)"/>
    <s v="3. Vulnerable (&gt;=60 y &lt;70)"/>
    <n v="69.283891666666676"/>
    <n v="64.443574089949777"/>
    <n v="66.863732878308227"/>
    <n v="49.605006638278766"/>
    <x v="2"/>
    <n v="50.394993361721234"/>
    <n v="0.81759069605862034"/>
    <n v="54.667165905053679"/>
    <n v="0.51320260900579573"/>
    <n v="2"/>
    <b v="1"/>
    <n v="0"/>
    <n v="0.81759069605862023"/>
    <n v="54.667165905053672"/>
    <n v="0.48488076177977657"/>
    <n v="2"/>
    <b v="1"/>
    <n v="0"/>
    <n v="49.605006638278766"/>
    <x v="3"/>
    <n v="50.394993361721234"/>
    <n v="0.80397277260026034"/>
    <n v="53.756620708576648"/>
    <n v="0.51345392478761909"/>
    <n v="2"/>
    <b v="1"/>
    <n v="0"/>
    <n v="0.10073756008582746"/>
    <n v="6.7356893083912919"/>
    <n v="0.40206689741739154"/>
    <n v="2"/>
  </r>
  <r>
    <n v="19290"/>
    <s v="19290"/>
    <s v="19"/>
    <s v="COLOMBIA"/>
    <s v="CAUCA"/>
    <s v="FLORENCIA"/>
    <x v="5"/>
    <n v="0"/>
    <n v="0"/>
    <n v="0"/>
    <n v="56.26"/>
    <n v="57.597466666666698"/>
    <n v="50.48"/>
    <n v="52.4"/>
    <n v="58.908660917664264"/>
    <n v="54.69910317456339"/>
    <n v="57.29921657464012"/>
    <n v="67.665242582612592"/>
    <s v="2. Riesgo (&gt;=40 y &lt;60)"/>
    <s v="2. Riesgo (&gt;=40 y &lt;60)"/>
    <s v="2. Riesgo (&gt;=40 y &lt;60)"/>
    <s v="3. Vulnerable (&gt;=60 y &lt;70)"/>
    <n v="54.184366666666676"/>
    <n v="59.643055812370093"/>
    <n v="56.913711239518385"/>
    <n v="49.927196002905887"/>
    <x v="2"/>
    <n v="50.072803997094113"/>
    <n v="0.81759069605862034"/>
    <n v="46.532120787597158"/>
    <n v="0.41144176973225366"/>
    <n v="3"/>
    <b v="1"/>
    <n v="0"/>
    <n v="0.81759069605862023"/>
    <n v="46.532120787597151"/>
    <n v="0.38873574536629363"/>
    <n v="3"/>
    <b v="1"/>
    <n v="0"/>
    <n v="49.927196002905887"/>
    <x v="3"/>
    <n v="50.072803997094113"/>
    <n v="0.80397277260026034"/>
    <n v="45.757074224206193"/>
    <n v="0.41127466273705932"/>
    <n v="3"/>
    <b v="1"/>
    <n v="0"/>
    <n v="0.1000935165348109"/>
    <n v="5.6966934970101866"/>
    <n v="0.34004713920330043"/>
    <n v="3"/>
  </r>
  <r>
    <n v="15798"/>
    <s v="15798"/>
    <s v="15"/>
    <s v="COLOMBIA"/>
    <s v="BOYACÁ"/>
    <s v="TENZA"/>
    <x v="5"/>
    <n v="0"/>
    <n v="0"/>
    <n v="0"/>
    <n v="64.790000000000006"/>
    <n v="67.179766666666694"/>
    <n v="65.819999999999993"/>
    <n v="58.88"/>
    <n v="50.052956273401378"/>
    <n v="56.313302920976717"/>
    <n v="50.902396616334244"/>
    <n v="59.168479477347454"/>
    <s v="2. Riesgo (&gt;=40 y &lt;60)"/>
    <s v="2. Riesgo (&gt;=40 y &lt;60)"/>
    <s v="2. Riesgo (&gt;=40 y &lt;60)"/>
    <s v="2. Riesgo (&gt;=40 y &lt;60)"/>
    <n v="64.167441666666676"/>
    <n v="54.109283822014952"/>
    <n v="59.13836274434081"/>
    <n v="49.838411469823981"/>
    <x v="2"/>
    <n v="50.161588530176019"/>
    <n v="0.81759069605862034"/>
    <n v="48.350975159912785"/>
    <n v="0.43419372067669521"/>
    <n v="3"/>
    <b v="1"/>
    <n v="0"/>
    <n v="0.81759069605862023"/>
    <n v="48.350975159912778"/>
    <n v="0.41023209614924994"/>
    <n v="3"/>
    <b v="1"/>
    <n v="0"/>
    <n v="49.838411469823981"/>
    <x v="3"/>
    <n v="50.161588530176019"/>
    <n v="0.80397277260026034"/>
    <n v="47.545633462607626"/>
    <n v="0.43412016572533929"/>
    <n v="3"/>
    <b v="1"/>
    <n v="0"/>
    <n v="0.10027099323714585"/>
    <n v="5.9298623707936757"/>
    <n v="0.35396546015964891"/>
    <n v="3"/>
  </r>
  <r>
    <n v="15804"/>
    <s v="15804"/>
    <s v="15"/>
    <s v="COLOMBIA"/>
    <s v="BOYACÁ"/>
    <s v="TIBANÁ"/>
    <x v="4"/>
    <n v="0"/>
    <n v="0"/>
    <n v="0"/>
    <n v="84.43"/>
    <n v="89.466899999999995"/>
    <n v="88.07"/>
    <n v="81.58"/>
    <n v="62.469951172611637"/>
    <n v="60.365080248301666"/>
    <n v="66.119096930664199"/>
    <n v="65.814478475929604"/>
    <s v="3. Vulnerable (&gt;=60 y &lt;70)"/>
    <s v="3. Vulnerable (&gt;=60 y &lt;70)"/>
    <s v="3. Vulnerable (&gt;=60 y &lt;70)"/>
    <s v="3. Vulnerable (&gt;=60 y &lt;70)"/>
    <n v="85.886724999999998"/>
    <n v="63.692151706876778"/>
    <n v="74.789438353438385"/>
    <n v="50.02769065339082"/>
    <x v="2"/>
    <n v="49.97230934660918"/>
    <n v="0.81759069605862034"/>
    <n v="61.147148961220964"/>
    <n v="0.59426036649246627"/>
    <n v="2"/>
    <b v="1"/>
    <n v="0"/>
    <n v="0.81759069605862023"/>
    <n v="61.147148961220957"/>
    <n v="0.5614652266842669"/>
    <n v="2"/>
    <b v="1"/>
    <n v="0"/>
    <n v="50.02769065339082"/>
    <x v="3"/>
    <n v="49.97230934660918"/>
    <n v="0.80397277260026034"/>
    <n v="60.128672114230106"/>
    <n v="0.59484497759917632"/>
    <n v="2"/>
    <b v="1"/>
    <n v="0"/>
    <n v="9.9892631779873717E-2"/>
    <n v="7.470913826463585"/>
    <n v="0.44595393367339209"/>
    <n v="2"/>
  </r>
  <r>
    <n v="70400"/>
    <s v="70400"/>
    <s v="70"/>
    <s v="COLOMBIA"/>
    <s v="SUCRE"/>
    <s v="LA UNIÓN"/>
    <x v="5"/>
    <n v="0"/>
    <n v="0"/>
    <n v="0"/>
    <n v="54.14"/>
    <n v="55.222833333333298"/>
    <n v="52.24"/>
    <n v="50.64"/>
    <n v="43.070879844274494"/>
    <n v="46.966054721641243"/>
    <n v="47.222376789203899"/>
    <n v="44.607707245743242"/>
    <s v="2. Riesgo (&gt;=40 y &lt;60)"/>
    <s v="2. Riesgo (&gt;=40 y &lt;60)"/>
    <s v="2. Riesgo (&gt;=40 y &lt;60)"/>
    <s v="2. Riesgo (&gt;=40 y &lt;60)"/>
    <n v="53.060708333333324"/>
    <n v="45.466754650215719"/>
    <n v="49.263731491774521"/>
    <n v="50.054634093767305"/>
    <x v="2"/>
    <n v="49.945365906232695"/>
    <n v="0.81759069605862034"/>
    <n v="40.277568520804905"/>
    <n v="0.33320391379421421"/>
    <n v="4"/>
    <b v="0"/>
    <n v="1"/>
    <n v="0.81759069605862023"/>
    <n v="40.277568520804898"/>
    <n v="0.31481556156063306"/>
    <n v="4"/>
    <b v="0"/>
    <n v="1"/>
    <n v="50.054634093767305"/>
    <x v="3"/>
    <n v="49.945365906232695"/>
    <n v="0.80397277260026034"/>
    <n v="39.606698796076721"/>
    <n v="0.33271510641620844"/>
    <n v="4"/>
    <b v="0"/>
    <n v="1"/>
    <n v="9.9838772928769928E-2"/>
    <n v="4.9184305020311685"/>
    <n v="0.29359104934533237"/>
    <n v="3"/>
  </r>
  <r>
    <n v="25805"/>
    <s v="25805"/>
    <s v="25"/>
    <s v="COLOMBIA"/>
    <s v="CUNDINAMARCA"/>
    <s v="TIBACUY"/>
    <x v="5"/>
    <n v="0"/>
    <n v="0"/>
    <n v="0"/>
    <n v="51.39"/>
    <n v="60.5583666666667"/>
    <n v="76.44"/>
    <n v="79.19"/>
    <n v="70.986946848278905"/>
    <n v="56.052523601873318"/>
    <n v="55.89711727113523"/>
    <n v="67.44708043154067"/>
    <s v="4. Solvente (&gt;=70 y &lt;80)"/>
    <s v="2. Riesgo (&gt;=40 y &lt;60)"/>
    <s v="2. Riesgo (&gt;=40 y &lt;60)"/>
    <s v="3. Vulnerable (&gt;=60 y &lt;70)"/>
    <n v="66.89459166666667"/>
    <n v="62.595917038207034"/>
    <n v="64.745254352436859"/>
    <n v="50.415391345618822"/>
    <x v="2"/>
    <n v="49.584608654381178"/>
    <n v="0.81759069605862034"/>
    <n v="52.935117572501269"/>
    <n v="0.49153651011660116"/>
    <n v="2"/>
    <b v="0"/>
    <n v="-1"/>
    <n v="0.81759069605862023"/>
    <n v="52.935117572501262"/>
    <n v="0.46441033869572323"/>
    <n v="2"/>
    <b v="0"/>
    <n v="-1"/>
    <n v="50.415391345618822"/>
    <x v="3"/>
    <n v="49.584608654381178"/>
    <n v="0.80397277260026034"/>
    <n v="52.053421654437734"/>
    <n v="0.49169873868836345"/>
    <n v="2"/>
    <b v="0"/>
    <n v="-1"/>
    <n v="9.9117633726033286E-2"/>
    <n v="6.4173964064036992"/>
    <n v="0.38306735131114544"/>
    <n v="2"/>
  </r>
  <r>
    <n v="5313"/>
    <s v="05313"/>
    <s v="50"/>
    <s v="COLOMBIA"/>
    <s v="ANTIOQUIA"/>
    <s v="GRANADA"/>
    <x v="5"/>
    <n v="0"/>
    <n v="0"/>
    <n v="0"/>
    <n v="58.57"/>
    <n v="59.262666666666703"/>
    <n v="58.25"/>
    <n v="43.09"/>
    <n v="60.846261792914248"/>
    <n v="44.976003501868902"/>
    <n v="49.36069328531795"/>
    <n v="64.875376899592922"/>
    <s v="3. Vulnerable (&gt;=60 y &lt;70)"/>
    <s v="2. Riesgo (&gt;=40 y &lt;60)"/>
    <s v="2. Riesgo (&gt;=40 y &lt;60)"/>
    <s v="3. Vulnerable (&gt;=60 y &lt;70)"/>
    <n v="54.793166666666679"/>
    <n v="55.014583869923513"/>
    <n v="54.903875268295096"/>
    <n v="49.62766022384298"/>
    <x v="2"/>
    <n v="50.37233977615702"/>
    <n v="0.81759069605862034"/>
    <n v="44.888897596921055"/>
    <n v="0.39088677973740665"/>
    <n v="3"/>
    <b v="1"/>
    <n v="0"/>
    <n v="0.81759069605862023"/>
    <n v="44.888897596921055"/>
    <n v="0.36931511298411396"/>
    <n v="3"/>
    <b v="1"/>
    <n v="0"/>
    <n v="49.62766022384298"/>
    <x v="3"/>
    <n v="50.37233977615702"/>
    <n v="0.80397277260026034"/>
    <n v="44.141220825950072"/>
    <n v="0.39063515421763439"/>
    <n v="3"/>
    <b v="1"/>
    <n v="0"/>
    <n v="0.10069227648155045"/>
    <n v="5.5283961884237298"/>
    <n v="0.33000113298048445"/>
    <n v="3"/>
  </r>
  <r>
    <n v="68522"/>
    <s v="68522"/>
    <s v="68"/>
    <s v="COLOMBIA"/>
    <s v="SANTANDER"/>
    <s v="PALMAR"/>
    <x v="5"/>
    <n v="0"/>
    <n v="0"/>
    <n v="0"/>
    <n v="60.43"/>
    <n v="62.1083"/>
    <n v="51.73"/>
    <n v="58.87"/>
    <n v="57.917986120196126"/>
    <n v="51.384995159698406"/>
    <n v="51.267906733188418"/>
    <n v="56.817526651850301"/>
    <s v="2. Riesgo (&gt;=40 y &lt;60)"/>
    <s v="2. Riesgo (&gt;=40 y &lt;60)"/>
    <s v="2. Riesgo (&gt;=40 y &lt;60)"/>
    <s v="2. Riesgo (&gt;=40 y &lt;60)"/>
    <n v="58.284574999999997"/>
    <n v="54.347103666233316"/>
    <n v="56.315839333116656"/>
    <n v="49.801983320137509"/>
    <x v="2"/>
    <n v="50.198016679862491"/>
    <n v="0.81759069605862034"/>
    <n v="46.043306279488277"/>
    <n v="0.40532721549487094"/>
    <n v="3"/>
    <b v="1"/>
    <n v="0"/>
    <n v="0.81759069605862023"/>
    <n v="46.04330627948827"/>
    <n v="0.38295863187439322"/>
    <n v="3"/>
    <b v="1"/>
    <n v="0"/>
    <n v="49.801983320137509"/>
    <x v="3"/>
    <n v="50.198016679862491"/>
    <n v="0.80397277260026034"/>
    <n v="45.276401489956598"/>
    <n v="0.40513496652185399"/>
    <n v="3"/>
    <b v="1"/>
    <n v="0"/>
    <n v="0.10034381163978989"/>
    <n v="5.6509459743789288"/>
    <n v="0.33731637719116797"/>
    <n v="3"/>
  </r>
  <r>
    <n v="17486"/>
    <s v="17486"/>
    <s v="17"/>
    <s v="COLOMBIA"/>
    <s v="CALDAS"/>
    <s v="NEIRA"/>
    <x v="4"/>
    <n v="0"/>
    <n v="0"/>
    <n v="0"/>
    <n v="76.59"/>
    <n v="78.736666666666693"/>
    <n v="68.08"/>
    <n v="69.37"/>
    <n v="57.195121534277817"/>
    <n v="53.533724826450864"/>
    <n v="52.699025818952038"/>
    <n v="66.750485583579874"/>
    <s v="2. Riesgo (&gt;=40 y &lt;60)"/>
    <s v="2. Riesgo (&gt;=40 y &lt;60)"/>
    <s v="2. Riesgo (&gt;=40 y &lt;60)"/>
    <s v="3. Vulnerable (&gt;=60 y &lt;70)"/>
    <n v="73.194166666666675"/>
    <n v="57.544589440815145"/>
    <n v="65.369378053740917"/>
    <n v="50.143568420871908"/>
    <x v="2"/>
    <n v="49.856431579128092"/>
    <n v="0.81759069605862034"/>
    <n v="53.445395303877135"/>
    <n v="0.49791954665268395"/>
    <n v="2"/>
    <b v="1"/>
    <n v="0"/>
    <n v="0.81759069605862023"/>
    <n v="53.445395303877127"/>
    <n v="0.4704411178924226"/>
    <n v="2"/>
    <b v="1"/>
    <n v="0"/>
    <n v="50.143568420871908"/>
    <x v="3"/>
    <n v="49.856431579128092"/>
    <n v="0.80397277260026034"/>
    <n v="52.555200117020696"/>
    <n v="0.49810802115453395"/>
    <n v="2"/>
    <b v="1"/>
    <n v="0"/>
    <n v="9.9660996794222453E-2"/>
    <n v="6.5147773766541892"/>
    <n v="0.38888021808445877"/>
    <n v="2"/>
  </r>
  <r>
    <n v="5789"/>
    <s v="05789"/>
    <s v="50"/>
    <s v="COLOMBIA"/>
    <s v="ANTIOQUIA"/>
    <s v="TÁMESIS"/>
    <x v="5"/>
    <n v="0"/>
    <n v="0"/>
    <n v="0"/>
    <n v="42.71"/>
    <n v="44.079533333333302"/>
    <n v="44.1"/>
    <n v="46.34"/>
    <n v="53.223732840260652"/>
    <n v="39.595614153338964"/>
    <n v="36.338462350912835"/>
    <n v="45.124292699016607"/>
    <s v="2. Riesgo (&gt;=40 y &lt;60)"/>
    <s v="1. Deterioro (&lt;40)"/>
    <s v="1. Deterioro (&lt;40)"/>
    <s v="2. Riesgo (&gt;=40 y &lt;60)"/>
    <n v="44.307383333333327"/>
    <n v="43.570525510882263"/>
    <n v="43.938954422107798"/>
    <n v="50.029900648511671"/>
    <x v="2"/>
    <n v="49.970099351488329"/>
    <n v="0.81759069605862034"/>
    <n v="35.924080330059105"/>
    <n v="0.27874636553709303"/>
    <n v="4"/>
    <b v="0"/>
    <n v="1"/>
    <n v="0.81759069605862023"/>
    <n v="35.924080330059105"/>
    <n v="0.26336333388251221"/>
    <n v="4"/>
    <b v="0"/>
    <n v="1"/>
    <n v="50.029900648511671"/>
    <x v="3"/>
    <n v="49.970099351488329"/>
    <n v="0.80397277260026034"/>
    <n v="35.325723011898475"/>
    <n v="0.27803363824319438"/>
    <n v="4"/>
    <b v="0"/>
    <n v="1"/>
    <n v="9.9888214088721783E-2"/>
    <n v="4.3889836861500928"/>
    <n v="0.26198729969737505"/>
    <n v="4"/>
  </r>
  <r>
    <n v="25489"/>
    <s v="25489"/>
    <s v="25"/>
    <s v="COLOMBIA"/>
    <s v="CUNDINAMARCA"/>
    <s v="NIMAIMA"/>
    <x v="5"/>
    <n v="0"/>
    <n v="0"/>
    <n v="0"/>
    <n v="51.36"/>
    <n v="56.426733333333303"/>
    <n v="89.97"/>
    <n v="66.39"/>
    <n v="65.141795375276843"/>
    <n v="54.457438638606639"/>
    <n v="51.360221920274647"/>
    <n v="79.465488463115989"/>
    <s v="3. Vulnerable (&gt;=60 y &lt;70)"/>
    <s v="2. Riesgo (&gt;=40 y &lt;60)"/>
    <s v="2. Riesgo (&gt;=40 y &lt;60)"/>
    <s v="4. Solvente (&gt;=70 y &lt;80)"/>
    <n v="66.036683333333329"/>
    <n v="62.606236099318537"/>
    <n v="64.321459716325933"/>
    <n v="50.506489931463349"/>
    <x v="2"/>
    <n v="49.493510068536651"/>
    <n v="0.81759069605862034"/>
    <n v="52.588627020977427"/>
    <n v="0.48720227855250592"/>
    <n v="2"/>
    <b v="0"/>
    <n v="-1"/>
    <n v="0.81759069605862023"/>
    <n v="52.58862702097742"/>
    <n v="0.46031529812958166"/>
    <n v="3"/>
    <b v="1"/>
    <n v="0"/>
    <n v="50.506489931463349"/>
    <x v="3"/>
    <n v="49.493510068536651"/>
    <n v="0.80397277260026034"/>
    <n v="51.712702305830518"/>
    <n v="0.48734668552196792"/>
    <n v="2"/>
    <b v="0"/>
    <n v="-1"/>
    <n v="9.8935531325515497E-2"/>
    <n v="6.3636777926674473"/>
    <n v="0.37986077877348534"/>
    <n v="2"/>
  </r>
  <r>
    <n v="70230"/>
    <s v="70230"/>
    <s v="70"/>
    <s v="COLOMBIA"/>
    <s v="SUCRE"/>
    <s v="CHALÁN"/>
    <x v="6"/>
    <n v="0"/>
    <n v="0"/>
    <n v="1"/>
    <n v="47.88"/>
    <n v="48.455233333333297"/>
    <n v="39.67"/>
    <n v="36.22"/>
    <n v="40.586035819698203"/>
    <n v="35.209759363721517"/>
    <n v="44.423335370272916"/>
    <n v="11.689919913904419"/>
    <s v="2. Riesgo (&gt;=40 y &lt;60)"/>
    <s v="1. Deterioro (&lt;40)"/>
    <s v="2. Riesgo (&gt;=40 y &lt;60)"/>
    <s v="1. Deterioro (&lt;40)"/>
    <n v="43.056308333333327"/>
    <n v="32.977262616899267"/>
    <n v="38.016785475116293"/>
    <n v="50.320798355792505"/>
    <x v="2"/>
    <n v="49.679201644207495"/>
    <n v="0.81759069605862034"/>
    <n v="31.082170098511579"/>
    <n v="0.21817917239490203"/>
    <n v="4"/>
    <b v="1"/>
    <n v="0"/>
    <n v="0.81759069605862023"/>
    <n v="31.082170098511572"/>
    <n v="0.20613863113491412"/>
    <n v="4"/>
    <b v="1"/>
    <n v="0"/>
    <n v="50.320798355792505"/>
    <x v="3"/>
    <n v="49.679201644207495"/>
    <n v="0.80397277260026034"/>
    <n v="30.564460423778552"/>
    <n v="0.21721740339368609"/>
    <n v="4"/>
    <b v="1"/>
    <n v="0"/>
    <n v="9.9306721299235845E-2"/>
    <n v="3.7753223198702113"/>
    <n v="0.22535661346639188"/>
    <n v="4"/>
  </r>
  <r>
    <n v="23168"/>
    <s v="23168"/>
    <s v="23"/>
    <s v="COLOMBIA"/>
    <s v="CÓRDOBA"/>
    <s v="CHIMÁ"/>
    <x v="5"/>
    <n v="0"/>
    <n v="0"/>
    <n v="0"/>
    <n v="72.67"/>
    <n v="66.215299999999999"/>
    <n v="56.58"/>
    <n v="55.5"/>
    <n v="39.154493720252113"/>
    <n v="45.597738320558975"/>
    <n v="46.388143941781969"/>
    <n v="39.639659265840812"/>
    <s v="1. Deterioro (&lt;40)"/>
    <s v="2. Riesgo (&gt;=40 y &lt;60)"/>
    <s v="2. Riesgo (&gt;=40 y &lt;60)"/>
    <s v="1. Deterioro (&lt;40)"/>
    <n v="62.741325000000003"/>
    <n v="42.695008812108469"/>
    <n v="52.718166906054236"/>
    <n v="50.306683999577984"/>
    <x v="2"/>
    <n v="49.693316000422016"/>
    <n v="0.81759069605862034"/>
    <n v="43.101882775655405"/>
    <n v="0.36853310801454991"/>
    <n v="3"/>
    <b v="1"/>
    <n v="0"/>
    <n v="0.81759069605862023"/>
    <n v="43.101882775655397"/>
    <n v="0.34819506179312038"/>
    <n v="3"/>
    <b v="1"/>
    <n v="0"/>
    <n v="50.306683999577984"/>
    <x v="3"/>
    <n v="49.693316000422016"/>
    <n v="0.80397277260026034"/>
    <n v="42.383970813863712"/>
    <n v="0.36818956810545467"/>
    <n v="3"/>
    <b v="1"/>
    <n v="0"/>
    <n v="9.9334935328296764E-2"/>
    <n v="5.236755700239252"/>
    <n v="0.3125925232782012"/>
    <n v="3"/>
  </r>
  <r>
    <n v="44035"/>
    <s v="44035"/>
    <s v="44"/>
    <s v="COLOMBIA"/>
    <s v="LA GUAJIRA"/>
    <s v="ALBANIA"/>
    <x v="5"/>
    <n v="0"/>
    <n v="0"/>
    <n v="0"/>
    <n v="45.74"/>
    <n v="49.923366666666702"/>
    <n v="75.25"/>
    <n v="63.46"/>
    <n v="72.45538110164226"/>
    <n v="57.437277383138508"/>
    <n v="50.268709739568507"/>
    <n v="59.161368947042178"/>
    <s v="4. Solvente (&gt;=70 y &lt;80)"/>
    <s v="2. Riesgo (&gt;=40 y &lt;60)"/>
    <s v="2. Riesgo (&gt;=40 y &lt;60)"/>
    <s v="2. Riesgo (&gt;=40 y &lt;60)"/>
    <n v="58.593341666666682"/>
    <n v="59.83068429284787"/>
    <n v="59.212012979757276"/>
    <n v="50.280490196811947"/>
    <x v="2"/>
    <n v="49.719509803188053"/>
    <n v="0.81759069605862034"/>
    <n v="48.411190907151813"/>
    <n v="0.43494695620127494"/>
    <n v="3"/>
    <b v="1"/>
    <n v="0"/>
    <n v="0.81759069605862023"/>
    <n v="48.411190907151806"/>
    <n v="0.41094376325411003"/>
    <n v="3"/>
    <b v="1"/>
    <n v="0"/>
    <n v="50.280490196811947"/>
    <x v="3"/>
    <n v="49.719509803188053"/>
    <n v="0.80397277260026034"/>
    <n v="47.604846246578063"/>
    <n v="0.434876498422684"/>
    <n v="3"/>
    <b v="1"/>
    <n v="0"/>
    <n v="9.9387295684038479E-2"/>
    <n v="5.8849218420662606"/>
    <n v="0.35128286924334601"/>
    <n v="3"/>
  </r>
  <r>
    <n v="70508"/>
    <s v="70508"/>
    <s v="70"/>
    <s v="COLOMBIA"/>
    <s v="SUCRE"/>
    <s v="OVEJAS"/>
    <x v="5"/>
    <n v="0"/>
    <n v="0"/>
    <n v="1"/>
    <n v="55.94"/>
    <n v="56.926933333333302"/>
    <n v="58.5"/>
    <n v="68.709999999999994"/>
    <n v="62.355396949330725"/>
    <n v="61.567347623518572"/>
    <n v="63.557946490340996"/>
    <n v="60.006836808914237"/>
    <s v="3. Vulnerable (&gt;=60 y &lt;70)"/>
    <s v="3. Vulnerable (&gt;=60 y &lt;70)"/>
    <s v="3. Vulnerable (&gt;=60 y &lt;70)"/>
    <s v="3. Vulnerable (&gt;=60 y &lt;70)"/>
    <n v="60.019233333333318"/>
    <n v="61.871881968026138"/>
    <n v="60.945557650679731"/>
    <n v="50.359928805844689"/>
    <x v="2"/>
    <n v="49.640071194155311"/>
    <n v="0.81759069605862034"/>
    <n v="49.828520901300017"/>
    <n v="0.45267626042143144"/>
    <n v="3"/>
    <b v="1"/>
    <n v="0"/>
    <n v="0.81759069605862023"/>
    <n v="49.82852090130001"/>
    <n v="0.42769464952249575"/>
    <n v="3"/>
    <b v="1"/>
    <n v="0"/>
    <n v="50.359928805844689"/>
    <x v="3"/>
    <n v="49.640071194155311"/>
    <n v="0.80397277260026034"/>
    <n v="48.99856896208599"/>
    <n v="0.45267870244161718"/>
    <n v="3"/>
    <b v="1"/>
    <n v="0"/>
    <n v="9.9228501107102393E-2"/>
    <n v="6.0475363348134463"/>
    <n v="0.36098965671237482"/>
    <n v="3"/>
  </r>
  <r>
    <n v="17272"/>
    <s v="17272"/>
    <s v="17"/>
    <s v="COLOMBIA"/>
    <s v="CALDAS"/>
    <s v="FILADELFIA"/>
    <x v="5"/>
    <n v="0"/>
    <n v="0"/>
    <n v="0"/>
    <n v="48.24"/>
    <n v="53.050633333333302"/>
    <n v="66.17"/>
    <n v="62.34"/>
    <n v="62.330172271589348"/>
    <n v="55.636816348854964"/>
    <n v="49.29769766661574"/>
    <n v="63.425714183841045"/>
    <s v="3. Vulnerable (&gt;=60 y &lt;70)"/>
    <s v="2. Riesgo (&gt;=40 y &lt;60)"/>
    <s v="2. Riesgo (&gt;=40 y &lt;60)"/>
    <s v="3. Vulnerable (&gt;=60 y &lt;70)"/>
    <n v="57.450158333333327"/>
    <n v="57.672600117725274"/>
    <n v="57.561379225529301"/>
    <n v="50.208536137982875"/>
    <x v="2"/>
    <n v="49.791463862017125"/>
    <n v="0.81759069605862034"/>
    <n v="47.061648107094712"/>
    <n v="0.41806559832476031"/>
    <n v="3"/>
    <b v="1"/>
    <n v="0"/>
    <n v="0.81759069605862023"/>
    <n v="47.061648107094705"/>
    <n v="0.39499402815260937"/>
    <n v="3"/>
    <b v="1"/>
    <n v="0"/>
    <n v="50.208536137982875"/>
    <x v="3"/>
    <n v="49.791463862017125"/>
    <n v="0.80397277260026034"/>
    <n v="46.277781650643817"/>
    <n v="0.4179257273544843"/>
    <n v="3"/>
    <b v="1"/>
    <n v="0"/>
    <n v="9.9531128946852593E-2"/>
    <n v="5.7291490580548388"/>
    <n v="0.34198447718545877"/>
    <n v="3"/>
  </r>
  <r>
    <n v="5347"/>
    <s v="05347"/>
    <s v="50"/>
    <s v="COLOMBIA"/>
    <s v="ANTIOQUIA"/>
    <s v="HELICONIA"/>
    <x v="5"/>
    <n v="0"/>
    <n v="0"/>
    <n v="0"/>
    <n v="65.23"/>
    <n v="69.092566666666698"/>
    <n v="66.239999999999995"/>
    <n v="48.2"/>
    <n v="48.466905856526516"/>
    <n v="47.172344011215124"/>
    <n v="40.22999398927103"/>
    <n v="49.727017493105819"/>
    <s v="2. Riesgo (&gt;=40 y &lt;60)"/>
    <s v="2. Riesgo (&gt;=40 y &lt;60)"/>
    <s v="2. Riesgo (&gt;=40 y &lt;60)"/>
    <s v="2. Riesgo (&gt;=40 y &lt;60)"/>
    <n v="62.190641666666679"/>
    <n v="46.39906533752962"/>
    <n v="54.29485350209815"/>
    <n v="50.323847470144209"/>
    <x v="2"/>
    <n v="49.676152529855791"/>
    <n v="0.81759069605862034"/>
    <n v="44.390967067181244"/>
    <n v="0.38465819367861354"/>
    <n v="3"/>
    <b v="1"/>
    <n v="0"/>
    <n v="0.81759069605862023"/>
    <n v="44.390967067181244"/>
    <n v="0.36343026068601431"/>
    <n v="3"/>
    <b v="1"/>
    <n v="0"/>
    <n v="50.323847470144209"/>
    <x v="3"/>
    <n v="49.676152529855791"/>
    <n v="0.80397277260026034"/>
    <n v="43.651583908006806"/>
    <n v="0.38438095730210881"/>
    <n v="3"/>
    <b v="1"/>
    <n v="0"/>
    <n v="9.9300626242570009E-2"/>
    <n v="5.3915129545069416"/>
    <n v="0.32183029631484161"/>
    <n v="3"/>
  </r>
  <r>
    <n v="76403"/>
    <s v="76403"/>
    <s v="76"/>
    <s v="COLOMBIA"/>
    <s v="VALLE DEL CAUCA"/>
    <s v="LA VICTORIA"/>
    <x v="5"/>
    <n v="0"/>
    <n v="0"/>
    <n v="0"/>
    <n v="48.51"/>
    <n v="53.848999999999997"/>
    <n v="68.91"/>
    <n v="61.99"/>
    <n v="59.388581967314678"/>
    <n v="58.940505152130719"/>
    <n v="61.39404450842548"/>
    <n v="53.641467933973949"/>
    <s v="2. Riesgo (&gt;=40 y &lt;60)"/>
    <s v="2. Riesgo (&gt;=40 y &lt;60)"/>
    <s v="3. Vulnerable (&gt;=60 y &lt;70)"/>
    <s v="2. Riesgo (&gt;=40 y &lt;60)"/>
    <n v="58.314750000000004"/>
    <n v="58.34114989046121"/>
    <n v="58.327949945230607"/>
    <n v="50.438630124143025"/>
    <x v="2"/>
    <n v="49.561369875856975"/>
    <n v="0.81759069605862034"/>
    <n v="47.688389195393455"/>
    <n v="0.42590546869199852"/>
    <n v="3"/>
    <b v="1"/>
    <n v="0"/>
    <n v="0.81759069605862023"/>
    <n v="47.688389195393448"/>
    <n v="0.40240124364452873"/>
    <n v="3"/>
    <b v="1"/>
    <n v="0"/>
    <n v="50.438630124143025"/>
    <x v="3"/>
    <n v="49.561369875856975"/>
    <n v="0.80397277260026034"/>
    <n v="46.894083637556257"/>
    <n v="0.42579783389777948"/>
    <n v="3"/>
    <b v="1"/>
    <n v="0"/>
    <n v="9.9071180344620979E-2"/>
    <n v="5.7786188481559666"/>
    <n v="0.34493742885991779"/>
    <n v="3"/>
  </r>
  <r>
    <n v="47675"/>
    <s v="47675"/>
    <s v="47"/>
    <s v="COLOMBIA"/>
    <s v="MAGDALENA"/>
    <s v="SALAMINA"/>
    <x v="6"/>
    <n v="0"/>
    <n v="0"/>
    <n v="0"/>
    <n v="40.46"/>
    <n v="51.285766666666703"/>
    <n v="44.14"/>
    <n v="48.29"/>
    <n v="49.224370955249256"/>
    <n v="49.473656983061893"/>
    <n v="48.610917583985092"/>
    <n v="45.628235315699754"/>
    <s v="2. Riesgo (&gt;=40 y &lt;60)"/>
    <s v="2. Riesgo (&gt;=40 y &lt;60)"/>
    <s v="2. Riesgo (&gt;=40 y &lt;60)"/>
    <s v="2. Riesgo (&gt;=40 y &lt;60)"/>
    <n v="46.043941666666676"/>
    <n v="48.234295209499003"/>
    <n v="47.139118438082839"/>
    <n v="50.418480981889005"/>
    <x v="2"/>
    <n v="49.581519018110995"/>
    <n v="0.81759069605862034"/>
    <n v="38.540504655381895"/>
    <n v="0.31147507587567841"/>
    <n v="4"/>
    <b v="1"/>
    <n v="0"/>
    <n v="0.81759069605862023"/>
    <n v="38.540504655381888"/>
    <n v="0.29428586179363525"/>
    <n v="4"/>
    <b v="1"/>
    <n v="0"/>
    <n v="50.418480981889005"/>
    <x v="3"/>
    <n v="49.581519018110995"/>
    <n v="0.80397277260026034"/>
    <n v="37.898567748597515"/>
    <n v="0.31089692331569357"/>
    <n v="4"/>
    <b v="1"/>
    <n v="0"/>
    <n v="9.9111457667686059E-2"/>
    <n v="4.6720267415680867"/>
    <n v="0.27888271127547104"/>
    <n v="4"/>
  </r>
  <r>
    <n v="23555"/>
    <s v="23555"/>
    <s v="23"/>
    <s v="COLOMBIA"/>
    <s v="CÓRDOBA"/>
    <s v="PLANETA RICA"/>
    <x v="5"/>
    <n v="0"/>
    <n v="0"/>
    <n v="0"/>
    <n v="50.9"/>
    <n v="52.491700000000002"/>
    <n v="35.380000000000003"/>
    <n v="38.020000000000003"/>
    <n v="52.312068437281837"/>
    <n v="51.311838915763275"/>
    <n v="55.173390929719972"/>
    <n v="69.730559515545593"/>
    <s v="2. Riesgo (&gt;=40 y &lt;60)"/>
    <s v="2. Riesgo (&gt;=40 y &lt;60)"/>
    <s v="2. Riesgo (&gt;=40 y &lt;60)"/>
    <s v="3. Vulnerable (&gt;=60 y &lt;70)"/>
    <n v="44.197925000000005"/>
    <n v="57.131964449577673"/>
    <n v="50.664944724788839"/>
    <n v="50.437428978130313"/>
    <x v="2"/>
    <n v="49.562571021869687"/>
    <n v="0.81759069605862034"/>
    <n v="41.423187423311632"/>
    <n v="0.34753439866842323"/>
    <n v="4"/>
    <b v="0"/>
    <n v="1"/>
    <n v="0.81759069605862023"/>
    <n v="41.423187423311624"/>
    <n v="0.32835519737024282"/>
    <n v="4"/>
    <b v="0"/>
    <n v="1"/>
    <n v="50.437428978130313"/>
    <x v="3"/>
    <n v="49.562571021869687"/>
    <n v="0.80397277260026034"/>
    <n v="40.733236084027418"/>
    <n v="0.34710451573836704"/>
    <n v="4"/>
    <b v="0"/>
    <n v="1"/>
    <n v="9.9073581387076892E-2"/>
    <n v="5.019557524663119"/>
    <n v="0.29962752555037836"/>
    <n v="3"/>
  </r>
  <r>
    <n v="73148"/>
    <s v="73148"/>
    <s v="73"/>
    <s v="COLOMBIA"/>
    <s v="TOLIMA"/>
    <s v="CARMEN DE APICALÁ"/>
    <x v="5"/>
    <n v="0"/>
    <n v="0"/>
    <n v="0"/>
    <n v="64.650000000000006"/>
    <n v="65.327399999999997"/>
    <n v="63.34"/>
    <n v="61.52"/>
    <n v="55.285968046438853"/>
    <n v="52.027079165964906"/>
    <n v="56.752522164409385"/>
    <n v="71.999604360460793"/>
    <s v="2. Riesgo (&gt;=40 y &lt;60)"/>
    <s v="2. Riesgo (&gt;=40 y &lt;60)"/>
    <s v="2. Riesgo (&gt;=40 y &lt;60)"/>
    <s v="4. Solvente (&gt;=70 y &lt;80)"/>
    <n v="63.709350000000001"/>
    <n v="59.016293434318484"/>
    <n v="61.362821717159242"/>
    <n v="50.41306526644621"/>
    <x v="2"/>
    <n v="49.58693473355379"/>
    <n v="0.81759069605862034"/>
    <n v="50.169672119853253"/>
    <n v="0.45694370255825184"/>
    <n v="3"/>
    <b v="1"/>
    <n v="0"/>
    <n v="0.81759069605862023"/>
    <n v="50.169672119853246"/>
    <n v="0.43172658653497731"/>
    <n v="3"/>
    <b v="1"/>
    <n v="0"/>
    <n v="50.41306526644621"/>
    <x v="3"/>
    <n v="49.58693473355379"/>
    <n v="0.80397277260026034"/>
    <n v="49.334037910519982"/>
    <n v="0.45696369155429184"/>
    <n v="3"/>
    <b v="1"/>
    <n v="0"/>
    <n v="9.9122283464524841E-2"/>
    <n v="6.0824230084313591"/>
    <n v="0.36307211271361778"/>
    <n v="3"/>
  </r>
  <r>
    <n v="25592"/>
    <s v="25592"/>
    <s v="25"/>
    <s v="COLOMBIA"/>
    <s v="CUNDINAMARCA"/>
    <s v="QUEBRADANEGRA"/>
    <x v="5"/>
    <n v="0"/>
    <n v="0"/>
    <n v="0"/>
    <n v="65.92"/>
    <n v="66.773666666666699"/>
    <n v="64.95"/>
    <n v="54.39"/>
    <n v="54.718002752381864"/>
    <n v="48.648585249062023"/>
    <n v="52.300289720731939"/>
    <n v="64.287240134955084"/>
    <s v="2. Riesgo (&gt;=40 y &lt;60)"/>
    <s v="2. Riesgo (&gt;=40 y &lt;60)"/>
    <s v="2. Riesgo (&gt;=40 y &lt;60)"/>
    <s v="3. Vulnerable (&gt;=60 y &lt;70)"/>
    <n v="63.008416666666676"/>
    <n v="54.988529464282728"/>
    <n v="58.998473065474698"/>
    <n v="50.63333801011899"/>
    <x v="2"/>
    <n v="49.36666198988101"/>
    <n v="0.81759069605862034"/>
    <n v="48.236602659997224"/>
    <n v="0.43276304126273035"/>
    <n v="3"/>
    <b v="1"/>
    <n v="0"/>
    <n v="0.81759069605862023"/>
    <n v="48.236602659997217"/>
    <n v="0.40888037090091217"/>
    <n v="3"/>
    <b v="1"/>
    <n v="0"/>
    <n v="50.63333801011899"/>
    <x v="3"/>
    <n v="49.36666198988101"/>
    <n v="0.80397277260026034"/>
    <n v="47.433165969631474"/>
    <n v="0.43268360360779518"/>
    <n v="3"/>
    <b v="1"/>
    <n v="0"/>
    <n v="9.8681967130087908E-2"/>
    <n v="5.8220853797725507"/>
    <n v="0.34753203391196541"/>
    <n v="3"/>
  </r>
  <r>
    <n v="25513"/>
    <s v="25513"/>
    <s v="25"/>
    <s v="COLOMBIA"/>
    <s v="CUNDINAMARCA"/>
    <s v="PACHO"/>
    <x v="4"/>
    <n v="0"/>
    <n v="0"/>
    <n v="0"/>
    <n v="87.17"/>
    <n v="85.309299999999993"/>
    <n v="64.11"/>
    <n v="63.73"/>
    <n v="62.576532620628484"/>
    <n v="61.644750740125041"/>
    <n v="66.591025272613393"/>
    <n v="69.701827430834925"/>
    <s v="3. Vulnerable (&gt;=60 y &lt;70)"/>
    <s v="3. Vulnerable (&gt;=60 y &lt;70)"/>
    <s v="3. Vulnerable (&gt;=60 y &lt;70)"/>
    <s v="3. Vulnerable (&gt;=60 y &lt;70)"/>
    <n v="75.079825"/>
    <n v="65.128534016050452"/>
    <n v="70.104179508025226"/>
    <n v="50.586788272989082"/>
    <x v="2"/>
    <n v="49.413211727010918"/>
    <n v="0.81759069605862034"/>
    <n v="57.316524920584811"/>
    <n v="0.54634329760245159"/>
    <n v="2"/>
    <b v="1"/>
    <n v="0"/>
    <n v="0.81759069605862023"/>
    <n v="57.316524920584804"/>
    <n v="0.51619253231769957"/>
    <n v="2"/>
    <b v="1"/>
    <n v="0"/>
    <n v="50.586788272989082"/>
    <x v="3"/>
    <n v="49.413211727010918"/>
    <n v="0.80397277260026034"/>
    <n v="56.361851569933393"/>
    <n v="0.54673088210074683"/>
    <n v="2"/>
    <b v="1"/>
    <n v="0"/>
    <n v="9.8775018177985563E-2"/>
    <n v="6.9245416052579545"/>
    <n v="0.41333987240107023"/>
    <n v="2"/>
  </r>
  <r>
    <n v="15664"/>
    <s v="15664"/>
    <s v="15"/>
    <s v="COLOMBIA"/>
    <s v="BOYACÁ"/>
    <s v="SAN JOSÉ DE PARE"/>
    <x v="5"/>
    <n v="0"/>
    <n v="0"/>
    <n v="0"/>
    <n v="52.65"/>
    <n v="55.3645"/>
    <n v="49.74"/>
    <n v="52.87"/>
    <n v="67.493393793870297"/>
    <n v="44.440867226959185"/>
    <n v="54.513342743858949"/>
    <n v="62.212591635874347"/>
    <s v="3. Vulnerable (&gt;=60 y &lt;70)"/>
    <s v="2. Riesgo (&gt;=40 y &lt;60)"/>
    <s v="2. Riesgo (&gt;=40 y &lt;60)"/>
    <s v="3. Vulnerable (&gt;=60 y &lt;70)"/>
    <n v="52.656125000000003"/>
    <n v="57.165048850140693"/>
    <n v="54.910586925070348"/>
    <n v="50.988141050611212"/>
    <x v="2"/>
    <n v="49.011858949388788"/>
    <n v="0.81759069605862034"/>
    <n v="44.894384985055645"/>
    <n v="0.39095542117871807"/>
    <n v="3"/>
    <b v="1"/>
    <n v="0"/>
    <n v="0.81759069605862023"/>
    <n v="44.894384985055638"/>
    <n v="0.36937996634566866"/>
    <n v="3"/>
    <b v="1"/>
    <n v="0"/>
    <n v="50.988141050611212"/>
    <x v="3"/>
    <n v="49.011858949388788"/>
    <n v="0.80397277260026034"/>
    <n v="44.146616815256408"/>
    <n v="0.39070407790054956"/>
    <n v="3"/>
    <b v="1"/>
    <n v="0"/>
    <n v="9.7972730155818005E-2"/>
    <n v="5.3797401155075057"/>
    <n v="0.32112755177993546"/>
    <n v="3"/>
  </r>
  <r>
    <n v="44098"/>
    <s v="44098"/>
    <s v="44"/>
    <s v="COLOMBIA"/>
    <s v="LA GUAJIRA"/>
    <s v="DISTRACCIÓN"/>
    <x v="5"/>
    <n v="0"/>
    <n v="0"/>
    <n v="0"/>
    <n v="57.79"/>
    <n v="52.076633333333298"/>
    <n v="49.37"/>
    <n v="44.69"/>
    <n v="52.965751522528315"/>
    <n v="46.624026556014869"/>
    <n v="44.978072844270272"/>
    <n v="59.529223287691238"/>
    <s v="2. Riesgo (&gt;=40 y &lt;60)"/>
    <s v="2. Riesgo (&gt;=40 y &lt;60)"/>
    <s v="2. Riesgo (&gt;=40 y &lt;60)"/>
    <s v="2. Riesgo (&gt;=40 y &lt;60)"/>
    <n v="50.981658333333321"/>
    <n v="51.024268552626182"/>
    <n v="51.002963442979748"/>
    <n v="50.512158009684228"/>
    <x v="2"/>
    <n v="49.487841990315772"/>
    <n v="0.81759069605862034"/>
    <n v="41.699548382398177"/>
    <n v="0.35099138295468624"/>
    <n v="4"/>
    <b v="0"/>
    <n v="1"/>
    <n v="0.81759069605862023"/>
    <n v="41.699548382398177"/>
    <n v="0.33162140285082531"/>
    <n v="4"/>
    <b v="0"/>
    <n v="1"/>
    <n v="50.512158009684228"/>
    <x v="3"/>
    <n v="49.487841990315772"/>
    <n v="0.80397277260026034"/>
    <n v="41.004993930082151"/>
    <n v="0.35057571453952102"/>
    <n v="4"/>
    <b v="0"/>
    <n v="1"/>
    <n v="9.8924201065657177E-2"/>
    <n v="5.0454274105776911"/>
    <n v="0.30117175128437351"/>
    <n v="3"/>
  </r>
  <r>
    <n v="41132"/>
    <s v="41132"/>
    <s v="41"/>
    <s v="COLOMBIA"/>
    <s v="HUILA"/>
    <s v="CAMPOALEGRE"/>
    <x v="5"/>
    <n v="0"/>
    <n v="0"/>
    <n v="0"/>
    <n v="62.34"/>
    <n v="67.305566666666707"/>
    <n v="66.569999999999993"/>
    <n v="71.2"/>
    <n v="50.333085751629554"/>
    <n v="64.446484966186986"/>
    <n v="59.730354903037345"/>
    <n v="57.702785072458241"/>
    <s v="2. Riesgo (&gt;=40 y &lt;60)"/>
    <s v="3. Vulnerable (&gt;=60 y &lt;70)"/>
    <s v="2. Riesgo (&gt;=40 y &lt;60)"/>
    <s v="2. Riesgo (&gt;=40 y &lt;60)"/>
    <n v="66.853891666666669"/>
    <n v="58.053177673328037"/>
    <n v="62.453534669997353"/>
    <n v="50.497993461209823"/>
    <x v="2"/>
    <n v="49.502006538790177"/>
    <n v="0.81759069605862034"/>
    <n v="51.061428882164314"/>
    <n v="0.46809863965453219"/>
    <n v="3"/>
    <b v="1"/>
    <n v="0"/>
    <n v="0.81759069605862023"/>
    <n v="51.061428882164307"/>
    <n v="0.44226592188116381"/>
    <n v="3"/>
    <b v="1"/>
    <n v="0"/>
    <n v="50.497993461209823"/>
    <x v="3"/>
    <n v="49.502006538790177"/>
    <n v="0.80397277260026034"/>
    <n v="50.210941427324258"/>
    <n v="0.46816449580134073"/>
    <n v="3"/>
    <b v="1"/>
    <n v="0"/>
    <n v="9.8952515427022159E-2"/>
    <n v="6.1799343529049766"/>
    <n v="0.36889276178759794"/>
    <n v="3"/>
  </r>
  <r>
    <n v="76233"/>
    <s v="76233"/>
    <s v="76"/>
    <s v="COLOMBIA"/>
    <s v="VALLE DEL CAUCA"/>
    <s v="DAGUA"/>
    <x v="4"/>
    <n v="0"/>
    <n v="0"/>
    <n v="0"/>
    <n v="63.87"/>
    <n v="66.707366666666701"/>
    <n v="73.37"/>
    <n v="71.5"/>
    <n v="58.706374127515971"/>
    <n v="43.608046872914073"/>
    <n v="60.853581807909762"/>
    <n v="76.477782971246484"/>
    <s v="2. Riesgo (&gt;=40 y &lt;60)"/>
    <s v="2. Riesgo (&gt;=40 y &lt;60)"/>
    <s v="3. Vulnerable (&gt;=60 y &lt;70)"/>
    <s v="4. Solvente (&gt;=70 y &lt;80)"/>
    <n v="68.861841666666677"/>
    <n v="59.911446444896569"/>
    <n v="64.38664405578163"/>
    <n v="50.549970932216858"/>
    <x v="2"/>
    <n v="49.450029067783142"/>
    <n v="0.81759069605862034"/>
    <n v="52.641921130445134"/>
    <n v="0.48786893168466033"/>
    <n v="2"/>
    <b v="1"/>
    <n v="0"/>
    <n v="0.81759069605862023"/>
    <n v="52.641921130445127"/>
    <n v="0.46094516101977256"/>
    <n v="3"/>
    <b v="0"/>
    <n v="1"/>
    <n v="50.549970932216858"/>
    <x v="3"/>
    <n v="49.450029067783142"/>
    <n v="0.80397277260026034"/>
    <n v="51.765108739952829"/>
    <n v="0.48801607981522954"/>
    <n v="2"/>
    <b v="1"/>
    <n v="0"/>
    <n v="9.8848614557919989E-2"/>
    <n v="6.3645305609479488"/>
    <n v="0.37991168223429822"/>
    <n v="2"/>
  </r>
  <r>
    <n v="5154"/>
    <s v="05154"/>
    <s v="50"/>
    <s v="COLOMBIA"/>
    <s v="ANTIOQUIA"/>
    <s v="CAUCASIA"/>
    <x v="4"/>
    <n v="0"/>
    <n v="0"/>
    <n v="1"/>
    <n v="60.03"/>
    <n v="67.5452333333333"/>
    <n v="87.48"/>
    <n v="71.56"/>
    <n v="59.46032087028965"/>
    <n v="56.883302422120586"/>
    <n v="54.863505211764554"/>
    <n v="54.278017014427043"/>
    <s v="2. Riesgo (&gt;=40 y &lt;60)"/>
    <s v="2. Riesgo (&gt;=40 y &lt;60)"/>
    <s v="2. Riesgo (&gt;=40 y &lt;60)"/>
    <s v="2. Riesgo (&gt;=40 y &lt;60)"/>
    <n v="71.65380833333333"/>
    <n v="56.371286379650456"/>
    <n v="64.012547356491893"/>
    <n v="50.478247565194366"/>
    <x v="2"/>
    <n v="49.521752434805634"/>
    <n v="0.81759069605862034"/>
    <n v="52.336063149679603"/>
    <n v="0.48404297074998487"/>
    <n v="2"/>
    <b v="1"/>
    <n v="0"/>
    <n v="0.81759069605862023"/>
    <n v="52.336063149679596"/>
    <n v="0.45733034141443385"/>
    <n v="3"/>
    <b v="0"/>
    <n v="1"/>
    <n v="50.478247565194366"/>
    <x v="3"/>
    <n v="49.521752434805634"/>
    <n v="0.80397277260026034"/>
    <n v="51.464345179404255"/>
    <n v="0.48417438719820483"/>
    <n v="2"/>
    <b v="1"/>
    <n v="0"/>
    <n v="9.8991986677112967E-2"/>
    <n v="6.3367292350819087"/>
    <n v="0.37825216494909281"/>
    <n v="2"/>
  </r>
  <r>
    <n v="41396"/>
    <s v="41396"/>
    <s v="41"/>
    <s v="COLOMBIA"/>
    <s v="HUILA"/>
    <s v="LA PLATA"/>
    <x v="5"/>
    <n v="0"/>
    <n v="0"/>
    <n v="0"/>
    <n v="58.31"/>
    <n v="66.226966666666698"/>
    <n v="77.86"/>
    <n v="71.150000000000006"/>
    <n v="60.915493048626871"/>
    <n v="61.64264728739451"/>
    <n v="58.479716019428693"/>
    <n v="60.170251579035465"/>
    <s v="3. Vulnerable (&gt;=60 y &lt;70)"/>
    <s v="3. Vulnerable (&gt;=60 y &lt;70)"/>
    <s v="2. Riesgo (&gt;=40 y &lt;60)"/>
    <s v="3. Vulnerable (&gt;=60 y &lt;70)"/>
    <n v="68.386741666666666"/>
    <n v="60.302026983621381"/>
    <n v="64.34438432514402"/>
    <n v="50.576615631438479"/>
    <x v="2"/>
    <n v="49.423384368561521"/>
    <n v="0.81759069605862034"/>
    <n v="52.607369967857878"/>
    <n v="0.48743673306105206"/>
    <n v="2"/>
    <b v="0"/>
    <n v="-1"/>
    <n v="0.81759069605862023"/>
    <n v="52.607369967857871"/>
    <n v="0.46053681391830065"/>
    <n v="3"/>
    <b v="1"/>
    <n v="0"/>
    <n v="50.576615631438479"/>
    <x v="3"/>
    <n v="49.423384368561521"/>
    <n v="0.80397277260026034"/>
    <n v="51.731133067142771"/>
    <n v="0.48758210406645608"/>
    <n v="2"/>
    <b v="0"/>
    <n v="-1"/>
    <n v="9.8795352878341194E-2"/>
    <n v="6.3569261551422089"/>
    <n v="0.37945775989479724"/>
    <n v="2"/>
  </r>
  <r>
    <n v="86219"/>
    <s v="86219"/>
    <s v="86"/>
    <s v="COLOMBIA"/>
    <s v="PUTUMAYO"/>
    <s v="COLÓN"/>
    <x v="5"/>
    <n v="0"/>
    <n v="0"/>
    <n v="0"/>
    <n v="47.17"/>
    <n v="48.963000000000001"/>
    <n v="29.21"/>
    <n v="30.65"/>
    <n v="65.808233394024654"/>
    <n v="67.866196738554038"/>
    <n v="61.910770157726105"/>
    <n v="64.999324610903557"/>
    <s v="3. Vulnerable (&gt;=60 y &lt;70)"/>
    <s v="3. Vulnerable (&gt;=60 y &lt;70)"/>
    <s v="3. Vulnerable (&gt;=60 y &lt;70)"/>
    <s v="3. Vulnerable (&gt;=60 y &lt;70)"/>
    <n v="38.998250000000006"/>
    <n v="65.146131225302085"/>
    <n v="52.072190612651042"/>
    <n v="50.650315711244133"/>
    <x v="2"/>
    <n v="49.349684288755867"/>
    <n v="0.81759069605862034"/>
    <n v="42.573738568294523"/>
    <n v="0.36192658069693545"/>
    <n v="3"/>
    <b v="1"/>
    <n v="0"/>
    <n v="0.81759069605862023"/>
    <n v="42.573738568294516"/>
    <n v="0.34195312548517842"/>
    <n v="3"/>
    <b v="1"/>
    <n v="0"/>
    <n v="50.650315711244133"/>
    <x v="3"/>
    <n v="49.349684288755867"/>
    <n v="0.80397277260026034"/>
    <n v="41.864623462222305"/>
    <n v="0.3615558759027388"/>
    <n v="3"/>
    <b v="1"/>
    <n v="0"/>
    <n v="9.8648029389984682E-2"/>
    <n v="5.1368189899576846"/>
    <n v="0.30662709922116327"/>
    <n v="3"/>
  </r>
  <r>
    <n v="66075"/>
    <s v="66075"/>
    <s v="66"/>
    <s v="COLOMBIA"/>
    <s v="RISARALDA"/>
    <s v="BALBOA"/>
    <x v="5"/>
    <n v="0"/>
    <n v="0"/>
    <n v="0"/>
    <n v="49.33"/>
    <n v="57.341733333333302"/>
    <n v="55.2"/>
    <n v="66.48"/>
    <n v="46.757100973072937"/>
    <n v="36.851227643564854"/>
    <n v="37.502946966525982"/>
    <n v="63.40744407873899"/>
    <s v="2. Riesgo (&gt;=40 y &lt;60)"/>
    <s v="1. Deterioro (&lt;40)"/>
    <s v="1. Deterioro (&lt;40)"/>
    <s v="3. Vulnerable (&gt;=60 y &lt;70)"/>
    <n v="57.087933333333325"/>
    <n v="46.129679915475691"/>
    <n v="51.608806624404508"/>
    <n v="50.665679913923945"/>
    <x v="2"/>
    <n v="49.334320086076055"/>
    <n v="0.81759069605862034"/>
    <n v="42.194880130801621"/>
    <n v="0.35718746099833515"/>
    <n v="3"/>
    <b v="1"/>
    <n v="0"/>
    <n v="0.81759069605862023"/>
    <n v="42.194880130801614"/>
    <n v="0.33747554113681649"/>
    <n v="4"/>
    <b v="0"/>
    <n v="1"/>
    <n v="50.665679913923945"/>
    <x v="3"/>
    <n v="49.334320086076055"/>
    <n v="0.80397277260026034"/>
    <n v="41.492075352413174"/>
    <n v="0.35679726977262843"/>
    <n v="3"/>
    <b v="1"/>
    <n v="0"/>
    <n v="9.8617316968226468E-2"/>
    <n v="5.0895220412308051"/>
    <n v="0.30380384883634592"/>
    <n v="3"/>
  </r>
  <r>
    <n v="5887"/>
    <s v="05887"/>
    <s v="50"/>
    <s v="COLOMBIA"/>
    <s v="ANTIOQUIA"/>
    <s v="YARUMAL"/>
    <x v="5"/>
    <n v="0"/>
    <n v="0"/>
    <n v="0"/>
    <n v="65.52"/>
    <n v="66.901799999999994"/>
    <n v="57.69"/>
    <n v="58.09"/>
    <n v="55.307822887249422"/>
    <n v="49.592961862773251"/>
    <n v="50.948495375935629"/>
    <n v="68.135126436490395"/>
    <s v="2. Riesgo (&gt;=40 y &lt;60)"/>
    <s v="2. Riesgo (&gt;=40 y &lt;60)"/>
    <s v="2. Riesgo (&gt;=40 y &lt;60)"/>
    <s v="3. Vulnerable (&gt;=60 y &lt;70)"/>
    <n v="62.050449999999998"/>
    <n v="55.996101640612174"/>
    <n v="59.023275820306083"/>
    <n v="50.362845739821381"/>
    <x v="2"/>
    <n v="49.637154260178619"/>
    <n v="0.81759069605862034"/>
    <n v="48.256881161583983"/>
    <n v="0.43301670394202518"/>
    <n v="3"/>
    <b v="1"/>
    <n v="0"/>
    <n v="0.81759069605862023"/>
    <n v="48.256881161583976"/>
    <n v="0.40912003482898507"/>
    <n v="3"/>
    <b v="1"/>
    <n v="0"/>
    <n v="50.362845739821381"/>
    <x v="3"/>
    <n v="49.637154260178619"/>
    <n v="0.80397277260026034"/>
    <n v="47.453106709201386"/>
    <n v="0.43293830930367139"/>
    <n v="3"/>
    <b v="1"/>
    <n v="0"/>
    <n v="9.9222670273677455E-2"/>
    <n v="5.8564470351905493"/>
    <n v="0.34958315051659095"/>
    <n v="3"/>
  </r>
  <r>
    <n v="70713"/>
    <s v="70713"/>
    <s v="70"/>
    <s v="COLOMBIA"/>
    <s v="SUCRE"/>
    <s v="SAN ONOFRE"/>
    <x v="6"/>
    <n v="0"/>
    <n v="0"/>
    <n v="1"/>
    <n v="30.35"/>
    <n v="34.265999999999998"/>
    <n v="51.68"/>
    <n v="48.12"/>
    <n v="48.982105589192372"/>
    <n v="56.229119988290179"/>
    <n v="56.146664083683682"/>
    <n v="53.170457749741651"/>
    <s v="2. Riesgo (&gt;=40 y &lt;60)"/>
    <s v="2. Riesgo (&gt;=40 y &lt;60)"/>
    <s v="2. Riesgo (&gt;=40 y &lt;60)"/>
    <s v="2. Riesgo (&gt;=40 y &lt;60)"/>
    <n v="41.103999999999999"/>
    <n v="53.632086852726971"/>
    <n v="47.368043426363485"/>
    <n v="50.750544162170094"/>
    <x v="2"/>
    <n v="49.249455837829906"/>
    <n v="0.81759069605862034"/>
    <n v="38.72767159589548"/>
    <n v="0.31381633700895145"/>
    <n v="4"/>
    <b v="1"/>
    <n v="0"/>
    <n v="0.81759069605862023"/>
    <n v="38.727671595895472"/>
    <n v="0.29649791695840938"/>
    <n v="4"/>
    <b v="1"/>
    <n v="0"/>
    <n v="50.750544162170094"/>
    <x v="3"/>
    <n v="49.249455837829906"/>
    <n v="0.80397277260026034"/>
    <n v="38.082617206142984"/>
    <n v="0.31324781130534962"/>
    <n v="4"/>
    <b v="1"/>
    <n v="0"/>
    <n v="9.8447676757234232E-2"/>
    <n v="4.663273827861266"/>
    <n v="0.2783602321799642"/>
    <n v="4"/>
  </r>
  <r>
    <n v="73585"/>
    <s v="73585"/>
    <s v="73"/>
    <s v="COLOMBIA"/>
    <s v="TOLIMA"/>
    <s v="PURIFICACIÓN"/>
    <x v="5"/>
    <n v="0"/>
    <n v="0"/>
    <n v="0"/>
    <n v="61.28"/>
    <n v="65.183266666666697"/>
    <n v="62.63"/>
    <n v="63.58"/>
    <n v="54.755447888687726"/>
    <n v="46.190734815544126"/>
    <n v="64.00576137338831"/>
    <n v="70.263914085104432"/>
    <s v="2. Riesgo (&gt;=40 y &lt;60)"/>
    <s v="2. Riesgo (&gt;=40 y &lt;60)"/>
    <s v="3. Vulnerable (&gt;=60 y &lt;70)"/>
    <s v="4. Solvente (&gt;=70 y &lt;80)"/>
    <n v="63.168316666666669"/>
    <n v="58.80396454068115"/>
    <n v="60.98614060367391"/>
    <n v="50.794191645538035"/>
    <x v="2"/>
    <n v="49.205808354461965"/>
    <n v="0.81759069605862034"/>
    <n v="49.861701146086638"/>
    <n v="0.45309131030843736"/>
    <n v="3"/>
    <b v="1"/>
    <n v="0"/>
    <n v="0.81759069605862023"/>
    <n v="49.861701146086631"/>
    <n v="0.4280867942658319"/>
    <n v="3"/>
    <b v="1"/>
    <n v="0"/>
    <n v="50.794191645538035"/>
    <x v="3"/>
    <n v="49.205808354461965"/>
    <n v="0.80397277260026034"/>
    <n v="49.031196551325031"/>
    <n v="0.45309545894118219"/>
    <n v="3"/>
    <b v="1"/>
    <n v="0"/>
    <n v="9.83604271976041E-2"/>
    <n v="5.9986228429105148"/>
    <n v="0.35806991160079998"/>
    <n v="3"/>
  </r>
  <r>
    <n v="13062"/>
    <s v="13062"/>
    <s v="13"/>
    <s v="COLOMBIA"/>
    <s v="BOLÍVAR"/>
    <s v="ARROYOHONDO"/>
    <x v="6"/>
    <n v="0"/>
    <n v="0"/>
    <n v="0"/>
    <n v="42.48"/>
    <n v="35.576599999999999"/>
    <n v="59.7"/>
    <n v="33.340000000000003"/>
    <n v="36.452755168572295"/>
    <n v="64.383416308034342"/>
    <n v="58.062505128751553"/>
    <n v="54.526436903607404"/>
    <s v="1. Deterioro (&lt;40)"/>
    <s v="3. Vulnerable (&gt;=60 y &lt;70)"/>
    <s v="2. Riesgo (&gt;=40 y &lt;60)"/>
    <s v="2. Riesgo (&gt;=40 y &lt;60)"/>
    <n v="42.774149999999999"/>
    <n v="53.356278377241395"/>
    <n v="48.0652141886207"/>
    <n v="50.832817342379059"/>
    <x v="2"/>
    <n v="49.167182657620941"/>
    <n v="0.81759069605862034"/>
    <n v="39.297671924681076"/>
    <n v="0.3209464402850784"/>
    <n v="4"/>
    <b v="1"/>
    <n v="0"/>
    <n v="0.81759069605862023"/>
    <n v="39.297671924681069"/>
    <n v="0.30323453490895813"/>
    <n v="4"/>
    <b v="1"/>
    <n v="0"/>
    <n v="50.832817342379059"/>
    <x v="3"/>
    <n v="49.167182657620941"/>
    <n v="0.80397277260026034"/>
    <n v="38.643123516850757"/>
    <n v="0.32040723231936591"/>
    <n v="4"/>
    <b v="1"/>
    <n v="0"/>
    <n v="9.8283215986790934E-2"/>
    <n v="4.7240038275515763"/>
    <n v="0.2819853285045858"/>
    <n v="4"/>
  </r>
  <r>
    <n v="68533"/>
    <s v="68533"/>
    <s v="68"/>
    <s v="COLOMBIA"/>
    <s v="SANTANDER"/>
    <s v="PÁRAMO"/>
    <x v="4"/>
    <n v="0"/>
    <n v="0"/>
    <n v="0"/>
    <n v="70.540000000000006"/>
    <n v="74.880633333333293"/>
    <n v="69"/>
    <n v="73.19"/>
    <n v="54.742390406800226"/>
    <n v="51.854480420265524"/>
    <n v="55.078899642303178"/>
    <n v="53.801845303116544"/>
    <s v="2. Riesgo (&gt;=40 y &lt;60)"/>
    <s v="2. Riesgo (&gt;=40 y &lt;60)"/>
    <s v="2. Riesgo (&gt;=40 y &lt;60)"/>
    <s v="2. Riesgo (&gt;=40 y &lt;60)"/>
    <n v="71.902658333333321"/>
    <n v="53.86940394312137"/>
    <n v="62.886031138227345"/>
    <n v="50.461060603125851"/>
    <x v="2"/>
    <n v="49.538939396874149"/>
    <n v="0.81759069605862034"/>
    <n v="51.415033970667366"/>
    <n v="0.47252186657680845"/>
    <n v="3"/>
    <b v="0"/>
    <n v="1"/>
    <n v="0.81759069605862023"/>
    <n v="51.415033970667359"/>
    <n v="0.4464450464646359"/>
    <n v="3"/>
    <b v="0"/>
    <n v="1"/>
    <n v="50.461060603125851"/>
    <x v="3"/>
    <n v="49.538939396874149"/>
    <n v="0.80397277260026034"/>
    <n v="50.558656812026946"/>
    <n v="0.4726059102592684"/>
    <n v="3"/>
    <b v="0"/>
    <n v="1"/>
    <n v="9.9026342721405744E-2"/>
    <n v="6.2273736718830941"/>
    <n v="0.37172451054022576"/>
    <n v="3"/>
  </r>
  <r>
    <n v="15753"/>
    <s v="15753"/>
    <s v="15"/>
    <s v="COLOMBIA"/>
    <s v="BOYACÁ"/>
    <s v="SOATÁ"/>
    <x v="5"/>
    <n v="0"/>
    <n v="0"/>
    <n v="0"/>
    <n v="66.8"/>
    <n v="68.8005"/>
    <n v="82.88"/>
    <n v="86.11"/>
    <n v="44.232396611762979"/>
    <n v="47.011416370643687"/>
    <n v="65.168489367918184"/>
    <n v="62.243437513474206"/>
    <s v="2. Riesgo (&gt;=40 y &lt;60)"/>
    <s v="2. Riesgo (&gt;=40 y &lt;60)"/>
    <s v="3. Vulnerable (&gt;=60 y &lt;70)"/>
    <s v="3. Vulnerable (&gt;=60 y &lt;70)"/>
    <n v="76.147625000000005"/>
    <n v="54.663934965949764"/>
    <n v="65.405779982974877"/>
    <n v="50.846051245541069"/>
    <x v="2"/>
    <n v="49.153948754458931"/>
    <n v="0.81759069605862034"/>
    <n v="53.475157182537409"/>
    <n v="0.49829183638274677"/>
    <n v="2"/>
    <b v="0"/>
    <n v="-1"/>
    <n v="0.81759069605862023"/>
    <n v="53.475157182537401"/>
    <n v="0.47079286226150396"/>
    <n v="2"/>
    <b v="0"/>
    <n v="-1"/>
    <n v="50.846051245541069"/>
    <x v="3"/>
    <n v="49.153948754458931"/>
    <n v="0.80397277260026034"/>
    <n v="52.584466276994924"/>
    <n v="0.49848184167486753"/>
    <n v="2"/>
    <b v="0"/>
    <n v="-1"/>
    <n v="9.8256761947887031E-2"/>
    <n v="6.4265601538030372"/>
    <n v="0.38361435389942966"/>
    <n v="2"/>
  </r>
  <r>
    <n v="15762"/>
    <s v="15762"/>
    <s v="15"/>
    <s v="COLOMBIA"/>
    <s v="BOYACÁ"/>
    <s v="SORA"/>
    <x v="5"/>
    <n v="0"/>
    <n v="0"/>
    <n v="0"/>
    <n v="60.07"/>
    <n v="63.2601333333333"/>
    <n v="52.17"/>
    <n v="56.01"/>
    <n v="49.253936663498763"/>
    <n v="62.19329137005554"/>
    <n v="68.295001670527"/>
    <n v="59.730424008467978"/>
    <s v="2. Riesgo (&gt;=40 y &lt;60)"/>
    <s v="3. Vulnerable (&gt;=60 y &lt;70)"/>
    <s v="3. Vulnerable (&gt;=60 y &lt;70)"/>
    <s v="2. Riesgo (&gt;=40 y &lt;60)"/>
    <n v="57.877533333333318"/>
    <n v="59.868163428137322"/>
    <n v="58.87284838073532"/>
    <n v="51.035209739677015"/>
    <x v="2"/>
    <n v="48.964790260322985"/>
    <n v="0.81759069605862034"/>
    <n v="48.133893086559013"/>
    <n v="0.43147825276511376"/>
    <n v="3"/>
    <b v="1"/>
    <n v="0"/>
    <n v="0.81759069605862023"/>
    <n v="48.133893086559006"/>
    <n v="0.40766648536229994"/>
    <n v="3"/>
    <b v="1"/>
    <n v="0"/>
    <n v="51.035209739677015"/>
    <x v="3"/>
    <n v="48.964790260322985"/>
    <n v="0.80397277260026034"/>
    <n v="47.332167143534519"/>
    <n v="0.4313935322845367"/>
    <n v="3"/>
    <b v="1"/>
    <n v="0"/>
    <n v="9.7878641743921718E-2"/>
    <n v="5.7623944351022143"/>
    <n v="0.34396896087983836"/>
    <n v="3"/>
  </r>
  <r>
    <n v="41503"/>
    <s v="41503"/>
    <s v="41"/>
    <s v="COLOMBIA"/>
    <s v="HUILA"/>
    <s v="OPORAPA"/>
    <x v="5"/>
    <n v="0"/>
    <n v="0"/>
    <n v="0"/>
    <n v="52.83"/>
    <n v="56.291833333333301"/>
    <n v="54.05"/>
    <n v="33.26"/>
    <n v="45.766040948030309"/>
    <n v="49.845874001751937"/>
    <n v="46.512224530959443"/>
    <n v="53.67262684040989"/>
    <s v="2. Riesgo (&gt;=40 y &lt;60)"/>
    <s v="2. Riesgo (&gt;=40 y &lt;60)"/>
    <s v="2. Riesgo (&gt;=40 y &lt;60)"/>
    <s v="2. Riesgo (&gt;=40 y &lt;60)"/>
    <n v="49.107958333333322"/>
    <n v="48.949191580287895"/>
    <n v="49.028574956810608"/>
    <n v="51.096254760090588"/>
    <x v="2"/>
    <n v="48.903745239909412"/>
    <n v="0.81759069605862034"/>
    <n v="40.085306725701024"/>
    <n v="0.33079892140049955"/>
    <n v="4"/>
    <b v="0"/>
    <n v="1"/>
    <n v="0.81759069605862023"/>
    <n v="40.085306725701024"/>
    <n v="0.31254329223955923"/>
    <n v="4"/>
    <b v="0"/>
    <n v="1"/>
    <n v="51.096254760090588"/>
    <x v="3"/>
    <n v="48.903745239909412"/>
    <n v="0.80397277260026034"/>
    <n v="39.417639344666718"/>
    <n v="0.33030022511431201"/>
    <n v="4"/>
    <b v="0"/>
    <n v="1"/>
    <n v="9.7756615209108763E-2"/>
    <n v="4.7928675363038806"/>
    <n v="0.28609594234899227"/>
    <n v="4"/>
  </r>
  <r>
    <n v="23574"/>
    <s v="23574"/>
    <s v="23"/>
    <s v="COLOMBIA"/>
    <s v="CÓRDOBA"/>
    <s v="PUERTO ESCONDIDO"/>
    <x v="6"/>
    <n v="0"/>
    <n v="0"/>
    <n v="0"/>
    <n v="39.29"/>
    <n v="40.959933333333296"/>
    <n v="29.83"/>
    <n v="32.76"/>
    <n v="69.816667919125791"/>
    <n v="64.493972922140443"/>
    <n v="60.057440543687576"/>
    <n v="52.59358029514398"/>
    <s v="3. Vulnerable (&gt;=60 y &lt;70)"/>
    <s v="3. Vulnerable (&gt;=60 y &lt;70)"/>
    <s v="3. Vulnerable (&gt;=60 y &lt;70)"/>
    <s v="2. Riesgo (&gt;=40 y &lt;60)"/>
    <n v="35.709983333333327"/>
    <n v="61.740415420024448"/>
    <n v="48.725199376678887"/>
    <n v="50.999724148554158"/>
    <x v="2"/>
    <n v="49.000275851445842"/>
    <n v="0.81759069605862034"/>
    <n v="39.837269673973942"/>
    <n v="0.32769623933909081"/>
    <n v="4"/>
    <b v="1"/>
    <n v="0"/>
    <n v="0.81759069605862023"/>
    <n v="39.837269673973942"/>
    <n v="0.30961183629000599"/>
    <n v="4"/>
    <b v="1"/>
    <n v="0"/>
    <n v="50.999724148554158"/>
    <x v="3"/>
    <n v="49.000275851445842"/>
    <n v="0.80397277260026034"/>
    <n v="39.173733638369001"/>
    <n v="0.32718478536680706"/>
    <n v="4"/>
    <b v="1"/>
    <n v="0"/>
    <n v="9.7949576009995779E-2"/>
    <n v="4.772612619948208"/>
    <n v="0.28488688548729457"/>
    <n v="4"/>
  </r>
  <r>
    <n v="41548"/>
    <s v="41548"/>
    <s v="41"/>
    <s v="COLOMBIA"/>
    <s v="HUILA"/>
    <s v="PITAL"/>
    <x v="5"/>
    <n v="0"/>
    <n v="0"/>
    <n v="0"/>
    <n v="58.07"/>
    <n v="60.6850666666667"/>
    <n v="51.83"/>
    <n v="29.17"/>
    <n v="54.345255789424044"/>
    <n v="55.120851322339263"/>
    <n v="50.638397561360733"/>
    <n v="56.051888755208182"/>
    <s v="2. Riesgo (&gt;=40 y &lt;60)"/>
    <s v="2. Riesgo (&gt;=40 y &lt;60)"/>
    <s v="2. Riesgo (&gt;=40 y &lt;60)"/>
    <s v="2. Riesgo (&gt;=40 y &lt;60)"/>
    <n v="49.93876666666668"/>
    <n v="54.039098357083056"/>
    <n v="51.988932511874864"/>
    <n v="51.011706906951041"/>
    <x v="2"/>
    <n v="48.988293093048959"/>
    <n v="0.81759069605862034"/>
    <n v="42.505667519728405"/>
    <n v="0.36107508363302193"/>
    <n v="3"/>
    <b v="1"/>
    <n v="0"/>
    <n v="0.81759069605862023"/>
    <n v="42.505667519728405"/>
    <n v="0.34114861954978687"/>
    <n v="3"/>
    <b v="1"/>
    <n v="0"/>
    <n v="51.011706906951041"/>
    <x v="3"/>
    <n v="48.988293093048959"/>
    <n v="0.80397277260026034"/>
    <n v="41.797686216099855"/>
    <n v="0.36070087763179282"/>
    <n v="3"/>
    <b v="1"/>
    <n v="0"/>
    <n v="9.7925622959038186E-2"/>
    <n v="5.0910486032007398"/>
    <n v="0.30389497240319485"/>
    <n v="3"/>
  </r>
  <r>
    <n v="41319"/>
    <s v="41319"/>
    <s v="41"/>
    <s v="COLOMBIA"/>
    <s v="HUILA"/>
    <s v="GUADALUPE"/>
    <x v="5"/>
    <n v="0"/>
    <n v="0"/>
    <n v="0"/>
    <n v="57.19"/>
    <n v="55.6689333333333"/>
    <n v="60.82"/>
    <n v="57.67"/>
    <n v="62.999555851438686"/>
    <n v="61.732489893082118"/>
    <n v="64.498698319733336"/>
    <n v="47.667483041812986"/>
    <s v="3. Vulnerable (&gt;=60 y &lt;70)"/>
    <s v="3. Vulnerable (&gt;=60 y &lt;70)"/>
    <s v="3. Vulnerable (&gt;=60 y &lt;70)"/>
    <s v="2. Riesgo (&gt;=40 y &lt;60)"/>
    <n v="57.83723333333333"/>
    <n v="59.224556776516778"/>
    <n v="58.530895054925054"/>
    <n v="51.004790478470277"/>
    <x v="2"/>
    <n v="48.995209521529723"/>
    <n v="0.81759069605862034"/>
    <n v="47.854315228890236"/>
    <n v="0.42798102846851777"/>
    <n v="3"/>
    <b v="1"/>
    <n v="0"/>
    <n v="0.81759069605862023"/>
    <n v="47.854315228890229"/>
    <n v="0.40436226057604391"/>
    <n v="3"/>
    <b v="1"/>
    <n v="0"/>
    <n v="51.004790478470277"/>
    <x v="3"/>
    <n v="48.995209521529723"/>
    <n v="0.80397277260026034"/>
    <n v="47.057245980082961"/>
    <n v="0.42788192801316371"/>
    <n v="3"/>
    <b v="1"/>
    <n v="0"/>
    <n v="9.7939448620739528E-2"/>
    <n v="5.7324835889577299"/>
    <n v="0.3421835220690756"/>
    <n v="3"/>
  </r>
  <r>
    <n v="19622"/>
    <s v="19622"/>
    <s v="19"/>
    <s v="COLOMBIA"/>
    <s v="CAUCA"/>
    <s v="ROSAS"/>
    <x v="5"/>
    <n v="0"/>
    <n v="0"/>
    <n v="0"/>
    <n v="74.31"/>
    <n v="74.436300000000003"/>
    <n v="84.13"/>
    <n v="84.67"/>
    <n v="48.915433015716019"/>
    <n v="58.477336719103405"/>
    <n v="52.267614700682635"/>
    <n v="51.071963666123686"/>
    <s v="2. Riesgo (&gt;=40 y &lt;60)"/>
    <s v="2. Riesgo (&gt;=40 y &lt;60)"/>
    <s v="2. Riesgo (&gt;=40 y &lt;60)"/>
    <s v="2. Riesgo (&gt;=40 y &lt;60)"/>
    <n v="79.386575000000008"/>
    <n v="52.683087025406437"/>
    <n v="66.034831012703222"/>
    <n v="51.09525121171616"/>
    <x v="2"/>
    <n v="48.90474878828384"/>
    <n v="0.81759069605862034"/>
    <n v="53.989463451789398"/>
    <n v="0.5047252656811807"/>
    <n v="2"/>
    <b v="0"/>
    <n v="-1"/>
    <n v="0.81759069605862023"/>
    <n v="53.989463451789391"/>
    <n v="0.47687125322121504"/>
    <n v="2"/>
    <b v="0"/>
    <n v="-1"/>
    <n v="51.09525121171616"/>
    <x v="3"/>
    <n v="48.90474878828384"/>
    <n v="0.80397277260026034"/>
    <n v="53.090206177472666"/>
    <n v="0.50494172410961613"/>
    <n v="2"/>
    <b v="0"/>
    <n v="-1"/>
    <n v="9.7758621261851794E-2"/>
    <n v="6.4554740350612398"/>
    <n v="0.38534028186277824"/>
    <n v="2"/>
  </r>
  <r>
    <n v="25488"/>
    <s v="25488"/>
    <s v="25"/>
    <s v="COLOMBIA"/>
    <s v="CUNDINAMARCA"/>
    <s v="NILO"/>
    <x v="4"/>
    <n v="0"/>
    <n v="0"/>
    <n v="0"/>
    <n v="67.59"/>
    <n v="71.174166666666693"/>
    <n v="64.5"/>
    <n v="77.099999999999994"/>
    <n v="66.212226244612452"/>
    <n v="53.054630733107288"/>
    <n v="60.854191590744236"/>
    <n v="66.013063806198119"/>
    <s v="3. Vulnerable (&gt;=60 y &lt;70)"/>
    <s v="2. Riesgo (&gt;=40 y &lt;60)"/>
    <s v="3. Vulnerable (&gt;=60 y &lt;70)"/>
    <s v="3. Vulnerable (&gt;=60 y &lt;70)"/>
    <n v="70.091041666666683"/>
    <n v="61.533528093665524"/>
    <n v="65.812284880166104"/>
    <n v="51.121645097300636"/>
    <x v="2"/>
    <n v="48.878354902699364"/>
    <n v="0.81759069605862034"/>
    <n v="53.807511804383218"/>
    <n v="0.5024492423672442"/>
    <n v="2"/>
    <b v="1"/>
    <n v="0"/>
    <n v="0.81759069605862023"/>
    <n v="53.807511804383211"/>
    <n v="0.47472083562994827"/>
    <n v="2"/>
    <b v="1"/>
    <n v="0"/>
    <n v="51.121645097300636"/>
    <x v="3"/>
    <n v="48.878354902699364"/>
    <n v="0.80397277260026034"/>
    <n v="52.911285146265335"/>
    <n v="0.50265634218580213"/>
    <n v="2"/>
    <b v="1"/>
    <n v="0"/>
    <n v="9.7705860948622256E-2"/>
    <n v="6.4302459552126239"/>
    <n v="0.38383436682897543"/>
    <n v="2"/>
  </r>
  <r>
    <n v="70708"/>
    <s v="70708"/>
    <s v="70"/>
    <s v="COLOMBIA"/>
    <s v="SUCRE"/>
    <s v="SAN MARCOS"/>
    <x v="5"/>
    <n v="0"/>
    <n v="0"/>
    <n v="0"/>
    <n v="59.54"/>
    <n v="59.467399999999998"/>
    <n v="30.88"/>
    <n v="26.05"/>
    <n v="52.016975752810964"/>
    <n v="44.206552395650597"/>
    <n v="48.032210146123518"/>
    <n v="60.721729128134299"/>
    <s v="2. Riesgo (&gt;=40 y &lt;60)"/>
    <s v="2. Riesgo (&gt;=40 y &lt;60)"/>
    <s v="2. Riesgo (&gt;=40 y &lt;60)"/>
    <s v="3. Vulnerable (&gt;=60 y &lt;70)"/>
    <n v="43.984349999999999"/>
    <n v="51.244366855679843"/>
    <n v="47.614358427839917"/>
    <n v="51.103272248349597"/>
    <x v="2"/>
    <n v="48.896727751650403"/>
    <n v="0.81759069605862034"/>
    <n v="38.929056449402275"/>
    <n v="0.31633544924667661"/>
    <n v="4"/>
    <b v="0"/>
    <n v="1"/>
    <n v="0.81759069605862023"/>
    <n v="38.929056449402268"/>
    <n v="0.29887800825062477"/>
    <n v="4"/>
    <b v="0"/>
    <n v="1"/>
    <n v="51.103272248349597"/>
    <x v="3"/>
    <n v="48.896727751650403"/>
    <n v="0.80397277260026034"/>
    <n v="38.280647760813032"/>
    <n v="0.31577728169210006"/>
    <n v="4"/>
    <b v="0"/>
    <n v="1"/>
    <n v="9.7742587532984884E-2"/>
    <n v="4.65395059646006"/>
    <n v="0.27780370966953349"/>
    <n v="4"/>
  </r>
  <r>
    <n v="5690"/>
    <s v="05690"/>
    <s v="50"/>
    <s v="COLOMBIA"/>
    <s v="ANTIOQUIA"/>
    <s v="SANTO DOMINGO"/>
    <x v="4"/>
    <n v="0"/>
    <n v="0"/>
    <n v="0"/>
    <n v="59.18"/>
    <n v="59.25"/>
    <n v="59.85"/>
    <n v="57.14"/>
    <n v="50.83476178548257"/>
    <n v="50.482337186930984"/>
    <n v="60.295310022704228"/>
    <n v="66.08326903030266"/>
    <s v="2. Riesgo (&gt;=40 y &lt;60)"/>
    <s v="2. Riesgo (&gt;=40 y &lt;60)"/>
    <s v="3. Vulnerable (&gt;=60 y &lt;70)"/>
    <s v="3. Vulnerable (&gt;=60 y &lt;70)"/>
    <n v="58.855000000000004"/>
    <n v="56.923919506355112"/>
    <n v="57.889459753177562"/>
    <n v="50.678710265264336"/>
    <x v="2"/>
    <n v="49.321289734735664"/>
    <n v="0.81759069605862034"/>
    <n v="47.329883694057933"/>
    <n v="0.42142094277071007"/>
    <n v="3"/>
    <b v="0"/>
    <n v="1"/>
    <n v="0.81759069605862023"/>
    <n v="47.329883694057926"/>
    <n v="0.39816420293823152"/>
    <n v="3"/>
    <b v="0"/>
    <n v="1"/>
    <n v="50.678710265264336"/>
    <x v="3"/>
    <n v="49.321289734735664"/>
    <n v="0.80397277260026034"/>
    <n v="46.54154946209335"/>
    <n v="0.42129486839007457"/>
    <n v="3"/>
    <b v="0"/>
    <n v="1"/>
    <n v="9.8591269821207916E-2"/>
    <n v="5.7073953463294851"/>
    <n v="0.34068595420135539"/>
    <n v="3"/>
  </r>
  <r>
    <n v="20400"/>
    <s v="20400"/>
    <s v="20"/>
    <s v="COLOMBIA"/>
    <s v="CESAR"/>
    <s v="LA JAGUA DE IBIRICO"/>
    <x v="4"/>
    <n v="0"/>
    <n v="0"/>
    <n v="1"/>
    <n v="71.66"/>
    <n v="73.787166666666707"/>
    <n v="65.22"/>
    <n v="63.56"/>
    <n v="57.204461332823335"/>
    <n v="69.801824736229392"/>
    <n v="68.163857862309385"/>
    <n v="72.918099715939093"/>
    <s v="2. Riesgo (&gt;=40 y &lt;60)"/>
    <s v="3. Vulnerable (&gt;=60 y &lt;70)"/>
    <s v="3. Vulnerable (&gt;=60 y &lt;70)"/>
    <s v="4. Solvente (&gt;=70 y &lt;80)"/>
    <n v="68.556791666666669"/>
    <n v="67.022060911825292"/>
    <n v="67.789426289245981"/>
    <n v="51.07196165636423"/>
    <x v="2"/>
    <n v="48.92803834363577"/>
    <n v="0.81759069605862034"/>
    <n v="55.424004225239159"/>
    <n v="0.52266985860852833"/>
    <n v="2"/>
    <b v="1"/>
    <n v="0"/>
    <n v="0.81759069605862023"/>
    <n v="55.424004225239152"/>
    <n v="0.49382554717014165"/>
    <n v="2"/>
    <b v="1"/>
    <n v="0"/>
    <n v="51.07196165636423"/>
    <x v="3"/>
    <n v="48.92803834363577"/>
    <n v="0.80397277260026034"/>
    <n v="54.50085300674607"/>
    <n v="0.52296010206525867"/>
    <n v="2"/>
    <b v="1"/>
    <n v="0"/>
    <n v="9.7805176144095687E-2"/>
    <n v="6.630156778926894"/>
    <n v="0.39576744761267751"/>
    <n v="2"/>
  </r>
  <r>
    <n v="73352"/>
    <s v="73352"/>
    <s v="73"/>
    <s v="COLOMBIA"/>
    <s v="TOLIMA"/>
    <s v="ICONONZO"/>
    <x v="6"/>
    <n v="0"/>
    <n v="0"/>
    <n v="0"/>
    <n v="50.26"/>
    <n v="50.550933333333298"/>
    <n v="49.27"/>
    <n v="56.77"/>
    <n v="47.82081916122057"/>
    <n v="49.439191899069939"/>
    <n v="53.976264347132272"/>
    <n v="48.087526718962323"/>
    <s v="2. Riesgo (&gt;=40 y &lt;60)"/>
    <s v="2. Riesgo (&gt;=40 y &lt;60)"/>
    <s v="2. Riesgo (&gt;=40 y &lt;60)"/>
    <s v="2. Riesgo (&gt;=40 y &lt;60)"/>
    <n v="51.712733333333325"/>
    <n v="49.83095053159628"/>
    <n v="50.771841932464802"/>
    <n v="51.218159366551362"/>
    <x v="2"/>
    <n v="48.781840633448638"/>
    <n v="0.81759069605862034"/>
    <n v="41.510585585742149"/>
    <n v="0.34862765755408204"/>
    <n v="4"/>
    <b v="1"/>
    <n v="0"/>
    <n v="0.81759069605862023"/>
    <n v="41.510585585742142"/>
    <n v="0.32938812314263455"/>
    <n v="4"/>
    <b v="1"/>
    <n v="0"/>
    <n v="51.218159366551362"/>
    <x v="3"/>
    <n v="48.781840633448638"/>
    <n v="0.80397277260026034"/>
    <n v="40.819178528465891"/>
    <n v="0.34820226991339459"/>
    <n v="4"/>
    <b v="1"/>
    <n v="0"/>
    <n v="9.7512932815305542E-2"/>
    <n v="4.9509112112697533"/>
    <n v="0.29552988847397282"/>
    <n v="3"/>
  </r>
  <r>
    <n v="52356"/>
    <s v="52356"/>
    <s v="52"/>
    <s v="COLOMBIA"/>
    <s v="NARIÑO"/>
    <s v="IPIALES"/>
    <x v="5"/>
    <n v="0"/>
    <n v="0"/>
    <n v="0"/>
    <n v="70.569999999999993"/>
    <n v="71.155833333333305"/>
    <n v="67.099999999999994"/>
    <n v="60.76"/>
    <n v="42.964749897444676"/>
    <n v="47.648098218883327"/>
    <n v="51.613743323379168"/>
    <n v="55.672130971042691"/>
    <s v="2. Riesgo (&gt;=40 y &lt;60)"/>
    <s v="2. Riesgo (&gt;=40 y &lt;60)"/>
    <s v="2. Riesgo (&gt;=40 y &lt;60)"/>
    <s v="2. Riesgo (&gt;=40 y &lt;60)"/>
    <n v="67.396458333333328"/>
    <n v="49.474680602687464"/>
    <n v="58.435569468010399"/>
    <n v="51.237768590098312"/>
    <x v="2"/>
    <n v="48.762231409901688"/>
    <n v="0.81759069605862034"/>
    <n v="47.776377915932486"/>
    <n v="0.42700611483708789"/>
    <n v="3"/>
    <b v="1"/>
    <n v="0"/>
    <n v="0.81759069605862023"/>
    <n v="47.776377915932478"/>
    <n v="0.40344114899948164"/>
    <n v="3"/>
    <b v="1"/>
    <n v="0"/>
    <n v="51.237768590098312"/>
    <x v="3"/>
    <n v="48.762231409901688"/>
    <n v="0.80397277260026034"/>
    <n v="46.980606803671442"/>
    <n v="0.42690300570735656"/>
    <n v="3"/>
    <b v="1"/>
    <n v="0"/>
    <n v="9.7473734767969403E-2"/>
    <n v="5.6959331993400966"/>
    <n v="0.34000175549996575"/>
    <n v="3"/>
  </r>
  <r>
    <n v="5792"/>
    <s v="05792"/>
    <s v="50"/>
    <s v="COLOMBIA"/>
    <s v="ANTIOQUIA"/>
    <s v="TARSO"/>
    <x v="5"/>
    <n v="0"/>
    <n v="0"/>
    <n v="0"/>
    <n v="56.57"/>
    <n v="61.943833333333302"/>
    <n v="25.42"/>
    <n v="23.91"/>
    <n v="52.511420487434506"/>
    <n v="40.488378231786562"/>
    <n v="54.099405692593095"/>
    <n v="36.042949464723534"/>
    <s v="2. Riesgo (&gt;=40 y &lt;60)"/>
    <s v="2. Riesgo (&gt;=40 y &lt;60)"/>
    <s v="2. Riesgo (&gt;=40 y &lt;60)"/>
    <s v="1. Deterioro (&lt;40)"/>
    <n v="41.96095833333333"/>
    <n v="45.78553846913443"/>
    <n v="43.87324840123388"/>
    <n v="51.273935088345091"/>
    <x v="2"/>
    <n v="48.726064911654909"/>
    <n v="0.81759069605862034"/>
    <n v="35.870359698717557"/>
    <n v="0.27807437706589327"/>
    <n v="4"/>
    <b v="0"/>
    <n v="1"/>
    <n v="0.81759069605862023"/>
    <n v="35.870359698717557"/>
    <n v="0.26272843009187524"/>
    <n v="4"/>
    <b v="0"/>
    <n v="1"/>
    <n v="51.273935088345091"/>
    <x v="3"/>
    <n v="48.726064911654909"/>
    <n v="0.80397277260026034"/>
    <n v="35.272897160119939"/>
    <n v="0.27735888667290609"/>
    <n v="4"/>
    <b v="0"/>
    <n v="1"/>
    <n v="9.7401439396005013E-2"/>
    <n v="4.2733175452586556"/>
    <n v="0.25508295416194088"/>
    <n v="4"/>
  </r>
  <r>
    <n v="70233"/>
    <s v="70233"/>
    <s v="70"/>
    <s v="COLOMBIA"/>
    <s v="SUCRE"/>
    <s v="EL ROBLE"/>
    <x v="5"/>
    <n v="0"/>
    <n v="0"/>
    <n v="0"/>
    <n v="55.07"/>
    <n v="58.539866666666697"/>
    <n v="40.4"/>
    <n v="31.95"/>
    <n v="45.223778851496043"/>
    <n v="36.682134774557476"/>
    <n v="60.925752859696829"/>
    <n v="51.743390798067942"/>
    <s v="2. Riesgo (&gt;=40 y &lt;60)"/>
    <s v="1. Deterioro (&lt;40)"/>
    <s v="3. Vulnerable (&gt;=60 y &lt;70)"/>
    <s v="2. Riesgo (&gt;=40 y &lt;60)"/>
    <n v="46.489966666666675"/>
    <n v="48.643764320954574"/>
    <n v="47.566865493810624"/>
    <n v="51.265008878630468"/>
    <x v="2"/>
    <n v="48.734991121369532"/>
    <n v="0.81759069605862034"/>
    <n v="38.890226668411401"/>
    <n v="0.31584972961692798"/>
    <n v="4"/>
    <b v="0"/>
    <n v="1"/>
    <n v="0.81759069605862023"/>
    <n v="38.890226668411394"/>
    <n v="0.29841909377912562"/>
    <n v="4"/>
    <b v="0"/>
    <n v="1"/>
    <n v="51.265008878630468"/>
    <x v="3"/>
    <n v="48.734991121369532"/>
    <n v="0.80397277260026034"/>
    <n v="38.242464734962581"/>
    <n v="0.31528956486816767"/>
    <n v="4"/>
    <b v="0"/>
    <n v="1"/>
    <n v="9.7419282529369697E-2"/>
    <n v="4.6339299085780636"/>
    <n v="0.27660863437844957"/>
    <n v="4"/>
  </r>
  <r>
    <n v="5670"/>
    <s v="05670"/>
    <s v="50"/>
    <s v="COLOMBIA"/>
    <s v="ANTIOQUIA"/>
    <s v="SAN ROQUE"/>
    <x v="4"/>
    <n v="0"/>
    <n v="0"/>
    <n v="0"/>
    <n v="66.97"/>
    <n v="63.4577666666667"/>
    <n v="71.78"/>
    <n v="59.84"/>
    <n v="58.393368841007373"/>
    <n v="60.340521112716665"/>
    <n v="52.437495599212696"/>
    <n v="56.11470315517856"/>
    <s v="2. Riesgo (&gt;=40 y &lt;60)"/>
    <s v="3. Vulnerable (&gt;=60 y &lt;70)"/>
    <s v="2. Riesgo (&gt;=40 y &lt;60)"/>
    <s v="2. Riesgo (&gt;=40 y &lt;60)"/>
    <n v="65.511941666666672"/>
    <n v="56.821522177028825"/>
    <n v="61.166731921847749"/>
    <n v="51.146776529910113"/>
    <x v="2"/>
    <n v="48.853223470089887"/>
    <n v="0.81759069605862034"/>
    <n v="50.009350927614534"/>
    <n v="0.45493825343781136"/>
    <n v="3"/>
    <b v="0"/>
    <n v="1"/>
    <n v="0.81759069605862023"/>
    <n v="50.009350927614527"/>
    <n v="0.4298318110989881"/>
    <n v="3"/>
    <b v="0"/>
    <n v="1"/>
    <n v="51.146776529910113"/>
    <x v="3"/>
    <n v="48.853223470089887"/>
    <n v="0.80397277260026034"/>
    <n v="49.176387054104787"/>
    <n v="0.45494999637774447"/>
    <n v="3"/>
    <b v="0"/>
    <n v="1"/>
    <n v="9.7655624227994703E-2"/>
    <n v="5.9732753878144518"/>
    <n v="0.35655687081740101"/>
    <n v="3"/>
  </r>
  <r>
    <n v="5091"/>
    <s v="05091"/>
    <s v="50"/>
    <s v="COLOMBIA"/>
    <s v="ANTIOQUIA"/>
    <s v="BETANIA"/>
    <x v="5"/>
    <n v="0"/>
    <n v="0"/>
    <n v="0"/>
    <n v="54.27"/>
    <n v="62.730333333333299"/>
    <n v="73.02"/>
    <n v="67.75"/>
    <n v="61.370912719883108"/>
    <n v="55.187577777578944"/>
    <n v="53.305152201515774"/>
    <n v="61.660266588104513"/>
    <s v="3. Vulnerable (&gt;=60 y &lt;70)"/>
    <s v="2. Riesgo (&gt;=40 y &lt;60)"/>
    <s v="2. Riesgo (&gt;=40 y &lt;60)"/>
    <s v="3. Vulnerable (&gt;=60 y &lt;70)"/>
    <n v="64.442583333333317"/>
    <n v="57.880977321770587"/>
    <n v="61.161780327551952"/>
    <n v="51.296484645598206"/>
    <x v="2"/>
    <n v="48.703515354401794"/>
    <n v="0.81759069605862034"/>
    <n v="50.005302550187629"/>
    <n v="0.45488761250359283"/>
    <n v="3"/>
    <b v="1"/>
    <n v="0"/>
    <n v="0.81759069605862023"/>
    <n v="50.005302550187629"/>
    <n v="0.42978396485984161"/>
    <n v="3"/>
    <b v="1"/>
    <n v="0"/>
    <n v="51.296484645598206"/>
    <x v="3"/>
    <n v="48.703515354401794"/>
    <n v="0.80397277260026034"/>
    <n v="49.17240610711"/>
    <n v="0.45489914721685959"/>
    <n v="3"/>
    <b v="1"/>
    <n v="0"/>
    <n v="9.7356363740128057E-2"/>
    <n v="5.9544885325629568"/>
    <n v="0.35543544548773381"/>
    <n v="3"/>
  </r>
  <r>
    <n v="19824"/>
    <s v="19824"/>
    <s v="19"/>
    <s v="COLOMBIA"/>
    <s v="CAUCA"/>
    <s v="TOTORÓ"/>
    <x v="5"/>
    <n v="0"/>
    <n v="0"/>
    <n v="0"/>
    <n v="84.43"/>
    <n v="84.477199999999996"/>
    <n v="69.88"/>
    <n v="70.94"/>
    <n v="37.830731106782181"/>
    <n v="43.75521401622894"/>
    <n v="38.639470299740445"/>
    <n v="55.074721742788398"/>
    <s v="1. Deterioro (&lt;40)"/>
    <s v="2. Riesgo (&gt;=40 y &lt;60)"/>
    <s v="1. Deterioro (&lt;40)"/>
    <s v="2. Riesgo (&gt;=40 y &lt;60)"/>
    <n v="77.431799999999996"/>
    <n v="43.825034291384995"/>
    <n v="60.628417145692495"/>
    <n v="51.309775396003509"/>
    <x v="2"/>
    <n v="48.690224603996491"/>
    <n v="0.81759069605862034"/>
    <n v="49.569229775079116"/>
    <n v="0.4494328017510178"/>
    <n v="3"/>
    <b v="1"/>
    <n v="0"/>
    <n v="0.81759069605862023"/>
    <n v="49.569229775079116"/>
    <n v="0.42463018592992346"/>
    <n v="3"/>
    <b v="1"/>
    <n v="0"/>
    <n v="51.309775396003509"/>
    <x v="3"/>
    <n v="48.690224603996491"/>
    <n v="0.80397277260026034"/>
    <n v="48.743596630987561"/>
    <n v="0.44942190723630759"/>
    <n v="3"/>
    <b v="1"/>
    <n v="0"/>
    <n v="9.7329796065876564E-2"/>
    <n v="5.9009514765871449"/>
    <n v="0.35223971049944697"/>
    <n v="3"/>
  </r>
  <r>
    <n v="13780"/>
    <s v="13780"/>
    <s v="13"/>
    <s v="COLOMBIA"/>
    <s v="BOLÍVAR"/>
    <s v="TALAIGUA NUEVO"/>
    <x v="6"/>
    <n v="0"/>
    <n v="0"/>
    <n v="0"/>
    <n v="45.11"/>
    <n v="48.610433333333297"/>
    <n v="49.12"/>
    <n v="39.479999999999997"/>
    <n v="37.703946131108879"/>
    <n v="39.817683658351086"/>
    <n v="45.907273741991844"/>
    <n v="38.746749611715671"/>
    <s v="1. Deterioro (&lt;40)"/>
    <s v="1. Deterioro (&lt;40)"/>
    <s v="2. Riesgo (&gt;=40 y &lt;60)"/>
    <s v="1. Deterioro (&lt;40)"/>
    <n v="45.580108333333321"/>
    <n v="40.543913285791874"/>
    <n v="43.062010809562594"/>
    <n v="51.422470553308131"/>
    <x v="2"/>
    <n v="48.577529446691869"/>
    <n v="0.81759069605862034"/>
    <n v="35.207099391474117"/>
    <n v="0.26977768976454219"/>
    <n v="4"/>
    <b v="1"/>
    <n v="0"/>
    <n v="0.81759069605862023"/>
    <n v="35.207099391474109"/>
    <n v="0.25488960778596148"/>
    <n v="4"/>
    <b v="1"/>
    <n v="0"/>
    <n v="51.422470553308131"/>
    <x v="3"/>
    <n v="48.577529446691869"/>
    <n v="0.80397277260026034"/>
    <n v="34.620684224306423"/>
    <n v="0.26902808484414487"/>
    <n v="4"/>
    <b v="1"/>
    <n v="0"/>
    <n v="9.7104522989663031E-2"/>
    <n v="4.1815160186382885"/>
    <n v="0.24960313564649239"/>
    <n v="4"/>
  </r>
  <r>
    <n v="85001"/>
    <s v="85001"/>
    <s v="85"/>
    <s v="COLOMBIA"/>
    <s v="CASANARE"/>
    <s v="YOPAL"/>
    <x v="4"/>
    <n v="0"/>
    <n v="1"/>
    <n v="0"/>
    <n v="84.53"/>
    <n v="87.569500000000005"/>
    <n v="73.709999999999994"/>
    <n v="76.05"/>
    <n v="59.045328224105326"/>
    <n v="51.477159270722062"/>
    <n v="57.989391542450456"/>
    <n v="58.185882438548937"/>
    <s v="2. Riesgo (&gt;=40 y &lt;60)"/>
    <s v="2. Riesgo (&gt;=40 y &lt;60)"/>
    <s v="2. Riesgo (&gt;=40 y &lt;60)"/>
    <s v="2. Riesgo (&gt;=40 y &lt;60)"/>
    <n v="80.464875000000006"/>
    <n v="56.674440368956695"/>
    <n v="68.569657684478358"/>
    <n v="51.474220874756071"/>
    <x v="2"/>
    <n v="48.525779125243929"/>
    <n v="0.81759069605862034"/>
    <n v="56.061914154753985"/>
    <n v="0.53064943940631137"/>
    <n v="2"/>
    <b v="1"/>
    <n v="0"/>
    <n v="0.81759069605862023"/>
    <n v="56.061914154753978"/>
    <n v="0.50136476296525978"/>
    <n v="2"/>
    <b v="1"/>
    <n v="0"/>
    <n v="51.474220874756071"/>
    <x v="3"/>
    <n v="48.525779125243929"/>
    <n v="0.80397277260026034"/>
    <n v="55.128137804840811"/>
    <n v="0.53097249350395892"/>
    <n v="2"/>
    <b v="1"/>
    <n v="0"/>
    <n v="9.7001076183372087E-2"/>
    <n v="6.6513305889198309"/>
    <n v="0.39703135509127213"/>
    <n v="2"/>
  </r>
  <r>
    <n v="25281"/>
    <s v="25281"/>
    <s v="25"/>
    <s v="COLOMBIA"/>
    <s v="CUNDINAMARCA"/>
    <s v="FOSCA"/>
    <x v="5"/>
    <n v="0"/>
    <n v="0"/>
    <n v="0"/>
    <n v="53.96"/>
    <n v="59.351100000000002"/>
    <n v="87.77"/>
    <n v="67.989999999999995"/>
    <n v="63.049604271950102"/>
    <n v="59.815682257801576"/>
    <n v="46.794682718978592"/>
    <n v="55.114526346011885"/>
    <s v="3. Vulnerable (&gt;=60 y &lt;70)"/>
    <s v="2. Riesgo (&gt;=40 y &lt;60)"/>
    <s v="2. Riesgo (&gt;=40 y &lt;60)"/>
    <s v="2. Riesgo (&gt;=40 y &lt;60)"/>
    <n v="67.267775"/>
    <n v="56.19362389868553"/>
    <n v="61.730699449342765"/>
    <n v="51.539589011143484"/>
    <x v="2"/>
    <n v="48.460410988856516"/>
    <n v="0.81759069605862034"/>
    <n v="50.470445530973642"/>
    <n v="0.46070606088630822"/>
    <n v="3"/>
    <b v="1"/>
    <n v="0"/>
    <n v="0.81759069605862023"/>
    <n v="50.470445530973635"/>
    <n v="0.43528131353788674"/>
    <n v="3"/>
    <b v="1"/>
    <n v="0"/>
    <n v="51.539589011143484"/>
    <x v="3"/>
    <n v="48.460410988856516"/>
    <n v="0.80397277260026034"/>
    <n v="49.629801590841467"/>
    <n v="0.46074152004190083"/>
    <n v="3"/>
    <b v="1"/>
    <n v="0"/>
    <n v="9.6870407914011275E-2"/>
    <n v="5.979878036475065"/>
    <n v="0.35695099624987936"/>
    <n v="3"/>
  </r>
  <r>
    <n v="15776"/>
    <s v="15776"/>
    <s v="15"/>
    <s v="COLOMBIA"/>
    <s v="BOYACÁ"/>
    <s v="SUTAMARCHÁN"/>
    <x v="4"/>
    <n v="0"/>
    <n v="0"/>
    <n v="0"/>
    <n v="70.03"/>
    <n v="77.018066666666698"/>
    <n v="89.51"/>
    <n v="73.87"/>
    <n v="70.304673549360487"/>
    <n v="52.698815870174961"/>
    <n v="57.980736364940626"/>
    <n v="64.332425358992197"/>
    <s v="4. Solvente (&gt;=70 y &lt;80)"/>
    <s v="2. Riesgo (&gt;=40 y &lt;60)"/>
    <s v="2. Riesgo (&gt;=40 y &lt;60)"/>
    <s v="3. Vulnerable (&gt;=60 y &lt;70)"/>
    <n v="77.607016666666681"/>
    <n v="61.329162785867062"/>
    <n v="69.468089726266868"/>
    <n v="51.700427909665258"/>
    <x v="2"/>
    <n v="48.299572090334742"/>
    <n v="0.81759069605862034"/>
    <n v="56.796463833161219"/>
    <n v="0.53983788159484114"/>
    <n v="2"/>
    <b v="1"/>
    <n v="0"/>
    <n v="0.81759069605862023"/>
    <n v="56.796463833161212"/>
    <n v="0.51004612734213772"/>
    <n v="2"/>
    <b v="1"/>
    <n v="0"/>
    <n v="51.700427909665258"/>
    <x v="3"/>
    <n v="48.299572090334742"/>
    <n v="0.80397277260026034"/>
    <n v="55.850452704470435"/>
    <n v="0.54019871696006116"/>
    <n v="2"/>
    <b v="1"/>
    <n v="0"/>
    <n v="9.654889743999101E-2"/>
    <n v="6.707067470333433"/>
    <n v="0.40035840210244733"/>
    <n v="2"/>
  </r>
  <r>
    <n v="5093"/>
    <s v="05093"/>
    <s v="50"/>
    <s v="COLOMBIA"/>
    <s v="ANTIOQUIA"/>
    <s v="BETULIA"/>
    <x v="5"/>
    <n v="0"/>
    <n v="0"/>
    <n v="0"/>
    <n v="63.5"/>
    <n v="68.039266666666705"/>
    <n v="57.59"/>
    <n v="77.930000000000007"/>
    <n v="40.090504838625577"/>
    <n v="48.089503335110557"/>
    <n v="48.073517468572724"/>
    <n v="50.034304762258728"/>
    <s v="2. Riesgo (&gt;=40 y &lt;60)"/>
    <s v="2. Riesgo (&gt;=40 y &lt;60)"/>
    <s v="2. Riesgo (&gt;=40 y &lt;60)"/>
    <s v="2. Riesgo (&gt;=40 y &lt;60)"/>
    <n v="66.76481666666669"/>
    <n v="46.571957601141897"/>
    <n v="56.668387133904289"/>
    <n v="51.430942967590596"/>
    <x v="2"/>
    <n v="48.569057032409404"/>
    <n v="0.81759069605862034"/>
    <n v="46.33154608132817"/>
    <n v="0.40893279158249779"/>
    <n v="3"/>
    <b v="1"/>
    <n v="0"/>
    <n v="0.81759069605862023"/>
    <n v="46.33154608132817"/>
    <n v="0.38636522889737085"/>
    <n v="3"/>
    <b v="1"/>
    <n v="0"/>
    <n v="51.430942967590596"/>
    <x v="3"/>
    <n v="48.569057032409404"/>
    <n v="0.80397277260026034"/>
    <n v="45.559840322829949"/>
    <n v="0.40875536810787588"/>
    <n v="3"/>
    <b v="1"/>
    <n v="0"/>
    <n v="9.7087586975072734E-2"/>
    <n v="5.5017969646000253"/>
    <n v="0.32841337159380884"/>
    <n v="3"/>
  </r>
  <r>
    <n v="41359"/>
    <s v="41359"/>
    <s v="41"/>
    <s v="COLOMBIA"/>
    <s v="HUILA"/>
    <s v="ISNOS"/>
    <x v="4"/>
    <n v="0"/>
    <n v="0"/>
    <n v="0"/>
    <n v="69.14"/>
    <n v="72.8457333333333"/>
    <n v="56.57"/>
    <n v="59.72"/>
    <n v="62.417547875437293"/>
    <n v="58.187489673670868"/>
    <n v="57.606411870519416"/>
    <n v="62.637289731352098"/>
    <s v="3. Vulnerable (&gt;=60 y &lt;70)"/>
    <s v="2. Riesgo (&gt;=40 y &lt;60)"/>
    <s v="2. Riesgo (&gt;=40 y &lt;60)"/>
    <s v="3. Vulnerable (&gt;=60 y &lt;70)"/>
    <n v="64.56893333333332"/>
    <n v="60.212184787744917"/>
    <n v="62.390559060539118"/>
    <n v="51.599309302018966"/>
    <x v="2"/>
    <n v="48.400690697981034"/>
    <n v="0.81759069605862034"/>
    <n v="51.009940609792636"/>
    <n v="0.46745457564091736"/>
    <n v="3"/>
    <b v="0"/>
    <n v="1"/>
    <n v="0.81759069605862023"/>
    <n v="51.009940609792629"/>
    <n v="0.44165740149549881"/>
    <n v="3"/>
    <b v="0"/>
    <n v="1"/>
    <n v="51.599309302018966"/>
    <x v="3"/>
    <n v="48.400690697981034"/>
    <n v="0.80397277260026034"/>
    <n v="50.160310751981932"/>
    <n v="0.46751778350912415"/>
    <n v="3"/>
    <b v="0"/>
    <n v="1"/>
    <n v="9.675102946013929E-2"/>
    <n v="6.0363508177007805"/>
    <n v="0.36032197060697568"/>
    <n v="3"/>
  </r>
  <r>
    <n v="25181"/>
    <s v="25181"/>
    <s v="25"/>
    <s v="COLOMBIA"/>
    <s v="CUNDINAMARCA"/>
    <s v="CHOACHÍ"/>
    <x v="4"/>
    <n v="0"/>
    <n v="0"/>
    <n v="0"/>
    <n v="64.08"/>
    <n v="63.589500000000001"/>
    <n v="51.24"/>
    <n v="56.27"/>
    <n v="69.708545204301771"/>
    <n v="58.986182476707782"/>
    <n v="72.909161794408377"/>
    <n v="66.927390987469906"/>
    <s v="3. Vulnerable (&gt;=60 y &lt;70)"/>
    <s v="2. Riesgo (&gt;=40 y &lt;60)"/>
    <s v="4. Solvente (&gt;=70 y &lt;80)"/>
    <s v="3. Vulnerable (&gt;=60 y &lt;70)"/>
    <n v="58.794875000000005"/>
    <n v="67.132820115721955"/>
    <n v="62.96384755786098"/>
    <n v="51.611538294250622"/>
    <x v="2"/>
    <n v="48.388461705749378"/>
    <n v="0.81759069605862034"/>
    <n v="51.478655951360423"/>
    <n v="0.47331771049138954"/>
    <n v="3"/>
    <b v="0"/>
    <n v="1"/>
    <n v="0.81759069605862023"/>
    <n v="51.478655951360416"/>
    <n v="0.44719697055229291"/>
    <n v="3"/>
    <b v="0"/>
    <n v="1"/>
    <n v="51.611538294250622"/>
    <x v="3"/>
    <n v="48.388461705749378"/>
    <n v="0.80397277260026034"/>
    <n v="50.62121909467362"/>
    <n v="0.47340502654486349"/>
    <n v="3"/>
    <b v="0"/>
    <n v="1"/>
    <n v="9.6726584197672771E-2"/>
    <n v="6.090277902214873"/>
    <n v="0.3635409871863679"/>
    <n v="3"/>
  </r>
  <r>
    <n v="76109"/>
    <s v="76109"/>
    <s v="76"/>
    <s v="COLOMBIA"/>
    <s v="VALLE DEL CAUCA"/>
    <s v="BUENAVENTURA"/>
    <x v="5"/>
    <n v="0"/>
    <n v="0"/>
    <n v="1"/>
    <n v="47.36"/>
    <n v="50.938366666666703"/>
    <n v="54.41"/>
    <n v="40.39"/>
    <n v="37.896957183249086"/>
    <n v="39.158217035503441"/>
    <n v="40.950886185941179"/>
    <n v="45.463764054926109"/>
    <s v="1. Deterioro (&lt;40)"/>
    <s v="1. Deterioro (&lt;40)"/>
    <s v="2. Riesgo (&gt;=40 y &lt;60)"/>
    <s v="2. Riesgo (&gt;=40 y &lt;60)"/>
    <n v="48.27459166666668"/>
    <n v="40.867456114904954"/>
    <n v="44.571023890785817"/>
    <n v="51.529001725636412"/>
    <x v="2"/>
    <n v="48.470998274363588"/>
    <n v="0.81759069605862034"/>
    <n v="36.440854446912972"/>
    <n v="0.28521066500766989"/>
    <n v="4"/>
    <b v="0"/>
    <n v="1"/>
    <n v="0.81759069605862023"/>
    <n v="36.440854446912965"/>
    <n v="0.2694708913981258"/>
    <n v="4"/>
    <b v="0"/>
    <n v="1"/>
    <n v="51.529001725636412"/>
    <x v="3"/>
    <n v="48.470998274363588"/>
    <n v="0.80397277260026034"/>
    <n v="35.833889655107519"/>
    <n v="0.28452451778283577"/>
    <n v="4"/>
    <b v="0"/>
    <n v="1"/>
    <n v="9.6891571470919785E-2"/>
    <n v="4.3185565468461471"/>
    <n v="0.25778336152602216"/>
    <n v="4"/>
  </r>
  <r>
    <n v="52381"/>
    <s v="52381"/>
    <s v="52"/>
    <s v="COLOMBIA"/>
    <s v="NARIÑO"/>
    <s v="LA FLORIDA"/>
    <x v="5"/>
    <n v="0"/>
    <n v="0"/>
    <n v="0"/>
    <n v="61.09"/>
    <n v="63.4624666666667"/>
    <n v="54.85"/>
    <n v="68.42"/>
    <n v="56.473004922143105"/>
    <n v="53.805511366024007"/>
    <n v="58.18699606671391"/>
    <n v="48.244498016725672"/>
    <s v="2. Riesgo (&gt;=40 y &lt;60)"/>
    <s v="2. Riesgo (&gt;=40 y &lt;60)"/>
    <s v="2. Riesgo (&gt;=40 y &lt;60)"/>
    <s v="2. Riesgo (&gt;=40 y &lt;60)"/>
    <n v="61.955616666666671"/>
    <n v="54.177502592901675"/>
    <n v="58.066559629784173"/>
    <n v="51.605485293925824"/>
    <x v="2"/>
    <n v="48.394514706074176"/>
    <n v="0.81759069605862034"/>
    <n v="47.474678905444627"/>
    <n v="0.42323217823661818"/>
    <n v="3"/>
    <b v="1"/>
    <n v="0"/>
    <n v="0.81759069605862023"/>
    <n v="47.47467890544462"/>
    <n v="0.39987548268829637"/>
    <n v="3"/>
    <b v="1"/>
    <n v="0"/>
    <n v="51.605485293925824"/>
    <x v="3"/>
    <n v="48.394514706074176"/>
    <n v="0.80397277260026034"/>
    <n v="46.68393294091593"/>
    <n v="0.42311355133950274"/>
    <n v="3"/>
    <b v="1"/>
    <n v="0"/>
    <n v="9.673868390129893E-2"/>
    <n v="5.6172825572616167"/>
    <n v="0.33530693984078969"/>
    <n v="3"/>
  </r>
  <r>
    <n v="68572"/>
    <s v="68572"/>
    <s v="68"/>
    <s v="COLOMBIA"/>
    <s v="SANTANDER"/>
    <s v="PUENTE NACIONAL"/>
    <x v="4"/>
    <n v="0"/>
    <n v="0"/>
    <n v="0"/>
    <n v="59.08"/>
    <n v="62.906599999999997"/>
    <n v="69.3"/>
    <n v="58.66"/>
    <n v="59.642235022548576"/>
    <n v="66.284768718173268"/>
    <n v="63.04390977607062"/>
    <n v="74.285801279813555"/>
    <s v="2. Riesgo (&gt;=40 y &lt;60)"/>
    <s v="3. Vulnerable (&gt;=60 y &lt;70)"/>
    <s v="3. Vulnerable (&gt;=60 y &lt;70)"/>
    <s v="4. Solvente (&gt;=70 y &lt;80)"/>
    <n v="62.486649999999997"/>
    <n v="65.814178699151498"/>
    <n v="64.150414349575755"/>
    <n v="51.78496213505516"/>
    <x v="2"/>
    <n v="48.21503786494484"/>
    <n v="0.81759069605862034"/>
    <n v="52.448781920518549"/>
    <n v="0.48545296375639602"/>
    <n v="2"/>
    <b v="1"/>
    <n v="0"/>
    <n v="0.81759069605862023"/>
    <n v="52.448781920518542"/>
    <n v="0.45866252186530349"/>
    <n v="3"/>
    <b v="0"/>
    <n v="1"/>
    <n v="51.78496213505516"/>
    <x v="3"/>
    <n v="48.21503786494484"/>
    <n v="0.80397277260026034"/>
    <n v="51.575186488083943"/>
    <n v="0.48559017784930447"/>
    <n v="2"/>
    <b v="1"/>
    <n v="0"/>
    <n v="9.637991693138373E-2"/>
    <n v="6.1828116061259584"/>
    <n v="0.3690645108429178"/>
    <n v="3"/>
  </r>
  <r>
    <n v="25596"/>
    <s v="25596"/>
    <s v="25"/>
    <s v="COLOMBIA"/>
    <s v="CUNDINAMARCA"/>
    <s v="QUIPILE"/>
    <x v="5"/>
    <n v="0"/>
    <n v="0"/>
    <n v="0"/>
    <n v="58.79"/>
    <n v="62.3922666666667"/>
    <n v="61.53"/>
    <n v="42.16"/>
    <n v="48.904741585603574"/>
    <n v="46.724228319166748"/>
    <n v="49.887100915554512"/>
    <n v="66.710993133115693"/>
    <s v="2. Riesgo (&gt;=40 y &lt;60)"/>
    <s v="2. Riesgo (&gt;=40 y &lt;60)"/>
    <s v="2. Riesgo (&gt;=40 y &lt;60)"/>
    <s v="3. Vulnerable (&gt;=60 y &lt;70)"/>
    <n v="56.218066666666672"/>
    <n v="53.056765988360134"/>
    <n v="54.637416327513407"/>
    <n v="51.594742646908564"/>
    <x v="2"/>
    <n v="48.405257353091436"/>
    <n v="0.81759069605862034"/>
    <n v="44.671043246056314"/>
    <n v="0.38816165144822018"/>
    <n v="3"/>
    <b v="1"/>
    <n v="0"/>
    <n v="0.81759069605862023"/>
    <n v="44.671043246056307"/>
    <n v="0.36674037494182654"/>
    <n v="3"/>
    <b v="1"/>
    <n v="0"/>
    <n v="51.594742646908564"/>
    <x v="3"/>
    <n v="48.405257353091436"/>
    <n v="0.80397277260026034"/>
    <n v="43.926995092545688"/>
    <n v="0.38789882067744341"/>
    <n v="3"/>
    <b v="1"/>
    <n v="0"/>
    <n v="9.6760158019602985E-2"/>
    <n v="5.2867250376330333"/>
    <n v="0.31557529393938522"/>
    <n v="3"/>
  </r>
  <r>
    <n v="5059"/>
    <s v="05059"/>
    <s v="50"/>
    <s v="COLOMBIA"/>
    <s v="ANTIOQUIA"/>
    <s v="ARMENIA"/>
    <x v="5"/>
    <n v="0"/>
    <n v="0"/>
    <n v="0"/>
    <n v="48.87"/>
    <n v="47.816933333333303"/>
    <n v="41.47"/>
    <n v="35.729999999999997"/>
    <n v="47.16176854314552"/>
    <n v="44.362553353737468"/>
    <n v="43.457283940185093"/>
    <n v="63.257166674181533"/>
    <s v="2. Riesgo (&gt;=40 y &lt;60)"/>
    <s v="2. Riesgo (&gt;=40 y &lt;60)"/>
    <s v="2. Riesgo (&gt;=40 y &lt;60)"/>
    <s v="3. Vulnerable (&gt;=60 y &lt;70)"/>
    <n v="43.471733333333326"/>
    <n v="49.559693127812395"/>
    <n v="46.515713230572857"/>
    <n v="51.573081227861891"/>
    <x v="2"/>
    <n v="48.426918772138109"/>
    <n v="0.81759069605862034"/>
    <n v="38.030814357847234"/>
    <n v="0.30509938751773547"/>
    <n v="4"/>
    <b v="0"/>
    <n v="1"/>
    <n v="0.81759069605862023"/>
    <n v="38.030814357847234"/>
    <n v="0.28826202525496541"/>
    <n v="4"/>
    <b v="0"/>
    <n v="1"/>
    <n v="51.573081227861891"/>
    <x v="3"/>
    <n v="48.426918772138109"/>
    <n v="0.80397277260026034"/>
    <n v="37.397366935462273"/>
    <n v="0.30449501924208661"/>
    <n v="4"/>
    <b v="0"/>
    <n v="1"/>
    <n v="9.680345832301003E-2"/>
    <n v="4.5028819070808455"/>
    <n v="0.26878611452007445"/>
    <n v="4"/>
  </r>
  <r>
    <n v="17513"/>
    <s v="17513"/>
    <s v="17"/>
    <s v="COLOMBIA"/>
    <s v="CALDAS"/>
    <s v="PÁCORA"/>
    <x v="5"/>
    <n v="0"/>
    <n v="0"/>
    <n v="0"/>
    <n v="66.22"/>
    <n v="68.3018"/>
    <n v="46.99"/>
    <n v="40.82"/>
    <n v="49.797462779120067"/>
    <n v="64.914711418819735"/>
    <n v="50.637256944528787"/>
    <n v="58.063847896065809"/>
    <s v="2. Riesgo (&gt;=40 y &lt;60)"/>
    <s v="3. Vulnerable (&gt;=60 y &lt;70)"/>
    <s v="2. Riesgo (&gt;=40 y &lt;60)"/>
    <s v="2. Riesgo (&gt;=40 y &lt;60)"/>
    <n v="55.582949999999997"/>
    <n v="55.853319759633592"/>
    <n v="55.718134879816795"/>
    <n v="51.504359488075437"/>
    <x v="2"/>
    <n v="48.495640511924563"/>
    <n v="0.81759069605862034"/>
    <n v="45.554628679477503"/>
    <n v="0.3992143738334808"/>
    <n v="3"/>
    <b v="1"/>
    <n v="0"/>
    <n v="0.81759069605862023"/>
    <n v="45.554628679477496"/>
    <n v="0.37718313644743884"/>
    <n v="3"/>
    <b v="1"/>
    <n v="0"/>
    <n v="51.504359488075437"/>
    <x v="3"/>
    <n v="48.495640511924563"/>
    <n v="0.80397277260026034"/>
    <n v="44.795863383441585"/>
    <n v="0.3989969899244542"/>
    <n v="3"/>
    <b v="1"/>
    <n v="0"/>
    <n v="9.6940830310366988E-2"/>
    <n v="5.4013622585944603"/>
    <n v="0.32241822116631236"/>
    <n v="3"/>
  </r>
  <r>
    <n v="5686"/>
    <s v="05686"/>
    <s v="50"/>
    <s v="COLOMBIA"/>
    <s v="ANTIOQUIA"/>
    <s v="SANTA ROSA DE OSOS"/>
    <x v="4"/>
    <n v="0"/>
    <n v="0"/>
    <n v="0"/>
    <n v="73.349999999999994"/>
    <n v="76.787733333333307"/>
    <n v="74.33"/>
    <n v="76.599999999999994"/>
    <n v="49.470140593021739"/>
    <n v="63.738157247482626"/>
    <n v="55.326292774121114"/>
    <n v="61.436297501068267"/>
    <s v="2. Riesgo (&gt;=40 y &lt;60)"/>
    <s v="3. Vulnerable (&gt;=60 y &lt;70)"/>
    <s v="2. Riesgo (&gt;=40 y &lt;60)"/>
    <s v="3. Vulnerable (&gt;=60 y &lt;70)"/>
    <n v="75.266933333333327"/>
    <n v="57.492722028923438"/>
    <n v="66.379827681128376"/>
    <n v="51.199184363343164"/>
    <x v="2"/>
    <n v="48.800815636656836"/>
    <n v="0.81759069605862034"/>
    <n v="54.271529518065023"/>
    <n v="0.50825361484462928"/>
    <n v="2"/>
    <b v="1"/>
    <n v="0"/>
    <n v="0.81759069605862023"/>
    <n v="54.271529518065016"/>
    <n v="0.48020488520237803"/>
    <n v="2"/>
    <b v="1"/>
    <n v="0"/>
    <n v="51.199184363343164"/>
    <x v="3"/>
    <n v="48.800815636656836"/>
    <n v="0.80397277260026034"/>
    <n v="53.367574105524291"/>
    <n v="0.50848458122785156"/>
    <n v="2"/>
    <b v="1"/>
    <n v="0"/>
    <n v="9.7550863081752731E-2"/>
    <n v="6.4754094815120942"/>
    <n v="0.38653026892069375"/>
    <n v="2"/>
  </r>
  <r>
    <n v="54347"/>
    <s v="54347"/>
    <s v="54"/>
    <s v="COLOMBIA"/>
    <s v="NORTE DE SANTANDER"/>
    <s v="HERRÁN"/>
    <x v="6"/>
    <n v="0"/>
    <n v="0"/>
    <n v="0"/>
    <n v="43.48"/>
    <n v="47.730800000000002"/>
    <n v="64.09"/>
    <n v="59.6"/>
    <n v="53.52494010683516"/>
    <n v="52.384556069423589"/>
    <n v="64.349713151900218"/>
    <n v="58.356866378205886"/>
    <s v="2. Riesgo (&gt;=40 y &lt;60)"/>
    <s v="2. Riesgo (&gt;=40 y &lt;60)"/>
    <s v="3. Vulnerable (&gt;=60 y &lt;70)"/>
    <s v="2. Riesgo (&gt;=40 y &lt;60)"/>
    <n v="53.725200000000001"/>
    <n v="57.15401892659122"/>
    <n v="55.439609463295611"/>
    <n v="51.54612013647958"/>
    <x v="2"/>
    <n v="48.45387986352042"/>
    <n v="0.81759069605862034"/>
    <n v="45.326908890313931"/>
    <n v="0.39636583931032815"/>
    <n v="3"/>
    <b v="0"/>
    <n v="-1"/>
    <n v="0.81759069605862023"/>
    <n v="45.326908890313931"/>
    <n v="0.37449180252725883"/>
    <n v="3"/>
    <b v="0"/>
    <n v="-1"/>
    <n v="51.54612013647958"/>
    <x v="3"/>
    <n v="48.45387986352042"/>
    <n v="0.80397277260026034"/>
    <n v="44.571936532081402"/>
    <n v="0.39613674272544197"/>
    <n v="3"/>
    <b v="0"/>
    <n v="-1"/>
    <n v="9.6857352457762863E-2"/>
    <n v="5.3697337939071481"/>
    <n v="0.32053025423602943"/>
    <n v="3"/>
  </r>
  <r>
    <n v="23419"/>
    <s v="23419"/>
    <s v="23"/>
    <s v="COLOMBIA"/>
    <s v="CÓRDOBA"/>
    <s v="LOS CÓRDOBAS"/>
    <x v="4"/>
    <n v="0"/>
    <n v="0"/>
    <n v="0"/>
    <n v="79.349999999999994"/>
    <n v="82.458933333333306"/>
    <n v="71.84"/>
    <n v="70.69"/>
    <n v="68.987366267270829"/>
    <n v="57.345128102252332"/>
    <n v="62.810645507252367"/>
    <n v="64.179696659508352"/>
    <s v="3. Vulnerable (&gt;=60 y &lt;70)"/>
    <s v="2. Riesgo (&gt;=40 y &lt;60)"/>
    <s v="3. Vulnerable (&gt;=60 y &lt;70)"/>
    <s v="3. Vulnerable (&gt;=60 y &lt;70)"/>
    <n v="76.084733333333332"/>
    <n v="63.330709134070972"/>
    <n v="69.707721233702159"/>
    <n v="51.72294599189847"/>
    <x v="2"/>
    <n v="48.27705400810153"/>
    <n v="0.81759069605862034"/>
    <n v="56.992384324122817"/>
    <n v="0.54228864041710689"/>
    <n v="2"/>
    <b v="1"/>
    <n v="0"/>
    <n v="0.81759069605862023"/>
    <n v="56.99238432412281"/>
    <n v="0.51236163740351648"/>
    <n v="2"/>
    <b v="1"/>
    <n v="0"/>
    <n v="51.72294599189847"/>
    <x v="3"/>
    <n v="48.27705400810153"/>
    <n v="0.80397277260026034"/>
    <n v="56.043109911905567"/>
    <n v="0.5426595528740602"/>
    <n v="2"/>
    <b v="1"/>
    <n v="0"/>
    <n v="9.6503884701409942E-2"/>
    <n v="6.7270658927352187"/>
    <n v="0.40155214832205272"/>
    <n v="2"/>
  </r>
  <r>
    <n v="47161"/>
    <s v="47161"/>
    <s v="47"/>
    <s v="COLOMBIA"/>
    <s v="MAGDALENA"/>
    <s v="CERRO DE SAN ANTONIO"/>
    <x v="6"/>
    <n v="0"/>
    <n v="0"/>
    <n v="0"/>
    <n v="49.55"/>
    <n v="48.290999999999997"/>
    <n v="25.91"/>
    <n v="33.1"/>
    <n v="53.500884116171804"/>
    <n v="38.370469936254949"/>
    <n v="48.16504381691005"/>
    <n v="52.477842597665344"/>
    <s v="2. Riesgo (&gt;=40 y &lt;60)"/>
    <s v="1. Deterioro (&lt;40)"/>
    <s v="2. Riesgo (&gt;=40 y &lt;60)"/>
    <s v="2. Riesgo (&gt;=40 y &lt;60)"/>
    <n v="39.21275"/>
    <n v="48.128560116750535"/>
    <n v="43.670655058375267"/>
    <n v="51.711981441120948"/>
    <x v="2"/>
    <n v="48.288018558879052"/>
    <n v="0.81759069605862034"/>
    <n v="35.704721266512941"/>
    <n v="0.27600241487837868"/>
    <n v="4"/>
    <b v="1"/>
    <n v="0"/>
    <n v="0.81759069605862023"/>
    <n v="35.704721266512941"/>
    <n v="0.26077081221107906"/>
    <n v="4"/>
    <b v="1"/>
    <n v="0"/>
    <n v="51.711981441120948"/>
    <x v="3"/>
    <n v="48.288018558879052"/>
    <n v="0.80397277260026034"/>
    <n v="35.110017628551546"/>
    <n v="0.27527840493918332"/>
    <n v="4"/>
    <b v="1"/>
    <n v="0"/>
    <n v="9.6525802396384849E-2"/>
    <n v="4.2153450206854153"/>
    <n v="0.251622457095727"/>
    <n v="4"/>
  </r>
  <r>
    <n v="5315"/>
    <s v="05315"/>
    <s v="50"/>
    <s v="COLOMBIA"/>
    <s v="ANTIOQUIA"/>
    <s v="GUADALUPE"/>
    <x v="5"/>
    <n v="0"/>
    <n v="0"/>
    <n v="0"/>
    <n v="73.59"/>
    <n v="80.665400000000005"/>
    <n v="90.09"/>
    <n v="88.56"/>
    <n v="50.095187577181747"/>
    <n v="45.166225130661644"/>
    <n v="50.169646128936989"/>
    <n v="66.452021732547124"/>
    <s v="2. Riesgo (&gt;=40 y &lt;60)"/>
    <s v="2. Riesgo (&gt;=40 y &lt;60)"/>
    <s v="2. Riesgo (&gt;=40 y &lt;60)"/>
    <s v="3. Vulnerable (&gt;=60 y &lt;70)"/>
    <n v="83.226349999999996"/>
    <n v="52.970770142331872"/>
    <n v="68.098560071165934"/>
    <n v="51.529161477951504"/>
    <x v="2"/>
    <n v="48.470838522048496"/>
    <n v="0.81759069605862034"/>
    <n v="55.676749129174326"/>
    <n v="0.52583143093851614"/>
    <n v="2"/>
    <b v="0"/>
    <n v="-1"/>
    <n v="0.81759069605862023"/>
    <n v="55.676749129174318"/>
    <n v="0.49681264344144888"/>
    <n v="2"/>
    <b v="0"/>
    <n v="-1"/>
    <n v="51.529161477951504"/>
    <x v="3"/>
    <n v="48.470838522048496"/>
    <n v="0.80397277260026034"/>
    <n v="54.749388150500657"/>
    <n v="0.52613467422782945"/>
    <n v="2"/>
    <b v="0"/>
    <n v="-1"/>
    <n v="9.6891252132482231E-2"/>
    <n v="6.5981547537143257"/>
    <n v="0.39385718210024351"/>
    <n v="2"/>
  </r>
  <r>
    <n v="25483"/>
    <s v="25483"/>
    <s v="25"/>
    <s v="COLOMBIA"/>
    <s v="CUNDINAMARCA"/>
    <s v="NARIÑO"/>
    <x v="5"/>
    <n v="0"/>
    <n v="0"/>
    <n v="0"/>
    <n v="48.91"/>
    <n v="47.735566666666699"/>
    <n v="75.22"/>
    <n v="17.510000000000002"/>
    <n v="57.993076305322944"/>
    <n v="55.804576054588551"/>
    <n v="55.072738327989029"/>
    <n v="63.523726744164428"/>
    <s v="2. Riesgo (&gt;=40 y &lt;60)"/>
    <s v="2. Riesgo (&gt;=40 y &lt;60)"/>
    <s v="2. Riesgo (&gt;=40 y &lt;60)"/>
    <s v="3. Vulnerable (&gt;=60 y &lt;70)"/>
    <n v="47.343891666666671"/>
    <n v="58.098529358016236"/>
    <n v="52.721210512341457"/>
    <n v="51.888311031834114"/>
    <x v="2"/>
    <n v="48.111688968165886"/>
    <n v="0.81759069605862034"/>
    <n v="43.104371199838305"/>
    <n v="0.3685642355780317"/>
    <n v="3"/>
    <b v="1"/>
    <n v="0"/>
    <n v="0.81759069605862023"/>
    <n v="43.104371199838297"/>
    <n v="0.34822447153583902"/>
    <n v="3"/>
    <b v="1"/>
    <n v="0"/>
    <n v="51.888311031834114"/>
    <x v="3"/>
    <n v="48.111688968165886"/>
    <n v="0.80397277260026034"/>
    <n v="42.386417790449151"/>
    <n v="0.36822082366003439"/>
    <n v="3"/>
    <b v="1"/>
    <n v="0"/>
    <n v="9.6173326653172048E-2"/>
    <n v="5.0703742001540633"/>
    <n v="0.30266087553376558"/>
    <n v="3"/>
  </r>
  <r>
    <n v="25807"/>
    <s v="25807"/>
    <s v="25"/>
    <s v="COLOMBIA"/>
    <s v="CUNDINAMARCA"/>
    <s v="TIBIRITA"/>
    <x v="6"/>
    <n v="0"/>
    <n v="0"/>
    <n v="0"/>
    <n v="35.75"/>
    <n v="44.743566666666702"/>
    <n v="66.989999999999995"/>
    <n v="81.81"/>
    <n v="58.430628111516221"/>
    <n v="54.778128035091342"/>
    <n v="44.679011117541663"/>
    <n v="68.095974386747699"/>
    <s v="2. Riesgo (&gt;=40 y &lt;60)"/>
    <s v="2. Riesgo (&gt;=40 y &lt;60)"/>
    <s v="2. Riesgo (&gt;=40 y &lt;60)"/>
    <s v="3. Vulnerable (&gt;=60 y &lt;70)"/>
    <n v="57.32339166666668"/>
    <n v="56.495935412724222"/>
    <n v="56.909663539695451"/>
    <n v="51.663519232322308"/>
    <x v="2"/>
    <n v="48.336480767677692"/>
    <n v="0.81759069605862034"/>
    <n v="46.528811425881493"/>
    <n v="0.41140037310558675"/>
    <n v="3"/>
    <b v="0"/>
    <n v="-1"/>
    <n v="0.81759069605862023"/>
    <n v="46.528811425881486"/>
    <n v="0.38869663327387416"/>
    <n v="3"/>
    <b v="0"/>
    <n v="-1"/>
    <n v="51.663519232322308"/>
    <x v="3"/>
    <n v="48.336480767677692"/>
    <n v="0.80397277260026034"/>
    <n v="45.753819983756898"/>
    <n v="0.41123309589470225"/>
    <n v="3"/>
    <b v="0"/>
    <n v="-1"/>
    <n v="9.6622676398048141E-2"/>
    <n v="5.4987640041177928"/>
    <n v="0.32823232805761698"/>
    <n v="3"/>
  </r>
  <r>
    <n v="52378"/>
    <s v="52378"/>
    <s v="52"/>
    <s v="COLOMBIA"/>
    <s v="NARIÑO"/>
    <s v="LA CRUZ"/>
    <x v="4"/>
    <n v="0"/>
    <n v="0"/>
    <n v="0"/>
    <n v="83.92"/>
    <n v="83.000699999999995"/>
    <n v="67.540000000000006"/>
    <n v="63.78"/>
    <n v="67.232764051403592"/>
    <n v="61.825627118634074"/>
    <n v="63.253376660590867"/>
    <n v="64.004766670314581"/>
    <s v="3. Vulnerable (&gt;=60 y &lt;70)"/>
    <s v="3. Vulnerable (&gt;=60 y &lt;70)"/>
    <s v="3. Vulnerable (&gt;=60 y &lt;70)"/>
    <s v="3. Vulnerable (&gt;=60 y &lt;70)"/>
    <n v="74.560175000000015"/>
    <n v="64.079133625235784"/>
    <n v="69.319654312617899"/>
    <n v="51.842370883114619"/>
    <x v="2"/>
    <n v="48.157629116885381"/>
    <n v="0.81759069605862034"/>
    <n v="56.67510441999621"/>
    <n v="0.53831980326102635"/>
    <n v="2"/>
    <b v="1"/>
    <n v="0"/>
    <n v="0.81759069605862023"/>
    <n v="56.675104419996202"/>
    <n v="0.50861182641298341"/>
    <n v="2"/>
    <b v="1"/>
    <n v="0"/>
    <n v="51.842370883114619"/>
    <x v="3"/>
    <n v="48.157629116885381"/>
    <n v="0.80397277260026034"/>
    <n v="55.731114673407006"/>
    <n v="0.53867439655359162"/>
    <n v="2"/>
    <b v="1"/>
    <n v="0"/>
    <n v="9.6265159158412481E-2"/>
    <n v="6.673067555210296"/>
    <n v="0.39832887850654985"/>
    <n v="2"/>
  </r>
  <r>
    <n v="44560"/>
    <s v="44560"/>
    <s v="44"/>
    <s v="COLOMBIA"/>
    <s v="LA GUAJIRA"/>
    <s v="MANAURE"/>
    <x v="5"/>
    <n v="0"/>
    <n v="0"/>
    <n v="0"/>
    <n v="47.96"/>
    <n v="47.139233333333301"/>
    <n v="61.6"/>
    <n v="66.63"/>
    <n v="51.303162903218109"/>
    <n v="47.567353125331486"/>
    <n v="44.670029485513354"/>
    <n v="53.048702803015708"/>
    <s v="2. Riesgo (&gt;=40 y &lt;60)"/>
    <s v="2. Riesgo (&gt;=40 y &lt;60)"/>
    <s v="2. Riesgo (&gt;=40 y &lt;60)"/>
    <s v="2. Riesgo (&gt;=40 y &lt;60)"/>
    <n v="55.832308333333323"/>
    <n v="49.147312079269668"/>
    <n v="52.489810206301499"/>
    <n v="51.830729815007494"/>
    <x v="2"/>
    <n v="48.169270184992506"/>
    <n v="0.81759069605862034"/>
    <n v="42.915180462554915"/>
    <n v="0.36619765888045125"/>
    <n v="3"/>
    <b v="1"/>
    <n v="0"/>
    <n v="0.81759069605862023"/>
    <n v="42.915180462554908"/>
    <n v="0.3459884978837251"/>
    <n v="3"/>
    <b v="1"/>
    <n v="0"/>
    <n v="51.830729815007494"/>
    <x v="3"/>
    <n v="48.169270184992506"/>
    <n v="0.80397277260026034"/>
    <n v="42.200378244821657"/>
    <n v="0.36584451601289719"/>
    <n v="3"/>
    <b v="1"/>
    <n v="0"/>
    <n v="9.6288429184255869E-2"/>
    <n v="5.0541613729444927"/>
    <n v="0.30169309913612274"/>
    <n v="3"/>
  </r>
  <r>
    <n v="15632"/>
    <s v="15632"/>
    <s v="15"/>
    <s v="COLOMBIA"/>
    <s v="BOYACÁ"/>
    <s v="SABOYÁ"/>
    <x v="4"/>
    <n v="0"/>
    <n v="0"/>
    <n v="0"/>
    <n v="77.78"/>
    <n v="83.148333333333298"/>
    <n v="88.42"/>
    <n v="64.87"/>
    <n v="57.299864590684393"/>
    <n v="54.335882268597075"/>
    <n v="53.014755794278734"/>
    <n v="61.415729930676093"/>
    <s v="2. Riesgo (&gt;=40 y &lt;60)"/>
    <s v="2. Riesgo (&gt;=40 y &lt;60)"/>
    <s v="2. Riesgo (&gt;=40 y &lt;60)"/>
    <s v="3. Vulnerable (&gt;=60 y &lt;70)"/>
    <n v="78.554583333333326"/>
    <n v="56.516558146059076"/>
    <n v="67.535570739696198"/>
    <n v="52.096785384900443"/>
    <x v="2"/>
    <n v="47.903214615099557"/>
    <n v="0.81759069605862034"/>
    <n v="55.216454289784409"/>
    <n v="0.52007362769424315"/>
    <n v="2"/>
    <b v="1"/>
    <n v="0"/>
    <n v="0.81759069605862023"/>
    <n v="55.216454289784402"/>
    <n v="0.49137259310992454"/>
    <n v="2"/>
    <b v="1"/>
    <n v="0"/>
    <n v="52.096785384900443"/>
    <x v="3"/>
    <n v="47.903214615099557"/>
    <n v="0.80397277260026034"/>
    <n v="54.29676005673457"/>
    <n v="0.52035319590343543"/>
    <n v="2"/>
    <b v="1"/>
    <n v="0"/>
    <n v="9.5756594825912297E-2"/>
    <n v="6.4669762836578268"/>
    <n v="0.38602687431008603"/>
    <n v="2"/>
  </r>
  <r>
    <n v="76243"/>
    <s v="76243"/>
    <s v="76"/>
    <s v="COLOMBIA"/>
    <s v="VALLE DEL CAUCA"/>
    <s v="EL ÁGUILA"/>
    <x v="5"/>
    <n v="0"/>
    <n v="0"/>
    <n v="0"/>
    <n v="55.78"/>
    <n v="59.087566666666703"/>
    <n v="60.69"/>
    <n v="55.4"/>
    <n v="40.104375344075216"/>
    <n v="40.818631454260043"/>
    <n v="35.403091042527777"/>
    <n v="42.567855586182304"/>
    <s v="2. Riesgo (&gt;=40 y &lt;60)"/>
    <s v="2. Riesgo (&gt;=40 y &lt;60)"/>
    <s v="1. Deterioro (&lt;40)"/>
    <s v="2. Riesgo (&gt;=40 y &lt;60)"/>
    <n v="57.739391666666677"/>
    <n v="39.723488356761337"/>
    <n v="48.731440011714007"/>
    <n v="51.88139250382158"/>
    <x v="2"/>
    <n v="48.11860749617842"/>
    <n v="0.81759069605862034"/>
    <n v="39.842371959116157"/>
    <n v="0.32776006354790443"/>
    <n v="4"/>
    <b v="0"/>
    <n v="1"/>
    <n v="0.81759069605862023"/>
    <n v="39.84237195911615"/>
    <n v="0.30967213826518386"/>
    <n v="4"/>
    <b v="0"/>
    <n v="1"/>
    <n v="51.88139250382158"/>
    <x v="3"/>
    <n v="48.11860749617842"/>
    <n v="0.80397277260026034"/>
    <n v="39.178750939020972"/>
    <n v="0.32724887200960684"/>
    <n v="4"/>
    <b v="0"/>
    <n v="1"/>
    <n v="9.6187156511752747E-2"/>
    <n v="4.6873386474498249"/>
    <n v="0.27979670985966171"/>
    <n v="4"/>
  </r>
  <r>
    <n v="52786"/>
    <s v="52786"/>
    <s v="52"/>
    <s v="COLOMBIA"/>
    <s v="NARIÑO"/>
    <s v="TAMINANGO"/>
    <x v="6"/>
    <n v="0"/>
    <n v="0"/>
    <n v="0"/>
    <n v="42.77"/>
    <n v="50.065366666666698"/>
    <n v="44.06"/>
    <n v="41.29"/>
    <n v="54.247138016574247"/>
    <n v="58.874389201953342"/>
    <n v="53.528916177408512"/>
    <n v="45.566665043055487"/>
    <s v="2. Riesgo (&gt;=40 y &lt;60)"/>
    <s v="2. Riesgo (&gt;=40 y &lt;60)"/>
    <s v="2. Riesgo (&gt;=40 y &lt;60)"/>
    <s v="2. Riesgo (&gt;=40 y &lt;60)"/>
    <n v="44.54634166666667"/>
    <n v="53.054277109747893"/>
    <n v="48.800309388207282"/>
    <n v="51.852590536894908"/>
    <x v="2"/>
    <n v="48.147409463105092"/>
    <n v="0.81759069605862034"/>
    <n v="39.898678920580416"/>
    <n v="0.32846440428269036"/>
    <n v="4"/>
    <b v="1"/>
    <n v="0"/>
    <n v="0.81759069605862023"/>
    <n v="39.898678920580409"/>
    <n v="0.31033760891175194"/>
    <n v="4"/>
    <b v="1"/>
    <n v="0"/>
    <n v="51.852590536894908"/>
    <x v="3"/>
    <n v="48.147409463105092"/>
    <n v="0.80397277260026034"/>
    <n v="39.23412004258752"/>
    <n v="0.327956108870332"/>
    <n v="4"/>
    <b v="1"/>
    <n v="0"/>
    <n v="9.6244730482504953E-2"/>
    <n v="4.6967726245308663"/>
    <n v="0.28035984300337063"/>
    <n v="4"/>
  </r>
  <r>
    <n v="5856"/>
    <s v="05856"/>
    <s v="50"/>
    <s v="COLOMBIA"/>
    <s v="ANTIOQUIA"/>
    <s v="VALPARAÍSO"/>
    <x v="5"/>
    <n v="0"/>
    <n v="0"/>
    <n v="0"/>
    <n v="58.78"/>
    <n v="60.159799999999997"/>
    <n v="44.07"/>
    <n v="37.67"/>
    <n v="44.915252888240687"/>
    <n v="28.196483472101193"/>
    <n v="46.095350684358131"/>
    <n v="43.013155991255452"/>
    <s v="2. Riesgo (&gt;=40 y &lt;60)"/>
    <s v="1. Deterioro (&lt;40)"/>
    <s v="2. Riesgo (&gt;=40 y &lt;60)"/>
    <s v="2. Riesgo (&gt;=40 y &lt;60)"/>
    <n v="50.16995"/>
    <n v="40.555060758988866"/>
    <n v="45.362505379494436"/>
    <n v="51.704582540765578"/>
    <x v="2"/>
    <n v="48.295417459234422"/>
    <n v="0.81759069605862034"/>
    <n v="37.087962348183765"/>
    <n v="0.29330530273654393"/>
    <n v="4"/>
    <b v="0"/>
    <n v="1"/>
    <n v="0.81759069605862023"/>
    <n v="37.087962348183758"/>
    <n v="0.2771188145369255"/>
    <n v="4"/>
    <b v="0"/>
    <n v="1"/>
    <n v="51.704582540765578"/>
    <x v="3"/>
    <n v="48.295417459234422"/>
    <n v="0.80397277260026034"/>
    <n v="36.470219222046367"/>
    <n v="0.29265243924660866"/>
    <n v="4"/>
    <b v="0"/>
    <n v="1"/>
    <n v="9.6540592499912967E-2"/>
    <n v="4.3793231466168825"/>
    <n v="0.2614106425833575"/>
    <n v="4"/>
  </r>
  <r>
    <n v="19743"/>
    <s v="19743"/>
    <s v="19"/>
    <s v="COLOMBIA"/>
    <s v="CAUCA"/>
    <s v="SILVIA"/>
    <x v="5"/>
    <n v="0"/>
    <n v="0"/>
    <n v="0"/>
    <n v="68.31"/>
    <n v="70.9179666666667"/>
    <n v="68.38"/>
    <n v="63.02"/>
    <n v="37.505439840805423"/>
    <n v="46.448953015678136"/>
    <n v="44.087450367129286"/>
    <n v="41.645395798921399"/>
    <s v="1. Deterioro (&lt;40)"/>
    <s v="2. Riesgo (&gt;=40 y &lt;60)"/>
    <s v="2. Riesgo (&gt;=40 y &lt;60)"/>
    <s v="2. Riesgo (&gt;=40 y &lt;60)"/>
    <n v="67.65699166666667"/>
    <n v="42.421809755633561"/>
    <n v="55.039400711150115"/>
    <n v="51.850254836022515"/>
    <x v="2"/>
    <n v="48.149745163977485"/>
    <n v="0.81759069605862034"/>
    <n v="44.999701938078545"/>
    <n v="0.39227282524650192"/>
    <n v="3"/>
    <b v="1"/>
    <n v="0"/>
    <n v="0.81759069605862023"/>
    <n v="44.999701938078537"/>
    <n v="0.37062466751582895"/>
    <n v="3"/>
    <b v="1"/>
    <n v="0"/>
    <n v="51.850254836022515"/>
    <x v="3"/>
    <n v="48.149745163977485"/>
    <n v="0.80397277260026034"/>
    <n v="44.250179592000102"/>
    <n v="0.39202689890349673"/>
    <n v="3"/>
    <b v="1"/>
    <n v="0"/>
    <n v="9.6249399454386486E-2"/>
    <n v="5.2975092647775313"/>
    <n v="0.31621902623618681"/>
    <n v="3"/>
  </r>
  <r>
    <n v="15187"/>
    <s v="15187"/>
    <s v="15"/>
    <s v="COLOMBIA"/>
    <s v="BOYACÁ"/>
    <s v="CHIVATÁ"/>
    <x v="4"/>
    <n v="0"/>
    <n v="0"/>
    <n v="0"/>
    <n v="77.59"/>
    <n v="84.250466666666696"/>
    <n v="83.25"/>
    <n v="53.73"/>
    <n v="57.831727303729572"/>
    <n v="61.462158802796182"/>
    <n v="66.347476855991744"/>
    <n v="58.289968873504691"/>
    <s v="2. Riesgo (&gt;=40 y &lt;60)"/>
    <s v="3. Vulnerable (&gt;=60 y &lt;70)"/>
    <s v="3. Vulnerable (&gt;=60 y &lt;70)"/>
    <s v="2. Riesgo (&gt;=40 y &lt;60)"/>
    <n v="74.705116666666683"/>
    <n v="60.982832959005549"/>
    <n v="67.843974812836109"/>
    <n v="52.069422211209016"/>
    <x v="2"/>
    <n v="47.930577788790984"/>
    <n v="0.81759069605862034"/>
    <n v="55.468602590610182"/>
    <n v="0.52322773714821147"/>
    <n v="2"/>
    <b v="1"/>
    <n v="0"/>
    <n v="0.81759069605862023"/>
    <n v="55.468602590610175"/>
    <n v="0.4943526383550953"/>
    <n v="2"/>
    <b v="1"/>
    <n v="0"/>
    <n v="52.069422211209016"/>
    <x v="3"/>
    <n v="47.930577788790984"/>
    <n v="0.80397277260026034"/>
    <n v="54.544708534498078"/>
    <n v="0.52352027450394545"/>
    <n v="2"/>
    <b v="1"/>
    <n v="0"/>
    <n v="9.5811292706991347E-2"/>
    <n v="6.5002189291983887"/>
    <n v="0.38801119495530773"/>
    <n v="2"/>
  </r>
  <r>
    <n v="13300"/>
    <s v="13300"/>
    <s v="13"/>
    <s v="COLOMBIA"/>
    <s v="BOLÍVAR"/>
    <s v="HATILLO DE LOBA"/>
    <x v="6"/>
    <n v="0"/>
    <n v="0"/>
    <n v="0"/>
    <n v="41.58"/>
    <n v="42.847666666666697"/>
    <n v="43.65"/>
    <n v="77.42"/>
    <n v="64.839695440900186"/>
    <n v="37.110360726324522"/>
    <n v="49.259485428400893"/>
    <n v="47.894615190350009"/>
    <s v="3. Vulnerable (&gt;=60 y &lt;70)"/>
    <s v="1. Deterioro (&lt;40)"/>
    <s v="2. Riesgo (&gt;=40 y &lt;60)"/>
    <s v="2. Riesgo (&gt;=40 y &lt;60)"/>
    <n v="51.374416666666676"/>
    <n v="49.776039196493905"/>
    <n v="50.575227931580287"/>
    <n v="51.993358365479182"/>
    <x v="2"/>
    <n v="48.006641634520818"/>
    <n v="0.81759069605862034"/>
    <n v="41.349835807904107"/>
    <n v="0.34661684727956582"/>
    <n v="4"/>
    <b v="1"/>
    <n v="0"/>
    <n v="0.81759069605862023"/>
    <n v="41.3498358079041"/>
    <n v="0.32748828241580963"/>
    <n v="4"/>
    <b v="1"/>
    <n v="0"/>
    <n v="51.993358365479182"/>
    <x v="3"/>
    <n v="48.006641634520818"/>
    <n v="0.80397277260026034"/>
    <n v="40.66110622504273"/>
    <n v="0.34618319153864319"/>
    <n v="4"/>
    <b v="1"/>
    <n v="0"/>
    <n v="9.5963341268136479E-2"/>
    <n v="4.8533678577120272"/>
    <n v="0.28970732871312044"/>
    <n v="4"/>
  </r>
  <r>
    <n v="68147"/>
    <s v="68147"/>
    <s v="68"/>
    <s v="COLOMBIA"/>
    <s v="SANTANDER"/>
    <s v="CAPITANEJO"/>
    <x v="5"/>
    <n v="0"/>
    <n v="0"/>
    <n v="0"/>
    <n v="56.37"/>
    <n v="57.930300000000003"/>
    <n v="36.25"/>
    <n v="29.94"/>
    <n v="49.880990941862152"/>
    <n v="68.700477979927385"/>
    <n v="69.094523433269643"/>
    <n v="63.396194963758774"/>
    <s v="2. Riesgo (&gt;=40 y &lt;60)"/>
    <s v="3. Vulnerable (&gt;=60 y &lt;70)"/>
    <s v="3. Vulnerable (&gt;=60 y &lt;70)"/>
    <s v="3. Vulnerable (&gt;=60 y &lt;70)"/>
    <n v="45.122574999999998"/>
    <n v="62.768046829704488"/>
    <n v="53.945310914852243"/>
    <n v="51.965443136599923"/>
    <x v="2"/>
    <n v="48.034556863400077"/>
    <n v="0.81759069605862034"/>
    <n v="44.105184299972734"/>
    <n v="0.38108335250426667"/>
    <n v="3"/>
    <b v="1"/>
    <n v="0"/>
    <n v="0.81759069605862023"/>
    <n v="44.105184299972727"/>
    <n v="0.3600527024245373"/>
    <n v="3"/>
    <b v="1"/>
    <n v="0"/>
    <n v="51.965443136599923"/>
    <x v="3"/>
    <n v="48.034556863400077"/>
    <n v="0.80397277260026034"/>
    <n v="43.370561184996845"/>
    <n v="0.38079141700595581"/>
    <n v="3"/>
    <b v="1"/>
    <n v="0"/>
    <n v="9.6019142685280237E-2"/>
    <n v="5.1797825059350027"/>
    <n v="0.30919167825387228"/>
    <n v="3"/>
  </r>
  <r>
    <n v="19785"/>
    <s v="19785"/>
    <s v="19"/>
    <s v="COLOMBIA"/>
    <s v="CAUCA"/>
    <s v="SUCRE"/>
    <x v="5"/>
    <n v="0"/>
    <n v="0"/>
    <n v="0"/>
    <n v="68.89"/>
    <n v="63.978499999999997"/>
    <n v="53.31"/>
    <n v="59.55"/>
    <n v="42.205814507313654"/>
    <n v="45.873684335503626"/>
    <n v="55.932055301662523"/>
    <n v="55.853002150340799"/>
    <s v="2. Riesgo (&gt;=40 y &lt;60)"/>
    <s v="2. Riesgo (&gt;=40 y &lt;60)"/>
    <s v="2. Riesgo (&gt;=40 y &lt;60)"/>
    <s v="2. Riesgo (&gt;=40 y &lt;60)"/>
    <n v="61.432124999999999"/>
    <n v="49.966139073705151"/>
    <n v="55.699132036852575"/>
    <n v="52.109064157581997"/>
    <x v="2"/>
    <n v="47.890935842418003"/>
    <n v="0.81759069605862034"/>
    <n v="45.539092131871293"/>
    <n v="0.39902002799999198"/>
    <n v="3"/>
    <b v="1"/>
    <n v="0"/>
    <n v="0.81759069605862023"/>
    <n v="45.539092131871293"/>
    <n v="0.37699951587704988"/>
    <n v="3"/>
    <b v="1"/>
    <n v="0"/>
    <n v="52.109064157581997"/>
    <x v="3"/>
    <n v="47.890935842418003"/>
    <n v="0.80397277260026034"/>
    <n v="44.780585615096349"/>
    <n v="0.39880184497488169"/>
    <n v="3"/>
    <b v="1"/>
    <n v="0"/>
    <n v="9.5732050054333301E-2"/>
    <n v="5.3321920961348903"/>
    <n v="0.31828931448124165"/>
    <n v="3"/>
  </r>
  <r>
    <n v="23350"/>
    <s v="23350"/>
    <s v="23"/>
    <s v="COLOMBIA"/>
    <s v="CÓRDOBA"/>
    <s v="LA APARTADA"/>
    <x v="5"/>
    <n v="0"/>
    <n v="0"/>
    <n v="0"/>
    <n v="64.69"/>
    <n v="64.204233333333306"/>
    <n v="49.77"/>
    <n v="49.06"/>
    <n v="60.678266914184903"/>
    <n v="63.293173225583914"/>
    <n v="52.809207117730004"/>
    <n v="61.447132891641125"/>
    <s v="3. Vulnerable (&gt;=60 y &lt;70)"/>
    <s v="3. Vulnerable (&gt;=60 y &lt;70)"/>
    <s v="2. Riesgo (&gt;=40 y &lt;60)"/>
    <s v="3. Vulnerable (&gt;=60 y &lt;70)"/>
    <n v="56.931058333333333"/>
    <n v="59.55694503728499"/>
    <n v="58.244001685309158"/>
    <n v="51.968616455990926"/>
    <x v="2"/>
    <n v="48.031383544009074"/>
    <n v="0.81759069605862034"/>
    <n v="47.619753879131373"/>
    <n v="0.42504691323400268"/>
    <n v="3"/>
    <b v="1"/>
    <n v="0"/>
    <n v="0.81759069605862023"/>
    <n v="47.619753879131366"/>
    <n v="0.40159006884300213"/>
    <n v="3"/>
    <b v="1"/>
    <n v="0"/>
    <n v="51.968616455990926"/>
    <x v="3"/>
    <n v="48.031383544009074"/>
    <n v="0.80397277260026034"/>
    <n v="46.826591522272238"/>
    <n v="0.42493574820986874"/>
    <n v="3"/>
    <b v="1"/>
    <n v="0"/>
    <n v="9.6012799347748104E-2"/>
    <n v="5.5921696470214908"/>
    <n v="0.33380789951350054"/>
    <n v="3"/>
  </r>
  <r>
    <n v="68229"/>
    <s v="68229"/>
    <s v="68"/>
    <s v="COLOMBIA"/>
    <s v="SANTANDER"/>
    <s v="CURITÍ"/>
    <x v="5"/>
    <n v="0"/>
    <n v="0"/>
    <n v="0"/>
    <n v="54.36"/>
    <n v="58.191733333333303"/>
    <n v="63.22"/>
    <n v="64.19"/>
    <n v="57.067686499058993"/>
    <n v="64.868347016847082"/>
    <n v="65.302663052957087"/>
    <n v="65.919046830101223"/>
    <s v="2. Riesgo (&gt;=40 y &lt;60)"/>
    <s v="3. Vulnerable (&gt;=60 y &lt;70)"/>
    <s v="3. Vulnerable (&gt;=60 y &lt;70)"/>
    <s v="3. Vulnerable (&gt;=60 y &lt;70)"/>
    <n v="59.990433333333328"/>
    <n v="63.289435849741096"/>
    <n v="61.639934591537212"/>
    <n v="51.644787288095685"/>
    <x v="2"/>
    <n v="48.355212711904315"/>
    <n v="0.81759069605862034"/>
    <n v="50.396237027702739"/>
    <n v="0.45977779073352493"/>
    <n v="3"/>
    <b v="1"/>
    <n v="0"/>
    <n v="0.81759069605862023"/>
    <n v="50.396237027702732"/>
    <n v="0.43440427135041432"/>
    <n v="3"/>
    <b v="1"/>
    <n v="0"/>
    <n v="51.644787288095685"/>
    <x v="3"/>
    <n v="48.355212711904315"/>
    <n v="0.80397277260026034"/>
    <n v="49.556829116456868"/>
    <n v="0.45980943300456817"/>
    <n v="3"/>
    <b v="1"/>
    <n v="0"/>
    <n v="9.6660120799389945E-2"/>
    <n v="5.9581235236844821"/>
    <n v="0.35565242544857478"/>
    <n v="3"/>
  </r>
  <r>
    <n v="15740"/>
    <s v="15740"/>
    <s v="15"/>
    <s v="COLOMBIA"/>
    <s v="BOYACÁ"/>
    <s v="SIACHOQUE"/>
    <x v="5"/>
    <n v="0"/>
    <n v="0"/>
    <n v="0"/>
    <n v="61.79"/>
    <n v="66.699033333333304"/>
    <n v="78.14"/>
    <n v="80.3"/>
    <n v="60.660118551622226"/>
    <n v="52.425650739884269"/>
    <n v="68.042000929904802"/>
    <n v="64.663372656512166"/>
    <s v="3. Vulnerable (&gt;=60 y &lt;70)"/>
    <s v="2. Riesgo (&gt;=40 y &lt;60)"/>
    <s v="3. Vulnerable (&gt;=60 y &lt;70)"/>
    <s v="3. Vulnerable (&gt;=60 y &lt;70)"/>
    <n v="71.732258333333334"/>
    <n v="61.447785719480869"/>
    <n v="66.590022026407098"/>
    <n v="52.177824069504389"/>
    <x v="2"/>
    <n v="47.822175930495611"/>
    <n v="0.81759069605862034"/>
    <n v="54.44338245912904"/>
    <n v="0.51040331398726524"/>
    <n v="2"/>
    <b v="0"/>
    <n v="-1"/>
    <n v="0.81759069605862023"/>
    <n v="54.443382459129033"/>
    <n v="0.48223595000911768"/>
    <n v="2"/>
    <b v="0"/>
    <n v="-1"/>
    <n v="52.177824069504389"/>
    <x v="3"/>
    <n v="47.822175930495611"/>
    <n v="0.80397277260026034"/>
    <n v="53.536564636082922"/>
    <n v="0.510643119557462"/>
    <n v="2"/>
    <b v="0"/>
    <n v="-1"/>
    <n v="9.5594601762415493E-2"/>
    <n v="6.3656466369648621"/>
    <n v="0.37997830306564256"/>
    <n v="2"/>
  </r>
  <r>
    <n v="44078"/>
    <s v="44078"/>
    <s v="44"/>
    <s v="COLOMBIA"/>
    <s v="LA GUAJIRA"/>
    <s v="BARRANCAS"/>
    <x v="5"/>
    <n v="0"/>
    <n v="0"/>
    <n v="0"/>
    <n v="56.16"/>
    <n v="58.058433333333298"/>
    <n v="81.27"/>
    <n v="83.12"/>
    <n v="57.135627066913841"/>
    <n v="66.717197356848715"/>
    <n v="44.582509570470769"/>
    <n v="58.770572734877931"/>
    <s v="2. Riesgo (&gt;=40 y &lt;60)"/>
    <s v="3. Vulnerable (&gt;=60 y &lt;70)"/>
    <s v="2. Riesgo (&gt;=40 y &lt;60)"/>
    <s v="2. Riesgo (&gt;=40 y &lt;60)"/>
    <n v="69.652108333333331"/>
    <n v="56.801476682277816"/>
    <n v="63.22679250780557"/>
    <n v="52.098567733512738"/>
    <x v="2"/>
    <n v="47.901432266487262"/>
    <n v="0.81759069605862034"/>
    <n v="51.693637296010714"/>
    <n v="0.4760069005012672"/>
    <n v="3"/>
    <b v="1"/>
    <n v="0"/>
    <n v="0.81759069605862023"/>
    <n v="51.693637296010706"/>
    <n v="0.44973775362252338"/>
    <n v="3"/>
    <b v="1"/>
    <n v="0"/>
    <n v="52.098567733512738"/>
    <x v="3"/>
    <n v="47.901432266487262"/>
    <n v="0.80397277260026034"/>
    <n v="50.832619675121812"/>
    <n v="0.47610527403382552"/>
    <n v="3"/>
    <b v="1"/>
    <n v="0"/>
    <n v="9.5753031982890646E-2"/>
    <n v="6.0541570851754978"/>
    <n v="0.36138486267196812"/>
    <n v="3"/>
  </r>
  <r>
    <n v="52687"/>
    <s v="52687"/>
    <s v="52"/>
    <s v="COLOMBIA"/>
    <s v="NARIÑO"/>
    <s v="SAN LORENZO"/>
    <x v="5"/>
    <n v="0"/>
    <n v="0"/>
    <n v="0"/>
    <n v="67.05"/>
    <n v="67.298299999999998"/>
    <n v="80.81"/>
    <n v="82.31"/>
    <n v="64.134976807277212"/>
    <n v="48.631773577922552"/>
    <n v="40.095385992729241"/>
    <n v="56.758114185442416"/>
    <s v="3. Vulnerable (&gt;=60 y &lt;70)"/>
    <s v="2. Riesgo (&gt;=40 y &lt;60)"/>
    <s v="2. Riesgo (&gt;=40 y &lt;60)"/>
    <s v="2. Riesgo (&gt;=40 y &lt;60)"/>
    <n v="74.367075"/>
    <n v="52.405062640842857"/>
    <n v="63.386068820421428"/>
    <n v="52.061500194884793"/>
    <x v="2"/>
    <n v="47.938499805115207"/>
    <n v="0.81759069605862034"/>
    <n v="51.823860127307967"/>
    <n v="0.47763585085299293"/>
    <n v="3"/>
    <b v="1"/>
    <n v="0"/>
    <n v="0.81759069605862023"/>
    <n v="51.82386012730796"/>
    <n v="0.45127680793282071"/>
    <n v="3"/>
    <b v="1"/>
    <n v="0"/>
    <n v="52.061500194884793"/>
    <x v="3"/>
    <n v="47.938499805115207"/>
    <n v="0.80397277260026034"/>
    <n v="50.96067349378513"/>
    <n v="0.47774092234455645"/>
    <n v="3"/>
    <b v="1"/>
    <n v="0"/>
    <n v="9.5827128498252076E-2"/>
    <n v="6.0741049618535738"/>
    <n v="0.36257559171524911"/>
    <n v="3"/>
  </r>
  <r>
    <n v="41530"/>
    <s v="41530"/>
    <s v="41"/>
    <s v="COLOMBIA"/>
    <s v="HUILA"/>
    <s v="PALESTINA"/>
    <x v="5"/>
    <n v="0"/>
    <n v="0"/>
    <n v="0"/>
    <n v="61.71"/>
    <n v="65.601533333333293"/>
    <n v="65"/>
    <n v="60.81"/>
    <n v="52.742538976792389"/>
    <n v="48.824444598506332"/>
    <n v="56.861701639908389"/>
    <n v="58.13871956234459"/>
    <s v="2. Riesgo (&gt;=40 y &lt;60)"/>
    <s v="2. Riesgo (&gt;=40 y &lt;60)"/>
    <s v="2. Riesgo (&gt;=40 y &lt;60)"/>
    <s v="2. Riesgo (&gt;=40 y &lt;60)"/>
    <n v="63.280383333333326"/>
    <n v="54.141851194387925"/>
    <n v="58.711117263860629"/>
    <n v="52.191508498998118"/>
    <x v="2"/>
    <n v="47.808491501001882"/>
    <n v="0.81759069605862034"/>
    <n v="48.001663230139094"/>
    <n v="0.42982419664470739"/>
    <n v="3"/>
    <b v="1"/>
    <n v="0"/>
    <n v="0.81759069605862023"/>
    <n v="48.001663230139087"/>
    <n v="0.4061037107824067"/>
    <n v="3"/>
    <b v="1"/>
    <n v="0"/>
    <n v="52.191508498998118"/>
    <x v="3"/>
    <n v="47.808491501001882"/>
    <n v="0.80397277260026034"/>
    <n v="47.20213972908504"/>
    <n v="0.42973267497459433"/>
    <n v="3"/>
    <b v="1"/>
    <n v="0"/>
    <n v="9.5567247139537181E-2"/>
    <n v="5.6108598533937171"/>
    <n v="0.33492355567638354"/>
    <n v="3"/>
  </r>
  <r>
    <n v="52411"/>
    <s v="52411"/>
    <s v="52"/>
    <s v="COLOMBIA"/>
    <s v="NARIÑO"/>
    <s v="LINARES"/>
    <x v="6"/>
    <n v="0"/>
    <n v="0"/>
    <n v="0"/>
    <n v="50.48"/>
    <n v="53.140266666666697"/>
    <n v="69.459999999999994"/>
    <n v="76.650000000000006"/>
    <n v="52.175761090461663"/>
    <n v="57.610800770257576"/>
    <n v="51.817570949952298"/>
    <n v="64.937323086485847"/>
    <s v="2. Riesgo (&gt;=40 y &lt;60)"/>
    <s v="2. Riesgo (&gt;=40 y &lt;60)"/>
    <s v="2. Riesgo (&gt;=40 y &lt;60)"/>
    <s v="3. Vulnerable (&gt;=60 y &lt;70)"/>
    <n v="62.432566666666673"/>
    <n v="56.635363974289348"/>
    <n v="59.533965320478011"/>
    <n v="52.122940463203506"/>
    <x v="2"/>
    <n v="47.877059536796494"/>
    <n v="0.81759069605862034"/>
    <n v="48.674416145499379"/>
    <n v="0.43823962646744813"/>
    <n v="3"/>
    <b v="0"/>
    <n v="-1"/>
    <n v="0.81759069605862023"/>
    <n v="48.674416145499372"/>
    <n v="0.4140547226275329"/>
    <n v="3"/>
    <b v="0"/>
    <n v="-1"/>
    <n v="52.122940463203506"/>
    <x v="3"/>
    <n v="47.877059536796494"/>
    <n v="0.80397277260026034"/>
    <n v="47.863687162592456"/>
    <n v="0.43818270757322975"/>
    <n v="3"/>
    <b v="0"/>
    <n v="-1"/>
    <n v="9.5704311878810927E-2"/>
    <n v="5.697657184413341"/>
    <n v="0.34010466365054354"/>
    <n v="3"/>
  </r>
  <r>
    <n v="19022"/>
    <s v="19022"/>
    <s v="19"/>
    <s v="COLOMBIA"/>
    <s v="CAUCA"/>
    <s v="ALMAGUER"/>
    <x v="6"/>
    <n v="0"/>
    <n v="0"/>
    <n v="0"/>
    <n v="45.84"/>
    <n v="46.771233333333299"/>
    <n v="78.88"/>
    <n v="83.23"/>
    <n v="39.416596477779891"/>
    <n v="47.727301882910581"/>
    <n v="50.661854072944045"/>
    <n v="51.664060128447716"/>
    <s v="1. Deterioro (&lt;40)"/>
    <s v="2. Riesgo (&gt;=40 y &lt;60)"/>
    <s v="2. Riesgo (&gt;=40 y &lt;60)"/>
    <s v="2. Riesgo (&gt;=40 y &lt;60)"/>
    <n v="63.680308333333329"/>
    <n v="47.36745314052056"/>
    <n v="55.523880736926941"/>
    <n v="51.706328935304626"/>
    <x v="2"/>
    <n v="48.293671064695374"/>
    <n v="0.81759069605862034"/>
    <n v="45.395808299579919"/>
    <n v="0.39722769829342258"/>
    <n v="3"/>
    <b v="0"/>
    <n v="-1"/>
    <n v="0.81759069605862023"/>
    <n v="45.395808299579912"/>
    <n v="0.37530609854395114"/>
    <n v="3"/>
    <b v="0"/>
    <n v="-1"/>
    <n v="51.706328935304626"/>
    <x v="3"/>
    <n v="48.293671064695374"/>
    <n v="0.80397277260026034"/>
    <n v="44.639688341593342"/>
    <n v="0.39700214552196872"/>
    <n v="3"/>
    <b v="0"/>
    <n v="-1"/>
    <n v="9.6537101527634256E-2"/>
    <n v="5.3601145119089724"/>
    <n v="0.3199560598675969"/>
    <n v="3"/>
  </r>
  <r>
    <n v="54261"/>
    <s v="54261"/>
    <s v="54"/>
    <s v="COLOMBIA"/>
    <s v="NORTE DE SANTANDER"/>
    <s v="EL ZULIA"/>
    <x v="4"/>
    <n v="0"/>
    <n v="0"/>
    <n v="0"/>
    <n v="60.56"/>
    <n v="65.897033333333297"/>
    <n v="61.81"/>
    <n v="55.33"/>
    <n v="58.247589037899218"/>
    <n v="50.498778719252385"/>
    <n v="61.471561617423177"/>
    <n v="58.45824099055281"/>
    <s v="2. Riesgo (&gt;=40 y &lt;60)"/>
    <s v="2. Riesgo (&gt;=40 y &lt;60)"/>
    <s v="3. Vulnerable (&gt;=60 y &lt;70)"/>
    <s v="2. Riesgo (&gt;=40 y &lt;60)"/>
    <n v="60.899258333333322"/>
    <n v="57.169042591281901"/>
    <n v="59.034150462307608"/>
    <n v="51.992473921281132"/>
    <x v="2"/>
    <n v="48.007526078718868"/>
    <n v="0.81759069605862034"/>
    <n v="48.265772167707404"/>
    <n v="0.43312792105662534"/>
    <n v="3"/>
    <b v="0"/>
    <n v="1"/>
    <n v="0.81759069605862023"/>
    <n v="48.265772167707397"/>
    <n v="0.40922511426214447"/>
    <n v="3"/>
    <b v="0"/>
    <n v="1"/>
    <n v="51.992473921281132"/>
    <x v="3"/>
    <n v="48.007526078718868"/>
    <n v="0.80397277260026034"/>
    <n v="47.46184962528239"/>
    <n v="0.43304998372359915"/>
    <n v="3"/>
    <b v="0"/>
    <n v="1"/>
    <n v="9.5965109236432533E-2"/>
    <n v="5.6652186977953436"/>
    <n v="0.33816834487539377"/>
    <n v="3"/>
  </r>
  <r>
    <n v="20710"/>
    <s v="20710"/>
    <s v="20"/>
    <s v="COLOMBIA"/>
    <s v="CESAR"/>
    <s v="SAN ALBERTO"/>
    <x v="5"/>
    <n v="0"/>
    <n v="0"/>
    <n v="0"/>
    <n v="56.54"/>
    <n v="69.273066666666693"/>
    <n v="83.03"/>
    <n v="70.430000000000007"/>
    <n v="51.106609122774174"/>
    <n v="48.865943320181444"/>
    <n v="61.677562935487131"/>
    <n v="64.822491615051362"/>
    <s v="2. Riesgo (&gt;=40 y &lt;60)"/>
    <s v="2. Riesgo (&gt;=40 y &lt;60)"/>
    <s v="3. Vulnerable (&gt;=60 y &lt;70)"/>
    <s v="3. Vulnerable (&gt;=60 y &lt;70)"/>
    <n v="69.818266666666673"/>
    <n v="56.618151748373535"/>
    <n v="63.218209207520104"/>
    <n v="52.256960853451353"/>
    <x v="2"/>
    <n v="47.743039146548647"/>
    <n v="0.81759069605862034"/>
    <n v="51.686619669555846"/>
    <n v="0.47591911739159237"/>
    <n v="3"/>
    <b v="1"/>
    <n v="0"/>
    <n v="0.81759069605862023"/>
    <n v="51.686619669555839"/>
    <n v="0.44965481495396714"/>
    <n v="3"/>
    <b v="1"/>
    <n v="0"/>
    <n v="52.256960853451353"/>
    <x v="3"/>
    <n v="47.743039146548647"/>
    <n v="0.80397277260026034"/>
    <n v="50.825718935393247"/>
    <n v="0.47601712997535356"/>
    <n v="3"/>
    <b v="1"/>
    <n v="0"/>
    <n v="9.5436410521657994E-2"/>
    <n v="6.0333189663729483"/>
    <n v="0.36014099327844989"/>
    <n v="3"/>
  </r>
  <r>
    <n v="68051"/>
    <s v="68051"/>
    <s v="68"/>
    <s v="COLOMBIA"/>
    <s v="SANTANDER"/>
    <s v="ARATOCA"/>
    <x v="5"/>
    <n v="0"/>
    <n v="0"/>
    <n v="0"/>
    <n v="59.74"/>
    <n v="63.049900000000001"/>
    <n v="60.66"/>
    <n v="54.96"/>
    <n v="54.371283313766988"/>
    <n v="51.005423009885469"/>
    <n v="60.835649492274001"/>
    <n v="64.770749528837257"/>
    <s v="2. Riesgo (&gt;=40 y &lt;60)"/>
    <s v="2. Riesgo (&gt;=40 y &lt;60)"/>
    <s v="3. Vulnerable (&gt;=60 y &lt;70)"/>
    <s v="3. Vulnerable (&gt;=60 y &lt;70)"/>
    <n v="59.602475000000005"/>
    <n v="57.745776336190929"/>
    <n v="58.674125668095471"/>
    <n v="51.777546909374351"/>
    <x v="2"/>
    <n v="48.222453090625649"/>
    <n v="0.81759069605862034"/>
    <n v="47.971419245609141"/>
    <n v="0.42944587627840236"/>
    <n v="3"/>
    <b v="1"/>
    <n v="0"/>
    <n v="0.81759069605862023"/>
    <n v="47.971419245609134"/>
    <n v="0.40574626858668961"/>
    <n v="3"/>
    <b v="1"/>
    <n v="0"/>
    <n v="51.777546909374351"/>
    <x v="3"/>
    <n v="48.222453090625649"/>
    <n v="0.80397277260026034"/>
    <n v="47.172399493274817"/>
    <n v="0.4293527990210968"/>
    <n v="3"/>
    <b v="1"/>
    <n v="0"/>
    <n v="9.6394739668579241E-2"/>
    <n v="5.6558770690575662"/>
    <n v="0.33761072419079002"/>
    <n v="3"/>
  </r>
  <r>
    <n v="20310"/>
    <s v="20310"/>
    <s v="20"/>
    <s v="COLOMBIA"/>
    <s v="CESAR"/>
    <s v="GONZÁLEZ"/>
    <x v="6"/>
    <n v="0"/>
    <n v="0"/>
    <n v="0"/>
    <n v="54.89"/>
    <n v="55.818566666666698"/>
    <n v="47.97"/>
    <n v="47.92"/>
    <n v="53.622587548204969"/>
    <n v="39.935593287908198"/>
    <n v="36.608522858989211"/>
    <n v="51.130910539906161"/>
    <s v="2. Riesgo (&gt;=40 y &lt;60)"/>
    <s v="1. Deterioro (&lt;40)"/>
    <s v="1. Deterioro (&lt;40)"/>
    <s v="2. Riesgo (&gt;=40 y &lt;60)"/>
    <n v="51.649641666666682"/>
    <n v="45.324403558752131"/>
    <n v="48.48702261270941"/>
    <n v="52.256013866210914"/>
    <x v="2"/>
    <n v="47.743986133789086"/>
    <n v="0.81759069605862034"/>
    <n v="39.642538567735151"/>
    <n v="0.32526035846597773"/>
    <n v="4"/>
    <b v="1"/>
    <n v="0"/>
    <n v="0.81759069605862023"/>
    <n v="39.642538567735144"/>
    <n v="0.30731038311608694"/>
    <n v="4"/>
    <b v="1"/>
    <n v="0"/>
    <n v="52.256013866210914"/>
    <x v="3"/>
    <n v="47.743986133789086"/>
    <n v="0.80397277260026034"/>
    <n v="38.982246005071502"/>
    <n v="0.32473888857748595"/>
    <n v="4"/>
    <b v="1"/>
    <n v="0"/>
    <n v="9.5438303510974404E-2"/>
    <n v="4.6275191804552396"/>
    <n v="0.27622596507045177"/>
    <n v="4"/>
  </r>
  <r>
    <n v="15272"/>
    <s v="15272"/>
    <s v="15"/>
    <s v="COLOMBIA"/>
    <s v="BOYACÁ"/>
    <s v="FIRAVITOBA"/>
    <x v="5"/>
    <n v="0"/>
    <n v="0"/>
    <n v="0"/>
    <n v="55.71"/>
    <n v="61.298633333333299"/>
    <n v="60.06"/>
    <n v="29.66"/>
    <n v="58.171168168467304"/>
    <n v="50.993810953878118"/>
    <n v="57.485760434758603"/>
    <n v="74.400927581024135"/>
    <s v="2. Riesgo (&gt;=40 y &lt;60)"/>
    <s v="2. Riesgo (&gt;=40 y &lt;60)"/>
    <s v="2. Riesgo (&gt;=40 y &lt;60)"/>
    <s v="4. Solvente (&gt;=70 y &lt;80)"/>
    <n v="51.682158333333327"/>
    <n v="60.262916784532038"/>
    <n v="55.972537558932686"/>
    <n v="52.250338749606314"/>
    <x v="2"/>
    <n v="47.749661250393686"/>
    <n v="0.81759069605862034"/>
    <n v="45.762625942975042"/>
    <n v="0.401816200350053"/>
    <n v="3"/>
    <b v="1"/>
    <n v="0"/>
    <n v="0.81759069605862023"/>
    <n v="45.762625942975042"/>
    <n v="0.37964137730833081"/>
    <n v="3"/>
    <b v="1"/>
    <n v="0"/>
    <n v="52.250338749606314"/>
    <x v="3"/>
    <n v="47.749661250393686"/>
    <n v="0.80397277260026034"/>
    <n v="45.000396210727317"/>
    <n v="0.40160951469670264"/>
    <n v="3"/>
    <b v="1"/>
    <n v="0"/>
    <n v="9.544964784027804E-2"/>
    <n v="5.3425589987268607"/>
    <n v="0.3189081358327237"/>
    <n v="3"/>
  </r>
  <r>
    <n v="68861"/>
    <s v="68861"/>
    <s v="68"/>
    <s v="COLOMBIA"/>
    <s v="SANTANDER"/>
    <s v="VÉLEZ"/>
    <x v="5"/>
    <n v="0"/>
    <n v="0"/>
    <n v="0"/>
    <n v="65.540000000000006"/>
    <n v="65.545133333333297"/>
    <n v="59.72"/>
    <n v="59.32"/>
    <n v="52.764478850387569"/>
    <n v="61.132023546160482"/>
    <n v="63.322432128142239"/>
    <n v="60.679761188838754"/>
    <s v="2. Riesgo (&gt;=40 y &lt;60)"/>
    <s v="3. Vulnerable (&gt;=60 y &lt;70)"/>
    <s v="3. Vulnerable (&gt;=60 y &lt;70)"/>
    <s v="3. Vulnerable (&gt;=60 y &lt;70)"/>
    <n v="62.531283333333327"/>
    <n v="59.474673928382259"/>
    <n v="61.002978630857797"/>
    <n v="52.393966164310548"/>
    <x v="2"/>
    <n v="47.606033835689452"/>
    <n v="0.81759069605862034"/>
    <n v="49.875467760452167"/>
    <n v="0.45326351614277077"/>
    <n v="3"/>
    <b v="1"/>
    <n v="0"/>
    <n v="0.81759069605862023"/>
    <n v="49.87546776045216"/>
    <n v="0.42824949666575979"/>
    <n v="3"/>
    <b v="1"/>
    <n v="0"/>
    <n v="52.393966164310548"/>
    <x v="3"/>
    <n v="47.606033835689452"/>
    <n v="0.80397277260026034"/>
    <n v="49.044733866725174"/>
    <n v="0.45326837285579408"/>
    <n v="3"/>
    <b v="1"/>
    <n v="0"/>
    <n v="9.5162542428538263E-2"/>
    <n v="5.8051985422262184"/>
    <n v="0.34652402447616987"/>
    <n v="3"/>
  </r>
  <r>
    <n v="25862"/>
    <s v="25862"/>
    <s v="25"/>
    <s v="COLOMBIA"/>
    <s v="CUNDINAMARCA"/>
    <s v="VERGARA"/>
    <x v="5"/>
    <n v="0"/>
    <n v="0"/>
    <n v="0"/>
    <n v="49.38"/>
    <n v="50.937433333333303"/>
    <n v="45.07"/>
    <n v="61.25"/>
    <n v="60.228396853165052"/>
    <n v="53.2741783365747"/>
    <n v="51.872269246191493"/>
    <n v="58.431159810945665"/>
    <s v="3. Vulnerable (&gt;=60 y &lt;70)"/>
    <s v="2. Riesgo (&gt;=40 y &lt;60)"/>
    <s v="2. Riesgo (&gt;=40 y &lt;60)"/>
    <s v="2. Riesgo (&gt;=40 y &lt;60)"/>
    <n v="51.659358333333323"/>
    <n v="55.951501061719235"/>
    <n v="53.805429697526279"/>
    <n v="52.608358015557513"/>
    <x v="2"/>
    <n v="47.391641984442487"/>
    <n v="0.81759069605862034"/>
    <n v="43.990818718133674"/>
    <n v="0.37965275962814643"/>
    <n v="3"/>
    <b v="1"/>
    <n v="0"/>
    <n v="0.81759069605862023"/>
    <n v="43.990818718133667"/>
    <n v="0.35870105893832488"/>
    <n v="3"/>
    <b v="1"/>
    <n v="0"/>
    <n v="52.608358015557513"/>
    <x v="3"/>
    <n v="47.391641984442487"/>
    <n v="0.80397277260026034"/>
    <n v="43.258100494868593"/>
    <n v="0.37935494178208495"/>
    <n v="3"/>
    <b v="1"/>
    <n v="0"/>
    <n v="9.4733981760975847E-2"/>
    <n v="5.0972025956069222"/>
    <n v="0.3042623166377933"/>
    <n v="3"/>
  </r>
  <r>
    <n v="54599"/>
    <s v="54599"/>
    <s v="54"/>
    <s v="COLOMBIA"/>
    <s v="NORTE DE SANTANDER"/>
    <s v="RAGONVALIA"/>
    <x v="5"/>
    <n v="0"/>
    <n v="0"/>
    <n v="0"/>
    <n v="58.96"/>
    <n v="61.0456"/>
    <n v="62.4"/>
    <n v="66.17"/>
    <n v="52.135517088682676"/>
    <n v="69.383620594358746"/>
    <n v="62.312259777867062"/>
    <n v="50.910213651722287"/>
    <s v="2. Riesgo (&gt;=40 y &lt;60)"/>
    <s v="3. Vulnerable (&gt;=60 y &lt;70)"/>
    <s v="3. Vulnerable (&gt;=60 y &lt;70)"/>
    <s v="2. Riesgo (&gt;=40 y &lt;60)"/>
    <n v="62.143900000000002"/>
    <n v="58.685402778157695"/>
    <n v="60.414651389078848"/>
    <n v="52.243015794162808"/>
    <x v="2"/>
    <n v="47.756984205837192"/>
    <n v="0.81759069605862034"/>
    <n v="49.39445688133587"/>
    <n v="0.44724657707828491"/>
    <n v="3"/>
    <b v="1"/>
    <n v="0"/>
    <n v="0.81759069605862023"/>
    <n v="49.394456881335863"/>
    <n v="0.42256461130864459"/>
    <n v="3"/>
    <b v="1"/>
    <n v="0"/>
    <n v="52.243015794162808"/>
    <x v="3"/>
    <n v="47.756984205837192"/>
    <n v="0.80397277260026034"/>
    <n v="48.571734782955893"/>
    <n v="0.44722669319000741"/>
    <n v="3"/>
    <b v="1"/>
    <n v="0"/>
    <n v="9.5464286132989004E-2"/>
    <n v="5.7674415668318044"/>
    <n v="0.34427023436536641"/>
    <n v="3"/>
  </r>
  <r>
    <n v="23466"/>
    <s v="23466"/>
    <s v="23"/>
    <s v="COLOMBIA"/>
    <s v="CÓRDOBA"/>
    <s v="MONTELÍBANO"/>
    <x v="5"/>
    <n v="0"/>
    <n v="0"/>
    <n v="1"/>
    <n v="65.34"/>
    <n v="67.348366666666706"/>
    <n v="59.05"/>
    <n v="58.79"/>
    <n v="50.146533643148004"/>
    <n v="59.327135374825872"/>
    <n v="72.412328982565938"/>
    <n v="61.814259547083601"/>
    <s v="2. Riesgo (&gt;=40 y &lt;60)"/>
    <s v="2. Riesgo (&gt;=40 y &lt;60)"/>
    <s v="4. Solvente (&gt;=70 y &lt;80)"/>
    <s v="3. Vulnerable (&gt;=60 y &lt;70)"/>
    <n v="62.632091666666675"/>
    <n v="60.925064386905852"/>
    <n v="61.778578026786263"/>
    <n v="52.291440568420747"/>
    <x v="2"/>
    <n v="47.708559431579253"/>
    <n v="0.81759069605862034"/>
    <n v="50.509590610431971"/>
    <n v="0.46119572456752878"/>
    <n v="3"/>
    <b v="1"/>
    <n v="0"/>
    <n v="0.81759069605862023"/>
    <n v="50.509590610431964"/>
    <n v="0.43574395440252706"/>
    <n v="3"/>
    <b v="1"/>
    <n v="0"/>
    <n v="52.291440568420747"/>
    <x v="3"/>
    <n v="47.708559431579253"/>
    <n v="0.80397277260026034"/>
    <n v="49.668294663496873"/>
    <n v="0.46123319713455513"/>
    <n v="3"/>
    <b v="1"/>
    <n v="0"/>
    <n v="9.5367486961463424E-2"/>
    <n v="5.8916677344672896"/>
    <n v="0.35168554518396794"/>
    <n v="3"/>
  </r>
  <r>
    <n v="5411"/>
    <s v="05411"/>
    <s v="50"/>
    <s v="COLOMBIA"/>
    <s v="ANTIOQUIA"/>
    <s v="LIBORINA"/>
    <x v="5"/>
    <n v="0"/>
    <n v="0"/>
    <n v="0"/>
    <n v="62.12"/>
    <n v="63.894799999999996"/>
    <n v="68.98"/>
    <n v="52.76"/>
    <n v="48.92396152127661"/>
    <n v="49.697234504710735"/>
    <n v="44.762920654759654"/>
    <n v="54.825490750411404"/>
    <s v="2. Riesgo (&gt;=40 y &lt;60)"/>
    <s v="2. Riesgo (&gt;=40 y &lt;60)"/>
    <s v="2. Riesgo (&gt;=40 y &lt;60)"/>
    <s v="2. Riesgo (&gt;=40 y &lt;60)"/>
    <n v="61.938699999999997"/>
    <n v="49.552401857789604"/>
    <n v="55.745550928894801"/>
    <n v="52.559723345228512"/>
    <x v="2"/>
    <n v="47.440276654771488"/>
    <n v="0.81759069605862034"/>
    <n v="45.577043786126367"/>
    <n v="0.39949476318990856"/>
    <n v="3"/>
    <b v="1"/>
    <n v="0"/>
    <n v="0.81759069605862023"/>
    <n v="45.57704378612636"/>
    <n v="0.37744805210132265"/>
    <n v="3"/>
    <b v="1"/>
    <n v="0"/>
    <n v="52.559723345228512"/>
    <x v="3"/>
    <n v="47.440276654771488"/>
    <n v="0.80397277260026034"/>
    <n v="44.817905140432572"/>
    <n v="0.39927853219288623"/>
    <n v="3"/>
    <b v="1"/>
    <n v="0"/>
    <n v="9.4831200506285643E-2"/>
    <n v="5.2864175174713806"/>
    <n v="0.31555693743990493"/>
    <n v="3"/>
  </r>
  <r>
    <n v="5145"/>
    <s v="05145"/>
    <s v="50"/>
    <s v="COLOMBIA"/>
    <s v="ANTIOQUIA"/>
    <s v="CARAMANTA"/>
    <x v="6"/>
    <n v="0"/>
    <n v="0"/>
    <n v="0"/>
    <n v="44.79"/>
    <n v="45.513599999999997"/>
    <n v="32.99"/>
    <n v="31.25"/>
    <n v="49.228232660238014"/>
    <n v="57.490397893224738"/>
    <n v="50.526182927806033"/>
    <n v="72.892178227043345"/>
    <s v="2. Riesgo (&gt;=40 y &lt;60)"/>
    <s v="2. Riesgo (&gt;=40 y &lt;60)"/>
    <s v="2. Riesgo (&gt;=40 y &lt;60)"/>
    <s v="4. Solvente (&gt;=70 y &lt;80)"/>
    <n v="38.635899999999999"/>
    <n v="57.534247927078042"/>
    <n v="48.085073963539017"/>
    <n v="52.3200179350209"/>
    <x v="2"/>
    <n v="47.6799820649791"/>
    <n v="0.81759069605862034"/>
    <n v="39.313909091880106"/>
    <n v="0.32114955013115076"/>
    <n v="4"/>
    <b v="1"/>
    <n v="0"/>
    <n v="0.81759069605862023"/>
    <n v="39.313909091880099"/>
    <n v="0.30342643583689638"/>
    <n v="4"/>
    <b v="1"/>
    <n v="0"/>
    <n v="52.3200179350209"/>
    <x v="3"/>
    <n v="47.6799820649791"/>
    <n v="0.80397277260026034"/>
    <n v="38.659090235155055"/>
    <n v="0.32061117731760924"/>
    <n v="4"/>
    <b v="1"/>
    <n v="0"/>
    <n v="9.5310361957709297E-2"/>
    <n v="4.5830058042281268"/>
    <n v="0.27356887174951849"/>
    <n v="4"/>
  </r>
  <r>
    <n v="68418"/>
    <s v="68418"/>
    <s v="68"/>
    <s v="COLOMBIA"/>
    <s v="SANTANDER"/>
    <s v="LOS SANTOS"/>
    <x v="5"/>
    <n v="0"/>
    <n v="0"/>
    <n v="0"/>
    <n v="57.53"/>
    <n v="59.292999999999999"/>
    <n v="47.14"/>
    <n v="45.97"/>
    <n v="58.638500612337644"/>
    <n v="61.29347274146285"/>
    <n v="69.599037578060091"/>
    <n v="65.028481406693828"/>
    <s v="2. Riesgo (&gt;=40 y &lt;60)"/>
    <s v="3. Vulnerable (&gt;=60 y &lt;70)"/>
    <s v="3. Vulnerable (&gt;=60 y &lt;70)"/>
    <s v="3. Vulnerable (&gt;=60 y &lt;70)"/>
    <n v="52.483250000000005"/>
    <n v="63.639873084638602"/>
    <n v="58.061561542319303"/>
    <n v="52.418007201652642"/>
    <x v="2"/>
    <n v="47.581992798347358"/>
    <n v="0.81759069605862034"/>
    <n v="47.470592515635261"/>
    <n v="0.42318106180756387"/>
    <n v="3"/>
    <b v="1"/>
    <n v="0"/>
    <n v="0.81759069605862023"/>
    <n v="47.470592515635254"/>
    <n v="0.39982718719520188"/>
    <n v="3"/>
    <b v="1"/>
    <n v="0"/>
    <n v="52.418007201652642"/>
    <x v="3"/>
    <n v="47.581992798347358"/>
    <n v="0.80397277260026034"/>
    <n v="46.679914614679099"/>
    <n v="0.42306222472863048"/>
    <n v="3"/>
    <b v="1"/>
    <n v="0"/>
    <n v="9.5114485364091575E-2"/>
    <n v="5.5224955455332321"/>
    <n v="0.3296489116901119"/>
    <n v="3"/>
  </r>
  <r>
    <n v="15466"/>
    <s v="15466"/>
    <s v="15"/>
    <s v="COLOMBIA"/>
    <s v="BOYACÁ"/>
    <s v="MONGUÍ"/>
    <x v="5"/>
    <n v="0"/>
    <n v="0"/>
    <n v="0"/>
    <n v="57.72"/>
    <n v="61.044899999999998"/>
    <n v="49.02"/>
    <n v="49.25"/>
    <n v="61.155844395787824"/>
    <n v="64.926707823682676"/>
    <n v="55.604749108082643"/>
    <n v="68.264966397715227"/>
    <s v="3. Vulnerable (&gt;=60 y &lt;70)"/>
    <s v="3. Vulnerable (&gt;=60 y &lt;70)"/>
    <s v="2. Riesgo (&gt;=40 y &lt;60)"/>
    <s v="3. Vulnerable (&gt;=60 y &lt;70)"/>
    <n v="54.258724999999998"/>
    <n v="62.488066931317093"/>
    <n v="58.373395965658545"/>
    <n v="52.426984282908748"/>
    <x v="2"/>
    <n v="47.573015717091252"/>
    <n v="0.81759069605862034"/>
    <n v="47.725545438868231"/>
    <n v="0.42637025413149554"/>
    <n v="3"/>
    <b v="1"/>
    <n v="0"/>
    <n v="0.81759069605862023"/>
    <n v="47.725545438868224"/>
    <n v="0.40284037921011767"/>
    <n v="3"/>
    <b v="1"/>
    <n v="0"/>
    <n v="52.426984282908748"/>
    <x v="3"/>
    <n v="47.573015717091252"/>
    <n v="0.80397277260026034"/>
    <n v="46.930621000603352"/>
    <n v="0.42626453045373047"/>
    <n v="3"/>
    <b v="1"/>
    <n v="0"/>
    <n v="9.5096540540566321E-2"/>
    <n v="5.5511080159387785"/>
    <n v="0.33135684783097175"/>
    <n v="3"/>
  </r>
  <r>
    <n v="47555"/>
    <s v="47555"/>
    <s v="47"/>
    <s v="COLOMBIA"/>
    <s v="MAGDALENA"/>
    <s v="PLATO"/>
    <x v="5"/>
    <n v="0"/>
    <n v="0"/>
    <n v="0"/>
    <n v="53.02"/>
    <n v="57.006700000000002"/>
    <n v="59.78"/>
    <n v="62.59"/>
    <n v="23.107061236561343"/>
    <n v="59.599630227159267"/>
    <n v="50.250061368484296"/>
    <n v="57.200103765508892"/>
    <s v="1. Deterioro (&lt;40)"/>
    <s v="2. Riesgo (&gt;=40 y &lt;60)"/>
    <s v="2. Riesgo (&gt;=40 y &lt;60)"/>
    <s v="2. Riesgo (&gt;=40 y &lt;60)"/>
    <n v="58.099175000000002"/>
    <n v="47.539214149428446"/>
    <n v="52.819194574714224"/>
    <n v="52.503780677972742"/>
    <x v="2"/>
    <n v="47.496219322027258"/>
    <n v="0.81759069605862034"/>
    <n v="43.184482057596306"/>
    <n v="0.36956633796378052"/>
    <n v="3"/>
    <b v="1"/>
    <n v="0"/>
    <n v="0.81759069605862023"/>
    <n v="43.184482057596298"/>
    <n v="0.34917127141498328"/>
    <n v="3"/>
    <b v="1"/>
    <n v="0"/>
    <n v="52.503780677972742"/>
    <x v="3"/>
    <n v="47.496219322027258"/>
    <n v="0.80397277260026034"/>
    <n v="42.465194308745623"/>
    <n v="0.36922704651556409"/>
    <n v="3"/>
    <b v="1"/>
    <n v="0"/>
    <n v="9.4943027642834493E-2"/>
    <n v="5.014814250579346"/>
    <n v="0.29934438994136398"/>
    <n v="3"/>
  </r>
  <r>
    <n v="50606"/>
    <s v="50606"/>
    <s v="50"/>
    <s v="COLOMBIA"/>
    <s v="META"/>
    <s v="RESTREPO"/>
    <x v="4"/>
    <n v="0"/>
    <n v="0"/>
    <n v="0"/>
    <n v="63.8"/>
    <n v="70.9369333333333"/>
    <n v="66.98"/>
    <n v="65.63"/>
    <n v="73.757359542397708"/>
    <n v="57.794645879929234"/>
    <n v="63.547959058840163"/>
    <n v="66.581362633635152"/>
    <s v="4. Solvente (&gt;=70 y &lt;80)"/>
    <s v="2. Riesgo (&gt;=40 y &lt;60)"/>
    <s v="3. Vulnerable (&gt;=60 y &lt;70)"/>
    <s v="3. Vulnerable (&gt;=60 y &lt;70)"/>
    <n v="66.836733333333328"/>
    <n v="65.420331778700557"/>
    <n v="66.12853255601695"/>
    <n v="52.697062719803689"/>
    <x v="2"/>
    <n v="47.302937280196311"/>
    <n v="0.81759069605862034"/>
    <n v="54.066072961809034"/>
    <n v="0.50568356989749097"/>
    <n v="2"/>
    <b v="1"/>
    <n v="0"/>
    <n v="0.81759069605862023"/>
    <n v="54.066072961809027"/>
    <n v="0.47777667199786833"/>
    <n v="2"/>
    <b v="1"/>
    <n v="0"/>
    <n v="52.697062719803689"/>
    <x v="3"/>
    <n v="47.302937280196311"/>
    <n v="0.80397277260026034"/>
    <n v="53.165539667047526"/>
    <n v="0.50590396870529308"/>
    <n v="2"/>
    <b v="1"/>
    <n v="0"/>
    <n v="9.4556664633265258E-2"/>
    <n v="6.252893475589258"/>
    <n v="0.37324783916021653"/>
    <n v="3"/>
  </r>
  <r>
    <n v="25322"/>
    <s v="25322"/>
    <s v="25"/>
    <s v="COLOMBIA"/>
    <s v="CUNDINAMARCA"/>
    <s v="GUASCA"/>
    <x v="4"/>
    <n v="0"/>
    <n v="0"/>
    <n v="0"/>
    <n v="63.43"/>
    <n v="70.499133333333305"/>
    <n v="74.2"/>
    <n v="82.08"/>
    <n v="58.780531277949834"/>
    <n v="63.055107371305461"/>
    <n v="61.900397618212949"/>
    <n v="14.889938837999745"/>
    <s v="2. Riesgo (&gt;=40 y &lt;60)"/>
    <s v="3. Vulnerable (&gt;=60 y &lt;70)"/>
    <s v="3. Vulnerable (&gt;=60 y &lt;70)"/>
    <s v="1. Deterioro (&lt;40)"/>
    <n v="72.552283333333321"/>
    <n v="49.656493776367"/>
    <n v="61.104388554850161"/>
    <n v="52.711222196196793"/>
    <x v="2"/>
    <n v="47.288777803803207"/>
    <n v="0.81759069605862034"/>
    <n v="49.958379570796339"/>
    <n v="0.45430065549289023"/>
    <n v="3"/>
    <b v="0"/>
    <n v="1"/>
    <n v="0.81759069605862023"/>
    <n v="49.958379570796332"/>
    <n v="0.42922939994242465"/>
    <n v="3"/>
    <b v="0"/>
    <n v="1"/>
    <n v="52.711222196196793"/>
    <x v="3"/>
    <n v="47.288777803803207"/>
    <n v="0.80397277260026034"/>
    <n v="49.1262646844865"/>
    <n v="0.45430977674156531"/>
    <n v="3"/>
    <b v="0"/>
    <n v="1"/>
    <n v="9.4528360410786327E-2"/>
    <n v="5.7760976639936032"/>
    <n v="0.34478693428578172"/>
    <n v="3"/>
  </r>
  <r>
    <n v="23570"/>
    <s v="23570"/>
    <s v="23"/>
    <s v="COLOMBIA"/>
    <s v="CÓRDOBA"/>
    <s v="PUEBLO NUEVO"/>
    <x v="5"/>
    <n v="0"/>
    <n v="0"/>
    <n v="0"/>
    <n v="62.26"/>
    <n v="65.500699999999995"/>
    <n v="65.88"/>
    <n v="62.02"/>
    <n v="54.510592118280158"/>
    <n v="58.200341090340075"/>
    <n v="67.585112765141162"/>
    <n v="58.668357184156449"/>
    <s v="2. Riesgo (&gt;=40 y &lt;60)"/>
    <s v="2. Riesgo (&gt;=40 y &lt;60)"/>
    <s v="3. Vulnerable (&gt;=60 y &lt;70)"/>
    <s v="2. Riesgo (&gt;=40 y &lt;60)"/>
    <n v="63.915174999999998"/>
    <n v="59.741100789479461"/>
    <n v="61.828137894739726"/>
    <n v="52.536533289676882"/>
    <x v="2"/>
    <n v="47.463466710323118"/>
    <n v="0.81759069605862034"/>
    <n v="50.550110297368612"/>
    <n v="0.46170258313933016"/>
    <n v="3"/>
    <b v="1"/>
    <n v="0"/>
    <n v="0.81759069605862023"/>
    <n v="50.550110297368605"/>
    <n v="0.43622284123220584"/>
    <n v="3"/>
    <b v="1"/>
    <n v="0"/>
    <n v="52.536533289676882"/>
    <x v="3"/>
    <n v="47.463466710323118"/>
    <n v="0.80397277260026034"/>
    <n v="49.708139447945122"/>
    <n v="0.46174213982017365"/>
    <n v="3"/>
    <b v="1"/>
    <n v="0"/>
    <n v="9.4877556492440021E-2"/>
    <n v="5.8661026459305399"/>
    <n v="0.35015951342098761"/>
    <n v="3"/>
  </r>
  <r>
    <n v="17653"/>
    <s v="17653"/>
    <s v="17"/>
    <s v="COLOMBIA"/>
    <s v="CALDAS"/>
    <s v="SALAMINA"/>
    <x v="5"/>
    <n v="0"/>
    <n v="0"/>
    <n v="0"/>
    <n v="52.74"/>
    <n v="57.1995"/>
    <n v="57.03"/>
    <n v="59.25"/>
    <n v="48.481852957963852"/>
    <n v="50.064763547147777"/>
    <n v="48.96906494794456"/>
    <n v="55.004149430113131"/>
    <s v="2. Riesgo (&gt;=40 y &lt;60)"/>
    <s v="2. Riesgo (&gt;=40 y &lt;60)"/>
    <s v="2. Riesgo (&gt;=40 y &lt;60)"/>
    <s v="2. Riesgo (&gt;=40 y &lt;60)"/>
    <n v="56.554875000000003"/>
    <n v="50.629957720792326"/>
    <n v="53.592416360396165"/>
    <n v="52.414654946497741"/>
    <x v="2"/>
    <n v="47.585345053502259"/>
    <n v="0.81759069605862034"/>
    <n v="43.816660995559694"/>
    <n v="0.37747423009828956"/>
    <n v="3"/>
    <b v="1"/>
    <n v="0"/>
    <n v="0.81759069605862023"/>
    <n v="43.816660995559687"/>
    <n v="0.35664275479204804"/>
    <n v="3"/>
    <b v="1"/>
    <n v="0"/>
    <n v="52.414654946497741"/>
    <x v="3"/>
    <n v="47.585345053502259"/>
    <n v="0.80397277260026034"/>
    <n v="43.086843571615255"/>
    <n v="0.37716745451974265"/>
    <n v="3"/>
    <b v="1"/>
    <n v="0"/>
    <n v="9.5121186387002038E-2"/>
    <n v="5.0977742255470613"/>
    <n v="0.30429643838331627"/>
    <n v="3"/>
  </r>
  <r>
    <n v="15162"/>
    <s v="15162"/>
    <s v="15"/>
    <s v="COLOMBIA"/>
    <s v="BOYACÁ"/>
    <s v="CERINZA"/>
    <x v="5"/>
    <n v="0"/>
    <n v="0"/>
    <n v="0"/>
    <n v="57.77"/>
    <n v="60.259333333333302"/>
    <n v="51.21"/>
    <n v="55.51"/>
    <n v="53.525398947363378"/>
    <n v="62.349018727422667"/>
    <n v="45.868851854087055"/>
    <n v="53.849602007042073"/>
    <s v="2. Riesgo (&gt;=40 y &lt;60)"/>
    <s v="3. Vulnerable (&gt;=60 y &lt;70)"/>
    <s v="2. Riesgo (&gt;=40 y &lt;60)"/>
    <s v="2. Riesgo (&gt;=40 y &lt;60)"/>
    <n v="56.187333333333328"/>
    <n v="53.898217883978795"/>
    <n v="55.042775608656058"/>
    <n v="52.410557228279387"/>
    <x v="2"/>
    <n v="47.589442771720613"/>
    <n v="0.81759069605862034"/>
    <n v="45.002461222879553"/>
    <n v="0.39230734099080217"/>
    <n v="3"/>
    <b v="1"/>
    <n v="0"/>
    <n v="0.81759069605862023"/>
    <n v="45.002461222879553"/>
    <n v="0.37065727845758195"/>
    <n v="3"/>
    <b v="1"/>
    <n v="0"/>
    <n v="52.410557228279387"/>
    <x v="3"/>
    <n v="47.589442771720613"/>
    <n v="0.80397277260026034"/>
    <n v="44.252892917705196"/>
    <n v="0.39206155657050212"/>
    <n v="3"/>
    <b v="1"/>
    <n v="0"/>
    <n v="9.5129377560523462E-2"/>
    <n v="5.236184982855014"/>
    <n v="0.31255845600498283"/>
    <n v="3"/>
  </r>
  <r>
    <n v="52788"/>
    <s v="52788"/>
    <s v="52"/>
    <s v="COLOMBIA"/>
    <s v="NARIÑO"/>
    <s v="TANGUA"/>
    <x v="5"/>
    <n v="0"/>
    <n v="0"/>
    <n v="0"/>
    <n v="75.5"/>
    <n v="72.949633333333296"/>
    <n v="62.91"/>
    <n v="64.069999999999993"/>
    <n v="56.738178794677303"/>
    <n v="46.000040952950641"/>
    <n v="58.421047966732274"/>
    <n v="57.601414616152461"/>
    <s v="2. Riesgo (&gt;=40 y &lt;60)"/>
    <s v="2. Riesgo (&gt;=40 y &lt;60)"/>
    <s v="2. Riesgo (&gt;=40 y &lt;60)"/>
    <s v="2. Riesgo (&gt;=40 y &lt;60)"/>
    <n v="68.857408333333325"/>
    <n v="54.69017058262817"/>
    <n v="61.773789457980747"/>
    <n v="52.501301205279347"/>
    <x v="2"/>
    <n v="47.498698794720653"/>
    <n v="0.81759069605862034"/>
    <n v="50.505675521129142"/>
    <n v="0.4611467509272435"/>
    <n v="3"/>
    <b v="1"/>
    <n v="0"/>
    <n v="0.81759069605862023"/>
    <n v="50.505675521129135"/>
    <n v="0.43569768344522491"/>
    <n v="3"/>
    <b v="1"/>
    <n v="0"/>
    <n v="52.501301205279347"/>
    <x v="3"/>
    <n v="47.498698794720653"/>
    <n v="0.80397277260026034"/>
    <n v="49.664444784557517"/>
    <n v="0.46118402212322468"/>
    <n v="3"/>
    <b v="1"/>
    <n v="0"/>
    <n v="9.4947984008790134E-2"/>
    <n v="5.8652967736187245"/>
    <n v="0.3501114092752512"/>
    <n v="3"/>
  </r>
  <r>
    <n v="25793"/>
    <s v="25793"/>
    <s v="25"/>
    <s v="COLOMBIA"/>
    <s v="CUNDINAMARCA"/>
    <s v="TAUSA"/>
    <x v="5"/>
    <n v="0"/>
    <n v="0"/>
    <n v="0"/>
    <n v="69.23"/>
    <n v="69.519400000000005"/>
    <n v="61.49"/>
    <n v="64.489999999999995"/>
    <n v="61.09285463008483"/>
    <n v="53.71807599262096"/>
    <n v="57.60955953266842"/>
    <n v="68.313063961633077"/>
    <s v="3. Vulnerable (&gt;=60 y &lt;70)"/>
    <s v="2. Riesgo (&gt;=40 y &lt;60)"/>
    <s v="2. Riesgo (&gt;=40 y &lt;60)"/>
    <s v="3. Vulnerable (&gt;=60 y &lt;70)"/>
    <n v="66.18235"/>
    <n v="60.183388529251822"/>
    <n v="63.182869264625907"/>
    <n v="52.982086573147249"/>
    <x v="2"/>
    <n v="47.017913426852751"/>
    <n v="0.81759069605862034"/>
    <n v="51.657726061046304"/>
    <n v="0.47555768880587218"/>
    <n v="3"/>
    <b v="1"/>
    <n v="0"/>
    <n v="0.81759069605862023"/>
    <n v="51.657726061046297"/>
    <n v="0.44931333234086723"/>
    <n v="3"/>
    <b v="1"/>
    <n v="0"/>
    <n v="52.982086573147249"/>
    <x v="3"/>
    <n v="47.017913426852751"/>
    <n v="0.80397277260026034"/>
    <n v="50.797306583521063"/>
    <n v="0.47565421525848894"/>
    <n v="3"/>
    <b v="1"/>
    <n v="0"/>
    <n v="9.3986913440998993E-2"/>
    <n v="5.9383628645283508"/>
    <n v="0.35447287179726095"/>
    <n v="3"/>
  </r>
  <r>
    <n v="18001"/>
    <s v="18001"/>
    <s v="18"/>
    <s v="COLOMBIA"/>
    <s v="CAQUETÁ"/>
    <s v="FLORENCIA"/>
    <x v="5"/>
    <n v="0"/>
    <n v="1"/>
    <n v="1"/>
    <n v="62.59"/>
    <n v="65.388400000000004"/>
    <n v="60.78"/>
    <n v="66.239999999999995"/>
    <n v="43.576651570528846"/>
    <n v="42.262601973190861"/>
    <n v="47.216486881606073"/>
    <n v="54.489847755349743"/>
    <s v="2. Riesgo (&gt;=40 y &lt;60)"/>
    <s v="2. Riesgo (&gt;=40 y &lt;60)"/>
    <s v="2. Riesgo (&gt;=40 y &lt;60)"/>
    <s v="2. Riesgo (&gt;=40 y &lt;60)"/>
    <n v="63.749600000000001"/>
    <n v="46.886397045168877"/>
    <n v="55.317998522584439"/>
    <n v="52.647395623454194"/>
    <x v="2"/>
    <n v="47.352604376545806"/>
    <n v="0.81759069605862034"/>
    <n v="45.22748091664954"/>
    <n v="0.39512210016674987"/>
    <n v="3"/>
    <b v="1"/>
    <n v="0"/>
    <n v="0.81759069605862023"/>
    <n v="45.22748091664954"/>
    <n v="0.37331670097319258"/>
    <n v="3"/>
    <b v="1"/>
    <n v="0"/>
    <n v="52.647395623454194"/>
    <x v="3"/>
    <n v="47.352604376545806"/>
    <n v="0.80397277260026034"/>
    <n v="44.474164646899318"/>
    <n v="0.39488788954398768"/>
    <n v="3"/>
    <b v="1"/>
    <n v="0"/>
    <n v="9.4655947156568374E-2"/>
    <n v="5.2361775449608796"/>
    <n v="0.31255801202206129"/>
    <n v="3"/>
  </r>
  <r>
    <n v="15480"/>
    <s v="15480"/>
    <s v="15"/>
    <s v="COLOMBIA"/>
    <s v="BOYACÁ"/>
    <s v="MUZO"/>
    <x v="5"/>
    <n v="0"/>
    <n v="0"/>
    <n v="0"/>
    <n v="60.94"/>
    <n v="62.392766666666702"/>
    <n v="84.05"/>
    <n v="79.38"/>
    <n v="59.795165171741615"/>
    <n v="72.493093254907308"/>
    <n v="55.370548291090913"/>
    <n v="60.282940206648689"/>
    <s v="2. Riesgo (&gt;=40 y &lt;60)"/>
    <s v="4. Solvente (&gt;=70 y &lt;80)"/>
    <s v="2. Riesgo (&gt;=40 y &lt;60)"/>
    <s v="3. Vulnerable (&gt;=60 y &lt;70)"/>
    <n v="71.69069166666668"/>
    <n v="61.985436731097124"/>
    <n v="66.838064198881909"/>
    <n v="52.808137455243333"/>
    <x v="2"/>
    <n v="47.191862544756667"/>
    <n v="0.81759069605862034"/>
    <n v="54.646179431574609"/>
    <n v="0.51294009034440069"/>
    <n v="2"/>
    <b v="0"/>
    <n v="-1"/>
    <n v="0.81759069605862023"/>
    <n v="54.646179431574602"/>
    <n v="0.48463273060011208"/>
    <n v="2"/>
    <b v="0"/>
    <n v="-1"/>
    <n v="52.808137455243333"/>
    <x v="3"/>
    <n v="47.191862544756667"/>
    <n v="0.80397277260026034"/>
    <n v="53.735983789209286"/>
    <n v="0.513190326695393"/>
    <n v="2"/>
    <b v="0"/>
    <n v="-1"/>
    <n v="9.4334630715033466E-2"/>
    <n v="6.3051441039092238"/>
    <n v="0.37636678468380919"/>
    <n v="3"/>
  </r>
  <r>
    <n v="52720"/>
    <s v="52720"/>
    <s v="52"/>
    <s v="COLOMBIA"/>
    <s v="NARIÑO"/>
    <s v="SAPUYES"/>
    <x v="5"/>
    <n v="0"/>
    <n v="0"/>
    <n v="0"/>
    <n v="51.96"/>
    <n v="53.873033333333296"/>
    <n v="57.49"/>
    <n v="47.11"/>
    <n v="53.548006670188293"/>
    <n v="54.405518397141478"/>
    <n v="52.511314139588848"/>
    <n v="65.99240388329352"/>
    <s v="2. Riesgo (&gt;=40 y &lt;60)"/>
    <s v="2. Riesgo (&gt;=40 y &lt;60)"/>
    <s v="2. Riesgo (&gt;=40 y &lt;60)"/>
    <s v="3. Vulnerable (&gt;=60 y &lt;70)"/>
    <n v="52.608258333333325"/>
    <n v="56.614310772553033"/>
    <n v="54.611284552943175"/>
    <n v="52.661122236066937"/>
    <x v="2"/>
    <n v="47.338877763933063"/>
    <n v="0.81759069605862034"/>
    <n v="44.649678150296189"/>
    <n v="0.38789439662119479"/>
    <n v="3"/>
    <b v="1"/>
    <n v="0"/>
    <n v="0.81759069605862023"/>
    <n v="44.649678150296182"/>
    <n v="0.36648786896885716"/>
    <n v="3"/>
    <b v="1"/>
    <n v="0"/>
    <n v="52.661122236066937"/>
    <x v="3"/>
    <n v="47.338877763933063"/>
    <n v="0.80397277260026034"/>
    <n v="43.905985857291491"/>
    <n v="0.38763046694530184"/>
    <n v="3"/>
    <b v="1"/>
    <n v="0"/>
    <n v="9.4628508211335755E-2"/>
    <n v="5.1677843887497765"/>
    <n v="0.30847548640911127"/>
    <n v="3"/>
  </r>
  <r>
    <n v="54673"/>
    <s v="54673"/>
    <s v="54"/>
    <s v="COLOMBIA"/>
    <s v="NORTE DE SANTANDER"/>
    <s v="SAN CAYETANO"/>
    <x v="5"/>
    <n v="0"/>
    <n v="0"/>
    <n v="0"/>
    <n v="70.63"/>
    <n v="74.337800000000001"/>
    <n v="67.91"/>
    <n v="57.51"/>
    <n v="52.586181935289993"/>
    <n v="47.139521920399218"/>
    <n v="65.973832439754474"/>
    <n v="62.233306583823449"/>
    <s v="2. Riesgo (&gt;=40 y &lt;60)"/>
    <s v="2. Riesgo (&gt;=40 y &lt;60)"/>
    <s v="3. Vulnerable (&gt;=60 y &lt;70)"/>
    <s v="3. Vulnerable (&gt;=60 y &lt;70)"/>
    <n v="67.596950000000007"/>
    <n v="56.983210719816782"/>
    <n v="62.290080359908394"/>
    <n v="52.55177747348435"/>
    <x v="2"/>
    <n v="47.44822252651565"/>
    <n v="0.81759069605862034"/>
    <n v="50.9277901590049"/>
    <n v="0.46642696009630025"/>
    <n v="3"/>
    <b v="1"/>
    <n v="0"/>
    <n v="0.81759069605862023"/>
    <n v="50.927790159004893"/>
    <n v="0.44068649643900276"/>
    <n v="3"/>
    <b v="1"/>
    <n v="0"/>
    <n v="52.55177747348435"/>
    <x v="3"/>
    <n v="47.44822252651565"/>
    <n v="0.80397277260026034"/>
    <n v="50.079528612448577"/>
    <n v="0.46648594258907816"/>
    <n v="3"/>
    <b v="1"/>
    <n v="0"/>
    <n v="9.4847083983569114E-2"/>
    <n v="5.9080324832395004"/>
    <n v="0.35266239008648753"/>
    <n v="3"/>
  </r>
  <r>
    <n v="25095"/>
    <s v="25095"/>
    <s v="25"/>
    <s v="COLOMBIA"/>
    <s v="CUNDINAMARCA"/>
    <s v="BITUIMA"/>
    <x v="5"/>
    <n v="0"/>
    <n v="0"/>
    <n v="0"/>
    <n v="53.57"/>
    <n v="60.313466666666699"/>
    <n v="82.78"/>
    <n v="77.760000000000005"/>
    <n v="45.451816593733795"/>
    <n v="51.728833948277156"/>
    <n v="56.326676800230608"/>
    <n v="60.052447613000844"/>
    <s v="2. Riesgo (&gt;=40 y &lt;60)"/>
    <s v="2. Riesgo (&gt;=40 y &lt;60)"/>
    <s v="2. Riesgo (&gt;=40 y &lt;60)"/>
    <s v="3. Vulnerable (&gt;=60 y &lt;70)"/>
    <n v="68.605866666666671"/>
    <n v="53.389943738810601"/>
    <n v="60.997905202738636"/>
    <n v="52.95559771287467"/>
    <x v="2"/>
    <n v="47.04440228712533"/>
    <n v="0.81759069605862034"/>
    <n v="49.871319772824819"/>
    <n v="0.45321162918994373"/>
    <n v="3"/>
    <b v="1"/>
    <n v="0"/>
    <n v="0.81759069605862023"/>
    <n v="49.871319772824812"/>
    <n v="0.42820047317138993"/>
    <n v="3"/>
    <b v="1"/>
    <n v="0"/>
    <n v="52.95559771287467"/>
    <x v="3"/>
    <n v="47.04440228712533"/>
    <n v="0.80397277260026034"/>
    <n v="49.040654968653627"/>
    <n v="0.4532162725528901"/>
    <n v="3"/>
    <b v="1"/>
    <n v="0"/>
    <n v="9.4039863604801197E-2"/>
    <n v="5.7362346854441348"/>
    <n v="0.34240743259361883"/>
    <n v="3"/>
  </r>
  <r>
    <n v="54099"/>
    <s v="54099"/>
    <s v="54"/>
    <s v="COLOMBIA"/>
    <s v="NORTE DE SANTANDER"/>
    <s v="BOCHALEMA"/>
    <x v="5"/>
    <n v="0"/>
    <n v="0"/>
    <n v="0"/>
    <n v="60.58"/>
    <n v="65.432466666666699"/>
    <n v="70.62"/>
    <n v="50.77"/>
    <n v="57.468036277849365"/>
    <n v="52.693580438073823"/>
    <n v="59.415426912283841"/>
    <n v="60.990052172307834"/>
    <s v="2. Riesgo (&gt;=40 y &lt;60)"/>
    <s v="2. Riesgo (&gt;=40 y &lt;60)"/>
    <s v="2. Riesgo (&gt;=40 y &lt;60)"/>
    <s v="3. Vulnerable (&gt;=60 y &lt;70)"/>
    <n v="61.850616666666674"/>
    <n v="57.641773950128716"/>
    <n v="59.746195308397695"/>
    <n v="52.576851967646654"/>
    <x v="2"/>
    <n v="47.423148032353346"/>
    <n v="0.81759069605862034"/>
    <n v="48.847933409047151"/>
    <n v="0.44041014452999455"/>
    <n v="3"/>
    <b v="1"/>
    <n v="0"/>
    <n v="0.81759069605862023"/>
    <n v="48.847933409047144"/>
    <n v="0.41610545743120653"/>
    <n v="3"/>
    <b v="1"/>
    <n v="0"/>
    <n v="52.576851967646654"/>
    <x v="3"/>
    <n v="47.423148032353346"/>
    <n v="0.80397277260026034"/>
    <n v="48.034314294409164"/>
    <n v="0.44036215042650878"/>
    <n v="3"/>
    <b v="1"/>
    <n v="0"/>
    <n v="9.4796961080602038E-2"/>
    <n v="5.6637577513642245"/>
    <n v="0.33808113803256606"/>
    <n v="3"/>
  </r>
  <r>
    <n v="25851"/>
    <s v="25851"/>
    <s v="25"/>
    <s v="COLOMBIA"/>
    <s v="CUNDINAMARCA"/>
    <s v="ÚTICA"/>
    <x v="5"/>
    <n v="0"/>
    <n v="0"/>
    <n v="0"/>
    <n v="66.41"/>
    <n v="68.246333333333297"/>
    <n v="62.6"/>
    <n v="23.17"/>
    <n v="59.434505273124927"/>
    <n v="61.213013443395063"/>
    <n v="54.290844126341547"/>
    <n v="60.179320478704057"/>
    <s v="2. Riesgo (&gt;=40 y &lt;60)"/>
    <s v="3. Vulnerable (&gt;=60 y &lt;70)"/>
    <s v="2. Riesgo (&gt;=40 y &lt;60)"/>
    <s v="3. Vulnerable (&gt;=60 y &lt;70)"/>
    <n v="55.106583333333319"/>
    <n v="58.779420830391395"/>
    <n v="56.94300208186236"/>
    <n v="52.933832154697981"/>
    <x v="2"/>
    <n v="47.066167845302019"/>
    <n v="0.81759069605862034"/>
    <n v="46.556068707777314"/>
    <n v="0.41174133297022009"/>
    <n v="3"/>
    <b v="1"/>
    <n v="0"/>
    <n v="0.81759069605862023"/>
    <n v="46.556068707777307"/>
    <n v="0.38901877676262225"/>
    <n v="3"/>
    <b v="1"/>
    <n v="0"/>
    <n v="52.933832154697981"/>
    <x v="3"/>
    <n v="47.066167845302019"/>
    <n v="0.80397277260026034"/>
    <n v="45.780623263937279"/>
    <n v="0.41157545772667814"/>
    <n v="3"/>
    <b v="1"/>
    <n v="0"/>
    <n v="9.4083372078130847E-2"/>
    <n v="5.3573896521136355"/>
    <n v="0.31979340748360946"/>
    <n v="3"/>
  </r>
  <r>
    <n v="20550"/>
    <s v="20550"/>
    <s v="20"/>
    <s v="COLOMBIA"/>
    <s v="CESAR"/>
    <s v="PELAYA"/>
    <x v="4"/>
    <n v="0"/>
    <n v="0"/>
    <n v="0"/>
    <n v="64.55"/>
    <n v="71.645066666666693"/>
    <n v="69.36"/>
    <n v="89.41"/>
    <n v="53.426390903886755"/>
    <n v="50.096927366222275"/>
    <n v="53.014509731754302"/>
    <n v="62.022436497617107"/>
    <s v="2. Riesgo (&gt;=40 y &lt;60)"/>
    <s v="2. Riesgo (&gt;=40 y &lt;60)"/>
    <s v="2. Riesgo (&gt;=40 y &lt;60)"/>
    <s v="3. Vulnerable (&gt;=60 y &lt;70)"/>
    <n v="73.741266666666661"/>
    <n v="54.640066124870103"/>
    <n v="64.190666395768375"/>
    <n v="52.767769223294955"/>
    <x v="2"/>
    <n v="47.232230776705045"/>
    <n v="0.81759069605862034"/>
    <n v="52.481691618982957"/>
    <n v="0.48586462939409375"/>
    <n v="2"/>
    <b v="1"/>
    <n v="0"/>
    <n v="0.81759069605862023"/>
    <n v="52.48169161898295"/>
    <n v="0.45905146912414951"/>
    <n v="3"/>
    <b v="0"/>
    <n v="1"/>
    <n v="52.767769223294955"/>
    <x v="3"/>
    <n v="47.232230776705045"/>
    <n v="0.80397277260026034"/>
    <n v="51.607548037264259"/>
    <n v="0.48600353618411984"/>
    <n v="2"/>
    <b v="1"/>
    <n v="0"/>
    <n v="9.4415325183276944E-2"/>
    <n v="6.0605826414877191"/>
    <n v="0.36176841710453633"/>
    <n v="3"/>
  </r>
  <r>
    <n v="5138"/>
    <s v="05138"/>
    <s v="50"/>
    <s v="COLOMBIA"/>
    <s v="ANTIOQUIA"/>
    <s v="CAÑASGORDAS"/>
    <x v="4"/>
    <n v="0"/>
    <n v="0"/>
    <n v="0"/>
    <n v="73.760000000000005"/>
    <n v="72.985933333333307"/>
    <n v="74.63"/>
    <n v="64.290000000000006"/>
    <n v="50.074646853790917"/>
    <n v="56.487503442979964"/>
    <n v="54.765483448628025"/>
    <n v="71.422309023754082"/>
    <s v="2. Riesgo (&gt;=40 y &lt;60)"/>
    <s v="2. Riesgo (&gt;=40 y &lt;60)"/>
    <s v="2. Riesgo (&gt;=40 y &lt;60)"/>
    <s v="4. Solvente (&gt;=70 y &lt;80)"/>
    <n v="71.416483333333332"/>
    <n v="58.187485692288249"/>
    <n v="64.80198451281079"/>
    <n v="52.852097505465025"/>
    <x v="2"/>
    <n v="47.147902494534975"/>
    <n v="0.81759069605862034"/>
    <n v="52.981499623808908"/>
    <n v="0.49211670068716917"/>
    <n v="2"/>
    <b v="1"/>
    <n v="0"/>
    <n v="0.81759069605862023"/>
    <n v="52.981499623808901"/>
    <n v="0.46495851058904131"/>
    <n v="2"/>
    <b v="1"/>
    <n v="0"/>
    <n v="52.852097505465025"/>
    <x v="3"/>
    <n v="47.147902494534975"/>
    <n v="0.80397277260026034"/>
    <n v="52.099031158763623"/>
    <n v="0.49228131490110455"/>
    <n v="2"/>
    <b v="1"/>
    <n v="0"/>
    <n v="9.4246756346863636E-2"/>
    <n v="6.1073768451721095"/>
    <n v="0.36456165762248322"/>
    <n v="3"/>
  </r>
  <r>
    <n v="20250"/>
    <s v="20250"/>
    <s v="20"/>
    <s v="COLOMBIA"/>
    <s v="CESAR"/>
    <s v="EL PASO"/>
    <x v="4"/>
    <n v="0"/>
    <n v="0"/>
    <n v="0"/>
    <n v="73.510000000000005"/>
    <n v="71.152833333333305"/>
    <n v="54.35"/>
    <n v="46.73"/>
    <n v="61.335663857108884"/>
    <n v="54.692059758463827"/>
    <n v="46.624684439806323"/>
    <n v="59.016637550892533"/>
    <s v="3. Vulnerable (&gt;=60 y &lt;70)"/>
    <s v="2. Riesgo (&gt;=40 y &lt;60)"/>
    <s v="2. Riesgo (&gt;=40 y &lt;60)"/>
    <s v="2. Riesgo (&gt;=40 y &lt;60)"/>
    <n v="61.435708333333324"/>
    <n v="55.417261401567892"/>
    <n v="58.426484867450611"/>
    <n v="52.846050742826392"/>
    <x v="2"/>
    <n v="47.153949257173608"/>
    <n v="0.81759069605862034"/>
    <n v="47.768950431037396"/>
    <n v="0.42691320483035738"/>
    <n v="3"/>
    <b v="0"/>
    <n v="1"/>
    <n v="0.81759069605862023"/>
    <n v="47.768950431037389"/>
    <n v="0.40335336636928859"/>
    <n v="3"/>
    <b v="0"/>
    <n v="1"/>
    <n v="52.846050742826392"/>
    <x v="3"/>
    <n v="47.153949257173608"/>
    <n v="0.80397277260026034"/>
    <n v="46.973303032171422"/>
    <n v="0.42680971367092474"/>
    <n v="3"/>
    <b v="0"/>
    <n v="1"/>
    <n v="9.4258843581606619E-2"/>
    <n v="5.5072128981441333"/>
    <n v="0.32873665960443388"/>
    <n v="3"/>
  </r>
  <r>
    <n v="15814"/>
    <s v="15814"/>
    <s v="15"/>
    <s v="COLOMBIA"/>
    <s v="BOYACÁ"/>
    <s v="TOCA"/>
    <x v="4"/>
    <n v="0"/>
    <n v="0"/>
    <n v="0"/>
    <n v="78.52"/>
    <n v="80.220166666666699"/>
    <n v="65.59"/>
    <n v="69.069999999999993"/>
    <n v="62.918778701119045"/>
    <n v="71.521442118586378"/>
    <n v="73.866839883285792"/>
    <n v="68.914852903995197"/>
    <s v="3. Vulnerable (&gt;=60 y &lt;70)"/>
    <s v="4. Solvente (&gt;=70 y &lt;80)"/>
    <s v="4. Solvente (&gt;=70 y &lt;80)"/>
    <s v="3. Vulnerable (&gt;=60 y &lt;70)"/>
    <n v="73.350041666666669"/>
    <n v="69.305478401746598"/>
    <n v="71.327760034206634"/>
    <n v="53.014133888420822"/>
    <x v="2"/>
    <n v="46.985866111579178"/>
    <n v="0.81759069605862034"/>
    <n v="58.316912974669243"/>
    <n v="0.55885709765064195"/>
    <n v="2"/>
    <b v="1"/>
    <n v="0"/>
    <n v="0.81759069605862023"/>
    <n v="58.316912974669236"/>
    <n v="0.52801573974815474"/>
    <n v="2"/>
    <b v="1"/>
    <n v="0"/>
    <n v="53.014133888420822"/>
    <x v="3"/>
    <n v="46.985866111579178"/>
    <n v="0.80397277260026034"/>
    <n v="57.345576998067145"/>
    <n v="0.55929613670655065"/>
    <n v="2"/>
    <b v="1"/>
    <n v="0"/>
    <n v="9.3922852149735628E-2"/>
    <n v="6.6993066598646118"/>
    <n v="0.39989514365275075"/>
    <n v="2"/>
  </r>
  <r>
    <n v="5002"/>
    <s v="05002"/>
    <s v="50"/>
    <s v="COLOMBIA"/>
    <s v="ANTIOQUIA"/>
    <s v="ABEJORRAL"/>
    <x v="4"/>
    <n v="0"/>
    <n v="0"/>
    <n v="0"/>
    <n v="70.16"/>
    <n v="62.9072666666667"/>
    <n v="41.54"/>
    <n v="28.46"/>
    <n v="50.969921374242475"/>
    <n v="50.808558975151769"/>
    <n v="62.925519489100978"/>
    <n v="65.49887848289697"/>
    <s v="2. Riesgo (&gt;=40 y &lt;60)"/>
    <s v="2. Riesgo (&gt;=40 y &lt;60)"/>
    <s v="3. Vulnerable (&gt;=60 y &lt;70)"/>
    <s v="3. Vulnerable (&gt;=60 y &lt;70)"/>
    <n v="50.766816666666671"/>
    <n v="57.550719580348051"/>
    <n v="54.158768123507357"/>
    <n v="52.867193604631183"/>
    <x v="2"/>
    <n v="47.132806395368817"/>
    <n v="0.81759069605862034"/>
    <n v="44.279704927775796"/>
    <n v="0.38326642159600116"/>
    <n v="3"/>
    <b v="0"/>
    <n v="1"/>
    <n v="0.81759069605862023"/>
    <n v="44.279704927775796"/>
    <n v="0.36211529561023598"/>
    <n v="3"/>
    <b v="0"/>
    <n v="1"/>
    <n v="52.867193604631183"/>
    <x v="3"/>
    <n v="47.132806395368817"/>
    <n v="0.80397277260026034"/>
    <n v="43.54217496887081"/>
    <n v="0.38298346249606036"/>
    <n v="3"/>
    <b v="0"/>
    <n v="1"/>
    <n v="9.4216579853220767E-2"/>
    <n v="5.1026539016604984"/>
    <n v="0.30458771610494267"/>
    <n v="3"/>
  </r>
  <r>
    <n v="68179"/>
    <s v="68179"/>
    <s v="68"/>
    <s v="COLOMBIA"/>
    <s v="SANTANDER"/>
    <s v="CHIPATÁ"/>
    <x v="5"/>
    <n v="0"/>
    <n v="0"/>
    <n v="0"/>
    <n v="59.48"/>
    <n v="63.519166666666699"/>
    <n v="47.31"/>
    <n v="55.53"/>
    <n v="48.245620101317243"/>
    <n v="49.770634038337498"/>
    <n v="52.108862680768127"/>
    <n v="53.797399782593928"/>
    <s v="2. Riesgo (&gt;=40 y &lt;60)"/>
    <s v="2. Riesgo (&gt;=40 y &lt;60)"/>
    <s v="2. Riesgo (&gt;=40 y &lt;60)"/>
    <s v="2. Riesgo (&gt;=40 y &lt;60)"/>
    <n v="56.459791666666675"/>
    <n v="50.980629150754197"/>
    <n v="53.720210408710436"/>
    <n v="52.976713745172212"/>
    <x v="2"/>
    <n v="47.023286254827788"/>
    <n v="0.81759069605862034"/>
    <n v="43.92114422047311"/>
    <n v="0.37878120510625607"/>
    <n v="3"/>
    <b v="1"/>
    <n v="0"/>
    <n v="0.81759069605862023"/>
    <n v="43.921144220473103"/>
    <n v="0.35787760244552669"/>
    <n v="3"/>
    <b v="1"/>
    <n v="0"/>
    <n v="52.976713745172212"/>
    <x v="3"/>
    <n v="47.023286254827788"/>
    <n v="0.80397277260026034"/>
    <n v="43.189586506960296"/>
    <n v="0.37847980358040201"/>
    <n v="3"/>
    <b v="1"/>
    <n v="0"/>
    <n v="9.3997653507518736E-2"/>
    <n v="5.0495737243489653"/>
    <n v="0.30141925312678453"/>
    <n v="3"/>
  </r>
  <r>
    <n v="25398"/>
    <s v="25398"/>
    <s v="25"/>
    <s v="COLOMBIA"/>
    <s v="CUNDINAMARCA"/>
    <s v="LA PEÑA"/>
    <x v="5"/>
    <n v="0"/>
    <n v="0"/>
    <n v="0"/>
    <n v="75.81"/>
    <n v="81.224000000000004"/>
    <n v="80.47"/>
    <n v="82.5"/>
    <n v="65.958264133543253"/>
    <n v="63.431351270264429"/>
    <n v="59.59637057241126"/>
    <n v="66.070542141152742"/>
    <s v="3. Vulnerable (&gt;=60 y &lt;70)"/>
    <s v="3. Vulnerable (&gt;=60 y &lt;70)"/>
    <s v="2. Riesgo (&gt;=40 y &lt;60)"/>
    <s v="3. Vulnerable (&gt;=60 y &lt;70)"/>
    <n v="80.001000000000005"/>
    <n v="63.764132029342925"/>
    <n v="71.882566014671468"/>
    <n v="53.203967879101533"/>
    <x v="2"/>
    <n v="46.796032120898467"/>
    <n v="0.81759069605862034"/>
    <n v="58.77051718241497"/>
    <n v="0.56453120814563662"/>
    <n v="2"/>
    <b v="0"/>
    <n v="-1"/>
    <n v="0.81759069605862023"/>
    <n v="58.770517182414963"/>
    <n v="0.53337671603891357"/>
    <n v="2"/>
    <b v="0"/>
    <n v="-1"/>
    <n v="53.203967879101533"/>
    <x v="3"/>
    <n v="46.796032120898467"/>
    <n v="0.80397277260026034"/>
    <n v="57.791625900436664"/>
    <n v="0.56499357815171602"/>
    <n v="2"/>
    <b v="0"/>
    <n v="-1"/>
    <n v="9.3543381655409569E-2"/>
    <n v="6.7241383070805867"/>
    <n v="0.40137739482212281"/>
    <n v="2"/>
  </r>
  <r>
    <n v="15362"/>
    <s v="15362"/>
    <s v="15"/>
    <s v="COLOMBIA"/>
    <s v="BOYACÁ"/>
    <s v="IZA"/>
    <x v="5"/>
    <n v="0"/>
    <n v="0"/>
    <n v="0"/>
    <n v="62.04"/>
    <n v="64.556066666666695"/>
    <n v="47.7"/>
    <n v="43.65"/>
    <n v="54.911369170429317"/>
    <n v="51.44843084240361"/>
    <n v="54.031655262271414"/>
    <n v="60.983658835388184"/>
    <s v="2. Riesgo (&gt;=40 y &lt;60)"/>
    <s v="2. Riesgo (&gt;=40 y &lt;60)"/>
    <s v="2. Riesgo (&gt;=40 y &lt;60)"/>
    <s v="3. Vulnerable (&gt;=60 y &lt;70)"/>
    <n v="54.486516666666681"/>
    <n v="55.34377852762313"/>
    <n v="54.915147597144909"/>
    <n v="52.973505314153726"/>
    <x v="2"/>
    <n v="47.026494685846274"/>
    <n v="0.81759069605862034"/>
    <n v="44.898113748111577"/>
    <n v="0.39100206407406102"/>
    <n v="3"/>
    <b v="1"/>
    <n v="0"/>
    <n v="0.81759069605862023"/>
    <n v="44.89811374811157"/>
    <n v="0.36942403518364542"/>
    <n v="3"/>
    <b v="1"/>
    <n v="0"/>
    <n v="52.973505314153726"/>
    <x v="3"/>
    <n v="47.026494685846274"/>
    <n v="0.80397277260026034"/>
    <n v="44.15028347142912"/>
    <n v="0.39075091258332229"/>
    <n v="3"/>
    <b v="1"/>
    <n v="0"/>
    <n v="9.4004067031778688E-2"/>
    <n v="5.1622472157820303"/>
    <n v="0.30814496137244846"/>
    <n v="3"/>
  </r>
  <r>
    <n v="47703"/>
    <s v="47703"/>
    <s v="47"/>
    <s v="COLOMBIA"/>
    <s v="MAGDALENA"/>
    <s v="SAN ZENÓN"/>
    <x v="5"/>
    <n v="0"/>
    <n v="0"/>
    <n v="0"/>
    <n v="65.209999999999994"/>
    <n v="65.028766666666698"/>
    <n v="57.97"/>
    <n v="67.72"/>
    <n v="52.529019156714938"/>
    <n v="38.377113453507697"/>
    <n v="38.895290148192231"/>
    <n v="47.189358513344459"/>
    <s v="2. Riesgo (&gt;=40 y &lt;60)"/>
    <s v="1. Deterioro (&lt;40)"/>
    <s v="1. Deterioro (&lt;40)"/>
    <s v="2. Riesgo (&gt;=40 y &lt;60)"/>
    <n v="63.982191666666672"/>
    <n v="44.247695317939829"/>
    <n v="54.114943492303254"/>
    <n v="53.017991838252968"/>
    <x v="2"/>
    <n v="46.982008161747032"/>
    <n v="0.81759069605862034"/>
    <n v="44.243874317045126"/>
    <n v="0.38281821842478425"/>
    <n v="3"/>
    <b v="1"/>
    <n v="0"/>
    <n v="0.81759069605862023"/>
    <n v="44.243874317045119"/>
    <n v="0.36169182719585513"/>
    <n v="3"/>
    <b v="1"/>
    <n v="0"/>
    <n v="53.017991838252968"/>
    <x v="3"/>
    <n v="46.982008161747032"/>
    <n v="0.80397277260026034"/>
    <n v="43.506941158613465"/>
    <n v="0.38253341639177696"/>
    <n v="3"/>
    <b v="1"/>
    <n v="0"/>
    <n v="9.3915140263552119E-2"/>
    <n v="5.082212508433857"/>
    <n v="0.30336752806223027"/>
    <n v="3"/>
  </r>
  <r>
    <n v="68684"/>
    <s v="68684"/>
    <s v="68"/>
    <s v="COLOMBIA"/>
    <s v="SANTANDER"/>
    <s v="SAN JOSÉ DE MIRANDA"/>
    <x v="5"/>
    <n v="0"/>
    <n v="0"/>
    <n v="0"/>
    <n v="51.49"/>
    <n v="55.7329333333333"/>
    <n v="25.54"/>
    <n v="32.68"/>
    <n v="51.602327686069543"/>
    <n v="60.957646090656446"/>
    <n v="53.945132767157133"/>
    <n v="52.719987952656602"/>
    <s v="2. Riesgo (&gt;=40 y &lt;60)"/>
    <s v="3. Vulnerable (&gt;=60 y &lt;70)"/>
    <s v="2. Riesgo (&gt;=40 y &lt;60)"/>
    <s v="2. Riesgo (&gt;=40 y &lt;60)"/>
    <n v="41.360733333333329"/>
    <n v="54.806273624134931"/>
    <n v="48.08350347873413"/>
    <n v="52.977909492122279"/>
    <x v="2"/>
    <n v="47.022090507877721"/>
    <n v="0.81759069605862034"/>
    <n v="39.312625078115332"/>
    <n v="0.32113348847243151"/>
    <n v="4"/>
    <b v="0"/>
    <n v="1"/>
    <n v="0.81759069605862023"/>
    <n v="39.312625078115325"/>
    <n v="0.3034112605646383"/>
    <n v="4"/>
    <b v="0"/>
    <n v="1"/>
    <n v="52.977909492122279"/>
    <x v="3"/>
    <n v="47.022090507877721"/>
    <n v="0.80397277260026034"/>
    <n v="38.657827608132145"/>
    <n v="0.32059504961615787"/>
    <n v="4"/>
    <b v="0"/>
    <n v="1"/>
    <n v="9.3995263257571363E-2"/>
    <n v="4.5196215678299634"/>
    <n v="0.26978533867562338"/>
    <n v="4"/>
  </r>
  <r>
    <n v="47318"/>
    <s v="47318"/>
    <s v="47"/>
    <s v="COLOMBIA"/>
    <s v="MAGDALENA"/>
    <s v="GUAMAL"/>
    <x v="6"/>
    <n v="0"/>
    <n v="0"/>
    <n v="0"/>
    <n v="29.87"/>
    <n v="33.874699999999997"/>
    <n v="28.13"/>
    <n v="25.58"/>
    <n v="46.077081955786923"/>
    <n v="45.484579145924499"/>
    <n v="33.348024299128333"/>
    <n v="41.908971907634793"/>
    <s v="2. Riesgo (&gt;=40 y &lt;60)"/>
    <s v="2. Riesgo (&gt;=40 y &lt;60)"/>
    <s v="1. Deterioro (&lt;40)"/>
    <s v="2. Riesgo (&gt;=40 y &lt;60)"/>
    <n v="29.363674999999997"/>
    <n v="41.704664327118635"/>
    <n v="35.534169663559318"/>
    <n v="53.022231957990599"/>
    <x v="2"/>
    <n v="46.977768042009401"/>
    <n v="0.81759069605862034"/>
    <n v="29.052406509094574"/>
    <n v="0.19278896946379268"/>
    <n v="4"/>
    <b v="1"/>
    <n v="0"/>
    <n v="0.81759069605862023"/>
    <n v="29.05240650909457"/>
    <n v="0.1821496242145686"/>
    <n v="4"/>
    <b v="1"/>
    <n v="0"/>
    <n v="53.022231957990599"/>
    <x v="3"/>
    <n v="46.977768042009401"/>
    <n v="0.80397277260026034"/>
    <n v="28.568504906459847"/>
    <n v="0.19172280038789849"/>
    <n v="4"/>
    <b v="1"/>
    <n v="0"/>
    <n v="9.3906664435134513E-2"/>
    <n v="3.3368953465770015"/>
    <n v="0.19918602203538668"/>
    <n v="4"/>
  </r>
  <r>
    <n v="25320"/>
    <s v="25320"/>
    <s v="25"/>
    <s v="COLOMBIA"/>
    <s v="CUNDINAMARCA"/>
    <s v="GUADUAS"/>
    <x v="5"/>
    <n v="0"/>
    <n v="0"/>
    <n v="0"/>
    <n v="50.89"/>
    <n v="58.783799999999999"/>
    <n v="70.83"/>
    <n v="69.72"/>
    <n v="60.877840541553795"/>
    <n v="55.178059982476924"/>
    <n v="67.201338863109498"/>
    <n v="61.843873951850021"/>
    <s v="3. Vulnerable (&gt;=60 y &lt;70)"/>
    <s v="2. Riesgo (&gt;=40 y &lt;60)"/>
    <s v="3. Vulnerable (&gt;=60 y &lt;70)"/>
    <s v="3. Vulnerable (&gt;=60 y &lt;70)"/>
    <n v="62.555950000000003"/>
    <n v="61.275278334747554"/>
    <n v="61.915614167373775"/>
    <n v="53.218592379462329"/>
    <x v="2"/>
    <n v="46.781407620537671"/>
    <n v="0.81759069605862034"/>
    <n v="50.621630084000103"/>
    <n v="0.46259722028112887"/>
    <n v="3"/>
    <b v="1"/>
    <n v="0"/>
    <n v="0.81759069605862023"/>
    <n v="50.621630084000095"/>
    <n v="0.43706810649629368"/>
    <n v="3"/>
    <b v="1"/>
    <n v="0"/>
    <n v="53.218592379462329"/>
    <x v="3"/>
    <n v="46.781407620537671"/>
    <n v="0.80397277260026034"/>
    <n v="49.778467989391451"/>
    <n v="0.46264045555346156"/>
    <n v="3"/>
    <b v="1"/>
    <n v="0"/>
    <n v="9.3514147868766398E-2"/>
    <n v="5.7899858986332786"/>
    <n v="0.34561595105845599"/>
    <n v="3"/>
  </r>
  <r>
    <n v="52835"/>
    <s v="52835"/>
    <s v="52"/>
    <s v="COLOMBIA"/>
    <s v="NARIÑO"/>
    <s v="SAN ANDRÉS DE TUMACO"/>
    <x v="5"/>
    <n v="0"/>
    <n v="0"/>
    <n v="1"/>
    <n v="51.22"/>
    <n v="54.262500000000003"/>
    <n v="66.319999999999993"/>
    <n v="56.42"/>
    <n v="47.022206563450446"/>
    <n v="51.638476144813851"/>
    <n v="48.124083792940155"/>
    <n v="52.120638402251089"/>
    <s v="2. Riesgo (&gt;=40 y &lt;60)"/>
    <s v="2. Riesgo (&gt;=40 y &lt;60)"/>
    <s v="2. Riesgo (&gt;=40 y &lt;60)"/>
    <s v="2. Riesgo (&gt;=40 y &lt;60)"/>
    <n v="57.055625000000006"/>
    <n v="49.72635122586388"/>
    <n v="53.390988112931943"/>
    <n v="53.055993200490384"/>
    <x v="2"/>
    <n v="46.944006799509616"/>
    <n v="0.81759069605862034"/>
    <n v="43.651975134509549"/>
    <n v="0.37541418357181272"/>
    <n v="3"/>
    <b v="1"/>
    <n v="0"/>
    <n v="0.81759069605862023"/>
    <n v="43.651975134509549"/>
    <n v="0.35469639498886052"/>
    <n v="3"/>
    <b v="1"/>
    <n v="0"/>
    <n v="53.055993200490384"/>
    <x v="3"/>
    <n v="46.944006799509616"/>
    <n v="0.80397277260026034"/>
    <n v="42.924900745021439"/>
    <n v="0.37509893744217232"/>
    <n v="3"/>
    <b v="1"/>
    <n v="0"/>
    <n v="9.3839177072441896E-2"/>
    <n v="5.0101663876020606"/>
    <n v="0.29906694961397684"/>
    <n v="3"/>
  </r>
  <r>
    <n v="15837"/>
    <s v="15837"/>
    <s v="15"/>
    <s v="COLOMBIA"/>
    <s v="BOYACÁ"/>
    <s v="TUTA"/>
    <x v="4"/>
    <n v="0"/>
    <n v="0"/>
    <n v="0"/>
    <n v="72.19"/>
    <n v="76.796266666666696"/>
    <n v="70.92"/>
    <n v="55.15"/>
    <n v="68.598207726527647"/>
    <n v="64.097050568115236"/>
    <n v="76.859691384239284"/>
    <n v="79.002196156620442"/>
    <s v="3. Vulnerable (&gt;=60 y &lt;70)"/>
    <s v="3. Vulnerable (&gt;=60 y &lt;70)"/>
    <s v="4. Solvente (&gt;=70 y &lt;80)"/>
    <s v="4. Solvente (&gt;=70 y &lt;80)"/>
    <n v="68.764066666666665"/>
    <n v="72.139286458875659"/>
    <n v="70.451676562771155"/>
    <n v="53.15947398111723"/>
    <x v="2"/>
    <n v="46.84052601888277"/>
    <n v="0.81759069605862034"/>
    <n v="57.60063527945286"/>
    <n v="0.54989721871134389"/>
    <n v="2"/>
    <b v="1"/>
    <n v="0"/>
    <n v="0.81759069605862023"/>
    <n v="57.600635279452852"/>
    <n v="0.51955032501856535"/>
    <n v="2"/>
    <b v="1"/>
    <n v="0"/>
    <n v="53.15947398111723"/>
    <x v="3"/>
    <n v="46.84052601888277"/>
    <n v="0.80397277260026034"/>
    <n v="56.641229740507903"/>
    <n v="0.55029941631179402"/>
    <n v="2"/>
    <b v="1"/>
    <n v="0"/>
    <n v="9.3632323163735098E-2"/>
    <n v="6.5965541473523306"/>
    <n v="0.39376163867410113"/>
    <n v="2"/>
  </r>
  <r>
    <n v="44855"/>
    <s v="44855"/>
    <s v="44"/>
    <s v="COLOMBIA"/>
    <s v="LA GUAJIRA"/>
    <s v="URUMITA"/>
    <x v="5"/>
    <n v="0"/>
    <n v="0"/>
    <n v="0"/>
    <n v="66.430000000000007"/>
    <n v="69.350999999999999"/>
    <n v="63.87"/>
    <n v="77.42"/>
    <n v="41.380431668762093"/>
    <n v="45.96283405391226"/>
    <n v="30.523649914224332"/>
    <n v="47.999980989313258"/>
    <s v="2. Riesgo (&gt;=40 y &lt;60)"/>
    <s v="2. Riesgo (&gt;=40 y &lt;60)"/>
    <s v="1. Deterioro (&lt;40)"/>
    <s v="2. Riesgo (&gt;=40 y &lt;60)"/>
    <n v="69.267750000000007"/>
    <n v="41.466724156552985"/>
    <n v="55.367237078276496"/>
    <n v="53.010582326674928"/>
    <x v="2"/>
    <n v="46.989417673325072"/>
    <n v="0.81759069605862034"/>
    <n v="45.267737901670735"/>
    <n v="0.39562567261450293"/>
    <n v="3"/>
    <b v="1"/>
    <n v="0"/>
    <n v="0.81759069605862023"/>
    <n v="45.267737901670728"/>
    <n v="0.37379248302845297"/>
    <n v="3"/>
    <b v="1"/>
    <n v="0"/>
    <n v="53.010582326674928"/>
    <x v="3"/>
    <n v="46.989417673325072"/>
    <n v="0.80397277260026034"/>
    <n v="44.51375110503789"/>
    <n v="0.39539353259359028"/>
    <n v="3"/>
    <b v="1"/>
    <n v="0"/>
    <n v="9.3929951578486562E-2"/>
    <n v="5.2006418977970972"/>
    <n v="0.31043681747927537"/>
    <n v="3"/>
  </r>
  <r>
    <n v="17013"/>
    <s v="17013"/>
    <s v="17"/>
    <s v="COLOMBIA"/>
    <s v="CALDAS"/>
    <s v="AGUADAS"/>
    <x v="5"/>
    <n v="0"/>
    <n v="0"/>
    <n v="0"/>
    <n v="64.47"/>
    <n v="68.092799999999997"/>
    <n v="74.599999999999994"/>
    <n v="60.78"/>
    <n v="63.583060369862466"/>
    <n v="61.102461750763958"/>
    <n v="57.725680974792425"/>
    <n v="61.232760212018349"/>
    <s v="3. Vulnerable (&gt;=60 y &lt;70)"/>
    <s v="3. Vulnerable (&gt;=60 y &lt;70)"/>
    <s v="2. Riesgo (&gt;=40 y &lt;60)"/>
    <s v="3. Vulnerable (&gt;=60 y &lt;70)"/>
    <n v="66.985699999999994"/>
    <n v="60.910990826859297"/>
    <n v="63.948345413429649"/>
    <n v="52.989940446668356"/>
    <x v="2"/>
    <n v="47.010059553331644"/>
    <n v="0.81759069605862034"/>
    <n v="52.283572238363028"/>
    <n v="0.48338636478005043"/>
    <n v="2"/>
    <b v="0"/>
    <n v="-1"/>
    <n v="0.81759069605862023"/>
    <n v="52.283572238363021"/>
    <n v="0.4567099712189126"/>
    <n v="3"/>
    <b v="1"/>
    <n v="0"/>
    <n v="52.989940446668356"/>
    <x v="3"/>
    <n v="47.010059553331644"/>
    <n v="0.80397277260026034"/>
    <n v="51.412728565234175"/>
    <n v="0.48351508137933724"/>
    <n v="2"/>
    <b v="0"/>
    <n v="-1"/>
    <n v="9.3971213864454561E-2"/>
    <n v="6.0093036431234097"/>
    <n v="0.35870747013518545"/>
    <n v="3"/>
  </r>
  <r>
    <n v="68324"/>
    <s v="68324"/>
    <s v="68"/>
    <s v="COLOMBIA"/>
    <s v="SANTANDER"/>
    <s v="GUAVATÁ"/>
    <x v="5"/>
    <n v="0"/>
    <n v="0"/>
    <n v="0"/>
    <n v="55.97"/>
    <n v="65.032433333333302"/>
    <n v="85.58"/>
    <n v="43.18"/>
    <n v="50.428804175707612"/>
    <n v="47.55335040015072"/>
    <n v="59.015635138045425"/>
    <n v="56.860235656009991"/>
    <s v="2. Riesgo (&gt;=40 y &lt;60)"/>
    <s v="2. Riesgo (&gt;=40 y &lt;60)"/>
    <s v="2. Riesgo (&gt;=40 y &lt;60)"/>
    <s v="2. Riesgo (&gt;=40 y &lt;60)"/>
    <n v="62.44060833333333"/>
    <n v="53.464506342478437"/>
    <n v="57.952557337905887"/>
    <n v="53.197275634190703"/>
    <x v="2"/>
    <n v="46.802724365809297"/>
    <n v="0.81759069605862034"/>
    <n v="47.381471692275582"/>
    <n v="0.42206625424953703"/>
    <n v="3"/>
    <b v="1"/>
    <n v="0"/>
    <n v="0.81759069605862023"/>
    <n v="47.381471692275575"/>
    <n v="0.39877390194589052"/>
    <n v="3"/>
    <b v="1"/>
    <n v="0"/>
    <n v="53.197275634190703"/>
    <x v="3"/>
    <n v="46.802724365809297"/>
    <n v="0.80397277260026034"/>
    <n v="46.592278202231761"/>
    <n v="0.42194283327686216"/>
    <n v="3"/>
    <b v="1"/>
    <n v="0"/>
    <n v="9.3556759183192437E-2"/>
    <n v="5.4218534509126126"/>
    <n v="0.32364138181736535"/>
    <n v="3"/>
  </r>
  <r>
    <n v="47692"/>
    <s v="47692"/>
    <s v="47"/>
    <s v="COLOMBIA"/>
    <s v="MAGDALENA"/>
    <s v="SAN SEBASTIÁN DE BUENAVISTA"/>
    <x v="6"/>
    <n v="0"/>
    <n v="0"/>
    <n v="0"/>
    <n v="49.1"/>
    <n v="49.887"/>
    <n v="26.68"/>
    <n v="23.36"/>
    <n v="39.313148273062822"/>
    <n v="51.141769464164447"/>
    <n v="51.234724410868402"/>
    <n v="54.649783304447169"/>
    <s v="1. Deterioro (&lt;40)"/>
    <s v="2. Riesgo (&gt;=40 y &lt;60)"/>
    <s v="2. Riesgo (&gt;=40 y &lt;60)"/>
    <s v="2. Riesgo (&gt;=40 y &lt;60)"/>
    <n v="37.256749999999997"/>
    <n v="49.084856363135714"/>
    <n v="43.170803181567855"/>
    <n v="53.205282316034129"/>
    <x v="2"/>
    <n v="46.794717683965871"/>
    <n v="0.81759069605862034"/>
    <n v="35.296047022627761"/>
    <n v="0.27089033087063336"/>
    <n v="4"/>
    <b v="1"/>
    <n v="0"/>
    <n v="0.81759069605862023"/>
    <n v="35.296047022627761"/>
    <n v="0.25594084614220086"/>
    <n v="4"/>
    <b v="1"/>
    <n v="0"/>
    <n v="53.205282316034129"/>
    <x v="3"/>
    <n v="46.794717683965871"/>
    <n v="0.80397277260026034"/>
    <n v="34.708150329265251"/>
    <n v="0.270145300935906"/>
    <n v="4"/>
    <b v="1"/>
    <n v="0"/>
    <n v="9.3540754148972061E-2"/>
    <n v="4.0382294868206996"/>
    <n v="0.24105007319780952"/>
    <n v="4"/>
  </r>
  <r>
    <n v="52254"/>
    <s v="52254"/>
    <s v="52"/>
    <s v="COLOMBIA"/>
    <s v="NARIÑO"/>
    <s v="EL PEÑOL"/>
    <x v="6"/>
    <n v="0"/>
    <n v="0"/>
    <n v="0"/>
    <n v="42.08"/>
    <n v="46.471299999999999"/>
    <n v="39.26"/>
    <n v="41.32"/>
    <n v="65.431065294692559"/>
    <n v="50.620774557860543"/>
    <n v="57.960490009702731"/>
    <n v="39.115259746407972"/>
    <s v="3. Vulnerable (&gt;=60 y &lt;70)"/>
    <s v="2. Riesgo (&gt;=40 y &lt;60)"/>
    <s v="2. Riesgo (&gt;=40 y &lt;60)"/>
    <s v="1. Deterioro (&lt;40)"/>
    <n v="42.282824999999995"/>
    <n v="53.281897402165953"/>
    <n v="47.782361201082978"/>
    <n v="53.237106314302729"/>
    <x v="2"/>
    <n v="46.762893685697271"/>
    <n v="0.81759069605862034"/>
    <n v="39.066413953717849"/>
    <n v="0.31805364683720727"/>
    <n v="4"/>
    <b v="1"/>
    <n v="0"/>
    <n v="0.81759069605862023"/>
    <n v="39.066413953717841"/>
    <n v="0.30050138455847059"/>
    <n v="4"/>
    <b v="1"/>
    <n v="0"/>
    <n v="53.237106314302729"/>
    <x v="3"/>
    <n v="46.762893685697271"/>
    <n v="0.80397277260026034"/>
    <n v="38.415717416221788"/>
    <n v="0.31750254421067597"/>
    <n v="4"/>
    <b v="1"/>
    <n v="0"/>
    <n v="9.3477139259398725E-2"/>
    <n v="4.4665584321365239"/>
    <n v="0.26661789294606453"/>
    <n v="4"/>
  </r>
  <r>
    <n v="15500"/>
    <s v="15500"/>
    <s v="15"/>
    <s v="COLOMBIA"/>
    <s v="BOYACÁ"/>
    <s v="OICATÁ"/>
    <x v="4"/>
    <n v="0"/>
    <n v="0"/>
    <n v="0"/>
    <n v="70.47"/>
    <n v="71.948733333333294"/>
    <n v="63.21"/>
    <n v="35.85"/>
    <n v="48.676592713535932"/>
    <n v="66.434313999586792"/>
    <n v="64.383052008080384"/>
    <n v="59.64939851055135"/>
    <s v="2. Riesgo (&gt;=40 y &lt;60)"/>
    <s v="3. Vulnerable (&gt;=60 y &lt;70)"/>
    <s v="3. Vulnerable (&gt;=60 y &lt;70)"/>
    <s v="2. Riesgo (&gt;=40 y &lt;60)"/>
    <n v="60.369683333333327"/>
    <n v="59.785839307938616"/>
    <n v="60.077761320635972"/>
    <n v="53.426982192934211"/>
    <x v="2"/>
    <n v="46.573017807065789"/>
    <n v="0.81759069605862034"/>
    <n v="49.119018695782422"/>
    <n v="0.44380113571622598"/>
    <n v="3"/>
    <b v="0"/>
    <n v="1"/>
    <n v="0.81759069605862023"/>
    <n v="49.119018695782415"/>
    <n v="0.41930931173887204"/>
    <n v="3"/>
    <b v="0"/>
    <n v="1"/>
    <n v="53.426982192934211"/>
    <x v="3"/>
    <n v="46.573017807065789"/>
    <n v="0.80397277260026034"/>
    <n v="48.300884340568381"/>
    <n v="0.44376708477554344"/>
    <n v="3"/>
    <b v="0"/>
    <n v="1"/>
    <n v="9.3097585032747773E-2"/>
    <n v="5.5930944931250322"/>
    <n v="0.33386310544513048"/>
    <n v="3"/>
  </r>
  <r>
    <n v="5125"/>
    <s v="05125"/>
    <s v="50"/>
    <s v="COLOMBIA"/>
    <s v="ANTIOQUIA"/>
    <s v="CAICEDO"/>
    <x v="6"/>
    <n v="0"/>
    <n v="0"/>
    <n v="0"/>
    <n v="46.97"/>
    <n v="52.722533333333303"/>
    <n v="47.87"/>
    <n v="47.2"/>
    <n v="51.877253530303967"/>
    <n v="39.605263391269162"/>
    <n v="56.413102368545829"/>
    <n v="52.924687033112022"/>
    <s v="2. Riesgo (&gt;=40 y &lt;60)"/>
    <s v="1. Deterioro (&lt;40)"/>
    <s v="2. Riesgo (&gt;=40 y &lt;60)"/>
    <s v="2. Riesgo (&gt;=40 y &lt;60)"/>
    <n v="48.690633333333324"/>
    <n v="50.205076580807741"/>
    <n v="49.447854957070533"/>
    <n v="53.312871651984416"/>
    <x v="2"/>
    <n v="46.687128348015584"/>
    <n v="0.81759069605862034"/>
    <n v="40.428106152957"/>
    <n v="0.33508698089081546"/>
    <n v="4"/>
    <b v="1"/>
    <n v="0"/>
    <n v="0.81759069605862023"/>
    <n v="40.428106152956993"/>
    <n v="0.31659470880630131"/>
    <n v="4"/>
    <b v="1"/>
    <n v="0"/>
    <n v="53.312871651984416"/>
    <x v="3"/>
    <n v="46.687128348015584"/>
    <n v="0.80397277260026034"/>
    <n v="39.754729048971527"/>
    <n v="0.33460591635543457"/>
    <n v="4"/>
    <b v="1"/>
    <n v="0"/>
    <n v="9.3325687403807672E-2"/>
    <n v="4.6147550545123863"/>
    <n v="0.27546404861600748"/>
    <n v="4"/>
  </r>
  <r>
    <n v="5665"/>
    <s v="05665"/>
    <s v="50"/>
    <s v="COLOMBIA"/>
    <s v="ANTIOQUIA"/>
    <s v="SAN PEDRO DE URABÁ"/>
    <x v="5"/>
    <n v="0"/>
    <n v="0"/>
    <n v="1"/>
    <n v="46.08"/>
    <n v="48.870366666666698"/>
    <n v="46.76"/>
    <n v="44.08"/>
    <n v="47.868338176703176"/>
    <n v="48.292210409921246"/>
    <n v="49.768514580466828"/>
    <n v="64.18144636972022"/>
    <s v="2. Riesgo (&gt;=40 y &lt;60)"/>
    <s v="2. Riesgo (&gt;=40 y &lt;60)"/>
    <s v="2. Riesgo (&gt;=40 y &lt;60)"/>
    <s v="3. Vulnerable (&gt;=60 y &lt;70)"/>
    <n v="46.447591666666668"/>
    <n v="52.527627384202873"/>
    <n v="49.48760952543477"/>
    <n v="53.30911461111495"/>
    <x v="2"/>
    <n v="46.69088538888505"/>
    <n v="0.81759069605862034"/>
    <n v="40.460609118177423"/>
    <n v="0.33549355872436815"/>
    <n v="4"/>
    <b v="0"/>
    <n v="1"/>
    <n v="0.81759069605862023"/>
    <n v="40.460609118177416"/>
    <n v="0.31697884903902096"/>
    <n v="4"/>
    <b v="0"/>
    <n v="1"/>
    <n v="53.30911461111495"/>
    <x v="3"/>
    <n v="46.69088538888505"/>
    <n v="0.80397277260026034"/>
    <n v="39.786690639522845"/>
    <n v="0.33501416596594397"/>
    <n v="4"/>
    <b v="0"/>
    <n v="1"/>
    <n v="9.3333197577042851E-2"/>
    <n v="4.6188368374529514"/>
    <n v="0.27570769848281468"/>
    <n v="4"/>
  </r>
  <r>
    <n v="15842"/>
    <s v="15842"/>
    <s v="15"/>
    <s v="COLOMBIA"/>
    <s v="BOYACÁ"/>
    <s v="ÚMBITA"/>
    <x v="5"/>
    <n v="0"/>
    <n v="0"/>
    <n v="0"/>
    <n v="62.09"/>
    <n v="65.257233333333303"/>
    <n v="39.54"/>
    <n v="43.03"/>
    <n v="72.31651694062873"/>
    <n v="50.058564178062035"/>
    <n v="64.478121943895047"/>
    <n v="68.702404905075213"/>
    <s v="4. Solvente (&gt;=70 y &lt;80)"/>
    <s v="2. Riesgo (&gt;=40 y &lt;60)"/>
    <s v="3. Vulnerable (&gt;=60 y &lt;70)"/>
    <s v="3. Vulnerable (&gt;=60 y &lt;70)"/>
    <n v="52.479308333333329"/>
    <n v="63.888901991915255"/>
    <n v="58.184105162624292"/>
    <n v="53.32126183672684"/>
    <x v="2"/>
    <n v="46.67873816327316"/>
    <n v="0.81759069605862034"/>
    <n v="47.570783039457957"/>
    <n v="0.42443433964981897"/>
    <n v="3"/>
    <b v="1"/>
    <n v="0"/>
    <n v="0.81759069605862023"/>
    <n v="47.57078303945795"/>
    <n v="0.40101130104070942"/>
    <n v="3"/>
    <b v="1"/>
    <n v="0"/>
    <n v="53.32126183672684"/>
    <x v="3"/>
    <n v="46.67873816327316"/>
    <n v="0.80397277260026034"/>
    <n v="46.778436348860176"/>
    <n v="0.4243206558302226"/>
    <n v="3"/>
    <b v="1"/>
    <n v="0"/>
    <n v="9.3308915762752881E-2"/>
    <n v="5.4290957673504652"/>
    <n v="0.32407369031126437"/>
    <n v="3"/>
  </r>
  <r>
    <n v="15832"/>
    <s v="15832"/>
    <s v="15"/>
    <s v="COLOMBIA"/>
    <s v="BOYACÁ"/>
    <s v="TUNUNGUÁ"/>
    <x v="5"/>
    <n v="0"/>
    <n v="0"/>
    <n v="0"/>
    <n v="39.840000000000003"/>
    <n v="49.295066666666699"/>
    <n v="66.959999999999994"/>
    <n v="45.92"/>
    <n v="52.02852127612109"/>
    <n v="52.80125637652344"/>
    <n v="59.997527270407673"/>
    <n v="48.454372084095439"/>
    <s v="2. Riesgo (&gt;=40 y &lt;60)"/>
    <s v="2. Riesgo (&gt;=40 y &lt;60)"/>
    <s v="2. Riesgo (&gt;=40 y &lt;60)"/>
    <s v="2. Riesgo (&gt;=40 y &lt;60)"/>
    <n v="50.503766666666678"/>
    <n v="53.320419251786916"/>
    <n v="51.912092959226797"/>
    <n v="53.431468581301679"/>
    <x v="2"/>
    <n v="46.568531418698321"/>
    <n v="0.81759069605862034"/>
    <n v="42.442844216394043"/>
    <n v="0.36028923033031279"/>
    <n v="3"/>
    <b v="1"/>
    <n v="0"/>
    <n v="0.81759069605862023"/>
    <n v="42.442844216394036"/>
    <n v="0.34040613472726622"/>
    <n v="3"/>
    <b v="1"/>
    <n v="0"/>
    <n v="53.431468581301679"/>
    <x v="3"/>
    <n v="46.568531418698321"/>
    <n v="0.80397277260026034"/>
    <n v="41.735909307912024"/>
    <n v="0.35991179303771853"/>
    <n v="3"/>
    <b v="1"/>
    <n v="0"/>
    <n v="9.3088616923267295E-2"/>
    <n v="4.8324249351665047"/>
    <n v="0.28845720337253494"/>
    <n v="4"/>
  </r>
  <r>
    <n v="5667"/>
    <s v="05667"/>
    <s v="50"/>
    <s v="COLOMBIA"/>
    <s v="ANTIOQUIA"/>
    <s v="SAN RAFAEL"/>
    <x v="5"/>
    <n v="0"/>
    <n v="0"/>
    <n v="0"/>
    <n v="39.25"/>
    <n v="45.337400000000002"/>
    <n v="57.53"/>
    <n v="32.26"/>
    <n v="55.853406791259481"/>
    <n v="43.290605850124678"/>
    <n v="58.454891213844732"/>
    <n v="66.538898828751712"/>
    <s v="2. Riesgo (&gt;=40 y &lt;60)"/>
    <s v="2. Riesgo (&gt;=40 y &lt;60)"/>
    <s v="2. Riesgo (&gt;=40 y &lt;60)"/>
    <s v="3. Vulnerable (&gt;=60 y &lt;70)"/>
    <n v="43.594349999999999"/>
    <n v="56.034450670995156"/>
    <n v="49.814400335497581"/>
    <n v="53.035516653943347"/>
    <x v="2"/>
    <n v="46.964483346056653"/>
    <n v="0.81759069605862034"/>
    <n v="40.727790244042239"/>
    <n v="0.33883571297348364"/>
    <n v="4"/>
    <b v="0"/>
    <n v="1"/>
    <n v="0.81759069605862023"/>
    <n v="40.727790244042232"/>
    <n v="0.32013656154838649"/>
    <n v="4"/>
    <b v="0"/>
    <n v="1"/>
    <n v="53.035516653943347"/>
    <x v="3"/>
    <n v="46.964483346056653"/>
    <n v="0.80397277260026034"/>
    <n v="40.04942155314933"/>
    <n v="0.338370062568917"/>
    <n v="4"/>
    <b v="0"/>
    <n v="1"/>
    <n v="9.3880108863489603E-2"/>
    <n v="4.6765813264659659"/>
    <n v="0.2791545836459251"/>
    <n v="4"/>
  </r>
  <r>
    <n v="76250"/>
    <s v="76250"/>
    <s v="76"/>
    <s v="COLOMBIA"/>
    <s v="VALLE DEL CAUCA"/>
    <s v="EL DOVIO"/>
    <x v="5"/>
    <n v="0"/>
    <n v="0"/>
    <n v="0"/>
    <n v="60.11"/>
    <n v="65.258866666666705"/>
    <n v="63.66"/>
    <n v="70.569999999999993"/>
    <n v="50.565994778143811"/>
    <n v="43.951175054444491"/>
    <n v="46.172643991638452"/>
    <n v="61.821203686586323"/>
    <s v="2. Riesgo (&gt;=40 y &lt;60)"/>
    <s v="2. Riesgo (&gt;=40 y &lt;60)"/>
    <s v="2. Riesgo (&gt;=40 y &lt;60)"/>
    <s v="3. Vulnerable (&gt;=60 y &lt;70)"/>
    <n v="64.899716666666677"/>
    <n v="50.627754377703269"/>
    <n v="57.763735522184973"/>
    <n v="53.411406721277942"/>
    <x v="2"/>
    <n v="46.588593278722058"/>
    <n v="0.81759069605862034"/>
    <n v="47.227092732529265"/>
    <n v="0.42013513619387305"/>
    <n v="3"/>
    <b v="1"/>
    <n v="0"/>
    <n v="0.81759069605862023"/>
    <n v="47.227092732529258"/>
    <n v="0.39694935550461069"/>
    <n v="3"/>
    <b v="1"/>
    <n v="0"/>
    <n v="53.411406721277942"/>
    <x v="3"/>
    <n v="46.588593278722058"/>
    <n v="0.80397277260026034"/>
    <n v="46.440470603519202"/>
    <n v="0.42000377480143192"/>
    <n v="3"/>
    <b v="1"/>
    <n v="0"/>
    <n v="9.3128719772672758E-2"/>
    <n v="5.3794627384683471"/>
    <n v="0.32111099458431031"/>
    <n v="3"/>
  </r>
  <r>
    <n v="25394"/>
    <s v="25394"/>
    <s v="25"/>
    <s v="COLOMBIA"/>
    <s v="CUNDINAMARCA"/>
    <s v="LA PALMA"/>
    <x v="5"/>
    <n v="0"/>
    <n v="0"/>
    <n v="0"/>
    <n v="40.17"/>
    <n v="51.219166666666702"/>
    <n v="61.95"/>
    <n v="54.54"/>
    <n v="51.149597258167688"/>
    <n v="46.883354353066558"/>
    <n v="62.539553153140261"/>
    <n v="55.632601370226439"/>
    <s v="2. Riesgo (&gt;=40 y &lt;60)"/>
    <s v="2. Riesgo (&gt;=40 y &lt;60)"/>
    <s v="3. Vulnerable (&gt;=60 y &lt;70)"/>
    <s v="2. Riesgo (&gt;=40 y &lt;60)"/>
    <n v="51.969791666666673"/>
    <n v="54.051276533650238"/>
    <n v="53.010534100158452"/>
    <n v="53.44795987867883"/>
    <x v="2"/>
    <n v="46.55204012132117"/>
    <n v="0.81759069605862034"/>
    <n v="43.340919473387778"/>
    <n v="0.37152320513475223"/>
    <n v="3"/>
    <b v="1"/>
    <n v="0"/>
    <n v="0.81759069605862023"/>
    <n v="43.340919473387771"/>
    <n v="0.35102014596844816"/>
    <n v="3"/>
    <b v="1"/>
    <n v="0"/>
    <n v="53.44795987867883"/>
    <x v="3"/>
    <n v="46.55204012132117"/>
    <n v="0.80397277260026034"/>
    <n v="42.619026077525035"/>
    <n v="0.37119195998216165"/>
    <n v="3"/>
    <b v="1"/>
    <n v="0"/>
    <n v="9.3055651484647228E-2"/>
    <n v="4.9329297862393524"/>
    <n v="0.29445654090075413"/>
    <n v="3"/>
  </r>
  <r>
    <n v="25535"/>
    <s v="25535"/>
    <s v="25"/>
    <s v="COLOMBIA"/>
    <s v="CUNDINAMARCA"/>
    <s v="PASCA"/>
    <x v="5"/>
    <n v="0"/>
    <n v="0"/>
    <n v="0"/>
    <n v="63.16"/>
    <n v="67.269933333333299"/>
    <n v="62.52"/>
    <n v="64.02"/>
    <n v="60.682473849578273"/>
    <n v="53.059931056554241"/>
    <n v="53.839891074972869"/>
    <n v="58.861549105315568"/>
    <s v="3. Vulnerable (&gt;=60 y &lt;70)"/>
    <s v="2. Riesgo (&gt;=40 y &lt;60)"/>
    <s v="2. Riesgo (&gt;=40 y &lt;60)"/>
    <s v="2. Riesgo (&gt;=40 y &lt;60)"/>
    <n v="64.242483333333325"/>
    <n v="56.610961271605241"/>
    <n v="60.426722302469287"/>
    <n v="53.640345614273322"/>
    <x v="2"/>
    <n v="46.359654385726678"/>
    <n v="0.81759069605862034"/>
    <n v="49.404325947816822"/>
    <n v="0.447370028696985"/>
    <n v="3"/>
    <b v="1"/>
    <n v="0"/>
    <n v="0.81759069605862023"/>
    <n v="49.404325947816815"/>
    <n v="0.42268125006664736"/>
    <n v="3"/>
    <b v="1"/>
    <n v="0"/>
    <n v="53.640345614273322"/>
    <x v="3"/>
    <n v="46.359654385726678"/>
    <n v="0.80397277260026034"/>
    <n v="48.581439468662218"/>
    <n v="0.44735065242017658"/>
    <n v="3"/>
    <b v="1"/>
    <n v="0"/>
    <n v="9.2671080155110622E-2"/>
    <n v="5.5998096260027417"/>
    <n v="0.33426394528768716"/>
    <n v="3"/>
  </r>
  <r>
    <n v="73124"/>
    <s v="73124"/>
    <s v="73"/>
    <s v="COLOMBIA"/>
    <s v="TOLIMA"/>
    <s v="CAJAMARCA"/>
    <x v="5"/>
    <n v="0"/>
    <n v="0"/>
    <n v="0"/>
    <n v="47.88"/>
    <n v="48.5523666666667"/>
    <n v="43.65"/>
    <n v="37.11"/>
    <n v="37.74075287164861"/>
    <n v="53.17359832028805"/>
    <n v="46.812359321368419"/>
    <n v="41.650430306490428"/>
    <s v="1. Deterioro (&lt;40)"/>
    <s v="2. Riesgo (&gt;=40 y &lt;60)"/>
    <s v="2. Riesgo (&gt;=40 y &lt;60)"/>
    <s v="2. Riesgo (&gt;=40 y &lt;60)"/>
    <n v="44.298091666666679"/>
    <n v="44.844285204948875"/>
    <n v="44.571188435807777"/>
    <n v="54.201449749006244"/>
    <x v="2"/>
    <n v="45.798550250993756"/>
    <n v="0.81759069605862034"/>
    <n v="36.44098897739201"/>
    <n v="0.28521234784215416"/>
    <n v="4"/>
    <b v="0"/>
    <n v="1"/>
    <n v="0.81759069605862023"/>
    <n v="36.440988977392003"/>
    <n v="0.26947248136289287"/>
    <n v="4"/>
    <b v="0"/>
    <n v="1"/>
    <n v="54.201449749006244"/>
    <x v="3"/>
    <n v="45.798550250993756"/>
    <n v="0.80397277260026034"/>
    <n v="35.834021944825039"/>
    <n v="0.28452620753684116"/>
    <n v="4"/>
    <b v="0"/>
    <n v="1"/>
    <n v="9.1549455610359737E-2"/>
    <n v="4.0804680372049633"/>
    <n v="0.2435713775702146"/>
    <n v="4"/>
  </r>
  <r>
    <n v="68132"/>
    <s v="68132"/>
    <s v="68"/>
    <s v="COLOMBIA"/>
    <s v="SANTANDER"/>
    <s v="CALIFORNIA"/>
    <x v="5"/>
    <n v="0"/>
    <n v="0"/>
    <n v="0"/>
    <n v="53.45"/>
    <n v="59.553600000000003"/>
    <n v="53.61"/>
    <n v="29.33"/>
    <n v="46.935289768175927"/>
    <n v="48.273770796728904"/>
    <n v="33.164075543717608"/>
    <n v="48.844795099409453"/>
    <s v="2. Riesgo (&gt;=40 y &lt;60)"/>
    <s v="2. Riesgo (&gt;=40 y &lt;60)"/>
    <s v="1. Deterioro (&lt;40)"/>
    <s v="2. Riesgo (&gt;=40 y &lt;60)"/>
    <n v="48.985900000000001"/>
    <n v="44.304482802007975"/>
    <n v="46.645191401003984"/>
    <n v="53.448820605418945"/>
    <x v="2"/>
    <n v="46.551179394581055"/>
    <n v="0.81759069605862034"/>
    <n v="38.136674505334419"/>
    <n v="0.30642358637568656"/>
    <n v="4"/>
    <b v="0"/>
    <n v="1"/>
    <n v="0.81759069605862023"/>
    <n v="38.136674505334412"/>
    <n v="0.28951314623471863"/>
    <n v="4"/>
    <b v="0"/>
    <n v="1"/>
    <n v="53.448820605418945"/>
    <x v="3"/>
    <n v="46.551179394581055"/>
    <n v="0.80397277260026034"/>
    <n v="37.501463859134994"/>
    <n v="0.30582466297418986"/>
    <n v="4"/>
    <b v="0"/>
    <n v="1"/>
    <n v="9.3053930926593434E-2"/>
    <n v="4.3405184186867549"/>
    <n v="0.25909431000778049"/>
    <n v="4"/>
  </r>
  <r>
    <n v="68673"/>
    <s v="68673"/>
    <s v="68"/>
    <s v="COLOMBIA"/>
    <s v="SANTANDER"/>
    <s v="SAN BENITO"/>
    <x v="5"/>
    <n v="0"/>
    <n v="0"/>
    <n v="0"/>
    <n v="68.91"/>
    <n v="75.150933333333299"/>
    <n v="60.98"/>
    <s v="N.D."/>
    <n v="45.584635278574389"/>
    <n v="40.812047841514357"/>
    <n v="41.426028741397261"/>
    <n v="62.072941647169081"/>
    <s v="2. Riesgo (&gt;=40 y &lt;60)"/>
    <s v="2. Riesgo (&gt;=40 y &lt;60)"/>
    <s v="2. Riesgo (&gt;=40 y &lt;60)"/>
    <s v="3. Vulnerable (&gt;=60 y &lt;70)"/>
    <n v="68.346977777777767"/>
    <n v="47.473913377163768"/>
    <n v="57.910445577470767"/>
    <n v="53.890736152947227"/>
    <x v="2"/>
    <n v="46.109263847052773"/>
    <n v="0.81759069605862034"/>
    <n v="47.347041508749179"/>
    <n v="0.4216355689464561"/>
    <n v="3"/>
    <b v="1"/>
    <n v="0"/>
    <n v="0.81759069605862023"/>
    <n v="47.347041508749172"/>
    <n v="0.39836698465010789"/>
    <n v="3"/>
    <b v="1"/>
    <n v="0"/>
    <n v="53.890736152947227"/>
    <x v="3"/>
    <n v="46.109263847052773"/>
    <n v="0.80397277260026034"/>
    <n v="46.558421493435659"/>
    <n v="0.42151037707112532"/>
    <n v="3"/>
    <b v="1"/>
    <n v="0"/>
    <n v="9.2170559562647469E-2"/>
    <n v="5.3376381733977238"/>
    <n v="0.31861440183131212"/>
    <n v="3"/>
  </r>
  <r>
    <n v="20295"/>
    <s v="20295"/>
    <s v="20"/>
    <s v="COLOMBIA"/>
    <s v="CESAR"/>
    <s v="GAMARRA"/>
    <x v="5"/>
    <n v="0"/>
    <n v="0"/>
    <n v="0"/>
    <n v="51.79"/>
    <n v="62.675066666666702"/>
    <n v="59.03"/>
    <n v="70.17"/>
    <n v="50.205932971647144"/>
    <n v="51.911420750081525"/>
    <n v="56.740141844433055"/>
    <n v="69.254707959974482"/>
    <s v="2. Riesgo (&gt;=40 y &lt;60)"/>
    <s v="2. Riesgo (&gt;=40 y &lt;60)"/>
    <s v="2. Riesgo (&gt;=40 y &lt;60)"/>
    <s v="3. Vulnerable (&gt;=60 y &lt;70)"/>
    <n v="60.916266666666672"/>
    <n v="57.028050881534057"/>
    <n v="58.972158774100365"/>
    <n v="53.608704930944754"/>
    <x v="2"/>
    <n v="46.391295069055246"/>
    <n v="0.81759069605862034"/>
    <n v="48.215088340196189"/>
    <n v="0.43249391980025009"/>
    <n v="3"/>
    <b v="1"/>
    <n v="0"/>
    <n v="0.81759069605862023"/>
    <n v="48.215088340196182"/>
    <n v="0.40862610130553445"/>
    <n v="3"/>
    <b v="1"/>
    <n v="0"/>
    <n v="53.608704930944754"/>
    <x v="3"/>
    <n v="46.391295069055246"/>
    <n v="0.80397277260026034"/>
    <n v="47.412009995836243"/>
    <n v="0.43241337556492032"/>
    <n v="3"/>
    <b v="1"/>
    <n v="0"/>
    <n v="9.273432860550905E-2"/>
    <n v="5.4687435503336772"/>
    <n v="0.32644034654549403"/>
    <n v="3"/>
  </r>
  <r>
    <n v="41306"/>
    <s v="41306"/>
    <s v="41"/>
    <s v="COLOMBIA"/>
    <s v="HUILA"/>
    <s v="GIGANTE"/>
    <x v="4"/>
    <n v="0"/>
    <n v="0"/>
    <n v="0"/>
    <n v="72.59"/>
    <n v="77.569299999999998"/>
    <n v="44.64"/>
    <n v="41.03"/>
    <n v="44.473471993987978"/>
    <n v="53.205064239514783"/>
    <n v="51.834104871156157"/>
    <n v="67.978617781328282"/>
    <s v="2. Riesgo (&gt;=40 y &lt;60)"/>
    <s v="2. Riesgo (&gt;=40 y &lt;60)"/>
    <s v="2. Riesgo (&gt;=40 y &lt;60)"/>
    <s v="3. Vulnerable (&gt;=60 y &lt;70)"/>
    <n v="58.957325000000004"/>
    <n v="54.372814721496809"/>
    <n v="56.665069860748403"/>
    <n v="53.53857411352093"/>
    <x v="2"/>
    <n v="46.46142588647907"/>
    <n v="0.81759069605862034"/>
    <n v="46.328833909659636"/>
    <n v="0.40889886517382285"/>
    <n v="3"/>
    <b v="0"/>
    <n v="1"/>
    <n v="0.81759069605862023"/>
    <n v="46.328833909659629"/>
    <n v="0.38633317476788254"/>
    <n v="3"/>
    <b v="0"/>
    <n v="1"/>
    <n v="53.53857411352093"/>
    <x v="3"/>
    <n v="46.46142588647907"/>
    <n v="0.80397277260026034"/>
    <n v="45.557173325533341"/>
    <n v="0.4087213021997409"/>
    <n v="3"/>
    <b v="0"/>
    <n v="1"/>
    <n v="9.2874517282256985E-2"/>
    <n v="5.2627410100823768"/>
    <n v="0.31414363889958813"/>
    <n v="3"/>
  </r>
  <r>
    <n v="5134"/>
    <s v="05134"/>
    <s v="50"/>
    <s v="COLOMBIA"/>
    <s v="ANTIOQUIA"/>
    <s v="CAMPAMENTO"/>
    <x v="5"/>
    <n v="0"/>
    <n v="0"/>
    <n v="0"/>
    <n v="55.82"/>
    <n v="56.497433333333298"/>
    <n v="70.77"/>
    <n v="77.19"/>
    <n v="41.52387787319833"/>
    <n v="53.850082556279624"/>
    <n v="40.010617468736825"/>
    <n v="53.748871377802352"/>
    <s v="2. Riesgo (&gt;=40 y &lt;60)"/>
    <s v="2. Riesgo (&gt;=40 y &lt;60)"/>
    <s v="2. Riesgo (&gt;=40 y &lt;60)"/>
    <s v="2. Riesgo (&gt;=40 y &lt;60)"/>
    <n v="65.069358333333327"/>
    <n v="47.283362319004283"/>
    <n v="56.176360326168805"/>
    <n v="53.288538067355731"/>
    <x v="2"/>
    <n v="46.711461932644269"/>
    <n v="0.81759069605862034"/>
    <n v="45.92926954111222"/>
    <n v="0.4039007361038392"/>
    <n v="3"/>
    <b v="1"/>
    <n v="0"/>
    <n v="0.81759069605862023"/>
    <n v="45.929269541112212"/>
    <n v="0.38161087486449302"/>
    <n v="3"/>
    <b v="1"/>
    <n v="0"/>
    <n v="53.288538067355731"/>
    <x v="3"/>
    <n v="46.711461932644269"/>
    <n v="0.80397277260026034"/>
    <n v="45.164264166021198"/>
    <n v="0.40370262169700288"/>
    <n v="3"/>
    <b v="1"/>
    <n v="0"/>
    <n v="9.3374329258486391E-2"/>
    <n v="5.2454299656390582"/>
    <n v="0.31311030769743353"/>
    <n v="3"/>
  </r>
  <r>
    <n v="41244"/>
    <s v="41244"/>
    <s v="41"/>
    <s v="COLOMBIA"/>
    <s v="HUILA"/>
    <s v="ELÍAS"/>
    <x v="5"/>
    <n v="0"/>
    <n v="0"/>
    <n v="0"/>
    <n v="52.98"/>
    <n v="58.710466666666697"/>
    <n v="55.6"/>
    <n v="52.39"/>
    <n v="50.359914448812745"/>
    <n v="51.494553108650905"/>
    <n v="49.800979354885349"/>
    <n v="48.90031771073685"/>
    <s v="2. Riesgo (&gt;=40 y &lt;60)"/>
    <s v="2. Riesgo (&gt;=40 y &lt;60)"/>
    <s v="2. Riesgo (&gt;=40 y &lt;60)"/>
    <s v="2. Riesgo (&gt;=40 y &lt;60)"/>
    <n v="54.920116666666672"/>
    <n v="50.138941155771462"/>
    <n v="52.529528911219067"/>
    <n v="53.934865651753938"/>
    <x v="2"/>
    <n v="46.065134348246062"/>
    <n v="0.81759069605862034"/>
    <n v="42.947654106155021"/>
    <n v="0.36660386993144173"/>
    <n v="3"/>
    <b v="1"/>
    <n v="0"/>
    <n v="0.81759069605862023"/>
    <n v="42.947654106155014"/>
    <n v="0.34637229157532223"/>
    <n v="3"/>
    <b v="1"/>
    <n v="0"/>
    <n v="53.934865651753938"/>
    <x v="3"/>
    <n v="46.065134348246062"/>
    <n v="0.80397277260026034"/>
    <n v="42.232311002138331"/>
    <n v="0.3662523973326986"/>
    <n v="3"/>
    <b v="1"/>
    <n v="0"/>
    <n v="9.2082346473587415E-2"/>
    <n v="4.8370422812972009"/>
    <n v="0.288732822087721"/>
    <n v="4"/>
  </r>
  <r>
    <n v="5591"/>
    <s v="05591"/>
    <s v="50"/>
    <s v="COLOMBIA"/>
    <s v="ANTIOQUIA"/>
    <s v="PUERTO TRIUNFO"/>
    <x v="5"/>
    <n v="0"/>
    <n v="0"/>
    <n v="0"/>
    <n v="43.35"/>
    <n v="45.6210666666667"/>
    <n v="47.97"/>
    <n v="43.68"/>
    <n v="65.327442135335517"/>
    <n v="66.607206049177535"/>
    <n v="68.864645870855327"/>
    <n v="69.007049470076467"/>
    <s v="3. Vulnerable (&gt;=60 y &lt;70)"/>
    <s v="3. Vulnerable (&gt;=60 y &lt;70)"/>
    <s v="3. Vulnerable (&gt;=60 y &lt;70)"/>
    <s v="3. Vulnerable (&gt;=60 y &lt;70)"/>
    <n v="45.155266666666677"/>
    <n v="67.451585881361211"/>
    <n v="56.303426274013944"/>
    <n v="53.46149984778188"/>
    <x v="2"/>
    <n v="46.53850015221812"/>
    <n v="0.81759069605862034"/>
    <n v="46.033157477856271"/>
    <n v="0.40520026468429982"/>
    <n v="3"/>
    <b v="1"/>
    <n v="0"/>
    <n v="0.81759069605862023"/>
    <n v="46.033157477856264"/>
    <n v="0.3828386870326132"/>
    <n v="3"/>
    <b v="1"/>
    <n v="0"/>
    <n v="53.46149984778188"/>
    <x v="3"/>
    <n v="46.53850015221812"/>
    <n v="0.80397277260026034"/>
    <n v="45.266421728413334"/>
    <n v="0.4050074937117486"/>
    <n v="3"/>
    <b v="1"/>
    <n v="0"/>
    <n v="9.3028585632266056E-2"/>
    <n v="5.2378281125220845"/>
    <n v="0.31265653773308016"/>
    <n v="3"/>
  </r>
  <r>
    <n v="5021"/>
    <s v="05021"/>
    <s v="50"/>
    <s v="COLOMBIA"/>
    <s v="ANTIOQUIA"/>
    <s v="ALEJANDRÍA"/>
    <x v="5"/>
    <n v="0"/>
    <n v="0"/>
    <n v="0"/>
    <n v="55.59"/>
    <n v="58.135933333333298"/>
    <n v="61.29"/>
    <n v="29.31"/>
    <n v="40.384966361654222"/>
    <n v="59.404509482865294"/>
    <n v="38.875220635386469"/>
    <n v="51.87270155498809"/>
    <s v="2. Riesgo (&gt;=40 y &lt;60)"/>
    <s v="2. Riesgo (&gt;=40 y &lt;60)"/>
    <s v="1. Deterioro (&lt;40)"/>
    <s v="2. Riesgo (&gt;=40 y &lt;60)"/>
    <n v="51.081483333333324"/>
    <n v="47.634349508723517"/>
    <n v="49.35791642102842"/>
    <n v="53.293410866388683"/>
    <x v="2"/>
    <n v="46.706589133611317"/>
    <n v="0.81759069605862034"/>
    <n v="40.354573242671833"/>
    <n v="0.33416716169414157"/>
    <n v="4"/>
    <b v="0"/>
    <n v="1"/>
    <n v="0.81759069605862023"/>
    <n v="40.354573242671826"/>
    <n v="0.3157256511963899"/>
    <n v="4"/>
    <b v="0"/>
    <n v="1"/>
    <n v="53.293410866388683"/>
    <x v="3"/>
    <n v="46.706589133611317"/>
    <n v="0.80397277260026034"/>
    <n v="39.682420914786135"/>
    <n v="0.33368231502306511"/>
    <n v="4"/>
    <b v="0"/>
    <n v="1"/>
    <n v="9.3364588729663509E-2"/>
    <n v="4.6082815672024235"/>
    <n v="0.27507763308538835"/>
    <n v="4"/>
  </r>
  <r>
    <n v="25777"/>
    <s v="25777"/>
    <s v="25"/>
    <s v="COLOMBIA"/>
    <s v="CUNDINAMARCA"/>
    <s v="SUPATÁ"/>
    <x v="6"/>
    <n v="0"/>
    <n v="0"/>
    <n v="0"/>
    <n v="52.64"/>
    <n v="58.124466666666699"/>
    <n v="60.04"/>
    <n v="61.11"/>
    <n v="66.661441655338109"/>
    <n v="50.912751570986373"/>
    <n v="53.195734085429464"/>
    <n v="73.131179435678646"/>
    <s v="3. Vulnerable (&gt;=60 y &lt;70)"/>
    <s v="2. Riesgo (&gt;=40 y &lt;60)"/>
    <s v="2. Riesgo (&gt;=40 y &lt;60)"/>
    <s v="4. Solvente (&gt;=70 y &lt;80)"/>
    <n v="57.978616666666667"/>
    <n v="60.975276686858152"/>
    <n v="59.47694667676241"/>
    <n v="53.801924982440028"/>
    <x v="2"/>
    <n v="46.198075017559972"/>
    <n v="0.81759069605862034"/>
    <n v="48.627798232895621"/>
    <n v="0.43765648552068687"/>
    <n v="3"/>
    <b v="0"/>
    <n v="-1"/>
    <n v="0.81759069605862023"/>
    <n v="48.627798232895614"/>
    <n v="0.41350376317890825"/>
    <n v="3"/>
    <b v="0"/>
    <n v="-1"/>
    <n v="53.801924982440028"/>
    <x v="3"/>
    <n v="46.198075017559972"/>
    <n v="0.80397277260026034"/>
    <n v="47.817845725514516"/>
    <n v="0.43759716885286443"/>
    <n v="3"/>
    <b v="0"/>
    <n v="-1"/>
    <n v="9.2348089512121728E-2"/>
    <n v="5.4925823956133462"/>
    <n v="0.32786333536234297"/>
    <n v="3"/>
  </r>
  <r>
    <n v="13894"/>
    <s v="13894"/>
    <s v="13"/>
    <s v="COLOMBIA"/>
    <s v="BOLÍVAR"/>
    <s v="ZAMBRANO"/>
    <x v="5"/>
    <n v="0"/>
    <n v="0"/>
    <n v="1"/>
    <n v="51.75"/>
    <n v="57.899833333333298"/>
    <n v="47.41"/>
    <n v="52.19"/>
    <n v="60.369268627957055"/>
    <n v="58.289929245972147"/>
    <n v="65.723617649524044"/>
    <n v="62.98555336362476"/>
    <s v="3. Vulnerable (&gt;=60 y &lt;70)"/>
    <s v="2. Riesgo (&gt;=40 y &lt;60)"/>
    <s v="3. Vulnerable (&gt;=60 y &lt;70)"/>
    <s v="3. Vulnerable (&gt;=60 y &lt;70)"/>
    <n v="52.312458333333325"/>
    <n v="61.842092221769505"/>
    <n v="57.077275277551415"/>
    <n v="53.709652505227282"/>
    <x v="2"/>
    <n v="46.290347494772718"/>
    <n v="0.81759069605862034"/>
    <n v="46.665849223302743"/>
    <n v="0.41311457149987224"/>
    <n v="3"/>
    <b v="1"/>
    <n v="0"/>
    <n v="0.81759069605862023"/>
    <n v="46.665849223302736"/>
    <n v="0.39031623108705171"/>
    <n v="3"/>
    <b v="1"/>
    <n v="0"/>
    <n v="53.709652505227282"/>
    <x v="3"/>
    <n v="46.290347494772718"/>
    <n v="0.80397277260026034"/>
    <n v="45.888575257361303"/>
    <n v="0.41295434277303733"/>
    <n v="3"/>
    <b v="1"/>
    <n v="0"/>
    <n v="9.2532538474159834E-2"/>
    <n v="5.2815051706202381"/>
    <n v="0.31526370953596694"/>
    <n v="3"/>
  </r>
  <r>
    <n v="5501"/>
    <s v="05501"/>
    <s v="50"/>
    <s v="COLOMBIA"/>
    <s v="ANTIOQUIA"/>
    <s v="OLAYA"/>
    <x v="4"/>
    <n v="0"/>
    <n v="0"/>
    <n v="0"/>
    <n v="75.73"/>
    <n v="78.302633333333304"/>
    <n v="58.78"/>
    <n v="48.19"/>
    <n v="57.25991279710631"/>
    <n v="58.032794783181295"/>
    <n v="72.660317834325909"/>
    <n v="51.185293161794874"/>
    <s v="2. Riesgo (&gt;=40 y &lt;60)"/>
    <s v="2. Riesgo (&gt;=40 y &lt;60)"/>
    <s v="4. Solvente (&gt;=70 y &lt;80)"/>
    <s v="2. Riesgo (&gt;=40 y &lt;60)"/>
    <n v="65.25065833333332"/>
    <n v="59.784579644102102"/>
    <n v="62.517618988717715"/>
    <n v="53.935724542826932"/>
    <x v="2"/>
    <n v="46.064275457173068"/>
    <n v="0.81759069605862034"/>
    <n v="51.113823624913337"/>
    <n v="0.46875404265705778"/>
    <n v="3"/>
    <b v="0"/>
    <n v="1"/>
    <n v="0.81759069605862023"/>
    <n v="51.11382362491333"/>
    <n v="0.44288515549681706"/>
    <n v="3"/>
    <b v="0"/>
    <n v="1"/>
    <n v="53.935724542826932"/>
    <x v="3"/>
    <n v="46.064275457173068"/>
    <n v="0.80397277260026034"/>
    <n v="50.262463474726069"/>
    <n v="0.46882259370640783"/>
    <n v="3"/>
    <b v="0"/>
    <n v="1"/>
    <n v="9.2080629584958176E-2"/>
    <n v="5.7566617166336638"/>
    <n v="0.34362676333733205"/>
    <n v="3"/>
  </r>
  <r>
    <n v="52260"/>
    <s v="52260"/>
    <s v="52"/>
    <s v="COLOMBIA"/>
    <s v="NARIÑO"/>
    <s v="EL TAMBO"/>
    <x v="5"/>
    <n v="0"/>
    <n v="0"/>
    <n v="0"/>
    <n v="51.66"/>
    <n v="56.181699999999999"/>
    <n v="46.91"/>
    <n v="65.91"/>
    <n v="46.025000914457294"/>
    <n v="50.342778653131809"/>
    <n v="58.346313485360753"/>
    <n v="66.299334574068894"/>
    <s v="2. Riesgo (&gt;=40 y &lt;60)"/>
    <s v="2. Riesgo (&gt;=40 y &lt;60)"/>
    <s v="2. Riesgo (&gt;=40 y &lt;60)"/>
    <s v="3. Vulnerable (&gt;=60 y &lt;70)"/>
    <n v="55.165424999999999"/>
    <n v="55.253356906754689"/>
    <n v="55.209390953377344"/>
    <n v="53.769825000584284"/>
    <x v="2"/>
    <n v="46.230174999415716"/>
    <n v="0.81759069605862034"/>
    <n v="45.138684378544276"/>
    <n v="0.3940113490754269"/>
    <n v="3"/>
    <b v="1"/>
    <n v="0"/>
    <n v="0.81759069605862023"/>
    <n v="45.138684378544276"/>
    <n v="0.37226724832845293"/>
    <n v="3"/>
    <b v="1"/>
    <n v="0"/>
    <n v="53.769825000584284"/>
    <x v="3"/>
    <n v="46.230174999415716"/>
    <n v="0.80397277260026034"/>
    <n v="44.386847118358517"/>
    <n v="0.39377257123840503"/>
    <n v="3"/>
    <b v="1"/>
    <n v="0"/>
    <n v="9.2412256081759639E-2"/>
    <n v="5.1020243749014913"/>
    <n v="0.3045501383813799"/>
    <n v="3"/>
  </r>
  <r>
    <n v="25594"/>
    <s v="25594"/>
    <s v="25"/>
    <s v="COLOMBIA"/>
    <s v="CUNDINAMARCA"/>
    <s v="QUETAME"/>
    <x v="5"/>
    <n v="0"/>
    <n v="0"/>
    <n v="0"/>
    <n v="54.6"/>
    <n v="55.906166666666699"/>
    <n v="47.94"/>
    <n v="34.39"/>
    <n v="71.70956065590758"/>
    <n v="69.091105614318849"/>
    <n v="54.495114814559535"/>
    <n v="47.56414020627615"/>
    <s v="4. Solvente (&gt;=70 y &lt;80)"/>
    <s v="3. Vulnerable (&gt;=60 y &lt;70)"/>
    <s v="2. Riesgo (&gt;=40 y &lt;60)"/>
    <s v="2. Riesgo (&gt;=40 y &lt;60)"/>
    <n v="48.209041666666678"/>
    <n v="60.714980322765527"/>
    <n v="54.462010994716103"/>
    <n v="53.847569982549359"/>
    <x v="2"/>
    <n v="46.152430017450641"/>
    <n v="0.81759069605862034"/>
    <n v="44.527633477922173"/>
    <n v="0.38636774641700666"/>
    <n v="3"/>
    <b v="1"/>
    <n v="0"/>
    <n v="0.81759069605862023"/>
    <n v="44.527633477922166"/>
    <n v="0.36504546922071091"/>
    <n v="3"/>
    <b v="1"/>
    <n v="0"/>
    <n v="53.847569982549359"/>
    <x v="3"/>
    <n v="46.152430017450641"/>
    <n v="0.80397277260026034"/>
    <n v="43.785973980807768"/>
    <n v="0.38609753942242681"/>
    <n v="3"/>
    <b v="1"/>
    <n v="0"/>
    <n v="9.2256846997054248E-2"/>
    <n v="5.0244934154914098"/>
    <n v="0.29992215884185891"/>
    <n v="3"/>
  </r>
  <r>
    <n v="41770"/>
    <s v="41770"/>
    <s v="41"/>
    <s v="COLOMBIA"/>
    <s v="HUILA"/>
    <s v="SUAZA"/>
    <x v="5"/>
    <n v="0"/>
    <n v="0"/>
    <n v="0"/>
    <n v="56.36"/>
    <n v="55.161766666666701"/>
    <n v="66.05"/>
    <n v="74.7"/>
    <n v="59.893678232679434"/>
    <n v="60.201127163475824"/>
    <n v="58.618454295805805"/>
    <n v="61.51873553327156"/>
    <s v="2. Riesgo (&gt;=40 y &lt;60)"/>
    <s v="3. Vulnerable (&gt;=60 y &lt;70)"/>
    <s v="2. Riesgo (&gt;=40 y &lt;60)"/>
    <s v="3. Vulnerable (&gt;=60 y &lt;70)"/>
    <n v="63.06794166666667"/>
    <n v="60.057998806308156"/>
    <n v="61.562970236487416"/>
    <n v="53.797728357262187"/>
    <x v="2"/>
    <n v="46.202271642737813"/>
    <n v="0.81759069605862034"/>
    <n v="50.333311687085875"/>
    <n v="0.45899066105196912"/>
    <n v="3"/>
    <b v="1"/>
    <n v="0"/>
    <n v="0.81759069605862023"/>
    <n v="50.333311687085867"/>
    <n v="0.43366058058790702"/>
    <n v="3"/>
    <b v="1"/>
    <n v="0"/>
    <n v="53.797728357262187"/>
    <x v="3"/>
    <n v="46.202271642737813"/>
    <n v="0.80397277260026034"/>
    <n v="49.494951870536092"/>
    <n v="0.45901906678340065"/>
    <n v="3"/>
    <b v="1"/>
    <n v="0"/>
    <n v="9.2356478396667774E-2"/>
    <n v="5.6857391306808509"/>
    <n v="0.33939325095496298"/>
    <n v="3"/>
  </r>
  <r>
    <n v="54313"/>
    <s v="54313"/>
    <s v="54"/>
    <s v="COLOMBIA"/>
    <s v="NORTE DE SANTANDER"/>
    <s v="GRAMALOTE"/>
    <x v="6"/>
    <n v="0"/>
    <n v="0"/>
    <n v="0"/>
    <n v="34.369999999999997"/>
    <n v="45.931266666666701"/>
    <n v="48.94"/>
    <n v="27.23"/>
    <n v="40.083989419174216"/>
    <n v="39.896770923778206"/>
    <n v="40.20378073709589"/>
    <n v="47.978181926732439"/>
    <s v="2. Riesgo (&gt;=40 y &lt;60)"/>
    <s v="1. Deterioro (&lt;40)"/>
    <s v="2. Riesgo (&gt;=40 y &lt;60)"/>
    <s v="2. Riesgo (&gt;=40 y &lt;60)"/>
    <n v="39.11781666666667"/>
    <n v="42.040680751695191"/>
    <n v="40.579248709180931"/>
    <n v="53.783227223098251"/>
    <x v="2"/>
    <n v="46.216772776901749"/>
    <n v="0.81759069605862034"/>
    <n v="33.177216197675108"/>
    <n v="0.24438599070868883"/>
    <n v="4"/>
    <b v="1"/>
    <n v="0"/>
    <n v="0.81759069605862023"/>
    <n v="33.177216197675101"/>
    <n v="0.23089918730673517"/>
    <n v="4"/>
    <b v="1"/>
    <n v="0"/>
    <n v="53.783227223098251"/>
    <x v="3"/>
    <n v="46.216772776901749"/>
    <n v="0.80397277260026034"/>
    <n v="32.624611094755728"/>
    <n v="0.24353197956180991"/>
    <n v="4"/>
    <b v="1"/>
    <n v="0"/>
    <n v="9.2385465579256851E-2"/>
    <n v="3.7489327848541381"/>
    <n v="0.22378136882810643"/>
    <n v="4"/>
  </r>
  <r>
    <n v="76863"/>
    <s v="76863"/>
    <s v="76"/>
    <s v="COLOMBIA"/>
    <s v="VALLE DEL CAUCA"/>
    <s v="VERSALLES"/>
    <x v="5"/>
    <n v="0"/>
    <n v="0"/>
    <n v="0"/>
    <n v="75.069999999999993"/>
    <n v="78.145133333333305"/>
    <n v="84.22"/>
    <n v="80.38"/>
    <n v="43.668852472688314"/>
    <n v="46.206604802078495"/>
    <n v="59.054718319344147"/>
    <n v="56.767021907452467"/>
    <s v="2. Riesgo (&gt;=40 y &lt;60)"/>
    <s v="2. Riesgo (&gt;=40 y &lt;60)"/>
    <s v="2. Riesgo (&gt;=40 y &lt;60)"/>
    <s v="2. Riesgo (&gt;=40 y &lt;60)"/>
    <n v="79.45378333333332"/>
    <n v="51.424299375390852"/>
    <n v="65.439041354362089"/>
    <n v="53.982380591611367"/>
    <x v="2"/>
    <n v="46.017619408388633"/>
    <n v="0.81759069605862034"/>
    <n v="53.50235137032174"/>
    <n v="0.49863200700655286"/>
    <n v="2"/>
    <b v="0"/>
    <n v="-1"/>
    <n v="0.81759069605862023"/>
    <n v="53.502351370321733"/>
    <n v="0.47111426006485052"/>
    <n v="2"/>
    <b v="0"/>
    <n v="-1"/>
    <n v="53.982380591611367"/>
    <x v="3"/>
    <n v="46.017619408388633"/>
    <n v="0.80397277260026034"/>
    <n v="52.611207513969582"/>
    <n v="0.49882341102079586"/>
    <n v="2"/>
    <b v="0"/>
    <n v="-1"/>
    <n v="9.1987366024349024E-2"/>
    <n v="6.0195650493462178"/>
    <n v="0.35931999419534422"/>
    <n v="3"/>
  </r>
  <r>
    <n v="81736"/>
    <s v="81736"/>
    <s v="81"/>
    <s v="COLOMBIA"/>
    <s v="ARAUCA"/>
    <s v="SARAVENA"/>
    <x v="4"/>
    <n v="0"/>
    <n v="0"/>
    <n v="1"/>
    <n v="70.459999999999994"/>
    <n v="74.527166666666702"/>
    <n v="60.65"/>
    <n v="60.92"/>
    <n v="68.906935023360575"/>
    <n v="69.15198612949402"/>
    <n v="65.432117080495061"/>
    <n v="67.035198817901374"/>
    <s v="3. Vulnerable (&gt;=60 y &lt;70)"/>
    <s v="3. Vulnerable (&gt;=60 y &lt;70)"/>
    <s v="3. Vulnerable (&gt;=60 y &lt;70)"/>
    <s v="3. Vulnerable (&gt;=60 y &lt;70)"/>
    <n v="66.639291666666679"/>
    <n v="67.631559262812758"/>
    <n v="67.135425464739711"/>
    <n v="53.948118881445929"/>
    <x v="2"/>
    <n v="46.051881118554071"/>
    <n v="0.81759069605862034"/>
    <n v="54.889299235908162"/>
    <n v="0.51598126282418377"/>
    <n v="2"/>
    <b v="1"/>
    <n v="0"/>
    <n v="0.81759069605862023"/>
    <n v="54.889299235908155"/>
    <n v="0.48750607146554059"/>
    <n v="2"/>
    <b v="1"/>
    <n v="0"/>
    <n v="53.948118881445929"/>
    <x v="3"/>
    <n v="46.051881118554071"/>
    <n v="0.80397277260026034"/>
    <n v="53.97505415058491"/>
    <n v="0.51624400394462822"/>
    <n v="2"/>
    <b v="1"/>
    <n v="0"/>
    <n v="9.2055853801729204E-2"/>
    <n v="6.1802089114989665"/>
    <n v="0.36890915074453917"/>
    <n v="3"/>
  </r>
  <r>
    <n v="19392"/>
    <s v="19392"/>
    <s v="19"/>
    <s v="COLOMBIA"/>
    <s v="CAUCA"/>
    <s v="LA SIERRA"/>
    <x v="6"/>
    <n v="0"/>
    <n v="0"/>
    <n v="0"/>
    <n v="65.38"/>
    <n v="66.533500000000004"/>
    <n v="48.17"/>
    <n v="53.42"/>
    <n v="52.322983497258754"/>
    <n v="47.657760798135683"/>
    <n v="48.895073575078264"/>
    <n v="51.509751172574362"/>
    <s v="2. Riesgo (&gt;=40 y &lt;60)"/>
    <s v="2. Riesgo (&gt;=40 y &lt;60)"/>
    <s v="2. Riesgo (&gt;=40 y &lt;60)"/>
    <s v="2. Riesgo (&gt;=40 y &lt;60)"/>
    <n v="58.375875000000008"/>
    <n v="50.096392260761768"/>
    <n v="54.236133630380891"/>
    <n v="53.668329663179193"/>
    <x v="2"/>
    <n v="46.331670336820807"/>
    <n v="0.81759069605862034"/>
    <n v="44.342958246391461"/>
    <n v="0.38405765393660057"/>
    <n v="3"/>
    <b v="0"/>
    <n v="-1"/>
    <n v="0.81759069605862023"/>
    <n v="44.342958246391454"/>
    <n v="0.36286286262046191"/>
    <n v="3"/>
    <b v="0"/>
    <n v="-1"/>
    <n v="53.668329663179193"/>
    <x v="3"/>
    <n v="46.331670336820807"/>
    <n v="0.80397277260026034"/>
    <n v="43.60437472993555"/>
    <n v="0.38377794824568801"/>
    <n v="3"/>
    <b v="0"/>
    <n v="-1"/>
    <n v="9.2615141169508114E-2"/>
    <n v="5.0230871726660329"/>
    <n v="0.29983821736773092"/>
    <n v="3"/>
  </r>
  <r>
    <n v="15879"/>
    <s v="15879"/>
    <s v="15"/>
    <s v="COLOMBIA"/>
    <s v="BOYACÁ"/>
    <s v="VIRACACHÁ"/>
    <x v="5"/>
    <n v="0"/>
    <n v="0"/>
    <n v="0"/>
    <n v="69.540000000000006"/>
    <n v="75.4219333333333"/>
    <n v="64.37"/>
    <n v="72.959999999999994"/>
    <n v="57.492394035675154"/>
    <n v="54.368069138810483"/>
    <n v="44.759978264450012"/>
    <n v="56.629603301834663"/>
    <s v="2. Riesgo (&gt;=40 y &lt;60)"/>
    <s v="2. Riesgo (&gt;=40 y &lt;60)"/>
    <s v="2. Riesgo (&gt;=40 y &lt;60)"/>
    <s v="2. Riesgo (&gt;=40 y &lt;60)"/>
    <n v="70.572983333333326"/>
    <n v="53.312511185192577"/>
    <n v="61.942747259262951"/>
    <n v="54.143824139167037"/>
    <x v="2"/>
    <n v="45.856175860832963"/>
    <n v="0.81759069605862034"/>
    <n v="50.64381384748399"/>
    <n v="0.46287471577842149"/>
    <n v="3"/>
    <b v="1"/>
    <n v="0"/>
    <n v="0.81759069605862023"/>
    <n v="50.643813847483983"/>
    <n v="0.43733028799295121"/>
    <n v="3"/>
    <b v="1"/>
    <n v="0"/>
    <n v="54.143824139167037"/>
    <x v="3"/>
    <n v="45.856175860832963"/>
    <n v="0.80397277260026034"/>
    <n v="49.800282256506812"/>
    <n v="0.46291909206371579"/>
    <n v="3"/>
    <b v="1"/>
    <n v="0"/>
    <n v="9.1664646881286047E-2"/>
    <n v="5.6779600543770874"/>
    <n v="0.33892890218069116"/>
    <n v="3"/>
  </r>
  <r>
    <n v="5051"/>
    <s v="05051"/>
    <s v="50"/>
    <s v="COLOMBIA"/>
    <s v="ANTIOQUIA"/>
    <s v="ARBOLETES"/>
    <x v="6"/>
    <n v="0"/>
    <n v="0"/>
    <n v="0"/>
    <n v="41.29"/>
    <n v="43.874666666666698"/>
    <n v="35"/>
    <n v="36.229999999999997"/>
    <n v="48.812408795590443"/>
    <n v="52.398016476513824"/>
    <n v="59.816224620017309"/>
    <n v="47.234877297569099"/>
    <s v="2. Riesgo (&gt;=40 y &lt;60)"/>
    <s v="2. Riesgo (&gt;=40 y &lt;60)"/>
    <s v="2. Riesgo (&gt;=40 y &lt;60)"/>
    <s v="2. Riesgo (&gt;=40 y &lt;60)"/>
    <n v="39.098666666666674"/>
    <n v="52.06538179742266"/>
    <n v="45.582024232044667"/>
    <n v="54.059860796580764"/>
    <x v="2"/>
    <n v="45.940139203419236"/>
    <n v="0.81759069605862034"/>
    <n v="37.267438919638295"/>
    <n v="0.2955503654593013"/>
    <n v="4"/>
    <b v="1"/>
    <n v="0"/>
    <n v="0.81759069605862023"/>
    <n v="37.267438919638295"/>
    <n v="0.27923998014316209"/>
    <n v="4"/>
    <b v="1"/>
    <n v="0"/>
    <n v="54.059860796580764"/>
    <x v="3"/>
    <n v="45.940139203419236"/>
    <n v="0.80397277260026034"/>
    <n v="36.646706402569201"/>
    <n v="0.29490673327470651"/>
    <n v="4"/>
    <b v="1"/>
    <n v="0"/>
    <n v="9.183248621818367E-2"/>
    <n v="4.1859106120861558"/>
    <n v="0.24986545780419547"/>
    <n v="4"/>
  </r>
  <r>
    <n v="73270"/>
    <s v="73270"/>
    <s v="73"/>
    <s v="COLOMBIA"/>
    <s v="TOLIMA"/>
    <s v="FALAN"/>
    <x v="5"/>
    <n v="0"/>
    <n v="0"/>
    <n v="0"/>
    <n v="62.74"/>
    <n v="63.846933333333297"/>
    <n v="36.94"/>
    <n v="35.26"/>
    <n v="54.486921694270173"/>
    <n v="48.288359637907945"/>
    <n v="55.204929406778241"/>
    <n v="54.367972480145724"/>
    <s v="2. Riesgo (&gt;=40 y &lt;60)"/>
    <s v="2. Riesgo (&gt;=40 y &lt;60)"/>
    <s v="2. Riesgo (&gt;=40 y &lt;60)"/>
    <s v="2. Riesgo (&gt;=40 y &lt;60)"/>
    <n v="49.69673333333332"/>
    <n v="53.087045804775514"/>
    <n v="51.391889569054413"/>
    <n v="54.245700855067071"/>
    <x v="2"/>
    <n v="45.754299144932929"/>
    <n v="0.81759069605862034"/>
    <n v="42.017530764530946"/>
    <n v="0.3549690073701422"/>
    <n v="3"/>
    <b v="1"/>
    <n v="0"/>
    <n v="0.81759069605862023"/>
    <n v="42.017530764530939"/>
    <n v="0.33537951616279077"/>
    <n v="4"/>
    <b v="0"/>
    <n v="1"/>
    <n v="54.245700855067071"/>
    <x v="3"/>
    <n v="45.754299144932929"/>
    <n v="0.80397277260026034"/>
    <n v="41.317679945999075"/>
    <n v="0.35456969425103907"/>
    <n v="4"/>
    <b v="0"/>
    <n v="1"/>
    <n v="9.1460999433301229E-2"/>
    <n v="4.700353582751565"/>
    <n v="0.28057359763124279"/>
    <n v="4"/>
  </r>
  <r>
    <n v="47030"/>
    <s v="47030"/>
    <s v="47"/>
    <s v="COLOMBIA"/>
    <s v="MAGDALENA"/>
    <s v="ALGARROBO"/>
    <x v="4"/>
    <n v="0"/>
    <n v="0"/>
    <n v="0"/>
    <n v="90.01"/>
    <n v="89.073333333333295"/>
    <n v="76.87"/>
    <n v="77.09"/>
    <n v="51.560558272198236"/>
    <n v="42.075033940852897"/>
    <n v="46.891133155761636"/>
    <n v="50.774123955098801"/>
    <s v="2. Riesgo (&gt;=40 y &lt;60)"/>
    <s v="2. Riesgo (&gt;=40 y &lt;60)"/>
    <s v="2. Riesgo (&gt;=40 y &lt;60)"/>
    <s v="2. Riesgo (&gt;=40 y &lt;60)"/>
    <n v="83.260833333333323"/>
    <n v="47.825212330977891"/>
    <n v="65.5430228321556"/>
    <n v="54.058393745857899"/>
    <x v="2"/>
    <n v="45.941606254142101"/>
    <n v="0.81759069605862034"/>
    <n v="53.587365659128139"/>
    <n v="0.49969544614601363"/>
    <n v="2"/>
    <b v="1"/>
    <n v="0"/>
    <n v="0.81759069605862023"/>
    <n v="53.587365659128132"/>
    <n v="0.47211901173797061"/>
    <n v="2"/>
    <b v="1"/>
    <n v="0"/>
    <n v="54.058393745857899"/>
    <x v="3"/>
    <n v="45.941606254142101"/>
    <n v="0.80397277260026034"/>
    <n v="52.694805790970307"/>
    <n v="0.49989122283604337"/>
    <n v="2"/>
    <b v="1"/>
    <n v="0"/>
    <n v="9.1835418793435403E-2"/>
    <n v="6.0191709507787081"/>
    <n v="0.35929646965597484"/>
    <n v="3"/>
  </r>
  <r>
    <n v="47258"/>
    <s v="47258"/>
    <s v="47"/>
    <s v="COLOMBIA"/>
    <s v="MAGDALENA"/>
    <s v="EL PIÑÓN"/>
    <x v="5"/>
    <n v="0"/>
    <n v="0"/>
    <n v="0"/>
    <n v="63.54"/>
    <n v="64.5065666666667"/>
    <n v="79.16"/>
    <n v="64.31"/>
    <n v="51.827396466805048"/>
    <n v="50.816774010365855"/>
    <n v="43.234807412612689"/>
    <n v="10.57977479513676"/>
    <s v="2. Riesgo (&gt;=40 y &lt;60)"/>
    <s v="2. Riesgo (&gt;=40 y &lt;60)"/>
    <s v="2. Riesgo (&gt;=40 y &lt;60)"/>
    <s v="1. Deterioro (&lt;40)"/>
    <n v="67.879141666666669"/>
    <n v="39.114688171230085"/>
    <n v="53.496914918948377"/>
    <n v="54.106568047676618"/>
    <x v="2"/>
    <n v="45.893431952323382"/>
    <n v="0.81759069605862034"/>
    <n v="43.738579905571797"/>
    <n v="0.37649751796776787"/>
    <n v="3"/>
    <b v="1"/>
    <n v="0"/>
    <n v="0.81759069605862023"/>
    <n v="43.73857990557179"/>
    <n v="0.35571994396923406"/>
    <n v="3"/>
    <b v="1"/>
    <n v="0"/>
    <n v="54.106568047676618"/>
    <x v="3"/>
    <n v="45.893431952323382"/>
    <n v="0.80397277260026034"/>
    <n v="43.010063012947157"/>
    <n v="0.37618672631972977"/>
    <n v="3"/>
    <b v="1"/>
    <n v="0"/>
    <n v="9.1739120306218183E-2"/>
    <n v="4.9077599137609234"/>
    <n v="0.29295410038242653"/>
    <n v="3"/>
  </r>
  <r>
    <n v="68209"/>
    <s v="68209"/>
    <s v="68"/>
    <s v="COLOMBIA"/>
    <s v="SANTANDER"/>
    <s v="CONFINES"/>
    <x v="5"/>
    <n v="0"/>
    <n v="0"/>
    <n v="0"/>
    <n v="63.42"/>
    <n v="66.797566666666697"/>
    <n v="70.3"/>
    <n v="62.92"/>
    <n v="63.331690717436871"/>
    <n v="69.493284638495609"/>
    <n v="66.058270904290964"/>
    <n v="14.153185492793268"/>
    <s v="3. Vulnerable (&gt;=60 y &lt;70)"/>
    <s v="3. Vulnerable (&gt;=60 y &lt;70)"/>
    <s v="3. Vulnerable (&gt;=60 y &lt;70)"/>
    <s v="1. Deterioro (&lt;40)"/>
    <n v="65.859391666666681"/>
    <n v="53.259107938254175"/>
    <n v="59.559249802460428"/>
    <n v="53.794364510239511"/>
    <x v="2"/>
    <n v="46.205635489760489"/>
    <n v="0.81759069605862034"/>
    <n v="48.695088502722868"/>
    <n v="0.43849821586559545"/>
    <n v="3"/>
    <b v="1"/>
    <n v="0"/>
    <n v="0.81759069605862023"/>
    <n v="48.695088502722861"/>
    <n v="0.41429904138617052"/>
    <n v="3"/>
    <b v="1"/>
    <n v="0"/>
    <n v="53.794364510239511"/>
    <x v="3"/>
    <n v="46.205635489760489"/>
    <n v="0.80397277260026034"/>
    <n v="47.884015197675616"/>
    <n v="0.43844236024576477"/>
    <n v="3"/>
    <b v="1"/>
    <n v="0"/>
    <n v="9.2363202591254606E-2"/>
    <n v="5.5010830556877934"/>
    <n v="0.32837075692911188"/>
    <n v="3"/>
  </r>
  <r>
    <n v="15757"/>
    <s v="15757"/>
    <s v="15"/>
    <s v="COLOMBIA"/>
    <s v="BOYACÁ"/>
    <s v="SOCHA"/>
    <x v="5"/>
    <n v="0"/>
    <n v="0"/>
    <n v="0"/>
    <n v="51.81"/>
    <n v="54.605400000000003"/>
    <n v="44.2"/>
    <n v="48.42"/>
    <n v="61.831972145228598"/>
    <n v="51.983259409847847"/>
    <n v="74.139905915427647"/>
    <n v="72.045244307860827"/>
    <s v="3. Vulnerable (&gt;=60 y &lt;70)"/>
    <s v="2. Riesgo (&gt;=40 y &lt;60)"/>
    <s v="4. Solvente (&gt;=70 y &lt;80)"/>
    <s v="4. Solvente (&gt;=70 y &lt;80)"/>
    <n v="49.75885000000001"/>
    <n v="65.000095444591238"/>
    <n v="57.379472722295624"/>
    <n v="54.018915908855426"/>
    <x v="2"/>
    <n v="45.981084091144574"/>
    <n v="0.81759069605862034"/>
    <n v="46.912923042498299"/>
    <n v="0.41620520453765436"/>
    <n v="3"/>
    <b v="1"/>
    <n v="0"/>
    <n v="0.81759069605862023"/>
    <n v="46.912923042498292"/>
    <n v="0.39323630295621992"/>
    <n v="3"/>
    <b v="1"/>
    <n v="0"/>
    <n v="54.018915908855426"/>
    <x v="3"/>
    <n v="45.981084091144574"/>
    <n v="0.80397277260026034"/>
    <n v="46.131533774885021"/>
    <n v="0.41605768395343745"/>
    <n v="3"/>
    <b v="1"/>
    <n v="0"/>
    <n v="9.1914333398077766E-2"/>
    <n v="5.2739959860029888"/>
    <n v="0.31481547114150438"/>
    <n v="3"/>
  </r>
  <r>
    <n v="73861"/>
    <s v="73861"/>
    <s v="73"/>
    <s v="COLOMBIA"/>
    <s v="TOLIMA"/>
    <s v="VENADILLO"/>
    <x v="5"/>
    <n v="0"/>
    <n v="0"/>
    <n v="0"/>
    <n v="49.34"/>
    <n v="47.413266666666701"/>
    <n v="64.63"/>
    <n v="67.14"/>
    <n v="55.105353254092748"/>
    <n v="56.949028336298973"/>
    <n v="51.433246553513008"/>
    <n v="62.171605441205131"/>
    <s v="2. Riesgo (&gt;=40 y &lt;60)"/>
    <s v="2. Riesgo (&gt;=40 y &lt;60)"/>
    <s v="2. Riesgo (&gt;=40 y &lt;60)"/>
    <s v="3. Vulnerable (&gt;=60 y &lt;70)"/>
    <n v="57.130816666666675"/>
    <n v="56.414808396277465"/>
    <n v="56.77281253147207"/>
    <n v="54.334774911484153"/>
    <x v="2"/>
    <n v="45.665225088515847"/>
    <n v="0.81759069605862034"/>
    <n v="46.416923314811811"/>
    <n v="0.41000077077729113"/>
    <n v="3"/>
    <b v="1"/>
    <n v="0"/>
    <n v="0.81759069605862023"/>
    <n v="46.416923314811804"/>
    <n v="0.38737427007613545"/>
    <n v="3"/>
    <b v="1"/>
    <n v="0"/>
    <n v="54.334774911484153"/>
    <x v="3"/>
    <n v="45.665225088515847"/>
    <n v="0.80397277260026034"/>
    <n v="45.643795499242408"/>
    <n v="0.40982773864636962"/>
    <n v="3"/>
    <b v="1"/>
    <n v="0"/>
    <n v="9.1282943985491208E-2"/>
    <n v="5.1823894662091581"/>
    <n v="0.30934729297734453"/>
    <n v="3"/>
  </r>
  <r>
    <n v="47170"/>
    <s v="47170"/>
    <s v="47"/>
    <s v="COLOMBIA"/>
    <s v="MAGDALENA"/>
    <s v="CHIVOLO"/>
    <x v="6"/>
    <n v="0"/>
    <n v="0"/>
    <n v="0"/>
    <n v="48.68"/>
    <n v="49.848399999999998"/>
    <n v="36.28"/>
    <n v="42"/>
    <n v="58.199746281577141"/>
    <n v="46.94931018359906"/>
    <n v="48.231612575596138"/>
    <n v="59.005711990671287"/>
    <s v="2. Riesgo (&gt;=40 y &lt;60)"/>
    <s v="2. Riesgo (&gt;=40 y &lt;60)"/>
    <s v="2. Riesgo (&gt;=40 y &lt;60)"/>
    <s v="2. Riesgo (&gt;=40 y &lt;60)"/>
    <n v="44.202100000000002"/>
    <n v="53.096595257860912"/>
    <n v="48.649347628930457"/>
    <n v="54.122479293210212"/>
    <x v="2"/>
    <n v="45.877520706789788"/>
    <n v="0.81759069605862034"/>
    <n v="39.775253990735045"/>
    <n v="0.32692048851246414"/>
    <n v="4"/>
    <b v="1"/>
    <n v="0"/>
    <n v="0.81759069605862023"/>
    <n v="39.775253990735038"/>
    <n v="0.30887889642343985"/>
    <n v="4"/>
    <b v="1"/>
    <n v="0"/>
    <n v="54.122479293210212"/>
    <x v="3"/>
    <n v="45.877520706789788"/>
    <n v="0.80397277260026034"/>
    <n v="39.112750898425119"/>
    <n v="0.32640584478843032"/>
    <n v="4"/>
    <b v="1"/>
    <n v="0"/>
    <n v="9.1707314367848944E-2"/>
    <n v="4.4615010167970919"/>
    <n v="0.26631600561109747"/>
    <n v="4"/>
  </r>
  <r>
    <n v="25845"/>
    <s v="25845"/>
    <s v="25"/>
    <s v="COLOMBIA"/>
    <s v="CUNDINAMARCA"/>
    <s v="UNE"/>
    <x v="5"/>
    <n v="0"/>
    <n v="0"/>
    <n v="0"/>
    <n v="56.73"/>
    <n v="60.361699999999999"/>
    <n v="51"/>
    <n v="50.45"/>
    <n v="56.527394783357124"/>
    <n v="68.512527832422833"/>
    <n v="53.909326226770901"/>
    <n v="62.593006712495203"/>
    <s v="2. Riesgo (&gt;=40 y &lt;60)"/>
    <s v="3. Vulnerable (&gt;=60 y &lt;70)"/>
    <s v="2. Riesgo (&gt;=40 y &lt;60)"/>
    <s v="3. Vulnerable (&gt;=60 y &lt;70)"/>
    <n v="54.635424999999998"/>
    <n v="60.38556388876151"/>
    <n v="57.510494444380754"/>
    <n v="54.321190096746022"/>
    <x v="2"/>
    <n v="45.678809903253978"/>
    <n v="0.81759069605862034"/>
    <n v="47.020045183456681"/>
    <n v="0.41754518960366366"/>
    <n v="3"/>
    <b v="1"/>
    <n v="0"/>
    <n v="0.81759069605862023"/>
    <n v="47.020045183456673"/>
    <n v="0.3945023389587235"/>
    <n v="3"/>
    <b v="1"/>
    <n v="0"/>
    <n v="54.321190096746022"/>
    <x v="3"/>
    <n v="45.678809903253978"/>
    <n v="0.80397277260026034"/>
    <n v="46.236871672060666"/>
    <n v="0.41740317880372607"/>
    <n v="3"/>
    <b v="1"/>
    <n v="0"/>
    <n v="9.1310099482488985E-2"/>
    <n v="5.2512889690035367"/>
    <n v="0.31346004344040779"/>
    <n v="3"/>
  </r>
  <r>
    <n v="41791"/>
    <s v="41791"/>
    <s v="41"/>
    <s v="COLOMBIA"/>
    <s v="HUILA"/>
    <s v="TARQUI"/>
    <x v="5"/>
    <n v="0"/>
    <n v="0"/>
    <n v="0"/>
    <n v="60.99"/>
    <n v="66.532866666666706"/>
    <n v="63.67"/>
    <n v="45.9"/>
    <n v="52.592067602203855"/>
    <n v="54.17061055085918"/>
    <n v="55.691063595231881"/>
    <n v="59.503032521996957"/>
    <s v="2. Riesgo (&gt;=40 y &lt;60)"/>
    <s v="2. Riesgo (&gt;=40 y &lt;60)"/>
    <s v="2. Riesgo (&gt;=40 y &lt;60)"/>
    <s v="2. Riesgo (&gt;=40 y &lt;60)"/>
    <n v="59.273216666666677"/>
    <n v="55.489193567572968"/>
    <n v="57.381205117119819"/>
    <n v="54.169596051403502"/>
    <x v="2"/>
    <n v="45.830403948596498"/>
    <n v="0.81759069605862034"/>
    <n v="46.914339432388459"/>
    <n v="0.4162229220821646"/>
    <n v="3"/>
    <b v="1"/>
    <n v="0"/>
    <n v="0.81759069605862023"/>
    <n v="46.914339432388452"/>
    <n v="0.39325304273175538"/>
    <n v="3"/>
    <b v="1"/>
    <n v="0"/>
    <n v="54.169596051403502"/>
    <x v="3"/>
    <n v="45.830403948596498"/>
    <n v="0.80397277260026034"/>
    <n v="46.132926573155068"/>
    <n v="0.41607547434939257"/>
    <n v="3"/>
    <b v="1"/>
    <n v="0"/>
    <n v="9.1613129867704701E-2"/>
    <n v="5.2568717963600999"/>
    <n v="0.3137932936797373"/>
    <n v="3"/>
  </r>
  <r>
    <n v="20228"/>
    <s v="20228"/>
    <s v="20"/>
    <s v="COLOMBIA"/>
    <s v="CESAR"/>
    <s v="CURUMANÍ"/>
    <x v="5"/>
    <n v="0"/>
    <n v="0"/>
    <n v="0"/>
    <n v="70.349999999999994"/>
    <n v="72.869066666666697"/>
    <n v="49.82"/>
    <n v="38.799999999999997"/>
    <n v="51.90768662005587"/>
    <n v="53.334895573751503"/>
    <n v="55.681744759105129"/>
    <n v="50.042779935597295"/>
    <s v="2. Riesgo (&gt;=40 y &lt;60)"/>
    <s v="2. Riesgo (&gt;=40 y &lt;60)"/>
    <s v="2. Riesgo (&gt;=40 y &lt;60)"/>
    <s v="2. Riesgo (&gt;=40 y &lt;60)"/>
    <n v="57.959766666666667"/>
    <n v="52.741776722127454"/>
    <n v="55.350771694397061"/>
    <n v="54.201737754015525"/>
    <x v="2"/>
    <n v="45.798262245984475"/>
    <n v="0.81759069605862034"/>
    <n v="45.25427595700387"/>
    <n v="0.39545727787694773"/>
    <n v="3"/>
    <b v="1"/>
    <n v="0"/>
    <n v="0.81759069605862023"/>
    <n v="45.25427595700387"/>
    <n v="0.37363338140427449"/>
    <n v="3"/>
    <b v="1"/>
    <n v="0"/>
    <n v="54.201737754015525"/>
    <x v="3"/>
    <n v="45.798262245984475"/>
    <n v="0.80397277260026034"/>
    <n v="44.500513384708412"/>
    <n v="0.39522444544632007"/>
    <n v="3"/>
    <b v="1"/>
    <n v="0"/>
    <n v="9.1548879899956942E-2"/>
    <n v="5.0673011502202927"/>
    <n v="0.30247743897725154"/>
    <n v="3"/>
  </r>
  <r>
    <n v="5837"/>
    <s v="05837"/>
    <s v="50"/>
    <s v="COLOMBIA"/>
    <s v="ANTIOQUIA"/>
    <s v="TURBO"/>
    <x v="5"/>
    <n v="0"/>
    <n v="0"/>
    <n v="1"/>
    <n v="56.76"/>
    <n v="57.947299999999998"/>
    <n v="51.83"/>
    <n v="45.25"/>
    <n v="45.590183032174522"/>
    <n v="41.333431907415346"/>
    <n v="40.770034955865739"/>
    <n v="41.192011313069528"/>
    <s v="2. Riesgo (&gt;=40 y &lt;60)"/>
    <s v="2. Riesgo (&gt;=40 y &lt;60)"/>
    <s v="2. Riesgo (&gt;=40 y &lt;60)"/>
    <s v="2. Riesgo (&gt;=40 y &lt;60)"/>
    <n v="52.946825000000004"/>
    <n v="42.221415302131284"/>
    <n v="47.584120151065648"/>
    <n v="54.223906518433871"/>
    <x v="2"/>
    <n v="45.776093481566129"/>
    <n v="0.81759069605862034"/>
    <n v="38.904333915646788"/>
    <n v="0.31602619640940244"/>
    <n v="4"/>
    <b v="0"/>
    <n v="1"/>
    <n v="0.81759069605862023"/>
    <n v="38.904333915646781"/>
    <n v="0.29858582198989914"/>
    <n v="4"/>
    <b v="0"/>
    <n v="1"/>
    <n v="54.223906518433871"/>
    <x v="3"/>
    <n v="45.776093481566129"/>
    <n v="0.80397277260026034"/>
    <n v="38.256337009596166"/>
    <n v="0.31546675726123541"/>
    <n v="4"/>
    <b v="0"/>
    <n v="1"/>
    <n v="9.1504565433605245E-2"/>
    <n v="4.3541642359637205"/>
    <n v="0.25990885639851724"/>
    <n v="4"/>
  </r>
  <r>
    <n v="15761"/>
    <s v="15761"/>
    <s v="15"/>
    <s v="COLOMBIA"/>
    <s v="BOYACÁ"/>
    <s v="SOMONDOCO"/>
    <x v="5"/>
    <n v="0"/>
    <n v="0"/>
    <n v="0"/>
    <n v="61.43"/>
    <n v="65.3975333333333"/>
    <n v="62.85"/>
    <n v="70.56"/>
    <n v="52.771049098930646"/>
    <n v="46.090792523351126"/>
    <n v="39.493648219984095"/>
    <n v="39.27256373350756"/>
    <s v="2. Riesgo (&gt;=40 y &lt;60)"/>
    <s v="2. Riesgo (&gt;=40 y &lt;60)"/>
    <s v="1. Deterioro (&lt;40)"/>
    <s v="1. Deterioro (&lt;40)"/>
    <n v="65.059383333333329"/>
    <n v="44.407013393943352"/>
    <n v="54.733198363638337"/>
    <n v="54.085443955513682"/>
    <x v="2"/>
    <n v="45.914556044486318"/>
    <n v="0.81759069605862034"/>
    <n v="44.749353747641607"/>
    <n v="0.38914123327600275"/>
    <n v="3"/>
    <b v="1"/>
    <n v="0"/>
    <n v="0.81759069605862023"/>
    <n v="44.749353747641599"/>
    <n v="0.36766589709340125"/>
    <n v="3"/>
    <b v="1"/>
    <n v="0"/>
    <n v="54.085443955513682"/>
    <x v="3"/>
    <n v="45.914556044486318"/>
    <n v="0.80397277260026034"/>
    <n v="44.004001241694347"/>
    <n v="0.38888243037441039"/>
    <n v="3"/>
    <b v="1"/>
    <n v="0"/>
    <n v="9.1781346514846651E-2"/>
    <n v="5.0234866448789282"/>
    <n v="0.29986206267084531"/>
    <n v="3"/>
  </r>
  <r>
    <n v="44650"/>
    <s v="44650"/>
    <s v="44"/>
    <s v="COLOMBIA"/>
    <s v="LA GUAJIRA"/>
    <s v="SAN JUAN DEL CESAR"/>
    <x v="4"/>
    <n v="0"/>
    <n v="0"/>
    <n v="1"/>
    <n v="91.22"/>
    <n v="93.986833333333294"/>
    <n v="89.52"/>
    <n v="88.02"/>
    <n v="63.001756575555405"/>
    <n v="65.814363327406298"/>
    <n v="70.450867192745136"/>
    <n v="61.76589037099842"/>
    <s v="3. Vulnerable (&gt;=60 y &lt;70)"/>
    <s v="3. Vulnerable (&gt;=60 y &lt;70)"/>
    <s v="4. Solvente (&gt;=70 y &lt;80)"/>
    <s v="3. Vulnerable (&gt;=60 y &lt;70)"/>
    <n v="90.686708333333314"/>
    <n v="65.258219366676315"/>
    <n v="77.972463850004814"/>
    <n v="54.234667320883126"/>
    <x v="2"/>
    <n v="45.765332679116874"/>
    <n v="0.81759069605862034"/>
    <n v="63.749560992531045"/>
    <n v="0.62681379780330282"/>
    <n v="2"/>
    <b v="1"/>
    <n v="0"/>
    <n v="0.81759069605862023"/>
    <n v="63.749560992531038"/>
    <n v="0.59222214860078393"/>
    <n v="2"/>
    <b v="1"/>
    <n v="0"/>
    <n v="54.234667320883126"/>
    <x v="3"/>
    <n v="45.765332679116874"/>
    <n v="0.80397277260026034"/>
    <n v="62.687737947961942"/>
    <n v="0.6275322629272142"/>
    <n v="2"/>
    <b v="1"/>
    <n v="0"/>
    <n v="9.1483055023324558E-2"/>
    <n v="7.1331592006941751"/>
    <n v="0.42579267797201942"/>
    <n v="2"/>
  </r>
  <r>
    <n v="68524"/>
    <s v="68524"/>
    <s v="68"/>
    <s v="COLOMBIA"/>
    <s v="SANTANDER"/>
    <s v="PALMAS DEL SOCORRO"/>
    <x v="5"/>
    <n v="0"/>
    <n v="0"/>
    <n v="0"/>
    <n v="69.650000000000006"/>
    <n v="71.787466666666703"/>
    <n v="73.849999999999994"/>
    <n v="60.79"/>
    <n v="48.219911545851303"/>
    <n v="58.987563332269701"/>
    <n v="61.393605984942134"/>
    <n v="51.811089091014878"/>
    <s v="2. Riesgo (&gt;=40 y &lt;60)"/>
    <s v="2. Riesgo (&gt;=40 y &lt;60)"/>
    <s v="3. Vulnerable (&gt;=60 y &lt;70)"/>
    <s v="2. Riesgo (&gt;=40 y &lt;60)"/>
    <n v="69.01936666666667"/>
    <n v="55.103042488519506"/>
    <n v="62.061204577593088"/>
    <n v="53.938761880663513"/>
    <x v="2"/>
    <n v="46.061238119336487"/>
    <n v="0.81759069605862034"/>
    <n v="50.740663448830766"/>
    <n v="0.46408620220216701"/>
    <n v="3"/>
    <b v="1"/>
    <n v="0"/>
    <n v="0.81759069605862023"/>
    <n v="50.740663448830759"/>
    <n v="0.43847491674137001"/>
    <n v="3"/>
    <b v="1"/>
    <n v="0"/>
    <n v="53.938761880663513"/>
    <x v="3"/>
    <n v="46.061238119336487"/>
    <n v="0.80397277260026034"/>
    <n v="49.895518715159483"/>
    <n v="0.46413555990779309"/>
    <n v="3"/>
    <b v="1"/>
    <n v="0"/>
    <n v="9.2074558069071319E-2"/>
    <n v="5.7142579847161095"/>
    <n v="0.34109559894562386"/>
    <n v="3"/>
  </r>
  <r>
    <n v="41483"/>
    <s v="41483"/>
    <s v="41"/>
    <s v="COLOMBIA"/>
    <s v="HUILA"/>
    <s v="NÁTAGA"/>
    <x v="5"/>
    <n v="0"/>
    <n v="0"/>
    <n v="0"/>
    <n v="65.010000000000005"/>
    <n v="66.862566666666694"/>
    <n v="55.76"/>
    <n v="37.5"/>
    <n v="54.871967945442009"/>
    <n v="48.233921946830883"/>
    <n v="49.331467587276848"/>
    <n v="55.3055087332759"/>
    <s v="2. Riesgo (&gt;=40 y &lt;60)"/>
    <s v="2. Riesgo (&gt;=40 y &lt;60)"/>
    <s v="2. Riesgo (&gt;=40 y &lt;60)"/>
    <s v="2. Riesgo (&gt;=40 y &lt;60)"/>
    <n v="56.283141666666673"/>
    <n v="51.935716553206412"/>
    <n v="54.109429109936542"/>
    <n v="54.299960924228415"/>
    <x v="2"/>
    <n v="45.700039075771585"/>
    <n v="0.81759069605862034"/>
    <n v="44.239365809327587"/>
    <n v="0.38276182174565293"/>
    <n v="3"/>
    <b v="1"/>
    <n v="0"/>
    <n v="0.81759069605862023"/>
    <n v="44.239365809327587"/>
    <n v="0.36163854285111657"/>
    <n v="3"/>
    <b v="1"/>
    <n v="0"/>
    <n v="54.299960924228415"/>
    <x v="3"/>
    <n v="45.700039075771585"/>
    <n v="0.80397277260026034"/>
    <n v="43.50250774533292"/>
    <n v="0.38247678781936273"/>
    <n v="3"/>
    <b v="1"/>
    <n v="0"/>
    <n v="9.1352535742510191E-2"/>
    <n v="4.9430335567722992"/>
    <n v="0.29505965536824275"/>
    <n v="3"/>
  </r>
  <r>
    <n v="15051"/>
    <s v="15051"/>
    <s v="15"/>
    <s v="COLOMBIA"/>
    <s v="BOYACÁ"/>
    <s v="ARCABUCO"/>
    <x v="5"/>
    <n v="0"/>
    <n v="0"/>
    <n v="0"/>
    <n v="49.5"/>
    <n v="63.246299999999998"/>
    <n v="65.48"/>
    <n v="65.58"/>
    <n v="56.135650764423858"/>
    <n v="54.826969603483988"/>
    <n v="58.915158047580348"/>
    <n v="71.081983327045918"/>
    <s v="2. Riesgo (&gt;=40 y &lt;60)"/>
    <s v="2. Riesgo (&gt;=40 y &lt;60)"/>
    <s v="2. Riesgo (&gt;=40 y &lt;60)"/>
    <s v="4. Solvente (&gt;=70 y &lt;80)"/>
    <n v="60.951574999999991"/>
    <n v="60.239940435633528"/>
    <n v="60.59575771781676"/>
    <n v="54.286120961088926"/>
    <x v="2"/>
    <n v="45.713879038911074"/>
    <n v="0.81759069605862034"/>
    <n v="49.542527730709317"/>
    <n v="0.44909878732255942"/>
    <n v="3"/>
    <b v="1"/>
    <n v="0"/>
    <n v="0.81759069605862023"/>
    <n v="49.54252773070931"/>
    <n v="0.42431460458315262"/>
    <n v="3"/>
    <b v="1"/>
    <n v="0"/>
    <n v="54.286120961088926"/>
    <x v="3"/>
    <n v="45.713879038911074"/>
    <n v="0.80397277260026034"/>
    <n v="48.717339340206763"/>
    <n v="0.44908651939892574"/>
    <n v="3"/>
    <b v="1"/>
    <n v="0"/>
    <n v="9.1380201270876121E-2"/>
    <n v="5.5372525364153402"/>
    <n v="0.33052978627733404"/>
    <n v="3"/>
  </r>
  <r>
    <n v="13650"/>
    <s v="13650"/>
    <s v="13"/>
    <s v="COLOMBIA"/>
    <s v="BOLÍVAR"/>
    <s v="SAN FERNANDO"/>
    <x v="6"/>
    <n v="0"/>
    <n v="0"/>
    <n v="0"/>
    <n v="58.43"/>
    <n v="65.5409333333333"/>
    <n v="64.900000000000006"/>
    <n v="66.28"/>
    <n v="43.670952753740934"/>
    <n v="58.564462871314504"/>
    <n v="41.359005697534478"/>
    <n v="50.290058156688609"/>
    <s v="2. Riesgo (&gt;=40 y &lt;60)"/>
    <s v="2. Riesgo (&gt;=40 y &lt;60)"/>
    <s v="2. Riesgo (&gt;=40 y &lt;60)"/>
    <s v="2. Riesgo (&gt;=40 y &lt;60)"/>
    <n v="63.787733333333328"/>
    <n v="48.471119869819631"/>
    <n v="56.129426601576483"/>
    <n v="54.337250806400192"/>
    <x v="2"/>
    <n v="45.662749193599808"/>
    <n v="0.81759069605862034"/>
    <n v="45.890896964554159"/>
    <n v="0.40342073561960623"/>
    <n v="3"/>
    <b v="0"/>
    <n v="-1"/>
    <n v="0.81759069605862023"/>
    <n v="45.890896964554152"/>
    <n v="0.38115736391898081"/>
    <n v="3"/>
    <b v="0"/>
    <n v="-1"/>
    <n v="54.337250806400192"/>
    <x v="3"/>
    <n v="45.662749193599808"/>
    <n v="0.80397277260026034"/>
    <n v="45.126530729332252"/>
    <n v="0.40322064753471243"/>
    <n v="3"/>
    <b v="0"/>
    <n v="-1"/>
    <n v="9.127799477136829E-2"/>
    <n v="5.123381507858598"/>
    <n v="0.30582498877792313"/>
    <n v="3"/>
  </r>
  <r>
    <n v="70124"/>
    <s v="70124"/>
    <s v="70"/>
    <s v="COLOMBIA"/>
    <s v="SUCRE"/>
    <s v="CAIMITO"/>
    <x v="6"/>
    <n v="0"/>
    <n v="0"/>
    <n v="0"/>
    <n v="57.36"/>
    <n v="57.100533333333303"/>
    <n v="36.76"/>
    <n v="36.96"/>
    <n v="51.603673371223024"/>
    <n v="46.379901972630812"/>
    <n v="50.325112093040467"/>
    <n v="47.786649543512198"/>
    <s v="2. Riesgo (&gt;=40 y &lt;60)"/>
    <s v="2. Riesgo (&gt;=40 y &lt;60)"/>
    <s v="2. Riesgo (&gt;=40 y &lt;60)"/>
    <s v="2. Riesgo (&gt;=40 y &lt;60)"/>
    <n v="47.045133333333325"/>
    <n v="49.023834245101625"/>
    <n v="48.034483789217475"/>
    <n v="54.344048052201067"/>
    <x v="2"/>
    <n v="45.655951947798933"/>
    <n v="0.81759069605862034"/>
    <n v="39.27254703604283"/>
    <n v="0.32063215441234294"/>
    <n v="4"/>
    <b v="1"/>
    <n v="0"/>
    <n v="0.81759069605862023"/>
    <n v="39.272547036042823"/>
    <n v="0.30293759336829879"/>
    <n v="4"/>
    <b v="1"/>
    <n v="0"/>
    <n v="54.344048052201067"/>
    <x v="3"/>
    <n v="45.655951947798933"/>
    <n v="0.80397277260026034"/>
    <n v="38.618417112439431"/>
    <n v="0.32009165415807833"/>
    <n v="4"/>
    <b v="1"/>
    <n v="0"/>
    <n v="9.1264407351039259E-2"/>
    <n v="4.3838386954360358"/>
    <n v="0.26168018481143979"/>
    <n v="4"/>
  </r>
  <r>
    <n v="19532"/>
    <s v="19532"/>
    <s v="19"/>
    <s v="COLOMBIA"/>
    <s v="CAUCA"/>
    <s v="PATÍA"/>
    <x v="5"/>
    <n v="0"/>
    <n v="0"/>
    <n v="1"/>
    <n v="56.79"/>
    <n v="59.175533333333298"/>
    <n v="79.400000000000006"/>
    <n v="66.36"/>
    <n v="55.200371127444029"/>
    <s v="N.D."/>
    <n v="44.943126679409765"/>
    <n v="45.899634301552467"/>
    <s v="2. Riesgo (&gt;=40 y &lt;60)"/>
    <s v="No Evaluado"/>
    <s v="2. Riesgo (&gt;=40 y &lt;60)"/>
    <s v="2. Riesgo (&gt;=40 y &lt;60)"/>
    <n v="65.431383333333329"/>
    <n v="48.681044036135425"/>
    <n v="57.056213684734374"/>
    <n v="54.391054271063474"/>
    <x v="2"/>
    <n v="45.608945728936526"/>
    <n v="0.81759069605862034"/>
    <n v="46.648629460971357"/>
    <n v="0.41289917042444702"/>
    <n v="3"/>
    <b v="1"/>
    <n v="0"/>
    <n v="0.81759069605862023"/>
    <n v="46.64862946097135"/>
    <n v="0.39011271723948443"/>
    <n v="3"/>
    <b v="1"/>
    <n v="0"/>
    <n v="54.391054271063474"/>
    <x v="3"/>
    <n v="45.608945728936526"/>
    <n v="0.80397277260026034"/>
    <n v="45.871642310188811"/>
    <n v="0.4127380560060554"/>
    <n v="3"/>
    <b v="1"/>
    <n v="0"/>
    <n v="9.1170443814561131E-2"/>
    <n v="5.2018403240156692"/>
    <n v="0.31050835396046139"/>
    <n v="3"/>
  </r>
  <r>
    <n v="15808"/>
    <s v="15808"/>
    <s v="15"/>
    <s v="COLOMBIA"/>
    <s v="BOYACÁ"/>
    <s v="TINJACÁ"/>
    <x v="5"/>
    <n v="0"/>
    <n v="0"/>
    <n v="0"/>
    <n v="57.25"/>
    <n v="59.3671333333333"/>
    <n v="62.65"/>
    <n v="61.68"/>
    <n v="61.089382853619263"/>
    <n v="64.515970653278146"/>
    <n v="55.336844503489978"/>
    <n v="47.640217392073652"/>
    <s v="3. Vulnerable (&gt;=60 y &lt;70)"/>
    <s v="3. Vulnerable (&gt;=60 y &lt;70)"/>
    <s v="2. Riesgo (&gt;=40 y &lt;60)"/>
    <s v="2. Riesgo (&gt;=40 y &lt;60)"/>
    <n v="60.236783333333328"/>
    <n v="57.145603850615259"/>
    <n v="58.691193591974297"/>
    <n v="54.589140912418941"/>
    <x v="2"/>
    <n v="45.410859087581059"/>
    <n v="0.81759069605862034"/>
    <n v="47.9853738213735"/>
    <n v="0.42962043331170519"/>
    <n v="3"/>
    <b v="1"/>
    <n v="0"/>
    <n v="0.81759069605862023"/>
    <n v="47.9853738213735"/>
    <n v="0.40591119243118423"/>
    <n v="3"/>
    <b v="1"/>
    <n v="0"/>
    <n v="54.589140912418941"/>
    <x v="3"/>
    <n v="45.410859087581059"/>
    <n v="0.80397277260026034"/>
    <n v="47.186121639358205"/>
    <n v="0.42952807380239721"/>
    <n v="3"/>
    <b v="1"/>
    <n v="0"/>
    <n v="9.0774476604236959E-2"/>
    <n v="5.3276623795894134"/>
    <n v="0.31801892655296365"/>
    <n v="3"/>
  </r>
  <r>
    <n v="25649"/>
    <s v="25649"/>
    <s v="25"/>
    <s v="COLOMBIA"/>
    <s v="CUNDINAMARCA"/>
    <s v="SAN BERNARDO"/>
    <x v="5"/>
    <n v="0"/>
    <n v="0"/>
    <n v="0"/>
    <n v="52.01"/>
    <n v="58.662399999999998"/>
    <n v="75.59"/>
    <n v="55.58"/>
    <n v="57.612578744552025"/>
    <n v="65.828121237690709"/>
    <n v="57.810263981774654"/>
    <n v="63.466369619675227"/>
    <s v="2. Riesgo (&gt;=40 y &lt;60)"/>
    <s v="3. Vulnerable (&gt;=60 y &lt;70)"/>
    <s v="2. Riesgo (&gt;=40 y &lt;60)"/>
    <s v="3. Vulnerable (&gt;=60 y &lt;70)"/>
    <n v="60.460599999999999"/>
    <n v="61.179333395923152"/>
    <n v="60.819966697961576"/>
    <n v="54.496625822409086"/>
    <x v="2"/>
    <n v="45.503374177590914"/>
    <n v="0.81759069605862034"/>
    <n v="49.725838906848516"/>
    <n v="0.45139181690786767"/>
    <n v="3"/>
    <b v="1"/>
    <n v="0"/>
    <n v="0.81759069605862023"/>
    <n v="49.725838906848509"/>
    <n v="0.42648108992947958"/>
    <n v="3"/>
    <b v="1"/>
    <n v="0"/>
    <n v="54.496625822409086"/>
    <x v="3"/>
    <n v="45.503374177590914"/>
    <n v="0.80397277260026034"/>
    <n v="48.897597255615672"/>
    <n v="0.45138897752092561"/>
    <n v="3"/>
    <b v="1"/>
    <n v="0"/>
    <n v="9.0959410539475705E-2"/>
    <n v="5.5321483198771277"/>
    <n v="0.3302251052842976"/>
    <n v="3"/>
  </r>
  <r>
    <n v="15816"/>
    <s v="15816"/>
    <s v="15"/>
    <s v="COLOMBIA"/>
    <s v="BOYACÁ"/>
    <s v="TOGÜÍ"/>
    <x v="4"/>
    <n v="0"/>
    <n v="0"/>
    <n v="0"/>
    <n v="86.98"/>
    <n v="86.257599999999996"/>
    <n v="67.58"/>
    <n v="57.56"/>
    <n v="49.162689425182194"/>
    <n v="55.129864736066672"/>
    <n v="50.373218276438706"/>
    <n v="55.387343376149481"/>
    <s v="2. Riesgo (&gt;=40 y &lt;60)"/>
    <s v="2. Riesgo (&gt;=40 y &lt;60)"/>
    <s v="2. Riesgo (&gt;=40 y &lt;60)"/>
    <s v="2. Riesgo (&gt;=40 y &lt;60)"/>
    <n v="74.594399999999993"/>
    <n v="52.513278953459263"/>
    <n v="63.553839476729628"/>
    <n v="54.822179076487622"/>
    <x v="2"/>
    <n v="45.177820923512378"/>
    <n v="0.81759069605862034"/>
    <n v="51.961027854977203"/>
    <n v="0.47935167453772137"/>
    <n v="2"/>
    <b v="1"/>
    <n v="0"/>
    <n v="0.81759069605862023"/>
    <n v="51.961027854977196"/>
    <n v="0.45289794134237732"/>
    <n v="3"/>
    <b v="0"/>
    <n v="1"/>
    <n v="54.822179076487622"/>
    <x v="3"/>
    <n v="45.177820923512378"/>
    <n v="0.80397277260026034"/>
    <n v="51.095556533498197"/>
    <n v="0.47946380119624454"/>
    <n v="3"/>
    <b v="0"/>
    <n v="1"/>
    <n v="9.0308642709058973E-2"/>
    <n v="5.7394609820928633"/>
    <n v="0.34260001675602758"/>
    <n v="3"/>
  </r>
  <r>
    <n v="15087"/>
    <s v="15087"/>
    <s v="15"/>
    <s v="COLOMBIA"/>
    <s v="BOYACÁ"/>
    <s v="BELÉN"/>
    <x v="5"/>
    <n v="0"/>
    <n v="0"/>
    <n v="0"/>
    <n v="52.61"/>
    <n v="53.608899999999998"/>
    <n v="38.78"/>
    <n v="52.48"/>
    <n v="57.412529694427079"/>
    <n v="53.719137325401441"/>
    <n v="63.536475808170664"/>
    <n v="65.315960808272308"/>
    <s v="2. Riesgo (&gt;=40 y &lt;60)"/>
    <s v="2. Riesgo (&gt;=40 y &lt;60)"/>
    <s v="3. Vulnerable (&gt;=60 y &lt;70)"/>
    <s v="3. Vulnerable (&gt;=60 y &lt;70)"/>
    <n v="49.369724999999995"/>
    <n v="59.996025909067875"/>
    <n v="54.682875454533935"/>
    <n v="54.365106883483641"/>
    <x v="2"/>
    <n v="45.634893116516359"/>
    <n v="0.81759069605862034"/>
    <n v="44.708210205359244"/>
    <n v="0.38862657093143188"/>
    <n v="3"/>
    <b v="1"/>
    <n v="0"/>
    <n v="0.81759069605862023"/>
    <n v="44.708210205359237"/>
    <n v="0.36717963715372887"/>
    <n v="3"/>
    <b v="1"/>
    <n v="0"/>
    <n v="54.365106883483641"/>
    <x v="3"/>
    <n v="45.634893116516359"/>
    <n v="0.80397277260026034"/>
    <n v="43.963542992936368"/>
    <n v="0.38836565182827343"/>
    <n v="3"/>
    <b v="1"/>
    <n v="0"/>
    <n v="9.1222311596279693E-2"/>
    <n v="4.9882983036940489"/>
    <n v="0.2977615995233181"/>
    <n v="3"/>
  </r>
  <r>
    <n v="52215"/>
    <s v="52215"/>
    <s v="52"/>
    <s v="COLOMBIA"/>
    <s v="NARIÑO"/>
    <s v="CÓRDOBA"/>
    <x v="5"/>
    <n v="0"/>
    <n v="0"/>
    <n v="0"/>
    <n v="51.98"/>
    <n v="55.182566666666702"/>
    <n v="32.68"/>
    <n v="30.47"/>
    <n v="55.224512938726114"/>
    <n v="52.495732582982512"/>
    <n v="50.252717110198837"/>
    <n v="62.565522043438882"/>
    <s v="2. Riesgo (&gt;=40 y &lt;60)"/>
    <s v="2. Riesgo (&gt;=40 y &lt;60)"/>
    <s v="2. Riesgo (&gt;=40 y &lt;60)"/>
    <s v="3. Vulnerable (&gt;=60 y &lt;70)"/>
    <n v="42.578141666666674"/>
    <n v="55.134621168836581"/>
    <n v="48.856381417751628"/>
    <n v="54.526235888018107"/>
    <x v="2"/>
    <n v="45.473764111981893"/>
    <n v="0.81759069605862034"/>
    <n v="39.944522890244997"/>
    <n v="0.32903786401909524"/>
    <n v="4"/>
    <b v="0"/>
    <n v="1"/>
    <n v="0.81759069605862023"/>
    <n v="39.94452289024499"/>
    <n v="0.31087942142197422"/>
    <n v="4"/>
    <b v="0"/>
    <n v="1"/>
    <n v="54.526235888018107"/>
    <x v="3"/>
    <n v="45.473764111981893"/>
    <n v="0.80397277260026034"/>
    <n v="39.279200427645613"/>
    <n v="0.32853192657289682"/>
    <n v="4"/>
    <b v="0"/>
    <n v="1"/>
    <n v="9.090022121203549E-2"/>
    <n v="4.441055878493203"/>
    <n v="0.2650955940171611"/>
    <n v="4"/>
  </r>
  <r>
    <n v="15131"/>
    <s v="15131"/>
    <s v="15"/>
    <s v="COLOMBIA"/>
    <s v="BOYACÁ"/>
    <s v="CALDAS"/>
    <x v="5"/>
    <n v="0"/>
    <n v="0"/>
    <n v="0"/>
    <n v="58.49"/>
    <n v="61.680333333333301"/>
    <n v="54.22"/>
    <n v="44.14"/>
    <n v="54.90044070360041"/>
    <n v="45.114255984773408"/>
    <n v="45.959897263906427"/>
    <n v="51.541141550886316"/>
    <s v="2. Riesgo (&gt;=40 y &lt;60)"/>
    <s v="2. Riesgo (&gt;=40 y &lt;60)"/>
    <s v="2. Riesgo (&gt;=40 y &lt;60)"/>
    <s v="2. Riesgo (&gt;=40 y &lt;60)"/>
    <n v="54.632583333333329"/>
    <n v="49.378933875791645"/>
    <n v="52.005758604562487"/>
    <n v="54.775329176899653"/>
    <x v="2"/>
    <n v="45.224670823100347"/>
    <n v="0.81759069605862034"/>
    <n v="42.519424376560828"/>
    <n v="0.36124716741090157"/>
    <n v="3"/>
    <b v="1"/>
    <n v="0"/>
    <n v="0.81759069605862023"/>
    <n v="42.519424376560821"/>
    <n v="0.34131120662912739"/>
    <n v="3"/>
    <b v="1"/>
    <n v="0"/>
    <n v="54.775329176899653"/>
    <x v="3"/>
    <n v="45.224670823100347"/>
    <n v="0.80397277260026034"/>
    <n v="41.811213936489949"/>
    <n v="0.36087366898807616"/>
    <n v="3"/>
    <b v="1"/>
    <n v="0"/>
    <n v="9.0402293769609413E-2"/>
    <n v="4.7014398670810502"/>
    <n v="0.28063844013660078"/>
    <n v="4"/>
  </r>
  <r>
    <n v="15380"/>
    <s v="15380"/>
    <s v="15"/>
    <s v="COLOMBIA"/>
    <s v="BOYACÁ"/>
    <s v="LA CAPILLA"/>
    <x v="5"/>
    <n v="0"/>
    <n v="0"/>
    <n v="0"/>
    <n v="69.67"/>
    <n v="75.666633333333294"/>
    <n v="69.069999999999993"/>
    <n v="46.35"/>
    <n v="54.59772683910343"/>
    <n v="61.555662480401459"/>
    <n v="41.968396056447901"/>
    <n v="55.216654749448175"/>
    <s v="2. Riesgo (&gt;=40 y &lt;60)"/>
    <s v="3. Vulnerable (&gt;=60 y &lt;70)"/>
    <s v="2. Riesgo (&gt;=40 y &lt;60)"/>
    <s v="2. Riesgo (&gt;=40 y &lt;60)"/>
    <n v="65.189158333333324"/>
    <n v="53.334610031350245"/>
    <n v="59.261884182341788"/>
    <n v="54.362826597204482"/>
    <x v="2"/>
    <n v="45.637173402795518"/>
    <n v="0.81759069605862034"/>
    <n v="48.451965138386164"/>
    <n v="0.43545699885392569"/>
    <n v="3"/>
    <b v="1"/>
    <n v="0"/>
    <n v="0.81759069605862023"/>
    <n v="48.451965138386157"/>
    <n v="0.41142565844641343"/>
    <n v="3"/>
    <b v="1"/>
    <n v="0"/>
    <n v="54.362826597204482"/>
    <x v="3"/>
    <n v="45.637173402795518"/>
    <n v="0.80397277260026034"/>
    <n v="47.64494133559284"/>
    <n v="0.43538863828153551"/>
    <n v="3"/>
    <b v="1"/>
    <n v="0"/>
    <n v="9.1226869796623339E-2"/>
    <n v="5.4062761922050662"/>
    <n v="0.32271154378712713"/>
    <n v="3"/>
  </r>
  <r>
    <n v="15810"/>
    <s v="15810"/>
    <s v="15"/>
    <s v="COLOMBIA"/>
    <s v="BOYACÁ"/>
    <s v="TIPACOQUE"/>
    <x v="5"/>
    <n v="0"/>
    <n v="0"/>
    <n v="0"/>
    <n v="64.239999999999995"/>
    <n v="73.085666666666697"/>
    <n v="46.82"/>
    <n v="58.31"/>
    <n v="50.954510357599311"/>
    <n v="36.67821299545362"/>
    <n v="39.261039081038263"/>
    <n v="48.06423516222155"/>
    <s v="2. Riesgo (&gt;=40 y &lt;60)"/>
    <s v="1. Deterioro (&lt;40)"/>
    <s v="1. Deterioro (&lt;40)"/>
    <s v="2. Riesgo (&gt;=40 y &lt;60)"/>
    <n v="60.613916666666668"/>
    <n v="43.739499399078184"/>
    <n v="52.176708032872426"/>
    <n v="54.523992868982127"/>
    <x v="2"/>
    <n v="45.476007131017873"/>
    <n v="0.81759069605862034"/>
    <n v="42.659191038643577"/>
    <n v="0.36299550102560796"/>
    <n v="3"/>
    <b v="1"/>
    <n v="0"/>
    <n v="0.81759069605862023"/>
    <n v="42.65919103864357"/>
    <n v="0.34296305585995318"/>
    <n v="3"/>
    <b v="1"/>
    <n v="0"/>
    <n v="54.523992868982127"/>
    <x v="3"/>
    <n v="45.476007131017873"/>
    <n v="0.80397277260026034"/>
    <n v="41.948652622342721"/>
    <n v="0.36262919144488959"/>
    <n v="3"/>
    <b v="1"/>
    <n v="0"/>
    <n v="9.0904704916662443E-2"/>
    <n v="4.7431082472511186"/>
    <n v="0.28312570989747238"/>
    <n v="4"/>
  </r>
  <r>
    <n v="25324"/>
    <s v="25324"/>
    <s v="25"/>
    <s v="COLOMBIA"/>
    <s v="CUNDINAMARCA"/>
    <s v="GUATAQUÍ"/>
    <x v="5"/>
    <n v="0"/>
    <n v="0"/>
    <n v="0"/>
    <n v="62.71"/>
    <n v="66.689300000000003"/>
    <n v="62.79"/>
    <n v="59.52"/>
    <n v="58.824452518558516"/>
    <n v="53.481091300202074"/>
    <n v="54.159385402806208"/>
    <n v="64.096034739175593"/>
    <s v="2. Riesgo (&gt;=40 y &lt;60)"/>
    <s v="2. Riesgo (&gt;=40 y &lt;60)"/>
    <s v="2. Riesgo (&gt;=40 y &lt;60)"/>
    <s v="3. Vulnerable (&gt;=60 y &lt;70)"/>
    <n v="62.927325000000003"/>
    <n v="57.640240990185596"/>
    <n v="60.2837829950928"/>
    <n v="54.633132764654327"/>
    <x v="2"/>
    <n v="45.366867235345673"/>
    <n v="0.81759069605862034"/>
    <n v="49.287460100004743"/>
    <n v="0.44590816012907109"/>
    <n v="3"/>
    <b v="1"/>
    <n v="0"/>
    <n v="0.81759069605862023"/>
    <n v="49.287460100004736"/>
    <n v="0.42130005688408506"/>
    <n v="3"/>
    <b v="1"/>
    <n v="0"/>
    <n v="54.633132764654327"/>
    <x v="3"/>
    <n v="45.366867235345673"/>
    <n v="0.80397277260026034"/>
    <n v="48.466520157397184"/>
    <n v="0.44588277290433626"/>
    <n v="3"/>
    <b v="1"/>
    <n v="0"/>
    <n v="9.0686538665123828E-2"/>
    <n v="5.4669276174644175"/>
    <n v="0.32633194984528519"/>
    <n v="3"/>
  </r>
  <r>
    <n v="23090"/>
    <s v="23090"/>
    <s v="23"/>
    <s v="COLOMBIA"/>
    <s v="CÓRDOBA"/>
    <s v="CANALETE"/>
    <x v="6"/>
    <n v="0"/>
    <n v="0"/>
    <n v="0"/>
    <n v="47.55"/>
    <n v="46.853733333333302"/>
    <n v="38.83"/>
    <n v="33.31"/>
    <n v="53.275040781330155"/>
    <n v="53.98183594383778"/>
    <n v="51.580717839985468"/>
    <n v="11.302324899111554"/>
    <s v="2. Riesgo (&gt;=40 y &lt;60)"/>
    <s v="2. Riesgo (&gt;=40 y &lt;60)"/>
    <s v="2. Riesgo (&gt;=40 y &lt;60)"/>
    <s v="1. Deterioro (&lt;40)"/>
    <n v="41.635933333333327"/>
    <n v="42.534979866066237"/>
    <n v="42.085456599699782"/>
    <n v="54.603022178242277"/>
    <x v="2"/>
    <n v="45.396977821757723"/>
    <n v="0.81759069605862034"/>
    <n v="34.408677755293404"/>
    <n v="0.25979027671165589"/>
    <n v="4"/>
    <b v="1"/>
    <n v="0"/>
    <n v="0.81759069605862023"/>
    <n v="34.408677755293397"/>
    <n v="0.24545336493701272"/>
    <n v="4"/>
    <b v="1"/>
    <n v="0"/>
    <n v="54.603022178242277"/>
    <x v="3"/>
    <n v="45.396977821757723"/>
    <n v="0.80397277260026034"/>
    <n v="33.835561228608562"/>
    <n v="0.25899960529520133"/>
    <n v="4"/>
    <b v="1"/>
    <n v="0"/>
    <n v="9.0746728513471098E-2"/>
    <n v="3.8191175044184265"/>
    <n v="0.22797083647563701"/>
    <n v="4"/>
  </r>
  <r>
    <n v="15696"/>
    <s v="15696"/>
    <s v="15"/>
    <s v="COLOMBIA"/>
    <s v="BOYACÁ"/>
    <s v="SANTA SOFÍA"/>
    <x v="4"/>
    <n v="0"/>
    <n v="0"/>
    <n v="0"/>
    <n v="65.83"/>
    <n v="64.999333333333297"/>
    <n v="58.31"/>
    <n v="59.52"/>
    <n v="66.529534278949512"/>
    <n v="66.670994087771049"/>
    <n v="60.677723658002478"/>
    <n v="69.82518730946822"/>
    <s v="3. Vulnerable (&gt;=60 y &lt;70)"/>
    <s v="3. Vulnerable (&gt;=60 y &lt;70)"/>
    <s v="3. Vulnerable (&gt;=60 y &lt;70)"/>
    <s v="3. Vulnerable (&gt;=60 y &lt;70)"/>
    <n v="62.164833333333327"/>
    <n v="65.925859833547818"/>
    <n v="64.045346583440576"/>
    <n v="54.856408784408636"/>
    <x v="2"/>
    <n v="45.143591215591364"/>
    <n v="0.81759069605862034"/>
    <n v="52.362879492470761"/>
    <n v="0.48437841493121248"/>
    <n v="2"/>
    <b v="1"/>
    <n v="0"/>
    <n v="0.81759069605862023"/>
    <n v="52.362879492470753"/>
    <n v="0.45764727361094659"/>
    <n v="3"/>
    <b v="0"/>
    <n v="1"/>
    <n v="54.856408784408636"/>
    <x v="3"/>
    <n v="45.143591215591364"/>
    <n v="0.80397277260026034"/>
    <n v="51.490714864833329"/>
    <n v="0.48451121066724928"/>
    <n v="2"/>
    <b v="1"/>
    <n v="0"/>
    <n v="9.024021890287523E-2"/>
    <n v="5.7794660954001902"/>
    <n v="0.3449880027589256"/>
    <n v="3"/>
  </r>
  <r>
    <n v="68266"/>
    <s v="68266"/>
    <s v="68"/>
    <s v="COLOMBIA"/>
    <s v="SANTANDER"/>
    <s v="ENCISO"/>
    <x v="5"/>
    <n v="0"/>
    <n v="0"/>
    <n v="0"/>
    <n v="79.069999999999993"/>
    <n v="80.806933333333305"/>
    <n v="82.14"/>
    <n v="37.39"/>
    <n v="53.144550186669235"/>
    <n v="62.20217973278033"/>
    <n v="46.639877881693401"/>
    <n v="60.045480109157573"/>
    <s v="2. Riesgo (&gt;=40 y &lt;60)"/>
    <s v="3. Vulnerable (&gt;=60 y &lt;70)"/>
    <s v="2. Riesgo (&gt;=40 y &lt;60)"/>
    <s v="3. Vulnerable (&gt;=60 y &lt;70)"/>
    <n v="69.851733333333314"/>
    <n v="55.508021977575133"/>
    <n v="62.67987765545422"/>
    <n v="54.632969619244051"/>
    <x v="2"/>
    <n v="45.367030380755949"/>
    <n v="0.81759069605862034"/>
    <n v="51.246484801191983"/>
    <n v="0.47041349413424283"/>
    <n v="3"/>
    <b v="1"/>
    <n v="0"/>
    <n v="0.81759069605862023"/>
    <n v="51.246484801191976"/>
    <n v="0.44445302768272205"/>
    <n v="3"/>
    <b v="1"/>
    <n v="0"/>
    <n v="54.632969619244051"/>
    <x v="3"/>
    <n v="45.367030380755949"/>
    <n v="0.80397277260026034"/>
    <n v="50.392915024900638"/>
    <n v="0.47048886855789251"/>
    <n v="3"/>
    <b v="1"/>
    <n v="0"/>
    <n v="9.0686864786221871E-2"/>
    <n v="5.6842415897571064"/>
    <n v="0.33930385971296856"/>
    <n v="3"/>
  </r>
  <r>
    <n v="85440"/>
    <s v="85440"/>
    <s v="85"/>
    <s v="COLOMBIA"/>
    <s v="CASANARE"/>
    <s v="VILLANUEVA"/>
    <x v="5"/>
    <n v="0"/>
    <n v="0"/>
    <n v="0"/>
    <n v="58.99"/>
    <n v="65.656433333333297"/>
    <n v="87.46"/>
    <n v="85.51"/>
    <n v="50.873907341632609"/>
    <n v="47.860839002676876"/>
    <n v="53.985127004396929"/>
    <n v="56.648511878146714"/>
    <s v="2. Riesgo (&gt;=40 y &lt;60)"/>
    <s v="2. Riesgo (&gt;=40 y &lt;60)"/>
    <s v="2. Riesgo (&gt;=40 y &lt;60)"/>
    <s v="2. Riesgo (&gt;=40 y &lt;60)"/>
    <n v="74.404108333333326"/>
    <n v="52.34209630671328"/>
    <n v="63.373102320023307"/>
    <n v="54.852529105204574"/>
    <x v="2"/>
    <n v="45.147470894795426"/>
    <n v="0.81759069605862034"/>
    <n v="51.813258837222023"/>
    <n v="0.47750323988883087"/>
    <n v="3"/>
    <b v="1"/>
    <n v="0"/>
    <n v="0.81759069605862023"/>
    <n v="51.813258837222016"/>
    <n v="0.45115151530142156"/>
    <n v="3"/>
    <b v="1"/>
    <n v="0"/>
    <n v="54.852529105204574"/>
    <x v="3"/>
    <n v="45.147470894795426"/>
    <n v="0.80397277260026034"/>
    <n v="50.950248780509128"/>
    <n v="0.47760776610729827"/>
    <n v="3"/>
    <b v="1"/>
    <n v="0"/>
    <n v="9.0247974225197175E-2"/>
    <n v="5.7192941047482471"/>
    <n v="0.34139621512069307"/>
    <n v="3"/>
  </r>
  <r>
    <n v="54418"/>
    <s v="54418"/>
    <s v="54"/>
    <s v="COLOMBIA"/>
    <s v="NORTE DE SANTANDER"/>
    <s v="LOURDES"/>
    <x v="6"/>
    <n v="0"/>
    <n v="0"/>
    <n v="0"/>
    <n v="45.07"/>
    <n v="42.2783333333333"/>
    <n v="34.1"/>
    <n v="54.96"/>
    <n v="49.703255439162788"/>
    <n v="43.79695494794143"/>
    <n v="46.398792368834933"/>
    <n v="47.756663382925531"/>
    <s v="2. Riesgo (&gt;=40 y &lt;60)"/>
    <s v="2. Riesgo (&gt;=40 y &lt;60)"/>
    <s v="2. Riesgo (&gt;=40 y &lt;60)"/>
    <s v="2. Riesgo (&gt;=40 y &lt;60)"/>
    <n v="44.102083333333326"/>
    <n v="46.913916534716165"/>
    <n v="45.507999934024745"/>
    <n v="54.722814205332938"/>
    <x v="2"/>
    <n v="45.277185794667062"/>
    <n v="0.81759069605862034"/>
    <n v="37.206917342294943"/>
    <n v="0.29479330432249179"/>
    <n v="4"/>
    <b v="1"/>
    <n v="0"/>
    <n v="0.81759069605862023"/>
    <n v="37.206917342294936"/>
    <n v="0.2785246985481577"/>
    <n v="4"/>
    <b v="1"/>
    <n v="0"/>
    <n v="54.722814205332938"/>
    <x v="3"/>
    <n v="45.277185794667062"/>
    <n v="0.80397277260026034"/>
    <n v="36.587192882450339"/>
    <n v="0.29414655923488336"/>
    <n v="4"/>
    <b v="1"/>
    <n v="0"/>
    <n v="9.0507269080661368E-2"/>
    <n v="4.1188047953514975"/>
    <n v="0.24585977608435261"/>
    <n v="4"/>
  </r>
  <r>
    <n v="15109"/>
    <s v="15109"/>
    <s v="15"/>
    <s v="COLOMBIA"/>
    <s v="BOYACÁ"/>
    <s v="BUENAVISTA"/>
    <x v="5"/>
    <n v="0"/>
    <n v="0"/>
    <n v="0"/>
    <n v="59.64"/>
    <n v="60.9472666666667"/>
    <n v="67.849999999999994"/>
    <n v="65.83"/>
    <n v="47.784120345014941"/>
    <n v="70.314902266810748"/>
    <n v="60.357350063793433"/>
    <n v="57.546247045896344"/>
    <s v="2. Riesgo (&gt;=40 y &lt;60)"/>
    <s v="4. Solvente (&gt;=70 y &lt;80)"/>
    <s v="3. Vulnerable (&gt;=60 y &lt;70)"/>
    <s v="2. Riesgo (&gt;=40 y &lt;60)"/>
    <n v="63.566816666666668"/>
    <n v="59.000654930378865"/>
    <n v="61.28373579852277"/>
    <n v="54.988658501633957"/>
    <x v="2"/>
    <n v="45.011341498366043"/>
    <n v="0.81759069605862034"/>
    <n v="50.105012208586821"/>
    <n v="0.45613487522627977"/>
    <n v="3"/>
    <b v="1"/>
    <n v="0"/>
    <n v="0.81759069605862023"/>
    <n v="50.105012208586814"/>
    <n v="0.43096239553907673"/>
    <n v="3"/>
    <b v="1"/>
    <n v="0"/>
    <n v="54.988658501633957"/>
    <x v="3"/>
    <n v="45.011341498366043"/>
    <n v="0.80397277260026034"/>
    <n v="49.270454985240178"/>
    <n v="0.45615153846576367"/>
    <n v="3"/>
    <b v="1"/>
    <n v="0"/>
    <n v="8.9975857049710672E-2"/>
    <n v="5.5140566516801215"/>
    <n v="0.32914517707383023"/>
    <n v="3"/>
  </r>
  <r>
    <n v="15232"/>
    <s v="15232"/>
    <s v="15"/>
    <s v="COLOMBIA"/>
    <s v="BOYACÁ"/>
    <s v="CHÍQUIZA"/>
    <x v="5"/>
    <n v="0"/>
    <n v="0"/>
    <n v="0"/>
    <n v="53.06"/>
    <n v="58.347900000000003"/>
    <n v="68.27"/>
    <n v="52.56"/>
    <n v="60.247725891161025"/>
    <n v="55.074262473874789"/>
    <n v="47.086295404886251"/>
    <n v="61.894865306317243"/>
    <s v="3. Vulnerable (&gt;=60 y &lt;70)"/>
    <s v="2. Riesgo (&gt;=40 y &lt;60)"/>
    <s v="2. Riesgo (&gt;=40 y &lt;60)"/>
    <s v="3. Vulnerable (&gt;=60 y &lt;70)"/>
    <n v="58.059475000000006"/>
    <n v="56.07578726905983"/>
    <n v="57.067631134529918"/>
    <n v="54.834502711596969"/>
    <x v="2"/>
    <n v="45.165497288403031"/>
    <n v="0.81759069605862034"/>
    <n v="46.657964261696911"/>
    <n v="0.41301593894171623"/>
    <n v="3"/>
    <b v="1"/>
    <n v="0"/>
    <n v="0.81759069605862023"/>
    <n v="46.657964261696904"/>
    <n v="0.39022304171292205"/>
    <n v="3"/>
    <b v="1"/>
    <n v="0"/>
    <n v="54.834502711596969"/>
    <x v="3"/>
    <n v="45.165497288403031"/>
    <n v="0.80397277260026034"/>
    <n v="45.880821628956959"/>
    <n v="0.41285530465504927"/>
    <n v="3"/>
    <b v="1"/>
    <n v="0"/>
    <n v="9.0284008259295417E-2"/>
    <n v="5.1522944806883233"/>
    <n v="0.30755086251534131"/>
    <n v="3"/>
  </r>
  <r>
    <n v="41006"/>
    <s v="41006"/>
    <s v="41"/>
    <s v="COLOMBIA"/>
    <s v="HUILA"/>
    <s v="ACEVEDO"/>
    <x v="4"/>
    <n v="0"/>
    <n v="0"/>
    <n v="0"/>
    <n v="81.8"/>
    <n v="82.5809"/>
    <n v="61.42"/>
    <n v="60.27"/>
    <n v="60.918349357922068"/>
    <n v="63.160998869608207"/>
    <n v="57.363546108040708"/>
    <n v="63.584769049274712"/>
    <s v="3. Vulnerable (&gt;=60 y &lt;70)"/>
    <s v="3. Vulnerable (&gt;=60 y &lt;70)"/>
    <s v="2. Riesgo (&gt;=40 y &lt;60)"/>
    <s v="3. Vulnerable (&gt;=60 y &lt;70)"/>
    <n v="71.517724999999999"/>
    <n v="61.256915846211427"/>
    <n v="66.387320423105706"/>
    <n v="54.870291693973904"/>
    <x v="2"/>
    <n v="45.129708306026096"/>
    <n v="0.81759069605862034"/>
    <n v="54.277655514193654"/>
    <n v="0.50833024459878984"/>
    <n v="2"/>
    <b v="1"/>
    <n v="0"/>
    <n v="0.81759069605862023"/>
    <n v="54.277655514193647"/>
    <n v="0.48027728602988817"/>
    <n v="2"/>
    <b v="1"/>
    <n v="0"/>
    <n v="54.870291693973904"/>
    <x v="3"/>
    <n v="45.129708306026096"/>
    <n v="0.80397277260026034"/>
    <n v="53.37359806606618"/>
    <n v="0.5085615260701617"/>
    <n v="2"/>
    <b v="1"/>
    <n v="0"/>
    <n v="9.0212467526335507E-2"/>
    <n v="5.9889639878298535"/>
    <n v="0.35749335503515678"/>
    <n v="3"/>
  </r>
  <r>
    <n v="19075"/>
    <s v="19075"/>
    <s v="19"/>
    <s v="COLOMBIA"/>
    <s v="CAUCA"/>
    <s v="BALBOA"/>
    <x v="6"/>
    <n v="0"/>
    <n v="0"/>
    <n v="1"/>
    <n v="26.46"/>
    <n v="35.026033333333302"/>
    <n v="37.729999999999997"/>
    <n v="55.99"/>
    <n v="48.199153708234881"/>
    <n v="38.993592925427038"/>
    <n v="46.486422612099823"/>
    <n v="54.395201807779785"/>
    <s v="2. Riesgo (&gt;=40 y &lt;60)"/>
    <s v="1. Deterioro (&lt;40)"/>
    <s v="2. Riesgo (&gt;=40 y &lt;60)"/>
    <s v="2. Riesgo (&gt;=40 y &lt;60)"/>
    <n v="38.801508333333324"/>
    <n v="47.018592763385385"/>
    <n v="42.910050548359351"/>
    <n v="54.842582231729054"/>
    <x v="2"/>
    <n v="45.157417768270946"/>
    <n v="0.81759069605862034"/>
    <n v="35.082858095743703"/>
    <n v="0.26822356211762483"/>
    <n v="4"/>
    <b v="1"/>
    <n v="0"/>
    <n v="0.81759069605862023"/>
    <n v="35.082858095743703"/>
    <n v="0.25342124697852109"/>
    <n v="4"/>
    <b v="1"/>
    <n v="0"/>
    <n v="54.842582231729054"/>
    <x v="3"/>
    <n v="45.157417768270946"/>
    <n v="0.80397277260026034"/>
    <n v="34.498512311781788"/>
    <n v="0.26746756689610079"/>
    <n v="4"/>
    <b v="1"/>
    <n v="0"/>
    <n v="9.0267857624272446E-2"/>
    <n v="3.8733983335496358"/>
    <n v="0.23121096878560565"/>
    <n v="4"/>
  </r>
  <r>
    <n v="25506"/>
    <s v="25506"/>
    <s v="25"/>
    <s v="COLOMBIA"/>
    <s v="CUNDINAMARCA"/>
    <s v="VENECIA"/>
    <x v="5"/>
    <n v="0"/>
    <n v="0"/>
    <n v="0"/>
    <n v="56.81"/>
    <n v="67.913566666666696"/>
    <n v="65.58"/>
    <n v="68.88"/>
    <n v="42.10670169212311"/>
    <n v="42.80872551471839"/>
    <n v="46.636279072344372"/>
    <n v="63.013198064211004"/>
    <s v="2. Riesgo (&gt;=40 y &lt;60)"/>
    <s v="2. Riesgo (&gt;=40 y &lt;60)"/>
    <s v="2. Riesgo (&gt;=40 y &lt;60)"/>
    <s v="3. Vulnerable (&gt;=60 y &lt;70)"/>
    <n v="64.795891666666677"/>
    <n v="48.641226085849219"/>
    <n v="56.718558876257944"/>
    <n v="54.993588437588457"/>
    <x v="2"/>
    <n v="45.006411562411543"/>
    <n v="0.81759069605862034"/>
    <n v="46.372566031081568"/>
    <n v="0.40944590791481011"/>
    <n v="3"/>
    <b v="1"/>
    <n v="0"/>
    <n v="0.81759069605862023"/>
    <n v="46.372566031081568"/>
    <n v="0.38685002814376446"/>
    <n v="3"/>
    <b v="1"/>
    <n v="0"/>
    <n v="54.993588437588457"/>
    <x v="3"/>
    <n v="45.006411562411543"/>
    <n v="0.80397277260026034"/>
    <n v="45.600177037636207"/>
    <n v="0.40927059428482232"/>
    <n v="3"/>
    <b v="1"/>
    <n v="0"/>
    <n v="8.9966002306485077E-2"/>
    <n v="5.1027419986819318"/>
    <n v="0.30459297479406233"/>
    <n v="3"/>
  </r>
  <r>
    <n v="70265"/>
    <s v="70265"/>
    <s v="70"/>
    <s v="COLOMBIA"/>
    <s v="SUCRE"/>
    <s v="GUARANDA"/>
    <x v="6"/>
    <n v="0"/>
    <n v="0"/>
    <n v="0"/>
    <n v="46.88"/>
    <n v="48.150633333333303"/>
    <n v="24.78"/>
    <n v="34.979999999999997"/>
    <n v="54.976983358797213"/>
    <n v="56.630837346158685"/>
    <n v="56.468788612997301"/>
    <n v="57.920704028834393"/>
    <s v="2. Riesgo (&gt;=40 y &lt;60)"/>
    <s v="2. Riesgo (&gt;=40 y &lt;60)"/>
    <s v="2. Riesgo (&gt;=40 y &lt;60)"/>
    <s v="2. Riesgo (&gt;=40 y &lt;60)"/>
    <n v="38.697658333333322"/>
    <n v="56.499328336696898"/>
    <n v="47.598493335015107"/>
    <n v="55.005471632889225"/>
    <x v="2"/>
    <n v="44.994528367110775"/>
    <n v="0.81759069605862034"/>
    <n v="38.916085297116602"/>
    <n v="0.31617319380446612"/>
    <n v="4"/>
    <b v="1"/>
    <n v="0"/>
    <n v="0.81759069605862023"/>
    <n v="38.916085297116595"/>
    <n v="0.29872470711567078"/>
    <n v="4"/>
    <b v="1"/>
    <n v="0"/>
    <n v="55.005471632889225"/>
    <x v="3"/>
    <n v="44.994528367110775"/>
    <n v="0.80397277260026034"/>
    <n v="38.267892658147105"/>
    <n v="0.31561435908388341"/>
    <n v="4"/>
    <b v="1"/>
    <n v="0"/>
    <n v="8.9942248278142817E-2"/>
    <n v="4.2811155052034549"/>
    <n v="0.25554843013888129"/>
    <n v="4"/>
  </r>
  <r>
    <n v="20238"/>
    <s v="20238"/>
    <s v="20"/>
    <s v="COLOMBIA"/>
    <s v="CESAR"/>
    <s v="EL COPEY"/>
    <x v="5"/>
    <n v="0"/>
    <n v="0"/>
    <n v="0"/>
    <n v="51.29"/>
    <n v="53.168100000000003"/>
    <n v="61.56"/>
    <n v="54.15"/>
    <n v="62.759435521481713"/>
    <n v="58.32206054805868"/>
    <n v="64.933806858099913"/>
    <n v="60.678248017181375"/>
    <s v="3. Vulnerable (&gt;=60 y &lt;70)"/>
    <s v="2. Riesgo (&gt;=40 y &lt;60)"/>
    <s v="3. Vulnerable (&gt;=60 y &lt;70)"/>
    <s v="3. Vulnerable (&gt;=60 y &lt;70)"/>
    <n v="55.042025000000002"/>
    <n v="61.67338773620542"/>
    <n v="58.357706368102711"/>
    <n v="55.062860312910644"/>
    <x v="2"/>
    <n v="44.937139687089356"/>
    <n v="0.81759069605862034"/>
    <n v="47.712717769881678"/>
    <n v="0.42620979351411142"/>
    <n v="3"/>
    <b v="1"/>
    <n v="0"/>
    <n v="0.81759069605862023"/>
    <n v="47.712717769881671"/>
    <n v="0.40268877384991963"/>
    <n v="3"/>
    <b v="1"/>
    <n v="0"/>
    <n v="55.062860312910644"/>
    <x v="3"/>
    <n v="44.937139687089356"/>
    <n v="0.80397277260026034"/>
    <n v="46.918006991355405"/>
    <n v="0.42610341005034608"/>
    <n v="3"/>
    <b v="1"/>
    <n v="0"/>
    <n v="8.9827530620370577E-2"/>
    <n v="5.2421286557153417"/>
    <n v="0.31291324584115282"/>
    <n v="3"/>
  </r>
  <r>
    <n v="15114"/>
    <s v="15114"/>
    <s v="15"/>
    <s v="COLOMBIA"/>
    <s v="BOYACÁ"/>
    <s v="BUSBANZÁ"/>
    <x v="5"/>
    <n v="0"/>
    <n v="0"/>
    <n v="0"/>
    <n v="55.79"/>
    <n v="59.530999999999999"/>
    <n v="57.65"/>
    <n v="41.53"/>
    <n v="50.542950783869394"/>
    <n v="54.550435311750746"/>
    <n v="56.8637062240159"/>
    <n v="57.5742803741758"/>
    <s v="2. Riesgo (&gt;=40 y &lt;60)"/>
    <s v="2. Riesgo (&gt;=40 y &lt;60)"/>
    <s v="2. Riesgo (&gt;=40 y &lt;60)"/>
    <s v="2. Riesgo (&gt;=40 y &lt;60)"/>
    <n v="53.625250000000001"/>
    <n v="54.882843173452962"/>
    <n v="54.254046586726481"/>
    <n v="54.93586414582704"/>
    <x v="2"/>
    <n v="45.06413585417296"/>
    <n v="0.81759069605862034"/>
    <n v="44.357603712838518"/>
    <n v="0.38424085328407642"/>
    <n v="3"/>
    <b v="1"/>
    <n v="0"/>
    <n v="0.81759069605862023"/>
    <n v="44.357603712838511"/>
    <n v="0.36303595184020254"/>
    <n v="3"/>
    <b v="1"/>
    <n v="0"/>
    <n v="54.93586414582704"/>
    <x v="3"/>
    <n v="45.06413585417296"/>
    <n v="0.80397277260026034"/>
    <n v="43.618776259114178"/>
    <n v="0.38396190087684612"/>
    <n v="3"/>
    <b v="1"/>
    <n v="0"/>
    <n v="9.0081390838595579E-2"/>
    <n v="4.8872799751542804"/>
    <n v="0.29173161148814014"/>
    <n v="3"/>
  </r>
  <r>
    <n v="70429"/>
    <s v="70429"/>
    <s v="70"/>
    <s v="COLOMBIA"/>
    <s v="SUCRE"/>
    <s v="MAJAGUAL"/>
    <x v="6"/>
    <n v="0"/>
    <n v="0"/>
    <n v="0"/>
    <n v="44.38"/>
    <n v="43.325200000000002"/>
    <n v="48.47"/>
    <n v="66.11"/>
    <s v="N.D."/>
    <n v="51.244496879488153"/>
    <n v="53.782558688465755"/>
    <n v="54.371153783297437"/>
    <s v="6. Sin info."/>
    <s v="2. Riesgo (&gt;=40 y &lt;60)"/>
    <s v="2. Riesgo (&gt;=40 y &lt;60)"/>
    <s v="2. Riesgo (&gt;=40 y &lt;60)"/>
    <n v="50.571300000000008"/>
    <n v="53.13273645041712"/>
    <n v="51.852018225208568"/>
    <n v="55.191105447491886"/>
    <x v="2"/>
    <n v="44.808894552508114"/>
    <n v="0.81759069605862034"/>
    <n v="42.393727672792544"/>
    <n v="0.35967483414357515"/>
    <n v="3"/>
    <b v="0"/>
    <n v="-1"/>
    <n v="0.81759069605862023"/>
    <n v="42.393727672792537"/>
    <n v="0.33982564490544503"/>
    <n v="3"/>
    <b v="0"/>
    <n v="-1"/>
    <n v="55.191105447491886"/>
    <x v="3"/>
    <n v="44.808894552508114"/>
    <n v="0.80397277260026034"/>
    <n v="41.687610857440163"/>
    <n v="0.35929487056129533"/>
    <n v="3"/>
    <b v="0"/>
    <n v="-1"/>
    <n v="8.957117376646917E-2"/>
    <n v="4.6444461345922825"/>
    <n v="0.27723636914656152"/>
    <n v="4"/>
  </r>
  <r>
    <n v="47745"/>
    <s v="47745"/>
    <s v="47"/>
    <s v="COLOMBIA"/>
    <s v="MAGDALENA"/>
    <s v="SITIONUEVO"/>
    <x v="5"/>
    <n v="0"/>
    <n v="0"/>
    <n v="0"/>
    <n v="64.95"/>
    <n v="66.9953"/>
    <n v="47.72"/>
    <n v="29.2"/>
    <n v="55.901569857806422"/>
    <n v="54.962587622556661"/>
    <n v="52.586642907143379"/>
    <n v="49.756827866222785"/>
    <s v="2. Riesgo (&gt;=40 y &lt;60)"/>
    <s v="2. Riesgo (&gt;=40 y &lt;60)"/>
    <s v="2. Riesgo (&gt;=40 y &lt;60)"/>
    <s v="2. Riesgo (&gt;=40 y &lt;60)"/>
    <n v="52.216324999999998"/>
    <n v="53.30190706343231"/>
    <n v="52.759116031716154"/>
    <n v="55.253630225745056"/>
    <x v="2"/>
    <n v="44.746369774254944"/>
    <n v="0.81759069605862034"/>
    <n v="43.135362399808322"/>
    <n v="0.36895190282185258"/>
    <n v="3"/>
    <b v="1"/>
    <n v="0"/>
    <n v="0.81759069605862023"/>
    <n v="43.135362399808322"/>
    <n v="0.34859074478777186"/>
    <n v="3"/>
    <b v="1"/>
    <n v="0"/>
    <n v="55.253630225745056"/>
    <x v="3"/>
    <n v="44.746369774254944"/>
    <n v="0.80397277260026034"/>
    <n v="42.416892795957679"/>
    <n v="0.36861008492377378"/>
    <n v="3"/>
    <b v="1"/>
    <n v="0"/>
    <n v="8.9446189255390426E-2"/>
    <n v="4.7191018775199867"/>
    <n v="0.28169272120780309"/>
    <n v="4"/>
  </r>
  <r>
    <n v="50226"/>
    <s v="50226"/>
    <s v="50"/>
    <s v="COLOMBIA"/>
    <s v="META"/>
    <s v="CUMARAL"/>
    <x v="4"/>
    <n v="0"/>
    <n v="0"/>
    <n v="0"/>
    <n v="75.94"/>
    <n v="75.259533333333295"/>
    <n v="60.82"/>
    <n v="54.4"/>
    <n v="61.506697191697278"/>
    <n v="54.789131223598964"/>
    <n v="55.386017816684785"/>
    <n v="58.365991444025447"/>
    <s v="3. Vulnerable (&gt;=60 y &lt;70)"/>
    <s v="2. Riesgo (&gt;=40 y &lt;60)"/>
    <s v="2. Riesgo (&gt;=40 y &lt;60)"/>
    <s v="2. Riesgo (&gt;=40 y &lt;60)"/>
    <n v="66.604883333333319"/>
    <n v="57.511959419001613"/>
    <n v="62.058421376167466"/>
    <n v="55.378341510408511"/>
    <x v="2"/>
    <n v="44.621658489591489"/>
    <n v="0.81759069605862034"/>
    <n v="50.73838792923992"/>
    <n v="0.46405773785070925"/>
    <n v="3"/>
    <b v="0"/>
    <n v="1"/>
    <n v="0.81759069605862023"/>
    <n v="50.738387929239913"/>
    <n v="0.43844802323736948"/>
    <n v="3"/>
    <b v="0"/>
    <n v="1"/>
    <n v="55.378341510408511"/>
    <x v="3"/>
    <n v="44.621658489591489"/>
    <n v="0.80397277260026034"/>
    <n v="49.893281096992624"/>
    <n v="0.46410697851589955"/>
    <n v="3"/>
    <b v="0"/>
    <n v="1"/>
    <n v="8.9196896425009609E-2"/>
    <n v="5.5354185837896122"/>
    <n v="0.33042031394147103"/>
    <n v="3"/>
  </r>
  <r>
    <n v="13440"/>
    <s v="13440"/>
    <s v="13"/>
    <s v="COLOMBIA"/>
    <s v="BOLÍVAR"/>
    <s v="MARGARITA"/>
    <x v="6"/>
    <n v="0"/>
    <n v="0"/>
    <n v="0"/>
    <n v="50.04"/>
    <n v="55.348999999999997"/>
    <n v="64.540000000000006"/>
    <n v="32.520000000000003"/>
    <n v="41.050959540177431"/>
    <n v="50.925635666592129"/>
    <n v="49.604748036303576"/>
    <n v="52.425875211245184"/>
    <s v="2. Riesgo (&gt;=40 y &lt;60)"/>
    <s v="2. Riesgo (&gt;=40 y &lt;60)"/>
    <s v="2. Riesgo (&gt;=40 y &lt;60)"/>
    <s v="2. Riesgo (&gt;=40 y &lt;60)"/>
    <n v="50.612250000000003"/>
    <n v="48.50180461357958"/>
    <n v="49.557027306789792"/>
    <n v="55.219871727470874"/>
    <x v="2"/>
    <n v="44.780128272529126"/>
    <n v="0.81759069605862034"/>
    <n v="40.517364450354322"/>
    <n v="0.3362035081041419"/>
    <n v="4"/>
    <b v="1"/>
    <n v="0"/>
    <n v="0.81759069605862023"/>
    <n v="40.517364450354314"/>
    <n v="0.3176496188091838"/>
    <n v="4"/>
    <b v="1"/>
    <n v="0"/>
    <n v="55.219871727470874"/>
    <x v="3"/>
    <n v="44.780128272529126"/>
    <n v="0.80397277260026034"/>
    <n v="39.842500645666604"/>
    <n v="0.3357270345334244"/>
    <n v="4"/>
    <b v="1"/>
    <n v="0"/>
    <n v="8.9513671132486677E-2"/>
    <n v="4.4360314446436435"/>
    <n v="0.26479567541392995"/>
    <n v="4"/>
  </r>
  <r>
    <n v="68500"/>
    <s v="68500"/>
    <s v="68"/>
    <s v="COLOMBIA"/>
    <s v="SANTANDER"/>
    <s v="OIBA"/>
    <x v="5"/>
    <n v="0"/>
    <n v="0"/>
    <n v="0"/>
    <n v="50.28"/>
    <n v="56.586066666666703"/>
    <n v="58.41"/>
    <n v="50.57"/>
    <n v="65.629687967836588"/>
    <n v="52.953767420023354"/>
    <n v="54.946727324300156"/>
    <n v="75.084603603221979"/>
    <s v="3. Vulnerable (&gt;=60 y &lt;70)"/>
    <s v="2. Riesgo (&gt;=40 y &lt;60)"/>
    <s v="2. Riesgo (&gt;=40 y &lt;60)"/>
    <s v="4. Solvente (&gt;=70 y &lt;80)"/>
    <n v="53.961516666666675"/>
    <n v="62.153696578845519"/>
    <n v="58.057606622756097"/>
    <n v="55.515161381290945"/>
    <x v="2"/>
    <n v="44.484838618709055"/>
    <n v="0.81759069605862034"/>
    <n v="47.467359010196724"/>
    <n v="0.42314061406296383"/>
    <n v="3"/>
    <b v="1"/>
    <n v="0"/>
    <n v="0.81759069605862023"/>
    <n v="47.467359010196716"/>
    <n v="0.39978897161938487"/>
    <n v="3"/>
    <b v="1"/>
    <n v="0"/>
    <n v="55.515161381290945"/>
    <x v="3"/>
    <n v="44.484838618709055"/>
    <n v="0.80397277260026034"/>
    <n v="46.676734967032459"/>
    <n v="0.4230216106699774"/>
    <n v="3"/>
    <b v="1"/>
    <n v="0"/>
    <n v="8.8923399018927526E-2"/>
    <n v="5.1626797197992698"/>
    <n v="0.30817077841067131"/>
    <n v="3"/>
  </r>
  <r>
    <n v="73504"/>
    <s v="73504"/>
    <s v="73"/>
    <s v="COLOMBIA"/>
    <s v="TOLIMA"/>
    <s v="ORTEGA"/>
    <x v="4"/>
    <n v="0"/>
    <n v="0"/>
    <n v="0"/>
    <n v="81.09"/>
    <n v="83.756533333333294"/>
    <n v="74.430000000000007"/>
    <n v="66.400000000000006"/>
    <n v="51.59874406523052"/>
    <n v="37.377139950588806"/>
    <n v="46.376639293125351"/>
    <n v="43.60836667851359"/>
    <s v="2. Riesgo (&gt;=40 y &lt;60)"/>
    <s v="1. Deterioro (&lt;40)"/>
    <s v="2. Riesgo (&gt;=40 y &lt;60)"/>
    <s v="2. Riesgo (&gt;=40 y &lt;60)"/>
    <n v="76.41913333333332"/>
    <n v="44.740222496864568"/>
    <n v="60.579677915098941"/>
    <n v="55.260313138340521"/>
    <x v="2"/>
    <n v="44.739686861659479"/>
    <n v="0.81759069605862034"/>
    <n v="49.529381033612772"/>
    <n v="0.44893433599980664"/>
    <n v="3"/>
    <b v="0"/>
    <n v="1"/>
    <n v="0.81759069605862023"/>
    <n v="49.529381033612765"/>
    <n v="0.42415922875058126"/>
    <n v="3"/>
    <b v="0"/>
    <n v="1"/>
    <n v="55.260313138340521"/>
    <x v="3"/>
    <n v="44.739686861659479"/>
    <n v="0.80397277260026034"/>
    <n v="48.704411616632854"/>
    <n v="0.44892139188108998"/>
    <n v="3"/>
    <b v="0"/>
    <n v="1"/>
    <n v="8.9432830382529735E-2"/>
    <n v="5.417812059609326"/>
    <n v="0.32340014300895747"/>
    <n v="3"/>
  </r>
  <r>
    <n v="23855"/>
    <s v="23855"/>
    <s v="23"/>
    <s v="COLOMBIA"/>
    <s v="CÓRDOBA"/>
    <s v="VALENCIA"/>
    <x v="5"/>
    <n v="0"/>
    <n v="0"/>
    <n v="1"/>
    <n v="55.43"/>
    <n v="61.563966666666701"/>
    <n v="51.44"/>
    <n v="54.55"/>
    <n v="56.785460805405542"/>
    <n v="55.528880598563255"/>
    <n v="67.812909842977419"/>
    <n v="60.215162204377165"/>
    <s v="2. Riesgo (&gt;=40 y &lt;60)"/>
    <s v="2. Riesgo (&gt;=40 y &lt;60)"/>
    <s v="3. Vulnerable (&gt;=60 y &lt;70)"/>
    <s v="3. Vulnerable (&gt;=60 y &lt;70)"/>
    <n v="55.745991666666669"/>
    <n v="60.085603362830852"/>
    <n v="57.91579751474876"/>
    <n v="55.350536633804928"/>
    <x v="2"/>
    <n v="44.649463366195072"/>
    <n v="0.81759069605862034"/>
    <n v="47.351417202873556"/>
    <n v="0.42169030426753568"/>
    <n v="3"/>
    <b v="1"/>
    <n v="0"/>
    <n v="0.81759069605862023"/>
    <n v="47.351417202873549"/>
    <n v="0.39841869932130325"/>
    <n v="3"/>
    <b v="1"/>
    <n v="0"/>
    <n v="55.350536633804928"/>
    <x v="3"/>
    <n v="44.649463366195072"/>
    <n v="0.80397277260026034"/>
    <n v="46.56272430528783"/>
    <n v="0.4215653374542741"/>
    <n v="3"/>
    <b v="1"/>
    <n v="0"/>
    <n v="8.9252477252403067E-2"/>
    <n v="5.1691284002398961"/>
    <n v="0.30855571316916275"/>
    <n v="3"/>
  </r>
  <r>
    <n v="5819"/>
    <s v="05819"/>
    <s v="50"/>
    <s v="COLOMBIA"/>
    <s v="ANTIOQUIA"/>
    <s v="TOLEDO"/>
    <x v="5"/>
    <n v="0"/>
    <n v="0"/>
    <n v="0"/>
    <n v="57.31"/>
    <n v="59.343866666666699"/>
    <n v="72.55"/>
    <n v="76.61"/>
    <n v="42.045384346712218"/>
    <n v="57.922204404847264"/>
    <n v="48.81335522431894"/>
    <n v="49.010860622089055"/>
    <s v="2. Riesgo (&gt;=40 y &lt;60)"/>
    <s v="2. Riesgo (&gt;=40 y &lt;60)"/>
    <s v="2. Riesgo (&gt;=40 y &lt;60)"/>
    <s v="2. Riesgo (&gt;=40 y &lt;60)"/>
    <n v="66.453466666666671"/>
    <n v="49.447951149491871"/>
    <n v="57.950708908079271"/>
    <n v="55.103715205734062"/>
    <x v="2"/>
    <n v="44.896284794265938"/>
    <n v="0.81759069605862034"/>
    <n v="47.379960433247021"/>
    <n v="0.42204734999210691"/>
    <n v="3"/>
    <b v="1"/>
    <n v="0"/>
    <n v="0.81759069605862023"/>
    <n v="47.379960433247014"/>
    <n v="0.39875604094794792"/>
    <n v="3"/>
    <b v="1"/>
    <n v="0"/>
    <n v="55.103715205734062"/>
    <x v="3"/>
    <n v="44.896284794265938"/>
    <n v="0.80397277260026034"/>
    <n v="46.590792114979095"/>
    <n v="0.42192385128843113"/>
    <n v="3"/>
    <b v="1"/>
    <n v="0"/>
    <n v="8.9745863336657322E-2"/>
    <n v="5.2008364019268924"/>
    <n v="0.31044842782358029"/>
    <n v="3"/>
  </r>
  <r>
    <n v="86001"/>
    <s v="86001"/>
    <s v="86"/>
    <s v="COLOMBIA"/>
    <s v="PUTUMAYO"/>
    <s v="MOCOA"/>
    <x v="4"/>
    <n v="0"/>
    <n v="1"/>
    <n v="1"/>
    <n v="67.849999999999994"/>
    <n v="72.089299999999994"/>
    <n v="64.53"/>
    <n v="59.21"/>
    <n v="34.384206143085976"/>
    <n v="48.923789380408181"/>
    <n v="52.67373208399993"/>
    <n v="55.827896604012423"/>
    <s v="1. Deterioro (&lt;40)"/>
    <s v="2. Riesgo (&gt;=40 y &lt;60)"/>
    <s v="2. Riesgo (&gt;=40 y &lt;60)"/>
    <s v="2. Riesgo (&gt;=40 y &lt;60)"/>
    <n v="65.919825000000003"/>
    <n v="47.952406052876626"/>
    <n v="56.936115526438314"/>
    <n v="55.386235695080231"/>
    <x v="2"/>
    <n v="44.613764304919769"/>
    <n v="0.81759069605862034"/>
    <n v="46.550438324134724"/>
    <n v="0.41167090280583507"/>
    <n v="3"/>
    <b v="0"/>
    <n v="1"/>
    <n v="0.81759069605862023"/>
    <n v="46.550438324134717"/>
    <n v="0.38895223339132989"/>
    <n v="3"/>
    <b v="0"/>
    <n v="1"/>
    <n v="55.386235695080231"/>
    <x v="3"/>
    <n v="44.613764304919769"/>
    <n v="0.80397277260026034"/>
    <n v="45.775086660879346"/>
    <n v="0.41150473796577275"/>
    <n v="3"/>
    <b v="0"/>
    <n v="1"/>
    <n v="8.9181116268100213E-2"/>
    <n v="5.0776263386172813"/>
    <n v="0.30309377032419405"/>
    <n v="3"/>
  </r>
  <r>
    <n v="73217"/>
    <s v="73217"/>
    <s v="73"/>
    <s v="COLOMBIA"/>
    <s v="TOLIMA"/>
    <s v="COYAIMA"/>
    <x v="5"/>
    <n v="0"/>
    <n v="0"/>
    <n v="0"/>
    <n v="44.81"/>
    <n v="49.454466666666697"/>
    <n v="46.17"/>
    <n v="40.85"/>
    <n v="42.486500021861133"/>
    <n v="46.689820271729687"/>
    <n v="46.809387771979942"/>
    <n v="48.12266412982278"/>
    <s v="2. Riesgo (&gt;=40 y &lt;60)"/>
    <s v="2. Riesgo (&gt;=40 y &lt;60)"/>
    <s v="2. Riesgo (&gt;=40 y &lt;60)"/>
    <s v="2. Riesgo (&gt;=40 y &lt;60)"/>
    <n v="45.321116666666676"/>
    <n v="46.027093048848386"/>
    <n v="45.674104857757527"/>
    <n v="55.319376817084219"/>
    <x v="2"/>
    <n v="44.680623182915781"/>
    <n v="0.81759069605862034"/>
    <n v="37.342723182508387"/>
    <n v="0.29649209223071293"/>
    <n v="4"/>
    <b v="0"/>
    <n v="1"/>
    <n v="0.81759069605862023"/>
    <n v="37.342723182508387"/>
    <n v="0.28012973632580329"/>
    <n v="4"/>
    <b v="0"/>
    <n v="1"/>
    <n v="55.319376817084219"/>
    <x v="3"/>
    <n v="44.680623182915781"/>
    <n v="0.80397277260026034"/>
    <n v="36.720736718526339"/>
    <n v="0.29585233226193025"/>
    <n v="4"/>
    <b v="0"/>
    <n v="1"/>
    <n v="8.9314764469838243E-2"/>
    <n v="4.0793719177413079"/>
    <n v="0.24350594798583611"/>
    <n v="4"/>
  </r>
  <r>
    <n v="52258"/>
    <s v="52258"/>
    <s v="52"/>
    <s v="COLOMBIA"/>
    <s v="NARIÑO"/>
    <s v="EL TABLÓN DE GÓMEZ"/>
    <x v="6"/>
    <n v="0"/>
    <n v="0"/>
    <n v="0"/>
    <n v="47.27"/>
    <n v="47.016733333333299"/>
    <n v="33.21"/>
    <n v="47.09"/>
    <n v="63.156565836954741"/>
    <n v="62.001012342978328"/>
    <n v="55.424318481883056"/>
    <n v="64.215856586942522"/>
    <s v="3. Vulnerable (&gt;=60 y &lt;70)"/>
    <s v="3. Vulnerable (&gt;=60 y &lt;70)"/>
    <s v="2. Riesgo (&gt;=40 y &lt;60)"/>
    <s v="3. Vulnerable (&gt;=60 y &lt;70)"/>
    <n v="43.646683333333328"/>
    <n v="61.199438312189663"/>
    <n v="52.423060822761499"/>
    <n v="55.391288978965925"/>
    <x v="2"/>
    <n v="44.608711021034075"/>
    <n v="0.81759069605862034"/>
    <n v="42.860606787604965"/>
    <n v="0.36551499973290313"/>
    <n v="3"/>
    <b v="0"/>
    <n v="-1"/>
    <n v="0.81759069605862023"/>
    <n v="42.860606787604958"/>
    <n v="0.34534351229384219"/>
    <n v="3"/>
    <b v="0"/>
    <n v="-1"/>
    <n v="55.391288978965925"/>
    <x v="3"/>
    <n v="44.608711021034075"/>
    <n v="0.80397277260026034"/>
    <n v="42.146713557867649"/>
    <n v="0.36515904989030534"/>
    <n v="3"/>
    <b v="0"/>
    <n v="-1"/>
    <n v="8.9171014957332859E-2"/>
    <n v="4.6746175407356363"/>
    <n v="0.2790373613098529"/>
    <n v="4"/>
  </r>
  <r>
    <n v="63690"/>
    <s v="63690"/>
    <s v="63"/>
    <s v="COLOMBIA"/>
    <s v="QUINDÍO"/>
    <s v="SALENTO"/>
    <x v="4"/>
    <n v="0"/>
    <n v="0"/>
    <n v="0"/>
    <n v="74.7"/>
    <n v="76.819266666666707"/>
    <n v="70.86"/>
    <n v="66.05"/>
    <n v="54.734841254938601"/>
    <n v="54.012249421983299"/>
    <n v="54.634426811492609"/>
    <n v="59.43670344624654"/>
    <s v="2. Riesgo (&gt;=40 y &lt;60)"/>
    <s v="2. Riesgo (&gt;=40 y &lt;60)"/>
    <s v="2. Riesgo (&gt;=40 y &lt;60)"/>
    <s v="2. Riesgo (&gt;=40 y &lt;60)"/>
    <n v="72.107316666666676"/>
    <n v="55.704555233665261"/>
    <n v="63.905935950165969"/>
    <n v="55.664683628559771"/>
    <x v="2"/>
    <n v="44.335316371440229"/>
    <n v="0.81759069605862034"/>
    <n v="52.2488986557738"/>
    <n v="0.48295263481126033"/>
    <n v="2"/>
    <b v="1"/>
    <n v="0"/>
    <n v="0.81759069605862023"/>
    <n v="52.248898655773793"/>
    <n v="0.45630017728181421"/>
    <n v="3"/>
    <b v="0"/>
    <n v="1"/>
    <n v="55.664683628559771"/>
    <x v="3"/>
    <n v="44.335316371440229"/>
    <n v="0.80397277260026034"/>
    <n v="51.37863251146959"/>
    <n v="0.48307956798875834"/>
    <n v="2"/>
    <b v="1"/>
    <n v="0"/>
    <n v="8.8624510074537824E-2"/>
    <n v="5.6636322644382524"/>
    <n v="0.33807364746453628"/>
    <n v="3"/>
  </r>
  <r>
    <n v="41349"/>
    <s v="41349"/>
    <s v="41"/>
    <s v="COLOMBIA"/>
    <s v="HUILA"/>
    <s v="HOBO"/>
    <x v="4"/>
    <n v="0"/>
    <n v="0"/>
    <n v="0"/>
    <n v="68.84"/>
    <n v="77.356999999999999"/>
    <n v="77.87"/>
    <n v="72.66"/>
    <n v="67.70678076983279"/>
    <n v="55.919232149828602"/>
    <n v="48.478091395143899"/>
    <n v="64.037196305567875"/>
    <s v="3. Vulnerable (&gt;=60 y &lt;70)"/>
    <s v="2. Riesgo (&gt;=40 y &lt;60)"/>
    <s v="2. Riesgo (&gt;=40 y &lt;60)"/>
    <s v="3. Vulnerable (&gt;=60 y &lt;70)"/>
    <n v="74.181749999999994"/>
    <n v="59.03532515509329"/>
    <n v="66.608537577546642"/>
    <n v="55.378554993417907"/>
    <x v="2"/>
    <n v="44.621445006582093"/>
    <n v="0.81759069605862034"/>
    <n v="54.458520601473126"/>
    <n v="0.51059267619088355"/>
    <n v="2"/>
    <b v="1"/>
    <n v="0"/>
    <n v="0.81759069605862023"/>
    <n v="54.458520601473118"/>
    <n v="0.48241486197864303"/>
    <n v="2"/>
    <b v="1"/>
    <n v="0"/>
    <n v="55.378554993417907"/>
    <x v="3"/>
    <n v="44.621445006582093"/>
    <n v="0.80397277260026034"/>
    <n v="53.551450635068804"/>
    <n v="0.51083326038534949"/>
    <n v="2"/>
    <b v="1"/>
    <n v="0"/>
    <n v="8.9196469681080262E-2"/>
    <n v="5.9412464025367342"/>
    <n v="0.35464499600423283"/>
    <n v="3"/>
  </r>
  <r>
    <n v="15185"/>
    <s v="15185"/>
    <s v="15"/>
    <s v="COLOMBIA"/>
    <s v="BOYACÁ"/>
    <s v="CHITARAQUE"/>
    <x v="5"/>
    <n v="0"/>
    <n v="0"/>
    <n v="0"/>
    <n v="57.67"/>
    <n v="57.233533333333298"/>
    <n v="43.87"/>
    <n v="50"/>
    <n v="43.219977511552464"/>
    <n v="41.208949686581541"/>
    <n v="49.711227589727748"/>
    <n v="62.068320964813701"/>
    <s v="2. Riesgo (&gt;=40 y &lt;60)"/>
    <s v="2. Riesgo (&gt;=40 y &lt;60)"/>
    <s v="2. Riesgo (&gt;=40 y &lt;60)"/>
    <s v="3. Vulnerable (&gt;=60 y &lt;70)"/>
    <n v="52.193383333333323"/>
    <n v="49.05211893816886"/>
    <n v="50.622751135751088"/>
    <n v="55.903638521363177"/>
    <x v="2"/>
    <n v="44.096361478636823"/>
    <n v="0.81759069605862034"/>
    <n v="41.388690337481044"/>
    <n v="0.34710287648803861"/>
    <n v="4"/>
    <b v="0"/>
    <n v="1"/>
    <n v="0.81759069605862023"/>
    <n v="41.388690337481037"/>
    <n v="0.32794748938147189"/>
    <n v="4"/>
    <b v="0"/>
    <n v="1"/>
    <n v="55.903638521363177"/>
    <x v="3"/>
    <n v="44.096361478636823"/>
    <n v="0.80397277260026034"/>
    <n v="40.699313587262779"/>
    <n v="0.34667121921423338"/>
    <n v="4"/>
    <b v="0"/>
    <n v="1"/>
    <n v="8.814684887714852E-2"/>
    <n v="4.4622359941085499"/>
    <n v="0.26635987789109139"/>
    <n v="4"/>
  </r>
  <r>
    <n v="52678"/>
    <s v="52678"/>
    <s v="52"/>
    <s v="COLOMBIA"/>
    <s v="NARIÑO"/>
    <s v="SAMANIEGO"/>
    <x v="5"/>
    <n v="0"/>
    <n v="0"/>
    <n v="0"/>
    <n v="55.13"/>
    <n v="62.130766666666702"/>
    <n v="48.45"/>
    <n v="38.74"/>
    <n v="62.522669399778209"/>
    <n v="60.077581985512111"/>
    <n v="55.661961030147253"/>
    <n v="60.280510751457442"/>
    <s v="3. Vulnerable (&gt;=60 y &lt;70)"/>
    <s v="3. Vulnerable (&gt;=60 y &lt;70)"/>
    <s v="2. Riesgo (&gt;=40 y &lt;60)"/>
    <s v="3. Vulnerable (&gt;=60 y &lt;70)"/>
    <n v="51.112691666666677"/>
    <n v="59.635680791723757"/>
    <n v="55.374186229195217"/>
    <n v="55.45447939333453"/>
    <x v="2"/>
    <n v="44.54552060666547"/>
    <n v="0.81759069605862034"/>
    <n v="45.273419462807389"/>
    <n v="0.39569674295539253"/>
    <n v="3"/>
    <b v="1"/>
    <n v="0"/>
    <n v="0.81759069605862023"/>
    <n v="45.273419462807382"/>
    <n v="0.37385963124715987"/>
    <n v="3"/>
    <b v="1"/>
    <n v="0"/>
    <n v="55.45447939333453"/>
    <x v="3"/>
    <n v="44.54552060666547"/>
    <n v="0.80397277260026034"/>
    <n v="44.519338033169234"/>
    <n v="0.39546489516329414"/>
    <n v="3"/>
    <b v="1"/>
    <n v="0"/>
    <n v="8.9044699866494076E-2"/>
    <n v="4.9307777931300372"/>
    <n v="0.29432808408614897"/>
    <n v="3"/>
  </r>
  <r>
    <n v="20517"/>
    <s v="20517"/>
    <s v="20"/>
    <s v="COLOMBIA"/>
    <s v="CESAR"/>
    <s v="PAILITAS"/>
    <x v="5"/>
    <n v="0"/>
    <n v="0"/>
    <n v="0"/>
    <n v="55.37"/>
    <n v="56.953600000000002"/>
    <n v="76.53"/>
    <n v="87.06"/>
    <n v="46.220602355677279"/>
    <n v="52.350953322002297"/>
    <n v="54.969173904462536"/>
    <n v="58.576808845273689"/>
    <s v="2. Riesgo (&gt;=40 y &lt;60)"/>
    <s v="2. Riesgo (&gt;=40 y &lt;60)"/>
    <s v="2. Riesgo (&gt;=40 y &lt;60)"/>
    <s v="2. Riesgo (&gt;=40 y &lt;60)"/>
    <n v="68.978399999999993"/>
    <n v="53.029384606853952"/>
    <n v="61.003892303426973"/>
    <n v="55.47223706869012"/>
    <x v="2"/>
    <n v="44.52776293130988"/>
    <n v="0.81759069605862034"/>
    <n v="49.876214770643969"/>
    <n v="0.4532728604528472"/>
    <n v="3"/>
    <b v="1"/>
    <n v="0"/>
    <n v="0.81759069605862023"/>
    <n v="49.876214770643962"/>
    <n v="0.42825832529622399"/>
    <n v="3"/>
    <b v="1"/>
    <n v="0"/>
    <n v="55.47223706869012"/>
    <x v="3"/>
    <n v="44.52776293130988"/>
    <n v="0.80397277260026034"/>
    <n v="49.045468434593865"/>
    <n v="0.45327775558803962"/>
    <n v="3"/>
    <b v="1"/>
    <n v="0"/>
    <n v="8.900920298934839E-2"/>
    <n v="5.4299078331760793"/>
    <n v="0.32412216416034717"/>
    <n v="3"/>
  </r>
  <r>
    <n v="20013"/>
    <s v="20013"/>
    <s v="20"/>
    <s v="COLOMBIA"/>
    <s v="CESAR"/>
    <s v="AGUSTÍN CODAZZI"/>
    <x v="5"/>
    <n v="0"/>
    <n v="0"/>
    <n v="1"/>
    <n v="56.56"/>
    <n v="59.724933333333297"/>
    <n v="49.7"/>
    <n v="24.49"/>
    <n v="50.075933380798936"/>
    <n v="55.536732254066003"/>
    <n v="61.705200926187658"/>
    <n v="74.960592267259273"/>
    <s v="2. Riesgo (&gt;=40 y &lt;60)"/>
    <s v="2. Riesgo (&gt;=40 y &lt;60)"/>
    <s v="3. Vulnerable (&gt;=60 y &lt;70)"/>
    <s v="4. Solvente (&gt;=70 y &lt;80)"/>
    <n v="47.618733333333324"/>
    <n v="60.569614707077967"/>
    <n v="54.094174020205642"/>
    <n v="55.451803575062954"/>
    <x v="2"/>
    <n v="44.548196424937046"/>
    <n v="0.81759069605862034"/>
    <n v="44.22689338989607"/>
    <n v="0.38260580492573398"/>
    <n v="3"/>
    <b v="1"/>
    <n v="0"/>
    <n v="0.81759069605862023"/>
    <n v="44.226893389896063"/>
    <n v="0.36149113605082894"/>
    <n v="3"/>
    <b v="1"/>
    <n v="0"/>
    <n v="55.451803575062954"/>
    <x v="3"/>
    <n v="44.548196424937046"/>
    <n v="0.80397277260026034"/>
    <n v="43.490243068545702"/>
    <n v="0.38232012948556154"/>
    <n v="3"/>
    <b v="1"/>
    <n v="0"/>
    <n v="8.9050048719344924E-2"/>
    <n v="4.8170888319320353"/>
    <n v="0.2875417603994937"/>
    <n v="4"/>
  </r>
  <r>
    <n v="5044"/>
    <s v="05044"/>
    <s v="50"/>
    <s v="COLOMBIA"/>
    <s v="ANTIOQUIA"/>
    <s v="ANZÁ"/>
    <x v="5"/>
    <n v="0"/>
    <n v="0"/>
    <n v="0"/>
    <n v="55.21"/>
    <n v="57.820166666666701"/>
    <n v="45.8"/>
    <n v="61.19"/>
    <n v="49.410640154906247"/>
    <n v="51.015658654683712"/>
    <n v="48.234378615850019"/>
    <n v="52.742034940365343"/>
    <s v="2. Riesgo (&gt;=40 y &lt;60)"/>
    <s v="2. Riesgo (&gt;=40 y &lt;60)"/>
    <s v="2. Riesgo (&gt;=40 y &lt;60)"/>
    <s v="2. Riesgo (&gt;=40 y &lt;60)"/>
    <n v="55.005041666666671"/>
    <n v="50.350678091451329"/>
    <n v="52.677859879059"/>
    <n v="55.728928406056511"/>
    <x v="2"/>
    <n v="44.271071593943489"/>
    <n v="0.81759069605862034"/>
    <n v="43.068928125398315"/>
    <n v="0.36812088007730942"/>
    <n v="3"/>
    <b v="1"/>
    <n v="0"/>
    <n v="0.81759069605862023"/>
    <n v="43.068928125398308"/>
    <n v="0.34780558326606592"/>
    <n v="3"/>
    <b v="1"/>
    <n v="0"/>
    <n v="55.728928406056511"/>
    <x v="3"/>
    <n v="44.271071593943489"/>
    <n v="0.80397277260026034"/>
    <n v="42.351565061615077"/>
    <n v="0.36777564515901912"/>
    <n v="3"/>
    <b v="1"/>
    <n v="0"/>
    <n v="8.8496087354311914E-2"/>
    <n v="4.6617844894954077"/>
    <n v="0.27827133056521491"/>
    <n v="4"/>
  </r>
  <r>
    <n v="20570"/>
    <s v="20570"/>
    <s v="20"/>
    <s v="COLOMBIA"/>
    <s v="CESAR"/>
    <s v="PUEBLO BELLO"/>
    <x v="5"/>
    <n v="0"/>
    <n v="0"/>
    <n v="1"/>
    <n v="59.47"/>
    <n v="60.571666666666701"/>
    <n v="64.33"/>
    <n v="59.87"/>
    <n v="63.605628137972523"/>
    <n v="49.73462356474991"/>
    <n v="57.457384238142744"/>
    <n v="50.374469173624739"/>
    <s v="3. Vulnerable (&gt;=60 y &lt;70)"/>
    <s v="2. Riesgo (&gt;=40 y &lt;60)"/>
    <s v="2. Riesgo (&gt;=40 y &lt;60)"/>
    <s v="2. Riesgo (&gt;=40 y &lt;60)"/>
    <n v="61.060416666666676"/>
    <n v="55.293026278622477"/>
    <n v="58.176721472644573"/>
    <n v="55.434699610056605"/>
    <x v="2"/>
    <n v="44.565300389943395"/>
    <n v="0.81759069605862034"/>
    <n v="47.564746203227962"/>
    <n v="0.42435882519200691"/>
    <n v="3"/>
    <b v="1"/>
    <n v="0"/>
    <n v="0.81759069605862023"/>
    <n v="47.564746203227955"/>
    <n v="0.40093995396026449"/>
    <n v="3"/>
    <b v="1"/>
    <n v="0"/>
    <n v="55.434699610056605"/>
    <x v="3"/>
    <n v="44.565300389943395"/>
    <n v="0.80397277260026034"/>
    <n v="46.772500063155157"/>
    <n v="0.42424483087016457"/>
    <n v="3"/>
    <b v="1"/>
    <n v="0"/>
    <n v="8.908423885585641E-2"/>
    <n v="5.1826289515196997"/>
    <n v="0.30936158833916688"/>
    <n v="3"/>
  </r>
  <r>
    <n v="73678"/>
    <s v="73678"/>
    <s v="73"/>
    <s v="COLOMBIA"/>
    <s v="TOLIMA"/>
    <s v="SAN LUIS"/>
    <x v="5"/>
    <n v="0"/>
    <n v="0"/>
    <n v="0"/>
    <n v="58.63"/>
    <n v="60.298066666666699"/>
    <n v="53.98"/>
    <n v="71.89"/>
    <n v="46.986408647544778"/>
    <n v="33.423655419639417"/>
    <n v="32.290413759977838"/>
    <n v="57.724216924488317"/>
    <s v="2. Riesgo (&gt;=40 y &lt;60)"/>
    <s v="1. Deterioro (&lt;40)"/>
    <s v="1. Deterioro (&lt;40)"/>
    <s v="2. Riesgo (&gt;=40 y &lt;60)"/>
    <n v="61.199516666666668"/>
    <n v="42.606173687912587"/>
    <n v="51.902845177289628"/>
    <n v="55.517546768137919"/>
    <x v="2"/>
    <n v="44.482453231862081"/>
    <n v="0.81759069605862034"/>
    <n v="42.43528331592303"/>
    <n v="0.36019465143536078"/>
    <n v="3"/>
    <b v="1"/>
    <n v="0"/>
    <n v="0.81759069605862023"/>
    <n v="42.435283315923023"/>
    <n v="0.34031677530892368"/>
    <n v="3"/>
    <b v="1"/>
    <n v="0"/>
    <n v="55.517546768137919"/>
    <x v="3"/>
    <n v="44.482453231862081"/>
    <n v="0.80397277260026034"/>
    <n v="41.728474343027592"/>
    <n v="0.35981682525088871"/>
    <n v="3"/>
    <b v="1"/>
    <n v="0"/>
    <n v="8.891863072678588E-2"/>
    <n v="4.6151299239889561"/>
    <n v="0.27548642533210588"/>
    <n v="4"/>
  </r>
  <r>
    <n v="15215"/>
    <s v="15215"/>
    <s v="15"/>
    <s v="COLOMBIA"/>
    <s v="BOYACÁ"/>
    <s v="CORRALES"/>
    <x v="5"/>
    <n v="0"/>
    <n v="0"/>
    <n v="0"/>
    <n v="75.489999999999995"/>
    <n v="81.153466666666702"/>
    <n v="72.069999999999993"/>
    <n v="77.17"/>
    <n v="62.215097128320139"/>
    <n v="56.786667562935335"/>
    <n v="55.982309776909773"/>
    <n v="70.819438370966083"/>
    <s v="3. Vulnerable (&gt;=60 y &lt;70)"/>
    <s v="2. Riesgo (&gt;=40 y &lt;60)"/>
    <s v="2. Riesgo (&gt;=40 y &lt;60)"/>
    <s v="4. Solvente (&gt;=70 y &lt;80)"/>
    <n v="76.47086666666668"/>
    <n v="61.450878209782836"/>
    <n v="68.960872438224754"/>
    <n v="55.495033117662032"/>
    <x v="2"/>
    <n v="44.504966882337968"/>
    <n v="0.81759069605862034"/>
    <n v="56.381767697577907"/>
    <n v="0.5346504700696243"/>
    <n v="2"/>
    <b v="0"/>
    <n v="-1"/>
    <n v="0.81759069605862023"/>
    <n v="56.381767697577899"/>
    <n v="0.50514499081657516"/>
    <n v="2"/>
    <b v="0"/>
    <n v="-1"/>
    <n v="55.495033117662032"/>
    <x v="3"/>
    <n v="44.504966882337968"/>
    <n v="0.80397277260026034"/>
    <n v="55.44266381509243"/>
    <n v="0.53498997570573237"/>
    <n v="2"/>
    <b v="0"/>
    <n v="-1"/>
    <n v="8.8963634606462727E-2"/>
    <n v="6.1350098577371135"/>
    <n v="0.36621112794684418"/>
    <n v="3"/>
  </r>
  <r>
    <n v="41020"/>
    <s v="41020"/>
    <s v="41"/>
    <s v="COLOMBIA"/>
    <s v="HUILA"/>
    <s v="ALGECIRAS"/>
    <x v="5"/>
    <n v="0"/>
    <n v="0"/>
    <n v="1"/>
    <n v="58.49"/>
    <n v="61.790766666666698"/>
    <n v="54.3"/>
    <n v="67.03"/>
    <n v="61.184626586312028"/>
    <n v="64.443268991986287"/>
    <n v="63.879303109642699"/>
    <n v="60.309287092281465"/>
    <s v="3. Vulnerable (&gt;=60 y &lt;70)"/>
    <s v="3. Vulnerable (&gt;=60 y &lt;70)"/>
    <s v="3. Vulnerable (&gt;=60 y &lt;70)"/>
    <s v="3. Vulnerable (&gt;=60 y &lt;70)"/>
    <n v="60.402691666666676"/>
    <n v="62.45412144505562"/>
    <n v="61.428406555861145"/>
    <n v="55.611828724945397"/>
    <x v="2"/>
    <n v="44.388171275054603"/>
    <n v="0.81759069605862034"/>
    <n v="50.223293673778429"/>
    <n v="0.45761445167541021"/>
    <n v="3"/>
    <b v="1"/>
    <n v="0"/>
    <n v="0.81759069605862023"/>
    <n v="50.223293673778421"/>
    <n v="0.43236031936716401"/>
    <n v="3"/>
    <b v="1"/>
    <n v="0"/>
    <n v="55.611828724945397"/>
    <x v="3"/>
    <n v="44.388171275054603"/>
    <n v="0.80397277260026034"/>
    <n v="49.386766335131696"/>
    <n v="0.45763719867453173"/>
    <n v="3"/>
    <b v="1"/>
    <n v="0"/>
    <n v="8.8730164896048888E-2"/>
    <n v="5.4505526430030899"/>
    <n v="0.32535449455073162"/>
    <n v="3"/>
  </r>
  <r>
    <n v="19100"/>
    <s v="19100"/>
    <s v="19"/>
    <s v="COLOMBIA"/>
    <s v="CAUCA"/>
    <s v="BOLÍVAR"/>
    <x v="5"/>
    <n v="0"/>
    <n v="0"/>
    <n v="0"/>
    <n v="50.51"/>
    <n v="53.156433333333297"/>
    <n v="46.97"/>
    <n v="55.36"/>
    <n v="46.140164553947479"/>
    <n v="52.733826761534459"/>
    <n v="44.861548620395169"/>
    <n v="49.721264509469684"/>
    <s v="2. Riesgo (&gt;=40 y &lt;60)"/>
    <s v="2. Riesgo (&gt;=40 y &lt;60)"/>
    <s v="2. Riesgo (&gt;=40 y &lt;60)"/>
    <s v="2. Riesgo (&gt;=40 y &lt;60)"/>
    <n v="51.499108333333325"/>
    <n v="48.364201111336698"/>
    <n v="49.931654722335011"/>
    <n v="55.877423809405713"/>
    <x v="2"/>
    <n v="44.122576190594287"/>
    <n v="0.81759069605862034"/>
    <n v="40.823656339792578"/>
    <n v="0.34003489677893034"/>
    <n v="4"/>
    <b v="0"/>
    <n v="1"/>
    <n v="0.81759069605862023"/>
    <n v="40.823656339792571"/>
    <n v="0.32126956661674616"/>
    <n v="4"/>
    <b v="0"/>
    <n v="1"/>
    <n v="55.877423809405713"/>
    <x v="3"/>
    <n v="44.122576190594287"/>
    <n v="0.80397277260026034"/>
    <n v="40.143690887634563"/>
    <n v="0.33957417720848038"/>
    <n v="4"/>
    <b v="0"/>
    <n v="1"/>
    <n v="8.8199251029520934E-2"/>
    <n v="4.4039345491745898"/>
    <n v="0.26287974690429761"/>
    <n v="4"/>
  </r>
  <r>
    <n v="15600"/>
    <s v="15600"/>
    <s v="15"/>
    <s v="COLOMBIA"/>
    <s v="BOYACÁ"/>
    <s v="RÁQUIRA"/>
    <x v="4"/>
    <n v="0"/>
    <n v="0"/>
    <n v="0"/>
    <n v="82.33"/>
    <n v="88.154466666666707"/>
    <n v="91.51"/>
    <n v="93.59"/>
    <n v="63.701309874664119"/>
    <n v="54.826427794855789"/>
    <n v="58.216485896772419"/>
    <n v="64.161755000543508"/>
    <s v="3. Vulnerable (&gt;=60 y &lt;70)"/>
    <s v="2. Riesgo (&gt;=40 y &lt;60)"/>
    <s v="2. Riesgo (&gt;=40 y &lt;60)"/>
    <s v="3. Vulnerable (&gt;=60 y &lt;70)"/>
    <n v="88.896116666666671"/>
    <n v="60.22649464170896"/>
    <n v="74.561305654187819"/>
    <n v="55.891869580732298"/>
    <x v="2"/>
    <n v="44.108130419267702"/>
    <n v="0.81759069605862034"/>
    <n v="60.960629788846965"/>
    <n v="0.59192720825580758"/>
    <n v="2"/>
    <b v="1"/>
    <n v="0"/>
    <n v="0.81759069605862023"/>
    <n v="60.960629788846958"/>
    <n v="0.55926082724573822"/>
    <n v="2"/>
    <b v="1"/>
    <n v="0"/>
    <n v="55.891869580732298"/>
    <x v="3"/>
    <n v="44.108130419267702"/>
    <n v="0.80397277260026034"/>
    <n v="59.945259635492853"/>
    <n v="0.5925022258238285"/>
    <n v="2"/>
    <b v="1"/>
    <n v="0"/>
    <n v="8.8170374515011793E-2"/>
    <n v="6.574098243858006"/>
    <n v="0.3924212004452447"/>
    <n v="2"/>
  </r>
  <r>
    <n v="5310"/>
    <s v="05310"/>
    <s v="50"/>
    <s v="COLOMBIA"/>
    <s v="ANTIOQUIA"/>
    <s v="GÓMEZ PLATA"/>
    <x v="5"/>
    <n v="0"/>
    <n v="0"/>
    <n v="0"/>
    <n v="59.43"/>
    <n v="60.135933333333298"/>
    <n v="45.32"/>
    <n v="48.94"/>
    <n v="54.016523253786659"/>
    <n v="52.012828461550157"/>
    <n v="68.633826222816495"/>
    <n v="55.560618787005708"/>
    <s v="2. Riesgo (&gt;=40 y &lt;60)"/>
    <s v="2. Riesgo (&gt;=40 y &lt;60)"/>
    <s v="3. Vulnerable (&gt;=60 y &lt;70)"/>
    <s v="2. Riesgo (&gt;=40 y &lt;60)"/>
    <n v="53.456483333333324"/>
    <n v="57.555949181289748"/>
    <n v="55.506216257311536"/>
    <n v="55.392081544387594"/>
    <x v="2"/>
    <n v="44.607918455612406"/>
    <n v="0.81759069605862034"/>
    <n v="45.381365985395647"/>
    <n v="0.39704704016661146"/>
    <n v="3"/>
    <b v="1"/>
    <n v="0"/>
    <n v="0.81759069605862023"/>
    <n v="45.381365985395639"/>
    <n v="0.3751354103038434"/>
    <n v="3"/>
    <b v="1"/>
    <n v="0"/>
    <n v="55.392081544387594"/>
    <x v="3"/>
    <n v="44.607918455612406"/>
    <n v="0.80397277260026034"/>
    <n v="44.625486580940404"/>
    <n v="0.39682074456053035"/>
    <n v="3"/>
    <b v="1"/>
    <n v="0"/>
    <n v="8.9169430651006742E-2"/>
    <n v="4.9494577012561241"/>
    <n v="0.29544312552592278"/>
    <n v="3"/>
  </r>
  <r>
    <n v="5038"/>
    <s v="05038"/>
    <s v="50"/>
    <s v="COLOMBIA"/>
    <s v="ANTIOQUIA"/>
    <s v="ANGOSTURA"/>
    <x v="5"/>
    <n v="0"/>
    <n v="0"/>
    <n v="0"/>
    <n v="69.98"/>
    <n v="70.190100000000001"/>
    <n v="65.55"/>
    <n v="55.82"/>
    <n v="55.576557402827831"/>
    <n v="55.197579063617475"/>
    <n v="54.155879287313745"/>
    <n v="62.255829255617755"/>
    <s v="2. Riesgo (&gt;=40 y &lt;60)"/>
    <s v="2. Riesgo (&gt;=40 y &lt;60)"/>
    <s v="2. Riesgo (&gt;=40 y &lt;60)"/>
    <s v="3. Vulnerable (&gt;=60 y &lt;70)"/>
    <n v="65.385024999999999"/>
    <n v="56.796461252344201"/>
    <n v="61.0907431261721"/>
    <n v="55.553999480351159"/>
    <x v="2"/>
    <n v="44.446000519648841"/>
    <n v="0.81759069605862034"/>
    <n v="49.947223195265423"/>
    <n v="0.45416110099492679"/>
    <n v="3"/>
    <b v="1"/>
    <n v="0"/>
    <n v="0.81759069605862023"/>
    <n v="49.947223195265416"/>
    <n v="0.42909754696643643"/>
    <n v="3"/>
    <b v="1"/>
    <n v="0"/>
    <n v="55.553999480351159"/>
    <x v="3"/>
    <n v="44.446000519648841"/>
    <n v="0.80397277260026034"/>
    <n v="49.11529413135888"/>
    <n v="0.45416964841990898"/>
    <n v="3"/>
    <b v="1"/>
    <n v="0"/>
    <n v="8.8845763224641078E-2"/>
    <n v="5.4276536990052557"/>
    <n v="0.32398761033950857"/>
    <n v="3"/>
  </r>
  <r>
    <n v="8549"/>
    <s v="08549"/>
    <s v="87"/>
    <s v="COLOMBIA"/>
    <s v="ATLÁNTICO"/>
    <s v="PIOJÓ"/>
    <x v="5"/>
    <n v="0"/>
    <n v="0"/>
    <n v="0"/>
    <n v="61"/>
    <n v="58.106833333333299"/>
    <n v="43.02"/>
    <n v="42.6"/>
    <n v="48.297090749571758"/>
    <n v="47.296128876261129"/>
    <n v="32.151063542701593"/>
    <n v="35.883213858464991"/>
    <s v="2. Riesgo (&gt;=40 y &lt;60)"/>
    <s v="2. Riesgo (&gt;=40 y &lt;60)"/>
    <s v="1. Deterioro (&lt;40)"/>
    <s v="1. Deterioro (&lt;40)"/>
    <n v="51.181708333333326"/>
    <n v="40.906874256749866"/>
    <n v="46.044291295041596"/>
    <n v="55.824686631978459"/>
    <x v="2"/>
    <n v="44.175313368021541"/>
    <n v="0.81759069605862034"/>
    <n v="37.645384169438934"/>
    <n v="0.30027806214246194"/>
    <n v="4"/>
    <b v="0"/>
    <n v="1"/>
    <n v="0.81759069605862023"/>
    <n v="37.645384169438927"/>
    <n v="0.28370677187213544"/>
    <n v="4"/>
    <b v="0"/>
    <n v="1"/>
    <n v="55.824686631978459"/>
    <x v="3"/>
    <n v="44.175313368021541"/>
    <n v="0.80397277260026034"/>
    <n v="37.018356534888625"/>
    <n v="0.2996538694199351"/>
    <n v="4"/>
    <b v="0"/>
    <n v="1"/>
    <n v="8.8304670521130002E-2"/>
    <n v="4.065925972187582"/>
    <n v="0.24270333234189675"/>
    <n v="4"/>
  </r>
  <r>
    <n v="19397"/>
    <s v="19397"/>
    <s v="19"/>
    <s v="COLOMBIA"/>
    <s v="CAUCA"/>
    <s v="LA VEGA"/>
    <x v="5"/>
    <n v="0"/>
    <n v="0"/>
    <n v="0"/>
    <n v="66.72"/>
    <n v="63.948533333333302"/>
    <n v="36.770000000000003"/>
    <n v="82.51"/>
    <n v="45.495704636294832"/>
    <n v="36.577139231184916"/>
    <n v="41.775853114421892"/>
    <n v="48.435844027257623"/>
    <s v="2. Riesgo (&gt;=40 y &lt;60)"/>
    <s v="1. Deterioro (&lt;40)"/>
    <s v="2. Riesgo (&gt;=40 y &lt;60)"/>
    <s v="2. Riesgo (&gt;=40 y &lt;60)"/>
    <n v="62.487133333333333"/>
    <n v="43.071135252289814"/>
    <n v="52.779134292811577"/>
    <n v="55.196096004347858"/>
    <x v="2"/>
    <n v="44.803903995652142"/>
    <n v="0.81759069605862034"/>
    <n v="43.151729143831218"/>
    <n v="0.36915663353740463"/>
    <n v="3"/>
    <b v="1"/>
    <n v="0"/>
    <n v="0.81759069605862023"/>
    <n v="43.151729143831211"/>
    <n v="0.34878417713510323"/>
    <n v="3"/>
    <b v="1"/>
    <n v="0"/>
    <n v="55.196096004347858"/>
    <x v="3"/>
    <n v="44.803903995652142"/>
    <n v="0.80397277260026034"/>
    <n v="42.432986932833202"/>
    <n v="0.36881565745622857"/>
    <n v="3"/>
    <b v="1"/>
    <n v="0"/>
    <n v="8.9561197844505419E-2"/>
    <n v="4.7269624884602184"/>
    <n v="0.2821619369491834"/>
    <n v="4"/>
  </r>
  <r>
    <n v="5647"/>
    <s v="05647"/>
    <s v="50"/>
    <s v="COLOMBIA"/>
    <s v="ANTIOQUIA"/>
    <s v="SAN ANDRÉS DE CUERQUÍA"/>
    <x v="5"/>
    <n v="0"/>
    <n v="0"/>
    <n v="0"/>
    <n v="40.58"/>
    <n v="52.169533333333298"/>
    <n v="62.66"/>
    <n v="44.16"/>
    <n v="50.216266749825792"/>
    <n v="50.077365341393701"/>
    <n v="53.582096908714547"/>
    <n v="56.522120803855749"/>
    <s v="2. Riesgo (&gt;=40 y &lt;60)"/>
    <s v="2. Riesgo (&gt;=40 y &lt;60)"/>
    <s v="2. Riesgo (&gt;=40 y &lt;60)"/>
    <s v="2. Riesgo (&gt;=40 y &lt;60)"/>
    <n v="49.892383333333321"/>
    <n v="52.599462450947449"/>
    <n v="51.245922892140385"/>
    <n v="55.578019358069497"/>
    <x v="2"/>
    <n v="44.421980641930503"/>
    <n v="0.81759069605862034"/>
    <n v="41.898189767551443"/>
    <n v="0.35347617729519698"/>
    <n v="3"/>
    <b v="1"/>
    <n v="0"/>
    <n v="0.81759069605862023"/>
    <n v="41.898189767551436"/>
    <n v="0.33396907012988869"/>
    <n v="4"/>
    <b v="0"/>
    <n v="1"/>
    <n v="55.578019358069497"/>
    <x v="3"/>
    <n v="44.421980641930503"/>
    <n v="0.80397277260026034"/>
    <n v="41.200326712053254"/>
    <n v="0.35307072591986444"/>
    <n v="4"/>
    <b v="0"/>
    <n v="1"/>
    <n v="8.8797748457429229E-2"/>
    <n v="4.5505225704450964"/>
    <n v="0.27162988192572179"/>
    <n v="4"/>
  </r>
  <r>
    <n v="5579"/>
    <s v="05579"/>
    <s v="50"/>
    <s v="COLOMBIA"/>
    <s v="ANTIOQUIA"/>
    <s v="PUERTO BERRÍO"/>
    <x v="5"/>
    <n v="0"/>
    <n v="0"/>
    <n v="0"/>
    <n v="55.92"/>
    <n v="57.157166666666697"/>
    <n v="66.819999999999993"/>
    <n v="46.5"/>
    <n v="49.381934866029304"/>
    <n v="53.294701979054857"/>
    <n v="53.156480151122373"/>
    <n v="58.566258380331085"/>
    <s v="2. Riesgo (&gt;=40 y &lt;60)"/>
    <s v="2. Riesgo (&gt;=40 y &lt;60)"/>
    <s v="2. Riesgo (&gt;=40 y &lt;60)"/>
    <s v="2. Riesgo (&gt;=40 y &lt;60)"/>
    <n v="56.599291666666673"/>
    <n v="53.599843844134405"/>
    <n v="55.099567755400543"/>
    <n v="55.764537591680842"/>
    <x v="2"/>
    <n v="44.235462408319158"/>
    <n v="0.81759069605862034"/>
    <n v="45.04889395366704"/>
    <n v="0.3928881655082419"/>
    <n v="3"/>
    <b v="1"/>
    <n v="0"/>
    <n v="0.81759069605862023"/>
    <n v="45.048893953667033"/>
    <n v="0.37120604931247314"/>
    <n v="3"/>
    <b v="1"/>
    <n v="0"/>
    <n v="55.764537591680842"/>
    <x v="3"/>
    <n v="44.235462408319158"/>
    <n v="0.80397277260026034"/>
    <n v="44.298552257385275"/>
    <n v="0.39264476933679354"/>
    <n v="3"/>
    <b v="1"/>
    <n v="0"/>
    <n v="8.842490602781207E-2"/>
    <n v="4.8721741009443571"/>
    <n v="0.29082991135051733"/>
    <n v="4"/>
  </r>
  <r>
    <n v="68370"/>
    <s v="68370"/>
    <s v="68"/>
    <s v="COLOMBIA"/>
    <s v="SANTANDER"/>
    <s v="JORDÁN"/>
    <x v="5"/>
    <n v="0"/>
    <n v="0"/>
    <n v="0"/>
    <n v="54"/>
    <n v="57.234733333333303"/>
    <n v="57.6"/>
    <n v="58.77"/>
    <n v="39.711710671350559"/>
    <n v="46.232480551592523"/>
    <n v="35.438973979781451"/>
    <n v="53.726256227044907"/>
    <s v="1. Deterioro (&lt;40)"/>
    <s v="2. Riesgo (&gt;=40 y &lt;60)"/>
    <s v="1. Deterioro (&lt;40)"/>
    <s v="2. Riesgo (&gt;=40 y &lt;60)"/>
    <n v="56.901183333333329"/>
    <n v="43.77735535744236"/>
    <n v="50.339269345387848"/>
    <n v="55.613375098518368"/>
    <x v="2"/>
    <n v="44.386624901481632"/>
    <n v="0.81759069605862034"/>
    <n v="41.156918263178021"/>
    <n v="0.3442036521493026"/>
    <n v="4"/>
    <b v="0"/>
    <n v="1"/>
    <n v="0.81759069605862023"/>
    <n v="41.156918263178014"/>
    <n v="0.32520826303837097"/>
    <n v="4"/>
    <b v="0"/>
    <n v="1"/>
    <n v="55.613375098518368"/>
    <x v="3"/>
    <n v="44.386624901481632"/>
    <n v="0.80397277260026034"/>
    <n v="40.471401946282761"/>
    <n v="0.34376007377197987"/>
    <n v="4"/>
    <b v="0"/>
    <n v="1"/>
    <n v="8.8727073757617653E-2"/>
    <n v="4.4664560641128093"/>
    <n v="0.26661178239199868"/>
    <n v="4"/>
  </r>
  <r>
    <n v="25335"/>
    <s v="25335"/>
    <s v="25"/>
    <s v="COLOMBIA"/>
    <s v="CUNDINAMARCA"/>
    <s v="GUAYABETAL"/>
    <x v="4"/>
    <n v="0"/>
    <n v="0"/>
    <n v="0"/>
    <n v="57.11"/>
    <n v="62.014400000000002"/>
    <n v="69.959999999999994"/>
    <n v="40.369999999999997"/>
    <n v="66.999503904330197"/>
    <n v="52.276602344721063"/>
    <n v="64.797279161120628"/>
    <n v="56.602487234874516"/>
    <s v="3. Vulnerable (&gt;=60 y &lt;70)"/>
    <s v="2. Riesgo (&gt;=40 y &lt;60)"/>
    <s v="3. Vulnerable (&gt;=60 y &lt;70)"/>
    <s v="2. Riesgo (&gt;=40 y &lt;60)"/>
    <n v="57.363600000000005"/>
    <n v="60.168968161261603"/>
    <n v="58.766284080630804"/>
    <n v="55.952364869772268"/>
    <x v="2"/>
    <n v="44.047635130227732"/>
    <n v="0.81759069605862034"/>
    <n v="48.046767106261555"/>
    <n v="0.43038839859103251"/>
    <n v="3"/>
    <b v="0"/>
    <n v="1"/>
    <n v="0.81759069605862023"/>
    <n v="48.046767106261555"/>
    <n v="0.40663677640742713"/>
    <n v="3"/>
    <b v="0"/>
    <n v="1"/>
    <n v="55.952364869772268"/>
    <x v="3"/>
    <n v="44.047635130227732"/>
    <n v="0.80397277260026034"/>
    <n v="47.24649234771929"/>
    <n v="0.43029919682066547"/>
    <n v="3"/>
    <b v="0"/>
    <n v="1"/>
    <n v="8.8049446871052567E-2"/>
    <n v="5.1743388079666843"/>
    <n v="0.30886673292869637"/>
    <n v="3"/>
  </r>
  <r>
    <n v="27001"/>
    <s v="27001"/>
    <s v="27"/>
    <s v="COLOMBIA"/>
    <s v="CHOCÓ"/>
    <s v="QUIBDÓ"/>
    <x v="5"/>
    <n v="0"/>
    <n v="1"/>
    <n v="0"/>
    <n v="62.08"/>
    <n v="65.175566666666697"/>
    <n v="74.180000000000007"/>
    <n v="74.44"/>
    <n v="55.056956428861277"/>
    <n v="52.540767449971092"/>
    <n v="52.404762168050141"/>
    <n v="56.749752178011462"/>
    <s v="2. Riesgo (&gt;=40 y &lt;60)"/>
    <s v="2. Riesgo (&gt;=40 y &lt;60)"/>
    <s v="2. Riesgo (&gt;=40 y &lt;60)"/>
    <s v="2. Riesgo (&gt;=40 y &lt;60)"/>
    <n v="68.968891666666678"/>
    <n v="54.188059556223493"/>
    <n v="61.578475611445086"/>
    <n v="55.901394382185266"/>
    <x v="2"/>
    <n v="44.098605617814734"/>
    <n v="0.81759069605862034"/>
    <n v="50.345988737390165"/>
    <n v="0.4591492375884052"/>
    <n v="3"/>
    <b v="1"/>
    <n v="0"/>
    <n v="0.81759069605862023"/>
    <n v="50.345988737390158"/>
    <n v="0.43381040584295877"/>
    <n v="3"/>
    <b v="1"/>
    <n v="0"/>
    <n v="55.901394382185266"/>
    <x v="3"/>
    <n v="44.098605617814734"/>
    <n v="0.80397277260026034"/>
    <n v="49.507417769831015"/>
    <n v="0.45917829535882559"/>
    <n v="3"/>
    <b v="1"/>
    <n v="0"/>
    <n v="8.8151334820894017E-2"/>
    <n v="5.4282248213847524"/>
    <n v="0.32402170178771178"/>
    <n v="3"/>
  </r>
  <r>
    <n v="68368"/>
    <s v="68368"/>
    <s v="68"/>
    <s v="COLOMBIA"/>
    <s v="SANTANDER"/>
    <s v="JESÚS MARÍA"/>
    <x v="5"/>
    <n v="0"/>
    <n v="0"/>
    <n v="0"/>
    <n v="47.69"/>
    <n v="47.589933333333299"/>
    <n v="57.14"/>
    <n v="61.45"/>
    <n v="53.492001590324143"/>
    <n v="51.340423707309959"/>
    <n v="66.806669985131876"/>
    <n v="60.110066407810663"/>
    <s v="2. Riesgo (&gt;=40 y &lt;60)"/>
    <s v="2. Riesgo (&gt;=40 y &lt;60)"/>
    <s v="3. Vulnerable (&gt;=60 y &lt;70)"/>
    <s v="3. Vulnerable (&gt;=60 y &lt;70)"/>
    <n v="53.46748333333332"/>
    <n v="57.937290422644168"/>
    <n v="55.702386877988744"/>
    <n v="55.988792495304118"/>
    <x v="2"/>
    <n v="44.011207504695882"/>
    <n v="0.81759069605862034"/>
    <n v="45.541753259701373"/>
    <n v="0.39905331590405313"/>
    <n v="3"/>
    <b v="1"/>
    <n v="0"/>
    <n v="0.81759069605862023"/>
    <n v="45.541753259701373"/>
    <n v="0.37703096673874859"/>
    <n v="3"/>
    <b v="1"/>
    <n v="0"/>
    <n v="55.988792495304118"/>
    <x v="3"/>
    <n v="44.011207504695882"/>
    <n v="0.80397277260026034"/>
    <n v="44.783202418748971"/>
    <n v="0.39883526975298361"/>
    <n v="3"/>
    <b v="1"/>
    <n v="0"/>
    <n v="8.7976629516172508E-2"/>
    <n v="4.9005082535313251"/>
    <n v="0.2925212341387286"/>
    <n v="3"/>
  </r>
  <r>
    <n v="68322"/>
    <s v="68322"/>
    <s v="68"/>
    <s v="COLOMBIA"/>
    <s v="SANTANDER"/>
    <s v="GUAPOTÁ"/>
    <x v="5"/>
    <n v="0"/>
    <n v="0"/>
    <n v="0"/>
    <n v="65.02"/>
    <n v="67.341399999999993"/>
    <n v="59.08"/>
    <n v="53.69"/>
    <n v="48.898613807918821"/>
    <n v="64.312195258911956"/>
    <n v="51.137201108311913"/>
    <n v="60.878240568534125"/>
    <s v="2. Riesgo (&gt;=40 y &lt;60)"/>
    <s v="3. Vulnerable (&gt;=60 y &lt;70)"/>
    <s v="2. Riesgo (&gt;=40 y &lt;60)"/>
    <s v="3. Vulnerable (&gt;=60 y &lt;70)"/>
    <n v="61.282849999999996"/>
    <n v="56.306562685919204"/>
    <n v="58.7947063429596"/>
    <n v="56.003085210727157"/>
    <x v="2"/>
    <n v="43.996914789272843"/>
    <n v="0.81759069605862034"/>
    <n v="48.07000488350252"/>
    <n v="0.43067907868939093"/>
    <n v="3"/>
    <b v="1"/>
    <n v="0"/>
    <n v="0.81759069605862023"/>
    <n v="48.070004883502513"/>
    <n v="0.40691141489338345"/>
    <n v="3"/>
    <b v="1"/>
    <n v="0"/>
    <n v="56.003085210727157"/>
    <x v="3"/>
    <n v="43.996914789272843"/>
    <n v="0.80397277260026034"/>
    <n v="47.269343072767342"/>
    <n v="0.43059107214475945"/>
    <n v="3"/>
    <b v="1"/>
    <n v="0"/>
    <n v="8.7948058954244193E-2"/>
    <n v="5.1708802996480863"/>
    <n v="0.30866028758276592"/>
    <n v="3"/>
  </r>
  <r>
    <n v="25258"/>
    <s v="25258"/>
    <s v="25"/>
    <s v="COLOMBIA"/>
    <s v="CUNDINAMARCA"/>
    <s v="EL PEÑÓN"/>
    <x v="5"/>
    <n v="0"/>
    <n v="0"/>
    <n v="0"/>
    <n v="58.3"/>
    <n v="61.770766666666702"/>
    <n v="64.69"/>
    <n v="67.17"/>
    <n v="52.086083958014697"/>
    <n v="63.965384349714611"/>
    <n v="47.105861311239664"/>
    <n v="48.220086952743017"/>
    <s v="2. Riesgo (&gt;=40 y &lt;60)"/>
    <s v="3. Vulnerable (&gt;=60 y &lt;70)"/>
    <s v="2. Riesgo (&gt;=40 y &lt;60)"/>
    <s v="2. Riesgo (&gt;=40 y &lt;60)"/>
    <n v="62.982691666666682"/>
    <n v="52.844354142927997"/>
    <n v="57.91352290479734"/>
    <n v="56.023378279474414"/>
    <x v="2"/>
    <n v="43.976621720525586"/>
    <n v="0.81759069605862034"/>
    <n v="47.349557502940108"/>
    <n v="0.42166704138167677"/>
    <n v="3"/>
    <b v="1"/>
    <n v="0"/>
    <n v="0.81759069605862023"/>
    <n v="47.349557502940101"/>
    <n v="0.39839672023230693"/>
    <n v="3"/>
    <b v="1"/>
    <n v="0"/>
    <n v="56.023378279474414"/>
    <x v="3"/>
    <n v="43.976621720525586"/>
    <n v="0.80397277260026034"/>
    <n v="46.560895580818602"/>
    <n v="0.42154197891549633"/>
    <n v="3"/>
    <b v="1"/>
    <n v="0"/>
    <n v="8.7907493927921451E-2"/>
    <n v="5.0910326630980123"/>
    <n v="0.30389402090627232"/>
    <n v="3"/>
  </r>
  <r>
    <n v="25436"/>
    <s v="25436"/>
    <s v="25"/>
    <s v="COLOMBIA"/>
    <s v="CUNDINAMARCA"/>
    <s v="MANTA"/>
    <x v="5"/>
    <n v="0"/>
    <n v="0"/>
    <n v="0"/>
    <n v="45.22"/>
    <n v="52.438733333333303"/>
    <n v="64.39"/>
    <n v="66.52"/>
    <n v="53.959254664771521"/>
    <n v="43.618674621454659"/>
    <n v="49.284769849262062"/>
    <n v="58.418182384931207"/>
    <s v="2. Riesgo (&gt;=40 y &lt;60)"/>
    <s v="2. Riesgo (&gt;=40 y &lt;60)"/>
    <s v="2. Riesgo (&gt;=40 y &lt;60)"/>
    <s v="2. Riesgo (&gt;=40 y &lt;60)"/>
    <n v="57.142183333333321"/>
    <n v="51.320220380104864"/>
    <n v="54.231201856719096"/>
    <n v="55.737356051475707"/>
    <x v="2"/>
    <n v="44.262643948524293"/>
    <n v="0.81759069605862034"/>
    <n v="44.338926074130512"/>
    <n v="0.38400721571192625"/>
    <n v="3"/>
    <b v="1"/>
    <n v="0"/>
    <n v="0.81759069605862023"/>
    <n v="44.338926074130505"/>
    <n v="0.36281520790403271"/>
    <n v="3"/>
    <b v="1"/>
    <n v="0"/>
    <n v="55.737356051475707"/>
    <x v="3"/>
    <n v="44.262643948524293"/>
    <n v="0.80397277260026034"/>
    <n v="43.600409718190839"/>
    <n v="0.38372730262785354"/>
    <n v="3"/>
    <b v="1"/>
    <n v="0"/>
    <n v="8.8479240830874467E-2"/>
    <n v="4.7983355696284153"/>
    <n v="0.2864223403007255"/>
    <n v="4"/>
  </r>
  <r>
    <n v="15226"/>
    <s v="15226"/>
    <s v="15"/>
    <s v="COLOMBIA"/>
    <s v="BOYACÁ"/>
    <s v="CUÍTIVA"/>
    <x v="5"/>
    <n v="0"/>
    <n v="0"/>
    <n v="0"/>
    <n v="70.47"/>
    <n v="74.850433333333299"/>
    <n v="40.729999999999997"/>
    <n v="67.69"/>
    <n v="53.204559283631447"/>
    <n v="53.282488835371296"/>
    <n v="60.896152940505644"/>
    <n v="62.286424887167811"/>
    <s v="2. Riesgo (&gt;=40 y &lt;60)"/>
    <s v="2. Riesgo (&gt;=40 y &lt;60)"/>
    <s v="3. Vulnerable (&gt;=60 y &lt;70)"/>
    <s v="3. Vulnerable (&gt;=60 y &lt;70)"/>
    <n v="63.435108333333325"/>
    <n v="57.417406486669051"/>
    <n v="60.426257410001185"/>
    <n v="55.889543920867624"/>
    <x v="2"/>
    <n v="44.110456079132376"/>
    <n v="0.81759069605862034"/>
    <n v="49.403945856060233"/>
    <n v="0.44736527414976457"/>
    <n v="3"/>
    <b v="1"/>
    <n v="0"/>
    <n v="0.81759069605862023"/>
    <n v="49.403945856060226"/>
    <n v="0.42267675790616782"/>
    <n v="3"/>
    <b v="1"/>
    <n v="0"/>
    <n v="55.889543920867624"/>
    <x v="3"/>
    <n v="44.110456079132376"/>
    <n v="0.80397277260026034"/>
    <n v="48.581065707775679"/>
    <n v="0.44734587832308936"/>
    <n v="3"/>
    <b v="1"/>
    <n v="0"/>
    <n v="8.8175023415323683E-2"/>
    <n v="5.3280866620272302"/>
    <n v="0.31804425282850746"/>
    <n v="3"/>
  </r>
  <r>
    <n v="5206"/>
    <s v="05206"/>
    <s v="50"/>
    <s v="COLOMBIA"/>
    <s v="ANTIOQUIA"/>
    <s v="CONCEPCIÓN"/>
    <x v="5"/>
    <n v="0"/>
    <n v="0"/>
    <n v="0"/>
    <n v="66.08"/>
    <n v="68.377200000000002"/>
    <n v="66.150000000000006"/>
    <n v="71.98"/>
    <n v="75.425529191574043"/>
    <n v="58.361678092831937"/>
    <n v="64.825972186263243"/>
    <n v="74.917075920234041"/>
    <s v="4. Solvente (&gt;=70 y &lt;80)"/>
    <s v="2. Riesgo (&gt;=40 y &lt;60)"/>
    <s v="3. Vulnerable (&gt;=60 y &lt;70)"/>
    <s v="4. Solvente (&gt;=70 y &lt;80)"/>
    <n v="68.146799999999999"/>
    <n v="68.38256384772582"/>
    <n v="68.264681923862909"/>
    <n v="55.489844604830019"/>
    <x v="2"/>
    <n v="44.510155395169981"/>
    <n v="0.81759069605862034"/>
    <n v="55.812568810351394"/>
    <n v="0.52753039198260243"/>
    <n v="2"/>
    <b v="0"/>
    <n v="-1"/>
    <n v="0.81759069605862023"/>
    <n v="55.812568810351387"/>
    <n v="0.49841784480020007"/>
    <n v="2"/>
    <b v="0"/>
    <n v="-1"/>
    <n v="55.489844604830019"/>
    <x v="3"/>
    <n v="44.510155395169981"/>
    <n v="0.80397277260026034"/>
    <n v="54.882945597002937"/>
    <n v="0.52784062110264585"/>
    <n v="2"/>
    <b v="0"/>
    <n v="-1"/>
    <n v="8.8974006234442099E-2"/>
    <n v="6.0737822350859849"/>
    <n v="0.36255632750275102"/>
    <n v="3"/>
  </r>
  <r>
    <n v="68770"/>
    <s v="68770"/>
    <s v="68"/>
    <s v="COLOMBIA"/>
    <s v="SANTANDER"/>
    <s v="SUAITA"/>
    <x v="5"/>
    <n v="0"/>
    <n v="0"/>
    <n v="0"/>
    <n v="51.75"/>
    <n v="54.1957666666667"/>
    <n v="67.489999999999995"/>
    <n v="52.53"/>
    <n v="52.164146859307145"/>
    <n v="65.287483078071006"/>
    <n v="55.959798747895995"/>
    <n v="56.620120380831047"/>
    <s v="2. Riesgo (&gt;=40 y &lt;60)"/>
    <s v="3. Vulnerable (&gt;=60 y &lt;70)"/>
    <s v="2. Riesgo (&gt;=40 y &lt;60)"/>
    <s v="2. Riesgo (&gt;=40 y &lt;60)"/>
    <n v="56.491441666666674"/>
    <n v="57.507887266526303"/>
    <n v="56.999664466596485"/>
    <n v="56.310659591232636"/>
    <x v="2"/>
    <n v="43.689340408767364"/>
    <n v="0.81759069605862034"/>
    <n v="46.602395346352431"/>
    <n v="0.41232083038591483"/>
    <n v="3"/>
    <b v="1"/>
    <n v="0"/>
    <n v="0.81759069605862023"/>
    <n v="46.602395346352424"/>
    <n v="0.38956629375384683"/>
    <n v="3"/>
    <b v="1"/>
    <n v="0"/>
    <n v="56.310659591232636"/>
    <x v="3"/>
    <n v="43.689340408767364"/>
    <n v="0.80397277260026034"/>
    <n v="45.826178278494119"/>
    <n v="0.41215733793441428"/>
    <n v="3"/>
    <b v="1"/>
    <n v="0"/>
    <n v="8.7333230167292386E-2"/>
    <n v="4.9779648163197079"/>
    <n v="0.29714477279365775"/>
    <n v="3"/>
  </r>
  <r>
    <n v="54520"/>
    <s v="54520"/>
    <s v="54"/>
    <s v="COLOMBIA"/>
    <s v="NORTE DE SANTANDER"/>
    <s v="PAMPLONITA"/>
    <x v="4"/>
    <n v="0"/>
    <n v="0"/>
    <n v="0"/>
    <n v="83.96"/>
    <n v="84.271533333333295"/>
    <n v="83.06"/>
    <n v="67.97"/>
    <n v="48.369254614143543"/>
    <n v="48.378610798372378"/>
    <n v="62.998721415757892"/>
    <n v="63.32980873416178"/>
    <s v="2. Riesgo (&gt;=40 y &lt;60)"/>
    <s v="2. Riesgo (&gt;=40 y &lt;60)"/>
    <s v="3. Vulnerable (&gt;=60 y &lt;70)"/>
    <s v="3. Vulnerable (&gt;=60 y &lt;70)"/>
    <n v="79.81538333333333"/>
    <n v="55.769098890608902"/>
    <n v="67.792241111971123"/>
    <n v="55.934929729765869"/>
    <x v="2"/>
    <n v="44.065070270234131"/>
    <n v="0.81759069605862034"/>
    <n v="55.426305598110289"/>
    <n v="0.52269864635727048"/>
    <n v="2"/>
    <b v="1"/>
    <n v="0"/>
    <n v="0.81759069605862023"/>
    <n v="55.426305598110282"/>
    <n v="0.49385274622426778"/>
    <n v="2"/>
    <b v="1"/>
    <n v="0"/>
    <n v="55.934929729765869"/>
    <x v="3"/>
    <n v="44.065070270234131"/>
    <n v="0.80397277260026034"/>
    <n v="54.503116047576782"/>
    <n v="0.52298900818418981"/>
    <n v="2"/>
    <b v="1"/>
    <n v="0"/>
    <n v="8.8084299013038048E-2"/>
    <n v="5.9714320368708353"/>
    <n v="0.35644683747696349"/>
    <n v="3"/>
  </r>
  <r>
    <n v="5490"/>
    <s v="05490"/>
    <s v="50"/>
    <s v="COLOMBIA"/>
    <s v="ANTIOQUIA"/>
    <s v="NECOCLÍ"/>
    <x v="5"/>
    <n v="0"/>
    <n v="0"/>
    <n v="1"/>
    <n v="43.06"/>
    <n v="44.947099999999999"/>
    <n v="44.74"/>
    <n v="63.25"/>
    <n v="57.728427856104574"/>
    <n v="52.567289018073673"/>
    <n v="55.330890793142508"/>
    <n v="55.824546894645707"/>
    <s v="2. Riesgo (&gt;=40 y &lt;60)"/>
    <s v="2. Riesgo (&gt;=40 y &lt;60)"/>
    <s v="2. Riesgo (&gt;=40 y &lt;60)"/>
    <s v="2. Riesgo (&gt;=40 y &lt;60)"/>
    <n v="48.999275000000004"/>
    <n v="55.362788640491615"/>
    <n v="52.181031820245806"/>
    <n v="56.111170175531342"/>
    <x v="2"/>
    <n v="43.888829824468658"/>
    <n v="0.81759069605862034"/>
    <n v="42.662726126971783"/>
    <n v="0.36303972125425948"/>
    <n v="3"/>
    <b v="1"/>
    <n v="0"/>
    <n v="0.81759069605862023"/>
    <n v="42.662726126971776"/>
    <n v="0.34300483572969342"/>
    <n v="3"/>
    <b v="1"/>
    <n v="0"/>
    <n v="56.111170175531342"/>
    <x v="3"/>
    <n v="43.888829824468658"/>
    <n v="0.80397277260026034"/>
    <n v="41.952128829665433"/>
    <n v="0.36267359349938899"/>
    <n v="3"/>
    <b v="1"/>
    <n v="0"/>
    <n v="8.7732001466981846E-2"/>
    <n v="4.5779463602024313"/>
    <n v="0.27326686331817146"/>
    <n v="4"/>
  </r>
  <r>
    <n v="15296"/>
    <s v="15296"/>
    <s v="15"/>
    <s v="COLOMBIA"/>
    <s v="BOYACÁ"/>
    <s v="GÁMEZA"/>
    <x v="5"/>
    <n v="0"/>
    <n v="0"/>
    <n v="0"/>
    <n v="54.61"/>
    <n v="64.678533333333306"/>
    <n v="83.84"/>
    <n v="35.08"/>
    <n v="60.725643931442775"/>
    <n v="57.265800226534068"/>
    <n v="70.453804009922209"/>
    <n v="50.973051547259267"/>
    <s v="3. Vulnerable (&gt;=60 y &lt;70)"/>
    <s v="2. Riesgo (&gt;=40 y &lt;60)"/>
    <s v="4. Solvente (&gt;=70 y &lt;80)"/>
    <s v="2. Riesgo (&gt;=40 y &lt;60)"/>
    <n v="59.55213333333333"/>
    <n v="59.854574928789582"/>
    <n v="59.703354131061459"/>
    <n v="56.022919926019831"/>
    <x v="2"/>
    <n v="43.977080073980169"/>
    <n v="0.81759069605862034"/>
    <n v="48.812906861048845"/>
    <n v="0.43997199933599751"/>
    <n v="3"/>
    <b v="1"/>
    <n v="0"/>
    <n v="0.81759069605862023"/>
    <n v="48.812906861048837"/>
    <n v="0.41569149192965343"/>
    <n v="3"/>
    <b v="1"/>
    <n v="0"/>
    <n v="56.022919926019831"/>
    <x v="3"/>
    <n v="43.977080073980169"/>
    <n v="0.80397277260026034"/>
    <n v="47.999871154284691"/>
    <n v="0.43992220365608892"/>
    <n v="3"/>
    <b v="1"/>
    <n v="0"/>
    <n v="8.7908410157998912E-2"/>
    <n v="5.2484269427616095"/>
    <n v="0.31328920331421833"/>
    <n v="3"/>
  </r>
  <r>
    <n v="13580"/>
    <s v="13580"/>
    <s v="13"/>
    <s v="COLOMBIA"/>
    <s v="BOLÍVAR"/>
    <s v="REGIDOR"/>
    <x v="6"/>
    <n v="0"/>
    <n v="0"/>
    <n v="0"/>
    <n v="48.51"/>
    <n v="49.881100000000004"/>
    <n v="34.549999999999997"/>
    <n v="34.99"/>
    <n v="44.960852340352595"/>
    <n v="56.110809073809961"/>
    <n v="45.090060836550975"/>
    <n v="51.010443915316692"/>
    <s v="2. Riesgo (&gt;=40 y &lt;60)"/>
    <s v="2. Riesgo (&gt;=40 y &lt;60)"/>
    <s v="2. Riesgo (&gt;=40 y &lt;60)"/>
    <s v="2. Riesgo (&gt;=40 y &lt;60)"/>
    <n v="41.982775000000004"/>
    <n v="49.293041541507556"/>
    <n v="45.637908270753783"/>
    <n v="56.17916442938462"/>
    <x v="2"/>
    <n v="43.82083557061538"/>
    <n v="0.81759069605862034"/>
    <n v="37.313129189745055"/>
    <n v="0.29612190257625243"/>
    <n v="4"/>
    <b v="1"/>
    <n v="0"/>
    <n v="0.81759069605862023"/>
    <n v="37.313129189745048"/>
    <n v="0.27977997613653699"/>
    <n v="4"/>
    <b v="1"/>
    <n v="0"/>
    <n v="56.17916442938462"/>
    <x v="3"/>
    <n v="43.82083557061538"/>
    <n v="0.80397277260026034"/>
    <n v="36.691635648114271"/>
    <n v="0.29548062045234252"/>
    <n v="4"/>
    <b v="1"/>
    <n v="0"/>
    <n v="8.759608369467714E-2"/>
    <n v="3.9977020325349466"/>
    <n v="0.23863090760705136"/>
    <n v="4"/>
  </r>
  <r>
    <n v="27810"/>
    <s v="27810"/>
    <s v="27"/>
    <s v="COLOMBIA"/>
    <s v="CHOCÓ"/>
    <s v="UNIÓN PANAMERICANA"/>
    <x v="6"/>
    <n v="0"/>
    <n v="0"/>
    <n v="0"/>
    <n v="37.21"/>
    <n v="58.077366666666698"/>
    <n v="82.15"/>
    <n v="81.95"/>
    <n v="45.265187618487893"/>
    <n v="47.283644054599677"/>
    <n v="55.611494346753901"/>
    <n v="53.820839178031683"/>
    <s v="2. Riesgo (&gt;=40 y &lt;60)"/>
    <s v="2. Riesgo (&gt;=40 y &lt;60)"/>
    <s v="2. Riesgo (&gt;=40 y &lt;60)"/>
    <s v="2. Riesgo (&gt;=40 y &lt;60)"/>
    <n v="64.846841666666677"/>
    <n v="50.495291299468292"/>
    <n v="57.671066483067484"/>
    <n v="56.09872588590202"/>
    <x v="2"/>
    <n v="43.90127411409798"/>
    <n v="0.81759069605862034"/>
    <n v="47.151327388334117"/>
    <n v="0.41918739160219243"/>
    <n v="3"/>
    <b v="0"/>
    <n v="-1"/>
    <n v="0.81759069605862023"/>
    <n v="47.15132738833411"/>
    <n v="0.39605391360403852"/>
    <n v="3"/>
    <b v="0"/>
    <n v="-1"/>
    <n v="56.09872588590202"/>
    <x v="3"/>
    <n v="43.90127411409798"/>
    <n v="0.80397277260026034"/>
    <n v="46.365967219205707"/>
    <n v="0.41905213324971446"/>
    <n v="3"/>
    <b v="0"/>
    <n v="-1"/>
    <n v="8.7756877100266709E-2"/>
    <n v="5.0610326935958643"/>
    <n v="0.30210326214230759"/>
    <n v="3"/>
  </r>
  <r>
    <n v="44110"/>
    <s v="44110"/>
    <s v="44"/>
    <s v="COLOMBIA"/>
    <s v="LA GUAJIRA"/>
    <s v="EL MOLINO"/>
    <x v="5"/>
    <n v="0"/>
    <n v="0"/>
    <n v="0"/>
    <n v="64.89"/>
    <n v="70.149066666666698"/>
    <n v="61.42"/>
    <n v="67.27"/>
    <n v="67.177899510655521"/>
    <n v="57.391616133744954"/>
    <n v="70.664459837024509"/>
    <n v="66.087767692280579"/>
    <s v="3. Vulnerable (&gt;=60 y &lt;70)"/>
    <s v="2. Riesgo (&gt;=40 y &lt;60)"/>
    <s v="4. Solvente (&gt;=70 y &lt;80)"/>
    <s v="3. Vulnerable (&gt;=60 y &lt;70)"/>
    <n v="65.932266666666678"/>
    <n v="65.330435793426389"/>
    <n v="65.631351230046533"/>
    <n v="56.0827780043359"/>
    <x v="2"/>
    <n v="43.9172219956641"/>
    <n v="0.81759069605862034"/>
    <n v="53.659582135441532"/>
    <n v="0.50059879814135277"/>
    <n v="2"/>
    <b v="0"/>
    <n v="-1"/>
    <n v="0.81759069605862023"/>
    <n v="53.659582135441525"/>
    <n v="0.4729725109134793"/>
    <n v="2"/>
    <b v="0"/>
    <n v="-1"/>
    <n v="56.0827780043359"/>
    <x v="3"/>
    <n v="43.9172219956641"/>
    <n v="0.80397277260026034"/>
    <n v="52.765819417922017"/>
    <n v="0.50079828925682568"/>
    <n v="2"/>
    <b v="0"/>
    <n v="-1"/>
    <n v="8.7788756272588003E-2"/>
    <n v="5.7616946969751739"/>
    <n v="0.34392719209792716"/>
    <n v="3"/>
  </r>
  <r>
    <n v="15442"/>
    <s v="15442"/>
    <s v="15"/>
    <s v="COLOMBIA"/>
    <s v="BOYACÁ"/>
    <s v="MARIPÍ"/>
    <x v="5"/>
    <n v="0"/>
    <n v="0"/>
    <n v="0"/>
    <n v="66.739999999999995"/>
    <n v="68.038499999999999"/>
    <n v="62.52"/>
    <n v="43.67"/>
    <n v="56.317796956861912"/>
    <n v="45.560457315505026"/>
    <n v="62.276116946903088"/>
    <n v="47.4398554207351"/>
    <s v="2. Riesgo (&gt;=40 y &lt;60)"/>
    <s v="2. Riesgo (&gt;=40 y &lt;60)"/>
    <s v="3. Vulnerable (&gt;=60 y &lt;70)"/>
    <s v="2. Riesgo (&gt;=40 y &lt;60)"/>
    <n v="60.242125000000001"/>
    <n v="52.89855666000129"/>
    <n v="56.570340830000646"/>
    <n v="56.380319836985613"/>
    <x v="2"/>
    <n v="43.619680163014387"/>
    <n v="0.81759069605862034"/>
    <n v="46.251384335473617"/>
    <n v="0.40793005264030224"/>
    <n v="3"/>
    <b v="1"/>
    <n v="0"/>
    <n v="0.81759069605862023"/>
    <n v="46.25138433547361"/>
    <n v="0.38541782759109144"/>
    <n v="3"/>
    <b v="1"/>
    <n v="0"/>
    <n v="56.380319836985613"/>
    <x v="3"/>
    <n v="43.619680163014387"/>
    <n v="0.80397277260026034"/>
    <n v="45.481013764037336"/>
    <n v="0.40774850607849072"/>
    <n v="3"/>
    <b v="1"/>
    <n v="0"/>
    <n v="8.7193982144343651E-2"/>
    <n v="4.9325932882305112"/>
    <n v="0.29443645465505491"/>
    <n v="3"/>
  </r>
  <r>
    <n v="5113"/>
    <s v="05113"/>
    <s v="50"/>
    <s v="COLOMBIA"/>
    <s v="ANTIOQUIA"/>
    <s v="BURITICÁ"/>
    <x v="4"/>
    <n v="0"/>
    <n v="0"/>
    <n v="0"/>
    <n v="71.87"/>
    <n v="78.316266666666706"/>
    <n v="81.680000000000007"/>
    <n v="75.44"/>
    <n v="64.60800295175035"/>
    <n v="48.619765570297218"/>
    <n v="63.52111709000819"/>
    <n v="72.069263058588731"/>
    <s v="3. Vulnerable (&gt;=60 y &lt;70)"/>
    <s v="2. Riesgo (&gt;=40 y &lt;60)"/>
    <s v="3. Vulnerable (&gt;=60 y &lt;70)"/>
    <s v="4. Solvente (&gt;=70 y &lt;80)"/>
    <n v="76.826566666666679"/>
    <n v="62.204537167661115"/>
    <n v="69.51555191716389"/>
    <n v="56.214440348862624"/>
    <x v="2"/>
    <n v="43.785559651137376"/>
    <n v="0.81759069605862034"/>
    <n v="56.835268478853187"/>
    <n v="0.54032328680849551"/>
    <n v="2"/>
    <b v="1"/>
    <n v="0"/>
    <n v="0.81759069605862023"/>
    <n v="56.835268478853173"/>
    <n v="0.51050474474906116"/>
    <n v="2"/>
    <b v="1"/>
    <n v="0"/>
    <n v="56.214440348862624"/>
    <x v="3"/>
    <n v="43.785559651137376"/>
    <n v="0.80397277260026034"/>
    <n v="55.888611013679593"/>
    <n v="0.54068611807507527"/>
    <n v="2"/>
    <b v="1"/>
    <n v="0"/>
    <n v="8.7525568553768376E-2"/>
    <n v="6.0843882048787732"/>
    <n v="0.36318941925824166"/>
    <n v="3"/>
  </r>
  <r>
    <n v="66456"/>
    <s v="66456"/>
    <s v="66"/>
    <s v="COLOMBIA"/>
    <s v="RISARALDA"/>
    <s v="MISTRATÓ"/>
    <x v="5"/>
    <n v="0"/>
    <n v="0"/>
    <n v="0"/>
    <n v="57.79"/>
    <n v="58.681800000000003"/>
    <n v="60.92"/>
    <n v="57.28"/>
    <n v="63.100740953804447"/>
    <n v="65.831418197256554"/>
    <n v="57.029679862254142"/>
    <n v="53.933622363712104"/>
    <s v="3. Vulnerable (&gt;=60 y &lt;70)"/>
    <s v="3. Vulnerable (&gt;=60 y &lt;70)"/>
    <s v="2. Riesgo (&gt;=40 y &lt;60)"/>
    <s v="2. Riesgo (&gt;=40 y &lt;60)"/>
    <n v="58.667949999999998"/>
    <n v="59.973865344256808"/>
    <n v="59.320907672128399"/>
    <n v="56.197794631011341"/>
    <x v="2"/>
    <n v="43.802205368988659"/>
    <n v="0.81759069605862034"/>
    <n v="48.500222194484607"/>
    <n v="0.43606064375798531"/>
    <n v="3"/>
    <b v="1"/>
    <n v="0"/>
    <n v="0.81759069605862023"/>
    <n v="48.5002221944846"/>
    <n v="0.4119959903110389"/>
    <n v="3"/>
    <b v="1"/>
    <n v="0"/>
    <n v="56.197794631011341"/>
    <x v="3"/>
    <n v="43.802205368988659"/>
    <n v="0.80397277260026034"/>
    <n v="47.692394614325124"/>
    <n v="0.43599476526788628"/>
    <n v="3"/>
    <b v="1"/>
    <n v="0"/>
    <n v="8.7558842672690859E-2"/>
    <n v="5.1940700220651106"/>
    <n v="0.31004452894505202"/>
    <n v="3"/>
  </r>
  <r>
    <n v="25572"/>
    <s v="25572"/>
    <s v="25"/>
    <s v="COLOMBIA"/>
    <s v="CUNDINAMARCA"/>
    <s v="PUERTO SALGAR"/>
    <x v="5"/>
    <n v="0"/>
    <n v="0"/>
    <n v="0"/>
    <n v="64.05"/>
    <n v="68.329666666666697"/>
    <n v="88.12"/>
    <n v="61.07"/>
    <n v="63.064636061216234"/>
    <n v="60.395593116170161"/>
    <n v="68.628799015667454"/>
    <n v="35.597240396035041"/>
    <s v="3. Vulnerable (&gt;=60 y &lt;70)"/>
    <s v="3. Vulnerable (&gt;=60 y &lt;70)"/>
    <s v="3. Vulnerable (&gt;=60 y &lt;70)"/>
    <s v="1. Deterioro (&lt;40)"/>
    <n v="70.392416666666676"/>
    <n v="56.921567147272221"/>
    <n v="63.656991906969452"/>
    <n v="56.272786940408523"/>
    <x v="2"/>
    <n v="43.727213059591477"/>
    <n v="0.81759069605862034"/>
    <n v="52.045364322217118"/>
    <n v="0.48040663484387669"/>
    <n v="2"/>
    <b v="0"/>
    <n v="-1"/>
    <n v="0.81759069605862023"/>
    <n v="52.045364322217111"/>
    <n v="0.45389468209918482"/>
    <n v="3"/>
    <b v="1"/>
    <n v="0"/>
    <n v="56.272786940408523"/>
    <x v="3"/>
    <n v="43.727213059591477"/>
    <n v="0.80397277260026034"/>
    <n v="51.178488278838564"/>
    <n v="0.4805230993147066"/>
    <n v="3"/>
    <b v="1"/>
    <n v="0"/>
    <n v="8.7408936069476334E-2"/>
    <n v="5.5641899359714655"/>
    <n v="0.3321377340564175"/>
    <n v="3"/>
  </r>
  <r>
    <n v="5660"/>
    <s v="05660"/>
    <s v="50"/>
    <s v="COLOMBIA"/>
    <s v="ANTIOQUIA"/>
    <s v="SAN LUIS"/>
    <x v="5"/>
    <n v="0"/>
    <n v="0"/>
    <n v="0"/>
    <n v="55.89"/>
    <n v="57.367699999999999"/>
    <n v="50.91"/>
    <n v="49.06"/>
    <n v="51.396354944915338"/>
    <n v="48.094557786180644"/>
    <n v="47.991879361318965"/>
    <n v="62.605817993640663"/>
    <s v="2. Riesgo (&gt;=40 y &lt;60)"/>
    <s v="2. Riesgo (&gt;=40 y &lt;60)"/>
    <s v="2. Riesgo (&gt;=40 y &lt;60)"/>
    <s v="3. Vulnerable (&gt;=60 y &lt;70)"/>
    <n v="53.306925"/>
    <n v="52.52215252151391"/>
    <n v="52.914538760756955"/>
    <n v="55.932379645992491"/>
    <x v="2"/>
    <n v="44.067620354007509"/>
    <n v="0.81759069605862034"/>
    <n v="43.262434577028124"/>
    <n v="0.37054144181217186"/>
    <n v="3"/>
    <b v="1"/>
    <n v="0"/>
    <n v="0.81759069605862023"/>
    <n v="43.262434577028117"/>
    <n v="0.35009256271110184"/>
    <n v="3"/>
    <b v="1"/>
    <n v="0"/>
    <n v="55.932379645992491"/>
    <x v="3"/>
    <n v="44.067620354007509"/>
    <n v="0.80397277260026034"/>
    <n v="42.54184843834971"/>
    <n v="0.37020615982047167"/>
    <n v="3"/>
    <b v="1"/>
    <n v="0"/>
    <n v="8.8089396527695901E-2"/>
    <n v="4.6612097869764542"/>
    <n v="0.2782370254112575"/>
    <n v="4"/>
  </r>
  <r>
    <n v="68689"/>
    <s v="68689"/>
    <s v="68"/>
    <s v="COLOMBIA"/>
    <s v="SANTANDER"/>
    <s v="SAN VICENTE DE CHUCURÍ"/>
    <x v="5"/>
    <n v="0"/>
    <n v="0"/>
    <n v="0"/>
    <n v="60.93"/>
    <n v="63.134066666666698"/>
    <n v="64.7"/>
    <n v="63.84"/>
    <n v="61.246639186720756"/>
    <n v="66.323915038301152"/>
    <n v="55.736572105499071"/>
    <n v="58.615675345537994"/>
    <s v="3. Vulnerable (&gt;=60 y &lt;70)"/>
    <s v="3. Vulnerable (&gt;=60 y &lt;70)"/>
    <s v="2. Riesgo (&gt;=40 y &lt;60)"/>
    <s v="2. Riesgo (&gt;=40 y &lt;60)"/>
    <n v="63.151016666666671"/>
    <n v="60.480700419014745"/>
    <n v="61.815858542840708"/>
    <n v="56.195975544185764"/>
    <x v="2"/>
    <n v="43.804024455814236"/>
    <n v="0.81759069605862034"/>
    <n v="50.540070813502346"/>
    <n v="0.46157699977877664"/>
    <n v="3"/>
    <b v="1"/>
    <n v="0"/>
    <n v="0.81759069605862023"/>
    <n v="50.540070813502339"/>
    <n v="0.43610418837568588"/>
    <n v="3"/>
    <b v="1"/>
    <n v="0"/>
    <n v="56.195975544185764"/>
    <x v="3"/>
    <n v="43.804024455814236"/>
    <n v="0.80397277260026034"/>
    <n v="49.698267183353131"/>
    <n v="0.46161604008280122"/>
    <n v="3"/>
    <b v="1"/>
    <n v="0"/>
    <n v="8.7562478953919776E-2"/>
    <n v="5.4127498126759717"/>
    <n v="0.32309796726639184"/>
    <n v="3"/>
  </r>
  <r>
    <n v="86757"/>
    <s v="86757"/>
    <s v="86"/>
    <s v="COLOMBIA"/>
    <s v="PUTUMAYO"/>
    <s v="SAN MIGUEL"/>
    <x v="5"/>
    <n v="0"/>
    <n v="0"/>
    <n v="1"/>
    <n v="44.05"/>
    <n v="46.623633333333302"/>
    <n v="48.65"/>
    <n v="51.21"/>
    <n v="51.089379058440649"/>
    <n v="54.882885386138533"/>
    <n v="62.931213170237612"/>
    <n v="63.671317374275276"/>
    <s v="2. Riesgo (&gt;=40 y &lt;60)"/>
    <s v="2. Riesgo (&gt;=40 y &lt;60)"/>
    <s v="3. Vulnerable (&gt;=60 y &lt;70)"/>
    <s v="3. Vulnerable (&gt;=60 y &lt;70)"/>
    <n v="47.633408333333328"/>
    <n v="58.143698747273014"/>
    <n v="52.888553540303171"/>
    <n v="56.34199171951736"/>
    <x v="2"/>
    <n v="43.65800828048264"/>
    <n v="0.81759069605862034"/>
    <n v="43.241189302550076"/>
    <n v="0.37027568582308168"/>
    <n v="3"/>
    <b v="1"/>
    <n v="0"/>
    <n v="0.81759069605862023"/>
    <n v="43.241189302550076"/>
    <n v="0.34984147286047312"/>
    <n v="3"/>
    <b v="1"/>
    <n v="0"/>
    <n v="56.34199171951736"/>
    <x v="3"/>
    <n v="43.65800828048264"/>
    <n v="0.80397277260026034"/>
    <n v="42.520957028614852"/>
    <n v="0.3699393110892249"/>
    <n v="3"/>
    <b v="1"/>
    <n v="0"/>
    <n v="8.7270598505987368E-2"/>
    <n v="4.615615721578215"/>
    <n v="0.27551542357126796"/>
    <n v="4"/>
  </r>
  <r>
    <n v="5628"/>
    <s v="05628"/>
    <s v="50"/>
    <s v="COLOMBIA"/>
    <s v="ANTIOQUIA"/>
    <s v="SABANALARGA"/>
    <x v="5"/>
    <n v="0"/>
    <n v="0"/>
    <n v="0"/>
    <n v="65.260000000000005"/>
    <n v="61.9217333333333"/>
    <n v="59.74"/>
    <n v="28.18"/>
    <n v="51.993291722052703"/>
    <n v="55.65555811473272"/>
    <n v="40.270135941345885"/>
    <n v="47.407903874876219"/>
    <s v="2. Riesgo (&gt;=40 y &lt;60)"/>
    <s v="2. Riesgo (&gt;=40 y &lt;60)"/>
    <s v="2. Riesgo (&gt;=40 y &lt;60)"/>
    <s v="2. Riesgo (&gt;=40 y &lt;60)"/>
    <n v="53.775433333333332"/>
    <n v="48.831722413251875"/>
    <n v="51.303577873292603"/>
    <n v="56.436964320160662"/>
    <x v="2"/>
    <n v="43.563035679839338"/>
    <n v="0.81759069605862034"/>
    <n v="41.94532794372293"/>
    <n v="0.35406582619078097"/>
    <n v="3"/>
    <b v="1"/>
    <n v="0"/>
    <n v="0.81759069605862023"/>
    <n v="41.94532794372293"/>
    <n v="0.33452617837652704"/>
    <n v="4"/>
    <b v="0"/>
    <n v="1"/>
    <n v="56.436964320160662"/>
    <x v="3"/>
    <n v="43.563035679839338"/>
    <n v="0.80397277260026034"/>
    <n v="41.246679747104423"/>
    <n v="0.35366279934860018"/>
    <n v="4"/>
    <b v="0"/>
    <n v="1"/>
    <n v="8.7080752106065445E-2"/>
    <n v="4.4675541469384177"/>
    <n v="0.26667732917341713"/>
    <n v="4"/>
  </r>
  <r>
    <n v="25297"/>
    <s v="25297"/>
    <s v="25"/>
    <s v="COLOMBIA"/>
    <s v="CUNDINAMARCA"/>
    <s v="GACHETÁ"/>
    <x v="5"/>
    <n v="0"/>
    <n v="0"/>
    <n v="0"/>
    <n v="66.849999999999994"/>
    <n v="67.554566666666702"/>
    <n v="84.67"/>
    <n v="79.61"/>
    <n v="56.107247272612639"/>
    <n v="53.12298988540627"/>
    <n v="51.250639318805248"/>
    <n v="54.444512968839476"/>
    <s v="2. Riesgo (&gt;=40 y &lt;60)"/>
    <s v="2. Riesgo (&gt;=40 y &lt;60)"/>
    <s v="2. Riesgo (&gt;=40 y &lt;60)"/>
    <s v="2. Riesgo (&gt;=40 y &lt;60)"/>
    <n v="74.671141666666685"/>
    <n v="53.731347361415914"/>
    <n v="64.201244514041292"/>
    <n v="56.479267057033809"/>
    <x v="2"/>
    <n v="43.520732942966191"/>
    <n v="0.81759069605862034"/>
    <n v="52.4903401900647"/>
    <n v="0.48597281390187314"/>
    <n v="2"/>
    <b v="0"/>
    <n v="-1"/>
    <n v="0.81759069605862023"/>
    <n v="52.490340190064693"/>
    <n v="0.45915368330939393"/>
    <n v="3"/>
    <b v="1"/>
    <n v="0"/>
    <n v="56.479267057033809"/>
    <x v="3"/>
    <n v="43.520732942966191"/>
    <n v="0.80397277260026034"/>
    <n v="51.616052556341032"/>
    <n v="0.48611216552767794"/>
    <n v="2"/>
    <b v="0"/>
    <n v="-1"/>
    <n v="8.6996190640465765E-2"/>
    <n v="5.5852637070986928"/>
    <n v="0.33339567001309128"/>
    <n v="3"/>
  </r>
  <r>
    <n v="76246"/>
    <s v="76246"/>
    <s v="76"/>
    <s v="COLOMBIA"/>
    <s v="VALLE DEL CAUCA"/>
    <s v="EL CAIRO"/>
    <x v="5"/>
    <n v="0"/>
    <n v="0"/>
    <n v="0"/>
    <n v="70.67"/>
    <n v="75.612533333333303"/>
    <n v="75.98"/>
    <n v="31.77"/>
    <n v="44.808313939417978"/>
    <n v="42.648265408900983"/>
    <n v="45.580078972286842"/>
    <n v="49.700514507035535"/>
    <s v="2. Riesgo (&gt;=40 y &lt;60)"/>
    <s v="2. Riesgo (&gt;=40 y &lt;60)"/>
    <s v="2. Riesgo (&gt;=40 y &lt;60)"/>
    <s v="2. Riesgo (&gt;=40 y &lt;60)"/>
    <n v="63.508133333333326"/>
    <n v="45.684293206910333"/>
    <n v="54.596213270121829"/>
    <n v="56.363448692659887"/>
    <x v="2"/>
    <n v="43.636551307340113"/>
    <n v="0.81759069605862034"/>
    <n v="44.637356009683792"/>
    <n v="0.3877402596308942"/>
    <n v="3"/>
    <b v="1"/>
    <n v="0"/>
    <n v="0.81759069605862023"/>
    <n v="44.637356009683785"/>
    <n v="0.36634223825700213"/>
    <n v="3"/>
    <b v="1"/>
    <n v="0"/>
    <n v="56.363448692659887"/>
    <x v="3"/>
    <n v="43.636551307340113"/>
    <n v="0.80397277260026034"/>
    <n v="43.893868956254977"/>
    <n v="0.38747569617064986"/>
    <n v="3"/>
    <b v="1"/>
    <n v="0"/>
    <n v="8.7227706881700603E-2"/>
    <n v="4.7623024879769993"/>
    <n v="0.284271452888813"/>
    <n v="4"/>
  </r>
  <r>
    <n v="5483"/>
    <s v="05483"/>
    <s v="50"/>
    <s v="COLOMBIA"/>
    <s v="ANTIOQUIA"/>
    <s v="NARIÑO"/>
    <x v="6"/>
    <n v="0"/>
    <n v="0"/>
    <n v="0"/>
    <n v="47.5"/>
    <n v="54.521366666666701"/>
    <n v="67"/>
    <n v="67.650000000000006"/>
    <n v="39.391164223471712"/>
    <n v="53.028533083564469"/>
    <n v="50.703439112300025"/>
    <n v="55.174594623404296"/>
    <s v="1. Deterioro (&lt;40)"/>
    <s v="2. Riesgo (&gt;=40 y &lt;60)"/>
    <s v="2. Riesgo (&gt;=40 y &lt;60)"/>
    <s v="2. Riesgo (&gt;=40 y &lt;60)"/>
    <n v="59.167841666666675"/>
    <n v="49.574432760685127"/>
    <n v="54.371137213675901"/>
    <n v="56.367546964708204"/>
    <x v="2"/>
    <n v="43.632453035291796"/>
    <n v="0.81759069605862034"/>
    <n v="44.453335920028032"/>
    <n v="0.38543836228475908"/>
    <n v="3"/>
    <b v="0"/>
    <n v="-1"/>
    <n v="0.81759069605862023"/>
    <n v="44.453335920028032"/>
    <n v="0.36416737453038339"/>
    <n v="3"/>
    <b v="0"/>
    <n v="-1"/>
    <n v="56.367546964708204"/>
    <x v="3"/>
    <n v="43.632453035291796"/>
    <n v="0.80397277260026034"/>
    <n v="43.712913935108205"/>
    <n v="0.38516433382514115"/>
    <n v="3"/>
    <b v="0"/>
    <n v="-1"/>
    <n v="8.7219514601095421E-2"/>
    <n v="4.7422241960863678"/>
    <n v="0.28307293909812348"/>
    <n v="4"/>
  </r>
  <r>
    <n v="15676"/>
    <s v="15676"/>
    <s v="15"/>
    <s v="COLOMBIA"/>
    <s v="BOYACÁ"/>
    <s v="SAN MIGUEL DE SEMA"/>
    <x v="5"/>
    <n v="0"/>
    <n v="0"/>
    <n v="0"/>
    <n v="52.99"/>
    <n v="59.181766666666697"/>
    <n v="70.459999999999994"/>
    <n v="70.09"/>
    <n v="62.08380105834739"/>
    <n v="56.330743537861011"/>
    <n v="52.137142477343851"/>
    <n v="59.322721508410353"/>
    <s v="3. Vulnerable (&gt;=60 y &lt;70)"/>
    <s v="2. Riesgo (&gt;=40 y &lt;60)"/>
    <s v="2. Riesgo (&gt;=40 y &lt;60)"/>
    <s v="2. Riesgo (&gt;=40 y &lt;60)"/>
    <n v="63.180441666666674"/>
    <n v="57.468602145490649"/>
    <n v="60.324521906078658"/>
    <n v="56.624379382969849"/>
    <x v="2"/>
    <n v="43.375620617030151"/>
    <n v="0.81759069605862034"/>
    <n v="49.320767854594344"/>
    <n v="0.44632480502930427"/>
    <n v="3"/>
    <b v="1"/>
    <n v="0"/>
    <n v="0.81759069605862023"/>
    <n v="49.320767854594337"/>
    <n v="0.42169370861747757"/>
    <n v="3"/>
    <b v="1"/>
    <n v="0"/>
    <n v="56.624379382969849"/>
    <x v="3"/>
    <n v="43.375620617030151"/>
    <n v="0.80397277260026034"/>
    <n v="48.499273132615201"/>
    <n v="0.44630113097554391"/>
    <n v="3"/>
    <b v="1"/>
    <n v="0"/>
    <n v="8.670611695103693E-2"/>
    <n v="5.2305050514038456"/>
    <n v="0.31221940942614651"/>
    <n v="3"/>
  </r>
  <r>
    <n v="52227"/>
    <s v="52227"/>
    <s v="52"/>
    <s v="COLOMBIA"/>
    <s v="NARIÑO"/>
    <s v="CUMBAL"/>
    <x v="5"/>
    <n v="0"/>
    <n v="0"/>
    <n v="0"/>
    <n v="58.63"/>
    <n v="58.995266666666701"/>
    <n v="35.46"/>
    <n v="39.090000000000003"/>
    <n v="55.281738588625423"/>
    <n v="55.393886880584475"/>
    <n v="51.273422019669084"/>
    <n v="58.685577321890165"/>
    <s v="2. Riesgo (&gt;=40 y &lt;60)"/>
    <s v="2. Riesgo (&gt;=40 y &lt;60)"/>
    <s v="2. Riesgo (&gt;=40 y &lt;60)"/>
    <s v="2. Riesgo (&gt;=40 y &lt;60)"/>
    <n v="48.043816666666679"/>
    <n v="55.158656202692285"/>
    <n v="51.601236434679478"/>
    <n v="56.445648237184074"/>
    <x v="2"/>
    <n v="43.554351762815926"/>
    <n v="0.81759069605862034"/>
    <n v="42.188690814115034"/>
    <n v="0.35711003917074069"/>
    <n v="3"/>
    <b v="1"/>
    <n v="0"/>
    <n v="0.81759069605862023"/>
    <n v="42.188690814115027"/>
    <n v="0.33740239194761984"/>
    <n v="4"/>
    <b v="0"/>
    <n v="1"/>
    <n v="56.445648237184074"/>
    <x v="3"/>
    <n v="43.554351762815926"/>
    <n v="0.80397277260026034"/>
    <n v="41.485989125990834"/>
    <n v="0.35671952960001713"/>
    <n v="3"/>
    <b v="1"/>
    <n v="0"/>
    <n v="8.7063393306022613E-2"/>
    <n v="4.4925787427895632"/>
    <n v="0.26817109783647874"/>
    <n v="4"/>
  </r>
  <r>
    <n v="15248"/>
    <s v="15248"/>
    <s v="15"/>
    <s v="COLOMBIA"/>
    <s v="BOYACÁ"/>
    <s v="EL ESPINO"/>
    <x v="5"/>
    <n v="0"/>
    <n v="0"/>
    <n v="0"/>
    <n v="44.1"/>
    <n v="53.080566666666698"/>
    <n v="51.87"/>
    <n v="67.44"/>
    <n v="47.982201721537351"/>
    <n v="43.373529232002781"/>
    <n v="54.017343719217791"/>
    <n v="48.613344512779562"/>
    <s v="2. Riesgo (&gt;=40 y &lt;60)"/>
    <s v="2. Riesgo (&gt;=40 y &lt;60)"/>
    <s v="2. Riesgo (&gt;=40 y &lt;60)"/>
    <s v="2. Riesgo (&gt;=40 y &lt;60)"/>
    <n v="54.122641666666674"/>
    <n v="48.496604796384375"/>
    <n v="51.309623231525521"/>
    <n v="56.41760642910937"/>
    <x v="2"/>
    <n v="43.58239357089063"/>
    <n v="0.81759069605862034"/>
    <n v="41.95027057236851"/>
    <n v="0.35412765326511553"/>
    <n v="3"/>
    <b v="1"/>
    <n v="0"/>
    <n v="0.81759069605862023"/>
    <n v="41.950270572368503"/>
    <n v="0.33458459343205449"/>
    <n v="4"/>
    <b v="0"/>
    <n v="1"/>
    <n v="56.41760642910937"/>
    <x v="3"/>
    <n v="43.58239357089063"/>
    <n v="0.80397277260026034"/>
    <n v="41.251540050524305"/>
    <n v="0.35372488064505314"/>
    <n v="4"/>
    <b v="0"/>
    <n v="1"/>
    <n v="8.7119447749875095E-2"/>
    <n v="4.4700660401846646"/>
    <n v="0.2668272691540074"/>
    <n v="4"/>
  </r>
  <r>
    <n v="17541"/>
    <s v="17541"/>
    <s v="17"/>
    <s v="COLOMBIA"/>
    <s v="CALDAS"/>
    <s v="PENSILVANIA"/>
    <x v="5"/>
    <n v="0"/>
    <n v="0"/>
    <n v="0"/>
    <n v="54.73"/>
    <n v="61.202800000000003"/>
    <n v="70.790000000000006"/>
    <n v="54.62"/>
    <n v="58.850909913884749"/>
    <n v="54.802955750936967"/>
    <n v="57.465551236442359"/>
    <n v="63.105461642389798"/>
    <s v="2. Riesgo (&gt;=40 y &lt;60)"/>
    <s v="2. Riesgo (&gt;=40 y &lt;60)"/>
    <s v="2. Riesgo (&gt;=40 y &lt;60)"/>
    <s v="3. Vulnerable (&gt;=60 y &lt;70)"/>
    <n v="60.335700000000003"/>
    <n v="58.556219635913472"/>
    <n v="59.445959817956734"/>
    <n v="56.245319390827255"/>
    <x v="2"/>
    <n v="43.754680609172745"/>
    <n v="0.81759069605862034"/>
    <n v="48.602463665436019"/>
    <n v="0.43733957678691854"/>
    <n v="3"/>
    <b v="1"/>
    <n v="0"/>
    <n v="0.81759069605862023"/>
    <n v="48.602463665436012"/>
    <n v="0.41320434352369267"/>
    <n v="3"/>
    <b v="1"/>
    <n v="0"/>
    <n v="56.245319390827255"/>
    <x v="3"/>
    <n v="43.754680609172745"/>
    <n v="0.80397277260026034"/>
    <n v="47.79293313472634"/>
    <n v="0.437278957045798"/>
    <n v="3"/>
    <b v="1"/>
    <n v="0"/>
    <n v="8.7463842593751326E-2"/>
    <n v="5.1993720723522339"/>
    <n v="0.31036101903408253"/>
    <n v="3"/>
  </r>
  <r>
    <n v="73152"/>
    <s v="73152"/>
    <s v="73"/>
    <s v="COLOMBIA"/>
    <s v="TOLIMA"/>
    <s v="CASABIANCA"/>
    <x v="5"/>
    <n v="0"/>
    <n v="0"/>
    <n v="0"/>
    <n v="55.97"/>
    <n v="55.659333333333301"/>
    <n v="45.09"/>
    <n v="45.65"/>
    <n v="46.958947241842772"/>
    <n v="45.397619821478692"/>
    <n v="42.908674490655386"/>
    <n v="42.050164105067893"/>
    <s v="2. Riesgo (&gt;=40 y &lt;60)"/>
    <s v="2. Riesgo (&gt;=40 y &lt;60)"/>
    <s v="2. Riesgo (&gt;=40 y &lt;60)"/>
    <s v="2. Riesgo (&gt;=40 y &lt;60)"/>
    <n v="50.592333333333329"/>
    <n v="44.328851414761189"/>
    <n v="47.460592374047259"/>
    <n v="56.378014862367252"/>
    <x v="2"/>
    <n v="43.621985137632748"/>
    <n v="0.81759069605862034"/>
    <n v="38.803338754451744"/>
    <n v="0.31476285340178706"/>
    <n v="4"/>
    <b v="0"/>
    <n v="1"/>
    <n v="0.81759069605862023"/>
    <n v="38.803338754451744"/>
    <n v="0.29739219844011172"/>
    <n v="4"/>
    <b v="0"/>
    <n v="1"/>
    <n v="56.378014862367252"/>
    <x v="3"/>
    <n v="43.621985137632748"/>
    <n v="0.80397277260026034"/>
    <n v="38.15702404021355"/>
    <n v="0.3141982196080832"/>
    <n v="4"/>
    <b v="0"/>
    <n v="1"/>
    <n v="8.7198589695682074E-2"/>
    <n v="4.1384967211385648"/>
    <n v="0.24703522690206123"/>
    <n v="4"/>
  </r>
  <r>
    <n v="20750"/>
    <s v="20750"/>
    <s v="20"/>
    <s v="COLOMBIA"/>
    <s v="CESAR"/>
    <s v="SAN DIEGO"/>
    <x v="5"/>
    <n v="0"/>
    <n v="0"/>
    <n v="1"/>
    <n v="70.27"/>
    <n v="72.256733333333301"/>
    <n v="57.77"/>
    <n v="55.35"/>
    <n v="53.716532222078989"/>
    <n v="39.820261552394726"/>
    <n v="61.138433359805759"/>
    <n v="55.467883317187429"/>
    <s v="2. Riesgo (&gt;=40 y &lt;60)"/>
    <s v="1. Deterioro (&lt;40)"/>
    <s v="3. Vulnerable (&gt;=60 y &lt;70)"/>
    <s v="2. Riesgo (&gt;=40 y &lt;60)"/>
    <n v="63.911683333333329"/>
    <n v="52.535777612866724"/>
    <n v="58.223730473100026"/>
    <n v="56.33954468254224"/>
    <x v="2"/>
    <n v="43.66045531745776"/>
    <n v="0.81759069605862034"/>
    <n v="47.603180324631353"/>
    <n v="0.4248395955373806"/>
    <n v="3"/>
    <b v="1"/>
    <n v="0"/>
    <n v="0.81759069605862023"/>
    <n v="47.603180324631346"/>
    <n v="0.40139419228098838"/>
    <n v="3"/>
    <b v="1"/>
    <n v="0"/>
    <n v="56.33954468254224"/>
    <x v="3"/>
    <n v="43.66045531745776"/>
    <n v="0.80397277260026034"/>
    <n v="46.810294019588497"/>
    <n v="0.4247275780591302"/>
    <n v="3"/>
    <b v="1"/>
    <n v="0"/>
    <n v="8.7275490034249795E-2"/>
    <n v="5.0815046086618878"/>
    <n v="0.30332527209525101"/>
    <n v="3"/>
  </r>
  <r>
    <n v="20032"/>
    <s v="20032"/>
    <s v="20"/>
    <s v="COLOMBIA"/>
    <s v="CESAR"/>
    <s v="ASTREA"/>
    <x v="6"/>
    <n v="0"/>
    <n v="0"/>
    <n v="0"/>
    <n v="38.57"/>
    <n v="47.772033333333297"/>
    <n v="79.22"/>
    <n v="37.08"/>
    <n v="51.847676008489401"/>
    <n v="40.503399406040117"/>
    <n v="55.644593651951219"/>
    <n v="47.049379496357261"/>
    <s v="2. Riesgo (&gt;=40 y &lt;60)"/>
    <s v="2. Riesgo (&gt;=40 y &lt;60)"/>
    <s v="2. Riesgo (&gt;=40 y &lt;60)"/>
    <s v="2. Riesgo (&gt;=40 y &lt;60)"/>
    <n v="50.660508333333325"/>
    <n v="48.761262140709498"/>
    <n v="49.710885237021415"/>
    <n v="56.518776763240417"/>
    <x v="2"/>
    <n v="43.481223236759583"/>
    <n v="0.81759069605862034"/>
    <n v="40.643157262626531"/>
    <n v="0.33777704358754457"/>
    <n v="4"/>
    <b v="1"/>
    <n v="0"/>
    <n v="0.81759069605862023"/>
    <n v="40.643157262626524"/>
    <n v="0.31913631640286488"/>
    <n v="4"/>
    <b v="1"/>
    <n v="0"/>
    <n v="56.518776763240417"/>
    <x v="3"/>
    <n v="43.481223236759583"/>
    <n v="0.80397277260026034"/>
    <n v="39.966198232421455"/>
    <n v="0.33730704011958362"/>
    <n v="4"/>
    <b v="1"/>
    <n v="0"/>
    <n v="8.6917212330569121E-2"/>
    <n v="4.3207315672867441"/>
    <n v="0.25791319288853476"/>
    <n v="4"/>
  </r>
  <r>
    <n v="73055"/>
    <s v="73055"/>
    <s v="73"/>
    <s v="COLOMBIA"/>
    <s v="TOLIMA"/>
    <s v="ARMERO"/>
    <x v="5"/>
    <n v="0"/>
    <n v="0"/>
    <n v="0"/>
    <n v="57.77"/>
    <n v="55.821033333333297"/>
    <n v="44.02"/>
    <n v="50.32"/>
    <n v="56.175315896254283"/>
    <n v="61.057967101452753"/>
    <n v="52.008034743284625"/>
    <n v="51.951173752599814"/>
    <s v="2. Riesgo (&gt;=40 y &lt;60)"/>
    <s v="3. Vulnerable (&gt;=60 y &lt;70)"/>
    <s v="2. Riesgo (&gt;=40 y &lt;60)"/>
    <s v="2. Riesgo (&gt;=40 y &lt;60)"/>
    <n v="51.982758333333322"/>
    <n v="55.298122873397872"/>
    <n v="53.640440603365597"/>
    <n v="56.809114739035017"/>
    <x v="2"/>
    <n v="43.190885260964983"/>
    <n v="0.81759069605862034"/>
    <n v="43.855925169796762"/>
    <n v="0.37796538352965442"/>
    <n v="3"/>
    <b v="1"/>
    <n v="0"/>
    <n v="0.81759069605862023"/>
    <n v="43.855925169796755"/>
    <n v="0.35710680319276117"/>
    <n v="3"/>
    <b v="1"/>
    <n v="0"/>
    <n v="56.809114739035017"/>
    <x v="3"/>
    <n v="43.190885260964983"/>
    <n v="0.80397277260026034"/>
    <n v="43.125453755387419"/>
    <n v="0.37766062748813334"/>
    <n v="3"/>
    <b v="1"/>
    <n v="0"/>
    <n v="8.6336838421758932E-2"/>
    <n v="4.6311460532447324"/>
    <n v="0.27644246043165888"/>
    <n v="4"/>
  </r>
  <r>
    <n v="5658"/>
    <s v="05658"/>
    <s v="50"/>
    <s v="COLOMBIA"/>
    <s v="ANTIOQUIA"/>
    <s v="SAN JOSÉ DE LA MONTAÑA"/>
    <x v="6"/>
    <n v="0"/>
    <n v="0"/>
    <n v="0"/>
    <n v="49.34"/>
    <n v="51.300333333333299"/>
    <n v="37.799999999999997"/>
    <n v="45.37"/>
    <n v="45.710821673859343"/>
    <n v="31.34850066519698"/>
    <n v="46.876363211482186"/>
    <n v="47.122842846335047"/>
    <s v="2. Riesgo (&gt;=40 y &lt;60)"/>
    <s v="1. Deterioro (&lt;40)"/>
    <s v="2. Riesgo (&gt;=40 y &lt;60)"/>
    <s v="2. Riesgo (&gt;=40 y &lt;60)"/>
    <n v="45.952583333333322"/>
    <n v="42.764632099218389"/>
    <n v="44.358607716275856"/>
    <n v="56.235185867112449"/>
    <x v="2"/>
    <n v="43.764814132887551"/>
    <n v="0.81759069605862034"/>
    <n v="36.267184958941264"/>
    <n v="0.28303824277803963"/>
    <n v="4"/>
    <b v="1"/>
    <n v="0"/>
    <n v="0.81759069605862023"/>
    <n v="36.267184958941257"/>
    <n v="0.26741835751165344"/>
    <n v="4"/>
    <b v="1"/>
    <n v="0"/>
    <n v="56.235185867112449"/>
    <x v="3"/>
    <n v="43.764814132887551"/>
    <n v="0.80397277260026034"/>
    <n v="35.663112834341604"/>
    <n v="0.28234316293287076"/>
    <n v="4"/>
    <b v="1"/>
    <n v="0"/>
    <n v="8.7484099099130241E-2"/>
    <n v="3.8806728333501201"/>
    <n v="0.23164519836941386"/>
    <n v="4"/>
  </r>
  <r>
    <n v="73624"/>
    <s v="73624"/>
    <s v="73"/>
    <s v="COLOMBIA"/>
    <s v="TOLIMA"/>
    <s v="ROVIRA"/>
    <x v="5"/>
    <n v="0"/>
    <n v="0"/>
    <n v="0"/>
    <n v="52.5"/>
    <n v="53.529800000000002"/>
    <n v="50.56"/>
    <n v="51.59"/>
    <n v="51.17770361071257"/>
    <n v="44.804408771386193"/>
    <n v="53.593600275322473"/>
    <n v="55.918517784679914"/>
    <s v="2. Riesgo (&gt;=40 y &lt;60)"/>
    <s v="2. Riesgo (&gt;=40 y &lt;60)"/>
    <s v="2. Riesgo (&gt;=40 y &lt;60)"/>
    <s v="2. Riesgo (&gt;=40 y &lt;60)"/>
    <n v="52.04495"/>
    <n v="51.373557610525289"/>
    <n v="51.709253805262648"/>
    <n v="56.702458173233381"/>
    <x v="2"/>
    <n v="43.297541826766619"/>
    <n v="0.81759069605862034"/>
    <n v="42.277004811316552"/>
    <n v="0.35821475418400389"/>
    <n v="3"/>
    <b v="1"/>
    <n v="0"/>
    <n v="0.81759069605862023"/>
    <n v="42.277004811316544"/>
    <n v="0.33844614162422088"/>
    <n v="4"/>
    <b v="0"/>
    <n v="1"/>
    <n v="56.702458173233381"/>
    <x v="3"/>
    <n v="43.297541826766619"/>
    <n v="0.80397277260026034"/>
    <n v="41.572832150907573"/>
    <n v="0.35782878700824244"/>
    <n v="3"/>
    <b v="1"/>
    <n v="0"/>
    <n v="8.6550040597000236E-2"/>
    <n v="4.4754380160860707"/>
    <n v="0.26714793324416791"/>
    <n v="4"/>
  </r>
  <r>
    <n v="13212"/>
    <s v="13212"/>
    <s v="13"/>
    <s v="COLOMBIA"/>
    <s v="BOLÍVAR"/>
    <s v="CÓRDOBA"/>
    <x v="6"/>
    <n v="0"/>
    <n v="0"/>
    <n v="1"/>
    <n v="51.53"/>
    <n v="51.545633333333299"/>
    <n v="39.58"/>
    <n v="25.19"/>
    <n v="50.048135102879016"/>
    <n v="45.676387619247855"/>
    <n v="53.135205494532414"/>
    <n v="50.134919605079013"/>
    <s v="2. Riesgo (&gt;=40 y &lt;60)"/>
    <s v="2. Riesgo (&gt;=40 y &lt;60)"/>
    <s v="2. Riesgo (&gt;=40 y &lt;60)"/>
    <s v="2. Riesgo (&gt;=40 y &lt;60)"/>
    <n v="41.961408333333324"/>
    <n v="49.748661955434571"/>
    <n v="45.855035144383947"/>
    <n v="56.563667780591601"/>
    <x v="2"/>
    <n v="43.436332219408399"/>
    <n v="0.81759069605862034"/>
    <n v="37.490650101489372"/>
    <n v="0.29834250205749469"/>
    <n v="4"/>
    <b v="1"/>
    <n v="0"/>
    <n v="0.81759069605862023"/>
    <n v="37.490650101489365"/>
    <n v="0.28187802854152844"/>
    <n v="4"/>
    <b v="1"/>
    <n v="0"/>
    <n v="56.563667780591601"/>
    <x v="3"/>
    <n v="43.436332219408399"/>
    <n v="0.80397277260026034"/>
    <n v="36.866199742712745"/>
    <n v="0.29771035065035384"/>
    <n v="4"/>
    <b v="1"/>
    <n v="0"/>
    <n v="8.6827476996638828E-2"/>
    <n v="3.9814770091790623"/>
    <n v="0.23766240319680515"/>
    <n v="4"/>
  </r>
  <r>
    <n v="5756"/>
    <s v="05756"/>
    <s v="50"/>
    <s v="COLOMBIA"/>
    <s v="ANTIOQUIA"/>
    <s v="SONSON"/>
    <x v="4"/>
    <n v="0"/>
    <n v="0"/>
    <n v="0"/>
    <n v="59.85"/>
    <n v="60.572133333333298"/>
    <n v="48.35"/>
    <n v="50.25"/>
    <n v="63.507935501297126"/>
    <n v="66.287514537700829"/>
    <n v="66.011606486443696"/>
    <n v="69.524259917676858"/>
    <s v="3. Vulnerable (&gt;=60 y &lt;70)"/>
    <s v="3. Vulnerable (&gt;=60 y &lt;70)"/>
    <s v="3. Vulnerable (&gt;=60 y &lt;70)"/>
    <s v="3. Vulnerable (&gt;=60 y &lt;70)"/>
    <n v="54.755533333333325"/>
    <n v="66.332829110779628"/>
    <n v="60.54418122205648"/>
    <n v="56.616147725018131"/>
    <x v="2"/>
    <n v="43.383852274981869"/>
    <n v="0.81759069605862034"/>
    <n v="49.500359267640405"/>
    <n v="0.44857130429931724"/>
    <n v="3"/>
    <b v="0"/>
    <n v="1"/>
    <n v="0.81759069605862023"/>
    <n v="49.500359267640398"/>
    <n v="0.42381623149297859"/>
    <n v="3"/>
    <b v="0"/>
    <n v="1"/>
    <n v="56.616147725018131"/>
    <x v="3"/>
    <n v="43.383852274981869"/>
    <n v="0.80397277260026034"/>
    <n v="48.675873241909365"/>
    <n v="0.44855686745772849"/>
    <n v="3"/>
    <b v="0"/>
    <n v="1"/>
    <n v="8.6722571703428009E-2"/>
    <n v="5.2505470972551329"/>
    <n v="0.31341575961754936"/>
    <n v="3"/>
  </r>
  <r>
    <n v="73030"/>
    <s v="73030"/>
    <s v="73"/>
    <s v="COLOMBIA"/>
    <s v="TOLIMA"/>
    <s v="AMBALEMA"/>
    <x v="5"/>
    <n v="0"/>
    <n v="0"/>
    <n v="0"/>
    <n v="60.6"/>
    <n v="62.973133333333301"/>
    <n v="50.63"/>
    <n v="67.3"/>
    <n v="52.015182992714557"/>
    <n v="59.117349398184871"/>
    <n v="47.763022960669261"/>
    <n v="54.359363862922613"/>
    <s v="2. Riesgo (&gt;=40 y &lt;60)"/>
    <s v="2. Riesgo (&gt;=40 y &lt;60)"/>
    <s v="2. Riesgo (&gt;=40 y &lt;60)"/>
    <s v="2. Riesgo (&gt;=40 y &lt;60)"/>
    <n v="60.375783333333331"/>
    <n v="53.313729803622827"/>
    <n v="56.844756568478076"/>
    <n v="56.820106628266572"/>
    <x v="2"/>
    <n v="43.179893371733428"/>
    <n v="0.81759069605862034"/>
    <n v="46.475744090104818"/>
    <n v="0.41073655667326514"/>
    <n v="3"/>
    <b v="1"/>
    <n v="0"/>
    <n v="0.81759069605862023"/>
    <n v="46.475744090104811"/>
    <n v="0.38806945053602804"/>
    <n v="3"/>
    <b v="1"/>
    <n v="0"/>
    <n v="56.820106628266572"/>
    <x v="3"/>
    <n v="43.179893371733428"/>
    <n v="0.80397277260026034"/>
    <n v="45.701636546146176"/>
    <n v="0.41056654996528702"/>
    <n v="3"/>
    <b v="1"/>
    <n v="0"/>
    <n v="8.6314866078316538E-2"/>
    <n v="4.9065475504626894"/>
    <n v="0.29288173196880973"/>
    <n v="3"/>
  </r>
  <r>
    <n v="15276"/>
    <s v="15276"/>
    <s v="15"/>
    <s v="COLOMBIA"/>
    <s v="BOYACÁ"/>
    <s v="FLORESTA"/>
    <x v="5"/>
    <n v="0"/>
    <n v="0"/>
    <n v="0"/>
    <n v="51.65"/>
    <n v="49.1021"/>
    <s v="N.D."/>
    <n v="18.93"/>
    <n v="53.357636035616039"/>
    <n v="72.493434925370877"/>
    <n v="56.478280966578595"/>
    <n v="60.284159119134223"/>
    <s v="2. Riesgo (&gt;=40 y &lt;60)"/>
    <s v="4. Solvente (&gt;=70 y &lt;80)"/>
    <s v="2. Riesgo (&gt;=40 y &lt;60)"/>
    <s v="3. Vulnerable (&gt;=60 y &lt;70)"/>
    <n v="39.894033333333333"/>
    <n v="60.653377761674932"/>
    <n v="50.273705547504136"/>
    <n v="56.419500083425703"/>
    <x v="2"/>
    <n v="43.580499916574297"/>
    <n v="0.81759069605862034"/>
    <n v="41.103313912030032"/>
    <n v="0.34353311822075344"/>
    <n v="4"/>
    <b v="0"/>
    <n v="1"/>
    <n v="0.81759069605862023"/>
    <n v="41.103313912030025"/>
    <n v="0.32457473351929084"/>
    <n v="4"/>
    <b v="0"/>
    <n v="1"/>
    <n v="56.419500083425703"/>
    <x v="3"/>
    <n v="43.580499916574297"/>
    <n v="0.80397277260026034"/>
    <n v="40.418690437915991"/>
    <n v="0.34308678272516718"/>
    <n v="4"/>
    <b v="0"/>
    <n v="1"/>
    <n v="8.7115662411238304E-2"/>
    <n v="4.3796271606383685"/>
    <n v="0.26142878979425066"/>
    <n v="4"/>
  </r>
  <r>
    <n v="76126"/>
    <s v="76126"/>
    <s v="76"/>
    <s v="COLOMBIA"/>
    <s v="VALLE DEL CAUCA"/>
    <s v="CALIMA"/>
    <x v="5"/>
    <n v="0"/>
    <n v="0"/>
    <n v="0"/>
    <n v="51.45"/>
    <n v="57.749333333333297"/>
    <n v="64"/>
    <n v="64.7"/>
    <n v="46.836096876264463"/>
    <n v="51.449055422737914"/>
    <n v="54.623264113867307"/>
    <n v="48.632127697170418"/>
    <s v="2. Riesgo (&gt;=40 y &lt;60)"/>
    <s v="2. Riesgo (&gt;=40 y &lt;60)"/>
    <s v="2. Riesgo (&gt;=40 y &lt;60)"/>
    <s v="2. Riesgo (&gt;=40 y &lt;60)"/>
    <n v="59.474833333333322"/>
    <n v="50.385136027510029"/>
    <n v="54.929984680421676"/>
    <n v="56.91832655278499"/>
    <x v="2"/>
    <n v="43.08167344721501"/>
    <n v="0.81759069605862034"/>
    <n v="44.910244409355307"/>
    <n v="0.39115380585929782"/>
    <n v="3"/>
    <b v="1"/>
    <n v="0"/>
    <n v="0.81759069605862023"/>
    <n v="44.9102444093553"/>
    <n v="0.36956740287338108"/>
    <n v="3"/>
    <b v="1"/>
    <n v="0"/>
    <n v="56.91832655278499"/>
    <x v="3"/>
    <n v="43.08167344721501"/>
    <n v="0.80397277260026034"/>
    <n v="44.162212082408438"/>
    <n v="0.39090327830424609"/>
    <n v="3"/>
    <b v="1"/>
    <n v="0"/>
    <n v="8.6118528408882192E-2"/>
    <n v="4.7304894462003579"/>
    <n v="0.28237246817931799"/>
    <n v="4"/>
  </r>
  <r>
    <n v="47058"/>
    <s v="47058"/>
    <s v="47"/>
    <s v="COLOMBIA"/>
    <s v="MAGDALENA"/>
    <s v="ARIGUANÍ"/>
    <x v="5"/>
    <n v="0"/>
    <n v="0"/>
    <n v="0"/>
    <n v="66.8"/>
    <n v="72.256066666666698"/>
    <n v="80.77"/>
    <n v="83.86"/>
    <n v="50.41366706558172"/>
    <n v="53.746282459973571"/>
    <n v="40.474826822451519"/>
    <n v="54.672057578206413"/>
    <s v="2. Riesgo (&gt;=40 y &lt;60)"/>
    <s v="2. Riesgo (&gt;=40 y &lt;60)"/>
    <s v="2. Riesgo (&gt;=40 y &lt;60)"/>
    <s v="2. Riesgo (&gt;=40 y &lt;60)"/>
    <n v="75.921516666666676"/>
    <n v="49.826708481553311"/>
    <n v="62.874112574109994"/>
    <n v="56.690980484529319"/>
    <x v="2"/>
    <n v="43.309019515470681"/>
    <n v="0.81759069605862034"/>
    <n v="51.405289463534643"/>
    <n v="0.4723999730642568"/>
    <n v="3"/>
    <b v="1"/>
    <n v="0"/>
    <n v="0.81759069605862023"/>
    <n v="51.405289463534636"/>
    <n v="0.4463298798263825"/>
    <n v="3"/>
    <b v="1"/>
    <n v="0"/>
    <n v="56.690980484529319"/>
    <x v="3"/>
    <n v="43.309019515470681"/>
    <n v="0.80397277260026034"/>
    <n v="50.5490746109881"/>
    <n v="0.47248351554190754"/>
    <n v="3"/>
    <b v="1"/>
    <n v="0"/>
    <n v="8.6572984034003445E-2"/>
    <n v="5.4431995440305601"/>
    <n v="0.32491557322361442"/>
    <n v="3"/>
  </r>
  <r>
    <n v="15106"/>
    <s v="15106"/>
    <s v="15"/>
    <s v="COLOMBIA"/>
    <s v="BOYACÁ"/>
    <s v="BRICEÑO"/>
    <x v="5"/>
    <n v="0"/>
    <n v="0"/>
    <n v="0"/>
    <n v="54.96"/>
    <n v="60.6"/>
    <n v="63.84"/>
    <n v="67.08"/>
    <n v="52.491031518011127"/>
    <n v="42.785280068213069"/>
    <n v="44.854457016893946"/>
    <n v="54.752542546477258"/>
    <s v="2. Riesgo (&gt;=40 y &lt;60)"/>
    <s v="2. Riesgo (&gt;=40 y &lt;60)"/>
    <s v="2. Riesgo (&gt;=40 y &lt;60)"/>
    <s v="2. Riesgo (&gt;=40 y &lt;60)"/>
    <n v="61.620000000000005"/>
    <n v="48.720827787398854"/>
    <n v="55.170413893699433"/>
    <n v="56.890552528034121"/>
    <x v="2"/>
    <n v="43.109447471965879"/>
    <n v="0.81759069605862034"/>
    <n v="45.1068170971919"/>
    <n v="0.39361272297698952"/>
    <n v="3"/>
    <b v="1"/>
    <n v="0"/>
    <n v="0.81759069605862023"/>
    <n v="45.106817097191893"/>
    <n v="0.37189062100255116"/>
    <n v="3"/>
    <b v="1"/>
    <n v="0"/>
    <n v="56.890552528034121"/>
    <x v="3"/>
    <n v="43.109447471965879"/>
    <n v="0.80397277260026034"/>
    <n v="44.355510623621456"/>
    <n v="0.39337230605915519"/>
    <n v="3"/>
    <b v="1"/>
    <n v="0"/>
    <n v="8.6174047564665845E-2"/>
    <n v="4.7542578710379564"/>
    <n v="0.28379125345776696"/>
    <n v="4"/>
  </r>
  <r>
    <n v="25662"/>
    <s v="25662"/>
    <s v="25"/>
    <s v="COLOMBIA"/>
    <s v="CUNDINAMARCA"/>
    <s v="SAN JUAN DE RIOSECO"/>
    <x v="5"/>
    <n v="0"/>
    <n v="0"/>
    <n v="0"/>
    <n v="73.39"/>
    <n v="78.481499999999997"/>
    <n v="72.430000000000007"/>
    <n v="60.81"/>
    <n v="56.977676255696657"/>
    <n v="68.86117842583775"/>
    <n v="65.534449682317643"/>
    <n v="70.045277407775345"/>
    <s v="2. Riesgo (&gt;=40 y &lt;60)"/>
    <s v="3. Vulnerable (&gt;=60 y &lt;70)"/>
    <s v="3. Vulnerable (&gt;=60 y &lt;70)"/>
    <s v="4. Solvente (&gt;=70 y &lt;80)"/>
    <n v="71.277874999999995"/>
    <n v="65.354645442906843"/>
    <n v="68.316260221453419"/>
    <n v="56.892957378538753"/>
    <x v="2"/>
    <n v="43.107042621461247"/>
    <n v="0.81759069605862034"/>
    <n v="55.85473874657994"/>
    <n v="0.52805789343351883"/>
    <n v="2"/>
    <b v="0"/>
    <n v="-1"/>
    <n v="0.81759069605862023"/>
    <n v="55.854738746579926"/>
    <n v="0.49891623530108964"/>
    <n v="2"/>
    <b v="0"/>
    <n v="-1"/>
    <n v="56.892957378538753"/>
    <x v="3"/>
    <n v="43.107042621461247"/>
    <n v="0.80397277260026034"/>
    <n v="54.924413143922784"/>
    <n v="0.52837029154728854"/>
    <n v="2"/>
    <b v="0"/>
    <n v="-1"/>
    <n v="8.6169240365457214E-2"/>
    <n v="5.8867602478915426"/>
    <n v="0.35139260739968353"/>
    <n v="3"/>
  </r>
  <r>
    <n v="15511"/>
    <s v="15511"/>
    <s v="15"/>
    <s v="COLOMBIA"/>
    <s v="BOYACÁ"/>
    <s v="PACHAVITA"/>
    <x v="4"/>
    <n v="0"/>
    <n v="0"/>
    <n v="0"/>
    <n v="87.45"/>
    <n v="91.227166666666704"/>
    <n v="87.96"/>
    <n v="75.400000000000006"/>
    <n v="55.722374071601216"/>
    <n v="69.685959382537249"/>
    <n v="56.28043760207504"/>
    <n v="43.408684961060551"/>
    <s v="2. Riesgo (&gt;=40 y &lt;60)"/>
    <s v="3. Vulnerable (&gt;=60 y &lt;70)"/>
    <s v="2. Riesgo (&gt;=40 y &lt;60)"/>
    <s v="2. Riesgo (&gt;=40 y &lt;60)"/>
    <n v="85.509291666666684"/>
    <n v="56.274364004318514"/>
    <n v="70.891827835492592"/>
    <n v="56.701521231651476"/>
    <x v="2"/>
    <n v="43.298478768348524"/>
    <n v="0.81759069605862034"/>
    <n v="57.960498864888265"/>
    <n v="0.55439873283316632"/>
    <n v="2"/>
    <b v="1"/>
    <n v="0"/>
    <n v="0.81759069605862023"/>
    <n v="57.960498864888258"/>
    <n v="0.52380341640635097"/>
    <n v="2"/>
    <b v="1"/>
    <n v="0"/>
    <n v="56.701521231651476"/>
    <x v="3"/>
    <n v="43.298478768348524"/>
    <n v="0.80397277260026034"/>
    <n v="56.995099379601292"/>
    <n v="0.55481943987254301"/>
    <n v="2"/>
    <b v="1"/>
    <n v="0"/>
    <n v="8.6551913505450218E-2"/>
    <n v="6.1358233510608233"/>
    <n v="0.36625968700617112"/>
    <n v="3"/>
  </r>
  <r>
    <n v="5055"/>
    <s v="05055"/>
    <s v="50"/>
    <s v="COLOMBIA"/>
    <s v="ANTIOQUIA"/>
    <s v="ARGELIA"/>
    <x v="5"/>
    <n v="0"/>
    <n v="0"/>
    <n v="0"/>
    <n v="58.17"/>
    <n v="54.783499999999997"/>
    <n v="41.52"/>
    <n v="49"/>
    <n v="50.875215010394072"/>
    <n v="48.641547918904003"/>
    <n v="38.35167830067526"/>
    <n v="48.914232179165971"/>
    <s v="2. Riesgo (&gt;=40 y &lt;60)"/>
    <s v="2. Riesgo (&gt;=40 y &lt;60)"/>
    <s v="1. Deterioro (&lt;40)"/>
    <s v="2. Riesgo (&gt;=40 y &lt;60)"/>
    <n v="50.868375"/>
    <n v="46.695668352284819"/>
    <n v="48.782021676142406"/>
    <n v="56.794581041696226"/>
    <x v="2"/>
    <n v="43.205418958303774"/>
    <n v="0.81759069605862034"/>
    <n v="39.883727057343975"/>
    <n v="0.32827737223435194"/>
    <n v="4"/>
    <b v="0"/>
    <n v="1"/>
    <n v="0.81759069605862023"/>
    <n v="39.883727057343968"/>
    <n v="0.31016089850443107"/>
    <n v="4"/>
    <b v="0"/>
    <n v="1"/>
    <n v="56.794581041696226"/>
    <x v="3"/>
    <n v="43.205418958303774"/>
    <n v="0.80397277260026034"/>
    <n v="39.219417220014208"/>
    <n v="0.32776830777891552"/>
    <n v="4"/>
    <b v="0"/>
    <n v="1"/>
    <n v="8.6365890696821782E-2"/>
    <n v="4.2131027520517064"/>
    <n v="0.25148861155276109"/>
    <n v="4"/>
  </r>
  <r>
    <n v="15522"/>
    <s v="15522"/>
    <s v="15"/>
    <s v="COLOMBIA"/>
    <s v="BOYACÁ"/>
    <s v="PANQUEBA"/>
    <x v="5"/>
    <n v="0"/>
    <n v="0"/>
    <n v="0"/>
    <n v="54.29"/>
    <n v="56.039099999999998"/>
    <n v="48.46"/>
    <n v="47.98"/>
    <n v="62.811545368771498"/>
    <n v="56.926343244610877"/>
    <n v="62.770075348639011"/>
    <n v="70.807701878422193"/>
    <s v="3. Vulnerable (&gt;=60 y &lt;70)"/>
    <s v="2. Riesgo (&gt;=40 y &lt;60)"/>
    <s v="3. Vulnerable (&gt;=60 y &lt;70)"/>
    <s v="4. Solvente (&gt;=70 y &lt;80)"/>
    <n v="51.692274999999995"/>
    <n v="63.328916460110896"/>
    <n v="57.510595730055442"/>
    <n v="56.771580047778322"/>
    <x v="2"/>
    <n v="43.228419952221678"/>
    <n v="0.81759069605862034"/>
    <n v="47.020127993681946"/>
    <n v="0.41754622547229153"/>
    <n v="3"/>
    <b v="1"/>
    <n v="0"/>
    <n v="0.81759069605862023"/>
    <n v="47.020127993681939"/>
    <n v="0.39450331766140462"/>
    <n v="3"/>
    <b v="1"/>
    <n v="0"/>
    <n v="56.771580047778322"/>
    <x v="3"/>
    <n v="43.228419952221678"/>
    <n v="0.80397277260026034"/>
    <n v="46.236953102985368"/>
    <n v="0.41740421893166463"/>
    <n v="3"/>
    <b v="1"/>
    <n v="0"/>
    <n v="8.6411868756392257E-2"/>
    <n v="4.9695980503274839"/>
    <n v="0.29664534363505335"/>
    <n v="3"/>
  </r>
  <r>
    <n v="68255"/>
    <s v="68255"/>
    <s v="68"/>
    <s v="COLOMBIA"/>
    <s v="SANTANDER"/>
    <s v="EL PLAYÓN"/>
    <x v="5"/>
    <n v="0"/>
    <n v="0"/>
    <n v="0"/>
    <n v="44.33"/>
    <n v="50.7809666666667"/>
    <n v="54.27"/>
    <n v="49.26"/>
    <n v="53.830798349247658"/>
    <n v="61.295002396966801"/>
    <n v="58.301728255361382"/>
    <n v="53.325528535104894"/>
    <s v="2. Riesgo (&gt;=40 y &lt;60)"/>
    <s v="3. Vulnerable (&gt;=60 y &lt;70)"/>
    <s v="2. Riesgo (&gt;=40 y &lt;60)"/>
    <s v="2. Riesgo (&gt;=40 y &lt;60)"/>
    <n v="49.660241666666671"/>
    <n v="56.688264384170182"/>
    <n v="53.174253025418423"/>
    <n v="57.448433566099766"/>
    <x v="2"/>
    <n v="42.551566433900234"/>
    <n v="0.81759069605862034"/>
    <n v="43.474774543449044"/>
    <n v="0.3731975909646752"/>
    <n v="3"/>
    <b v="1"/>
    <n v="0"/>
    <n v="0.81759069605862023"/>
    <n v="43.474774543449044"/>
    <n v="0.35260212833268273"/>
    <n v="3"/>
    <b v="1"/>
    <n v="0"/>
    <n v="57.448433566099766"/>
    <x v="3"/>
    <n v="42.551566433900234"/>
    <n v="0.80397277260026034"/>
    <n v="42.750651635793432"/>
    <n v="0.37287323059383137"/>
    <n v="3"/>
    <b v="1"/>
    <n v="0"/>
    <n v="8.5058865860215632E-2"/>
    <n v="4.5229416553062309"/>
    <n v="0.26998352140193682"/>
    <n v="4"/>
  </r>
  <r>
    <n v="47053"/>
    <s v="47053"/>
    <s v="47"/>
    <s v="COLOMBIA"/>
    <s v="MAGDALENA"/>
    <s v="ARACATACA"/>
    <x v="5"/>
    <n v="0"/>
    <n v="0"/>
    <n v="1"/>
    <n v="47.91"/>
    <n v="54.163766666666703"/>
    <n v="47.97"/>
    <n v="43.46"/>
    <n v="53.566747996150106"/>
    <n v="44.307401327795219"/>
    <n v="58.170782320274206"/>
    <n v="38.802867610329159"/>
    <s v="2. Riesgo (&gt;=40 y &lt;60)"/>
    <s v="2. Riesgo (&gt;=40 y &lt;60)"/>
    <s v="2. Riesgo (&gt;=40 y &lt;60)"/>
    <s v="1. Deterioro (&lt;40)"/>
    <n v="48.375941666666677"/>
    <n v="48.711949813637176"/>
    <n v="48.543945740151926"/>
    <n v="56.871817859636607"/>
    <x v="2"/>
    <n v="43.128182140363393"/>
    <n v="0.81759069605862034"/>
    <n v="39.689078387122713"/>
    <n v="0.32584252254892232"/>
    <n v="4"/>
    <b v="0"/>
    <n v="1"/>
    <n v="0.81759069605862023"/>
    <n v="39.689078387122706"/>
    <n v="0.3078604196105737"/>
    <n v="4"/>
    <b v="0"/>
    <n v="1"/>
    <n v="56.871817859636607"/>
    <x v="3"/>
    <n v="43.128182140363393"/>
    <n v="0.80397277260026034"/>
    <n v="39.028010649666541"/>
    <n v="0.32532344641734146"/>
    <n v="4"/>
    <b v="0"/>
    <n v="1"/>
    <n v="8.6211497411515445E-2"/>
    <n v="4.1850462525218539"/>
    <n v="0.24981386243624421"/>
    <n v="4"/>
  </r>
  <r>
    <n v="52110"/>
    <s v="52110"/>
    <s v="52"/>
    <s v="COLOMBIA"/>
    <s v="NARIÑO"/>
    <s v="BUESACO"/>
    <x v="6"/>
    <n v="0"/>
    <n v="0"/>
    <n v="0"/>
    <n v="46.82"/>
    <n v="49.649366666666701"/>
    <n v="57.4"/>
    <n v="61.29"/>
    <n v="59.431392742669701"/>
    <n v="46.186030888787116"/>
    <n v="59.223831337033062"/>
    <n v="64.504088240996765"/>
    <s v="2. Riesgo (&gt;=40 y &lt;60)"/>
    <s v="2. Riesgo (&gt;=40 y &lt;60)"/>
    <s v="2. Riesgo (&gt;=40 y &lt;60)"/>
    <s v="3. Vulnerable (&gt;=60 y &lt;70)"/>
    <n v="53.789841666666675"/>
    <n v="57.336335802371657"/>
    <n v="55.56308873451917"/>
    <n v="56.874330892637794"/>
    <x v="2"/>
    <n v="43.125669107362206"/>
    <n v="0.81759069605862034"/>
    <n v="45.427864393622414"/>
    <n v="0.39762868623958603"/>
    <n v="3"/>
    <b v="0"/>
    <n v="-1"/>
    <n v="0.81759069605862023"/>
    <n v="45.427864393622407"/>
    <n v="0.37568495737550872"/>
    <n v="3"/>
    <b v="0"/>
    <n v="-1"/>
    <n v="56.874330892637794"/>
    <x v="3"/>
    <n v="43.125669107362206"/>
    <n v="0.80397277260026034"/>
    <n v="44.671210504125668"/>
    <n v="0.39740478226044934"/>
    <n v="3"/>
    <b v="0"/>
    <n v="-1"/>
    <n v="8.6206473959857505E-2"/>
    <n v="4.7898979621215787"/>
    <n v="0.28591868246905072"/>
    <n v="4"/>
  </r>
  <r>
    <n v="20614"/>
    <s v="20614"/>
    <s v="20"/>
    <s v="COLOMBIA"/>
    <s v="CESAR"/>
    <s v="RÍO DE ORO"/>
    <x v="5"/>
    <n v="0"/>
    <n v="0"/>
    <n v="0"/>
    <n v="36.6"/>
    <n v="43.768066666666698"/>
    <n v="67.290000000000006"/>
    <n v="75.86"/>
    <n v="61.210306262999154"/>
    <n v="54.975933779835117"/>
    <n v="66.247176660138607"/>
    <n v="60.279141633475945"/>
    <s v="3. Vulnerable (&gt;=60 y &lt;70)"/>
    <s v="2. Riesgo (&gt;=40 y &lt;60)"/>
    <s v="3. Vulnerable (&gt;=60 y &lt;70)"/>
    <s v="3. Vulnerable (&gt;=60 y &lt;70)"/>
    <n v="55.879516666666674"/>
    <n v="60.678139584112202"/>
    <n v="58.278828125389438"/>
    <n v="56.91330595852768"/>
    <x v="2"/>
    <n v="43.08669404147232"/>
    <n v="0.81759069605862034"/>
    <n v="47.648227652517853"/>
    <n v="0.42540309012488131"/>
    <n v="3"/>
    <b v="1"/>
    <n v="0"/>
    <n v="0.81759069605862023"/>
    <n v="47.648227652517846"/>
    <n v="0.40192658958383032"/>
    <n v="3"/>
    <b v="1"/>
    <n v="0"/>
    <n v="56.91330595852768"/>
    <x v="3"/>
    <n v="43.08669404147232"/>
    <n v="0.80397277260026034"/>
    <n v="46.854591031863379"/>
    <n v="0.42529338963784097"/>
    <n v="3"/>
    <b v="1"/>
    <n v="0"/>
    <n v="8.6128564374400279E-2"/>
    <n v="5.019471799862214"/>
    <n v="0.29962240846389271"/>
    <n v="3"/>
  </r>
  <r>
    <n v="47798"/>
    <s v="47798"/>
    <s v="47"/>
    <s v="COLOMBIA"/>
    <s v="MAGDALENA"/>
    <s v="TENERIFE"/>
    <x v="6"/>
    <n v="0"/>
    <n v="0"/>
    <n v="0"/>
    <n v="34.44"/>
    <n v="44.433633333333297"/>
    <n v="56.53"/>
    <n v="19.25"/>
    <n v="55.715299952877679"/>
    <n v="50.663193354816819"/>
    <n v="46.40272463301239"/>
    <n v="46.540260728077769"/>
    <s v="2. Riesgo (&gt;=40 y &lt;60)"/>
    <s v="2. Riesgo (&gt;=40 y &lt;60)"/>
    <s v="2. Riesgo (&gt;=40 y &lt;60)"/>
    <s v="2. Riesgo (&gt;=40 y &lt;60)"/>
    <n v="38.663408333333322"/>
    <n v="49.830369667196166"/>
    <n v="44.246889000264744"/>
    <n v="56.913887202253065"/>
    <x v="2"/>
    <n v="43.086112797746935"/>
    <n v="0.81759069605862034"/>
    <n v="36.17584477615496"/>
    <n v="0.28189567337301108"/>
    <n v="4"/>
    <b v="1"/>
    <n v="0"/>
    <n v="0.81759069605862023"/>
    <n v="36.17584477615496"/>
    <n v="0.26633884249404716"/>
    <n v="4"/>
    <b v="1"/>
    <n v="0"/>
    <n v="56.913887202253065"/>
    <x v="3"/>
    <n v="43.086112797746935"/>
    <n v="0.80397277260026034"/>
    <n v="35.573294028478806"/>
    <n v="0.28119589548224033"/>
    <n v="4"/>
    <b v="1"/>
    <n v="0"/>
    <n v="8.6127402491625732E-2"/>
    <n v="3.810869617928089"/>
    <n v="0.22747850347457513"/>
    <n v="4"/>
  </r>
  <r>
    <n v="20787"/>
    <s v="20787"/>
    <s v="20"/>
    <s v="COLOMBIA"/>
    <s v="CESAR"/>
    <s v="TAMALAMEQUE"/>
    <x v="5"/>
    <n v="0"/>
    <n v="0"/>
    <n v="0"/>
    <n v="61.68"/>
    <n v="63.073833333333297"/>
    <n v="54.85"/>
    <n v="51.2"/>
    <n v="49.292019361844893"/>
    <n v="43.649922240460285"/>
    <n v="51.412949580545693"/>
    <n v="43.529644622746943"/>
    <s v="2. Riesgo (&gt;=40 y &lt;60)"/>
    <s v="2. Riesgo (&gt;=40 y &lt;60)"/>
    <s v="2. Riesgo (&gt;=40 y &lt;60)"/>
    <s v="2. Riesgo (&gt;=40 y &lt;60)"/>
    <n v="57.700958333333318"/>
    <n v="46.971133951399452"/>
    <n v="52.336046142366385"/>
    <n v="56.915917611947094"/>
    <x v="2"/>
    <n v="43.084082388052906"/>
    <n v="0.81759069605862034"/>
    <n v="42.789464394493407"/>
    <n v="0.36462508338622851"/>
    <n v="3"/>
    <b v="1"/>
    <n v="0"/>
    <n v="0.81759069605862023"/>
    <n v="42.7894643944934"/>
    <n v="0.34450270730079702"/>
    <n v="3"/>
    <b v="1"/>
    <n v="0"/>
    <n v="56.915917611947094"/>
    <x v="3"/>
    <n v="43.084082388052906"/>
    <n v="0.80397277260026034"/>
    <n v="42.076756124013464"/>
    <n v="0.36426547436322543"/>
    <n v="3"/>
    <b v="1"/>
    <n v="0"/>
    <n v="8.6123343784502135E-2"/>
    <n v="4.507355294240587"/>
    <n v="0.26905314003356173"/>
    <n v="4"/>
  </r>
  <r>
    <n v="73026"/>
    <s v="73026"/>
    <s v="73"/>
    <s v="COLOMBIA"/>
    <s v="TOLIMA"/>
    <s v="ALVARADO"/>
    <x v="5"/>
    <n v="0"/>
    <n v="0"/>
    <n v="0"/>
    <n v="59.82"/>
    <n v="59.643633333333298"/>
    <n v="48.35"/>
    <n v="36.04"/>
    <n v="50.354657312090595"/>
    <n v="48.541996585509779"/>
    <n v="50.201068608772118"/>
    <n v="55.728480140235014"/>
    <s v="2. Riesgo (&gt;=40 y &lt;60)"/>
    <s v="2. Riesgo (&gt;=40 y &lt;60)"/>
    <s v="2. Riesgo (&gt;=40 y &lt;60)"/>
    <s v="2. Riesgo (&gt;=40 y &lt;60)"/>
    <n v="50.963408333333319"/>
    <n v="51.206550661651875"/>
    <n v="51.084979497492597"/>
    <n v="57.173149264163591"/>
    <x v="2"/>
    <n v="42.826850735836409"/>
    <n v="0.81759069605862034"/>
    <n v="41.766603945495319"/>
    <n v="0.35183017736580546"/>
    <n v="4"/>
    <b v="0"/>
    <n v="1"/>
    <n v="0.81759069605862023"/>
    <n v="41.766603945495312"/>
    <n v="0.33241390714815922"/>
    <n v="4"/>
    <b v="0"/>
    <n v="1"/>
    <n v="57.173149264163591"/>
    <x v="3"/>
    <n v="42.826850735836409"/>
    <n v="0.80397277260026034"/>
    <n v="41.070932604826581"/>
    <n v="0.35141795792658576"/>
    <n v="4"/>
    <b v="0"/>
    <n v="1"/>
    <n v="8.5609148081862763E-2"/>
    <n v="4.3733415745597668"/>
    <n v="0.26105359046759452"/>
    <n v="4"/>
  </r>
  <r>
    <n v="15681"/>
    <s v="15681"/>
    <s v="15"/>
    <s v="COLOMBIA"/>
    <s v="BOYACÁ"/>
    <s v="SAN PABLO DE BORBUR"/>
    <x v="5"/>
    <n v="0"/>
    <n v="0"/>
    <n v="0"/>
    <n v="69.900000000000006"/>
    <n v="78.303899999999999"/>
    <n v="84.37"/>
    <n v="74.19"/>
    <n v="64.691235435590585"/>
    <n v="58.897408556129491"/>
    <n v="64.713312023235986"/>
    <n v="62.762335414420839"/>
    <s v="3. Vulnerable (&gt;=60 y &lt;70)"/>
    <s v="2. Riesgo (&gt;=40 y &lt;60)"/>
    <s v="3. Vulnerable (&gt;=60 y &lt;70)"/>
    <s v="3. Vulnerable (&gt;=60 y &lt;70)"/>
    <n v="76.690975000000009"/>
    <n v="62.766072857344227"/>
    <n v="69.728523928672118"/>
    <n v="57.144458191509528"/>
    <x v="2"/>
    <n v="42.855541808490472"/>
    <n v="0.81759069605862034"/>
    <n v="57.0093924139832"/>
    <n v="0.54250139369304362"/>
    <n v="2"/>
    <b v="0"/>
    <n v="-1"/>
    <n v="0.81759069605862023"/>
    <n v="57.009392413983193"/>
    <n v="0.51256264957433761"/>
    <n v="2"/>
    <b v="0"/>
    <n v="-1"/>
    <n v="57.144458191509528"/>
    <x v="3"/>
    <n v="42.855541808490472"/>
    <n v="0.80397277260026034"/>
    <n v="56.059834712258123"/>
    <n v="0.54287318095426529"/>
    <n v="2"/>
    <b v="0"/>
    <n v="-1"/>
    <n v="8.5666500379434671E-2"/>
    <n v="5.9733986215930095"/>
    <n v="0.35656422689051143"/>
    <n v="3"/>
  </r>
  <r>
    <n v="73854"/>
    <s v="73854"/>
    <s v="73"/>
    <s v="COLOMBIA"/>
    <s v="TOLIMA"/>
    <s v="VALLE DE SAN JUAN"/>
    <x v="5"/>
    <n v="0"/>
    <n v="0"/>
    <n v="0"/>
    <n v="54.78"/>
    <n v="56.015999999999998"/>
    <n v="45.78"/>
    <n v="57.82"/>
    <n v="47.940989488972626"/>
    <n v="47.155818327990758"/>
    <n v="52.746305875092979"/>
    <n v="60.564465853881266"/>
    <s v="2. Riesgo (&gt;=40 y &lt;60)"/>
    <s v="2. Riesgo (&gt;=40 y &lt;60)"/>
    <s v="2. Riesgo (&gt;=40 y &lt;60)"/>
    <s v="3. Vulnerable (&gt;=60 y &lt;70)"/>
    <n v="53.598999999999997"/>
    <n v="52.101894886484409"/>
    <n v="52.850447443242203"/>
    <n v="57.16791245768286"/>
    <x v="2"/>
    <n v="42.83208754231714"/>
    <n v="0.81759069605862034"/>
    <n v="43.210034112129925"/>
    <n v="0.36988596723159178"/>
    <n v="3"/>
    <b v="1"/>
    <n v="0"/>
    <n v="0.81759069605862023"/>
    <n v="43.210034112129918"/>
    <n v="0.34947326146753521"/>
    <n v="3"/>
    <b v="1"/>
    <n v="0"/>
    <n v="57.16791245768286"/>
    <x v="3"/>
    <n v="42.83208754231714"/>
    <n v="0.80397277260026034"/>
    <n v="42.490320764107771"/>
    <n v="0.36954799004303368"/>
    <n v="3"/>
    <b v="1"/>
    <n v="0"/>
    <n v="8.5619616246898997E-2"/>
    <n v="4.5250350285673013"/>
    <n v="0.27010847907941854"/>
    <n v="4"/>
  </r>
  <r>
    <n v="73200"/>
    <s v="73200"/>
    <s v="73"/>
    <s v="COLOMBIA"/>
    <s v="TOLIMA"/>
    <s v="COELLO"/>
    <x v="5"/>
    <n v="0"/>
    <n v="0"/>
    <n v="0"/>
    <n v="58.71"/>
    <n v="60.369266666666697"/>
    <n v="60.38"/>
    <n v="58.48"/>
    <n v="56.41632168041528"/>
    <n v="52.70586126109508"/>
    <n v="70.255814243489056"/>
    <n v="66.37940627110882"/>
    <s v="2. Riesgo (&gt;=40 y &lt;60)"/>
    <s v="2. Riesgo (&gt;=40 y &lt;60)"/>
    <s v="4. Solvente (&gt;=70 y &lt;80)"/>
    <s v="3. Vulnerable (&gt;=60 y &lt;70)"/>
    <n v="59.484816666666674"/>
    <n v="61.439350864027055"/>
    <n v="60.462083765346861"/>
    <n v="57.139586210137651"/>
    <x v="2"/>
    <n v="42.860413789862349"/>
    <n v="0.81759069605862034"/>
    <n v="49.433237150864549"/>
    <n v="0.4477316773718315"/>
    <n v="3"/>
    <b v="1"/>
    <n v="0"/>
    <n v="0.81759069605862023"/>
    <n v="49.433237150864542"/>
    <n v="0.42302294062292867"/>
    <n v="3"/>
    <b v="1"/>
    <n v="0"/>
    <n v="57.139586210137651"/>
    <x v="3"/>
    <n v="42.860413789862349"/>
    <n v="0.80397277260026034"/>
    <n v="48.609869122015105"/>
    <n v="0.44771378813113555"/>
    <n v="3"/>
    <b v="1"/>
    <n v="0"/>
    <n v="8.5676239273786023E-2"/>
    <n v="5.1801639556715511"/>
    <n v="0.30921444775897755"/>
    <n v="3"/>
  </r>
  <r>
    <n v="41378"/>
    <s v="41378"/>
    <s v="41"/>
    <s v="COLOMBIA"/>
    <s v="HUILA"/>
    <s v="LA ARGENTINA"/>
    <x v="5"/>
    <n v="0"/>
    <n v="0"/>
    <n v="0"/>
    <n v="64.2"/>
    <n v="64.870666666666693"/>
    <n v="75.17"/>
    <n v="49.53"/>
    <n v="53.9390428655813"/>
    <n v="56.508845123119748"/>
    <n v="52.539217903035869"/>
    <n v="67.514069996933927"/>
    <s v="2. Riesgo (&gt;=40 y &lt;60)"/>
    <s v="2. Riesgo (&gt;=40 y &lt;60)"/>
    <s v="2. Riesgo (&gt;=40 y &lt;60)"/>
    <s v="3. Vulnerable (&gt;=60 y &lt;70)"/>
    <n v="63.442666666666675"/>
    <n v="57.625293972167711"/>
    <n v="60.533980319417196"/>
    <n v="56.967945595493788"/>
    <x v="2"/>
    <n v="43.032054404506212"/>
    <n v="0.81759069605862034"/>
    <n v="49.492019104551133"/>
    <n v="0.44846697765043098"/>
    <n v="3"/>
    <b v="1"/>
    <n v="0"/>
    <n v="0.81759069605862023"/>
    <n v="49.492019104551126"/>
    <n v="0.42371766226496183"/>
    <n v="3"/>
    <b v="1"/>
    <n v="0"/>
    <n v="56.967945595493788"/>
    <x v="3"/>
    <n v="43.032054404506212"/>
    <n v="0.80397277260026034"/>
    <n v="48.667671993931435"/>
    <n v="0.44845211183590472"/>
    <n v="3"/>
    <b v="1"/>
    <n v="0"/>
    <n v="8.6019341942869559E-2"/>
    <n v="5.2070931522588841"/>
    <n v="0.31082190588628805"/>
    <n v="3"/>
  </r>
  <r>
    <n v="25326"/>
    <s v="25326"/>
    <s v="25"/>
    <s v="COLOMBIA"/>
    <s v="CUNDINAMARCA"/>
    <s v="GUATAVITA"/>
    <x v="5"/>
    <n v="0"/>
    <n v="0"/>
    <n v="0"/>
    <n v="58.11"/>
    <n v="64.511200000000002"/>
    <n v="62.68"/>
    <n v="74.099999999999994"/>
    <n v="54.580922381027186"/>
    <n v="67.850457012494374"/>
    <n v="65.984599843943982"/>
    <n v="64.21487774089529"/>
    <s v="2. Riesgo (&gt;=40 y &lt;60)"/>
    <s v="3. Vulnerable (&gt;=60 y &lt;70)"/>
    <s v="3. Vulnerable (&gt;=60 y &lt;70)"/>
    <s v="3. Vulnerable (&gt;=60 y &lt;70)"/>
    <n v="64.850300000000004"/>
    <n v="63.15771424459021"/>
    <n v="64.004007122295107"/>
    <n v="57.235240550834575"/>
    <x v="2"/>
    <n v="42.764759449165425"/>
    <n v="0.81759069605862034"/>
    <n v="52.329080733658152"/>
    <n v="0.48395562808571674"/>
    <n v="2"/>
    <b v="0"/>
    <n v="-1"/>
    <n v="0.81759069605862023"/>
    <n v="52.329080733658145"/>
    <n v="0.45724781888465127"/>
    <n v="3"/>
    <b v="1"/>
    <n v="0"/>
    <n v="57.235240550834575"/>
    <x v="3"/>
    <n v="42.764759449165425"/>
    <n v="0.80397277260026034"/>
    <n v="51.457479063638409"/>
    <n v="0.48408668539617411"/>
    <n v="2"/>
    <b v="0"/>
    <n v="-1"/>
    <n v="8.548503010298085E-2"/>
    <n v="5.4713844755607983"/>
    <n v="0.32659798870560036"/>
    <n v="3"/>
  </r>
  <r>
    <n v="50270"/>
    <s v="50270"/>
    <s v="50"/>
    <s v="COLOMBIA"/>
    <s v="META"/>
    <s v="EL DORADO"/>
    <x v="5"/>
    <n v="0"/>
    <n v="0"/>
    <n v="0"/>
    <n v="58.09"/>
    <n v="57.080100000000002"/>
    <n v="60.98"/>
    <n v="61.37"/>
    <n v="73.280321896891323"/>
    <n v="54.562844420234342"/>
    <n v="59.014038144837031"/>
    <n v="54.723163620892791"/>
    <s v="4. Solvente (&gt;=70 y &lt;80)"/>
    <s v="2. Riesgo (&gt;=40 y &lt;60)"/>
    <s v="2. Riesgo (&gt;=40 y &lt;60)"/>
    <s v="2. Riesgo (&gt;=40 y &lt;60)"/>
    <n v="59.380025000000003"/>
    <n v="60.395092020713868"/>
    <n v="59.887558510356939"/>
    <n v="57.218706507226933"/>
    <x v="2"/>
    <n v="42.781293492773067"/>
    <n v="0.81759069605862034"/>
    <n v="48.963510647734083"/>
    <n v="0.44185589395607494"/>
    <n v="3"/>
    <b v="1"/>
    <n v="0"/>
    <n v="0.81759069605862023"/>
    <n v="48.963510647734076"/>
    <n v="0.41747142103068741"/>
    <n v="3"/>
    <b v="1"/>
    <n v="0"/>
    <n v="57.218706507226933"/>
    <x v="3"/>
    <n v="42.781293492773067"/>
    <n v="0.80397277260026034"/>
    <n v="48.147966459831984"/>
    <n v="0.44181384452142297"/>
    <n v="3"/>
    <b v="1"/>
    <n v="0"/>
    <n v="8.5518080989592363E-2"/>
    <n v="5.1214690789576558"/>
    <n v="0.30571083203471122"/>
    <n v="3"/>
  </r>
  <r>
    <n v="5842"/>
    <s v="05842"/>
    <s v="50"/>
    <s v="COLOMBIA"/>
    <s v="ANTIOQUIA"/>
    <s v="URAMITA"/>
    <x v="6"/>
    <n v="0"/>
    <n v="0"/>
    <n v="0"/>
    <n v="50.78"/>
    <n v="50.117033333333303"/>
    <n v="47.14"/>
    <n v="41.82"/>
    <n v="54.082213737070632"/>
    <n v="71.293695189011459"/>
    <n v="41.402882720948035"/>
    <n v="40.158868951058565"/>
    <s v="2. Riesgo (&gt;=40 y &lt;60)"/>
    <s v="4. Solvente (&gt;=70 y &lt;80)"/>
    <s v="2. Riesgo (&gt;=40 y &lt;60)"/>
    <s v="2. Riesgo (&gt;=40 y &lt;60)"/>
    <n v="47.464258333333319"/>
    <n v="51.734415149522171"/>
    <n v="49.599336741427749"/>
    <n v="57.136912278659103"/>
    <x v="2"/>
    <n v="42.863087721340897"/>
    <n v="0.81759069605862034"/>
    <n v="40.551956250469814"/>
    <n v="0.33663621506039243"/>
    <n v="4"/>
    <b v="1"/>
    <n v="0"/>
    <n v="0.81759069605862023"/>
    <n v="40.551956250469807"/>
    <n v="0.31805844619020707"/>
    <n v="4"/>
    <b v="1"/>
    <n v="0"/>
    <n v="57.136912278659103"/>
    <x v="3"/>
    <n v="42.863087721340897"/>
    <n v="0.80397277260026034"/>
    <n v="39.876516279139629"/>
    <n v="0.33616152070501515"/>
    <n v="4"/>
    <b v="1"/>
    <n v="0"/>
    <n v="8.5681584355013662E-2"/>
    <n v="4.2497497549633705"/>
    <n v="0.25367614516450032"/>
    <n v="4"/>
  </r>
  <r>
    <n v="41524"/>
    <s v="41524"/>
    <s v="41"/>
    <s v="COLOMBIA"/>
    <s v="HUILA"/>
    <s v="PALERMO"/>
    <x v="4"/>
    <n v="0"/>
    <n v="0"/>
    <n v="0"/>
    <n v="63.45"/>
    <n v="68.111266666666694"/>
    <n v="80.38"/>
    <n v="79.58"/>
    <n v="59.533888947167512"/>
    <n v="73.267507349953817"/>
    <n v="54.324743468746419"/>
    <n v="61.010131379328399"/>
    <s v="2. Riesgo (&gt;=40 y &lt;60)"/>
    <s v="4. Solvente (&gt;=70 y &lt;80)"/>
    <s v="2. Riesgo (&gt;=40 y &lt;60)"/>
    <s v="3. Vulnerable (&gt;=60 y &lt;70)"/>
    <n v="72.880316666666673"/>
    <n v="62.034067786299033"/>
    <n v="67.457192226482846"/>
    <n v="57.080809271505764"/>
    <x v="2"/>
    <n v="42.919190728494236"/>
    <n v="0.81759069605862034"/>
    <n v="55.152372746610261"/>
    <n v="0.51927203513744813"/>
    <n v="2"/>
    <b v="1"/>
    <n v="0"/>
    <n v="0.81759069605862023"/>
    <n v="55.152372746610254"/>
    <n v="0.49061523762740128"/>
    <n v="2"/>
    <b v="1"/>
    <n v="0"/>
    <n v="57.080809271505764"/>
    <x v="3"/>
    <n v="42.919190728494236"/>
    <n v="0.80397277260026034"/>
    <n v="54.233745866154145"/>
    <n v="0.51954830733821467"/>
    <n v="2"/>
    <b v="1"/>
    <n v="0"/>
    <n v="8.5793732004553758E-2"/>
    <n v="5.7874042716585361"/>
    <n v="0.34546184853078588"/>
    <n v="3"/>
  </r>
  <r>
    <n v="20770"/>
    <s v="20770"/>
    <s v="20"/>
    <s v="COLOMBIA"/>
    <s v="CESAR"/>
    <s v="SAN MARTÍN"/>
    <x v="4"/>
    <n v="0"/>
    <n v="0"/>
    <n v="0"/>
    <n v="64.86"/>
    <n v="67.713999999999999"/>
    <n v="54.71"/>
    <n v="59.3"/>
    <n v="64.601159223636287"/>
    <n v="62.872887450537462"/>
    <n v="70.338135154419774"/>
    <n v="62.911025977375672"/>
    <s v="3. Vulnerable (&gt;=60 y &lt;70)"/>
    <s v="3. Vulnerable (&gt;=60 y &lt;70)"/>
    <s v="4. Solvente (&gt;=70 y &lt;80)"/>
    <s v="3. Vulnerable (&gt;=60 y &lt;70)"/>
    <n v="61.646000000000001"/>
    <n v="65.180801951492299"/>
    <n v="63.41340097574615"/>
    <n v="57.163065744118448"/>
    <x v="2"/>
    <n v="42.836934255881552"/>
    <n v="0.81759069605862034"/>
    <n v="51.846206643204688"/>
    <n v="0.47791538221141283"/>
    <n v="3"/>
    <b v="0"/>
    <n v="1"/>
    <n v="0.81759069605862023"/>
    <n v="51.846206643204681"/>
    <n v="0.45154091293858944"/>
    <n v="3"/>
    <b v="0"/>
    <n v="1"/>
    <n v="57.163065744118448"/>
    <x v="3"/>
    <n v="42.836934255881552"/>
    <n v="0.80397277260026034"/>
    <n v="50.982647802482688"/>
    <n v="0.47802160308704289"/>
    <n v="3"/>
    <b v="0"/>
    <n v="1"/>
    <n v="8.5629304631921879E-2"/>
    <n v="5.4300454298983789"/>
    <n v="0.32413037758657526"/>
    <n v="3"/>
  </r>
  <r>
    <n v="15293"/>
    <s v="15293"/>
    <s v="15"/>
    <s v="COLOMBIA"/>
    <s v="BOYACÁ"/>
    <s v="GACHANTIVÁ"/>
    <x v="5"/>
    <n v="0"/>
    <n v="0"/>
    <n v="0"/>
    <n v="54.45"/>
    <n v="58.421566666666699"/>
    <n v="52.06"/>
    <n v="45.97"/>
    <n v="55.05125109897925"/>
    <n v="55.867154818254498"/>
    <n v="51.148791825958718"/>
    <n v="54.018457021781678"/>
    <s v="2. Riesgo (&gt;=40 y &lt;60)"/>
    <s v="2. Riesgo (&gt;=40 y &lt;60)"/>
    <s v="2. Riesgo (&gt;=40 y &lt;60)"/>
    <s v="2. Riesgo (&gt;=40 y &lt;60)"/>
    <n v="52.725391666666674"/>
    <n v="54.021413691243531"/>
    <n v="53.373402678955102"/>
    <n v="57.312044740079116"/>
    <x v="2"/>
    <n v="42.687955259920884"/>
    <n v="0.81759069605862034"/>
    <n v="43.637597447303932"/>
    <n v="0.37523433386038135"/>
    <n v="3"/>
    <b v="1"/>
    <n v="0"/>
    <n v="0.81759069605862023"/>
    <n v="43.637597447303925"/>
    <n v="0.3545264705505306"/>
    <n v="3"/>
    <b v="1"/>
    <n v="0"/>
    <n v="57.312044740079116"/>
    <x v="3"/>
    <n v="42.687955259920884"/>
    <n v="0.80397277260026034"/>
    <n v="42.910762534909693"/>
    <n v="0.37491834822017622"/>
    <n v="3"/>
    <b v="1"/>
    <n v="0"/>
    <n v="8.5331501624996323E-2"/>
    <n v="4.5544325974308402"/>
    <n v="0.27186327933272775"/>
    <n v="4"/>
  </r>
  <r>
    <n v="73870"/>
    <s v="73870"/>
    <s v="73"/>
    <s v="COLOMBIA"/>
    <s v="TOLIMA"/>
    <s v="VILLAHERMOSA"/>
    <x v="5"/>
    <n v="0"/>
    <n v="0"/>
    <n v="0"/>
    <n v="52.4"/>
    <n v="54.226066666666703"/>
    <n v="43.05"/>
    <n v="54.79"/>
    <n v="45.623074160284489"/>
    <n v="48.992301235594269"/>
    <n v="50.841623849512139"/>
    <n v="41.225969727771869"/>
    <s v="2. Riesgo (&gt;=40 y &lt;60)"/>
    <s v="2. Riesgo (&gt;=40 y &lt;60)"/>
    <s v="2. Riesgo (&gt;=40 y &lt;60)"/>
    <s v="2. Riesgo (&gt;=40 y &lt;60)"/>
    <n v="51.116516666666676"/>
    <n v="46.67074224329069"/>
    <n v="48.893629454978679"/>
    <n v="57.147727749308316"/>
    <x v="2"/>
    <n v="42.852272250691684"/>
    <n v="0.81759069605862034"/>
    <n v="39.974976538928281"/>
    <n v="0.32941880706295162"/>
    <n v="4"/>
    <b v="0"/>
    <n v="1"/>
    <n v="0.81759069605862023"/>
    <n v="39.974976538928274"/>
    <n v="0.31123934155889171"/>
    <n v="4"/>
    <b v="0"/>
    <n v="1"/>
    <n v="57.147727749308316"/>
    <x v="3"/>
    <n v="42.852272250691684"/>
    <n v="0.80397277260026034"/>
    <n v="39.309146835408967"/>
    <n v="0.32891443598793718"/>
    <n v="4"/>
    <b v="0"/>
    <n v="1"/>
    <n v="8.5659964665205174E-2"/>
    <n v="4.1882265714671085"/>
    <n v="0.25000370209668155"/>
    <n v="4"/>
  </r>
  <r>
    <n v="76100"/>
    <s v="76100"/>
    <s v="76"/>
    <s v="COLOMBIA"/>
    <s v="VALLE DEL CAUCA"/>
    <s v="BOLÍVAR"/>
    <x v="5"/>
    <n v="0"/>
    <n v="0"/>
    <n v="0"/>
    <n v="60.01"/>
    <n v="64.009766666666707"/>
    <n v="72.010000000000005"/>
    <n v="44.84"/>
    <n v="61.266417467190365"/>
    <n v="53.087677369707819"/>
    <n v="56.352162874232043"/>
    <n v="52.998586307929266"/>
    <s v="3. Vulnerable (&gt;=60 y &lt;70)"/>
    <s v="2. Riesgo (&gt;=40 y &lt;60)"/>
    <s v="2. Riesgo (&gt;=40 y &lt;60)"/>
    <s v="2. Riesgo (&gt;=40 y &lt;60)"/>
    <n v="60.21744166666668"/>
    <n v="55.926211004764873"/>
    <n v="58.071826335715777"/>
    <n v="57.176788138319225"/>
    <x v="2"/>
    <n v="42.823211861680775"/>
    <n v="0.81759069605862034"/>
    <n v="47.478984915213182"/>
    <n v="0.42328604187986069"/>
    <n v="3"/>
    <b v="1"/>
    <n v="0"/>
    <n v="0.81759069605862023"/>
    <n v="47.478984915213175"/>
    <n v="0.39992637378648904"/>
    <n v="3"/>
    <b v="1"/>
    <n v="0"/>
    <n v="57.176788138319225"/>
    <x v="3"/>
    <n v="42.823211861680775"/>
    <n v="0.80397277260026034"/>
    <n v="46.688167229086233"/>
    <n v="0.42316763646062755"/>
    <n v="3"/>
    <b v="1"/>
    <n v="0"/>
    <n v="8.5601874119124705E-2"/>
    <n v="4.9710571678576132"/>
    <n v="0.29673244130708754"/>
    <n v="3"/>
  </r>
  <r>
    <n v="25426"/>
    <s v="25426"/>
    <s v="25"/>
    <s v="COLOMBIA"/>
    <s v="CUNDINAMARCA"/>
    <s v="MACHETÁ"/>
    <x v="5"/>
    <n v="0"/>
    <n v="0"/>
    <n v="0"/>
    <n v="51.6"/>
    <n v="55.731533333333303"/>
    <n v="57.27"/>
    <n v="52.53"/>
    <n v="57.86029276001338"/>
    <n v="49.685950074545907"/>
    <n v="50.565946184967196"/>
    <n v="59.363013522333262"/>
    <s v="2. Riesgo (&gt;=40 y &lt;60)"/>
    <s v="2. Riesgo (&gt;=40 y &lt;60)"/>
    <s v="2. Riesgo (&gt;=40 y &lt;60)"/>
    <s v="2. Riesgo (&gt;=40 y &lt;60)"/>
    <n v="54.282883333333331"/>
    <n v="54.368800635464936"/>
    <n v="54.325841984399133"/>
    <n v="57.190027363168426"/>
    <x v="2"/>
    <n v="42.809972636831574"/>
    <n v="0.81759069605862034"/>
    <n v="44.416302961995505"/>
    <n v="0.38497511901618947"/>
    <n v="3"/>
    <b v="1"/>
    <n v="0"/>
    <n v="0.81759069605862023"/>
    <n v="44.416302961995498"/>
    <n v="0.36372969602873162"/>
    <n v="3"/>
    <b v="1"/>
    <n v="0"/>
    <n v="57.190027363168426"/>
    <x v="3"/>
    <n v="42.809972636831574"/>
    <n v="0.80397277260026034"/>
    <n v="43.676497804040999"/>
    <n v="0.38469918578125467"/>
    <n v="3"/>
    <b v="1"/>
    <n v="0"/>
    <n v="8.5575409442382649E-2"/>
    <n v="4.6489561711171374"/>
    <n v="0.27750558233466516"/>
    <n v="4"/>
  </r>
  <r>
    <n v="15401"/>
    <s v="15401"/>
    <s v="15"/>
    <s v="COLOMBIA"/>
    <s v="BOYACÁ"/>
    <s v="LA VICTORIA"/>
    <x v="6"/>
    <n v="0"/>
    <n v="0"/>
    <n v="0"/>
    <n v="61.08"/>
    <n v="66.272833333333296"/>
    <n v="84.58"/>
    <n v="78.61"/>
    <n v="37.693496843033806"/>
    <n v="45.972296544360987"/>
    <n v="35.033727820474986"/>
    <n v="44.542843745826843"/>
    <s v="1. Deterioro (&lt;40)"/>
    <s v="2. Riesgo (&gt;=40 y &lt;60)"/>
    <s v="1. Deterioro (&lt;40)"/>
    <s v="2. Riesgo (&gt;=40 y &lt;60)"/>
    <n v="72.635708333333326"/>
    <n v="40.810591238424152"/>
    <n v="56.723149785878739"/>
    <n v="57.219375495553969"/>
    <x v="2"/>
    <n v="42.780624504446031"/>
    <n v="0.81759069605862034"/>
    <n v="46.376319516073977"/>
    <n v="0.40949286005551899"/>
    <n v="3"/>
    <b v="0"/>
    <n v="-1"/>
    <n v="0.81759069605862023"/>
    <n v="46.37631951607397"/>
    <n v="0.38689438916094276"/>
    <n v="3"/>
    <b v="0"/>
    <n v="-1"/>
    <n v="57.219375495553969"/>
    <x v="3"/>
    <n v="42.780624504446031"/>
    <n v="0.80397277260026034"/>
    <n v="45.603868003972792"/>
    <n v="0.40931773948452366"/>
    <n v="3"/>
    <b v="0"/>
    <n v="-1"/>
    <n v="8.5516743708896489E-2"/>
    <n v="4.8507790626003393"/>
    <n v="0.28955279830488012"/>
    <n v="4"/>
  </r>
  <r>
    <n v="25279"/>
    <s v="25279"/>
    <s v="25"/>
    <s v="COLOMBIA"/>
    <s v="CUNDINAMARCA"/>
    <s v="FÓMEQUE"/>
    <x v="5"/>
    <n v="0"/>
    <n v="0"/>
    <n v="0"/>
    <n v="56.37"/>
    <n v="59.7154666666667"/>
    <n v="46.17"/>
    <n v="53.94"/>
    <n v="62.312124200913985"/>
    <n v="56.547908340986886"/>
    <n v="65.146050507655431"/>
    <n v="68.613915109460294"/>
    <s v="3. Vulnerable (&gt;=60 y &lt;70)"/>
    <s v="2. Riesgo (&gt;=40 y &lt;60)"/>
    <s v="3. Vulnerable (&gt;=60 y &lt;70)"/>
    <s v="3. Vulnerable (&gt;=60 y &lt;70)"/>
    <n v="54.048866666666669"/>
    <n v="63.154999539754151"/>
    <n v="58.601933103210413"/>
    <n v="57.272647974553159"/>
    <x v="2"/>
    <n v="42.727352025446841"/>
    <n v="0.81759069605862034"/>
    <n v="47.912395276234506"/>
    <n v="0.42870754863865396"/>
    <n v="3"/>
    <b v="1"/>
    <n v="0"/>
    <n v="0.81759069605862023"/>
    <n v="47.912395276234498"/>
    <n v="0.40504868665292304"/>
    <n v="3"/>
    <b v="1"/>
    <n v="0"/>
    <n v="57.272647974553159"/>
    <x v="3"/>
    <n v="42.727352025446841"/>
    <n v="0.80397277260026034"/>
    <n v="47.114358636723054"/>
    <n v="0.42861143550719899"/>
    <n v="3"/>
    <b v="1"/>
    <n v="0"/>
    <n v="8.541025417102549E-2"/>
    <n v="5.0052060012586344"/>
    <n v="0.29877085413572957"/>
    <n v="3"/>
  </r>
  <r>
    <n v="54398"/>
    <s v="54398"/>
    <s v="54"/>
    <s v="COLOMBIA"/>
    <s v="NORTE DE SANTANDER"/>
    <s v="LA PLAYA"/>
    <x v="6"/>
    <n v="0"/>
    <n v="0"/>
    <n v="0"/>
    <n v="65.010000000000005"/>
    <n v="67.220433333333304"/>
    <n v="65.209999999999994"/>
    <n v="71.03"/>
    <n v="50.433010250136292"/>
    <n v="48.100918977355548"/>
    <n v="46.274317195114882"/>
    <n v="50.681985919153639"/>
    <s v="2. Riesgo (&gt;=40 y &lt;60)"/>
    <s v="2. Riesgo (&gt;=40 y &lt;60)"/>
    <s v="2. Riesgo (&gt;=40 y &lt;60)"/>
    <s v="2. Riesgo (&gt;=40 y &lt;60)"/>
    <n v="67.117608333333322"/>
    <n v="48.87255808544009"/>
    <n v="57.995083209386706"/>
    <n v="57.220465447093297"/>
    <x v="2"/>
    <n v="42.779534552906703"/>
    <n v="0.81759069605862034"/>
    <n v="47.416240449140084"/>
    <n v="0.42250117474818766"/>
    <n v="3"/>
    <b v="0"/>
    <n v="-1"/>
    <n v="0.81759069605862023"/>
    <n v="47.416240449140076"/>
    <n v="0.39918482071169314"/>
    <n v="3"/>
    <b v="0"/>
    <n v="-1"/>
    <n v="57.220465447093297"/>
    <x v="3"/>
    <n v="42.779534552906703"/>
    <n v="0.80397277260026034"/>
    <n v="46.626467845033439"/>
    <n v="0.4223795420925523"/>
    <n v="3"/>
    <b v="0"/>
    <n v="-1"/>
    <n v="8.551456493971013E-2"/>
    <n v="4.9594243092929924"/>
    <n v="0.29603805248702336"/>
    <n v="3"/>
  </r>
  <r>
    <n v="5150"/>
    <s v="05150"/>
    <s v="50"/>
    <s v="COLOMBIA"/>
    <s v="ANTIOQUIA"/>
    <s v="CAROLINA"/>
    <x v="5"/>
    <n v="0"/>
    <n v="0"/>
    <n v="0"/>
    <n v="63.01"/>
    <n v="65.709733333333304"/>
    <n v="67.25"/>
    <n v="53.9"/>
    <n v="61.45501929206312"/>
    <n v="49.686145738854314"/>
    <n v="60.354551830586217"/>
    <n v="14.305873790683126"/>
    <s v="3. Vulnerable (&gt;=60 y &lt;70)"/>
    <s v="2. Riesgo (&gt;=40 y &lt;60)"/>
    <s v="3. Vulnerable (&gt;=60 y &lt;70)"/>
    <s v="1. Deterioro (&lt;40)"/>
    <n v="62.467433333333325"/>
    <n v="46.450397663046694"/>
    <n v="54.458915498190009"/>
    <n v="56.939544618519442"/>
    <x v="2"/>
    <n v="43.060455381480558"/>
    <n v="0.81759069605862034"/>
    <n v="44.52510262876276"/>
    <n v="0.38633608816178888"/>
    <n v="3"/>
    <b v="1"/>
    <n v="0"/>
    <n v="0.81759069605862023"/>
    <n v="44.525102628762752"/>
    <n v="0.36501555807326691"/>
    <n v="3"/>
    <b v="1"/>
    <n v="0"/>
    <n v="56.939544618519442"/>
    <x v="3"/>
    <n v="43.060455381480558"/>
    <n v="0.80397277260026034"/>
    <n v="43.78348528588311"/>
    <n v="0.38606575099399937"/>
    <n v="3"/>
    <b v="1"/>
    <n v="0"/>
    <n v="8.6076114350872757E-2"/>
    <n v="4.6876118378467195"/>
    <n v="0.27981301714615525"/>
    <n v="4"/>
  </r>
  <r>
    <n v="44090"/>
    <s v="44090"/>
    <s v="44"/>
    <s v="COLOMBIA"/>
    <s v="LA GUAJIRA"/>
    <s v="DIBULLA"/>
    <x v="5"/>
    <n v="0"/>
    <n v="0"/>
    <n v="1"/>
    <n v="57.33"/>
    <n v="61.345666666666702"/>
    <n v="76.88"/>
    <n v="73.17"/>
    <n v="55.205093115752007"/>
    <n v="66.593994901234566"/>
    <n v="55.851910600306631"/>
    <n v="67.091939779401216"/>
    <s v="2. Riesgo (&gt;=40 y &lt;60)"/>
    <s v="3. Vulnerable (&gt;=60 y &lt;70)"/>
    <s v="2. Riesgo (&gt;=40 y &lt;60)"/>
    <s v="3. Vulnerable (&gt;=60 y &lt;70)"/>
    <n v="67.181416666666678"/>
    <n v="61.1857345991736"/>
    <n v="64.183575632920139"/>
    <n v="57.176614461492377"/>
    <x v="2"/>
    <n v="42.823385538507623"/>
    <n v="0.81759069605862034"/>
    <n v="52.475894277250276"/>
    <n v="0.48579211075999212"/>
    <n v="2"/>
    <b v="0"/>
    <n v="-1"/>
    <n v="0.81759069605862023"/>
    <n v="52.475894277250269"/>
    <n v="0.45898295253843974"/>
    <n v="3"/>
    <b v="1"/>
    <n v="0"/>
    <n v="57.176614461492377"/>
    <x v="3"/>
    <n v="42.823385538507623"/>
    <n v="0.80397277260026034"/>
    <n v="51.601847256997317"/>
    <n v="0.48593071936607568"/>
    <n v="2"/>
    <b v="0"/>
    <n v="-1"/>
    <n v="8.5602221292099892E-2"/>
    <n v="5.4942566446474599"/>
    <n v="0.32796327466830405"/>
    <n v="3"/>
  </r>
  <r>
    <n v="15325"/>
    <s v="15325"/>
    <s v="15"/>
    <s v="COLOMBIA"/>
    <s v="BOYACÁ"/>
    <s v="GUAYATÁ"/>
    <x v="5"/>
    <n v="0"/>
    <n v="0"/>
    <n v="0"/>
    <n v="77.75"/>
    <n v="79.414599999999993"/>
    <n v="76.900000000000006"/>
    <n v="52.46"/>
    <n v="52.144689977518112"/>
    <n v="41.96996577437848"/>
    <n v="60.943553309261908"/>
    <n v="54.46638841574871"/>
    <s v="2. Riesgo (&gt;=40 y &lt;60)"/>
    <s v="2. Riesgo (&gt;=40 y &lt;60)"/>
    <s v="3. Vulnerable (&gt;=60 y &lt;70)"/>
    <s v="2. Riesgo (&gt;=40 y &lt;60)"/>
    <n v="71.631150000000005"/>
    <n v="52.381149369226804"/>
    <n v="62.006149684613405"/>
    <n v="57.133873505965397"/>
    <x v="2"/>
    <n v="42.866126494034603"/>
    <n v="0.81759069605862034"/>
    <n v="50.695651080558072"/>
    <n v="0.46352314492258412"/>
    <n v="3"/>
    <b v="1"/>
    <n v="0"/>
    <n v="0.81759069605862023"/>
    <n v="50.695651080558072"/>
    <n v="0.43794293261295991"/>
    <n v="3"/>
    <b v="1"/>
    <n v="0"/>
    <n v="57.133873505965397"/>
    <x v="3"/>
    <n v="42.866126494034603"/>
    <n v="0.80397277260026034"/>
    <n v="49.851256080205395"/>
    <n v="0.46357018743513373"/>
    <n v="3"/>
    <b v="1"/>
    <n v="0"/>
    <n v="8.5687658739122069E-2"/>
    <n v="5.3131617939020748"/>
    <n v="0.3171533573096228"/>
    <n v="3"/>
  </r>
  <r>
    <n v="15537"/>
    <s v="15537"/>
    <s v="15"/>
    <s v="COLOMBIA"/>
    <s v="BOYACÁ"/>
    <s v="PAZ DE RÍO"/>
    <x v="5"/>
    <n v="0"/>
    <n v="0"/>
    <n v="0"/>
    <n v="76.010000000000005"/>
    <n v="81.262433333333306"/>
    <n v="85.09"/>
    <n v="68.09"/>
    <n v="62.758478211909875"/>
    <n v="57.886553912385317"/>
    <n v="60.646253622453287"/>
    <n v="61.82815396088219"/>
    <s v="3. Vulnerable (&gt;=60 y &lt;70)"/>
    <s v="2. Riesgo (&gt;=40 y &lt;60)"/>
    <s v="3. Vulnerable (&gt;=60 y &lt;70)"/>
    <s v="3. Vulnerable (&gt;=60 y &lt;70)"/>
    <n v="77.613108333333329"/>
    <n v="60.779859926907669"/>
    <n v="69.196484130120496"/>
    <n v="57.215449283668228"/>
    <x v="2"/>
    <n v="42.784550716331772"/>
    <n v="0.81759069605862034"/>
    <n v="56.574401624754493"/>
    <n v="0.5370601174433044"/>
    <n v="2"/>
    <b v="0"/>
    <n v="-1"/>
    <n v="0.81759069605862023"/>
    <n v="56.574401624754486"/>
    <n v="0.50742165822564012"/>
    <n v="2"/>
    <b v="0"/>
    <n v="-1"/>
    <n v="57.215449283668228"/>
    <x v="3"/>
    <n v="42.784550716331772"/>
    <n v="0.80397277260026034"/>
    <n v="55.632089200282891"/>
    <n v="0.537409531128058"/>
    <n v="2"/>
    <b v="0"/>
    <n v="-1"/>
    <n v="8.5524592048173184E-2"/>
    <n v="5.918001076396445"/>
    <n v="0.35325743554341438"/>
    <n v="3"/>
  </r>
  <r>
    <n v="25154"/>
    <s v="25154"/>
    <s v="25"/>
    <s v="COLOMBIA"/>
    <s v="CUNDINAMARCA"/>
    <s v="CARMEN DE CARUPA"/>
    <x v="4"/>
    <n v="0"/>
    <n v="0"/>
    <n v="0"/>
    <n v="73.91"/>
    <n v="76.153300000000002"/>
    <n v="72.83"/>
    <n v="65.819999999999993"/>
    <n v="63.166084996640819"/>
    <n v="67.15295661003789"/>
    <n v="51.840849262188684"/>
    <n v="60.466042092178455"/>
    <s v="3. Vulnerable (&gt;=60 y &lt;70)"/>
    <s v="3. Vulnerable (&gt;=60 y &lt;70)"/>
    <s v="2. Riesgo (&gt;=40 y &lt;60)"/>
    <s v="3. Vulnerable (&gt;=60 y &lt;70)"/>
    <n v="72.178325000000001"/>
    <n v="60.656483240261451"/>
    <n v="66.417404120130726"/>
    <n v="57.552203255843551"/>
    <x v="2"/>
    <n v="42.447796744156449"/>
    <n v="0.81759069605862034"/>
    <n v="54.302251664984361"/>
    <n v="0.50863791651839485"/>
    <n v="2"/>
    <b v="1"/>
    <n v="0"/>
    <n v="0.81759069605862023"/>
    <n v="54.302251664984354"/>
    <n v="0.4805679786182312"/>
    <n v="2"/>
    <b v="1"/>
    <n v="0"/>
    <n v="57.552203255843551"/>
    <x v="3"/>
    <n v="42.447796744156449"/>
    <n v="0.80397277260026034"/>
    <n v="53.397784539373454"/>
    <n v="0.50887046308289996"/>
    <n v="2"/>
    <b v="1"/>
    <n v="0"/>
    <n v="8.4851434433831266E-2"/>
    <n v="5.6356120109645467"/>
    <n v="0.33640106194830904"/>
    <n v="3"/>
  </r>
  <r>
    <n v="15572"/>
    <s v="15572"/>
    <s v="15"/>
    <s v="COLOMBIA"/>
    <s v="BOYACÁ"/>
    <s v="PUERTO BOYACÁ"/>
    <x v="4"/>
    <n v="0"/>
    <n v="0"/>
    <n v="0"/>
    <n v="59.9"/>
    <n v="63.215899999999998"/>
    <n v="61.62"/>
    <n v="62.17"/>
    <n v="53.085238663608159"/>
    <n v="55.418036364583315"/>
    <n v="66.106335520131523"/>
    <n v="53.214852750221119"/>
    <s v="2. Riesgo (&gt;=40 y &lt;60)"/>
    <s v="2. Riesgo (&gt;=40 y &lt;60)"/>
    <s v="3. Vulnerable (&gt;=60 y &lt;70)"/>
    <s v="2. Riesgo (&gt;=40 y &lt;60)"/>
    <n v="61.726474999999994"/>
    <n v="56.956115824636029"/>
    <n v="59.341295412318011"/>
    <n v="57.228170006774178"/>
    <x v="2"/>
    <n v="42.771829993225822"/>
    <n v="0.81759069605862034"/>
    <n v="48.516891021177294"/>
    <n v="0.43626915320931131"/>
    <n v="3"/>
    <b v="0"/>
    <n v="1"/>
    <n v="0.81759069605862023"/>
    <n v="48.516891021177287"/>
    <n v="0.41219299285900546"/>
    <n v="3"/>
    <b v="0"/>
    <n v="1"/>
    <n v="57.228170006774178"/>
    <x v="3"/>
    <n v="42.771829993225822"/>
    <n v="0.80397277260026034"/>
    <n v="47.708785802332422"/>
    <n v="0.4362041320736158"/>
    <n v="3"/>
    <b v="0"/>
    <n v="1"/>
    <n v="8.5499163835512787E-2"/>
    <n v="5.0736311386693407"/>
    <n v="0.30285528877106938"/>
    <n v="3"/>
  </r>
  <r>
    <n v="68686"/>
    <s v="68686"/>
    <s v="68"/>
    <s v="COLOMBIA"/>
    <s v="SANTANDER"/>
    <s v="SAN MIGUEL"/>
    <x v="5"/>
    <n v="0"/>
    <n v="0"/>
    <n v="0"/>
    <n v="61"/>
    <n v="61.625300000000003"/>
    <n v="44"/>
    <n v="40.58"/>
    <n v="51.567353261339804"/>
    <n v="45.908280914542416"/>
    <n v="45.068213911796661"/>
    <n v="53.161505808047124"/>
    <s v="2. Riesgo (&gt;=40 y &lt;60)"/>
    <s v="2. Riesgo (&gt;=40 y &lt;60)"/>
    <s v="2. Riesgo (&gt;=40 y &lt;60)"/>
    <s v="2. Riesgo (&gt;=40 y &lt;60)"/>
    <n v="51.801325000000006"/>
    <n v="48.926338473931509"/>
    <n v="50.363831736965757"/>
    <n v="57.28328695976478"/>
    <x v="2"/>
    <n v="42.71671304023522"/>
    <n v="0.81759069605862034"/>
    <n v="41.177000246005065"/>
    <n v="0.34445485658606373"/>
    <n v="4"/>
    <b v="0"/>
    <n v="1"/>
    <n v="0.81759069605862023"/>
    <n v="41.177000246005065"/>
    <n v="0.32544560438567083"/>
    <n v="4"/>
    <b v="0"/>
    <n v="1"/>
    <n v="57.28328695976478"/>
    <x v="3"/>
    <n v="42.71671304023522"/>
    <n v="0.80397277260026034"/>
    <n v="40.491149440341346"/>
    <n v="0.34401231111745895"/>
    <n v="4"/>
    <b v="0"/>
    <n v="1"/>
    <n v="8.5388987268491826E-2"/>
    <n v="4.3005165869802333"/>
    <n v="0.25670651989026172"/>
    <n v="4"/>
  </r>
  <r>
    <n v="73675"/>
    <s v="73675"/>
    <s v="73"/>
    <s v="COLOMBIA"/>
    <s v="TOLIMA"/>
    <s v="SAN ANTONIO"/>
    <x v="5"/>
    <n v="0"/>
    <n v="0"/>
    <n v="0"/>
    <n v="62.14"/>
    <n v="63.446300000000001"/>
    <n v="53.34"/>
    <n v="46.32"/>
    <n v="57.700912232030539"/>
    <n v="53.127169157612457"/>
    <n v="63.010127101923146"/>
    <n v="51.873221821737545"/>
    <s v="2. Riesgo (&gt;=40 y &lt;60)"/>
    <s v="2. Riesgo (&gt;=40 y &lt;60)"/>
    <s v="3. Vulnerable (&gt;=60 y &lt;70)"/>
    <s v="2. Riesgo (&gt;=40 y &lt;60)"/>
    <n v="56.311574999999998"/>
    <n v="56.427857578325927"/>
    <n v="56.369716289162966"/>
    <n v="57.315741628279461"/>
    <x v="2"/>
    <n v="42.684258371720539"/>
    <n v="0.81759069605862034"/>
    <n v="46.087355577483699"/>
    <n v="0.4058782257804569"/>
    <n v="3"/>
    <b v="1"/>
    <n v="0"/>
    <n v="0.81759069605862023"/>
    <n v="46.087355577483692"/>
    <n v="0.38347923384003985"/>
    <n v="3"/>
    <b v="1"/>
    <n v="0"/>
    <n v="57.315741628279461"/>
    <x v="3"/>
    <n v="42.684258371720539"/>
    <n v="0.80397277260026034"/>
    <n v="45.319717095688411"/>
    <n v="0.40568824246538365"/>
    <n v="3"/>
    <b v="1"/>
    <n v="0"/>
    <n v="8.5324111694521684E-2"/>
    <n v="4.8096959688450394"/>
    <n v="0.28710046547208112"/>
    <n v="4"/>
  </r>
  <r>
    <n v="20621"/>
    <s v="20621"/>
    <s v="20"/>
    <s v="COLOMBIA"/>
    <s v="CESAR"/>
    <s v="LA PAZ"/>
    <x v="5"/>
    <n v="0"/>
    <n v="0"/>
    <n v="1"/>
    <n v="55.36"/>
    <n v="61.4497"/>
    <n v="48.38"/>
    <n v="38.99"/>
    <n v="52.128382377837973"/>
    <n v="54.485212163031612"/>
    <n v="61.962615324925991"/>
    <n v="69.204339499854726"/>
    <s v="2. Riesgo (&gt;=40 y &lt;60)"/>
    <s v="2. Riesgo (&gt;=40 y &lt;60)"/>
    <s v="3. Vulnerable (&gt;=60 y &lt;70)"/>
    <s v="3. Vulnerable (&gt;=60 y &lt;70)"/>
    <n v="51.044924999999999"/>
    <n v="59.445137341412575"/>
    <n v="55.245031170706284"/>
    <n v="57.191689263010716"/>
    <x v="2"/>
    <n v="42.808310736989284"/>
    <n v="0.81759069605862034"/>
    <n v="45.167823488637929"/>
    <n v="0.39437584862718122"/>
    <n v="3"/>
    <b v="1"/>
    <n v="0"/>
    <n v="0.81759069605862023"/>
    <n v="45.167823488637922"/>
    <n v="0.37261163243177103"/>
    <n v="3"/>
    <b v="1"/>
    <n v="0"/>
    <n v="57.191689263010716"/>
    <x v="3"/>
    <n v="42.808310736989284"/>
    <n v="0.80397277260026034"/>
    <n v="44.415500882700535"/>
    <n v="0.39413856954857907"/>
    <n v="3"/>
    <b v="1"/>
    <n v="0"/>
    <n v="8.5572087371596425E-2"/>
    <n v="4.727432634186246"/>
    <n v="0.28219000089702057"/>
    <n v="4"/>
  </r>
  <r>
    <n v="23079"/>
    <s v="23079"/>
    <s v="23"/>
    <s v="COLOMBIA"/>
    <s v="CÓRDOBA"/>
    <s v="BUENAVISTA"/>
    <x v="5"/>
    <n v="0"/>
    <n v="0"/>
    <n v="0"/>
    <n v="47.95"/>
    <n v="50.932233333333301"/>
    <n v="38.630000000000003"/>
    <n v="45.64"/>
    <n v="68.787433901687052"/>
    <n v="68.961386218504842"/>
    <n v="55.137045903057647"/>
    <n v="58.121314068904397"/>
    <s v="3. Vulnerable (&gt;=60 y &lt;70)"/>
    <s v="3. Vulnerable (&gt;=60 y &lt;70)"/>
    <s v="2. Riesgo (&gt;=40 y &lt;60)"/>
    <s v="2. Riesgo (&gt;=40 y &lt;60)"/>
    <n v="45.788058333333325"/>
    <n v="62.751795023038483"/>
    <n v="54.269926678185904"/>
    <n v="57.324757172198126"/>
    <x v="2"/>
    <n v="42.675242827801874"/>
    <n v="0.81759069605862034"/>
    <n v="44.370587127868305"/>
    <n v="0.38440326212028963"/>
    <n v="3"/>
    <b v="1"/>
    <n v="0"/>
    <n v="0.81759069605862023"/>
    <n v="44.370587127868298"/>
    <n v="0.3631893979038836"/>
    <n v="3"/>
    <b v="1"/>
    <n v="0"/>
    <n v="57.324757172198126"/>
    <x v="3"/>
    <n v="42.675242827801874"/>
    <n v="0.80397277260026034"/>
    <n v="43.631543420273957"/>
    <n v="0.38412497750979474"/>
    <n v="3"/>
    <b v="1"/>
    <n v="0"/>
    <n v="8.5306089985684577E-2"/>
    <n v="4.6295552487258309"/>
    <n v="0.27634750209732545"/>
    <n v="4"/>
  </r>
  <r>
    <n v="5736"/>
    <s v="05736"/>
    <s v="50"/>
    <s v="COLOMBIA"/>
    <s v="ANTIOQUIA"/>
    <s v="SEGOVIA"/>
    <x v="5"/>
    <n v="0"/>
    <n v="0"/>
    <n v="1"/>
    <n v="60.7"/>
    <n v="65.394966666666704"/>
    <n v="63.34"/>
    <n v="44.51"/>
    <n v="45.573162025658306"/>
    <n v="51.238520071620329"/>
    <n v="59.584686586492211"/>
    <n v="72.646454917225384"/>
    <s v="2. Riesgo (&gt;=40 y &lt;60)"/>
    <s v="2. Riesgo (&gt;=40 y &lt;60)"/>
    <s v="2. Riesgo (&gt;=40 y &lt;60)"/>
    <s v="4. Solvente (&gt;=70 y &lt;80)"/>
    <n v="58.486241666666672"/>
    <n v="57.260705900249057"/>
    <n v="57.873473783457868"/>
    <n v="57.21658938703483"/>
    <x v="2"/>
    <n v="42.78341061296517"/>
    <n v="0.81759069605862034"/>
    <n v="47.316813713947631"/>
    <n v="0.42125745109658785"/>
    <n v="3"/>
    <b v="1"/>
    <n v="0"/>
    <n v="0.81759069605862023"/>
    <n v="47.316813713947624"/>
    <n v="0.39800973379465759"/>
    <n v="3"/>
    <b v="1"/>
    <n v="0"/>
    <n v="57.21658938703483"/>
    <x v="3"/>
    <n v="42.78341061296517"/>
    <n v="0.80397277260026034"/>
    <n v="46.528697177695101"/>
    <n v="0.42113070446677681"/>
    <n v="3"/>
    <b v="1"/>
    <n v="0"/>
    <n v="8.5522313027505945E-2"/>
    <n v="4.9494733408980425"/>
    <n v="0.29544405908773286"/>
    <n v="3"/>
  </r>
  <r>
    <n v="66572"/>
    <s v="66572"/>
    <s v="66"/>
    <s v="COLOMBIA"/>
    <s v="RISARALDA"/>
    <s v="PUEBLO RICO"/>
    <x v="5"/>
    <n v="0"/>
    <n v="0"/>
    <n v="0"/>
    <n v="43.53"/>
    <n v="52.316699999999997"/>
    <n v="66.48"/>
    <n v="38.21"/>
    <n v="50.822680179884841"/>
    <n v="56.862845268602285"/>
    <n v="60.163112512037827"/>
    <n v="60.141180562003157"/>
    <s v="2. Riesgo (&gt;=40 y &lt;60)"/>
    <s v="2. Riesgo (&gt;=40 y &lt;60)"/>
    <s v="3. Vulnerable (&gt;=60 y &lt;70)"/>
    <s v="3. Vulnerable (&gt;=60 y &lt;70)"/>
    <n v="50.134175000000006"/>
    <n v="56.997454630632035"/>
    <n v="53.565814815316017"/>
    <n v="57.395880747729855"/>
    <x v="2"/>
    <n v="42.604119252270145"/>
    <n v="0.81759069605862034"/>
    <n v="43.794911819801378"/>
    <n v="0.37720217083534524"/>
    <n v="3"/>
    <b v="1"/>
    <n v="0"/>
    <n v="0.81759069605862023"/>
    <n v="43.794911819801371"/>
    <n v="0.35638570952308257"/>
    <n v="3"/>
    <b v="1"/>
    <n v="0"/>
    <n v="57.395880747729855"/>
    <x v="3"/>
    <n v="42.604119252270145"/>
    <n v="0.80397277260026034"/>
    <n v="43.06545665366172"/>
    <n v="0.3768942765966819"/>
    <n v="3"/>
    <b v="1"/>
    <n v="0"/>
    <n v="8.5163916825501396E-2"/>
    <n v="4.5618745976217836"/>
    <n v="0.27230750735310644"/>
    <n v="4"/>
  </r>
  <r>
    <n v="41013"/>
    <s v="41013"/>
    <s v="41"/>
    <s v="COLOMBIA"/>
    <s v="HUILA"/>
    <s v="AGRADO"/>
    <x v="5"/>
    <n v="0"/>
    <n v="0"/>
    <n v="0"/>
    <n v="51.78"/>
    <n v="56.074266666666702"/>
    <n v="63.95"/>
    <n v="65.27"/>
    <n v="63.590220808676349"/>
    <n v="51.488163909129675"/>
    <n v="64.391592841081732"/>
    <n v="66.498871558832974"/>
    <s v="3. Vulnerable (&gt;=60 y &lt;70)"/>
    <s v="2. Riesgo (&gt;=40 y &lt;60)"/>
    <s v="3. Vulnerable (&gt;=60 y &lt;70)"/>
    <s v="3. Vulnerable (&gt;=60 y &lt;70)"/>
    <n v="59.268566666666672"/>
    <n v="61.492212279430184"/>
    <n v="60.380389473048425"/>
    <n v="57.41945480272291"/>
    <x v="2"/>
    <n v="42.58054519727709"/>
    <n v="0.81759069605862034"/>
    <n v="49.366444657560251"/>
    <n v="0.44689617368651907"/>
    <n v="3"/>
    <b v="1"/>
    <n v="0"/>
    <n v="0.81759069605862023"/>
    <n v="49.366444657560244"/>
    <n v="0.42223354544781661"/>
    <n v="3"/>
    <b v="1"/>
    <n v="0"/>
    <n v="57.41945480272291"/>
    <x v="3"/>
    <n v="42.58054519727709"/>
    <n v="0.80397277260026034"/>
    <n v="48.544189135330313"/>
    <n v="0.44687484900076674"/>
    <n v="3"/>
    <b v="1"/>
    <n v="0"/>
    <n v="8.5116793239944311E-2"/>
    <n v="5.1393851265247728"/>
    <n v="0.3067802770951179"/>
    <n v="3"/>
  </r>
  <r>
    <n v="15097"/>
    <s v="15097"/>
    <s v="15"/>
    <s v="COLOMBIA"/>
    <s v="BOYACÁ"/>
    <s v="BOAVITA"/>
    <x v="5"/>
    <n v="0"/>
    <n v="0"/>
    <n v="0"/>
    <n v="79.03"/>
    <n v="84.8596"/>
    <n v="81.09"/>
    <n v="81.569999999999993"/>
    <n v="56.862986372035806"/>
    <n v="58.690001417951279"/>
    <n v="61.557775743672892"/>
    <n v="58.102631602521114"/>
    <s v="2. Riesgo (&gt;=40 y &lt;60)"/>
    <s v="2. Riesgo (&gt;=40 y &lt;60)"/>
    <s v="3. Vulnerable (&gt;=60 y &lt;70)"/>
    <s v="2. Riesgo (&gt;=40 y &lt;60)"/>
    <n v="81.6374"/>
    <n v="58.803348784045269"/>
    <n v="70.220374392022634"/>
    <n v="57.388738075046462"/>
    <x v="2"/>
    <n v="42.611261924953538"/>
    <n v="0.81759069605862034"/>
    <n v="57.411524776670703"/>
    <n v="0.54753164566279877"/>
    <n v="2"/>
    <b v="0"/>
    <n v="-1"/>
    <n v="0.81759069605862023"/>
    <n v="57.411524776670696"/>
    <n v="0.51731529962762601"/>
    <n v="2"/>
    <b v="0"/>
    <n v="-1"/>
    <n v="57.388738075046462"/>
    <x v="3"/>
    <n v="42.611261924953538"/>
    <n v="0.80397277260026034"/>
    <n v="56.455269092982761"/>
    <n v="0.54792411644052164"/>
    <n v="2"/>
    <b v="0"/>
    <n v="-1"/>
    <n v="8.5178194740242894E-2"/>
    <n v="5.9812447246964693"/>
    <n v="0.35703257662981652"/>
    <n v="3"/>
  </r>
  <r>
    <n v="54480"/>
    <s v="54480"/>
    <s v="54"/>
    <s v="COLOMBIA"/>
    <s v="NORTE DE SANTANDER"/>
    <s v="MUTISCUA"/>
    <x v="6"/>
    <n v="0"/>
    <n v="0"/>
    <n v="0"/>
    <n v="43.14"/>
    <n v="46.9241666666667"/>
    <n v="63.31"/>
    <n v="50.37"/>
    <n v="42.67631341684212"/>
    <n v="46.725765381871867"/>
    <n v="48.422314275041501"/>
    <n v="53.232982593462893"/>
    <s v="2. Riesgo (&gt;=40 y &lt;60)"/>
    <s v="2. Riesgo (&gt;=40 y &lt;60)"/>
    <s v="2. Riesgo (&gt;=40 y &lt;60)"/>
    <s v="2. Riesgo (&gt;=40 y &lt;60)"/>
    <n v="50.936041666666675"/>
    <n v="47.764343916804592"/>
    <n v="49.350192791735637"/>
    <n v="57.298858514256942"/>
    <x v="2"/>
    <n v="42.701141485743058"/>
    <n v="0.81759069605862034"/>
    <n v="40.348258475222245"/>
    <n v="0.33408817060973955"/>
    <n v="4"/>
    <b v="1"/>
    <n v="0"/>
    <n v="0.81759069605862023"/>
    <n v="40.348258475222245"/>
    <n v="0.3156510193521504"/>
    <n v="4"/>
    <b v="1"/>
    <n v="0"/>
    <n v="57.298858514256942"/>
    <x v="3"/>
    <n v="42.701141485743058"/>
    <n v="0.80397277260026034"/>
    <n v="39.676211327129081"/>
    <n v="0.33360299914113661"/>
    <n v="4"/>
    <b v="1"/>
    <n v="0"/>
    <n v="8.5357860358819981E-2"/>
    <n v="4.2124268649978145"/>
    <n v="0.25144826648957291"/>
    <n v="4"/>
  </r>
  <r>
    <n v="5250"/>
    <s v="05250"/>
    <s v="50"/>
    <s v="COLOMBIA"/>
    <s v="ANTIOQUIA"/>
    <s v="EL BAGRE"/>
    <x v="5"/>
    <n v="0"/>
    <n v="0"/>
    <n v="1"/>
    <n v="67.27"/>
    <n v="68.685500000000005"/>
    <n v="57.24"/>
    <n v="66.44"/>
    <n v="63.055336757252405"/>
    <n v="61.289372264448929"/>
    <n v="63.203148349708428"/>
    <n v="63.633900249015554"/>
    <s v="3. Vulnerable (&gt;=60 y &lt;70)"/>
    <s v="3. Vulnerable (&gt;=60 y &lt;70)"/>
    <s v="3. Vulnerable (&gt;=60 y &lt;70)"/>
    <s v="3. Vulnerable (&gt;=60 y &lt;70)"/>
    <n v="64.908874999999995"/>
    <n v="62.795439405106322"/>
    <n v="63.852157202553158"/>
    <n v="57.405563399475234"/>
    <x v="2"/>
    <n v="42.594436600524766"/>
    <n v="0.81759069605862034"/>
    <n v="52.204929652079883"/>
    <n v="0.48240262892274804"/>
    <n v="2"/>
    <b v="0"/>
    <n v="-1"/>
    <n v="0.81759069605862023"/>
    <n v="52.204929652079876"/>
    <n v="0.45578052428409882"/>
    <n v="3"/>
    <b v="1"/>
    <n v="0"/>
    <n v="57.405563399475234"/>
    <x v="3"/>
    <n v="42.594436600524766"/>
    <n v="0.80397277260026034"/>
    <n v="51.335395862644347"/>
    <n v="0.48252730057220738"/>
    <n v="2"/>
    <b v="0"/>
    <n v="-1"/>
    <n v="8.5144561595012741E-2"/>
    <n v="5.4366639319072236"/>
    <n v="0.32452544933742511"/>
    <n v="3"/>
  </r>
  <r>
    <n v="68669"/>
    <s v="68669"/>
    <s v="68"/>
    <s v="COLOMBIA"/>
    <s v="SANTANDER"/>
    <s v="SAN ANDRÉS"/>
    <x v="5"/>
    <n v="0"/>
    <n v="0"/>
    <n v="0"/>
    <n v="67.36"/>
    <n v="70.181899999999999"/>
    <n v="71.02"/>
    <n v="66.8"/>
    <n v="52.657629936178935"/>
    <n v="55.584279374522325"/>
    <n v="43.318635957916356"/>
    <n v="51.251645868565674"/>
    <s v="2. Riesgo (&gt;=40 y &lt;60)"/>
    <s v="2. Riesgo (&gt;=40 y &lt;60)"/>
    <s v="2. Riesgo (&gt;=40 y &lt;60)"/>
    <s v="2. Riesgo (&gt;=40 y &lt;60)"/>
    <n v="68.840474999999998"/>
    <n v="50.703047784295819"/>
    <n v="59.771761392147909"/>
    <n v="57.400997451177268"/>
    <x v="2"/>
    <n v="42.599002548822732"/>
    <n v="0.81759069605862034"/>
    <n v="48.868836001255978"/>
    <n v="0.44067161392511794"/>
    <n v="3"/>
    <b v="1"/>
    <n v="0"/>
    <n v="0.81759069605862023"/>
    <n v="48.868836001255971"/>
    <n v="0.41635249724991508"/>
    <n v="3"/>
    <b v="1"/>
    <n v="0"/>
    <n v="57.400997451177268"/>
    <x v="3"/>
    <n v="42.599002548822732"/>
    <n v="0.80397277260026034"/>
    <n v="48.054868729646351"/>
    <n v="0.44062469493806394"/>
    <n v="3"/>
    <b v="1"/>
    <n v="0"/>
    <n v="8.515368874158688E-2"/>
    <n v="5.0897859651233626"/>
    <n v="0.30381960298648208"/>
    <n v="3"/>
  </r>
  <r>
    <n v="19355"/>
    <s v="19355"/>
    <s v="19"/>
    <s v="COLOMBIA"/>
    <s v="CAUCA"/>
    <s v="INZÁ"/>
    <x v="5"/>
    <n v="0"/>
    <n v="0"/>
    <n v="0"/>
    <n v="55.24"/>
    <n v="56.5578"/>
    <n v="64.56"/>
    <n v="52.1"/>
    <n v="46.487602004859497"/>
    <n v="56.659280474008895"/>
    <n v="55.245812782832751"/>
    <n v="58.179424276965278"/>
    <s v="2. Riesgo (&gt;=40 y &lt;60)"/>
    <s v="2. Riesgo (&gt;=40 y &lt;60)"/>
    <s v="2. Riesgo (&gt;=40 y &lt;60)"/>
    <s v="2. Riesgo (&gt;=40 y &lt;60)"/>
    <n v="57.114449999999998"/>
    <n v="54.143029884666603"/>
    <n v="55.628739942333297"/>
    <n v="57.451151389645474"/>
    <x v="2"/>
    <n v="42.548848610354526"/>
    <n v="0.81759069605862034"/>
    <n v="45.481540210316254"/>
    <n v="0.39830011412678201"/>
    <n v="3"/>
    <b v="1"/>
    <n v="0"/>
    <n v="0.81759069605862023"/>
    <n v="45.481540210316247"/>
    <n v="0.3763193315188017"/>
    <n v="3"/>
    <b v="1"/>
    <n v="0"/>
    <n v="57.451151389645474"/>
    <x v="3"/>
    <n v="42.548848610354526"/>
    <n v="0.80397277260026034"/>
    <n v="44.723992287696547"/>
    <n v="0.39807897094171046"/>
    <n v="3"/>
    <b v="1"/>
    <n v="0"/>
    <n v="8.50534330405152E-2"/>
    <n v="4.7314153078134789"/>
    <n v="0.28242773472876553"/>
    <n v="4"/>
  </r>
  <r>
    <n v="47541"/>
    <s v="47541"/>
    <s v="47"/>
    <s v="COLOMBIA"/>
    <s v="MAGDALENA"/>
    <s v="PEDRAZA"/>
    <x v="6"/>
    <n v="0"/>
    <n v="0"/>
    <n v="0"/>
    <n v="40.83"/>
    <n v="42.741433333333298"/>
    <n v="17.16"/>
    <n v="7.55"/>
    <n v="54.093754257992018"/>
    <n v="36.696504069594987"/>
    <n v="31.610650389174097"/>
    <n v="40.033115645813361"/>
    <s v="2. Riesgo (&gt;=40 y &lt;60)"/>
    <s v="1. Deterioro (&lt;40)"/>
    <s v="1. Deterioro (&lt;40)"/>
    <s v="2. Riesgo (&gt;=40 y &lt;60)"/>
    <n v="27.070358333333321"/>
    <n v="40.608506090643615"/>
    <n v="33.839432211988466"/>
    <n v="57.510423510883832"/>
    <x v="2"/>
    <n v="42.489576489116168"/>
    <n v="0.81759069605862034"/>
    <n v="27.66680493642815"/>
    <n v="0.17545655435146448"/>
    <n v="5"/>
    <b v="0"/>
    <n v="1"/>
    <n v="0.81759069605862023"/>
    <n v="27.666804936428147"/>
    <n v="0.16577372413987879"/>
    <n v="5"/>
    <b v="0"/>
    <n v="1"/>
    <n v="57.510423510883832"/>
    <x v="3"/>
    <n v="42.489576489116168"/>
    <n v="0.80397277260026034"/>
    <n v="27.205982138690928"/>
    <n v="0.17431911741540423"/>
    <n v="5"/>
    <b v="0"/>
    <n v="1"/>
    <n v="8.4934950459680136E-2"/>
    <n v="2.8741504985089446"/>
    <n v="0.17156384754957421"/>
    <n v="5"/>
  </r>
  <r>
    <n v="15455"/>
    <s v="15455"/>
    <s v="15"/>
    <s v="COLOMBIA"/>
    <s v="BOYACÁ"/>
    <s v="MIRAFLORES"/>
    <x v="4"/>
    <n v="0"/>
    <n v="0"/>
    <n v="0"/>
    <n v="66.08"/>
    <n v="66.989699999999999"/>
    <n v="73.260000000000005"/>
    <n v="41.78"/>
    <n v="58.917886603619564"/>
    <n v="67.486588035119112"/>
    <n v="63.460385970319166"/>
    <n v="65.940284662646036"/>
    <s v="2. Riesgo (&gt;=40 y &lt;60)"/>
    <s v="3. Vulnerable (&gt;=60 y &lt;70)"/>
    <s v="3. Vulnerable (&gt;=60 y &lt;70)"/>
    <s v="3. Vulnerable (&gt;=60 y &lt;70)"/>
    <n v="62.027425000000001"/>
    <n v="63.95128631792597"/>
    <n v="62.989355658962985"/>
    <n v="57.636560316198725"/>
    <x v="2"/>
    <n v="42.363439683801275"/>
    <n v="0.81759069605862034"/>
    <n v="51.499511137495546"/>
    <n v="0.47357858688650162"/>
    <n v="3"/>
    <b v="0"/>
    <n v="1"/>
    <n v="0.81759069605862023"/>
    <n v="51.499511137495539"/>
    <n v="0.44744345009657532"/>
    <n v="3"/>
    <b v="0"/>
    <n v="1"/>
    <n v="57.636560316198725"/>
    <x v="3"/>
    <n v="42.363439683801275"/>
    <n v="0.80397277260026034"/>
    <n v="50.641726913440372"/>
    <n v="0.47366697561809501"/>
    <n v="3"/>
    <b v="0"/>
    <n v="1"/>
    <n v="8.4682808070986104E-2"/>
    <n v="5.3341155157830453"/>
    <n v="0.3184041272843503"/>
    <n v="3"/>
  </r>
  <r>
    <n v="68320"/>
    <s v="68320"/>
    <s v="68"/>
    <s v="COLOMBIA"/>
    <s v="SANTANDER"/>
    <s v="GUADALUPE"/>
    <x v="5"/>
    <n v="0"/>
    <n v="0"/>
    <n v="0"/>
    <n v="59.83"/>
    <n v="58.858333333333299"/>
    <n v="58.33"/>
    <n v="55.01"/>
    <n v="57.833606922957721"/>
    <n v="58.510518779041632"/>
    <n v="60.804872620889796"/>
    <n v="63.323092238448275"/>
    <s v="2. Riesgo (&gt;=40 y &lt;60)"/>
    <s v="2. Riesgo (&gt;=40 y &lt;60)"/>
    <s v="3. Vulnerable (&gt;=60 y &lt;70)"/>
    <s v="3. Vulnerable (&gt;=60 y &lt;70)"/>
    <n v="58.007083333333327"/>
    <n v="60.11802264033436"/>
    <n v="59.062552986833843"/>
    <n v="57.746361173031602"/>
    <x v="2"/>
    <n v="42.253638826968398"/>
    <n v="0.81759069605862034"/>
    <n v="48.288993807504625"/>
    <n v="0.43341839929257292"/>
    <n v="3"/>
    <b v="1"/>
    <n v="0"/>
    <n v="0.81759069605862023"/>
    <n v="48.288993807504617"/>
    <n v="0.40949956202576671"/>
    <n v="3"/>
    <b v="1"/>
    <n v="0"/>
    <n v="57.746361173031602"/>
    <x v="3"/>
    <n v="42.253638826968398"/>
    <n v="0.80397277260026034"/>
    <n v="47.484684481674591"/>
    <n v="0.43334165635525951"/>
    <n v="3"/>
    <b v="1"/>
    <n v="0"/>
    <n v="8.4463320584733589E-2"/>
    <n v="4.9886193474797613"/>
    <n v="0.29778076327522923"/>
    <n v="3"/>
  </r>
  <r>
    <n v="68167"/>
    <s v="68167"/>
    <s v="68"/>
    <s v="COLOMBIA"/>
    <s v="SANTANDER"/>
    <s v="CHARALÁ"/>
    <x v="5"/>
    <n v="0"/>
    <n v="0"/>
    <n v="0"/>
    <n v="57.55"/>
    <n v="61.517166666666697"/>
    <n v="78.25"/>
    <n v="82.14"/>
    <n v="62.187651279432984"/>
    <n v="60.20272074747654"/>
    <n v="58.304634487477735"/>
    <n v="53.406441338322956"/>
    <s v="3. Vulnerable (&gt;=60 y &lt;70)"/>
    <s v="3. Vulnerable (&gt;=60 y &lt;70)"/>
    <s v="2. Riesgo (&gt;=40 y &lt;60)"/>
    <s v="2. Riesgo (&gt;=40 y &lt;60)"/>
    <n v="69.864291666666674"/>
    <n v="58.525361963177552"/>
    <n v="64.194826814922109"/>
    <n v="57.390223078557746"/>
    <x v="2"/>
    <n v="42.609776921442254"/>
    <n v="0.81759069605862034"/>
    <n v="52.485093138974754"/>
    <n v="0.48590717882365109"/>
    <n v="2"/>
    <b v="0"/>
    <n v="-1"/>
    <n v="0.81759069605862023"/>
    <n v="52.485093138974747"/>
    <n v="0.45909167040032195"/>
    <n v="3"/>
    <b v="1"/>
    <n v="0"/>
    <n v="57.390223078557746"/>
    <x v="3"/>
    <n v="42.609776921442254"/>
    <n v="0.80397277260026034"/>
    <n v="51.610892900986471"/>
    <n v="0.48604626056949135"/>
    <n v="2"/>
    <b v="0"/>
    <n v="-1"/>
    <n v="8.5175226278090863E-2"/>
    <n v="5.4678088998438454"/>
    <n v="0.32638455537024663"/>
    <n v="3"/>
  </r>
  <r>
    <n v="47460"/>
    <s v="47460"/>
    <s v="47"/>
    <s v="COLOMBIA"/>
    <s v="MAGDALENA"/>
    <s v="NUEVA GRANADA"/>
    <x v="5"/>
    <n v="0"/>
    <n v="0"/>
    <n v="0"/>
    <n v="42.27"/>
    <n v="43.679366666666702"/>
    <n v="34.979999999999997"/>
    <n v="57.14"/>
    <n v="45.318319057727983"/>
    <n v="52.314538561870798"/>
    <n v="54.300302017662894"/>
    <n v="61.757508798939014"/>
    <s v="2. Riesgo (&gt;=40 y &lt;60)"/>
    <s v="2. Riesgo (&gt;=40 y &lt;60)"/>
    <s v="2. Riesgo (&gt;=40 y &lt;60)"/>
    <s v="3. Vulnerable (&gt;=60 y &lt;70)"/>
    <n v="44.517341666666681"/>
    <n v="53.422667109050167"/>
    <n v="48.970004387858424"/>
    <n v="57.567122745447207"/>
    <x v="2"/>
    <n v="42.432877254552793"/>
    <n v="0.81759069605862034"/>
    <n v="40.03741997346286"/>
    <n v="0.3301999086073949"/>
    <n v="4"/>
    <b v="0"/>
    <n v="1"/>
    <n v="0.81759069605862023"/>
    <n v="40.037419973462853"/>
    <n v="0.31197733685597473"/>
    <n v="4"/>
    <b v="0"/>
    <n v="1"/>
    <n v="57.567122745447207"/>
    <x v="3"/>
    <n v="42.432877254552793"/>
    <n v="0.80397277260026034"/>
    <n v="39.370550201953449"/>
    <n v="0.32969874928534643"/>
    <n v="4"/>
    <b v="0"/>
    <n v="1"/>
    <n v="8.4821610975583939E-2"/>
    <n v="4.1537146616595662"/>
    <n v="0.24794361650410815"/>
    <n v="4"/>
  </r>
  <r>
    <n v="15022"/>
    <s v="15022"/>
    <s v="15"/>
    <s v="COLOMBIA"/>
    <s v="BOYACÁ"/>
    <s v="ALMEIDA"/>
    <x v="5"/>
    <n v="0"/>
    <n v="0"/>
    <n v="0"/>
    <n v="57.73"/>
    <n v="59.381100000000004"/>
    <n v="54.04"/>
    <n v="23.45"/>
    <n v="50.762158903069086"/>
    <n v="59.095261996217452"/>
    <n v="48.210133188523997"/>
    <n v="42.383996595778981"/>
    <s v="2. Riesgo (&gt;=40 y &lt;60)"/>
    <s v="2. Riesgo (&gt;=40 y &lt;60)"/>
    <s v="2. Riesgo (&gt;=40 y &lt;60)"/>
    <s v="2. Riesgo (&gt;=40 y &lt;60)"/>
    <n v="48.650274999999993"/>
    <n v="50.112887670897379"/>
    <n v="49.381581335448686"/>
    <n v="57.584108673569567"/>
    <x v="2"/>
    <n v="42.415891326430433"/>
    <n v="0.81759069605862034"/>
    <n v="40.373921456524869"/>
    <n v="0.33440918745450321"/>
    <n v="4"/>
    <b v="0"/>
    <n v="1"/>
    <n v="0.81759069605862023"/>
    <n v="40.373921456524862"/>
    <n v="0.31595432040616228"/>
    <n v="4"/>
    <b v="0"/>
    <n v="1"/>
    <n v="57.584108673569567"/>
    <x v="3"/>
    <n v="42.415891326430433"/>
    <n v="0.80397277260026034"/>
    <n v="39.701446861645948"/>
    <n v="0.33392533595103235"/>
    <n v="4"/>
    <b v="0"/>
    <n v="1"/>
    <n v="8.4787656790044949E-2"/>
    <n v="4.1869485700197124"/>
    <n v="0.24992741560938625"/>
    <n v="4"/>
  </r>
  <r>
    <n v="68271"/>
    <s v="68271"/>
    <s v="68"/>
    <s v="COLOMBIA"/>
    <s v="SANTANDER"/>
    <s v="FLORIÁN"/>
    <x v="4"/>
    <n v="0"/>
    <n v="0"/>
    <n v="0"/>
    <n v="68.790000000000006"/>
    <n v="69.564966666666706"/>
    <n v="74.28"/>
    <n v="54.15"/>
    <n v="53.337148904161026"/>
    <n v="61.749826864565257"/>
    <n v="62.559035906239771"/>
    <n v="70.94253314025184"/>
    <s v="2. Riesgo (&gt;=40 y &lt;60)"/>
    <s v="3. Vulnerable (&gt;=60 y &lt;70)"/>
    <s v="3. Vulnerable (&gt;=60 y &lt;70)"/>
    <s v="4. Solvente (&gt;=70 y &lt;80)"/>
    <n v="66.69624166666668"/>
    <n v="62.147136203804479"/>
    <n v="64.421688935235579"/>
    <n v="57.721098593639141"/>
    <x v="2"/>
    <n v="42.278901406360859"/>
    <n v="0.81759069605862034"/>
    <n v="52.670573497831178"/>
    <n v="0.48822734259821765"/>
    <n v="2"/>
    <b v="1"/>
    <n v="0"/>
    <n v="0.81759069605862023"/>
    <n v="52.670573497831171"/>
    <n v="0.46128379249542412"/>
    <n v="3"/>
    <b v="0"/>
    <n v="1"/>
    <n v="57.721098593639141"/>
    <x v="3"/>
    <n v="42.278901406360859"/>
    <n v="0.80397277260026034"/>
    <n v="51.793283868852861"/>
    <n v="0.48837596445179104"/>
    <n v="2"/>
    <b v="1"/>
    <n v="0"/>
    <n v="8.4513819462493214E-2"/>
    <n v="5.4445229881413963"/>
    <n v="0.32499457227526107"/>
    <n v="3"/>
  </r>
  <r>
    <n v="41676"/>
    <s v="41676"/>
    <s v="41"/>
    <s v="COLOMBIA"/>
    <s v="HUILA"/>
    <s v="SANTA MARÍA"/>
    <x v="5"/>
    <n v="0"/>
    <n v="0"/>
    <n v="0"/>
    <n v="46.23"/>
    <n v="52.9003333333333"/>
    <n v="68.38"/>
    <n v="29.08"/>
    <n v="48.962056244490817"/>
    <n v="48.554919379832441"/>
    <n v="50.052834819109385"/>
    <n v="14.205305862344076"/>
    <s v="2. Riesgo (&gt;=40 y &lt;60)"/>
    <s v="2. Riesgo (&gt;=40 y &lt;60)"/>
    <s v="2. Riesgo (&gt;=40 y &lt;60)"/>
    <s v="1. Deterioro (&lt;40)"/>
    <n v="49.147583333333316"/>
    <n v="40.443779076444187"/>
    <n v="44.795681204888751"/>
    <n v="57.65471919459381"/>
    <x v="2"/>
    <n v="42.34528080540619"/>
    <n v="0.81759069605862034"/>
    <n v="36.624532176725047"/>
    <n v="0.28750827979304178"/>
    <n v="4"/>
    <b v="0"/>
    <n v="1"/>
    <n v="0.81759069605862023"/>
    <n v="36.624532176725047"/>
    <n v="0.27164170890344969"/>
    <n v="4"/>
    <b v="0"/>
    <n v="1"/>
    <n v="57.65471919459381"/>
    <x v="3"/>
    <n v="42.34528080540619"/>
    <n v="0.80397277260026034"/>
    <n v="36.014508018811782"/>
    <n v="0.28683157995844027"/>
    <n v="4"/>
    <b v="0"/>
    <n v="1"/>
    <n v="8.4646509205138748E-2"/>
    <n v="3.7917980414600767"/>
    <n v="0.22634008256050486"/>
    <n v="4"/>
  </r>
  <r>
    <n v="25299"/>
    <s v="25299"/>
    <s v="25"/>
    <s v="COLOMBIA"/>
    <s v="CUNDINAMARCA"/>
    <s v="GAMA"/>
    <x v="5"/>
    <n v="0"/>
    <n v="0"/>
    <n v="0"/>
    <n v="47.79"/>
    <n v="52.306966666666703"/>
    <n v="90.36"/>
    <n v="77.36"/>
    <n v="52.593233408706155"/>
    <n v="56.266962935755146"/>
    <n v="47.329559114005733"/>
    <n v="73.934168015114054"/>
    <s v="2. Riesgo (&gt;=40 y &lt;60)"/>
    <s v="2. Riesgo (&gt;=40 y &lt;60)"/>
    <s v="2. Riesgo (&gt;=40 y &lt;60)"/>
    <s v="4. Solvente (&gt;=70 y &lt;80)"/>
    <n v="66.954241666666675"/>
    <n v="57.530980868395275"/>
    <n v="62.242611267530975"/>
    <n v="57.816729732450966"/>
    <x v="2"/>
    <n v="42.183270267549034"/>
    <n v="0.81759069605862034"/>
    <n v="50.888979870726779"/>
    <n v="0.46594148429984095"/>
    <n v="3"/>
    <b v="1"/>
    <n v="0"/>
    <n v="0.81759069605862023"/>
    <n v="50.888979870726772"/>
    <n v="0.4402278123444911"/>
    <n v="3"/>
    <b v="1"/>
    <n v="0"/>
    <n v="57.816729732450966"/>
    <x v="3"/>
    <n v="42.183270267549034"/>
    <n v="0.80397277260026034"/>
    <n v="50.04136475463708"/>
    <n v="0.46599847060103478"/>
    <n v="3"/>
    <b v="1"/>
    <n v="0"/>
    <n v="8.4322656671320981E-2"/>
    <n v="5.2484623402385093"/>
    <n v="0.31329131626109902"/>
    <n v="3"/>
  </r>
  <r>
    <n v="19450"/>
    <s v="19450"/>
    <s v="19"/>
    <s v="COLOMBIA"/>
    <s v="CAUCA"/>
    <s v="MERCADERES"/>
    <x v="6"/>
    <n v="0"/>
    <n v="0"/>
    <n v="1"/>
    <n v="59.48"/>
    <n v="60.007833333333302"/>
    <n v="51.93"/>
    <n v="37.270000000000003"/>
    <n v="50.968101202708581"/>
    <n v="40.635697697031382"/>
    <n v="45.073468747355719"/>
    <n v="46.152220643033488"/>
    <s v="2. Riesgo (&gt;=40 y &lt;60)"/>
    <s v="2. Riesgo (&gt;=40 y &lt;60)"/>
    <s v="2. Riesgo (&gt;=40 y &lt;60)"/>
    <s v="2. Riesgo (&gt;=40 y &lt;60)"/>
    <n v="52.171958333333329"/>
    <n v="45.707372072532294"/>
    <n v="48.939665202932815"/>
    <n v="57.688805392285872"/>
    <x v="2"/>
    <n v="42.311194607714128"/>
    <n v="0.81759069605862034"/>
    <n v="40.012614938141681"/>
    <n v="0.32988962376249875"/>
    <n v="4"/>
    <b v="1"/>
    <n v="0"/>
    <n v="0.81759069605862023"/>
    <n v="40.012614938141674"/>
    <n v="0.31168417554049854"/>
    <n v="4"/>
    <b v="1"/>
    <n v="0"/>
    <n v="57.688805392285872"/>
    <x v="3"/>
    <n v="42.311194607714128"/>
    <n v="0.80397277260026034"/>
    <n v="39.346158323330378"/>
    <n v="0.32938718860342509"/>
    <n v="4"/>
    <b v="1"/>
    <n v="0"/>
    <n v="8.457837227011715E-2"/>
    <n v="4.1392372223085498"/>
    <n v="0.24707942891232598"/>
    <n v="4"/>
  </r>
  <r>
    <n v="13248"/>
    <s v="13248"/>
    <s v="13"/>
    <s v="COLOMBIA"/>
    <s v="BOLÍVAR"/>
    <s v="EL GUAMO"/>
    <x v="6"/>
    <n v="0"/>
    <n v="0"/>
    <n v="1"/>
    <n v="47.45"/>
    <n v="49.157400000000003"/>
    <n v="54.44"/>
    <n v="48.28"/>
    <n v="49.803607552475327"/>
    <n v="48.615229006019646"/>
    <n v="52.378346915562382"/>
    <n v="49.437093875317544"/>
    <s v="2. Riesgo (&gt;=40 y &lt;60)"/>
    <s v="2. Riesgo (&gt;=40 y &lt;60)"/>
    <s v="2. Riesgo (&gt;=40 y &lt;60)"/>
    <s v="2. Riesgo (&gt;=40 y &lt;60)"/>
    <n v="49.831850000000003"/>
    <n v="50.058569337343727"/>
    <n v="49.945209668671865"/>
    <n v="57.720574777879975"/>
    <x v="2"/>
    <n v="42.279425222120025"/>
    <n v="0.81759069605862034"/>
    <n v="40.834738737803164"/>
    <n v="0.34017352589609418"/>
    <n v="4"/>
    <b v="1"/>
    <n v="0"/>
    <n v="0.81759069605862023"/>
    <n v="40.834738737803157"/>
    <n v="0.32140054528044676"/>
    <n v="4"/>
    <b v="1"/>
    <n v="0"/>
    <n v="57.720574777879975"/>
    <x v="3"/>
    <n v="42.279425222120025"/>
    <n v="0.80397277260026034"/>
    <n v="40.154588695423449"/>
    <n v="0.33971337634433302"/>
    <n v="4"/>
    <b v="1"/>
    <n v="0"/>
    <n v="8.4514866549078471E-2"/>
    <n v="4.2211127299135462"/>
    <n v="0.25196674330733587"/>
    <n v="4"/>
  </r>
  <r>
    <n v="68121"/>
    <s v="68121"/>
    <s v="68"/>
    <s v="COLOMBIA"/>
    <s v="SANTANDER"/>
    <s v="CABRERA"/>
    <x v="5"/>
    <n v="0"/>
    <n v="0"/>
    <n v="0"/>
    <n v="61.33"/>
    <n v="62.6869333333333"/>
    <n v="56.19"/>
    <n v="57.67"/>
    <n v="59.069964268197786"/>
    <n v="46.242274514159703"/>
    <n v="53.45889421037068"/>
    <n v="64.181485501506117"/>
    <s v="2. Riesgo (&gt;=40 y &lt;60)"/>
    <s v="2. Riesgo (&gt;=40 y &lt;60)"/>
    <s v="2. Riesgo (&gt;=40 y &lt;60)"/>
    <s v="3. Vulnerable (&gt;=60 y &lt;70)"/>
    <n v="59.469233333333321"/>
    <n v="55.738154623558572"/>
    <n v="57.603693978445946"/>
    <n v="57.489290813678018"/>
    <x v="2"/>
    <n v="42.510709186321982"/>
    <n v="0.81759069605862034"/>
    <n v="47.096244255385379"/>
    <n v="0.41849835967209881"/>
    <n v="3"/>
    <b v="1"/>
    <n v="0"/>
    <n v="0.81759069605862023"/>
    <n v="47.096244255385372"/>
    <n v="0.39540290692306779"/>
    <n v="3"/>
    <b v="1"/>
    <n v="0"/>
    <n v="57.489290813678018"/>
    <x v="3"/>
    <n v="42.510709186321982"/>
    <n v="0.80397277260026034"/>
    <n v="46.311801559868108"/>
    <n v="0.41836026814080968"/>
    <n v="3"/>
    <b v="1"/>
    <n v="0"/>
    <n v="8.4977193869442399E-2"/>
    <n v="4.8950002708024325"/>
    <n v="0.29219245152637213"/>
    <n v="3"/>
  </r>
  <r>
    <n v="15763"/>
    <s v="15763"/>
    <s v="15"/>
    <s v="COLOMBIA"/>
    <s v="BOYACÁ"/>
    <s v="SOTAQUIRÁ"/>
    <x v="4"/>
    <n v="0"/>
    <n v="0"/>
    <n v="0"/>
    <n v="92.61"/>
    <n v="94.142366666666703"/>
    <n v="84.3"/>
    <n v="73.150000000000006"/>
    <n v="59.673583196319051"/>
    <n v="45.284036032693081"/>
    <n v="70.660750574101073"/>
    <n v="63.169690273382699"/>
    <s v="2. Riesgo (&gt;=40 y &lt;60)"/>
    <s v="2. Riesgo (&gt;=40 y &lt;60)"/>
    <s v="4. Solvente (&gt;=70 y &lt;80)"/>
    <s v="3. Vulnerable (&gt;=60 y &lt;70)"/>
    <n v="86.050591666666691"/>
    <n v="59.697015019123967"/>
    <n v="72.873803342895329"/>
    <n v="57.861950390827047"/>
    <x v="2"/>
    <n v="42.138049609172953"/>
    <n v="0.81759069605862034"/>
    <n v="59.580943599556804"/>
    <n v="0.57466878835411461"/>
    <n v="2"/>
    <b v="1"/>
    <n v="0"/>
    <n v="0.81759069605862023"/>
    <n v="59.580943599556797"/>
    <n v="0.54295483884622553"/>
    <n v="2"/>
    <b v="1"/>
    <n v="0"/>
    <n v="57.861950390827047"/>
    <x v="3"/>
    <n v="42.138049609172953"/>
    <n v="0.80397277260026034"/>
    <n v="58.588553723513677"/>
    <n v="0.57517284231733667"/>
    <n v="2"/>
    <b v="1"/>
    <n v="0"/>
    <n v="8.423226239827121E-2"/>
    <n v="6.1383253251387728"/>
    <n v="0.36640903489157411"/>
    <n v="3"/>
  </r>
  <r>
    <n v="25168"/>
    <s v="25168"/>
    <s v="25"/>
    <s v="COLOMBIA"/>
    <s v="CUNDINAMARCA"/>
    <s v="CHAGUANÍ"/>
    <x v="5"/>
    <n v="0"/>
    <n v="0"/>
    <n v="0"/>
    <n v="66.47"/>
    <n v="69.486033333333296"/>
    <n v="69.17"/>
    <n v="71.5"/>
    <n v="72.382324867115258"/>
    <n v="52.611358863282121"/>
    <n v="64.549467313742426"/>
    <n v="44.506194002502134"/>
    <s v="4. Solvente (&gt;=70 y &lt;80)"/>
    <s v="2. Riesgo (&gt;=40 y &lt;60)"/>
    <s v="3. Vulnerable (&gt;=60 y &lt;70)"/>
    <s v="2. Riesgo (&gt;=40 y &lt;60)"/>
    <n v="69.156508333333321"/>
    <n v="58.512336261660479"/>
    <n v="63.8344222974969"/>
    <n v="58.086111795216468"/>
    <x v="2"/>
    <n v="41.913888204783532"/>
    <n v="0.81759069605862034"/>
    <n v="52.190429758710408"/>
    <n v="0.48222125054102422"/>
    <n v="2"/>
    <b v="0"/>
    <n v="-1"/>
    <n v="0.81759069605862023"/>
    <n v="52.190429758710401"/>
    <n v="0.45560915553741416"/>
    <n v="3"/>
    <b v="1"/>
    <n v="0"/>
    <n v="58.086111795216468"/>
    <x v="3"/>
    <n v="41.913888204783532"/>
    <n v="0.80397277260026034"/>
    <n v="51.321137481854464"/>
    <n v="0.48234517639429397"/>
    <n v="2"/>
    <b v="0"/>
    <n v="-1"/>
    <n v="8.3784172787830763E-2"/>
    <n v="5.3483142675848372"/>
    <n v="0.3192516794535149"/>
    <n v="3"/>
  </r>
  <r>
    <n v="15531"/>
    <s v="15531"/>
    <s v="15"/>
    <s v="COLOMBIA"/>
    <s v="BOYACÁ"/>
    <s v="PAUNA"/>
    <x v="5"/>
    <n v="0"/>
    <n v="0"/>
    <n v="0"/>
    <n v="72.84"/>
    <n v="74.137266666666704"/>
    <n v="73.900000000000006"/>
    <n v="52.1"/>
    <n v="53.862167434661743"/>
    <n v="42.020142336787877"/>
    <n v="47.167018430292273"/>
    <n v="52.081172489240217"/>
    <s v="2. Riesgo (&gt;=40 y &lt;60)"/>
    <s v="2. Riesgo (&gt;=40 y &lt;60)"/>
    <s v="2. Riesgo (&gt;=40 y &lt;60)"/>
    <s v="2. Riesgo (&gt;=40 y &lt;60)"/>
    <n v="68.244316666666677"/>
    <n v="48.782625172745526"/>
    <n v="58.513470919706101"/>
    <n v="58.173390542140154"/>
    <x v="2"/>
    <n v="41.826609457859846"/>
    <n v="0.81759069605862034"/>
    <n v="47.840069418048351"/>
    <n v="0.42780282839138589"/>
    <n v="3"/>
    <b v="1"/>
    <n v="0"/>
    <n v="0.81759069605862023"/>
    <n v="47.840069418048344"/>
    <n v="0.40419389473449774"/>
    <n v="3"/>
    <b v="1"/>
    <n v="0"/>
    <n v="58.173390542140154"/>
    <x v="3"/>
    <n v="41.826609457859846"/>
    <n v="0.80397277260026034"/>
    <n v="47.043237449780818"/>
    <n v="0.42770299520847505"/>
    <n v="3"/>
    <b v="1"/>
    <n v="0"/>
    <n v="8.3609706091321206E-2"/>
    <n v="4.8922941059796976"/>
    <n v="0.29203091508305346"/>
    <n v="3"/>
  </r>
  <r>
    <n v="68895"/>
    <s v="68895"/>
    <s v="68"/>
    <s v="COLOMBIA"/>
    <s v="SANTANDER"/>
    <s v="ZAPATOCA"/>
    <x v="5"/>
    <n v="0"/>
    <n v="0"/>
    <n v="0"/>
    <n v="58.55"/>
    <n v="60.0788333333333"/>
    <n v="50.96"/>
    <n v="64.19"/>
    <n v="53.06575252497484"/>
    <n v="50.350319050364547"/>
    <n v="50.874178460500673"/>
    <n v="51.931700100191129"/>
    <s v="2. Riesgo (&gt;=40 y &lt;60)"/>
    <s v="2. Riesgo (&gt;=40 y &lt;60)"/>
    <s v="2. Riesgo (&gt;=40 y &lt;60)"/>
    <s v="2. Riesgo (&gt;=40 y &lt;60)"/>
    <n v="58.444708333333324"/>
    <n v="51.555487534007803"/>
    <n v="55.00009793367056"/>
    <n v="57.919013326993316"/>
    <x v="2"/>
    <n v="42.080986673006684"/>
    <n v="0.81759069605862034"/>
    <n v="44.967568352881997"/>
    <n v="0.39187086796768467"/>
    <n v="3"/>
    <b v="1"/>
    <n v="0"/>
    <n v="0.81759069605862023"/>
    <n v="44.96756835288199"/>
    <n v="0.37024489284567791"/>
    <n v="3"/>
    <b v="1"/>
    <n v="0"/>
    <n v="57.919013326993316"/>
    <x v="3"/>
    <n v="42.080986673006684"/>
    <n v="0.80397277260026034"/>
    <n v="44.218581229018973"/>
    <n v="0.39162328884663594"/>
    <n v="3"/>
    <b v="1"/>
    <n v="0"/>
    <n v="8.4118195889333239E-2"/>
    <n v="4.6265090119170127"/>
    <n v="0.27616566607038839"/>
    <n v="4"/>
  </r>
  <r>
    <n v="13030"/>
    <s v="13030"/>
    <s v="13"/>
    <s v="COLOMBIA"/>
    <s v="BOLÍVAR"/>
    <s v="ALTOS DEL ROSARIO"/>
    <x v="6"/>
    <n v="0"/>
    <n v="0"/>
    <n v="0"/>
    <n v="87.24"/>
    <n v="82.711233333333297"/>
    <s v="N.D."/>
    <n v="81.14"/>
    <n v="43.995546854666038"/>
    <n v="35.92481694594769"/>
    <n v="43.30154947155161"/>
    <n v="62.730094701870911"/>
    <s v="2. Riesgo (&gt;=40 y &lt;60)"/>
    <s v="1. Deterioro (&lt;40)"/>
    <s v="2. Riesgo (&gt;=40 y &lt;60)"/>
    <s v="3. Vulnerable (&gt;=60 y &lt;70)"/>
    <n v="83.69707777777775"/>
    <n v="46.488001993509059"/>
    <n v="65.092539885643404"/>
    <n v="58.037625229575887"/>
    <x v="2"/>
    <n v="41.962374770424113"/>
    <n v="0.81759069605862034"/>
    <n v="53.219054993326701"/>
    <n v="0.49508826795287414"/>
    <n v="2"/>
    <b v="0"/>
    <n v="-2"/>
    <n v="0.81759069605862023"/>
    <n v="53.219054993326694"/>
    <n v="0.46776608750737808"/>
    <n v="2"/>
    <b v="0"/>
    <n v="-2"/>
    <n v="58.037625229575887"/>
    <x v="3"/>
    <n v="41.962374770424113"/>
    <n v="0.80397277260026034"/>
    <n v="52.33262976745376"/>
    <n v="0.4952651007317927"/>
    <n v="2"/>
    <b v="0"/>
    <n v="-2"/>
    <n v="8.388109547783916E-2"/>
    <n v="5.4600335530427078"/>
    <n v="0.32592042921751824"/>
    <n v="3"/>
  </r>
  <r>
    <n v="47707"/>
    <s v="47707"/>
    <s v="47"/>
    <s v="COLOMBIA"/>
    <s v="MAGDALENA"/>
    <s v="SANTA ANA"/>
    <x v="6"/>
    <n v="0"/>
    <n v="0"/>
    <n v="0"/>
    <n v="54.68"/>
    <n v="55.714633333333303"/>
    <n v="56.9"/>
    <n v="51.97"/>
    <n v="45.479869276810227"/>
    <n v="51.112974488972995"/>
    <n v="56.241381260184703"/>
    <n v="58.803693489817519"/>
    <s v="2. Riesgo (&gt;=40 y &lt;60)"/>
    <s v="2. Riesgo (&gt;=40 y &lt;60)"/>
    <s v="2. Riesgo (&gt;=40 y &lt;60)"/>
    <s v="2. Riesgo (&gt;=40 y &lt;60)"/>
    <n v="54.816158333333327"/>
    <n v="52.909479628946357"/>
    <n v="53.862818981139839"/>
    <n v="58.0248842840587"/>
    <x v="2"/>
    <n v="41.9751157159413"/>
    <n v="0.81759069605862034"/>
    <n v="44.03773966246959"/>
    <n v="0.38023969118245143"/>
    <n v="3"/>
    <b v="0"/>
    <n v="-1"/>
    <n v="0.81759069605862023"/>
    <n v="44.037739662469583"/>
    <n v="0.3592555998041933"/>
    <n v="3"/>
    <b v="0"/>
    <n v="-1"/>
    <n v="58.0248842840587"/>
    <x v="3"/>
    <n v="41.9751157159413"/>
    <n v="0.80397277260026034"/>
    <n v="43.304239916332925"/>
    <n v="0.37994428669630931"/>
    <n v="3"/>
    <b v="0"/>
    <n v="-1"/>
    <n v="8.3906564114284349E-2"/>
    <n v="4.5194440742171018"/>
    <n v="0.26977474372342664"/>
    <n v="4"/>
  </r>
  <r>
    <n v="5890"/>
    <s v="05890"/>
    <s v="50"/>
    <s v="COLOMBIA"/>
    <s v="ANTIOQUIA"/>
    <s v="YOLOMBÓ"/>
    <x v="5"/>
    <n v="0"/>
    <n v="0"/>
    <n v="0"/>
    <n v="62.49"/>
    <n v="62.844433333333299"/>
    <n v="55.15"/>
    <n v="56.41"/>
    <n v="59.990391455819129"/>
    <n v="62.043213529093045"/>
    <n v="59.52485636885207"/>
    <n v="71.035469066963202"/>
    <s v="2. Riesgo (&gt;=40 y &lt;60)"/>
    <s v="3. Vulnerable (&gt;=60 y &lt;70)"/>
    <s v="2. Riesgo (&gt;=40 y &lt;60)"/>
    <s v="4. Solvente (&gt;=70 y &lt;80)"/>
    <n v="59.223608333333324"/>
    <n v="63.148482605181862"/>
    <n v="61.186045469257593"/>
    <n v="57.681808878144501"/>
    <x v="2"/>
    <n v="42.318191121855499"/>
    <n v="0.81759069605862034"/>
    <n v="50.025141504284711"/>
    <n v="0.45513577690711854"/>
    <n v="3"/>
    <b v="1"/>
    <n v="0"/>
    <n v="0.81759069605862023"/>
    <n v="50.025141504284704"/>
    <n v="0.43001843394264938"/>
    <n v="3"/>
    <b v="1"/>
    <n v="0"/>
    <n v="57.681808878144501"/>
    <x v="3"/>
    <n v="42.318191121855499"/>
    <n v="0.80397277260026034"/>
    <n v="49.191914620364628"/>
    <n v="0.45514833202901817"/>
    <n v="3"/>
    <b v="1"/>
    <n v="0"/>
    <n v="8.4592358019825425E-2"/>
    <n v="5.1758718641527555"/>
    <n v="0.30895824414842149"/>
    <n v="3"/>
  </r>
  <r>
    <n v="68615"/>
    <s v="68615"/>
    <s v="68"/>
    <s v="COLOMBIA"/>
    <s v="SANTANDER"/>
    <s v="RIONEGRO"/>
    <x v="5"/>
    <n v="0"/>
    <n v="0"/>
    <n v="0"/>
    <n v="50.37"/>
    <n v="57.361933333333297"/>
    <n v="71.739999999999995"/>
    <n v="69.23"/>
    <n v="50.661306071102835"/>
    <n v="53.616953718743105"/>
    <n v="54.405553027750067"/>
    <n v="61.589119707942771"/>
    <s v="2. Riesgo (&gt;=40 y &lt;60)"/>
    <s v="2. Riesgo (&gt;=40 y &lt;60)"/>
    <s v="2. Riesgo (&gt;=40 y &lt;60)"/>
    <s v="3. Vulnerable (&gt;=60 y &lt;70)"/>
    <n v="62.175483333333332"/>
    <n v="55.068233131384702"/>
    <n v="58.621858232359017"/>
    <n v="59.314330317225824"/>
    <x v="3"/>
    <n v="40.685669682774176"/>
    <n v="0.6523467210059386"/>
    <n v="38.241776997154396"/>
    <n v="0.30773830775988531"/>
    <n v="4"/>
    <b v="0"/>
    <n v="1"/>
    <n v="0.6523368619611829"/>
    <n v="38.241199041630416"/>
    <n v="0.2907484821317779"/>
    <n v="4"/>
    <b v="0"/>
    <n v="1"/>
    <n v="59.314330317225824"/>
    <x v="4"/>
    <n v="40.685669682774176"/>
    <n v="0.64930463728197152"/>
    <n v="38.063444396357028"/>
    <n v="0.31300291447786166"/>
    <n v="4"/>
    <b v="0"/>
    <n v="1"/>
    <n v="8.1329013477234952E-2"/>
    <n v="4.767657898240083"/>
    <n v="0.28459112814256809"/>
    <n v="4"/>
  </r>
  <r>
    <n v="63302"/>
    <s v="63302"/>
    <s v="63"/>
    <s v="COLOMBIA"/>
    <s v="QUINDÍO"/>
    <s v="GÉNOVA"/>
    <x v="5"/>
    <n v="0"/>
    <n v="0"/>
    <n v="0"/>
    <n v="73.87"/>
    <n v="76.498633333333302"/>
    <n v="75.42"/>
    <n v="74.38"/>
    <n v="49.784096058274834"/>
    <n v="41.141962371322748"/>
    <n v="43.466563933893987"/>
    <n v="50.391825625081438"/>
    <s v="2. Riesgo (&gt;=40 y &lt;60)"/>
    <s v="2. Riesgo (&gt;=40 y &lt;60)"/>
    <s v="2. Riesgo (&gt;=40 y &lt;60)"/>
    <s v="2. Riesgo (&gt;=40 y &lt;60)"/>
    <n v="75.042158333333333"/>
    <n v="46.196111997143248"/>
    <n v="60.619135165238291"/>
    <n v="58.179012951611263"/>
    <x v="2"/>
    <n v="41.820987048388737"/>
    <n v="0.81759069605862034"/>
    <n v="49.561640914218763"/>
    <n v="0.44933787310106815"/>
    <n v="3"/>
    <b v="1"/>
    <n v="0"/>
    <n v="0.81759069605862023"/>
    <n v="49.561640914218756"/>
    <n v="0.42454049605833155"/>
    <n v="3"/>
    <b v="1"/>
    <n v="0"/>
    <n v="58.179012951611263"/>
    <x v="3"/>
    <n v="41.820987048388737"/>
    <n v="0.80397277260026034"/>
    <n v="48.736134171426571"/>
    <n v="0.44932658825634869"/>
    <n v="3"/>
    <b v="1"/>
    <n v="0"/>
    <n v="8.3598467121452566E-2"/>
    <n v="5.0676667780420619"/>
    <n v="0.30249926404031152"/>
    <n v="3"/>
  </r>
  <r>
    <n v="54670"/>
    <s v="54670"/>
    <s v="54"/>
    <s v="COLOMBIA"/>
    <s v="NORTE DE SANTANDER"/>
    <s v="SAN CALIXTO"/>
    <x v="5"/>
    <n v="0"/>
    <n v="0"/>
    <n v="1"/>
    <n v="67.81"/>
    <n v="69.740399999999994"/>
    <n v="63.85"/>
    <n v="56.7"/>
    <n v="54.821546321463003"/>
    <n v="52.373994746346469"/>
    <n v="56.837838634874487"/>
    <n v="62.740000406420627"/>
    <s v="2. Riesgo (&gt;=40 y &lt;60)"/>
    <s v="2. Riesgo (&gt;=40 y &lt;60)"/>
    <s v="2. Riesgo (&gt;=40 y &lt;60)"/>
    <s v="3. Vulnerable (&gt;=60 y &lt;70)"/>
    <n v="64.525099999999995"/>
    <n v="56.693345027276145"/>
    <n v="60.609222513638073"/>
    <n v="58.062078970676311"/>
    <x v="2"/>
    <n v="41.937921029323689"/>
    <n v="0.81759069605862034"/>
    <n v="49.553536422497153"/>
    <n v="0.4492364944525703"/>
    <n v="3"/>
    <b v="1"/>
    <n v="0"/>
    <n v="0.81759069605862023"/>
    <n v="49.553536422497146"/>
    <n v="0.42444471214092894"/>
    <n v="3"/>
    <b v="1"/>
    <n v="0"/>
    <n v="58.062078970676311"/>
    <x v="3"/>
    <n v="41.937921029323689"/>
    <n v="0.80397277260026034"/>
    <n v="48.728164669435721"/>
    <n v="0.44922479275657551"/>
    <n v="3"/>
    <b v="1"/>
    <n v="0"/>
    <n v="8.3832213435217476E-2"/>
    <n v="5.081005277905895"/>
    <n v="0.30329546603403656"/>
    <n v="3"/>
  </r>
  <r>
    <n v="41797"/>
    <s v="41797"/>
    <s v="41"/>
    <s v="COLOMBIA"/>
    <s v="HUILA"/>
    <s v="TESALIA"/>
    <x v="5"/>
    <n v="0"/>
    <n v="0"/>
    <n v="0"/>
    <n v="61.3"/>
    <n v="67.204266666666697"/>
    <n v="80.16"/>
    <n v="83.76"/>
    <n v="61.22402949450067"/>
    <n v="40.863063475142475"/>
    <n v="47.927973059481694"/>
    <n v="63.162490515122954"/>
    <s v="3. Vulnerable (&gt;=60 y &lt;70)"/>
    <s v="2. Riesgo (&gt;=40 y &lt;60)"/>
    <s v="2. Riesgo (&gt;=40 y &lt;60)"/>
    <s v="3. Vulnerable (&gt;=60 y &lt;70)"/>
    <n v="73.106066666666678"/>
    <n v="53.294389136061952"/>
    <n v="63.200227901364315"/>
    <n v="58.077605129573648"/>
    <x v="2"/>
    <n v="41.922394870426352"/>
    <n v="0.81759069605862034"/>
    <n v="51.671918320939888"/>
    <n v="0.47573521901708887"/>
    <n v="3"/>
    <b v="1"/>
    <n v="0"/>
    <n v="0.81759069605862023"/>
    <n v="51.671918320939881"/>
    <n v="0.4494810652840423"/>
    <n v="3"/>
    <b v="1"/>
    <n v="0"/>
    <n v="58.077605129573648"/>
    <x v="3"/>
    <n v="41.922394870426352"/>
    <n v="0.80397277260026034"/>
    <n v="50.811262454828203"/>
    <n v="0.47583247544289092"/>
    <n v="3"/>
    <b v="1"/>
    <n v="0"/>
    <n v="8.3801177269509572E-2"/>
    <n v="5.2962535018356363"/>
    <n v="0.31614406721019517"/>
    <n v="3"/>
  </r>
  <r>
    <n v="50150"/>
    <s v="50150"/>
    <s v="50"/>
    <s v="COLOMBIA"/>
    <s v="META"/>
    <s v="CASTILLA LA NUEVA"/>
    <x v="4"/>
    <n v="0"/>
    <n v="0"/>
    <n v="0"/>
    <n v="76.56"/>
    <n v="77.393666666666704"/>
    <n v="62.02"/>
    <n v="63.96"/>
    <n v="64.732280901648153"/>
    <n v="52.250833167809333"/>
    <n v="73.694188821522587"/>
    <n v="57.815562729552511"/>
    <s v="3. Vulnerable (&gt;=60 y &lt;70)"/>
    <s v="2. Riesgo (&gt;=40 y &lt;60)"/>
    <s v="4. Solvente (&gt;=70 y &lt;80)"/>
    <s v="2. Riesgo (&gt;=40 y &lt;60)"/>
    <n v="69.983416666666685"/>
    <n v="62.123216405133142"/>
    <n v="66.05331653589991"/>
    <n v="58.258609550176857"/>
    <x v="3"/>
    <n v="41.741390449823143"/>
    <n v="0.6523467210059386"/>
    <n v="43.08966445376165"/>
    <n v="0.36838026968698434"/>
    <n v="3"/>
    <b v="0"/>
    <n v="1"/>
    <n v="0.6523368619611829"/>
    <n v="43.089013231157658"/>
    <n v="0.34804296152211955"/>
    <n v="3"/>
    <b v="0"/>
    <n v="1"/>
    <n v="58.258609550176857"/>
    <x v="3"/>
    <n v="41.741390449823143"/>
    <n v="0.80397277260026034"/>
    <n v="53.105068034810074"/>
    <n v="0.50513155657304432"/>
    <n v="2"/>
    <b v="1"/>
    <n v="0"/>
    <n v="8.343935672980958E-2"/>
    <n v="5.5114462416259826"/>
    <n v="0.32898935642602406"/>
    <n v="3"/>
  </r>
  <r>
    <n v="5086"/>
    <s v="05086"/>
    <s v="50"/>
    <s v="COLOMBIA"/>
    <s v="ANTIOQUIA"/>
    <s v="BELMIRA"/>
    <x v="5"/>
    <n v="0"/>
    <n v="0"/>
    <n v="0"/>
    <n v="52.22"/>
    <n v="58.011666666666699"/>
    <n v="66.290000000000006"/>
    <n v="67.58"/>
    <n v="50.898443511288257"/>
    <n v="50.739235322726444"/>
    <n v="50.883353798761689"/>
    <n v="59.16725442129686"/>
    <s v="2. Riesgo (&gt;=40 y &lt;60)"/>
    <s v="2. Riesgo (&gt;=40 y &lt;60)"/>
    <s v="2. Riesgo (&gt;=40 y &lt;60)"/>
    <s v="2. Riesgo (&gt;=40 y &lt;60)"/>
    <n v="61.025416666666672"/>
    <n v="52.922071763518311"/>
    <n v="56.973744215092495"/>
    <n v="58.089491724146022"/>
    <x v="2"/>
    <n v="41.910508275853978"/>
    <n v="0.81759069605862034"/>
    <n v="46.581203189883269"/>
    <n v="0.41205573884712415"/>
    <n v="3"/>
    <b v="1"/>
    <n v="0"/>
    <n v="0.81759069605862023"/>
    <n v="46.581203189883261"/>
    <n v="0.38931583168484213"/>
    <n v="3"/>
    <b v="1"/>
    <n v="0"/>
    <n v="58.089491724146022"/>
    <x v="3"/>
    <n v="41.910508275853978"/>
    <n v="0.80397277260026034"/>
    <n v="45.805339102025954"/>
    <n v="0.41189115638557039"/>
    <n v="3"/>
    <b v="1"/>
    <n v="0"/>
    <n v="8.3777416446160408E-2"/>
    <n v="4.7731130956048267"/>
    <n v="0.28491675988993947"/>
    <n v="4"/>
  </r>
  <r>
    <n v="86865"/>
    <s v="86865"/>
    <s v="86"/>
    <s v="COLOMBIA"/>
    <s v="PUTUMAYO"/>
    <s v="VALLE DEL GUAMUEZ"/>
    <x v="5"/>
    <n v="0"/>
    <n v="0"/>
    <n v="1"/>
    <n v="59.94"/>
    <n v="62.857866666666702"/>
    <n v="60.99"/>
    <n v="51.1"/>
    <n v="60.433269449996324"/>
    <n v="53.939455962924697"/>
    <n v="69.111591302621903"/>
    <n v="70.274434156229404"/>
    <s v="3. Vulnerable (&gt;=60 y &lt;70)"/>
    <s v="2. Riesgo (&gt;=40 y &lt;60)"/>
    <s v="3. Vulnerable (&gt;=60 y &lt;70)"/>
    <s v="4. Solvente (&gt;=70 y &lt;80)"/>
    <n v="58.721966666666674"/>
    <n v="63.439687717943087"/>
    <n v="61.080827192304881"/>
    <n v="58.152610728245655"/>
    <x v="2"/>
    <n v="41.847389271754345"/>
    <n v="0.81759069605862034"/>
    <n v="49.939116019992852"/>
    <n v="0.45405968877803515"/>
    <n v="3"/>
    <b v="1"/>
    <n v="0"/>
    <n v="0.81759069605862023"/>
    <n v="49.939116019992845"/>
    <n v="0.42900173133316161"/>
    <n v="3"/>
    <b v="1"/>
    <n v="0"/>
    <n v="58.152610728245655"/>
    <x v="3"/>
    <n v="41.847389271754345"/>
    <n v="0.80397277260026034"/>
    <n v="49.107321990514727"/>
    <n v="0.45406781921371459"/>
    <n v="3"/>
    <b v="1"/>
    <n v="0"/>
    <n v="8.3651244101570446E-2"/>
    <n v="5.1094871853893373"/>
    <n v="0.3049956086104067"/>
    <n v="3"/>
  </r>
  <r>
    <n v="47960"/>
    <s v="47960"/>
    <s v="47"/>
    <s v="COLOMBIA"/>
    <s v="MAGDALENA"/>
    <s v="ZAPAYÁN"/>
    <x v="6"/>
    <n v="0"/>
    <n v="0"/>
    <n v="0"/>
    <n v="52.92"/>
    <n v="58.5172666666667"/>
    <n v="75.36"/>
    <n v="72.59"/>
    <n v="47.455084523628372"/>
    <n v="30.48497122918058"/>
    <n v="38.498139411263338"/>
    <n v="11.899436562194225"/>
    <s v="2. Riesgo (&gt;=40 y &lt;60)"/>
    <s v="1. Deterioro (&lt;40)"/>
    <s v="1. Deterioro (&lt;40)"/>
    <s v="1. Deterioro (&lt;40)"/>
    <n v="64.846816666666683"/>
    <n v="32.084407931566631"/>
    <n v="48.465612299116657"/>
    <n v="58.157829776747036"/>
    <x v="2"/>
    <n v="41.842170223252964"/>
    <n v="0.81759069605862034"/>
    <n v="39.625033694542019"/>
    <n v="0.3250413909542072"/>
    <n v="4"/>
    <b v="1"/>
    <n v="0"/>
    <n v="0.81759069605862023"/>
    <n v="39.625033694542012"/>
    <n v="0.30710349965125422"/>
    <n v="4"/>
    <b v="1"/>
    <n v="0"/>
    <n v="58.157829776747036"/>
    <x v="3"/>
    <n v="41.842170223252964"/>
    <n v="0.80397277260026034"/>
    <n v="38.965032695890095"/>
    <n v="0.3245190207095961"/>
    <n v="4"/>
    <b v="1"/>
    <n v="0"/>
    <n v="8.3640811434019025E-2"/>
    <n v="4.0537031393446892"/>
    <n v="0.24197372676572049"/>
    <n v="4"/>
  </r>
  <r>
    <n v="25871"/>
    <s v="25871"/>
    <s v="25"/>
    <s v="COLOMBIA"/>
    <s v="CUNDINAMARCA"/>
    <s v="VILLAGÓMEZ"/>
    <x v="5"/>
    <n v="0"/>
    <n v="0"/>
    <n v="0"/>
    <n v="57.77"/>
    <n v="67.192033333333299"/>
    <n v="85.8"/>
    <n v="64.28"/>
    <n v="49.531701139286362"/>
    <n v="73.751466832552055"/>
    <n v="63.279870491815373"/>
    <n v="61.298500709742029"/>
    <s v="2. Riesgo (&gt;=40 y &lt;60)"/>
    <s v="4. Solvente (&gt;=70 y &lt;80)"/>
    <s v="3. Vulnerable (&gt;=60 y &lt;70)"/>
    <s v="3. Vulnerable (&gt;=60 y &lt;70)"/>
    <n v="68.76050833333332"/>
    <n v="61.96538479334896"/>
    <n v="65.36294656334114"/>
    <n v="58.247768538988488"/>
    <x v="3"/>
    <n v="41.752231461011512"/>
    <n v="0.6523467210059386"/>
    <n v="42.639303865881978"/>
    <n v="0.36274673345741637"/>
    <n v="3"/>
    <b v="1"/>
    <n v="0"/>
    <n v="0.6523368619611829"/>
    <n v="42.638659449666442"/>
    <n v="0.34272040078789157"/>
    <n v="3"/>
    <b v="1"/>
    <n v="0"/>
    <n v="58.247768538988488"/>
    <x v="3"/>
    <n v="41.752231461011512"/>
    <n v="0.80397277260026034"/>
    <n v="52.550029373852034"/>
    <n v="0.4980419745702358"/>
    <n v="2"/>
    <b v="0"/>
    <n v="-1"/>
    <n v="8.346102747412619E-2"/>
    <n v="5.4552586789128572"/>
    <n v="0.32563540733793778"/>
    <n v="3"/>
  </r>
  <r>
    <n v="54239"/>
    <s v="54239"/>
    <s v="54"/>
    <s v="COLOMBIA"/>
    <s v="NORTE DE SANTANDER"/>
    <s v="DURANIA"/>
    <x v="5"/>
    <n v="0"/>
    <n v="0"/>
    <n v="0"/>
    <n v="55.79"/>
    <n v="57.363766666666699"/>
    <n v="61.54"/>
    <n v="58.35"/>
    <n v="55.39619482038681"/>
    <n v="45.84072653071452"/>
    <n v="53.208576184697762"/>
    <n v="51.929671320071392"/>
    <s v="2. Riesgo (&gt;=40 y &lt;60)"/>
    <s v="2. Riesgo (&gt;=40 y &lt;60)"/>
    <s v="2. Riesgo (&gt;=40 y &lt;60)"/>
    <s v="2. Riesgo (&gt;=40 y &lt;60)"/>
    <n v="58.260941666666675"/>
    <n v="51.593792213967617"/>
    <n v="54.927366940317143"/>
    <n v="58.051609460822547"/>
    <x v="2"/>
    <n v="41.948390539177453"/>
    <n v="0.81759069605862034"/>
    <n v="44.908104169401142"/>
    <n v="0.39112703371349677"/>
    <n v="3"/>
    <b v="1"/>
    <n v="0"/>
    <n v="0.81759069605862023"/>
    <n v="44.908104169401135"/>
    <n v="0.36954210818815791"/>
    <n v="3"/>
    <b v="1"/>
    <n v="0"/>
    <n v="58.051609460822547"/>
    <x v="3"/>
    <n v="41.948390539177453"/>
    <n v="0.80397277260026034"/>
    <n v="44.160107490638651"/>
    <n v="0.39087639607606295"/>
    <n v="3"/>
    <b v="1"/>
    <n v="0"/>
    <n v="8.3853141563343073E-2"/>
    <n v="4.6058322757481038"/>
    <n v="0.27493142993218139"/>
    <n v="4"/>
  </r>
  <r>
    <n v="25823"/>
    <s v="25823"/>
    <s v="25"/>
    <s v="COLOMBIA"/>
    <s v="CUNDINAMARCA"/>
    <s v="TOPAIPÍ"/>
    <x v="6"/>
    <n v="0"/>
    <n v="0"/>
    <n v="0"/>
    <n v="57.51"/>
    <n v="58.919433333333302"/>
    <n v="47.14"/>
    <n v="37.04"/>
    <n v="61.102109584781246"/>
    <n v="51.882820850774493"/>
    <n v="51.180801292019012"/>
    <n v="52.403581996306443"/>
    <s v="3. Vulnerable (&gt;=60 y &lt;70)"/>
    <s v="2. Riesgo (&gt;=40 y &lt;60)"/>
    <s v="2. Riesgo (&gt;=40 y &lt;60)"/>
    <s v="2. Riesgo (&gt;=40 y &lt;60)"/>
    <n v="50.152358333333318"/>
    <n v="54.142328430970295"/>
    <n v="52.147343382151803"/>
    <n v="58.271658070515301"/>
    <x v="3"/>
    <n v="41.728341929484699"/>
    <n v="0.6523467210059386"/>
    <n v="34.018148464517459"/>
    <n v="0.25490516694072368"/>
    <n v="4"/>
    <b v="1"/>
    <n v="0"/>
    <n v="0.6523368619611829"/>
    <n v="34.017634341525167"/>
    <n v="0.24083177097013306"/>
    <n v="4"/>
    <b v="1"/>
    <n v="0"/>
    <n v="58.271658070515301"/>
    <x v="3"/>
    <n v="41.728341929484699"/>
    <n v="0.80397277260026034"/>
    <n v="41.925044242686425"/>
    <n v="0.36232763849858157"/>
    <n v="3"/>
    <b v="0"/>
    <n v="-1"/>
    <n v="8.341327326369638E-2"/>
    <n v="4.3497806035112374"/>
    <n v="0.25964718852476415"/>
    <n v="4"/>
  </r>
  <r>
    <n v="68655"/>
    <s v="68655"/>
    <s v="68"/>
    <s v="COLOMBIA"/>
    <s v="SANTANDER"/>
    <s v="SABANA DE TORRES"/>
    <x v="5"/>
    <n v="0"/>
    <n v="0"/>
    <n v="0"/>
    <n v="60.48"/>
    <n v="61.696766666666697"/>
    <n v="55.6"/>
    <n v="37.869999999999997"/>
    <n v="50.459204561060851"/>
    <n v="56.10472956560416"/>
    <n v="59.093205955783233"/>
    <n v="63.833450515636869"/>
    <s v="2. Riesgo (&gt;=40 y &lt;60)"/>
    <s v="2. Riesgo (&gt;=40 y &lt;60)"/>
    <s v="2. Riesgo (&gt;=40 y &lt;60)"/>
    <s v="3. Vulnerable (&gt;=60 y &lt;70)"/>
    <n v="53.911691666666677"/>
    <n v="57.372647649521269"/>
    <n v="55.642169658093977"/>
    <n v="58.228924140991303"/>
    <x v="3"/>
    <n v="41.771075859008697"/>
    <n v="0.6523467210059386"/>
    <n v="36.297986926113737"/>
    <n v="0.28342354291903343"/>
    <n v="4"/>
    <b v="0"/>
    <n v="1"/>
    <n v="0.6523368619611829"/>
    <n v="36.29743834747277"/>
    <n v="0.26777591084970243"/>
    <n v="4"/>
    <b v="0"/>
    <n v="1"/>
    <n v="58.228924140991303"/>
    <x v="3"/>
    <n v="41.771075859008697"/>
    <n v="0.80397277260026034"/>
    <n v="44.734789413511898"/>
    <n v="0.39821688405343936"/>
    <n v="3"/>
    <b v="1"/>
    <n v="0"/>
    <n v="8.3498696666021832E-2"/>
    <n v="4.646048646120513"/>
    <n v="0.27733202629592391"/>
    <n v="4"/>
  </r>
  <r>
    <n v="13074"/>
    <s v="13074"/>
    <s v="13"/>
    <s v="COLOMBIA"/>
    <s v="BOLÍVAR"/>
    <s v="BARRANCO DE LOBA"/>
    <x v="6"/>
    <n v="0"/>
    <n v="0"/>
    <n v="0"/>
    <n v="76.42"/>
    <n v="74.683633333333304"/>
    <n v="78.05"/>
    <n v="91.78"/>
    <n v="54.596480696977736"/>
    <n v="46.8736796518006"/>
    <n v="52.127086000342302"/>
    <n v="49.437718917963423"/>
    <s v="2. Riesgo (&gt;=40 y &lt;60)"/>
    <s v="2. Riesgo (&gt;=40 y &lt;60)"/>
    <s v="2. Riesgo (&gt;=40 y &lt;60)"/>
    <s v="2. Riesgo (&gt;=40 y &lt;60)"/>
    <n v="80.23340833333333"/>
    <n v="50.758741316771015"/>
    <n v="65.496074825052176"/>
    <n v="58.317890965596661"/>
    <x v="3"/>
    <n v="41.682109034403339"/>
    <n v="0.6523467210059386"/>
    <n v="42.726149650882391"/>
    <n v="0.3638330826836853"/>
    <n v="3"/>
    <b v="0"/>
    <n v="-1"/>
    <n v="0.6523368619611829"/>
    <n v="42.725503922149365"/>
    <n v="0.34374678270854914"/>
    <n v="3"/>
    <b v="0"/>
    <n v="-1"/>
    <n v="58.317890965596661"/>
    <x v="3"/>
    <n v="41.682109034403339"/>
    <n v="0.80397277260026034"/>
    <n v="52.657060871531307"/>
    <n v="0.49940910200307237"/>
    <n v="2"/>
    <b v="0"/>
    <n v="-2"/>
    <n v="8.3320855570280475E-2"/>
    <n v="5.4571889909184552"/>
    <n v="0.32575063155978118"/>
    <n v="3"/>
  </r>
  <r>
    <n v="20178"/>
    <s v="20178"/>
    <s v="20"/>
    <s v="COLOMBIA"/>
    <s v="CESAR"/>
    <s v="CHIRIGUANÁ"/>
    <x v="5"/>
    <n v="0"/>
    <n v="0"/>
    <n v="0"/>
    <n v="49.04"/>
    <n v="53.664933333333302"/>
    <n v="52.67"/>
    <n v="43.25"/>
    <n v="62.529864797766066"/>
    <n v="55.829612175610023"/>
    <n v="50.646295143646597"/>
    <n v="60.371538966378587"/>
    <s v="3. Vulnerable (&gt;=60 y &lt;70)"/>
    <s v="2. Riesgo (&gt;=40 y &lt;60)"/>
    <s v="2. Riesgo (&gt;=40 y &lt;60)"/>
    <s v="3. Vulnerable (&gt;=60 y &lt;70)"/>
    <n v="49.656233333333326"/>
    <n v="57.344327770850313"/>
    <n v="53.500280552091823"/>
    <n v="58.29088616478878"/>
    <x v="3"/>
    <n v="41.70911383521122"/>
    <n v="0.6523467210059386"/>
    <n v="34.90073259105489"/>
    <n v="0.26594536403234542"/>
    <n v="4"/>
    <b v="0"/>
    <n v="1"/>
    <n v="0.6523368619611829"/>
    <n v="34.900205129394479"/>
    <n v="0.25126254076434978"/>
    <n v="4"/>
    <b v="0"/>
    <n v="1"/>
    <n v="58.29088616478878"/>
    <x v="3"/>
    <n v="41.70911383521122"/>
    <n v="0.80397277260026034"/>
    <n v="43.012768890357052"/>
    <n v="0.37622128884867845"/>
    <n v="3"/>
    <b v="1"/>
    <n v="0"/>
    <n v="8.3374837078412908E-2"/>
    <n v="4.4605771746800382"/>
    <n v="0.26626085960944851"/>
    <n v="4"/>
  </r>
  <r>
    <n v="5854"/>
    <s v="05854"/>
    <s v="50"/>
    <s v="COLOMBIA"/>
    <s v="ANTIOQUIA"/>
    <s v="VALDIVIA"/>
    <x v="6"/>
    <n v="0"/>
    <n v="0"/>
    <n v="1"/>
    <n v="42.62"/>
    <n v="45.372"/>
    <n v="78.08"/>
    <n v="58.89"/>
    <n v="64.642262114354338"/>
    <n v="51.276454359771193"/>
    <n v="62.194062808846908"/>
    <n v="60.693239388865649"/>
    <s v="3. Vulnerable (&gt;=60 y &lt;70)"/>
    <s v="2. Riesgo (&gt;=40 y &lt;60)"/>
    <s v="3. Vulnerable (&gt;=60 y &lt;70)"/>
    <s v="3. Vulnerable (&gt;=60 y &lt;70)"/>
    <n v="56.240499999999997"/>
    <n v="59.701504667959526"/>
    <n v="57.971002333979762"/>
    <n v="58.011955296473531"/>
    <x v="2"/>
    <n v="41.988044703526469"/>
    <n v="0.81759069605862034"/>
    <n v="47.396552149454415"/>
    <n v="0.42225489487254397"/>
    <n v="3"/>
    <b v="0"/>
    <n v="-1"/>
    <n v="0.81759069605862023"/>
    <n v="47.396552149454408"/>
    <n v="0.39895213215630082"/>
    <n v="3"/>
    <b v="0"/>
    <n v="-1"/>
    <n v="58.011955296473531"/>
    <x v="3"/>
    <n v="41.988044703526469"/>
    <n v="0.80397277260026034"/>
    <n v="46.60710747686587"/>
    <n v="0.42213224955712492"/>
    <n v="3"/>
    <b v="0"/>
    <n v="-1"/>
    <n v="8.3932408639242659E-2"/>
    <n v="4.8656458571220789"/>
    <n v="0.29044022729309832"/>
    <n v="4"/>
  </r>
  <r>
    <n v="19760"/>
    <s v="19760"/>
    <s v="19"/>
    <s v="COLOMBIA"/>
    <s v="CAUCA"/>
    <s v="SOTARÁ PAISPAMBA"/>
    <x v="5"/>
    <n v="0"/>
    <n v="0"/>
    <n v="0"/>
    <n v="54.6"/>
    <n v="59.6696666666667"/>
    <n v="60.62"/>
    <n v="57.42"/>
    <n v="51.478553454557755"/>
    <n v="48.952202973623528"/>
    <n v="52.779680637256213"/>
    <n v="51.804763592221455"/>
    <s v="2. Riesgo (&gt;=40 y &lt;60)"/>
    <s v="2. Riesgo (&gt;=40 y &lt;60)"/>
    <s v="2. Riesgo (&gt;=40 y &lt;60)"/>
    <s v="2. Riesgo (&gt;=40 y &lt;60)"/>
    <n v="58.077416666666679"/>
    <n v="51.253800164414741"/>
    <n v="54.66560841554071"/>
    <n v="58.38595837482756"/>
    <x v="3"/>
    <n v="41.61404162517244"/>
    <n v="0.6523467210059386"/>
    <n v="35.660930401672623"/>
    <n v="0.27545463731914882"/>
    <n v="4"/>
    <b v="0"/>
    <n v="1"/>
    <n v="0.6523368619611829"/>
    <n v="35.660391450992655"/>
    <n v="0.26024689491507552"/>
    <n v="4"/>
    <b v="0"/>
    <n v="1"/>
    <n v="58.38595837482756"/>
    <x v="3"/>
    <n v="41.61404162517244"/>
    <n v="0.80397277260026034"/>
    <n v="43.949660763722392"/>
    <n v="0.38818833228403771"/>
    <n v="3"/>
    <b v="1"/>
    <n v="0"/>
    <n v="8.3184791563325117E-2"/>
    <n v="4.5473472417291054"/>
    <n v="0.27144034014214691"/>
    <n v="4"/>
  </r>
  <r>
    <n v="44847"/>
    <s v="44847"/>
    <s v="44"/>
    <s v="COLOMBIA"/>
    <s v="LA GUAJIRA"/>
    <s v="URIBIA"/>
    <x v="5"/>
    <n v="0"/>
    <n v="0"/>
    <n v="0"/>
    <n v="54.49"/>
    <n v="55.309033333333304"/>
    <n v="62.68"/>
    <n v="64.7"/>
    <n v="59.614382448842839"/>
    <n v="39.356977454101369"/>
    <n v="42.312110890319147"/>
    <n v="46.488154726697289"/>
    <s v="2. Riesgo (&gt;=40 y &lt;60)"/>
    <s v="1. Deterioro (&lt;40)"/>
    <s v="2. Riesgo (&gt;=40 y &lt;60)"/>
    <s v="2. Riesgo (&gt;=40 y &lt;60)"/>
    <n v="59.294758333333334"/>
    <n v="46.942906379990163"/>
    <n v="53.118832356661748"/>
    <n v="58.457211994191759"/>
    <x v="3"/>
    <n v="41.542788005808241"/>
    <n v="0.6523467210059386"/>
    <n v="34.651896111532444"/>
    <n v="0.26283268197189302"/>
    <n v="4"/>
    <b v="0"/>
    <n v="1"/>
    <n v="0.6523368619611829"/>
    <n v="34.651372410586873"/>
    <n v="0.24832168112699735"/>
    <n v="4"/>
    <b v="0"/>
    <n v="1"/>
    <n v="58.457211994191759"/>
    <x v="3"/>
    <n v="41.542788005808241"/>
    <n v="0.80397277260026034"/>
    <n v="42.706094927073764"/>
    <n v="0.37230410187818819"/>
    <n v="3"/>
    <b v="1"/>
    <n v="0"/>
    <n v="8.3042358450763465E-2"/>
    <n v="4.4111131170479174"/>
    <n v="0.26330825011764109"/>
    <n v="4"/>
  </r>
  <r>
    <n v="13667"/>
    <s v="13667"/>
    <s v="13"/>
    <s v="COLOMBIA"/>
    <s v="BOLÍVAR"/>
    <s v="SAN MARTÍN DE LOBA"/>
    <x v="6"/>
    <n v="0"/>
    <n v="0"/>
    <n v="0"/>
    <n v="45.08"/>
    <n v="51.088299999999997"/>
    <n v="74.05"/>
    <n v="85.14"/>
    <n v="40.917822139929342"/>
    <n v="47.733536828272655"/>
    <n v="45.330452331095131"/>
    <n v="42.864692742341383"/>
    <s v="2. Riesgo (&gt;=40 y &lt;60)"/>
    <s v="2. Riesgo (&gt;=40 y &lt;60)"/>
    <s v="2. Riesgo (&gt;=40 y &lt;60)"/>
    <s v="2. Riesgo (&gt;=40 y &lt;60)"/>
    <n v="63.839574999999996"/>
    <n v="44.211626010409631"/>
    <n v="54.025600505204814"/>
    <n v="58.600591846654112"/>
    <x v="3"/>
    <n v="41.399408153345888"/>
    <n v="0.6523467210059386"/>
    <n v="35.243423339947142"/>
    <n v="0.27023206407088896"/>
    <n v="4"/>
    <b v="1"/>
    <n v="0"/>
    <n v="0.6523368619611829"/>
    <n v="35.242890699133802"/>
    <n v="0.25531261169223568"/>
    <n v="4"/>
    <b v="1"/>
    <n v="0"/>
    <n v="58.600591846654112"/>
    <x v="3"/>
    <n v="41.399408153345888"/>
    <n v="0.80397277260026034"/>
    <n v="43.435111829563539"/>
    <n v="0.38161593090053714"/>
    <n v="3"/>
    <b v="0"/>
    <n v="-1"/>
    <n v="8.2755747905964891E-2"/>
    <n v="4.4709289758770989"/>
    <n v="0.26687877952817141"/>
    <n v="4"/>
  </r>
  <r>
    <n v="20175"/>
    <s v="20175"/>
    <s v="20"/>
    <s v="COLOMBIA"/>
    <s v="CESAR"/>
    <s v="CHIMICHAGUA"/>
    <x v="5"/>
    <n v="0"/>
    <n v="0"/>
    <n v="0"/>
    <n v="88.39"/>
    <n v="88.4667666666667"/>
    <n v="72.239999999999995"/>
    <n v="70.56"/>
    <n v="51.559538638563467"/>
    <n v="37.599147485501838"/>
    <n v="58.309975766227552"/>
    <n v="52.506757550371233"/>
    <s v="2. Riesgo (&gt;=40 y &lt;60)"/>
    <s v="1. Deterioro (&lt;40)"/>
    <s v="2. Riesgo (&gt;=40 y &lt;60)"/>
    <s v="2. Riesgo (&gt;=40 y &lt;60)"/>
    <n v="79.914191666666682"/>
    <n v="49.993854860166024"/>
    <n v="64.95402326341636"/>
    <n v="58.565057475295333"/>
    <x v="3"/>
    <n v="41.434942524704667"/>
    <n v="0.6523467210059386"/>
    <n v="42.372544092033117"/>
    <n v="0.35940984987787361"/>
    <n v="3"/>
    <b v="1"/>
    <n v="0"/>
    <n v="0.6523368619611829"/>
    <n v="42.371903707410702"/>
    <n v="0.33956771572625205"/>
    <n v="3"/>
    <b v="1"/>
    <n v="0"/>
    <n v="58.565057475295333"/>
    <x v="3"/>
    <n v="41.434942524704667"/>
    <n v="0.80397277260026034"/>
    <n v="52.221266174630664"/>
    <n v="0.49384263887646185"/>
    <n v="2"/>
    <b v="0"/>
    <n v="-1"/>
    <n v="8.2826779681763996E-2"/>
    <n v="5.3799325742831599"/>
    <n v="0.32113904003292121"/>
    <n v="3"/>
  </r>
  <r>
    <n v="63548"/>
    <s v="63548"/>
    <s v="63"/>
    <s v="COLOMBIA"/>
    <s v="QUINDÍO"/>
    <s v="PIJAO"/>
    <x v="5"/>
    <n v="0"/>
    <n v="0"/>
    <n v="0"/>
    <n v="72.63"/>
    <n v="71.435666666666705"/>
    <n v="62.08"/>
    <n v="62.81"/>
    <n v="59.663230292434953"/>
    <n v="49.557920014002789"/>
    <n v="45.227767544109838"/>
    <n v="53.532537661434624"/>
    <s v="2. Riesgo (&gt;=40 y &lt;60)"/>
    <s v="2. Riesgo (&gt;=40 y &lt;60)"/>
    <s v="2. Riesgo (&gt;=40 y &lt;60)"/>
    <s v="2. Riesgo (&gt;=40 y &lt;60)"/>
    <n v="67.238916666666668"/>
    <n v="51.995363877995551"/>
    <n v="59.617140272331113"/>
    <n v="58.817124551596955"/>
    <x v="3"/>
    <n v="41.182875448403045"/>
    <n v="0.6523467210059386"/>
    <n v="38.891045972406289"/>
    <n v="0.31585997824627621"/>
    <n v="4"/>
    <b v="0"/>
    <n v="1"/>
    <n v="0.6523368619611829"/>
    <n v="38.890458204352143"/>
    <n v="0.2984218302146957"/>
    <n v="4"/>
    <b v="0"/>
    <n v="1"/>
    <n v="58.817124551596955"/>
    <x v="4"/>
    <n v="41.182875448403045"/>
    <n v="0.64930463728197152"/>
    <n v="38.709685640314369"/>
    <n v="0.32125743909912757"/>
    <n v="4"/>
    <b v="0"/>
    <n v="1"/>
    <n v="8.2322907758171665E-2"/>
    <n v="4.9078563394450958"/>
    <n v="0.29295985622624465"/>
    <n v="3"/>
  </r>
  <r>
    <n v="23682"/>
    <s v="23682"/>
    <s v="23"/>
    <s v="COLOMBIA"/>
    <s v="CÓRDOBA"/>
    <s v="SAN JOSÉ DE URÉ"/>
    <x v="5"/>
    <n v="0"/>
    <n v="0"/>
    <n v="1"/>
    <n v="81.92"/>
    <n v="82.157033333333302"/>
    <n v="72.239999999999995"/>
    <n v="59.29"/>
    <n v="48.034693095503869"/>
    <n v="65.605805280723089"/>
    <n v="73.631048783345562"/>
    <n v="69.502673505388188"/>
    <s v="2. Riesgo (&gt;=40 y &lt;60)"/>
    <s v="3. Vulnerable (&gt;=60 y &lt;70)"/>
    <s v="4. Solvente (&gt;=70 y &lt;80)"/>
    <s v="3. Vulnerable (&gt;=60 y &lt;70)"/>
    <n v="73.901758333333333"/>
    <n v="64.193555166240174"/>
    <n v="69.047656749786753"/>
    <n v="58.642691510156233"/>
    <x v="3"/>
    <n v="41.357308489843767"/>
    <n v="0.6523467210059386"/>
    <n v="45.043012473866952"/>
    <n v="0.3928145943956069"/>
    <n v="3"/>
    <b v="1"/>
    <n v="0"/>
    <n v="0.6523368619611829"/>
    <n v="45.042331729928783"/>
    <n v="0.37112849287610267"/>
    <n v="3"/>
    <b v="1"/>
    <n v="0"/>
    <n v="58.642691510156233"/>
    <x v="3"/>
    <n v="41.357308489843767"/>
    <n v="0.80397277260026034"/>
    <n v="55.512436038677137"/>
    <n v="0.53588118551761876"/>
    <n v="2"/>
    <b v="0"/>
    <n v="-1"/>
    <n v="8.2671592375847106E-2"/>
    <n v="5.7082797333257789"/>
    <n v="0.34073874504716728"/>
    <n v="3"/>
  </r>
  <r>
    <n v="47605"/>
    <s v="47605"/>
    <s v="47"/>
    <s v="COLOMBIA"/>
    <s v="MAGDALENA"/>
    <s v="REMOLINO"/>
    <x v="6"/>
    <n v="0"/>
    <n v="0"/>
    <n v="0"/>
    <n v="50.48"/>
    <n v="47.808033333333299"/>
    <s v="N.D."/>
    <n v="2.67"/>
    <n v="57.200876127936795"/>
    <n v="43.756131144183968"/>
    <n v="46.072123157286384"/>
    <n v="49.273278929023633"/>
    <s v="2. Riesgo (&gt;=40 y &lt;60)"/>
    <s v="2. Riesgo (&gt;=40 y &lt;60)"/>
    <s v="2. Riesgo (&gt;=40 y &lt;60)"/>
    <s v="2. Riesgo (&gt;=40 y &lt;60)"/>
    <n v="33.652677777777761"/>
    <n v="49.075602339607691"/>
    <n v="41.364140058692726"/>
    <n v="58.867830430148928"/>
    <x v="3"/>
    <n v="41.132169569851072"/>
    <n v="0.6523467210059386"/>
    <n v="26.983761134518591"/>
    <n v="0.16691239638560929"/>
    <n v="5"/>
    <b v="0"/>
    <n v="1"/>
    <n v="0.6523368619611829"/>
    <n v="26.983353323610473"/>
    <n v="0.15769626844253148"/>
    <n v="5"/>
    <b v="0"/>
    <n v="1"/>
    <n v="58.867830430148928"/>
    <x v="4"/>
    <n v="41.132169569851072"/>
    <n v="0.64930463728197152"/>
    <n v="26.857927957290148"/>
    <n v="0.16987337546257875"/>
    <n v="5"/>
    <b v="0"/>
    <n v="1"/>
    <n v="8.2221548751123669E-2"/>
    <n v="3.4010236583841116"/>
    <n v="0.20301397047308831"/>
    <n v="4"/>
  </r>
  <r>
    <n v="5649"/>
    <s v="05649"/>
    <s v="50"/>
    <s v="COLOMBIA"/>
    <s v="ANTIOQUIA"/>
    <s v="SAN CARLOS"/>
    <x v="6"/>
    <n v="0"/>
    <n v="0"/>
    <n v="0"/>
    <n v="55.27"/>
    <n v="56.444499999999998"/>
    <n v="48.76"/>
    <n v="42.94"/>
    <n v="64.27453948684952"/>
    <n v="59.929843130477146"/>
    <n v="54.560324890153318"/>
    <n v="59.695215843853575"/>
    <s v="3. Vulnerable (&gt;=60 y &lt;70)"/>
    <s v="2. Riesgo (&gt;=40 y &lt;60)"/>
    <s v="2. Riesgo (&gt;=40 y &lt;60)"/>
    <s v="2. Riesgo (&gt;=40 y &lt;60)"/>
    <n v="50.853625000000001"/>
    <n v="59.614980837833386"/>
    <n v="55.234302918916697"/>
    <n v="58.492853687751243"/>
    <x v="3"/>
    <n v="41.507146312248757"/>
    <n v="0.6523467210059386"/>
    <n v="36.031916396204053"/>
    <n v="0.28009528105463816"/>
    <n v="4"/>
    <b v="1"/>
    <n v="0"/>
    <n v="0.6523368619611829"/>
    <n v="36.031371838739524"/>
    <n v="0.26463137157796035"/>
    <n v="4"/>
    <b v="1"/>
    <n v="0"/>
    <n v="58.492853687751243"/>
    <x v="3"/>
    <n v="41.507146312248757"/>
    <n v="0.80397277260026034"/>
    <n v="44.406875660364108"/>
    <n v="0.39402839844636967"/>
    <n v="3"/>
    <b v="0"/>
    <n v="-1"/>
    <n v="8.2971112142211784E-2"/>
    <n v="4.5828515415823325"/>
    <n v="0.27355966350066047"/>
    <n v="4"/>
  </r>
  <r>
    <n v="54377"/>
    <s v="54377"/>
    <s v="54"/>
    <s v="COLOMBIA"/>
    <s v="NORTE DE SANTANDER"/>
    <s v="LABATECA"/>
    <x v="6"/>
    <n v="0"/>
    <n v="0"/>
    <n v="0"/>
    <n v="49.85"/>
    <n v="53.474166666666697"/>
    <n v="69.56"/>
    <n v="73.709999999999994"/>
    <n v="55.214660359448814"/>
    <n v="62.771134343073776"/>
    <n v="60.244686555096877"/>
    <n v="67.67601544895588"/>
    <s v="2. Riesgo (&gt;=40 y &lt;60)"/>
    <s v="3. Vulnerable (&gt;=60 y &lt;70)"/>
    <s v="3. Vulnerable (&gt;=60 y &lt;70)"/>
    <s v="3. Vulnerable (&gt;=60 y &lt;70)"/>
    <n v="61.648541666666674"/>
    <n v="61.476624176643838"/>
    <n v="61.562582921655256"/>
    <n v="58.717149716741133"/>
    <x v="3"/>
    <n v="41.282850283258867"/>
    <n v="0.6523467210059386"/>
    <n v="40.160149105598002"/>
    <n v="0.33173512068170607"/>
    <n v="4"/>
    <b v="1"/>
    <n v="0"/>
    <n v="0.6523368619611829"/>
    <n v="40.159542157337704"/>
    <n v="0.31342065268318542"/>
    <n v="4"/>
    <b v="1"/>
    <n v="0"/>
    <n v="58.717149716741133"/>
    <x v="3"/>
    <n v="41.282850283258867"/>
    <n v="0.80397277260026034"/>
    <n v="49.494640479956615"/>
    <n v="0.45901508935046959"/>
    <n v="3"/>
    <b v="0"/>
    <n v="-1"/>
    <n v="8.2522753422622303E-2"/>
    <n v="5.0803138505034955"/>
    <n v="0.30325419333606257"/>
    <n v="3"/>
  </r>
  <r>
    <n v="5425"/>
    <s v="05425"/>
    <s v="50"/>
    <s v="COLOMBIA"/>
    <s v="ANTIOQUIA"/>
    <s v="MACEO"/>
    <x v="6"/>
    <n v="0"/>
    <n v="0"/>
    <n v="0"/>
    <n v="38.44"/>
    <n v="41.682566666666702"/>
    <n v="35.65"/>
    <n v="23.06"/>
    <n v="45.335394591434373"/>
    <n v="46.698456779865602"/>
    <n v="48.024611211770235"/>
    <n v="68.301718871728383"/>
    <s v="2. Riesgo (&gt;=40 y &lt;60)"/>
    <s v="2. Riesgo (&gt;=40 y &lt;60)"/>
    <s v="2. Riesgo (&gt;=40 y &lt;60)"/>
    <s v="3. Vulnerable (&gt;=60 y &lt;70)"/>
    <n v="34.708141666666677"/>
    <n v="52.090045363699645"/>
    <n v="43.399093515183161"/>
    <n v="58.805979764069647"/>
    <x v="3"/>
    <n v="41.194020235930353"/>
    <n v="0.6523467210059386"/>
    <n v="28.311256349259828"/>
    <n v="0.183517962210168"/>
    <n v="5"/>
    <b v="0"/>
    <n v="1"/>
    <n v="0.6523368619611829"/>
    <n v="28.310828475654507"/>
    <n v="0.17338519437213576"/>
    <n v="5"/>
    <b v="0"/>
    <n v="1"/>
    <n v="58.805979764069647"/>
    <x v="4"/>
    <n v="41.194020235930353"/>
    <n v="0.64930463728197152"/>
    <n v="28.179232673242364"/>
    <n v="0.18675057482428067"/>
    <n v="5"/>
    <b v="0"/>
    <n v="1"/>
    <n v="8.2345185739143248E-2"/>
    <n v="3.5737064164182044"/>
    <n v="0.21332175302976741"/>
    <n v="4"/>
  </r>
  <r>
    <n v="17662"/>
    <s v="17662"/>
    <s v="17"/>
    <s v="COLOMBIA"/>
    <s v="CALDAS"/>
    <s v="SAMANÁ"/>
    <x v="6"/>
    <n v="0"/>
    <n v="0"/>
    <n v="0"/>
    <n v="65.510000000000005"/>
    <n v="66.455866666666694"/>
    <n v="53.75"/>
    <n v="47.63"/>
    <n v="52.117529114356884"/>
    <n v="65.6065718821243"/>
    <n v="66.079962991270861"/>
    <n v="59.434749717417269"/>
    <s v="2. Riesgo (&gt;=40 y &lt;60)"/>
    <s v="3. Vulnerable (&gt;=60 y &lt;70)"/>
    <s v="3. Vulnerable (&gt;=60 y &lt;70)"/>
    <s v="2. Riesgo (&gt;=40 y &lt;60)"/>
    <n v="58.336466666666674"/>
    <n v="60.80970342629233"/>
    <n v="59.573085046479505"/>
    <n v="59.082439892672902"/>
    <x v="3"/>
    <n v="40.917560107327098"/>
    <n v="0.6523467210059386"/>
    <n v="38.862306690278821"/>
    <n v="0.31550048012092047"/>
    <n v="4"/>
    <b v="1"/>
    <n v="0"/>
    <n v="0.6523368619611829"/>
    <n v="38.861719356567107"/>
    <n v="0.29808217665997011"/>
    <n v="4"/>
    <b v="1"/>
    <n v="0"/>
    <n v="59.082439892672902"/>
    <x v="4"/>
    <n v="40.917560107327098"/>
    <n v="0.64930463728197152"/>
    <n v="38.681080377872419"/>
    <n v="0.32089206031011847"/>
    <n v="4"/>
    <b v="1"/>
    <n v="0"/>
    <n v="8.1792553087391376E-2"/>
    <n v="4.8726347212438563"/>
    <n v="0.29085740670640858"/>
    <n v="4"/>
  </r>
  <r>
    <n v="68820"/>
    <s v="68820"/>
    <s v="68"/>
    <s v="COLOMBIA"/>
    <s v="SANTANDER"/>
    <s v="TONA"/>
    <x v="6"/>
    <n v="0"/>
    <n v="0"/>
    <n v="0"/>
    <n v="44.51"/>
    <n v="50.311233333333298"/>
    <n v="46.3"/>
    <n v="52"/>
    <n v="41.861650031356064"/>
    <n v="47.744690401151082"/>
    <n v="56.301118016578954"/>
    <n v="63.11598178317054"/>
    <s v="2. Riesgo (&gt;=40 y &lt;60)"/>
    <s v="2. Riesgo (&gt;=40 y &lt;60)"/>
    <s v="2. Riesgo (&gt;=40 y &lt;60)"/>
    <s v="3. Vulnerable (&gt;=60 y &lt;70)"/>
    <n v="48.280308333333323"/>
    <n v="52.255860058064158"/>
    <n v="50.268084195698741"/>
    <n v="59.752998804069243"/>
    <x v="3"/>
    <n v="40.247001195930757"/>
    <n v="0.6523467210059386"/>
    <n v="32.792219896314521"/>
    <n v="0.23957009280302213"/>
    <n v="4"/>
    <b v="1"/>
    <n v="0"/>
    <n v="0.6523368619611829"/>
    <n v="32.791724301022647"/>
    <n v="0.22634320461754479"/>
    <n v="4"/>
    <b v="1"/>
    <n v="0"/>
    <n v="59.752998804069243"/>
    <x v="4"/>
    <n v="40.247001195930757"/>
    <n v="0.64930463728197152"/>
    <n v="32.639300175547774"/>
    <n v="0.24371960512764226"/>
    <n v="4"/>
    <b v="1"/>
    <n v="0"/>
    <n v="8.0452132856694711E-2"/>
    <n v="4.0441745881638704"/>
    <n v="0.24140494830300518"/>
    <n v="4"/>
  </r>
  <r>
    <n v="68211"/>
    <s v="68211"/>
    <s v="68"/>
    <s v="COLOMBIA"/>
    <s v="SANTANDER"/>
    <s v="CONTRATACIÓN"/>
    <x v="6"/>
    <n v="0"/>
    <n v="0"/>
    <n v="0"/>
    <n v="55.1"/>
    <n v="56.634300000000003"/>
    <n v="54.11"/>
    <n v="45.04"/>
    <n v="48.717546006685922"/>
    <n v="53.397224469400307"/>
    <n v="55.793553066712455"/>
    <n v="52.735455243461843"/>
    <s v="2. Riesgo (&gt;=40 y &lt;60)"/>
    <s v="2. Riesgo (&gt;=40 y &lt;60)"/>
    <s v="2. Riesgo (&gt;=40 y &lt;60)"/>
    <s v="2. Riesgo (&gt;=40 y &lt;60)"/>
    <n v="52.721074999999999"/>
    <n v="52.660944696565132"/>
    <n v="52.691009848282562"/>
    <n v="58.98723133513468"/>
    <x v="3"/>
    <n v="41.01276866486532"/>
    <n v="0.6523467210059386"/>
    <n v="34.372807501018748"/>
    <n v="0.25934157764149196"/>
    <n v="4"/>
    <b v="1"/>
    <n v="0"/>
    <n v="0.6523368619611829"/>
    <n v="34.372288017994428"/>
    <n v="0.24502328841753726"/>
    <n v="4"/>
    <b v="1"/>
    <n v="0"/>
    <n v="58.98723133513468"/>
    <x v="4"/>
    <n v="41.01276866486532"/>
    <n v="0.64930463728197152"/>
    <n v="34.212517037559898"/>
    <n v="0.26381451154764629"/>
    <n v="4"/>
    <b v="1"/>
    <n v="0"/>
    <n v="8.1982871155633782E-2"/>
    <n v="4.3197602714519796"/>
    <n v="0.25785521427864377"/>
    <n v="4"/>
  </r>
  <r>
    <n v="73168"/>
    <s v="73168"/>
    <s v="73"/>
    <s v="COLOMBIA"/>
    <s v="TOLIMA"/>
    <s v="CHAPARRAL"/>
    <x v="5"/>
    <n v="0"/>
    <n v="0"/>
    <n v="1"/>
    <n v="82.11"/>
    <n v="80.652299999999997"/>
    <n v="52.52"/>
    <n v="55.66"/>
    <n v="61.988460137526673"/>
    <n v="51.032925766764023"/>
    <n v="62.010949766566839"/>
    <n v="71.538929329697964"/>
    <s v="3. Vulnerable (&gt;=60 y &lt;70)"/>
    <s v="2. Riesgo (&gt;=40 y &lt;60)"/>
    <s v="3. Vulnerable (&gt;=60 y &lt;70)"/>
    <s v="4. Solvente (&gt;=70 y &lt;80)"/>
    <n v="67.735574999999997"/>
    <n v="61.642816250138878"/>
    <n v="64.689195625069431"/>
    <n v="59.011701577472145"/>
    <x v="3"/>
    <n v="40.988298422527855"/>
    <n v="0.6523467210059386"/>
    <n v="42.19978465052575"/>
    <n v="0.3572488113702329"/>
    <n v="3"/>
    <b v="1"/>
    <n v="0"/>
    <n v="0.6523368619611829"/>
    <n v="42.199146876850875"/>
    <n v="0.33752596819198527"/>
    <n v="4"/>
    <b v="0"/>
    <n v="1"/>
    <n v="59.011701577472145"/>
    <x v="4"/>
    <n v="40.988298422527855"/>
    <n v="0.64930463728197152"/>
    <n v="42.002994701398208"/>
    <n v="0.36332330998611334"/>
    <n v="3"/>
    <b v="1"/>
    <n v="0"/>
    <n v="8.1933956127704488E-2"/>
    <n v="5.3002417162809321"/>
    <n v="0.31638213178455987"/>
    <n v="3"/>
  </r>
  <r>
    <n v="47551"/>
    <s v="47551"/>
    <s v="47"/>
    <s v="COLOMBIA"/>
    <s v="MAGDALENA"/>
    <s v="PIVIJAY"/>
    <x v="6"/>
    <n v="0"/>
    <n v="0"/>
    <n v="0"/>
    <n v="58.78"/>
    <n v="62.337200000000003"/>
    <n v="66.69"/>
    <n v="63.6"/>
    <n v="50.302090662111375"/>
    <n v="43.086266074951041"/>
    <n v="33.430929676140821"/>
    <n v="46.078605203284454"/>
    <s v="2. Riesgo (&gt;=40 y &lt;60)"/>
    <s v="2. Riesgo (&gt;=40 y &lt;60)"/>
    <s v="1. Deterioro (&lt;40)"/>
    <s v="2. Riesgo (&gt;=40 y &lt;60)"/>
    <n v="62.851799999999997"/>
    <n v="43.224472904121924"/>
    <n v="53.038136452060961"/>
    <n v="59.043409687640725"/>
    <x v="3"/>
    <n v="40.956590312359275"/>
    <n v="0.6523467210059386"/>
    <n v="34.599254402767514"/>
    <n v="0.26217418968483519"/>
    <n v="4"/>
    <b v="1"/>
    <n v="0"/>
    <n v="0.6523368619611829"/>
    <n v="34.598731497406476"/>
    <n v="0.24769953811627335"/>
    <n v="4"/>
    <b v="1"/>
    <n v="0"/>
    <n v="59.043409687640725"/>
    <x v="4"/>
    <n v="40.956590312359275"/>
    <n v="0.64930463728197152"/>
    <n v="34.437907951117154"/>
    <n v="0.2666934594061503"/>
    <n v="4"/>
    <b v="1"/>
    <n v="0"/>
    <n v="8.1870572893771143E-2"/>
    <n v="4.3422626165482372"/>
    <n v="0.25919842470050758"/>
    <n v="4"/>
  </r>
  <r>
    <n v="15317"/>
    <s v="15317"/>
    <s v="15"/>
    <s v="COLOMBIA"/>
    <s v="BOYACÁ"/>
    <s v="GUACAMAYAS"/>
    <x v="6"/>
    <n v="0"/>
    <n v="0"/>
    <n v="0"/>
    <n v="62.96"/>
    <n v="64.689566666666707"/>
    <n v="55"/>
    <n v="54.86"/>
    <n v="70.668858281845417"/>
    <n v="54.031520204660275"/>
    <n v="48.564977885712878"/>
    <n v="58.884615230226828"/>
    <s v="4. Solvente (&gt;=70 y &lt;80)"/>
    <s v="2. Riesgo (&gt;=40 y &lt;60)"/>
    <s v="2. Riesgo (&gt;=40 y &lt;60)"/>
    <s v="2. Riesgo (&gt;=40 y &lt;60)"/>
    <n v="59.377391666666682"/>
    <n v="58.03749290061134"/>
    <n v="58.707442283639011"/>
    <n v="58.997439400201159"/>
    <x v="3"/>
    <n v="41.002560599798841"/>
    <n v="0.6523467210059386"/>
    <n v="38.297607472377301"/>
    <n v="0.30843668815405573"/>
    <n v="4"/>
    <b v="1"/>
    <n v="0"/>
    <n v="0.6523368619611829"/>
    <n v="38.297028673076333"/>
    <n v="0.29140831139568796"/>
    <n v="4"/>
    <b v="1"/>
    <n v="0"/>
    <n v="58.997439400201159"/>
    <x v="4"/>
    <n v="41.002560599798841"/>
    <n v="0.64930463728197152"/>
    <n v="38.119014517730506"/>
    <n v="0.31371271896554054"/>
    <n v="4"/>
    <b v="1"/>
    <n v="0"/>
    <n v="8.1962465645097973E-2"/>
    <n v="4.8118067212843343"/>
    <n v="0.28722646054780798"/>
    <n v="4"/>
  </r>
  <r>
    <n v="50318"/>
    <s v="50318"/>
    <s v="50"/>
    <s v="COLOMBIA"/>
    <s v="META"/>
    <s v="GUAMAL"/>
    <x v="6"/>
    <n v="0"/>
    <n v="0"/>
    <n v="0"/>
    <n v="63.95"/>
    <n v="67.545900000000003"/>
    <n v="69.290000000000006"/>
    <n v="71.5"/>
    <n v="58.745569039649496"/>
    <n v="56.506044313721979"/>
    <n v="62.076070143729154"/>
    <n v="64.93019911647329"/>
    <s v="2. Riesgo (&gt;=40 y &lt;60)"/>
    <s v="2. Riesgo (&gt;=40 y &lt;60)"/>
    <s v="3. Vulnerable (&gt;=60 y &lt;70)"/>
    <s v="3. Vulnerable (&gt;=60 y &lt;70)"/>
    <n v="68.071475000000007"/>
    <n v="60.564470653393478"/>
    <n v="64.317972826696746"/>
    <n v="59.228273424067687"/>
    <x v="3"/>
    <n v="40.771726575932313"/>
    <n v="0.6523467210059386"/>
    <n v="41.957618675244682"/>
    <n v="0.35421957028646589"/>
    <n v="3"/>
    <b v="0"/>
    <n v="-1"/>
    <n v="0.6523368619611829"/>
    <n v="41.956984561471991"/>
    <n v="0.33466394352578288"/>
    <n v="4"/>
    <b v="1"/>
    <n v="0"/>
    <n v="59.228273424067687"/>
    <x v="4"/>
    <n v="40.771726575932313"/>
    <n v="0.64930463728197152"/>
    <n v="41.761958016950032"/>
    <n v="0.36024451663299656"/>
    <n v="3"/>
    <b v="0"/>
    <n v="-1"/>
    <n v="8.1501037737325491E-2"/>
    <n v="5.2419815305368873"/>
    <n v="0.31290446364213431"/>
    <n v="3"/>
  </r>
  <r>
    <n v="15790"/>
    <s v="15790"/>
    <s v="15"/>
    <s v="COLOMBIA"/>
    <s v="BOYACÁ"/>
    <s v="TASCO"/>
    <x v="5"/>
    <n v="0"/>
    <n v="0"/>
    <n v="0"/>
    <n v="77.150000000000006"/>
    <n v="80.210599999999999"/>
    <n v="84.36"/>
    <n v="66.16"/>
    <n v="53.837647665142448"/>
    <n v="66.562423088451425"/>
    <n v="60.355008047766503"/>
    <n v="52.286950141313824"/>
    <s v="2. Riesgo (&gt;=40 y &lt;60)"/>
    <s v="3. Vulnerable (&gt;=60 y &lt;70)"/>
    <s v="3. Vulnerable (&gt;=60 y &lt;70)"/>
    <s v="2. Riesgo (&gt;=40 y &lt;60)"/>
    <n v="76.97014999999999"/>
    <n v="58.260507235668541"/>
    <n v="67.615328617834265"/>
    <n v="58.918954469972583"/>
    <x v="3"/>
    <n v="41.081045530027417"/>
    <n v="0.6523467210059386"/>
    <n v="44.108637913583188"/>
    <n v="0.38112655357008152"/>
    <n v="3"/>
    <b v="1"/>
    <n v="0"/>
    <n v="0.6523368619611829"/>
    <n v="44.107971291032172"/>
    <n v="0.36008564081606254"/>
    <n v="3"/>
    <b v="1"/>
    <n v="0"/>
    <n v="58.918954469972583"/>
    <x v="4"/>
    <n v="41.081045530027417"/>
    <n v="0.64930463728197152"/>
    <n v="43.902946422904186"/>
    <n v="0.3875916438490985"/>
    <n v="3"/>
    <b v="1"/>
    <n v="0"/>
    <n v="8.2119353856551516E-2"/>
    <n v="5.5525270968949467"/>
    <n v="0.33144155563905309"/>
    <n v="3"/>
  </r>
  <r>
    <n v="41357"/>
    <s v="41357"/>
    <s v="41"/>
    <s v="COLOMBIA"/>
    <s v="HUILA"/>
    <s v="ÍQUIRA"/>
    <x v="6"/>
    <n v="0"/>
    <n v="0"/>
    <n v="0"/>
    <n v="61.78"/>
    <n v="63.531866666666701"/>
    <n v="73.53"/>
    <n v="32.799999999999997"/>
    <n v="46.174965385330751"/>
    <n v="47.186665620906091"/>
    <n v="42.934110405193337"/>
    <n v="54.282974906152312"/>
    <s v="2. Riesgo (&gt;=40 y &lt;60)"/>
    <s v="2. Riesgo (&gt;=40 y &lt;60)"/>
    <s v="2. Riesgo (&gt;=40 y &lt;60)"/>
    <s v="2. Riesgo (&gt;=40 y &lt;60)"/>
    <n v="57.910466666666679"/>
    <n v="47.644679079395623"/>
    <n v="52.777572873031147"/>
    <n v="59.052585460434933"/>
    <x v="3"/>
    <n v="40.947414539565067"/>
    <n v="0.6523467210059386"/>
    <n v="34.42927660637384"/>
    <n v="0.26004794662543645"/>
    <n v="4"/>
    <b v="1"/>
    <n v="0"/>
    <n v="0.6523368619611829"/>
    <n v="34.42875626992079"/>
    <n v="0.24569066529497469"/>
    <n v="4"/>
    <b v="1"/>
    <n v="0"/>
    <n v="59.052585460434933"/>
    <x v="4"/>
    <n v="40.947414539565067"/>
    <n v="0.64930463728197152"/>
    <n v="34.268722810946308"/>
    <n v="0.26453243530230225"/>
    <n v="4"/>
    <b v="1"/>
    <n v="0"/>
    <n v="8.1852230893871364E-2"/>
    <n v="4.3199620808214672"/>
    <n v="0.25786726068745874"/>
    <n v="4"/>
  </r>
  <r>
    <n v="5790"/>
    <s v="05790"/>
    <s v="50"/>
    <s v="COLOMBIA"/>
    <s v="ANTIOQUIA"/>
    <s v="TARAZÁ"/>
    <x v="6"/>
    <n v="0"/>
    <n v="0"/>
    <n v="1"/>
    <n v="44.59"/>
    <n v="45.618766666666701"/>
    <n v="27.42"/>
    <n v="39.42"/>
    <n v="58.518865512895118"/>
    <n v="57.527526402492285"/>
    <n v="52.467866748670545"/>
    <n v="46.359290521418423"/>
    <s v="2. Riesgo (&gt;=40 y &lt;60)"/>
    <s v="2. Riesgo (&gt;=40 y &lt;60)"/>
    <s v="2. Riesgo (&gt;=40 y &lt;60)"/>
    <s v="2. Riesgo (&gt;=40 y &lt;60)"/>
    <n v="39.262191666666681"/>
    <n v="53.718387296369087"/>
    <n v="46.490289481517884"/>
    <n v="58.935066007910727"/>
    <x v="3"/>
    <n v="41.064933992089273"/>
    <n v="0.6523467210059386"/>
    <n v="30.32778790188507"/>
    <n v="0.20874264630889389"/>
    <n v="4"/>
    <b v="1"/>
    <n v="0"/>
    <n v="0.6523368619611829"/>
    <n v="30.327329552040364"/>
    <n v="0.19721745667525389"/>
    <n v="4"/>
    <b v="1"/>
    <n v="0"/>
    <n v="58.935066007910727"/>
    <x v="4"/>
    <n v="41.064933992089273"/>
    <n v="0.64930463728197152"/>
    <n v="30.186360548930825"/>
    <n v="0.21238788383669208"/>
    <n v="4"/>
    <b v="1"/>
    <n v="0"/>
    <n v="8.2087147541740249E-2"/>
    <n v="3.8162552519275734"/>
    <n v="0.22779998284419223"/>
    <n v="4"/>
  </r>
  <r>
    <n v="68169"/>
    <s v="68169"/>
    <s v="68"/>
    <s v="COLOMBIA"/>
    <s v="SANTANDER"/>
    <s v="CHARTA"/>
    <x v="6"/>
    <n v="0"/>
    <n v="0"/>
    <n v="0"/>
    <n v="54.59"/>
    <n v="50.464433333333297"/>
    <n v="54.71"/>
    <n v="58.32"/>
    <n v="67.331211418488635"/>
    <n v="52.973961518417767"/>
    <n v="45.937907778630091"/>
    <n v="43.966913660255379"/>
    <s v="3. Vulnerable (&gt;=60 y &lt;70)"/>
    <s v="2. Riesgo (&gt;=40 y &lt;60)"/>
    <s v="2. Riesgo (&gt;=40 y &lt;60)"/>
    <s v="2. Riesgo (&gt;=40 y &lt;60)"/>
    <n v="54.521108333333324"/>
    <n v="52.552498593947973"/>
    <n v="53.536803463640652"/>
    <n v="59.08101911470326"/>
    <x v="3"/>
    <n v="40.91898088529674"/>
    <n v="0.6523467210059386"/>
    <n v="34.924558192645357"/>
    <n v="0.26624339719369078"/>
    <n v="4"/>
    <b v="1"/>
    <n v="0"/>
    <n v="0.6523368619611829"/>
    <n v="34.924030370903928"/>
    <n v="0.25154412226794409"/>
    <n v="4"/>
    <b v="1"/>
    <n v="0"/>
    <n v="59.08101911470326"/>
    <x v="4"/>
    <n v="40.91898088529674"/>
    <n v="0.64930463728197152"/>
    <n v="34.761694754195389"/>
    <n v="0.27082923093580941"/>
    <n v="4"/>
    <b v="1"/>
    <n v="0"/>
    <n v="8.1795393165274871E-2"/>
    <n v="4.3790638881205366"/>
    <n v="0.26139516692014286"/>
    <n v="4"/>
  </r>
  <r>
    <n v="5495"/>
    <s v="05495"/>
    <s v="50"/>
    <s v="COLOMBIA"/>
    <s v="ANTIOQUIA"/>
    <s v="NECHÍ"/>
    <x v="6"/>
    <n v="0"/>
    <n v="0"/>
    <n v="1"/>
    <n v="36.14"/>
    <n v="42.126933333333298"/>
    <n v="47.65"/>
    <n v="39.799999999999997"/>
    <n v="50.318266273346026"/>
    <n v="49.926535256071041"/>
    <n v="60.259863813420104"/>
    <n v="58.092316470090751"/>
    <s v="2. Riesgo (&gt;=40 y &lt;60)"/>
    <s v="2. Riesgo (&gt;=40 y &lt;60)"/>
    <s v="3. Vulnerable (&gt;=60 y &lt;70)"/>
    <s v="2. Riesgo (&gt;=40 y &lt;60)"/>
    <n v="41.429233333333329"/>
    <n v="54.649245453231984"/>
    <n v="48.039239393282656"/>
    <n v="59.08037463253396"/>
    <x v="3"/>
    <n v="40.91962536746604"/>
    <n v="0.6523467210059386"/>
    <n v="31.338240297827255"/>
    <n v="0.22138234066490839"/>
    <n v="4"/>
    <b v="1"/>
    <n v="0"/>
    <n v="0.6523368619611829"/>
    <n v="31.337766676816049"/>
    <n v="0.20915943026528172"/>
    <n v="4"/>
    <b v="1"/>
    <n v="0"/>
    <n v="59.08037463253396"/>
    <x v="4"/>
    <n v="40.91962536746604"/>
    <n v="0.64930463728197152"/>
    <n v="31.192100909557194"/>
    <n v="0.22523433807807322"/>
    <n v="4"/>
    <b v="1"/>
    <n v="0"/>
    <n v="8.1796681459149395E-2"/>
    <n v="3.9294503621921626"/>
    <n v="0.23455682757130936"/>
    <n v="4"/>
  </r>
  <r>
    <n v="54250"/>
    <s v="54250"/>
    <s v="54"/>
    <s v="COLOMBIA"/>
    <s v="NORTE DE SANTANDER"/>
    <s v="EL TARRA"/>
    <x v="6"/>
    <n v="0"/>
    <n v="0"/>
    <n v="1"/>
    <n v="58.23"/>
    <n v="62.080633333333303"/>
    <n v="62.69"/>
    <n v="67.17"/>
    <n v="58.762975546244427"/>
    <n v="55.748909063009307"/>
    <n v="55.78904264211323"/>
    <n v="67.187067439235506"/>
    <s v="2. Riesgo (&gt;=40 y &lt;60)"/>
    <s v="2. Riesgo (&gt;=40 y &lt;60)"/>
    <s v="2. Riesgo (&gt;=40 y &lt;60)"/>
    <s v="3. Vulnerable (&gt;=60 y &lt;70)"/>
    <n v="62.542658333333321"/>
    <n v="59.371998672650619"/>
    <n v="60.95732850299197"/>
    <n v="59.175568476345305"/>
    <x v="3"/>
    <n v="40.824431523654695"/>
    <n v="0.6523467210059386"/>
    <n v="39.765313370208652"/>
    <n v="0.3267961418280807"/>
    <n v="4"/>
    <b v="1"/>
    <n v="0"/>
    <n v="0.6523368619611829"/>
    <n v="39.764712389178754"/>
    <n v="0.30875430922816072"/>
    <n v="4"/>
    <b v="1"/>
    <n v="0"/>
    <n v="59.175568476345305"/>
    <x v="4"/>
    <n v="40.824431523654695"/>
    <n v="0.64930463728197152"/>
    <n v="39.579876073313187"/>
    <n v="0.33237249624155424"/>
    <n v="4"/>
    <b v="1"/>
    <n v="0"/>
    <n v="8.1606392803053845E-2"/>
    <n v="4.9745076940399526"/>
    <n v="0.2969384101831849"/>
    <n v="3"/>
  </r>
  <r>
    <n v="73770"/>
    <s v="73770"/>
    <s v="73"/>
    <s v="COLOMBIA"/>
    <s v="TOLIMA"/>
    <s v="SUÁREZ"/>
    <x v="6"/>
    <n v="0"/>
    <n v="0"/>
    <n v="0"/>
    <n v="46.71"/>
    <n v="50.2648333333333"/>
    <n v="49.32"/>
    <n v="51.49"/>
    <n v="50.274856589785429"/>
    <n v="49.859483886372587"/>
    <n v="53.675759473699848"/>
    <n v="53.800163245589935"/>
    <s v="2. Riesgo (&gt;=40 y &lt;60)"/>
    <s v="2. Riesgo (&gt;=40 y &lt;60)"/>
    <s v="2. Riesgo (&gt;=40 y &lt;60)"/>
    <s v="2. Riesgo (&gt;=40 y &lt;60)"/>
    <n v="49.446208333333324"/>
    <n v="51.90256579886195"/>
    <n v="50.674387066097637"/>
    <n v="59.110474595903163"/>
    <x v="3"/>
    <n v="40.889525404096837"/>
    <n v="0.6523467210059386"/>
    <n v="33.057270241554541"/>
    <n v="0.24288559323257594"/>
    <n v="4"/>
    <b v="1"/>
    <n v="0"/>
    <n v="0.6523368619611829"/>
    <n v="33.056770640504489"/>
    <n v="0.22947568689537909"/>
    <n v="4"/>
    <b v="1"/>
    <n v="0"/>
    <n v="59.110474595903163"/>
    <x v="4"/>
    <n v="40.889525404096837"/>
    <n v="0.64930463728197152"/>
    <n v="32.903114513438759"/>
    <n v="0.24708934045160411"/>
    <n v="4"/>
    <b v="1"/>
    <n v="0"/>
    <n v="8.1736512845836523E-2"/>
    <n v="4.1419476893829819"/>
    <n v="0.24724122216573677"/>
    <n v="4"/>
  </r>
  <r>
    <n v="52405"/>
    <s v="52405"/>
    <s v="52"/>
    <s v="COLOMBIA"/>
    <s v="NARIÑO"/>
    <s v="LEIVA"/>
    <x v="6"/>
    <n v="0"/>
    <n v="0"/>
    <n v="1"/>
    <n v="44.68"/>
    <n v="54.056633333333302"/>
    <n v="44.13"/>
    <n v="35.31"/>
    <n v="57.398399487598425"/>
    <n v="57.12875940393883"/>
    <n v="60.015297451519373"/>
    <n v="54.266514305329231"/>
    <s v="2. Riesgo (&gt;=40 y &lt;60)"/>
    <s v="2. Riesgo (&gt;=40 y &lt;60)"/>
    <s v="3. Vulnerable (&gt;=60 y &lt;70)"/>
    <s v="2. Riesgo (&gt;=40 y &lt;60)"/>
    <n v="44.544158333333328"/>
    <n v="57.202242662096467"/>
    <n v="50.873200497714897"/>
    <n v="59.190485979598428"/>
    <x v="3"/>
    <n v="40.809514020401572"/>
    <n v="0.6523467210059386"/>
    <n v="33.186965531761999"/>
    <n v="0.24450794460134903"/>
    <n v="4"/>
    <b v="1"/>
    <n v="0"/>
    <n v="0.6523368619611829"/>
    <n v="33.186463970601423"/>
    <n v="0.2310084832315828"/>
    <n v="4"/>
    <b v="1"/>
    <n v="0"/>
    <n v="59.190485979598428"/>
    <x v="4"/>
    <n v="40.809514020401572"/>
    <n v="0.64930463728197152"/>
    <n v="33.032204996541786"/>
    <n v="0.24873823021391614"/>
    <n v="4"/>
    <b v="1"/>
    <n v="0"/>
    <n v="8.1576573315441145E-2"/>
    <n v="4.1500613701929767"/>
    <n v="0.24772554415871315"/>
    <n v="4"/>
  </r>
  <r>
    <n v="23580"/>
    <s v="23580"/>
    <s v="23"/>
    <s v="COLOMBIA"/>
    <s v="CÓRDOBA"/>
    <s v="PUERTO LIBERTADOR"/>
    <x v="6"/>
    <n v="0"/>
    <n v="0"/>
    <n v="1"/>
    <n v="46.95"/>
    <n v="47.274133333333303"/>
    <n v="32.79"/>
    <n v="39.78"/>
    <n v="66.977141829299185"/>
    <n v="70.481844691597757"/>
    <n v="67.491650128901156"/>
    <n v="61.629706063464099"/>
    <s v="3. Vulnerable (&gt;=60 y &lt;70)"/>
    <s v="4. Solvente (&gt;=70 y &lt;80)"/>
    <s v="3. Vulnerable (&gt;=60 y &lt;70)"/>
    <s v="3. Vulnerable (&gt;=60 y &lt;70)"/>
    <n v="41.698533333333323"/>
    <n v="66.645085678315539"/>
    <n v="54.171809505824427"/>
    <n v="59.15217424286935"/>
    <x v="3"/>
    <n v="40.84782575713065"/>
    <n v="0.6523467210059386"/>
    <n v="35.338802302082904"/>
    <n v="0.27142515434830455"/>
    <n v="4"/>
    <b v="1"/>
    <n v="0"/>
    <n v="0.6523368619611829"/>
    <n v="35.338268219788482"/>
    <n v="0.25643984247662854"/>
    <n v="4"/>
    <b v="1"/>
    <n v="0"/>
    <n v="59.15217424286935"/>
    <x v="4"/>
    <n v="40.84782575713065"/>
    <n v="0.64930463728197152"/>
    <n v="35.174007122087389"/>
    <n v="0.27609575117765522"/>
    <n v="4"/>
    <b v="1"/>
    <n v="0"/>
    <n v="8.165315693264763E-2"/>
    <n v="4.4232992629045746"/>
    <n v="0.26403566577352028"/>
    <n v="4"/>
  </r>
  <r>
    <n v="19050"/>
    <s v="19050"/>
    <s v="19"/>
    <s v="COLOMBIA"/>
    <s v="CAUCA"/>
    <s v="ARGELIA"/>
    <x v="6"/>
    <n v="0"/>
    <n v="0"/>
    <n v="1"/>
    <n v="44.12"/>
    <n v="51.095133333333301"/>
    <n v="70.31"/>
    <n v="65.58"/>
    <n v="51.680543837807051"/>
    <n v="47.422344718010436"/>
    <n v="54.012939429223778"/>
    <n v="60.743829313577194"/>
    <s v="2. Riesgo (&gt;=40 y &lt;60)"/>
    <s v="2. Riesgo (&gt;=40 y &lt;60)"/>
    <s v="2. Riesgo (&gt;=40 y &lt;60)"/>
    <s v="3. Vulnerable (&gt;=60 y &lt;70)"/>
    <n v="57.776283333333325"/>
    <n v="53.464914324654615"/>
    <n v="55.62059882899397"/>
    <n v="59.242143821429949"/>
    <x v="3"/>
    <n v="40.757856178570051"/>
    <n v="0.6523467210059386"/>
    <n v="36.283915266480967"/>
    <n v="0.2832475212899549"/>
    <n v="4"/>
    <b v="1"/>
    <n v="0"/>
    <n v="0.6523368619611829"/>
    <n v="36.283366900507772"/>
    <n v="0.2676096057487623"/>
    <n v="4"/>
    <b v="1"/>
    <n v="0"/>
    <n v="59.242143821429949"/>
    <x v="4"/>
    <n v="40.757856178570051"/>
    <n v="0.64930463728197152"/>
    <n v="36.114712748065976"/>
    <n v="0.28811150817801806"/>
    <n v="4"/>
    <b v="1"/>
    <n v="0"/>
    <n v="8.1473311372175158E-2"/>
    <n v="4.5315943671014667"/>
    <n v="0.27050001924298528"/>
    <n v="4"/>
  </r>
  <r>
    <n v="68444"/>
    <s v="68444"/>
    <s v="68"/>
    <s v="COLOMBIA"/>
    <s v="SANTANDER"/>
    <s v="MATANZA"/>
    <x v="6"/>
    <n v="0"/>
    <n v="0"/>
    <n v="0"/>
    <n v="52.53"/>
    <n v="56.179600000000001"/>
    <n v="43.2"/>
    <n v="39.659999999999997"/>
    <n v="52.487350078586083"/>
    <n v="42.352198072728889"/>
    <n v="51.487759487253108"/>
    <n v="50.471970489927429"/>
    <s v="2. Riesgo (&gt;=40 y &lt;60)"/>
    <s v="2. Riesgo (&gt;=40 y &lt;60)"/>
    <s v="2. Riesgo (&gt;=40 y &lt;60)"/>
    <s v="2. Riesgo (&gt;=40 y &lt;60)"/>
    <n v="47.892400000000002"/>
    <n v="49.199819532123875"/>
    <n v="48.546109766061939"/>
    <n v="59.210440421773981"/>
    <x v="3"/>
    <n v="40.789559578226019"/>
    <n v="0.6523467210059386"/>
    <n v="31.668895523484878"/>
    <n v="0.225518488994424"/>
    <n v="4"/>
    <b v="1"/>
    <n v="0"/>
    <n v="0.6523368619611829"/>
    <n v="31.668416905215981"/>
    <n v="0.21306726005327101"/>
    <n v="4"/>
    <b v="1"/>
    <n v="0"/>
    <n v="59.210440421773981"/>
    <x v="4"/>
    <n v="40.789559578226019"/>
    <n v="0.64930463728197152"/>
    <n v="31.521214193103621"/>
    <n v="0.22943814544509258"/>
    <n v="4"/>
    <b v="1"/>
    <n v="0"/>
    <n v="8.1536685189983707E-2"/>
    <n v="3.9582888691937859"/>
    <n v="0.23627825629306579"/>
    <n v="4"/>
  </r>
  <r>
    <n v="68575"/>
    <s v="68575"/>
    <s v="68"/>
    <s v="COLOMBIA"/>
    <s v="SANTANDER"/>
    <s v="PUERTO WILCHES"/>
    <x v="6"/>
    <n v="0"/>
    <n v="0"/>
    <n v="0"/>
    <n v="40.51"/>
    <n v="44.027900000000002"/>
    <n v="54.9"/>
    <n v="43.96"/>
    <n v="49.984722949555774"/>
    <n v="57.129400685816229"/>
    <n v="60.556555361000697"/>
    <n v="65.073329573767481"/>
    <s v="2. Riesgo (&gt;=40 y &lt;60)"/>
    <s v="2. Riesgo (&gt;=40 y &lt;60)"/>
    <s v="3. Vulnerable (&gt;=60 y &lt;70)"/>
    <s v="3. Vulnerable (&gt;=60 y &lt;70)"/>
    <n v="45.849475000000005"/>
    <n v="58.186002142535045"/>
    <n v="52.017738571267529"/>
    <n v="59.213304938535195"/>
    <x v="3"/>
    <n v="40.786695061464805"/>
    <n v="0.6523467210059386"/>
    <n v="33.933601191110512"/>
    <n v="0.25384756967162941"/>
    <n v="4"/>
    <b v="1"/>
    <n v="0"/>
    <n v="0.6523368619611829"/>
    <n v="33.933088345897843"/>
    <n v="0.23983255387669122"/>
    <n v="4"/>
    <b v="1"/>
    <n v="0"/>
    <n v="59.213304938535195"/>
    <x v="4"/>
    <n v="40.786695061464805"/>
    <n v="0.64930463728197152"/>
    <n v="33.775358875245281"/>
    <n v="0.25823063269751895"/>
    <n v="4"/>
    <b v="1"/>
    <n v="0"/>
    <n v="8.153095913645933E-2"/>
    <n v="4.2410561178250372"/>
    <n v="0.2531572044070744"/>
    <n v="4"/>
  </r>
  <r>
    <n v="68867"/>
    <s v="68867"/>
    <s v="68"/>
    <s v="COLOMBIA"/>
    <s v="SANTANDER"/>
    <s v="VETAS"/>
    <x v="6"/>
    <n v="0"/>
    <n v="0"/>
    <n v="0"/>
    <n v="53.45"/>
    <n v="53.948966666666699"/>
    <n v="35.119999999999997"/>
    <n v="42.75"/>
    <n v="52.617929429403958"/>
    <n v="47.900495343255344"/>
    <n v="55.896785793211791"/>
    <n v="46.865619457414766"/>
    <s v="2. Riesgo (&gt;=40 y &lt;60)"/>
    <s v="2. Riesgo (&gt;=40 y &lt;60)"/>
    <s v="2. Riesgo (&gt;=40 y &lt;60)"/>
    <s v="2. Riesgo (&gt;=40 y &lt;60)"/>
    <n v="46.317241666666675"/>
    <n v="50.820207505821465"/>
    <n v="48.568724586244073"/>
    <n v="59.122455634246506"/>
    <x v="3"/>
    <n v="40.877544365753494"/>
    <n v="0.6523467210059386"/>
    <n v="31.683648227276834"/>
    <n v="0.22570302976804577"/>
    <n v="4"/>
    <b v="1"/>
    <n v="0"/>
    <n v="0.6523368619611829"/>
    <n v="31.68316938604741"/>
    <n v="0.21324161403547989"/>
    <n v="4"/>
    <b v="1"/>
    <n v="0"/>
    <n v="59.122455634246506"/>
    <x v="4"/>
    <n v="40.877544365753494"/>
    <n v="0.64930463728197152"/>
    <n v="31.53589810071918"/>
    <n v="0.22962570493325957"/>
    <n v="4"/>
    <b v="1"/>
    <n v="0"/>
    <n v="8.1712563233196617E-2"/>
    <n v="3.96867497890918"/>
    <n v="0.23689822415653342"/>
    <n v="4"/>
  </r>
  <r>
    <n v="15542"/>
    <s v="15542"/>
    <s v="15"/>
    <s v="COLOMBIA"/>
    <s v="BOYACÁ"/>
    <s v="PESCA"/>
    <x v="6"/>
    <n v="0"/>
    <n v="0"/>
    <n v="0"/>
    <n v="61.1"/>
    <n v="62.208399999999997"/>
    <n v="44.24"/>
    <n v="64.790000000000006"/>
    <n v="57.492880804692518"/>
    <n v="63.924968941123794"/>
    <n v="59.929657231148241"/>
    <n v="67.174637912435969"/>
    <s v="2. Riesgo (&gt;=40 y &lt;60)"/>
    <s v="3. Vulnerable (&gt;=60 y &lt;70)"/>
    <s v="2. Riesgo (&gt;=40 y &lt;60)"/>
    <s v="3. Vulnerable (&gt;=60 y &lt;70)"/>
    <n v="58.084600000000009"/>
    <n v="62.130536222350131"/>
    <n v="60.10756811117507"/>
    <n v="59.385287330141722"/>
    <x v="3"/>
    <n v="40.614712669858278"/>
    <n v="0.6523467210059386"/>
    <n v="39.210974964966177"/>
    <n v="0.31986195270625462"/>
    <n v="4"/>
    <b v="1"/>
    <n v="0"/>
    <n v="0.6523368619611829"/>
    <n v="39.210382361762008"/>
    <n v="0.30220289263305117"/>
    <n v="4"/>
    <b v="1"/>
    <n v="0"/>
    <n v="59.385287330141722"/>
    <x v="4"/>
    <n v="40.614712669858278"/>
    <n v="0.64930463728197152"/>
    <n v="39.028122710327928"/>
    <n v="0.32532487778294544"/>
    <n v="4"/>
    <b v="1"/>
    <n v="0"/>
    <n v="8.1187173269005944E-2"/>
    <n v="4.8799635470205471"/>
    <n v="0.29129487911744684"/>
    <n v="4"/>
  </r>
  <r>
    <n v="68013"/>
    <s v="68013"/>
    <s v="68"/>
    <s v="COLOMBIA"/>
    <s v="SANTANDER"/>
    <s v="AGUADA"/>
    <x v="6"/>
    <n v="0"/>
    <n v="0"/>
    <n v="0"/>
    <n v="48.54"/>
    <n v="46.255899999999997"/>
    <n v="83"/>
    <n v="44.83"/>
    <n v="61.730322796039367"/>
    <n v="59.920920872293806"/>
    <n v="58.939547385695825"/>
    <n v="61.780046813177009"/>
    <s v="3. Vulnerable (&gt;=60 y &lt;70)"/>
    <s v="2. Riesgo (&gt;=40 y &lt;60)"/>
    <s v="2. Riesgo (&gt;=40 y &lt;60)"/>
    <s v="3. Vulnerable (&gt;=60 y &lt;70)"/>
    <n v="55.656475"/>
    <n v="60.592709466801495"/>
    <n v="58.124592233400747"/>
    <n v="59.69909644583722"/>
    <x v="3"/>
    <n v="40.30090355416278"/>
    <n v="0.6523467210059386"/>
    <n v="37.917387153266226"/>
    <n v="0.3036805327519706"/>
    <n v="4"/>
    <b v="1"/>
    <n v="0"/>
    <n v="0.6523368619611829"/>
    <n v="37.916814100309985"/>
    <n v="0.28691469939827896"/>
    <n v="4"/>
    <b v="1"/>
    <n v="0"/>
    <n v="59.69909644583722"/>
    <x v="4"/>
    <n v="40.30090355416278"/>
    <n v="0.64930463728197152"/>
    <n v="37.74056727727077"/>
    <n v="0.30887876246178136"/>
    <n v="4"/>
    <b v="1"/>
    <n v="0"/>
    <n v="8.0559881497758931E-2"/>
    <n v="4.6825102624283232"/>
    <n v="0.27950849380689435"/>
    <n v="4"/>
  </r>
  <r>
    <n v="27787"/>
    <s v="27787"/>
    <s v="27"/>
    <s v="COLOMBIA"/>
    <s v="CHOCÓ"/>
    <s v="TADÓ"/>
    <x v="6"/>
    <n v="0"/>
    <n v="0"/>
    <n v="0"/>
    <n v="66.430000000000007"/>
    <n v="66.807100000000005"/>
    <n v="58.68"/>
    <n v="68.510000000000005"/>
    <n v="44.085661823889637"/>
    <n v="47.542026160753828"/>
    <n v="46.988583194522889"/>
    <n v="48.484373602930226"/>
    <s v="2. Riesgo (&gt;=40 y &lt;60)"/>
    <s v="2. Riesgo (&gt;=40 y &lt;60)"/>
    <s v="2. Riesgo (&gt;=40 y &lt;60)"/>
    <s v="2. Riesgo (&gt;=40 y &lt;60)"/>
    <n v="65.106774999999999"/>
    <n v="46.775161195524142"/>
    <n v="55.940968097762067"/>
    <n v="59.330020458960298"/>
    <x v="3"/>
    <n v="40.669979541039702"/>
    <n v="0.6523467210059386"/>
    <n v="36.492907108472906"/>
    <n v="0.2858617889351075"/>
    <n v="4"/>
    <b v="1"/>
    <n v="0"/>
    <n v="0.6523368619611829"/>
    <n v="36.492355583964752"/>
    <n v="0.27007956382657144"/>
    <n v="4"/>
    <b v="1"/>
    <n v="0"/>
    <n v="59.330020458960298"/>
    <x v="4"/>
    <n v="40.669979541039702"/>
    <n v="0.64930463728197152"/>
    <n v="36.322729999919737"/>
    <n v="0.29076853996472379"/>
    <n v="4"/>
    <b v="1"/>
    <n v="0"/>
    <n v="8.1297649516446496E-2"/>
    <n v="4.5478692180225755"/>
    <n v="0.27147149796122561"/>
    <n v="4"/>
  </r>
  <r>
    <n v="15822"/>
    <s v="15822"/>
    <s v="15"/>
    <s v="COLOMBIA"/>
    <s v="BOYACÁ"/>
    <s v="TOTA"/>
    <x v="5"/>
    <n v="0"/>
    <n v="0"/>
    <n v="0"/>
    <n v="71.16"/>
    <n v="68.955233333333297"/>
    <n v="50.73"/>
    <n v="81.02"/>
    <n v="51.718644898858869"/>
    <n v="55.202763855655462"/>
    <n v="47.036841253770923"/>
    <n v="56.259424225871605"/>
    <s v="2. Riesgo (&gt;=40 y &lt;60)"/>
    <s v="2. Riesgo (&gt;=40 y &lt;60)"/>
    <s v="2. Riesgo (&gt;=40 y &lt;60)"/>
    <s v="2. Riesgo (&gt;=40 y &lt;60)"/>
    <n v="67.966308333333316"/>
    <n v="52.554418558539219"/>
    <n v="60.260363445936264"/>
    <n v="59.410800500305768"/>
    <x v="3"/>
    <n v="40.589199499694232"/>
    <n v="0.6523467210059386"/>
    <n v="39.310650500582646"/>
    <n v="0.32110878858889852"/>
    <n v="4"/>
    <b v="0"/>
    <n v="1"/>
    <n v="0.6523368619611829"/>
    <n v="39.310056390962437"/>
    <n v="0.30338090222428371"/>
    <n v="4"/>
    <b v="0"/>
    <n v="1"/>
    <n v="59.410800500305768"/>
    <x v="4"/>
    <n v="40.589199499694232"/>
    <n v="0.64930463728197152"/>
    <n v="39.127333429743423"/>
    <n v="0.32659210938378513"/>
    <n v="4"/>
    <b v="0"/>
    <n v="1"/>
    <n v="8.1136173470396325E-2"/>
    <n v="4.8892953019386143"/>
    <n v="0.29185191041381209"/>
    <n v="3"/>
  </r>
  <r>
    <n v="85010"/>
    <s v="85010"/>
    <s v="85"/>
    <s v="COLOMBIA"/>
    <s v="CASANARE"/>
    <s v="AGUAZUL"/>
    <x v="5"/>
    <n v="0"/>
    <n v="0"/>
    <n v="0"/>
    <n v="69.989999999999995"/>
    <n v="77.8386"/>
    <n v="84.1"/>
    <n v="83.73"/>
    <n v="49.581224696269011"/>
    <n v="63.291532648241905"/>
    <n v="63.498654503532357"/>
    <n v="71.252815196853007"/>
    <s v="2. Riesgo (&gt;=40 y &lt;60)"/>
    <s v="3. Vulnerable (&gt;=60 y &lt;70)"/>
    <s v="3. Vulnerable (&gt;=60 y &lt;70)"/>
    <s v="4. Solvente (&gt;=70 y &lt;80)"/>
    <n v="78.914649999999995"/>
    <n v="61.906056761224065"/>
    <n v="70.410353380612037"/>
    <n v="59.448958574416324"/>
    <x v="3"/>
    <n v="40.551041425583676"/>
    <n v="0.6523467210059386"/>
    <n v="45.931963152711667"/>
    <n v="0.40393443034561405"/>
    <n v="3"/>
    <b v="1"/>
    <n v="0"/>
    <n v="0.6523368619611829"/>
    <n v="45.931268973886425"/>
    <n v="0.38163450540299881"/>
    <n v="3"/>
    <b v="1"/>
    <n v="0"/>
    <n v="59.448958574416324"/>
    <x v="4"/>
    <n v="40.551041425583676"/>
    <n v="0.64930463728197152"/>
    <n v="45.717768962693732"/>
    <n v="0.41077261144904015"/>
    <n v="3"/>
    <b v="1"/>
    <n v="0"/>
    <n v="8.1059897018569443E-2"/>
    <n v="5.7074559940734941"/>
    <n v="0.34068957438767228"/>
    <n v="3"/>
  </r>
  <r>
    <n v="15580"/>
    <s v="15580"/>
    <s v="15"/>
    <s v="COLOMBIA"/>
    <s v="BOYACÁ"/>
    <s v="QUÍPAMA"/>
    <x v="6"/>
    <n v="0"/>
    <n v="0"/>
    <n v="0"/>
    <n v="66.12"/>
    <n v="65.241399999999999"/>
    <n v="61.19"/>
    <n v="58.35"/>
    <n v="62.067307446437042"/>
    <n v="53.750481182353049"/>
    <n v="51.025870420039645"/>
    <n v="52.468452649376715"/>
    <s v="3. Vulnerable (&gt;=60 y &lt;70)"/>
    <s v="2. Riesgo (&gt;=40 y &lt;60)"/>
    <s v="2. Riesgo (&gt;=40 y &lt;60)"/>
    <s v="2. Riesgo (&gt;=40 y &lt;60)"/>
    <n v="62.725349999999999"/>
    <n v="54.828027924551606"/>
    <n v="58.776688962275799"/>
    <n v="59.4751320812872"/>
    <x v="3"/>
    <n v="40.5248679187128"/>
    <n v="0.6523467210059386"/>
    <n v="38.342780316126564"/>
    <n v="0.30900175281269338"/>
    <n v="4"/>
    <b v="1"/>
    <n v="0"/>
    <n v="0.6523368619611829"/>
    <n v="38.342200834119488"/>
    <n v="0.29194218405431738"/>
    <n v="4"/>
    <b v="1"/>
    <n v="0"/>
    <n v="59.4751320812872"/>
    <x v="4"/>
    <n v="40.5248679187128"/>
    <n v="0.64930463728197152"/>
    <n v="38.163976707285748"/>
    <n v="0.31428702694136246"/>
    <n v="4"/>
    <b v="1"/>
    <n v="0"/>
    <n v="8.1007577233503963E-2"/>
    <n v="4.7613571706411966"/>
    <n v="0.28421502498798812"/>
    <n v="4"/>
  </r>
  <r>
    <n v="41016"/>
    <s v="41016"/>
    <s v="41"/>
    <s v="COLOMBIA"/>
    <s v="HUILA"/>
    <s v="AIPE"/>
    <x v="6"/>
    <n v="0"/>
    <n v="0"/>
    <n v="0"/>
    <n v="58.08"/>
    <n v="60.5581666666667"/>
    <n v="59.21"/>
    <n v="59.88"/>
    <n v="56.505625526856583"/>
    <n v="65.524787613300902"/>
    <n v="67.265582887829524"/>
    <n v="69.122624152355712"/>
    <s v="2. Riesgo (&gt;=40 y &lt;60)"/>
    <s v="3. Vulnerable (&gt;=60 y &lt;70)"/>
    <s v="3. Vulnerable (&gt;=60 y &lt;70)"/>
    <s v="3. Vulnerable (&gt;=60 y &lt;70)"/>
    <n v="59.432041666666677"/>
    <n v="64.604655045085678"/>
    <n v="62.018348355876178"/>
    <n v="59.448531981099975"/>
    <x v="3"/>
    <n v="40.551468018900025"/>
    <n v="0.6523467210059386"/>
    <n v="40.45746619215987"/>
    <n v="0.33545424403284485"/>
    <n v="4"/>
    <b v="1"/>
    <n v="0"/>
    <n v="0.6523368619611829"/>
    <n v="40.45685475048775"/>
    <n v="0.31693447758957805"/>
    <n v="4"/>
    <b v="1"/>
    <n v="0"/>
    <n v="59.448531981099975"/>
    <x v="4"/>
    <n v="40.551468018900025"/>
    <n v="0.64930463728197152"/>
    <n v="40.268801184039134"/>
    <n v="0.34117222752127285"/>
    <n v="4"/>
    <b v="1"/>
    <n v="0"/>
    <n v="8.1060749761410977E-2"/>
    <n v="5.0272538166916929"/>
    <n v="0.30008693276408283"/>
    <n v="3"/>
  </r>
  <r>
    <n v="68235"/>
    <s v="68235"/>
    <s v="68"/>
    <s v="COLOMBIA"/>
    <s v="SANTANDER"/>
    <s v="EL CARMEN DE CHUCURÍ"/>
    <x v="6"/>
    <n v="0"/>
    <n v="0"/>
    <n v="0"/>
    <n v="57.16"/>
    <n v="59.206699999999998"/>
    <n v="61.29"/>
    <n v="67.3"/>
    <s v="N.D."/>
    <n v="58.468577820885017"/>
    <n v="56.560890265562605"/>
    <n v="60.089206483128365"/>
    <s v="6. Sin info."/>
    <s v="2. Riesgo (&gt;=40 y &lt;60)"/>
    <s v="2. Riesgo (&gt;=40 y &lt;60)"/>
    <s v="3. Vulnerable (&gt;=60 y &lt;70)"/>
    <n v="61.239175000000003"/>
    <n v="58.372891523192003"/>
    <n v="59.806033261595999"/>
    <n v="59.460259199260875"/>
    <x v="3"/>
    <n v="40.539740800739125"/>
    <n v="0.6523467210059386"/>
    <n v="39.014269694574253"/>
    <n v="0.317401377120551"/>
    <n v="4"/>
    <b v="1"/>
    <n v="0"/>
    <n v="0.6523368619611829"/>
    <n v="39.013680064215663"/>
    <n v="0.29987814269582203"/>
    <n v="4"/>
    <b v="1"/>
    <n v="0"/>
    <n v="59.460259199260875"/>
    <x v="4"/>
    <n v="40.539740800739125"/>
    <n v="0.64930463728197152"/>
    <n v="38.832334734194113"/>
    <n v="0.32282405214754067"/>
    <n v="4"/>
    <b v="1"/>
    <n v="0"/>
    <n v="8.1037307525083174E-2"/>
    <n v="4.8465199092753082"/>
    <n v="0.28929856084162797"/>
    <n v="4"/>
  </r>
  <r>
    <n v="5858"/>
    <s v="05858"/>
    <s v="50"/>
    <s v="COLOMBIA"/>
    <s v="ANTIOQUIA"/>
    <s v="VEGACHÍ"/>
    <x v="6"/>
    <n v="0"/>
    <n v="0"/>
    <n v="0"/>
    <n v="55.67"/>
    <n v="61.972499999999997"/>
    <n v="57.57"/>
    <n v="67.87"/>
    <n v="64.174800245812506"/>
    <n v="60.074897420676294"/>
    <n v="57.892091132825101"/>
    <n v="63.980068203469088"/>
    <s v="3. Vulnerable (&gt;=60 y &lt;70)"/>
    <s v="3. Vulnerable (&gt;=60 y &lt;70)"/>
    <s v="2. Riesgo (&gt;=40 y &lt;60)"/>
    <s v="3. Vulnerable (&gt;=60 y &lt;70)"/>
    <n v="60.770625000000003"/>
    <n v="61.530464250695744"/>
    <n v="61.150544625347877"/>
    <n v="59.292477827047108"/>
    <x v="3"/>
    <n v="40.707522172952892"/>
    <n v="0.6523467210059386"/>
    <n v="39.891357274073009"/>
    <n v="0.32837281820262559"/>
    <n v="4"/>
    <b v="1"/>
    <n v="0"/>
    <n v="0.6523368619611829"/>
    <n v="39.890754388116711"/>
    <n v="0.31024395186464393"/>
    <n v="4"/>
    <b v="1"/>
    <n v="0"/>
    <n v="59.292477827047108"/>
    <x v="4"/>
    <n v="40.707522172952892"/>
    <n v="0.64930463728197152"/>
    <n v="39.705332197556515"/>
    <n v="0.33397496385893138"/>
    <n v="4"/>
    <b v="1"/>
    <n v="0"/>
    <n v="8.1372695724132041E-2"/>
    <n v="4.9759846611633911"/>
    <n v="0.29702657333349064"/>
    <n v="3"/>
  </r>
  <r>
    <n v="15368"/>
    <s v="15368"/>
    <s v="15"/>
    <s v="COLOMBIA"/>
    <s v="BOYACÁ"/>
    <s v="JERICÓ"/>
    <x v="6"/>
    <n v="0"/>
    <n v="0"/>
    <n v="0"/>
    <n v="75.040000000000006"/>
    <n v="78.557333333333304"/>
    <n v="80.16"/>
    <n v="76.13"/>
    <n v="55.557439240155936"/>
    <n v="65.910365493501288"/>
    <n v="61.393429358285843"/>
    <n v="55.138477651350847"/>
    <s v="2. Riesgo (&gt;=40 y &lt;60)"/>
    <s v="3. Vulnerable (&gt;=60 y &lt;70)"/>
    <s v="3. Vulnerable (&gt;=60 y &lt;70)"/>
    <s v="2. Riesgo (&gt;=40 y &lt;60)"/>
    <n v="77.471833333333336"/>
    <n v="59.499927935823479"/>
    <n v="68.485880634578407"/>
    <n v="59.470774948902793"/>
    <x v="3"/>
    <n v="40.529225051097207"/>
    <n v="0.6523467210059386"/>
    <n v="44.676539667171333"/>
    <n v="0.38823040588259511"/>
    <n v="3"/>
    <b v="0"/>
    <n v="-1"/>
    <n v="0.6523368619611829"/>
    <n v="44.675864461809027"/>
    <n v="0.36679735506436861"/>
    <n v="3"/>
    <b v="0"/>
    <n v="-1"/>
    <n v="59.470774948902793"/>
    <x v="4"/>
    <n v="40.529225051097207"/>
    <n v="0.64930463728197152"/>
    <n v="44.46819988437133"/>
    <n v="0.39481170084571493"/>
    <n v="3"/>
    <b v="0"/>
    <n v="-1"/>
    <n v="8.1016286965485185E-2"/>
    <n v="5.5484717585749692"/>
    <n v="0.33119948430505319"/>
    <n v="3"/>
  </r>
  <r>
    <n v="27205"/>
    <s v="27205"/>
    <s v="27"/>
    <s v="COLOMBIA"/>
    <s v="CHOCÓ"/>
    <s v="CONDOTO"/>
    <x v="6"/>
    <n v="0"/>
    <n v="0"/>
    <n v="1"/>
    <n v="62.31"/>
    <n v="70.790133333333301"/>
    <n v="82.46"/>
    <n v="66.38"/>
    <n v="57.92924519942634"/>
    <n v="51.270518170642731"/>
    <n v="56.745000125775242"/>
    <n v="65.88485406577621"/>
    <s v="2. Riesgo (&gt;=40 y &lt;60)"/>
    <s v="2. Riesgo (&gt;=40 y &lt;60)"/>
    <s v="2. Riesgo (&gt;=40 y &lt;60)"/>
    <s v="3. Vulnerable (&gt;=60 y &lt;70)"/>
    <n v="70.48503333333332"/>
    <n v="57.957404390405131"/>
    <n v="64.221218861869232"/>
    <n v="59.498402401557335"/>
    <x v="3"/>
    <n v="40.501597598442665"/>
    <n v="0.6523467210059386"/>
    <n v="41.894501543545132"/>
    <n v="0.35343004150063256"/>
    <n v="3"/>
    <b v="0"/>
    <n v="-1"/>
    <n v="0.6523368619611829"/>
    <n v="41.893868383674103"/>
    <n v="0.33391799733092864"/>
    <n v="4"/>
    <b v="1"/>
    <n v="0"/>
    <n v="59.498402401557335"/>
    <x v="4"/>
    <n v="40.501597598442665"/>
    <n v="0.64930463728197152"/>
    <n v="41.699135218912112"/>
    <n v="0.35944207274995799"/>
    <n v="3"/>
    <b v="0"/>
    <n v="-1"/>
    <n v="8.0961060801413118E-2"/>
    <n v="5.1994180050166543"/>
    <n v="0.31036376084758199"/>
    <n v="3"/>
  </r>
  <r>
    <n v="17495"/>
    <s v="17495"/>
    <s v="17"/>
    <s v="COLOMBIA"/>
    <s v="CALDAS"/>
    <s v="NORCASIA"/>
    <x v="6"/>
    <n v="0"/>
    <n v="0"/>
    <n v="0"/>
    <n v="51.51"/>
    <n v="55.028833333333303"/>
    <n v="59.88"/>
    <n v="42.97"/>
    <n v="68.812718391643728"/>
    <n v="54.958695150963528"/>
    <n v="61.267681226752323"/>
    <n v="67.94820612469529"/>
    <s v="3. Vulnerable (&gt;=60 y &lt;70)"/>
    <s v="2. Riesgo (&gt;=40 y &lt;60)"/>
    <s v="3. Vulnerable (&gt;=60 y &lt;70)"/>
    <s v="3. Vulnerable (&gt;=60 y &lt;70)"/>
    <n v="52.347208333333327"/>
    <n v="63.246825223513724"/>
    <n v="57.797016778423526"/>
    <n v="59.615539229460893"/>
    <x v="3"/>
    <n v="40.384460770539107"/>
    <n v="0.6523467210059386"/>
    <n v="37.703694379329804"/>
    <n v="0.30100746140344187"/>
    <n v="4"/>
    <b v="1"/>
    <n v="0"/>
    <n v="0.6523368619611829"/>
    <n v="37.703124555954638"/>
    <n v="0.28438918362635685"/>
    <n v="4"/>
    <b v="1"/>
    <n v="0"/>
    <n v="59.615539229460893"/>
    <x v="4"/>
    <n v="40.384460770539107"/>
    <n v="0.64930463728197152"/>
    <n v="37.527871015294309"/>
    <n v="0.30616196506181254"/>
    <n v="4"/>
    <b v="1"/>
    <n v="0"/>
    <n v="8.0726909004735614E-2"/>
    <n v="4.6657745142169738"/>
    <n v="0.27850950319862605"/>
    <n v="4"/>
  </r>
  <r>
    <n v="23068"/>
    <s v="23068"/>
    <s v="23"/>
    <s v="COLOMBIA"/>
    <s v="CÓRDOBA"/>
    <s v="AYAPEL"/>
    <x v="6"/>
    <n v="0"/>
    <n v="0"/>
    <n v="0"/>
    <n v="41.72"/>
    <n v="43.726100000000002"/>
    <n v="36.58"/>
    <n v="28.12"/>
    <n v="63.926505715382703"/>
    <n v="68.686186418285217"/>
    <n v="62.865922275400351"/>
    <n v="60.264777045073963"/>
    <s v="3. Vulnerable (&gt;=60 y &lt;70)"/>
    <s v="3. Vulnerable (&gt;=60 y &lt;70)"/>
    <s v="3. Vulnerable (&gt;=60 y &lt;70)"/>
    <s v="3. Vulnerable (&gt;=60 y &lt;70)"/>
    <n v="37.536524999999997"/>
    <n v="63.935847863535557"/>
    <n v="50.736186431767777"/>
    <n v="59.480442937951594"/>
    <x v="3"/>
    <n v="40.519557062048406"/>
    <n v="0.6523467210059386"/>
    <n v="33.097584855109702"/>
    <n v="0.24338988655254271"/>
    <n v="4"/>
    <b v="1"/>
    <n v="0"/>
    <n v="0.6523368619611829"/>
    <n v="33.097084644776935"/>
    <n v="0.2299521428395693"/>
    <n v="4"/>
    <b v="1"/>
    <n v="0"/>
    <n v="59.480442937951594"/>
    <x v="4"/>
    <n v="40.519557062048406"/>
    <n v="0.64930463728197152"/>
    <n v="32.943241128149459"/>
    <n v="0.24760188299232655"/>
    <n v="4"/>
    <b v="1"/>
    <n v="0"/>
    <n v="8.0996961045135873E-2"/>
    <n v="4.1094769159926461"/>
    <n v="0.24530297612794358"/>
    <n v="4"/>
  </r>
  <r>
    <n v="70678"/>
    <s v="70678"/>
    <s v="70"/>
    <s v="COLOMBIA"/>
    <s v="SUCRE"/>
    <s v="SAN BENITO ABAD"/>
    <x v="6"/>
    <n v="0"/>
    <n v="0"/>
    <n v="0"/>
    <n v="43.33"/>
    <n v="39.667833333333299"/>
    <s v="N.D."/>
    <n v="36.630000000000003"/>
    <n v="45.466047727723499"/>
    <n v="53.443469600931621"/>
    <n v="47.731686218546102"/>
    <n v="52.731724839810653"/>
    <s v="2. Riesgo (&gt;=40 y &lt;60)"/>
    <s v="2. Riesgo (&gt;=40 y &lt;60)"/>
    <s v="2. Riesgo (&gt;=40 y &lt;60)"/>
    <s v="2. Riesgo (&gt;=40 y &lt;60)"/>
    <n v="39.875944444444428"/>
    <n v="49.843232096752963"/>
    <n v="44.859588270598692"/>
    <n v="59.555743275035532"/>
    <x v="3"/>
    <n v="40.444256724964468"/>
    <n v="0.6523467210059386"/>
    <n v="29.264005314001523"/>
    <n v="0.19543584746701412"/>
    <n v="4"/>
    <b v="1"/>
    <n v="0"/>
    <n v="0.6523368619611829"/>
    <n v="29.263563041313038"/>
    <n v="0.18464520327563544"/>
    <n v="4"/>
    <b v="1"/>
    <n v="0"/>
    <n v="59.555743275035532"/>
    <x v="4"/>
    <n v="40.444256724964468"/>
    <n v="0.64930463728197152"/>
    <n v="29.127538690659669"/>
    <n v="0.19886341262666407"/>
    <n v="4"/>
    <b v="1"/>
    <n v="0"/>
    <n v="8.0846438706993484E-2"/>
    <n v="3.6267379535399211"/>
    <n v="0.21648731257676743"/>
    <n v="4"/>
  </r>
  <r>
    <n v="15090"/>
    <s v="15090"/>
    <s v="15"/>
    <s v="COLOMBIA"/>
    <s v="BOYACÁ"/>
    <s v="BERBEO"/>
    <x v="6"/>
    <n v="0"/>
    <n v="0"/>
    <n v="0"/>
    <n v="69.2"/>
    <n v="76.837866666666699"/>
    <n v="78.34"/>
    <n v="46.8"/>
    <n v="50.114899943868132"/>
    <n v="44.217014805367334"/>
    <n v="47.356724164302619"/>
    <n v="48.8744530500976"/>
    <s v="2. Riesgo (&gt;=40 y &lt;60)"/>
    <s v="2. Riesgo (&gt;=40 y &lt;60)"/>
    <s v="2. Riesgo (&gt;=40 y &lt;60)"/>
    <s v="2. Riesgo (&gt;=40 y &lt;60)"/>
    <n v="67.794466666666679"/>
    <n v="47.640772990908921"/>
    <n v="57.717619828787804"/>
    <n v="59.682385165236532"/>
    <x v="3"/>
    <n v="40.317614834763468"/>
    <n v="0.6523467210059386"/>
    <n v="37.651900039577065"/>
    <n v="0.30035956880951542"/>
    <n v="4"/>
    <b v="1"/>
    <n v="0"/>
    <n v="0.6523368619611829"/>
    <n v="37.651330998979979"/>
    <n v="0.28377705519762131"/>
    <n v="4"/>
    <b v="1"/>
    <n v="0"/>
    <n v="59.682385165236532"/>
    <x v="4"/>
    <n v="40.317614834763468"/>
    <n v="0.64930463728197152"/>
    <n v="37.476318207709795"/>
    <n v="0.30550347425287583"/>
    <n v="4"/>
    <b v="1"/>
    <n v="0"/>
    <n v="8.0593286673974349E-2"/>
    <n v="4.6516526810009617"/>
    <n v="0.2776665424551823"/>
    <n v="4"/>
  </r>
  <r>
    <n v="73547"/>
    <s v="73547"/>
    <s v="73"/>
    <s v="COLOMBIA"/>
    <s v="TOLIMA"/>
    <s v="PIEDRAS"/>
    <x v="6"/>
    <n v="0"/>
    <n v="0"/>
    <n v="0"/>
    <n v="61.11"/>
    <n v="61.986600000000003"/>
    <n v="52.6"/>
    <n v="63.82"/>
    <n v="57.024745215821397"/>
    <n v="53.903686769438153"/>
    <n v="64.04110940377123"/>
    <n v="14.352278955035272"/>
    <s v="2. Riesgo (&gt;=40 y &lt;60)"/>
    <s v="2. Riesgo (&gt;=40 y &lt;60)"/>
    <s v="3. Vulnerable (&gt;=60 y &lt;70)"/>
    <s v="1. Deterioro (&lt;40)"/>
    <n v="59.879149999999996"/>
    <n v="47.330455086016514"/>
    <n v="53.604802543008255"/>
    <n v="59.760821495367587"/>
    <x v="3"/>
    <n v="40.239178504632413"/>
    <n v="0.6523467210059386"/>
    <n v="34.968917169102234"/>
    <n v="0.26679828123039773"/>
    <n v="4"/>
    <b v="1"/>
    <n v="0"/>
    <n v="0.6523368619611829"/>
    <n v="34.968388676954845"/>
    <n v="0.25206837628273598"/>
    <n v="4"/>
    <b v="1"/>
    <n v="0"/>
    <n v="59.760821495367587"/>
    <x v="4"/>
    <n v="40.239178504632413"/>
    <n v="0.64930463728197152"/>
    <n v="34.805846871759677"/>
    <n v="0.27139319175527626"/>
    <n v="4"/>
    <b v="1"/>
    <n v="0"/>
    <n v="8.0436495612156475E-2"/>
    <n v="4.3117824645411975"/>
    <n v="0.25737900287310622"/>
    <n v="4"/>
  </r>
  <r>
    <n v="68020"/>
    <s v="68020"/>
    <s v="68"/>
    <s v="COLOMBIA"/>
    <s v="SANTANDER"/>
    <s v="ALBANIA"/>
    <x v="5"/>
    <n v="0"/>
    <n v="0"/>
    <n v="0"/>
    <n v="87.16"/>
    <n v="86.341833333333298"/>
    <n v="73.62"/>
    <n v="63.96"/>
    <n v="51.478982734065241"/>
    <n v="61.498008239982504"/>
    <n v="56.005303230372398"/>
    <n v="62.79899732348008"/>
    <s v="2. Riesgo (&gt;=40 y &lt;60)"/>
    <s v="3. Vulnerable (&gt;=60 y &lt;70)"/>
    <s v="2. Riesgo (&gt;=40 y &lt;60)"/>
    <s v="3. Vulnerable (&gt;=60 y &lt;70)"/>
    <n v="77.770458333333323"/>
    <n v="57.945322881975052"/>
    <n v="67.857890607654184"/>
    <n v="59.689979697461048"/>
    <x v="3"/>
    <n v="40.310020302538952"/>
    <n v="0.6523467210059386"/>
    <n v="44.266872432282888"/>
    <n v="0.38310590060411015"/>
    <n v="3"/>
    <b v="1"/>
    <n v="0"/>
    <n v="0.6523368619611829"/>
    <n v="44.266203418302361"/>
    <n v="0.36195572638459705"/>
    <n v="3"/>
    <b v="1"/>
    <n v="0"/>
    <n v="59.689979697461048"/>
    <x v="4"/>
    <n v="40.310020302538952"/>
    <n v="0.64930463728197152"/>
    <n v="44.0604430477226"/>
    <n v="0.38960336900512349"/>
    <n v="3"/>
    <b v="1"/>
    <n v="0"/>
    <n v="8.0578105510226594E-2"/>
    <n v="5.4678602690849729"/>
    <n v="0.32638762170398877"/>
    <n v="3"/>
  </r>
  <r>
    <n v="41885"/>
    <s v="41885"/>
    <s v="41"/>
    <s v="COLOMBIA"/>
    <s v="HUILA"/>
    <s v="YAGUARÁ"/>
    <x v="6"/>
    <n v="0"/>
    <n v="0"/>
    <n v="0"/>
    <n v="61.09"/>
    <n v="64.338300000000004"/>
    <n v="73.66"/>
    <n v="59.88"/>
    <n v="58.195736878224977"/>
    <n v="75.688342910374999"/>
    <n v="54.035169871333821"/>
    <n v="75.725468041387828"/>
    <s v="2. Riesgo (&gt;=40 y &lt;60)"/>
    <s v="4. Solvente (&gt;=70 y &lt;80)"/>
    <s v="2. Riesgo (&gt;=40 y &lt;60)"/>
    <s v="4. Solvente (&gt;=70 y &lt;80)"/>
    <n v="64.742075"/>
    <n v="65.911179425330417"/>
    <n v="65.326627212665215"/>
    <n v="59.624664442321375"/>
    <x v="3"/>
    <n v="40.375335557678625"/>
    <n v="0.6523467210059386"/>
    <n v="42.615611056559473"/>
    <n v="0.36245036138736697"/>
    <n v="3"/>
    <b v="0"/>
    <n v="-1"/>
    <n v="0.6523368619611829"/>
    <n v="42.614966998418041"/>
    <n v="0.34244038868208715"/>
    <n v="3"/>
    <b v="0"/>
    <n v="-1"/>
    <n v="59.624664442321375"/>
    <x v="4"/>
    <n v="40.375335557678625"/>
    <n v="0.64930463728197152"/>
    <n v="42.416881987174158"/>
    <n v="0.36860994686175663"/>
    <n v="3"/>
    <b v="0"/>
    <n v="-1"/>
    <n v="8.0708668072105055E-2"/>
    <n v="5.2724250719771426"/>
    <n v="0.31472170011086992"/>
    <n v="3"/>
  </r>
  <r>
    <n v="54003"/>
    <s v="54003"/>
    <s v="54"/>
    <s v="COLOMBIA"/>
    <s v="NORTE DE SANTANDER"/>
    <s v="ÁBREGO"/>
    <x v="6"/>
    <n v="0"/>
    <n v="0"/>
    <n v="0"/>
    <n v="72.010000000000005"/>
    <n v="78.857366666666707"/>
    <n v="82.53"/>
    <n v="54.68"/>
    <n v="47.595007202940522"/>
    <n v="44.870308438966411"/>
    <n v="38.200965534955479"/>
    <n v="46.271249180715913"/>
    <s v="2. Riesgo (&gt;=40 y &lt;60)"/>
    <s v="2. Riesgo (&gt;=40 y &lt;60)"/>
    <s v="1. Deterioro (&lt;40)"/>
    <s v="2. Riesgo (&gt;=40 y &lt;60)"/>
    <n v="72.019341666666676"/>
    <n v="44.234382589394585"/>
    <n v="58.126862128030631"/>
    <n v="59.680368903671202"/>
    <x v="3"/>
    <n v="40.319631096328798"/>
    <n v="0.6523467210059386"/>
    <n v="37.918867911585053"/>
    <n v="0.30369905547767273"/>
    <n v="4"/>
    <b v="1"/>
    <n v="0"/>
    <n v="0.6523368619611829"/>
    <n v="37.918294836249828"/>
    <n v="0.28693219965539923"/>
    <n v="4"/>
    <b v="1"/>
    <n v="0"/>
    <n v="59.680368903671202"/>
    <x v="4"/>
    <n v="40.319631096328798"/>
    <n v="0.64930463728197152"/>
    <n v="37.742041130380095"/>
    <n v="0.30889758818188634"/>
    <n v="4"/>
    <b v="1"/>
    <n v="0"/>
    <n v="8.0597317099559043E-2"/>
    <n v="4.6848691389352339"/>
    <n v="0.27964929990929915"/>
    <n v="4"/>
  </r>
  <r>
    <n v="52560"/>
    <s v="52560"/>
    <s v="52"/>
    <s v="COLOMBIA"/>
    <s v="NARIÑO"/>
    <s v="POTOSÍ"/>
    <x v="6"/>
    <n v="0"/>
    <n v="0"/>
    <n v="0"/>
    <n v="56.54"/>
    <n v="58.918999999999997"/>
    <n v="63.89"/>
    <n v="69.650000000000006"/>
    <n v="59.38598392961557"/>
    <n v="58.157566998451117"/>
    <n v="59.734638748479021"/>
    <n v="57.540063535189262"/>
    <s v="2. Riesgo (&gt;=40 y &lt;60)"/>
    <s v="2. Riesgo (&gt;=40 y &lt;60)"/>
    <s v="2. Riesgo (&gt;=40 y &lt;60)"/>
    <s v="2. Riesgo (&gt;=40 y &lt;60)"/>
    <n v="62.249749999999999"/>
    <n v="58.704563302933742"/>
    <n v="60.477156651466871"/>
    <n v="59.697718133261823"/>
    <x v="3"/>
    <n v="40.302281866738177"/>
    <n v="0.6523467210059386"/>
    <n v="39.452074837346906"/>
    <n v="0.32287785796651675"/>
    <n v="4"/>
    <b v="1"/>
    <n v="0"/>
    <n v="0.6523368619611829"/>
    <n v="39.451478590352778"/>
    <n v="0.30505231762337448"/>
    <n v="4"/>
    <b v="1"/>
    <n v="0"/>
    <n v="59.697718133261823"/>
    <x v="4"/>
    <n v="40.302281866738177"/>
    <n v="0.64930463728197152"/>
    <n v="39.268098263425671"/>
    <n v="0.32839011716540428"/>
    <n v="4"/>
    <b v="1"/>
    <n v="0"/>
    <n v="8.0562636689031297E-2"/>
    <n v="4.872199199297758"/>
    <n v="0.29083140952191749"/>
    <n v="4"/>
  </r>
  <r>
    <n v="44420"/>
    <s v="44420"/>
    <s v="44"/>
    <s v="COLOMBIA"/>
    <s v="LA GUAJIRA"/>
    <s v="LA JAGUA DEL PILAR"/>
    <x v="6"/>
    <n v="0"/>
    <n v="0"/>
    <n v="0"/>
    <n v="64.91"/>
    <n v="69.963800000000006"/>
    <n v="67.52"/>
    <n v="78.83"/>
    <n v="62.504199273035958"/>
    <n v="63.135775608406277"/>
    <n v="51.408767695871077"/>
    <n v="59.223133992667059"/>
    <s v="3. Vulnerable (&gt;=60 y &lt;70)"/>
    <s v="3. Vulnerable (&gt;=60 y &lt;70)"/>
    <s v="2. Riesgo (&gt;=40 y &lt;60)"/>
    <s v="2. Riesgo (&gt;=40 y &lt;60)"/>
    <n v="70.305949999999996"/>
    <n v="59.067969142495087"/>
    <n v="64.686959571247542"/>
    <n v="59.630880102808703"/>
    <x v="3"/>
    <n v="40.369119897191297"/>
    <n v="0.6523467210059386"/>
    <n v="42.198325968147053"/>
    <n v="0.35723056479127158"/>
    <n v="3"/>
    <b v="0"/>
    <n v="-1"/>
    <n v="0.6523368619611829"/>
    <n v="42.197688216517527"/>
    <n v="0.33750872883809518"/>
    <n v="4"/>
    <b v="1"/>
    <n v="0"/>
    <n v="59.630880102808703"/>
    <x v="4"/>
    <n v="40.369119897191297"/>
    <n v="0.64930463728197152"/>
    <n v="42.001542821282442"/>
    <n v="0.36330476492995234"/>
    <n v="3"/>
    <b v="0"/>
    <n v="-1"/>
    <n v="8.0696243217371552E-2"/>
    <n v="5.2199946225536724"/>
    <n v="0.31159202070246372"/>
    <n v="3"/>
  </r>
  <r>
    <n v="15218"/>
    <s v="15218"/>
    <s v="15"/>
    <s v="COLOMBIA"/>
    <s v="BOYACÁ"/>
    <s v="COVARACHÍA"/>
    <x v="6"/>
    <n v="0"/>
    <n v="0"/>
    <n v="0"/>
    <n v="48.49"/>
    <n v="51.573866666666703"/>
    <n v="41.39"/>
    <n v="77.97"/>
    <n v="52.704836899013344"/>
    <n v="47.379215328762307"/>
    <n v="50.285265355715907"/>
    <n v="65.330339041066182"/>
    <s v="2. Riesgo (&gt;=40 y &lt;60)"/>
    <s v="2. Riesgo (&gt;=40 y &lt;60)"/>
    <s v="2. Riesgo (&gt;=40 y &lt;60)"/>
    <s v="3. Vulnerable (&gt;=60 y &lt;70)"/>
    <n v="54.855966666666681"/>
    <n v="53.924914156139437"/>
    <n v="54.390440411403063"/>
    <n v="59.68249135603002"/>
    <x v="3"/>
    <n v="40.31750864396998"/>
    <n v="0.6523467210059386"/>
    <n v="35.481425456447681"/>
    <n v="0.27320921967043238"/>
    <n v="4"/>
    <b v="1"/>
    <n v="0"/>
    <n v="0.6523368619611829"/>
    <n v="35.480889218661382"/>
    <n v="0.25812542603265798"/>
    <n v="4"/>
    <b v="1"/>
    <n v="0"/>
    <n v="59.68249135603002"/>
    <x v="4"/>
    <n v="40.31750864396998"/>
    <n v="0.64930463728197152"/>
    <n v="35.31596518293275"/>
    <n v="0.27790900020716558"/>
    <n v="4"/>
    <b v="1"/>
    <n v="0"/>
    <n v="8.0593074402859177E-2"/>
    <n v="4.3834928108804858"/>
    <n v="0.26165953826381155"/>
    <n v="4"/>
  </r>
  <r>
    <n v="73347"/>
    <s v="73347"/>
    <s v="73"/>
    <s v="COLOMBIA"/>
    <s v="TOLIMA"/>
    <s v="HERVEO"/>
    <x v="6"/>
    <n v="0"/>
    <n v="0"/>
    <n v="0"/>
    <n v="70.66"/>
    <n v="70.587733333333304"/>
    <n v="35.67"/>
    <n v="51.8"/>
    <n v="49.647103970064279"/>
    <n v="44.128823517917318"/>
    <n v="59.543029479350807"/>
    <n v="48.710960284458785"/>
    <s v="2. Riesgo (&gt;=40 y &lt;60)"/>
    <s v="2. Riesgo (&gt;=40 y &lt;60)"/>
    <s v="2. Riesgo (&gt;=40 y &lt;60)"/>
    <s v="2. Riesgo (&gt;=40 y &lt;60)"/>
    <n v="57.179433333333336"/>
    <n v="50.507479312947794"/>
    <n v="53.843456323140565"/>
    <n v="59.523052523851469"/>
    <x v="3"/>
    <n v="40.476947476148531"/>
    <n v="0.6523467210059386"/>
    <n v="35.124602180027217"/>
    <n v="0.26874573660959911"/>
    <n v="4"/>
    <b v="1"/>
    <n v="0"/>
    <n v="0.6523368619611829"/>
    <n v="35.124071334981529"/>
    <n v="0.25390833064010654"/>
    <n v="4"/>
    <b v="1"/>
    <n v="0"/>
    <n v="59.523052523851469"/>
    <x v="4"/>
    <n v="40.476947476148531"/>
    <n v="0.64930463728197152"/>
    <n v="34.960805877904463"/>
    <n v="0.27337250357337722"/>
    <n v="4"/>
    <b v="1"/>
    <n v="0"/>
    <n v="8.0911786200702204E-2"/>
    <n v="4.3565702263247967"/>
    <n v="0.26005247482202276"/>
    <n v="4"/>
  </r>
  <r>
    <n v="5031"/>
    <s v="05031"/>
    <s v="50"/>
    <s v="COLOMBIA"/>
    <s v="ANTIOQUIA"/>
    <s v="AMALFI"/>
    <x v="6"/>
    <n v="0"/>
    <n v="0"/>
    <n v="1"/>
    <n v="63.61"/>
    <n v="66.778866666666701"/>
    <n v="66.45"/>
    <n v="65.510000000000005"/>
    <n v="44.957551372405831"/>
    <n v="48.900737281168695"/>
    <n v="52.719981991008041"/>
    <n v="60.461409168991551"/>
    <s v="2. Riesgo (&gt;=40 y &lt;60)"/>
    <s v="2. Riesgo (&gt;=40 y &lt;60)"/>
    <s v="2. Riesgo (&gt;=40 y &lt;60)"/>
    <s v="3. Vulnerable (&gt;=60 y &lt;70)"/>
    <n v="65.587216666666677"/>
    <n v="51.759919953393535"/>
    <n v="58.673568310030106"/>
    <n v="59.509644930431158"/>
    <x v="3"/>
    <n v="40.490355069568842"/>
    <n v="0.6523467210059386"/>
    <n v="38.275509896766089"/>
    <n v="0.30816027077619973"/>
    <n v="4"/>
    <b v="1"/>
    <n v="0"/>
    <n v="0.6523368619611829"/>
    <n v="38.274931431430147"/>
    <n v="0.29114715246785283"/>
    <n v="4"/>
    <b v="1"/>
    <n v="0"/>
    <n v="59.509644930431158"/>
    <x v="4"/>
    <n v="40.490355069568842"/>
    <n v="0.64930463728197152"/>
    <n v="38.097019989583075"/>
    <n v="0.31343177995735483"/>
    <n v="4"/>
    <b v="1"/>
    <n v="0"/>
    <n v="8.0938587439430221E-2"/>
    <n v="4.7489557390447539"/>
    <n v="0.28347475849153558"/>
    <n v="4"/>
  </r>
  <r>
    <n v="73563"/>
    <s v="73563"/>
    <s v="73"/>
    <s v="COLOMBIA"/>
    <s v="TOLIMA"/>
    <s v="PRADO"/>
    <x v="6"/>
    <n v="0"/>
    <n v="0"/>
    <n v="0"/>
    <n v="55.8"/>
    <n v="57.491966666666698"/>
    <n v="57.6"/>
    <n v="55.94"/>
    <n v="47.53020545891227"/>
    <n v="55.819891576876664"/>
    <n v="57.67170116588801"/>
    <n v="65.699644776250977"/>
    <s v="2. Riesgo (&gt;=40 y &lt;60)"/>
    <s v="2. Riesgo (&gt;=40 y &lt;60)"/>
    <s v="2. Riesgo (&gt;=40 y &lt;60)"/>
    <s v="3. Vulnerable (&gt;=60 y &lt;70)"/>
    <n v="56.707991666666672"/>
    <n v="56.68036074448198"/>
    <n v="56.694176205574323"/>
    <n v="59.733774623060874"/>
    <x v="3"/>
    <n v="40.266225376939126"/>
    <n v="0.6523467210059386"/>
    <n v="36.984259947839313"/>
    <n v="0.2920080950208685"/>
    <n v="4"/>
    <b v="1"/>
    <n v="0"/>
    <n v="0.6523368619611829"/>
    <n v="36.983700997418715"/>
    <n v="0.27588658912995306"/>
    <n v="4"/>
    <b v="1"/>
    <n v="0"/>
    <n v="59.733774623060874"/>
    <x v="4"/>
    <n v="40.266225376939126"/>
    <n v="0.64930463728197152"/>
    <n v="36.811791517160614"/>
    <n v="0.29701538721120652"/>
    <n v="4"/>
    <b v="1"/>
    <n v="0"/>
    <n v="8.0490561219518975E-2"/>
    <n v="4.5633460606649763"/>
    <n v="0.27239534195374687"/>
    <n v="4"/>
  </r>
  <r>
    <n v="15425"/>
    <s v="15425"/>
    <s v="15"/>
    <s v="COLOMBIA"/>
    <s v="BOYACÁ"/>
    <s v="MACANAL"/>
    <x v="5"/>
    <n v="0"/>
    <n v="0"/>
    <n v="0"/>
    <n v="67.61"/>
    <n v="73.093866666666699"/>
    <n v="75.03"/>
    <n v="75.44"/>
    <n v="54.331663037272776"/>
    <n v="60.108153325333305"/>
    <n v="82.908132551957024"/>
    <n v="68.322765351800811"/>
    <s v="2. Riesgo (&gt;=40 y &lt;60)"/>
    <s v="3. Vulnerable (&gt;=60 y &lt;70)"/>
    <s v="5. Sostenible (&gt;=80)"/>
    <s v="3. Vulnerable (&gt;=60 y &lt;70)"/>
    <n v="72.793466666666674"/>
    <n v="66.417678566590979"/>
    <n v="69.60557261662882"/>
    <n v="59.868039766501482"/>
    <x v="3"/>
    <n v="40.131960233498518"/>
    <n v="0.6523467210059386"/>
    <n v="45.406967060198561"/>
    <n v="0.39736728262631937"/>
    <n v="3"/>
    <b v="1"/>
    <n v="0"/>
    <n v="0.6523368619611829"/>
    <n v="45.406280815742889"/>
    <n v="0.37542986924513866"/>
    <n v="3"/>
    <b v="1"/>
    <n v="0"/>
    <n v="59.868039766501482"/>
    <x v="4"/>
    <n v="40.131960233498518"/>
    <n v="0.64930463728197152"/>
    <n v="45.195221080644103"/>
    <n v="0.4040980384494039"/>
    <n v="3"/>
    <b v="1"/>
    <n v="0"/>
    <n v="8.0222170610600801E-2"/>
    <n v="5.58391012189976"/>
    <n v="0.3333148717790268"/>
    <n v="3"/>
  </r>
  <r>
    <n v="41518"/>
    <s v="41518"/>
    <s v="41"/>
    <s v="COLOMBIA"/>
    <s v="HUILA"/>
    <s v="PAICOL"/>
    <x v="6"/>
    <n v="0"/>
    <n v="0"/>
    <n v="0"/>
    <n v="54.49"/>
    <n v="61.004466666666701"/>
    <n v="77.11"/>
    <n v="74.150000000000006"/>
    <n v="59.377758860352039"/>
    <n v="45.031404750927855"/>
    <n v="45.305920161528647"/>
    <n v="58.904969086921398"/>
    <s v="2. Riesgo (&gt;=40 y &lt;60)"/>
    <s v="2. Riesgo (&gt;=40 y &lt;60)"/>
    <s v="2. Riesgo (&gt;=40 y &lt;60)"/>
    <s v="2. Riesgo (&gt;=40 y &lt;60)"/>
    <n v="66.68861666666669"/>
    <n v="52.155013214932488"/>
    <n v="59.421814940799592"/>
    <n v="59.791384292559755"/>
    <x v="3"/>
    <n v="40.208615707440245"/>
    <n v="0.6523467210059386"/>
    <n v="38.763626132852309"/>
    <n v="0.31426609036662706"/>
    <n v="4"/>
    <b v="1"/>
    <n v="0"/>
    <n v="0.6523368619611829"/>
    <n v="38.763040290519342"/>
    <n v="0.29691592616131329"/>
    <n v="4"/>
    <b v="1"/>
    <n v="0"/>
    <n v="59.791384292559755"/>
    <x v="4"/>
    <n v="40.208615707440245"/>
    <n v="0.64930463728197152"/>
    <n v="38.582859996772314"/>
    <n v="0.31963747843116547"/>
    <n v="4"/>
    <b v="1"/>
    <n v="0"/>
    <n v="8.0375401812690359E-2"/>
    <n v="4.7760522523060942"/>
    <n v="0.28509220408901048"/>
    <n v="4"/>
  </r>
  <r>
    <n v="41026"/>
    <s v="41026"/>
    <s v="41"/>
    <s v="COLOMBIA"/>
    <s v="HUILA"/>
    <s v="ALTAMIRA"/>
    <x v="6"/>
    <n v="0"/>
    <n v="0"/>
    <n v="0"/>
    <n v="59.25"/>
    <n v="61.396366666666701"/>
    <n v="57.47"/>
    <n v="67.5"/>
    <n v="51.662883332234586"/>
    <n v="48.28446644220751"/>
    <n v="56.330665449690635"/>
    <n v="56.296758665363782"/>
    <s v="2. Riesgo (&gt;=40 y &lt;60)"/>
    <s v="2. Riesgo (&gt;=40 y &lt;60)"/>
    <s v="2. Riesgo (&gt;=40 y &lt;60)"/>
    <s v="2. Riesgo (&gt;=40 y &lt;60)"/>
    <n v="61.404091666666673"/>
    <n v="53.143693472374125"/>
    <n v="57.273892569520399"/>
    <n v="59.817061636247004"/>
    <x v="3"/>
    <n v="40.182938363752996"/>
    <n v="0.6523467210059386"/>
    <n v="37.362436016973021"/>
    <n v="0.29673867901057932"/>
    <n v="4"/>
    <b v="1"/>
    <n v="0"/>
    <n v="0.6523368619611829"/>
    <n v="37.361871351102849"/>
    <n v="0.28035604127644853"/>
    <n v="4"/>
    <b v="1"/>
    <n v="0"/>
    <n v="59.817061636247004"/>
    <x v="4"/>
    <n v="40.182938363752996"/>
    <n v="0.64930463728197152"/>
    <n v="37.188204040579045"/>
    <n v="0.30182335400590299"/>
    <n v="4"/>
    <b v="1"/>
    <n v="0"/>
    <n v="8.0324073837826429E-2"/>
    <n v="4.6004723757338946"/>
    <n v="0.27461148667611468"/>
    <n v="4"/>
  </r>
  <r>
    <n v="15212"/>
    <s v="15212"/>
    <s v="15"/>
    <s v="COLOMBIA"/>
    <s v="BOYACÁ"/>
    <s v="COPER"/>
    <x v="6"/>
    <n v="0"/>
    <n v="0"/>
    <n v="0"/>
    <n v="51.43"/>
    <n v="54.164066666666699"/>
    <n v="64.59"/>
    <n v="51.02"/>
    <n v="51.116909004507171"/>
    <n v="56.891685071118765"/>
    <n v="45.982948037810679"/>
    <n v="54.659766021391434"/>
    <s v="2. Riesgo (&gt;=40 y &lt;60)"/>
    <s v="2. Riesgo (&gt;=40 y &lt;60)"/>
    <s v="2. Riesgo (&gt;=40 y &lt;60)"/>
    <s v="2. Riesgo (&gt;=40 y &lt;60)"/>
    <n v="55.301016666666676"/>
    <n v="52.162827033707018"/>
    <n v="53.731921850186851"/>
    <n v="60.015102873173717"/>
    <x v="3"/>
    <n v="39.984897126826283"/>
    <n v="0.6523467210059386"/>
    <n v="35.051843032316739"/>
    <n v="0.26783559636711196"/>
    <n v="4"/>
    <b v="1"/>
    <n v="0"/>
    <n v="0.6523368619611829"/>
    <n v="35.051313286894406"/>
    <n v="0.2530484308329698"/>
    <n v="4"/>
    <b v="1"/>
    <n v="0"/>
    <n v="60.015102873173717"/>
    <x v="4"/>
    <n v="39.984897126826283"/>
    <n v="0.64930463728197152"/>
    <n v="34.888386027398816"/>
    <n v="0.27244747527371838"/>
    <n v="4"/>
    <b v="1"/>
    <n v="0"/>
    <n v="7.9928197389124878E-2"/>
    <n v="4.2946956557387663"/>
    <n v="0.25635905674919596"/>
    <n v="4"/>
  </r>
  <r>
    <n v="13006"/>
    <s v="13006"/>
    <s v="13"/>
    <s v="COLOMBIA"/>
    <s v="BOLÍVAR"/>
    <s v="ACHÍ"/>
    <x v="6"/>
    <n v="0"/>
    <n v="0"/>
    <n v="0"/>
    <n v="46.89"/>
    <n v="44.635266666666702"/>
    <n v="25.97"/>
    <n v="34.72"/>
    <n v="49.051557982409975"/>
    <n v="40.452223338638532"/>
    <n v="32.747502163795836"/>
    <n v="48.36279363837636"/>
    <s v="2. Riesgo (&gt;=40 y &lt;60)"/>
    <s v="2. Riesgo (&gt;=40 y &lt;60)"/>
    <s v="1. Deterioro (&lt;40)"/>
    <s v="2. Riesgo (&gt;=40 y &lt;60)"/>
    <n v="38.053816666666677"/>
    <n v="42.653519280805178"/>
    <n v="40.353667973735924"/>
    <n v="59.852048409722691"/>
    <x v="3"/>
    <n v="40.147951590277309"/>
    <n v="0.6523467210059386"/>
    <n v="26.324582983228989"/>
    <n v="0.15866677255224271"/>
    <n v="5"/>
    <b v="0"/>
    <n v="1"/>
    <n v="0.6523368619611829"/>
    <n v="26.324185134610378"/>
    <n v="0.14990580933190337"/>
    <n v="5"/>
    <b v="0"/>
    <n v="1"/>
    <n v="59.852048409722691"/>
    <x v="4"/>
    <n v="40.147951590277309"/>
    <n v="0.64930463728197152"/>
    <n v="26.201823746683715"/>
    <n v="0.16149286986779113"/>
    <n v="5"/>
    <b v="0"/>
    <n v="1"/>
    <n v="8.0254136688119537E-2"/>
    <n v="3.2385487854311945"/>
    <n v="0.19331551719153897"/>
    <n v="5"/>
  </r>
  <r>
    <n v="41799"/>
    <s v="41799"/>
    <s v="41"/>
    <s v="COLOMBIA"/>
    <s v="HUILA"/>
    <s v="TELLO"/>
    <x v="5"/>
    <n v="0"/>
    <n v="0"/>
    <n v="0"/>
    <n v="80.25"/>
    <n v="80.901066666666694"/>
    <n v="75.37"/>
    <n v="66.16"/>
    <n v="51.680248300558688"/>
    <n v="58.620162260772183"/>
    <n v="47.081515760119444"/>
    <n v="54.584966994197828"/>
    <s v="2. Riesgo (&gt;=40 y &lt;60)"/>
    <s v="2. Riesgo (&gt;=40 y &lt;60)"/>
    <s v="2. Riesgo (&gt;=40 y &lt;60)"/>
    <s v="2. Riesgo (&gt;=40 y &lt;60)"/>
    <n v="75.670266666666663"/>
    <n v="52.99172332891203"/>
    <n v="64.330994997789347"/>
    <n v="59.838675388439519"/>
    <x v="3"/>
    <n v="40.161324611560481"/>
    <n v="0.6523467210059386"/>
    <n v="41.96611364585732"/>
    <n v="0.35432583341428692"/>
    <n v="3"/>
    <b v="1"/>
    <n v="0"/>
    <n v="0.6523368619611829"/>
    <n v="41.96547940369846"/>
    <n v="0.33476434084792445"/>
    <n v="4"/>
    <b v="0"/>
    <n v="1"/>
    <n v="59.838675388439519"/>
    <x v="4"/>
    <n v="40.161324611560481"/>
    <n v="0.64930463728197152"/>
    <n v="41.770413373027935"/>
    <n v="0.36035251801108753"/>
    <n v="3"/>
    <b v="1"/>
    <n v="0"/>
    <n v="8.0280868818539186E-2"/>
    <n v="5.1645481703836271"/>
    <n v="0.30828230999935285"/>
    <n v="3"/>
  </r>
  <r>
    <n v="19517"/>
    <s v="19517"/>
    <s v="19"/>
    <s v="COLOMBIA"/>
    <s v="CAUCA"/>
    <s v="PÁEZ"/>
    <x v="6"/>
    <n v="0"/>
    <n v="0"/>
    <n v="0"/>
    <n v="62.33"/>
    <n v="62.5779"/>
    <n v="45.06"/>
    <n v="51.12"/>
    <n v="52.866728266286451"/>
    <n v="41.870055943868635"/>
    <n v="56.658684748043605"/>
    <n v="62.897317382241617"/>
    <s v="2. Riesgo (&gt;=40 y &lt;60)"/>
    <s v="2. Riesgo (&gt;=40 y &lt;60)"/>
    <s v="2. Riesgo (&gt;=40 y &lt;60)"/>
    <s v="3. Vulnerable (&gt;=60 y &lt;70)"/>
    <n v="55.271974999999998"/>
    <n v="53.573196585110082"/>
    <n v="54.42258579255504"/>
    <n v="59.851024116455797"/>
    <x v="3"/>
    <n v="40.148975883544203"/>
    <n v="0.6523467210059386"/>
    <n v="35.502395390437663"/>
    <n v="0.2734715314402531"/>
    <n v="4"/>
    <b v="1"/>
    <n v="0"/>
    <n v="0.6523368619611829"/>
    <n v="35.501858835728612"/>
    <n v="0.25837325799277666"/>
    <n v="4"/>
    <b v="1"/>
    <n v="0"/>
    <n v="59.851024116455797"/>
    <x v="4"/>
    <n v="40.148975883544203"/>
    <n v="0.64930463728197152"/>
    <n v="35.336837327981925"/>
    <n v="0.27817560286804188"/>
    <n v="4"/>
    <b v="1"/>
    <n v="0"/>
    <n v="8.0256184209066286E-2"/>
    <n v="4.3677490705010111"/>
    <n v="0.26071976260636925"/>
    <n v="4"/>
  </r>
  <r>
    <n v="47720"/>
    <s v="47720"/>
    <s v="47"/>
    <s v="COLOMBIA"/>
    <s v="MAGDALENA"/>
    <s v="SANTA BÁRBARA DE PINTO"/>
    <x v="6"/>
    <n v="0"/>
    <n v="0"/>
    <n v="0"/>
    <n v="47.07"/>
    <n v="49.8173666666667"/>
    <n v="46.76"/>
    <n v="77.040000000000006"/>
    <n v="53.409123155961332"/>
    <n v="53.364670921617858"/>
    <n v="48.212657691495778"/>
    <n v="52.07023258455775"/>
    <s v="2. Riesgo (&gt;=40 y &lt;60)"/>
    <s v="2. Riesgo (&gt;=40 y &lt;60)"/>
    <s v="2. Riesgo (&gt;=40 y &lt;60)"/>
    <s v="2. Riesgo (&gt;=40 y &lt;60)"/>
    <n v="55.17184166666668"/>
    <n v="51.764171088408176"/>
    <n v="53.468006377537428"/>
    <n v="59.882299189553024"/>
    <x v="3"/>
    <n v="40.117700810446976"/>
    <n v="0.6523467210059386"/>
    <n v="34.879678639111155"/>
    <n v="0.2656820012864865"/>
    <n v="4"/>
    <b v="1"/>
    <n v="0"/>
    <n v="0.6523368619611829"/>
    <n v="34.879151495643278"/>
    <n v="0.25101371584287158"/>
    <n v="4"/>
    <b v="1"/>
    <n v="0"/>
    <n v="59.882299189553024"/>
    <x v="4"/>
    <n v="40.117700810446976"/>
    <n v="0.64930463728197152"/>
    <n v="34.717024487157083"/>
    <n v="0.27025865172478875"/>
    <n v="4"/>
    <b v="1"/>
    <n v="0"/>
    <n v="8.0193666598780938E-2"/>
    <n v="4.2877954771417297"/>
    <n v="0.25594717115395627"/>
    <n v="4"/>
  </r>
  <r>
    <n v="47545"/>
    <s v="47545"/>
    <s v="47"/>
    <s v="COLOMBIA"/>
    <s v="MAGDALENA"/>
    <s v="PIJIÑO DEL CARMEN"/>
    <x v="6"/>
    <n v="0"/>
    <n v="0"/>
    <n v="0"/>
    <n v="45.86"/>
    <n v="47.448500000000003"/>
    <n v="41.51"/>
    <n v="35.729999999999997"/>
    <n v="52.261668774934193"/>
    <n v="46.73028166598634"/>
    <n v="55.47146256273637"/>
    <n v="56.628353495504129"/>
    <s v="2. Riesgo (&gt;=40 y &lt;60)"/>
    <s v="2. Riesgo (&gt;=40 y &lt;60)"/>
    <s v="2. Riesgo (&gt;=40 y &lt;60)"/>
    <s v="2. Riesgo (&gt;=40 y &lt;60)"/>
    <n v="42.637124999999997"/>
    <n v="52.772941624790263"/>
    <n v="47.70503331239513"/>
    <n v="59.926132210101876"/>
    <x v="3"/>
    <n v="40.073867789898124"/>
    <n v="0.6523467210059386"/>
    <n v="31.120222056820033"/>
    <n v="0.218655162282796"/>
    <n v="4"/>
    <b v="1"/>
    <n v="0"/>
    <n v="0.6523368619611829"/>
    <n v="31.119751730761536"/>
    <n v="0.20658279420928535"/>
    <n v="4"/>
    <b v="1"/>
    <n v="0"/>
    <n v="59.926132210101876"/>
    <x v="4"/>
    <n v="40.073867789898124"/>
    <n v="0.64930463728197152"/>
    <n v="30.975099351429087"/>
    <n v="0.22246254856267086"/>
    <n v="4"/>
    <b v="1"/>
    <n v="0"/>
    <n v="8.0106046157806005E-2"/>
    <n v="3.8214616004823974"/>
    <n v="0.22811076030355393"/>
    <n v="4"/>
  </r>
  <r>
    <n v="25148"/>
    <s v="25148"/>
    <s v="25"/>
    <s v="COLOMBIA"/>
    <s v="CUNDINAMARCA"/>
    <s v="CAPARRAPÍ"/>
    <x v="6"/>
    <n v="0"/>
    <n v="0"/>
    <n v="0"/>
    <n v="62.78"/>
    <n v="71.045633333333299"/>
    <n v="69.510000000000005"/>
    <n v="66.959999999999994"/>
    <n v="53.296139416048682"/>
    <n v="42.915941101131494"/>
    <n v="47.656741481611455"/>
    <n v="51.858943889507451"/>
    <s v="2. Riesgo (&gt;=40 y &lt;60)"/>
    <s v="2. Riesgo (&gt;=40 y &lt;60)"/>
    <s v="2. Riesgo (&gt;=40 y &lt;60)"/>
    <s v="2. Riesgo (&gt;=40 y &lt;60)"/>
    <n v="67.573908333333321"/>
    <n v="48.931941472074769"/>
    <n v="58.252924902704045"/>
    <n v="60.037020285035055"/>
    <x v="3"/>
    <n v="39.962979714964945"/>
    <n v="0.6523467210059386"/>
    <n v="38.001104549284172"/>
    <n v="0.30472774912970169"/>
    <n v="4"/>
    <b v="1"/>
    <n v="0"/>
    <n v="0.6523368619611829"/>
    <n v="38.000530231090401"/>
    <n v="0.28790410863347604"/>
    <n v="4"/>
    <b v="1"/>
    <n v="0"/>
    <n v="60.037020285035055"/>
    <x v="4"/>
    <n v="39.962979714964945"/>
    <n v="0.64930463728197152"/>
    <n v="37.823894274564175"/>
    <n v="0.30994310918555679"/>
    <n v="4"/>
    <b v="1"/>
    <n v="0"/>
    <n v="7.9884385366401522E-2"/>
    <n v="4.6534991016476575"/>
    <n v="0.27777675903239579"/>
    <n v="4"/>
  </r>
  <r>
    <n v="20383"/>
    <s v="20383"/>
    <s v="20"/>
    <s v="COLOMBIA"/>
    <s v="CESAR"/>
    <s v="LA GLORIA"/>
    <x v="5"/>
    <n v="0"/>
    <n v="0"/>
    <n v="0"/>
    <n v="75.010000000000005"/>
    <n v="81.700433333333294"/>
    <n v="89.04"/>
    <n v="88.24"/>
    <n v="59.319495647995758"/>
    <n v="59.206423047463417"/>
    <n v="61.150292848821351"/>
    <n v="69.71062769401567"/>
    <s v="2. Riesgo (&gt;=40 y &lt;60)"/>
    <s v="2. Riesgo (&gt;=40 y &lt;60)"/>
    <s v="3. Vulnerable (&gt;=60 y &lt;70)"/>
    <s v="3. Vulnerable (&gt;=60 y &lt;70)"/>
    <n v="83.497608333333332"/>
    <n v="62.346709809574051"/>
    <n v="72.922159071453692"/>
    <n v="60.051265912472473"/>
    <x v="3"/>
    <n v="39.948734087527527"/>
    <n v="0.6523467210059386"/>
    <n v="47.570531358936279"/>
    <n v="0.42443119139178903"/>
    <n v="3"/>
    <b v="1"/>
    <n v="0"/>
    <n v="0.6523368619611829"/>
    <n v="47.569812416106309"/>
    <n v="0.40099982961102126"/>
    <n v="3"/>
    <b v="1"/>
    <n v="0"/>
    <n v="60.051265912472473"/>
    <x v="4"/>
    <n v="39.948734087527527"/>
    <n v="0.64930463728197152"/>
    <n v="47.348696045708465"/>
    <n v="0.43160465813147553"/>
    <n v="3"/>
    <b v="1"/>
    <n v="0"/>
    <n v="7.9855908931458136E-2"/>
    <n v="5.82326529389531"/>
    <n v="0.34760246536876754"/>
    <n v="3"/>
  </r>
  <r>
    <n v="41668"/>
    <s v="41668"/>
    <s v="41"/>
    <s v="COLOMBIA"/>
    <s v="HUILA"/>
    <s v="SAN AGUSTÍN"/>
    <x v="5"/>
    <n v="0"/>
    <n v="0"/>
    <n v="0"/>
    <n v="67.819999999999993"/>
    <n v="67.633566666666695"/>
    <n v="57.87"/>
    <n v="67.27"/>
    <n v="60.9597905931127"/>
    <n v="56.630357023359664"/>
    <n v="59.583139222750347"/>
    <n v="60.944588210888639"/>
    <s v="3. Vulnerable (&gt;=60 y &lt;70)"/>
    <s v="2. Riesgo (&gt;=40 y &lt;60)"/>
    <s v="2. Riesgo (&gt;=40 y &lt;60)"/>
    <s v="3. Vulnerable (&gt;=60 y &lt;70)"/>
    <n v="65.148391666666669"/>
    <n v="59.529468762527841"/>
    <n v="62.338930214597255"/>
    <n v="60.065022140842281"/>
    <x v="3"/>
    <n v="39.934977859157719"/>
    <n v="0.6523467210059386"/>
    <n v="40.666596716510554"/>
    <n v="0.33807024644812039"/>
    <n v="4"/>
    <b v="0"/>
    <n v="1"/>
    <n v="0.6523368619611829"/>
    <n v="40.665982114207544"/>
    <n v="0.31940607467687659"/>
    <n v="4"/>
    <b v="0"/>
    <n v="1"/>
    <n v="60.065022140842281"/>
    <x v="4"/>
    <n v="39.934977859157719"/>
    <n v="0.64930463728197152"/>
    <n v="40.476956471535203"/>
    <n v="0.34383102245543895"/>
    <n v="4"/>
    <b v="0"/>
    <n v="1"/>
    <n v="7.9828410785521067E-2"/>
    <n v="4.9764177291008007"/>
    <n v="0.29705242403324728"/>
    <n v="3"/>
  </r>
  <r>
    <n v="15673"/>
    <s v="15673"/>
    <s v="15"/>
    <s v="COLOMBIA"/>
    <s v="BOYACÁ"/>
    <s v="SAN MATEO"/>
    <x v="6"/>
    <n v="0"/>
    <n v="0"/>
    <n v="0"/>
    <n v="56.48"/>
    <n v="63.478999999999999"/>
    <n v="56.92"/>
    <n v="53.4"/>
    <n v="46.91195556489393"/>
    <n v="58.720087140049415"/>
    <n v="57.082779307913583"/>
    <n v="57.363767180300592"/>
    <s v="2. Riesgo (&gt;=40 y &lt;60)"/>
    <s v="2. Riesgo (&gt;=40 y &lt;60)"/>
    <s v="2. Riesgo (&gt;=40 y &lt;60)"/>
    <s v="2. Riesgo (&gt;=40 y &lt;60)"/>
    <n v="57.569750000000006"/>
    <n v="55.019647298289378"/>
    <n v="56.294698649144692"/>
    <n v="59.968386474692622"/>
    <x v="3"/>
    <n v="40.031613525307378"/>
    <n v="0.6523467210059386"/>
    <n v="36.723662073786983"/>
    <n v="0.28874829031252569"/>
    <n v="4"/>
    <b v="1"/>
    <n v="0"/>
    <n v="0.6523368619611829"/>
    <n v="36.723107061833488"/>
    <n v="0.27280672812705187"/>
    <n v="4"/>
    <b v="1"/>
    <n v="0"/>
    <n v="59.968386474692622"/>
    <x v="4"/>
    <n v="40.031613525307378"/>
    <n v="0.64930463728197152"/>
    <n v="36.552408887280784"/>
    <n v="0.29370225867802813"/>
    <n v="4"/>
    <b v="1"/>
    <n v="0"/>
    <n v="8.0021581586344689E-2"/>
    <n v="4.5047908208312197"/>
    <n v="0.26890006143685014"/>
    <n v="4"/>
  </r>
  <r>
    <n v="13549"/>
    <s v="13549"/>
    <s v="13"/>
    <s v="COLOMBIA"/>
    <s v="BOLÍVAR"/>
    <s v="PINILLOS"/>
    <x v="6"/>
    <n v="0"/>
    <n v="0"/>
    <n v="0"/>
    <n v="67.75"/>
    <n v="67.127399999999994"/>
    <n v="13.66"/>
    <n v="24.54"/>
    <n v="52.050448381742761"/>
    <n v="53.363440129797361"/>
    <n v="51.822108927837512"/>
    <n v="50.333958401243244"/>
    <s v="2. Riesgo (&gt;=40 y &lt;60)"/>
    <s v="2. Riesgo (&gt;=40 y &lt;60)"/>
    <s v="2. Riesgo (&gt;=40 y &lt;60)"/>
    <s v="2. Riesgo (&gt;=40 y &lt;60)"/>
    <n v="43.269349999999996"/>
    <n v="51.89248896015522"/>
    <n v="47.580919480077611"/>
    <n v="60.017839480474379"/>
    <x v="3"/>
    <n v="39.982160519525621"/>
    <n v="0.6523467210059386"/>
    <n v="31.039256805276217"/>
    <n v="0.21764237233140257"/>
    <n v="4"/>
    <b v="1"/>
    <n v="0"/>
    <n v="0.6523368619611829"/>
    <n v="31.038787702861548"/>
    <n v="0.20562591103544259"/>
    <n v="4"/>
    <b v="1"/>
    <n v="0"/>
    <n v="60.017839480474379"/>
    <x v="4"/>
    <n v="39.982160519525621"/>
    <n v="0.64930463728197152"/>
    <n v="30.894511664554486"/>
    <n v="0.22143319141207532"/>
    <n v="4"/>
    <b v="1"/>
    <n v="0"/>
    <n v="7.9922727021455545E-2"/>
    <n v="3.8027968390360996"/>
    <n v="0.22699662299968518"/>
    <n v="4"/>
  </r>
  <r>
    <n v="15172"/>
    <s v="15172"/>
    <s v="15"/>
    <s v="COLOMBIA"/>
    <s v="BOYACÁ"/>
    <s v="CHINAVITA"/>
    <x v="6"/>
    <n v="0"/>
    <n v="0"/>
    <n v="0"/>
    <n v="39.96"/>
    <n v="45.896833333333298"/>
    <n v="53.03"/>
    <s v="N.D."/>
    <n v="55.784396364016615"/>
    <n v="48.450053542033018"/>
    <n v="58.572502654734905"/>
    <n v="50.912894550918537"/>
    <s v="2. Riesgo (&gt;=40 y &lt;60)"/>
    <s v="2. Riesgo (&gt;=40 y &lt;60)"/>
    <s v="2. Riesgo (&gt;=40 y &lt;60)"/>
    <s v="2. Riesgo (&gt;=40 y &lt;60)"/>
    <n v="46.2956111111111"/>
    <n v="53.429961777925769"/>
    <n v="49.862786444518434"/>
    <n v="60.038600252068328"/>
    <x v="3"/>
    <n v="39.961399747931672"/>
    <n v="0.6523467210059386"/>
    <n v="32.527825237300966"/>
    <n v="0.23626279431700301"/>
    <n v="4"/>
    <b v="1"/>
    <n v="0"/>
    <n v="0.6523368619611829"/>
    <n v="32.527333637857765"/>
    <n v="0.22321847152970828"/>
    <n v="4"/>
    <b v="1"/>
    <n v="0"/>
    <n v="60.038600252068328"/>
    <x v="4"/>
    <n v="39.961399747931672"/>
    <n v="0.64930463728197152"/>
    <n v="32.37613846622645"/>
    <n v="0.24035820591445514"/>
    <n v="4"/>
    <b v="1"/>
    <n v="0"/>
    <n v="7.988122707599743E-2"/>
    <n v="3.9831005666165438"/>
    <n v="0.23775931661899252"/>
    <n v="4"/>
  </r>
  <r>
    <n v="54109"/>
    <s v="54109"/>
    <s v="54"/>
    <s v="COLOMBIA"/>
    <s v="NORTE DE SANTANDER"/>
    <s v="BUCARASICA"/>
    <x v="6"/>
    <n v="0"/>
    <n v="0"/>
    <n v="0"/>
    <n v="63.59"/>
    <n v="70.960666666666697"/>
    <n v="88.24"/>
    <n v="78.39"/>
    <n v="54.129562196415037"/>
    <n v="55.418454055979169"/>
    <n v="55.741765858972478"/>
    <n v="56.394895322798405"/>
    <s v="2. Riesgo (&gt;=40 y &lt;60)"/>
    <s v="2. Riesgo (&gt;=40 y &lt;60)"/>
    <s v="2. Riesgo (&gt;=40 y &lt;60)"/>
    <s v="2. Riesgo (&gt;=40 y &lt;60)"/>
    <n v="75.295166666666674"/>
    <n v="55.421169358541277"/>
    <n v="65.358168012603983"/>
    <n v="60.04225848248651"/>
    <x v="3"/>
    <n v="39.95774151751349"/>
    <n v="0.6523467210059386"/>
    <n v="42.636186593977428"/>
    <n v="0.36270773967180475"/>
    <n v="3"/>
    <b v="0"/>
    <n v="-1"/>
    <n v="0.6523368619611829"/>
    <n v="42.635542224873845"/>
    <n v="0.34268355948897788"/>
    <n v="3"/>
    <b v="0"/>
    <n v="-1"/>
    <n v="60.04225848248651"/>
    <x v="4"/>
    <n v="39.95774151751349"/>
    <n v="0.64930463728197152"/>
    <n v="42.437361574837979"/>
    <n v="0.36887153533538791"/>
    <n v="3"/>
    <b v="0"/>
    <n v="-1"/>
    <n v="7.9873914420870884E-2"/>
    <n v="5.2204127185436313"/>
    <n v="0.31161697769644142"/>
    <n v="3"/>
  </r>
  <r>
    <n v="73043"/>
    <s v="73043"/>
    <s v="73"/>
    <s v="COLOMBIA"/>
    <s v="TOLIMA"/>
    <s v="ANZOÁTEGUI"/>
    <x v="6"/>
    <n v="0"/>
    <n v="0"/>
    <n v="0"/>
    <n v="59.78"/>
    <n v="63.785899999999998"/>
    <n v="48.3"/>
    <n v="61.42"/>
    <n v="53.22943409495916"/>
    <n v="43.626770677772171"/>
    <n v="50.44643624610508"/>
    <n v="51.421201260663537"/>
    <s v="2. Riesgo (&gt;=40 y &lt;60)"/>
    <s v="2. Riesgo (&gt;=40 y &lt;60)"/>
    <s v="2. Riesgo (&gt;=40 y &lt;60)"/>
    <s v="2. Riesgo (&gt;=40 y &lt;60)"/>
    <n v="58.321475000000007"/>
    <n v="49.680960569874991"/>
    <n v="54.001217784937495"/>
    <n v="60.23914508074283"/>
    <x v="3"/>
    <n v="39.76085491925717"/>
    <n v="0.6523467210059386"/>
    <n v="35.227517352331553"/>
    <n v="0.27003309693230926"/>
    <n v="4"/>
    <b v="1"/>
    <n v="0"/>
    <n v="0.6523368619611829"/>
    <n v="35.226984951908548"/>
    <n v="0.25512462769141447"/>
    <n v="4"/>
    <b v="1"/>
    <n v="0"/>
    <n v="60.23914508074283"/>
    <x v="4"/>
    <n v="39.76085491925717"/>
    <n v="0.64930463728197152"/>
    <n v="35.063241126633592"/>
    <n v="0.27468092251232057"/>
    <n v="4"/>
    <b v="1"/>
    <n v="0"/>
    <n v="7.9480346048322867E-2"/>
    <n v="4.2920354765776789"/>
    <n v="0.2562002652828882"/>
    <n v="4"/>
  </r>
  <r>
    <n v="54743"/>
    <s v="54743"/>
    <s v="54"/>
    <s v="COLOMBIA"/>
    <s v="NORTE DE SANTANDER"/>
    <s v="SILOS"/>
    <x v="6"/>
    <n v="0"/>
    <n v="0"/>
    <n v="0"/>
    <n v="61.54"/>
    <n v="62.198066666666698"/>
    <n v="72.16"/>
    <n v="61.58"/>
    <n v="47.692942572256548"/>
    <n v="53.608138404065656"/>
    <n v="61.933453273528023"/>
    <n v="53.505172019989672"/>
    <s v="2. Riesgo (&gt;=40 y &lt;60)"/>
    <s v="2. Riesgo (&gt;=40 y &lt;60)"/>
    <s v="3. Vulnerable (&gt;=60 y &lt;70)"/>
    <s v="2. Riesgo (&gt;=40 y &lt;60)"/>
    <n v="64.369516666666669"/>
    <n v="54.184926567459968"/>
    <n v="59.277221617063319"/>
    <n v="59.947191355365426"/>
    <x v="3"/>
    <n v="40.052808644634574"/>
    <n v="0.6523467210059386"/>
    <n v="38.669301152233601"/>
    <n v="0.31308618428698859"/>
    <n v="4"/>
    <b v="1"/>
    <n v="0"/>
    <n v="0.6523368619611829"/>
    <n v="38.668716735452684"/>
    <n v="0.29580115179692756"/>
    <n v="4"/>
    <b v="1"/>
    <n v="0"/>
    <n v="59.947191355365426"/>
    <x v="4"/>
    <n v="40.052808644634574"/>
    <n v="0.64930463728197152"/>
    <n v="38.488974881150341"/>
    <n v="0.31843827146980486"/>
    <n v="4"/>
    <b v="1"/>
    <n v="0"/>
    <n v="8.0063949775411106E-2"/>
    <n v="4.7459684943744707"/>
    <n v="0.28329644382448121"/>
    <n v="4"/>
  </r>
  <r>
    <n v="54125"/>
    <s v="54125"/>
    <s v="54"/>
    <s v="COLOMBIA"/>
    <s v="NORTE DE SANTANDER"/>
    <s v="CÁCOTA"/>
    <x v="6"/>
    <n v="0"/>
    <n v="0"/>
    <n v="0"/>
    <n v="62.28"/>
    <n v="68.935866666666698"/>
    <n v="74.25"/>
    <n v="79.930000000000007"/>
    <n v="52.706832265427749"/>
    <n v="46.595762407104345"/>
    <n v="53.788967092936851"/>
    <n v="48.040270282723377"/>
    <s v="2. Riesgo (&gt;=40 y &lt;60)"/>
    <s v="2. Riesgo (&gt;=40 y &lt;60)"/>
    <s v="2. Riesgo (&gt;=40 y &lt;60)"/>
    <s v="2. Riesgo (&gt;=40 y &lt;60)"/>
    <n v="71.348966666666684"/>
    <n v="50.282958012048084"/>
    <n v="60.815962339357384"/>
    <n v="60.052714571033704"/>
    <x v="3"/>
    <n v="39.947285428966296"/>
    <n v="0.6523467210059386"/>
    <n v="39.673093616900438"/>
    <n v="0.32564256992297774"/>
    <n v="4"/>
    <b v="1"/>
    <n v="0"/>
    <n v="0.6523368619611829"/>
    <n v="39.672494029605879"/>
    <n v="0.30766441537179684"/>
    <n v="4"/>
    <b v="1"/>
    <n v="0"/>
    <n v="60.052714571033704"/>
    <x v="4"/>
    <n v="39.947285428966296"/>
    <n v="0.64930463728197152"/>
    <n v="39.488086367710487"/>
    <n v="0.33120005422866683"/>
    <n v="4"/>
    <b v="1"/>
    <n v="0"/>
    <n v="7.9853013121396033E-2"/>
    <n v="4.8563378386750324"/>
    <n v="0.28988461287462364"/>
    <n v="4"/>
  </r>
  <r>
    <n v="54344"/>
    <s v="54344"/>
    <s v="54"/>
    <s v="COLOMBIA"/>
    <s v="NORTE DE SANTANDER"/>
    <s v="HACARÍ"/>
    <x v="6"/>
    <n v="0"/>
    <n v="0"/>
    <n v="1"/>
    <n v="55.21"/>
    <n v="56.250633333333298"/>
    <n v="59.12"/>
    <n v="61.06"/>
    <n v="62.785677470138971"/>
    <n v="48.329989079647717"/>
    <n v="51.634289131544193"/>
    <n v="53.008849405083332"/>
    <s v="3. Vulnerable (&gt;=60 y &lt;70)"/>
    <s v="2. Riesgo (&gt;=40 y &lt;60)"/>
    <s v="2. Riesgo (&gt;=40 y &lt;60)"/>
    <s v="2. Riesgo (&gt;=40 y &lt;60)"/>
    <n v="57.910158333333328"/>
    <n v="53.939701271603553"/>
    <n v="55.924929802468441"/>
    <n v="60.213105126625329"/>
    <x v="3"/>
    <n v="39.786894873374671"/>
    <n v="0.6523467210059386"/>
    <n v="36.482444579127581"/>
    <n v="0.28573091372154291"/>
    <n v="4"/>
    <b v="1"/>
    <n v="0"/>
    <n v="0.6523368619611829"/>
    <n v="36.481893212741696"/>
    <n v="0.2699559130245856"/>
    <n v="4"/>
    <b v="1"/>
    <n v="0"/>
    <n v="60.213105126625329"/>
    <x v="4"/>
    <n v="39.786894873374671"/>
    <n v="0.64930463728197152"/>
    <n v="36.312316260411492"/>
    <n v="0.29063552389684821"/>
    <n v="4"/>
    <b v="1"/>
    <n v="0"/>
    <n v="7.9532398866818454E-2"/>
    <n v="4.4478438236487428"/>
    <n v="0.26550078017162448"/>
    <n v="4"/>
  </r>
  <r>
    <n v="68160"/>
    <s v="68160"/>
    <s v="68"/>
    <s v="COLOMBIA"/>
    <s v="SANTANDER"/>
    <s v="CEPITÁ"/>
    <x v="6"/>
    <n v="0"/>
    <n v="0"/>
    <n v="0"/>
    <n v="49.03"/>
    <n v="52.629933333333298"/>
    <n v="58.73"/>
    <n v="47.6"/>
    <n v="49.12085885939117"/>
    <n v="47.778824306521081"/>
    <n v="49.615441578723917"/>
    <n v="59.485177151951518"/>
    <s v="2. Riesgo (&gt;=40 y &lt;60)"/>
    <s v="2. Riesgo (&gt;=40 y &lt;60)"/>
    <s v="2. Riesgo (&gt;=40 y &lt;60)"/>
    <s v="2. Riesgo (&gt;=40 y &lt;60)"/>
    <n v="51.997483333333321"/>
    <n v="51.500075474146925"/>
    <n v="51.748779403740123"/>
    <n v="59.990272393310896"/>
    <x v="3"/>
    <n v="40.009727606689104"/>
    <n v="0.6523467210059386"/>
    <n v="33.758146560089521"/>
    <n v="0.25165281718417082"/>
    <n v="4"/>
    <b v="1"/>
    <n v="0"/>
    <n v="0.6523368619611829"/>
    <n v="33.757636366557328"/>
    <n v="0.23775895339999883"/>
    <n v="4"/>
    <b v="1"/>
    <n v="0"/>
    <n v="59.990272393310896"/>
    <x v="4"/>
    <n v="40.009727606689104"/>
    <n v="0.64930463728197152"/>
    <n v="33.600722440530241"/>
    <n v="0.25599997848966011"/>
    <n v="4"/>
    <b v="1"/>
    <n v="0"/>
    <n v="7.9977832517344596E-2"/>
    <n v="4.1387552121293387"/>
    <n v="0.24705065675131826"/>
    <n v="4"/>
  </r>
  <r>
    <n v="5107"/>
    <s v="05107"/>
    <s v="50"/>
    <s v="COLOMBIA"/>
    <s v="ANTIOQUIA"/>
    <s v="BRICEÑO"/>
    <x v="5"/>
    <n v="0"/>
    <n v="0"/>
    <n v="1"/>
    <n v="51.2"/>
    <n v="54.394199999999998"/>
    <n v="46.55"/>
    <n v="65.14"/>
    <n v="62.54033267735354"/>
    <n v="64.333484494487607"/>
    <n v="68.256752855489992"/>
    <n v="59.308561029942382"/>
    <s v="3. Vulnerable (&gt;=60 y &lt;70)"/>
    <s v="3. Vulnerable (&gt;=60 y &lt;70)"/>
    <s v="3. Vulnerable (&gt;=60 y &lt;70)"/>
    <s v="2. Riesgo (&gt;=40 y &lt;60)"/>
    <n v="54.32105"/>
    <n v="63.609782764318382"/>
    <n v="58.965416382159191"/>
    <n v="60.02212284362696"/>
    <x v="3"/>
    <n v="39.97787715637304"/>
    <n v="0.6523467210059386"/>
    <n v="38.465896029651404"/>
    <n v="0.31054180061269449"/>
    <n v="4"/>
    <b v="0"/>
    <n v="1"/>
    <n v="0.6523368619611829"/>
    <n v="38.465314686972256"/>
    <n v="0.29339722004150037"/>
    <n v="4"/>
    <b v="0"/>
    <n v="1"/>
    <n v="60.02212284362696"/>
    <x v="4"/>
    <n v="39.97787715637304"/>
    <n v="0.64930463728197152"/>
    <n v="38.286518296198295"/>
    <n v="0.31585226681465417"/>
    <n v="4"/>
    <b v="0"/>
    <n v="1"/>
    <n v="7.9914164751194783E-2"/>
    <n v="4.7121719993866691"/>
    <n v="0.28127906278726511"/>
    <n v="4"/>
  </r>
  <r>
    <n v="68245"/>
    <s v="68245"/>
    <s v="68"/>
    <s v="COLOMBIA"/>
    <s v="SANTANDER"/>
    <s v="EL GUACAMAYO"/>
    <x v="5"/>
    <n v="0"/>
    <n v="0"/>
    <n v="0"/>
    <n v="89.27"/>
    <n v="83.891166666666706"/>
    <n v="52.55"/>
    <n v="58.56"/>
    <n v="47.492961518188991"/>
    <n v="40.46213394002767"/>
    <n v="57.896143589006059"/>
    <n v="63.645365420261861"/>
    <s v="2. Riesgo (&gt;=40 y &lt;60)"/>
    <s v="2. Riesgo (&gt;=40 y &lt;60)"/>
    <s v="2. Riesgo (&gt;=40 y &lt;60)"/>
    <s v="3. Vulnerable (&gt;=60 y &lt;70)"/>
    <n v="71.067791666666679"/>
    <n v="52.374151116871147"/>
    <n v="61.720971391768913"/>
    <n v="60.236252189081661"/>
    <x v="3"/>
    <n v="39.763747810918339"/>
    <n v="0.6523467210059386"/>
    <n v="40.263473304721792"/>
    <n v="0.3330275974987727"/>
    <n v="4"/>
    <b v="0"/>
    <n v="1"/>
    <n v="0.6523368619611829"/>
    <n v="40.262864794902477"/>
    <n v="0.31464178379446012"/>
    <n v="4"/>
    <b v="0"/>
    <n v="1"/>
    <n v="60.236252189081661"/>
    <x v="4"/>
    <n v="39.763747810918339"/>
    <n v="0.64930463728197152"/>
    <n v="40.075712942223454"/>
    <n v="0.33870588594829565"/>
    <n v="4"/>
    <b v="0"/>
    <n v="1"/>
    <n v="7.9486128822128327E-2"/>
    <n v="4.9059610830730405"/>
    <n v="0.29284672454596161"/>
    <n v="3"/>
  </r>
  <r>
    <n v="25518"/>
    <s v="25518"/>
    <s v="25"/>
    <s v="COLOMBIA"/>
    <s v="CUNDINAMARCA"/>
    <s v="PAIME"/>
    <x v="6"/>
    <n v="0"/>
    <n v="0"/>
    <n v="0"/>
    <n v="74.540000000000006"/>
    <n v="79.073866666666703"/>
    <n v="46.55"/>
    <n v="74.06"/>
    <n v="49.79150530895388"/>
    <n v="51.120445053859264"/>
    <n v="48.981425350083427"/>
    <n v="75.022623944787739"/>
    <s v="2. Riesgo (&gt;=40 y &lt;60)"/>
    <s v="2. Riesgo (&gt;=40 y &lt;60)"/>
    <s v="2. Riesgo (&gt;=40 y &lt;60)"/>
    <s v="4. Solvente (&gt;=70 y &lt;80)"/>
    <n v="68.555966666666677"/>
    <n v="56.228999914421074"/>
    <n v="62.392483290543879"/>
    <n v="60.378256263472075"/>
    <x v="3"/>
    <n v="39.621743736527925"/>
    <n v="0.6523467210059386"/>
    <n v="40.701531890004112"/>
    <n v="0.33850724864338083"/>
    <n v="4"/>
    <b v="1"/>
    <n v="0"/>
    <n v="0.6523368619611829"/>
    <n v="40.700916759718936"/>
    <n v="0.31981895401775262"/>
    <n v="4"/>
    <b v="1"/>
    <n v="0"/>
    <n v="60.378256263472075"/>
    <x v="4"/>
    <n v="39.621743736527925"/>
    <n v="0.64930463728197152"/>
    <n v="40.511728732088059"/>
    <n v="0.3442751731244878"/>
    <n v="4"/>
    <b v="1"/>
    <n v="0"/>
    <n v="7.9202268402231893E-2"/>
    <n v="4.9416262078594251"/>
    <n v="0.2949756478695183"/>
    <n v="3"/>
  </r>
  <r>
    <n v="85162"/>
    <s v="85162"/>
    <s v="85"/>
    <s v="COLOMBIA"/>
    <s v="CASANARE"/>
    <s v="MONTERREY"/>
    <x v="4"/>
    <n v="0"/>
    <n v="0"/>
    <n v="0"/>
    <n v="93.49"/>
    <n v="93.511933333333303"/>
    <n v="79.819999999999993"/>
    <n v="80.150000000000006"/>
    <n v="62.217497239324146"/>
    <n v="61.581452055465732"/>
    <n v="65.480018134066967"/>
    <n v="65.51875518615276"/>
    <s v="3. Vulnerable (&gt;=60 y &lt;70)"/>
    <s v="3. Vulnerable (&gt;=60 y &lt;70)"/>
    <s v="3. Vulnerable (&gt;=60 y &lt;70)"/>
    <s v="3. Vulnerable (&gt;=60 y &lt;70)"/>
    <n v="86.742983333333314"/>
    <n v="63.699430653752401"/>
    <n v="75.221206993542864"/>
    <n v="60.461329839870118"/>
    <x v="3"/>
    <n v="39.538670160129882"/>
    <n v="0.6523467210059386"/>
    <n v="49.070307732346663"/>
    <n v="0.44319181290983994"/>
    <n v="3"/>
    <b v="0"/>
    <n v="1"/>
    <n v="0.6523368619611829"/>
    <n v="49.069566123100337"/>
    <n v="0.41872485051664665"/>
    <n v="3"/>
    <b v="0"/>
    <n v="1"/>
    <n v="60.461329839870118"/>
    <x v="4"/>
    <n v="39.538670160129882"/>
    <n v="0.64930463728197152"/>
    <n v="48.841478522854452"/>
    <n v="0.45067216554765221"/>
    <n v="3"/>
    <b v="0"/>
    <n v="1"/>
    <n v="7.9036207672074144E-2"/>
    <n v="5.9451989372857295"/>
    <n v="0.35488093078547095"/>
    <n v="3"/>
  </r>
  <r>
    <n v="52573"/>
    <s v="52573"/>
    <s v="52"/>
    <s v="COLOMBIA"/>
    <s v="NARIÑO"/>
    <s v="PUERRES"/>
    <x v="6"/>
    <n v="0"/>
    <n v="0"/>
    <n v="0"/>
    <n v="60.65"/>
    <n v="62.812966666666703"/>
    <n v="63.28"/>
    <n v="64.680000000000007"/>
    <n v="56.980128865864131"/>
    <n v="63.478948254756929"/>
    <n v="64.522481696721101"/>
    <n v="57.078678903027779"/>
    <s v="2. Riesgo (&gt;=40 y &lt;60)"/>
    <s v="3. Vulnerable (&gt;=60 y &lt;70)"/>
    <s v="3. Vulnerable (&gt;=60 y &lt;70)"/>
    <s v="2. Riesgo (&gt;=40 y &lt;60)"/>
    <n v="62.855741666666674"/>
    <n v="60.515059430092478"/>
    <n v="61.685400548379576"/>
    <n v="60.447776125189826"/>
    <x v="3"/>
    <n v="39.552223874810174"/>
    <n v="0.6523467210059386"/>
    <n v="40.240268781673343"/>
    <n v="0.33273733337530947"/>
    <n v="4"/>
    <b v="1"/>
    <n v="0"/>
    <n v="0.6523368619611829"/>
    <n v="40.239660622548563"/>
    <n v="0.31436754247193305"/>
    <n v="4"/>
    <b v="1"/>
    <n v="0"/>
    <n v="60.447776125189826"/>
    <x v="4"/>
    <n v="39.552223874810174"/>
    <n v="0.64930463728197152"/>
    <n v="40.052616628658726"/>
    <n v="0.33841087368969536"/>
    <n v="4"/>
    <b v="1"/>
    <n v="0"/>
    <n v="7.906330100131008E-2"/>
    <n v="4.8770513909429125"/>
    <n v="0.29112104664012767"/>
    <n v="4"/>
  </r>
  <r>
    <n v="54223"/>
    <s v="54223"/>
    <s v="54"/>
    <s v="COLOMBIA"/>
    <s v="NORTE DE SANTANDER"/>
    <s v="CUCUTILLA"/>
    <x v="5"/>
    <n v="0"/>
    <n v="0"/>
    <n v="0"/>
    <n v="90.27"/>
    <n v="92.440600000000003"/>
    <n v="84.66"/>
    <n v="79.099999999999994"/>
    <n v="52.207150192906482"/>
    <n v="56.959806123706571"/>
    <n v="62.687901321171644"/>
    <n v="65.896607922563518"/>
    <s v="2. Riesgo (&gt;=40 y &lt;60)"/>
    <s v="2. Riesgo (&gt;=40 y &lt;60)"/>
    <s v="3. Vulnerable (&gt;=60 y &lt;70)"/>
    <s v="3. Vulnerable (&gt;=60 y &lt;70)"/>
    <n v="86.617649999999998"/>
    <n v="59.437866390087052"/>
    <n v="73.027758195043532"/>
    <n v="60.256357548984653"/>
    <x v="3"/>
    <n v="39.743642451015347"/>
    <n v="0.6523467210059386"/>
    <n v="47.63941860095121"/>
    <n v="0.42529289817539817"/>
    <n v="3"/>
    <b v="1"/>
    <n v="0"/>
    <n v="0.6523368619611829"/>
    <n v="47.638698617014754"/>
    <n v="0.40181396952313964"/>
    <n v="3"/>
    <b v="1"/>
    <n v="0"/>
    <n v="60.256357548984653"/>
    <x v="4"/>
    <n v="39.743642451015347"/>
    <n v="0.64930463728197152"/>
    <n v="47.417262046348263"/>
    <n v="0.43248046069863622"/>
    <n v="3"/>
    <b v="1"/>
    <n v="0"/>
    <n v="7.9445939018217906E-2"/>
    <n v="5.8017588242005917"/>
    <n v="0.34631870076077353"/>
    <n v="3"/>
  </r>
  <r>
    <n v="68464"/>
    <s v="68464"/>
    <s v="68"/>
    <s v="COLOMBIA"/>
    <s v="SANTANDER"/>
    <s v="MOGOTES"/>
    <x v="6"/>
    <n v="0"/>
    <n v="0"/>
    <n v="0"/>
    <n v="57.3"/>
    <n v="57.972433333333299"/>
    <n v="64.790000000000006"/>
    <n v="69.89"/>
    <n v="49.033140561923986"/>
    <n v="64.998838624743016"/>
    <n v="58.599003229982976"/>
    <n v="68.816275951517625"/>
    <s v="2. Riesgo (&gt;=40 y &lt;60)"/>
    <s v="3. Vulnerable (&gt;=60 y &lt;70)"/>
    <s v="2. Riesgo (&gt;=40 y &lt;60)"/>
    <s v="3. Vulnerable (&gt;=60 y &lt;70)"/>
    <n v="62.488108333333329"/>
    <n v="60.361814592041895"/>
    <n v="61.424961462687612"/>
    <n v="60.16335498748078"/>
    <x v="3"/>
    <n v="39.83664501251922"/>
    <n v="0.6523467210059386"/>
    <n v="40.070372198100408"/>
    <n v="0.33061210620269177"/>
    <n v="4"/>
    <b v="1"/>
    <n v="0"/>
    <n v="0.6523368619611829"/>
    <n v="40.069766606656231"/>
    <n v="0.31235962945969059"/>
    <n v="4"/>
    <b v="1"/>
    <n v="0"/>
    <n v="60.16335498748078"/>
    <x v="4"/>
    <n v="39.83664501251922"/>
    <n v="0.64930463728197152"/>
    <n v="39.883512322589461"/>
    <n v="0.33625088209048543"/>
    <n v="4"/>
    <b v="1"/>
    <n v="0"/>
    <n v="7.9631847389321081E-2"/>
    <n v="4.8913831570916688"/>
    <n v="0.29197653870428264"/>
    <n v="3"/>
  </r>
  <r>
    <n v="52385"/>
    <s v="52385"/>
    <s v="52"/>
    <s v="COLOMBIA"/>
    <s v="NARIÑO"/>
    <s v="LA LLANADA"/>
    <x v="6"/>
    <n v="0"/>
    <n v="0"/>
    <n v="0"/>
    <n v="68.09"/>
    <n v="66.866366666666707"/>
    <n v="49.19"/>
    <n v="49.61"/>
    <n v="56.213294828154517"/>
    <n v="49.817977684768259"/>
    <n v="56.739967356246474"/>
    <n v="35.163571629020225"/>
    <s v="2. Riesgo (&gt;=40 y &lt;60)"/>
    <s v="2. Riesgo (&gt;=40 y &lt;60)"/>
    <s v="2. Riesgo (&gt;=40 y &lt;60)"/>
    <s v="1. Deterioro (&lt;40)"/>
    <n v="58.439091666666684"/>
    <n v="49.483702874547369"/>
    <n v="53.961397270607023"/>
    <n v="60.552018350789083"/>
    <x v="3"/>
    <n v="39.447981649210917"/>
    <n v="0.6523467210059386"/>
    <n v="35.201540570379294"/>
    <n v="0.26970815477219567"/>
    <n v="4"/>
    <b v="1"/>
    <n v="0"/>
    <n v="0.6523368619611829"/>
    <n v="35.201008562548523"/>
    <n v="0.25481762258630158"/>
    <n v="4"/>
    <b v="1"/>
    <n v="0"/>
    <n v="60.552018350789083"/>
    <x v="4"/>
    <n v="39.447981649210917"/>
    <n v="0.64930463728197152"/>
    <n v="35.037385482019864"/>
    <n v="0.27435066495439098"/>
    <n v="4"/>
    <b v="1"/>
    <n v="0"/>
    <n v="7.8854924994800638E-2"/>
    <n v="4.2551219343883568"/>
    <n v="0.25399682140339441"/>
    <n v="4"/>
  </r>
  <r>
    <n v="68468"/>
    <s v="68468"/>
    <s v="68"/>
    <s v="COLOMBIA"/>
    <s v="SANTANDER"/>
    <s v="MOLAGAVITA"/>
    <x v="6"/>
    <n v="0"/>
    <n v="0"/>
    <n v="0"/>
    <n v="59.12"/>
    <n v="64.868099999999998"/>
    <n v="75.67"/>
    <n v="72.540000000000006"/>
    <n v="47.824951211334017"/>
    <n v="47.439602784444183"/>
    <n v="46.423625022058943"/>
    <n v="47.235021601561314"/>
    <s v="2. Riesgo (&gt;=40 y &lt;60)"/>
    <s v="2. Riesgo (&gt;=40 y &lt;60)"/>
    <s v="2. Riesgo (&gt;=40 y &lt;60)"/>
    <s v="2. Riesgo (&gt;=40 y &lt;60)"/>
    <n v="68.049525000000003"/>
    <n v="47.230800154849618"/>
    <n v="57.64016257742481"/>
    <n v="60.509441365938663"/>
    <x v="3"/>
    <n v="39.490558634061337"/>
    <n v="0.6523467210059386"/>
    <n v="37.601371055632285"/>
    <n v="0.29972750448293578"/>
    <n v="4"/>
    <b v="1"/>
    <n v="0"/>
    <n v="0.6523368619611829"/>
    <n v="37.600802778689712"/>
    <n v="0.28317988130380639"/>
    <n v="4"/>
    <b v="1"/>
    <n v="0"/>
    <n v="60.509441365938663"/>
    <x v="4"/>
    <n v="39.490558634061337"/>
    <n v="0.64930463728197152"/>
    <n v="37.426024855208688"/>
    <n v="0.3048610706297889"/>
    <n v="4"/>
    <b v="1"/>
    <n v="0"/>
    <n v="7.8940034671050735E-2"/>
    <n v="4.5501164323069156"/>
    <n v="0.27160563872006538"/>
    <n v="4"/>
  </r>
  <r>
    <n v="41660"/>
    <s v="41660"/>
    <s v="41"/>
    <s v="COLOMBIA"/>
    <s v="HUILA"/>
    <s v="SALADOBLANCO"/>
    <x v="6"/>
    <n v="0"/>
    <n v="0"/>
    <n v="0"/>
    <n v="63.14"/>
    <n v="70.160166666666697"/>
    <n v="78.81"/>
    <n v="77.17"/>
    <n v="56.64406367486216"/>
    <n v="43.49702134056777"/>
    <n v="55.414625030654811"/>
    <n v="50.944110778351742"/>
    <s v="2. Riesgo (&gt;=40 y &lt;60)"/>
    <s v="2. Riesgo (&gt;=40 y &lt;60)"/>
    <s v="2. Riesgo (&gt;=40 y &lt;60)"/>
    <s v="2. Riesgo (&gt;=40 y &lt;60)"/>
    <n v="72.320041666666683"/>
    <n v="51.624955206109121"/>
    <n v="61.972498436387902"/>
    <n v="60.662686398852195"/>
    <x v="3"/>
    <n v="39.337313601147805"/>
    <n v="0.6523467210059386"/>
    <n v="40.427556147523305"/>
    <n v="0.33508010090260032"/>
    <n v="4"/>
    <b v="1"/>
    <n v="0"/>
    <n v="0.6523368619611829"/>
    <n v="40.426945157887594"/>
    <n v="0.31658098744540025"/>
    <n v="4"/>
    <b v="1"/>
    <n v="0"/>
    <n v="60.662686398852195"/>
    <x v="4"/>
    <n v="39.337313601147805"/>
    <n v="0.64930463728197152"/>
    <n v="40.239030618696397"/>
    <n v="0.34079196416465729"/>
    <n v="4"/>
    <b v="1"/>
    <n v="0"/>
    <n v="7.863370402823916E-2"/>
    <n v="4.8731270999374408"/>
    <n v="0.29088679778497822"/>
    <n v="4"/>
  </r>
  <r>
    <n v="73686"/>
    <s v="73686"/>
    <s v="73"/>
    <s v="COLOMBIA"/>
    <s v="TOLIMA"/>
    <s v="SANTA ISABEL"/>
    <x v="6"/>
    <n v="0"/>
    <n v="0"/>
    <n v="0"/>
    <n v="45.47"/>
    <n v="52.187666666666701"/>
    <n v="67.17"/>
    <n v="31.01"/>
    <n v="50.557323646637066"/>
    <n v="43.200966037258425"/>
    <n v="59.959327057574797"/>
    <n v="10.362871559642876"/>
    <s v="2. Riesgo (&gt;=40 y &lt;60)"/>
    <s v="2. Riesgo (&gt;=40 y &lt;60)"/>
    <s v="2. Riesgo (&gt;=40 y &lt;60)"/>
    <s v="1. Deterioro (&lt;40)"/>
    <n v="48.959416666666669"/>
    <n v="41.020122075278294"/>
    <n v="44.989769370972482"/>
    <n v="60.690824588700778"/>
    <x v="3"/>
    <n v="39.309175411299222"/>
    <n v="0.6523467210059386"/>
    <n v="29.348928527967306"/>
    <n v="0.1964981473562207"/>
    <n v="4"/>
    <b v="1"/>
    <n v="0"/>
    <n v="0.6523368619611829"/>
    <n v="29.34848497181753"/>
    <n v="0.18564886340097375"/>
    <n v="4"/>
    <b v="1"/>
    <n v="0"/>
    <n v="60.690824588700778"/>
    <x v="4"/>
    <n v="39.309175411299222"/>
    <n v="0.64930463728197152"/>
    <n v="29.212065882818841"/>
    <n v="0.19994308959771548"/>
    <n v="4"/>
    <b v="1"/>
    <n v="0"/>
    <n v="7.8577456921106278E-2"/>
    <n v="3.5351816646380971"/>
    <n v="0.21102213279599177"/>
    <n v="4"/>
  </r>
  <r>
    <n v="54385"/>
    <s v="54385"/>
    <s v="54"/>
    <s v="COLOMBIA"/>
    <s v="NORTE DE SANTANDER"/>
    <s v="LA ESPERANZA"/>
    <x v="6"/>
    <n v="0"/>
    <n v="0"/>
    <n v="0"/>
    <n v="50.07"/>
    <n v="51.019033333333297"/>
    <n v="48.64"/>
    <n v="50.93"/>
    <n v="68.387034783420276"/>
    <n v="70.351662164921663"/>
    <n v="64.591605245680171"/>
    <n v="57.313466043219826"/>
    <s v="3. Vulnerable (&gt;=60 y &lt;70)"/>
    <s v="4. Solvente (&gt;=70 y &lt;80)"/>
    <s v="3. Vulnerable (&gt;=60 y &lt;70)"/>
    <s v="2. Riesgo (&gt;=40 y &lt;60)"/>
    <n v="50.164758333333324"/>
    <n v="65.160942059310486"/>
    <n v="57.662850196321905"/>
    <n v="60.918637691969771"/>
    <x v="3"/>
    <n v="39.081362308030229"/>
    <n v="0.6523467210059386"/>
    <n v="37.616171249427239"/>
    <n v="0.29991263930643586"/>
    <n v="4"/>
    <b v="1"/>
    <n v="0"/>
    <n v="0.6523368619611829"/>
    <n v="37.61560274880641"/>
    <n v="0.28335479654388729"/>
    <n v="4"/>
    <b v="1"/>
    <n v="0"/>
    <n v="60.918637691969771"/>
    <x v="4"/>
    <n v="39.081362308030229"/>
    <n v="0.64930463728197152"/>
    <n v="37.440756031367457"/>
    <n v="0.30504923388529104"/>
    <n v="4"/>
    <b v="1"/>
    <n v="0"/>
    <n v="7.8122067711821633E-2"/>
    <n v="4.5047410874936871"/>
    <n v="0.26889709275349727"/>
    <n v="4"/>
  </r>
  <r>
    <n v="54680"/>
    <s v="54680"/>
    <s v="54"/>
    <s v="COLOMBIA"/>
    <s v="NORTE DE SANTANDER"/>
    <s v="SANTIAGO"/>
    <x v="6"/>
    <n v="0"/>
    <n v="0"/>
    <n v="0"/>
    <n v="50.3"/>
    <n v="55.549833333333297"/>
    <n v="60.44"/>
    <n v="53"/>
    <n v="56.513558024188598"/>
    <n v="59.032264235806451"/>
    <n v="53.479564288524308"/>
    <n v="54.177726666505741"/>
    <s v="2. Riesgo (&gt;=40 y &lt;60)"/>
    <s v="2. Riesgo (&gt;=40 y &lt;60)"/>
    <s v="2. Riesgo (&gt;=40 y &lt;60)"/>
    <s v="2. Riesgo (&gt;=40 y &lt;60)"/>
    <n v="54.822458333333323"/>
    <n v="55.800778303756275"/>
    <n v="55.311618318544802"/>
    <n v="60.504335054576543"/>
    <x v="3"/>
    <n v="39.495664945423457"/>
    <n v="0.6523467210059386"/>
    <n v="36.082352843634709"/>
    <n v="0.28072618784696879"/>
    <n v="4"/>
    <b v="1"/>
    <n v="0"/>
    <n v="0.6523368619611829"/>
    <n v="36.081807523914193"/>
    <n v="0.26522745183429947"/>
    <n v="4"/>
    <b v="1"/>
    <n v="0"/>
    <n v="60.504335054576543"/>
    <x v="4"/>
    <n v="39.495664945423457"/>
    <n v="0.64930463728197152"/>
    <n v="35.914090269801584"/>
    <n v="0.28554893080943072"/>
    <n v="4"/>
    <b v="1"/>
    <n v="0"/>
    <n v="7.8950241981605718E-2"/>
    <n v="4.3668656506433274"/>
    <n v="0.26066702949101411"/>
    <n v="4"/>
  </r>
  <r>
    <n v="73483"/>
    <s v="73483"/>
    <s v="73"/>
    <s v="COLOMBIA"/>
    <s v="TOLIMA"/>
    <s v="NATAGAIMA"/>
    <x v="6"/>
    <n v="0"/>
    <n v="0"/>
    <n v="0"/>
    <n v="47.12"/>
    <n v="55.879966666666697"/>
    <n v="31.1"/>
    <n v="8.1"/>
    <n v="54.89886330918155"/>
    <n v="50.791442623506896"/>
    <n v="49.841408091289615"/>
    <n v="55.143685346454774"/>
    <s v="2. Riesgo (&gt;=40 y &lt;60)"/>
    <s v="2. Riesgo (&gt;=40 y &lt;60)"/>
    <s v="2. Riesgo (&gt;=40 y &lt;60)"/>
    <s v="2. Riesgo (&gt;=40 y &lt;60)"/>
    <n v="35.549991666666671"/>
    <n v="52.668849842608211"/>
    <n v="44.109420754637441"/>
    <n v="60.724165405321997"/>
    <x v="3"/>
    <n v="39.275834594678003"/>
    <n v="0.6523467210059386"/>
    <n v="28.774635994759027"/>
    <n v="0.18931435312717593"/>
    <n v="4"/>
    <b v="1"/>
    <n v="0"/>
    <n v="0.6523368619611829"/>
    <n v="28.77420111800566"/>
    <n v="0.17886162009088333"/>
    <n v="5"/>
    <b v="0"/>
    <n v="1"/>
    <n v="60.724165405321997"/>
    <x v="4"/>
    <n v="39.275834594678003"/>
    <n v="0.64930463728197152"/>
    <n v="28.640451443807731"/>
    <n v="0.19264178299618298"/>
    <n v="4"/>
    <b v="1"/>
    <n v="0"/>
    <n v="7.8510809972795692E-2"/>
    <n v="3.4630663508774306"/>
    <n v="0.20671742408208024"/>
    <n v="4"/>
  </r>
  <r>
    <n v="54051"/>
    <s v="54051"/>
    <s v="54"/>
    <s v="COLOMBIA"/>
    <s v="NORTE DE SANTANDER"/>
    <s v="ARBOLEDAS"/>
    <x v="6"/>
    <n v="0"/>
    <n v="0"/>
    <n v="0"/>
    <n v="56.1"/>
    <n v="54.189300000000003"/>
    <n v="34.1"/>
    <n v="49.6"/>
    <n v="51.468018543733358"/>
    <n v="57.67244071266488"/>
    <n v="48.477159620953124"/>
    <n v="59.023754137121742"/>
    <s v="2. Riesgo (&gt;=40 y &lt;60)"/>
    <s v="2. Riesgo (&gt;=40 y &lt;60)"/>
    <s v="2. Riesgo (&gt;=40 y &lt;60)"/>
    <s v="2. Riesgo (&gt;=40 y &lt;60)"/>
    <n v="48.497324999999996"/>
    <n v="54.160343253618279"/>
    <n v="51.328834126809141"/>
    <n v="60.545615939717891"/>
    <x v="3"/>
    <n v="39.454384060282109"/>
    <n v="0.6523467210059386"/>
    <n v="33.484196635681663"/>
    <n v="0.24822599240026808"/>
    <n v="4"/>
    <b v="1"/>
    <n v="0"/>
    <n v="0.6523368619611829"/>
    <n v="33.483690582408748"/>
    <n v="0.2345212919570584"/>
    <n v="4"/>
    <b v="1"/>
    <n v="0"/>
    <n v="60.545615939717891"/>
    <x v="4"/>
    <n v="39.454384060282109"/>
    <n v="0.64930463728197152"/>
    <n v="33.328050024814289"/>
    <n v="0.25251709776962988"/>
    <n v="4"/>
    <b v="1"/>
    <n v="0"/>
    <n v="7.8867723156422542E-2"/>
    <n v="4.0481882798551165"/>
    <n v="0.24164453366563152"/>
    <n v="4"/>
  </r>
  <r>
    <n v="25580"/>
    <s v="25580"/>
    <s v="25"/>
    <s v="COLOMBIA"/>
    <s v="CUNDINAMARCA"/>
    <s v="PULÍ"/>
    <x v="6"/>
    <n v="0"/>
    <n v="0"/>
    <n v="0"/>
    <n v="38.92"/>
    <n v="51.275100000000002"/>
    <n v="51.94"/>
    <s v="N.D."/>
    <n v="62.314303504154182"/>
    <n v="53.274298312500797"/>
    <n v="54.641377425224931"/>
    <n v="54.898281115161844"/>
    <s v="3. Vulnerable (&gt;=60 y &lt;70)"/>
    <s v="2. Riesgo (&gt;=40 y &lt;60)"/>
    <s v="2. Riesgo (&gt;=40 y &lt;60)"/>
    <s v="2. Riesgo (&gt;=40 y &lt;60)"/>
    <n v="47.378366666666665"/>
    <n v="56.282065089260435"/>
    <n v="51.830215877963553"/>
    <n v="60.944693594097032"/>
    <x v="3"/>
    <n v="39.055306405902968"/>
    <n v="0.6523467210059386"/>
    <n v="33.811271377019459"/>
    <n v="0.25231735264512889"/>
    <n v="4"/>
    <b v="1"/>
    <n v="0"/>
    <n v="0.6523368619611829"/>
    <n v="33.810760380601423"/>
    <n v="0.23838680599681594"/>
    <n v="4"/>
    <b v="1"/>
    <n v="0"/>
    <n v="60.944693594097032"/>
    <x v="4"/>
    <n v="39.055306405902968"/>
    <n v="0.64930463728197152"/>
    <n v="33.653599520887404"/>
    <n v="0.25667538440933807"/>
    <n v="4"/>
    <b v="1"/>
    <n v="0"/>
    <n v="7.8069983013897462E-2"/>
    <n v="4.0463840731992535"/>
    <n v="0.24153683692678121"/>
    <n v="4"/>
  </r>
  <r>
    <n v="52520"/>
    <s v="52520"/>
    <s v="52"/>
    <s v="COLOMBIA"/>
    <s v="NARIÑO"/>
    <s v="FRANCISCO PIZARRO"/>
    <x v="6"/>
    <n v="0"/>
    <n v="0"/>
    <n v="1"/>
    <n v="62.21"/>
    <n v="60.897133333333301"/>
    <n v="44.66"/>
    <n v="39.049999999999997"/>
    <n v="53.953710694656849"/>
    <n v="58.744206396193348"/>
    <n v="57.288083866036644"/>
    <n v="64.368594712033158"/>
    <s v="2. Riesgo (&gt;=40 y &lt;60)"/>
    <s v="2. Riesgo (&gt;=40 y &lt;60)"/>
    <s v="2. Riesgo (&gt;=40 y &lt;60)"/>
    <s v="3. Vulnerable (&gt;=60 y &lt;70)"/>
    <n v="51.704283333333322"/>
    <n v="58.588648917230003"/>
    <n v="55.146466125281663"/>
    <n v="60.811346026252785"/>
    <x v="3"/>
    <n v="39.188653973747215"/>
    <n v="0.6523467210059386"/>
    <n v="35.974616351892564"/>
    <n v="0.27937851790024137"/>
    <n v="4"/>
    <b v="1"/>
    <n v="0"/>
    <n v="0.6523368619611829"/>
    <n v="35.974072660414912"/>
    <n v="0.26395417429620494"/>
    <n v="4"/>
    <b v="1"/>
    <n v="0"/>
    <n v="60.811346026252785"/>
    <x v="4"/>
    <n v="39.188653973747215"/>
    <n v="0.64930463728197152"/>
    <n v="35.806856184858539"/>
    <n v="0.28417921570276117"/>
    <n v="4"/>
    <b v="1"/>
    <n v="0"/>
    <n v="7.8336539426190052E-2"/>
    <n v="4.3199833178381812"/>
    <n v="0.25786852836787422"/>
    <n v="4"/>
  </r>
  <r>
    <n v="19585"/>
    <s v="19585"/>
    <s v="19"/>
    <s v="COLOMBIA"/>
    <s v="CAUCA"/>
    <s v="PURACÉ"/>
    <x v="5"/>
    <n v="0"/>
    <n v="0"/>
    <n v="0"/>
    <n v="62.91"/>
    <n v="68.245566666666704"/>
    <n v="65.19"/>
    <n v="83.04"/>
    <n v="45.625558811669038"/>
    <n v="44.850372226959095"/>
    <n v="38.562353781893137"/>
    <n v="48.985606072414917"/>
    <s v="2. Riesgo (&gt;=40 y &lt;60)"/>
    <s v="2. Riesgo (&gt;=40 y &lt;60)"/>
    <s v="1. Deterioro (&lt;40)"/>
    <s v="2. Riesgo (&gt;=40 y &lt;60)"/>
    <n v="69.846391666666676"/>
    <n v="44.505972723234045"/>
    <n v="57.176182194950357"/>
    <n v="60.686131814485009"/>
    <x v="3"/>
    <n v="39.313868185514991"/>
    <n v="0.6523467210059386"/>
    <n v="37.298694974513992"/>
    <n v="0.29594134575880887"/>
    <n v="4"/>
    <b v="0"/>
    <n v="1"/>
    <n v="0.6523368619611829"/>
    <n v="37.298131271974775"/>
    <n v="0.2796027214281277"/>
    <n v="4"/>
    <b v="0"/>
    <n v="1"/>
    <n v="60.686131814485009"/>
    <x v="4"/>
    <n v="39.313868185514991"/>
    <n v="0.64930463728197152"/>
    <n v="37.124760241260162"/>
    <n v="0.30101297799161858"/>
    <n v="4"/>
    <b v="0"/>
    <n v="1"/>
    <n v="7.8586837587577188E-2"/>
    <n v="4.493295344032286"/>
    <n v="0.26821387321181978"/>
    <n v="4"/>
  </r>
  <r>
    <n v="5585"/>
    <s v="05585"/>
    <s v="50"/>
    <s v="COLOMBIA"/>
    <s v="ANTIOQUIA"/>
    <s v="PUERTO NARE"/>
    <x v="6"/>
    <n v="0"/>
    <n v="0"/>
    <n v="0"/>
    <n v="65.73"/>
    <n v="66.461100000000002"/>
    <n v="58.84"/>
    <n v="60.14"/>
    <n v="52.430716619222409"/>
    <n v="56.733734823933148"/>
    <n v="56.485419380136079"/>
    <n v="54.338219668656151"/>
    <s v="2. Riesgo (&gt;=40 y &lt;60)"/>
    <s v="2. Riesgo (&gt;=40 y &lt;60)"/>
    <s v="2. Riesgo (&gt;=40 y &lt;60)"/>
    <s v="2. Riesgo (&gt;=40 y &lt;60)"/>
    <n v="62.792775000000006"/>
    <n v="54.997022622986947"/>
    <n v="58.894898811493476"/>
    <n v="60.736408548589694"/>
    <x v="3"/>
    <n v="39.263591451410306"/>
    <n v="0.6523467210059386"/>
    <n v="38.419894123654316"/>
    <n v="0.30996636525925053"/>
    <n v="4"/>
    <b v="1"/>
    <n v="0"/>
    <n v="0.6523368619611829"/>
    <n v="38.419313476211052"/>
    <n v="0.29285354915832534"/>
    <n v="4"/>
    <b v="1"/>
    <n v="0"/>
    <n v="60.736408548589694"/>
    <x v="4"/>
    <n v="39.263591451410306"/>
    <n v="0.64930463728197152"/>
    <n v="38.240730910555186"/>
    <n v="0.31526741850039308"/>
    <n v="4"/>
    <b v="1"/>
    <n v="0"/>
    <n v="7.8486336422978614E-2"/>
    <n v="4.6224448417161605"/>
    <n v="0.27592306754358326"/>
    <n v="4"/>
  </r>
  <r>
    <n v="54660"/>
    <s v="54660"/>
    <s v="54"/>
    <s v="COLOMBIA"/>
    <s v="NORTE DE SANTANDER"/>
    <s v="SALAZAR"/>
    <x v="6"/>
    <n v="0"/>
    <n v="0"/>
    <n v="0"/>
    <n v="43.97"/>
    <n v="45.8872"/>
    <n v="64.400000000000006"/>
    <n v="38.46"/>
    <n v="44.363238601076546"/>
    <n v="53.982511356635833"/>
    <n v="45.245245524591851"/>
    <n v="54.003660436014982"/>
    <s v="2. Riesgo (&gt;=40 y &lt;60)"/>
    <s v="2. Riesgo (&gt;=40 y &lt;60)"/>
    <s v="2. Riesgo (&gt;=40 y &lt;60)"/>
    <s v="2. Riesgo (&gt;=40 y &lt;60)"/>
    <n v="48.179300000000005"/>
    <n v="49.398663979579794"/>
    <n v="48.788981989789903"/>
    <n v="60.73891281155678"/>
    <x v="3"/>
    <n v="39.26108718844322"/>
    <n v="0.6523467210059386"/>
    <n v="31.827332422257236"/>
    <n v="0.22750036758983286"/>
    <n v="4"/>
    <b v="1"/>
    <n v="0"/>
    <n v="0.6523368619611829"/>
    <n v="31.826851409500215"/>
    <n v="0.21493973743906727"/>
    <n v="4"/>
    <b v="1"/>
    <n v="0"/>
    <n v="60.73891281155678"/>
    <x v="4"/>
    <n v="39.26108718844322"/>
    <n v="0.64930463728197152"/>
    <n v="31.678912254237176"/>
    <n v="0.23145244357373193"/>
    <n v="4"/>
    <b v="1"/>
    <n v="0"/>
    <n v="7.8481330502265301E-2"/>
    <n v="3.8290242204097709"/>
    <n v="0.22856218835958941"/>
    <n v="4"/>
  </r>
  <r>
    <n v="68318"/>
    <s v="68318"/>
    <s v="68"/>
    <s v="COLOMBIA"/>
    <s v="SANTANDER"/>
    <s v="GUACA"/>
    <x v="6"/>
    <n v="0"/>
    <n v="0"/>
    <n v="0"/>
    <n v="43.91"/>
    <n v="48.172800000000002"/>
    <n v="53.01"/>
    <n v="59.85"/>
    <n v="50.732469748419376"/>
    <n v="51.809863350553847"/>
    <n v="42.452103240555061"/>
    <n v="47.735500201232462"/>
    <s v="2. Riesgo (&gt;=40 y &lt;60)"/>
    <s v="2. Riesgo (&gt;=40 y &lt;60)"/>
    <s v="2. Riesgo (&gt;=40 y &lt;60)"/>
    <s v="2. Riesgo (&gt;=40 y &lt;60)"/>
    <n v="51.235699999999994"/>
    <n v="48.182484135190187"/>
    <n v="49.709092067595094"/>
    <n v="60.847241514953787"/>
    <x v="3"/>
    <n v="39.152758485046213"/>
    <n v="0.6523467210059386"/>
    <n v="32.427563214477971"/>
    <n v="0.23500862209762127"/>
    <n v="4"/>
    <b v="1"/>
    <n v="0"/>
    <n v="0.6523368619611829"/>
    <n v="32.427073130314511"/>
    <n v="0.22203353057311967"/>
    <n v="4"/>
    <b v="1"/>
    <n v="0"/>
    <n v="60.847241514953787"/>
    <x v="4"/>
    <n v="39.152758485046213"/>
    <n v="0.64930463728197152"/>
    <n v="32.276343994565963"/>
    <n v="0.23908351796921762"/>
    <n v="4"/>
    <b v="1"/>
    <n v="0"/>
    <n v="7.8264785791382074E-2"/>
    <n v="3.89047144255442"/>
    <n v="0.2322300971409279"/>
    <n v="4"/>
  </r>
  <r>
    <n v="23807"/>
    <s v="23807"/>
    <s v="23"/>
    <s v="COLOMBIA"/>
    <s v="CÓRDOBA"/>
    <s v="TIERRALTA"/>
    <x v="6"/>
    <n v="0"/>
    <n v="0"/>
    <n v="1"/>
    <n v="49.83"/>
    <n v="54.210700000000003"/>
    <n v="57.45"/>
    <n v="48.11"/>
    <n v="56.654364688090205"/>
    <n v="60.204383693461921"/>
    <n v="61.458289376091258"/>
    <n v="61.152323035191479"/>
    <s v="2. Riesgo (&gt;=40 y &lt;60)"/>
    <s v="3. Vulnerable (&gt;=60 y &lt;70)"/>
    <s v="3. Vulnerable (&gt;=60 y &lt;70)"/>
    <s v="3. Vulnerable (&gt;=60 y &lt;70)"/>
    <n v="52.400175000000004"/>
    <n v="59.867340198208716"/>
    <n v="56.133757599104356"/>
    <n v="60.979898890838335"/>
    <x v="3"/>
    <n v="39.020101109161665"/>
    <n v="0.6523467210059386"/>
    <n v="36.618672707517916"/>
    <n v="0.28743498400972328"/>
    <n v="4"/>
    <b v="1"/>
    <n v="0"/>
    <n v="0.6523368619611829"/>
    <n v="36.618119282289442"/>
    <n v="0.27156591733353613"/>
    <n v="4"/>
    <b v="1"/>
    <n v="0"/>
    <n v="60.979898890838335"/>
    <x v="4"/>
    <n v="39.020101109161665"/>
    <n v="0.64930463728197152"/>
    <n v="36.447909117160563"/>
    <n v="0.2923674693351323"/>
    <n v="4"/>
    <b v="1"/>
    <n v="0"/>
    <n v="7.7999609044992257E-2"/>
    <n v="4.3784111469565028"/>
    <n v="0.26135620348186306"/>
    <n v="4"/>
  </r>
  <r>
    <n v="13490"/>
    <s v="13490"/>
    <s v="13"/>
    <s v="COLOMBIA"/>
    <s v="BOLÍVAR"/>
    <s v="NOROSÍ"/>
    <x v="7"/>
    <n v="0"/>
    <n v="0"/>
    <n v="0"/>
    <n v="48.67"/>
    <n v="49.478266666666698"/>
    <n v="38.76"/>
    <s v="N.D."/>
    <n v="36.943731844174181"/>
    <n v="53.589642737970529"/>
    <n v="40.554688626545349"/>
    <n v="65.722693872706188"/>
    <s v="1. Deterioro (&lt;40)"/>
    <s v="2. Riesgo (&gt;=40 y &lt;60)"/>
    <s v="2. Riesgo (&gt;=40 y &lt;60)"/>
    <s v="3. Vulnerable (&gt;=60 y &lt;70)"/>
    <n v="45.636088888888899"/>
    <n v="49.202689270349069"/>
    <n v="47.419389079618981"/>
    <n v="61.005917507893493"/>
    <x v="3"/>
    <n v="38.994082492106507"/>
    <n v="0.6523467210059386"/>
    <n v="30.933882978194255"/>
    <n v="0.21632425682909073"/>
    <n v="4"/>
    <b v="0"/>
    <n v="-1"/>
    <n v="0.6523368619611829"/>
    <n v="30.93341546831503"/>
    <n v="0.20438055651389717"/>
    <n v="4"/>
    <b v="0"/>
    <n v="-1"/>
    <n v="61.005917507893493"/>
    <x v="4"/>
    <n v="38.994082492106507"/>
    <n v="0.64930463728197152"/>
    <n v="30.789629226474684"/>
    <n v="0.22009351420087386"/>
    <n v="4"/>
    <b v="0"/>
    <n v="-1"/>
    <n v="7.794759887842409E-2"/>
    <n v="3.696227519038064"/>
    <n v="0.22063528507423907"/>
    <n v="4"/>
  </r>
  <r>
    <n v="73226"/>
    <s v="73226"/>
    <s v="73"/>
    <s v="COLOMBIA"/>
    <s v="TOLIMA"/>
    <s v="CUNDAY"/>
    <x v="6"/>
    <n v="0"/>
    <n v="0"/>
    <n v="0"/>
    <n v="59.36"/>
    <n v="54.293900000000001"/>
    <n v="54.8"/>
    <n v="55.56"/>
    <n v="44.725989172286987"/>
    <n v="47.949253559948275"/>
    <n v="39.464447152152665"/>
    <n v="40.028243458982274"/>
    <s v="2. Riesgo (&gt;=40 y &lt;60)"/>
    <s v="2. Riesgo (&gt;=40 y &lt;60)"/>
    <s v="1. Deterioro (&lt;40)"/>
    <s v="2. Riesgo (&gt;=40 y &lt;60)"/>
    <n v="56.003474999999995"/>
    <n v="43.041983335842552"/>
    <n v="49.52272916792127"/>
    <n v="60.947886198777027"/>
    <x v="3"/>
    <n v="39.052113801222973"/>
    <n v="0.6523467210059386"/>
    <n v="32.305989987958597"/>
    <n v="0.23348786918412398"/>
    <n v="4"/>
    <b v="1"/>
    <n v="0"/>
    <n v="0.6523368619611829"/>
    <n v="32.305501741155304"/>
    <n v="0.22059672437999356"/>
    <n v="4"/>
    <b v="1"/>
    <n v="0"/>
    <n v="60.947886198777027"/>
    <x v="4"/>
    <n v="39.052113801222973"/>
    <n v="0.64930463728197152"/>
    <n v="32.155337699590433"/>
    <n v="0.23753788860782452"/>
    <n v="4"/>
    <b v="1"/>
    <n v="0"/>
    <n v="7.8063601125850118E-2"/>
    <n v="3.8659225764281095"/>
    <n v="0.23076472574586904"/>
    <n v="4"/>
  </r>
  <r>
    <n v="5652"/>
    <s v="05652"/>
    <s v="50"/>
    <s v="COLOMBIA"/>
    <s v="ANTIOQUIA"/>
    <s v="SAN FRANCISCO"/>
    <x v="6"/>
    <n v="0"/>
    <n v="0"/>
    <n v="0"/>
    <n v="50.25"/>
    <n v="54.890833333333298"/>
    <n v="62.33"/>
    <n v="63.3"/>
    <n v="49.754101334915362"/>
    <n v="58.992181217803683"/>
    <n v="53.599832897921651"/>
    <n v="56.91935692324175"/>
    <s v="2. Riesgo (&gt;=40 y &lt;60)"/>
    <s v="2. Riesgo (&gt;=40 y &lt;60)"/>
    <s v="2. Riesgo (&gt;=40 y &lt;60)"/>
    <s v="2. Riesgo (&gt;=40 y &lt;60)"/>
    <n v="57.692708333333329"/>
    <n v="54.816368093470615"/>
    <n v="56.254538213401972"/>
    <n v="60.611379093070575"/>
    <x v="3"/>
    <n v="39.388620906929425"/>
    <n v="0.6523467210059386"/>
    <n v="36.697463545216046"/>
    <n v="0.28842057433595542"/>
    <n v="4"/>
    <b v="1"/>
    <n v="0"/>
    <n v="0.6523368619611829"/>
    <n v="36.696908929206089"/>
    <n v="0.27249710232226576"/>
    <n v="4"/>
    <b v="1"/>
    <n v="0"/>
    <n v="60.611379093070575"/>
    <x v="4"/>
    <n v="39.388620906929425"/>
    <n v="0.64930463728197152"/>
    <n v="36.52633253011777"/>
    <n v="0.29336918192960376"/>
    <n v="4"/>
    <b v="1"/>
    <n v="0"/>
    <n v="7.8736265264073027E-2"/>
    <n v="4.4292722430783504"/>
    <n v="0.26439220502241556"/>
    <n v="4"/>
  </r>
  <r>
    <n v="15236"/>
    <s v="15236"/>
    <s v="15"/>
    <s v="COLOMBIA"/>
    <s v="BOYACÁ"/>
    <s v="CHIVOR"/>
    <x v="6"/>
    <n v="0"/>
    <n v="0"/>
    <n v="0"/>
    <n v="44.82"/>
    <n v="49.425033333333303"/>
    <n v="62.04"/>
    <n v="60.31"/>
    <n v="58.465634201585523"/>
    <n v="53.830567570890622"/>
    <n v="54.492794987241581"/>
    <n v="58.27367563966569"/>
    <s v="2. Riesgo (&gt;=40 y &lt;60)"/>
    <s v="2. Riesgo (&gt;=40 y &lt;60)"/>
    <s v="2. Riesgo (&gt;=40 y &lt;60)"/>
    <s v="2. Riesgo (&gt;=40 y &lt;60)"/>
    <n v="54.148758333333326"/>
    <n v="56.265668099845854"/>
    <n v="55.207213216589594"/>
    <n v="61.03095277909275"/>
    <x v="3"/>
    <n v="38.96904722090725"/>
    <n v="0.6523467210059386"/>
    <n v="36.014244517717941"/>
    <n v="0.27987422448269267"/>
    <n v="4"/>
    <b v="1"/>
    <n v="0"/>
    <n v="0.6523368619611829"/>
    <n v="36.013700227331995"/>
    <n v="0.26442251749733775"/>
    <n v="4"/>
    <b v="1"/>
    <n v="0"/>
    <n v="61.03095277909275"/>
    <x v="4"/>
    <n v="38.96904722090725"/>
    <n v="0.64930463728197152"/>
    <n v="35.846299552946171"/>
    <n v="0.2846830310442755"/>
    <n v="4"/>
    <b v="1"/>
    <n v="0"/>
    <n v="7.7897554380578882E-2"/>
    <n v="4.3005068937395015"/>
    <n v="0.2567059412811471"/>
    <n v="4"/>
  </r>
  <r>
    <n v="19693"/>
    <s v="19693"/>
    <s v="19"/>
    <s v="COLOMBIA"/>
    <s v="CAUCA"/>
    <s v="SAN SEBASTIÁN"/>
    <x v="6"/>
    <n v="0"/>
    <n v="0"/>
    <n v="0"/>
    <n v="44.7"/>
    <n v="56.264233333333301"/>
    <n v="76.28"/>
    <n v="53.58"/>
    <n v="46.420208270101185"/>
    <n v="35.142182042981702"/>
    <n v="45.505117234534104"/>
    <n v="51.23832648399484"/>
    <s v="2. Riesgo (&gt;=40 y &lt;60)"/>
    <s v="1. Deterioro (&lt;40)"/>
    <s v="2. Riesgo (&gt;=40 y &lt;60)"/>
    <s v="2. Riesgo (&gt;=40 y &lt;60)"/>
    <n v="57.706058333333331"/>
    <n v="44.576458507902956"/>
    <n v="51.141258420618144"/>
    <n v="60.794471129414305"/>
    <x v="3"/>
    <n v="39.205528870585695"/>
    <n v="0.6523467210059386"/>
    <n v="33.361832238807594"/>
    <n v="0.24669534277960573"/>
    <n v="4"/>
    <b v="1"/>
    <n v="0"/>
    <n v="0.6523368619611829"/>
    <n v="33.361328034851958"/>
    <n v="0.23307513536254879"/>
    <n v="4"/>
    <b v="1"/>
    <n v="0"/>
    <n v="60.794471129414305"/>
    <x v="4"/>
    <n v="39.205528870585695"/>
    <n v="0.64930463728197152"/>
    <n v="33.206256248943035"/>
    <n v="0.25096140981091986"/>
    <n v="4"/>
    <b v="1"/>
    <n v="0"/>
    <n v="7.8370271664668714E-2"/>
    <n v="4.0079543156968702"/>
    <n v="0.23924288709328209"/>
    <n v="4"/>
  </r>
  <r>
    <n v="5895"/>
    <s v="05895"/>
    <s v="50"/>
    <s v="COLOMBIA"/>
    <s v="ANTIOQUIA"/>
    <s v="ZARAGOZA"/>
    <x v="6"/>
    <n v="0"/>
    <n v="0"/>
    <n v="1"/>
    <n v="53.86"/>
    <n v="55.251066666666702"/>
    <n v="47.72"/>
    <n v="37.450000000000003"/>
    <n v="60.494756066586959"/>
    <n v="61.834402408303575"/>
    <n v="59.967640437844572"/>
    <n v="66.925260066504833"/>
    <s v="3. Vulnerable (&gt;=60 y &lt;70)"/>
    <s v="3. Vulnerable (&gt;=60 y &lt;70)"/>
    <s v="2. Riesgo (&gt;=40 y &lt;60)"/>
    <s v="3. Vulnerable (&gt;=60 y &lt;70)"/>
    <n v="48.570266666666669"/>
    <n v="62.305514744809983"/>
    <n v="55.437890705738326"/>
    <n v="61.027967219348099"/>
    <x v="3"/>
    <n v="38.972032780651901"/>
    <n v="0.6523467210059386"/>
    <n v="36.164726221373996"/>
    <n v="0.28175659197276265"/>
    <n v="4"/>
    <b v="1"/>
    <n v="0"/>
    <n v="0.6523368619611829"/>
    <n v="36.164179656728365"/>
    <n v="0.26620097686668531"/>
    <n v="4"/>
    <b v="1"/>
    <n v="0"/>
    <n v="61.027967219348099"/>
    <x v="4"/>
    <n v="38.972032780651901"/>
    <n v="0.64930463728197152"/>
    <n v="35.996079516367004"/>
    <n v="0.28659619026676419"/>
    <n v="4"/>
    <b v="1"/>
    <n v="0"/>
    <n v="7.790352239414737E-2"/>
    <n v="4.3188069600787804"/>
    <n v="0.2577983091975829"/>
    <n v="4"/>
  </r>
  <r>
    <n v="54206"/>
    <s v="54206"/>
    <s v="54"/>
    <s v="COLOMBIA"/>
    <s v="NORTE DE SANTANDER"/>
    <s v="CONVENCIÓN"/>
    <x v="6"/>
    <n v="0"/>
    <n v="0"/>
    <n v="1"/>
    <n v="44.9"/>
    <n v="49.909100000000002"/>
    <n v="48.79"/>
    <n v="71.22"/>
    <n v="40.964957992036346"/>
    <n v="45.459690179457304"/>
    <n v="44.296670885942795"/>
    <n v="46.886896120395626"/>
    <s v="2. Riesgo (&gt;=40 y &lt;60)"/>
    <s v="2. Riesgo (&gt;=40 y &lt;60)"/>
    <s v="2. Riesgo (&gt;=40 y &lt;60)"/>
    <s v="2. Riesgo (&gt;=40 y &lt;60)"/>
    <n v="53.704774999999998"/>
    <n v="44.40205379445802"/>
    <n v="49.053414397229005"/>
    <n v="61.091786771706424"/>
    <x v="3"/>
    <n v="38.908213228293576"/>
    <n v="0.6523467210059386"/>
    <n v="31.999834036177841"/>
    <n v="0.22965818094613905"/>
    <n v="4"/>
    <b v="1"/>
    <n v="0"/>
    <n v="0.6523368619611829"/>
    <n v="31.999350416369879"/>
    <n v="0.21697843785281234"/>
    <n v="4"/>
    <b v="1"/>
    <n v="0"/>
    <n v="61.091786771706424"/>
    <x v="4"/>
    <n v="38.908213228293576"/>
    <n v="0.64930463728197152"/>
    <n v="31.850609442635019"/>
    <n v="0.23364555440081752"/>
    <n v="4"/>
    <b v="1"/>
    <n v="0"/>
    <n v="7.7775949681830464E-2"/>
    <n v="3.815175889880861"/>
    <n v="0.22773555354387234"/>
    <n v="4"/>
  </r>
  <r>
    <n v="19256"/>
    <s v="19256"/>
    <s v="19"/>
    <s v="COLOMBIA"/>
    <s v="CAUCA"/>
    <s v="EL TAMBO"/>
    <x v="6"/>
    <n v="0"/>
    <n v="0"/>
    <n v="1"/>
    <n v="63.47"/>
    <n v="64.421866666666702"/>
    <n v="74.180000000000007"/>
    <n v="75.39"/>
    <n v="55.201183152710847"/>
    <n v="40.258889042780282"/>
    <n v="49.360807945446965"/>
    <n v="49.168986873884492"/>
    <s v="2. Riesgo (&gt;=40 y &lt;60)"/>
    <s v="2. Riesgo (&gt;=40 y &lt;60)"/>
    <s v="2. Riesgo (&gt;=40 y &lt;60)"/>
    <s v="2. Riesgo (&gt;=40 y &lt;60)"/>
    <n v="69.365466666666677"/>
    <n v="48.497466753705652"/>
    <n v="58.931466710186164"/>
    <n v="61.161289640054548"/>
    <x v="3"/>
    <n v="38.838710359945452"/>
    <n v="0.6523467210059386"/>
    <n v="38.443749072460569"/>
    <n v="0.31026476552333054"/>
    <n v="4"/>
    <b v="1"/>
    <n v="0"/>
    <n v="0.6523368619611829"/>
    <n v="38.44316806449276"/>
    <n v="0.29313547750030344"/>
    <n v="4"/>
    <b v="1"/>
    <n v="0"/>
    <n v="61.161289640054548"/>
    <x v="4"/>
    <n v="38.838710359945452"/>
    <n v="0.64930463728197152"/>
    <n v="38.264474616752004"/>
    <n v="0.31557069999044707"/>
    <n v="4"/>
    <b v="1"/>
    <n v="0"/>
    <n v="7.7637016249969451E-2"/>
    <n v="4.5752632386132568"/>
    <n v="0.27310670237199935"/>
    <n v="4"/>
  </r>
  <r>
    <n v="5142"/>
    <s v="05142"/>
    <s v="50"/>
    <s v="COLOMBIA"/>
    <s v="ANTIOQUIA"/>
    <s v="CARACOLÍ"/>
    <x v="6"/>
    <n v="0"/>
    <n v="0"/>
    <n v="0"/>
    <n v="60.6"/>
    <n v="61.208599999999997"/>
    <n v="45.01"/>
    <n v="40.4"/>
    <n v="52.198351758442698"/>
    <n v="45.887540745077047"/>
    <n v="30.052089419719188"/>
    <n v="43.154331334329029"/>
    <s v="2. Riesgo (&gt;=40 y &lt;60)"/>
    <s v="2. Riesgo (&gt;=40 y &lt;60)"/>
    <s v="1. Deterioro (&lt;40)"/>
    <s v="2. Riesgo (&gt;=40 y &lt;60)"/>
    <n v="51.804650000000002"/>
    <n v="42.823078314391992"/>
    <n v="47.313864157195994"/>
    <n v="60.97549448793459"/>
    <x v="3"/>
    <n v="39.02450551206541"/>
    <n v="0.6523467210059386"/>
    <n v="30.865044141067212"/>
    <n v="0.21546315553960543"/>
    <n v="4"/>
    <b v="1"/>
    <n v="0"/>
    <n v="0.6523368619611829"/>
    <n v="30.864577671562923"/>
    <n v="0.20356698867216544"/>
    <n v="4"/>
    <b v="1"/>
    <n v="0"/>
    <n v="60.97549448793459"/>
    <x v="4"/>
    <n v="39.02450551206541"/>
    <n v="0.64930463728197152"/>
    <n v="30.721111404996616"/>
    <n v="0.2192183270324988"/>
    <n v="4"/>
    <b v="1"/>
    <n v="0"/>
    <n v="7.8008413268835938E-2"/>
    <n v="3.6908794685201092"/>
    <n v="0.22031604913853362"/>
    <n v="4"/>
  </r>
  <r>
    <n v="50287"/>
    <s v="50287"/>
    <s v="50"/>
    <s v="COLOMBIA"/>
    <s v="META"/>
    <s v="FUENTE DE ORO"/>
    <x v="6"/>
    <n v="0"/>
    <n v="0"/>
    <n v="0"/>
    <n v="57.86"/>
    <n v="59.814100000000003"/>
    <n v="55.45"/>
    <n v="46.34"/>
    <n v="48.533829009259939"/>
    <n v="44.792826964937461"/>
    <n v="50.557718348493324"/>
    <n v="54.410303887085504"/>
    <s v="2. Riesgo (&gt;=40 y &lt;60)"/>
    <s v="2. Riesgo (&gt;=40 y &lt;60)"/>
    <s v="2. Riesgo (&gt;=40 y &lt;60)"/>
    <s v="2. Riesgo (&gt;=40 y &lt;60)"/>
    <n v="54.866025"/>
    <n v="49.573669552444059"/>
    <n v="52.219847276222026"/>
    <n v="61.244681321838875"/>
    <x v="3"/>
    <n v="38.755318678161125"/>
    <n v="0.6523467210059386"/>
    <n v="34.065446142074336"/>
    <n v="0.25549681103050864"/>
    <n v="4"/>
    <b v="1"/>
    <n v="0"/>
    <n v="0.6523368619611829"/>
    <n v="34.064931304262899"/>
    <n v="0.24139075585504405"/>
    <n v="4"/>
    <b v="1"/>
    <n v="0"/>
    <n v="61.244681321838875"/>
    <x v="4"/>
    <n v="38.755318678161125"/>
    <n v="0.64930463728197152"/>
    <n v="33.90658899460729"/>
    <n v="0.2599068523158955"/>
    <n v="4"/>
    <b v="1"/>
    <n v="0"/>
    <n v="7.7470319639968754E-2"/>
    <n v="4.0454882600392725"/>
    <n v="0.24148336403018389"/>
    <n v="4"/>
  </r>
  <r>
    <n v="70771"/>
    <s v="70771"/>
    <s v="70"/>
    <s v="COLOMBIA"/>
    <s v="SUCRE"/>
    <s v="SUCRE"/>
    <x v="7"/>
    <n v="0"/>
    <n v="0"/>
    <n v="0"/>
    <n v="52.08"/>
    <n v="53.813299999999998"/>
    <s v="N.D."/>
    <n v="30.1"/>
    <n v="17.588961446560575"/>
    <s v="N.D."/>
    <n v="29.056797733347679"/>
    <n v="44.211693564128353"/>
    <s v="1. Deterioro (&lt;40)"/>
    <s v="No Evaluado"/>
    <s v="1. Deterioro (&lt;40)"/>
    <s v="2. Riesgo (&gt;=40 y &lt;60)"/>
    <n v="45.331099999999999"/>
    <n v="30.285817581345537"/>
    <n v="37.808458790672766"/>
    <n v="61.144749250086605"/>
    <x v="3"/>
    <n v="38.855250749913395"/>
    <n v="0.6523467210059386"/>
    <n v="24.664224118383533"/>
    <n v="0.13789743333624024"/>
    <n v="5"/>
    <b v="1"/>
    <n v="0"/>
    <n v="0.6523368619611829"/>
    <n v="24.663851363096171"/>
    <n v="0.13028295347686372"/>
    <n v="5"/>
    <b v="1"/>
    <n v="0"/>
    <n v="61.144749250086605"/>
    <x v="4"/>
    <n v="38.855250749913395"/>
    <n v="0.64930463728197152"/>
    <n v="24.549207621268149"/>
    <n v="0.14038378618689204"/>
    <n v="5"/>
    <b v="1"/>
    <n v="0"/>
    <n v="7.767007982269937E-2"/>
    <n v="2.9365860122447933"/>
    <n v="0.17529074945182796"/>
    <n v="5"/>
  </r>
  <r>
    <n v="13268"/>
    <s v="13268"/>
    <s v="13"/>
    <s v="COLOMBIA"/>
    <s v="BOLÍVAR"/>
    <s v="EL PEÑÓN"/>
    <x v="6"/>
    <n v="0"/>
    <n v="0"/>
    <n v="0"/>
    <n v="50.47"/>
    <n v="51.552799999999998"/>
    <n v="37.47"/>
    <n v="40.82"/>
    <n v="49.477798701741548"/>
    <n v="54.055939872786638"/>
    <n v="52.019456490861984"/>
    <n v="43.581788927786384"/>
    <s v="2. Riesgo (&gt;=40 y &lt;60)"/>
    <s v="2. Riesgo (&gt;=40 y &lt;60)"/>
    <s v="2. Riesgo (&gt;=40 y &lt;60)"/>
    <s v="2. Riesgo (&gt;=40 y &lt;60)"/>
    <n v="45.078199999999995"/>
    <n v="49.783745998294144"/>
    <n v="47.430972999147073"/>
    <n v="61.212617483253204"/>
    <x v="3"/>
    <n v="38.787382516746796"/>
    <n v="0.6523467210059386"/>
    <n v="30.941439710114803"/>
    <n v="0.21641878357987049"/>
    <n v="4"/>
    <b v="1"/>
    <n v="0"/>
    <n v="0.6523368619611829"/>
    <n v="30.940972086029198"/>
    <n v="0.20446986531595901"/>
    <n v="4"/>
    <b v="1"/>
    <n v="0"/>
    <n v="61.212617483253204"/>
    <x v="4"/>
    <n v="38.787382516746796"/>
    <n v="0.64930463728197152"/>
    <n v="30.797150719142174"/>
    <n v="0.22018958721848611"/>
    <n v="4"/>
    <b v="1"/>
    <n v="0"/>
    <n v="7.753441396066689E-2"/>
    <n v="3.6775326950730833"/>
    <n v="0.21951935327791944"/>
    <n v="4"/>
  </r>
  <r>
    <n v="20045"/>
    <s v="20045"/>
    <s v="20"/>
    <s v="COLOMBIA"/>
    <s v="CESAR"/>
    <s v="BECERRIL"/>
    <x v="5"/>
    <n v="0"/>
    <n v="0"/>
    <n v="1"/>
    <n v="69"/>
    <n v="71.402799999999999"/>
    <n v="70.33"/>
    <n v="73"/>
    <n v="56.443435561775502"/>
    <n v="60.31652606159696"/>
    <n v="70.565960199874581"/>
    <n v="68.444318827794575"/>
    <s v="2. Riesgo (&gt;=40 y &lt;60)"/>
    <s v="3. Vulnerable (&gt;=60 y &lt;70)"/>
    <s v="4. Solvente (&gt;=70 y &lt;80)"/>
    <s v="3. Vulnerable (&gt;=60 y &lt;70)"/>
    <n v="70.933199999999999"/>
    <n v="63.942560162760401"/>
    <n v="67.4378800813802"/>
    <n v="61.139219620280592"/>
    <x v="3"/>
    <n v="38.860780379719408"/>
    <n v="0.6523467210059386"/>
    <n v="43.992879942680077"/>
    <n v="0.37967854337448648"/>
    <n v="3"/>
    <b v="1"/>
    <n v="0"/>
    <n v="0.6523368619611829"/>
    <n v="43.992215069602125"/>
    <n v="0.35871756188734555"/>
    <n v="3"/>
    <b v="1"/>
    <n v="0"/>
    <n v="61.139219620280592"/>
    <x v="4"/>
    <n v="38.860780379719408"/>
    <n v="0.64930463728197152"/>
    <n v="43.78772826530566"/>
    <n v="0.38611994712963515"/>
    <n v="3"/>
    <b v="1"/>
    <n v="0"/>
    <n v="7.7681133329757845E-2"/>
    <n v="5.238650954077916"/>
    <n v="0.31270565480726098"/>
    <n v="3"/>
  </r>
  <r>
    <n v="5885"/>
    <s v="05885"/>
    <s v="50"/>
    <s v="COLOMBIA"/>
    <s v="ANTIOQUIA"/>
    <s v="YALÍ"/>
    <x v="6"/>
    <n v="0"/>
    <n v="0"/>
    <n v="0"/>
    <n v="69.180000000000007"/>
    <n v="73.038333333333298"/>
    <n v="68.05"/>
    <n v="61.62"/>
    <n v="52.069344090435195"/>
    <n v="45.532463026102377"/>
    <n v="48.457477056984025"/>
    <n v="60.752942827716168"/>
    <s v="2. Riesgo (&gt;=40 y &lt;60)"/>
    <s v="2. Riesgo (&gt;=40 y &lt;60)"/>
    <s v="2. Riesgo (&gt;=40 y &lt;60)"/>
    <s v="3. Vulnerable (&gt;=60 y &lt;70)"/>
    <n v="67.97208333333333"/>
    <n v="51.703056750309443"/>
    <n v="59.837570041821387"/>
    <n v="60.948956321024028"/>
    <x v="3"/>
    <n v="39.051043678975972"/>
    <n v="0.6523467210059386"/>
    <n v="39.034842609745368"/>
    <n v="0.31765872260344497"/>
    <n v="4"/>
    <b v="1"/>
    <n v="0"/>
    <n v="0.6523368619611829"/>
    <n v="39.034252668464248"/>
    <n v="0.30012128251183906"/>
    <n v="4"/>
    <b v="1"/>
    <n v="0"/>
    <n v="60.948956321024028"/>
    <x v="4"/>
    <n v="39.051043678975972"/>
    <n v="0.64930463728197152"/>
    <n v="38.852811711839401"/>
    <n v="0.32308560728306107"/>
    <n v="4"/>
    <b v="1"/>
    <n v="0"/>
    <n v="7.8061461994619719E-2"/>
    <n v="4.6710081996700357"/>
    <n v="0.27882191245264992"/>
    <n v="4"/>
  </r>
  <r>
    <n v="73067"/>
    <s v="73067"/>
    <s v="73"/>
    <s v="COLOMBIA"/>
    <s v="TOLIMA"/>
    <s v="ATACO"/>
    <x v="6"/>
    <n v="0"/>
    <n v="0"/>
    <n v="1"/>
    <n v="71.959999999999994"/>
    <n v="78.712266666666693"/>
    <n v="62.62"/>
    <n v="60.19"/>
    <n v="47.052269677175616"/>
    <n v="37.660331861590748"/>
    <n v="48.376727823058552"/>
    <n v="43.581119564246322"/>
    <s v="2. Riesgo (&gt;=40 y &lt;60)"/>
    <s v="1. Deterioro (&lt;40)"/>
    <s v="2. Riesgo (&gt;=40 y &lt;60)"/>
    <s v="2. Riesgo (&gt;=40 y &lt;60)"/>
    <n v="68.370566666666676"/>
    <n v="44.167612231517808"/>
    <n v="56.269089449092242"/>
    <n v="61.186437780060118"/>
    <x v="3"/>
    <n v="38.813562219939882"/>
    <n v="0.6523467210059386"/>
    <n v="36.706955996105179"/>
    <n v="0.28853931489059209"/>
    <n v="4"/>
    <b v="1"/>
    <n v="0"/>
    <n v="0.6523368619611829"/>
    <n v="36.706401236633937"/>
    <n v="0.272609288307749"/>
    <n v="4"/>
    <b v="1"/>
    <n v="0"/>
    <n v="61.186437780060118"/>
    <x v="4"/>
    <n v="38.813562219939882"/>
    <n v="0.64930463728197152"/>
    <n v="36.535780714929651"/>
    <n v="0.29348986484002643"/>
    <n v="4"/>
    <b v="1"/>
    <n v="0"/>
    <n v="7.7586746131930673E-2"/>
    <n v="4.3657355581616182"/>
    <n v="0.26059957198858014"/>
    <n v="4"/>
  </r>
  <r>
    <n v="27495"/>
    <s v="27495"/>
    <s v="27"/>
    <s v="COLOMBIA"/>
    <s v="CHOCÓ"/>
    <s v="NUQUÍ"/>
    <x v="6"/>
    <n v="0"/>
    <n v="0"/>
    <n v="0"/>
    <n v="78.8"/>
    <n v="82.396466666666697"/>
    <n v="80.52"/>
    <n v="72.959999999999994"/>
    <n v="50.422552407186167"/>
    <n v="53.621058069835293"/>
    <n v="66.076773715792044"/>
    <n v="64.44719013938527"/>
    <s v="2. Riesgo (&gt;=40 y &lt;60)"/>
    <s v="2. Riesgo (&gt;=40 y &lt;60)"/>
    <s v="3. Vulnerable (&gt;=60 y &lt;70)"/>
    <s v="3. Vulnerable (&gt;=60 y &lt;70)"/>
    <n v="78.669116666666667"/>
    <n v="58.641893583049693"/>
    <n v="68.65550512485818"/>
    <n v="61.222004718944397"/>
    <x v="3"/>
    <n v="38.777995281055603"/>
    <n v="0.6523467210059386"/>
    <n v="44.787193647207644"/>
    <n v="0.38961457053255999"/>
    <n v="3"/>
    <b v="0"/>
    <n v="-1"/>
    <n v="0.6523368619611829"/>
    <n v="44.786516769509895"/>
    <n v="0.36810511277025532"/>
    <n v="3"/>
    <b v="0"/>
    <n v="-1"/>
    <n v="61.222004718944397"/>
    <x v="4"/>
    <n v="38.777995281055603"/>
    <n v="0.64930463728197152"/>
    <n v="44.578337852506579"/>
    <n v="0.39621850763529926"/>
    <n v="3"/>
    <b v="0"/>
    <n v="-1"/>
    <n v="7.751564925496103E-2"/>
    <n v="5.3218760546806863"/>
    <n v="0.31767352913378599"/>
    <n v="3"/>
  </r>
  <r>
    <n v="13810"/>
    <s v="13810"/>
    <s v="13"/>
    <s v="COLOMBIA"/>
    <s v="BOLÍVAR"/>
    <s v="TIQUISIO"/>
    <x v="6"/>
    <n v="0"/>
    <n v="0"/>
    <n v="0"/>
    <n v="72.63"/>
    <n v="69.195333333333295"/>
    <n v="57.89"/>
    <n v="44.51"/>
    <n v="57.173431418203506"/>
    <n v="49.269712728392989"/>
    <n v="47.992285578235091"/>
    <n v="43.674435658622031"/>
    <s v="2. Riesgo (&gt;=40 y &lt;60)"/>
    <s v="2. Riesgo (&gt;=40 y &lt;60)"/>
    <s v="2. Riesgo (&gt;=40 y &lt;60)"/>
    <s v="2. Riesgo (&gt;=40 y &lt;60)"/>
    <n v="61.056333333333313"/>
    <n v="49.527466345863402"/>
    <n v="55.291899839598358"/>
    <n v="61.276635308717275"/>
    <x v="3"/>
    <n v="38.723364691282725"/>
    <n v="0.6523467210059386"/>
    <n v="36.069489558550771"/>
    <n v="0.28056528170974931"/>
    <n v="4"/>
    <b v="1"/>
    <n v="0"/>
    <n v="0.6523368619611829"/>
    <n v="36.068944433235622"/>
    <n v="0.26507542783854243"/>
    <n v="4"/>
    <b v="1"/>
    <n v="0"/>
    <n v="61.276635308717275"/>
    <x v="4"/>
    <n v="38.723364691282725"/>
    <n v="0.64930463728197152"/>
    <n v="35.901286969981513"/>
    <n v="0.28538539257260903"/>
    <n v="4"/>
    <b v="1"/>
    <n v="0"/>
    <n v="7.7406444908404856E-2"/>
    <n v="4.2799493988149093"/>
    <n v="0.25547882289361884"/>
    <n v="4"/>
  </r>
  <r>
    <n v="52256"/>
    <s v="52256"/>
    <s v="52"/>
    <s v="COLOMBIA"/>
    <s v="NARIÑO"/>
    <s v="EL ROSARIO"/>
    <x v="6"/>
    <n v="0"/>
    <n v="0"/>
    <n v="1"/>
    <n v="47.36"/>
    <n v="51.248066666666702"/>
    <n v="51.16"/>
    <n v="47.12"/>
    <n v="56.32961460738106"/>
    <n v="53.243077949899877"/>
    <n v="57.965431621886083"/>
    <n v="58.606226677217627"/>
    <s v="2. Riesgo (&gt;=40 y &lt;60)"/>
    <s v="2. Riesgo (&gt;=40 y &lt;60)"/>
    <s v="2. Riesgo (&gt;=40 y &lt;60)"/>
    <s v="2. Riesgo (&gt;=40 y &lt;60)"/>
    <n v="49.222016666666676"/>
    <n v="56.536087714096162"/>
    <n v="52.879052190381415"/>
    <n v="61.224417397647215"/>
    <x v="3"/>
    <n v="38.775582602352785"/>
    <n v="0.6523467210059386"/>
    <n v="34.495476306297213"/>
    <n v="0.26087603509041662"/>
    <n v="4"/>
    <b v="1"/>
    <n v="0"/>
    <n v="0.6523368619611829"/>
    <n v="34.494954969355028"/>
    <n v="0.24647304264528569"/>
    <n v="4"/>
    <b v="1"/>
    <n v="0"/>
    <n v="61.224417397647215"/>
    <x v="4"/>
    <n v="38.775582602352785"/>
    <n v="0.64930463728197152"/>
    <n v="34.334613802290043"/>
    <n v="0.26537406962300242"/>
    <n v="4"/>
    <b v="1"/>
    <n v="0"/>
    <n v="7.7510826407499803E-2"/>
    <n v="4.0986990349217765"/>
    <n v="0.24465962264109262"/>
    <n v="4"/>
  </r>
  <r>
    <n v="17867"/>
    <s v="17867"/>
    <s v="17"/>
    <s v="COLOMBIA"/>
    <s v="CALDAS"/>
    <s v="VICTORIA"/>
    <x v="6"/>
    <n v="0"/>
    <n v="0"/>
    <n v="0"/>
    <n v="55.02"/>
    <n v="60.478866666666697"/>
    <n v="64"/>
    <n v="55.29"/>
    <n v="57.569132263657309"/>
    <n v="47.461420392060376"/>
    <n v="57.208722608738647"/>
    <n v="58.673526083388971"/>
    <s v="2. Riesgo (&gt;=40 y &lt;60)"/>
    <s v="2. Riesgo (&gt;=40 y &lt;60)"/>
    <s v="2. Riesgo (&gt;=40 y &lt;60)"/>
    <s v="2. Riesgo (&gt;=40 y &lt;60)"/>
    <n v="58.697216666666669"/>
    <n v="55.228200336961322"/>
    <n v="56.962708501813992"/>
    <n v="61.560096780916595"/>
    <x v="3"/>
    <n v="38.439903219083405"/>
    <n v="0.6523467210059386"/>
    <n v="37.159436110775459"/>
    <n v="0.29419936416611875"/>
    <n v="4"/>
    <b v="1"/>
    <n v="0"/>
    <n v="0.6523368619611829"/>
    <n v="37.158874512882932"/>
    <n v="0.27795689854758299"/>
    <n v="4"/>
    <b v="1"/>
    <n v="0"/>
    <n v="61.560096780916595"/>
    <x v="4"/>
    <n v="38.439903219083405"/>
    <n v="0.64930463728197152"/>
    <n v="36.986150782369009"/>
    <n v="0.29924250109640993"/>
    <n v="4"/>
    <b v="1"/>
    <n v="0"/>
    <n v="7.6839816853059462E-2"/>
    <n v="4.3770040887336004"/>
    <n v="0.26127221333501005"/>
    <n v="4"/>
  </r>
  <r>
    <n v="25653"/>
    <s v="25653"/>
    <s v="25"/>
    <s v="COLOMBIA"/>
    <s v="CUNDINAMARCA"/>
    <s v="SAN CAYETANO"/>
    <x v="6"/>
    <n v="0"/>
    <n v="0"/>
    <n v="0"/>
    <n v="74.59"/>
    <n v="73.893133333333296"/>
    <n v="82.45"/>
    <n v="76.180000000000007"/>
    <n v="66.818620396544134"/>
    <n v="63.882764307214259"/>
    <n v="48.31321099128354"/>
    <n v="59.41739627043836"/>
    <s v="3. Vulnerable (&gt;=60 y &lt;70)"/>
    <s v="3. Vulnerable (&gt;=60 y &lt;70)"/>
    <s v="2. Riesgo (&gt;=40 y &lt;60)"/>
    <s v="2. Riesgo (&gt;=40 y &lt;60)"/>
    <n v="76.77828333333332"/>
    <n v="59.60799799137007"/>
    <n v="68.193140662351695"/>
    <n v="61.696431748555966"/>
    <x v="3"/>
    <n v="38.303568251444034"/>
    <n v="0.6523467210059386"/>
    <n v="44.485571706181865"/>
    <n v="0.38584159798982204"/>
    <n v="3"/>
    <b v="0"/>
    <n v="-1"/>
    <n v="0.6523368619611829"/>
    <n v="44.484899386956045"/>
    <n v="0.36454041118869868"/>
    <n v="3"/>
    <b v="0"/>
    <n v="-1"/>
    <n v="61.696431748555966"/>
    <x v="4"/>
    <n v="38.303568251444034"/>
    <n v="0.64930463728197152"/>
    <n v="44.278122462886728"/>
    <n v="0.39238381687782792"/>
    <n v="3"/>
    <b v="0"/>
    <n v="-1"/>
    <n v="7.6567288749011683E-2"/>
    <n v="5.2213638917962522"/>
    <n v="0.31167375514876711"/>
    <n v="3"/>
  </r>
  <r>
    <n v="86760"/>
    <s v="86760"/>
    <s v="86"/>
    <s v="COLOMBIA"/>
    <s v="PUTUMAYO"/>
    <s v="SANTIAGO"/>
    <x v="6"/>
    <n v="0"/>
    <n v="0"/>
    <n v="0"/>
    <n v="56.06"/>
    <n v="56.455166666666699"/>
    <n v="51.46"/>
    <n v="47.28"/>
    <n v="54.089778319942205"/>
    <n v="57.896449312574816"/>
    <n v="58.173038210228071"/>
    <n v="56.396226335675429"/>
    <s v="2. Riesgo (&gt;=40 y &lt;60)"/>
    <s v="2. Riesgo (&gt;=40 y &lt;60)"/>
    <s v="2. Riesgo (&gt;=40 y &lt;60)"/>
    <s v="2. Riesgo (&gt;=40 y &lt;60)"/>
    <n v="52.813791666666674"/>
    <n v="56.638873044605134"/>
    <n v="54.726332355635904"/>
    <n v="61.658709967988557"/>
    <x v="3"/>
    <n v="38.341290032011443"/>
    <n v="0.6523467210059386"/>
    <n v="35.700543464880283"/>
    <n v="0.27595015498377212"/>
    <n v="4"/>
    <b v="1"/>
    <n v="0"/>
    <n v="0.6523368619611829"/>
    <n v="35.700003915520277"/>
    <n v="0.26071505962678859"/>
    <n v="4"/>
    <b v="1"/>
    <n v="0"/>
    <n v="61.658709967988557"/>
    <x v="4"/>
    <n v="38.341290032011443"/>
    <n v="0.64930463728197152"/>
    <n v="35.534061379948795"/>
    <n v="0.28069477168942064"/>
    <n v="4"/>
    <b v="1"/>
    <n v="0"/>
    <n v="7.6642693067634729E-2"/>
    <n v="4.19437349345037"/>
    <n v="0.25037062428345724"/>
    <n v="4"/>
  </r>
  <r>
    <n v="54128"/>
    <s v="54128"/>
    <s v="54"/>
    <s v="COLOMBIA"/>
    <s v="NORTE DE SANTANDER"/>
    <s v="CÁCHIRA"/>
    <x v="6"/>
    <n v="0"/>
    <n v="0"/>
    <n v="0"/>
    <n v="51.44"/>
    <n v="53.7057"/>
    <n v="46.01"/>
    <n v="51.41"/>
    <n v="54.826968275244639"/>
    <n v="52.535762841234444"/>
    <n v="49.735288506179785"/>
    <n v="52.890884166442575"/>
    <s v="2. Riesgo (&gt;=40 y &lt;60)"/>
    <s v="2. Riesgo (&gt;=40 y &lt;60)"/>
    <s v="2. Riesgo (&gt;=40 y &lt;60)"/>
    <s v="2. Riesgo (&gt;=40 y &lt;60)"/>
    <n v="50.641424999999998"/>
    <n v="52.497225947275354"/>
    <n v="51.569325473637676"/>
    <n v="62.050950116463767"/>
    <x v="3"/>
    <n v="37.949049883536233"/>
    <n v="0.6523467210059386"/>
    <n v="33.641080377215559"/>
    <n v="0.25018844263580581"/>
    <n v="4"/>
    <b v="1"/>
    <n v="0"/>
    <n v="0.6523368619611829"/>
    <n v="33.640571952927694"/>
    <n v="0.23637541344326224"/>
    <n v="4"/>
    <b v="1"/>
    <n v="0"/>
    <n v="62.050950116463767"/>
    <x v="4"/>
    <n v="37.949049883536233"/>
    <n v="0.64930463728197152"/>
    <n v="33.484202171536246"/>
    <n v="0.2545116497296484"/>
    <n v="4"/>
    <b v="1"/>
    <n v="0"/>
    <n v="7.5858620823761616E-2"/>
    <n v="3.9119779072418313"/>
    <n v="0.23351386145002567"/>
    <n v="4"/>
  </r>
  <r>
    <n v="86568"/>
    <s v="86568"/>
    <s v="86"/>
    <s v="COLOMBIA"/>
    <s v="PUTUMAYO"/>
    <s v="PUERTO ASÍS"/>
    <x v="6"/>
    <n v="0"/>
    <n v="0"/>
    <n v="1"/>
    <n v="46.02"/>
    <n v="50.946433333333303"/>
    <n v="62.89"/>
    <n v="57.6"/>
    <n v="51.69348867969763"/>
    <n v="52.047231823544919"/>
    <n v="59.722144240489207"/>
    <n v="60.501907360810534"/>
    <s v="2. Riesgo (&gt;=40 y &lt;60)"/>
    <s v="2. Riesgo (&gt;=40 y &lt;60)"/>
    <s v="2. Riesgo (&gt;=40 y &lt;60)"/>
    <s v="3. Vulnerable (&gt;=60 y &lt;70)"/>
    <n v="54.364108333333327"/>
    <n v="55.991193026135576"/>
    <n v="55.177650679734455"/>
    <n v="61.781823381561487"/>
    <x v="3"/>
    <n v="38.218176618438513"/>
    <n v="0.6523467210059386"/>
    <n v="35.99495949373587"/>
    <n v="0.27963298916100837"/>
    <n v="4"/>
    <b v="1"/>
    <n v="0"/>
    <n v="0.6523368619611829"/>
    <n v="35.994415494808308"/>
    <n v="0.26419459854934801"/>
    <n v="4"/>
    <b v="1"/>
    <n v="0"/>
    <n v="61.781823381561487"/>
    <x v="4"/>
    <n v="38.218176618438513"/>
    <n v="0.64930463728197152"/>
    <n v="35.82710446067631"/>
    <n v="0.28443784959968249"/>
    <n v="4"/>
    <b v="1"/>
    <n v="0"/>
    <n v="7.6396594317146654E-2"/>
    <n v="4.2153845943529049"/>
    <n v="0.25162481932785774"/>
    <n v="4"/>
  </r>
  <r>
    <n v="25372"/>
    <s v="25372"/>
    <s v="25"/>
    <s v="COLOMBIA"/>
    <s v="CUNDINAMARCA"/>
    <s v="JUNÍN"/>
    <x v="6"/>
    <n v="0"/>
    <n v="0"/>
    <n v="0"/>
    <n v="51.68"/>
    <n v="52.495466666666701"/>
    <n v="49.35"/>
    <n v="27.38"/>
    <n v="50.411634042919431"/>
    <n v="62.115697028636603"/>
    <n v="54.109047232311305"/>
    <n v="50.996824414552883"/>
    <s v="2. Riesgo (&gt;=40 y &lt;60)"/>
    <s v="3. Vulnerable (&gt;=60 y &lt;70)"/>
    <s v="2. Riesgo (&gt;=40 y &lt;60)"/>
    <s v="2. Riesgo (&gt;=40 y &lt;60)"/>
    <n v="45.226366666666671"/>
    <n v="54.408300679605055"/>
    <n v="49.817333673135863"/>
    <n v="61.913173801614185"/>
    <x v="3"/>
    <n v="38.086826198385815"/>
    <n v="0.6523467210059386"/>
    <n v="32.498174270928914"/>
    <n v="0.23589189198275326"/>
    <n v="4"/>
    <b v="1"/>
    <n v="0"/>
    <n v="0.6523368619611829"/>
    <n v="32.49768311960662"/>
    <n v="0.22286804328711532"/>
    <n v="4"/>
    <b v="1"/>
    <n v="0"/>
    <n v="61.913173801614185"/>
    <x v="4"/>
    <n v="38.086826198385815"/>
    <n v="0.64930463728197152"/>
    <n v="32.346625770990428"/>
    <n v="0.23998123636671495"/>
    <n v="4"/>
    <b v="1"/>
    <n v="0"/>
    <n v="7.6134030122775559E-2"/>
    <n v="3.7927943825068868"/>
    <n v="0.22639955616968119"/>
    <n v="4"/>
  </r>
  <r>
    <n v="15723"/>
    <s v="15723"/>
    <s v="15"/>
    <s v="COLOMBIA"/>
    <s v="BOYACÁ"/>
    <s v="SATIVASUR"/>
    <x v="6"/>
    <n v="0"/>
    <n v="0"/>
    <n v="0"/>
    <n v="54.24"/>
    <n v="67.543899999999994"/>
    <n v="52.65"/>
    <n v="53.11"/>
    <n v="52.702176511776749"/>
    <n v="45.669547817958147"/>
    <n v="52.047763208754041"/>
    <n v="56.393776500448304"/>
    <s v="2. Riesgo (&gt;=40 y &lt;60)"/>
    <s v="2. Riesgo (&gt;=40 y &lt;60)"/>
    <s v="2. Riesgo (&gt;=40 y &lt;60)"/>
    <s v="2. Riesgo (&gt;=40 y &lt;60)"/>
    <n v="56.885975000000002"/>
    <n v="51.703316009734309"/>
    <n v="54.294645504867155"/>
    <n v="61.720710229600641"/>
    <x v="3"/>
    <n v="38.279289770399359"/>
    <n v="0.6523467210059386"/>
    <n v="35.418933963279912"/>
    <n v="0.27242751696314643"/>
    <n v="4"/>
    <b v="1"/>
    <n v="0"/>
    <n v="0.6523368619611829"/>
    <n v="35.418398669939883"/>
    <n v="0.25738687391084814"/>
    <n v="4"/>
    <b v="1"/>
    <n v="0"/>
    <n v="61.720710229600641"/>
    <x v="4"/>
    <n v="38.279289770399359"/>
    <n v="0.64930463728197152"/>
    <n v="35.253765105890992"/>
    <n v="0.2771145104215218"/>
    <n v="4"/>
    <b v="1"/>
    <n v="0"/>
    <n v="7.6518757044175933E-2"/>
    <n v="4.1545587881865886"/>
    <n v="0.24799400412120398"/>
    <n v="4"/>
  </r>
  <r>
    <n v="68385"/>
    <s v="68385"/>
    <s v="68"/>
    <s v="COLOMBIA"/>
    <s v="SANTANDER"/>
    <s v="LANDÁZURI"/>
    <x v="6"/>
    <n v="0"/>
    <n v="0"/>
    <n v="0"/>
    <n v="61.87"/>
    <n v="64.668433333333297"/>
    <n v="53.54"/>
    <n v="48.59"/>
    <n v="49.556801352388568"/>
    <n v="48.614664375636259"/>
    <n v="67.835673787814969"/>
    <n v="56.490336808998634"/>
    <s v="2. Riesgo (&gt;=40 y &lt;60)"/>
    <s v="2. Riesgo (&gt;=40 y &lt;60)"/>
    <s v="3. Vulnerable (&gt;=60 y &lt;70)"/>
    <s v="2. Riesgo (&gt;=40 y &lt;60)"/>
    <n v="57.167108333333324"/>
    <n v="55.624369081209608"/>
    <n v="56.395738707271462"/>
    <n v="62.02961836774903"/>
    <x v="3"/>
    <n v="37.97038163225097"/>
    <n v="0.6523467210059386"/>
    <n v="36.789575224396231"/>
    <n v="0.28957279434763761"/>
    <n v="4"/>
    <b v="1"/>
    <n v="0"/>
    <n v="0.6523368619611829"/>
    <n v="36.789019216284281"/>
    <n v="0.27358571891075645"/>
    <n v="4"/>
    <b v="1"/>
    <n v="0"/>
    <n v="62.02961836774903"/>
    <x v="4"/>
    <n v="37.97038163225097"/>
    <n v="0.64930463728197152"/>
    <n v="36.618014665573739"/>
    <n v="0.29454024993482303"/>
    <n v="4"/>
    <b v="1"/>
    <n v="0"/>
    <n v="7.5901262129465588E-2"/>
    <n v="4.2805077466054602"/>
    <n v="0.25551215180080983"/>
    <n v="4"/>
  </r>
  <r>
    <n v="5284"/>
    <s v="05284"/>
    <s v="50"/>
    <s v="COLOMBIA"/>
    <s v="ANTIOQUIA"/>
    <s v="FRONTINO"/>
    <x v="6"/>
    <n v="0"/>
    <n v="0"/>
    <n v="0"/>
    <n v="52.45"/>
    <n v="51.505366666666703"/>
    <n v="33.909999999999997"/>
    <n v="34.69"/>
    <n v="55.404805809906605"/>
    <n v="56.209368007865542"/>
    <n v="53.74900776351393"/>
    <n v="50.77034083222955"/>
    <s v="2. Riesgo (&gt;=40 y &lt;60)"/>
    <s v="2. Riesgo (&gt;=40 y &lt;60)"/>
    <s v="2. Riesgo (&gt;=40 y &lt;60)"/>
    <s v="2. Riesgo (&gt;=40 y &lt;60)"/>
    <n v="43.138841666666679"/>
    <n v="54.033380603378909"/>
    <n v="48.58611113502279"/>
    <n v="62.052552700581842"/>
    <x v="3"/>
    <n v="37.947447299418158"/>
    <n v="0.6523467210059386"/>
    <n v="31.694990285362238"/>
    <n v="0.22584490695903803"/>
    <n v="4"/>
    <b v="1"/>
    <n v="0"/>
    <n v="0.6523368619611829"/>
    <n v="31.694511272718053"/>
    <n v="0.21337565949735063"/>
    <n v="4"/>
    <b v="1"/>
    <n v="0"/>
    <n v="62.052552700581842"/>
    <x v="4"/>
    <n v="37.947447299418158"/>
    <n v="0.64930463728197152"/>
    <n v="31.547187267467532"/>
    <n v="0.22976990294870533"/>
    <n v="4"/>
    <b v="1"/>
    <n v="0"/>
    <n v="7.5855417322716806E-2"/>
    <n v="3.6855197362350518"/>
    <n v="0.2199961158945587"/>
    <n v="4"/>
  </r>
  <r>
    <n v="15897"/>
    <s v="15897"/>
    <s v="15"/>
    <s v="COLOMBIA"/>
    <s v="BOYACÁ"/>
    <s v="ZETAQUIRA"/>
    <x v="5"/>
    <n v="0"/>
    <n v="0"/>
    <n v="0"/>
    <n v="60.26"/>
    <n v="63.787199999999999"/>
    <n v="59.75"/>
    <n v="55.32"/>
    <n v="64.922419172897222"/>
    <n v="66.714505267474308"/>
    <n v="66.500648260525125"/>
    <n v="56.982608843952583"/>
    <s v="3. Vulnerable (&gt;=60 y &lt;70)"/>
    <s v="3. Vulnerable (&gt;=60 y &lt;70)"/>
    <s v="3. Vulnerable (&gt;=60 y &lt;70)"/>
    <s v="2. Riesgo (&gt;=40 y &lt;60)"/>
    <n v="59.779299999999999"/>
    <n v="63.780045386212315"/>
    <n v="61.779672693106157"/>
    <n v="62.209316358277775"/>
    <x v="3"/>
    <n v="37.790683641722225"/>
    <n v="0.6523467210059386"/>
    <n v="40.301766906167927"/>
    <n v="0.33350661008760313"/>
    <n v="4"/>
    <b v="0"/>
    <n v="1"/>
    <n v="0.6523368619611829"/>
    <n v="40.301157817609855"/>
    <n v="0.31509435452314882"/>
    <n v="4"/>
    <b v="0"/>
    <n v="1"/>
    <n v="62.209316358277775"/>
    <x v="4"/>
    <n v="37.790683641722225"/>
    <n v="0.64930463728197152"/>
    <n v="40.113827969396212"/>
    <n v="0.3391927342161517"/>
    <n v="4"/>
    <b v="0"/>
    <n v="1"/>
    <n v="7.5542053090816477E-2"/>
    <n v="4.6669633145158906"/>
    <n v="0.27858046508922851"/>
    <n v="4"/>
  </r>
  <r>
    <n v="68425"/>
    <s v="68425"/>
    <s v="68"/>
    <s v="COLOMBIA"/>
    <s v="SANTANDER"/>
    <s v="MACARAVITA"/>
    <x v="6"/>
    <n v="0"/>
    <n v="0"/>
    <n v="0"/>
    <n v="50.25"/>
    <n v="57.122866666666702"/>
    <n v="80.14"/>
    <n v="40.57"/>
    <n v="52.952506318170144"/>
    <n v="48.830092784882574"/>
    <n v="35.87505431946272"/>
    <n v="44.86932826040448"/>
    <s v="2. Riesgo (&gt;=40 y &lt;60)"/>
    <s v="2. Riesgo (&gt;=40 y &lt;60)"/>
    <s v="1. Deterioro (&lt;40)"/>
    <s v="2. Riesgo (&gt;=40 y &lt;60)"/>
    <n v="57.020716666666672"/>
    <n v="45.631745420729978"/>
    <n v="51.326231043698328"/>
    <n v="62.060448575298565"/>
    <x v="3"/>
    <n v="37.939551424701435"/>
    <n v="0.6523467210059386"/>
    <n v="33.482498522949818"/>
    <n v="0.24820475079997226"/>
    <n v="4"/>
    <b v="1"/>
    <n v="0"/>
    <n v="0.6523368619611829"/>
    <n v="33.481992495340819"/>
    <n v="0.23450122290929526"/>
    <n v="4"/>
    <b v="1"/>
    <n v="0"/>
    <n v="62.060448575298565"/>
    <x v="4"/>
    <n v="37.939551424701435"/>
    <n v="0.64930463728197152"/>
    <n v="33.326359830879213"/>
    <n v="0.25249550869963122"/>
    <n v="4"/>
    <b v="1"/>
    <n v="0"/>
    <n v="7.5839633787475588E-2"/>
    <n v="3.8925625660454424"/>
    <n v="0.2323549205250921"/>
    <n v="4"/>
  </r>
  <r>
    <n v="54720"/>
    <s v="54720"/>
    <s v="54"/>
    <s v="COLOMBIA"/>
    <s v="NORTE DE SANTANDER"/>
    <s v="SARDINATA"/>
    <x v="6"/>
    <n v="0"/>
    <n v="0"/>
    <n v="1"/>
    <n v="64.38"/>
    <n v="68.728066666666706"/>
    <n v="76.63"/>
    <n v="31.73"/>
    <n v="66.044249733129789"/>
    <n v="59.402878949038524"/>
    <n v="54.060128109592227"/>
    <n v="59.853475447779694"/>
    <s v="3. Vulnerable (&gt;=60 y &lt;70)"/>
    <s v="2. Riesgo (&gt;=40 y &lt;60)"/>
    <s v="2. Riesgo (&gt;=40 y &lt;60)"/>
    <s v="2. Riesgo (&gt;=40 y &lt;60)"/>
    <n v="60.367016666666672"/>
    <n v="59.840183059885057"/>
    <n v="60.103599863275861"/>
    <n v="62.120371650624186"/>
    <x v="3"/>
    <n v="37.879628349375814"/>
    <n v="0.6523467210059386"/>
    <n v="39.20838629146099"/>
    <n v="0.31982957112942384"/>
    <n v="4"/>
    <b v="1"/>
    <n v="0"/>
    <n v="0.6523368619611829"/>
    <n v="39.207793727379958"/>
    <n v="0.30217229854395183"/>
    <n v="4"/>
    <b v="1"/>
    <n v="0"/>
    <n v="62.120371650624186"/>
    <x v="4"/>
    <n v="37.879628349375814"/>
    <n v="0.64930463728197152"/>
    <n v="39.025546108565088"/>
    <n v="0.32529196650888265"/>
    <n v="4"/>
    <b v="1"/>
    <n v="0"/>
    <n v="7.571984997566289E-2"/>
    <n v="4.5510355646445211"/>
    <n v="0.27166050358546773"/>
    <n v="4"/>
  </r>
  <r>
    <n v="54810"/>
    <s v="54810"/>
    <s v="54"/>
    <s v="COLOMBIA"/>
    <s v="NORTE DE SANTANDER"/>
    <s v="TIBÚ"/>
    <x v="6"/>
    <n v="0"/>
    <n v="0"/>
    <n v="1"/>
    <n v="62.55"/>
    <n v="58.865200000000002"/>
    <n v="41.75"/>
    <n v="49.56"/>
    <n v="53.433456656006129"/>
    <n v="58.865252057154549"/>
    <n v="59.21564759897403"/>
    <n v="67.181192424703312"/>
    <s v="2. Riesgo (&gt;=40 y &lt;60)"/>
    <s v="2. Riesgo (&gt;=40 y &lt;60)"/>
    <s v="2. Riesgo (&gt;=40 y &lt;60)"/>
    <s v="3. Vulnerable (&gt;=60 y &lt;70)"/>
    <n v="53.1813"/>
    <n v="59.673887184209505"/>
    <n v="56.427593592104756"/>
    <n v="62.160680728409666"/>
    <x v="3"/>
    <n v="37.839319271590334"/>
    <n v="0.6523467210059386"/>
    <n v="36.810355654065248"/>
    <n v="0.28983273561815942"/>
    <n v="4"/>
    <b v="1"/>
    <n v="0"/>
    <n v="0.6523368619611829"/>
    <n v="36.809799331894567"/>
    <n v="0.27383131122494508"/>
    <n v="4"/>
    <b v="1"/>
    <n v="0"/>
    <n v="62.160680728409666"/>
    <x v="4"/>
    <n v="37.839319271590334"/>
    <n v="0.64930463728197152"/>
    <n v="36.638698190016079"/>
    <n v="0.29480444331981709"/>
    <n v="4"/>
    <b v="1"/>
    <n v="0"/>
    <n v="7.5639273754206274E-2"/>
    <n v="4.2681421990043074"/>
    <n v="0.25477402729250315"/>
    <n v="4"/>
  </r>
  <r>
    <n v="68397"/>
    <s v="68397"/>
    <s v="68"/>
    <s v="COLOMBIA"/>
    <s v="SANTANDER"/>
    <s v="LA PAZ"/>
    <x v="6"/>
    <n v="0"/>
    <n v="0"/>
    <n v="0"/>
    <n v="56.25"/>
    <n v="59.646433333333299"/>
    <n v="49.55"/>
    <n v="67.61"/>
    <n v="51.251456599557535"/>
    <n v="51.269224637091888"/>
    <n v="52.339460291878325"/>
    <n v="43.471172780536683"/>
    <s v="2. Riesgo (&gt;=40 y &lt;60)"/>
    <s v="2. Riesgo (&gt;=40 y &lt;60)"/>
    <s v="2. Riesgo (&gt;=40 y &lt;60)"/>
    <s v="2. Riesgo (&gt;=40 y &lt;60)"/>
    <n v="58.264108333333326"/>
    <n v="49.582828577266106"/>
    <n v="53.923468455299712"/>
    <n v="62.48620563757229"/>
    <x v="3"/>
    <n v="37.51379436242771"/>
    <n v="0.6523467210059386"/>
    <n v="35.176797832081931"/>
    <n v="0.26939864919740025"/>
    <n v="4"/>
    <b v="1"/>
    <n v="0"/>
    <n v="0.6523368619611829"/>
    <n v="35.176266198193048"/>
    <n v="0.25452520195522715"/>
    <n v="4"/>
    <b v="1"/>
    <n v="0"/>
    <n v="62.48620563757229"/>
    <x v="4"/>
    <n v="37.51379436242771"/>
    <n v="0.64930463728197152"/>
    <n v="35.012758126354214"/>
    <n v="0.27403609649315513"/>
    <n v="4"/>
    <b v="1"/>
    <n v="0"/>
    <n v="7.4988562584133736E-2"/>
    <n v="4.0436433890138037"/>
    <n v="0.24137323995299087"/>
    <n v="4"/>
  </r>
  <r>
    <n v="27006"/>
    <s v="27006"/>
    <s v="27"/>
    <s v="COLOMBIA"/>
    <s v="CHOCÓ"/>
    <s v="ACANDÍ"/>
    <x v="6"/>
    <n v="0"/>
    <n v="0"/>
    <n v="1"/>
    <n v="71.22"/>
    <n v="69.811733333333294"/>
    <n v="47.52"/>
    <n v="31.71"/>
    <n v="44.279092373163266"/>
    <n v="41.437556671564977"/>
    <n v="57.596984219497088"/>
    <n v="51.901503518536884"/>
    <s v="2. Riesgo (&gt;=40 y &lt;60)"/>
    <s v="2. Riesgo (&gt;=40 y &lt;60)"/>
    <s v="2. Riesgo (&gt;=40 y &lt;60)"/>
    <s v="2. Riesgo (&gt;=40 y &lt;60)"/>
    <n v="55.065433333333331"/>
    <n v="48.803784195690554"/>
    <n v="51.934608764511943"/>
    <n v="62.226277508893425"/>
    <x v="3"/>
    <n v="37.773722491106575"/>
    <n v="0.6523467210059386"/>
    <n v="33.879371734255649"/>
    <n v="0.25316921632961076"/>
    <n v="4"/>
    <b v="1"/>
    <n v="0"/>
    <n v="0.6523368619611829"/>
    <n v="33.878859708623466"/>
    <n v="0.23919164615638394"/>
    <n v="4"/>
    <b v="1"/>
    <n v="0"/>
    <n v="62.226277508893425"/>
    <x v="4"/>
    <n v="37.773722491106575"/>
    <n v="0.64930463728197152"/>
    <n v="33.721382306222523"/>
    <n v="0.25754118286413874"/>
    <n v="4"/>
    <b v="1"/>
    <n v="0"/>
    <n v="7.5508148434514519E-2"/>
    <n v="3.9214861474792064"/>
    <n v="0.23408142751150926"/>
    <n v="4"/>
  </r>
  <r>
    <n v="54800"/>
    <s v="54800"/>
    <s v="54"/>
    <s v="COLOMBIA"/>
    <s v="NORTE DE SANTANDER"/>
    <s v="TEORAMA"/>
    <x v="6"/>
    <n v="0"/>
    <n v="0"/>
    <n v="1"/>
    <n v="67.709999999999994"/>
    <n v="70.199399999999997"/>
    <n v="62.11"/>
    <n v="52.3"/>
    <n v="45.876117974986705"/>
    <n v="58.242147381898889"/>
    <n v="51.790325848289648"/>
    <n v="59.279642966726385"/>
    <s v="2. Riesgo (&gt;=40 y &lt;60)"/>
    <s v="2. Riesgo (&gt;=40 y &lt;60)"/>
    <s v="2. Riesgo (&gt;=40 y &lt;60)"/>
    <s v="2. Riesgo (&gt;=40 y &lt;60)"/>
    <n v="63.079850000000008"/>
    <n v="53.797058542975407"/>
    <n v="58.438454271487707"/>
    <n v="62.246021457334976"/>
    <x v="3"/>
    <n v="37.753978542665024"/>
    <n v="0.6523467210059386"/>
    <n v="38.12213402466049"/>
    <n v="0.3062417002895671"/>
    <n v="4"/>
    <b v="1"/>
    <n v="0"/>
    <n v="0.6523368619611829"/>
    <n v="38.121557877324378"/>
    <n v="0.28933448853495708"/>
    <n v="4"/>
    <b v="1"/>
    <n v="0"/>
    <n v="62.246021457334976"/>
    <x v="4"/>
    <n v="37.753978542665024"/>
    <n v="0.64930463728197152"/>
    <n v="37.944359354067402"/>
    <n v="0.31148182553035847"/>
    <n v="4"/>
    <b v="1"/>
    <n v="0"/>
    <n v="7.5468681077545424E-2"/>
    <n v="4.4102730680796283"/>
    <n v="0.2632581058982606"/>
    <n v="4"/>
  </r>
  <r>
    <n v="15092"/>
    <s v="15092"/>
    <s v="15"/>
    <s v="COLOMBIA"/>
    <s v="BOYACÁ"/>
    <s v="BETÉITIVA"/>
    <x v="6"/>
    <n v="0"/>
    <n v="0"/>
    <n v="0"/>
    <n v="50.58"/>
    <n v="54.629666666666701"/>
    <n v="56.61"/>
    <n v="59.66"/>
    <n v="52.191270687215443"/>
    <n v="59.289703972416042"/>
    <n v="43.43414144016694"/>
    <n v="47.608745692858392"/>
    <s v="2. Riesgo (&gt;=40 y &lt;60)"/>
    <s v="2. Riesgo (&gt;=40 y &lt;60)"/>
    <s v="2. Riesgo (&gt;=40 y &lt;60)"/>
    <s v="2. Riesgo (&gt;=40 y &lt;60)"/>
    <n v="55.369916666666676"/>
    <n v="50.630965448164204"/>
    <n v="53.000441057415443"/>
    <n v="62.147656787547625"/>
    <x v="3"/>
    <n v="37.852343212452375"/>
    <n v="0.6523467210059386"/>
    <n v="34.574663935673485"/>
    <n v="0.26186658886228448"/>
    <n v="4"/>
    <b v="1"/>
    <n v="0"/>
    <n v="0.6523368619611829"/>
    <n v="34.574141401953028"/>
    <n v="0.24740891709366739"/>
    <n v="4"/>
    <b v="1"/>
    <n v="0"/>
    <n v="62.147656787547625"/>
    <x v="4"/>
    <n v="37.852343212452375"/>
    <n v="0.64930463728197152"/>
    <n v="34.413432156569648"/>
    <n v="0.26638082685506115"/>
    <n v="4"/>
    <b v="1"/>
    <n v="0"/>
    <n v="7.5665308086937041E-2"/>
    <n v="4.0102947013528869"/>
    <n v="0.23938258943945512"/>
    <n v="4"/>
  </r>
  <r>
    <n v="41801"/>
    <s v="41801"/>
    <s v="41"/>
    <s v="COLOMBIA"/>
    <s v="HUILA"/>
    <s v="TERUEL"/>
    <x v="6"/>
    <n v="0"/>
    <n v="0"/>
    <n v="0"/>
    <n v="68.069999999999993"/>
    <n v="72.595233333333297"/>
    <n v="75.34"/>
    <n v="72.64"/>
    <n v="50.251012114125793"/>
    <n v="53.858352565842338"/>
    <n v="58.545574914722735"/>
    <n v="47.087265523427575"/>
    <s v="2. Riesgo (&gt;=40 y &lt;60)"/>
    <s v="2. Riesgo (&gt;=40 y &lt;60)"/>
    <s v="2. Riesgo (&gt;=40 y &lt;60)"/>
    <s v="2. Riesgo (&gt;=40 y &lt;60)"/>
    <n v="72.161308333333324"/>
    <n v="52.435551279529605"/>
    <n v="62.298429806431464"/>
    <n v="62.297430248935314"/>
    <x v="3"/>
    <n v="37.702569751064686"/>
    <n v="0.6523467210059386"/>
    <n v="40.640176408044198"/>
    <n v="0.33773975623883645"/>
    <n v="4"/>
    <b v="1"/>
    <n v="0"/>
    <n v="0.6523368619611829"/>
    <n v="40.639562205036526"/>
    <n v="0.31909382777913786"/>
    <n v="4"/>
    <b v="1"/>
    <n v="0"/>
    <n v="62.297430248935314"/>
    <x v="4"/>
    <n v="37.702569751064686"/>
    <n v="0.64930463728197152"/>
    <n v="40.450659368701345"/>
    <n v="0.34349512609345378"/>
    <n v="4"/>
    <b v="1"/>
    <n v="0"/>
    <n v="7.5365916975651273E-2"/>
    <n v="4.6951782885049527"/>
    <n v="0.28026467386625181"/>
    <n v="4"/>
  </r>
  <r>
    <n v="68377"/>
    <s v="68377"/>
    <s v="68"/>
    <s v="COLOMBIA"/>
    <s v="SANTANDER"/>
    <s v="LA BELLEZA"/>
    <x v="6"/>
    <n v="0"/>
    <n v="0"/>
    <n v="0"/>
    <n v="50.25"/>
    <n v="62.262033333333299"/>
    <n v="76.5"/>
    <n v="70.010000000000005"/>
    <n v="60.906563788990056"/>
    <n v="67.196250534453156"/>
    <n v="59.792950083026348"/>
    <n v="62.616367129436597"/>
    <s v="3. Vulnerable (&gt;=60 y &lt;70)"/>
    <s v="3. Vulnerable (&gt;=60 y &lt;70)"/>
    <s v="2. Riesgo (&gt;=40 y &lt;60)"/>
    <s v="3. Vulnerable (&gt;=60 y &lt;70)"/>
    <n v="64.755508333333324"/>
    <n v="62.628032883976545"/>
    <n v="63.691770608654934"/>
    <n v="62.403496177853924"/>
    <x v="3"/>
    <n v="37.596503822146076"/>
    <n v="0.6523467210059386"/>
    <n v="41.549117711618457"/>
    <n v="0.34910965383210552"/>
    <n v="4"/>
    <b v="1"/>
    <n v="0"/>
    <n v="0.6523368619611829"/>
    <n v="41.54848977160146"/>
    <n v="0.32983609835592054"/>
    <n v="4"/>
    <b v="1"/>
    <n v="0"/>
    <n v="62.403496177853924"/>
    <x v="4"/>
    <n v="37.596503822146076"/>
    <n v="0.64930463728197152"/>
    <n v="41.355362012899228"/>
    <n v="0.35505101226024371"/>
    <n v="4"/>
    <b v="1"/>
    <n v="0"/>
    <n v="7.5153895459727962E-2"/>
    <n v="4.7866846699678272"/>
    <n v="0.28572687457120943"/>
    <n v="4"/>
  </r>
  <r>
    <n v="52540"/>
    <s v="52540"/>
    <s v="52"/>
    <s v="COLOMBIA"/>
    <s v="NARIÑO"/>
    <s v="POLICARPA"/>
    <x v="6"/>
    <n v="0"/>
    <n v="0"/>
    <n v="1"/>
    <n v="69.25"/>
    <n v="70.517133333333305"/>
    <n v="52.45"/>
    <n v="50.74"/>
    <n v="63.646939136320519"/>
    <n v="50.918963759997666"/>
    <n v="59.267628734270843"/>
    <n v="63.181345171465338"/>
    <s v="3. Vulnerable (&gt;=60 y &lt;70)"/>
    <s v="2. Riesgo (&gt;=40 y &lt;60)"/>
    <s v="2. Riesgo (&gt;=40 y &lt;60)"/>
    <s v="3. Vulnerable (&gt;=60 y &lt;70)"/>
    <n v="60.739283333333333"/>
    <n v="59.253719200513601"/>
    <n v="59.996501266923467"/>
    <n v="62.419280876665695"/>
    <x v="3"/>
    <n v="37.580719123334305"/>
    <n v="0.6523467210059386"/>
    <n v="39.138520873306163"/>
    <n v="0.31895562839339942"/>
    <n v="4"/>
    <b v="1"/>
    <n v="0"/>
    <n v="0.6523368619611829"/>
    <n v="39.137929365114985"/>
    <n v="0.30134659811332121"/>
    <n v="4"/>
    <b v="1"/>
    <n v="0"/>
    <n v="62.419280876665695"/>
    <x v="4"/>
    <n v="37.580719123334305"/>
    <n v="0.64930463728197152"/>
    <n v="38.956006493307086"/>
    <n v="0.3244037278338246"/>
    <n v="4"/>
    <b v="1"/>
    <n v="0"/>
    <n v="7.5122342483153998E-2"/>
    <n v="4.5070777159648072"/>
    <n v="0.26903657082571625"/>
    <n v="4"/>
  </r>
  <r>
    <n v="68176"/>
    <s v="68176"/>
    <s v="68"/>
    <s v="COLOMBIA"/>
    <s v="SANTANDER"/>
    <s v="CHIMA"/>
    <x v="6"/>
    <n v="0"/>
    <n v="0"/>
    <n v="0"/>
    <n v="63.94"/>
    <n v="63.865066666666699"/>
    <n v="51.57"/>
    <n v="45.99"/>
    <n v="60.413940206062506"/>
    <n v="50.73803941267991"/>
    <n v="52.207334155636822"/>
    <n v="47.487110103958983"/>
    <s v="3. Vulnerable (&gt;=60 y &lt;70)"/>
    <s v="2. Riesgo (&gt;=40 y &lt;60)"/>
    <s v="2. Riesgo (&gt;=40 y &lt;60)"/>
    <s v="2. Riesgo (&gt;=40 y &lt;60)"/>
    <n v="56.341266666666677"/>
    <n v="52.711605969584554"/>
    <n v="54.526436318125619"/>
    <n v="62.296556481141337"/>
    <x v="3"/>
    <n v="37.703443518858663"/>
    <n v="0.6523467210059386"/>
    <n v="35.570141940268371"/>
    <n v="0.27431896936704053"/>
    <n v="4"/>
    <b v="1"/>
    <n v="0"/>
    <n v="0.6523368619611829"/>
    <n v="35.569604361692342"/>
    <n v="0.25917391669984963"/>
    <n v="4"/>
    <b v="1"/>
    <n v="0"/>
    <n v="62.296556481141337"/>
    <x v="4"/>
    <n v="37.703443518858663"/>
    <n v="0.64930463728197152"/>
    <n v="35.404267955819073"/>
    <n v="0.27903690316868607"/>
    <n v="4"/>
    <b v="1"/>
    <n v="0"/>
    <n v="7.5367663602246004E-2"/>
    <n v="4.1095301098537806"/>
    <n v="0.2453061513769387"/>
    <n v="4"/>
  </r>
  <r>
    <n v="52699"/>
    <s v="52699"/>
    <s v="52"/>
    <s v="COLOMBIA"/>
    <s v="NARIÑO"/>
    <s v="SANTACRUZ"/>
    <x v="6"/>
    <n v="0"/>
    <n v="0"/>
    <n v="0"/>
    <n v="66.27"/>
    <n v="67.4148"/>
    <n v="62.4"/>
    <n v="51.89"/>
    <n v="54.143533163750931"/>
    <n v="46.768344382682834"/>
    <n v="49.954630581983508"/>
    <n v="56.690128864161082"/>
    <s v="2. Riesgo (&gt;=40 y &lt;60)"/>
    <s v="2. Riesgo (&gt;=40 y &lt;60)"/>
    <s v="2. Riesgo (&gt;=40 y &lt;60)"/>
    <s v="2. Riesgo (&gt;=40 y &lt;60)"/>
    <n v="61.993700000000004"/>
    <n v="51.889159248144594"/>
    <n v="56.941429624072299"/>
    <n v="62.522526922844179"/>
    <x v="3"/>
    <n v="37.477473077155821"/>
    <n v="0.6523467210059386"/>
    <n v="37.145554904653977"/>
    <n v="0.29402572490970946"/>
    <n v="4"/>
    <b v="1"/>
    <n v="0"/>
    <n v="0.6523368619611829"/>
    <n v="37.144993516550862"/>
    <n v="0.27779284431052426"/>
    <n v="4"/>
    <b v="1"/>
    <n v="0"/>
    <n v="62.522526922844179"/>
    <x v="4"/>
    <n v="37.477473077155821"/>
    <n v="0.64930463728197152"/>
    <n v="36.972334308375174"/>
    <n v="0.29906602145227146"/>
    <n v="4"/>
    <b v="1"/>
    <n v="0"/>
    <n v="7.4915957799146296E-2"/>
    <n v="4.2658217387400592"/>
    <n v="0.25463551433320375"/>
    <n v="4"/>
  </r>
  <r>
    <n v="5120"/>
    <s v="05120"/>
    <s v="50"/>
    <s v="COLOMBIA"/>
    <s v="ANTIOQUIA"/>
    <s v="CÁCERES"/>
    <x v="6"/>
    <n v="0"/>
    <n v="0"/>
    <n v="1"/>
    <n v="52.19"/>
    <n v="55.881900000000002"/>
    <n v="70.7"/>
    <n v="64.59"/>
    <n v="46.291019143336854"/>
    <n v="45.662159666383012"/>
    <n v="51.516075742836563"/>
    <n v="56.994062878585879"/>
    <s v="2. Riesgo (&gt;=40 y &lt;60)"/>
    <s v="2. Riesgo (&gt;=40 y &lt;60)"/>
    <s v="2. Riesgo (&gt;=40 y &lt;60)"/>
    <s v="2. Riesgo (&gt;=40 y &lt;60)"/>
    <n v="60.840475000000005"/>
    <n v="50.115829357785579"/>
    <n v="55.478152178892792"/>
    <n v="62.386024229950046"/>
    <x v="3"/>
    <n v="37.613975770049954"/>
    <n v="0.6523467210059386"/>
    <n v="36.190990661369177"/>
    <n v="0.28208513243177302"/>
    <n v="4"/>
    <b v="1"/>
    <n v="0"/>
    <n v="0.6523368619611829"/>
    <n v="36.190443699783884"/>
    <n v="0.26651138164185229"/>
    <n v="4"/>
    <b v="1"/>
    <n v="0"/>
    <n v="62.386024229950046"/>
    <x v="4"/>
    <n v="37.613975770049954"/>
    <n v="0.64930463728197152"/>
    <n v="36.022221477590001"/>
    <n v="0.28693010498449717"/>
    <n v="4"/>
    <b v="1"/>
    <n v="0"/>
    <n v="7.5188821179216603E-2"/>
    <n v="4.1713368635321357"/>
    <n v="0.24899552132159139"/>
    <n v="4"/>
  </r>
  <r>
    <n v="52287"/>
    <s v="52287"/>
    <s v="52"/>
    <s v="COLOMBIA"/>
    <s v="NARIÑO"/>
    <s v="FUNES"/>
    <x v="6"/>
    <n v="0"/>
    <n v="0"/>
    <n v="0"/>
    <n v="79.19"/>
    <n v="76.641400000000004"/>
    <n v="53.01"/>
    <n v="80.83"/>
    <n v="59.974854758035029"/>
    <n v="49.304038144326299"/>
    <n v="48.777802763900041"/>
    <n v="28.454171415400161"/>
    <s v="2. Riesgo (&gt;=40 y &lt;60)"/>
    <s v="2. Riesgo (&gt;=40 y &lt;60)"/>
    <s v="2. Riesgo (&gt;=40 y &lt;60)"/>
    <s v="1. Deterioro (&lt;40)"/>
    <n v="72.417850000000001"/>
    <n v="46.627716770415383"/>
    <n v="59.522783385207688"/>
    <n v="62.648727259174429"/>
    <x v="3"/>
    <n v="37.351272740825571"/>
    <n v="0.6523467210059386"/>
    <n v="38.829492566486998"/>
    <n v="0.31509001002163156"/>
    <n v="4"/>
    <b v="1"/>
    <n v="0"/>
    <n v="0.6523368619611829"/>
    <n v="38.828905728701621"/>
    <n v="0.29769436482313799"/>
    <n v="4"/>
    <b v="1"/>
    <n v="0"/>
    <n v="62.648727259174429"/>
    <x v="4"/>
    <n v="37.351272740825571"/>
    <n v="0.64930463728197152"/>
    <n v="38.648419275945642"/>
    <n v="0.32047487574857408"/>
    <n v="4"/>
    <b v="1"/>
    <n v="0"/>
    <n v="7.466368841451379E-2"/>
    <n v="4.4441905522377452"/>
    <n v="0.26528270902338824"/>
    <n v="4"/>
  </r>
  <r>
    <n v="15403"/>
    <s v="15403"/>
    <s v="15"/>
    <s v="COLOMBIA"/>
    <s v="BOYACÁ"/>
    <s v="LA UVITA"/>
    <x v="6"/>
    <n v="0"/>
    <n v="0"/>
    <n v="0"/>
    <n v="60.88"/>
    <n v="66.520533333333304"/>
    <n v="73.98"/>
    <n v="78.63"/>
    <n v="56.882835728867796"/>
    <n v="46.856277420153781"/>
    <n v="58.791184469544859"/>
    <n v="65.336954029060195"/>
    <s v="2. Riesgo (&gt;=40 y &lt;60)"/>
    <s v="2. Riesgo (&gt;=40 y &lt;60)"/>
    <s v="2. Riesgo (&gt;=40 y &lt;60)"/>
    <s v="3. Vulnerable (&gt;=60 y &lt;70)"/>
    <n v="70.002633333333321"/>
    <n v="56.966812911906658"/>
    <n v="63.48472312261999"/>
    <n v="62.553181910609979"/>
    <x v="3"/>
    <n v="37.446818089390021"/>
    <n v="0.6523467210059386"/>
    <n v="41.414050963011043"/>
    <n v="0.3474201111807998"/>
    <n v="4"/>
    <b v="1"/>
    <n v="0"/>
    <n v="0.6523368619611829"/>
    <n v="41.413425064284475"/>
    <n v="0.32823981974721211"/>
    <n v="4"/>
    <b v="1"/>
    <n v="0"/>
    <n v="62.553181910609979"/>
    <x v="4"/>
    <n v="37.446818089390021"/>
    <n v="0.64930463728197152"/>
    <n v="41.220925120079166"/>
    <n v="0.35333383210164815"/>
    <n v="4"/>
    <b v="1"/>
    <n v="0"/>
    <n v="7.4854679714440112E-2"/>
    <n v="4.7521286161036294"/>
    <n v="0.28366415393074618"/>
    <n v="4"/>
  </r>
  <r>
    <n v="13655"/>
    <s v="13655"/>
    <s v="13"/>
    <s v="COLOMBIA"/>
    <s v="BOLÍVAR"/>
    <s v="SAN JACINTO DEL CAUCA"/>
    <x v="6"/>
    <n v="0"/>
    <n v="0"/>
    <n v="0"/>
    <n v="57.97"/>
    <n v="58.493299999999998"/>
    <n v="34.880000000000003"/>
    <n v="27.69"/>
    <n v="62.002995617200838"/>
    <n v="55.017275313447016"/>
    <n v="50.443939425776009"/>
    <n v="51.089517479840708"/>
    <s v="3. Vulnerable (&gt;=60 y &lt;70)"/>
    <s v="2. Riesgo (&gt;=40 y &lt;60)"/>
    <s v="2. Riesgo (&gt;=40 y &lt;60)"/>
    <s v="2. Riesgo (&gt;=40 y &lt;60)"/>
    <n v="44.758324999999999"/>
    <n v="54.638431959066139"/>
    <n v="49.698378479533069"/>
    <n v="62.652202333153639"/>
    <x v="3"/>
    <n v="37.347797666846361"/>
    <n v="0.6523467210059386"/>
    <n v="32.420574240435499"/>
    <n v="0.23492119739942302"/>
    <n v="4"/>
    <b v="1"/>
    <n v="0"/>
    <n v="0.6523368619611829"/>
    <n v="32.420084261897784"/>
    <n v="0.2219509317849217"/>
    <n v="4"/>
    <b v="1"/>
    <n v="0"/>
    <n v="62.652202333153639"/>
    <x v="4"/>
    <n v="37.347797666846361"/>
    <n v="0.64930463728197152"/>
    <n v="32.269387612155356"/>
    <n v="0.23899466317943097"/>
    <n v="4"/>
    <b v="1"/>
    <n v="0"/>
    <n v="7.46567418817249E-2"/>
    <n v="3.7103190140867719"/>
    <n v="0.2214764348712091"/>
    <n v="4"/>
  </r>
  <r>
    <n v="50110"/>
    <s v="50110"/>
    <s v="50"/>
    <s v="COLOMBIA"/>
    <s v="META"/>
    <s v="BARRANCA DE UPÍA"/>
    <x v="5"/>
    <n v="0"/>
    <n v="0"/>
    <n v="0"/>
    <n v="46.41"/>
    <n v="48.336033333333297"/>
    <n v="61.12"/>
    <n v="53.45"/>
    <n v="64.396114926449357"/>
    <n v="59.997589261761981"/>
    <n v="61.622663659913741"/>
    <n v="70.872116166348519"/>
    <s v="3. Vulnerable (&gt;=60 y &lt;70)"/>
    <s v="2. Riesgo (&gt;=40 y &lt;60)"/>
    <s v="3. Vulnerable (&gt;=60 y &lt;70)"/>
    <s v="4. Solvente (&gt;=70 y &lt;80)"/>
    <n v="52.32900833333332"/>
    <n v="64.222121003618398"/>
    <n v="58.275564668475859"/>
    <n v="62.833938146396207"/>
    <x v="3"/>
    <n v="37.166061853603793"/>
    <n v="0.6523467210059386"/>
    <n v="38.015873526249756"/>
    <n v="0.30491249346357202"/>
    <n v="4"/>
    <b v="0"/>
    <n v="1"/>
    <n v="0.6523368619611829"/>
    <n v="38.015298984849522"/>
    <n v="0.28807865493925261"/>
    <n v="4"/>
    <b v="0"/>
    <n v="1"/>
    <n v="62.833938146396207"/>
    <x v="4"/>
    <n v="37.166061853603793"/>
    <n v="0.64930463728197152"/>
    <n v="37.838594379466791"/>
    <n v="0.31013087556380708"/>
    <n v="4"/>
    <b v="0"/>
    <n v="1"/>
    <n v="7.4293459317624475E-2"/>
    <n v="4.3294932929090058"/>
    <n v="0.25843619798506984"/>
    <n v="4"/>
  </r>
  <r>
    <n v="68207"/>
    <s v="68207"/>
    <s v="68"/>
    <s v="COLOMBIA"/>
    <s v="SANTANDER"/>
    <s v="CONCEPCIÓN"/>
    <x v="6"/>
    <n v="0"/>
    <n v="0"/>
    <n v="0"/>
    <n v="59.69"/>
    <n v="63.361833333333301"/>
    <n v="65.87"/>
    <n v="61.13"/>
    <n v="52.273472531820417"/>
    <n v="49.847173141647438"/>
    <n v="55.203365758786688"/>
    <n v="63.537857583008694"/>
    <s v="2. Riesgo (&gt;=40 y &lt;60)"/>
    <s v="2. Riesgo (&gt;=40 y &lt;60)"/>
    <s v="2. Riesgo (&gt;=40 y &lt;60)"/>
    <s v="3. Vulnerable (&gt;=60 y &lt;70)"/>
    <n v="62.512958333333323"/>
    <n v="55.215467253815817"/>
    <n v="58.864212793574566"/>
    <n v="62.678473658061776"/>
    <x v="3"/>
    <n v="37.321526341938224"/>
    <n v="0.6523467210059386"/>
    <n v="38.399876200484186"/>
    <n v="0.30971596214127217"/>
    <n v="4"/>
    <b v="1"/>
    <n v="0"/>
    <n v="0.6523368619611829"/>
    <n v="38.399295855575751"/>
    <n v="0.29261696848338725"/>
    <n v="4"/>
    <b v="1"/>
    <n v="0"/>
    <n v="62.678473658061776"/>
    <x v="4"/>
    <n v="37.321526341938224"/>
    <n v="0.64930463728197152"/>
    <n v="38.220806336820722"/>
    <n v="0.31501291929286457"/>
    <n v="4"/>
    <b v="1"/>
    <n v="0"/>
    <n v="7.4604226562346415E-2"/>
    <n v="4.3915190676660076"/>
    <n v="0.26213864174021595"/>
    <n v="4"/>
  </r>
  <r>
    <n v="52490"/>
    <s v="52490"/>
    <s v="52"/>
    <s v="COLOMBIA"/>
    <s v="NARIÑO"/>
    <s v="OLAYA HERRERA"/>
    <x v="6"/>
    <n v="0"/>
    <n v="0"/>
    <n v="1"/>
    <n v="61.61"/>
    <n v="63.472099999999998"/>
    <n v="68.48"/>
    <n v="41.35"/>
    <n v="63.378694615325728"/>
    <n v="53.473909427550808"/>
    <n v="68.823557883427512"/>
    <n v="66.412831418401282"/>
    <s v="3. Vulnerable (&gt;=60 y &lt;70)"/>
    <s v="2. Riesgo (&gt;=40 y &lt;60)"/>
    <s v="3. Vulnerable (&gt;=60 y &lt;70)"/>
    <s v="3. Vulnerable (&gt;=60 y &lt;70)"/>
    <n v="58.728024999999995"/>
    <n v="63.022248336176332"/>
    <n v="60.87513666808816"/>
    <n v="62.71892782262077"/>
    <x v="3"/>
    <n v="37.28107217737923"/>
    <n v="0.6523467210059386"/>
    <n v="39.711695796215693"/>
    <n v="0.3261254424956791"/>
    <n v="4"/>
    <b v="1"/>
    <n v="0"/>
    <n v="0.6523368619611829"/>
    <n v="39.711095625518773"/>
    <n v="0.30812063301030362"/>
    <n v="4"/>
    <b v="1"/>
    <n v="0"/>
    <n v="62.71892782262077"/>
    <x v="4"/>
    <n v="37.28107217737923"/>
    <n v="0.64930463728197152"/>
    <n v="39.526508533763426"/>
    <n v="0.33169082562193813"/>
    <n v="4"/>
    <b v="1"/>
    <n v="0"/>
    <n v="7.4523360318278609E-2"/>
    <n v="4.5366197443403884"/>
    <n v="0.27079999415903255"/>
    <n v="4"/>
  </r>
  <r>
    <n v="52612"/>
    <s v="52612"/>
    <s v="52"/>
    <s v="COLOMBIA"/>
    <s v="NARIÑO"/>
    <s v="RICAURTE"/>
    <x v="6"/>
    <n v="0"/>
    <n v="0"/>
    <n v="1"/>
    <n v="66.41"/>
    <n v="68.662733333333307"/>
    <n v="59.98"/>
    <n v="49.8"/>
    <n v="61.733002933571484"/>
    <n v="47.475115013307125"/>
    <n v="58.290818553897786"/>
    <n v="59.239651658153143"/>
    <s v="3. Vulnerable (&gt;=60 y &lt;70)"/>
    <s v="2. Riesgo (&gt;=40 y &lt;60)"/>
    <s v="2. Riesgo (&gt;=40 y &lt;60)"/>
    <s v="2. Riesgo (&gt;=40 y &lt;60)"/>
    <n v="61.213183333333319"/>
    <n v="56.68464703973239"/>
    <n v="58.948915186532858"/>
    <n v="62.739837819741709"/>
    <x v="3"/>
    <n v="37.260162180258291"/>
    <n v="0.6523467210059386"/>
    <n v="38.455131528791888"/>
    <n v="0.31040714805379543"/>
    <n v="4"/>
    <b v="1"/>
    <n v="0"/>
    <n v="0.6523368619611829"/>
    <n v="38.454550348798762"/>
    <n v="0.29327000040652251"/>
    <n v="4"/>
    <b v="1"/>
    <n v="0"/>
    <n v="62.739837819741709"/>
    <x v="4"/>
    <n v="37.260162180258291"/>
    <n v="0.64930463728197152"/>
    <n v="38.275803993357421"/>
    <n v="0.31571541161169914"/>
    <n v="4"/>
    <b v="1"/>
    <n v="0"/>
    <n v="7.4481562077007984E-2"/>
    <n v="4.3906072858380254"/>
    <n v="0.26208421564157719"/>
    <n v="4"/>
  </r>
  <r>
    <n v="5543"/>
    <s v="05543"/>
    <s v="50"/>
    <s v="COLOMBIA"/>
    <s v="ANTIOQUIA"/>
    <s v="PEQUE"/>
    <x v="5"/>
    <n v="0"/>
    <n v="0"/>
    <n v="0"/>
    <n v="71.97"/>
    <n v="73.570433333333298"/>
    <n v="64.040000000000006"/>
    <n v="48.18"/>
    <n v="58.678194883651827"/>
    <n v="57.676223987974062"/>
    <n v="49.593737394750441"/>
    <n v="55.623365111399359"/>
    <s v="2. Riesgo (&gt;=40 y &lt;60)"/>
    <s v="2. Riesgo (&gt;=40 y &lt;60)"/>
    <s v="2. Riesgo (&gt;=40 y &lt;60)"/>
    <s v="2. Riesgo (&gt;=40 y &lt;60)"/>
    <n v="64.440108333333328"/>
    <n v="55.392880344443917"/>
    <n v="59.916494338888626"/>
    <n v="62.889816697912224"/>
    <x v="3"/>
    <n v="37.110183302087776"/>
    <n v="0.6523467210059386"/>
    <n v="39.086328616144876"/>
    <n v="0.31830275827213644"/>
    <n v="4"/>
    <b v="0"/>
    <n v="1"/>
    <n v="0.6523368619611829"/>
    <n v="39.085737896745584"/>
    <n v="0.30072976692055348"/>
    <n v="4"/>
    <b v="0"/>
    <n v="1"/>
    <n v="62.889816697912224"/>
    <x v="4"/>
    <n v="37.110183302087776"/>
    <n v="0.64930463728197152"/>
    <n v="38.904057623919378"/>
    <n v="0.32374017807525168"/>
    <n v="4"/>
    <b v="0"/>
    <n v="1"/>
    <n v="7.4181760345854608E-2"/>
    <n v="4.4447110238111902"/>
    <n v="0.26531377702268982"/>
    <n v="4"/>
  </r>
  <r>
    <n v="15507"/>
    <s v="15507"/>
    <s v="15"/>
    <s v="COLOMBIA"/>
    <s v="BOYACÁ"/>
    <s v="OTANCHE"/>
    <x v="5"/>
    <n v="0"/>
    <n v="0"/>
    <n v="0"/>
    <n v="60.88"/>
    <n v="58.751100000000001"/>
    <n v="50.14"/>
    <n v="42.28"/>
    <n v="60.898758928258559"/>
    <n v="58.592931334030084"/>
    <n v="61.929830098818869"/>
    <n v="59.432964200530094"/>
    <s v="3. Vulnerable (&gt;=60 y &lt;70)"/>
    <s v="2. Riesgo (&gt;=40 y &lt;60)"/>
    <s v="3. Vulnerable (&gt;=60 y &lt;70)"/>
    <s v="2. Riesgo (&gt;=40 y &lt;60)"/>
    <n v="53.012774999999998"/>
    <n v="60.213621140409401"/>
    <n v="56.613198070204703"/>
    <n v="62.957637192436223"/>
    <x v="3"/>
    <n v="37.042362807563777"/>
    <n v="0.6523467210059386"/>
    <n v="36.931434126757772"/>
    <n v="0.29134729968280254"/>
    <n v="4"/>
    <b v="0"/>
    <n v="1"/>
    <n v="0.6523368619611829"/>
    <n v="36.930875974704229"/>
    <n v="0.27526227019839256"/>
    <n v="4"/>
    <b v="0"/>
    <n v="1"/>
    <n v="62.957637192436223"/>
    <x v="4"/>
    <n v="37.042362807563777"/>
    <n v="0.64930463728197152"/>
    <n v="36.759212038346675"/>
    <n v="0.29634378259528132"/>
    <n v="4"/>
    <b v="0"/>
    <n v="1"/>
    <n v="7.4046189911444113E-2"/>
    <n v="4.1919916158005792"/>
    <n v="0.25022844519638354"/>
    <n v="4"/>
  </r>
  <r>
    <n v="27580"/>
    <s v="27580"/>
    <s v="27"/>
    <s v="COLOMBIA"/>
    <s v="CHOCÓ"/>
    <s v="RÍO IRÓ"/>
    <x v="6"/>
    <n v="0"/>
    <n v="0"/>
    <n v="0"/>
    <n v="57.66"/>
    <n v="53.493466666666698"/>
    <n v="33.119999999999997"/>
    <n v="23.65"/>
    <n v="65.452070295310889"/>
    <n v="66.560583228781383"/>
    <n v="65.371184545492312"/>
    <n v="58.984287178086369"/>
    <s v="3. Vulnerable (&gt;=60 y &lt;70)"/>
    <s v="3. Vulnerable (&gt;=60 y &lt;70)"/>
    <s v="3. Vulnerable (&gt;=60 y &lt;70)"/>
    <s v="2. Riesgo (&gt;=40 y &lt;60)"/>
    <n v="41.980866666666678"/>
    <n v="64.092031311917751"/>
    <n v="53.036448989292211"/>
    <n v="62.882140437162313"/>
    <x v="3"/>
    <n v="37.117859562837687"/>
    <n v="0.6523467210059386"/>
    <n v="34.598153591963502"/>
    <n v="0.26216041970204096"/>
    <n v="4"/>
    <b v="1"/>
    <n v="0"/>
    <n v="0.6523368619611829"/>
    <n v="34.597630703239233"/>
    <n v="0.24768652824702869"/>
    <n v="4"/>
    <b v="1"/>
    <n v="0"/>
    <n v="62.882140437162313"/>
    <x v="4"/>
    <n v="37.117859562837687"/>
    <n v="0.64930463728197152"/>
    <n v="34.436812273716164"/>
    <n v="0.26667946417423344"/>
    <n v="4"/>
    <b v="1"/>
    <n v="0"/>
    <n v="7.4197104881629783E-2"/>
    <n v="3.9351509682077221"/>
    <n v="0.23489710825664614"/>
    <n v="4"/>
  </r>
  <r>
    <n v="15839"/>
    <s v="15839"/>
    <s v="15"/>
    <s v="COLOMBIA"/>
    <s v="BOYACÁ"/>
    <s v="TUTAZÁ"/>
    <x v="6"/>
    <n v="0"/>
    <n v="0"/>
    <n v="0"/>
    <n v="61.56"/>
    <n v="70.453599999999994"/>
    <n v="58.78"/>
    <n v="57.8"/>
    <s v="N.D."/>
    <n v="53.529970874073285"/>
    <n v="52.160313723930201"/>
    <n v="13.331006043422997"/>
    <s v="6. Sin info."/>
    <s v="2. Riesgo (&gt;=40 y &lt;60)"/>
    <s v="2. Riesgo (&gt;=40 y &lt;60)"/>
    <s v="1. Deterioro (&lt;40)"/>
    <n v="62.148399999999995"/>
    <n v="39.673763547142165"/>
    <n v="50.911081773571084"/>
    <n v="62.870315558569743"/>
    <x v="3"/>
    <n v="37.129684441430257"/>
    <n v="0.6523467210059386"/>
    <n v="33.211677257854305"/>
    <n v="0.24481706224614916"/>
    <n v="4"/>
    <b v="1"/>
    <n v="0"/>
    <n v="0.6523368619611829"/>
    <n v="33.211175323220537"/>
    <n v="0.23130053734669345"/>
    <n v="4"/>
    <b v="1"/>
    <n v="0"/>
    <n v="62.870315558569743"/>
    <x v="4"/>
    <n v="37.129684441430257"/>
    <n v="0.64930463728197152"/>
    <n v="33.056801484621367"/>
    <n v="0.24905240439940496"/>
    <n v="4"/>
    <b v="1"/>
    <n v="0"/>
    <n v="7.4220742337223367E-2"/>
    <n v="3.7786582824255284"/>
    <n v="0.22555574380823321"/>
    <n v="4"/>
  </r>
  <r>
    <n v="86885"/>
    <s v="86885"/>
    <s v="86"/>
    <s v="COLOMBIA"/>
    <s v="PUTUMAYO"/>
    <s v="VILLAGARZÓN"/>
    <x v="6"/>
    <n v="0"/>
    <n v="0"/>
    <n v="1"/>
    <n v="52.42"/>
    <n v="53.487166666666702"/>
    <n v="34.72"/>
    <n v="49.98"/>
    <n v="44.904238906212676"/>
    <n v="46.735025945579117"/>
    <n v="53.800785039395251"/>
    <n v="58.475721224539235"/>
    <s v="2. Riesgo (&gt;=40 y &lt;60)"/>
    <s v="2. Riesgo (&gt;=40 y &lt;60)"/>
    <s v="2. Riesgo (&gt;=40 y &lt;60)"/>
    <s v="2. Riesgo (&gt;=40 y &lt;60)"/>
    <n v="47.651791666666675"/>
    <n v="50.978942778931568"/>
    <n v="49.315367222799125"/>
    <n v="63.140214941926452"/>
    <x v="3"/>
    <n v="36.859785058073548"/>
    <n v="0.6523467210059386"/>
    <n v="32.170718102996751"/>
    <n v="0.23179576049325845"/>
    <n v="4"/>
    <b v="1"/>
    <n v="0"/>
    <n v="0.6523368619611829"/>
    <n v="32.170231900584156"/>
    <n v="0.21899802137906557"/>
    <n v="4"/>
    <b v="1"/>
    <n v="0"/>
    <n v="63.140214941926452"/>
    <x v="4"/>
    <n v="36.859785058073548"/>
    <n v="0.64930463728197152"/>
    <n v="32.020696627026815"/>
    <n v="0.23581810043444171"/>
    <n v="4"/>
    <b v="1"/>
    <n v="0"/>
    <n v="7.3681224350726784E-2"/>
    <n v="3.6336166362815403"/>
    <n v="0.21689791504098677"/>
    <n v="4"/>
  </r>
  <r>
    <n v="68092"/>
    <s v="68092"/>
    <s v="68"/>
    <s v="COLOMBIA"/>
    <s v="SANTANDER"/>
    <s v="BETULIA"/>
    <x v="6"/>
    <n v="0"/>
    <n v="0"/>
    <n v="0"/>
    <n v="47.11"/>
    <n v="52.111033333333303"/>
    <n v="58.1"/>
    <n v="60.34"/>
    <n v="62.95834196576422"/>
    <n v="64.408818202374874"/>
    <n v="68.166577492901595"/>
    <n v="63.361538257208245"/>
    <s v="3. Vulnerable (&gt;=60 y &lt;70)"/>
    <s v="3. Vulnerable (&gt;=60 y &lt;70)"/>
    <s v="3. Vulnerable (&gt;=60 y &lt;70)"/>
    <s v="3. Vulnerable (&gt;=60 y &lt;70)"/>
    <n v="54.415258333333327"/>
    <n v="64.723818979562225"/>
    <n v="59.569538656447776"/>
    <n v="63.18123944990657"/>
    <x v="3"/>
    <n v="36.81876055009343"/>
    <n v="0.6523467210059386"/>
    <n v="38.859993214370213"/>
    <n v="0.31547154097593727"/>
    <n v="4"/>
    <b v="1"/>
    <n v="0"/>
    <n v="0.6523368619611829"/>
    <n v="38.859405915622524"/>
    <n v="0.29805483497785562"/>
    <n v="4"/>
    <b v="1"/>
    <n v="0"/>
    <n v="63.18123944990657"/>
    <x v="4"/>
    <n v="36.81876055009343"/>
    <n v="0.64930463728197152"/>
    <n v="38.678777690379206"/>
    <n v="0.32086264777913948"/>
    <n v="4"/>
    <b v="1"/>
    <n v="0"/>
    <n v="7.3599218013153223E-2"/>
    <n v="4.3842714625188588"/>
    <n v="0.26170601755257855"/>
    <n v="4"/>
  </r>
  <r>
    <n v="68162"/>
    <s v="68162"/>
    <s v="68"/>
    <s v="COLOMBIA"/>
    <s v="SANTANDER"/>
    <s v="CERRITO"/>
    <x v="6"/>
    <n v="0"/>
    <n v="0"/>
    <n v="0"/>
    <n v="61.88"/>
    <n v="60.0636333333333"/>
    <n v="43.06"/>
    <n v="47.17"/>
    <n v="51.20220403003551"/>
    <n v="55.999041132204482"/>
    <n v="56.757117351652788"/>
    <n v="64.218517885636089"/>
    <s v="2. Riesgo (&gt;=40 y &lt;60)"/>
    <s v="2. Riesgo (&gt;=40 y &lt;60)"/>
    <s v="2. Riesgo (&gt;=40 y &lt;60)"/>
    <s v="3. Vulnerable (&gt;=60 y &lt;70)"/>
    <n v="53.043408333333332"/>
    <n v="57.044220099882217"/>
    <n v="55.043814216607771"/>
    <n v="63.196682521451223"/>
    <x v="3"/>
    <n v="36.803317478548777"/>
    <n v="0.6523467210059386"/>
    <n v="35.907651715864148"/>
    <n v="0.27854086089090579"/>
    <n v="4"/>
    <b v="1"/>
    <n v="0"/>
    <n v="0.6523368619611829"/>
    <n v="35.90710903643626"/>
    <n v="0.26316275659248278"/>
    <n v="4"/>
    <b v="1"/>
    <n v="0"/>
    <n v="63.196682521451223"/>
    <x v="4"/>
    <n v="36.803317478548777"/>
    <n v="0.64930463728197152"/>
    <n v="35.740203824530738"/>
    <n v="0.28332785631563479"/>
    <n v="4"/>
    <b v="1"/>
    <n v="0"/>
    <n v="7.3568347935713735E-2"/>
    <n v="4.0494824759961867"/>
    <n v="0.24172178684689707"/>
    <n v="4"/>
  </r>
  <r>
    <n v="5480"/>
    <s v="05480"/>
    <s v="50"/>
    <s v="COLOMBIA"/>
    <s v="ANTIOQUIA"/>
    <s v="MUTATÁ"/>
    <x v="6"/>
    <n v="0"/>
    <n v="0"/>
    <n v="1"/>
    <n v="56.42"/>
    <n v="56.657533333333298"/>
    <n v="44.09"/>
    <n v="37.18"/>
    <n v="50.160432931643967"/>
    <n v="62.383118996516146"/>
    <n v="57.879293544746133"/>
    <n v="55.82494631056953"/>
    <s v="2. Riesgo (&gt;=40 y &lt;60)"/>
    <s v="3. Vulnerable (&gt;=60 y &lt;70)"/>
    <s v="2. Riesgo (&gt;=40 y &lt;60)"/>
    <s v="2. Riesgo (&gt;=40 y &lt;60)"/>
    <n v="48.586883333333326"/>
    <n v="56.561947945868951"/>
    <n v="52.574415639601142"/>
    <n v="63.289068179168204"/>
    <x v="3"/>
    <n v="36.710931820831796"/>
    <n v="0.6523467210059386"/>
    <n v="34.296747651297139"/>
    <n v="0.25839014909611346"/>
    <n v="4"/>
    <b v="1"/>
    <n v="0"/>
    <n v="0.6523368619611829"/>
    <n v="34.296229317780345"/>
    <n v="0.24412437945331045"/>
    <n v="4"/>
    <b v="1"/>
    <n v="0"/>
    <n v="63.289068179168204"/>
    <x v="4"/>
    <n v="36.710931820831796"/>
    <n v="0.64930463728197152"/>
    <n v="34.136811877182829"/>
    <n v="0.2628475195518048"/>
    <n v="4"/>
    <b v="1"/>
    <n v="0"/>
    <n v="7.3383672730410451E-2"/>
    <n v="3.858103711289063"/>
    <n v="0.23029800189566635"/>
    <n v="4"/>
  </r>
  <r>
    <n v="25839"/>
    <s v="25839"/>
    <s v="25"/>
    <s v="COLOMBIA"/>
    <s v="CUNDINAMARCA"/>
    <s v="UBALÁ"/>
    <x v="6"/>
    <n v="0"/>
    <n v="0"/>
    <n v="0"/>
    <n v="39.06"/>
    <n v="53.346533333333298"/>
    <n v="69.03"/>
    <n v="43.54"/>
    <n v="57.86754807610032"/>
    <n v="54.437670246614289"/>
    <n v="61.211672995248584"/>
    <n v="56.948972835779074"/>
    <s v="2. Riesgo (&gt;=40 y &lt;60)"/>
    <s v="2. Riesgo (&gt;=40 y &lt;60)"/>
    <s v="3. Vulnerable (&gt;=60 y &lt;70)"/>
    <s v="2. Riesgo (&gt;=40 y &lt;60)"/>
    <n v="51.244133333333323"/>
    <n v="57.616466038435568"/>
    <n v="54.430299685884449"/>
    <n v="63.435867425165029"/>
    <x v="3"/>
    <n v="36.564132574834971"/>
    <n v="0.6523467210059386"/>
    <n v="35.507427523457288"/>
    <n v="0.2735344781199604"/>
    <n v="4"/>
    <b v="1"/>
    <n v="0"/>
    <n v="0.6523368619611829"/>
    <n v="35.506890892696624"/>
    <n v="0.2584327299677685"/>
    <n v="4"/>
    <b v="1"/>
    <n v="0"/>
    <n v="63.435867425165029"/>
    <x v="4"/>
    <n v="36.564132574834971"/>
    <n v="0.64930463728197152"/>
    <n v="35.341845994692214"/>
    <n v="0.27823957922836612"/>
    <n v="4"/>
    <b v="1"/>
    <n v="0"/>
    <n v="7.3090226955787291E-2"/>
    <n v="3.978322957312812"/>
    <n v="0.23747413147135948"/>
    <n v="4"/>
  </r>
  <r>
    <n v="27361"/>
    <s v="27361"/>
    <s v="27"/>
    <s v="COLOMBIA"/>
    <s v="CHOCÓ"/>
    <s v="ISTMINA"/>
    <x v="6"/>
    <n v="0"/>
    <n v="0"/>
    <n v="1"/>
    <n v="49.58"/>
    <n v="51.776333333333298"/>
    <n v="45.24"/>
    <n v="83.62"/>
    <n v="46.525865929685914"/>
    <n v="46.487329658011042"/>
    <n v="42.496867556671603"/>
    <n v="54.315217364738047"/>
    <s v="2. Riesgo (&gt;=40 y &lt;60)"/>
    <s v="2. Riesgo (&gt;=40 y &lt;60)"/>
    <s v="2. Riesgo (&gt;=40 y &lt;60)"/>
    <s v="2. Riesgo (&gt;=40 y &lt;60)"/>
    <n v="57.554083333333324"/>
    <n v="47.456320127276655"/>
    <n v="52.505201730304989"/>
    <n v="63.312391839961748"/>
    <x v="3"/>
    <n v="36.687608160038252"/>
    <n v="0.6523467210059386"/>
    <n v="34.251596184519791"/>
    <n v="0.25782535184086097"/>
    <n v="4"/>
    <b v="1"/>
    <n v="0"/>
    <n v="0.6523368619611829"/>
    <n v="34.251078533386028"/>
    <n v="0.24359075943719546"/>
    <n v="4"/>
    <b v="1"/>
    <n v="0"/>
    <n v="63.312391839961748"/>
    <x v="4"/>
    <n v="36.687608160038252"/>
    <n v="0.64930463728197152"/>
    <n v="34.091870964912424"/>
    <n v="0.26227348335354767"/>
    <n v="4"/>
    <b v="1"/>
    <n v="0"/>
    <n v="7.3337049672763693E-2"/>
    <n v="3.8505765873738551"/>
    <n v="0.22984869266828056"/>
    <n v="4"/>
  </r>
  <r>
    <n v="41872"/>
    <s v="41872"/>
    <s v="41"/>
    <s v="COLOMBIA"/>
    <s v="HUILA"/>
    <s v="VILLAVIEJA"/>
    <x v="6"/>
    <n v="0"/>
    <n v="0"/>
    <n v="0"/>
    <n v="35.22"/>
    <n v="46.896333333333303"/>
    <n v="75.25"/>
    <n v="83.39"/>
    <n v="55.60551085829325"/>
    <n v="56.681814284040982"/>
    <n v="53.849680634896686"/>
    <n v="53.501614513949306"/>
    <s v="2. Riesgo (&gt;=40 y &lt;60)"/>
    <s v="2. Riesgo (&gt;=40 y &lt;60)"/>
    <s v="2. Riesgo (&gt;=40 y &lt;60)"/>
    <s v="2. Riesgo (&gt;=40 y &lt;60)"/>
    <n v="60.189083333333329"/>
    <n v="54.909655072795054"/>
    <n v="57.549369203064188"/>
    <n v="63.340757807955818"/>
    <x v="3"/>
    <n v="36.659242192044182"/>
    <n v="0.6523467210059386"/>
    <n v="37.542142295579069"/>
    <n v="0.298986615127668"/>
    <n v="4"/>
    <b v="1"/>
    <n v="0"/>
    <n v="0.6523368619611829"/>
    <n v="37.541574913772436"/>
    <n v="0.2824798896058639"/>
    <n v="4"/>
    <b v="1"/>
    <n v="0"/>
    <n v="63.340757807955818"/>
    <x v="4"/>
    <n v="36.659242192044182"/>
    <n v="0.64930463728197152"/>
    <n v="37.367072296201854"/>
    <n v="0.30410806182021705"/>
    <n v="4"/>
    <b v="1"/>
    <n v="0"/>
    <n v="7.3280347246300725E-2"/>
    <n v="4.2172377590061085"/>
    <n v="0.2517354384684391"/>
    <n v="4"/>
  </r>
  <r>
    <n v="52079"/>
    <s v="52079"/>
    <s v="52"/>
    <s v="COLOMBIA"/>
    <s v="NARIÑO"/>
    <s v="BARBACOAS"/>
    <x v="6"/>
    <n v="0"/>
    <n v="0"/>
    <n v="1"/>
    <n v="69.760000000000005"/>
    <n v="70.439166666666694"/>
    <n v="53.75"/>
    <n v="22.14"/>
    <n v="60.507765275238413"/>
    <n v="56.949927822124948"/>
    <n v="56.162380326896184"/>
    <n v="61.277707500048479"/>
    <s v="3. Vulnerable (&gt;=60 y &lt;70)"/>
    <s v="2. Riesgo (&gt;=40 y &lt;60)"/>
    <s v="2. Riesgo (&gt;=40 y &lt;60)"/>
    <s v="3. Vulnerable (&gt;=60 y &lt;70)"/>
    <n v="54.022291666666675"/>
    <n v="58.724445231077006"/>
    <n v="56.373368448871844"/>
    <n v="63.379796507351784"/>
    <x v="3"/>
    <n v="36.620203492648216"/>
    <n v="0.6523467210059386"/>
    <n v="36.774982059681186"/>
    <n v="0.28939024923969797"/>
    <n v="4"/>
    <b v="1"/>
    <n v="0"/>
    <n v="0.6523368619611829"/>
    <n v="36.774426272118617"/>
    <n v="0.27341325043196241"/>
    <n v="4"/>
    <b v="1"/>
    <n v="0"/>
    <n v="63.379796507351784"/>
    <x v="4"/>
    <n v="36.620203492648216"/>
    <n v="0.64930463728197152"/>
    <n v="36.60348955305767"/>
    <n v="0.29435471875740027"/>
    <n v="4"/>
    <b v="1"/>
    <n v="0"/>
    <n v="7.3202310460030187E-2"/>
    <n v="4.1266608188719873"/>
    <n v="0.24632871799338429"/>
    <n v="4"/>
  </r>
  <r>
    <n v="27135"/>
    <s v="27135"/>
    <s v="27"/>
    <s v="COLOMBIA"/>
    <s v="CHOCÓ"/>
    <s v="EL CANTÓN DEL SAN PABLO"/>
    <x v="6"/>
    <n v="0"/>
    <n v="0"/>
    <n v="0"/>
    <n v="53.27"/>
    <n v="53.264466666666699"/>
    <n v="37.75"/>
    <n v="56.52"/>
    <n v="58.866464515139057"/>
    <n v="53.046415233246321"/>
    <n v="57.704205329271204"/>
    <n v="65.036595939492287"/>
    <s v="2. Riesgo (&gt;=40 y &lt;60)"/>
    <s v="2. Riesgo (&gt;=40 y &lt;60)"/>
    <s v="2. Riesgo (&gt;=40 y &lt;60)"/>
    <s v="3. Vulnerable (&gt;=60 y &lt;70)"/>
    <n v="50.201116666666678"/>
    <n v="58.663420254287217"/>
    <n v="54.432268460476948"/>
    <n v="63.407213728247193"/>
    <x v="3"/>
    <n v="36.592786271752807"/>
    <n v="0.6523467210059386"/>
    <n v="35.508711847107108"/>
    <n v="0.27355054365501491"/>
    <n v="4"/>
    <b v="1"/>
    <n v="0"/>
    <n v="0.6523368619611829"/>
    <n v="35.5081751969362"/>
    <n v="0.2584479086730383"/>
    <n v="4"/>
    <b v="1"/>
    <n v="0"/>
    <n v="63.407213728247193"/>
    <x v="4"/>
    <n v="36.592786271752807"/>
    <n v="0.64930463728197152"/>
    <n v="35.34312432916488"/>
    <n v="0.27825590756314433"/>
    <n v="4"/>
    <b v="1"/>
    <n v="0"/>
    <n v="7.3147504540769251E-2"/>
    <n v="3.9815846043771086"/>
    <n v="0.23766882577146306"/>
    <n v="4"/>
  </r>
  <r>
    <n v="68682"/>
    <s v="68682"/>
    <s v="68"/>
    <s v="COLOMBIA"/>
    <s v="SANTANDER"/>
    <s v="SAN JOAQUÍN"/>
    <x v="6"/>
    <n v="0"/>
    <n v="0"/>
    <n v="0"/>
    <n v="66.650000000000006"/>
    <n v="66.819166666666703"/>
    <n v="54.22"/>
    <n v="54.48"/>
    <n v="50.499143604339039"/>
    <n v="46.233399218655677"/>
    <n v="51.057499223439933"/>
    <n v="51.500919006031765"/>
    <s v="2. Riesgo (&gt;=40 y &lt;60)"/>
    <s v="2. Riesgo (&gt;=40 y &lt;60)"/>
    <s v="2. Riesgo (&gt;=40 y &lt;60)"/>
    <s v="2. Riesgo (&gt;=40 y &lt;60)"/>
    <n v="60.542291666666671"/>
    <n v="49.8227402631166"/>
    <n v="55.182515964891635"/>
    <n v="63.566540318542586"/>
    <x v="3"/>
    <n v="36.433459681457414"/>
    <n v="0.6523467210059386"/>
    <n v="35.998133346554916"/>
    <n v="0.27967269071421841"/>
    <n v="4"/>
    <b v="1"/>
    <n v="0"/>
    <n v="0.6523368619611829"/>
    <n v="35.997589299660284"/>
    <n v="0.2642321085465491"/>
    <n v="4"/>
    <b v="1"/>
    <n v="0"/>
    <n v="63.566540318542586"/>
    <x v="4"/>
    <n v="36.433459681457414"/>
    <n v="0.64930463728197152"/>
    <n v="35.830263512890568"/>
    <n v="0.2844782005901621"/>
    <n v="4"/>
    <b v="1"/>
    <n v="0"/>
    <n v="7.2829017109925703E-2"/>
    <n v="4.0188883993758413"/>
    <n v="0.2398955646292589"/>
    <n v="4"/>
  </r>
  <r>
    <n v="15047"/>
    <s v="15047"/>
    <s v="15"/>
    <s v="COLOMBIA"/>
    <s v="BOYACÁ"/>
    <s v="AQUITANIA"/>
    <x v="6"/>
    <n v="0"/>
    <n v="0"/>
    <n v="0"/>
    <n v="54.31"/>
    <n v="58.902099999999997"/>
    <n v="70.099999999999994"/>
    <n v="58.39"/>
    <n v="49.324044790355352"/>
    <n v="46.701659443040668"/>
    <n v="51.114534470391277"/>
    <n v="54.977491480565028"/>
    <s v="2. Riesgo (&gt;=40 y &lt;60)"/>
    <s v="2. Riesgo (&gt;=40 y &lt;60)"/>
    <s v="2. Riesgo (&gt;=40 y &lt;60)"/>
    <s v="2. Riesgo (&gt;=40 y &lt;60)"/>
    <n v="60.425524999999993"/>
    <n v="50.529432546088081"/>
    <n v="55.477478773044041"/>
    <n v="63.371771114445728"/>
    <x v="3"/>
    <n v="36.628228885554272"/>
    <n v="0.6523467210059386"/>
    <n v="36.190551367271844"/>
    <n v="0.28207963732567504"/>
    <n v="4"/>
    <b v="1"/>
    <n v="0"/>
    <n v="0.6523368619611829"/>
    <n v="36.190004412325685"/>
    <n v="0.26650618986980074"/>
    <n v="4"/>
    <b v="1"/>
    <n v="0"/>
    <n v="63.371771114445728"/>
    <x v="4"/>
    <n v="36.628228885554272"/>
    <n v="0.64930463728197152"/>
    <n v="36.021784232049633"/>
    <n v="0.28692451998955565"/>
    <n v="4"/>
    <b v="1"/>
    <n v="0"/>
    <n v="7.3218352896910449E-2"/>
    <n v="4.0619696186355974"/>
    <n v="0.24246716960859624"/>
    <n v="4"/>
  </r>
  <r>
    <n v="68152"/>
    <s v="68152"/>
    <s v="68"/>
    <s v="COLOMBIA"/>
    <s v="SANTANDER"/>
    <s v="CARCASÍ"/>
    <x v="6"/>
    <n v="0"/>
    <n v="0"/>
    <n v="0"/>
    <n v="54.03"/>
    <n v="54.102066666666701"/>
    <n v="53.85"/>
    <n v="42.58"/>
    <n v="47.941873840364273"/>
    <n v="46.312132629738173"/>
    <n v="50.366014081351267"/>
    <n v="59.968417737099053"/>
    <s v="2. Riesgo (&gt;=40 y &lt;60)"/>
    <s v="2. Riesgo (&gt;=40 y &lt;60)"/>
    <s v="2. Riesgo (&gt;=40 y &lt;60)"/>
    <s v="2. Riesgo (&gt;=40 y &lt;60)"/>
    <n v="51.14051666666667"/>
    <n v="51.147109572138191"/>
    <n v="51.143813119402431"/>
    <n v="63.538080888622829"/>
    <x v="3"/>
    <n v="36.461919111377171"/>
    <n v="0.6523467210059386"/>
    <n v="33.363498788182682"/>
    <n v="0.24671618955557945"/>
    <n v="4"/>
    <b v="1"/>
    <n v="0"/>
    <n v="0.6523368619611829"/>
    <n v="33.36299455904016"/>
    <n v="0.2330948313805935"/>
    <n v="4"/>
    <b v="1"/>
    <n v="0"/>
    <n v="63.538080888622829"/>
    <x v="4"/>
    <n v="36.461919111377171"/>
    <n v="0.64930463728197152"/>
    <n v="33.207915026710531"/>
    <n v="0.25098259759806751"/>
    <n v="4"/>
    <b v="1"/>
    <n v="0"/>
    <n v="7.2885906363010275E-2"/>
    <n v="3.7276631740680619"/>
    <n v="0.22251174280670141"/>
    <n v="4"/>
  </r>
  <r>
    <n v="27450"/>
    <s v="27450"/>
    <s v="27"/>
    <s v="COLOMBIA"/>
    <s v="CHOCÓ"/>
    <s v="MEDIO SAN JUAN"/>
    <x v="6"/>
    <n v="0"/>
    <n v="0"/>
    <n v="1"/>
    <n v="63.72"/>
    <n v="71.059233333333296"/>
    <n v="73.31"/>
    <n v="78.86"/>
    <n v="62.398828473873138"/>
    <n v="53.347626936403657"/>
    <n v="60.102836287977382"/>
    <n v="60.649018631303129"/>
    <s v="3. Vulnerable (&gt;=60 y &lt;70)"/>
    <s v="2. Riesgo (&gt;=40 y &lt;60)"/>
    <s v="3. Vulnerable (&gt;=60 y &lt;70)"/>
    <s v="3. Vulnerable (&gt;=60 y &lt;70)"/>
    <n v="71.737308333333331"/>
    <n v="59.124577582389328"/>
    <n v="65.430942957861333"/>
    <n v="63.551401374753716"/>
    <x v="3"/>
    <n v="36.448598625246284"/>
    <n v="0.6523467210059386"/>
    <n v="42.683661090887448"/>
    <n v="0.36330159558531239"/>
    <n v="3"/>
    <b v="0"/>
    <n v="-1"/>
    <n v="0.6523368619611829"/>
    <n v="42.683016004292419"/>
    <n v="0.34324463410325562"/>
    <n v="3"/>
    <b v="0"/>
    <n v="-1"/>
    <n v="63.551401374753716"/>
    <x v="4"/>
    <n v="36.448598625246284"/>
    <n v="0.64930463728197152"/>
    <n v="42.48461468427152"/>
    <n v="0.36947510553289187"/>
    <n v="3"/>
    <b v="0"/>
    <n v="-1"/>
    <n v="7.2859279248242134E-2"/>
    <n v="4.767251344442621"/>
    <n v="0.28456686012536975"/>
    <n v="4"/>
  </r>
  <r>
    <n v="81300"/>
    <s v="81300"/>
    <s v="81"/>
    <s v="COLOMBIA"/>
    <s v="ARAUCA"/>
    <s v="FORTUL"/>
    <x v="6"/>
    <n v="0"/>
    <n v="0"/>
    <n v="1"/>
    <n v="69.02"/>
    <n v="71.018433333333306"/>
    <n v="70.56"/>
    <n v="67.31"/>
    <n v="67.41332738617163"/>
    <n v="63.934312157144198"/>
    <n v="52.830901328946105"/>
    <n v="66.112287535171319"/>
    <s v="3. Vulnerable (&gt;=60 y &lt;70)"/>
    <s v="3. Vulnerable (&gt;=60 y &lt;70)"/>
    <s v="2. Riesgo (&gt;=40 y &lt;60)"/>
    <s v="3. Vulnerable (&gt;=60 y &lt;70)"/>
    <n v="69.477108333333319"/>
    <n v="62.572707101858313"/>
    <n v="66.024907717595823"/>
    <n v="63.575492143785659"/>
    <x v="3"/>
    <n v="36.424507856214341"/>
    <n v="0.6523467210059386"/>
    <n v="43.071132054293322"/>
    <n v="0.36814844890462595"/>
    <n v="3"/>
    <b v="0"/>
    <n v="-1"/>
    <n v="0.6523368619611829"/>
    <n v="43.070481111773148"/>
    <n v="0.34782393742370649"/>
    <n v="3"/>
    <b v="0"/>
    <n v="-1"/>
    <n v="63.575492143785659"/>
    <x v="4"/>
    <n v="36.424507856214341"/>
    <n v="0.64930463728197152"/>
    <n v="42.870278757149201"/>
    <n v="0.37440124358872395"/>
    <n v="3"/>
    <b v="0"/>
    <n v="-1"/>
    <n v="7.2811122772152334E-2"/>
    <n v="4.8073476618458972"/>
    <n v="0.28696029028493991"/>
    <n v="4"/>
  </r>
  <r>
    <n v="47660"/>
    <s v="47660"/>
    <s v="47"/>
    <s v="COLOMBIA"/>
    <s v="MAGDALENA"/>
    <s v="SABANAS DE SAN ÁNGEL"/>
    <x v="6"/>
    <n v="0"/>
    <n v="0"/>
    <n v="0"/>
    <n v="59.8"/>
    <n v="61.820466666666697"/>
    <n v="44.38"/>
    <n v="42.36"/>
    <n v="61.248786234456261"/>
    <n v="52.683284115816626"/>
    <n v="53.588514975204518"/>
    <n v="60.079852105829175"/>
    <s v="3. Vulnerable (&gt;=60 y &lt;70)"/>
    <s v="2. Riesgo (&gt;=40 y &lt;60)"/>
    <s v="2. Riesgo (&gt;=40 y &lt;60)"/>
    <s v="3. Vulnerable (&gt;=60 y &lt;70)"/>
    <n v="52.090116666666674"/>
    <n v="56.900109357826636"/>
    <n v="54.495113012246655"/>
    <n v="63.646768402193921"/>
    <x v="3"/>
    <n v="36.353231597806079"/>
    <n v="0.6523467210059386"/>
    <n v="35.549708284387165"/>
    <n v="0.27406336587107022"/>
    <n v="4"/>
    <b v="1"/>
    <n v="0"/>
    <n v="0.6523368619611829"/>
    <n v="35.54917101462901"/>
    <n v="0.25893242271174982"/>
    <n v="4"/>
    <b v="1"/>
    <n v="0"/>
    <n v="63.646768402193921"/>
    <x v="4"/>
    <n v="36.353231597806079"/>
    <n v="0.64930463728197152"/>
    <n v="35.383929588056859"/>
    <n v="0.27877711851547904"/>
    <n v="4"/>
    <b v="1"/>
    <n v="0"/>
    <n v="7.2668644405054286E-2"/>
    <n v="3.9600859893001989"/>
    <n v="0.23638553002146828"/>
    <n v="4"/>
  </r>
  <r>
    <n v="5234"/>
    <s v="05234"/>
    <s v="50"/>
    <s v="COLOMBIA"/>
    <s v="ANTIOQUIA"/>
    <s v="DABEIBA"/>
    <x v="6"/>
    <n v="0"/>
    <n v="0"/>
    <n v="1"/>
    <n v="53.83"/>
    <n v="57.815899999999999"/>
    <n v="69.08"/>
    <n v="48.6"/>
    <n v="57.822655472626359"/>
    <n v="59.318023052662653"/>
    <n v="64.478991183227549"/>
    <n v="63.628220686715387"/>
    <s v="2. Riesgo (&gt;=40 y &lt;60)"/>
    <s v="2. Riesgo (&gt;=40 y &lt;60)"/>
    <s v="3. Vulnerable (&gt;=60 y &lt;70)"/>
    <s v="3. Vulnerable (&gt;=60 y &lt;70)"/>
    <n v="57.331474999999998"/>
    <n v="61.311972598807991"/>
    <n v="59.321723799403998"/>
    <n v="63.703579831422715"/>
    <x v="3"/>
    <n v="36.296420168577285"/>
    <n v="0.6523467210059386"/>
    <n v="38.698332004961145"/>
    <n v="0.31344932965320693"/>
    <n v="4"/>
    <b v="1"/>
    <n v="0"/>
    <n v="0.6523368619611829"/>
    <n v="38.697747149431223"/>
    <n v="0.29614425126203897"/>
    <n v="4"/>
    <b v="1"/>
    <n v="0"/>
    <n v="63.703579831422715"/>
    <x v="4"/>
    <n v="36.296420168577285"/>
    <n v="0.64930463728197152"/>
    <n v="38.517870354513313"/>
    <n v="0.31880735716117486"/>
    <n v="4"/>
    <b v="1"/>
    <n v="0"/>
    <n v="7.2555080648344983E-2"/>
    <n v="4.3040924544646026"/>
    <n v="0.25691997064180172"/>
    <n v="4"/>
  </r>
  <r>
    <n v="27050"/>
    <s v="27050"/>
    <s v="27"/>
    <s v="COLOMBIA"/>
    <s v="CHOCÓ"/>
    <s v="ATRATO"/>
    <x v="5"/>
    <n v="0"/>
    <n v="0"/>
    <n v="0"/>
    <n v="76.680000000000007"/>
    <n v="80.556700000000006"/>
    <n v="66.81"/>
    <n v="33.24"/>
    <n v="54.996482295119364"/>
    <n v="62.182169179495375"/>
    <n v="48.124118977177012"/>
    <n v="56.509020221570495"/>
    <s v="2. Riesgo (&gt;=40 y &lt;60)"/>
    <s v="3. Vulnerable (&gt;=60 y &lt;70)"/>
    <s v="2. Riesgo (&gt;=40 y &lt;60)"/>
    <s v="2. Riesgo (&gt;=40 y &lt;60)"/>
    <n v="64.321674999999999"/>
    <n v="55.452947668340563"/>
    <n v="59.887311334170278"/>
    <n v="63.725368807478844"/>
    <x v="3"/>
    <n v="36.274631192521156"/>
    <n v="0.6523467210059386"/>
    <n v="39.067291178707762"/>
    <n v="0.3180646199971488"/>
    <n v="4"/>
    <b v="0"/>
    <n v="1"/>
    <n v="0.6523368619611829"/>
    <n v="39.066700747025024"/>
    <n v="0.30050477405992121"/>
    <n v="4"/>
    <b v="0"/>
    <n v="1"/>
    <n v="63.725368807478844"/>
    <x v="4"/>
    <n v="36.274631192521156"/>
    <n v="0.64930463728197152"/>
    <n v="38.885108963625932"/>
    <n v="0.32349814433878749"/>
    <n v="4"/>
    <b v="0"/>
    <n v="1"/>
    <n v="7.2511525363618407E-2"/>
    <n v="4.3425202947666"/>
    <n v="0.25921380603373806"/>
    <n v="4"/>
  </r>
  <r>
    <n v="86320"/>
    <s v="86320"/>
    <s v="86"/>
    <s v="COLOMBIA"/>
    <s v="PUTUMAYO"/>
    <s v="ORITO"/>
    <x v="6"/>
    <n v="0"/>
    <n v="0"/>
    <n v="1"/>
    <n v="47.5"/>
    <n v="49.640999999999998"/>
    <n v="43.89"/>
    <n v="40.19"/>
    <n v="67.428777643687525"/>
    <n v="57.00183734685082"/>
    <n v="57.704431867374147"/>
    <n v="57.118303867240122"/>
    <s v="3. Vulnerable (&gt;=60 y &lt;70)"/>
    <s v="2. Riesgo (&gt;=40 y &lt;60)"/>
    <s v="2. Riesgo (&gt;=40 y &lt;60)"/>
    <s v="2. Riesgo (&gt;=40 y &lt;60)"/>
    <n v="45.305250000000001"/>
    <n v="59.813337681288154"/>
    <n v="52.559293840644074"/>
    <n v="63.780255762885595"/>
    <x v="3"/>
    <n v="36.219744237114405"/>
    <n v="0.6523467210059386"/>
    <n v="34.286882995331787"/>
    <n v="0.25826675264831439"/>
    <n v="4"/>
    <b v="1"/>
    <n v="0"/>
    <n v="0.6523368619611829"/>
    <n v="34.286364810901482"/>
    <n v="0.2440077945835174"/>
    <n v="4"/>
    <b v="1"/>
    <n v="0"/>
    <n v="63.780255762885595"/>
    <x v="4"/>
    <n v="36.219744237114405"/>
    <n v="0.64930463728197152"/>
    <n v="34.126993222995964"/>
    <n v="0.26272210458720602"/>
    <n v="4"/>
    <b v="1"/>
    <n v="0"/>
    <n v="7.2401808552495367E-2"/>
    <n v="3.8053879303046614"/>
    <n v="0.22715129047016636"/>
    <n v="4"/>
  </r>
  <r>
    <n v="15774"/>
    <s v="15774"/>
    <s v="15"/>
    <s v="COLOMBIA"/>
    <s v="BOYACÁ"/>
    <s v="SUSACÓN"/>
    <x v="6"/>
    <n v="0"/>
    <n v="0"/>
    <n v="0"/>
    <n v="65.63"/>
    <n v="65.1542666666667"/>
    <n v="37.950000000000003"/>
    <n v="35.32"/>
    <n v="39.791671527751163"/>
    <n v="54.300590073338668"/>
    <n v="52.332854963103145"/>
    <n v="40.83762486663273"/>
    <s v="1. Deterioro (&lt;40)"/>
    <s v="2. Riesgo (&gt;=40 y &lt;60)"/>
    <s v="2. Riesgo (&gt;=40 y &lt;60)"/>
    <s v="2. Riesgo (&gt;=40 y &lt;60)"/>
    <n v="51.013566666666676"/>
    <n v="46.815685357706428"/>
    <n v="48.914626012186552"/>
    <n v="63.704324427798312"/>
    <x v="3"/>
    <n v="36.295675572201688"/>
    <n v="0.6523467210059386"/>
    <n v="31.909295888281687"/>
    <n v="0.22852564415216176"/>
    <n v="4"/>
    <b v="1"/>
    <n v="0"/>
    <n v="0.6523368619611829"/>
    <n v="31.908813636794626"/>
    <n v="0.21590841795340113"/>
    <n v="4"/>
    <b v="1"/>
    <n v="0"/>
    <n v="63.704324427798312"/>
    <x v="4"/>
    <n v="36.295675572201688"/>
    <n v="0.64930463728197152"/>
    <n v="31.76049350062608"/>
    <n v="0.23249449159101263"/>
    <n v="4"/>
    <b v="1"/>
    <n v="0"/>
    <n v="7.2553592230208117E-2"/>
    <n v="3.5489318297813139"/>
    <n v="0.21184290792159363"/>
    <n v="4"/>
  </r>
  <r>
    <n v="68773"/>
    <s v="68773"/>
    <s v="68"/>
    <s v="COLOMBIA"/>
    <s v="SANTANDER"/>
    <s v="SUCRE"/>
    <x v="6"/>
    <n v="0"/>
    <n v="0"/>
    <n v="0"/>
    <n v="57.84"/>
    <n v="59.226766666666698"/>
    <n v="49.13"/>
    <n v="59.69"/>
    <n v="55.126615683146596"/>
    <n v="44.689972110330643"/>
    <n v="49.86029021725048"/>
    <n v="48.959954864631243"/>
    <s v="2. Riesgo (&gt;=40 y &lt;60)"/>
    <s v="2. Riesgo (&gt;=40 y &lt;60)"/>
    <s v="2. Riesgo (&gt;=40 y &lt;60)"/>
    <s v="2. Riesgo (&gt;=40 y &lt;60)"/>
    <n v="56.471691666666672"/>
    <n v="49.659208218839737"/>
    <n v="53.065449942753204"/>
    <n v="63.896365497189599"/>
    <x v="3"/>
    <n v="36.103634502810401"/>
    <n v="0.6523467210059386"/>
    <n v="34.617072268859822"/>
    <n v="0.26239707240784876"/>
    <n v="4"/>
    <b v="1"/>
    <n v="0"/>
    <n v="0.6523368619611829"/>
    <n v="34.616549094213859"/>
    <n v="0.2479101175430326"/>
    <n v="4"/>
    <b v="1"/>
    <n v="0"/>
    <n v="63.896365497189599"/>
    <x v="4"/>
    <n v="36.103634502810401"/>
    <n v="0.64930463728197152"/>
    <n v="34.455642727283987"/>
    <n v="0.26691998804060468"/>
    <n v="4"/>
    <b v="1"/>
    <n v="0"/>
    <n v="7.2169709874516694E-2"/>
    <n v="3.8297181267291873"/>
    <n v="0.2286036090291263"/>
    <n v="4"/>
  </r>
  <r>
    <n v="50680"/>
    <s v="50680"/>
    <s v="50"/>
    <s v="COLOMBIA"/>
    <s v="META"/>
    <s v="SAN CARLOS DE GUAROA"/>
    <x v="6"/>
    <n v="0"/>
    <n v="0"/>
    <n v="0"/>
    <n v="66.3"/>
    <n v="67.522933333333299"/>
    <n v="74.97"/>
    <n v="47.87"/>
    <n v="55.011944378542857"/>
    <n v="59.70434176063003"/>
    <n v="55.642271280518287"/>
    <n v="61.848394800735278"/>
    <s v="2. Riesgo (&gt;=40 y &lt;60)"/>
    <s v="2. Riesgo (&gt;=40 y &lt;60)"/>
    <s v="2. Riesgo (&gt;=40 y &lt;60)"/>
    <s v="3. Vulnerable (&gt;=60 y &lt;70)"/>
    <n v="64.165733333333321"/>
    <n v="58.051738055106611"/>
    <n v="61.108735694219966"/>
    <n v="63.986249716723556"/>
    <x v="3"/>
    <n v="36.013750283276444"/>
    <n v="0.6523467210059386"/>
    <n v="39.864083354942956"/>
    <n v="0.32803165022372927"/>
    <n v="4"/>
    <b v="1"/>
    <n v="0"/>
    <n v="0.6523368619611829"/>
    <n v="39.863480881182781"/>
    <n v="0.30992161661831702"/>
    <n v="4"/>
    <b v="1"/>
    <n v="0"/>
    <n v="63.986249716723556"/>
    <x v="4"/>
    <n v="36.013750283276444"/>
    <n v="0.64930463728197152"/>
    <n v="39.67818546469536"/>
    <n v="0.33362821506057688"/>
    <n v="4"/>
    <b v="1"/>
    <n v="0"/>
    <n v="7.1990034943297282E-2"/>
    <n v="4.3992200179676129"/>
    <n v="0.26259832701564489"/>
    <n v="4"/>
  </r>
  <r>
    <n v="52435"/>
    <s v="52435"/>
    <s v="52"/>
    <s v="COLOMBIA"/>
    <s v="NARIÑO"/>
    <s v="MALLAMA"/>
    <x v="7"/>
    <n v="0"/>
    <n v="0"/>
    <n v="0"/>
    <n v="44.94"/>
    <n v="52.042833333333299"/>
    <n v="40.299999999999997"/>
    <n v="64.540000000000006"/>
    <n v="54.581393218334327"/>
    <n v="56.318703241549727"/>
    <n v="47.861319288889931"/>
    <n v="46.134800900254021"/>
    <s v="2. Riesgo (&gt;=40 y &lt;60)"/>
    <s v="2. Riesgo (&gt;=40 y &lt;60)"/>
    <s v="2. Riesgo (&gt;=40 y &lt;60)"/>
    <s v="2. Riesgo (&gt;=40 y &lt;60)"/>
    <n v="50.455708333333334"/>
    <n v="51.224054162256998"/>
    <n v="50.839881247795162"/>
    <n v="63.905755898054629"/>
    <x v="3"/>
    <n v="36.094244101945371"/>
    <n v="0.6523467210059386"/>
    <n v="33.165229828330482"/>
    <n v="0.24423605386301178"/>
    <n v="4"/>
    <b v="0"/>
    <n v="-1"/>
    <n v="0.6523368619611829"/>
    <n v="33.164728595665885"/>
    <n v="0.23075160106931347"/>
    <n v="4"/>
    <b v="0"/>
    <n v="-1"/>
    <n v="63.905755898054629"/>
    <x v="4"/>
    <n v="36.094244101945371"/>
    <n v="0.64930463728197152"/>
    <n v="33.010570653058146"/>
    <n v="0.24846189189193429"/>
    <n v="4"/>
    <b v="0"/>
    <n v="-1"/>
    <n v="7.2150938841755941E-2"/>
    <n v="3.6681451626318036"/>
    <n v="0.21895899250855194"/>
    <n v="4"/>
  </r>
  <r>
    <n v="68344"/>
    <s v="68344"/>
    <s v="68"/>
    <s v="COLOMBIA"/>
    <s v="SANTANDER"/>
    <s v="HATO"/>
    <x v="6"/>
    <n v="0"/>
    <n v="0"/>
    <n v="0"/>
    <n v="59.65"/>
    <n v="60.661499999999997"/>
    <n v="45.79"/>
    <n v="56.51"/>
    <n v="61.435082813999522"/>
    <n v="52.878797353280731"/>
    <n v="64.294886231753722"/>
    <n v="54.852472505443643"/>
    <s v="3. Vulnerable (&gt;=60 y &lt;70)"/>
    <s v="2. Riesgo (&gt;=40 y &lt;60)"/>
    <s v="3. Vulnerable (&gt;=60 y &lt;70)"/>
    <s v="2. Riesgo (&gt;=40 y &lt;60)"/>
    <n v="55.652874999999995"/>
    <n v="58.365309726119406"/>
    <n v="57.0090923630597"/>
    <n v="63.612993573260944"/>
    <x v="3"/>
    <n v="36.387006426739056"/>
    <n v="0.6523467210059386"/>
    <n v="37.189694470566693"/>
    <n v="0.2945778643517894"/>
    <n v="4"/>
    <b v="1"/>
    <n v="0"/>
    <n v="0.6523368619611829"/>
    <n v="37.189132415373599"/>
    <n v="0.27831450523440515"/>
    <n v="4"/>
    <b v="1"/>
    <n v="0"/>
    <n v="63.612993573260944"/>
    <x v="4"/>
    <n v="36.387006426739056"/>
    <n v="0.64930463728197152"/>
    <n v="37.016268038570892"/>
    <n v="0.29962719278108341"/>
    <n v="4"/>
    <b v="1"/>
    <n v="0"/>
    <n v="7.2736158926479125E-2"/>
    <n v="4.1466224023738381"/>
    <n v="0.24752026522465709"/>
    <n v="4"/>
  </r>
  <r>
    <n v="25086"/>
    <s v="25086"/>
    <s v="25"/>
    <s v="COLOMBIA"/>
    <s v="CUNDINAMARCA"/>
    <s v="BELTRÁN"/>
    <x v="6"/>
    <n v="0"/>
    <n v="0"/>
    <n v="0"/>
    <n v="63.42"/>
    <n v="59.0884"/>
    <n v="42.35"/>
    <n v="41.72"/>
    <n v="54.234918264427634"/>
    <n v="59.872895693245177"/>
    <n v="62.809122857092099"/>
    <n v="54.194402956093008"/>
    <s v="2. Riesgo (&gt;=40 y &lt;60)"/>
    <s v="2. Riesgo (&gt;=40 y &lt;60)"/>
    <s v="3. Vulnerable (&gt;=60 y &lt;70)"/>
    <s v="2. Riesgo (&gt;=40 y &lt;60)"/>
    <n v="51.644599999999997"/>
    <n v="57.777834942714478"/>
    <n v="54.711217471357237"/>
    <n v="64.147137064501564"/>
    <x v="3"/>
    <n v="35.852862935498436"/>
    <n v="0.6523467210059386"/>
    <n v="35.690683319682712"/>
    <n v="0.27582681496092326"/>
    <n v="4"/>
    <b v="1"/>
    <n v="0"/>
    <n v="0.6523368619611829"/>
    <n v="35.690143919341025"/>
    <n v="0.26059852806724543"/>
    <n v="4"/>
    <b v="1"/>
    <n v="0"/>
    <n v="64.147137064501564"/>
    <x v="4"/>
    <n v="35.852862935498436"/>
    <n v="0.64930463728197152"/>
    <n v="35.524247215494675"/>
    <n v="0.2805694140727702"/>
    <n v="4"/>
    <b v="1"/>
    <n v="0"/>
    <n v="7.1668427621167E-2"/>
    <n v="3.9210669294118934"/>
    <n v="0.23405640353846824"/>
    <n v="4"/>
  </r>
  <r>
    <n v="13042"/>
    <s v="13042"/>
    <s v="13"/>
    <s v="COLOMBIA"/>
    <s v="BOLÍVAR"/>
    <s v="ARENAL"/>
    <x v="6"/>
    <n v="0"/>
    <n v="0"/>
    <n v="1"/>
    <n v="58.87"/>
    <n v="58.702566666666698"/>
    <n v="51.08"/>
    <n v="55.1"/>
    <n v="52.969810549096835"/>
    <n v="45.39951943899856"/>
    <n v="48.355781441102529"/>
    <n v="59.547923555344155"/>
    <s v="2. Riesgo (&gt;=40 y &lt;60)"/>
    <s v="2. Riesgo (&gt;=40 y &lt;60)"/>
    <s v="2. Riesgo (&gt;=40 y &lt;60)"/>
    <s v="2. Riesgo (&gt;=40 y &lt;60)"/>
    <n v="55.938141666666674"/>
    <n v="51.568258746135513"/>
    <n v="53.75320020640109"/>
    <n v="64.006747232446031"/>
    <x v="3"/>
    <n v="35.993252767553969"/>
    <n v="0.6523467210059386"/>
    <n v="35.065723898221492"/>
    <n v="0.26800923136776855"/>
    <n v="4"/>
    <b v="1"/>
    <n v="0"/>
    <n v="0.6523368619611829"/>
    <n v="35.065193943014897"/>
    <n v="0.25321248104919675"/>
    <n v="4"/>
    <b v="1"/>
    <n v="0"/>
    <n v="64.006747232446031"/>
    <x v="4"/>
    <n v="35.993252767553969"/>
    <n v="0.64930463728197152"/>
    <n v="34.902202162762457"/>
    <n v="0.27262395059248873"/>
    <n v="4"/>
    <b v="1"/>
    <n v="0"/>
    <n v="7.1949061235713249E-2"/>
    <n v="3.8674922932659062"/>
    <n v="0.23085842531393114"/>
    <n v="4"/>
  </r>
  <r>
    <n v="68296"/>
    <s v="68296"/>
    <s v="68"/>
    <s v="COLOMBIA"/>
    <s v="SANTANDER"/>
    <s v="GALÁN"/>
    <x v="6"/>
    <n v="0"/>
    <n v="0"/>
    <n v="0"/>
    <n v="67.78"/>
    <n v="72.0315333333333"/>
    <n v="73.930000000000007"/>
    <n v="73.260000000000005"/>
    <n v="58.055001553747694"/>
    <n v="51.250779218060671"/>
    <n v="65.021950363295502"/>
    <n v="61.716770333719396"/>
    <s v="2. Riesgo (&gt;=40 y &lt;60)"/>
    <s v="2. Riesgo (&gt;=40 y &lt;60)"/>
    <s v="3. Vulnerable (&gt;=60 y &lt;70)"/>
    <s v="3. Vulnerable (&gt;=60 y &lt;70)"/>
    <n v="71.750383333333332"/>
    <n v="59.011125367205821"/>
    <n v="65.380754350269569"/>
    <n v="63.759501397863538"/>
    <x v="3"/>
    <n v="36.240498602136462"/>
    <n v="0.6523467210059386"/>
    <n v="42.650920717293111"/>
    <n v="0.36289204802325403"/>
    <n v="3"/>
    <b v="0"/>
    <n v="-1"/>
    <n v="0.6523368619611829"/>
    <n v="42.650276125509805"/>
    <n v="0.34285769387889531"/>
    <n v="3"/>
    <b v="0"/>
    <n v="-1"/>
    <n v="63.759501397863538"/>
    <x v="4"/>
    <n v="36.240498602136462"/>
    <n v="0.64930463728197152"/>
    <n v="42.452026988623466"/>
    <n v="0.36905885859942483"/>
    <n v="3"/>
    <b v="0"/>
    <n v="-1"/>
    <n v="7.2443295691474535E-2"/>
    <n v="4.7363973199282388"/>
    <n v="0.28272512109297654"/>
    <n v="4"/>
  </r>
  <r>
    <n v="25368"/>
    <s v="25368"/>
    <s v="25"/>
    <s v="COLOMBIA"/>
    <s v="CUNDINAMARCA"/>
    <s v="JERUSALÉN"/>
    <x v="6"/>
    <n v="0"/>
    <n v="0"/>
    <n v="0"/>
    <n v="71.650000000000006"/>
    <n v="72.198866666666703"/>
    <n v="52.42"/>
    <n v="60.04"/>
    <n v="61.42778213701343"/>
    <n v="56.981738830517017"/>
    <n v="64.668631018837942"/>
    <n v="70.555520137851886"/>
    <s v="3. Vulnerable (&gt;=60 y &lt;70)"/>
    <s v="2. Riesgo (&gt;=40 y &lt;60)"/>
    <s v="3. Vulnerable (&gt;=60 y &lt;70)"/>
    <s v="4. Solvente (&gt;=70 y &lt;80)"/>
    <n v="64.077216666666686"/>
    <n v="63.408418031055071"/>
    <n v="63.742817348860882"/>
    <n v="64.114035977116629"/>
    <x v="3"/>
    <n v="35.885964022883371"/>
    <n v="0.6523467210059386"/>
    <n v="41.58241788520985"/>
    <n v="0.3495262039020422"/>
    <n v="4"/>
    <b v="1"/>
    <n v="0"/>
    <n v="0.6523368619611829"/>
    <n v="41.581789441920755"/>
    <n v="0.33022965454438497"/>
    <n v="4"/>
    <b v="1"/>
    <n v="0"/>
    <n v="64.114035977116629"/>
    <x v="4"/>
    <n v="35.885964022883371"/>
    <n v="0.64930463728197152"/>
    <n v="41.388506898033079"/>
    <n v="0.35547437624848288"/>
    <n v="3"/>
    <b v="0"/>
    <n v="-1"/>
    <n v="7.1734595360398792E-2"/>
    <n v="4.5725652096523435"/>
    <n v="0.27294565157470307"/>
    <n v="4"/>
  </r>
  <r>
    <n v="86569"/>
    <s v="86569"/>
    <s v="86"/>
    <s v="COLOMBIA"/>
    <s v="PUTUMAYO"/>
    <s v="PUERTO CAICEDO"/>
    <x v="6"/>
    <n v="0"/>
    <n v="0"/>
    <n v="1"/>
    <n v="55.49"/>
    <n v="54.7490666666667"/>
    <n v="38.47"/>
    <n v="34.619999999999997"/>
    <n v="59.431373853244466"/>
    <n v="58.136011360600634"/>
    <n v="62.178000737232793"/>
    <n v="57.882121469961717"/>
    <s v="2. Riesgo (&gt;=40 y &lt;60)"/>
    <s v="2. Riesgo (&gt;=40 y &lt;60)"/>
    <s v="3. Vulnerable (&gt;=60 y &lt;70)"/>
    <s v="2. Riesgo (&gt;=40 y &lt;60)"/>
    <n v="45.832266666666676"/>
    <n v="59.406876855259895"/>
    <n v="52.619571760963282"/>
    <n v="64.152517757721768"/>
    <x v="3"/>
    <n v="35.847482242278232"/>
    <n v="0.6523467210059386"/>
    <n v="34.326205099001079"/>
    <n v="0.25875863071581301"/>
    <n v="4"/>
    <b v="1"/>
    <n v="0"/>
    <n v="0.6523368619611829"/>
    <n v="34.325686320288064"/>
    <n v="0.24447252060664212"/>
    <n v="4"/>
    <b v="1"/>
    <n v="0"/>
    <n v="64.152517757721768"/>
    <x v="4"/>
    <n v="35.847482242278232"/>
    <n v="0.64930463728197152"/>
    <n v="34.166131956184934"/>
    <n v="0.26322202878699114"/>
    <n v="4"/>
    <b v="1"/>
    <n v="0"/>
    <n v="7.1657671832339273E-2"/>
    <n v="3.7705960052053338"/>
    <n v="0.22507449019934062"/>
    <n v="4"/>
  </r>
  <r>
    <n v="5604"/>
    <s v="05604"/>
    <s v="50"/>
    <s v="COLOMBIA"/>
    <s v="ANTIOQUIA"/>
    <s v="REMEDIOS"/>
    <x v="6"/>
    <n v="0"/>
    <n v="0"/>
    <n v="1"/>
    <n v="55.91"/>
    <n v="60.937800000000003"/>
    <n v="65.33"/>
    <n v="46.05"/>
    <n v="56.14577676932926"/>
    <n v="56.27896923668942"/>
    <n v="56.800906130225229"/>
    <n v="47.994258586640264"/>
    <s v="2. Riesgo (&gt;=40 y &lt;60)"/>
    <s v="2. Riesgo (&gt;=40 y &lt;60)"/>
    <s v="2. Riesgo (&gt;=40 y &lt;60)"/>
    <s v="2. Riesgo (&gt;=40 y &lt;60)"/>
    <n v="57.056950000000001"/>
    <n v="54.304977680721045"/>
    <n v="55.680963840360519"/>
    <n v="63.971446369366006"/>
    <x v="3"/>
    <n v="36.028553630633994"/>
    <n v="0.6523467210059386"/>
    <n v="36.323294183709422"/>
    <n v="0.28374011003519145"/>
    <n v="4"/>
    <b v="1"/>
    <n v="0"/>
    <n v="0.6523368619611829"/>
    <n v="36.322745222594875"/>
    <n v="0.26807500321967193"/>
    <n v="4"/>
    <b v="1"/>
    <n v="0"/>
    <n v="63.971446369366006"/>
    <x v="4"/>
    <n v="36.028553630633994"/>
    <n v="0.64930463728197152"/>
    <n v="36.153908029875858"/>
    <n v="0.28861215468079443"/>
    <n v="4"/>
    <b v="1"/>
    <n v="0"/>
    <n v="7.201962623787686E-2"/>
    <n v="4.0101222043475016"/>
    <n v="0.23937229274484917"/>
    <n v="4"/>
  </r>
  <r>
    <n v="15244"/>
    <s v="15244"/>
    <s v="15"/>
    <s v="COLOMBIA"/>
    <s v="BOYACÁ"/>
    <s v="EL COCUY"/>
    <x v="6"/>
    <n v="0"/>
    <n v="0"/>
    <n v="0"/>
    <n v="67.069999999999993"/>
    <n v="69.820033333333299"/>
    <n v="57.92"/>
    <n v="57.02"/>
    <n v="44.312322853770581"/>
    <n v="54.779650042341508"/>
    <n v="54.617734450338006"/>
    <n v="60.271299237739804"/>
    <s v="2. Riesgo (&gt;=40 y &lt;60)"/>
    <s v="2. Riesgo (&gt;=40 y &lt;60)"/>
    <s v="2. Riesgo (&gt;=40 y &lt;60)"/>
    <s v="3. Vulnerable (&gt;=60 y &lt;70)"/>
    <n v="62.95750833333333"/>
    <n v="53.495251646047478"/>
    <n v="58.2263799896904"/>
    <n v="64.156678604338552"/>
    <x v="3"/>
    <n v="35.843321395661448"/>
    <n v="0.6523467210059386"/>
    <n v="37.983788062320329"/>
    <n v="0.30451113813108183"/>
    <n v="4"/>
    <b v="1"/>
    <n v="0"/>
    <n v="0.6523368619611829"/>
    <n v="37.98321400583405"/>
    <n v="0.28769945472714198"/>
    <n v="4"/>
    <b v="1"/>
    <n v="0"/>
    <n v="64.156678604338552"/>
    <x v="4"/>
    <n v="35.843321395661448"/>
    <n v="0.64930463728197152"/>
    <n v="37.806658539448172"/>
    <n v="0.3097229548682473"/>
    <n v="4"/>
    <b v="1"/>
    <n v="0"/>
    <n v="7.1649354467694382E-2"/>
    <n v="4.1718825392519943"/>
    <n v="0.24902809380729171"/>
    <n v="4"/>
  </r>
  <r>
    <n v="81065"/>
    <s v="81065"/>
    <s v="81"/>
    <s v="COLOMBIA"/>
    <s v="ARAUCA"/>
    <s v="ARAUQUITA"/>
    <x v="6"/>
    <n v="0"/>
    <n v="0"/>
    <n v="1"/>
    <n v="59.01"/>
    <n v="59.450533333333297"/>
    <n v="62.72"/>
    <n v="65.31"/>
    <n v="62.862222527062798"/>
    <n v="70.62415942110546"/>
    <n v="63.114912485051377"/>
    <n v="68.450951674801146"/>
    <s v="3. Vulnerable (&gt;=60 y &lt;70)"/>
    <s v="4. Solvente (&gt;=70 y &lt;80)"/>
    <s v="3. Vulnerable (&gt;=60 y &lt;70)"/>
    <s v="3. Vulnerable (&gt;=60 y &lt;70)"/>
    <n v="61.622633333333326"/>
    <n v="66.263061527005192"/>
    <n v="63.942847430169259"/>
    <n v="64.20225630965956"/>
    <x v="3"/>
    <n v="35.79774369034044"/>
    <n v="0.6523467210059386"/>
    <n v="41.712906852853926"/>
    <n v="0.35115848333893251"/>
    <n v="4"/>
    <b v="1"/>
    <n v="0"/>
    <n v="0.6523368619611829"/>
    <n v="41.712276437459302"/>
    <n v="0.33177183091177581"/>
    <n v="4"/>
    <b v="1"/>
    <n v="0"/>
    <n v="64.20225630965956"/>
    <x v="4"/>
    <n v="35.79774369034044"/>
    <n v="0.64930463728197152"/>
    <n v="41.518387357422498"/>
    <n v="0.35713335648206579"/>
    <n v="3"/>
    <b v="0"/>
    <n v="-1"/>
    <n v="7.1558246472195844E-2"/>
    <n v="4.5756380365420668"/>
    <n v="0.2731290748172675"/>
    <n v="4"/>
  </r>
  <r>
    <n v="73236"/>
    <s v="73236"/>
    <s v="73"/>
    <s v="COLOMBIA"/>
    <s v="TOLIMA"/>
    <s v="DOLORES"/>
    <x v="6"/>
    <n v="0"/>
    <n v="0"/>
    <n v="0"/>
    <n v="48.56"/>
    <n v="52.070300000000003"/>
    <n v="57.87"/>
    <n v="35.479999999999997"/>
    <n v="45.780805079246633"/>
    <n v="38.776492746243306"/>
    <n v="52.261787023324445"/>
    <n v="48.62654597897582"/>
    <s v="2. Riesgo (&gt;=40 y &lt;60)"/>
    <s v="1. Deterioro (&lt;40)"/>
    <s v="2. Riesgo (&gt;=40 y &lt;60)"/>
    <s v="2. Riesgo (&gt;=40 y &lt;60)"/>
    <n v="48.495075"/>
    <n v="46.361407706947553"/>
    <n v="47.42824135347378"/>
    <n v="64.19150420960419"/>
    <x v="3"/>
    <n v="35.80849579039581"/>
    <n v="0.6523467210059386"/>
    <n v="30.939657730016879"/>
    <n v="0.21639649288722954"/>
    <n v="4"/>
    <b v="1"/>
    <n v="0"/>
    <n v="0.6523368619611829"/>
    <n v="30.939190132862691"/>
    <n v="0.20444880508654809"/>
    <n v="4"/>
    <b v="1"/>
    <n v="0"/>
    <n v="64.19150420960419"/>
    <x v="4"/>
    <n v="35.80849579039581"/>
    <n v="0.64930463728197152"/>
    <n v="30.795377048939095"/>
    <n v="0.22016693189510925"/>
    <n v="4"/>
    <b v="1"/>
    <n v="0"/>
    <n v="7.1579739486741983E-2"/>
    <n v="3.394901160395976"/>
    <n v="0.20264850620390545"/>
    <n v="4"/>
  </r>
  <r>
    <n v="13473"/>
    <s v="13473"/>
    <s v="13"/>
    <s v="COLOMBIA"/>
    <s v="BOLÍVAR"/>
    <s v="MORALES"/>
    <x v="6"/>
    <n v="0"/>
    <n v="0"/>
    <n v="1"/>
    <n v="47.55"/>
    <n v="55.4080333333333"/>
    <n v="53.22"/>
    <n v="51.08"/>
    <n v="34.181259237216352"/>
    <n v="44.474857008506596"/>
    <n v="63.204888086508689"/>
    <n v="63.450996079262005"/>
    <s v="1. Deterioro (&lt;40)"/>
    <s v="2. Riesgo (&gt;=40 y &lt;60)"/>
    <s v="3. Vulnerable (&gt;=60 y &lt;70)"/>
    <s v="3. Vulnerable (&gt;=60 y &lt;70)"/>
    <n v="51.814508333333322"/>
    <n v="51.328000102873411"/>
    <n v="51.571254218103363"/>
    <n v="64.328370121345941"/>
    <x v="3"/>
    <n v="35.671629878654059"/>
    <n v="0.6523467210059386"/>
    <n v="33.64233858734341"/>
    <n v="0.25020418151822676"/>
    <n v="4"/>
    <b v="1"/>
    <n v="0"/>
    <n v="0.6523368619611829"/>
    <n v="33.641830144039965"/>
    <n v="0.2363902835273729"/>
    <n v="4"/>
    <b v="1"/>
    <n v="0"/>
    <n v="64.328370121345941"/>
    <x v="4"/>
    <n v="35.671629878654059"/>
    <n v="0.64930463728197152"/>
    <n v="33.485454514261946"/>
    <n v="0.25452764606841538"/>
    <n v="4"/>
    <b v="1"/>
    <n v="0"/>
    <n v="7.130615004683824E-2"/>
    <n v="3.6773475913797178"/>
    <n v="0.21950830406464897"/>
    <n v="4"/>
  </r>
  <r>
    <n v="18205"/>
    <s v="18205"/>
    <s v="18"/>
    <s v="COLOMBIA"/>
    <s v="CAQUETÁ"/>
    <s v="CURILLO"/>
    <x v="6"/>
    <n v="0"/>
    <n v="0"/>
    <n v="1"/>
    <n v="49.17"/>
    <n v="51.921066666666697"/>
    <n v="45.78"/>
    <n v="45.53"/>
    <n v="32.710710104046939"/>
    <n v="52.095826708246534"/>
    <n v="55.379872819088732"/>
    <n v="57.232725057777621"/>
    <s v="1. Deterioro (&lt;40)"/>
    <s v="2. Riesgo (&gt;=40 y &lt;60)"/>
    <s v="2. Riesgo (&gt;=40 y &lt;60)"/>
    <s v="2. Riesgo (&gt;=40 y &lt;60)"/>
    <n v="48.100266666666677"/>
    <n v="49.354783672289962"/>
    <n v="48.727525169478319"/>
    <n v="64.280980863422357"/>
    <x v="3"/>
    <n v="35.719019136577643"/>
    <n v="0.6523467210059386"/>
    <n v="31.787241267043523"/>
    <n v="0.22699886949817027"/>
    <n v="4"/>
    <b v="1"/>
    <n v="0"/>
    <n v="0.6523368619611829"/>
    <n v="31.786760860192043"/>
    <n v="0.21446592242444756"/>
    <n v="4"/>
    <b v="1"/>
    <n v="0"/>
    <n v="64.280980863422357"/>
    <x v="4"/>
    <n v="35.719019136577643"/>
    <n v="0.64930463728197152"/>
    <n v="31.639008055816259"/>
    <n v="0.2309427419856063"/>
    <n v="4"/>
    <b v="1"/>
    <n v="0"/>
    <n v="7.140087926295767E-2"/>
    <n v="3.4791881414086525"/>
    <n v="0.20767976631654556"/>
    <n v="4"/>
  </r>
  <r>
    <n v="13670"/>
    <s v="13670"/>
    <s v="13"/>
    <s v="COLOMBIA"/>
    <s v="BOLÍVAR"/>
    <s v="SAN PABLO"/>
    <x v="7"/>
    <n v="0"/>
    <n v="0"/>
    <n v="1"/>
    <n v="40.43"/>
    <n v="39.8547333333333"/>
    <n v="56.76"/>
    <n v="37.83"/>
    <n v="34.165275300202197"/>
    <n v="47.491763301291812"/>
    <n v="55.105331131029175"/>
    <n v="50.91298136748275"/>
    <s v="1. Deterioro (&lt;40)"/>
    <s v="2. Riesgo (&gt;=40 y &lt;60)"/>
    <s v="2. Riesgo (&gt;=40 y &lt;60)"/>
    <s v="2. Riesgo (&gt;=40 y &lt;60)"/>
    <n v="43.718683333333317"/>
    <n v="46.918837775001485"/>
    <n v="45.318760554167397"/>
    <n v="64.311809625810326"/>
    <x v="3"/>
    <n v="35.688190374189674"/>
    <n v="0.6523467210059386"/>
    <n v="29.563544847564376"/>
    <n v="0.19918277128745526"/>
    <n v="4"/>
    <b v="0"/>
    <n v="-1"/>
    <n v="0.6523368619611829"/>
    <n v="29.563098047875798"/>
    <n v="0.18818529404422768"/>
    <n v="4"/>
    <b v="0"/>
    <n v="-1"/>
    <n v="64.311809625810326"/>
    <x v="4"/>
    <n v="35.688190374189674"/>
    <n v="0.64930463728197152"/>
    <n v="29.425681383692179"/>
    <n v="0.20267162855732329"/>
    <n v="4"/>
    <b v="0"/>
    <n v="-1"/>
    <n v="7.1339253809787381E-2"/>
    <n v="3.2330065615187285"/>
    <n v="0.19298469065378557"/>
    <n v="5"/>
  </r>
  <r>
    <n v="15660"/>
    <s v="15660"/>
    <s v="15"/>
    <s v="COLOMBIA"/>
    <s v="BOYACÁ"/>
    <s v="SAN EDUARDO"/>
    <x v="6"/>
    <n v="0"/>
    <n v="0"/>
    <n v="0"/>
    <n v="65.97"/>
    <n v="66.467866666666694"/>
    <n v="59.8"/>
    <n v="35.64"/>
    <n v="52.355110472185359"/>
    <n v="56.383324960921442"/>
    <n v="58.731436462130347"/>
    <n v="58.796482430544344"/>
    <s v="2. Riesgo (&gt;=40 y &lt;60)"/>
    <s v="2. Riesgo (&gt;=40 y &lt;60)"/>
    <s v="2. Riesgo (&gt;=40 y &lt;60)"/>
    <s v="2. Riesgo (&gt;=40 y &lt;60)"/>
    <n v="56.969466666666676"/>
    <n v="56.566588581445373"/>
    <n v="56.768027624056025"/>
    <n v="64.55023201939629"/>
    <x v="3"/>
    <n v="35.44976798060371"/>
    <n v="0.6523467210059386"/>
    <n v="37.032436678527489"/>
    <n v="0.29261073513871666"/>
    <n v="4"/>
    <b v="1"/>
    <n v="0"/>
    <n v="0.6523368619611829"/>
    <n v="37.031877000002453"/>
    <n v="0.276455963053794"/>
    <n v="4"/>
    <b v="1"/>
    <n v="0"/>
    <n v="64.55023201939629"/>
    <x v="4"/>
    <n v="35.44976798060371"/>
    <n v="0.64930463728197152"/>
    <n v="36.859743585650634"/>
    <n v="0.29762788530490236"/>
    <n v="4"/>
    <b v="1"/>
    <n v="0"/>
    <n v="7.0862657056866354E-2"/>
    <n v="4.022733273318198"/>
    <n v="0.2401250729195297"/>
    <n v="4"/>
  </r>
  <r>
    <n v="18247"/>
    <s v="18247"/>
    <s v="18"/>
    <s v="COLOMBIA"/>
    <s v="CAQUETÁ"/>
    <s v="EL DONCELLO"/>
    <x v="6"/>
    <n v="0"/>
    <n v="0"/>
    <n v="1"/>
    <n v="50.53"/>
    <n v="51.9099"/>
    <n v="47.77"/>
    <n v="43.3"/>
    <n v="57.687235140272151"/>
    <n v="58.085295616194969"/>
    <n v="54.266419983014615"/>
    <n v="50.202949555142453"/>
    <s v="2. Riesgo (&gt;=40 y &lt;60)"/>
    <s v="2. Riesgo (&gt;=40 y &lt;60)"/>
    <s v="2. Riesgo (&gt;=40 y &lt;60)"/>
    <s v="2. Riesgo (&gt;=40 y &lt;60)"/>
    <n v="48.377475000000004"/>
    <n v="55.060475073656043"/>
    <n v="51.718975036828027"/>
    <n v="64.453510717303104"/>
    <x v="3"/>
    <n v="35.546489282696896"/>
    <n v="0.6523467210059386"/>
    <n v="33.738703779062753"/>
    <n v="0.25140960848814897"/>
    <n v="4"/>
    <b v="1"/>
    <n v="0"/>
    <n v="0.6523368619611829"/>
    <n v="33.738193879373149"/>
    <n v="0.23752917000943954"/>
    <n v="4"/>
    <b v="1"/>
    <n v="0"/>
    <n v="64.453510717303104"/>
    <x v="4"/>
    <n v="35.546489282696896"/>
    <n v="0.64930463728197152"/>
    <n v="33.581370326882961"/>
    <n v="0.25575279139030876"/>
    <n v="4"/>
    <b v="1"/>
    <n v="0"/>
    <n v="7.1055999040488732E-2"/>
    <n v="3.674943440591913"/>
    <n v="0.21936479544898702"/>
    <n v="4"/>
  </r>
  <r>
    <n v="73555"/>
    <s v="73555"/>
    <s v="73"/>
    <s v="COLOMBIA"/>
    <s v="TOLIMA"/>
    <s v="PLANADAS"/>
    <x v="6"/>
    <n v="0"/>
    <n v="0"/>
    <n v="1"/>
    <n v="48.31"/>
    <n v="53.003233333333299"/>
    <n v="39.28"/>
    <n v="38.94"/>
    <n v="58.454300182357372"/>
    <n v="51.601979322626107"/>
    <n v="54.54994278619489"/>
    <n v="52.941254820274466"/>
    <s v="2. Riesgo (&gt;=40 y &lt;60)"/>
    <s v="2. Riesgo (&gt;=40 y &lt;60)"/>
    <s v="2. Riesgo (&gt;=40 y &lt;60)"/>
    <s v="2. Riesgo (&gt;=40 y &lt;60)"/>
    <n v="44.883308333333325"/>
    <n v="54.386869277863212"/>
    <n v="49.635088805598272"/>
    <n v="64.588698373633207"/>
    <x v="3"/>
    <n v="35.411301626366793"/>
    <n v="0.6523467210059386"/>
    <n v="32.379287429170603"/>
    <n v="0.23440474291090041"/>
    <n v="4"/>
    <b v="1"/>
    <n v="0"/>
    <n v="0.6523368619611829"/>
    <n v="32.378798074608618"/>
    <n v="0.22146298597795264"/>
    <n v="4"/>
    <b v="1"/>
    <n v="0"/>
    <n v="64.588698373633207"/>
    <x v="4"/>
    <n v="35.411301626366793"/>
    <n v="0.64930463728197152"/>
    <n v="32.22829333337743"/>
    <n v="0.23846976053798344"/>
    <n v="4"/>
    <b v="1"/>
    <n v="0"/>
    <n v="7.078576436549501E-2"/>
    <n v="3.5134577004534986"/>
    <n v="0.20972538550267072"/>
    <n v="4"/>
  </r>
  <r>
    <n v="25120"/>
    <s v="25120"/>
    <s v="25"/>
    <s v="COLOMBIA"/>
    <s v="CUNDINAMARCA"/>
    <s v="CABRERA"/>
    <x v="5"/>
    <n v="0"/>
    <n v="0"/>
    <n v="0"/>
    <n v="78.63"/>
    <n v="80.168866666666702"/>
    <n v="61.53"/>
    <n v="59.93"/>
    <n v="46.921334813304185"/>
    <n v="50.180911693847833"/>
    <n v="42.570821453830497"/>
    <n v="61.700949308297659"/>
    <s v="2. Riesgo (&gt;=40 y &lt;60)"/>
    <s v="2. Riesgo (&gt;=40 y &lt;60)"/>
    <s v="2. Riesgo (&gt;=40 y &lt;60)"/>
    <s v="3. Vulnerable (&gt;=60 y &lt;70)"/>
    <n v="70.064716666666669"/>
    <n v="50.34350431732004"/>
    <n v="60.204110491993355"/>
    <n v="64.638163995525616"/>
    <x v="3"/>
    <n v="35.361836004474384"/>
    <n v="0.6523467210059386"/>
    <n v="39.27395407053109"/>
    <n v="0.32064975493063691"/>
    <n v="4"/>
    <b v="0"/>
    <n v="1"/>
    <n v="0.6523368619611829"/>
    <n v="39.273360515511271"/>
    <n v="0.30294720757396287"/>
    <n v="4"/>
    <b v="0"/>
    <n v="1"/>
    <n v="64.638163995525616"/>
    <x v="4"/>
    <n v="35.361836004474384"/>
    <n v="0.64930463728197152"/>
    <n v="39.090808125887484"/>
    <n v="0.32612556686147293"/>
    <n v="4"/>
    <b v="0"/>
    <n v="1"/>
    <n v="7.0686884581509277E-2"/>
    <n v="4.2556410096799659"/>
    <n v="0.25402780605581349"/>
    <n v="4"/>
  </r>
  <r>
    <n v="27160"/>
    <s v="27160"/>
    <s v="27"/>
    <s v="COLOMBIA"/>
    <s v="CHOCÓ"/>
    <s v="CÉRTEGUI"/>
    <x v="6"/>
    <n v="0"/>
    <n v="0"/>
    <n v="0"/>
    <n v="61.93"/>
    <n v="65.583500000000001"/>
    <n v="82.06"/>
    <n v="81.25"/>
    <n v="61.628301057061677"/>
    <n v="40.808384398088727"/>
    <n v="62.302042078381334"/>
    <n v="48.411848724110413"/>
    <s v="3. Vulnerable (&gt;=60 y &lt;70)"/>
    <s v="2. Riesgo (&gt;=40 y &lt;60)"/>
    <s v="3. Vulnerable (&gt;=60 y &lt;70)"/>
    <s v="2. Riesgo (&gt;=40 y &lt;60)"/>
    <n v="72.705874999999992"/>
    <n v="53.287644064410543"/>
    <n v="62.996759532205267"/>
    <n v="64.623267262937816"/>
    <x v="3"/>
    <n v="35.376732737062184"/>
    <n v="0.6523467210059386"/>
    <n v="41.095729514833714"/>
    <n v="0.34343824540653572"/>
    <n v="4"/>
    <b v="1"/>
    <n v="0"/>
    <n v="0.6523368619611829"/>
    <n v="41.095108426962021"/>
    <n v="0.32447775599978684"/>
    <n v="4"/>
    <b v="1"/>
    <n v="0"/>
    <n v="64.623267262937816"/>
    <x v="4"/>
    <n v="35.376732737062184"/>
    <n v="0.64930463728197152"/>
    <n v="40.90408809799812"/>
    <n v="0.34928683104105163"/>
    <n v="4"/>
    <b v="1"/>
    <n v="0"/>
    <n v="7.0716662549399359E-2"/>
    <n v="4.4549205855446177"/>
    <n v="0.26592320638057854"/>
    <n v="4"/>
  </r>
  <r>
    <n v="68705"/>
    <s v="68705"/>
    <s v="68"/>
    <s v="COLOMBIA"/>
    <s v="SANTANDER"/>
    <s v="SANTA BÁRBARA"/>
    <x v="6"/>
    <n v="0"/>
    <n v="0"/>
    <n v="0"/>
    <n v="63.36"/>
    <n v="67.148166666666697"/>
    <n v="66.81"/>
    <n v="75.209999999999994"/>
    <n v="55.376108389826477"/>
    <n v="64.261418614546471"/>
    <n v="64.737322300412572"/>
    <n v="71.22210121576623"/>
    <s v="2. Riesgo (&gt;=40 y &lt;60)"/>
    <s v="3. Vulnerable (&gt;=60 y &lt;70)"/>
    <s v="3. Vulnerable (&gt;=60 y &lt;70)"/>
    <s v="4. Solvente (&gt;=70 y &lt;80)"/>
    <n v="68.132041666666666"/>
    <n v="63.899237630137939"/>
    <n v="66.015639648402299"/>
    <n v="64.671794190878359"/>
    <x v="3"/>
    <n v="35.328205809121641"/>
    <n v="0.6523467210059386"/>
    <n v="43.065086059744871"/>
    <n v="0.36807281988590379"/>
    <n v="3"/>
    <b v="0"/>
    <n v="-1"/>
    <n v="0.6523368619611829"/>
    <n v="43.064435208599001"/>
    <n v="0.34775248318448349"/>
    <n v="3"/>
    <b v="0"/>
    <n v="-1"/>
    <n v="64.671794190878359"/>
    <x v="4"/>
    <n v="35.328205809121641"/>
    <n v="0.64930463728197152"/>
    <n v="42.864260956843189"/>
    <n v="0.37432437743191899"/>
    <n v="3"/>
    <b v="0"/>
    <n v="-1"/>
    <n v="7.0619659176780522E-2"/>
    <n v="4.6620019723073298"/>
    <n v="0.27828431255346103"/>
    <n v="4"/>
  </r>
  <r>
    <n v="25885"/>
    <s v="25885"/>
    <s v="25"/>
    <s v="COLOMBIA"/>
    <s v="CUNDINAMARCA"/>
    <s v="YACOPÍ"/>
    <x v="6"/>
    <n v="0"/>
    <n v="0"/>
    <n v="0"/>
    <n v="46.62"/>
    <n v="54.462333333333298"/>
    <n v="85.43"/>
    <n v="83.73"/>
    <n v="66.449619163013892"/>
    <n v="66.853306664837149"/>
    <n v="58.285438743215195"/>
    <n v="61.994305238778679"/>
    <s v="3. Vulnerable (&gt;=60 y &lt;70)"/>
    <s v="3. Vulnerable (&gt;=60 y &lt;70)"/>
    <s v="2. Riesgo (&gt;=40 y &lt;60)"/>
    <s v="3. Vulnerable (&gt;=60 y &lt;70)"/>
    <n v="67.560583333333327"/>
    <n v="63.395667452461225"/>
    <n v="65.478125392897283"/>
    <n v="64.838603453621246"/>
    <x v="3"/>
    <n v="35.161396546378754"/>
    <n v="0.6523467210059386"/>
    <n v="42.714440397672227"/>
    <n v="0.36368661226874244"/>
    <n v="3"/>
    <b v="0"/>
    <n v="-1"/>
    <n v="0.6523368619611829"/>
    <n v="42.713794845903458"/>
    <n v="0.34360839757219214"/>
    <n v="3"/>
    <b v="0"/>
    <n v="-1"/>
    <n v="64.838603453621246"/>
    <x v="4"/>
    <n v="35.161396546378754"/>
    <n v="0.64930463728197152"/>
    <n v="42.515250458138617"/>
    <n v="0.3698664203120739"/>
    <n v="3"/>
    <b v="0"/>
    <n v="-1"/>
    <n v="7.0286214185373938E-2"/>
    <n v="4.6022095458219505"/>
    <n v="0.27471518186685345"/>
    <n v="4"/>
  </r>
  <r>
    <n v="50251"/>
    <s v="50251"/>
    <s v="50"/>
    <s v="COLOMBIA"/>
    <s v="META"/>
    <s v="EL CASTILLO"/>
    <x v="6"/>
    <n v="0"/>
    <n v="0"/>
    <n v="0"/>
    <n v="71.17"/>
    <n v="70.7417333333333"/>
    <n v="48.15"/>
    <n v="51.34"/>
    <n v="53.509069341385569"/>
    <n v="48.237863431638608"/>
    <n v="51.417086235862094"/>
    <n v="61.894586409263873"/>
    <s v="2. Riesgo (&gt;=40 y &lt;60)"/>
    <s v="2. Riesgo (&gt;=40 y &lt;60)"/>
    <s v="2. Riesgo (&gt;=40 y &lt;60)"/>
    <s v="3. Vulnerable (&gt;=60 y &lt;70)"/>
    <n v="60.350433333333328"/>
    <n v="53.764651354537534"/>
    <n v="57.057542343935431"/>
    <n v="64.89685230123149"/>
    <x v="3"/>
    <n v="35.10314769876851"/>
    <n v="0.6523467210059386"/>
    <n v="37.221300656723777"/>
    <n v="0.29497322442455398"/>
    <n v="4"/>
    <b v="1"/>
    <n v="0"/>
    <n v="0.6523368619611829"/>
    <n v="37.220738123860158"/>
    <n v="0.27868804112969842"/>
    <n v="4"/>
    <b v="1"/>
    <n v="0"/>
    <n v="64.89685230123149"/>
    <x v="4"/>
    <n v="35.10314769876851"/>
    <n v="0.64930463728197152"/>
    <n v="37.047726835829728"/>
    <n v="0.30002902014657046"/>
    <n v="4"/>
    <b v="1"/>
    <n v="0"/>
    <n v="7.0169777087268778E-2"/>
    <n v="4.0037150274213484"/>
    <n v="0.23898983541495222"/>
    <n v="4"/>
  </r>
  <r>
    <n v="5040"/>
    <s v="05040"/>
    <s v="50"/>
    <s v="COLOMBIA"/>
    <s v="ANTIOQUIA"/>
    <s v="ANORÍ"/>
    <x v="6"/>
    <n v="0"/>
    <n v="0"/>
    <n v="1"/>
    <n v="62.34"/>
    <n v="65.896600000000007"/>
    <n v="72.97"/>
    <n v="51.39"/>
    <n v="59.781970227688845"/>
    <n v="60.874753917062023"/>
    <n v="62.238053962954012"/>
    <n v="54.663181716474476"/>
    <s v="2. Riesgo (&gt;=40 y &lt;60)"/>
    <s v="3. Vulnerable (&gt;=60 y &lt;70)"/>
    <s v="3. Vulnerable (&gt;=60 y &lt;70)"/>
    <s v="2. Riesgo (&gt;=40 y &lt;60)"/>
    <n v="63.149150000000006"/>
    <n v="59.389489956044841"/>
    <n v="61.269319978022423"/>
    <n v="64.615099803068347"/>
    <x v="3"/>
    <n v="35.384900196931653"/>
    <n v="0.6523467210059386"/>
    <n v="39.968839985926572"/>
    <n v="0.3293420452534368"/>
    <n v="4"/>
    <b v="1"/>
    <n v="0"/>
    <n v="0.6523368619611829"/>
    <n v="39.968235928958762"/>
    <n v="0.31115967684323265"/>
    <n v="4"/>
    <b v="1"/>
    <n v="0"/>
    <n v="64.615099803068347"/>
    <x v="4"/>
    <n v="35.384900196931653"/>
    <n v="0.64930463728197152"/>
    <n v="39.782453584842898"/>
    <n v="0.33496004550782665"/>
    <n v="4"/>
    <b v="1"/>
    <n v="0"/>
    <n v="7.073298897241212E-2"/>
    <n v="4.33376213435265"/>
    <n v="0.25869101375168702"/>
    <n v="4"/>
  </r>
  <r>
    <n v="5847"/>
    <s v="05847"/>
    <s v="50"/>
    <s v="COLOMBIA"/>
    <s v="ANTIOQUIA"/>
    <s v="URRAO"/>
    <x v="6"/>
    <n v="0"/>
    <n v="0"/>
    <n v="0"/>
    <n v="44.8"/>
    <n v="43.774000000000001"/>
    <n v="35.65"/>
    <n v="32.979999999999997"/>
    <n v="52.600301079076601"/>
    <n v="42.826641356605947"/>
    <n v="54.242667703149436"/>
    <n v="52.406674909170647"/>
    <s v="2. Riesgo (&gt;=40 y &lt;60)"/>
    <s v="2. Riesgo (&gt;=40 y &lt;60)"/>
    <s v="2. Riesgo (&gt;=40 y &lt;60)"/>
    <s v="2. Riesgo (&gt;=40 y &lt;60)"/>
    <n v="39.300999999999995"/>
    <n v="50.519071262000658"/>
    <n v="44.910035631000326"/>
    <n v="64.884359510463597"/>
    <x v="3"/>
    <n v="35.115640489536403"/>
    <n v="0.6523467210059386"/>
    <n v="29.296914484142931"/>
    <n v="0.19584750649594801"/>
    <n v="4"/>
    <b v="1"/>
    <n v="0"/>
    <n v="0.6523368619611829"/>
    <n v="29.296471714091666"/>
    <n v="0.18503413841228977"/>
    <n v="4"/>
    <b v="1"/>
    <n v="0"/>
    <n v="64.884359510463597"/>
    <x v="4"/>
    <n v="35.115640489536403"/>
    <n v="0.64930463728197152"/>
    <n v="29.160294395707083"/>
    <n v="0.19928180556634256"/>
    <n v="4"/>
    <b v="1"/>
    <n v="0"/>
    <n v="7.0194749672374351E-2"/>
    <n v="3.1524487088954807"/>
    <n v="0.18817602974561604"/>
    <n v="5"/>
  </r>
  <r>
    <n v="15720"/>
    <s v="15720"/>
    <s v="15"/>
    <s v="COLOMBIA"/>
    <s v="BOYACÁ"/>
    <s v="SATIVANORTE"/>
    <x v="6"/>
    <n v="0"/>
    <n v="0"/>
    <n v="0"/>
    <n v="51.37"/>
    <n v="53.050066666666702"/>
    <n v="85.99"/>
    <n v="84.47"/>
    <n v="44.535789010892863"/>
    <n v="44.359799100025846"/>
    <n v="43.610457308408371"/>
    <n v="55.478171304777305"/>
    <s v="2. Riesgo (&gt;=40 y &lt;60)"/>
    <s v="2. Riesgo (&gt;=40 y &lt;60)"/>
    <s v="2. Riesgo (&gt;=40 y &lt;60)"/>
    <s v="2. Riesgo (&gt;=40 y &lt;60)"/>
    <n v="68.72001666666668"/>
    <n v="46.996054181026096"/>
    <n v="57.858035423846388"/>
    <n v="64.815413276643881"/>
    <x v="3"/>
    <n v="35.184586723356119"/>
    <n v="0.6523467210059386"/>
    <n v="37.743499692591634"/>
    <n v="0.30150538391359222"/>
    <n v="4"/>
    <b v="1"/>
    <n v="0"/>
    <n v="0.6523368619611829"/>
    <n v="37.742929267630913"/>
    <n v="0.28485962043429014"/>
    <n v="4"/>
    <b v="1"/>
    <n v="0"/>
    <n v="64.815413276643881"/>
    <x v="4"/>
    <n v="35.184586723356119"/>
    <n v="0.64930463728197152"/>
    <n v="37.567490704728037"/>
    <n v="0.30666803257912995"/>
    <n v="4"/>
    <b v="1"/>
    <n v="0"/>
    <n v="7.0332570414253462E-2"/>
    <n v="4.0693043504780473"/>
    <n v="0.24290499456462689"/>
    <n v="4"/>
  </r>
  <r>
    <n v="5893"/>
    <s v="05893"/>
    <s v="50"/>
    <s v="COLOMBIA"/>
    <s v="ANTIOQUIA"/>
    <s v="YONDÓ"/>
    <x v="6"/>
    <n v="0"/>
    <n v="0"/>
    <n v="1"/>
    <n v="49.77"/>
    <n v="55.667533333333303"/>
    <n v="73.81"/>
    <n v="67.37"/>
    <n v="64.316737715131538"/>
    <n v="60.520033817034417"/>
    <n v="66.461948351476295"/>
    <n v="67.040655939524953"/>
    <s v="3. Vulnerable (&gt;=60 y &lt;70)"/>
    <s v="3. Vulnerable (&gt;=60 y &lt;70)"/>
    <s v="3. Vulnerable (&gt;=60 y &lt;70)"/>
    <s v="3. Vulnerable (&gt;=60 y &lt;70)"/>
    <n v="61.654383333333328"/>
    <n v="64.584843955791797"/>
    <n v="63.119613644562563"/>
    <n v="64.806551602522305"/>
    <x v="3"/>
    <n v="35.193448397477695"/>
    <n v="0.6523467210059386"/>
    <n v="41.17587299219209"/>
    <n v="0.34444075582910094"/>
    <n v="4"/>
    <b v="1"/>
    <n v="0"/>
    <n v="0.6523368619611829"/>
    <n v="41.175250693096203"/>
    <n v="0.32542492708263066"/>
    <n v="4"/>
    <b v="1"/>
    <n v="0"/>
    <n v="64.806551602522305"/>
    <x v="4"/>
    <n v="35.193448397477695"/>
    <n v="0.64930463728197152"/>
    <n v="40.983857842860878"/>
    <n v="0.35030574051047758"/>
    <n v="4"/>
    <b v="1"/>
    <n v="0"/>
    <n v="7.0350284543569355E-2"/>
    <n v="4.440482780175139"/>
    <n v="0.26506138462119438"/>
    <n v="4"/>
  </r>
  <r>
    <n v="85263"/>
    <s v="85263"/>
    <s v="85"/>
    <s v="COLOMBIA"/>
    <s v="CASANARE"/>
    <s v="PORE"/>
    <x v="6"/>
    <n v="0"/>
    <n v="0"/>
    <n v="0"/>
    <n v="62.76"/>
    <n v="64.682833333333306"/>
    <n v="59.73"/>
    <n v="63.2"/>
    <n v="61.842942679747807"/>
    <n v="53.851214595410198"/>
    <n v="62.470006230907209"/>
    <n v="75.729729644861862"/>
    <s v="3. Vulnerable (&gt;=60 y &lt;70)"/>
    <s v="2. Riesgo (&gt;=40 y &lt;60)"/>
    <s v="3. Vulnerable (&gt;=60 y &lt;70)"/>
    <s v="4. Solvente (&gt;=70 y &lt;80)"/>
    <n v="62.593208333333322"/>
    <n v="63.473473287731771"/>
    <n v="63.03334081053255"/>
    <n v="64.900838646283276"/>
    <x v="3"/>
    <n v="35.099161353716724"/>
    <n v="0.6523467210059386"/>
    <n v="41.119593191800725"/>
    <n v="0.34373675485070643"/>
    <n v="4"/>
    <b v="1"/>
    <n v="0"/>
    <n v="0.6523368619611829"/>
    <n v="41.118971743272567"/>
    <n v="0.32475978749503137"/>
    <n v="4"/>
    <b v="1"/>
    <n v="0"/>
    <n v="64.900838646283276"/>
    <x v="4"/>
    <n v="35.099161353716724"/>
    <n v="0.64930463728197152"/>
    <n v="40.927840491653733"/>
    <n v="0.34959022349716234"/>
    <n v="4"/>
    <b v="1"/>
    <n v="0"/>
    <n v="7.0161808544217399E-2"/>
    <n v="4.4225331898509896"/>
    <n v="0.2639899373258815"/>
    <n v="4"/>
  </r>
  <r>
    <n v="68250"/>
    <s v="68250"/>
    <s v="68"/>
    <s v="COLOMBIA"/>
    <s v="SANTANDER"/>
    <s v="EL PEÑÓN"/>
    <x v="6"/>
    <n v="0"/>
    <n v="0"/>
    <n v="0"/>
    <n v="71.36"/>
    <n v="71.628966666666699"/>
    <n v="50.67"/>
    <n v="59.26"/>
    <n v="53.654426184943354"/>
    <n v="66.310816762905688"/>
    <n v="46.646435242547597"/>
    <n v="64.460025324302563"/>
    <s v="2. Riesgo (&gt;=40 y &lt;60)"/>
    <s v="3. Vulnerable (&gt;=60 y &lt;70)"/>
    <s v="2. Riesgo (&gt;=40 y &lt;60)"/>
    <s v="3. Vulnerable (&gt;=60 y &lt;70)"/>
    <n v="63.229741666666669"/>
    <n v="57.767925878674802"/>
    <n v="60.498833772670736"/>
    <n v="65.060971491578641"/>
    <x v="3"/>
    <n v="34.939028508421359"/>
    <n v="0.6523467210059386"/>
    <n v="39.466215836285095"/>
    <n v="0.32305474695721559"/>
    <n v="4"/>
    <b v="1"/>
    <n v="0"/>
    <n v="0.6523368619611829"/>
    <n v="39.465619375575258"/>
    <n v="0.30521944220691216"/>
    <n v="4"/>
    <b v="1"/>
    <n v="0"/>
    <n v="65.060971491578641"/>
    <x v="4"/>
    <n v="34.939028508421359"/>
    <n v="0.64930463728197152"/>
    <n v="39.28217331874626"/>
    <n v="0.32856989970292544"/>
    <n v="4"/>
    <b v="1"/>
    <n v="0"/>
    <n v="6.9841709442132596E-2"/>
    <n v="4.2253419699387482"/>
    <n v="0.25221919518531188"/>
    <n v="4"/>
  </r>
  <r>
    <n v="27245"/>
    <s v="27245"/>
    <s v="27"/>
    <s v="COLOMBIA"/>
    <s v="CHOCÓ"/>
    <s v="EL CARMEN DE ATRATO"/>
    <x v="6"/>
    <n v="0"/>
    <n v="0"/>
    <n v="0"/>
    <n v="58.45"/>
    <n v="62.169766666666703"/>
    <n v="68.510000000000005"/>
    <n v="60.11"/>
    <n v="54.310178416128309"/>
    <n v="56.231368148312413"/>
    <n v="47.367372055481717"/>
    <n v="41.623065013024984"/>
    <s v="2. Riesgo (&gt;=40 y &lt;60)"/>
    <s v="2. Riesgo (&gt;=40 y &lt;60)"/>
    <s v="2. Riesgo (&gt;=40 y &lt;60)"/>
    <s v="2. Riesgo (&gt;=40 y &lt;60)"/>
    <n v="62.309941666666674"/>
    <n v="49.882995908236857"/>
    <n v="56.096468787451769"/>
    <n v="65.033901122521442"/>
    <x v="3"/>
    <n v="34.966098877478558"/>
    <n v="0.6523467210059386"/>
    <n v="36.59434747350614"/>
    <n v="0.28713070097344956"/>
    <n v="4"/>
    <b v="1"/>
    <n v="0"/>
    <n v="0.6523368619611829"/>
    <n v="36.593794415909727"/>
    <n v="0.2712784309528749"/>
    <n v="4"/>
    <b v="1"/>
    <n v="0"/>
    <n v="65.033901122521442"/>
    <x v="4"/>
    <n v="34.966098877478558"/>
    <n v="0.64930463728197152"/>
    <n v="36.423697318835806"/>
    <n v="0.29205820884260636"/>
    <n v="4"/>
    <b v="1"/>
    <n v="0"/>
    <n v="6.9895822018552073E-2"/>
    <n v="3.9209087982369906"/>
    <n v="0.23404696436929531"/>
    <n v="4"/>
  </r>
  <r>
    <n v="73873"/>
    <s v="73873"/>
    <s v="73"/>
    <s v="COLOMBIA"/>
    <s v="TOLIMA"/>
    <s v="VILLARRICA"/>
    <x v="6"/>
    <n v="0"/>
    <n v="0"/>
    <n v="0"/>
    <n v="55.33"/>
    <n v="54.501233333333303"/>
    <n v="38.58"/>
    <n v="31.93"/>
    <n v="47.359359639975736"/>
    <n v="44.515399530518501"/>
    <n v="38.890800990210352"/>
    <n v="36.306933874055019"/>
    <s v="2. Riesgo (&gt;=40 y &lt;60)"/>
    <s v="2. Riesgo (&gt;=40 y &lt;60)"/>
    <s v="1. Deterioro (&lt;40)"/>
    <s v="1. Deterioro (&lt;40)"/>
    <n v="45.08530833333333"/>
    <n v="41.768123508689897"/>
    <n v="43.426715921011613"/>
    <n v="65.02433502407996"/>
    <x v="3"/>
    <n v="34.97566497592004"/>
    <n v="0.6523467210059386"/>
    <n v="28.329275735128316"/>
    <n v="0.18374336573315969"/>
    <n v="5"/>
    <b v="0"/>
    <n v="1"/>
    <n v="0.6523368619611829"/>
    <n v="28.328847589192456"/>
    <n v="0.17359815544879226"/>
    <n v="5"/>
    <b v="0"/>
    <n v="1"/>
    <n v="65.02433502407996"/>
    <x v="4"/>
    <n v="34.97566497592004"/>
    <n v="0.64930463728197152"/>
    <n v="28.197168029439663"/>
    <n v="0.18697966549391234"/>
    <n v="5"/>
    <b v="0"/>
    <n v="1"/>
    <n v="6.9914944263685011E-2"/>
    <n v="3.0361764231724093"/>
    <n v="0.18123550220108339"/>
    <n v="5"/>
  </r>
  <r>
    <n v="27073"/>
    <s v="27073"/>
    <s v="27"/>
    <s v="COLOMBIA"/>
    <s v="CHOCÓ"/>
    <s v="BAGADÓ"/>
    <x v="6"/>
    <n v="0"/>
    <n v="0"/>
    <n v="0"/>
    <n v="60.11"/>
    <n v="64.856633333333306"/>
    <n v="73.25"/>
    <n v="72.44"/>
    <n v="37.001261826793446"/>
    <n v="59.948495857687561"/>
    <n v="66.990712871261238"/>
    <n v="37.060733340706022"/>
    <s v="1. Deterioro (&lt;40)"/>
    <s v="2. Riesgo (&gt;=40 y &lt;60)"/>
    <s v="3. Vulnerable (&gt;=60 y &lt;70)"/>
    <s v="1. Deterioro (&lt;40)"/>
    <n v="67.664158333333319"/>
    <n v="50.250300974112065"/>
    <n v="58.957229653722692"/>
    <n v="65.020182467184199"/>
    <x v="3"/>
    <n v="34.979817532815801"/>
    <n v="0.6523467210059386"/>
    <n v="38.460555444200089"/>
    <n v="0.31047499551820629"/>
    <n v="4"/>
    <b v="1"/>
    <n v="0"/>
    <n v="0.6523368619611829"/>
    <n v="38.459974182234262"/>
    <n v="0.29333410263916548"/>
    <n v="4"/>
    <b v="1"/>
    <n v="0"/>
    <n v="65.020182467184199"/>
    <x v="4"/>
    <n v="34.979817532815801"/>
    <n v="0.64930463728197152"/>
    <n v="38.281202615460309"/>
    <n v="0.31578436892367184"/>
    <n v="4"/>
    <b v="1"/>
    <n v="0"/>
    <n v="6.9923245057511768E-2"/>
    <n v="4.1224808169892517"/>
    <n v="0.24607920523956761"/>
    <n v="4"/>
  </r>
  <r>
    <n v="68780"/>
    <s v="68780"/>
    <s v="68"/>
    <s v="COLOMBIA"/>
    <s v="SANTANDER"/>
    <s v="SURATÁ"/>
    <x v="6"/>
    <n v="0"/>
    <n v="0"/>
    <n v="0"/>
    <n v="63.56"/>
    <n v="63.354233333333298"/>
    <n v="32.67"/>
    <n v="32.9"/>
    <n v="53.065921089355285"/>
    <n v="55.661888183980814"/>
    <n v="55.024869661600036"/>
    <n v="50.482242401128012"/>
    <s v="2. Riesgo (&gt;=40 y &lt;60)"/>
    <s v="2. Riesgo (&gt;=40 y &lt;60)"/>
    <s v="2. Riesgo (&gt;=40 y &lt;60)"/>
    <s v="2. Riesgo (&gt;=40 y &lt;60)"/>
    <n v="48.12105833333333"/>
    <n v="53.55873033401604"/>
    <n v="50.839894333674685"/>
    <n v="65.032981018339939"/>
    <x v="3"/>
    <n v="34.967018981660061"/>
    <n v="0.6523467210059386"/>
    <n v="33.165238364861082"/>
    <n v="0.24423616064601125"/>
    <n v="4"/>
    <b v="1"/>
    <n v="0"/>
    <n v="0.6523368619611829"/>
    <n v="33.164737132067465"/>
    <n v="0.23075170195780989"/>
    <n v="4"/>
    <b v="1"/>
    <n v="0"/>
    <n v="65.032981018339939"/>
    <x v="4"/>
    <n v="34.967018981660061"/>
    <n v="0.64930463728197152"/>
    <n v="33.010579149780398"/>
    <n v="0.24846200042168798"/>
    <n v="4"/>
    <b v="1"/>
    <n v="0"/>
    <n v="6.9897661269717443E-2"/>
    <n v="3.5535897131234204"/>
    <n v="0.21212094638479292"/>
    <n v="4"/>
  </r>
  <r>
    <n v="27800"/>
    <s v="27800"/>
    <s v="27"/>
    <s v="COLOMBIA"/>
    <s v="CHOCÓ"/>
    <s v="UNGUÍA"/>
    <x v="6"/>
    <n v="0"/>
    <n v="0"/>
    <n v="1"/>
    <n v="73.42"/>
    <n v="76.833266666666702"/>
    <n v="53.98"/>
    <n v="50.15"/>
    <n v="38.840832526763585"/>
    <n v="45.789168265425573"/>
    <n v="46.160973069489586"/>
    <n v="5.9835292062067129"/>
    <s v="1. Deterioro (&lt;40)"/>
    <s v="2. Riesgo (&gt;=40 y &lt;60)"/>
    <s v="2. Riesgo (&gt;=40 y &lt;60)"/>
    <s v="1. Deterioro (&lt;40)"/>
    <n v="63.595816666666678"/>
    <n v="34.193625766971365"/>
    <n v="48.894721216819022"/>
    <n v="65.119701053191847"/>
    <x v="3"/>
    <n v="34.880298946808153"/>
    <n v="0.6523467210059386"/>
    <n v="31.896311060291385"/>
    <n v="0.22836321764130194"/>
    <n v="4"/>
    <b v="1"/>
    <n v="0"/>
    <n v="0.6523368619611829"/>
    <n v="31.89582900504659"/>
    <n v="0.21575495750978796"/>
    <n v="4"/>
    <b v="1"/>
    <n v="0"/>
    <n v="65.119701053191847"/>
    <x v="4"/>
    <n v="34.880298946808153"/>
    <n v="0.64930463728197152"/>
    <n v="31.747569224689791"/>
    <n v="0.23232940811030681"/>
    <n v="4"/>
    <b v="1"/>
    <n v="0"/>
    <n v="6.9724311416115223E-2"/>
    <n v="3.4091507687256257"/>
    <n v="0.20349909410192174"/>
    <n v="4"/>
  </r>
  <r>
    <n v="86755"/>
    <s v="86755"/>
    <s v="86"/>
    <s v="COLOMBIA"/>
    <s v="PUTUMAYO"/>
    <s v="SAN FRANCISCO"/>
    <x v="6"/>
    <n v="0"/>
    <n v="0"/>
    <n v="0"/>
    <n v="58.25"/>
    <n v="53.1678"/>
    <n v="34.119999999999997"/>
    <n v="35.090000000000003"/>
    <n v="51.045321767570613"/>
    <n v="44.663131658469638"/>
    <n v="52.895973835605545"/>
    <n v="51.091151913418685"/>
    <s v="2. Riesgo (&gt;=40 y &lt;60)"/>
    <s v="2. Riesgo (&gt;=40 y &lt;60)"/>
    <s v="2. Riesgo (&gt;=40 y &lt;60)"/>
    <s v="2. Riesgo (&gt;=40 y &lt;60)"/>
    <n v="45.156950000000002"/>
    <n v="49.923894793766124"/>
    <n v="47.540422396883059"/>
    <n v="65.106614079126416"/>
    <x v="3"/>
    <n v="34.893385920873584"/>
    <n v="0.6523467210059386"/>
    <n v="31.012838665843947"/>
    <n v="0.21731190925444865"/>
    <n v="4"/>
    <b v="1"/>
    <n v="0"/>
    <n v="0.6523368619611829"/>
    <n v="31.012369962691832"/>
    <n v="0.20531368977230857"/>
    <n v="4"/>
    <b v="1"/>
    <n v="0"/>
    <n v="65.106614079126416"/>
    <x v="4"/>
    <n v="34.893385920873584"/>
    <n v="0.64930463728197152"/>
    <n v="30.868216720639868"/>
    <n v="0.22109732262625026"/>
    <n v="4"/>
    <b v="1"/>
    <n v="0"/>
    <n v="6.9750471749678425E-2"/>
    <n v="3.3159668893615715"/>
    <n v="0.19793676015956685"/>
    <n v="4"/>
  </r>
  <r>
    <n v="15464"/>
    <s v="15464"/>
    <s v="15"/>
    <s v="COLOMBIA"/>
    <s v="BOYACÁ"/>
    <s v="MONGUA"/>
    <x v="6"/>
    <n v="0"/>
    <n v="0"/>
    <n v="0"/>
    <n v="48.31"/>
    <n v="54.524466666666697"/>
    <n v="41.93"/>
    <n v="42.03"/>
    <n v="69.710623098019312"/>
    <n v="54.025497339902692"/>
    <n v="62.312144982117495"/>
    <n v="64.112185241700629"/>
    <s v="3. Vulnerable (&gt;=60 y &lt;70)"/>
    <s v="2. Riesgo (&gt;=40 y &lt;60)"/>
    <s v="3. Vulnerable (&gt;=60 y &lt;70)"/>
    <s v="3. Vulnerable (&gt;=60 y &lt;70)"/>
    <n v="46.698616666666673"/>
    <n v="62.540112665435032"/>
    <n v="54.619364666050856"/>
    <n v="65.107669713492299"/>
    <x v="3"/>
    <n v="34.892330286507701"/>
    <n v="0.6523467210059386"/>
    <n v="35.630763443325897"/>
    <n v="0.27507728046920271"/>
    <n v="4"/>
    <b v="1"/>
    <n v="0"/>
    <n v="0.6523368619611829"/>
    <n v="35.630224948565129"/>
    <n v="0.25989036845097419"/>
    <n v="4"/>
    <b v="1"/>
    <n v="0"/>
    <n v="65.107669713492299"/>
    <x v="4"/>
    <n v="34.892330286507701"/>
    <n v="0.64930463728197152"/>
    <n v="35.46460676306188"/>
    <n v="0.27980761870976417"/>
    <n v="4"/>
    <b v="1"/>
    <n v="0"/>
    <n v="6.9748361579138302E-2"/>
    <n v="3.8096111959505254"/>
    <n v="0.22740338572537455"/>
    <n v="4"/>
  </r>
  <r>
    <n v="68745"/>
    <s v="68745"/>
    <s v="68"/>
    <s v="COLOMBIA"/>
    <s v="SANTANDER"/>
    <s v="SIMACOTA"/>
    <x v="5"/>
    <n v="0"/>
    <n v="0"/>
    <n v="0"/>
    <n v="78.66"/>
    <n v="82.577666666666701"/>
    <n v="82.3"/>
    <n v="88.92"/>
    <n v="56.480052482805419"/>
    <n v="49.817084196815308"/>
    <n v="54.044176489705208"/>
    <n v="68.309212810863045"/>
    <s v="2. Riesgo (&gt;=40 y &lt;60)"/>
    <s v="2. Riesgo (&gt;=40 y &lt;60)"/>
    <s v="2. Riesgo (&gt;=40 y &lt;60)"/>
    <s v="3. Vulnerable (&gt;=60 y &lt;70)"/>
    <n v="83.114416666666685"/>
    <n v="57.162631495047243"/>
    <n v="70.138524080856968"/>
    <n v="64.848402288682735"/>
    <x v="3"/>
    <n v="35.151597711317265"/>
    <n v="0.6523467210059386"/>
    <n v="45.754636200343107"/>
    <n v="0.4017162570917101"/>
    <n v="3"/>
    <b v="1"/>
    <n v="0"/>
    <n v="0.6523368619611829"/>
    <n v="45.753944701495094"/>
    <n v="0.37953877700402666"/>
    <n v="3"/>
    <b v="1"/>
    <n v="0"/>
    <n v="64.848402288682735"/>
    <x v="4"/>
    <n v="35.151597711317265"/>
    <n v="0.64930463728197152"/>
    <n v="45.541268937813655"/>
    <n v="0.40851815335827363"/>
    <n v="3"/>
    <b v="1"/>
    <n v="0"/>
    <n v="7.0266626709120233E-2"/>
    <n v="4.9283974895182165"/>
    <n v="0.29418599895658049"/>
    <n v="3"/>
  </r>
  <r>
    <n v="52473"/>
    <s v="52473"/>
    <s v="52"/>
    <s v="COLOMBIA"/>
    <s v="NARIÑO"/>
    <s v="MOSQUERA"/>
    <x v="6"/>
    <n v="0"/>
    <n v="0"/>
    <n v="1"/>
    <n v="46.9"/>
    <n v="52.471633333333301"/>
    <s v="N.D."/>
    <n v="24"/>
    <n v="52.685863829324937"/>
    <n v="45.907806076611784"/>
    <n v="49.293109651372248"/>
    <n v="56.334068539381775"/>
    <s v="2. Riesgo (&gt;=40 y &lt;60)"/>
    <s v="2. Riesgo (&gt;=40 y &lt;60)"/>
    <s v="2. Riesgo (&gt;=40 y &lt;60)"/>
    <s v="2. Riesgo (&gt;=40 y &lt;60)"/>
    <n v="41.123877777777771"/>
    <n v="51.055212024172683"/>
    <n v="46.089544900975227"/>
    <n v="65.227594262452797"/>
    <x v="3"/>
    <n v="34.772405737547203"/>
    <n v="0.6523467210059386"/>
    <n v="30.066363488807166"/>
    <n v="0.20547250246859541"/>
    <n v="4"/>
    <b v="1"/>
    <n v="0"/>
    <n v="0.6523368619611829"/>
    <n v="30.065909089921217"/>
    <n v="0.1941278272683645"/>
    <n v="4"/>
    <b v="1"/>
    <n v="0"/>
    <n v="65.227594262452797"/>
    <x v="4"/>
    <n v="34.772405737547203"/>
    <n v="0.64930463728197152"/>
    <n v="29.926155234418861"/>
    <n v="0.20906424704422977"/>
    <n v="4"/>
    <b v="1"/>
    <n v="0"/>
    <n v="6.9508637240453294E-2"/>
    <n v="3.2036214570994708"/>
    <n v="0.19123063442832722"/>
    <n v="5"/>
  </r>
  <r>
    <n v="13600"/>
    <s v="13600"/>
    <s v="13"/>
    <s v="COLOMBIA"/>
    <s v="BOLÍVAR"/>
    <s v="RÍO VIEJO"/>
    <x v="7"/>
    <n v="0"/>
    <n v="0"/>
    <n v="0"/>
    <n v="32.31"/>
    <n v="34.700733333333297"/>
    <n v="31.9"/>
    <n v="33.68"/>
    <n v="46.998171816560614"/>
    <n v="50.00116281314606"/>
    <n v="48.668572002120769"/>
    <n v="48.400610488903197"/>
    <s v="2. Riesgo (&gt;=40 y &lt;60)"/>
    <s v="2. Riesgo (&gt;=40 y &lt;60)"/>
    <s v="2. Riesgo (&gt;=40 y &lt;60)"/>
    <s v="2. Riesgo (&gt;=40 y &lt;60)"/>
    <n v="33.147683333333326"/>
    <n v="48.517129280182665"/>
    <n v="40.832406306757996"/>
    <n v="65.384946934900498"/>
    <x v="3"/>
    <n v="34.615053065099502"/>
    <n v="0.6523467210059386"/>
    <n v="26.636886364995785"/>
    <n v="0.16257335865935099"/>
    <n v="5"/>
    <b v="1"/>
    <n v="0"/>
    <n v="0.6523368619611829"/>
    <n v="26.636483796474526"/>
    <n v="0.15359674890719918"/>
    <n v="5"/>
    <b v="1"/>
    <n v="0"/>
    <n v="65.384946934900498"/>
    <x v="4"/>
    <n v="34.615053065099502"/>
    <n v="0.64930463728197152"/>
    <n v="26.512670766359587"/>
    <n v="0.16546335983783547"/>
    <n v="5"/>
    <b v="1"/>
    <n v="0"/>
    <n v="6.9194095591809945E-2"/>
    <n v="2.825361425233436"/>
    <n v="0.16865152923713136"/>
    <n v="5"/>
  </r>
  <r>
    <n v="68190"/>
    <s v="68190"/>
    <s v="68"/>
    <s v="COLOMBIA"/>
    <s v="SANTANDER"/>
    <s v="CIMITARRA"/>
    <x v="6"/>
    <n v="0"/>
    <n v="0"/>
    <n v="0"/>
    <n v="57.96"/>
    <n v="58.824433333333303"/>
    <n v="51.13"/>
    <n v="59.76"/>
    <n v="71.328664554404256"/>
    <n v="70.349070131076289"/>
    <n v="72.670959580505297"/>
    <n v="14.801287158351293"/>
    <s v="4. Solvente (&gt;=70 y &lt;80)"/>
    <s v="4. Solvente (&gt;=70 y &lt;80)"/>
    <s v="4. Solvente (&gt;=70 y &lt;80)"/>
    <s v="1. Deterioro (&lt;40)"/>
    <n v="56.918608333333324"/>
    <n v="57.287495356084285"/>
    <n v="57.103051844708801"/>
    <n v="65.306641011819039"/>
    <x v="3"/>
    <n v="34.693358988180961"/>
    <n v="0.6523467210059386"/>
    <n v="37.250988630327903"/>
    <n v="0.29534458968026767"/>
    <n v="4"/>
    <b v="1"/>
    <n v="0"/>
    <n v="0.6523368619611829"/>
    <n v="37.250425648784073"/>
    <n v="0.27903890674013743"/>
    <n v="4"/>
    <b v="1"/>
    <n v="0"/>
    <n v="65.306641011819039"/>
    <x v="4"/>
    <n v="34.693358988180961"/>
    <n v="0.64930463728197152"/>
    <n v="37.077276365722263"/>
    <n v="0.30040646018823525"/>
    <n v="4"/>
    <b v="1"/>
    <n v="0"/>
    <n v="6.9350625975192967E-2"/>
    <n v="3.960132390524453"/>
    <n v="0.23638829980425041"/>
    <n v="4"/>
  </r>
  <r>
    <n v="50400"/>
    <s v="50400"/>
    <s v="50"/>
    <s v="COLOMBIA"/>
    <s v="META"/>
    <s v="LEJANÍAS"/>
    <x v="6"/>
    <n v="0"/>
    <n v="0"/>
    <n v="0"/>
    <n v="62.27"/>
    <n v="64.662466666666703"/>
    <n v="78.349999999999994"/>
    <n v="63.45"/>
    <n v="59.00688487911583"/>
    <n v="61.871584249456006"/>
    <n v="53.299925619919826"/>
    <n v="55.661842560962292"/>
    <s v="2. Riesgo (&gt;=40 y &lt;60)"/>
    <s v="3. Vulnerable (&gt;=60 y &lt;70)"/>
    <s v="2. Riesgo (&gt;=40 y &lt;60)"/>
    <s v="2. Riesgo (&gt;=40 y &lt;60)"/>
    <n v="67.183116666666677"/>
    <n v="57.460059327363489"/>
    <n v="62.321587997015087"/>
    <n v="65.470191246801207"/>
    <x v="3"/>
    <n v="34.529808753198793"/>
    <n v="0.6523467210059386"/>
    <n v="40.655283577735851"/>
    <n v="0.33792873100722115"/>
    <n v="4"/>
    <b v="1"/>
    <n v="0"/>
    <n v="0.6523368619611829"/>
    <n v="40.654669146410541"/>
    <n v="0.31927237099621797"/>
    <n v="4"/>
    <b v="1"/>
    <n v="0"/>
    <n v="65.470191246801207"/>
    <x v="4"/>
    <n v="34.529808753198793"/>
    <n v="0.64930463728197152"/>
    <n v="40.465696089238349"/>
    <n v="0.34368719210758764"/>
    <n v="4"/>
    <b v="1"/>
    <n v="0"/>
    <n v="6.9023695648894282E-2"/>
    <n v="4.3016663222617524"/>
    <n v="0.25677514991108463"/>
    <n v="4"/>
  </r>
  <r>
    <n v="54871"/>
    <s v="54871"/>
    <s v="54"/>
    <s v="COLOMBIA"/>
    <s v="NORTE DE SANTANDER"/>
    <s v="VILLA CARO"/>
    <x v="6"/>
    <n v="0"/>
    <n v="0"/>
    <n v="0"/>
    <n v="50.18"/>
    <n v="55.9621"/>
    <n v="59.67"/>
    <n v="54.69"/>
    <n v="43.891364109073471"/>
    <n v="57.54538938420383"/>
    <n v="47.885209026886315"/>
    <n v="49.587450038551104"/>
    <s v="2. Riesgo (&gt;=40 y &lt;60)"/>
    <s v="2. Riesgo (&gt;=40 y &lt;60)"/>
    <s v="2. Riesgo (&gt;=40 y &lt;60)"/>
    <s v="2. Riesgo (&gt;=40 y &lt;60)"/>
    <n v="55.125524999999996"/>
    <n v="49.727353139678684"/>
    <n v="52.42643906983934"/>
    <n v="65.472035173733062"/>
    <x v="3"/>
    <n v="34.527964826266938"/>
    <n v="0.6523467210059386"/>
    <n v="34.200215621227322"/>
    <n v="0.25718263515429102"/>
    <n v="4"/>
    <b v="1"/>
    <n v="0"/>
    <n v="0.6523368619611829"/>
    <n v="34.199698746618154"/>
    <n v="0.24298352120178379"/>
    <n v="4"/>
    <b v="1"/>
    <n v="0"/>
    <n v="65.472035173733062"/>
    <x v="4"/>
    <n v="34.527964826266938"/>
    <n v="0.64930463728197152"/>
    <n v="34.040730004227413"/>
    <n v="0.26162025311936365"/>
    <n v="4"/>
    <b v="1"/>
    <n v="0"/>
    <n v="6.902000971329432E-2"/>
    <n v="3.618473333833744"/>
    <n v="0.21599398073625964"/>
    <n v="4"/>
  </r>
  <r>
    <n v="27025"/>
    <s v="27025"/>
    <s v="27"/>
    <s v="COLOMBIA"/>
    <s v="CHOCÓ"/>
    <s v="ALTO BAUDÓ"/>
    <x v="6"/>
    <n v="0"/>
    <n v="0"/>
    <n v="0"/>
    <n v="64.39"/>
    <n v="66.472899999999996"/>
    <n v="68.17"/>
    <n v="27.02"/>
    <n v="41.683736959626152"/>
    <n v="48.612460129131051"/>
    <n v="45.083843795451727"/>
    <n v="59.16940148032873"/>
    <s v="2. Riesgo (&gt;=40 y &lt;60)"/>
    <s v="2. Riesgo (&gt;=40 y &lt;60)"/>
    <s v="2. Riesgo (&gt;=40 y &lt;60)"/>
    <s v="2. Riesgo (&gt;=40 y &lt;60)"/>
    <n v="56.513224999999998"/>
    <n v="48.637360591134417"/>
    <n v="52.575292795567208"/>
    <n v="65.487778536218315"/>
    <x v="3"/>
    <n v="34.512221463781685"/>
    <n v="0.6523467210059386"/>
    <n v="34.297319861115412"/>
    <n v="0.25839730683777401"/>
    <n v="4"/>
    <b v="1"/>
    <n v="0"/>
    <n v="0.6523368619611829"/>
    <n v="34.296801518950701"/>
    <n v="0.24413114208217376"/>
    <n v="4"/>
    <b v="1"/>
    <n v="0"/>
    <n v="65.487778536218315"/>
    <x v="4"/>
    <n v="34.512221463781685"/>
    <n v="0.64930463728197152"/>
    <n v="34.137381418619213"/>
    <n v="0.26285479437967041"/>
    <n v="4"/>
    <b v="1"/>
    <n v="0"/>
    <n v="6.898853936637063E-2"/>
    <n v="3.6270926567254507"/>
    <n v="0.21650848552622817"/>
    <n v="4"/>
  </r>
  <r>
    <n v="13744"/>
    <s v="13744"/>
    <s v="13"/>
    <s v="COLOMBIA"/>
    <s v="BOLÍVAR"/>
    <s v="SIMITÍ"/>
    <x v="6"/>
    <n v="0"/>
    <n v="0"/>
    <n v="1"/>
    <n v="57.83"/>
    <n v="59.451733333333301"/>
    <n v="41"/>
    <n v="49.78"/>
    <n v="60.031397553169668"/>
    <n v="39.426516472914287"/>
    <n v="53.121705888832345"/>
    <n v="51.362446437023024"/>
    <s v="3. Vulnerable (&gt;=60 y &lt;70)"/>
    <s v="1. Deterioro (&lt;40)"/>
    <s v="2. Riesgo (&gt;=40 y &lt;60)"/>
    <s v="2. Riesgo (&gt;=40 y &lt;60)"/>
    <n v="52.015433333333327"/>
    <n v="50.985516587984833"/>
    <n v="51.500474960659076"/>
    <n v="65.509523577516987"/>
    <x v="3"/>
    <n v="34.490476422483013"/>
    <n v="0.6523467210059386"/>
    <n v="33.596165970834392"/>
    <n v="0.24962661075622436"/>
    <n v="4"/>
    <b v="1"/>
    <n v="0"/>
    <n v="0.6523368619611829"/>
    <n v="33.595658225346817"/>
    <n v="0.23584459511182018"/>
    <n v="4"/>
    <b v="1"/>
    <n v="0"/>
    <n v="65.509523577516987"/>
    <x v="4"/>
    <n v="34.490476422483013"/>
    <n v="0.64930463728197152"/>
    <n v="33.439497214180001"/>
    <n v="0.25394062741462242"/>
    <n v="4"/>
    <b v="1"/>
    <n v="0"/>
    <n v="6.8945071905453015E-2"/>
    <n v="3.5507039493276227"/>
    <n v="0.21194868931607533"/>
    <n v="4"/>
  </r>
  <r>
    <n v="52390"/>
    <s v="52390"/>
    <s v="52"/>
    <s v="COLOMBIA"/>
    <s v="NARIÑO"/>
    <s v="LA TOLA"/>
    <x v="6"/>
    <n v="0"/>
    <n v="0"/>
    <n v="1"/>
    <n v="48.62"/>
    <n v="50.885100000000001"/>
    <n v="53.1"/>
    <n v="47.8"/>
    <n v="64.753477122922078"/>
    <n v="40.396620282562353"/>
    <n v="59.622003358889629"/>
    <n v="61.184071282459271"/>
    <s v="3. Vulnerable (&gt;=60 y &lt;70)"/>
    <s v="2. Riesgo (&gt;=40 y &lt;60)"/>
    <s v="2. Riesgo (&gt;=40 y &lt;60)"/>
    <s v="3. Vulnerable (&gt;=60 y &lt;70)"/>
    <n v="50.101275000000001"/>
    <n v="56.489043011708333"/>
    <n v="53.295159005854167"/>
    <n v="65.550924070138009"/>
    <x v="3"/>
    <n v="34.449075929861991"/>
    <n v="0.6523467210059386"/>
    <n v="34.766922222959082"/>
    <n v="0.26427153737689002"/>
    <n v="4"/>
    <b v="1"/>
    <n v="0"/>
    <n v="0.6523368619611829"/>
    <n v="34.766396783601181"/>
    <n v="0.24968111061653764"/>
    <n v="4"/>
    <b v="1"/>
    <n v="0"/>
    <n v="65.550924070138009"/>
    <x v="4"/>
    <n v="34.449075929861991"/>
    <n v="0.64930463728197152"/>
    <n v="34.604793887181138"/>
    <n v="0.26882511547277255"/>
    <n v="4"/>
    <b v="1"/>
    <n v="0"/>
    <n v="6.8862313989739882E-2"/>
    <n v="3.6700279735942427"/>
    <n v="0.21907138129720174"/>
    <n v="4"/>
  </r>
  <r>
    <n v="18256"/>
    <s v="18256"/>
    <s v="18"/>
    <s v="COLOMBIA"/>
    <s v="CAQUETÁ"/>
    <s v="EL PAUJÍL"/>
    <x v="6"/>
    <n v="0"/>
    <n v="0"/>
    <n v="1"/>
    <n v="53.38"/>
    <n v="55.621866666666698"/>
    <n v="56.99"/>
    <n v="52.56"/>
    <n v="49.438647515593928"/>
    <n v="50.469509979317898"/>
    <n v="59.921384726868979"/>
    <n v="55.473450242639714"/>
    <s v="2. Riesgo (&gt;=40 y &lt;60)"/>
    <s v="2. Riesgo (&gt;=40 y &lt;60)"/>
    <s v="2. Riesgo (&gt;=40 y &lt;60)"/>
    <s v="2. Riesgo (&gt;=40 y &lt;60)"/>
    <n v="54.637966666666678"/>
    <n v="53.825748116105132"/>
    <n v="54.231857391385901"/>
    <n v="65.568595605390314"/>
    <x v="3"/>
    <n v="34.431404394609686"/>
    <n v="0.6523467210059386"/>
    <n v="35.377974343332269"/>
    <n v="0.27191515529311056"/>
    <n v="4"/>
    <b v="1"/>
    <n v="0"/>
    <n v="0.6523368619611829"/>
    <n v="35.377439669023062"/>
    <n v="0.2569027949956646"/>
    <n v="4"/>
    <b v="1"/>
    <n v="0"/>
    <n v="65.568595605390314"/>
    <x v="4"/>
    <n v="34.431404394609686"/>
    <n v="0.64930463728197152"/>
    <n v="35.21299649264143"/>
    <n v="0.27659376754880971"/>
    <n v="4"/>
    <b v="1"/>
    <n v="0"/>
    <n v="6.882698930318798E-2"/>
    <n v="3.7326154685689334"/>
    <n v="0.22280735526652523"/>
    <n v="4"/>
  </r>
  <r>
    <n v="13688"/>
    <s v="13688"/>
    <s v="13"/>
    <s v="COLOMBIA"/>
    <s v="BOLÍVAR"/>
    <s v="SANTA ROSA DEL SUR"/>
    <x v="5"/>
    <n v="0"/>
    <n v="0"/>
    <n v="1"/>
    <n v="68.81"/>
    <n v="72.755633333333293"/>
    <n v="75.87"/>
    <n v="80.28"/>
    <n v="50.279418919918832"/>
    <n v="56.310307850653196"/>
    <n v="55.79546218902027"/>
    <n v="56.568744192193243"/>
    <s v="2. Riesgo (&gt;=40 y &lt;60)"/>
    <s v="2. Riesgo (&gt;=40 y &lt;60)"/>
    <s v="2. Riesgo (&gt;=40 y &lt;60)"/>
    <s v="2. Riesgo (&gt;=40 y &lt;60)"/>
    <n v="74.428908333333325"/>
    <n v="54.738483287946387"/>
    <n v="64.583695810639853"/>
    <n v="65.565203666594371"/>
    <x v="3"/>
    <n v="34.434796333405629"/>
    <n v="0.6523467210059386"/>
    <n v="42.130962192515881"/>
    <n v="0.35638791496623828"/>
    <n v="3"/>
    <b v="1"/>
    <n v="0"/>
    <n v="0.6523368619611829"/>
    <n v="42.130325458968393"/>
    <n v="0.33671259392590874"/>
    <n v="4"/>
    <b v="0"/>
    <n v="1"/>
    <n v="65.565203666594371"/>
    <x v="4"/>
    <n v="34.434796333405629"/>
    <n v="0.64930463728197152"/>
    <n v="41.934493182656695"/>
    <n v="0.36244833105474189"/>
    <n v="3"/>
    <b v="1"/>
    <n v="0"/>
    <n v="6.8833769652097074E-2"/>
    <n v="4.4455392407106906"/>
    <n v="0.26536321496198967"/>
    <n v="4"/>
  </r>
  <r>
    <n v="15621"/>
    <s v="15621"/>
    <s v="15"/>
    <s v="COLOMBIA"/>
    <s v="BOYACÁ"/>
    <s v="RONDÓN"/>
    <x v="6"/>
    <n v="0"/>
    <n v="0"/>
    <n v="0"/>
    <n v="71.760000000000005"/>
    <n v="71.711799999999997"/>
    <n v="63.43"/>
    <n v="33.81"/>
    <n v="54.251699580901708"/>
    <n v="67.034285667300708"/>
    <n v="39.886262636356676"/>
    <n v="61.372457782077312"/>
    <s v="2. Riesgo (&gt;=40 y &lt;60)"/>
    <s v="3. Vulnerable (&gt;=60 y &lt;70)"/>
    <s v="1. Deterioro (&lt;40)"/>
    <s v="3. Vulnerable (&gt;=60 y &lt;70)"/>
    <n v="60.177950000000003"/>
    <n v="55.636176416659104"/>
    <n v="57.907063208329554"/>
    <n v="65.77052603979277"/>
    <x v="3"/>
    <n v="34.22947396020723"/>
    <n v="0.6523467210059386"/>
    <n v="37.775482807037413"/>
    <n v="0.3019054589619285"/>
    <n v="4"/>
    <b v="1"/>
    <n v="0"/>
    <n v="0.6523368619611829"/>
    <n v="37.774911898709568"/>
    <n v="0.28523761103490836"/>
    <n v="4"/>
    <b v="1"/>
    <n v="0"/>
    <n v="65.77052603979277"/>
    <x v="4"/>
    <n v="34.22947396020723"/>
    <n v="0.64930463728197152"/>
    <n v="37.599324672548619"/>
    <n v="0.30707465204767154"/>
    <n v="4"/>
    <b v="1"/>
    <n v="0"/>
    <n v="6.842333850552311E-2"/>
    <n v="3.9621945877642561"/>
    <n v="0.23651139652206329"/>
    <n v="4"/>
  </r>
  <r>
    <n v="52233"/>
    <s v="52233"/>
    <s v="52"/>
    <s v="COLOMBIA"/>
    <s v="NARIÑO"/>
    <s v="CUMBITARA"/>
    <x v="6"/>
    <n v="0"/>
    <n v="0"/>
    <n v="1"/>
    <n v="57.23"/>
    <n v="58.199666666666701"/>
    <n v="61.64"/>
    <n v="61.42"/>
    <n v="52.417743808933338"/>
    <n v="57.146612448411922"/>
    <n v="65.290073740710866"/>
    <n v="62.800582245239958"/>
    <s v="2. Riesgo (&gt;=40 y &lt;60)"/>
    <s v="2. Riesgo (&gt;=40 y &lt;60)"/>
    <s v="3. Vulnerable (&gt;=60 y &lt;70)"/>
    <s v="3. Vulnerable (&gt;=60 y &lt;70)"/>
    <n v="59.62241666666668"/>
    <n v="59.413753060824014"/>
    <n v="59.518084863745344"/>
    <n v="65.62036165751681"/>
    <x v="3"/>
    <n v="34.37963834248319"/>
    <n v="0.6523467210059386"/>
    <n v="38.826427501417463"/>
    <n v="0.31505166928849482"/>
    <n v="4"/>
    <b v="1"/>
    <n v="0"/>
    <n v="0.6523368619611829"/>
    <n v="38.825840709955017"/>
    <n v="0.29765814052770445"/>
    <n v="4"/>
    <b v="1"/>
    <n v="0"/>
    <n v="65.62036165751681"/>
    <x v="4"/>
    <n v="34.37963834248319"/>
    <n v="0.64930463728197152"/>
    <n v="38.64536850417177"/>
    <n v="0.32043590783843717"/>
    <n v="4"/>
    <b v="1"/>
    <n v="0"/>
    <n v="6.8723511051904787E-2"/>
    <n v="4.0902917629218098"/>
    <n v="0.24415777559708488"/>
    <n v="4"/>
  </r>
  <r>
    <n v="68101"/>
    <s v="68101"/>
    <s v="68"/>
    <s v="COLOMBIA"/>
    <s v="SANTANDER"/>
    <s v="BOLÍVAR"/>
    <x v="6"/>
    <n v="0"/>
    <n v="0"/>
    <n v="0"/>
    <n v="65.14"/>
    <n v="71.346800000000002"/>
    <n v="61.36"/>
    <n v="62.09"/>
    <n v="53.09086010499297"/>
    <n v="54.227864596734648"/>
    <n v="42.205660877601439"/>
    <n v="60.34050124130659"/>
    <s v="2. Riesgo (&gt;=40 y &lt;60)"/>
    <s v="2. Riesgo (&gt;=40 y &lt;60)"/>
    <s v="2. Riesgo (&gt;=40 y &lt;60)"/>
    <s v="3. Vulnerable (&gt;=60 y &lt;70)"/>
    <n v="64.984200000000016"/>
    <n v="52.466221705158908"/>
    <n v="58.725210852579465"/>
    <n v="65.68359727315601"/>
    <x v="3"/>
    <n v="34.31640272684399"/>
    <n v="0.6523467210059386"/>
    <n v="38.309198740062577"/>
    <n v="0.30858168269445069"/>
    <n v="4"/>
    <b v="1"/>
    <n v="0"/>
    <n v="0.6523368619611829"/>
    <n v="38.308619765580488"/>
    <n v="0.29154530212689739"/>
    <n v="4"/>
    <b v="1"/>
    <n v="0"/>
    <n v="65.68359727315601"/>
    <x v="4"/>
    <n v="34.31640272684399"/>
    <n v="0.64930463728197152"/>
    <n v="38.130551731941409"/>
    <n v="0.31386008532393256"/>
    <n v="4"/>
    <b v="1"/>
    <n v="0"/>
    <n v="6.8597105605548353E-2"/>
    <n v="4.0283794905624877"/>
    <n v="0.24046210702927226"/>
    <n v="4"/>
  </r>
  <r>
    <n v="68573"/>
    <s v="68573"/>
    <s v="68"/>
    <s v="COLOMBIA"/>
    <s v="SANTANDER"/>
    <s v="PUERTO PARRA"/>
    <x v="6"/>
    <n v="0"/>
    <n v="0"/>
    <n v="0"/>
    <n v="63.8"/>
    <n v="65.792299999999997"/>
    <n v="66.89"/>
    <n v="65.44"/>
    <n v="58.525086326695742"/>
    <n v="69.427385122162761"/>
    <n v="72.076423887720154"/>
    <n v="63.398090689502908"/>
    <s v="2. Riesgo (&gt;=40 y &lt;60)"/>
    <s v="3. Vulnerable (&gt;=60 y &lt;70)"/>
    <s v="4. Solvente (&gt;=70 y &lt;80)"/>
    <s v="3. Vulnerable (&gt;=60 y &lt;70)"/>
    <n v="65.480575000000002"/>
    <n v="65.856746506520395"/>
    <n v="65.668660753260198"/>
    <n v="65.70231627597768"/>
    <x v="3"/>
    <n v="34.29768372402232"/>
    <n v="0.6523467210059386"/>
    <n v="42.838735515240657"/>
    <n v="0.36524141317011982"/>
    <n v="3"/>
    <b v="0"/>
    <n v="-1"/>
    <n v="0.6523368619611829"/>
    <n v="42.838088084975247"/>
    <n v="0.34507737227830643"/>
    <n v="3"/>
    <b v="0"/>
    <n v="-1"/>
    <n v="65.70231627597768"/>
    <x v="4"/>
    <n v="34.29768372402232"/>
    <n v="0.64930463728197152"/>
    <n v="42.638965951188453"/>
    <n v="0.3714466546177001"/>
    <n v="3"/>
    <b v="0"/>
    <n v="-1"/>
    <n v="6.8559687073553324E-2"/>
    <n v="4.5022228317828521"/>
    <n v="0.26874677298454686"/>
    <n v="4"/>
  </r>
  <r>
    <n v="54820"/>
    <s v="54820"/>
    <s v="54"/>
    <s v="COLOMBIA"/>
    <s v="NORTE DE SANTANDER"/>
    <s v="TOLEDO"/>
    <x v="6"/>
    <n v="0"/>
    <n v="0"/>
    <n v="0"/>
    <n v="55.82"/>
    <n v="56.272133333333301"/>
    <n v="54.63"/>
    <n v="44.02"/>
    <n v="60.065749582188054"/>
    <n v="49.361154582155542"/>
    <n v="62.713600077400848"/>
    <n v="67.108423329516512"/>
    <s v="3. Vulnerable (&gt;=60 y &lt;70)"/>
    <s v="2. Riesgo (&gt;=40 y &lt;60)"/>
    <s v="3. Vulnerable (&gt;=60 y &lt;70)"/>
    <s v="3. Vulnerable (&gt;=60 y &lt;70)"/>
    <n v="52.685533333333325"/>
    <n v="59.812231892815241"/>
    <n v="56.248882613074286"/>
    <n v="65.682257910159052"/>
    <x v="3"/>
    <n v="34.317742089840948"/>
    <n v="0.6523467210059386"/>
    <n v="36.693774132886965"/>
    <n v="0.28837442367672578"/>
    <n v="4"/>
    <b v="1"/>
    <n v="0"/>
    <n v="0.6523368619611829"/>
    <n v="36.693219572635819"/>
    <n v="0.27245349921461454"/>
    <n v="4"/>
    <b v="1"/>
    <n v="0"/>
    <n v="65.682257910159052"/>
    <x v="4"/>
    <n v="34.317742089840948"/>
    <n v="0.64930463728197152"/>
    <n v="36.522660322598391"/>
    <n v="0.29332227633874813"/>
    <n v="4"/>
    <b v="1"/>
    <n v="0"/>
    <n v="6.859978293818364E-2"/>
    <n v="3.8586611377722679"/>
    <n v="0.23033127580816129"/>
    <n v="4"/>
  </r>
  <r>
    <n v="73461"/>
    <s v="73461"/>
    <s v="73"/>
    <s v="COLOMBIA"/>
    <s v="TOLIMA"/>
    <s v="MURILLO"/>
    <x v="6"/>
    <n v="0"/>
    <n v="0"/>
    <n v="0"/>
    <n v="74.739999999999995"/>
    <n v="69.733933333333297"/>
    <n v="47.77"/>
    <n v="53.47"/>
    <n v="62.889201447424867"/>
    <n v="53.71426170349411"/>
    <n v="54.451609758701338"/>
    <n v="64.04153016031583"/>
    <s v="3. Vulnerable (&gt;=60 y &lt;70)"/>
    <s v="2. Riesgo (&gt;=40 y &lt;60)"/>
    <s v="2. Riesgo (&gt;=40 y &lt;60)"/>
    <s v="3. Vulnerable (&gt;=60 y &lt;70)"/>
    <n v="61.428483333333325"/>
    <n v="58.774150767484038"/>
    <n v="60.101317050408682"/>
    <n v="65.7382896880017"/>
    <x v="3"/>
    <n v="34.2617103119983"/>
    <n v="0.6523467210059386"/>
    <n v="39.206897105972416"/>
    <n v="0.31981094298871121"/>
    <n v="4"/>
    <b v="1"/>
    <n v="0"/>
    <n v="0.6523368619611829"/>
    <n v="39.206304564397733"/>
    <n v="0.30215469869081013"/>
    <n v="4"/>
    <b v="1"/>
    <n v="0"/>
    <n v="65.7382896880017"/>
    <x v="4"/>
    <n v="34.2617103119983"/>
    <n v="0.64930463728197152"/>
    <n v="39.024063867584381"/>
    <n v="0.32527303364939048"/>
    <n v="4"/>
    <b v="1"/>
    <n v="0"/>
    <n v="6.8487777673164066E-2"/>
    <n v="4.1162056400127343"/>
    <n v="0.24570462725323589"/>
    <n v="4"/>
  </r>
  <r>
    <n v="25293"/>
    <s v="25293"/>
    <s v="25"/>
    <s v="COLOMBIA"/>
    <s v="CUNDINAMARCA"/>
    <s v="GACHALÁ"/>
    <x v="6"/>
    <n v="0"/>
    <n v="0"/>
    <n v="0"/>
    <n v="53.49"/>
    <n v="57.106400000000001"/>
    <n v="67.349999999999994"/>
    <n v="59.67"/>
    <n v="48.352688787594637"/>
    <n v="56.865322154154811"/>
    <n v="48.328169959739462"/>
    <n v="66.065220564274867"/>
    <s v="2. Riesgo (&gt;=40 y &lt;60)"/>
    <s v="2. Riesgo (&gt;=40 y &lt;60)"/>
    <s v="2. Riesgo (&gt;=40 y &lt;60)"/>
    <s v="3. Vulnerable (&gt;=60 y &lt;70)"/>
    <n v="59.4041"/>
    <n v="54.902850366440944"/>
    <n v="57.153475183220472"/>
    <n v="65.946836875627056"/>
    <x v="3"/>
    <n v="34.053163124372944"/>
    <n v="0.6523467210059386"/>
    <n v="37.283882129868161"/>
    <n v="0.29575605268649957"/>
    <n v="4"/>
    <b v="1"/>
    <n v="0"/>
    <n v="0.6523368619611829"/>
    <n v="37.283318651198385"/>
    <n v="0.27942765667469238"/>
    <n v="4"/>
    <b v="1"/>
    <n v="0"/>
    <n v="65.946836875627056"/>
    <x v="4"/>
    <n v="34.053163124372944"/>
    <n v="0.64930463728197152"/>
    <n v="37.110016473245132"/>
    <n v="0.30082465389867608"/>
    <n v="4"/>
    <b v="1"/>
    <n v="0"/>
    <n v="6.8070900252557104E-2"/>
    <n v="3.8904885082839984"/>
    <n v="0.23223111582879039"/>
    <n v="4"/>
  </r>
  <r>
    <n v="15667"/>
    <s v="15667"/>
    <s v="15"/>
    <s v="COLOMBIA"/>
    <s v="BOYACÁ"/>
    <s v="SAN LUIS DE GACENO"/>
    <x v="6"/>
    <n v="0"/>
    <n v="0"/>
    <n v="0"/>
    <n v="48.77"/>
    <n v="50.167366666666702"/>
    <n v="54.25"/>
    <n v="50.94"/>
    <n v="49.675084890665694"/>
    <n v="46.603527038199402"/>
    <n v="48.130819806777318"/>
    <n v="51.320309990908044"/>
    <s v="2. Riesgo (&gt;=40 y &lt;60)"/>
    <s v="2. Riesgo (&gt;=40 y &lt;60)"/>
    <s v="2. Riesgo (&gt;=40 y &lt;60)"/>
    <s v="2. Riesgo (&gt;=40 y &lt;60)"/>
    <n v="51.031841666666679"/>
    <n v="48.932435431637614"/>
    <n v="49.982138549152147"/>
    <n v="66.073609530311444"/>
    <x v="3"/>
    <n v="33.926390469688556"/>
    <n v="0.6523467210059386"/>
    <n v="32.605684191403924"/>
    <n v="0.23723672776175744"/>
    <n v="4"/>
    <b v="1"/>
    <n v="0"/>
    <n v="0.6523368619611829"/>
    <n v="32.605191415262979"/>
    <n v="0.22413864310570586"/>
    <n v="4"/>
    <b v="1"/>
    <n v="0"/>
    <n v="66.073609530311444"/>
    <x v="4"/>
    <n v="33.926390469688556"/>
    <n v="0.64930463728197152"/>
    <n v="32.453634341234483"/>
    <n v="0.24134807094439834"/>
    <n v="4"/>
    <b v="1"/>
    <n v="0"/>
    <n v="6.7817486826607348E-2"/>
    <n v="3.3896630226227891"/>
    <n v="0.20233583118190193"/>
    <n v="4"/>
  </r>
  <r>
    <n v="25530"/>
    <s v="25530"/>
    <s v="25"/>
    <s v="COLOMBIA"/>
    <s v="CUNDINAMARCA"/>
    <s v="PARATEBUENO"/>
    <x v="6"/>
    <n v="0"/>
    <n v="0"/>
    <n v="0"/>
    <n v="53.16"/>
    <n v="56.3583"/>
    <n v="58.75"/>
    <n v="56.97"/>
    <n v="53.682423259657462"/>
    <n v="62.813058646805217"/>
    <n v="71.830255474707741"/>
    <n v="68.62131443682101"/>
    <s v="2. Riesgo (&gt;=40 y &lt;60)"/>
    <s v="3. Vulnerable (&gt;=60 y &lt;70)"/>
    <s v="4. Solvente (&gt;=70 y &lt;80)"/>
    <s v="3. Vulnerable (&gt;=60 y &lt;70)"/>
    <n v="56.309575000000002"/>
    <n v="64.236762954497863"/>
    <n v="60.273168977248929"/>
    <n v="66.163054277544248"/>
    <x v="3"/>
    <n v="33.836945722455752"/>
    <n v="0.6523467210059386"/>
    <n v="39.319004146945204"/>
    <n v="0.32121328389932086"/>
    <n v="4"/>
    <b v="1"/>
    <n v="0"/>
    <n v="0.6523368619611829"/>
    <n v="39.318409911074689"/>
    <n v="0.30347962931389499"/>
    <n v="4"/>
    <b v="1"/>
    <n v="0"/>
    <n v="66.163054277544248"/>
    <x v="4"/>
    <n v="33.836945722455752"/>
    <n v="0.64930463728197152"/>
    <n v="39.135648120607591"/>
    <n v="0.32669831402655325"/>
    <n v="4"/>
    <b v="1"/>
    <n v="0"/>
    <n v="6.763869038280089E-2"/>
    <n v="4.0767982148423805"/>
    <n v="0.24335231846225389"/>
    <n v="4"/>
  </r>
  <r>
    <n v="54174"/>
    <s v="54174"/>
    <s v="54"/>
    <s v="COLOMBIA"/>
    <s v="NORTE DE SANTANDER"/>
    <s v="CHITAGÁ"/>
    <x v="6"/>
    <n v="0"/>
    <n v="0"/>
    <n v="0"/>
    <n v="58.1"/>
    <n v="59.760966666666697"/>
    <n v="47.3"/>
    <n v="42.07"/>
    <n v="52.845611955194379"/>
    <n v="59.168726571013735"/>
    <n v="51.367140469710492"/>
    <n v="60.443449452704648"/>
    <s v="2. Riesgo (&gt;=40 y &lt;60)"/>
    <s v="2. Riesgo (&gt;=40 y &lt;60)"/>
    <s v="2. Riesgo (&gt;=40 y &lt;60)"/>
    <s v="3. Vulnerable (&gt;=60 y &lt;70)"/>
    <n v="51.807741666666672"/>
    <n v="55.95623211215581"/>
    <n v="53.881986889411237"/>
    <n v="65.939264604743798"/>
    <x v="3"/>
    <n v="34.060735395256202"/>
    <n v="0.6523467210059386"/>
    <n v="35.149737468592392"/>
    <n v="0.26906015257445792"/>
    <n v="4"/>
    <b v="1"/>
    <n v="0"/>
    <n v="0.6523368619611829"/>
    <n v="35.149206243672126"/>
    <n v="0.25420539060396874"/>
    <n v="4"/>
    <b v="1"/>
    <n v="0"/>
    <n v="65.939264604743798"/>
    <x v="4"/>
    <n v="34.060735395256202"/>
    <n v="0.64930463728197152"/>
    <n v="34.985823953261111"/>
    <n v="0.27369206274874575"/>
    <n v="4"/>
    <b v="1"/>
    <n v="0"/>
    <n v="6.8086036916781126E-2"/>
    <n v="3.66861094850197"/>
    <n v="0.2189867962077881"/>
    <n v="4"/>
  </r>
  <r>
    <n v="41078"/>
    <s v="41078"/>
    <s v="41"/>
    <s v="COLOMBIA"/>
    <s v="HUILA"/>
    <s v="BARAYA"/>
    <x v="6"/>
    <n v="0"/>
    <n v="0"/>
    <n v="0"/>
    <n v="68.7"/>
    <n v="71.364599999999996"/>
    <n v="75.98"/>
    <n v="73.959999999999994"/>
    <n v="61.328156466028553"/>
    <n v="62.216054397843045"/>
    <n v="48.151479977425637"/>
    <n v="53.649388540969923"/>
    <s v="3. Vulnerable (&gt;=60 y &lt;70)"/>
    <s v="3. Vulnerable (&gt;=60 y &lt;70)"/>
    <s v="2. Riesgo (&gt;=40 y &lt;60)"/>
    <s v="2. Riesgo (&gt;=40 y &lt;60)"/>
    <n v="72.501149999999996"/>
    <n v="56.33626984556679"/>
    <n v="64.418709922783393"/>
    <n v="66.071765807428449"/>
    <x v="3"/>
    <n v="33.928234192571551"/>
    <n v="0.6523467210059386"/>
    <n v="42.023334189560465"/>
    <n v="0.3550416020998749"/>
    <n v="3"/>
    <b v="0"/>
    <n v="-1"/>
    <n v="0.6523368619611829"/>
    <n v="42.022699082616235"/>
    <n v="0.33544059855630748"/>
    <n v="4"/>
    <b v="1"/>
    <n v="0"/>
    <n v="66.071765807428449"/>
    <x v="4"/>
    <n v="33.928234192571551"/>
    <n v="0.64930463728197152"/>
    <n v="41.827367080585411"/>
    <n v="0.36107999522753181"/>
    <n v="3"/>
    <b v="0"/>
    <n v="-1"/>
    <n v="6.7821172354321863E-2"/>
    <n v="4.3689524285161561"/>
    <n v="0.26079159347645248"/>
    <n v="4"/>
  </r>
  <r>
    <n v="27413"/>
    <s v="27413"/>
    <s v="27"/>
    <s v="COLOMBIA"/>
    <s v="CHOCÓ"/>
    <s v="LLORÓ"/>
    <x v="6"/>
    <n v="0"/>
    <n v="0"/>
    <n v="0"/>
    <n v="64.319999999999993"/>
    <n v="67.212400000000002"/>
    <n v="60.22"/>
    <n v="34.49"/>
    <n v="47.771422861355127"/>
    <n v="49.17394860891644"/>
    <n v="47.434311011115"/>
    <n v="6.2446130505055546"/>
    <s v="2. Riesgo (&gt;=40 y &lt;60)"/>
    <s v="2. Riesgo (&gt;=40 y &lt;60)"/>
    <s v="2. Riesgo (&gt;=40 y &lt;60)"/>
    <s v="1. Deterioro (&lt;40)"/>
    <n v="56.560600000000001"/>
    <n v="37.656073882973033"/>
    <n v="47.108336941486513"/>
    <n v="66.088196220296595"/>
    <x v="3"/>
    <n v="33.911803779703405"/>
    <n v="0.6523467210059386"/>
    <n v="30.730969135821653"/>
    <n v="0.21378601855236054"/>
    <n v="4"/>
    <b v="1"/>
    <n v="0"/>
    <n v="0.6523368619611829"/>
    <n v="30.73050469261938"/>
    <n v="0.20198243092540255"/>
    <n v="4"/>
    <b v="1"/>
    <n v="0"/>
    <n v="66.088196220296595"/>
    <x v="4"/>
    <n v="33.911803779703405"/>
    <n v="0.64930463728197152"/>
    <n v="30.587661630748801"/>
    <n v="0.21751375546958618"/>
    <n v="4"/>
    <b v="1"/>
    <n v="0"/>
    <n v="6.7788328621380803E-2"/>
    <n v="3.1933954253962207"/>
    <n v="0.19062022194467904"/>
    <n v="5"/>
  </r>
  <r>
    <n v="15690"/>
    <s v="15690"/>
    <s v="15"/>
    <s v="COLOMBIA"/>
    <s v="BOYACÁ"/>
    <s v="SANTA MARÍA"/>
    <x v="5"/>
    <n v="0"/>
    <n v="0"/>
    <n v="0"/>
    <n v="69.09"/>
    <n v="68.151133333333306"/>
    <n v="61.05"/>
    <n v="59.12"/>
    <n v="55.694549647681541"/>
    <n v="62.335658056689518"/>
    <n v="58.78769347494692"/>
    <n v="62.084324019781619"/>
    <s v="2. Riesgo (&gt;=40 y &lt;60)"/>
    <s v="3. Vulnerable (&gt;=60 y &lt;70)"/>
    <s v="2. Riesgo (&gt;=40 y &lt;60)"/>
    <s v="3. Vulnerable (&gt;=60 y &lt;70)"/>
    <n v="64.352783333333335"/>
    <n v="59.725556299774894"/>
    <n v="62.039169816554114"/>
    <n v="66.361085118382846"/>
    <x v="3"/>
    <n v="33.638914881617154"/>
    <n v="0.6523467210059386"/>
    <n v="40.471049003759674"/>
    <n v="0.33562415068832541"/>
    <n v="4"/>
    <b v="0"/>
    <n v="1"/>
    <n v="0.6523368619611829"/>
    <n v="40.470437356807849"/>
    <n v="0.31709500526812545"/>
    <n v="4"/>
    <b v="0"/>
    <n v="1"/>
    <n v="66.361085118382846"/>
    <x v="4"/>
    <n v="33.638914881617154"/>
    <n v="0.64930463728197152"/>
    <n v="40.282320655012306"/>
    <n v="0.34134491350666607"/>
    <n v="4"/>
    <b v="0"/>
    <n v="1"/>
    <n v="6.7242834715460373E-2"/>
    <n v="4.1716896418589267"/>
    <n v="0.24901657937234681"/>
    <n v="4"/>
  </r>
  <r>
    <n v="81001"/>
    <s v="81001"/>
    <s v="81"/>
    <s v="COLOMBIA"/>
    <s v="ARAUCA"/>
    <s v="ARAUCA"/>
    <x v="5"/>
    <n v="0"/>
    <n v="1"/>
    <n v="0"/>
    <n v="62.78"/>
    <n v="64.3733"/>
    <n v="60.44"/>
    <n v="59.61"/>
    <n v="46.870150931337605"/>
    <n v="59.402578103156785"/>
    <n v="56.833486539936757"/>
    <n v="56.58912477560331"/>
    <s v="2. Riesgo (&gt;=40 y &lt;60)"/>
    <s v="2. Riesgo (&gt;=40 y &lt;60)"/>
    <s v="2. Riesgo (&gt;=40 y &lt;60)"/>
    <s v="2. Riesgo (&gt;=40 y &lt;60)"/>
    <n v="61.800825000000003"/>
    <n v="54.923835087508607"/>
    <n v="58.362330043754305"/>
    <n v="66.396712435720872"/>
    <x v="3"/>
    <n v="33.603287564279128"/>
    <n v="0.6523467210059386"/>
    <n v="38.072474634309501"/>
    <n v="0.30562051366220772"/>
    <n v="4"/>
    <b v="0"/>
    <n v="1"/>
    <n v="0.6523368619611829"/>
    <n v="38.071899237485553"/>
    <n v="0.28874759188307125"/>
    <n v="4"/>
    <b v="0"/>
    <n v="1"/>
    <n v="66.396712435720872"/>
    <x v="4"/>
    <n v="33.603287564279128"/>
    <n v="0.64930463728197152"/>
    <n v="37.894931539990601"/>
    <n v="0.31085047754369355"/>
    <n v="4"/>
    <b v="0"/>
    <n v="1"/>
    <n v="6.7171617144395818E-2"/>
    <n v="3.9202920893539339"/>
    <n v="0.2340101517706335"/>
    <n v="4"/>
  </r>
  <r>
    <n v="5004"/>
    <s v="05004"/>
    <s v="50"/>
    <s v="COLOMBIA"/>
    <s v="ANTIOQUIA"/>
    <s v="ABRIAQUÍ"/>
    <x v="6"/>
    <n v="0"/>
    <n v="0"/>
    <n v="0"/>
    <n v="36.520000000000003"/>
    <n v="39.360599999999998"/>
    <n v="18.27"/>
    <n v="19.55"/>
    <n v="48.644917366228754"/>
    <n v="53.762177420239396"/>
    <n v="51.505645987747215"/>
    <n v="63.304394940857613"/>
    <s v="2. Riesgo (&gt;=40 y &lt;60)"/>
    <s v="2. Riesgo (&gt;=40 y &lt;60)"/>
    <s v="2. Riesgo (&gt;=40 y &lt;60)"/>
    <s v="3. Vulnerable (&gt;=60 y &lt;70)"/>
    <n v="28.425149999999999"/>
    <n v="54.304283928768243"/>
    <n v="41.364716964384122"/>
    <n v="66.493045158246687"/>
    <x v="3"/>
    <n v="33.506954841753313"/>
    <n v="0.6523467210059386"/>
    <n v="26.984137477054706"/>
    <n v="0.16691710403403365"/>
    <n v="5"/>
    <b v="0"/>
    <n v="1"/>
    <n v="0.6523368619611829"/>
    <n v="26.983729660458845"/>
    <n v="0.15770071622517329"/>
    <n v="5"/>
    <b v="0"/>
    <n v="1"/>
    <n v="66.493045158246687"/>
    <x v="4"/>
    <n v="33.506954841753313"/>
    <n v="0.64930463728197152"/>
    <n v="26.858302544830845"/>
    <n v="0.16987816011862852"/>
    <n v="5"/>
    <b v="0"/>
    <n v="1"/>
    <n v="6.6979051915663251E-2"/>
    <n v="2.7705695250342006"/>
    <n v="0.16538089006301371"/>
    <n v="5"/>
  </r>
  <r>
    <n v="27600"/>
    <s v="27600"/>
    <s v="27"/>
    <s v="COLOMBIA"/>
    <s v="CHOCÓ"/>
    <s v="RÍO QUITO"/>
    <x v="6"/>
    <n v="0"/>
    <n v="0"/>
    <n v="0"/>
    <n v="62.26"/>
    <n v="67.010933333333298"/>
    <n v="84.43"/>
    <n v="86.98"/>
    <n v="56.490536074112825"/>
    <n v="63.204253326973699"/>
    <n v="70.113066731669818"/>
    <n v="50.598529691963904"/>
    <s v="2. Riesgo (&gt;=40 y &lt;60)"/>
    <s v="3. Vulnerable (&gt;=60 y &lt;70)"/>
    <s v="4. Solvente (&gt;=70 y &lt;80)"/>
    <s v="2. Riesgo (&gt;=40 y &lt;60)"/>
    <n v="75.170233333333329"/>
    <n v="60.101596456180062"/>
    <n v="67.635914894756695"/>
    <n v="66.507926920809879"/>
    <x v="3"/>
    <n v="33.492073079190121"/>
    <n v="0.6523467210059386"/>
    <n v="44.122067303831251"/>
    <n v="0.38129454108617317"/>
    <n v="3"/>
    <b v="0"/>
    <n v="-1"/>
    <n v="0.6523368619611829"/>
    <n v="44.12140047831921"/>
    <n v="0.36024435529317855"/>
    <n v="3"/>
    <b v="0"/>
    <n v="-1"/>
    <n v="66.507926920809879"/>
    <x v="4"/>
    <n v="33.492073079190121"/>
    <n v="0.64930463728197152"/>
    <n v="43.916313187974289"/>
    <n v="0.38776237930185631"/>
    <n v="3"/>
    <b v="0"/>
    <n v="-1"/>
    <n v="6.6949303872248858E-2"/>
    <n v="4.5281774189666288"/>
    <n v="0.27029605470835349"/>
    <n v="4"/>
  </r>
  <r>
    <n v="15755"/>
    <s v="15755"/>
    <s v="15"/>
    <s v="COLOMBIA"/>
    <s v="BOYACÁ"/>
    <s v="SOCOTÁ"/>
    <x v="6"/>
    <n v="0"/>
    <n v="0"/>
    <n v="0"/>
    <n v="66.36"/>
    <n v="68.150633333333303"/>
    <n v="48.37"/>
    <n v="42.48"/>
    <n v="53.621211052235743"/>
    <n v="60.645843543125935"/>
    <n v="60.846969759930744"/>
    <n v="67.875974354375572"/>
    <s v="2. Riesgo (&gt;=40 y &lt;60)"/>
    <s v="3. Vulnerable (&gt;=60 y &lt;70)"/>
    <s v="3. Vulnerable (&gt;=60 y &lt;70)"/>
    <s v="3. Vulnerable (&gt;=60 y &lt;70)"/>
    <n v="56.340158333333328"/>
    <n v="60.747499677416997"/>
    <n v="58.543829005375159"/>
    <n v="66.475805681476288"/>
    <x v="3"/>
    <n v="33.524194318523712"/>
    <n v="0.6523467210059386"/>
    <n v="38.190874886788848"/>
    <n v="0.30710157601509419"/>
    <n v="4"/>
    <b v="1"/>
    <n v="0"/>
    <n v="0.6523368619611829"/>
    <n v="38.19029770055851"/>
    <n v="0.29014689846479552"/>
    <n v="4"/>
    <b v="1"/>
    <n v="0"/>
    <n v="66.475805681476288"/>
    <x v="4"/>
    <n v="33.524194318523712"/>
    <n v="0.64930463728197152"/>
    <n v="38.01277965743288"/>
    <n v="0.3123557670870229"/>
    <n v="4"/>
    <b v="1"/>
    <n v="0"/>
    <n v="6.7013512934728001E-2"/>
    <n v="3.9232276423002124"/>
    <n v="0.23418538085429155"/>
    <n v="4"/>
  </r>
  <r>
    <n v="73616"/>
    <s v="73616"/>
    <s v="73"/>
    <s v="COLOMBIA"/>
    <s v="TOLIMA"/>
    <s v="RIOBLANCO"/>
    <x v="6"/>
    <n v="0"/>
    <n v="0"/>
    <n v="1"/>
    <n v="54.63"/>
    <n v="60.613633333333297"/>
    <n v="59.36"/>
    <n v="61.01"/>
    <n v="37.174959084780554"/>
    <n v="46.130721053090909"/>
    <n v="55.407142666508818"/>
    <n v="65.344820233309946"/>
    <s v="1. Deterioro (&lt;40)"/>
    <s v="2. Riesgo (&gt;=40 y &lt;60)"/>
    <s v="2. Riesgo (&gt;=40 y &lt;60)"/>
    <s v="3. Vulnerable (&gt;=60 y &lt;70)"/>
    <n v="58.903408333333317"/>
    <n v="51.014410759422553"/>
    <n v="54.958909546377939"/>
    <n v="66.841664175155657"/>
    <x v="3"/>
    <n v="33.158335824844343"/>
    <n v="0.6523467210059386"/>
    <n v="35.852264432641626"/>
    <n v="0.27784802436149175"/>
    <n v="4"/>
    <b v="1"/>
    <n v="0"/>
    <n v="0.6523368619611829"/>
    <n v="35.851722590292681"/>
    <n v="0.26250816516776748"/>
    <n v="4"/>
    <b v="1"/>
    <n v="0"/>
    <n v="66.841664175155657"/>
    <x v="4"/>
    <n v="33.158335824844343"/>
    <n v="0.64930463728197152"/>
    <n v="35.685074828423609"/>
    <n v="0.28262368637914892"/>
    <n v="4"/>
    <b v="1"/>
    <n v="0"/>
    <n v="6.6282176555231026E-2"/>
    <n v="3.6427961458359945"/>
    <n v="0.21744585850414128"/>
    <n v="4"/>
  </r>
  <r>
    <n v="27075"/>
    <s v="27075"/>
    <s v="27"/>
    <s v="COLOMBIA"/>
    <s v="CHOCÓ"/>
    <s v="BAHÍA SOLANO"/>
    <x v="6"/>
    <n v="0"/>
    <n v="0"/>
    <n v="0"/>
    <n v="43.43"/>
    <n v="49.575000000000003"/>
    <n v="81.819999999999993"/>
    <n v="93.75"/>
    <n v="43.789154035324373"/>
    <n v="56.23077824126058"/>
    <n v="38.809690482313684"/>
    <n v="50.190436284314401"/>
    <s v="2. Riesgo (&gt;=40 y &lt;60)"/>
    <s v="2. Riesgo (&gt;=40 y &lt;60)"/>
    <s v="1. Deterioro (&lt;40)"/>
    <s v="2. Riesgo (&gt;=40 y &lt;60)"/>
    <n v="67.143749999999997"/>
    <n v="47.255014760803263"/>
    <n v="57.19938238040163"/>
    <n v="66.882235341983204"/>
    <x v="3"/>
    <n v="33.117764658016796"/>
    <n v="0.6523467210059386"/>
    <n v="37.313829539419864"/>
    <n v="0.29613066321244613"/>
    <n v="4"/>
    <b v="1"/>
    <n v="0"/>
    <n v="0.6523368619611829"/>
    <n v="37.313265608148974"/>
    <n v="0.27978158841397305"/>
    <n v="4"/>
    <b v="1"/>
    <n v="0"/>
    <n v="66.882235341983204"/>
    <x v="4"/>
    <n v="33.117764658016796"/>
    <n v="0.64930463728197152"/>
    <n v="37.139824229259474"/>
    <n v="0.30120539229664395"/>
    <n v="4"/>
    <b v="1"/>
    <n v="0"/>
    <n v="6.6201076428345274E-2"/>
    <n v="3.7866606846191142"/>
    <n v="0.22603342335587104"/>
    <n v="4"/>
  </r>
  <r>
    <n v="85410"/>
    <s v="85410"/>
    <s v="85"/>
    <s v="COLOMBIA"/>
    <s v="CASANARE"/>
    <s v="TAURAMENA"/>
    <x v="5"/>
    <n v="0"/>
    <n v="0"/>
    <n v="0"/>
    <n v="80.849999999999994"/>
    <n v="80.257900000000006"/>
    <n v="77.430000000000007"/>
    <n v="82.18"/>
    <n v="66.438466245719397"/>
    <n v="48.581049136765664"/>
    <n v="64.187893723326653"/>
    <n v="58.95489636397631"/>
    <s v="3. Vulnerable (&gt;=60 y &lt;70)"/>
    <s v="2. Riesgo (&gt;=40 y &lt;60)"/>
    <s v="3. Vulnerable (&gt;=60 y &lt;70)"/>
    <s v="2. Riesgo (&gt;=40 y &lt;60)"/>
    <n v="80.179474999999996"/>
    <n v="59.540576367447002"/>
    <n v="69.860025683723507"/>
    <n v="67.032044051969294"/>
    <x v="3"/>
    <n v="32.967955948030706"/>
    <n v="0.6523467210059386"/>
    <n v="45.572958684167681"/>
    <n v="0.39944366287050875"/>
    <n v="3"/>
    <b v="1"/>
    <n v="0"/>
    <n v="0.6523368619611829"/>
    <n v="45.572269931047835"/>
    <n v="0.37739163171664702"/>
    <n v="3"/>
    <b v="1"/>
    <n v="0"/>
    <n v="67.032044051969294"/>
    <x v="4"/>
    <n v="32.967955948030706"/>
    <n v="0.64930463728197152"/>
    <n v="45.360438637079305"/>
    <n v="0.40620838408303817"/>
    <n v="3"/>
    <b v="1"/>
    <n v="0"/>
    <n v="6.5901614856532328E-2"/>
    <n v="4.6038885064762027"/>
    <n v="0.27481540241893565"/>
    <n v="4"/>
  </r>
  <r>
    <n v="15183"/>
    <s v="15183"/>
    <s v="15"/>
    <s v="COLOMBIA"/>
    <s v="BOYACÁ"/>
    <s v="CHITA"/>
    <x v="6"/>
    <n v="0"/>
    <n v="0"/>
    <n v="0"/>
    <n v="66.53"/>
    <n v="74.557333333333304"/>
    <n v="67.930000000000007"/>
    <n v="30.79"/>
    <n v="57.980939211667788"/>
    <n v="56.329083281596887"/>
    <n v="55.547854856810417"/>
    <n v="62.395616885732252"/>
    <s v="2. Riesgo (&gt;=40 y &lt;60)"/>
    <s v="2. Riesgo (&gt;=40 y &lt;60)"/>
    <s v="2. Riesgo (&gt;=40 y &lt;60)"/>
    <s v="3. Vulnerable (&gt;=60 y &lt;70)"/>
    <n v="59.951833333333326"/>
    <n v="58.063373558951838"/>
    <n v="59.007603446142582"/>
    <n v="67.154543055958385"/>
    <x v="3"/>
    <n v="32.845456944041615"/>
    <n v="0.6523467210059386"/>
    <n v="38.493416622509834"/>
    <n v="0.31088605421991417"/>
    <n v="4"/>
    <b v="1"/>
    <n v="0"/>
    <n v="0.6523368619611829"/>
    <n v="38.492834863906531"/>
    <n v="0.29372247058711443"/>
    <n v="4"/>
    <b v="1"/>
    <n v="0"/>
    <n v="67.154543055958385"/>
    <x v="4"/>
    <n v="32.845456944041615"/>
    <n v="0.64930463728197152"/>
    <n v="38.313910552476024"/>
    <n v="0.31620215171598282"/>
    <n v="4"/>
    <b v="1"/>
    <n v="0"/>
    <n v="6.5656744286032784E-2"/>
    <n v="3.8742471303950103"/>
    <n v="0.23126163518343554"/>
    <n v="4"/>
  </r>
  <r>
    <n v="27430"/>
    <s v="27430"/>
    <s v="27"/>
    <s v="COLOMBIA"/>
    <s v="CHOCÓ"/>
    <s v="MEDIO BAUDÓ"/>
    <x v="5"/>
    <n v="0"/>
    <n v="0"/>
    <n v="0"/>
    <n v="79.75"/>
    <n v="77.949033333333304"/>
    <n v="74.510000000000005"/>
    <n v="26.15"/>
    <n v="74.710845160699193"/>
    <n v="67.796631017515779"/>
    <n v="70.700717585467487"/>
    <n v="15.172141142098745"/>
    <s v="4. Solvente (&gt;=70 y &lt;80)"/>
    <s v="3. Vulnerable (&gt;=60 y &lt;70)"/>
    <s v="4. Solvente (&gt;=70 y &lt;80)"/>
    <s v="1. Deterioro (&lt;40)"/>
    <n v="64.589758333333322"/>
    <n v="57.095083726445303"/>
    <n v="60.842421029889309"/>
    <n v="67.376819141020889"/>
    <x v="3"/>
    <n v="32.623180858979111"/>
    <n v="0.6523467210059386"/>
    <n v="39.690353856911052"/>
    <n v="0.32585847733150258"/>
    <n v="4"/>
    <b v="0"/>
    <n v="1"/>
    <n v="0.6523368619611829"/>
    <n v="39.689754008759074"/>
    <n v="0.30786840452674569"/>
    <n v="4"/>
    <b v="0"/>
    <n v="1"/>
    <n v="67.376819141020889"/>
    <x v="4"/>
    <n v="32.623180858979111"/>
    <n v="0.64930463728197152"/>
    <n v="39.505266118169274"/>
    <n v="0.33141949344656763"/>
    <n v="4"/>
    <b v="0"/>
    <n v="1"/>
    <n v="6.5212423352921309E-2"/>
    <n v="3.9676817180178241"/>
    <n v="0.23683893440805645"/>
    <n v="4"/>
  </r>
  <r>
    <n v="73024"/>
    <s v="73024"/>
    <s v="73"/>
    <s v="COLOMBIA"/>
    <s v="TOLIMA"/>
    <s v="ALPUJARRA"/>
    <x v="6"/>
    <n v="0"/>
    <n v="0"/>
    <n v="0"/>
    <n v="59.95"/>
    <n v="62.8960333333333"/>
    <n v="56.13"/>
    <n v="54.19"/>
    <n v="50.136645481735059"/>
    <n v="44.390842660867499"/>
    <n v="54.662888670130094"/>
    <n v="12.9032166493445"/>
    <s v="2. Riesgo (&gt;=40 y &lt;60)"/>
    <s v="2. Riesgo (&gt;=40 y &lt;60)"/>
    <s v="2. Riesgo (&gt;=40 y &lt;60)"/>
    <s v="1. Deterioro (&lt;40)"/>
    <n v="58.291508333333326"/>
    <n v="40.523398365519284"/>
    <n v="49.407453349426305"/>
    <n v="67.396013892499766"/>
    <x v="3"/>
    <n v="32.603986107500234"/>
    <n v="0.6523467210059386"/>
    <n v="32.230790185752127"/>
    <n v="0.23254719892658432"/>
    <n v="4"/>
    <b v="1"/>
    <n v="0"/>
    <n v="0.6523368619611829"/>
    <n v="32.230303075458295"/>
    <n v="0.21970797983791393"/>
    <n v="4"/>
    <b v="1"/>
    <n v="0"/>
    <n v="67.396013892499766"/>
    <x v="4"/>
    <n v="32.603986107500234"/>
    <n v="0.64930463728197152"/>
    <n v="32.080488576075176"/>
    <n v="0.23658183088369442"/>
    <n v="4"/>
    <b v="1"/>
    <n v="0"/>
    <n v="6.5174053818540065E-2"/>
    <n v="3.2200840236325177"/>
    <n v="0.19221331827053229"/>
    <n v="5"/>
  </r>
  <r>
    <n v="52427"/>
    <s v="52427"/>
    <s v="52"/>
    <s v="COLOMBIA"/>
    <s v="NARIÑO"/>
    <s v="MAGÜÍ"/>
    <x v="7"/>
    <n v="0"/>
    <n v="0"/>
    <n v="1"/>
    <n v="65.72"/>
    <n v="66.952399999999997"/>
    <n v="59.43"/>
    <n v="45.34"/>
    <n v="59.33776739046597"/>
    <n v="61.869856751717784"/>
    <n v="60.199733318025793"/>
    <n v="61.73664692420239"/>
    <s v="2. Riesgo (&gt;=40 y &lt;60)"/>
    <s v="3. Vulnerable (&gt;=60 y &lt;70)"/>
    <s v="3. Vulnerable (&gt;=60 y &lt;70)"/>
    <s v="3. Vulnerable (&gt;=60 y &lt;70)"/>
    <n v="59.360599999999998"/>
    <n v="60.786001096102979"/>
    <n v="60.073300548051492"/>
    <n v="67.538284091395468"/>
    <x v="3"/>
    <n v="32.461715908604532"/>
    <n v="0.6523467210059386"/>
    <n v="39.188620632525648"/>
    <n v="0.3195823235711111"/>
    <n v="4"/>
    <b v="0"/>
    <n v="-1"/>
    <n v="0.6523368619611829"/>
    <n v="39.188028367166922"/>
    <n v="0.30193869923937966"/>
    <n v="4"/>
    <b v="0"/>
    <n v="-1"/>
    <n v="67.538284091395468"/>
    <x v="4"/>
    <n v="32.461715908604532"/>
    <n v="0.64930463728197152"/>
    <n v="39.005872622683434"/>
    <n v="0.32504067447960611"/>
    <n v="4"/>
    <b v="0"/>
    <n v="-1"/>
    <n v="6.4889661426486195E-2"/>
    <n v="3.8981361333346087"/>
    <n v="0.23268761801229812"/>
    <n v="4"/>
  </r>
  <r>
    <n v="13160"/>
    <s v="13160"/>
    <s v="13"/>
    <s v="COLOMBIA"/>
    <s v="BOLÍVAR"/>
    <s v="CANTAGALLO"/>
    <x v="6"/>
    <n v="0"/>
    <n v="0"/>
    <n v="1"/>
    <n v="53.21"/>
    <n v="59.067466666666697"/>
    <n v="83.1"/>
    <n v="80.05"/>
    <n v="62.935361013844812"/>
    <n v="62.576769567795125"/>
    <n v="50.993422762052106"/>
    <n v="53.24775754765718"/>
    <s v="3. Vulnerable (&gt;=60 y &lt;70)"/>
    <s v="3. Vulnerable (&gt;=60 y &lt;70)"/>
    <s v="2. Riesgo (&gt;=40 y &lt;60)"/>
    <s v="2. Riesgo (&gt;=40 y &lt;60)"/>
    <n v="68.856866666666676"/>
    <n v="57.438327722837307"/>
    <n v="63.147597194751995"/>
    <n v="67.529849150572389"/>
    <x v="3"/>
    <n v="32.470150849427611"/>
    <n v="0.6523467210059386"/>
    <n v="41.19412796940027"/>
    <n v="0.34466910635141551"/>
    <n v="4"/>
    <b v="1"/>
    <n v="0"/>
    <n v="0.6523368619611829"/>
    <n v="41.193505394413314"/>
    <n v="0.32564067248200046"/>
    <n v="4"/>
    <b v="1"/>
    <n v="0"/>
    <n v="67.529849150572389"/>
    <x v="4"/>
    <n v="32.470150849427611"/>
    <n v="0.64930463728197152"/>
    <n v="41.002027691766486"/>
    <n v="0.35053782638639225"/>
    <n v="4"/>
    <b v="1"/>
    <n v="0"/>
    <n v="6.49065225331419E-2"/>
    <n v="4.0986909402349383"/>
    <n v="0.24465913945288817"/>
    <n v="4"/>
  </r>
  <r>
    <n v="5361"/>
    <s v="05361"/>
    <s v="50"/>
    <s v="COLOMBIA"/>
    <s v="ANTIOQUIA"/>
    <s v="ITUANGO"/>
    <x v="6"/>
    <n v="0"/>
    <n v="0"/>
    <n v="1"/>
    <n v="51.29"/>
    <n v="52.381466666666697"/>
    <n v="49.27"/>
    <n v="46"/>
    <n v="42.955519282641916"/>
    <n v="57.286715460255152"/>
    <n v="47.784090998759709"/>
    <n v="61.846637839438401"/>
    <s v="2. Riesgo (&gt;=40 y &lt;60)"/>
    <s v="2. Riesgo (&gt;=40 y &lt;60)"/>
    <s v="2. Riesgo (&gt;=40 y &lt;60)"/>
    <s v="3. Vulnerable (&gt;=60 y &lt;70)"/>
    <n v="49.735366666666678"/>
    <n v="52.468240895273794"/>
    <n v="51.101803780970236"/>
    <n v="67.445882177534969"/>
    <x v="3"/>
    <n v="32.554117822465031"/>
    <n v="0.6523467210059386"/>
    <n v="33.33609413400481"/>
    <n v="0.24637338621904264"/>
    <n v="4"/>
    <b v="1"/>
    <n v="0"/>
    <n v="0.6523368619611829"/>
    <n v="33.335590319034239"/>
    <n v="0.23277095104961482"/>
    <n v="4"/>
    <b v="1"/>
    <n v="0"/>
    <n v="67.445882177534969"/>
    <x v="4"/>
    <n v="32.554117822465031"/>
    <n v="0.64930463728197152"/>
    <n v="33.180638168457357"/>
    <n v="0.25063418669092263"/>
    <n v="4"/>
    <b v="1"/>
    <n v="0"/>
    <n v="6.5074369127165008E-2"/>
    <n v="3.3254176423068138"/>
    <n v="0.1985008946884885"/>
    <n v="4"/>
  </r>
  <r>
    <n v="85300"/>
    <s v="85300"/>
    <s v="85"/>
    <s v="COLOMBIA"/>
    <s v="CASANARE"/>
    <s v="SABANALARGA"/>
    <x v="5"/>
    <n v="0"/>
    <n v="0"/>
    <n v="0"/>
    <n v="84.56"/>
    <n v="86.469433333333299"/>
    <n v="68.14"/>
    <n v="79.790000000000006"/>
    <n v="59.014995956817387"/>
    <n v="62.843964910831168"/>
    <n v="62.064837128559979"/>
    <n v="65.411120093209249"/>
    <s v="2. Riesgo (&gt;=40 y &lt;60)"/>
    <s v="3. Vulnerable (&gt;=60 y &lt;70)"/>
    <s v="3. Vulnerable (&gt;=60 y &lt;70)"/>
    <s v="3. Vulnerable (&gt;=60 y &lt;70)"/>
    <n v="79.739858333333331"/>
    <n v="62.333729522354446"/>
    <n v="71.036793927843888"/>
    <n v="67.956324438648323"/>
    <x v="3"/>
    <n v="32.043675561351677"/>
    <n v="0.6523467210059386"/>
    <n v="46.340619589603527"/>
    <n v="0.40904629160664324"/>
    <n v="3"/>
    <b v="1"/>
    <n v="0"/>
    <n v="0.6523368619611829"/>
    <n v="46.339919234672891"/>
    <n v="0.38646418802471894"/>
    <n v="3"/>
    <b v="1"/>
    <n v="0"/>
    <n v="67.956324438648323"/>
    <x v="4"/>
    <n v="32.043675561351677"/>
    <n v="0.64930463728197152"/>
    <n v="46.124519714992836"/>
    <n v="0.41596809244157334"/>
    <n v="3"/>
    <b v="1"/>
    <n v="0"/>
    <n v="6.405401562537627E-2"/>
    <n v="4.5501919082307465"/>
    <n v="0.27161014403038108"/>
    <n v="4"/>
  </r>
  <r>
    <n v="18785"/>
    <s v="18785"/>
    <s v="18"/>
    <s v="COLOMBIA"/>
    <s v="CAQUETÁ"/>
    <s v="SOLITA"/>
    <x v="6"/>
    <n v="0"/>
    <n v="0"/>
    <n v="1"/>
    <n v="50.09"/>
    <n v="52.433333333333302"/>
    <n v="53.39"/>
    <n v="51.35"/>
    <n v="42.787134399028126"/>
    <n v="25.806935640544477"/>
    <n v="46.229873459241489"/>
    <n v="48.313059388336299"/>
    <s v="2. Riesgo (&gt;=40 y &lt;60)"/>
    <s v="1. Deterioro (&lt;40)"/>
    <s v="2. Riesgo (&gt;=40 y &lt;60)"/>
    <s v="2. Riesgo (&gt;=40 y &lt;60)"/>
    <n v="51.815833333333323"/>
    <n v="40.7842507217876"/>
    <n v="46.300042027560465"/>
    <n v="67.863977283086129"/>
    <x v="3"/>
    <n v="32.136022716913871"/>
    <n v="0.6523467210059386"/>
    <n v="30.203680599116218"/>
    <n v="0.2071901947726838"/>
    <n v="4"/>
    <b v="1"/>
    <n v="0"/>
    <n v="0.6523368619611829"/>
    <n v="30.20322412492968"/>
    <n v="0.19575070164755839"/>
    <n v="4"/>
    <b v="1"/>
    <n v="0"/>
    <n v="67.863977283086129"/>
    <x v="4"/>
    <n v="32.136022716913871"/>
    <n v="0.64930463728197152"/>
    <n v="30.062831994845187"/>
    <n v="0.21081003732710504"/>
    <n v="4"/>
    <b v="1"/>
    <n v="0"/>
    <n v="6.4238613866424321E-2"/>
    <n v="2.9742505218076745"/>
    <n v="0.17753902009041417"/>
    <n v="5"/>
  </r>
  <r>
    <n v="15135"/>
    <s v="15135"/>
    <s v="15"/>
    <s v="COLOMBIA"/>
    <s v="BOYACÁ"/>
    <s v="CAMPOHERMOSO"/>
    <x v="5"/>
    <n v="0"/>
    <n v="0"/>
    <n v="0"/>
    <n v="56.64"/>
    <n v="59.122633333333297"/>
    <n v="26.94"/>
    <n v="18.38"/>
    <n v="59.222184390378445"/>
    <n v="73.086492652283212"/>
    <n v="61.007520164554165"/>
    <n v="71.918137861970649"/>
    <s v="2. Riesgo (&gt;=40 y &lt;60)"/>
    <s v="4. Solvente (&gt;=70 y &lt;80)"/>
    <s v="3. Vulnerable (&gt;=60 y &lt;70)"/>
    <s v="4. Solvente (&gt;=70 y &lt;80)"/>
    <n v="40.270658333333323"/>
    <n v="66.308583767296625"/>
    <n v="53.289621050314977"/>
    <n v="67.994067973707132"/>
    <x v="3"/>
    <n v="32.005932026292868"/>
    <n v="0.6523467210059386"/>
    <n v="34.763309555822019"/>
    <n v="0.26422634671911549"/>
    <n v="4"/>
    <b v="0"/>
    <n v="1"/>
    <n v="0.6523368619611829"/>
    <n v="34.762784171063068"/>
    <n v="0.24963841451752927"/>
    <n v="4"/>
    <b v="0"/>
    <n v="1"/>
    <n v="67.994067973707132"/>
    <x v="4"/>
    <n v="32.005932026292868"/>
    <n v="0.64930463728197152"/>
    <n v="34.601198066968479"/>
    <n v="0.26877918558705793"/>
    <n v="4"/>
    <b v="0"/>
    <n v="1"/>
    <n v="6.3978567820401927E-2"/>
    <n v="3.4093936344910949"/>
    <n v="0.20351359124992549"/>
    <n v="4"/>
  </r>
  <r>
    <n v="68217"/>
    <s v="68217"/>
    <s v="68"/>
    <s v="COLOMBIA"/>
    <s v="SANTANDER"/>
    <s v="COROMORO"/>
    <x v="6"/>
    <n v="0"/>
    <n v="0"/>
    <n v="0"/>
    <n v="70.900000000000006"/>
    <n v="72.136933333333303"/>
    <n v="72.760000000000005"/>
    <n v="73.819999999999993"/>
    <n v="51.223550775972726"/>
    <n v="46.204918149147176"/>
    <n v="54.659619514828663"/>
    <n v="59.638624315486936"/>
    <s v="2. Riesgo (&gt;=40 y &lt;60)"/>
    <s v="2. Riesgo (&gt;=40 y &lt;60)"/>
    <s v="2. Riesgo (&gt;=40 y &lt;60)"/>
    <s v="2. Riesgo (&gt;=40 y &lt;60)"/>
    <n v="72.404233333333323"/>
    <n v="52.931678188858875"/>
    <n v="62.667955761096096"/>
    <n v="67.81189481840407"/>
    <x v="3"/>
    <n v="32.18810518159593"/>
    <n v="0.6523467210059386"/>
    <n v="40.881235452896256"/>
    <n v="0.34075515078975122"/>
    <n v="4"/>
    <b v="1"/>
    <n v="0"/>
    <n v="0.6523368619611829"/>
    <n v="40.88061760671566"/>
    <n v="0.32194277025165918"/>
    <n v="4"/>
    <b v="1"/>
    <n v="0"/>
    <n v="67.81189481840407"/>
    <x v="4"/>
    <n v="32.18810518159593"/>
    <n v="0.64930463728197152"/>
    <n v="40.690594284661138"/>
    <n v="0.34655984641239124"/>
    <n v="4"/>
    <b v="1"/>
    <n v="0"/>
    <n v="6.4342724613650093E-2"/>
    <n v="4.032227019636613"/>
    <n v="0.24069177380972034"/>
    <n v="4"/>
  </r>
  <r>
    <n v="25339"/>
    <s v="25339"/>
    <s v="25"/>
    <s v="COLOMBIA"/>
    <s v="CUNDINAMARCA"/>
    <s v="GUTIÉRREZ"/>
    <x v="6"/>
    <n v="0"/>
    <n v="0"/>
    <n v="0"/>
    <n v="58.47"/>
    <n v="72.247033333333306"/>
    <n v="92.81"/>
    <n v="94.06"/>
    <n v="58.598412841462427"/>
    <n v="65.844125512312289"/>
    <n v="57.493785010601343"/>
    <n v="63.651489315106147"/>
    <s v="2. Riesgo (&gt;=40 y &lt;60)"/>
    <s v="3. Vulnerable (&gt;=60 y &lt;70)"/>
    <s v="2. Riesgo (&gt;=40 y &lt;60)"/>
    <s v="3. Vulnerable (&gt;=60 y &lt;70)"/>
    <n v="79.396758333333324"/>
    <n v="61.39695316987055"/>
    <n v="70.396855751601933"/>
    <n v="68.048672070028118"/>
    <x v="3"/>
    <n v="31.951327929971882"/>
    <n v="0.6523467210059386"/>
    <n v="45.923158018685569"/>
    <n v="0.40382428740043369"/>
    <n v="3"/>
    <b v="0"/>
    <n v="-1"/>
    <n v="0.6523368619611829"/>
    <n v="45.922463972934054"/>
    <n v="0.38153044243237438"/>
    <n v="3"/>
    <b v="0"/>
    <n v="-1"/>
    <n v="68.048672070028118"/>
    <x v="4"/>
    <n v="31.951327929971882"/>
    <n v="0.64930463728197152"/>
    <n v="45.709004889585167"/>
    <n v="0.41066066678760965"/>
    <n v="3"/>
    <b v="0"/>
    <n v="-1"/>
    <n v="6.3869416433188025E-2"/>
    <n v="4.4962060955861318"/>
    <n v="0.26838762185027759"/>
    <n v="4"/>
  </r>
  <r>
    <n v="27491"/>
    <s v="27491"/>
    <s v="27"/>
    <s v="COLOMBIA"/>
    <s v="CHOCÓ"/>
    <s v="NÓVITA"/>
    <x v="6"/>
    <n v="0"/>
    <n v="0"/>
    <n v="1"/>
    <n v="52.04"/>
    <n v="58.834699999999998"/>
    <n v="56.95"/>
    <n v="73.7"/>
    <n v="55.967360492238825"/>
    <n v="57.963997440581622"/>
    <n v="50.811697088082596"/>
    <n v="61.697603237864676"/>
    <s v="2. Riesgo (&gt;=40 y &lt;60)"/>
    <s v="2. Riesgo (&gt;=40 y &lt;60)"/>
    <s v="2. Riesgo (&gt;=40 y &lt;60)"/>
    <s v="3. Vulnerable (&gt;=60 y &lt;70)"/>
    <n v="60.381174999999999"/>
    <n v="56.610164564691935"/>
    <n v="58.495669782345971"/>
    <n v="67.970127049478378"/>
    <x v="3"/>
    <n v="32.029872950521622"/>
    <n v="0.6523467210059386"/>
    <n v="38.159458375559559"/>
    <n v="0.30670858857574013"/>
    <n v="4"/>
    <b v="1"/>
    <n v="0"/>
    <n v="0.6523368619611829"/>
    <n v="38.158881664133162"/>
    <n v="0.28977560423173954"/>
    <n v="4"/>
    <b v="1"/>
    <n v="0"/>
    <n v="67.970127049478378"/>
    <x v="4"/>
    <n v="32.029872950521622"/>
    <n v="0.64930463728197152"/>
    <n v="37.98150965059213"/>
    <n v="0.3119563511664396"/>
    <n v="4"/>
    <b v="1"/>
    <n v="0"/>
    <n v="6.4026424762771067E-2"/>
    <n v="3.7452686002672753"/>
    <n v="0.22356264625036382"/>
    <n v="4"/>
  </r>
  <r>
    <n v="18029"/>
    <s v="18029"/>
    <s v="18"/>
    <s v="COLOMBIA"/>
    <s v="CAQUETÁ"/>
    <s v="ALBANIA"/>
    <x v="6"/>
    <n v="0"/>
    <n v="0"/>
    <n v="1"/>
    <n v="57.52"/>
    <n v="59.882066666666702"/>
    <n v="60.38"/>
    <n v="58.18"/>
    <n v="66.951952335808627"/>
    <n v="51.932030555524399"/>
    <n v="54.072307074198335"/>
    <n v="55.197644529739819"/>
    <s v="3. Vulnerable (&gt;=60 y &lt;70)"/>
    <s v="2. Riesgo (&gt;=40 y &lt;60)"/>
    <s v="2. Riesgo (&gt;=40 y &lt;60)"/>
    <s v="2. Riesgo (&gt;=40 y &lt;60)"/>
    <n v="58.990516666666679"/>
    <n v="57.038483623817797"/>
    <n v="58.014500145242238"/>
    <n v="68.044667180028071"/>
    <x v="3"/>
    <n v="31.955332819971929"/>
    <n v="0.6523467210059386"/>
    <n v="37.845568940547324"/>
    <n v="0.30278216261438912"/>
    <n v="4"/>
    <b v="1"/>
    <n v="0"/>
    <n v="0.6523368619611829"/>
    <n v="37.844996972993911"/>
    <n v="0.28606591997728276"/>
    <n v="4"/>
    <b v="1"/>
    <n v="0"/>
    <n v="68.044667180028071"/>
    <x v="4"/>
    <n v="31.955332819971929"/>
    <n v="0.64930463728197152"/>
    <n v="37.669083973901394"/>
    <n v="0.30796569680218555"/>
    <n v="4"/>
    <b v="1"/>
    <n v="0"/>
    <n v="6.3877422046843366E-2"/>
    <n v="3.7058167106142941"/>
    <n v="0.22120768328461862"/>
    <n v="4"/>
  </r>
  <r>
    <n v="15514"/>
    <s v="15514"/>
    <s v="15"/>
    <s v="COLOMBIA"/>
    <s v="BOYACÁ"/>
    <s v="PÁEZ"/>
    <x v="5"/>
    <n v="0"/>
    <n v="0"/>
    <n v="0"/>
    <n v="56.52"/>
    <n v="57.750599999999999"/>
    <n v="48.37"/>
    <n v="59.81"/>
    <n v="63.50738705824201"/>
    <n v="65.601987998157227"/>
    <n v="59.81359985714451"/>
    <n v="54.097773932326675"/>
    <s v="3. Vulnerable (&gt;=60 y &lt;70)"/>
    <s v="3. Vulnerable (&gt;=60 y &lt;70)"/>
    <s v="2. Riesgo (&gt;=40 y &lt;60)"/>
    <s v="2. Riesgo (&gt;=40 y &lt;60)"/>
    <n v="55.612650000000002"/>
    <n v="60.755187211467607"/>
    <n v="58.183918605733808"/>
    <n v="68.245755595304885"/>
    <x v="3"/>
    <n v="31.754244404695115"/>
    <n v="0.6523467210059386"/>
    <n v="37.956088517726876"/>
    <n v="0.3041646460262899"/>
    <n v="4"/>
    <b v="0"/>
    <n v="1"/>
    <n v="0.6523368619611829"/>
    <n v="37.955514879869277"/>
    <n v="0.28737208925072838"/>
    <n v="4"/>
    <b v="0"/>
    <n v="1"/>
    <n v="68.245755595304885"/>
    <x v="4"/>
    <n v="31.754244404695115"/>
    <n v="0.64930463728197152"/>
    <n v="37.779088165939747"/>
    <n v="0.30937079485204472"/>
    <n v="4"/>
    <b v="0"/>
    <n v="1"/>
    <n v="6.347545441146514E-2"/>
    <n v="3.6932506729386545"/>
    <n v="0.22045759111887989"/>
    <n v="4"/>
  </r>
  <r>
    <n v="19809"/>
    <s v="19809"/>
    <s v="19"/>
    <s v="COLOMBIA"/>
    <s v="CAUCA"/>
    <s v="TIMBIQUÍ"/>
    <x v="6"/>
    <n v="0"/>
    <n v="0"/>
    <n v="1"/>
    <n v="33.28"/>
    <n v="39.479633333333297"/>
    <n v="79.040000000000006"/>
    <n v="80.05"/>
    <n v="35.708616736766103"/>
    <n v="56.466144790737481"/>
    <n v="62.82751722187713"/>
    <n v="67.82740777656241"/>
    <s v="1. Deterioro (&lt;40)"/>
    <s v="2. Riesgo (&gt;=40 y &lt;60)"/>
    <s v="3. Vulnerable (&gt;=60 y &lt;70)"/>
    <s v="3. Vulnerable (&gt;=60 y &lt;70)"/>
    <n v="57.962408333333329"/>
    <n v="55.707421631485779"/>
    <n v="56.834914982409558"/>
    <n v="68.262105020103775"/>
    <x v="3"/>
    <n v="31.737894979896225"/>
    <n v="0.6523467210059386"/>
    <n v="37.076070427426167"/>
    <n v="0.2931565473431324"/>
    <n v="4"/>
    <b v="1"/>
    <n v="0"/>
    <n v="0.6523368619611829"/>
    <n v="37.075510089455669"/>
    <n v="0.27697164600835417"/>
    <n v="4"/>
    <b v="1"/>
    <n v="0"/>
    <n v="68.262105020103775"/>
    <x v="4"/>
    <n v="31.737894979896225"/>
    <n v="0.64930463728197152"/>
    <n v="36.903173857605125"/>
    <n v="0.29818262589521399"/>
    <n v="4"/>
    <b v="1"/>
    <n v="0"/>
    <n v="6.344277257040952E-2"/>
    <n v="3.6057645852875702"/>
    <n v="0.21523536987045677"/>
    <n v="4"/>
  </r>
  <r>
    <n v="68720"/>
    <s v="68720"/>
    <s v="68"/>
    <s v="COLOMBIA"/>
    <s v="SANTANDER"/>
    <s v="SANTA HELENA DEL OPÓN"/>
    <x v="6"/>
    <n v="0"/>
    <n v="0"/>
    <n v="0"/>
    <n v="47"/>
    <n v="46.0276"/>
    <n v="31.77"/>
    <n v="30.18"/>
    <n v="63.466087138953242"/>
    <n v="52.728679405703552"/>
    <n v="49.487621052772042"/>
    <n v="52.316259958600206"/>
    <s v="3. Vulnerable (&gt;=60 y &lt;70)"/>
    <s v="2. Riesgo (&gt;=40 y &lt;60)"/>
    <s v="2. Riesgo (&gt;=40 y &lt;60)"/>
    <s v="2. Riesgo (&gt;=40 y &lt;60)"/>
    <n v="38.744399999999999"/>
    <n v="54.499661889007257"/>
    <n v="46.622030944503628"/>
    <n v="68.349907188325886"/>
    <x v="3"/>
    <n v="31.650092811674114"/>
    <n v="0.6523467210059386"/>
    <n v="30.413729013284343"/>
    <n v="0.20981767902202839"/>
    <n v="4"/>
    <b v="1"/>
    <n v="0"/>
    <n v="0.6523368619611829"/>
    <n v="30.413269364594662"/>
    <n v="0.19823314676293075"/>
    <n v="4"/>
    <b v="1"/>
    <n v="0"/>
    <n v="68.349907188325886"/>
    <x v="4"/>
    <n v="31.650092811674114"/>
    <n v="0.64930463728197152"/>
    <n v="30.271900891769778"/>
    <n v="0.21348050191496856"/>
    <n v="4"/>
    <b v="1"/>
    <n v="0"/>
    <n v="6.3267259575825824E-2"/>
    <n v="2.9496481337180951"/>
    <n v="0.17607045386128115"/>
    <n v="5"/>
  </r>
  <r>
    <n v="68502"/>
    <s v="68502"/>
    <s v="68"/>
    <s v="COLOMBIA"/>
    <s v="SANTANDER"/>
    <s v="ONZAGA"/>
    <x v="6"/>
    <n v="0"/>
    <n v="0"/>
    <n v="0"/>
    <n v="68.37"/>
    <n v="69.046000000000006"/>
    <n v="51.35"/>
    <n v="46.11"/>
    <s v="N.D."/>
    <n v="49.466003015074492"/>
    <n v="48.388017144046337"/>
    <n v="50.223196650267177"/>
    <s v="6. Sin info."/>
    <s v="2. Riesgo (&gt;=40 y &lt;60)"/>
    <s v="2. Riesgo (&gt;=40 y &lt;60)"/>
    <s v="2. Riesgo (&gt;=40 y &lt;60)"/>
    <n v="58.718999999999994"/>
    <n v="49.359072269796002"/>
    <n v="54.039036134897998"/>
    <n v="68.303171865804629"/>
    <x v="3"/>
    <n v="31.696828134195371"/>
    <n v="0.6523467210059386"/>
    <n v="35.252188028922141"/>
    <n v="0.27034170109111316"/>
    <n v="4"/>
    <b v="1"/>
    <n v="0"/>
    <n v="0.6523368619611829"/>
    <n v="35.251655255646327"/>
    <n v="0.25541619666534732"/>
    <n v="4"/>
    <b v="1"/>
    <n v="0"/>
    <n v="68.303171865804629"/>
    <x v="4"/>
    <n v="31.696828134195371"/>
    <n v="0.64930463728197152"/>
    <n v="35.087796756637296"/>
    <n v="0.27499457481221873"/>
    <n v="4"/>
    <b v="1"/>
    <n v="0"/>
    <n v="6.3360681601439026E-2"/>
    <n v="3.4239501625919302"/>
    <n v="0.20438249980890263"/>
    <n v="4"/>
  </r>
  <r>
    <n v="52418"/>
    <s v="52418"/>
    <s v="52"/>
    <s v="COLOMBIA"/>
    <s v="NARIÑO"/>
    <s v="LOS ANDES"/>
    <x v="6"/>
    <n v="0"/>
    <n v="0"/>
    <n v="1"/>
    <n v="62.42"/>
    <n v="63.540700000000001"/>
    <n v="30.08"/>
    <n v="37.67"/>
    <n v="55.200497844665023"/>
    <n v="57.410636894364735"/>
    <n v="65.926108108431961"/>
    <n v="70.131247201226927"/>
    <s v="2. Riesgo (&gt;=40 y &lt;60)"/>
    <s v="2. Riesgo (&gt;=40 y &lt;60)"/>
    <s v="3. Vulnerable (&gt;=60 y &lt;70)"/>
    <s v="4. Solvente (&gt;=70 y &lt;80)"/>
    <n v="48.427675000000008"/>
    <n v="62.167122512172156"/>
    <n v="55.297398756086082"/>
    <n v="68.397741522935334"/>
    <x v="3"/>
    <n v="31.602258477064666"/>
    <n v="0.6523467210059386"/>
    <n v="36.073076758690625"/>
    <n v="0.28061015380223353"/>
    <n v="4"/>
    <b v="1"/>
    <n v="0"/>
    <n v="0.6523368619611829"/>
    <n v="36.072531579161414"/>
    <n v="0.2651178229573074"/>
    <n v="4"/>
    <b v="1"/>
    <n v="0"/>
    <n v="68.397741522935334"/>
    <x v="4"/>
    <n v="31.602258477064666"/>
    <n v="0.64930463728197152"/>
    <n v="35.90485744195702"/>
    <n v="0.28543099868194816"/>
    <n v="4"/>
    <b v="1"/>
    <n v="0"/>
    <n v="6.3171640669354365E-2"/>
    <n v="3.4932274041694731"/>
    <n v="0.20851779826276945"/>
    <n v="4"/>
  </r>
  <r>
    <n v="18610"/>
    <s v="18610"/>
    <s v="18"/>
    <s v="COLOMBIA"/>
    <s v="CAQUETÁ"/>
    <s v="SAN JOSÉ DEL FRAGUA"/>
    <x v="6"/>
    <n v="0"/>
    <n v="0"/>
    <n v="1"/>
    <n v="59.6"/>
    <n v="60.578299999999999"/>
    <n v="57.81"/>
    <n v="48.68"/>
    <n v="55.068008593280751"/>
    <n v="58.07232143493529"/>
    <n v="46.847114953080599"/>
    <n v="61.915969587205964"/>
    <s v="2. Riesgo (&gt;=40 y &lt;60)"/>
    <s v="2. Riesgo (&gt;=40 y &lt;60)"/>
    <s v="2. Riesgo (&gt;=40 y &lt;60)"/>
    <s v="3. Vulnerable (&gt;=60 y &lt;70)"/>
    <n v="56.667075000000004"/>
    <n v="55.475853642125657"/>
    <n v="56.071464321062834"/>
    <n v="68.58333095978935"/>
    <x v="3"/>
    <n v="31.41666904021065"/>
    <n v="0.6523467210059386"/>
    <n v="36.578035891846817"/>
    <n v="0.28692666028091918"/>
    <n v="4"/>
    <b v="1"/>
    <n v="0"/>
    <n v="0.6523368619611829"/>
    <n v="36.577483080770556"/>
    <n v="0.27108565346214947"/>
    <n v="4"/>
    <b v="1"/>
    <n v="0"/>
    <n v="68.58333095978935"/>
    <x v="4"/>
    <n v="31.41666904021065"/>
    <n v="0.64930463728197152"/>
    <n v="36.407461802856709"/>
    <n v="0.29185083045621968"/>
    <n v="4"/>
    <b v="1"/>
    <n v="0"/>
    <n v="6.2800654867011196E-2"/>
    <n v="3.5213246787149992"/>
    <n v="0.21019498132231623"/>
    <n v="4"/>
  </r>
  <r>
    <n v="54245"/>
    <s v="54245"/>
    <s v="54"/>
    <s v="COLOMBIA"/>
    <s v="NORTE DE SANTANDER"/>
    <s v="EL CARMEN"/>
    <x v="6"/>
    <n v="0"/>
    <n v="0"/>
    <n v="1"/>
    <n v="61.22"/>
    <n v="70.041166666666697"/>
    <n v="74.13"/>
    <n v="77.89"/>
    <n v="38.533883170165922"/>
    <n v="45.506334548201423"/>
    <n v="55.234122179078909"/>
    <n v="55.391430604406636"/>
    <s v="1. Deterioro (&lt;40)"/>
    <s v="2. Riesgo (&gt;=40 y &lt;60)"/>
    <s v="2. Riesgo (&gt;=40 y &lt;60)"/>
    <s v="2. Riesgo (&gt;=40 y &lt;60)"/>
    <n v="70.820291666666677"/>
    <n v="48.666442625463219"/>
    <n v="59.743367146064948"/>
    <n v="68.80649482391928"/>
    <x v="3"/>
    <n v="31.19350517608072"/>
    <n v="0.6523467210059386"/>
    <n v="38.973389659589387"/>
    <n v="0.31689001097450897"/>
    <n v="4"/>
    <b v="1"/>
    <n v="0"/>
    <n v="0.6523368619611829"/>
    <n v="38.97280064705884"/>
    <n v="0.2993950043509489"/>
    <n v="4"/>
    <b v="1"/>
    <n v="0"/>
    <n v="68.80649482391928"/>
    <x v="4"/>
    <n v="31.19350517608072"/>
    <n v="0.64930463728197152"/>
    <n v="38.791645334779354"/>
    <n v="0.32230432108358553"/>
    <n v="4"/>
    <b v="1"/>
    <n v="0"/>
    <n v="6.2354559299334221E-2"/>
    <n v="3.7252713294512025"/>
    <n v="0.22236896877123527"/>
    <n v="4"/>
  </r>
  <r>
    <n v="18094"/>
    <s v="18094"/>
    <s v="18"/>
    <s v="COLOMBIA"/>
    <s v="CAQUETÁ"/>
    <s v="BELÉN DE LOS ANDAQUÍES"/>
    <x v="6"/>
    <n v="0"/>
    <n v="0"/>
    <n v="1"/>
    <n v="46.09"/>
    <n v="48.456866666666699"/>
    <n v="39.869999999999997"/>
    <n v="40.6"/>
    <n v="56.661037504761907"/>
    <n v="45.593522906005624"/>
    <n v="51.995273542159055"/>
    <n v="54.004158456538811"/>
    <s v="2. Riesgo (&gt;=40 y &lt;60)"/>
    <s v="2. Riesgo (&gt;=40 y &lt;60)"/>
    <s v="2. Riesgo (&gt;=40 y &lt;60)"/>
    <s v="2. Riesgo (&gt;=40 y &lt;60)"/>
    <n v="43.754216666666672"/>
    <n v="52.063498102366353"/>
    <n v="47.908857384516509"/>
    <n v="69.15684489445384"/>
    <x v="3"/>
    <n v="30.84315510554616"/>
    <n v="0.6523467210059386"/>
    <n v="31.253186021930492"/>
    <n v="0.2203184013290975"/>
    <n v="4"/>
    <b v="1"/>
    <n v="0"/>
    <n v="0.6523368619611829"/>
    <n v="31.252713686361343"/>
    <n v="0.2081542211920418"/>
    <n v="4"/>
    <b v="1"/>
    <n v="0"/>
    <n v="69.15684489445384"/>
    <x v="4"/>
    <n v="30.84315510554616"/>
    <n v="0.64930463728197152"/>
    <n v="31.107443266647195"/>
    <n v="0.22415299484238049"/>
    <n v="4"/>
    <b v="1"/>
    <n v="0"/>
    <n v="6.1654223632490839E-2"/>
    <n v="2.9537834071620908"/>
    <n v="0.17631729668426122"/>
    <n v="5"/>
  </r>
  <r>
    <n v="19318"/>
    <s v="19318"/>
    <s v="19"/>
    <s v="COLOMBIA"/>
    <s v="CAUCA"/>
    <s v="GUAPI"/>
    <x v="7"/>
    <n v="0"/>
    <n v="0"/>
    <n v="1"/>
    <n v="54.29"/>
    <n v="53.941033333333301"/>
    <n v="48.77"/>
    <n v="51.36"/>
    <n v="63.254954522670452"/>
    <s v="N.D."/>
    <n v="51.22527370732216"/>
    <n v="55.752225118132223"/>
    <s v="3. Vulnerable (&gt;=60 y &lt;70)"/>
    <s v="No Evaluado"/>
    <s v="2. Riesgo (&gt;=40 y &lt;60)"/>
    <s v="2. Riesgo (&gt;=40 y &lt;60)"/>
    <n v="52.090258333333324"/>
    <n v="56.744151116041614"/>
    <n v="54.417204724687466"/>
    <n v="69.261506037595453"/>
    <x v="3"/>
    <n v="30.738493962404547"/>
    <n v="0.6523467210059386"/>
    <n v="35.49888506845874"/>
    <n v="0.27342762101252494"/>
    <n v="4"/>
    <b v="0"/>
    <n v="-1"/>
    <n v="0.6523368619611829"/>
    <n v="35.49834856680188"/>
    <n v="0.25833177145413999"/>
    <n v="4"/>
    <b v="0"/>
    <n v="-1"/>
    <n v="69.261506037595453"/>
    <x v="4"/>
    <n v="30.738493962404547"/>
    <n v="0.64930463728197152"/>
    <n v="35.333343375661983"/>
    <n v="0.27813097415435301"/>
    <n v="4"/>
    <b v="0"/>
    <n v="-1"/>
    <n v="6.1445010226702637E-2"/>
    <n v="3.3436657008169925"/>
    <n v="0.19959015815257647"/>
    <n v="4"/>
  </r>
  <r>
    <n v="27077"/>
    <s v="27077"/>
    <s v="27"/>
    <s v="COLOMBIA"/>
    <s v="CHOCÓ"/>
    <s v="BAJO BAUDÓ"/>
    <x v="6"/>
    <n v="0"/>
    <n v="0"/>
    <n v="0"/>
    <n v="61.5"/>
    <n v="59.176466666666698"/>
    <n v="48.5"/>
    <n v="42.75"/>
    <n v="60.343408894913971"/>
    <n v="58.38337040259124"/>
    <n v="58.152144654815586"/>
    <n v="64.461748290296825"/>
    <s v="3. Vulnerable (&gt;=60 y &lt;70)"/>
    <s v="2. Riesgo (&gt;=40 y &lt;60)"/>
    <s v="2. Riesgo (&gt;=40 y &lt;60)"/>
    <s v="3. Vulnerable (&gt;=60 y &lt;70)"/>
    <n v="52.981616666666675"/>
    <n v="60.335168060654411"/>
    <n v="56.658392363660539"/>
    <n v="69.261552293091157"/>
    <x v="3"/>
    <n v="30.738447706908843"/>
    <n v="0.6523467210059386"/>
    <n v="36.960916475901861"/>
    <n v="0.29171609279326977"/>
    <n v="4"/>
    <b v="1"/>
    <n v="0"/>
    <n v="0.6523368619611829"/>
    <n v="36.960357878275765"/>
    <n v="0.27561070564796414"/>
    <n v="4"/>
    <b v="1"/>
    <n v="0"/>
    <n v="69.261552293091157"/>
    <x v="4"/>
    <n v="30.738447706908843"/>
    <n v="0.64930463728197152"/>
    <n v="36.78855690266623"/>
    <n v="0.29671860841659559"/>
    <n v="4"/>
    <b v="1"/>
    <n v="0"/>
    <n v="6.1444917763831486E-2"/>
    <n v="3.4813702594160199"/>
    <n v="0.20781002134715212"/>
    <n v="4"/>
  </r>
  <r>
    <n v="85279"/>
    <s v="85279"/>
    <s v="85"/>
    <s v="COLOMBIA"/>
    <s v="CASANARE"/>
    <s v="RECETOR"/>
    <x v="6"/>
    <n v="0"/>
    <n v="0"/>
    <n v="0"/>
    <n v="45.36"/>
    <n v="46.1721"/>
    <n v="72.69"/>
    <n v="52.79"/>
    <n v="41.068240853171801"/>
    <n v="54.372744202329194"/>
    <n v="73.086231219869106"/>
    <n v="66.539595254966144"/>
    <s v="2. Riesgo (&gt;=40 y &lt;60)"/>
    <s v="2. Riesgo (&gt;=40 y &lt;60)"/>
    <s v="4. Solvente (&gt;=70 y &lt;80)"/>
    <s v="3. Vulnerable (&gt;=60 y &lt;70)"/>
    <n v="54.253025000000001"/>
    <n v="58.766702882584063"/>
    <n v="56.509863941292032"/>
    <n v="69.328660906549118"/>
    <x v="3"/>
    <n v="30.671339093450882"/>
    <n v="0.6523467210059386"/>
    <n v="36.864024446593582"/>
    <n v="0.29050407564044911"/>
    <n v="4"/>
    <b v="1"/>
    <n v="0"/>
    <n v="0.6523368619611829"/>
    <n v="36.863467313315844"/>
    <n v="0.27446559276611993"/>
    <n v="4"/>
    <b v="1"/>
    <n v="0"/>
    <n v="69.328660906549118"/>
    <x v="4"/>
    <n v="30.671339093450882"/>
    <n v="0.64930463728197152"/>
    <n v="36.692116709254186"/>
    <n v="0.2954867651097145"/>
    <n v="4"/>
    <b v="1"/>
    <n v="0"/>
    <n v="6.1310770350972953E-2"/>
    <n v="3.4646632906692831"/>
    <n v="0.20681274864324617"/>
    <n v="4"/>
  </r>
  <r>
    <n v="52696"/>
    <s v="52696"/>
    <s v="52"/>
    <s v="COLOMBIA"/>
    <s v="NARIÑO"/>
    <s v="SANTA BÁRBARA"/>
    <x v="6"/>
    <n v="0"/>
    <n v="0"/>
    <n v="1"/>
    <n v="56"/>
    <n v="58.5535"/>
    <s v="N.D."/>
    <n v="37.79"/>
    <n v="50.662966321231792"/>
    <n v="54.026801783099671"/>
    <n v="59.083555789353753"/>
    <n v="57.398274104836105"/>
    <s v="2. Riesgo (&gt;=40 y &lt;60)"/>
    <s v="2. Riesgo (&gt;=40 y &lt;60)"/>
    <s v="2. Riesgo (&gt;=40 y &lt;60)"/>
    <s v="2. Riesgo (&gt;=40 y &lt;60)"/>
    <n v="50.781166666666671"/>
    <n v="55.29289949963033"/>
    <n v="53.037033083148501"/>
    <n v="69.319385858165077"/>
    <x v="3"/>
    <n v="30.680614141834923"/>
    <n v="0.6523467210059386"/>
    <n v="34.598534623675413"/>
    <n v="0.26216518600711169"/>
    <n v="4"/>
    <b v="1"/>
    <n v="0"/>
    <n v="0.6523368619611829"/>
    <n v="34.598011729192535"/>
    <n v="0.24769103144842528"/>
    <n v="4"/>
    <b v="1"/>
    <n v="0"/>
    <n v="69.319385858165077"/>
    <x v="4"/>
    <n v="30.680614141834923"/>
    <n v="0.64930463728197152"/>
    <n v="34.437191528565663"/>
    <n v="0.26668430844643393"/>
    <n v="4"/>
    <b v="1"/>
    <n v="0"/>
    <n v="6.1329310798774579E-2"/>
    <n v="3.2527246858013039"/>
    <n v="0.19416170531259844"/>
    <n v="5"/>
  </r>
  <r>
    <n v="25438"/>
    <s v="25438"/>
    <s v="25"/>
    <s v="COLOMBIA"/>
    <s v="CUNDINAMARCA"/>
    <s v="MEDINA"/>
    <x v="6"/>
    <n v="0"/>
    <n v="0"/>
    <n v="0"/>
    <n v="51.51"/>
    <n v="55.5657"/>
    <n v="43.06"/>
    <n v="36.6"/>
    <n v="54.357256228636032"/>
    <n v="48.349730559189119"/>
    <n v="51.982377037316795"/>
    <n v="66.975380944780582"/>
    <s v="2. Riesgo (&gt;=40 y &lt;60)"/>
    <s v="2. Riesgo (&gt;=40 y &lt;60)"/>
    <s v="2. Riesgo (&gt;=40 y &lt;60)"/>
    <s v="3. Vulnerable (&gt;=60 y &lt;70)"/>
    <n v="46.683924999999995"/>
    <n v="55.416186192480623"/>
    <n v="51.050055596240313"/>
    <n v="69.568580829987269"/>
    <x v="3"/>
    <n v="30.431419170012731"/>
    <n v="0.6523467210059386"/>
    <n v="33.302336375378232"/>
    <n v="0.24595111224265587"/>
    <n v="4"/>
    <b v="1"/>
    <n v="0"/>
    <n v="0.6523368619611829"/>
    <n v="33.301833070595329"/>
    <n v="0.23237198691870073"/>
    <n v="4"/>
    <b v="1"/>
    <n v="0"/>
    <n v="69.568580829987269"/>
    <x v="4"/>
    <n v="30.431419170012731"/>
    <n v="0.64930463728197152"/>
    <n v="33.147037832141294"/>
    <n v="0.25020500516467814"/>
    <n v="4"/>
    <b v="1"/>
    <n v="0"/>
    <n v="6.0831180096249438E-2"/>
    <n v="3.105435125898441"/>
    <n v="0.18536969403346465"/>
    <n v="5"/>
  </r>
  <r>
    <n v="18410"/>
    <s v="18410"/>
    <s v="18"/>
    <s v="COLOMBIA"/>
    <s v="CAQUETÁ"/>
    <s v="LA MONTAÑITA"/>
    <x v="6"/>
    <n v="0"/>
    <n v="0"/>
    <n v="1"/>
    <n v="45.68"/>
    <n v="49.705966666666697"/>
    <n v="44.73"/>
    <n v="54.77"/>
    <n v="56.32552596427152"/>
    <n v="41.024176599704461"/>
    <n v="45.538015210809888"/>
    <n v="61.189121868624184"/>
    <s v="2. Riesgo (&gt;=40 y &lt;60)"/>
    <s v="2. Riesgo (&gt;=40 y &lt;60)"/>
    <s v="2. Riesgo (&gt;=40 y &lt;60)"/>
    <s v="3. Vulnerable (&gt;=60 y &lt;70)"/>
    <n v="48.721491666666672"/>
    <n v="51.01920991085251"/>
    <n v="49.870350788759595"/>
    <n v="69.528856820556513"/>
    <x v="3"/>
    <n v="30.471143179443487"/>
    <n v="0.6523467210059386"/>
    <n v="32.532759812463247"/>
    <n v="0.23632452065075063"/>
    <n v="4"/>
    <b v="1"/>
    <n v="0"/>
    <n v="0.6523368619611829"/>
    <n v="32.532268138442838"/>
    <n v="0.22327679052276783"/>
    <n v="4"/>
    <b v="1"/>
    <n v="0"/>
    <n v="69.528856820556513"/>
    <x v="4"/>
    <n v="30.471143179443487"/>
    <n v="0.64930463728197152"/>
    <n v="32.381050030020234"/>
    <n v="0.24042094196642302"/>
    <n v="4"/>
    <b v="1"/>
    <n v="0"/>
    <n v="6.0910586789651645E-2"/>
    <n v="3.0376323299491137"/>
    <n v="0.1813224082167616"/>
    <n v="5"/>
  </r>
  <r>
    <n v="81794"/>
    <s v="81794"/>
    <s v="81"/>
    <s v="COLOMBIA"/>
    <s v="ARAUCA"/>
    <s v="TAME"/>
    <x v="6"/>
    <n v="0"/>
    <n v="0"/>
    <n v="1"/>
    <n v="52.16"/>
    <n v="55.690066666666702"/>
    <n v="55.34"/>
    <n v="62.32"/>
    <n v="64.355971167742169"/>
    <n v="63.429725096539698"/>
    <n v="57.696422973411543"/>
    <n v="67.117618495846457"/>
    <s v="3. Vulnerable (&gt;=60 y &lt;70)"/>
    <s v="3. Vulnerable (&gt;=60 y &lt;70)"/>
    <s v="2. Riesgo (&gt;=40 y &lt;60)"/>
    <s v="3. Vulnerable (&gt;=60 y &lt;70)"/>
    <n v="56.377516666666672"/>
    <n v="63.149934433384971"/>
    <n v="59.763725550025825"/>
    <n v="69.541805490377257"/>
    <x v="3"/>
    <n v="30.458194509622743"/>
    <n v="0.6523467210059386"/>
    <n v="38.98667039765818"/>
    <n v="0.31705613900853208"/>
    <n v="4"/>
    <b v="1"/>
    <n v="0"/>
    <n v="0.6523368619611829"/>
    <n v="38.986081184413216"/>
    <n v="0.29955196199082434"/>
    <n v="4"/>
    <b v="1"/>
    <n v="0"/>
    <n v="69.541805490377257"/>
    <x v="4"/>
    <n v="30.458194509622743"/>
    <n v="0.64930463728197152"/>
    <n v="38.804864140878813"/>
    <n v="0.32247316663690173"/>
    <n v="4"/>
    <b v="1"/>
    <n v="0"/>
    <n v="6.088470292069792E-2"/>
    <n v="3.6386966755474464"/>
    <n v="0.21720115284381369"/>
    <n v="4"/>
  </r>
  <r>
    <n v="50683"/>
    <s v="50683"/>
    <s v="50"/>
    <s v="COLOMBIA"/>
    <s v="META"/>
    <s v="SAN JUAN DE ARAMA"/>
    <x v="6"/>
    <n v="0"/>
    <n v="0"/>
    <n v="0"/>
    <n v="64.94"/>
    <n v="68.093833333333293"/>
    <n v="63.34"/>
    <n v="65.099999999999994"/>
    <n v="58.068575513886451"/>
    <n v="61.81053877817746"/>
    <n v="56.565497374977653"/>
    <n v="55.713555419061095"/>
    <s v="2. Riesgo (&gt;=40 y &lt;60)"/>
    <s v="3. Vulnerable (&gt;=60 y &lt;70)"/>
    <s v="2. Riesgo (&gt;=40 y &lt;60)"/>
    <s v="2. Riesgo (&gt;=40 y &lt;60)"/>
    <n v="65.368458333333322"/>
    <n v="58.039541771525663"/>
    <n v="61.704000052429492"/>
    <n v="69.733233116895448"/>
    <x v="3"/>
    <n v="30.266766883104552"/>
    <n v="0.6523467210059386"/>
    <n v="40.252402107152641"/>
    <n v="0.33288910848732489"/>
    <n v="4"/>
    <b v="1"/>
    <n v="0"/>
    <n v="0.6523368619611829"/>
    <n v="40.251793764654522"/>
    <n v="0.31451093948203956"/>
    <n v="4"/>
    <b v="1"/>
    <n v="0"/>
    <n v="69.733233116895448"/>
    <x v="4"/>
    <n v="30.266766883104552"/>
    <n v="0.64930463728197152"/>
    <n v="40.064693372889487"/>
    <n v="0.33856513153617246"/>
    <n v="4"/>
    <b v="1"/>
    <n v="0"/>
    <n v="6.050204681257923E-2"/>
    <n v="3.7332182996954804"/>
    <n v="0.22284333947387508"/>
    <n v="4"/>
  </r>
  <r>
    <n v="15223"/>
    <s v="15223"/>
    <s v="15"/>
    <s v="COLOMBIA"/>
    <s v="BOYACÁ"/>
    <s v="CUBARÁ"/>
    <x v="6"/>
    <n v="0"/>
    <n v="0"/>
    <n v="0"/>
    <n v="63.33"/>
    <n v="65.732633333333297"/>
    <n v="55.04"/>
    <n v="56.22"/>
    <n v="58.732704872213731"/>
    <n v="61.703493265014792"/>
    <n v="64.162912175789685"/>
    <n v="68.922522793039946"/>
    <s v="2. Riesgo (&gt;=40 y &lt;60)"/>
    <s v="3. Vulnerable (&gt;=60 y &lt;70)"/>
    <s v="3. Vulnerable (&gt;=60 y &lt;70)"/>
    <s v="3. Vulnerable (&gt;=60 y &lt;70)"/>
    <n v="60.080658333333318"/>
    <n v="63.380408276514544"/>
    <n v="61.730533304923931"/>
    <n v="69.612362212345886"/>
    <x v="3"/>
    <n v="30.387637787654114"/>
    <n v="0.6523467210059386"/>
    <n v="40.26971098741501"/>
    <n v="0.33310562433412755"/>
    <n v="4"/>
    <b v="1"/>
    <n v="0"/>
    <n v="0.6523368619611829"/>
    <n v="40.269102383324366"/>
    <n v="0.31471550348900934"/>
    <n v="4"/>
    <b v="1"/>
    <n v="0"/>
    <n v="69.612362212345886"/>
    <x v="4"/>
    <n v="30.387637787654114"/>
    <n v="0.64930463728197152"/>
    <n v="40.081921536776292"/>
    <n v="0.33878518914517308"/>
    <n v="4"/>
    <b v="1"/>
    <n v="0"/>
    <n v="6.0743662877935013E-2"/>
    <n v="3.7497387043494386"/>
    <n v="0.22382947579032036"/>
    <n v="4"/>
  </r>
  <r>
    <n v="15518"/>
    <s v="15518"/>
    <s v="15"/>
    <s v="COLOMBIA"/>
    <s v="BOYACÁ"/>
    <s v="PAJARITO"/>
    <x v="6"/>
    <n v="0"/>
    <n v="0"/>
    <n v="0"/>
    <n v="65.55"/>
    <n v="62.754166666666698"/>
    <n v="41.94"/>
    <n v="19.43"/>
    <n v="50.695052308985282"/>
    <n v="52.933279272917893"/>
    <n v="56.574355938858311"/>
    <n v="61.480464566824779"/>
    <s v="2. Riesgo (&gt;=40 y &lt;60)"/>
    <s v="2. Riesgo (&gt;=40 y &lt;60)"/>
    <s v="2. Riesgo (&gt;=40 y &lt;60)"/>
    <s v="3. Vulnerable (&gt;=60 y &lt;70)"/>
    <n v="47.418541666666677"/>
    <n v="55.42078802189657"/>
    <n v="51.419664844281627"/>
    <n v="69.676694422762083"/>
    <x v="3"/>
    <n v="30.323305577237917"/>
    <n v="0.6523467210059386"/>
    <n v="33.543449756391453"/>
    <n v="0.24896718648167104"/>
    <n v="4"/>
    <b v="1"/>
    <n v="0"/>
    <n v="0.6523368619611829"/>
    <n v="33.54294280761443"/>
    <n v="0.23522157156002108"/>
    <n v="4"/>
    <b v="1"/>
    <n v="0"/>
    <n v="69.676694422762083"/>
    <x v="4"/>
    <n v="30.323305577237917"/>
    <n v="0.64930463728197152"/>
    <n v="33.387026830876827"/>
    <n v="0.25327041629004138"/>
    <n v="4"/>
    <b v="1"/>
    <n v="0"/>
    <n v="6.0615065382827925E-2"/>
    <n v="3.1168063464992293"/>
    <n v="0.1860484651550946"/>
    <n v="5"/>
  </r>
  <r>
    <n v="85225"/>
    <s v="85225"/>
    <s v="85"/>
    <s v="COLOMBIA"/>
    <s v="CASANARE"/>
    <s v="NUNCHÍA"/>
    <x v="6"/>
    <n v="0"/>
    <n v="0"/>
    <n v="0"/>
    <n v="48.32"/>
    <n v="51.913233333333302"/>
    <n v="51.23"/>
    <n v="36.700000000000003"/>
    <n v="53.23452346088591"/>
    <n v="62.940237585740341"/>
    <n v="59.350646924093375"/>
    <n v="64.695144519485893"/>
    <s v="2. Riesgo (&gt;=40 y &lt;60)"/>
    <s v="3. Vulnerable (&gt;=60 y &lt;70)"/>
    <s v="2. Riesgo (&gt;=40 y &lt;60)"/>
    <s v="3. Vulnerable (&gt;=60 y &lt;70)"/>
    <n v="47.040808333333331"/>
    <n v="60.055138122551384"/>
    <n v="53.547973227942357"/>
    <n v="69.771146467865393"/>
    <x v="3"/>
    <n v="30.228853532134607"/>
    <n v="0.6523467210059386"/>
    <n v="34.931844751761986"/>
    <n v="0.26633454436748255"/>
    <n v="4"/>
    <b v="1"/>
    <n v="0"/>
    <n v="0.6523368619611829"/>
    <n v="34.931316819897354"/>
    <n v="0.25163023804824453"/>
    <n v="4"/>
    <b v="1"/>
    <n v="0"/>
    <n v="69.771146467865393"/>
    <x v="4"/>
    <n v="30.228853532134607"/>
    <n v="0.64930463728197152"/>
    <n v="34.768947333953832"/>
    <n v="0.27092186909337607"/>
    <n v="4"/>
    <b v="1"/>
    <n v="0"/>
    <n v="6.0426259552444558E-2"/>
    <n v="3.2357037287789971"/>
    <n v="0.19314569001443022"/>
    <n v="5"/>
  </r>
  <r>
    <n v="68298"/>
    <s v="68298"/>
    <s v="68"/>
    <s v="COLOMBIA"/>
    <s v="SANTANDER"/>
    <s v="GÁMBITA"/>
    <x v="6"/>
    <n v="0"/>
    <n v="0"/>
    <n v="0"/>
    <n v="69.88"/>
    <n v="71.050533333333306"/>
    <n v="61.74"/>
    <n v="54.14"/>
    <n v="42.923236937238393"/>
    <n v="42.964139596733723"/>
    <n v="43.569309839835462"/>
    <n v="48.504257473300449"/>
    <s v="2. Riesgo (&gt;=40 y &lt;60)"/>
    <s v="2. Riesgo (&gt;=40 y &lt;60)"/>
    <s v="2. Riesgo (&gt;=40 y &lt;60)"/>
    <s v="2. Riesgo (&gt;=40 y &lt;60)"/>
    <n v="64.202633333333324"/>
    <n v="44.490235961777003"/>
    <n v="54.346434647555164"/>
    <n v="70.064728414761191"/>
    <x v="3"/>
    <n v="29.935271585238809"/>
    <n v="0.6523467210059386"/>
    <n v="35.452718440696145"/>
    <n v="0.27285012516342755"/>
    <n v="4"/>
    <b v="1"/>
    <n v="0"/>
    <n v="0.6523368619611829"/>
    <n v="35.45218263676464"/>
    <n v="0.25778615381624276"/>
    <n v="4"/>
    <b v="1"/>
    <n v="0"/>
    <n v="70.064728414761191"/>
    <x v="4"/>
    <n v="29.935271585238809"/>
    <n v="0.64930463728197152"/>
    <n v="35.287392036399176"/>
    <n v="0.27754403163888891"/>
    <n v="4"/>
    <b v="1"/>
    <n v="0"/>
    <n v="5.9839401076181832E-2"/>
    <n v="3.2520580999355579"/>
    <n v="0.19412191545611429"/>
    <n v="5"/>
  </r>
  <r>
    <n v="17446"/>
    <s v="17446"/>
    <s v="17"/>
    <s v="COLOMBIA"/>
    <s v="CALDAS"/>
    <s v="MARULANDA"/>
    <x v="6"/>
    <n v="0"/>
    <n v="0"/>
    <n v="0"/>
    <n v="46.68"/>
    <n v="54.620533333333299"/>
    <n v="32.54"/>
    <n v="39.74"/>
    <n v="52.313964441729411"/>
    <n v="52.947328122175023"/>
    <n v="38.929424508696528"/>
    <n v="52.826075730068979"/>
    <s v="2. Riesgo (&gt;=40 y &lt;60)"/>
    <s v="2. Riesgo (&gt;=40 y &lt;60)"/>
    <s v="1. Deterioro (&lt;40)"/>
    <s v="2. Riesgo (&gt;=40 y &lt;60)"/>
    <n v="43.395133333333327"/>
    <n v="49.254198200667489"/>
    <n v="46.324665767000411"/>
    <n v="69.805715891829081"/>
    <x v="3"/>
    <n v="30.194284108170919"/>
    <n v="0.6523467210059386"/>
    <n v="30.219743814798772"/>
    <n v="0.20739112866864717"/>
    <n v="4"/>
    <b v="1"/>
    <n v="0"/>
    <n v="0.6523368619611829"/>
    <n v="30.219287097845683"/>
    <n v="0.19594054383925621"/>
    <n v="4"/>
    <b v="1"/>
    <n v="0"/>
    <n v="69.805715891829081"/>
    <x v="4"/>
    <n v="30.194284108170919"/>
    <n v="0.64930463728197152"/>
    <n v="30.078820303050765"/>
    <n v="0.21101425809600424"/>
    <n v="4"/>
    <b v="1"/>
    <n v="0"/>
    <n v="6.0357156667586953E-2"/>
    <n v="2.796025109272446"/>
    <n v="0.16690038529327439"/>
    <n v="5"/>
  </r>
  <r>
    <n v="73622"/>
    <s v="73622"/>
    <s v="73"/>
    <s v="COLOMBIA"/>
    <s v="TOLIMA"/>
    <s v="RONCESVALLES"/>
    <x v="6"/>
    <n v="0"/>
    <n v="0"/>
    <n v="0"/>
    <n v="67.23"/>
    <n v="68.778733333333307"/>
    <n v="68.12"/>
    <n v="39.049999999999997"/>
    <n v="54.857868928607331"/>
    <n v="54.766358452202745"/>
    <n v="47.409702066643625"/>
    <n v="56.249528375038203"/>
    <s v="2. Riesgo (&gt;=40 y &lt;60)"/>
    <s v="2. Riesgo (&gt;=40 y &lt;60)"/>
    <s v="2. Riesgo (&gt;=40 y &lt;60)"/>
    <s v="2. Riesgo (&gt;=40 y &lt;60)"/>
    <n v="60.794683333333325"/>
    <n v="53.320864455622981"/>
    <n v="57.057773894478153"/>
    <n v="69.928382052335039"/>
    <x v="3"/>
    <n v="30.071617947664961"/>
    <n v="0.6523467210059386"/>
    <n v="37.221451707961066"/>
    <n v="0.29497511391630948"/>
    <n v="4"/>
    <b v="1"/>
    <n v="0"/>
    <n v="0.6523368619611829"/>
    <n v="37.22088917281458"/>
    <n v="0.27868982632006828"/>
    <n v="4"/>
    <b v="1"/>
    <n v="0"/>
    <n v="69.928382052335039"/>
    <x v="4"/>
    <n v="30.071617947664961"/>
    <n v="0.64930463728197152"/>
    <n v="37.047877182670881"/>
    <n v="0.30003094054659696"/>
    <n v="4"/>
    <b v="1"/>
    <n v="0"/>
    <n v="6.0111951957949022E-2"/>
    <n v="3.4298541631723887"/>
    <n v="0.20473492152656977"/>
    <n v="4"/>
  </r>
  <r>
    <n v="18479"/>
    <s v="18479"/>
    <s v="18"/>
    <s v="COLOMBIA"/>
    <s v="CAQUETÁ"/>
    <s v="MORELIA"/>
    <x v="6"/>
    <n v="0"/>
    <n v="0"/>
    <n v="1"/>
    <n v="57.8"/>
    <n v="59.6475333333333"/>
    <n v="57.41"/>
    <n v="60"/>
    <n v="67.767006554696451"/>
    <n v="45.963652519654843"/>
    <n v="65.98954818552923"/>
    <n v="51.35627919711267"/>
    <s v="3. Vulnerable (&gt;=60 y &lt;70)"/>
    <s v="2. Riesgo (&gt;=40 y &lt;60)"/>
    <s v="3. Vulnerable (&gt;=60 y &lt;70)"/>
    <s v="2. Riesgo (&gt;=40 y &lt;60)"/>
    <n v="58.714383333333323"/>
    <n v="57.769121614248292"/>
    <n v="58.241752473790811"/>
    <n v="70.025484015597826"/>
    <x v="3"/>
    <n v="29.974515984402174"/>
    <n v="0.6523467210059386"/>
    <n v="37.993816251916947"/>
    <n v="0.30463658021222728"/>
    <n v="4"/>
    <b v="1"/>
    <n v="0"/>
    <n v="0.6523368619611829"/>
    <n v="37.993242043872662"/>
    <n v="0.28781797230976097"/>
    <n v="4"/>
    <b v="1"/>
    <n v="0"/>
    <n v="70.025484015597826"/>
    <x v="4"/>
    <n v="29.974515984402174"/>
    <n v="0.64930463728197152"/>
    <n v="37.816639964661107"/>
    <n v="0.30985044892862479"/>
    <n v="4"/>
    <b v="1"/>
    <n v="0"/>
    <n v="5.9917849047994735E-2"/>
    <n v="3.4897205330152716"/>
    <n v="0.20830846604151396"/>
    <n v="4"/>
  </r>
  <r>
    <n v="27615"/>
    <s v="27615"/>
    <s v="27"/>
    <s v="COLOMBIA"/>
    <s v="CHOCÓ"/>
    <s v="RIOSUCIO"/>
    <x v="6"/>
    <n v="0"/>
    <n v="0"/>
    <n v="1"/>
    <n v="51.88"/>
    <n v="51.196466666666701"/>
    <n v="39.25"/>
    <n v="32.53"/>
    <n v="70.255111976140157"/>
    <n v="60.12358458930197"/>
    <n v="61.07550124891489"/>
    <n v="60.368841342941515"/>
    <s v="4. Solvente (&gt;=70 y &lt;80)"/>
    <s v="3. Vulnerable (&gt;=60 y &lt;70)"/>
    <s v="3. Vulnerable (&gt;=60 y &lt;70)"/>
    <s v="3. Vulnerable (&gt;=60 y &lt;70)"/>
    <n v="43.714116666666676"/>
    <n v="62.955759789324631"/>
    <n v="53.33493822799565"/>
    <n v="70.249546024724793"/>
    <x v="3"/>
    <n v="29.750453975275207"/>
    <n v="0.6523467210059386"/>
    <n v="34.792872068087249"/>
    <n v="0.26459614258572828"/>
    <n v="4"/>
    <b v="1"/>
    <n v="0"/>
    <n v="0.6523368619611829"/>
    <n v="34.792346236544212"/>
    <n v="0.24998779737034249"/>
    <n v="4"/>
    <b v="1"/>
    <n v="0"/>
    <n v="70.249546024724793"/>
    <x v="4"/>
    <n v="29.750453975275207"/>
    <n v="0.64930463728197152"/>
    <n v="34.630622720585073"/>
    <n v="0.26915503056758416"/>
    <n v="4"/>
    <b v="1"/>
    <n v="0"/>
    <n v="5.9469958124676869E-2"/>
    <n v="3.1718265430011288"/>
    <n v="0.18933273179655841"/>
    <n v="5"/>
  </r>
  <r>
    <n v="27425"/>
    <s v="27425"/>
    <s v="27"/>
    <s v="COLOMBIA"/>
    <s v="CHOCÓ"/>
    <s v="MEDIO ATRATO"/>
    <x v="6"/>
    <n v="0"/>
    <n v="0"/>
    <n v="1"/>
    <n v="52.85"/>
    <n v="59.130400000000002"/>
    <n v="69.59"/>
    <n v="63.75"/>
    <n v="60.753819992667928"/>
    <n v="49.455528034975949"/>
    <n v="59.593036991870811"/>
    <n v="75.239831380705141"/>
    <s v="3. Vulnerable (&gt;=60 y &lt;70)"/>
    <s v="2. Riesgo (&gt;=40 y &lt;60)"/>
    <s v="2. Riesgo (&gt;=40 y &lt;60)"/>
    <s v="4. Solvente (&gt;=70 y &lt;80)"/>
    <n v="61.330100000000002"/>
    <n v="61.260554100054954"/>
    <n v="61.295327050027481"/>
    <n v="70.311718931793948"/>
    <x v="3"/>
    <n v="29.688281068206052"/>
    <n v="0.6523467210059386"/>
    <n v="39.985805614072042"/>
    <n v="0.32955426737807891"/>
    <n v="4"/>
    <b v="1"/>
    <n v="0"/>
    <n v="0.6523368619611829"/>
    <n v="39.985201300699337"/>
    <n v="0.31136018414477895"/>
    <n v="4"/>
    <b v="1"/>
    <n v="0"/>
    <n v="70.311718931793948"/>
    <x v="4"/>
    <n v="29.688281068206052"/>
    <n v="0.64930463728197152"/>
    <n v="39.799340097297915"/>
    <n v="0.3351757391580395"/>
    <n v="4"/>
    <b v="1"/>
    <n v="0"/>
    <n v="5.9345676989909481E-2"/>
    <n v="3.6376126801017921"/>
    <n v="0.2171364469665539"/>
    <n v="4"/>
  </r>
  <r>
    <n v="19533"/>
    <s v="19533"/>
    <s v="19"/>
    <s v="COLOMBIA"/>
    <s v="CAUCA"/>
    <s v="PIAMONTE"/>
    <x v="6"/>
    <n v="0"/>
    <n v="0"/>
    <n v="0"/>
    <n v="52.67"/>
    <n v="62.1619666666667"/>
    <n v="42.21"/>
    <n v="50.13"/>
    <n v="57.103097541695639"/>
    <n v="53.536658599748279"/>
    <n v="50.875003682785554"/>
    <n v="54.90051043731912"/>
    <s v="2. Riesgo (&gt;=40 y &lt;60)"/>
    <s v="2. Riesgo (&gt;=40 y &lt;60)"/>
    <s v="2. Riesgo (&gt;=40 y &lt;60)"/>
    <s v="2. Riesgo (&gt;=40 y &lt;60)"/>
    <n v="51.792991666666673"/>
    <n v="54.103817565387146"/>
    <n v="52.948404616026906"/>
    <n v="70.372966375028525"/>
    <x v="3"/>
    <n v="29.627033624971475"/>
    <n v="0.6523467210059386"/>
    <n v="34.540718133760855"/>
    <n v="0.2614419626626055"/>
    <n v="4"/>
    <b v="1"/>
    <n v="0"/>
    <n v="0.6523368619611829"/>
    <n v="34.540196113070003"/>
    <n v="0.24700773058398034"/>
    <n v="4"/>
    <b v="1"/>
    <n v="0"/>
    <n v="70.372966375028525"/>
    <x v="4"/>
    <n v="29.627033624971475"/>
    <n v="0.64930463728197152"/>
    <n v="34.379644653868418"/>
    <n v="0.26594925462789948"/>
    <n v="4"/>
    <b v="1"/>
    <n v="0"/>
    <n v="5.9223245820037893E-2"/>
    <n v="3.1357763823537903"/>
    <n v="0.1871808249048886"/>
    <n v="5"/>
  </r>
  <r>
    <n v="85015"/>
    <s v="85015"/>
    <s v="85"/>
    <s v="COLOMBIA"/>
    <s v="CASANARE"/>
    <s v="CHÁMEZA"/>
    <x v="6"/>
    <n v="0"/>
    <n v="0"/>
    <n v="0"/>
    <n v="55.42"/>
    <n v="56.596533333333298"/>
    <n v="55.53"/>
    <n v="52.92"/>
    <n v="54.698186282417169"/>
    <n v="56.182696326865369"/>
    <n v="54.539530187185903"/>
    <n v="53.843933825949975"/>
    <s v="2. Riesgo (&gt;=40 y &lt;60)"/>
    <s v="2. Riesgo (&gt;=40 y &lt;60)"/>
    <s v="2. Riesgo (&gt;=40 y &lt;60)"/>
    <s v="2. Riesgo (&gt;=40 y &lt;60)"/>
    <n v="55.116633333333326"/>
    <n v="54.816086655604607"/>
    <n v="54.966359994468966"/>
    <n v="70.384298399645417"/>
    <x v="3"/>
    <n v="29.615701600354583"/>
    <n v="0.6523467210059386"/>
    <n v="35.857124708023832"/>
    <n v="0.27790882128330996"/>
    <n v="4"/>
    <b v="1"/>
    <n v="0"/>
    <n v="0.6523368619611829"/>
    <n v="35.856582792220586"/>
    <n v="0.26256560605314483"/>
    <n v="4"/>
    <b v="1"/>
    <n v="0"/>
    <n v="70.384298399645417"/>
    <x v="4"/>
    <n v="29.615701600354583"/>
    <n v="0.64930463728197152"/>
    <n v="35.689912438918945"/>
    <n v="0.28268547781588443"/>
    <n v="4"/>
    <b v="1"/>
    <n v="0"/>
    <n v="5.9200593559672582E-2"/>
    <n v="3.2540411374872042"/>
    <n v="0.19424028697227957"/>
    <n v="5"/>
  </r>
  <r>
    <n v="13458"/>
    <s v="13458"/>
    <s v="13"/>
    <s v="COLOMBIA"/>
    <s v="BOLÍVAR"/>
    <s v="MONTECRISTO"/>
    <x v="7"/>
    <n v="0"/>
    <n v="0"/>
    <n v="0"/>
    <n v="44.07"/>
    <n v="42.328366666666703"/>
    <n v="50.57"/>
    <n v="36.799999999999997"/>
    <n v="46.598969194238904"/>
    <n v="43.60658490143426"/>
    <n v="42.799702120444202"/>
    <n v="50.858967392495458"/>
    <s v="2. Riesgo (&gt;=40 y &lt;60)"/>
    <s v="2. Riesgo (&gt;=40 y &lt;60)"/>
    <s v="2. Riesgo (&gt;=40 y &lt;60)"/>
    <s v="2. Riesgo (&gt;=40 y &lt;60)"/>
    <n v="43.44209166666667"/>
    <n v="45.966055902153208"/>
    <n v="44.704073784409943"/>
    <n v="70.448943709976803"/>
    <x v="3"/>
    <n v="29.551056290023197"/>
    <n v="0.6523467210059386"/>
    <n v="29.162555948867368"/>
    <n v="0.19416682284689654"/>
    <n v="4"/>
    <b v="0"/>
    <n v="-1"/>
    <n v="0.6523368619611829"/>
    <n v="29.162115209403165"/>
    <n v="0.18344622978215633"/>
    <n v="4"/>
    <b v="0"/>
    <n v="-1"/>
    <n v="70.448943709976803"/>
    <x v="4"/>
    <n v="29.551056290023197"/>
    <n v="0.64930463728197152"/>
    <n v="29.02656241361279"/>
    <n v="0.19757362932539546"/>
    <n v="4"/>
    <b v="0"/>
    <n v="-1"/>
    <n v="5.907137019045746E-2"/>
    <n v="2.6407308915404042"/>
    <n v="0.15763055982305901"/>
    <n v="5"/>
  </r>
  <r>
    <n v="68264"/>
    <s v="68264"/>
    <s v="68"/>
    <s v="COLOMBIA"/>
    <s v="SANTANDER"/>
    <s v="ENCINO"/>
    <x v="6"/>
    <n v="0"/>
    <n v="0"/>
    <n v="0"/>
    <n v="66.069999999999993"/>
    <n v="66.670466666666698"/>
    <n v="57.39"/>
    <n v="61.2"/>
    <n v="44.151271204345242"/>
    <n v="64.996552838910418"/>
    <n v="63.260015848762571"/>
    <n v="58.866919573635407"/>
    <s v="2. Riesgo (&gt;=40 y &lt;60)"/>
    <s v="3. Vulnerable (&gt;=60 y &lt;70)"/>
    <s v="3. Vulnerable (&gt;=60 y &lt;70)"/>
    <s v="2. Riesgo (&gt;=40 y &lt;60)"/>
    <n v="62.832616666666667"/>
    <n v="57.818689866413415"/>
    <n v="60.325653266540044"/>
    <n v="70.383523092061068"/>
    <x v="3"/>
    <n v="29.616476907938932"/>
    <n v="0.6523467210059386"/>
    <n v="39.353242100968586"/>
    <n v="0.32164156461394799"/>
    <n v="4"/>
    <b v="1"/>
    <n v="0"/>
    <n v="0.6523368619611829"/>
    <n v="39.352647347653118"/>
    <n v="0.30388426860651857"/>
    <n v="4"/>
    <b v="1"/>
    <n v="0"/>
    <n v="70.383523092061068"/>
    <x v="4"/>
    <n v="29.616476907938932"/>
    <n v="0.64930463728197152"/>
    <n v="39.169726413028762"/>
    <n v="0.32713360054915069"/>
    <n v="4"/>
    <b v="1"/>
    <n v="0"/>
    <n v="5.9202143368277615E-2"/>
    <n v="3.5714079734707087"/>
    <n v="0.21318455432856853"/>
    <n v="4"/>
  </r>
  <r>
    <n v="86571"/>
    <s v="86571"/>
    <s v="86"/>
    <s v="COLOMBIA"/>
    <s v="PUTUMAYO"/>
    <s v="PUERTO GUZMÁN"/>
    <x v="6"/>
    <n v="0"/>
    <n v="0"/>
    <n v="1"/>
    <n v="62.4"/>
    <n v="70.129400000000004"/>
    <n v="92.45"/>
    <n v="39.35"/>
    <n v="45.589165950378643"/>
    <n v="48.188877272773453"/>
    <n v="61.056473677965606"/>
    <n v="14.315809487601157"/>
    <s v="2. Riesgo (&gt;=40 y &lt;60)"/>
    <s v="2. Riesgo (&gt;=40 y &lt;60)"/>
    <s v="3. Vulnerable (&gt;=60 y &lt;70)"/>
    <s v="1. Deterioro (&lt;40)"/>
    <n v="66.082350000000005"/>
    <n v="42.28758159717971"/>
    <n v="54.184965798589857"/>
    <n v="70.526612326870961"/>
    <x v="3"/>
    <n v="29.473387673129039"/>
    <n v="0.6523467210059386"/>
    <n v="35.347384766529025"/>
    <n v="0.27153251193175526"/>
    <n v="4"/>
    <b v="1"/>
    <n v="0"/>
    <n v="0.6523368619611829"/>
    <n v="35.346850554526128"/>
    <n v="0.25654127383961461"/>
    <n v="4"/>
    <b v="1"/>
    <n v="0"/>
    <n v="70.526612326870961"/>
    <x v="4"/>
    <n v="29.473387673129039"/>
    <n v="0.64930463728197152"/>
    <n v="35.182549563989419"/>
    <n v="0.27620486491446078"/>
    <n v="4"/>
    <b v="1"/>
    <n v="0"/>
    <n v="5.8916113756450249E-2"/>
    <n v="3.1923676088790862"/>
    <n v="0.19055886950111489"/>
    <n v="5"/>
  </r>
  <r>
    <n v="50223"/>
    <s v="50223"/>
    <s v="50"/>
    <s v="COLOMBIA"/>
    <s v="META"/>
    <s v="CUBARRAL"/>
    <x v="6"/>
    <n v="0"/>
    <n v="0"/>
    <n v="0"/>
    <n v="62.09"/>
    <n v="65.408666666666704"/>
    <n v="57.43"/>
    <n v="53.34"/>
    <n v="65.972270174318211"/>
    <n v="63.679567883304173"/>
    <n v="52.532940229808254"/>
    <n v="59.179116742687057"/>
    <s v="3. Vulnerable (&gt;=60 y &lt;70)"/>
    <s v="3. Vulnerable (&gt;=60 y &lt;70)"/>
    <s v="2. Riesgo (&gt;=40 y &lt;60)"/>
    <s v="2. Riesgo (&gt;=40 y &lt;60)"/>
    <n v="59.567166666666679"/>
    <n v="60.340973757529426"/>
    <n v="59.954070212098053"/>
    <n v="70.660181574316709"/>
    <x v="3"/>
    <n v="29.339818425683291"/>
    <n v="0.6523467210059386"/>
    <n v="39.110841113821984"/>
    <n v="0.31860938377946901"/>
    <n v="4"/>
    <b v="1"/>
    <n v="0"/>
    <n v="0.6523368619611829"/>
    <n v="39.110250023960475"/>
    <n v="0.30101946646608496"/>
    <n v="4"/>
    <b v="1"/>
    <n v="0"/>
    <n v="70.660181574316709"/>
    <x v="4"/>
    <n v="29.339818425683291"/>
    <n v="0.64930463728197152"/>
    <n v="38.928455812644181"/>
    <n v="0.3240518193569345"/>
    <n v="4"/>
    <b v="1"/>
    <n v="0"/>
    <n v="5.8649114215571146E-2"/>
    <n v="3.5162531115577105"/>
    <n v="0.20989224923676195"/>
    <n v="4"/>
  </r>
  <r>
    <n v="50124"/>
    <s v="50124"/>
    <s v="50"/>
    <s v="COLOMBIA"/>
    <s v="META"/>
    <s v="CABUYARO"/>
    <x v="6"/>
    <n v="0"/>
    <n v="0"/>
    <n v="0"/>
    <n v="56.65"/>
    <n v="62.634433333333298"/>
    <n v="81.96"/>
    <n v="74.25"/>
    <n v="59.588605517939186"/>
    <n v="56.956829845607388"/>
    <n v="61.875659541759546"/>
    <n v="61.819012659326717"/>
    <s v="2. Riesgo (&gt;=40 y &lt;60)"/>
    <s v="2. Riesgo (&gt;=40 y &lt;60)"/>
    <s v="3. Vulnerable (&gt;=60 y &lt;70)"/>
    <s v="3. Vulnerable (&gt;=60 y &lt;70)"/>
    <n v="68.873608333333323"/>
    <n v="60.060026891158209"/>
    <n v="64.466817612245762"/>
    <n v="71.033493129507221"/>
    <x v="3"/>
    <n v="28.966506870492779"/>
    <n v="0.6523467210059386"/>
    <n v="42.054717083036415"/>
    <n v="0.35543416901657116"/>
    <n v="3"/>
    <b v="0"/>
    <n v="-1"/>
    <n v="0.6523368619611829"/>
    <n v="42.054081501796318"/>
    <n v="0.33581149547987704"/>
    <n v="4"/>
    <b v="1"/>
    <n v="0"/>
    <n v="71.033493129507221"/>
    <x v="4"/>
    <n v="28.966506870492779"/>
    <n v="0.64930463728197152"/>
    <n v="41.858603626442246"/>
    <n v="0.36147898374655546"/>
    <n v="3"/>
    <b v="0"/>
    <n v="-1"/>
    <n v="5.7902879466579141E-2"/>
    <n v="3.7328143697958076"/>
    <n v="0.22281922808243468"/>
    <n v="4"/>
  </r>
  <r>
    <n v="50245"/>
    <s v="50245"/>
    <s v="50"/>
    <s v="COLOMBIA"/>
    <s v="META"/>
    <s v="EL CALVARIO"/>
    <x v="6"/>
    <n v="0"/>
    <n v="0"/>
    <n v="0"/>
    <n v="45.61"/>
    <n v="46.557533333333303"/>
    <n v="34.299999999999997"/>
    <n v="24.15"/>
    <n v="51.263587569440801"/>
    <n v="53.054002811771142"/>
    <n v="52.65056776728148"/>
    <n v="56.698548839892389"/>
    <s v="2. Riesgo (&gt;=40 y &lt;60)"/>
    <s v="2. Riesgo (&gt;=40 y &lt;60)"/>
    <s v="2. Riesgo (&gt;=40 y &lt;60)"/>
    <s v="2. Riesgo (&gt;=40 y &lt;60)"/>
    <n v="37.654383333333321"/>
    <n v="53.416676747096453"/>
    <n v="45.535530040214887"/>
    <n v="71.02722786964101"/>
    <x v="3"/>
    <n v="28.97277213035899"/>
    <n v="0.6523467210059386"/>
    <n v="29.704953711001597"/>
    <n v="0.20095164711006264"/>
    <n v="4"/>
    <b v="1"/>
    <n v="0"/>
    <n v="0.6523368619611829"/>
    <n v="29.704504774172957"/>
    <n v="0.18985652657269189"/>
    <n v="4"/>
    <b v="1"/>
    <n v="0"/>
    <n v="71.02722786964101"/>
    <x v="4"/>
    <n v="28.97277213035899"/>
    <n v="0.64930463728197152"/>
    <n v="29.566430816204043"/>
    <n v="0.20446943961776232"/>
    <n v="4"/>
    <b v="1"/>
    <n v="0"/>
    <n v="5.7915403468471453E-2"/>
    <n v="2.6372085944297474"/>
    <n v="0.1574203067953103"/>
    <n v="5"/>
  </r>
  <r>
    <n v="52250"/>
    <s v="52250"/>
    <s v="52"/>
    <s v="COLOMBIA"/>
    <s v="NARIÑO"/>
    <s v="EL CHARCO"/>
    <x v="6"/>
    <n v="0"/>
    <n v="0"/>
    <n v="1"/>
    <n v="52.9"/>
    <n v="49.428066666666702"/>
    <n v="42.11"/>
    <n v="42.28"/>
    <n v="36.053012206716346"/>
    <n v="48.124675333592407"/>
    <n v="64.006261198757798"/>
    <n v="51.725848152891089"/>
    <s v="1. Deterioro (&lt;40)"/>
    <s v="2. Riesgo (&gt;=40 y &lt;60)"/>
    <s v="3. Vulnerable (&gt;=60 y &lt;70)"/>
    <s v="2. Riesgo (&gt;=40 y &lt;60)"/>
    <n v="46.679516666666679"/>
    <n v="49.977449222989407"/>
    <n v="48.328482944828039"/>
    <n v="71.067510551586878"/>
    <x v="3"/>
    <n v="28.932489448413122"/>
    <n v="0.6523467210059386"/>
    <n v="31.526927380249997"/>
    <n v="0.22374261717108432"/>
    <n v="4"/>
    <b v="1"/>
    <n v="0"/>
    <n v="0.6523368619611829"/>
    <n v="31.526450907573672"/>
    <n v="0.21138941770864936"/>
    <n v="4"/>
    <b v="1"/>
    <n v="0"/>
    <n v="71.067510551586878"/>
    <x v="4"/>
    <n v="28.932489448413122"/>
    <n v="0.64930463728197152"/>
    <n v="31.379908088879517"/>
    <n v="0.22763322394347141"/>
    <n v="4"/>
    <b v="1"/>
    <n v="0"/>
    <n v="5.7834880011234088E-2"/>
    <n v="2.7950720122391028"/>
    <n v="0.16684349300659237"/>
    <n v="5"/>
  </r>
  <r>
    <n v="52621"/>
    <s v="52621"/>
    <s v="52"/>
    <s v="COLOMBIA"/>
    <s v="NARIÑO"/>
    <s v="ROBERTO PAYÁN"/>
    <x v="6"/>
    <n v="0"/>
    <n v="0"/>
    <n v="1"/>
    <n v="85.33"/>
    <n v="87.886899999999997"/>
    <s v="N.D."/>
    <n v="32.57"/>
    <n v="51.331379723844265"/>
    <n v="52.886816368102942"/>
    <n v="65.186101439509528"/>
    <n v="68.743556770016824"/>
    <s v="2. Riesgo (&gt;=40 y &lt;60)"/>
    <s v="2. Riesgo (&gt;=40 y &lt;60)"/>
    <s v="3. Vulnerable (&gt;=60 y &lt;70)"/>
    <s v="3. Vulnerable (&gt;=60 y &lt;70)"/>
    <n v="68.595633333333339"/>
    <n v="59.536963575368389"/>
    <n v="64.066298454350857"/>
    <n v="71.212499284544194"/>
    <x v="3"/>
    <n v="28.787500715455806"/>
    <n v="0.6523467210059386"/>
    <n v="41.793439723683612"/>
    <n v="0.35216586466336441"/>
    <n v="4"/>
    <b v="1"/>
    <n v="0"/>
    <n v="0.6523368619611829"/>
    <n v="41.792808091179822"/>
    <n v="0.33272360401898937"/>
    <n v="4"/>
    <b v="1"/>
    <n v="0"/>
    <n v="71.212499284544194"/>
    <x v="4"/>
    <n v="28.787500715455806"/>
    <n v="0.64930463728197152"/>
    <n v="41.598544679900819"/>
    <n v="0.35815721653148064"/>
    <n v="3"/>
    <b v="0"/>
    <n v="-1"/>
    <n v="5.7545053379187153E-2"/>
    <n v="3.6866985643625556"/>
    <n v="0.22006648252611091"/>
    <n v="4"/>
  </r>
  <r>
    <n v="27150"/>
    <s v="27150"/>
    <s v="27"/>
    <s v="COLOMBIA"/>
    <s v="CHOCÓ"/>
    <s v="CARMEN DEL DARIÉN"/>
    <x v="6"/>
    <n v="0"/>
    <n v="0"/>
    <n v="1"/>
    <n v="59.54"/>
    <n v="62.423633333333299"/>
    <n v="62.07"/>
    <n v="58.3"/>
    <n v="53.454790310265246"/>
    <n v="53.803773688135735"/>
    <n v="59.472230608047006"/>
    <n v="58.347739028897337"/>
    <s v="2. Riesgo (&gt;=40 y &lt;60)"/>
    <s v="2. Riesgo (&gt;=40 y &lt;60)"/>
    <s v="2. Riesgo (&gt;=40 y &lt;60)"/>
    <s v="2. Riesgo (&gt;=40 y &lt;60)"/>
    <n v="60.583408333333324"/>
    <n v="56.269633408836327"/>
    <n v="58.426520871084826"/>
    <n v="71.268272229377885"/>
    <x v="3"/>
    <n v="28.731727770622115"/>
    <n v="0.6523467210059386"/>
    <n v="38.11434931003722"/>
    <n v="0.30614432171549266"/>
    <n v="4"/>
    <b v="1"/>
    <n v="0"/>
    <n v="0.6523368619611829"/>
    <n v="38.113773280353037"/>
    <n v="0.28924248533242092"/>
    <n v="4"/>
    <b v="1"/>
    <n v="0"/>
    <n v="71.268272229377885"/>
    <x v="4"/>
    <n v="28.731727770622115"/>
    <n v="0.64930463728197152"/>
    <n v="37.93661094184727"/>
    <n v="0.31138285403937915"/>
    <n v="4"/>
    <b v="1"/>
    <n v="0"/>
    <n v="5.7433565510917779E-2"/>
    <n v="3.3556434140244553"/>
    <n v="0.20030513204269937"/>
    <n v="4"/>
  </r>
  <r>
    <n v="18460"/>
    <s v="18460"/>
    <s v="18"/>
    <s v="COLOMBIA"/>
    <s v="CAQUETÁ"/>
    <s v="MILÁN"/>
    <x v="6"/>
    <n v="0"/>
    <n v="0"/>
    <n v="1"/>
    <n v="55.45"/>
    <n v="58.013266666666702"/>
    <n v="60.46"/>
    <n v="58.4"/>
    <n v="73.284837039617486"/>
    <n v="52.265357779435107"/>
    <n v="49.921739241750352"/>
    <n v="51.164375828105207"/>
    <s v="4. Solvente (&gt;=70 y &lt;80)"/>
    <s v="2. Riesgo (&gt;=40 y &lt;60)"/>
    <s v="2. Riesgo (&gt;=40 y &lt;60)"/>
    <s v="2. Riesgo (&gt;=40 y &lt;60)"/>
    <n v="58.080816666666678"/>
    <n v="56.65907747222704"/>
    <n v="57.369947069446859"/>
    <n v="71.290709654187495"/>
    <x v="3"/>
    <n v="28.709290345812505"/>
    <n v="0.6523467210059386"/>
    <n v="37.425096855037914"/>
    <n v="0.29752250004402198"/>
    <n v="4"/>
    <b v="1"/>
    <n v="0"/>
    <n v="0.6523368619611829"/>
    <n v="37.424531242162125"/>
    <n v="0.28109659479119592"/>
    <n v="4"/>
    <b v="1"/>
    <n v="0"/>
    <n v="71.290709654187495"/>
    <x v="4"/>
    <n v="28.709290345812505"/>
    <n v="0.64930463728197152"/>
    <n v="37.250572672813099"/>
    <n v="0.30261999676924334"/>
    <n v="4"/>
    <b v="1"/>
    <n v="0"/>
    <n v="5.7388714003274832E-2"/>
    <n v="3.2923874847515009"/>
    <n v="0.19652925788022185"/>
    <n v="5"/>
  </r>
  <r>
    <n v="85315"/>
    <s v="85315"/>
    <s v="85"/>
    <s v="COLOMBIA"/>
    <s v="CASANARE"/>
    <s v="SÁCAMA"/>
    <x v="6"/>
    <n v="0"/>
    <n v="0"/>
    <n v="0"/>
    <n v="50.62"/>
    <n v="54.397766666666698"/>
    <n v="63.91"/>
    <n v="51.86"/>
    <n v="73.437681768592839"/>
    <n v="52.830933505286993"/>
    <n v="59.620216663645515"/>
    <n v="67.957552984820751"/>
    <s v="4. Solvente (&gt;=70 y &lt;80)"/>
    <s v="2. Riesgo (&gt;=40 y &lt;60)"/>
    <s v="2. Riesgo (&gt;=40 y &lt;60)"/>
    <s v="3. Vulnerable (&gt;=60 y &lt;70)"/>
    <n v="55.196941666666675"/>
    <n v="63.461596230586522"/>
    <n v="59.329268948626599"/>
    <n v="71.92316741754172"/>
    <x v="4"/>
    <n v="28.07683258245828"/>
    <n v="0.35881802248113021"/>
    <n v="21.288410959397318"/>
    <n v="9.5669569159807732E-2"/>
    <n v="5"/>
    <b v="0"/>
    <n v="1"/>
    <n v="0.35881802248113037"/>
    <n v="21.288410959397329"/>
    <n v="9.0389902076329409E-2"/>
    <n v="5"/>
    <b v="0"/>
    <n v="1"/>
    <n v="71.92316741754172"/>
    <x v="4"/>
    <n v="28.07683258245828"/>
    <n v="0.64930463728197152"/>
    <n v="38.522769454892533"/>
    <n v="0.31886993401630509"/>
    <n v="4"/>
    <b v="1"/>
    <n v="0"/>
    <n v="5.6124456431489174E-2"/>
    <n v="3.329822970219297"/>
    <n v="0.19876385760806256"/>
    <n v="4"/>
  </r>
  <r>
    <n v="15377"/>
    <s v="15377"/>
    <s v="15"/>
    <s v="COLOMBIA"/>
    <s v="BOYACÁ"/>
    <s v="LABRANZAGRANDE"/>
    <x v="6"/>
    <n v="0"/>
    <n v="0"/>
    <n v="0"/>
    <n v="65.3"/>
    <n v="72.0649333333333"/>
    <n v="75.34"/>
    <n v="71.64"/>
    <n v="63.020964945239925"/>
    <n v="59.295374465304342"/>
    <n v="59.023186863710464"/>
    <n v="62.485400245161181"/>
    <s v="3. Vulnerable (&gt;=60 y &lt;70)"/>
    <s v="2. Riesgo (&gt;=40 y &lt;60)"/>
    <s v="2. Riesgo (&gt;=40 y &lt;60)"/>
    <s v="3. Vulnerable (&gt;=60 y &lt;70)"/>
    <n v="71.086233333333325"/>
    <n v="60.956231629853974"/>
    <n v="66.021232481593643"/>
    <n v="72.082479767813112"/>
    <x v="4"/>
    <n v="27.917520232186888"/>
    <n v="0.35881802248113021"/>
    <n v="23.689608080812391"/>
    <n v="0.12570601404836518"/>
    <n v="5"/>
    <b v="0"/>
    <n v="1"/>
    <n v="0.35881802248113037"/>
    <n v="23.689608080812402"/>
    <n v="0.11876874119979836"/>
    <n v="5"/>
    <b v="0"/>
    <n v="1"/>
    <n v="72.082479767813112"/>
    <x v="5"/>
    <n v="27.917520232186888"/>
    <n v="0.35666977852479015"/>
    <n v="23.547778367143685"/>
    <n v="0.12759239827731444"/>
    <n v="5"/>
    <b v="0"/>
    <n v="1"/>
    <n v="5.5805997465879525E-2"/>
    <n v="3.6843807325620577"/>
    <n v="0.21992812646512089"/>
    <n v="4"/>
  </r>
  <r>
    <n v="50686"/>
    <s v="50686"/>
    <s v="50"/>
    <s v="COLOMBIA"/>
    <s v="META"/>
    <s v="SAN JUANITO"/>
    <x v="7"/>
    <n v="0"/>
    <n v="0"/>
    <n v="0"/>
    <n v="42.74"/>
    <n v="43.696366666666698"/>
    <n v="38"/>
    <n v="24.41"/>
    <n v="46.29835256749891"/>
    <n v="49.365173147054392"/>
    <n v="68.211370918876725"/>
    <n v="46.996274388913648"/>
    <s v="2. Riesgo (&gt;=40 y &lt;60)"/>
    <s v="2. Riesgo (&gt;=40 y &lt;60)"/>
    <s v="3. Vulnerable (&gt;=60 y &lt;70)"/>
    <s v="2. Riesgo (&gt;=40 y &lt;60)"/>
    <n v="37.211591666666678"/>
    <n v="52.717792755585918"/>
    <n v="44.964692211126298"/>
    <n v="72.421255433022026"/>
    <x v="4"/>
    <n v="27.578744566977974"/>
    <n v="0.35881802248113021"/>
    <n v="16.134141940669018"/>
    <n v="3.1195096847182482E-2"/>
    <n v="5"/>
    <b v="1"/>
    <n v="0"/>
    <n v="0.35881802248113037"/>
    <n v="16.134141940669025"/>
    <n v="2.9473549155095865E-2"/>
    <n v="5"/>
    <b v="1"/>
    <n v="0"/>
    <n v="72.421255433022026"/>
    <x v="5"/>
    <n v="27.578744566977974"/>
    <n v="0.35666977852479015"/>
    <n v="16.037546812377773"/>
    <n v="3.1663220342772969E-2"/>
    <n v="5"/>
    <b v="1"/>
    <n v="0"/>
    <n v="5.5128798568666815E-2"/>
    <n v="2.4788494596092834"/>
    <n v="0.14796753023454384"/>
    <n v="5"/>
  </r>
  <r>
    <n v="85136"/>
    <s v="85136"/>
    <s v="85"/>
    <s v="COLOMBIA"/>
    <s v="CASANARE"/>
    <s v="LA SALINA"/>
    <x v="6"/>
    <n v="0"/>
    <n v="0"/>
    <n v="0"/>
    <n v="64.22"/>
    <n v="62.3295666666667"/>
    <n v="51.98"/>
    <n v="43.5"/>
    <n v="55.150158594106266"/>
    <n v="60.476548820500291"/>
    <n v="67.741532691302226"/>
    <n v="63.073326129320947"/>
    <s v="2. Riesgo (&gt;=40 y &lt;60)"/>
    <s v="3. Vulnerable (&gt;=60 y &lt;70)"/>
    <s v="3. Vulnerable (&gt;=60 y &lt;70)"/>
    <s v="3. Vulnerable (&gt;=60 y &lt;70)"/>
    <n v="55.50739166666667"/>
    <n v="61.610391558807436"/>
    <n v="58.558891612737057"/>
    <n v="72.438712733066566"/>
    <x v="4"/>
    <n v="27.561287266933434"/>
    <n v="0.35881802248113021"/>
    <n v="21.011985687169151"/>
    <n v="9.2211780383935474E-2"/>
    <n v="5"/>
    <b v="0"/>
    <n v="1"/>
    <n v="0.35881802248113037"/>
    <n v="21.011985687169162"/>
    <n v="8.7122936503090151E-2"/>
    <n v="5"/>
    <b v="0"/>
    <n v="1"/>
    <n v="72.438712733066566"/>
    <x v="5"/>
    <n v="27.561287266933434"/>
    <n v="0.35666977852479015"/>
    <n v="20.886186902172117"/>
    <n v="9.3595539542607603E-2"/>
    <n v="5"/>
    <b v="0"/>
    <n v="1"/>
    <n v="5.5093902129658472E-2"/>
    <n v="3.2262378433334136"/>
    <n v="0.1925806521960034"/>
    <n v="5"/>
  </r>
  <r>
    <n v="50450"/>
    <s v="50450"/>
    <s v="50"/>
    <s v="COLOMBIA"/>
    <s v="META"/>
    <s v="PUERTO CONCORDIA"/>
    <x v="6"/>
    <n v="0"/>
    <n v="0"/>
    <n v="1"/>
    <n v="41.73"/>
    <n v="53.388566666666698"/>
    <n v="65.64"/>
    <n v="63.17"/>
    <n v="57.220955499182502"/>
    <n v="51.940411155945512"/>
    <n v="59.951489588691196"/>
    <n v="57.746924551312532"/>
    <s v="2. Riesgo (&gt;=40 y &lt;60)"/>
    <s v="2. Riesgo (&gt;=40 y &lt;60)"/>
    <s v="2. Riesgo (&gt;=40 y &lt;60)"/>
    <s v="2. Riesgo (&gt;=40 y &lt;60)"/>
    <n v="55.982141666666678"/>
    <n v="56.714945198782935"/>
    <n v="56.34854343272481"/>
    <n v="72.805829480661529"/>
    <x v="4"/>
    <n v="27.194170519338471"/>
    <n v="0.35881802248113021"/>
    <n v="20.218872924222392"/>
    <n v="8.2290775739126104E-2"/>
    <n v="5"/>
    <b v="0"/>
    <n v="1"/>
    <n v="0.35881802248113037"/>
    <n v="20.218872924222403"/>
    <n v="7.7749437215713091E-2"/>
    <n v="5"/>
    <b v="0"/>
    <n v="1"/>
    <n v="72.805829480661529"/>
    <x v="5"/>
    <n v="27.194170519338471"/>
    <n v="0.35666977852479015"/>
    <n v="20.097822506344475"/>
    <n v="8.3525657162401235E-2"/>
    <n v="5"/>
    <b v="0"/>
    <n v="1"/>
    <n v="5.4360050551309977E-2"/>
    <n v="3.0631096694956064"/>
    <n v="0.18284320206530599"/>
    <n v="5"/>
  </r>
  <r>
    <n v="15180"/>
    <s v="15180"/>
    <s v="15"/>
    <s v="COLOMBIA"/>
    <s v="BOYACÁ"/>
    <s v="CHISCAS"/>
    <x v="6"/>
    <n v="0"/>
    <n v="0"/>
    <n v="0"/>
    <n v="50.97"/>
    <n v="50.535833333333301"/>
    <n v="37.54"/>
    <n v="23.32"/>
    <n v="56.748611318251037"/>
    <n v="47.426337328466879"/>
    <n v="58.848786043547307"/>
    <n v="44.365703206952674"/>
    <s v="2. Riesgo (&gt;=40 y &lt;60)"/>
    <s v="2. Riesgo (&gt;=40 y &lt;60)"/>
    <s v="2. Riesgo (&gt;=40 y &lt;60)"/>
    <s v="2. Riesgo (&gt;=40 y &lt;60)"/>
    <n v="40.591458333333321"/>
    <n v="51.847359474304476"/>
    <n v="46.219408903818902"/>
    <n v="72.745359392214283"/>
    <x v="4"/>
    <n v="27.254640607785717"/>
    <n v="0.35881802248113021"/>
    <n v="16.58435690311504"/>
    <n v="3.6826811456079155E-2"/>
    <n v="5"/>
    <b v="0"/>
    <n v="1"/>
    <n v="0.35881802248113037"/>
    <n v="16.584356903115047"/>
    <n v="3.4794469239618035E-2"/>
    <n v="5"/>
    <b v="0"/>
    <n v="1"/>
    <n v="72.745359392214283"/>
    <x v="5"/>
    <n v="27.254640607785717"/>
    <n v="0.35666977852479015"/>
    <n v="16.485066337271803"/>
    <n v="3.7379446243357602E-2"/>
    <n v="5"/>
    <b v="0"/>
    <n v="1"/>
    <n v="5.4480927820300291E-2"/>
    <n v="2.5180762803859023"/>
    <n v="0.15030905838453656"/>
    <n v="5"/>
  </r>
  <r>
    <n v="5873"/>
    <s v="05873"/>
    <s v="50"/>
    <s v="COLOMBIA"/>
    <s v="ANTIOQUIA"/>
    <s v="VIGÍA DEL FUERTE"/>
    <x v="6"/>
    <n v="0"/>
    <n v="0"/>
    <n v="1"/>
    <n v="23.44"/>
    <n v="34.722666666666697"/>
    <n v="39.380000000000003"/>
    <n v="44.04"/>
    <n v="57.039005795918939"/>
    <n v="49.206115814080036"/>
    <n v="48.968216223950961"/>
    <n v="64.582181697613251"/>
    <s v="2. Riesgo (&gt;=40 y &lt;60)"/>
    <s v="2. Riesgo (&gt;=40 y &lt;60)"/>
    <s v="2. Riesgo (&gt;=40 y &lt;60)"/>
    <s v="3. Vulnerable (&gt;=60 y &lt;70)"/>
    <n v="35.395666666666671"/>
    <n v="54.948879882890793"/>
    <n v="45.172273274778732"/>
    <n v="72.797026554835583"/>
    <x v="4"/>
    <n v="27.202973445164417"/>
    <n v="0.35881802248113021"/>
    <n v="16.208625767433311"/>
    <n v="3.2126811006649783E-2"/>
    <n v="5"/>
    <b v="0"/>
    <n v="1"/>
    <n v="0.35881802248113037"/>
    <n v="16.208625767433318"/>
    <n v="3.0353845286634842E-2"/>
    <n v="5"/>
    <b v="0"/>
    <n v="1"/>
    <n v="72.797026554835583"/>
    <x v="5"/>
    <n v="27.202973445164417"/>
    <n v="0.35666977852479015"/>
    <n v="16.111584704376629"/>
    <n v="3.2608916099776564E-2"/>
    <n v="5"/>
    <b v="0"/>
    <n v="1"/>
    <n v="5.4377647245151317E-2"/>
    <n v="2.456361941397494"/>
    <n v="0.14662520485935657"/>
    <n v="5"/>
  </r>
  <r>
    <n v="50689"/>
    <s v="50689"/>
    <s v="50"/>
    <s v="COLOMBIA"/>
    <s v="META"/>
    <s v="SAN MARTÍN"/>
    <x v="6"/>
    <n v="0"/>
    <n v="0"/>
    <n v="0"/>
    <n v="55.06"/>
    <n v="57.349600000000002"/>
    <n v="46.98"/>
    <n v="48.65"/>
    <n v="54.038655412447014"/>
    <n v="55.320275079321597"/>
    <n v="59.68796582806597"/>
    <n v="56.972721334108385"/>
    <s v="2. Riesgo (&gt;=40 y &lt;60)"/>
    <s v="2. Riesgo (&gt;=40 y &lt;60)"/>
    <s v="2. Riesgo (&gt;=40 y &lt;60)"/>
    <s v="2. Riesgo (&gt;=40 y &lt;60)"/>
    <n v="52.009900000000002"/>
    <n v="56.504904413485733"/>
    <n v="54.257402206742867"/>
    <n v="72.947055053222343"/>
    <x v="4"/>
    <n v="27.052944946777657"/>
    <n v="0.35881802248113021"/>
    <n v="19.468533764786784"/>
    <n v="7.2904823786613199E-2"/>
    <n v="5"/>
    <b v="0"/>
    <n v="1"/>
    <n v="0.35881802248113037"/>
    <n v="19.468533764786795"/>
    <n v="6.8881462944149249E-2"/>
    <n v="5"/>
    <b v="0"/>
    <n v="1"/>
    <n v="72.947055053222343"/>
    <x v="5"/>
    <n v="27.052944946777657"/>
    <n v="0.35666977852479015"/>
    <n v="19.351975628409438"/>
    <n v="7.3998856644519925E-2"/>
    <n v="5"/>
    <b v="0"/>
    <n v="1"/>
    <n v="5.4077746325186068E-2"/>
    <n v="2.9341180327998315"/>
    <n v="0.1751434307747195"/>
    <n v="5"/>
  </r>
  <r>
    <n v="27372"/>
    <s v="27372"/>
    <s v="27"/>
    <s v="COLOMBIA"/>
    <s v="CHOCÓ"/>
    <s v="JURADÓ"/>
    <x v="6"/>
    <n v="0"/>
    <n v="0"/>
    <n v="0"/>
    <n v="54.92"/>
    <n v="64.810166666666703"/>
    <n v="79.53"/>
    <n v="37.32"/>
    <n v="48.70961468743738"/>
    <n v="51.676004757330475"/>
    <n v="57.703136779040591"/>
    <n v="47.655409594223514"/>
    <s v="2. Riesgo (&gt;=40 y &lt;60)"/>
    <s v="2. Riesgo (&gt;=40 y &lt;60)"/>
    <s v="2. Riesgo (&gt;=40 y &lt;60)"/>
    <s v="2. Riesgo (&gt;=40 y &lt;60)"/>
    <n v="59.145041666666671"/>
    <n v="51.436041454507986"/>
    <n v="55.290541560587329"/>
    <n v="72.829115706496722"/>
    <x v="4"/>
    <n v="27.170884293503278"/>
    <n v="0.35881802248113021"/>
    <n v="19.839242784680689"/>
    <n v="7.7542002861345924E-2"/>
    <n v="5"/>
    <b v="0"/>
    <n v="1"/>
    <n v="0.35881802248113037"/>
    <n v="19.839242784680696"/>
    <n v="7.326273241318311E-2"/>
    <n v="5"/>
    <b v="0"/>
    <n v="1"/>
    <n v="72.829115706496722"/>
    <x v="5"/>
    <n v="27.170884293503278"/>
    <n v="0.35666977852479015"/>
    <n v="19.720465212930389"/>
    <n v="7.8705622695974559E-2"/>
    <n v="5"/>
    <b v="0"/>
    <n v="1"/>
    <n v="5.4313502324635797E-2"/>
    <n v="3.0030229575813321"/>
    <n v="0.1792565048871437"/>
    <n v="5"/>
  </r>
  <r>
    <n v="27250"/>
    <s v="27250"/>
    <s v="27"/>
    <s v="COLOMBIA"/>
    <s v="CHOCÓ"/>
    <s v="EL LITORAL DEL SAN JUAN"/>
    <x v="6"/>
    <n v="0"/>
    <n v="0"/>
    <n v="1"/>
    <n v="61.82"/>
    <n v="66.567566666666707"/>
    <n v="76.72"/>
    <n v="50.82"/>
    <n v="66.822167118697905"/>
    <n v="76.873831328677127"/>
    <n v="70.593105517747787"/>
    <n v="77.639844676109206"/>
    <s v="3. Vulnerable (&gt;=60 y &lt;70)"/>
    <s v="4. Solvente (&gt;=70 y &lt;80)"/>
    <s v="4. Solvente (&gt;=70 y &lt;80)"/>
    <s v="4. Solvente (&gt;=70 y &lt;80)"/>
    <n v="63.981891666666677"/>
    <n v="72.982237160308003"/>
    <n v="68.482064413487336"/>
    <n v="72.891935877959355"/>
    <x v="4"/>
    <n v="27.108064122040645"/>
    <n v="0.35881802248113021"/>
    <n v="24.572598928272907"/>
    <n v="0.13675129879001041"/>
    <n v="5"/>
    <b v="0"/>
    <n v="1"/>
    <n v="0.35881802248113037"/>
    <n v="24.572598928272917"/>
    <n v="0.12920447551919073"/>
    <n v="5"/>
    <b v="0"/>
    <n v="1"/>
    <n v="72.891935877959355"/>
    <x v="5"/>
    <n v="27.108064122040645"/>
    <n v="0.35666977852479015"/>
    <n v="24.425482747278942"/>
    <n v="0.13880343205729034"/>
    <n v="5"/>
    <b v="0"/>
    <n v="1"/>
    <n v="5.4187927334439931E-2"/>
    <n v="3.7109011301504866"/>
    <n v="0.22151118255462482"/>
    <n v="4"/>
  </r>
  <r>
    <n v="85400"/>
    <s v="85400"/>
    <s v="85"/>
    <s v="COLOMBIA"/>
    <s v="CASANARE"/>
    <s v="TÁMARA"/>
    <x v="6"/>
    <n v="0"/>
    <n v="0"/>
    <n v="0"/>
    <n v="58"/>
    <n v="63.589433333333297"/>
    <n v="55.78"/>
    <n v="55.36"/>
    <n v="53.270864522866439"/>
    <n v="51.627893328239651"/>
    <n v="55.242770036959868"/>
    <n v="57.030903536276426"/>
    <s v="2. Riesgo (&gt;=40 y &lt;60)"/>
    <s v="2. Riesgo (&gt;=40 y &lt;60)"/>
    <s v="2. Riesgo (&gt;=40 y &lt;60)"/>
    <s v="2. Riesgo (&gt;=40 y &lt;60)"/>
    <n v="58.182358333333326"/>
    <n v="54.293107856085598"/>
    <n v="56.237733094709462"/>
    <n v="72.948544860388409"/>
    <x v="4"/>
    <n v="27.051455139611591"/>
    <n v="0.35881802248113021"/>
    <n v="20.17911217786526"/>
    <n v="8.1793410713975612E-2"/>
    <n v="5"/>
    <b v="0"/>
    <n v="1"/>
    <n v="0.35881802248113037"/>
    <n v="20.179112177865271"/>
    <n v="7.7279520017231221E-2"/>
    <n v="5"/>
    <b v="0"/>
    <n v="1"/>
    <n v="72.948544860388409"/>
    <x v="5"/>
    <n v="27.051455139611591"/>
    <n v="0.35666977852479015"/>
    <n v="20.058299807626284"/>
    <n v="8.3020828520282378E-2"/>
    <n v="5"/>
    <b v="0"/>
    <n v="1"/>
    <n v="5.4074768260721787E-2"/>
    <n v="3.0410423846047383"/>
    <n v="0.18152596126569789"/>
    <n v="5"/>
  </r>
  <r>
    <n v="18592"/>
    <s v="18592"/>
    <s v="18"/>
    <s v="COLOMBIA"/>
    <s v="CAQUETÁ"/>
    <s v="PUERTO RICO"/>
    <x v="6"/>
    <n v="0"/>
    <n v="0"/>
    <n v="1"/>
    <n v="42.05"/>
    <n v="46.259133333333303"/>
    <n v="50.45"/>
    <n v="49.02"/>
    <n v="51.008033736513958"/>
    <n v="53.607172780361878"/>
    <n v="44.392185330476096"/>
    <n v="59.727787754091658"/>
    <s v="2. Riesgo (&gt;=40 y &lt;60)"/>
    <s v="2. Riesgo (&gt;=40 y &lt;60)"/>
    <s v="2. Riesgo (&gt;=40 y &lt;60)"/>
    <s v="2. Riesgo (&gt;=40 y &lt;60)"/>
    <n v="46.944783333333326"/>
    <n v="52.183794900360894"/>
    <n v="49.564289116847107"/>
    <n v="72.957042953100341"/>
    <x v="4"/>
    <n v="27.042957046899659"/>
    <n v="0.35881802248113021"/>
    <n v="17.784560206590083"/>
    <n v="5.1840089649019767E-2"/>
    <n v="5"/>
    <b v="0"/>
    <n v="1"/>
    <n v="0.35881802248113037"/>
    <n v="17.78456020659009"/>
    <n v="4.8979217405858443E-2"/>
    <n v="5"/>
    <b v="0"/>
    <n v="1"/>
    <n v="72.957042953100341"/>
    <x v="5"/>
    <n v="27.042957046899659"/>
    <n v="0.35666977852479015"/>
    <n v="17.678084022044523"/>
    <n v="5.261801844010848E-2"/>
    <n v="5"/>
    <b v="0"/>
    <n v="1"/>
    <n v="5.4057780915986203E-2"/>
    <n v="2.6793354823351203"/>
    <n v="0.15993494580885007"/>
    <n v="5"/>
  </r>
  <r>
    <n v="15533"/>
    <s v="15533"/>
    <s v="15"/>
    <s v="COLOMBIA"/>
    <s v="BOYACÁ"/>
    <s v="PAYA"/>
    <x v="5"/>
    <n v="0"/>
    <n v="0"/>
    <n v="0"/>
    <n v="76.23"/>
    <n v="80.447199999999995"/>
    <n v="70.78"/>
    <n v="49.17"/>
    <n v="66.113165381432907"/>
    <n v="71.752604756569113"/>
    <n v="59.095138849561664"/>
    <n v="69.545746252726758"/>
    <s v="3. Vulnerable (&gt;=60 y &lt;70)"/>
    <s v="4. Solvente (&gt;=70 y &lt;80)"/>
    <s v="2. Riesgo (&gt;=40 y &lt;60)"/>
    <s v="3. Vulnerable (&gt;=60 y &lt;70)"/>
    <n v="69.156800000000004"/>
    <n v="66.626663810072614"/>
    <n v="67.891731905036309"/>
    <n v="73.035167384672718"/>
    <x v="4"/>
    <n v="26.964832615327282"/>
    <n v="0.35881802248113021"/>
    <n v="24.360776984984184"/>
    <n v="0.13410162956084304"/>
    <n v="5"/>
    <b v="0"/>
    <n v="2"/>
    <n v="0.35881802248113037"/>
    <n v="24.360776984984195"/>
    <n v="0.12670103221676471"/>
    <n v="5"/>
    <b v="0"/>
    <n v="2"/>
    <n v="73.035167384672718"/>
    <x v="5"/>
    <n v="26.964832615327282"/>
    <n v="0.35666977852479015"/>
    <n v="24.214928982233729"/>
    <n v="0.13611400105313012"/>
    <n v="5"/>
    <b v="0"/>
    <n v="2"/>
    <n v="5.3901613326813126E-2"/>
    <n v="3.659473881232929"/>
    <n v="0.21844138621036133"/>
    <n v="4"/>
  </r>
  <r>
    <n v="50573"/>
    <s v="50573"/>
    <s v="50"/>
    <s v="COLOMBIA"/>
    <s v="META"/>
    <s v="PUERTO LÓPEZ"/>
    <x v="5"/>
    <n v="0"/>
    <n v="0"/>
    <n v="0"/>
    <n v="70.84"/>
    <n v="74.961299999999994"/>
    <n v="70.91"/>
    <n v="69.48"/>
    <n v="62.459722256991185"/>
    <n v="60.438932830597217"/>
    <n v="58.800317405338106"/>
    <n v="63.056989343963423"/>
    <s v="3. Vulnerable (&gt;=60 y &lt;70)"/>
    <s v="3. Vulnerable (&gt;=60 y &lt;70)"/>
    <s v="2. Riesgo (&gt;=40 y &lt;60)"/>
    <s v="3. Vulnerable (&gt;=60 y &lt;70)"/>
    <n v="71.547825000000003"/>
    <n v="61.188990459222481"/>
    <n v="66.368407729611249"/>
    <n v="73.654501447755436"/>
    <x v="4"/>
    <n v="26.345498552244564"/>
    <n v="0.35881802248113021"/>
    <n v="23.814180816760466"/>
    <n v="0.12726428766303455"/>
    <n v="5"/>
    <b v="0"/>
    <n v="2"/>
    <n v="0.35881802248113037"/>
    <n v="23.814180816760476"/>
    <n v="0.1202410191736106"/>
    <n v="5"/>
    <b v="0"/>
    <n v="2"/>
    <n v="73.654501447755436"/>
    <x v="5"/>
    <n v="26.345498552244564"/>
    <n v="0.35666977852479015"/>
    <n v="23.671605285963416"/>
    <n v="0.12917405583899189"/>
    <n v="5"/>
    <b v="0"/>
    <n v="2"/>
    <n v="5.2663589502796017E-2"/>
    <n v="3.495198580626441"/>
    <n v="0.20863546176624012"/>
    <n v="4"/>
  </r>
  <r>
    <n v="50330"/>
    <s v="50330"/>
    <s v="50"/>
    <s v="COLOMBIA"/>
    <s v="META"/>
    <s v="MESETAS"/>
    <x v="6"/>
    <n v="0"/>
    <n v="0"/>
    <n v="1"/>
    <n v="67.41"/>
    <n v="67.035433333333302"/>
    <n v="63.98"/>
    <n v="68.599999999999994"/>
    <n v="59.536399446721411"/>
    <n v="61.676852612400687"/>
    <n v="62.440531971581763"/>
    <n v="57.151152290527619"/>
    <s v="2. Riesgo (&gt;=40 y &lt;60)"/>
    <s v="3. Vulnerable (&gt;=60 y &lt;70)"/>
    <s v="3. Vulnerable (&gt;=60 y &lt;70)"/>
    <s v="2. Riesgo (&gt;=40 y &lt;60)"/>
    <n v="66.756358333333324"/>
    <n v="60.20123408030787"/>
    <n v="63.478796206820597"/>
    <n v="73.700942274474642"/>
    <x v="4"/>
    <n v="26.299057725525358"/>
    <n v="0.35881802248113021"/>
    <n v="22.777336124414035"/>
    <n v="0.11429445349910568"/>
    <n v="5"/>
    <b v="0"/>
    <n v="1"/>
    <n v="0.35881802248113037"/>
    <n v="22.777336124414045"/>
    <n v="0.10798694454654224"/>
    <n v="5"/>
    <b v="0"/>
    <n v="1"/>
    <n v="73.700942274474642"/>
    <x v="5"/>
    <n v="26.299057725525358"/>
    <n v="0.35666977852479015"/>
    <n v="22.640968184106992"/>
    <n v="0.11600959223904012"/>
    <n v="5"/>
    <b v="0"/>
    <n v="1"/>
    <n v="5.25707561624187E-2"/>
    <n v="3.3371283168726347"/>
    <n v="0.19919992850281223"/>
    <n v="4"/>
  </r>
  <r>
    <n v="41206"/>
    <s v="41206"/>
    <s v="41"/>
    <s v="COLOMBIA"/>
    <s v="HUILA"/>
    <s v="COLOMBIA"/>
    <x v="7"/>
    <n v="0"/>
    <n v="0"/>
    <n v="0"/>
    <n v="52.38"/>
    <n v="55.265099999999997"/>
    <n v="57.22"/>
    <n v="58.21"/>
    <n v="52.407723183393585"/>
    <n v="52.931562684523144"/>
    <n v="48.516420074162568"/>
    <n v="50.784672786117063"/>
    <s v="2. Riesgo (&gt;=40 y &lt;60)"/>
    <s v="2. Riesgo (&gt;=40 y &lt;60)"/>
    <s v="2. Riesgo (&gt;=40 y &lt;60)"/>
    <s v="2. Riesgo (&gt;=40 y &lt;60)"/>
    <n v="55.768774999999998"/>
    <n v="51.160094682049085"/>
    <n v="53.464434841024541"/>
    <n v="73.733952473159647"/>
    <x v="4"/>
    <n v="26.266047526840353"/>
    <n v="0.35881802248113021"/>
    <n v="19.184002782727664"/>
    <n v="6.9345641124979249E-2"/>
    <n v="5"/>
    <b v="1"/>
    <n v="0"/>
    <n v="0.35881802248113037"/>
    <n v="19.184002782727674"/>
    <n v="6.5518699057134491E-2"/>
    <n v="5"/>
    <b v="1"/>
    <n v="0"/>
    <n v="73.733952473159647"/>
    <x v="5"/>
    <n v="26.266047526840353"/>
    <n v="0.35666977852479015"/>
    <n v="19.069148133701297"/>
    <n v="7.0386263761492179E-2"/>
    <n v="5"/>
    <b v="1"/>
    <n v="0"/>
    <n v="5.2504770106033938E-2"/>
    <n v="2.8071378601770247"/>
    <n v="0.16756372783676285"/>
    <n v="5"/>
  </r>
  <r>
    <n v="18860"/>
    <s v="18860"/>
    <s v="18"/>
    <s v="COLOMBIA"/>
    <s v="CAQUETÁ"/>
    <s v="VALPARAÍSO"/>
    <x v="7"/>
    <n v="0"/>
    <n v="0"/>
    <n v="1"/>
    <n v="55.69"/>
    <n v="50.366033333333299"/>
    <n v="37.15"/>
    <n v="80.83"/>
    <n v="46.148650537542409"/>
    <n v="43.407447579620246"/>
    <n v="53.5236414523768"/>
    <n v="12.444307610582028"/>
    <s v="2. Riesgo (&gt;=40 y &lt;60)"/>
    <s v="2. Riesgo (&gt;=40 y &lt;60)"/>
    <s v="2. Riesgo (&gt;=40 y &lt;60)"/>
    <s v="1. Deterioro (&lt;40)"/>
    <n v="56.009008333333327"/>
    <n v="38.881011795030375"/>
    <n v="47.445010064181851"/>
    <n v="74.369770937306399"/>
    <x v="4"/>
    <n v="25.630229062693601"/>
    <n v="0.35881802248113021"/>
    <n v="17.024124687827051"/>
    <n v="4.232784288388669E-2"/>
    <n v="5"/>
    <b v="1"/>
    <n v="0"/>
    <n v="0.35881802248113037"/>
    <n v="17.024124687827062"/>
    <n v="3.9991918088245593E-2"/>
    <n v="5"/>
    <b v="1"/>
    <n v="0"/>
    <n v="74.369770937306399"/>
    <x v="5"/>
    <n v="25.630229062693601"/>
    <n v="0.35666977852479015"/>
    <n v="16.922201231698182"/>
    <n v="4.2963027889680372E-2"/>
    <n v="5"/>
    <b v="1"/>
    <n v="0"/>
    <n v="5.1233794628848681E-2"/>
    <n v="2.4307879017919518"/>
    <n v="0.14509863878900353"/>
    <n v="5"/>
  </r>
  <r>
    <n v="85139"/>
    <s v="85139"/>
    <s v="85"/>
    <s v="COLOMBIA"/>
    <s v="CASANARE"/>
    <s v="MANÍ"/>
    <x v="7"/>
    <n v="0"/>
    <n v="0"/>
    <n v="0"/>
    <n v="55.95"/>
    <n v="57.548833333333299"/>
    <n v="52.46"/>
    <n v="75.48"/>
    <n v="53.467247845639214"/>
    <n v="70.737746041755457"/>
    <n v="65.513686738470298"/>
    <n v="72.760440856418725"/>
    <s v="2. Riesgo (&gt;=40 y &lt;60)"/>
    <s v="4. Solvente (&gt;=70 y &lt;80)"/>
    <s v="3. Vulnerable (&gt;=60 y &lt;70)"/>
    <s v="4. Solvente (&gt;=70 y &lt;80)"/>
    <n v="60.35970833333333"/>
    <n v="65.619780370570922"/>
    <n v="62.989744351952126"/>
    <n v="74.568860590819597"/>
    <x v="4"/>
    <n v="25.431139409180403"/>
    <n v="0.35881802248113021"/>
    <n v="22.601855504959403"/>
    <n v="0.11209937592373662"/>
    <n v="5"/>
    <b v="1"/>
    <n v="0"/>
    <n v="0.35881802248113037"/>
    <n v="22.601855504959413"/>
    <n v="0.10591300558319096"/>
    <n v="5"/>
    <b v="1"/>
    <n v="0"/>
    <n v="74.568860590819597"/>
    <x v="5"/>
    <n v="25.431139409180403"/>
    <n v="0.35666977852479015"/>
    <n v="22.466538167343916"/>
    <n v="0.11378157463489959"/>
    <n v="5"/>
    <b v="1"/>
    <n v="0"/>
    <n v="5.0835822437657038E-2"/>
    <n v="3.2021354592692486"/>
    <n v="0.19114193221689621"/>
    <n v="5"/>
  </r>
  <r>
    <n v="27660"/>
    <s v="27660"/>
    <s v="27"/>
    <s v="COLOMBIA"/>
    <s v="CHOCÓ"/>
    <s v="SAN JOSÉ DEL PALMAR"/>
    <x v="7"/>
    <n v="0"/>
    <n v="0"/>
    <n v="0"/>
    <n v="57.86"/>
    <n v="63.932099999999998"/>
    <n v="53.59"/>
    <n v="49.76"/>
    <n v="65.586084576098955"/>
    <n v="56.396389752297431"/>
    <n v="59.981189909228263"/>
    <n v="58.05390226502125"/>
    <s v="3. Vulnerable (&gt;=60 y &lt;70)"/>
    <s v="2. Riesgo (&gt;=40 y &lt;60)"/>
    <s v="2. Riesgo (&gt;=40 y &lt;60)"/>
    <s v="2. Riesgo (&gt;=40 y &lt;60)"/>
    <n v="56.285525"/>
    <n v="60.004391625661469"/>
    <n v="58.144958312830738"/>
    <n v="74.705513862743857"/>
    <x v="4"/>
    <n v="25.294486137256143"/>
    <n v="0.35881802248113021"/>
    <n v="20.863458959057677"/>
    <n v="9.0353867577189745E-2"/>
    <n v="5"/>
    <b v="1"/>
    <n v="0"/>
    <n v="0.35881802248113037"/>
    <n v="20.863458959057688"/>
    <n v="8.5367555370479631E-2"/>
    <n v="5"/>
    <b v="1"/>
    <n v="0"/>
    <n v="74.705513862743857"/>
    <x v="5"/>
    <n v="25.294486137256143"/>
    <n v="0.35666977852479015"/>
    <n v="20.738549403770495"/>
    <n v="9.1709746308310816E-2"/>
    <n v="5"/>
    <b v="1"/>
    <n v="0"/>
    <n v="5.0562658056176005E-2"/>
    <n v="2.939963644862269"/>
    <n v="0.17549236716383143"/>
    <n v="5"/>
  </r>
  <r>
    <n v="50577"/>
    <s v="50577"/>
    <s v="50"/>
    <s v="COLOMBIA"/>
    <s v="META"/>
    <s v="PUERTO LLERAS"/>
    <x v="7"/>
    <n v="0"/>
    <n v="0"/>
    <n v="1"/>
    <n v="58.46"/>
    <n v="63.302233333333298"/>
    <n v="53.2"/>
    <n v="50.12"/>
    <n v="54.827368247697649"/>
    <n v="53.319654693365749"/>
    <n v="64.641386419557733"/>
    <n v="65.255603064007701"/>
    <s v="2. Riesgo (&gt;=40 y &lt;60)"/>
    <s v="2. Riesgo (&gt;=40 y &lt;60)"/>
    <s v="3. Vulnerable (&gt;=60 y &lt;70)"/>
    <s v="3. Vulnerable (&gt;=60 y &lt;70)"/>
    <n v="56.270558333333327"/>
    <n v="59.511003106157204"/>
    <n v="57.890780719745266"/>
    <n v="75.15732332919589"/>
    <x v="4"/>
    <n v="24.84267667080411"/>
    <n v="0.35881802248113021"/>
    <n v="20.772255457747736"/>
    <n v="8.9213007913354597E-2"/>
    <n v="5"/>
    <b v="1"/>
    <n v="0"/>
    <n v="0.35881802248113037"/>
    <n v="20.772255457747747"/>
    <n v="8.4289655739462829E-2"/>
    <n v="5"/>
    <b v="1"/>
    <n v="0"/>
    <n v="75.15732332919589"/>
    <x v="5"/>
    <n v="24.84267667080411"/>
    <n v="0.35666977852479015"/>
    <n v="20.647891937938734"/>
    <n v="9.0551766543312665E-2"/>
    <n v="5"/>
    <b v="1"/>
    <n v="0"/>
    <n v="4.9659509147168934E-2"/>
    <n v="2.8748277546889409"/>
    <n v="0.17160427433866449"/>
    <n v="5"/>
  </r>
  <r>
    <n v="15332"/>
    <s v="15332"/>
    <s v="15"/>
    <s v="COLOMBIA"/>
    <s v="BOYACÁ"/>
    <s v="GÜICÁN DE LA SIERRA"/>
    <x v="7"/>
    <n v="0"/>
    <n v="0"/>
    <n v="0"/>
    <n v="57.97"/>
    <n v="59.6976333333333"/>
    <n v="55.64"/>
    <s v="N.D."/>
    <n v="56.305994126778167"/>
    <n v="48.371717863549598"/>
    <n v="46.76136103199444"/>
    <n v="46.475183325916696"/>
    <s v="2. Riesgo (&gt;=40 y &lt;60)"/>
    <s v="2. Riesgo (&gt;=40 y &lt;60)"/>
    <s v="2. Riesgo (&gt;=40 y &lt;60)"/>
    <s v="2. Riesgo (&gt;=40 y &lt;60)"/>
    <n v="57.769211111111098"/>
    <n v="49.478564087059723"/>
    <n v="53.623887599085407"/>
    <n v="75.145965420656395"/>
    <x v="4"/>
    <n v="24.854034579343605"/>
    <n v="0.35881802248113021"/>
    <n v="19.241217306054228"/>
    <n v="7.0061334502002234E-2"/>
    <n v="5"/>
    <b v="1"/>
    <n v="0"/>
    <n v="0.35881802248113037"/>
    <n v="19.241217306054235"/>
    <n v="6.6194895833538062E-2"/>
    <n v="5"/>
    <b v="1"/>
    <n v="0"/>
    <n v="75.145965420656395"/>
    <x v="5"/>
    <n v="24.854034579343605"/>
    <n v="0.35666977852479015"/>
    <n v="19.126020113604032"/>
    <n v="7.1112697059825952E-2"/>
    <n v="5"/>
    <b v="1"/>
    <n v="0"/>
    <n v="4.9682213148452038E-2"/>
    <n v="2.6641534135463951"/>
    <n v="0.15902869746294498"/>
    <n v="5"/>
  </r>
  <r>
    <n v="5475"/>
    <s v="05475"/>
    <s v="50"/>
    <s v="COLOMBIA"/>
    <s v="ANTIOQUIA"/>
    <s v="MURINDÓ"/>
    <x v="7"/>
    <n v="0"/>
    <n v="0"/>
    <n v="1"/>
    <n v="37.29"/>
    <n v="37.798699999999997"/>
    <n v="43.4"/>
    <n v="44.89"/>
    <n v="52.216273394266381"/>
    <n v="54.285690249655687"/>
    <n v="50.540999238154193"/>
    <n v="46.691224349657119"/>
    <s v="2. Riesgo (&gt;=40 y &lt;60)"/>
    <s v="2. Riesgo (&gt;=40 y &lt;60)"/>
    <s v="2. Riesgo (&gt;=40 y &lt;60)"/>
    <s v="2. Riesgo (&gt;=40 y &lt;60)"/>
    <n v="40.844674999999995"/>
    <n v="50.933546807933347"/>
    <n v="45.889110903966667"/>
    <n v="75.219711209691496"/>
    <x v="4"/>
    <n v="24.780288790308504"/>
    <n v="0.35881802248113021"/>
    <n v="16.46584002797859"/>
    <n v="3.5344290276684204E-2"/>
    <n v="5"/>
    <b v="1"/>
    <n v="0"/>
    <n v="0.35881802248113037"/>
    <n v="16.465840027978597"/>
    <n v="3.3393763190573855E-2"/>
    <n v="5"/>
    <b v="1"/>
    <n v="0"/>
    <n v="75.219711209691496"/>
    <x v="5"/>
    <n v="24.780288790308504"/>
    <n v="0.35666977852479015"/>
    <n v="16.367259022817326"/>
    <n v="3.5874677881971663E-2"/>
    <n v="5"/>
    <b v="1"/>
    <n v="0"/>
    <n v="4.9534798289188595E-2"/>
    <n v="2.2731078522981938"/>
    <n v="0.13568639820278838"/>
    <n v="5"/>
  </r>
  <r>
    <n v="19418"/>
    <s v="19418"/>
    <s v="19"/>
    <s v="COLOMBIA"/>
    <s v="CAUCA"/>
    <s v="LÓPEZ DE MICAY"/>
    <x v="7"/>
    <n v="0"/>
    <n v="0"/>
    <n v="1"/>
    <n v="84.24"/>
    <n v="85.9279333333333"/>
    <n v="80.88"/>
    <n v="79.16"/>
    <n v="44.640408422805663"/>
    <n v="39.750431203786192"/>
    <n v="42.711950308220011"/>
    <n v="69.455965322378205"/>
    <s v="2. Riesgo (&gt;=40 y &lt;60)"/>
    <s v="1. Deterioro (&lt;40)"/>
    <s v="2. Riesgo (&gt;=40 y &lt;60)"/>
    <s v="3. Vulnerable (&gt;=60 y &lt;70)"/>
    <n v="82.551983333333311"/>
    <n v="49.139688814297514"/>
    <n v="65.845836073815406"/>
    <n v="75.298743789096761"/>
    <x v="4"/>
    <n v="24.701256210903239"/>
    <n v="0.35881802248113021"/>
    <n v="23.62667268862311"/>
    <n v="0.1249187586322338"/>
    <n v="5"/>
    <b v="1"/>
    <n v="0"/>
    <n v="0.35881802248113037"/>
    <n v="23.62667268862312"/>
    <n v="0.11802493164156455"/>
    <n v="5"/>
    <b v="1"/>
    <n v="0"/>
    <n v="75.298743789096761"/>
    <x v="5"/>
    <n v="24.701256210903239"/>
    <n v="0.35666977852479015"/>
    <n v="23.485219769227378"/>
    <n v="0.12679332905726615"/>
    <n v="5"/>
    <b v="1"/>
    <n v="0"/>
    <n v="4.937681534910901E-2"/>
    <n v="3.2512576893244844"/>
    <n v="0.19407413733032494"/>
    <n v="5"/>
  </r>
  <r>
    <n v="85430"/>
    <s v="85430"/>
    <s v="85"/>
    <s v="COLOMBIA"/>
    <s v="CASANARE"/>
    <s v="TRINIDAD"/>
    <x v="7"/>
    <n v="0"/>
    <n v="0"/>
    <n v="0"/>
    <n v="77.319999999999993"/>
    <n v="77.393799999999999"/>
    <n v="53.97"/>
    <n v="55.4"/>
    <n v="52.885004735728749"/>
    <n v="56.256324882649842"/>
    <n v="64.939169503788946"/>
    <n v="65.066808141593938"/>
    <s v="2. Riesgo (&gt;=40 y &lt;60)"/>
    <s v="2. Riesgo (&gt;=40 y &lt;60)"/>
    <s v="3. Vulnerable (&gt;=60 y &lt;70)"/>
    <s v="3. Vulnerable (&gt;=60 y &lt;70)"/>
    <n v="66.020949999999999"/>
    <n v="59.786826815940373"/>
    <n v="62.903888407970186"/>
    <n v="75.330130441054777"/>
    <x v="4"/>
    <n v="24.669869558945223"/>
    <n v="0.35881802248113021"/>
    <n v="22.571048844921553"/>
    <n v="0.11171401707994369"/>
    <n v="5"/>
    <b v="1"/>
    <n v="0"/>
    <n v="0.35881802248113037"/>
    <n v="22.571048844921563"/>
    <n v="0.10554891333880649"/>
    <n v="5"/>
    <b v="1"/>
    <n v="0"/>
    <n v="75.330130441054777"/>
    <x v="5"/>
    <n v="24.669869558945223"/>
    <n v="0.35666977852479015"/>
    <n v="22.435915946818842"/>
    <n v="0.11339043297434233"/>
    <n v="5"/>
    <b v="1"/>
    <n v="0"/>
    <n v="4.9314074697179189E-2"/>
    <n v="3.102047051693666"/>
    <n v="0.18516745304202867"/>
    <n v="5"/>
  </r>
  <r>
    <n v="50711"/>
    <s v="50711"/>
    <s v="50"/>
    <s v="COLOMBIA"/>
    <s v="META"/>
    <s v="VISTAHERMOSA"/>
    <x v="7"/>
    <n v="0"/>
    <n v="0"/>
    <n v="1"/>
    <n v="67.23"/>
    <n v="67.378533333333294"/>
    <n v="57.12"/>
    <n v="41.73"/>
    <n v="47.268597941611631"/>
    <n v="54.249557473867242"/>
    <n v="57.848791532356671"/>
    <n v="61.658503267956227"/>
    <s v="2. Riesgo (&gt;=40 y &lt;60)"/>
    <s v="2. Riesgo (&gt;=40 y &lt;60)"/>
    <s v="2. Riesgo (&gt;=40 y &lt;60)"/>
    <s v="3. Vulnerable (&gt;=60 y &lt;70)"/>
    <n v="58.364633333333323"/>
    <n v="55.256362553947945"/>
    <n v="56.810497943640634"/>
    <n v="76.319030146674635"/>
    <x v="4"/>
    <n v="23.680969853325365"/>
    <n v="0.35881802248113021"/>
    <n v="20.384630528305447"/>
    <n v="8.4364228641221006E-2"/>
    <n v="5"/>
    <b v="1"/>
    <n v="0"/>
    <n v="0.35881802248113037"/>
    <n v="20.384630528305454"/>
    <n v="7.9708463543794142E-2"/>
    <n v="5"/>
    <b v="1"/>
    <n v="0"/>
    <n v="76.319030146674635"/>
    <x v="5"/>
    <n v="23.680969853325365"/>
    <n v="0.35666977852479015"/>
    <n v="20.262587719441353"/>
    <n v="8.5630224954929932E-2"/>
    <n v="5"/>
    <b v="1"/>
    <n v="0"/>
    <n v="4.7337304052549913E-2"/>
    <n v="2.6892558145348784"/>
    <n v="0.16052711047178034"/>
    <n v="5"/>
  </r>
  <r>
    <n v="27099"/>
    <s v="27099"/>
    <s v="27"/>
    <s v="COLOMBIA"/>
    <s v="CHOCÓ"/>
    <s v="BOJAYÁ"/>
    <x v="7"/>
    <n v="0"/>
    <n v="0"/>
    <n v="1"/>
    <n v="58.29"/>
    <n v="61.736933333333297"/>
    <n v="74.81"/>
    <n v="62.41"/>
    <n v="55.632535521580401"/>
    <n v="56.035941600256336"/>
    <n v="54.225272577493257"/>
    <n v="65.404862617002451"/>
    <s v="2. Riesgo (&gt;=40 y &lt;60)"/>
    <s v="2. Riesgo (&gt;=40 y &lt;60)"/>
    <s v="2. Riesgo (&gt;=40 y &lt;60)"/>
    <s v="3. Vulnerable (&gt;=60 y &lt;70)"/>
    <n v="64.311733333333322"/>
    <n v="57.824653079083106"/>
    <n v="61.068193206208214"/>
    <n v="76.422376460267074"/>
    <x v="4"/>
    <n v="23.577623539732926"/>
    <n v="0.35881802248113021"/>
    <n v="21.912368322747223"/>
    <n v="0.10347461806225866"/>
    <n v="5"/>
    <b v="1"/>
    <n v="0"/>
    <n v="0.35881802248113037"/>
    <n v="21.912368322747231"/>
    <n v="9.7764217777647391E-2"/>
    <n v="5"/>
    <b v="1"/>
    <n v="0"/>
    <n v="76.422376460267074"/>
    <x v="5"/>
    <n v="23.577623539732926"/>
    <n v="0.35666977852479015"/>
    <n v="21.78117894576738"/>
    <n v="0.10502739092747811"/>
    <n v="5"/>
    <b v="1"/>
    <n v="0"/>
    <n v="4.7130718938023938E-2"/>
    <n v="2.8781878500547422"/>
    <n v="0.17180484521669936"/>
    <n v="5"/>
  </r>
  <r>
    <n v="15550"/>
    <s v="15550"/>
    <s v="15"/>
    <s v="COLOMBIA"/>
    <s v="BOYACÁ"/>
    <s v="PISBA"/>
    <x v="7"/>
    <n v="0"/>
    <n v="0"/>
    <n v="0"/>
    <n v="32.99"/>
    <n v="47.566566666666702"/>
    <n v="34.700000000000003"/>
    <n v="33.46"/>
    <n v="52.10178187583206"/>
    <n v="52.92476703531139"/>
    <n v="51.008230942658805"/>
    <n v="58.392437537701419"/>
    <s v="2. Riesgo (&gt;=40 y &lt;60)"/>
    <s v="2. Riesgo (&gt;=40 y &lt;60)"/>
    <s v="2. Riesgo (&gt;=40 y &lt;60)"/>
    <s v="2. Riesgo (&gt;=40 y &lt;60)"/>
    <n v="37.179141666666673"/>
    <n v="53.606804347875922"/>
    <n v="45.392973007271294"/>
    <n v="76.562367388880375"/>
    <x v="4"/>
    <n v="23.437632611119625"/>
    <n v="0.35881802248113021"/>
    <n v="16.287816809008408"/>
    <n v="3.311740746152813E-2"/>
    <n v="5"/>
    <b v="1"/>
    <n v="0"/>
    <n v="0.35881802248113037"/>
    <n v="16.287816809008415"/>
    <n v="3.1289774206770815E-2"/>
    <n v="5"/>
    <b v="1"/>
    <n v="0"/>
    <n v="76.562367388880375"/>
    <x v="5"/>
    <n v="23.437632611119625"/>
    <n v="0.35666977852479015"/>
    <n v="16.19030162908523"/>
    <n v="3.3614377758550501E-2"/>
    <n v="5"/>
    <b v="1"/>
    <n v="0"/>
    <n v="4.6850882715377164E-2"/>
    <n v="2.1267008544659487"/>
    <n v="0.12694706883596749"/>
    <n v="5"/>
  </r>
  <r>
    <n v="50590"/>
    <s v="50590"/>
    <s v="50"/>
    <s v="COLOMBIA"/>
    <s v="META"/>
    <s v="PUERTO RICO"/>
    <x v="7"/>
    <n v="0"/>
    <n v="0"/>
    <n v="1"/>
    <n v="51.28"/>
    <n v="53.627499999999998"/>
    <n v="57.83"/>
    <n v="50.68"/>
    <n v="57.69813101031712"/>
    <n v="44.139837300860243"/>
    <n v="47.749013927236625"/>
    <n v="42.233599837468468"/>
    <s v="2. Riesgo (&gt;=40 y &lt;60)"/>
    <s v="2. Riesgo (&gt;=40 y &lt;60)"/>
    <s v="2. Riesgo (&gt;=40 y &lt;60)"/>
    <s v="2. Riesgo (&gt;=40 y &lt;60)"/>
    <n v="53.354375000000005"/>
    <n v="47.95514551897061"/>
    <n v="50.654760259485307"/>
    <n v="77.026215396592406"/>
    <x v="4"/>
    <n v="22.973784603407594"/>
    <n v="0.35881802248113021"/>
    <n v="18.175840905564261"/>
    <n v="5.6734598744452983E-2"/>
    <n v="5"/>
    <b v="1"/>
    <n v="0"/>
    <n v="0.35881802248113037"/>
    <n v="18.175840905564268"/>
    <n v="5.3603615756695554E-2"/>
    <n v="5"/>
    <b v="1"/>
    <n v="0"/>
    <n v="77.026215396592406"/>
    <x v="5"/>
    <n v="22.973784603407594"/>
    <n v="0.35666977852479015"/>
    <n v="18.067022122976965"/>
    <n v="5.7585976087991396E-2"/>
    <n v="5"/>
    <b v="1"/>
    <n v="0"/>
    <n v="4.5923669247718006E-2"/>
    <n v="2.3262524559790534"/>
    <n v="0.13885870692103944"/>
    <n v="5"/>
  </r>
  <r>
    <n v="85250"/>
    <s v="85250"/>
    <s v="85"/>
    <s v="COLOMBIA"/>
    <s v="CASANARE"/>
    <s v="PAZ DE ARIPORO"/>
    <x v="7"/>
    <n v="0"/>
    <n v="0"/>
    <n v="0"/>
    <n v="64.09"/>
    <n v="64.579700000000003"/>
    <n v="56.16"/>
    <n v="52.17"/>
    <n v="50.210972163042207"/>
    <n v="73.612503691909723"/>
    <n v="54.514390546383559"/>
    <n v="54.037117904747198"/>
    <s v="2. Riesgo (&gt;=40 y &lt;60)"/>
    <s v="4. Solvente (&gt;=70 y &lt;80)"/>
    <s v="2. Riesgo (&gt;=40 y &lt;60)"/>
    <s v="2. Riesgo (&gt;=40 y &lt;60)"/>
    <n v="59.249925000000005"/>
    <n v="58.093746076520674"/>
    <n v="58.671835538260339"/>
    <n v="77.775721134734837"/>
    <x v="4"/>
    <n v="22.224278865265163"/>
    <n v="0.35881802248113021"/>
    <n v="21.052512003176673"/>
    <n v="9.2718721878425878E-2"/>
    <n v="5"/>
    <b v="1"/>
    <n v="0"/>
    <n v="0.35881802248113037"/>
    <n v="21.052512003176684"/>
    <n v="8.760190167924635E-2"/>
    <n v="5"/>
    <b v="1"/>
    <n v="0"/>
    <n v="77.775721134734837"/>
    <x v="5"/>
    <n v="22.224278865265163"/>
    <n v="0.35666977852479015"/>
    <n v="20.926470587074228"/>
    <n v="9.4110088361595914E-2"/>
    <n v="5"/>
    <b v="1"/>
    <n v="0"/>
    <n v="4.4425437493050363E-2"/>
    <n v="2.6065219623075158"/>
    <n v="0.15558855975285038"/>
    <n v="5"/>
  </r>
  <r>
    <n v="95001"/>
    <s v="95001"/>
    <s v="95"/>
    <s v="COLOMBIA"/>
    <s v="GUAVIARE"/>
    <s v="SAN JOSÉ DEL GUAVIARE"/>
    <x v="7"/>
    <n v="0"/>
    <n v="1"/>
    <n v="1"/>
    <n v="50.01"/>
    <n v="60.440366666666698"/>
    <n v="72.64"/>
    <n v="60.25"/>
    <n v="56.31968131165263"/>
    <n v="68.850254779196746"/>
    <n v="53.997224953734602"/>
    <n v="59.972247629069599"/>
    <s v="2. Riesgo (&gt;=40 y &lt;60)"/>
    <s v="3. Vulnerable (&gt;=60 y &lt;70)"/>
    <s v="2. Riesgo (&gt;=40 y &lt;60)"/>
    <s v="2. Riesgo (&gt;=40 y &lt;60)"/>
    <n v="60.835091666666671"/>
    <n v="59.784852168413394"/>
    <n v="60.309971917540032"/>
    <n v="78.572032744960637"/>
    <x v="4"/>
    <n v="21.427967255039363"/>
    <n v="0.35881802248113021"/>
    <n v="21.640304859344212"/>
    <n v="0.10007139091700921"/>
    <n v="5"/>
    <b v="1"/>
    <n v="0"/>
    <n v="0.35881802248113037"/>
    <n v="21.640304859344219"/>
    <n v="9.4548802770512211E-2"/>
    <n v="5"/>
    <b v="1"/>
    <n v="0"/>
    <n v="78.572032744960637"/>
    <x v="5"/>
    <n v="21.427967255039363"/>
    <n v="0.35666977852479015"/>
    <n v="21.510744326665318"/>
    <n v="0.1015730938786689"/>
    <n v="5"/>
    <b v="1"/>
    <n v="0"/>
    <n v="4.2833642687039028E-2"/>
    <n v="2.5832957875812679"/>
    <n v="0.15420214247861197"/>
    <n v="5"/>
  </r>
  <r>
    <n v="18753"/>
    <s v="18753"/>
    <s v="18"/>
    <s v="COLOMBIA"/>
    <s v="CAQUETÁ"/>
    <s v="SAN VICENTE DEL CAGUÁN"/>
    <x v="7"/>
    <n v="0"/>
    <n v="0"/>
    <n v="1"/>
    <n v="81.900000000000006"/>
    <n v="76.594800000000006"/>
    <n v="50.86"/>
    <n v="45.26"/>
    <n v="56.583032572900976"/>
    <n v="43.661698879381248"/>
    <n v="50.457007982949875"/>
    <n v="56.048844728035412"/>
    <s v="2. Riesgo (&gt;=40 y &lt;60)"/>
    <s v="2. Riesgo (&gt;=40 y &lt;60)"/>
    <s v="2. Riesgo (&gt;=40 y &lt;60)"/>
    <s v="2. Riesgo (&gt;=40 y &lt;60)"/>
    <n v="63.653700000000001"/>
    <n v="51.68764604081688"/>
    <n v="57.670673020408444"/>
    <n v="79.127588292269905"/>
    <x v="4"/>
    <n v="20.872411707730095"/>
    <n v="0.35881802248113021"/>
    <n v="20.693276848338826"/>
    <n v="8.822506876095064E-2"/>
    <n v="5"/>
    <b v="1"/>
    <n v="0"/>
    <n v="0.35881802248113037"/>
    <n v="20.693276848338837"/>
    <n v="8.3356237474622535E-2"/>
    <n v="5"/>
    <b v="1"/>
    <n v="0"/>
    <n v="79.127588292269905"/>
    <x v="5"/>
    <n v="20.872411707730095"/>
    <n v="0.35666977852479015"/>
    <n v="20.56938617356467"/>
    <n v="8.9549002063334979E-2"/>
    <n v="5"/>
    <b v="1"/>
    <n v="0"/>
    <n v="4.1723109544860033E-2"/>
    <n v="2.4061998079563054"/>
    <n v="0.14363092581275477"/>
    <n v="5"/>
  </r>
  <r>
    <n v="27745"/>
    <s v="27745"/>
    <s v="27"/>
    <s v="COLOMBIA"/>
    <s v="CHOCÓ"/>
    <s v="SIPÍ"/>
    <x v="7"/>
    <n v="0"/>
    <n v="0"/>
    <n v="1"/>
    <n v="35.1"/>
    <n v="44.394766666666698"/>
    <n v="39.380000000000003"/>
    <n v="73.849999999999994"/>
    <n v="67.649350348998269"/>
    <n v="57.11506931173912"/>
    <n v="53.540584436809539"/>
    <n v="63.775322678773492"/>
    <s v="3. Vulnerable (&gt;=60 y &lt;70)"/>
    <s v="2. Riesgo (&gt;=40 y &lt;60)"/>
    <s v="2. Riesgo (&gt;=40 y &lt;60)"/>
    <s v="3. Vulnerable (&gt;=60 y &lt;70)"/>
    <n v="48.18119166666667"/>
    <n v="60.520081694080105"/>
    <n v="54.350636680373384"/>
    <n v="79.278369316848782"/>
    <x v="4"/>
    <n v="20.721630683151218"/>
    <n v="0.35881802248113021"/>
    <n v="19.501987974241956"/>
    <n v="7.3323300682836684E-2"/>
    <n v="5"/>
    <b v="1"/>
    <n v="0"/>
    <n v="0.35881802248113037"/>
    <n v="19.501987974241967"/>
    <n v="6.9276845572115942E-2"/>
    <n v="5"/>
    <b v="1"/>
    <n v="0"/>
    <n v="79.278369316848782"/>
    <x v="5"/>
    <n v="20.721630683151218"/>
    <n v="0.35666977852479015"/>
    <n v="19.385229547470111"/>
    <n v="7.4423613337483374E-2"/>
    <n v="5"/>
    <b v="1"/>
    <n v="0"/>
    <n v="4.1421704355374386E-2"/>
    <n v="2.251296004100793"/>
    <n v="0.13438440493526302"/>
    <n v="5"/>
  </r>
  <r>
    <n v="85325"/>
    <s v="85325"/>
    <s v="85"/>
    <s v="COLOMBIA"/>
    <s v="CASANARE"/>
    <s v="SAN LUIS DE PALENQUE"/>
    <x v="7"/>
    <n v="0"/>
    <n v="0"/>
    <n v="0"/>
    <n v="54.92"/>
    <n v="57.889566666666703"/>
    <n v="59.03"/>
    <n v="58.06"/>
    <n v="65.954197269578827"/>
    <n v="54.479305612012212"/>
    <n v="62.040470666104689"/>
    <n v="64.947174029387497"/>
    <s v="3. Vulnerable (&gt;=60 y &lt;70)"/>
    <s v="2. Riesgo (&gt;=40 y &lt;60)"/>
    <s v="3. Vulnerable (&gt;=60 y &lt;70)"/>
    <s v="3. Vulnerable (&gt;=60 y &lt;70)"/>
    <n v="57.474891666666679"/>
    <n v="61.855286894270805"/>
    <n v="59.665089280468742"/>
    <n v="79.464619495772595"/>
    <x v="4"/>
    <n v="20.535380504227405"/>
    <n v="0.35881802248113021"/>
    <n v="21.408909346777875"/>
    <n v="9.7176876968665685E-2"/>
    <n v="5"/>
    <b v="1"/>
    <n v="0"/>
    <n v="0.35881802248113037"/>
    <n v="21.408909346777882"/>
    <n v="9.1814026867922921E-2"/>
    <n v="5"/>
    <b v="1"/>
    <n v="0"/>
    <n v="79.464619495772595"/>
    <x v="5"/>
    <n v="20.535380504227405"/>
    <n v="0.35666977852479015"/>
    <n v="21.280734179326618"/>
    <n v="9.8635143937990694E-2"/>
    <n v="5"/>
    <b v="1"/>
    <n v="0"/>
    <n v="4.104939775627113E-2"/>
    <n v="2.4492159820373902"/>
    <n v="0.1461986481140197"/>
    <n v="5"/>
  </r>
  <r>
    <n v="50568"/>
    <s v="50568"/>
    <s v="50"/>
    <s v="COLOMBIA"/>
    <s v="META"/>
    <s v="PUERTO GAITÁN"/>
    <x v="7"/>
    <n v="0"/>
    <n v="0"/>
    <n v="0"/>
    <n v="62.75"/>
    <n v="66.537233333333305"/>
    <n v="61.24"/>
    <n v="66.22"/>
    <n v="60.812558066114825"/>
    <n v="56.80850852195573"/>
    <n v="54.528737070680862"/>
    <n v="58.060238448272443"/>
    <s v="3. Vulnerable (&gt;=60 y &lt;70)"/>
    <s v="2. Riesgo (&gt;=40 y &lt;60)"/>
    <s v="2. Riesgo (&gt;=40 y &lt;60)"/>
    <s v="2. Riesgo (&gt;=40 y &lt;60)"/>
    <n v="64.186808333333317"/>
    <n v="57.552510526755967"/>
    <n v="60.869659430044642"/>
    <n v="79.980007068578757"/>
    <x v="4"/>
    <n v="20.019992931421243"/>
    <n v="0.35881802248113021"/>
    <n v="21.841130825788497"/>
    <n v="0.10258351206670484"/>
    <n v="5"/>
    <b v="1"/>
    <n v="0"/>
    <n v="0.35881802248113037"/>
    <n v="21.841130825788508"/>
    <n v="9.6922288788261132E-2"/>
    <n v="5"/>
    <b v="1"/>
    <n v="0"/>
    <n v="79.980007068578757"/>
    <x v="5"/>
    <n v="20.019992931421243"/>
    <n v="0.35666977852479015"/>
    <n v="21.710367947793426"/>
    <n v="0.10412291271334699"/>
    <n v="5"/>
    <b v="1"/>
    <n v="0"/>
    <n v="4.0019158775775783E-2"/>
    <n v="2.4359525653583542"/>
    <n v="0.14540692798722429"/>
    <n v="5"/>
  </r>
  <r>
    <n v="85125"/>
    <s v="85125"/>
    <s v="85"/>
    <s v="COLOMBIA"/>
    <s v="CASANARE"/>
    <s v="HATO COROZAL"/>
    <x v="7"/>
    <n v="0"/>
    <n v="0"/>
    <n v="0"/>
    <n v="51.02"/>
    <n v="55.985700000000001"/>
    <n v="72.489999999999995"/>
    <n v="42.49"/>
    <n v="57.595067258542528"/>
    <n v="48.876127471157659"/>
    <n v="56.164697898821018"/>
    <n v="57.729335007364952"/>
    <s v="2. Riesgo (&gt;=40 y &lt;60)"/>
    <s v="2. Riesgo (&gt;=40 y &lt;60)"/>
    <s v="2. Riesgo (&gt;=40 y &lt;60)"/>
    <s v="2. Riesgo (&gt;=40 y &lt;60)"/>
    <n v="55.496425000000002"/>
    <n v="55.091306908971546"/>
    <n v="55.293865954485774"/>
    <n v="80.400774730773051"/>
    <x v="4"/>
    <n v="19.599225269226949"/>
    <n v="0.35881802248113021"/>
    <n v="19.840435637125278"/>
    <n v="7.7556924188042733E-2"/>
    <n v="5"/>
    <b v="1"/>
    <n v="0"/>
    <n v="0.35881802248113037"/>
    <n v="19.840435637125285"/>
    <n v="7.3276830284332933E-2"/>
    <n v="5"/>
    <b v="1"/>
    <n v="0"/>
    <n v="80.400774730773051"/>
    <x v="5"/>
    <n v="19.599225269226949"/>
    <n v="0.35666977852479015"/>
    <n v="19.721650923765875"/>
    <n v="7.8720767936821909E-2"/>
    <n v="5"/>
    <b v="1"/>
    <n v="0"/>
    <n v="3.9178061182048009E-2"/>
    <n v="2.166306463356805"/>
    <n v="0.1293112076134546"/>
    <n v="5"/>
  </r>
  <r>
    <n v="85230"/>
    <s v="85230"/>
    <s v="85"/>
    <s v="COLOMBIA"/>
    <s v="CASANARE"/>
    <s v="OROCUÉ"/>
    <x v="7"/>
    <n v="0"/>
    <n v="0"/>
    <n v="0"/>
    <n v="61.41"/>
    <n v="63.799666666666702"/>
    <n v="58.72"/>
    <n v="56.1"/>
    <n v="54.61597032286533"/>
    <n v="51.480752271160938"/>
    <n v="74.663416314468392"/>
    <n v="79.145500868466058"/>
    <s v="2. Riesgo (&gt;=40 y &lt;60)"/>
    <s v="2. Riesgo (&gt;=40 y &lt;60)"/>
    <s v="4. Solvente (&gt;=70 y &lt;80)"/>
    <s v="4. Solvente (&gt;=70 y &lt;80)"/>
    <n v="60.007416666666671"/>
    <n v="64.976409944240174"/>
    <n v="62.491913305453423"/>
    <n v="80.696650081694841"/>
    <x v="4"/>
    <n v="19.303349918305159"/>
    <n v="0.35881802248113021"/>
    <n v="22.423224753325027"/>
    <n v="0.10986489351535127"/>
    <n v="5"/>
    <b v="1"/>
    <n v="0"/>
    <n v="0.35881802248113037"/>
    <n v="22.423224753325037"/>
    <n v="0.1038018364009837"/>
    <n v="5"/>
    <b v="1"/>
    <n v="0"/>
    <n v="80.696650081694841"/>
    <x v="5"/>
    <n v="19.303349918305159"/>
    <n v="0.35666977852479015"/>
    <n v="22.288976878246459"/>
    <n v="0.1115135608763481"/>
    <n v="5"/>
    <b v="1"/>
    <n v="0"/>
    <n v="3.8586618283594554E-2"/>
    <n v="2.4113516045290146"/>
    <n v="0.14393844695413732"/>
    <n v="5"/>
  </r>
  <r>
    <n v="86573"/>
    <s v="86573"/>
    <s v="86"/>
    <s v="COLOMBIA"/>
    <s v="PUTUMAYO"/>
    <s v="PUERTO LEGUÍZAMO"/>
    <x v="7"/>
    <n v="0"/>
    <n v="0"/>
    <n v="1"/>
    <n v="36.159999999999997"/>
    <n v="39.407533333333298"/>
    <n v="45.46"/>
    <n v="34.409999999999997"/>
    <n v="37.375631907784879"/>
    <n v="59.762827945879344"/>
    <n v="42.306396974605086"/>
    <n v="56.449032310219501"/>
    <s v="1. Deterioro (&lt;40)"/>
    <s v="2. Riesgo (&gt;=40 y &lt;60)"/>
    <s v="2. Riesgo (&gt;=40 y &lt;60)"/>
    <s v="2. Riesgo (&gt;=40 y &lt;60)"/>
    <n v="38.859383333333327"/>
    <n v="48.973472284622204"/>
    <n v="43.916427808977765"/>
    <n v="80.924557005893064"/>
    <x v="4"/>
    <n v="19.075442994106936"/>
    <n v="0.35881802248113021"/>
    <n v="15.758005780852715"/>
    <n v="2.6490029972765269E-2"/>
    <n v="5"/>
    <b v="1"/>
    <n v="0"/>
    <n v="0.35881802248113037"/>
    <n v="15.758005780852724"/>
    <n v="2.5028138375302978E-2"/>
    <n v="5"/>
    <b v="1"/>
    <n v="0"/>
    <n v="80.924557005893064"/>
    <x v="5"/>
    <n v="19.075442994106936"/>
    <n v="0.35666977852479015"/>
    <n v="15.663662580228035"/>
    <n v="2.688754774582738E-2"/>
    <n v="5"/>
    <b v="1"/>
    <n v="0"/>
    <n v="3.8131041530054713E-2"/>
    <n v="1.6745791326357808"/>
    <n v="9.9959010208500829E-2"/>
    <n v="5"/>
  </r>
  <r>
    <n v="18150"/>
    <s v="18150"/>
    <s v="18"/>
    <s v="COLOMBIA"/>
    <s v="CAQUETÁ"/>
    <s v="CARTAGENA DEL CHAIRÁ"/>
    <x v="7"/>
    <n v="0"/>
    <n v="0"/>
    <n v="1"/>
    <n v="52.43"/>
    <n v="55.155733333333302"/>
    <n v="47.82"/>
    <n v="51.79"/>
    <n v="52.663684043422677"/>
    <n v="35.065050908519183"/>
    <n v="52.747436786632498"/>
    <n v="59.11595914999937"/>
    <s v="2. Riesgo (&gt;=40 y &lt;60)"/>
    <s v="1. Deterioro (&lt;40)"/>
    <s v="2. Riesgo (&gt;=40 y &lt;60)"/>
    <s v="2. Riesgo (&gt;=40 y &lt;60)"/>
    <n v="51.798933333333324"/>
    <n v="49.898032722143427"/>
    <n v="50.848483027738375"/>
    <n v="81.259591236280613"/>
    <x v="4"/>
    <n v="18.740408763719387"/>
    <n v="0.35881802248113021"/>
    <n v="18.245352126178396"/>
    <n v="5.7604110842602765E-2"/>
    <n v="5"/>
    <b v="1"/>
    <n v="0"/>
    <n v="0.35881802248113037"/>
    <n v="18.245352126178403"/>
    <n v="5.4425142539936903E-2"/>
    <n v="5"/>
    <b v="1"/>
    <n v="0"/>
    <n v="81.259591236280613"/>
    <x v="5"/>
    <n v="18.740408763719387"/>
    <n v="0.35666977852479015"/>
    <n v="18.136117179824996"/>
    <n v="5.846853635986022E-2"/>
    <n v="5"/>
    <b v="1"/>
    <n v="0"/>
    <n v="3.7461321610216189E-2"/>
    <n v="1.9048513760937267"/>
    <n v="0.11370442545102645"/>
    <n v="5"/>
  </r>
  <r>
    <n v="50350"/>
    <s v="50350"/>
    <s v="50"/>
    <s v="COLOMBIA"/>
    <s v="META"/>
    <s v="LA MACARENA"/>
    <x v="7"/>
    <n v="0"/>
    <n v="0"/>
    <n v="1"/>
    <n v="48.76"/>
    <n v="56.169600000000003"/>
    <n v="69.099999999999994"/>
    <n v="50"/>
    <n v="49.295257274055814"/>
    <n v="44.017517072258755"/>
    <n v="72.331239977604739"/>
    <n v="59.153645299829201"/>
    <s v="2. Riesgo (&gt;=40 y &lt;60)"/>
    <s v="2. Riesgo (&gt;=40 y &lt;60)"/>
    <s v="4. Solvente (&gt;=70 y &lt;80)"/>
    <s v="2. Riesgo (&gt;=40 y &lt;60)"/>
    <n v="56.007399999999997"/>
    <n v="56.199414905937125"/>
    <n v="56.103407452968561"/>
    <n v="81.996066876501558"/>
    <x v="4"/>
    <n v="18.003933123498442"/>
    <n v="0.35881802248113021"/>
    <n v="20.130913716727282"/>
    <n v="8.1190498771106456E-2"/>
    <n v="5"/>
    <b v="1"/>
    <n v="0"/>
    <n v="0.35881802248113037"/>
    <n v="20.130913716727289"/>
    <n v="7.6709880664245708E-2"/>
    <n v="5"/>
    <b v="1"/>
    <n v="0"/>
    <n v="81.996066876501558"/>
    <x v="5"/>
    <n v="18.003933123498442"/>
    <n v="0.35666977852479015"/>
    <n v="20.010389910736357"/>
    <n v="8.2408869089995215E-2"/>
    <n v="5"/>
    <b v="1"/>
    <n v="0"/>
    <n v="3.5989136495992939E-2"/>
    <n v="2.0191131887151932"/>
    <n v="0.12052494379601118"/>
    <n v="5"/>
  </r>
  <r>
    <n v="81591"/>
    <s v="81591"/>
    <s v="81"/>
    <s v="COLOMBIA"/>
    <s v="ARAUCA"/>
    <s v="PUERTO RONDÓN"/>
    <x v="7"/>
    <n v="0"/>
    <n v="0"/>
    <n v="0"/>
    <n v="61.37"/>
    <n v="63.630266666666699"/>
    <n v="42.02"/>
    <n v="44.9"/>
    <n v="57.965089963073339"/>
    <n v="58.987992636363273"/>
    <n v="53.735871141756533"/>
    <n v="48.615880316573701"/>
    <s v="2. Riesgo (&gt;=40 y &lt;60)"/>
    <s v="2. Riesgo (&gt;=40 y &lt;60)"/>
    <s v="2. Riesgo (&gt;=40 y &lt;60)"/>
    <s v="2. Riesgo (&gt;=40 y &lt;60)"/>
    <n v="52.98006666666668"/>
    <n v="54.82620851444171"/>
    <n v="53.903137590554195"/>
    <n v="82.479601214537908"/>
    <x v="4"/>
    <n v="17.520398785462092"/>
    <n v="0.35881802248113021"/>
    <n v="19.34141723577093"/>
    <n v="7.1314730002076554E-2"/>
    <n v="5"/>
    <b v="1"/>
    <n v="0"/>
    <n v="0.35881802248113037"/>
    <n v="19.34141723577094"/>
    <n v="6.7379120843743603E-2"/>
    <n v="5"/>
    <b v="1"/>
    <n v="0"/>
    <n v="82.479601214537908"/>
    <x v="5"/>
    <n v="17.520398785462092"/>
    <n v="0.35666977852479015"/>
    <n v="19.225620146214254"/>
    <n v="7.2384901409436056E-2"/>
    <n v="5"/>
    <b v="1"/>
    <n v="0"/>
    <n v="3.502257084765819E-2"/>
    <n v="1.8878264551762516"/>
    <n v="0.11268817353995061"/>
    <n v="5"/>
  </r>
  <r>
    <n v="50370"/>
    <s v="50370"/>
    <s v="50"/>
    <s v="COLOMBIA"/>
    <s v="META"/>
    <s v="URIBE"/>
    <x v="7"/>
    <n v="0"/>
    <n v="0"/>
    <n v="1"/>
    <n v="65.489999999999995"/>
    <n v="64.592866666666694"/>
    <n v="51.31"/>
    <n v="35.64"/>
    <n v="53.705070481895682"/>
    <n v="44.063742542005265"/>
    <n v="67.458046950930239"/>
    <n v="55.553907489720046"/>
    <s v="2. Riesgo (&gt;=40 y &lt;60)"/>
    <s v="2. Riesgo (&gt;=40 y &lt;60)"/>
    <s v="3. Vulnerable (&gt;=60 y &lt;70)"/>
    <s v="2. Riesgo (&gt;=40 y &lt;60)"/>
    <n v="54.258216666666669"/>
    <n v="55.195191866137812"/>
    <n v="54.726704266402237"/>
    <n v="84.693528216241504"/>
    <x v="4"/>
    <n v="15.306471783758496"/>
    <n v="0.35881802248113021"/>
    <n v="19.636927801780082"/>
    <n v="7.5011255685353009E-2"/>
    <n v="5"/>
    <b v="1"/>
    <n v="0"/>
    <n v="0.35881802248113037"/>
    <n v="19.636927801780093"/>
    <n v="7.0871648274026713E-2"/>
    <n v="5"/>
    <b v="1"/>
    <n v="0"/>
    <n v="84.693528216241504"/>
    <x v="5"/>
    <n v="15.306471783758496"/>
    <n v="0.35666977852479015"/>
    <n v="19.519361490089373"/>
    <n v="7.6136898326953986E-2"/>
    <n v="5"/>
    <b v="1"/>
    <n v="0"/>
    <n v="3.0597020024406039E-2"/>
    <n v="1.6744740663088566"/>
    <n v="9.995273858726722E-2"/>
    <n v="5"/>
  </r>
  <r>
    <n v="19701"/>
    <s v="19701"/>
    <s v="19"/>
    <s v="COLOMBIA"/>
    <s v="CAUCA"/>
    <s v="SANTA ROSA"/>
    <x v="7"/>
    <n v="0"/>
    <n v="0"/>
    <n v="0"/>
    <n v="55.9"/>
    <n v="59.042266666666698"/>
    <n v="59.61"/>
    <s v="N.D."/>
    <n v="57.163698941108613"/>
    <n v="46.975055584791534"/>
    <n v="41.543406920352901"/>
    <n v="61.200823659019157"/>
    <s v="2. Riesgo (&gt;=40 y &lt;60)"/>
    <s v="2. Riesgo (&gt;=40 y &lt;60)"/>
    <s v="2. Riesgo (&gt;=40 y &lt;60)"/>
    <s v="3. Vulnerable (&gt;=60 y &lt;70)"/>
    <n v="58.184088888888901"/>
    <n v="51.720746276318053"/>
    <n v="54.952417582603474"/>
    <n v="84.917467254930813"/>
    <x v="4"/>
    <n v="15.082532745069187"/>
    <n v="0.35881802248113021"/>
    <n v="19.717917807547067"/>
    <n v="7.6024355285984876E-2"/>
    <n v="5"/>
    <b v="1"/>
    <n v="0"/>
    <n v="0.35881802248113037"/>
    <n v="19.717917807547078"/>
    <n v="7.182883847043825E-2"/>
    <n v="5"/>
    <b v="1"/>
    <n v="0"/>
    <n v="84.917467254930813"/>
    <x v="5"/>
    <n v="15.082532745069187"/>
    <n v="0.35666977852479015"/>
    <n v="19.599866608588965"/>
    <n v="7.716520082080823E-2"/>
    <n v="5"/>
    <b v="1"/>
    <n v="0"/>
    <n v="3.0149374914035576E-2"/>
    <n v="1.6567810401305527"/>
    <n v="9.8896606123946351E-2"/>
    <n v="5"/>
  </r>
  <r>
    <n v="97001"/>
    <s v="97001"/>
    <s v="97"/>
    <s v="COLOMBIA"/>
    <s v="VAUPÉS"/>
    <s v="MITÚ"/>
    <x v="7"/>
    <n v="0"/>
    <n v="1"/>
    <n v="0"/>
    <n v="57.06"/>
    <n v="59.121766666666701"/>
    <n v="54.95"/>
    <n v="56.33"/>
    <n v="57.156709762265599"/>
    <n v="58.820362434844739"/>
    <n v="65.098843384870278"/>
    <n v="56.309378961082295"/>
    <s v="2. Riesgo (&gt;=40 y &lt;60)"/>
    <s v="2. Riesgo (&gt;=40 y &lt;60)"/>
    <s v="3. Vulnerable (&gt;=60 y &lt;70)"/>
    <s v="2. Riesgo (&gt;=40 y &lt;60)"/>
    <n v="56.865441666666669"/>
    <n v="59.346323635765728"/>
    <n v="58.105882651216199"/>
    <n v="86.182091898428212"/>
    <x v="4"/>
    <n v="13.817908101571788"/>
    <n v="0.35881802248113021"/>
    <n v="20.849437907430008"/>
    <n v="9.017847900090914E-2"/>
    <n v="5"/>
    <b v="1"/>
    <n v="0"/>
    <n v="0.35881802248113037"/>
    <n v="20.849437907430016"/>
    <n v="8.5201845872939885E-2"/>
    <n v="5"/>
    <b v="1"/>
    <n v="0"/>
    <n v="86.182091898428212"/>
    <x v="5"/>
    <n v="13.817908101571788"/>
    <n v="0.35666977852479015"/>
    <n v="20.724612296196728"/>
    <n v="9.1531725795549357E-2"/>
    <n v="5"/>
    <b v="1"/>
    <n v="0"/>
    <n v="2.7621441234276355E-2"/>
    <n v="1.6049682230163262"/>
    <n v="9.5803794435375872E-2"/>
    <n v="5"/>
  </r>
  <r>
    <n v="95025"/>
    <s v="95025"/>
    <s v="95"/>
    <s v="COLOMBIA"/>
    <s v="GUAVIARE"/>
    <s v="EL RETORNO"/>
    <x v="7"/>
    <n v="0"/>
    <n v="0"/>
    <n v="1"/>
    <n v="62.06"/>
    <n v="65.640233333333299"/>
    <n v="61.76"/>
    <n v="59.27"/>
    <n v="55.316230326808657"/>
    <n v="46.725202975163157"/>
    <n v="50.718432390491955"/>
    <n v="54.236648718572468"/>
    <s v="2. Riesgo (&gt;=40 y &lt;60)"/>
    <s v="2. Riesgo (&gt;=40 y &lt;60)"/>
    <s v="2. Riesgo (&gt;=40 y &lt;60)"/>
    <s v="2. Riesgo (&gt;=40 y &lt;60)"/>
    <n v="62.182558333333326"/>
    <n v="51.749128602759058"/>
    <n v="56.965843468046188"/>
    <n v="86.874105684222613"/>
    <x v="4"/>
    <n v="13.125894315777387"/>
    <n v="0.35881802248113021"/>
    <n v="20.44037130217394"/>
    <n v="8.5061486966001867E-2"/>
    <n v="5"/>
    <b v="1"/>
    <n v="0"/>
    <n v="0.35881802248113037"/>
    <n v="20.440371302173951"/>
    <n v="8.0367242633658922E-2"/>
    <n v="5"/>
    <b v="1"/>
    <n v="0"/>
    <n v="86.874105684222613"/>
    <x v="5"/>
    <n v="13.125894315777387"/>
    <n v="0.35666977852479015"/>
    <n v="20.317994773225898"/>
    <n v="8.633794655879358E-2"/>
    <n v="5"/>
    <b v="1"/>
    <n v="0"/>
    <n v="2.6238133574598484E-2"/>
    <n v="1.4946774101042644"/>
    <n v="8.9220313082405689E-2"/>
    <n v="5"/>
  </r>
  <r>
    <n v="99001"/>
    <s v="99001"/>
    <s v="99"/>
    <s v="COLOMBIA"/>
    <s v="VICHADA"/>
    <s v="PUERTO CARREÑO"/>
    <x v="7"/>
    <n v="0"/>
    <n v="1"/>
    <n v="0"/>
    <n v="73.59"/>
    <n v="76.047066666666694"/>
    <n v="56.5"/>
    <n v="68.55"/>
    <n v="41.605026227733006"/>
    <n v="53.908088509066907"/>
    <n v="46.215426012731911"/>
    <n v="51.444704162146543"/>
    <s v="2. Riesgo (&gt;=40 y &lt;60)"/>
    <s v="2. Riesgo (&gt;=40 y &lt;60)"/>
    <s v="2. Riesgo (&gt;=40 y &lt;60)"/>
    <s v="2. Riesgo (&gt;=40 y &lt;60)"/>
    <n v="68.67176666666667"/>
    <n v="48.293311227919588"/>
    <n v="58.482538947293129"/>
    <n v="89.150555811390149"/>
    <x v="4"/>
    <n v="10.849444188609851"/>
    <n v="0.35881802248113021"/>
    <n v="20.984588974743399"/>
    <n v="9.1869076390346319E-2"/>
    <n v="5"/>
    <b v="1"/>
    <n v="0"/>
    <n v="0.35881802248113037"/>
    <n v="20.98458897474341"/>
    <n v="8.6799145137729794E-2"/>
    <n v="5"/>
    <b v="1"/>
    <n v="0"/>
    <n v="89.150555811390149"/>
    <x v="5"/>
    <n v="10.849444188609851"/>
    <n v="0.35666977852479015"/>
    <n v="20.858954213898453"/>
    <n v="9.3247692824435194E-2"/>
    <n v="5"/>
    <b v="1"/>
    <n v="0"/>
    <n v="2.1687601544126626E-2"/>
    <n v="1.2683460019777602"/>
    <n v="7.5710134259257614E-2"/>
    <n v="5"/>
  </r>
  <r>
    <n v="99624"/>
    <s v="99624"/>
    <s v="99"/>
    <s v="COLOMBIA"/>
    <s v="VICHADA"/>
    <s v="SANTA ROSALÍA"/>
    <x v="7"/>
    <n v="0"/>
    <n v="0"/>
    <n v="0"/>
    <n v="42.2"/>
    <n v="39.365966666666701"/>
    <s v="N.D."/>
    <n v="19.52"/>
    <n v="44.389176570959627"/>
    <n v="59.700333040836668"/>
    <n v="44.796275032673478"/>
    <n v="64.966509031804804"/>
    <s v="2. Riesgo (&gt;=40 y &lt;60)"/>
    <s v="2. Riesgo (&gt;=40 y &lt;60)"/>
    <s v="2. Riesgo (&gt;=40 y &lt;60)"/>
    <s v="3. Vulnerable (&gt;=60 y &lt;70)"/>
    <n v="33.695322222222231"/>
    <n v="53.463073419068643"/>
    <n v="43.579197820645433"/>
    <n v="89.151899557085017"/>
    <x v="4"/>
    <n v="10.848100442914983"/>
    <n v="0.35881802248113021"/>
    <n v="15.637001583317973"/>
    <n v="2.4976395012052642E-2"/>
    <n v="5"/>
    <b v="1"/>
    <n v="0"/>
    <n v="0.35881802248113037"/>
    <n v="15.63700158331798"/>
    <n v="2.3598035605115066E-2"/>
    <n v="5"/>
    <b v="1"/>
    <n v="0"/>
    <n v="89.151899557085017"/>
    <x v="5"/>
    <n v="10.848100442914983"/>
    <n v="0.35666977852479015"/>
    <n v="15.543382834977624"/>
    <n v="2.5351198699874747E-2"/>
    <n v="5"/>
    <b v="1"/>
    <n v="0"/>
    <n v="2.1684915450654894E-2"/>
    <n v="0.94501122014806027"/>
    <n v="5.6409628163253386E-2"/>
    <n v="5"/>
  </r>
  <r>
    <n v="99773"/>
    <s v="99773"/>
    <s v="99"/>
    <s v="COLOMBIA"/>
    <s v="VICHADA"/>
    <s v="CUMARIBO"/>
    <x v="7"/>
    <n v="0"/>
    <n v="0"/>
    <n v="0"/>
    <n v="60.2"/>
    <n v="60.416699999999999"/>
    <n v="64.19"/>
    <n v="60.89"/>
    <n v="35.111296418190754"/>
    <n v="51.749126803011471"/>
    <n v="46.254515408637424"/>
    <n v="56.366147310167584"/>
    <s v="1. Deterioro (&lt;40)"/>
    <s v="2. Riesgo (&gt;=40 y &lt;60)"/>
    <s v="2. Riesgo (&gt;=40 y &lt;60)"/>
    <s v="2. Riesgo (&gt;=40 y &lt;60)"/>
    <n v="61.424175000000005"/>
    <n v="47.370271485001808"/>
    <n v="54.397223242500907"/>
    <n v="90.682823368821801"/>
    <x v="4"/>
    <n v="9.3171766311781994"/>
    <n v="0.35881802248113021"/>
    <n v="19.51870407233875"/>
    <n v="7.3532401449599286E-2"/>
    <n v="5"/>
    <b v="1"/>
    <n v="0"/>
    <n v="0.35881802248113037"/>
    <n v="19.518704072338757"/>
    <n v="6.9474406802899596E-2"/>
    <n v="5"/>
    <b v="1"/>
    <n v="0"/>
    <n v="90.682823368821801"/>
    <x v="5"/>
    <n v="9.3171766311781994"/>
    <n v="0.35666977852479015"/>
    <n v="19.401845566266367"/>
    <n v="7.4635851936526068E-2"/>
    <n v="5"/>
    <b v="1"/>
    <n v="0"/>
    <n v="1.8624660469278093E-2"/>
    <n v="1.0131298133631021"/>
    <n v="6.0475764556493665E-2"/>
    <n v="5"/>
  </r>
  <r>
    <n v="95015"/>
    <s v="95015"/>
    <s v="95"/>
    <s v="COLOMBIA"/>
    <s v="GUAVIARE"/>
    <s v="CALAMAR"/>
    <x v="7"/>
    <n v="0"/>
    <n v="0"/>
    <n v="1"/>
    <n v="63.66"/>
    <n v="68.450366666666696"/>
    <n v="65.52"/>
    <n v="66.52"/>
    <n v="55.657668591575117"/>
    <n v="57.425513950281555"/>
    <n v="53.499756634122456"/>
    <n v="53.015028548692371"/>
    <s v="2. Riesgo (&gt;=40 y &lt;60)"/>
    <s v="2. Riesgo (&gt;=40 y &lt;60)"/>
    <s v="2. Riesgo (&gt;=40 y &lt;60)"/>
    <s v="2. Riesgo (&gt;=40 y &lt;60)"/>
    <n v="66.037591666666671"/>
    <n v="54.899491931167873"/>
    <n v="60.468541798917272"/>
    <n v="91.380697183243015"/>
    <x v="4"/>
    <n v="8.619302816756985"/>
    <n v="0.35881802248113021"/>
    <n v="21.697202590605059"/>
    <n v="0.1007831215592204"/>
    <n v="5"/>
    <b v="1"/>
    <n v="0"/>
    <n v="0.35881802248113037"/>
    <n v="21.69720259060507"/>
    <n v="9.5221255501502691E-2"/>
    <n v="5"/>
    <b v="1"/>
    <n v="0"/>
    <n v="91.380697183243015"/>
    <x v="5"/>
    <n v="8.619302816756985"/>
    <n v="0.35666977852479015"/>
    <n v="21.567301411136839"/>
    <n v="0.10229550497613826"/>
    <n v="5"/>
    <b v="1"/>
    <n v="0"/>
    <n v="1.7229638848618799E-2"/>
    <n v="1.0418511368979546"/>
    <n v="6.2190198360468699E-2"/>
    <n v="5"/>
  </r>
  <r>
    <n v="81220"/>
    <s v="81220"/>
    <s v="81"/>
    <s v="COLOMBIA"/>
    <s v="ARAUCA"/>
    <s v="CRAVO NORTE"/>
    <x v="7"/>
    <n v="0"/>
    <n v="0"/>
    <n v="0"/>
    <n v="40.200000000000003"/>
    <n v="40.476799999999997"/>
    <n v="37.950000000000003"/>
    <n v="52.09"/>
    <n v="41.072905445447091"/>
    <n v="22.957512306312751"/>
    <n v="52.029521847592733"/>
    <n v="63.407883003524368"/>
    <s v="2. Riesgo (&gt;=40 y &lt;60)"/>
    <s v="1. Deterioro (&lt;40)"/>
    <s v="2. Riesgo (&gt;=40 y &lt;60)"/>
    <s v="3. Vulnerable (&gt;=60 y &lt;70)"/>
    <n v="42.679200000000002"/>
    <n v="44.866955650719234"/>
    <n v="43.773077825359621"/>
    <n v="91.374932911549081"/>
    <x v="4"/>
    <n v="8.6250670884509191"/>
    <n v="0.35881802248113021"/>
    <n v="15.706569223208151"/>
    <n v="2.5846612855874185E-2"/>
    <n v="5"/>
    <b v="1"/>
    <n v="0"/>
    <n v="0.35881802248113037"/>
    <n v="15.706569223208158"/>
    <n v="2.4420229186406427E-2"/>
    <n v="5"/>
    <b v="1"/>
    <n v="0"/>
    <n v="91.374932911549081"/>
    <x v="5"/>
    <n v="8.6250670884509191"/>
    <n v="0.35666977852479015"/>
    <n v="15.612533973319419"/>
    <n v="2.6234475308058218E-2"/>
    <n v="5"/>
    <b v="1"/>
    <n v="0"/>
    <n v="1.724116139535178E-2"/>
    <n v="0.75469869955831936"/>
    <n v="4.5049489476649433E-2"/>
    <n v="5"/>
  </r>
  <r>
    <n v="94343"/>
    <s v="94343"/>
    <s v="94"/>
    <s v="COLOMBIA"/>
    <s v="GUAINÍA"/>
    <s v="BARRANCOMINAS"/>
    <x v="7"/>
    <n v="0"/>
    <n v="0"/>
    <n v="0"/>
    <s v="N.D."/>
    <s v="N.D."/>
    <s v="N.D."/>
    <n v="33.6"/>
    <s v="N.D."/>
    <s v="N.D."/>
    <n v="37.541107949222791"/>
    <n v="47.317240268506097"/>
    <s v="N.D."/>
    <s v="No Evaluado"/>
    <s v="1. Deterioro (&lt;40)"/>
    <s v="2. Riesgo (&gt;=40 y &lt;60)"/>
    <n v="33.6"/>
    <n v="42.429174108864444"/>
    <n v="38.014587054432226"/>
    <n v="91.939267923079171"/>
    <x v="4"/>
    <n v="8.0607320769208286"/>
    <n v="0.35881802248113021"/>
    <n v="13.640318952308144"/>
    <n v="0"/>
    <n v="5"/>
    <b v="1"/>
    <n v="0"/>
    <n v="0.35881802248113037"/>
    <n v="13.640318952308149"/>
    <n v="0"/>
    <n v="5"/>
    <b v="1"/>
    <n v="0"/>
    <n v="91.939267923079171"/>
    <x v="5"/>
    <n v="8.0607320769208286"/>
    <n v="0.35666977852479015"/>
    <n v="13.558654345415697"/>
    <n v="0"/>
    <n v="5"/>
    <b v="1"/>
    <n v="0"/>
    <n v="1.6113078458134245E-2"/>
    <n v="0.61253202376164084"/>
    <n v="3.6563273495383138E-2"/>
    <n v="5"/>
  </r>
  <r>
    <n v="50325"/>
    <s v="50325"/>
    <s v="50"/>
    <s v="COLOMBIA"/>
    <s v="META"/>
    <s v="MAPIRIPÁN"/>
    <x v="7"/>
    <n v="0"/>
    <n v="0"/>
    <n v="1"/>
    <n v="51.8"/>
    <n v="55.433199999999999"/>
    <n v="43.81"/>
    <n v="40.42"/>
    <n v="53.666173804949921"/>
    <n v="51.474242508585519"/>
    <n v="48.284295413091932"/>
    <n v="54.322783369003602"/>
    <s v="2. Riesgo (&gt;=40 y &lt;60)"/>
    <s v="2. Riesgo (&gt;=40 y &lt;60)"/>
    <s v="2. Riesgo (&gt;=40 y &lt;60)"/>
    <s v="2. Riesgo (&gt;=40 y &lt;60)"/>
    <n v="47.865800000000007"/>
    <n v="51.936873773907749"/>
    <n v="49.901336886953878"/>
    <n v="94.054733155557443"/>
    <x v="4"/>
    <n v="5.9452668444425569"/>
    <n v="0.35881802248113021"/>
    <n v="17.90549902094147"/>
    <n v="5.3352906735029001E-2"/>
    <n v="5"/>
    <b v="1"/>
    <n v="0"/>
    <n v="0.35881802248113037"/>
    <n v="17.905499020941477"/>
    <n v="5.0408547436971624E-2"/>
    <n v="5"/>
    <b v="1"/>
    <n v="0"/>
    <n v="94.054733155557443"/>
    <x v="5"/>
    <n v="5.9452668444425569"/>
    <n v="0.35666977852479015"/>
    <n v="17.798298775560781"/>
    <n v="5.4153537338071087E-2"/>
    <n v="5"/>
    <b v="1"/>
    <n v="0"/>
    <n v="1.1884348742135724E-2"/>
    <n v="0.59304489026336127"/>
    <n v="3.540004714296649E-2"/>
    <n v="5"/>
  </r>
  <r>
    <n v="95200"/>
    <s v="95200"/>
    <s v="95"/>
    <s v="COLOMBIA"/>
    <s v="GUAVIARE"/>
    <s v="MIRAFLORES"/>
    <x v="7"/>
    <n v="0"/>
    <n v="0"/>
    <n v="1"/>
    <n v="46.23"/>
    <n v="50.5300333333333"/>
    <n v="76.87"/>
    <n v="59.88"/>
    <n v="55.176394515860352"/>
    <n v="35.870180651265812"/>
    <n v="39.060214451831484"/>
    <n v="46.229803745271475"/>
    <s v="2. Riesgo (&gt;=40 y &lt;60)"/>
    <s v="1. Deterioro (&lt;40)"/>
    <s v="1. Deterioro (&lt;40)"/>
    <s v="2. Riesgo (&gt;=40 y &lt;60)"/>
    <n v="58.377508333333324"/>
    <n v="44.084148341057279"/>
    <n v="51.230828337195305"/>
    <n v="95.843813051714605"/>
    <x v="4"/>
    <n v="4.156186948285395"/>
    <n v="0.35881802248113021"/>
    <n v="18.382544514022669"/>
    <n v="5.9320243000126609E-2"/>
    <n v="5"/>
    <b v="1"/>
    <n v="0"/>
    <n v="0.35881802248113037"/>
    <n v="18.382544514022676"/>
    <n v="5.6046567398760128E-2"/>
    <n v="5"/>
    <b v="1"/>
    <n v="0"/>
    <n v="95.843813051714605"/>
    <x v="5"/>
    <n v="4.156186948285395"/>
    <n v="0.35666977852479015"/>
    <n v="18.272488196668991"/>
    <n v="6.0210421339643605E-2"/>
    <n v="5"/>
    <b v="1"/>
    <n v="0"/>
    <n v="8.3080501554119411E-3"/>
    <n v="0.42562829132871793"/>
    <n v="2.5406612257844043E-2"/>
    <n v="5"/>
  </r>
  <r>
    <n v="99524"/>
    <s v="99524"/>
    <s v="99"/>
    <s v="COLOMBIA"/>
    <s v="VICHADA"/>
    <s v="LA PRIMAVERA"/>
    <x v="7"/>
    <n v="0"/>
    <n v="0"/>
    <n v="0"/>
    <n v="50.77"/>
    <n v="50.487933333333302"/>
    <n v="43.5"/>
    <n v="35.6"/>
    <n v="33.51076103341633"/>
    <n v="49.258960551380866"/>
    <n v="49.811077651407814"/>
    <n v="49.539222252504132"/>
    <s v="1. Deterioro (&lt;40)"/>
    <s v="2. Riesgo (&gt;=40 y &lt;60)"/>
    <s v="2. Riesgo (&gt;=40 y &lt;60)"/>
    <s v="2. Riesgo (&gt;=40 y &lt;60)"/>
    <n v="45.089483333333327"/>
    <n v="45.530005372177285"/>
    <n v="45.309744352755303"/>
    <n v="96.047594133399528"/>
    <x v="4"/>
    <n v="3.952405866600472"/>
    <n v="0.35881802248113021"/>
    <n v="16.257952867781214"/>
    <n v="3.2743841036337214E-2"/>
    <n v="5"/>
    <b v="1"/>
    <n v="0"/>
    <n v="0.35881802248113037"/>
    <n v="16.257952867781221"/>
    <n v="3.0936823598875767E-2"/>
    <n v="5"/>
    <b v="1"/>
    <n v="0"/>
    <n v="96.047594133399528"/>
    <x v="5"/>
    <n v="3.952405866600472"/>
    <n v="0.35666977852479015"/>
    <n v="16.160616483312094"/>
    <n v="3.3235205477360724E-2"/>
    <n v="5"/>
    <b v="1"/>
    <n v="0"/>
    <n v="7.9006999884371661E-3"/>
    <n v="0.35797869668390475"/>
    <n v="2.1368471336394624E-2"/>
    <n v="5"/>
  </r>
  <r>
    <n v="97161"/>
    <s v="97161"/>
    <s v="97"/>
    <s v="COLOMBIA"/>
    <s v="VAUPÉS"/>
    <s v="CARURÚ"/>
    <x v="7"/>
    <n v="0"/>
    <n v="0"/>
    <n v="0"/>
    <n v="55.7"/>
    <n v="56.323500000000003"/>
    <n v="44.48"/>
    <n v="31.24"/>
    <n v="40.438212452723903"/>
    <n v="43.468489158987111"/>
    <n v="48.199412801429268"/>
    <n v="15.03987130238017"/>
    <s v="2. Riesgo (&gt;=40 y &lt;60)"/>
    <s v="2. Riesgo (&gt;=40 y &lt;60)"/>
    <s v="2. Riesgo (&gt;=40 y &lt;60)"/>
    <s v="1. Deterioro (&lt;40)"/>
    <n v="46.935875000000003"/>
    <n v="36.786496428880113"/>
    <n v="41.861185714440055"/>
    <n v="96.962309996926706"/>
    <x v="4"/>
    <n v="3.0376900030732941"/>
    <n v="0.35881802248113021"/>
    <n v="15.020547876770719"/>
    <n v="1.7265208946603057E-2"/>
    <n v="5"/>
    <b v="1"/>
    <n v="0"/>
    <n v="0.35881802248113037"/>
    <n v="15.020547876770726"/>
    <n v="1.6312402780909042E-2"/>
    <n v="5"/>
    <b v="1"/>
    <n v="0"/>
    <n v="96.962309996926706"/>
    <x v="5"/>
    <n v="3.0376900030732941"/>
    <n v="0.35666977852479015"/>
    <n v="14.930619837554444"/>
    <n v="1.7524296135970584E-2"/>
    <n v="5"/>
    <b v="1"/>
    <n v="0"/>
    <n v="6.0722198534735889E-3"/>
    <n v="0.25419032298516786"/>
    <n v="1.5173133711623087E-2"/>
    <n v="5"/>
  </r>
  <r>
    <n v="97666"/>
    <s v="97666"/>
    <s v="97"/>
    <s v="COLOMBIA"/>
    <s v="VAUPÉS"/>
    <s v="TARAIRA"/>
    <x v="7"/>
    <n v="0"/>
    <n v="0"/>
    <n v="0"/>
    <n v="56.55"/>
    <n v="54.3243333333333"/>
    <n v="39.119999999999997"/>
    <n v="50.94"/>
    <n v="27.06659699854049"/>
    <n v="44.270879644326683"/>
    <n v="44.62123314833083"/>
    <n v="53.1202907569064"/>
    <s v="1. Deterioro (&lt;40)"/>
    <s v="2. Riesgo (&gt;=40 y &lt;60)"/>
    <s v="2. Riesgo (&gt;=40 y &lt;60)"/>
    <s v="2. Riesgo (&gt;=40 y &lt;60)"/>
    <n v="50.233583333333321"/>
    <n v="42.269750137026101"/>
    <n v="46.251666735179711"/>
    <n v="99.700342278293377"/>
    <x v="4"/>
    <n v="0.29965772170662319"/>
    <n v="0.35881802248113021"/>
    <n v="16.595931594373457"/>
    <n v="3.6971598642847325E-2"/>
    <n v="5"/>
    <b v="1"/>
    <n v="0"/>
    <n v="0.35881802248113037"/>
    <n v="16.595931594373464"/>
    <n v="3.4931266130717446E-2"/>
    <n v="5"/>
    <b v="1"/>
    <n v="0"/>
    <n v="99.700342278293377"/>
    <x v="5"/>
    <n v="0.29965772170662319"/>
    <n v="0.35666977852479015"/>
    <n v="16.496571730838951"/>
    <n v="3.7526406152471124E-2"/>
    <n v="5"/>
    <b v="1"/>
    <n v="0"/>
    <n v="5.9900370516830436E-4"/>
    <n v="2.7704919744582258E-2"/>
    <n v="1.6537626091252184E-3"/>
    <n v="5"/>
  </r>
  <r>
    <n v="18756"/>
    <s v="18756"/>
    <s v="18"/>
    <s v="COLOMBIA"/>
    <s v="CAQUETÁ"/>
    <s v="SOLANO"/>
    <x v="7"/>
    <n v="0"/>
    <n v="0"/>
    <n v="1"/>
    <n v="51.78"/>
    <n v="54.251533333333299"/>
    <n v="47.02"/>
    <n v="47.13"/>
    <n v="57.920587190729989"/>
    <n v="52.277856554950041"/>
    <n v="50.922027221954146"/>
    <n v="42.653462419491554"/>
    <s v="2. Riesgo (&gt;=40 y &lt;60)"/>
    <s v="2. Riesgo (&gt;=40 y &lt;60)"/>
    <s v="2. Riesgo (&gt;=40 y &lt;60)"/>
    <s v="2. Riesgo (&gt;=40 y &lt;60)"/>
    <n v="50.045383333333326"/>
    <n v="50.943483346781434"/>
    <n v="50.494433340057384"/>
    <n v="100"/>
    <x v="4"/>
    <n v="0"/>
    <n v="0.35881802248113021"/>
    <n v="18.11831271738464"/>
    <n v="5.6014981750752181E-2"/>
    <n v="5"/>
    <b v="1"/>
    <n v="0"/>
    <n v="0.35881802248113037"/>
    <n v="18.118312717384651"/>
    <n v="5.2923711894220536E-2"/>
    <n v="5"/>
    <b v="1"/>
    <n v="0"/>
    <n v="100"/>
    <x v="5"/>
    <n v="0"/>
    <n v="0.35666977852479015"/>
    <n v="18.009838356133045"/>
    <n v="5.6855560293946186E-2"/>
    <n v="5"/>
    <b v="1"/>
    <n v="0"/>
    <n v="0"/>
    <n v="0"/>
    <n v="0"/>
    <n v="5"/>
  </r>
  <r>
    <n v="27493"/>
    <s v="27493"/>
    <s v="27"/>
    <s v="COLOMBIA"/>
    <s v="CHOCÓ"/>
    <s v="NUEVO BELÉN DE BAJIRÁ"/>
    <x v="8"/>
    <n v="0"/>
    <n v="0"/>
    <n v="0"/>
    <s v="N.D."/>
    <s v="N.D."/>
    <s v="N.D."/>
    <s v="N.D."/>
    <s v="N.D."/>
    <s v="N.D."/>
    <s v="N.D."/>
    <s v="N.D."/>
    <s v="N.D."/>
    <s v="N.D."/>
    <s v="N.D."/>
    <s v="N.D."/>
    <s v="N.D."/>
    <s v="N.D."/>
    <s v="N.D."/>
    <n v="63.346205125554199"/>
    <x v="3"/>
    <n v="36.653794874445801"/>
    <n v="0.6523467210059386"/>
    <s v="N.D."/>
    <s v="N.D."/>
    <s v="N.D."/>
    <b v="1"/>
    <n v="0"/>
    <n v="0.6523368619611829"/>
    <s v="N.D."/>
    <s v="N.D."/>
    <s v="N.D."/>
    <b v="1"/>
    <n v="0"/>
    <n v="63.346205125554199"/>
    <x v="4"/>
    <n v="36.653794874445801"/>
    <n v="0.64930463728197152"/>
    <s v="N.D."/>
    <s v="N.D."/>
    <s v="N.D."/>
    <b v="1"/>
    <n v="0"/>
    <n v="7.326945827802693E-2"/>
    <s v="N.D."/>
    <s v="N.D."/>
    <s v="N.D."/>
  </r>
  <r>
    <n v="88564"/>
    <s v="88564"/>
    <s v="88"/>
    <s v="COLOMBIA"/>
    <s v="ARCHIPIÉLAGO DE SAN ANDRÉS. PROVIDENCIA Y SANTA CATALINA"/>
    <s v="PROVIDENCIA"/>
    <x v="5"/>
    <n v="0"/>
    <n v="0"/>
    <n v="0"/>
    <n v="58.75"/>
    <n v="57.8547333333333"/>
    <n v="58.91"/>
    <n v="37.06"/>
    <n v="55.362667490323723"/>
    <n v="45.66876363703534"/>
    <n v="61.300066395141712"/>
    <n v="25.13632215892062"/>
    <s v="2. Riesgo (&gt;=40 y &lt;60)"/>
    <s v="2. Riesgo (&gt;=40 y &lt;60)"/>
    <s v="3. Vulnerable (&gt;=60 y &lt;70)"/>
    <s v="1. Deterioro (&lt;40)"/>
    <n v="53.143683333333328"/>
    <n v="46.866954920355354"/>
    <n v="50.005319126844341"/>
    <n v="49.067365495144358"/>
    <x v="2"/>
    <n v="50.932634504855642"/>
    <n v="0.81759069605862034"/>
    <n v="40.883883671550109"/>
    <n v="0.34078827721362531"/>
    <n v="4"/>
    <b v="0"/>
    <n v="1"/>
    <n v="0.81759069605862023"/>
    <n v="40.883883671550102"/>
    <n v="0.32198137063464183"/>
    <n v="4"/>
    <b v="0"/>
    <n v="1"/>
    <n v="49.067365495144358"/>
    <x v="2"/>
    <n v="50.932634504855642"/>
    <n v="0.94927242218174535"/>
    <n v="47.468670409510686"/>
    <n v="0.43313710649992343"/>
    <n v="3"/>
    <b v="1"/>
    <n v="0"/>
    <n v="0.10181228305626951"/>
    <n v="5.0911557052613636"/>
    <n v="0.30390136554148411"/>
    <n v="3"/>
  </r>
  <r>
    <n v="91001"/>
    <s v="91001"/>
    <s v="91"/>
    <s v="COLOMBIA"/>
    <s v="AMAZONAS"/>
    <s v="LETICIA"/>
    <x v="7"/>
    <n v="0"/>
    <n v="1"/>
    <n v="0"/>
    <n v="49.25"/>
    <n v="50.219066666666698"/>
    <n v="44.8"/>
    <n v="37.979999999999997"/>
    <n v="56.019861726591778"/>
    <n v="56.994926873910025"/>
    <n v="55.390677669811353"/>
    <n v="60.207440992802653"/>
    <s v="2. Riesgo (&gt;=40 y &lt;60)"/>
    <s v="2. Riesgo (&gt;=40 y &lt;60)"/>
    <s v="2. Riesgo (&gt;=40 y &lt;60)"/>
    <s v="3. Vulnerable (&gt;=60 y &lt;70)"/>
    <n v="45.562266666666666"/>
    <n v="57.15322681577895"/>
    <n v="51.357746741222812"/>
    <n v="76.526689804272124"/>
    <x v="4"/>
    <n v="23.473310195727876"/>
    <n v="0.35881802248113021"/>
    <n v="18.428085124772277"/>
    <n v="5.9889908036275634E-2"/>
    <n v="5"/>
    <b v="1"/>
    <n v="0"/>
    <n v="0.35881802248113037"/>
    <n v="18.428085124772288"/>
    <n v="5.6584794624888954E-2"/>
    <n v="5"/>
    <b v="1"/>
    <n v="0"/>
    <n v="76.526689804272124"/>
    <x v="5"/>
    <n v="23.473310195727876"/>
    <n v="0.35666977852479015"/>
    <n v="18.317756155724204"/>
    <n v="6.0788634949606853E-2"/>
    <n v="5"/>
    <b v="1"/>
    <n v="0"/>
    <n v="4.6922200768688409E-2"/>
    <n v="2.4098185036191095"/>
    <n v="0.14384693306475627"/>
    <n v="5"/>
  </r>
  <r>
    <n v="91540"/>
    <s v="91540"/>
    <s v="91"/>
    <s v="COLOMBIA"/>
    <s v="AMAZONAS"/>
    <s v="PUERTO NARIÑO"/>
    <x v="7"/>
    <n v="0"/>
    <n v="0"/>
    <n v="0"/>
    <n v="58.79"/>
    <n v="60.758600000000001"/>
    <n v="35.799999999999997"/>
    <n v="45.56"/>
    <n v="44.227355783254815"/>
    <n v="37.499201827671726"/>
    <n v="36.134049249467793"/>
    <n v="46.996226868925959"/>
    <s v="2. Riesgo (&gt;=40 y &lt;60)"/>
    <s v="1. Deterioro (&lt;40)"/>
    <s v="1. Deterioro (&lt;40)"/>
    <s v="2. Riesgo (&gt;=40 y &lt;60)"/>
    <n v="50.227149999999995"/>
    <n v="41.214208432330068"/>
    <n v="45.720679216165031"/>
    <n v="78.166263580808334"/>
    <x v="4"/>
    <n v="21.833736419191666"/>
    <n v="0.35881802248113021"/>
    <n v="16.405403702838449"/>
    <n v="3.458829555507259E-2"/>
    <n v="5"/>
    <b v="1"/>
    <n v="0"/>
    <n v="0.35881802248113037"/>
    <n v="16.405403702838456"/>
    <n v="3.2679489159062859E-2"/>
    <n v="5"/>
    <b v="1"/>
    <n v="0"/>
    <n v="78.166263580808334"/>
    <x v="5"/>
    <n v="21.833736419191666"/>
    <n v="0.35666977852479015"/>
    <n v="16.307184530032558"/>
    <n v="3.510733846431812E-2"/>
    <n v="5"/>
    <b v="1"/>
    <n v="0"/>
    <n v="4.3644758887836414E-2"/>
    <n v="1.9954680205776363"/>
    <n v="0.11911351595890231"/>
    <n v="5"/>
  </r>
  <r>
    <n v="94001"/>
    <s v="94001"/>
    <s v="94"/>
    <s v="COLOMBIA"/>
    <s v="GUAINÍA"/>
    <s v="INÍRIDA"/>
    <x v="7"/>
    <n v="0"/>
    <n v="1"/>
    <n v="0"/>
    <n v="65.010000000000005"/>
    <n v="65.897433333333296"/>
    <n v="58"/>
    <n v="61.64"/>
    <n v="59.666441144978123"/>
    <n v="49.650212162510009"/>
    <n v="53.16260981601647"/>
    <n v="61.513702826537234"/>
    <s v="2. Riesgo (&gt;=40 y &lt;60)"/>
    <s v="2. Riesgo (&gt;=40 y &lt;60)"/>
    <s v="2. Riesgo (&gt;=40 y &lt;60)"/>
    <s v="3. Vulnerable (&gt;=60 y &lt;70)"/>
    <n v="62.636858333333322"/>
    <n v="55.998241487510462"/>
    <n v="59.317549910421889"/>
    <n v="87.208735631861884"/>
    <x v="4"/>
    <n v="12.791264368138116"/>
    <n v="0.35881802248113021"/>
    <n v="21.284205957283323"/>
    <n v="9.5616969015851691E-2"/>
    <n v="5"/>
    <b v="1"/>
    <n v="0"/>
    <n v="0.35881802248113037"/>
    <n v="21.284205957283334"/>
    <n v="9.0340204749340874E-2"/>
    <n v="5"/>
    <b v="1"/>
    <n v="0"/>
    <n v="87.208735631861884"/>
    <x v="5"/>
    <n v="12.791264368138116"/>
    <n v="0.35666977852479015"/>
    <n v="21.156777389183361"/>
    <n v="9.7051827512773248E-2"/>
    <n v="5"/>
    <b v="1"/>
    <n v="0"/>
    <n v="2.5569221799675353E-2"/>
    <n v="1.5167035902728903"/>
    <n v="9.0535100258132925E-2"/>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3">
  <r>
    <n v="68276"/>
    <s v="68276"/>
    <x v="0"/>
    <x v="0"/>
    <s v="FLORIDABLANCA"/>
    <n v="97.140933333333294"/>
    <n v="78.23"/>
    <n v="83.06"/>
    <n v="84.55"/>
    <n v="56.446677094272502"/>
    <n v="57.085798777637805"/>
    <n v="63.040599454534998"/>
    <n v="60.937800000000003"/>
    <n v="85.745233333333331"/>
    <n v="59.377718831611325"/>
    <n v="72.561476082472325"/>
    <n v="19.535521594236599"/>
    <n v="80.464478405763401"/>
    <n v="0.82418030565187061"/>
    <n v="0"/>
    <n v="59.80373953620294"/>
    <n v="1"/>
    <n v="1"/>
    <b v="1"/>
    <x v="0"/>
    <n v="74.733171506470498"/>
    <n v="0.84823970786551717"/>
    <n v="63.39164356651213"/>
    <n v="1"/>
    <n v="0"/>
    <n v="-2.1716954239981732"/>
    <n v="-2.4059402213646552E-2"/>
    <n v="-3.5879040303091898"/>
    <n v="1"/>
    <b v="1"/>
    <n v="0"/>
    <n v="1.1166517821440873"/>
    <n v="83.450929147980005"/>
    <n v="0.87325714622843653"/>
    <n v="1"/>
    <n v="0"/>
    <n v="87.325714622843648"/>
    <n v="2"/>
    <n v="-0.29247147649221672"/>
    <b v="0"/>
    <n v="0"/>
    <n v="1"/>
    <n v="0"/>
    <n v="0"/>
    <n v="1"/>
    <n v="0"/>
    <n v="0"/>
    <n v="0"/>
    <s v="Ciudades y aglomeraciones"/>
    <n v="1"/>
    <s v="En aglomeración"/>
    <m/>
    <s v="Si"/>
    <s v="No"/>
    <n v="11"/>
    <n v="3.9718579642907863"/>
    <n v="0"/>
    <s v="Sin riesgo"/>
    <n v="0.72696634203032706"/>
    <s v="Medio Bajo"/>
    <n v="647819.39982100006"/>
    <n v="272263.16762425"/>
    <n v="312530"/>
    <n v="2.0728230884107126"/>
    <n v="0.8711585051811026"/>
    <m/>
    <m/>
    <m/>
    <m/>
    <m/>
    <m/>
    <m/>
    <n v="39"/>
    <n v="0"/>
    <n v="5"/>
    <n v="9993.3364189999993"/>
    <n v="7724.2675509999999"/>
    <n v="0.77294181113667959"/>
    <s v="71% - 100%"/>
    <n v="2.247280609613825E-4"/>
    <s v="N.D."/>
    <s v="N.D."/>
    <s v="N.D."/>
    <n v="0.8861922727598518"/>
    <s v="Aceptable"/>
    <n v="3"/>
    <s v="Candidato"/>
    <n v="0"/>
    <n v="0"/>
  </r>
  <r>
    <n v="5360"/>
    <s v="05360"/>
    <x v="1"/>
    <x v="1"/>
    <s v="ITAGÜÍ"/>
    <n v="95.554866666666697"/>
    <n v="90.41"/>
    <n v="93.41"/>
    <n v="95.69"/>
    <n v="66.501443996238592"/>
    <n v="75.94250982080851"/>
    <n v="81.456849399963701"/>
    <n v="75.050200000000004"/>
    <n v="93.766216666666665"/>
    <n v="74.737750804252698"/>
    <n v="84.251983735459675"/>
    <n v="0"/>
    <n v="100"/>
    <n v="1"/>
    <n v="0"/>
    <n v="84.251983735459675"/>
    <n v="1"/>
    <n v="1"/>
    <b v="1"/>
    <x v="0"/>
    <n v="83.806883784421984"/>
    <n v="1"/>
    <n v="83.806883784421984"/>
    <n v="1"/>
    <n v="0"/>
    <n v="0.44509995103769029"/>
    <n v="0"/>
    <n v="0.44509995103769029"/>
    <n v="1"/>
    <b v="1"/>
    <n v="0"/>
    <n v="1.1166517821440873"/>
    <n v="93.583106133817225"/>
    <n v="1"/>
    <n v="1"/>
    <n v="0"/>
    <n v="100"/>
    <n v="1"/>
    <n v="-0.11665178214408733"/>
    <b v="1"/>
    <n v="0"/>
    <n v="1"/>
    <n v="0"/>
    <n v="0"/>
    <n v="1"/>
    <n v="0"/>
    <n v="0"/>
    <n v="0"/>
    <s v="Ciudades y aglomeraciones"/>
    <n v="1"/>
    <s v="En aglomeración"/>
    <m/>
    <s v="Si"/>
    <s v="Si"/>
    <n v="10.9"/>
    <n v="3.9464629782548859"/>
    <n v="2.1469971753123231"/>
    <s v="Sin riesgo"/>
    <n v="0.39742278744766085"/>
    <s v="Medio Bajo"/>
    <n v="902895.88045499998"/>
    <n v="498694.1616548"/>
    <n v="302075"/>
    <n v="2.9889791623106845"/>
    <n v="1.6508951805174212"/>
    <m/>
    <m/>
    <m/>
    <m/>
    <m/>
    <m/>
    <m/>
    <n v="2"/>
    <n v="0"/>
    <n v="4"/>
    <n v="1950.7853339999999"/>
    <n v="329.32504"/>
    <n v="0.16881664745999161"/>
    <s v="0% - 30%"/>
    <n v="9.5813068587517301E-6"/>
    <s v="N.D."/>
    <s v="N.D."/>
    <s v="N.D."/>
    <n v="0.95460410876648005"/>
    <s v="Aceptable"/>
    <n v="3"/>
    <s v="Candidato"/>
    <n v="0"/>
    <n v="0"/>
  </r>
  <r>
    <n v="5001"/>
    <s v="05001"/>
    <x v="1"/>
    <x v="1"/>
    <s v="MEDELLÍN"/>
    <n v="98.381821557345603"/>
    <n v="85.96"/>
    <n v="89.34"/>
    <n v="91.13"/>
    <n v="80.448674356060337"/>
    <n v="71.179987405011389"/>
    <n v="69.780159801922764"/>
    <n v="69.728300000000004"/>
    <n v="91.20295538933641"/>
    <n v="72.78428039074862"/>
    <n v="81.993617890042515"/>
    <n v="6.063814171625066"/>
    <n v="93.936185828374931"/>
    <n v="0.94542567245537434"/>
    <n v="1"/>
    <n v="77.518871330742456"/>
    <s v="Ciudades grandes"/>
    <s v="Ciudades grandes"/>
    <b v="1"/>
    <x v="1"/>
    <n v="83.913926483900156"/>
    <n v="0.95136035971376331"/>
    <s v="Ciudades grandes"/>
    <s v="Ciudades grandes"/>
    <n v="0"/>
    <n v="-1.9203085938576407"/>
    <n v="-5.9346872583889709E-3"/>
    <n v="0"/>
    <n v="1"/>
    <b v="0"/>
    <n v="0"/>
    <s v="Especial"/>
    <s v="N.D."/>
    <s v="N.D."/>
    <s v="Ciudades grandes"/>
    <n v="0"/>
    <s v="N.D"/>
    <n v="1"/>
    <s v="N.D."/>
    <b v="0"/>
    <n v="0"/>
    <s v="Ciudades grandes"/>
    <n v="0"/>
    <n v="1"/>
    <n v="0"/>
    <n v="1"/>
    <n v="0"/>
    <n v="0"/>
    <s v="Ciudades y aglomeraciones"/>
    <s v="ESP"/>
    <s v="Centro aglomeración"/>
    <m/>
    <s v="Si"/>
    <s v="Si"/>
    <n v="12.8"/>
    <n v="5.2303986649721734"/>
    <n v="0.78047611929398752"/>
    <s v="Sin riesgo"/>
    <n v="2.0488425509532897"/>
    <s v="Medio Bajo"/>
    <n v="9550875.4344609994"/>
    <n v="4100952.3745734501"/>
    <n v="2524747"/>
    <n v="3.7829039640253059"/>
    <n v="1.6243023061611521"/>
    <m/>
    <m/>
    <m/>
    <m/>
    <m/>
    <m/>
    <m/>
    <n v="2"/>
    <n v="1"/>
    <n v="2"/>
    <n v="37344.041565"/>
    <n v="16634.454302999999"/>
    <n v="0.44543797633811355"/>
    <s v="31% - 50%"/>
    <n v="4.839589819982292E-4"/>
    <s v="N.D."/>
    <s v="N.D."/>
    <s v="N.D."/>
    <n v="0.84780799650573269"/>
    <s v="Crítico bajo"/>
    <n v="3"/>
    <s v="Candidato"/>
    <n v="0"/>
    <n v="0"/>
  </r>
  <r>
    <n v="8001"/>
    <s v="08001"/>
    <x v="2"/>
    <x v="2"/>
    <s v="BARRANQUILLA"/>
    <n v="89.114699999999999"/>
    <n v="82.38"/>
    <n v="82.84"/>
    <n v="84.07"/>
    <n v="59.14951482607708"/>
    <n v="75.702898328320217"/>
    <n v="72.664147104551546"/>
    <n v="75.541799999999995"/>
    <n v="84.601174999999998"/>
    <n v="70.764590064737206"/>
    <n v="77.682882532368609"/>
    <n v="10.899140753383474"/>
    <n v="89.100859246616523"/>
    <n v="0.90190773321954876"/>
    <n v="1"/>
    <n v="70.062792494729052"/>
    <s v="Ciudades grandes"/>
    <s v="Ciudades grandes"/>
    <b v="1"/>
    <x v="1"/>
    <n v="76.898832860970387"/>
    <n v="0.92558063018985015"/>
    <s v="Ciudades grandes"/>
    <s v="Ciudades grandes"/>
    <n v="0"/>
    <n v="0.7840496713982219"/>
    <n v="-2.3672896970301394E-2"/>
    <n v="0"/>
    <n v="1"/>
    <b v="0"/>
    <n v="0"/>
    <s v="Especial"/>
    <s v="N.D."/>
    <s v="N.D."/>
    <s v="Ciudades grandes"/>
    <n v="0"/>
    <s v="N.D"/>
    <n v="1"/>
    <s v="N.D."/>
    <b v="0"/>
    <n v="0"/>
    <s v="Ciudades grandes"/>
    <n v="0"/>
    <n v="1"/>
    <n v="0"/>
    <n v="1"/>
    <n v="0"/>
    <n v="0"/>
    <s v="Ciudades y aglomeraciones"/>
    <s v="ESP"/>
    <s v="Centro aglomeración"/>
    <m/>
    <s v="Si"/>
    <s v="Si"/>
    <n v="17.399999999999999"/>
    <n v="9.1020089825995747"/>
    <n v="0"/>
    <s v="Sin riesgo"/>
    <n v="2.6109685681517414"/>
    <s v="Medio Bajo"/>
    <n v="5000441.0233610002"/>
    <n v="2598773.5073170001"/>
    <n v="1279120"/>
    <n v="3.909282181000219"/>
    <n v="2.0316885884959972"/>
    <m/>
    <m/>
    <m/>
    <m/>
    <m/>
    <m/>
    <m/>
    <n v="5"/>
    <n v="1"/>
    <n v="2"/>
    <n v="15379.129488"/>
    <n v="1011.017048"/>
    <n v="6.573954974427354E-2"/>
    <s v="0% - 30%"/>
    <n v="2.9414297122129939E-5"/>
    <s v="N.D."/>
    <s v="N.D."/>
    <s v="N.D."/>
    <n v="0.84996819353499986"/>
    <s v="Crítico bajo"/>
    <n v="3"/>
    <s v="Candidato"/>
    <n v="0"/>
    <n v="0"/>
  </r>
  <r>
    <n v="8758"/>
    <s v="08758"/>
    <x v="2"/>
    <x v="2"/>
    <s v="SOLEDAD"/>
    <n v="56.134266666666697"/>
    <n v="56.34"/>
    <n v="61.74"/>
    <n v="68.989999999999995"/>
    <n v="61.028939755525542"/>
    <n v="65.730071374051647"/>
    <n v="64.871141557937023"/>
    <n v="58.303400000000003"/>
    <n v="60.801066666666671"/>
    <n v="62.483388171878559"/>
    <n v="61.642227419272615"/>
    <n v="7.6004790433740395"/>
    <n v="92.399520956625963"/>
    <n v="0.9315956886096336"/>
    <n v="0"/>
    <n v="57.425633300088911"/>
    <n v="1"/>
    <n v="1"/>
    <b v="1"/>
    <x v="0"/>
    <n v="58.735796967301354"/>
    <n v="0.95083954979535357"/>
    <n v="55.848318745260116"/>
    <n v="1"/>
    <n v="0"/>
    <n v="2.9064304519712607"/>
    <n v="-1.9243861185719968E-2"/>
    <n v="1.5773145548287957"/>
    <n v="1"/>
    <b v="1"/>
    <n v="0"/>
    <n v="1.1166517821440873"/>
    <n v="65.587432359190331"/>
    <n v="0.64980363130118213"/>
    <n v="1"/>
    <n v="0"/>
    <n v="64.980363130118207"/>
    <n v="2"/>
    <n v="-0.18505609353445374"/>
    <b v="0"/>
    <n v="0"/>
    <n v="1"/>
    <n v="0"/>
    <n v="0"/>
    <n v="1"/>
    <n v="0"/>
    <n v="0"/>
    <n v="0"/>
    <s v="Ciudades y aglomeraciones"/>
    <n v="2"/>
    <s v="En aglomeración"/>
    <m/>
    <s v="Si"/>
    <s v="Si"/>
    <n v="18.600000000000001"/>
    <n v="8.0259279104023413"/>
    <n v="0"/>
    <s v="Sin riesgo"/>
    <n v="2.876588318069345"/>
    <s v="Medio Bajo"/>
    <n v="1112596.8917149999"/>
    <n v="159407.32055100001"/>
    <n v="710269"/>
    <n v="1.5664443917938131"/>
    <n v="0.22443232148805595"/>
    <m/>
    <m/>
    <m/>
    <m/>
    <m/>
    <m/>
    <m/>
    <n v="5"/>
    <n v="0"/>
    <n v="4"/>
    <n v="5912.7992489999997"/>
    <n v="214.65680900000001"/>
    <n v="3.6303753934535117E-2"/>
    <s v="0% - 30%"/>
    <n v="6.2451757581186662E-6"/>
    <s v="N.D."/>
    <s v="N.D."/>
    <s v="N.D."/>
    <n v="0.94411601005782986"/>
    <s v="Aceptable"/>
    <n v="2"/>
    <s v="No es Candidato"/>
    <n v="0"/>
    <n v="0"/>
  </r>
  <r>
    <n v="5631"/>
    <s v="05631"/>
    <x v="1"/>
    <x v="1"/>
    <s v="SABANETA"/>
    <n v="84.963700000000003"/>
    <n v="95.26"/>
    <n v="96.47"/>
    <n v="97.72"/>
    <n v="65.68202080537165"/>
    <n v="74.49339264966541"/>
    <n v="59.008566253040605"/>
    <n v="73.076400000000007"/>
    <n v="93.603425000000016"/>
    <n v="68.06509492701943"/>
    <n v="80.834259963509723"/>
    <n v="7.0051453780882431"/>
    <n v="92.994854621911756"/>
    <n v="0.93695369159720587"/>
    <n v="0"/>
    <n v="75.73795828033866"/>
    <n v="1"/>
    <n v="1"/>
    <b v="1"/>
    <x v="0"/>
    <n v="76.771487435173157"/>
    <n v="0.9247507566981269"/>
    <n v="70.994491098517116"/>
    <n v="1"/>
    <n v="0"/>
    <n v="4.0627725283365663"/>
    <n v="1.2202934899078977E-2"/>
    <n v="4.7434671818215435"/>
    <n v="1"/>
    <b v="1"/>
    <n v="0"/>
    <n v="1.1166517821440873"/>
    <n v="85.727018262338518"/>
    <n v="0.90172862182498636"/>
    <n v="1"/>
    <n v="0"/>
    <n v="90.172862182498633"/>
    <n v="1"/>
    <n v="-0.17969809054688146"/>
    <b v="1"/>
    <n v="0"/>
    <n v="1"/>
    <n v="0"/>
    <n v="0"/>
    <n v="1"/>
    <n v="0"/>
    <n v="0"/>
    <n v="0"/>
    <s v="Ciudades y aglomeraciones"/>
    <n v="1"/>
    <s v="En aglomeración"/>
    <m/>
    <s v="Si"/>
    <s v="Si"/>
    <n v="4.5"/>
    <n v="1.5913267181183388"/>
    <n v="2.1382319697525305"/>
    <s v="Sin riesgo"/>
    <n v="0.19130905538791365"/>
    <s v="Bajo"/>
    <n v="353719.01565100002"/>
    <n v="285939.0117957"/>
    <n v="103765"/>
    <n v="3.4088470645304296"/>
    <n v="2.7556402620893365"/>
    <m/>
    <m/>
    <m/>
    <m/>
    <m/>
    <m/>
    <m/>
    <n v="2"/>
    <n v="0"/>
    <n v="5"/>
    <n v="1573.2851519999999"/>
    <n v="0"/>
    <n v="0"/>
    <n v="0"/>
    <n v="0"/>
    <s v="N.D."/>
    <s v="N.D."/>
    <s v="N.D."/>
    <n v="0.75321415993395546"/>
    <s v="Crítico bajo"/>
    <n v="3"/>
    <s v="Candidato"/>
    <n v="0"/>
    <n v="0"/>
  </r>
  <r>
    <n v="5088"/>
    <s v="05088"/>
    <x v="1"/>
    <x v="1"/>
    <s v="BELLO"/>
    <n v="96.869668188211193"/>
    <n v="88.43"/>
    <n v="87.58"/>
    <n v="72.959999999999994"/>
    <n v="71.156792833747446"/>
    <n v="65.988288373102677"/>
    <n v="62.55844866684339"/>
    <n v="68.392499999999998"/>
    <n v="86.459917047052798"/>
    <n v="67.024007468423378"/>
    <n v="76.741962257738095"/>
    <n v="11.57495705832441"/>
    <n v="88.425042941675585"/>
    <n v="0.89582538647508025"/>
    <n v="0"/>
    <n v="68.747397998394248"/>
    <n v="1"/>
    <n v="1"/>
    <b v="1"/>
    <x v="0"/>
    <n v="77.691728802256307"/>
    <n v="0.8994213779447251"/>
    <n v="69.877601774233256"/>
    <n v="1"/>
    <n v="0"/>
    <n v="-0.94976654451821219"/>
    <n v="-3.5959914696448436E-3"/>
    <n v="-1.1302037758390071"/>
    <n v="1"/>
    <b v="1"/>
    <n v="0"/>
    <n v="1.1166517821440873"/>
    <n v="86.75460742489463"/>
    <n v="0.91458267906748636"/>
    <n v="1"/>
    <n v="0"/>
    <n v="91.458267906748631"/>
    <n v="1"/>
    <n v="-0.22082639566900708"/>
    <b v="1"/>
    <n v="0"/>
    <n v="1"/>
    <n v="0"/>
    <n v="0"/>
    <n v="1"/>
    <n v="0"/>
    <n v="0"/>
    <n v="0"/>
    <s v="Ciudades y aglomeraciones"/>
    <n v="1"/>
    <s v="En aglomeración"/>
    <m/>
    <s v="Si"/>
    <s v="Si"/>
    <n v="14.2"/>
    <n v="5.575304609973621"/>
    <n v="0.19312101910828025"/>
    <s v="Sin riesgo"/>
    <n v="1.1099649159613338"/>
    <s v="Medio Bajo"/>
    <n v="836288.52416799997"/>
    <n v="389653.82185299997"/>
    <n v="593344"/>
    <n v="1.4094497023109696"/>
    <n v="0.65670811848270139"/>
    <m/>
    <m/>
    <m/>
    <m/>
    <m/>
    <m/>
    <m/>
    <n v="2"/>
    <n v="0"/>
    <n v="4"/>
    <n v="14792.390907999999"/>
    <n v="6380.3690290000004"/>
    <n v="0.43132777308835035"/>
    <s v="31% - 50%"/>
    <n v="1.8562898690887525E-4"/>
    <s v="N.D."/>
    <s v="N.D."/>
    <s v="N.D."/>
    <n v="0.9457903645448531"/>
    <s v="Aceptable"/>
    <n v="3"/>
    <s v="Candidato"/>
    <n v="0"/>
    <n v="0"/>
  </r>
  <r>
    <n v="5266"/>
    <s v="05266"/>
    <x v="1"/>
    <x v="1"/>
    <s v="ENVIGADO"/>
    <n v="93.383499999999998"/>
    <n v="80.680000000000007"/>
    <n v="87.94"/>
    <n v="95.41"/>
    <n v="77.919438136979181"/>
    <n v="75.80273504364591"/>
    <n v="76.199019212245545"/>
    <n v="70.456199999999995"/>
    <n v="89.353375"/>
    <n v="75.094348098217665"/>
    <n v="82.223861549108832"/>
    <n v="12.17196010155922"/>
    <n v="87.828039898440778"/>
    <n v="0.89045235908596698"/>
    <n v="0"/>
    <n v="73.216431489561884"/>
    <n v="1"/>
    <n v="1"/>
    <b v="1"/>
    <x v="0"/>
    <n v="81.997720949776749"/>
    <n v="0.88826716938097572"/>
    <n v="72.835883483749328"/>
    <n v="1"/>
    <n v="0"/>
    <n v="0.22614059933208353"/>
    <n v="2.1851897049912639E-3"/>
    <n v="0.38054800581255677"/>
    <n v="1"/>
    <b v="1"/>
    <n v="0"/>
    <n v="1.1166517821440873"/>
    <n v="91.562901230321771"/>
    <n v="0.97472936615396455"/>
    <n v="1"/>
    <n v="0"/>
    <n v="97.472936615396449"/>
    <n v="1"/>
    <n v="-0.22619942305812035"/>
    <b v="1"/>
    <n v="0"/>
    <n v="1"/>
    <n v="0"/>
    <n v="0"/>
    <n v="1"/>
    <n v="0"/>
    <n v="0"/>
    <n v="0"/>
    <s v="Ciudades y aglomeraciones"/>
    <n v="1"/>
    <s v="En aglomeración"/>
    <m/>
    <s v="Si"/>
    <s v="Si"/>
    <n v="4.9000000000000004"/>
    <n v="2.0670454438026451"/>
    <n v="1.339213995567228"/>
    <s v="Sin riesgo"/>
    <n v="0.33041781145211779"/>
    <s v="Medio Bajo"/>
    <n v="762668.06144299998"/>
    <n v="530111.49180139997"/>
    <n v="260430"/>
    <n v="2.9284954169757706"/>
    <n v="2.0355239096931994"/>
    <m/>
    <m/>
    <m/>
    <m/>
    <m/>
    <m/>
    <m/>
    <n v="2"/>
    <n v="0"/>
    <n v="4"/>
    <n v="8001.0062989999997"/>
    <n v="1544.3222430000001"/>
    <n v="0.19301600139885106"/>
    <s v="0% - 30%"/>
    <n v="4.4930155626729011E-5"/>
    <s v="N.D."/>
    <s v="N.D."/>
    <s v="N.D."/>
    <n v="0.96821628430712203"/>
    <s v="Aceptable"/>
    <n v="3"/>
    <s v="Candidato"/>
    <n v="0"/>
    <n v="0"/>
  </r>
  <r>
    <n v="76001"/>
    <s v="76001"/>
    <x v="3"/>
    <x v="3"/>
    <s v="CALI"/>
    <n v="90.782966666666695"/>
    <n v="81.900000000000006"/>
    <n v="80.239999999999995"/>
    <n v="84.08"/>
    <n v="70.70761459700897"/>
    <n v="65.960382286614475"/>
    <n v="69.60542878881175"/>
    <n v="58.291699999999999"/>
    <n v="84.25074166666667"/>
    <n v="66.141281418108804"/>
    <n v="75.196011542387737"/>
    <n v="16.770204755534699"/>
    <n v="83.229795244465294"/>
    <n v="0.84906815720018769"/>
    <n v="1"/>
    <n v="63.846538949099198"/>
    <s v="Ciudades grandes"/>
    <s v="Ciudades grandes"/>
    <b v="1"/>
    <x v="1"/>
    <n v="76.481529469624491"/>
    <n v="0.87226918873504766"/>
    <s v="Ciudades grandes"/>
    <s v="Ciudades grandes"/>
    <n v="0"/>
    <n v="-1.2855179272367536"/>
    <n v="-2.3201031534859973E-2"/>
    <n v="0"/>
    <n v="1"/>
    <b v="0"/>
    <n v="0"/>
    <s v="Especial"/>
    <s v="N.D."/>
    <s v="N.D."/>
    <s v="Ciudades grandes"/>
    <n v="0"/>
    <s v="N.D"/>
    <n v="2"/>
    <s v="N.D."/>
    <b v="0"/>
    <n v="0"/>
    <s v="Ciudades grandes"/>
    <n v="0"/>
    <n v="1"/>
    <n v="0"/>
    <n v="1"/>
    <n v="0"/>
    <n v="0"/>
    <s v="Ciudades y aglomeraciones"/>
    <s v="ESP"/>
    <s v="Centro aglomeración"/>
    <m/>
    <s v="Si"/>
    <s v="Si"/>
    <n v="11.9"/>
    <n v="4.1135926376777991"/>
    <n v="0.15222026056368498"/>
    <s v="Sin riesgo"/>
    <n v="5.2216833973735648"/>
    <s v="Medio Bajo"/>
    <n v="5753627.8807979999"/>
    <n v="2855396.2661481001"/>
    <n v="2280171"/>
    <n v="2.5233317504687149"/>
    <n v="1.2522728629335695"/>
    <m/>
    <m/>
    <m/>
    <m/>
    <m/>
    <m/>
    <m/>
    <n v="85"/>
    <n v="1"/>
    <n v="2"/>
    <n v="56413.858618999999"/>
    <n v="32012.456806999999"/>
    <n v="0.56745731617475836"/>
    <s v="51% - 70%"/>
    <n v="9.313630447608922E-4"/>
    <n v="46.047207"/>
    <n v="8.1623927395194085E-4"/>
    <n v="0"/>
    <n v="0.95380695691048567"/>
    <s v="Aceptable"/>
    <n v="2"/>
    <s v="Candidato"/>
    <n v="0"/>
    <n v="0"/>
  </r>
  <r>
    <n v="11001"/>
    <s v="11001"/>
    <x v="4"/>
    <x v="4"/>
    <s v="BOGOTÁ. D.C."/>
    <n v="98.415413629970601"/>
    <n v="93.83"/>
    <n v="97.57"/>
    <n v="97.22"/>
    <n v="85.778165683202474"/>
    <n v="79.421991990248301"/>
    <n v="90.065246221784676"/>
    <n v="77.038499999999999"/>
    <n v="96.758853407492637"/>
    <n v="83.075975973808866"/>
    <n v="89.917414690650759"/>
    <n v="16.294941753331521"/>
    <n v="83.705058246668472"/>
    <n v="0.8533455242200163"/>
    <n v="1"/>
    <n v="76.730623375701967"/>
    <s v="Bogotá"/>
    <s v="Bogotá"/>
    <b v="1"/>
    <x v="2"/>
    <n v="88.891538012556566"/>
    <n v="0.8741856996976346"/>
    <s v="Bogotá"/>
    <s v="Bogotá"/>
    <n v="0"/>
    <n v="1.0258766780941926"/>
    <n v="-2.0840175477618295E-2"/>
    <n v="0"/>
    <n v="1"/>
    <b v="0"/>
    <n v="0"/>
    <s v="Especial"/>
    <s v="N.D."/>
    <s v="N.D."/>
    <s v="Bogotá"/>
    <n v="0"/>
    <s v="N.D"/>
    <n v="1"/>
    <s v="N.D."/>
    <b v="0"/>
    <n v="0"/>
    <s v="Bogotá"/>
    <n v="0"/>
    <n v="1"/>
    <n v="0"/>
    <n v="1"/>
    <n v="0"/>
    <n v="0"/>
    <s v="Ciudades y aglomeraciones"/>
    <s v="ESP"/>
    <s v="Centro aglomeración"/>
    <m/>
    <s v="Si"/>
    <s v="Si"/>
    <n v="9"/>
    <n v="3.4711883561739638"/>
    <n v="2.3078607939310496"/>
    <s v="Sin riesgo"/>
    <n v="1.4185282205437935"/>
    <s v="Medio Bajo"/>
    <n v="25039940.850430999"/>
    <n v="16376496.4677286"/>
    <n v="7918660"/>
    <n v="3.1621437023980068"/>
    <n v="2.0680893570034073"/>
    <m/>
    <m/>
    <m/>
    <m/>
    <m/>
    <m/>
    <m/>
    <n v="94"/>
    <n v="1"/>
    <n v="1"/>
    <n v="161815.144248"/>
    <n v="106609.07283200001"/>
    <n v="0.65883248028138552"/>
    <s v="51% - 70%"/>
    <n v="3.1016598091976378E-3"/>
    <s v="N.D."/>
    <s v="N.D."/>
    <s v="N.D."/>
    <n v="0.93853589338382637"/>
    <s v="Aceptable"/>
    <n v="3"/>
    <s v="Candidato"/>
    <n v="0"/>
    <n v="0"/>
  </r>
  <r>
    <n v="25754"/>
    <s v="25754"/>
    <x v="5"/>
    <x v="5"/>
    <s v="SOACHA"/>
    <n v="82.064466666666704"/>
    <n v="83.95"/>
    <n v="62.99"/>
    <n v="65.709999999999994"/>
    <n v="43.553512162953325"/>
    <n v="58.346971433530641"/>
    <n v="68.957333628555546"/>
    <n v="56.042700000000004"/>
    <n v="73.67861666666667"/>
    <n v="56.72512930625988"/>
    <n v="65.201872986463272"/>
    <n v="16.840637597116462"/>
    <n v="83.159362402883545"/>
    <n v="0.84843426162595181"/>
    <n v="0"/>
    <n v="55.319502963899062"/>
    <n v="1"/>
    <n v="1"/>
    <b v="1"/>
    <x v="0"/>
    <n v="66.017686825073099"/>
    <n v="0.86433660379131771"/>
    <n v="57.061503220542505"/>
    <n v="1"/>
    <n v="0"/>
    <n v="-0.81581383860982726"/>
    <n v="-1.5902342165365901E-2"/>
    <n v="-1.7420002566434434"/>
    <n v="1"/>
    <b v="1"/>
    <n v="0"/>
    <n v="1.1166517821440873"/>
    <n v="73.718767646248111"/>
    <n v="0.75151806450696568"/>
    <n v="1"/>
    <n v="0"/>
    <n v="75.151806450696569"/>
    <n v="2"/>
    <n v="-0.26821752051813552"/>
    <b v="0"/>
    <n v="0"/>
    <n v="1"/>
    <n v="0"/>
    <n v="0"/>
    <n v="1"/>
    <n v="0"/>
    <n v="0"/>
    <n v="0"/>
    <s v="Ciudades y aglomeraciones"/>
    <n v="1"/>
    <s v="En aglomeración"/>
    <m/>
    <s v="Si"/>
    <s v="No"/>
    <n v="14.1"/>
    <n v="5.3658059953347559"/>
    <n v="0.90768721217720827"/>
    <s v="Sin riesgo"/>
    <n v="1.9036495652397969"/>
    <s v="Medio Bajo"/>
    <n v="969025.91990700003"/>
    <n v="281812.76825949998"/>
    <n v="842579"/>
    <n v="1.150071292907846"/>
    <n v="0.33446450511999465"/>
    <m/>
    <m/>
    <m/>
    <m/>
    <m/>
    <m/>
    <m/>
    <n v="94"/>
    <n v="0"/>
    <n v="4"/>
    <n v="18723.217574999999"/>
    <n v="8799.2317540000004"/>
    <n v="0.46996365441744864"/>
    <s v="31% - 50%"/>
    <n v="2.5600282188182905E-4"/>
    <s v="N.D."/>
    <s v="N.D."/>
    <s v="N.D."/>
    <n v="0.8211781077604321"/>
    <s v="Crítico bajo"/>
    <n v="2"/>
    <s v="Candidato"/>
    <n v="0"/>
    <n v="0"/>
  </r>
  <r>
    <n v="68001"/>
    <s v="68001"/>
    <x v="0"/>
    <x v="0"/>
    <s v="BUCARAMANGA"/>
    <n v="82.215433333333294"/>
    <n v="93.63"/>
    <n v="91.71"/>
    <n v="84.6"/>
    <n v="61.338595252757287"/>
    <n v="73.367856106440854"/>
    <n v="76.140322745256881"/>
    <n v="62.861199999999997"/>
    <n v="88.038858333333309"/>
    <n v="68.426993526113748"/>
    <n v="78.232925929723535"/>
    <n v="17.60388028955883"/>
    <n v="82.39611971044117"/>
    <n v="0.84156507739397057"/>
    <n v="1"/>
    <n v="65.838098364804551"/>
    <s v="Ciudades grandes"/>
    <s v="Ciudades grandes"/>
    <b v="1"/>
    <x v="1"/>
    <n v="75.767384686649478"/>
    <n v="0.86121840663019522"/>
    <s v="Ciudades grandes"/>
    <s v="Ciudades grandes"/>
    <n v="0"/>
    <n v="2.4655412430740569"/>
    <n v="-1.9653329236224648E-2"/>
    <n v="0"/>
    <n v="1"/>
    <b v="0"/>
    <n v="0"/>
    <s v="Especial"/>
    <s v="N.D."/>
    <s v="N.D."/>
    <s v="Ciudades grandes"/>
    <n v="0"/>
    <s v="N.D"/>
    <n v="1"/>
    <s v="N.D."/>
    <b v="0"/>
    <n v="0"/>
    <s v="Ciudades grandes"/>
    <n v="0"/>
    <n v="1"/>
    <n v="0"/>
    <n v="0"/>
    <n v="0"/>
    <n v="0"/>
    <s v="Ciudades y aglomeraciones"/>
    <s v="ESP"/>
    <s v="Centro aglomeración"/>
    <m/>
    <s v="Si"/>
    <s v="Si"/>
    <n v="14.2"/>
    <n v="5.5585698838040143"/>
    <n v="1.4954255319148935"/>
    <s v="Sin riesgo"/>
    <n v="1.7841688900591901"/>
    <s v="Medio Bajo"/>
    <n v="1722515.8432829999"/>
    <n v="805161.87898069993"/>
    <n v="615463"/>
    <n v="2.7987317568773427"/>
    <n v="1.3082214186404379"/>
    <m/>
    <m/>
    <m/>
    <m/>
    <m/>
    <m/>
    <m/>
    <n v="39"/>
    <n v="1"/>
    <n v="2"/>
    <n v="15323.482271000001"/>
    <n v="10092.960034"/>
    <n v="0.65865968684553711"/>
    <s v="51% - 70%"/>
    <n v="2.9364225446953956E-4"/>
    <s v="N.D."/>
    <s v="N.D."/>
    <s v="N.D."/>
    <n v="0.94766423094803476"/>
    <s v="Aceptable"/>
    <n v="3"/>
    <s v="Candidato"/>
    <n v="0"/>
    <n v="0"/>
  </r>
  <r>
    <n v="66170"/>
    <s v="66170"/>
    <x v="6"/>
    <x v="6"/>
    <s v="DOSQUEBRADAS"/>
    <n v="82.241"/>
    <n v="81.239999999999995"/>
    <n v="86.36"/>
    <n v="91.37"/>
    <n v="62.410350080476761"/>
    <n v="58.520621074417363"/>
    <n v="60.452727085604856"/>
    <n v="49.869399999999999"/>
    <n v="85.302750000000003"/>
    <n v="57.813274560124739"/>
    <n v="71.558012280062371"/>
    <n v="18.254955059406182"/>
    <n v="81.745044940593814"/>
    <n v="0.83570540446534436"/>
    <n v="0"/>
    <n v="59.801417595245603"/>
    <n v="1"/>
    <n v="1"/>
    <b v="1"/>
    <x v="0"/>
    <n v="70.088424052376823"/>
    <n v="0.85723305570627906"/>
    <n v="60.08211392005645"/>
    <n v="1"/>
    <n v="0"/>
    <n v="1.4695882276855485"/>
    <n v="-2.1527651240934698E-2"/>
    <n v="-0.28069632481084739"/>
    <n v="1"/>
    <b v="1"/>
    <n v="0"/>
    <n v="1.1166517821440873"/>
    <n v="78.264363625757099"/>
    <n v="0.80837867870081737"/>
    <n v="1"/>
    <n v="0"/>
    <n v="80.837867870081737"/>
    <n v="2"/>
    <n v="-0.28094637767874298"/>
    <b v="0"/>
    <n v="0"/>
    <n v="1"/>
    <n v="0"/>
    <n v="0"/>
    <n v="1"/>
    <n v="0"/>
    <n v="0"/>
    <n v="0"/>
    <s v="Ciudades y aglomeraciones"/>
    <n v="2"/>
    <s v="En aglomeración"/>
    <m/>
    <s v="Si"/>
    <s v="Si"/>
    <n v="13.7"/>
    <n v="4.3474455410880974"/>
    <n v="6.3063772681174148"/>
    <s v="Bajo"/>
    <n v="2.3753857932392424"/>
    <s v="Medio Bajo"/>
    <n v="479120.61067299999"/>
    <n v="143424.08215500001"/>
    <n v="240061"/>
    <n v="1.9958286047004719"/>
    <n v="0.59744849082108298"/>
    <m/>
    <m/>
    <m/>
    <m/>
    <m/>
    <m/>
    <m/>
    <n v="49"/>
    <n v="0"/>
    <n v="5"/>
    <n v="6997.4435190000004"/>
    <n v="3752.8433150000001"/>
    <n v="0.53631634250565785"/>
    <s v="51% - 70%"/>
    <n v="1.0918435899629764E-4"/>
    <s v="N.D."/>
    <s v="N.D."/>
    <s v="N.D."/>
    <n v="0.86843241462364951"/>
    <s v="Aceptable"/>
    <n v="2"/>
    <s v="Candidato"/>
    <n v="0"/>
    <n v="0"/>
  </r>
  <r>
    <n v="5380"/>
    <s v="05380"/>
    <x v="1"/>
    <x v="1"/>
    <s v="LA ESTRELLA"/>
    <n v="73.229633333333297"/>
    <n v="74.87"/>
    <n v="77.88"/>
    <n v="80.52"/>
    <n v="79.786719584831474"/>
    <n v="68.636060495332089"/>
    <n v="75.340860685867156"/>
    <n v="64.322000000000003"/>
    <n v="76.624908333333323"/>
    <n v="72.021410191507684"/>
    <n v="74.323159262420504"/>
    <n v="16.293976352412201"/>
    <n v="83.706023647587799"/>
    <n v="0.85335421282829016"/>
    <n v="0"/>
    <n v="63.423981067294491"/>
    <n v="1"/>
    <n v="1"/>
    <b v="1"/>
    <x v="0"/>
    <n v="73.627079656112414"/>
    <n v="0.8471553857948052"/>
    <n v="62.373577071018765"/>
    <n v="1"/>
    <n v="0"/>
    <n v="0.69607960630808918"/>
    <n v="6.1988270334849549E-3"/>
    <n v="1.0504039962757261"/>
    <n v="1"/>
    <b v="1"/>
    <n v="0"/>
    <n v="1.1166517821440873"/>
    <n v="82.215809712062608"/>
    <n v="0.85780710402371496"/>
    <n v="1"/>
    <n v="0"/>
    <n v="85.780710402371497"/>
    <n v="2"/>
    <n v="-0.26329756931579718"/>
    <b v="0"/>
    <n v="0"/>
    <n v="1"/>
    <n v="0"/>
    <n v="0"/>
    <n v="1"/>
    <n v="0"/>
    <n v="0"/>
    <n v="0"/>
    <s v="Ciudades y aglomeraciones"/>
    <n v="2"/>
    <s v="En aglomeración"/>
    <m/>
    <s v="Si"/>
    <s v="Si"/>
    <n v="9.1999999999999993"/>
    <n v="3.5133279603593923"/>
    <n v="2.1710670633753799"/>
    <s v="Sin riesgo"/>
    <n v="7.3095313967786941"/>
    <s v="Medio"/>
    <n v="198389.94041800001"/>
    <n v="132405.86934930002"/>
    <n v="81925"/>
    <n v="2.4216043993652732"/>
    <n v="1.6161839407909675"/>
    <m/>
    <m/>
    <m/>
    <m/>
    <m/>
    <m/>
    <m/>
    <n v="2"/>
    <n v="0"/>
    <n v="6"/>
    <n v="3683.8446509999999"/>
    <n v="1734.0469499999999"/>
    <n v="0.470716632833386"/>
    <s v="31% - 50%"/>
    <n v="5.0449962551989724E-5"/>
    <s v="N.D."/>
    <s v="N.D."/>
    <s v="N.D."/>
    <n v="0.72704991092992266"/>
    <s v="Crítico Medio"/>
    <n v="2"/>
    <s v="Candidato"/>
    <n v="0"/>
    <n v="0"/>
  </r>
  <r>
    <n v="63001"/>
    <s v="63001"/>
    <x v="7"/>
    <x v="7"/>
    <s v="ARMENIA"/>
    <n v="80.838899999999995"/>
    <n v="73.58"/>
    <n v="71.02"/>
    <n v="73.75"/>
    <n v="55.589241951223649"/>
    <n v="59.478834146350508"/>
    <n v="72.671761002416531"/>
    <n v="62.229700000000001"/>
    <n v="74.797224999999997"/>
    <n v="62.492384274997676"/>
    <n v="68.644804637498837"/>
    <n v="21.415439754618351"/>
    <n v="78.584560245381653"/>
    <n v="0.80726104220843486"/>
    <n v="0"/>
    <n v="55.414276533861717"/>
    <n v="1"/>
    <n v="1"/>
    <b v="1"/>
    <x v="0"/>
    <n v="68.110528439319793"/>
    <n v="0.829570972197338"/>
    <n v="56.502517294280956"/>
    <n v="1"/>
    <n v="0"/>
    <n v="0.53427619817904315"/>
    <n v="-2.2309929988903132E-2"/>
    <n v="-1.0882407604192395"/>
    <n v="1"/>
    <b v="1"/>
    <n v="0"/>
    <s v="Especial"/>
    <s v="N.D."/>
    <s v="N.D."/>
    <s v="SC- Centro aglomeración"/>
    <n v="1"/>
    <s v="N.D"/>
    <n v="2"/>
    <s v="N.D."/>
    <b v="0"/>
    <s v="Cambio en corte"/>
    <s v="SC- Centro aglomeración"/>
    <n v="1"/>
    <n v="1"/>
    <n v="0"/>
    <n v="0"/>
    <n v="0"/>
    <n v="0"/>
    <s v="Ciudades y aglomeraciones"/>
    <n v="1"/>
    <s v="Centro aglomeración"/>
    <m/>
    <s v="Si"/>
    <s v="Si"/>
    <n v="14.4"/>
    <n v="5.376065222870376"/>
    <n v="0.14577673622039905"/>
    <s v="Sin riesgo"/>
    <n v="2.2051582336938749"/>
    <s v="Medio Bajo"/>
    <n v="743381.67003299994"/>
    <n v="258841.91776099999"/>
    <n v="305676"/>
    <n v="2.4319268442174065"/>
    <n v="0.84678521624530545"/>
    <m/>
    <m/>
    <m/>
    <m/>
    <m/>
    <m/>
    <m/>
    <n v="16"/>
    <n v="1"/>
    <n v="3"/>
    <n v="12093.041995"/>
    <n v="2370.4218810000002"/>
    <n v="0.1960153518014803"/>
    <s v="0% - 30%"/>
    <n v="6.896450821522858E-5"/>
    <s v="N.D."/>
    <s v="N.D."/>
    <s v="N.D."/>
    <n v="0.72618335175239712"/>
    <s v="Crítico Medio"/>
    <n v="2"/>
    <s v="Candidato"/>
    <n v="0"/>
    <n v="0"/>
  </r>
  <r>
    <n v="5212"/>
    <s v="05212"/>
    <x v="1"/>
    <x v="1"/>
    <s v="COPACABANA"/>
    <n v="73.544300000000007"/>
    <n v="84.79"/>
    <n v="76.7"/>
    <n v="77.69"/>
    <n v="56.744030513408632"/>
    <n v="62.162810269285885"/>
    <n v="74.514956697836098"/>
    <n v="75.340800000000002"/>
    <n v="78.181075000000007"/>
    <n v="67.190649370132661"/>
    <n v="72.685862185066327"/>
    <n v="21.220251573315611"/>
    <n v="78.779748426684392"/>
    <n v="0.80901773584015957"/>
    <n v="0"/>
    <n v="58.804151652552235"/>
    <n v="1"/>
    <n v="1"/>
    <b v="1"/>
    <x v="0"/>
    <n v="69.841272144912423"/>
    <n v="0.81140164783166435"/>
    <n v="56.669323305041658"/>
    <n v="1"/>
    <n v="0"/>
    <n v="2.8445900401539035"/>
    <n v="-2.3839119915047835E-3"/>
    <n v="2.1348283475105774"/>
    <n v="1"/>
    <b v="1"/>
    <n v="0"/>
    <n v="1.1166517821440873"/>
    <n v="77.988381007826661"/>
    <n v="0.80492642706360817"/>
    <n v="1"/>
    <n v="0"/>
    <n v="80.492642706360812"/>
    <n v="2"/>
    <n v="-0.30763404630392777"/>
    <b v="0"/>
    <n v="0"/>
    <n v="1"/>
    <n v="0"/>
    <n v="0"/>
    <n v="1"/>
    <n v="0"/>
    <n v="0"/>
    <n v="0"/>
    <s v="Ciudades y aglomeraciones"/>
    <n v="3"/>
    <s v="En aglomeración"/>
    <m/>
    <s v="No"/>
    <s v="Si"/>
    <n v="11.6"/>
    <n v="3.8079339625121587"/>
    <n v="3.932324799417477"/>
    <s v="Sin riesgo"/>
    <n v="10.157192131701784"/>
    <s v="Medio"/>
    <n v="111714.974285"/>
    <n v="66683.221011500005"/>
    <n v="89546"/>
    <n v="1.2475707936144551"/>
    <n v="0.74468118075067569"/>
    <m/>
    <m/>
    <m/>
    <m/>
    <m/>
    <m/>
    <m/>
    <n v="2"/>
    <n v="0"/>
    <n v="6"/>
    <n v="6792.4347200000002"/>
    <n v="965.91143999999997"/>
    <n v="0.14220400781415238"/>
    <s v="0% - 30%"/>
    <n v="2.8102004952367909E-5"/>
    <s v="N.D."/>
    <s v="N.D."/>
    <s v="N.D."/>
    <n v="0.95288753391042014"/>
    <s v="Aceptable"/>
    <n v="3"/>
    <s v="Candidato"/>
    <n v="0"/>
    <n v="0"/>
  </r>
  <r>
    <n v="13001"/>
    <s v="13001"/>
    <x v="8"/>
    <x v="8"/>
    <s v="CARTAGENA"/>
    <n v="74.895200000000003"/>
    <n v="83.93"/>
    <n v="87.68"/>
    <n v="95.43"/>
    <n v="50.389288136943634"/>
    <n v="62.995235603873802"/>
    <n v="59.246471070715515"/>
    <n v="63.357500000000002"/>
    <n v="85.483800000000002"/>
    <n v="58.997123702883243"/>
    <n v="72.240461851441623"/>
    <n v="23.24767286625692"/>
    <n v="76.75232713374308"/>
    <n v="0.79077094420368776"/>
    <n v="1"/>
    <n v="57.125658227974981"/>
    <s v="Ciudades grandes"/>
    <s v="Ciudades grandes"/>
    <b v="1"/>
    <x v="1"/>
    <n v="66.707502873099685"/>
    <n v="0.80810208247355519"/>
    <s v="Ciudades grandes"/>
    <s v="Ciudades grandes"/>
    <n v="0"/>
    <n v="5.532958978341938"/>
    <n v="-1.733113826986743E-2"/>
    <n v="0"/>
    <n v="1"/>
    <b v="0"/>
    <n v="0"/>
    <s v="Especial"/>
    <s v="N.D."/>
    <s v="N.D."/>
    <s v="Ciudades grandes"/>
    <n v="0"/>
    <s v="N.D"/>
    <n v="2"/>
    <s v="N.D."/>
    <b v="0"/>
    <n v="0"/>
    <s v="Ciudades grandes"/>
    <n v="0"/>
    <n v="1"/>
    <n v="0"/>
    <n v="1"/>
    <n v="0"/>
    <n v="0"/>
    <s v="Ciudades y aglomeraciones"/>
    <s v="ESP"/>
    <s v="Centro aglomeración"/>
    <m/>
    <s v="Si"/>
    <s v="Si"/>
    <n v="19.899999999999999"/>
    <n v="12.489537193298375"/>
    <n v="2.8556486946520816"/>
    <s v="Sin riesgo"/>
    <n v="3.5309754969960374"/>
    <s v="Medio Bajo"/>
    <n v="3574723.968901"/>
    <n v="1558447.8008623999"/>
    <n v="1010408"/>
    <n v="3.537901490191091"/>
    <n v="1.5423945582996175"/>
    <m/>
    <m/>
    <m/>
    <m/>
    <m/>
    <m/>
    <m/>
    <n v="48"/>
    <n v="1"/>
    <n v="2"/>
    <n v="56713.609632"/>
    <n v="5352.3425630000002"/>
    <n v="9.4374923369010932E-2"/>
    <s v="0% - 30%"/>
    <n v="1.5571982169731375E-4"/>
    <n v="366.79110900000001"/>
    <n v="6.4674266261663298E-3"/>
    <s v="0% - 30%"/>
    <n v="0.95627341851762737"/>
    <s v="Aceptable"/>
    <n v="3"/>
    <s v="Candidato"/>
    <n v="0"/>
    <n v="0"/>
  </r>
  <r>
    <n v="25175"/>
    <s v="25175"/>
    <x v="5"/>
    <x v="5"/>
    <s v="CHÍA"/>
    <n v="74.293400000000005"/>
    <n v="74.31"/>
    <n v="69.56"/>
    <n v="72.83"/>
    <n v="56.333168428156796"/>
    <n v="54.103281455242339"/>
    <n v="65.948572006954805"/>
    <n v="59.270499999999998"/>
    <n v="72.748350000000002"/>
    <n v="58.913880472588481"/>
    <n v="65.831115236294238"/>
    <n v="23.604372197885652"/>
    <n v="76.395627802114348"/>
    <n v="0.78756065021902921"/>
    <n v="0"/>
    <n v="51.845995920139728"/>
    <n v="2"/>
    <n v="2"/>
    <b v="1"/>
    <x v="0"/>
    <n v="66.375845824017063"/>
    <n v="0.80122074977989099"/>
    <n v="53.181704958393397"/>
    <n v="1"/>
    <n v="0"/>
    <n v="-0.54473058772282457"/>
    <n v="-1.3660099560861783E-2"/>
    <n v="-1.3357090382536683"/>
    <n v="1"/>
    <b v="1"/>
    <n v="0"/>
    <n v="1.1166517821440873"/>
    <n v="74.118706530709829"/>
    <n v="0.75652087837626025"/>
    <n v="1"/>
    <n v="0"/>
    <n v="75.652087837626027"/>
    <n v="2"/>
    <n v="-0.32909113192505812"/>
    <b v="0"/>
    <n v="0"/>
    <n v="1"/>
    <n v="0"/>
    <n v="0"/>
    <n v="1"/>
    <n v="0"/>
    <n v="0"/>
    <n v="0"/>
    <s v="Ciudades y aglomeraciones"/>
    <n v="1"/>
    <s v="En aglomeración"/>
    <m/>
    <s v="Si"/>
    <s v="No"/>
    <n v="6.7"/>
    <n v="3.0375991239039091"/>
    <n v="3.7937008071309326"/>
    <s v="Sin riesgo"/>
    <n v="0.76363109824533026"/>
    <s v="Medio Bajo"/>
    <n v="414458.05768700002"/>
    <n v="269296.48476690002"/>
    <n v="169539"/>
    <n v="2.444617802906706"/>
    <n v="1.5884043480668166"/>
    <m/>
    <m/>
    <m/>
    <m/>
    <m/>
    <m/>
    <m/>
    <n v="94"/>
    <n v="0"/>
    <n v="5"/>
    <n v="8005.1592899999996"/>
    <n v="1423.1116019999999"/>
    <n v="0.17777430160293536"/>
    <s v="0% - 30%"/>
    <n v="4.1403681156500463E-5"/>
    <n v="196.579317"/>
    <n v="2.4556577811707732E-2"/>
    <s v="0% - 30%"/>
    <n v="0.95762169859897295"/>
    <s v="Aceptable"/>
    <n v="2"/>
    <s v="Candidato"/>
    <n v="0"/>
    <n v="0"/>
  </r>
  <r>
    <n v="8433"/>
    <s v="08433"/>
    <x v="2"/>
    <x v="2"/>
    <s v="MALAMBO"/>
    <n v="64.637733333333301"/>
    <n v="71.83"/>
    <n v="43.63"/>
    <n v="44.85"/>
    <n v="44.3830130672427"/>
    <n v="46.902502303824747"/>
    <n v="45.188416240799057"/>
    <n v="43.369399999999999"/>
    <n v="56.236933333333319"/>
    <n v="44.960832902966629"/>
    <n v="50.598883118149971"/>
    <n v="23.60242966398684"/>
    <n v="76.39757033601316"/>
    <n v="0.7875781330241185"/>
    <n v="0"/>
    <n v="39.850573899298141"/>
    <n v="2"/>
    <n v="2"/>
    <b v="1"/>
    <x v="3"/>
    <n v="53.445001695512886"/>
    <n v="0.80223917997900296"/>
    <n v="42.87567433418468"/>
    <n v="2"/>
    <n v="0"/>
    <n v="-2.8461185773629154"/>
    <n v="-1.466104695488446E-2"/>
    <n v="-3.0251004348865393"/>
    <n v="2"/>
    <b v="1"/>
    <n v="0"/>
    <n v="1.1166517821440873"/>
    <n v="59.679456389988232"/>
    <n v="0.57590107952014258"/>
    <n v="2"/>
    <n v="0"/>
    <n v="57.590107952014257"/>
    <n v="3"/>
    <n v="-0.32907364911996884"/>
    <b v="0"/>
    <n v="0"/>
    <n v="1"/>
    <n v="-1"/>
    <n v="0"/>
    <n v="0"/>
    <n v="0"/>
    <n v="0"/>
    <n v="0"/>
    <s v="Ciudades y aglomeraciones"/>
    <n v="3"/>
    <s v="En aglomeración"/>
    <m/>
    <s v="Si"/>
    <s v="No"/>
    <n v="30"/>
    <n v="12.915190803983158"/>
    <n v="2.2374719485932615"/>
    <s v="Sin riesgo"/>
    <n v="5.3011232313287149"/>
    <s v="Medio Bajo"/>
    <n v="279848.138981"/>
    <n v="55254.932220000002"/>
    <n v="149019"/>
    <n v="1.877935961058657"/>
    <n v="0.37079118917721904"/>
    <m/>
    <m/>
    <m/>
    <m/>
    <m/>
    <m/>
    <m/>
    <n v="5"/>
    <n v="0"/>
    <n v="5"/>
    <n v="9818.9817129999992"/>
    <n v="182.03521599999999"/>
    <n v="1.8539113456030938E-2"/>
    <s v="0% - 30%"/>
    <n v="5.2960906452638786E-6"/>
    <s v="N.D."/>
    <s v="N.D."/>
    <s v="N.D."/>
    <n v="0.69827988245447858"/>
    <s v="Crítico Medio"/>
    <n v="0"/>
    <s v="Candidato"/>
    <n v="0"/>
    <n v="0"/>
  </r>
  <r>
    <n v="25126"/>
    <s v="25126"/>
    <x v="5"/>
    <x v="5"/>
    <s v="CAJICÁ"/>
    <n v="97.266999999999996"/>
    <n v="69.92"/>
    <n v="74.760000000000005"/>
    <n v="78.19"/>
    <n v="58.649205860033739"/>
    <n v="65.104106113408875"/>
    <n v="72.752293922325251"/>
    <n v="61.311900000000001"/>
    <n v="80.03425"/>
    <n v="64.454376473941963"/>
    <n v="72.244313236970982"/>
    <n v="23.036470229695734"/>
    <n v="76.963529770304262"/>
    <n v="0.7926717679327383"/>
    <n v="0"/>
    <n v="57.266027496636319"/>
    <n v="1"/>
    <n v="1"/>
    <b v="1"/>
    <x v="0"/>
    <n v="75.611344370980234"/>
    <n v="0.79700193971093336"/>
    <n v="60.262388127822611"/>
    <n v="1"/>
    <n v="0"/>
    <n v="-3.3670311340092525"/>
    <n v="-4.3301717781950577E-3"/>
    <n v="-2.9963606311862918"/>
    <n v="1"/>
    <b v="1"/>
    <n v="0"/>
    <n v="1.1166517821440873"/>
    <n v="84.43154244216538"/>
    <n v="0.88552358487485139"/>
    <n v="1"/>
    <n v="0"/>
    <n v="88.552358487485137"/>
    <n v="2"/>
    <n v="-0.32398001421134903"/>
    <b v="0"/>
    <n v="0"/>
    <n v="1"/>
    <n v="0"/>
    <n v="0"/>
    <n v="1"/>
    <n v="0"/>
    <n v="0"/>
    <n v="0"/>
    <s v="Ciudades y aglomeraciones"/>
    <n v="2"/>
    <s v="En aglomeración"/>
    <m/>
    <s v="No"/>
    <s v="Si"/>
    <n v="6.8"/>
    <n v="3.2048575756823205"/>
    <n v="4.6743161460486027"/>
    <s v="Sin riesgo"/>
    <n v="0.43223863587430744"/>
    <s v="Medio Bajo"/>
    <n v="173596.657496"/>
    <n v="132891.961656"/>
    <n v="118870"/>
    <n v="1.4603908260789098"/>
    <n v="1.1179604749390091"/>
    <m/>
    <m/>
    <m/>
    <m/>
    <m/>
    <m/>
    <m/>
    <n v="94"/>
    <n v="0"/>
    <n v="6"/>
    <n v="5125.63177"/>
    <n v="801.17987700000003"/>
    <n v="0.15630851238461088"/>
    <s v="0% - 30%"/>
    <n v="2.3309342801853049E-5"/>
    <s v="N.D."/>
    <s v="N.D."/>
    <s v="N.D."/>
    <n v="0.94195607898142386"/>
    <s v="Aceptable"/>
    <n v="3"/>
    <s v="Candidato"/>
    <n v="0"/>
    <n v="0"/>
  </r>
  <r>
    <n v="25286"/>
    <s v="25286"/>
    <x v="5"/>
    <x v="5"/>
    <s v="FUNZA"/>
    <n v="75.839833333333303"/>
    <n v="95.18"/>
    <n v="97.75"/>
    <n v="98.09"/>
    <n v="62.085722877350975"/>
    <n v="67.479381106820711"/>
    <n v="71.531562771808822"/>
    <n v="68.365300000000005"/>
    <n v="91.714958333333328"/>
    <n v="67.365491688995121"/>
    <n v="79.540225011164225"/>
    <n v="24.485001817214162"/>
    <n v="75.514998182785831"/>
    <n v="0.77963498364507244"/>
    <n v="0"/>
    <n v="62.012342025704399"/>
    <n v="1"/>
    <n v="1"/>
    <b v="1"/>
    <x v="0"/>
    <n v="74.595592664992409"/>
    <n v="0.79649550187646823"/>
    <n v="59.415054017475718"/>
    <n v="1"/>
    <n v="0"/>
    <n v="4.9446323461718151"/>
    <n v="-1.6860518231395782E-2"/>
    <n v="2.5972880082286807"/>
    <n v="1"/>
    <b v="1"/>
    <n v="0"/>
    <n v="1.1166517821440873"/>
    <n v="83.297301489458178"/>
    <n v="0.87133542615914483"/>
    <n v="1"/>
    <n v="0"/>
    <n v="87.133542615914479"/>
    <n v="2"/>
    <n v="-0.33701679849901489"/>
    <b v="0"/>
    <n v="0"/>
    <n v="1"/>
    <n v="0"/>
    <n v="0"/>
    <n v="1"/>
    <n v="0"/>
    <n v="0"/>
    <n v="0"/>
    <s v="Ciudades y aglomeraciones"/>
    <n v="1"/>
    <s v="En aglomeración"/>
    <m/>
    <s v="Si"/>
    <s v="No"/>
    <n v="7.8"/>
    <n v="3.3594353148781293"/>
    <n v="1.5404632611121235E-2"/>
    <s v="Sin riesgo"/>
    <n v="1.0668458468904187"/>
    <s v="Medio Bajo"/>
    <n v="389363.50822999998"/>
    <n v="235592.68364214999"/>
    <n v="118457"/>
    <n v="3.2869607387490816"/>
    <n v="1.9888456034016562"/>
    <m/>
    <m/>
    <m/>
    <m/>
    <m/>
    <m/>
    <m/>
    <n v="59"/>
    <n v="0"/>
    <n v="4"/>
    <n v="6997.2625740000003"/>
    <n v="1453.177557"/>
    <n v="0.2076780085971946"/>
    <s v="0% - 30%"/>
    <n v="4.2278413126035549E-5"/>
    <s v="N.D."/>
    <s v="N.D."/>
    <s v="N.D."/>
    <n v="0.93141659314924086"/>
    <s v="Aceptable"/>
    <n v="3"/>
    <s v="Candidato"/>
    <n v="0"/>
    <n v="0"/>
  </r>
  <r>
    <n v="25473"/>
    <s v="25473"/>
    <x v="5"/>
    <x v="5"/>
    <s v="MOSQUERA"/>
    <n v="97.808199999999999"/>
    <n v="92.25"/>
    <n v="85.48"/>
    <n v="91.77"/>
    <n v="76.888314628730058"/>
    <n v="75.994803223378881"/>
    <n v="75.743822098711831"/>
    <n v="62.325499999999998"/>
    <n v="91.82705"/>
    <n v="72.738109987705187"/>
    <n v="82.282579993852593"/>
    <n v="24.626329200965646"/>
    <n v="75.373670799034358"/>
    <n v="0.77836303719130917"/>
    <n v="0"/>
    <n v="64.045718871951962"/>
    <n v="1"/>
    <n v="1"/>
    <b v="1"/>
    <x v="0"/>
    <n v="82.360859031478341"/>
    <n v="0.78621566390722597"/>
    <n v="64.753397463403189"/>
    <n v="1"/>
    <n v="0"/>
    <n v="-7.827903762574806E-2"/>
    <n v="-7.8526267159167995E-3"/>
    <n v="-0.70767859145122713"/>
    <n v="1"/>
    <b v="1"/>
    <n v="0"/>
    <n v="1.1166517821440873"/>
    <n v="91.968400016418244"/>
    <n v="0.97980172853202119"/>
    <n v="1"/>
    <n v="0"/>
    <n v="97.98017285320212"/>
    <n v="2"/>
    <n v="-0.33828874495277816"/>
    <b v="0"/>
    <n v="0"/>
    <n v="1"/>
    <n v="0"/>
    <n v="0"/>
    <n v="1"/>
    <n v="0"/>
    <n v="0"/>
    <n v="0"/>
    <s v="Ciudades y aglomeraciones"/>
    <n v="1"/>
    <s v="En aglomeración"/>
    <m/>
    <s v="Si"/>
    <s v="Si"/>
    <n v="9.6"/>
    <n v="3.4559279950341404"/>
    <n v="1.8861904761904758"/>
    <s v="Sin riesgo"/>
    <n v="2.2292318270563727"/>
    <s v="Medio Bajo"/>
    <n v="310257.45326400001"/>
    <n v="172257.98978665"/>
    <n v="173675"/>
    <n v="1.7864255262069959"/>
    <n v="0.99184102367439175"/>
    <m/>
    <m/>
    <m/>
    <m/>
    <m/>
    <m/>
    <m/>
    <n v="59"/>
    <n v="0"/>
    <n v="4"/>
    <n v="10601.016884000001"/>
    <n v="1658.9708290000001"/>
    <n v="0.15649166935144371"/>
    <s v="0% - 30%"/>
    <n v="4.8265715180257002E-5"/>
    <s v="N.D."/>
    <s v="N.D."/>
    <s v="N.D."/>
    <n v="0.95579051522793645"/>
    <s v="Aceptable"/>
    <n v="3"/>
    <s v="Candidato"/>
    <n v="0"/>
    <n v="0"/>
  </r>
  <r>
    <n v="70001"/>
    <s v="70001"/>
    <x v="9"/>
    <x v="9"/>
    <s v="SINCELEJO"/>
    <n v="72.725300000000004"/>
    <n v="64.849999999999994"/>
    <n v="44.65"/>
    <n v="52.61"/>
    <n v="50.099772758574538"/>
    <n v="45.330025167192971"/>
    <n v="47.609172278552045"/>
    <n v="54.1145"/>
    <n v="58.708825000000004"/>
    <n v="49.288367551079887"/>
    <n v="53.998596275539946"/>
    <n v="26.698033328550093"/>
    <n v="73.301966671449904"/>
    <n v="0.75971770004304917"/>
    <n v="0"/>
    <n v="41.023689368006366"/>
    <n v="2"/>
    <n v="2"/>
    <b v="1"/>
    <x v="3"/>
    <n v="55.469139208647299"/>
    <n v="0.77465180859232785"/>
    <n v="42.969269009038236"/>
    <n v="2"/>
    <n v="0"/>
    <n v="-1.4705429331073532"/>
    <n v="-1.493410854927868E-2"/>
    <n v="-1.9455796410318698"/>
    <n v="2"/>
    <b v="1"/>
    <n v="0"/>
    <n v="1.1166517821440873"/>
    <n v="61.939713151334473"/>
    <n v="0.60417450906938197"/>
    <n v="2"/>
    <n v="0"/>
    <n v="60.4174509069382"/>
    <n v="3"/>
    <n v="-0.35693408210103816"/>
    <b v="0"/>
    <n v="0"/>
    <n v="1"/>
    <n v="-1"/>
    <n v="1"/>
    <n v="0"/>
    <n v="0"/>
    <n v="0"/>
    <n v="0"/>
    <s v="Ciudades y aglomeraciones"/>
    <n v="2"/>
    <s v="Uninodal"/>
    <m/>
    <s v="Si"/>
    <s v="Si"/>
    <n v="30.4"/>
    <n v="18.899441851953519"/>
    <n v="1.7328756088107615"/>
    <s v="Sin riesgo"/>
    <n v="4.878634063833954"/>
    <s v="Medio Bajo"/>
    <n v="917013.17899699998"/>
    <n v="188370.33624"/>
    <n v="319888"/>
    <n v="2.8666695186971691"/>
    <n v="0.58886340294102935"/>
    <m/>
    <m/>
    <m/>
    <m/>
    <m/>
    <m/>
    <m/>
    <n v="43"/>
    <n v="1"/>
    <n v="3"/>
    <n v="27981.390755"/>
    <n v="669.78591700000004"/>
    <n v="2.3936834407714914E-2"/>
    <s v="0% - 30%"/>
    <n v="1.9486597194210976E-5"/>
    <n v="772.11688300000003"/>
    <n v="2.759394233690941E-2"/>
    <s v="0% - 30%"/>
    <n v="0.89585025239385985"/>
    <s v="Aceptable"/>
    <n v="1"/>
    <s v="Candidato"/>
    <n v="0"/>
    <n v="0"/>
  </r>
  <r>
    <n v="15001"/>
    <s v="15001"/>
    <x v="10"/>
    <x v="10"/>
    <s v="TUNJA"/>
    <n v="92.825100000000006"/>
    <n v="83.71"/>
    <n v="80.64"/>
    <n v="77.400000000000006"/>
    <n v="54.274797186542401"/>
    <n v="58.353021475563793"/>
    <n v="61.666846874981147"/>
    <n v="60.8262"/>
    <n v="83.643775000000005"/>
    <n v="58.780216384271831"/>
    <n v="71.211995692135915"/>
    <n v="27.400567569920074"/>
    <n v="72.599432430079929"/>
    <n v="0.75339489187071929"/>
    <n v="0"/>
    <n v="53.650753794374864"/>
    <n v="1"/>
    <n v="1"/>
    <b v="1"/>
    <x v="0"/>
    <n v="71.822896754478222"/>
    <n v="0.77084810431192508"/>
    <n v="55.364543809380656"/>
    <n v="1"/>
    <n v="0"/>
    <n v="-0.61090106234230745"/>
    <n v="-1.745321244120579E-2"/>
    <n v="-1.7137900150057916"/>
    <n v="1"/>
    <b v="1"/>
    <n v="0"/>
    <s v="Especial"/>
    <s v="N.D."/>
    <s v="N.D."/>
    <s v="SC- Centro aglomeración"/>
    <n v="1"/>
    <s v="N.D"/>
    <n v="2"/>
    <s v="N.D."/>
    <b v="0"/>
    <s v="Cambio en corte"/>
    <s v="SC- Centro aglomeración"/>
    <n v="1"/>
    <n v="1"/>
    <n v="0"/>
    <n v="0"/>
    <n v="0"/>
    <n v="0"/>
    <s v="Ciudades y aglomeraciones"/>
    <n v="1"/>
    <s v="Centro aglomeración"/>
    <m/>
    <s v="Si"/>
    <s v="No"/>
    <n v="11.4"/>
    <n v="3.6320047947258014"/>
    <n v="1.251265407560973"/>
    <s v="Sin riesgo"/>
    <n v="0.91070316066538837"/>
    <s v="Medio Bajo"/>
    <n v="485492.97516899998"/>
    <n v="234098.7474662"/>
    <n v="187765"/>
    <n v="2.5856414942561181"/>
    <n v="1.2467645592426704"/>
    <m/>
    <m/>
    <m/>
    <m/>
    <m/>
    <m/>
    <m/>
    <n v="79"/>
    <n v="1"/>
    <n v="3"/>
    <n v="11951.846097"/>
    <n v="1381.126413"/>
    <n v="0.11555758012535593"/>
    <s v="0% - 30%"/>
    <n v="4.0182173738383437E-5"/>
    <s v="N.D."/>
    <s v="N.D."/>
    <s v="N.D."/>
    <n v="0.94247864217491051"/>
    <s v="Aceptable"/>
    <n v="3"/>
    <s v="Candidato"/>
    <n v="0"/>
    <n v="0"/>
  </r>
  <r>
    <n v="25430"/>
    <s v="25430"/>
    <x v="5"/>
    <x v="5"/>
    <s v="MADRID"/>
    <n v="81.328266666666707"/>
    <n v="80.48"/>
    <n v="82.13"/>
    <n v="83.78"/>
    <n v="61.690108479053002"/>
    <n v="62.488810893256684"/>
    <n v="63.718913333769393"/>
    <n v="59.804400000000001"/>
    <n v="81.929566666666688"/>
    <n v="61.925558176519772"/>
    <n v="71.927562421593223"/>
    <n v="27.458672781082257"/>
    <n v="72.541327218917743"/>
    <n v="0.75287194497025967"/>
    <n v="0"/>
    <n v="54.152243817314648"/>
    <n v="1"/>
    <n v="1"/>
    <b v="1"/>
    <x v="0"/>
    <n v="71.121553565029899"/>
    <n v="0.76764318130196851"/>
    <n v="54.595975637797913"/>
    <n v="1"/>
    <n v="0"/>
    <n v="0.80600885656332366"/>
    <n v="-1.4771236331708848E-2"/>
    <n v="-0.44373182048326498"/>
    <n v="1"/>
    <b v="1"/>
    <n v="0"/>
    <n v="1.1166517821440873"/>
    <n v="79.418009537246803"/>
    <n v="0.82280957299613844"/>
    <n v="1"/>
    <n v="0"/>
    <n v="82.280957299613846"/>
    <n v="2"/>
    <n v="-0.36377983717382767"/>
    <b v="0"/>
    <n v="0"/>
    <n v="1"/>
    <n v="0"/>
    <n v="0"/>
    <n v="1"/>
    <n v="0"/>
    <n v="0"/>
    <n v="0"/>
    <s v="Ciudades y aglomeraciones"/>
    <n v="2"/>
    <s v="En aglomeración"/>
    <m/>
    <s v="No"/>
    <s v="No"/>
    <n v="10.4"/>
    <n v="3.664416586306654"/>
    <n v="0.82143110411473308"/>
    <s v="Sin riesgo"/>
    <n v="1.0105689004655665"/>
    <s v="Medio Bajo"/>
    <n v="163491.26165900001"/>
    <n v="105441.0859197"/>
    <n v="139289"/>
    <n v="1.1737557284423035"/>
    <n v="0.75699506723215759"/>
    <m/>
    <m/>
    <m/>
    <m/>
    <m/>
    <m/>
    <m/>
    <n v="59"/>
    <n v="0"/>
    <n v="5"/>
    <n v="11944.52108"/>
    <n v="1324.611054"/>
    <n v="0.11089695812232599"/>
    <s v="0% - 30%"/>
    <n v="3.853792890108981E-5"/>
    <s v="N.D."/>
    <s v="N.D."/>
    <s v="N.D."/>
    <n v="0.95916786857841951"/>
    <s v="Aceptable"/>
    <n v="2"/>
    <s v="Candidato"/>
    <n v="0"/>
    <n v="0"/>
  </r>
  <r>
    <n v="5615"/>
    <s v="05615"/>
    <x v="1"/>
    <x v="1"/>
    <s v="RIONEGRO"/>
    <n v="89.920533333333296"/>
    <n v="92.16"/>
    <n v="87.16"/>
    <n v="90.25"/>
    <n v="70.997214314042921"/>
    <n v="69.683874690410363"/>
    <n v="78.170777792278471"/>
    <n v="74.479699999999994"/>
    <n v="89.872633333333312"/>
    <n v="73.332891699182937"/>
    <n v="81.602762516258124"/>
    <n v="27.927943002384531"/>
    <n v="72.072056997615476"/>
    <n v="0.74864851297853929"/>
    <n v="0"/>
    <n v="61.091786812737531"/>
    <n v="1"/>
    <n v="1"/>
    <b v="1"/>
    <x v="0"/>
    <n v="81.733980208649399"/>
    <n v="0.76393197604738472"/>
    <n v="62.43920101101137"/>
    <n v="1"/>
    <n v="0"/>
    <n v="-0.13121769239127445"/>
    <n v="-1.5283463068845426E-2"/>
    <n v="-1.3474141982738388"/>
    <n v="1"/>
    <b v="1"/>
    <n v="0"/>
    <s v="Especial"/>
    <s v="N.D."/>
    <s v="N.D."/>
    <s v="SC- Centro aglomeración"/>
    <n v="1"/>
    <s v="N.D"/>
    <n v="2"/>
    <s v="N.D."/>
    <b v="0"/>
    <s v="Cambio en corte"/>
    <s v="SC- Centro aglomeración"/>
    <n v="1"/>
    <n v="0"/>
    <n v="1"/>
    <n v="0"/>
    <n v="0"/>
    <n v="0"/>
    <s v="Ciudades y aglomeraciones"/>
    <n v="1"/>
    <s v="Centro aglomeración"/>
    <m/>
    <s v="Si"/>
    <s v="Si"/>
    <n v="9.5"/>
    <n v="5.1980391986138565"/>
    <n v="2.6186974911492373"/>
    <s v="Sin riesgo"/>
    <n v="3.5988148239091924"/>
    <s v="Medio Bajo"/>
    <n v="741397.03040699998"/>
    <n v="508644.90229"/>
    <n v="151872"/>
    <n v="4.8817229667548991"/>
    <n v="3.3491683937131267"/>
    <m/>
    <m/>
    <m/>
    <m/>
    <m/>
    <m/>
    <m/>
    <n v="22"/>
    <n v="1"/>
    <n v="3"/>
    <n v="19587.111399000001"/>
    <n v="5299.8440499999997"/>
    <n v="0.27057813385748025"/>
    <s v="0% - 30%"/>
    <n v="1.541924420523248E-4"/>
    <s v="N.D."/>
    <s v="N.D."/>
    <s v="N.D."/>
    <n v="0.84815278661356874"/>
    <s v="Crítico bajo"/>
    <n v="3"/>
    <s v="Candidato"/>
    <n v="0"/>
    <n v="0"/>
  </r>
  <r>
    <n v="17001"/>
    <s v="17001"/>
    <x v="11"/>
    <x v="11"/>
    <s v="MANIZALES"/>
    <n v="87.128699999999995"/>
    <n v="82.04"/>
    <n v="82"/>
    <n v="88.31"/>
    <n v="64.407701741134844"/>
    <n v="72.246907467207762"/>
    <n v="69.146946724617422"/>
    <n v="59.5914"/>
    <n v="84.869675000000001"/>
    <n v="66.348238983240009"/>
    <n v="75.608956991620005"/>
    <n v="28.585534839518445"/>
    <n v="71.414465160481555"/>
    <n v="0.74273018644433397"/>
    <n v="0"/>
    <n v="56.157054723247555"/>
    <n v="1"/>
    <n v="1"/>
    <b v="1"/>
    <x v="0"/>
    <n v="75.188058919845304"/>
    <n v="0.76219626340210545"/>
    <n v="57.308057561163437"/>
    <n v="1"/>
    <n v="0"/>
    <n v="0.42089807177470107"/>
    <n v="-1.9466076957771472E-2"/>
    <n v="-1.1510028379158825"/>
    <n v="1"/>
    <b v="1"/>
    <n v="0"/>
    <s v="Especial"/>
    <s v="N.D."/>
    <s v="N.D."/>
    <s v="SC- Centro aglomeración"/>
    <n v="1"/>
    <s v="N.D"/>
    <n v="2"/>
    <s v="N.D."/>
    <b v="0"/>
    <s v="Cambio en corte"/>
    <s v="SC- Centro aglomeración"/>
    <n v="1"/>
    <n v="1"/>
    <n v="0"/>
    <n v="0"/>
    <n v="0"/>
    <n v="0"/>
    <s v="Ciudades y aglomeraciones"/>
    <n v="1"/>
    <s v="Centro aglomeración"/>
    <m/>
    <s v="Si"/>
    <s v="Si"/>
    <n v="13.9"/>
    <n v="6.2023455224370796"/>
    <n v="3.6513001699897667"/>
    <s v="Sin riesgo"/>
    <n v="0.68219374836560787"/>
    <s v="Medio Bajo"/>
    <n v="912932.94249799999"/>
    <n v="328730.76347334997"/>
    <n v="467681"/>
    <n v="1.9520419741191111"/>
    <n v="0.7028952715063258"/>
    <m/>
    <m/>
    <m/>
    <m/>
    <m/>
    <m/>
    <m/>
    <n v="19"/>
    <n v="1"/>
    <n v="3"/>
    <n v="44088.801979000003"/>
    <n v="13565.264776"/>
    <n v="0.3076805031459301"/>
    <s v="31% - 50%"/>
    <n v="3.946646888407637E-4"/>
    <s v="N.D."/>
    <s v="N.D."/>
    <s v="N.D."/>
    <n v="0.86457984149432376"/>
    <s v="Aceptable"/>
    <n v="2"/>
    <s v="Candidato"/>
    <n v="0"/>
    <n v="0"/>
  </r>
  <r>
    <n v="8634"/>
    <s v="08634"/>
    <x v="2"/>
    <x v="2"/>
    <s v="SABANAGRANDE"/>
    <n v="77.573033333333299"/>
    <n v="74.06"/>
    <n v="78.540000000000006"/>
    <n v="79.400000000000006"/>
    <n v="56.766908431088503"/>
    <n v="60.607084873468786"/>
    <n v="58.302242758981855"/>
    <n v="57.680100000000003"/>
    <n v="77.393258333333335"/>
    <n v="58.339084015884787"/>
    <n v="67.866171174609065"/>
    <n v="27.842012843637104"/>
    <n v="72.157987156362893"/>
    <n v="0.74942188440726598"/>
    <n v="0"/>
    <n v="50.860393889181601"/>
    <n v="2"/>
    <n v="2"/>
    <b v="1"/>
    <x v="0"/>
    <n v="66.536850370554149"/>
    <n v="0.76057697521486645"/>
    <n v="50.606396395160239"/>
    <n v="1"/>
    <n v="0"/>
    <n v="1.329320804054916"/>
    <n v="-1.1155090807600465E-2"/>
    <n v="0.25399749402136251"/>
    <n v="1"/>
    <b v="1"/>
    <n v="0"/>
    <n v="1.1166517821440873"/>
    <n v="74.298492544533772"/>
    <n v="0.75876981189687598"/>
    <n v="1"/>
    <n v="0"/>
    <n v="75.876981189687598"/>
    <n v="2"/>
    <n v="-0.36722989773682135"/>
    <b v="0"/>
    <n v="0"/>
    <n v="1"/>
    <n v="0"/>
    <n v="0"/>
    <n v="0"/>
    <n v="0"/>
    <n v="0"/>
    <n v="0"/>
    <s v="Ciudades y aglomeraciones"/>
    <n v="6"/>
    <s v="En aglomeración"/>
    <m/>
    <s v="No"/>
    <s v="Si"/>
    <n v="31.9"/>
    <n v="16.332718577099808"/>
    <n v="0"/>
    <s v="Sin riesgo"/>
    <n v="1.0224066814817223"/>
    <s v="Medio Bajo"/>
    <n v="46924.318722999997"/>
    <n v="11350.11709075"/>
    <n v="38726"/>
    <n v="1.2117006332438154"/>
    <n v="0.29308777283349685"/>
    <m/>
    <m/>
    <m/>
    <m/>
    <m/>
    <m/>
    <m/>
    <n v="5"/>
    <n v="0"/>
    <n v="6"/>
    <n v="4306.589508"/>
    <n v="329.93086699999998"/>
    <n v="7.6610707007741113E-2"/>
    <s v="0% - 30%"/>
    <n v="9.5989326499467049E-6"/>
    <s v="N.D."/>
    <s v="N.D."/>
    <s v="N.D."/>
    <n v="0.89588740418009194"/>
    <s v="Aceptable"/>
    <n v="2"/>
    <s v="Candidato"/>
    <n v="0"/>
    <n v="0"/>
  </r>
  <r>
    <n v="25269"/>
    <s v="25269"/>
    <x v="5"/>
    <x v="5"/>
    <s v="FACATATIVÁ"/>
    <n v="83.763499999999993"/>
    <n v="71.900000000000006"/>
    <n v="65.31"/>
    <n v="66.42"/>
    <n v="56.314835404300567"/>
    <n v="57.896000795450774"/>
    <n v="60.354304125394819"/>
    <n v="59.694099999999999"/>
    <n v="71.848375000000004"/>
    <n v="58.564810081286538"/>
    <n v="65.206592540643271"/>
    <n v="28.866712102493501"/>
    <n v="71.133287897506506"/>
    <n v="0.74019959107755851"/>
    <n v="0"/>
    <n v="48.265893134145124"/>
    <n v="2"/>
    <n v="2"/>
    <b v="1"/>
    <x v="0"/>
    <n v="66.251892955920994"/>
    <n v="0.75908853849944635"/>
    <n v="50.291052596731831"/>
    <n v="1"/>
    <n v="0"/>
    <n v="-1.0453004152777225"/>
    <n v="-1.8888947421887847E-2"/>
    <n v="-2.0251594625867071"/>
    <n v="1"/>
    <b v="1"/>
    <n v="0"/>
    <n v="1.1166517821440873"/>
    <n v="73.980294339648481"/>
    <n v="0.75478948776628463"/>
    <n v="1"/>
    <n v="0"/>
    <n v="75.478948776628457"/>
    <n v="2"/>
    <n v="-0.37645219106652883"/>
    <b v="0"/>
    <n v="0"/>
    <n v="1"/>
    <n v="0"/>
    <n v="0"/>
    <n v="1"/>
    <n v="0"/>
    <n v="0"/>
    <n v="0"/>
    <s v="Ciudades y aglomeraciones"/>
    <n v="2"/>
    <s v="En aglomeración"/>
    <m/>
    <s v="Si"/>
    <s v="No"/>
    <n v="10.5"/>
    <n v="4.0465299041377216"/>
    <n v="3.0839845870602636"/>
    <s v="Sin riesgo"/>
    <n v="2.0661197878003152"/>
    <s v="Medio Bajo"/>
    <n v="257077.172338"/>
    <n v="92102.237744399987"/>
    <n v="161874"/>
    <n v="1.5881313388067262"/>
    <n v="0.56897486776381623"/>
    <m/>
    <m/>
    <m/>
    <m/>
    <m/>
    <m/>
    <m/>
    <n v="59"/>
    <n v="1"/>
    <n v="4"/>
    <n v="15787.906132"/>
    <n v="2604.124057"/>
    <n v="0.16494423232741323"/>
    <s v="0% - 30%"/>
    <n v="7.5763785494034955E-5"/>
    <s v="N.D."/>
    <s v="N.D."/>
    <s v="N.D."/>
    <n v="0.94727118979117819"/>
    <s v="Aceptable"/>
    <n v="2"/>
    <s v="Candidato"/>
    <n v="0"/>
    <n v="0"/>
  </r>
  <r>
    <n v="66001"/>
    <s v="66001"/>
    <x v="6"/>
    <x v="6"/>
    <s v="PEREIRA"/>
    <n v="83.0535"/>
    <n v="82.34"/>
    <n v="81.22"/>
    <n v="86.13"/>
    <n v="62.123529939647554"/>
    <n v="65.469876079772746"/>
    <n v="75.232254030406466"/>
    <n v="62.149500000000003"/>
    <n v="83.18587500000001"/>
    <n v="66.243790012456685"/>
    <n v="74.714832506228348"/>
    <n v="29.404422027248511"/>
    <n v="70.595577972751485"/>
    <n v="0.73536020175476335"/>
    <n v="0"/>
    <n v="54.942314305853429"/>
    <n v="1"/>
    <n v="1"/>
    <b v="1"/>
    <x v="0"/>
    <n v="74.424434429248777"/>
    <n v="0.7570125590671497"/>
    <n v="56.3402315644109"/>
    <n v="1"/>
    <n v="0"/>
    <n v="0.29039807697957087"/>
    <n v="-2.165235731238635E-2"/>
    <n v="-1.3979172585574702"/>
    <n v="1"/>
    <b v="1"/>
    <n v="0"/>
    <s v="Especial"/>
    <s v="N.D."/>
    <s v="N.D."/>
    <s v="SC- Centro aglomeración"/>
    <n v="1"/>
    <s v="N.D"/>
    <n v="2"/>
    <s v="N.D."/>
    <b v="0"/>
    <s v="Cambio en corte"/>
    <s v="SC- Centro aglomeración"/>
    <n v="1"/>
    <n v="1"/>
    <n v="0"/>
    <n v="0"/>
    <n v="0"/>
    <n v="0"/>
    <s v="Ciudades y aglomeraciones"/>
    <n v="1"/>
    <s v="Centro aglomeración"/>
    <m/>
    <s v="Si"/>
    <s v="Si"/>
    <n v="15.1"/>
    <n v="5.8782165705322065"/>
    <n v="4.485483533165171"/>
    <s v="Sin riesgo"/>
    <n v="2.4730766208060535"/>
    <s v="Medio Bajo"/>
    <n v="1487465.9298680001"/>
    <n v="609988.84410600003"/>
    <n v="486042"/>
    <n v="3.0603650093366417"/>
    <n v="1.2550126205266212"/>
    <m/>
    <m/>
    <m/>
    <m/>
    <m/>
    <m/>
    <m/>
    <n v="49"/>
    <n v="1"/>
    <n v="3"/>
    <n v="60823.913959999998"/>
    <n v="31181.070532000002"/>
    <n v="0.51264492042563714"/>
    <s v="31% - 50%"/>
    <n v="9.0717488397321099E-4"/>
    <n v="7.7910999999999994E-2"/>
    <n v="1.2809271046127857E-6"/>
    <n v="0"/>
    <n v="0.86231846871900086"/>
    <s v="Aceptable"/>
    <n v="3"/>
    <s v="Candidato"/>
    <n v="0"/>
    <n v="0"/>
  </r>
  <r>
    <n v="5129"/>
    <s v="05129"/>
    <x v="1"/>
    <x v="1"/>
    <s v="CALDAS"/>
    <n v="72.090033333333295"/>
    <n v="61.28"/>
    <n v="59.35"/>
    <n v="66.91"/>
    <n v="53.881608875691967"/>
    <n v="59.363295642146653"/>
    <n v="77.860995891693605"/>
    <n v="55.706899999999997"/>
    <n v="64.907508333333325"/>
    <n v="61.703200102383057"/>
    <n v="63.305354217858195"/>
    <n v="27.070460705843768"/>
    <n v="72.929539294156228"/>
    <n v="0.75636585364740605"/>
    <n v="0"/>
    <n v="47.882008283441728"/>
    <n v="2"/>
    <n v="2"/>
    <b v="1"/>
    <x v="0"/>
    <n v="63.999969052171096"/>
    <n v="0.76055113403382135"/>
    <n v="48.675249040758196"/>
    <n v="1"/>
    <n v="0"/>
    <n v="-0.69461483431290105"/>
    <n v="-4.1852803864153021E-3"/>
    <n v="-0.79324075731646815"/>
    <n v="1"/>
    <b v="1"/>
    <n v="0"/>
    <n v="1.1166517821440873"/>
    <n v="71.465679499273293"/>
    <n v="0.72333430676708088"/>
    <n v="1"/>
    <n v="0"/>
    <n v="72.33343067670809"/>
    <n v="2"/>
    <n v="-0.36028592849668128"/>
    <b v="0"/>
    <n v="0"/>
    <n v="1"/>
    <n v="0"/>
    <n v="0"/>
    <n v="1"/>
    <n v="0"/>
    <n v="0"/>
    <n v="0"/>
    <s v="Ciudades y aglomeraciones"/>
    <n v="3"/>
    <s v="En aglomeración"/>
    <m/>
    <s v="No"/>
    <s v="Si"/>
    <n v="16"/>
    <n v="5.4731410669860869"/>
    <n v="12.753953022789679"/>
    <s v="Bajo"/>
    <n v="3.8765526874043976"/>
    <s v="Medio Bajo"/>
    <n v="104508.700998"/>
    <n v="53030.293170999998"/>
    <n v="88316"/>
    <n v="1.1833495742334346"/>
    <n v="0.60046076782236513"/>
    <m/>
    <m/>
    <m/>
    <m/>
    <m/>
    <m/>
    <m/>
    <n v="2"/>
    <n v="0"/>
    <n v="6"/>
    <n v="13276.962611999999"/>
    <n v="3504.8232549999998"/>
    <n v="0.26397779051002723"/>
    <s v="0% - 30%"/>
    <n v="1.019685204983018E-4"/>
    <s v="N.D."/>
    <s v="N.D."/>
    <s v="N.D."/>
    <n v="0.7888282361054626"/>
    <s v="Crítico bajo"/>
    <n v="2"/>
    <s v="Candidato"/>
    <n v="0"/>
    <n v="0"/>
  </r>
  <r>
    <n v="54874"/>
    <s v="54874"/>
    <x v="12"/>
    <x v="12"/>
    <s v="VILLA DEL ROSARIO"/>
    <n v="66.119566666666699"/>
    <n v="70.44"/>
    <n v="65.349999999999994"/>
    <n v="81.11"/>
    <n v="62.523819930457663"/>
    <n v="67.335367930750223"/>
    <n v="63.455340503873188"/>
    <n v="58.011299999999999"/>
    <n v="70.754891666666666"/>
    <n v="62.831457091270266"/>
    <n v="66.793174378968473"/>
    <n v="28.672757243152208"/>
    <n v="71.327242756847795"/>
    <n v="0.74194518481163019"/>
    <n v="0"/>
    <n v="49.556874108759203"/>
    <n v="2"/>
    <n v="2"/>
    <b v="1"/>
    <x v="0"/>
    <n v="65.088470307704213"/>
    <n v="0.75539426433446022"/>
    <n v="49.16745714474358"/>
    <n v="1"/>
    <n v="0"/>
    <n v="1.7047040712642598"/>
    <n v="-1.3449079522830032E-2"/>
    <n v="0.38941696401562353"/>
    <n v="1"/>
    <b v="1"/>
    <n v="0"/>
    <n v="1.1166517821440873"/>
    <n v="72.681156366130423"/>
    <n v="0.7385386411380781"/>
    <n v="1"/>
    <n v="0"/>
    <n v="73.853864113807816"/>
    <n v="2"/>
    <n v="-0.37470659733245715"/>
    <b v="0"/>
    <n v="0"/>
    <n v="1"/>
    <n v="0"/>
    <n v="0"/>
    <n v="1"/>
    <n v="0"/>
    <n v="0"/>
    <n v="0"/>
    <s v="Ciudades y aglomeraciones"/>
    <n v="4"/>
    <s v="En aglomeración"/>
    <m/>
    <s v="No"/>
    <s v="Si"/>
    <n v="24.6"/>
    <n v="14.564404061998932"/>
    <n v="2.7351044693980593"/>
    <s v="Sin riesgo"/>
    <n v="5.158250332109195"/>
    <s v="Medio Bajo"/>
    <n v="261420.05854200001"/>
    <n v="57536.907878999999"/>
    <n v="123460"/>
    <n v="2.1174474205572658"/>
    <n v="0.46603683686214159"/>
    <m/>
    <m/>
    <m/>
    <m/>
    <m/>
    <m/>
    <m/>
    <n v="73"/>
    <n v="0"/>
    <n v="6"/>
    <n v="9156.5396550000005"/>
    <n v="1594.196684"/>
    <n v="0.1741047103017215"/>
    <s v="0% - 30%"/>
    <n v="4.6381191125364974E-5"/>
    <s v="N.D."/>
    <s v="N.D."/>
    <s v="N.D."/>
    <n v="0.91605458799495643"/>
    <s v="Aceptable"/>
    <n v="2"/>
    <s v="Candidato"/>
    <n v="1"/>
    <s v="Unidad Especial de Desarrollo Fronterizo"/>
  </r>
  <r>
    <n v="66400"/>
    <s v="66400"/>
    <x v="6"/>
    <x v="6"/>
    <s v="LA VIRGINIA"/>
    <n v="60.301299999999998"/>
    <n v="80.33"/>
    <n v="82.24"/>
    <n v="81.69"/>
    <n v="48.869582048989102"/>
    <n v="57.782397811441818"/>
    <n v="67.316037002735072"/>
    <n v="62.297699999999999"/>
    <n v="76.140325000000004"/>
    <n v="59.066429215791494"/>
    <n v="67.603377107895753"/>
    <n v="29.701427412388931"/>
    <n v="70.298572587611062"/>
    <n v="0.73268715328849954"/>
    <n v="0"/>
    <n v="49.532125925873054"/>
    <n v="2"/>
    <n v="2"/>
    <b v="1"/>
    <x v="0"/>
    <n v="61.981115413561255"/>
    <n v="0.75362056923747223"/>
    <n v="46.710243479941497"/>
    <n v="2"/>
    <n v="1"/>
    <n v="5.6222616943344974"/>
    <n v="-2.0933415948972689E-2"/>
    <n v="2.821882445931557"/>
    <n v="1"/>
    <b v="1"/>
    <s v="Efecto ponderador"/>
    <n v="1.1166517821440873"/>
    <n v="69.211322985831544"/>
    <n v="0.69513468309967907"/>
    <n v="1"/>
    <n v="0"/>
    <n v="69.513468309967905"/>
    <n v="2"/>
    <n v="-0.3839646288555878"/>
    <b v="0"/>
    <n v="0"/>
    <n v="1"/>
    <n v="0"/>
    <n v="0"/>
    <n v="0"/>
    <n v="0"/>
    <n v="0"/>
    <n v="0"/>
    <s v="Intermedio"/>
    <n v="6"/>
    <s v="Fuera SC"/>
    <m/>
    <s v="No"/>
    <s v="Si"/>
    <n v="19"/>
    <n v="6.5856208138139305"/>
    <n v="1.3951919111022124"/>
    <s v="Sin riesgo"/>
    <n v="5.7470208663179765"/>
    <s v="Medio"/>
    <n v="52721.241121999999"/>
    <n v="14591.110865500001"/>
    <n v="28384"/>
    <n v="1.8574281680524238"/>
    <n v="0.51406112124788617"/>
    <m/>
    <m/>
    <m/>
    <m/>
    <m/>
    <m/>
    <m/>
    <n v="49"/>
    <n v="0"/>
    <n v="4"/>
    <n v="3280.0168490000001"/>
    <n v="1504.393816"/>
    <n v="0.45865429516273803"/>
    <s v="31% - 50%"/>
    <n v="4.3768487168496169E-5"/>
    <s v="N.D."/>
    <s v="N.D."/>
    <s v="N.D."/>
    <n v="0.9775855129164166"/>
    <s v="Aceptable"/>
    <n v="3"/>
    <s v="Candidato"/>
    <n v="0"/>
    <n v="0"/>
  </r>
  <r>
    <n v="5308"/>
    <s v="05308"/>
    <x v="1"/>
    <x v="1"/>
    <s v="GIRARDOTA"/>
    <n v="65.574633333333296"/>
    <n v="78.47"/>
    <n v="66.27"/>
    <n v="63.97"/>
    <n v="76.549318667629962"/>
    <n v="77.795170489241187"/>
    <n v="58.531206313880013"/>
    <n v="56.5914"/>
    <n v="68.571158333333329"/>
    <n v="67.366773867687783"/>
    <n v="67.968966100510556"/>
    <n v="26.907134169980985"/>
    <n v="73.092865830019008"/>
    <n v="0.75783579247017108"/>
    <n v="0"/>
    <n v="51.509315288158611"/>
    <n v="2"/>
    <n v="2"/>
    <b v="1"/>
    <x v="0"/>
    <n v="69.300246580668642"/>
    <n v="0.75947855736480507"/>
    <n v="52.632051298111485"/>
    <n v="1"/>
    <n v="0"/>
    <n v="-1.3312804801580853"/>
    <n v="-1.6427648946339968E-3"/>
    <n v="-1.1227360099528738"/>
    <n v="1"/>
    <b v="1"/>
    <n v="0"/>
    <n v="1.1166517821440873"/>
    <n v="77.384243847328335"/>
    <n v="0.79736930800636741"/>
    <n v="1"/>
    <n v="0"/>
    <n v="79.736930800636742"/>
    <n v="2"/>
    <n v="-0.35881598967391626"/>
    <b v="0"/>
    <n v="0"/>
    <n v="1"/>
    <n v="0"/>
    <n v="0"/>
    <n v="1"/>
    <n v="0"/>
    <n v="0"/>
    <n v="0"/>
    <s v="Ciudades y aglomeraciones"/>
    <n v="2"/>
    <s v="En aglomeración"/>
    <m/>
    <s v="No"/>
    <s v="Si"/>
    <n v="13.9"/>
    <n v="5.0507141378596563"/>
    <n v="9.5176964443328984"/>
    <s v="Bajo"/>
    <n v="2.3506247962873714"/>
    <s v="Medio Bajo"/>
    <n v="132970.19001200001"/>
    <n v="92898.961650800004"/>
    <n v="60604"/>
    <n v="2.1940827340109563"/>
    <n v="1.5328849853277011"/>
    <m/>
    <m/>
    <m/>
    <m/>
    <m/>
    <m/>
    <m/>
    <n v="2"/>
    <n v="0"/>
    <n v="6"/>
    <n v="8280.0737059999992"/>
    <n v="939.67848600000002"/>
    <n v="0.11348672963129298"/>
    <s v="0% - 30%"/>
    <n v="2.733878943105341E-5"/>
    <s v="N.D."/>
    <s v="N.D."/>
    <s v="N.D."/>
    <n v="0.97287979293369409"/>
    <s v="Aceptable"/>
    <n v="2"/>
    <s v="Candidato"/>
    <n v="0"/>
    <n v="0"/>
  </r>
  <r>
    <n v="25307"/>
    <s v="25307"/>
    <x v="5"/>
    <x v="5"/>
    <s v="GIRARDOT"/>
    <n v="73.777366666666694"/>
    <n v="68.45"/>
    <n v="55.34"/>
    <n v="57.82"/>
    <n v="56.436456239719149"/>
    <n v="51.839486931596646"/>
    <n v="61.582703610025654"/>
    <n v="58.442300000000003"/>
    <n v="63.84684166666667"/>
    <n v="57.075236695335363"/>
    <n v="60.461039181001013"/>
    <n v="30.617856925238701"/>
    <n v="69.382143074761302"/>
    <n v="0.72443928767285171"/>
    <n v="0"/>
    <n v="43.800352156244749"/>
    <n v="2"/>
    <n v="2"/>
    <b v="1"/>
    <x v="3"/>
    <n v="60.533444187256933"/>
    <n v="0.75064402781319994"/>
    <n v="45.439068362128083"/>
    <n v="2"/>
    <n v="0"/>
    <n v="-7.2405006255920057E-2"/>
    <n v="-2.6204740140348237E-2"/>
    <n v="-1.638716205883334"/>
    <n v="2"/>
    <b v="1"/>
    <n v="0"/>
    <s v="Especial"/>
    <s v="N.D."/>
    <s v="N.D."/>
    <s v="SC- Centro aglomeración"/>
    <n v="2"/>
    <s v="N.D"/>
    <n v="3"/>
    <s v="N.D."/>
    <b v="0"/>
    <s v="Cambio en corte"/>
    <s v="SC- Centro aglomeración"/>
    <n v="2"/>
    <n v="0"/>
    <n v="1"/>
    <n v="0"/>
    <n v="0"/>
    <n v="0"/>
    <s v="Ciudades y aglomeraciones"/>
    <n v="2"/>
    <s v="Centro aglomeración"/>
    <m/>
    <s v="Si"/>
    <s v="No"/>
    <n v="13.4"/>
    <n v="7.5361843901906163"/>
    <n v="1.74313081270423"/>
    <s v="Sin riesgo"/>
    <n v="5.4413538366210465"/>
    <s v="Medio Bajo"/>
    <n v="281375.947797"/>
    <n v="108236.33448675"/>
    <n v="103831"/>
    <n v="2.7099416147104431"/>
    <n v="1.0424279308371296"/>
    <m/>
    <m/>
    <m/>
    <m/>
    <m/>
    <m/>
    <m/>
    <n v="55"/>
    <n v="1"/>
    <n v="4"/>
    <n v="13025.268609000001"/>
    <n v="219.923214"/>
    <n v="1.6884351532531223E-2"/>
    <s v="0% - 30%"/>
    <n v="6.3983953321524668E-6"/>
    <s v="N.D."/>
    <s v="N.D."/>
    <s v="N.D."/>
    <n v="0.80395889594359993"/>
    <s v="Crítico bajo"/>
    <n v="1"/>
    <s v="Candidato"/>
    <n v="0"/>
    <n v="0"/>
  </r>
  <r>
    <n v="8573"/>
    <s v="08573"/>
    <x v="2"/>
    <x v="2"/>
    <s v="PUERTO COLOMBIA"/>
    <n v="57.840966666666702"/>
    <n v="74.19"/>
    <n v="76"/>
    <n v="80.489999999999995"/>
    <n v="56.590059229633269"/>
    <n v="56.598340535111937"/>
    <n v="59.397859465815102"/>
    <n v="62.7303"/>
    <n v="72.130241666666677"/>
    <n v="58.829139807640075"/>
    <n v="65.479690737153376"/>
    <n v="28.534161448286532"/>
    <n v="71.46583855171346"/>
    <n v="0.74319254696542114"/>
    <n v="0"/>
    <n v="48.664018133453112"/>
    <n v="2"/>
    <n v="2"/>
    <b v="1"/>
    <x v="0"/>
    <n v="63.018213658725287"/>
    <n v="0.74970558521753705"/>
    <n v="47.245106750378426"/>
    <n v="1"/>
    <n v="0"/>
    <n v="2.4614770784280893"/>
    <n v="-6.5130382521159103E-3"/>
    <n v="1.4189113830746862"/>
    <n v="1"/>
    <b v="1"/>
    <n v="0"/>
    <n v="1.1166517821440873"/>
    <n v="70.369400589552455"/>
    <n v="0.70962101319336868"/>
    <n v="1"/>
    <n v="0"/>
    <n v="70.962101319336867"/>
    <n v="2"/>
    <n v="-0.37345923517866619"/>
    <b v="0"/>
    <n v="0"/>
    <n v="1"/>
    <n v="0"/>
    <n v="0"/>
    <n v="1"/>
    <n v="0"/>
    <n v="0"/>
    <n v="0"/>
    <s v="Ciudades y aglomeraciones"/>
    <n v="3"/>
    <s v="En aglomeración"/>
    <m/>
    <s v="No"/>
    <s v="No"/>
    <n v="14.4"/>
    <n v="9.1701227430773748"/>
    <n v="1.8613574214641591"/>
    <s v="Sin riesgo"/>
    <n v="4.2134002615496264"/>
    <s v="Medio Bajo"/>
    <n v="146309.10151000001"/>
    <n v="105508.510261"/>
    <n v="62582"/>
    <n v="2.3378783277939346"/>
    <n v="1.6859242315841616"/>
    <m/>
    <m/>
    <m/>
    <m/>
    <m/>
    <m/>
    <m/>
    <n v="5"/>
    <n v="0"/>
    <n v="6"/>
    <n v="7031.064746"/>
    <n v="645.11474199999998"/>
    <n v="9.1752069608946246E-2"/>
    <s v="0% - 30%"/>
    <n v="1.8768819711390464E-5"/>
    <s v="N.D."/>
    <s v="N.D."/>
    <s v="N.D."/>
    <n v="0.87379872570891282"/>
    <s v="Aceptable"/>
    <n v="3"/>
    <s v="Candidato"/>
    <n v="0"/>
    <n v="0"/>
  </r>
  <r>
    <n v="25290"/>
    <s v="25290"/>
    <x v="5"/>
    <x v="5"/>
    <s v="FUSAGASUGÁ"/>
    <n v="70.881900000000002"/>
    <n v="79.650000000000006"/>
    <n v="74.63"/>
    <n v="77.06"/>
    <n v="60.480560908245096"/>
    <n v="63.958343914931476"/>
    <n v="62.731495048111725"/>
    <n v="58.143900000000002"/>
    <n v="75.555475000000001"/>
    <n v="61.328574967822071"/>
    <n v="68.44202498391104"/>
    <n v="30.501375602910567"/>
    <n v="69.498624397089429"/>
    <n v="0.72548761957380481"/>
    <n v="0"/>
    <n v="49.653841784388497"/>
    <n v="2"/>
    <n v="2"/>
    <b v="1"/>
    <x v="0"/>
    <n v="66.804436042292437"/>
    <n v="0.74668014836528707"/>
    <n v="49.881546215518249"/>
    <n v="1"/>
    <n v="0"/>
    <n v="1.6375889416186027"/>
    <n v="-2.1192528791482257E-2"/>
    <n v="-0.22770443112975158"/>
    <n v="1"/>
    <b v="1"/>
    <n v="0"/>
    <n v="1.1166517821440873"/>
    <n v="74.597292561756547"/>
    <n v="0.76250748514742639"/>
    <n v="1"/>
    <n v="0"/>
    <n v="76.250748514742639"/>
    <n v="2"/>
    <n v="-0.39116416257028253"/>
    <b v="0"/>
    <n v="0"/>
    <n v="1"/>
    <n v="0"/>
    <n v="0"/>
    <n v="1"/>
    <n v="0"/>
    <n v="0"/>
    <n v="0"/>
    <s v="Ciudades y aglomeraciones"/>
    <n v="2"/>
    <s v="Uninodal"/>
    <m/>
    <s v="Si"/>
    <s v="No"/>
    <n v="12.2"/>
    <n v="4.6650108992032573"/>
    <n v="1.582613857210551"/>
    <s v="Sin riesgo"/>
    <n v="0.70903794911628382"/>
    <s v="Medio Bajo"/>
    <n v="351723.336656"/>
    <n v="131152.36077925001"/>
    <n v="156943"/>
    <n v="2.2410896736777048"/>
    <n v="0.83566875094301762"/>
    <m/>
    <m/>
    <m/>
    <m/>
    <m/>
    <m/>
    <m/>
    <n v="78"/>
    <n v="1"/>
    <n v="4"/>
    <n v="19347.801682000001"/>
    <n v="4808.1617930000002"/>
    <n v="0.24851204658941778"/>
    <s v="0% - 30%"/>
    <n v="1.3988755171868777E-4"/>
    <s v="N.D."/>
    <s v="N.D."/>
    <s v="N.D."/>
    <n v="0.94101098722147514"/>
    <s v="Aceptable"/>
    <n v="2"/>
    <s v="Candidato"/>
    <n v="0"/>
    <n v="0"/>
  </r>
  <r>
    <n v="8296"/>
    <s v="08296"/>
    <x v="2"/>
    <x v="2"/>
    <s v="GALAPA"/>
    <n v="83.0238333333333"/>
    <n v="77.760000000000005"/>
    <n v="81.41"/>
    <n v="88.22"/>
    <n v="28.12129355196025"/>
    <n v="70.593965695232043"/>
    <n v="57.283204199262201"/>
    <n v="61.301000000000002"/>
    <n v="82.603458333333322"/>
    <n v="54.324865861613617"/>
    <n v="68.464162097473462"/>
    <n v="29.861527448553897"/>
    <n v="70.1384725514461"/>
    <n v="0.73124625296301482"/>
    <n v="0"/>
    <n v="50.064161996029931"/>
    <n v="2"/>
    <n v="2"/>
    <b v="1"/>
    <x v="0"/>
    <n v="69.272223783581396"/>
    <n v="0.74606280491418353"/>
    <n v="51.681429578621753"/>
    <n v="1"/>
    <n v="0"/>
    <n v="-0.8080616861079335"/>
    <n v="-1.481655195116871E-2"/>
    <n v="-1.6172675825918219"/>
    <n v="1"/>
    <b v="1"/>
    <n v="0"/>
    <n v="1.1166517821440873"/>
    <n v="77.352952141020197"/>
    <n v="0.79697788174502016"/>
    <n v="1"/>
    <n v="0"/>
    <n v="79.697788174502023"/>
    <n v="2"/>
    <n v="-0.38540552918107251"/>
    <b v="0"/>
    <n v="0"/>
    <n v="1"/>
    <n v="0"/>
    <n v="0"/>
    <n v="0"/>
    <n v="0"/>
    <n v="0"/>
    <n v="0"/>
    <s v="Ciudades y aglomeraciones"/>
    <n v="4"/>
    <s v="En aglomeración"/>
    <m/>
    <s v="No"/>
    <s v="Si"/>
    <n v="23.8"/>
    <n v="13.652888355691278"/>
    <n v="0"/>
    <s v="Sin riesgo"/>
    <n v="0.68536321216061669"/>
    <s v="Medio Bajo"/>
    <n v="123324.430817"/>
    <n v="56792.178974000002"/>
    <n v="69030"/>
    <n v="1.7865338377082427"/>
    <n v="0.82271735439663918"/>
    <m/>
    <m/>
    <m/>
    <m/>
    <m/>
    <m/>
    <m/>
    <n v="5"/>
    <n v="0"/>
    <n v="6"/>
    <n v="9751.6518020000003"/>
    <n v="268.89595800000001"/>
    <n v="2.7574401081963486E-2"/>
    <s v="0% - 30%"/>
    <n v="7.8231970659626044E-6"/>
    <n v="18.262511"/>
    <n v="1.8727607764106669E-3"/>
    <s v="0% - 30%"/>
    <n v="0.97855387470333277"/>
    <s v="Aceptable"/>
    <n v="3"/>
    <s v="Candidato"/>
    <n v="0"/>
    <n v="0"/>
  </r>
  <r>
    <n v="5440"/>
    <s v="05440"/>
    <x v="1"/>
    <x v="1"/>
    <s v="MARINILLA"/>
    <n v="76.140666666666704"/>
    <n v="70.31"/>
    <n v="79.489999999999995"/>
    <n v="80.349999999999994"/>
    <n v="75.727916216154966"/>
    <n v="67.491197223835684"/>
    <n v="54.228343951507"/>
    <n v="63.630899999999997"/>
    <n v="76.572666666666663"/>
    <n v="65.269589347874415"/>
    <n v="70.921128007270539"/>
    <n v="29.963598335487251"/>
    <n v="70.036401664512752"/>
    <n v="0.73032761498061471"/>
    <n v="0"/>
    <n v="51.795658269284772"/>
    <n v="2"/>
    <n v="2"/>
    <b v="1"/>
    <x v="0"/>
    <n v="69.979843224483204"/>
    <n v="0.7418534573753427"/>
    <n v="51.914788642667318"/>
    <n v="1"/>
    <n v="0"/>
    <n v="0.94128478278733496"/>
    <n v="-1.1525842394727981E-2"/>
    <n v="-0.1191303733825464"/>
    <n v="1"/>
    <b v="1"/>
    <n v="0"/>
    <n v="1.1166517821440873"/>
    <n v="78.143116650783"/>
    <n v="0.80686200685025"/>
    <n v="1"/>
    <n v="0"/>
    <n v="80.686200685025"/>
    <n v="2"/>
    <n v="-0.38632416716347262"/>
    <b v="0"/>
    <n v="0"/>
    <n v="1"/>
    <n v="0"/>
    <n v="0"/>
    <n v="1"/>
    <n v="0"/>
    <n v="0"/>
    <n v="0"/>
    <s v="Intermedio"/>
    <n v="3"/>
    <s v="En aglomeración"/>
    <m/>
    <s v="No"/>
    <s v="Si"/>
    <n v="15.4"/>
    <n v="5.0918967858759618"/>
    <n v="1.7348325483684355"/>
    <s v="Sin riesgo"/>
    <n v="3.0199174089942376"/>
    <s v="Medio Bajo"/>
    <n v="125248.628795"/>
    <n v="71057.425390999997"/>
    <n v="73095"/>
    <n v="1.7135047376017511"/>
    <n v="0.97212429565633762"/>
    <m/>
    <m/>
    <m/>
    <m/>
    <m/>
    <m/>
    <m/>
    <n v="22"/>
    <n v="0"/>
    <n v="6"/>
    <n v="11223.453726"/>
    <n v="2425.7738039999999"/>
    <n v="0.21613434360053599"/>
    <s v="0% - 30%"/>
    <n v="7.0574904313517955E-5"/>
    <s v="N.D."/>
    <s v="N.D."/>
    <s v="N.D."/>
    <n v="0.8383274967763954"/>
    <s v="Crítico bajo"/>
    <n v="3"/>
    <s v="Candidato"/>
    <n v="0"/>
    <n v="0"/>
  </r>
  <r>
    <n v="25899"/>
    <s v="25899"/>
    <x v="5"/>
    <x v="5"/>
    <s v="ZIPAQUIRÁ"/>
    <n v="72.913866666666706"/>
    <n v="65.540000000000006"/>
    <n v="66.31"/>
    <n v="68.180000000000007"/>
    <n v="66.525072819559398"/>
    <n v="71.152085615178649"/>
    <n v="67.443292488845145"/>
    <n v="74.040999999999997"/>
    <n v="68.235966666666684"/>
    <n v="69.790362730895794"/>
    <n v="69.013164698781239"/>
    <n v="31.284497142215834"/>
    <n v="68.715502857784173"/>
    <n v="0.71843952572005754"/>
    <n v="0"/>
    <n v="49.581785314632612"/>
    <n v="2"/>
    <n v="2"/>
    <b v="1"/>
    <x v="0"/>
    <n v="67.543437844665476"/>
    <n v="0.73221904303571284"/>
    <n v="49.456591421963104"/>
    <n v="1"/>
    <n v="0"/>
    <n v="1.4697268541157626"/>
    <n v="-1.3779517315655299E-2"/>
    <n v="0.12519389266950753"/>
    <n v="1"/>
    <b v="1"/>
    <n v="0"/>
    <n v="1.1166517821440873"/>
    <n v="75.4225002413841"/>
    <n v="0.77282996336868148"/>
    <n v="1"/>
    <n v="0"/>
    <n v="77.282996336868152"/>
    <n v="2"/>
    <n v="-0.3982122564240298"/>
    <b v="0"/>
    <n v="0"/>
    <n v="1"/>
    <n v="0"/>
    <n v="0"/>
    <n v="1"/>
    <n v="0"/>
    <n v="0"/>
    <n v="0"/>
    <s v="Ciudades y aglomeraciones"/>
    <n v="2"/>
    <s v="En aglomeración"/>
    <m/>
    <s v="Si"/>
    <s v="No"/>
    <n v="10.3"/>
    <n v="3.116276905899138"/>
    <n v="1.4928506165474058"/>
    <s v="Sin riesgo"/>
    <n v="1.6684747078351765"/>
    <s v="Medio Bajo"/>
    <n v="371656.56562499999"/>
    <n v="161828.98805229997"/>
    <n v="163372"/>
    <n v="2.2749098108917072"/>
    <n v="0.99055522398146545"/>
    <m/>
    <m/>
    <m/>
    <m/>
    <m/>
    <m/>
    <m/>
    <n v="94"/>
    <n v="0"/>
    <n v="4"/>
    <n v="19458.141204"/>
    <n v="11664.794303000001"/>
    <n v="0.59948142942873062"/>
    <s v="51% - 70%"/>
    <n v="3.3937283864373633E-4"/>
    <s v="N.D."/>
    <s v="N.D."/>
    <s v="N.D."/>
    <n v="0.94369798705360486"/>
    <s v="Aceptable"/>
    <n v="3"/>
    <s v="Candidato"/>
    <n v="0"/>
    <n v="0"/>
  </r>
  <r>
    <n v="76147"/>
    <s v="76147"/>
    <x v="3"/>
    <x v="3"/>
    <s v="CARTAGO"/>
    <n v="65.288466666666693"/>
    <n v="60.95"/>
    <n v="56.49"/>
    <n v="58.57"/>
    <n v="63.223044265253478"/>
    <n v="63.549178605741893"/>
    <n v="64.497112205091383"/>
    <n v="57.36"/>
    <n v="60.324616666666671"/>
    <n v="62.15733376902169"/>
    <n v="61.240975217844181"/>
    <n v="31.94231074131287"/>
    <n v="68.057689258687134"/>
    <n v="0.71251920332818419"/>
    <n v="0"/>
    <n v="43.635370873259404"/>
    <n v="2"/>
    <n v="2"/>
    <b v="1"/>
    <x v="3"/>
    <n v="62.443233790396476"/>
    <n v="0.73316122450241539"/>
    <n v="45.780957747657681"/>
    <n v="2"/>
    <n v="0"/>
    <n v="-1.2022585725522958"/>
    <n v="-2.0642021174231195E-2"/>
    <n v="-2.1455868743982762"/>
    <n v="2"/>
    <b v="1"/>
    <n v="0"/>
    <n v="1.1166517821440873"/>
    <n v="69.727348294886113"/>
    <n v="0.70158961577400458"/>
    <n v="1"/>
    <n v="-1"/>
    <n v="70.158961577400461"/>
    <n v="3"/>
    <n v="-0.40413257881590314"/>
    <b v="0"/>
    <s v="Cambio en corte"/>
    <n v="1"/>
    <n v="-1"/>
    <n v="0"/>
    <n v="1"/>
    <n v="0"/>
    <n v="0"/>
    <n v="0"/>
    <s v="Ciudades y aglomeraciones"/>
    <n v="2"/>
    <s v="Uninodal"/>
    <m/>
    <s v="Si"/>
    <s v="No"/>
    <n v="16.600000000000001"/>
    <n v="5.3997188977384045"/>
    <n v="2.5723505559006434"/>
    <s v="Sin riesgo"/>
    <n v="6.5608669938546207"/>
    <s v="Medio"/>
    <n v="335182.13069000002"/>
    <n v="100806.81658160001"/>
    <n v="142792"/>
    <n v="2.3473453042887558"/>
    <n v="0.70596963822623127"/>
    <m/>
    <m/>
    <m/>
    <m/>
    <m/>
    <m/>
    <m/>
    <n v="91"/>
    <n v="1"/>
    <n v="4"/>
    <n v="24818.697493"/>
    <n v="5099.6599370000004"/>
    <n v="0.20547653390909559"/>
    <s v="0% - 30%"/>
    <n v="1.4836833157806501E-4"/>
    <s v="N.D."/>
    <s v="N.D."/>
    <s v="N.D."/>
    <n v="0.53099672555024269"/>
    <s v="Crítico Medio"/>
    <n v="0"/>
    <s v="Candidato"/>
    <n v="0"/>
    <n v="0"/>
  </r>
  <r>
    <n v="5376"/>
    <s v="05376"/>
    <x v="1"/>
    <x v="1"/>
    <s v="LA CEJA"/>
    <n v="71.1541"/>
    <n v="66.89"/>
    <n v="64.95"/>
    <n v="74.739999999999995"/>
    <n v="81.281366690449033"/>
    <n v="71.82064414154658"/>
    <n v="67.107794628988842"/>
    <n v="68.240899999999996"/>
    <n v="69.433525000000003"/>
    <n v="72.112676365246116"/>
    <n v="70.773100682623067"/>
    <n v="31.274067619887013"/>
    <n v="68.725932380112994"/>
    <n v="0.71853339142101702"/>
    <n v="0"/>
    <n v="50.852836054866245"/>
    <n v="2"/>
    <n v="2"/>
    <b v="1"/>
    <x v="0"/>
    <n v="70.224358451542045"/>
    <n v="0.73207385357244303"/>
    <n v="51.409416706272943"/>
    <n v="1"/>
    <n v="0"/>
    <n v="0.54874223108102171"/>
    <n v="-1.3540462151426014E-2"/>
    <n v="-0.55658065140669777"/>
    <n v="1"/>
    <b v="1"/>
    <n v="0"/>
    <n v="1.1166517821440873"/>
    <n v="78.416155014839632"/>
    <n v="0.81027742897503408"/>
    <n v="1"/>
    <n v="0"/>
    <n v="81.027742897503401"/>
    <n v="2"/>
    <n v="-0.39811839072307031"/>
    <b v="0"/>
    <n v="0"/>
    <n v="1"/>
    <n v="0"/>
    <n v="0"/>
    <n v="1"/>
    <n v="0"/>
    <n v="0"/>
    <n v="0"/>
    <s v="Intermedio"/>
    <n v="2"/>
    <s v="En aglomeración"/>
    <m/>
    <s v="No"/>
    <s v="Si"/>
    <n v="11.5"/>
    <n v="4.1097521560889314"/>
    <n v="4.116400905869491"/>
    <s v="Sin riesgo"/>
    <n v="0.97492525793077944"/>
    <s v="Medio Bajo"/>
    <n v="143332.017914"/>
    <n v="100988.7081528"/>
    <n v="72033"/>
    <n v="1.9898104745602709"/>
    <n v="1.4019783731456414"/>
    <m/>
    <m/>
    <m/>
    <m/>
    <m/>
    <m/>
    <m/>
    <n v="22"/>
    <n v="0"/>
    <n v="6"/>
    <n v="13266.673574"/>
    <n v="4672.3631889999997"/>
    <n v="0.35218799670754602"/>
    <s v="31% - 50%"/>
    <n v="1.3593665841305234E-4"/>
    <s v="N.D."/>
    <s v="N.D."/>
    <s v="N.D."/>
    <n v="0.88869826483114234"/>
    <s v="Aceptable"/>
    <n v="3"/>
    <s v="Candidato"/>
    <n v="0"/>
    <n v="0"/>
  </r>
  <r>
    <n v="25214"/>
    <s v="25214"/>
    <x v="5"/>
    <x v="5"/>
    <s v="COTA"/>
    <n v="70.875066666666697"/>
    <n v="67.540000000000006"/>
    <n v="45.82"/>
    <n v="66.66"/>
    <n v="64.564169737557052"/>
    <n v="69.846018855300542"/>
    <n v="64.702246174049236"/>
    <n v="65.830200000000005"/>
    <n v="62.72376666666667"/>
    <n v="66.235658691726712"/>
    <n v="64.479712679196695"/>
    <n v="30.48340820047482"/>
    <n v="69.516591799525173"/>
    <n v="0.72564932619572653"/>
    <n v="0"/>
    <n v="46.789660058953125"/>
    <n v="2"/>
    <n v="2"/>
    <b v="1"/>
    <x v="3"/>
    <n v="65.442516264860259"/>
    <n v="0.72983209999751075"/>
    <n v="47.762049074704215"/>
    <n v="1"/>
    <n v="-1"/>
    <n v="-0.96280358566356483"/>
    <n v="-4.1827738017842231E-3"/>
    <n v="-0.97238901575109082"/>
    <n v="1"/>
    <b v="0"/>
    <s v="Cambio en corte"/>
    <n v="1.1166517821440873"/>
    <n v="73.076502415149633"/>
    <n v="0.74348400347729182"/>
    <n v="1"/>
    <n v="-1"/>
    <n v="74.348400347729182"/>
    <n v="3"/>
    <n v="-0.39100245594836081"/>
    <b v="0"/>
    <s v="Cambio en corte"/>
    <n v="1"/>
    <n v="-1"/>
    <n v="0"/>
    <n v="1"/>
    <n v="0"/>
    <n v="0"/>
    <n v="0"/>
    <s v="Ciudades y aglomeraciones"/>
    <n v="2"/>
    <s v="En aglomeración"/>
    <m/>
    <s v="No"/>
    <s v="No"/>
    <n v="9"/>
    <n v="4.11618416018365"/>
    <n v="2.553080494114631"/>
    <s v="Sin riesgo"/>
    <n v="0.65344259361304391"/>
    <s v="Medio Bajo"/>
    <n v="234594.98599300001"/>
    <n v="196629.7977621"/>
    <n v="46260"/>
    <n v="5.0712275398400344"/>
    <n v="4.25053605192607"/>
    <m/>
    <m/>
    <m/>
    <m/>
    <m/>
    <m/>
    <m/>
    <n v="59"/>
    <n v="0"/>
    <n v="5"/>
    <n v="5367.9504649999999"/>
    <n v="735.81688699999995"/>
    <n v="0.13707594580047974"/>
    <s v="0% - 30%"/>
    <n v="2.1407687026162499E-5"/>
    <n v="367.73116099999999"/>
    <n v="6.8504946794437305E-2"/>
    <s v="0% - 30%"/>
    <n v="0.68830841575552015"/>
    <s v="Crítico Medio"/>
    <n v="2"/>
    <s v="No es Candidato"/>
    <n v="0"/>
    <n v="0"/>
  </r>
  <r>
    <n v="8078"/>
    <s v="08078"/>
    <x v="2"/>
    <x v="2"/>
    <s v="BARANOA"/>
    <n v="64.849699999999999"/>
    <n v="62.7"/>
    <n v="59.82"/>
    <n v="68.239999999999995"/>
    <n v="57.270651332432195"/>
    <n v="51.190404344657381"/>
    <n v="63.309228116865114"/>
    <n v="60.528399999999998"/>
    <n v="63.902424999999994"/>
    <n v="58.074670948488674"/>
    <n v="60.988547974244334"/>
    <n v="31.353666282963395"/>
    <n v="68.646333717036612"/>
    <n v="0.71781700345332955"/>
    <n v="0"/>
    <n v="43.778616751841703"/>
    <n v="2"/>
    <n v="2"/>
    <b v="1"/>
    <x v="3"/>
    <n v="60.455370405561766"/>
    <n v="0.72890654816153055"/>
    <n v="44.066315360144777"/>
    <n v="2"/>
    <n v="0"/>
    <n v="0.53317756868256794"/>
    <n v="-1.1089544708201005E-2"/>
    <n v="-0.28769860830307437"/>
    <n v="2"/>
    <b v="1"/>
    <n v="0"/>
    <n v="1.1166517821440873"/>
    <n v="67.507597103551461"/>
    <n v="0.67382286820871473"/>
    <n v="1"/>
    <n v="-1"/>
    <n v="67.382286820871471"/>
    <n v="3"/>
    <n v="-0.39883477869075779"/>
    <b v="0"/>
    <s v="Cambio en corte"/>
    <n v="1"/>
    <n v="-1"/>
    <n v="0"/>
    <n v="0"/>
    <n v="0"/>
    <n v="0"/>
    <n v="0"/>
    <s v="Ciudades y aglomeraciones"/>
    <n v="6"/>
    <s v="En aglomeración"/>
    <m/>
    <s v="No"/>
    <s v="Si"/>
    <n v="33.5"/>
    <n v="14.277577059531946"/>
    <n v="6.0038102731378604"/>
    <s v="Bajo"/>
    <n v="2.1430661703595164"/>
    <s v="Medio Bajo"/>
    <n v="102345.770296"/>
    <n v="23689.408890750001"/>
    <n v="73740"/>
    <n v="1.3879274518036344"/>
    <n v="0.32125588406224576"/>
    <m/>
    <m/>
    <m/>
    <m/>
    <m/>
    <m/>
    <m/>
    <n v="5"/>
    <n v="0"/>
    <n v="7"/>
    <n v="12119.291723"/>
    <n v="0"/>
    <n v="0"/>
    <n v="0"/>
    <n v="0"/>
    <s v="N.D."/>
    <s v="N.D."/>
    <s v="N.D."/>
    <n v="0.96198914072679509"/>
    <s v="Aceptable"/>
    <n v="3"/>
    <s v="Candidato"/>
    <n v="0"/>
    <n v="0"/>
  </r>
  <r>
    <n v="13836"/>
    <s v="13836"/>
    <x v="8"/>
    <x v="8"/>
    <s v="TURBACO"/>
    <n v="57.903066666666703"/>
    <n v="55.41"/>
    <n v="52.46"/>
    <n v="53.18"/>
    <n v="58.653838808579465"/>
    <n v="63.931507969888642"/>
    <n v="63.838232933745743"/>
    <n v="65.087699999999998"/>
    <n v="54.738266666666675"/>
    <n v="62.877819928053455"/>
    <n v="58.808043297360065"/>
    <n v="31.330726465797802"/>
    <n v="68.669273534202205"/>
    <n v="0.71802346180781984"/>
    <n v="0"/>
    <n v="42.225554830514632"/>
    <n v="2"/>
    <n v="2"/>
    <b v="1"/>
    <x v="3"/>
    <n v="58.355004050983496"/>
    <n v="0.72822544838751968"/>
    <n v="42.495598990682986"/>
    <n v="2"/>
    <n v="0"/>
    <n v="0.45303924637656934"/>
    <n v="-1.020198657969984E-2"/>
    <n v="-0.27004416016835364"/>
    <n v="2"/>
    <b v="1"/>
    <n v="0"/>
    <n v="1.1166517821440873"/>
    <n v="65.16221927055615"/>
    <n v="0.64448466377921243"/>
    <n v="1"/>
    <n v="-1"/>
    <n v="64.44846637792125"/>
    <n v="3"/>
    <n v="-0.39862832033626749"/>
    <b v="0"/>
    <s v="Cambio en corte"/>
    <n v="1"/>
    <n v="-1"/>
    <n v="0"/>
    <n v="1"/>
    <n v="0"/>
    <n v="0"/>
    <n v="0"/>
    <s v="Ciudades y aglomeraciones"/>
    <n v="3"/>
    <s v="En aglomeración"/>
    <m/>
    <s v="No"/>
    <s v="Si"/>
    <n v="30.4"/>
    <n v="17.193535271396627"/>
    <n v="0"/>
    <s v="Sin riesgo"/>
    <n v="2.0619355802539228"/>
    <s v="Medio Bajo"/>
    <n v="185378.01943399999"/>
    <n v="65403.667054999998"/>
    <n v="124939"/>
    <n v="1.4837482246056075"/>
    <n v="0.52348479702094619"/>
    <m/>
    <m/>
    <m/>
    <m/>
    <m/>
    <m/>
    <m/>
    <n v="48"/>
    <n v="0"/>
    <n v="6"/>
    <n v="20257.632484999998"/>
    <n v="1224.296503"/>
    <n v="6.0436307347689552E-2"/>
    <s v="0% - 30%"/>
    <n v="3.5619400460225126E-5"/>
    <s v="N.D."/>
    <s v="N.D."/>
    <s v="N.D."/>
    <n v="0.9510169256537524"/>
    <s v="Aceptable"/>
    <n v="2"/>
    <s v="Candidato"/>
    <n v="0"/>
    <n v="0"/>
  </r>
  <r>
    <n v="8685"/>
    <s v="08685"/>
    <x v="2"/>
    <x v="2"/>
    <s v="SANTO TOMÁS"/>
    <n v="68.402799999999999"/>
    <n v="69.83"/>
    <n v="70.25"/>
    <n v="70.14"/>
    <n v="44.376979209834857"/>
    <n v="49.333896094608797"/>
    <n v="56.205222415677724"/>
    <n v="56.7714"/>
    <n v="69.655699999999996"/>
    <n v="51.671874430030343"/>
    <n v="60.663787215015169"/>
    <n v="31.707637608314503"/>
    <n v="68.292362391685501"/>
    <n v="0.71463126152516954"/>
    <n v="0"/>
    <n v="43.352238786360743"/>
    <n v="2"/>
    <n v="2"/>
    <b v="1"/>
    <x v="3"/>
    <n v="59.237623194218784"/>
    <n v="0.72338211908898609"/>
    <n v="42.851437396028857"/>
    <n v="2"/>
    <n v="0"/>
    <n v="1.426164020796385"/>
    <n v="-8.7508575638165498E-3"/>
    <n v="0.50080139033188686"/>
    <n v="2"/>
    <b v="1"/>
    <n v="0"/>
    <n v="1.1166517821440873"/>
    <n v="66.147797509804334"/>
    <n v="0.65681320865481752"/>
    <n v="1"/>
    <n v="-1"/>
    <n v="65.681320865481752"/>
    <n v="3"/>
    <n v="-0.4020205206189178"/>
    <b v="0"/>
    <s v="Cambio en corte"/>
    <n v="1"/>
    <n v="-1"/>
    <n v="0"/>
    <n v="0"/>
    <n v="0"/>
    <n v="0"/>
    <n v="0"/>
    <s v="Ciudades y aglomeraciones"/>
    <n v="6"/>
    <s v="En aglomeración"/>
    <m/>
    <s v="No"/>
    <s v="No"/>
    <n v="25.8"/>
    <n v="14.789593155229614"/>
    <n v="0"/>
    <s v="Sin riesgo"/>
    <n v="1.6004136428396372"/>
    <s v="Medio Bajo"/>
    <n v="42521.809092000003"/>
    <n v="7689.5819769999998"/>
    <n v="36050"/>
    <n v="1.1795231370873787"/>
    <n v="0.21330324485436894"/>
    <m/>
    <m/>
    <m/>
    <m/>
    <m/>
    <m/>
    <m/>
    <n v="5"/>
    <n v="0"/>
    <n v="7"/>
    <n v="6503.2358640000002"/>
    <n v="78.775914"/>
    <n v="1.2113341057807895E-2"/>
    <s v="0% - 30%"/>
    <n v="2.2918882970837455E-6"/>
    <s v="N.D."/>
    <s v="N.D."/>
    <s v="N.D."/>
    <n v="0.92685371213668111"/>
    <s v="Aceptable"/>
    <n v="2"/>
    <s v="Candidato"/>
    <n v="0"/>
    <n v="0"/>
  </r>
  <r>
    <n v="54405"/>
    <s v="54405"/>
    <x v="12"/>
    <x v="12"/>
    <s v="LOS PATIOS"/>
    <n v="70.431166666666698"/>
    <n v="72.83"/>
    <n v="80.739999999999995"/>
    <n v="83.57"/>
    <n v="60.549856304441299"/>
    <n v="69.825177647380968"/>
    <n v="61.362313854386151"/>
    <n v="61.733600000000003"/>
    <n v="76.892791666666668"/>
    <n v="63.367736951552104"/>
    <n v="70.130264309109378"/>
    <n v="32.521240271486"/>
    <n v="67.478759728514007"/>
    <n v="0.70730883755662599"/>
    <n v="0"/>
    <n v="49.603755726015088"/>
    <n v="2"/>
    <n v="2"/>
    <b v="1"/>
    <x v="0"/>
    <n v="68.36949324684295"/>
    <n v="0.7226756778572595"/>
    <n v="49.408969876919556"/>
    <n v="1"/>
    <n v="0"/>
    <n v="1.7607710622664285"/>
    <n v="-1.5366840300633511E-2"/>
    <n v="0.1947858490955312"/>
    <n v="1"/>
    <b v="1"/>
    <n v="0"/>
    <n v="1.1166517821440873"/>
    <n v="76.344916478375325"/>
    <n v="0.78436841817507807"/>
    <n v="1"/>
    <n v="0"/>
    <n v="78.436841817507812"/>
    <n v="2"/>
    <n v="-0.40934294458746134"/>
    <b v="0"/>
    <n v="0"/>
    <n v="1"/>
    <n v="0"/>
    <n v="0"/>
    <n v="1"/>
    <n v="0"/>
    <n v="0"/>
    <n v="0"/>
    <s v="Ciudades y aglomeraciones"/>
    <n v="4"/>
    <s v="En aglomeración"/>
    <m/>
    <s v="No"/>
    <s v="Si"/>
    <n v="21.4"/>
    <n v="9.8592070223887962"/>
    <n v="1.5781352542150862"/>
    <s v="Sin riesgo"/>
    <n v="1.4427664180477175"/>
    <s v="Medio Bajo"/>
    <n v="156886.45568899999"/>
    <n v="55741.722785999998"/>
    <n v="103208"/>
    <n v="1.5200997566952175"/>
    <n v="0.5400911052050229"/>
    <m/>
    <m/>
    <m/>
    <m/>
    <m/>
    <m/>
    <m/>
    <n v="73"/>
    <n v="0"/>
    <n v="6"/>
    <n v="12614.392196000001"/>
    <n v="3944.103541"/>
    <n v="0.31266695055277161"/>
    <s v="31% - 50%"/>
    <n v="1.1474883995766094E-4"/>
    <s v="N.D."/>
    <s v="N.D."/>
    <s v="N.D."/>
    <n v="0.83412960970784589"/>
    <s v="Crítico bajo"/>
    <n v="3"/>
    <s v="Candidato"/>
    <n v="1"/>
    <s v="Unidad Especial de Desarrollo Fronterizo"/>
  </r>
  <r>
    <n v="76892"/>
    <s v="76892"/>
    <x v="3"/>
    <x v="3"/>
    <s v="YUMBO"/>
    <n v="74.478399999999993"/>
    <n v="83.96"/>
    <n v="85.28"/>
    <n v="85.89"/>
    <n v="59.595953555419484"/>
    <n v="59.603452709479811"/>
    <n v="68.446902906305638"/>
    <n v="61.1387"/>
    <n v="82.402100000000004"/>
    <n v="62.196252292801233"/>
    <n v="72.299176146400612"/>
    <n v="32.857937460504502"/>
    <n v="67.142062539495498"/>
    <n v="0.70427856285545942"/>
    <n v="0"/>
    <n v="50.918759872020736"/>
    <n v="2"/>
    <n v="2"/>
    <b v="1"/>
    <x v="0"/>
    <n v="70.32700820755241"/>
    <n v="0.71875284931814332"/>
    <n v="50.547737533198749"/>
    <n v="1"/>
    <n v="0"/>
    <n v="1.9721679388482016"/>
    <n v="-1.4474286462683894E-2"/>
    <n v="0.37102233882198732"/>
    <n v="1"/>
    <b v="1"/>
    <n v="0"/>
    <n v="1.1166517821440873"/>
    <n v="78.530779047825263"/>
    <n v="0.81171125480256467"/>
    <n v="1"/>
    <n v="0"/>
    <n v="81.171125480256464"/>
    <n v="2"/>
    <n v="-0.41237321928862791"/>
    <b v="0"/>
    <n v="0"/>
    <n v="1"/>
    <n v="0"/>
    <n v="0"/>
    <n v="1"/>
    <n v="0"/>
    <n v="0"/>
    <n v="0"/>
    <s v="Ciudades y aglomeraciones"/>
    <n v="1"/>
    <s v="En aglomeración"/>
    <m/>
    <s v="Si"/>
    <s v="No"/>
    <n v="15.6"/>
    <n v="7.6780368512037782"/>
    <n v="5.4915337013276622"/>
    <s v="Bajo"/>
    <n v="4.8129638721543602"/>
    <s v="Medio Bajo"/>
    <n v="481718.80598499998"/>
    <n v="304096.60562945"/>
    <n v="114676"/>
    <n v="4.2006941817381138"/>
    <n v="2.6517894383258049"/>
    <m/>
    <m/>
    <m/>
    <m/>
    <m/>
    <m/>
    <m/>
    <n v="85"/>
    <n v="0"/>
    <n v="4"/>
    <n v="23081.302346"/>
    <n v="5176.0171600000003"/>
    <n v="0.22425152109742222"/>
    <s v="0% - 30%"/>
    <n v="1.5058985103630338E-4"/>
    <s v="N.D."/>
    <s v="N.D."/>
    <s v="N.D."/>
    <n v="0.80022043644191976"/>
    <s v="Crítico bajo"/>
    <n v="3"/>
    <s v="Candidato"/>
    <n v="0"/>
    <n v="0"/>
  </r>
  <r>
    <n v="25817"/>
    <s v="25817"/>
    <x v="5"/>
    <x v="5"/>
    <s v="TOCANCIPÁ"/>
    <n v="80.736133333333299"/>
    <n v="68.209999999999994"/>
    <n v="68.75"/>
    <n v="67.95"/>
    <n v="64.703723563046324"/>
    <n v="66.644619572490029"/>
    <n v="79.715588020975161"/>
    <n v="69.610699999999994"/>
    <n v="71.411533333333324"/>
    <n v="70.168657789127877"/>
    <n v="70.790095561230601"/>
    <n v="33.244308536510836"/>
    <n v="66.755691463489171"/>
    <n v="0.70080122317140259"/>
    <n v="0"/>
    <n v="49.609785557730881"/>
    <n v="2"/>
    <n v="2"/>
    <b v="1"/>
    <x v="0"/>
    <n v="70.411772308526466"/>
    <n v="0.71428180629008131"/>
    <n v="50.293847908620215"/>
    <n v="1"/>
    <n v="0"/>
    <n v="0.37832325270413492"/>
    <n v="-1.3480583118678724E-2"/>
    <n v="-0.68406235088933443"/>
    <n v="1"/>
    <b v="1"/>
    <n v="0"/>
    <n v="1.1166517821440873"/>
    <n v="78.625431032239774"/>
    <n v="0.81289525135499419"/>
    <n v="1"/>
    <n v="0"/>
    <n v="81.289525135499417"/>
    <n v="2"/>
    <n v="-0.41585055897268475"/>
    <b v="0"/>
    <n v="0"/>
    <n v="1"/>
    <n v="0"/>
    <n v="0"/>
    <n v="1"/>
    <n v="0"/>
    <n v="0"/>
    <n v="0"/>
    <s v="Ciudades y aglomeraciones"/>
    <n v="2"/>
    <s v="En aglomeración"/>
    <m/>
    <s v="No"/>
    <s v="No"/>
    <n v="10.1"/>
    <n v="4.2355870620220033"/>
    <n v="0.18405258244487416"/>
    <s v="Sin riesgo"/>
    <n v="2.8587879638121594"/>
    <s v="Medio Bajo"/>
    <n v="208076.46436899999"/>
    <n v="174539.1848594"/>
    <n v="48367"/>
    <n v="4.3020337082928446"/>
    <n v="3.6086419430479459"/>
    <m/>
    <m/>
    <m/>
    <m/>
    <m/>
    <m/>
    <m/>
    <n v="94"/>
    <n v="0"/>
    <n v="5"/>
    <n v="7314.8107760000003"/>
    <n v="1550.0842110000001"/>
    <n v="0.2119103635716523"/>
    <s v="0% - 30%"/>
    <n v="4.5097792996539424E-5"/>
    <s v="N.D."/>
    <s v="N.D."/>
    <s v="N.D."/>
    <n v="0.95962472525477871"/>
    <s v="Aceptable"/>
    <n v="3"/>
    <s v="Candidato"/>
    <n v="0"/>
    <n v="0"/>
  </r>
  <r>
    <n v="5318"/>
    <s v="05318"/>
    <x v="1"/>
    <x v="1"/>
    <s v="GUARNE"/>
    <n v="79.920566666666701"/>
    <n v="77.11"/>
    <n v="84.86"/>
    <n v="84.92"/>
    <n v="62.569790243957108"/>
    <n v="72.492495396379269"/>
    <n v="70.897468274289338"/>
    <n v="64.413799999999995"/>
    <n v="81.702641666666679"/>
    <n v="67.593388478656422"/>
    <n v="74.648015072661551"/>
    <n v="32.340186843997202"/>
    <n v="67.659813156002798"/>
    <n v="0.70893831840402521"/>
    <n v="0"/>
    <n v="52.920838277811008"/>
    <n v="1"/>
    <n v="1"/>
    <b v="1"/>
    <x v="0"/>
    <n v="73.593315417131009"/>
    <n v="0.72105870541715467"/>
    <n v="53.065100742032818"/>
    <n v="1"/>
    <n v="0"/>
    <n v="1.0546996555305412"/>
    <n v="-1.2120387013129452E-2"/>
    <n v="-0.14426246422181066"/>
    <n v="1"/>
    <b v="1"/>
    <n v="0"/>
    <n v="1.1166517821440873"/>
    <n v="82.178106814431274"/>
    <n v="0.85733548051694708"/>
    <n v="1"/>
    <n v="0"/>
    <n v="85.733548051694711"/>
    <n v="2"/>
    <n v="-0.40771346374006212"/>
    <b v="0"/>
    <n v="0"/>
    <n v="1"/>
    <n v="0"/>
    <n v="0"/>
    <n v="1"/>
    <n v="0"/>
    <n v="0"/>
    <n v="0"/>
    <s v="Intermedio"/>
    <n v="2"/>
    <s v="En aglomeración"/>
    <m/>
    <s v="No"/>
    <s v="Si"/>
    <n v="17"/>
    <n v="6.2140172241518767"/>
    <n v="0.43342660794139998"/>
    <s v="Sin riesgo"/>
    <n v="2.4613834135006707"/>
    <s v="Medio Bajo"/>
    <n v="136068.863816"/>
    <n v="89706.504308399992"/>
    <n v="64068"/>
    <n v="2.1238194389710934"/>
    <n v="1.4001764423487544"/>
    <m/>
    <m/>
    <m/>
    <m/>
    <m/>
    <m/>
    <m/>
    <n v="2"/>
    <n v="0"/>
    <n v="6"/>
    <n v="15215.569281"/>
    <n v="2036.173117"/>
    <n v="0.13382168484110626"/>
    <s v="0% - 30%"/>
    <n v="5.9239951664525694E-5"/>
    <s v="N.D."/>
    <s v="N.D."/>
    <s v="N.D."/>
    <n v="0.82666229940891345"/>
    <s v="Crítico bajo"/>
    <n v="3"/>
    <s v="Candidato"/>
    <n v="0"/>
    <n v="0"/>
  </r>
  <r>
    <n v="19001"/>
    <s v="19001"/>
    <x v="13"/>
    <x v="13"/>
    <s v="POPAYÁN"/>
    <n v="62.670400000000001"/>
    <n v="55.67"/>
    <n v="54.88"/>
    <n v="56.52"/>
    <n v="51.880330755391192"/>
    <n v="55.272577584178528"/>
    <n v="59.628743475793726"/>
    <n v="66.240399999999994"/>
    <n v="57.435100000000006"/>
    <n v="58.255512953840856"/>
    <n v="57.845306476920427"/>
    <n v="33.544562074622597"/>
    <n v="66.455437925377396"/>
    <n v="0.69809894132839656"/>
    <n v="0"/>
    <n v="40.381747212354789"/>
    <n v="2"/>
    <n v="2"/>
    <b v="1"/>
    <x v="3"/>
    <n v="56.217484889314761"/>
    <n v="0.71546542315012485"/>
    <n v="40.221666614769333"/>
    <n v="2"/>
    <n v="0"/>
    <n v="1.6278215876056663"/>
    <n v="-1.7366481821728286E-2"/>
    <n v="0.16008059758545556"/>
    <n v="2"/>
    <b v="1"/>
    <n v="0"/>
    <n v="1.1166517821440873"/>
    <n v="62.775354689311627"/>
    <n v="0.6146275038602671"/>
    <n v="2"/>
    <n v="0"/>
    <n v="61.462750386026713"/>
    <n v="3"/>
    <n v="-0.41855284081569077"/>
    <b v="0"/>
    <n v="0"/>
    <n v="1"/>
    <n v="-1"/>
    <n v="1"/>
    <n v="0"/>
    <n v="0"/>
    <n v="0"/>
    <n v="0"/>
    <s v="Ciudades y aglomeraciones"/>
    <n v="1"/>
    <s v="Uninodal"/>
    <m/>
    <s v="Si"/>
    <s v="No"/>
    <n v="18.399999999999999"/>
    <n v="9.0974382651584271"/>
    <s v="Sin Información"/>
    <s v="Sin Información"/>
    <n v="3.4115260063878461"/>
    <s v="Medio Bajo"/>
    <n v="645824.08608100004"/>
    <n v="235348.51590189998"/>
    <n v="348444"/>
    <n v="1.8534515907319398"/>
    <n v="0.67542708699791065"/>
    <m/>
    <m/>
    <m/>
    <m/>
    <m/>
    <m/>
    <m/>
    <n v="46"/>
    <n v="1"/>
    <n v="3"/>
    <n v="48037.351964000001"/>
    <n v="4565.23855"/>
    <n v="9.5035183317791261E-2"/>
    <s v="0% - 30%"/>
    <n v="1.3281999884051575E-4"/>
    <n v="2316.041475"/>
    <n v="4.8213346079852205E-2"/>
    <s v="0% - 30%"/>
    <n v="0.93314699438180315"/>
    <s v="Aceptable"/>
    <n v="2"/>
    <s v="Candidato"/>
    <n v="0"/>
    <n v="0"/>
  </r>
  <r>
    <n v="17174"/>
    <s v="17174"/>
    <x v="11"/>
    <x v="11"/>
    <s v="CHINCHINÁ"/>
    <n v="67.830533333333307"/>
    <n v="74.53"/>
    <n v="67.790000000000006"/>
    <n v="82.52"/>
    <n v="50.736855148642377"/>
    <n v="51.910720051656412"/>
    <n v="56.699895888973479"/>
    <n v="57.152900000000002"/>
    <n v="73.167633333333328"/>
    <n v="54.125092772318069"/>
    <n v="63.646363052825699"/>
    <n v="34.715002675597468"/>
    <n v="65.284997324402525"/>
    <n v="0.68756497591962273"/>
    <n v="0"/>
    <n v="43.761010079787667"/>
    <n v="2"/>
    <n v="2"/>
    <b v="1"/>
    <x v="3"/>
    <n v="60.617753811873584"/>
    <n v="0.71174428710173321"/>
    <n v="43.144339972540337"/>
    <n v="2"/>
    <n v="0"/>
    <n v="3.0286092409521146"/>
    <n v="-2.4179311182110474E-2"/>
    <n v="0.61667010724733018"/>
    <n v="2"/>
    <b v="1"/>
    <n v="0"/>
    <n v="1.1166517821440873"/>
    <n v="67.68892282360018"/>
    <n v="0.67609106183119905"/>
    <n v="1"/>
    <n v="-1"/>
    <n v="67.609106183119906"/>
    <n v="3"/>
    <n v="-0.4290868062244646"/>
    <b v="0"/>
    <s v="Cambio en corte"/>
    <n v="1"/>
    <n v="-1"/>
    <n v="0"/>
    <n v="0"/>
    <n v="0"/>
    <n v="0"/>
    <n v="0"/>
    <s v="Intermedio"/>
    <n v="5"/>
    <s v="Fuera SC"/>
    <m/>
    <s v="No"/>
    <s v="No"/>
    <n v="21.8"/>
    <n v="7.9920493602219551"/>
    <n v="5.0149207222667833"/>
    <s v="Bajo"/>
    <n v="1.4676712745174592"/>
    <s v="Medio Bajo"/>
    <n v="84887.206705999997"/>
    <n v="27649.391674499999"/>
    <n v="51007"/>
    <n v="1.6642266101907581"/>
    <n v="0.54207053295626084"/>
    <m/>
    <m/>
    <m/>
    <m/>
    <m/>
    <m/>
    <m/>
    <n v="19"/>
    <n v="0"/>
    <n v="5"/>
    <n v="10932.067243"/>
    <n v="698.96009800000002"/>
    <n v="6.3936681184206659E-2"/>
    <s v="0% - 30%"/>
    <n v="2.0335384096396623E-5"/>
    <s v="N.D."/>
    <s v="N.D."/>
    <s v="N.D."/>
    <n v="0.97769008645793365"/>
    <s v="Aceptable"/>
    <n v="2"/>
    <s v="Candidato"/>
    <n v="0"/>
    <n v="0"/>
  </r>
  <r>
    <n v="68077"/>
    <s v="68077"/>
    <x v="0"/>
    <x v="0"/>
    <s v="BARBOSA"/>
    <n v="68.915333333333294"/>
    <n v="72.819999999999993"/>
    <n v="64.959999999999994"/>
    <n v="65.47"/>
    <n v="51.261148142728352"/>
    <n v="61.898749533840657"/>
    <n v="60.926025587202041"/>
    <n v="66.101399999999998"/>
    <n v="68.041333333333313"/>
    <n v="60.046830815942769"/>
    <n v="64.044082074638041"/>
    <n v="33.793943879741015"/>
    <n v="66.206056120258978"/>
    <n v="0.69585450508233082"/>
    <n v="0"/>
    <n v="44.565363035499431"/>
    <n v="2"/>
    <n v="2"/>
    <b v="1"/>
    <x v="3"/>
    <n v="63.580926130060725"/>
    <n v="0.71067159157675286"/>
    <n v="45.185157966774206"/>
    <n v="2"/>
    <n v="0"/>
    <n v="0.46315594457731635"/>
    <n v="-1.4817086494422038E-2"/>
    <n v="-0.61979493127477525"/>
    <n v="2"/>
    <b v="1"/>
    <n v="0"/>
    <n v="1.1166517821440873"/>
    <n v="70.997754473503875"/>
    <n v="0.71748105793417494"/>
    <n v="1"/>
    <n v="-1"/>
    <n v="71.748105793417494"/>
    <n v="3"/>
    <n v="-0.42079727706175651"/>
    <b v="0"/>
    <s v="Cambio en corte"/>
    <n v="2"/>
    <n v="0"/>
    <n v="0"/>
    <n v="0"/>
    <n v="0"/>
    <n v="0"/>
    <n v="0"/>
    <s v="Intermedio"/>
    <n v="6"/>
    <s v="Fuera SC"/>
    <m/>
    <s v="No"/>
    <s v="Si"/>
    <n v="21.6"/>
    <n v="8.0761334771564766"/>
    <n v="8.1249516933907682"/>
    <s v="Bajo"/>
    <n v="1.8296444404541727"/>
    <s v="Medio Bajo"/>
    <n v="45249.724424"/>
    <n v="11726.404806299999"/>
    <n v="33724"/>
    <n v="1.3417662324753885"/>
    <n v="0.3477169020964298"/>
    <m/>
    <m/>
    <m/>
    <m/>
    <m/>
    <m/>
    <m/>
    <n v="20"/>
    <n v="1"/>
    <n v="6"/>
    <n v="4659.5528940000004"/>
    <n v="10.125928"/>
    <n v="2.1731544271208782E-3"/>
    <s v="0% - 30%"/>
    <n v="2.9460141687867461E-7"/>
    <s v="N.D."/>
    <s v="N.D."/>
    <s v="N.D."/>
    <n v="0.96551432106418456"/>
    <s v="Aceptable"/>
    <n v="3"/>
    <s v="Candidato"/>
    <n v="0"/>
    <n v="0"/>
  </r>
  <r>
    <n v="54001"/>
    <s v="54001"/>
    <x v="12"/>
    <x v="12"/>
    <s v="SAN JOSÉ DE CÚCUTA"/>
    <n v="72.171966666666705"/>
    <n v="72.209999999999994"/>
    <n v="73.77"/>
    <n v="79.760000000000005"/>
    <n v="63.712114714844517"/>
    <n v="64.436771094801699"/>
    <n v="65.963360038953496"/>
    <n v="60.292700000000004"/>
    <n v="74.477991666666668"/>
    <n v="63.601236462149934"/>
    <n v="69.039614064408298"/>
    <n v="33.861110488075724"/>
    <n v="66.138889511924276"/>
    <n v="0.69525000560731853"/>
    <n v="0"/>
    <n v="47.999792065406979"/>
    <n v="2"/>
    <n v="2"/>
    <b v="1"/>
    <x v="0"/>
    <n v="68.809423541772418"/>
    <n v="0.71249993095999942"/>
    <n v="49.02670952291021"/>
    <n v="1"/>
    <n v="0"/>
    <n v="0.2301905226358798"/>
    <n v="-1.7249925352680884E-2"/>
    <n v="-1.0269174575032309"/>
    <n v="1"/>
    <b v="1"/>
    <n v="0"/>
    <s v="Especial"/>
    <s v="N.D."/>
    <s v="N.D."/>
    <s v="SC- Centro aglomeración"/>
    <n v="1"/>
    <s v="N.D"/>
    <n v="2"/>
    <s v="N.D."/>
    <b v="0"/>
    <s v="Cambio en corte"/>
    <s v="SC- Centro aglomeración"/>
    <n v="1"/>
    <n v="1"/>
    <n v="0"/>
    <n v="0"/>
    <n v="0"/>
    <n v="0"/>
    <s v="Ciudades y aglomeraciones"/>
    <n v="1"/>
    <s v="Centro aglomeración"/>
    <m/>
    <s v="Si"/>
    <s v="Si"/>
    <n v="25.7"/>
    <n v="13.750122052922148"/>
    <n v="0"/>
    <s v="Sin riesgo"/>
    <n v="6.6167743095287506"/>
    <s v="Medio"/>
    <n v="2420776.1988269999"/>
    <n v="459847.31841100001"/>
    <n v="790984"/>
    <n v="3.0604616513444012"/>
    <n v="0.58136108746953163"/>
    <m/>
    <m/>
    <m/>
    <m/>
    <m/>
    <m/>
    <m/>
    <n v="73"/>
    <n v="1"/>
    <n v="3"/>
    <n v="113215.42318699999"/>
    <n v="9005.165626"/>
    <n v="7.9540095973726146E-2"/>
    <s v="0% - 30%"/>
    <n v="2.6199421452006538E-4"/>
    <s v="N.D."/>
    <s v="N.D."/>
    <s v="N.D."/>
    <n v="0.82293162777324835"/>
    <s v="Crítico bajo"/>
    <n v="3"/>
    <s v="Candidato"/>
    <n v="1"/>
    <s v="Unidad Especial de Desarrollo Fronterizo"/>
  </r>
  <r>
    <n v="23815"/>
    <s v="23815"/>
    <x v="14"/>
    <x v="14"/>
    <s v="TUCHÍN"/>
    <n v="55.060166666666703"/>
    <n v="44.48"/>
    <n v="28.7"/>
    <n v="33.71"/>
    <n v="53.822081934766778"/>
    <n v="73.850860009736323"/>
    <n v="65.53274900019521"/>
    <n v="54.484699999999997"/>
    <n v="40.487541666666672"/>
    <n v="61.922597736174573"/>
    <n v="51.205069701420626"/>
    <n v="33.346074612686657"/>
    <n v="66.653925387313336"/>
    <n v="0.69988532848582008"/>
    <n v="0"/>
    <n v="35.837677028118087"/>
    <n v="3"/>
    <n v="3"/>
    <b v="1"/>
    <x v="3"/>
    <n v="54.442619924676563"/>
    <n v="0.71028877294261672"/>
    <n v="38.669981702079774"/>
    <n v="2"/>
    <n v="0"/>
    <n v="-3.237550223255937"/>
    <n v="-1.040344445679664E-2"/>
    <n v="-2.8323046739616871"/>
    <n v="2"/>
    <b v="1"/>
    <n v="0"/>
    <n v="1.1166517821440873"/>
    <n v="60.793448563483281"/>
    <n v="0.58983594735213019"/>
    <n v="2"/>
    <n v="0"/>
    <n v="58.983594735213018"/>
    <n v="3"/>
    <n v="-0.41676645365826726"/>
    <b v="0"/>
    <n v="0"/>
    <n v="2"/>
    <n v="0"/>
    <n v="0"/>
    <n v="0"/>
    <n v="0"/>
    <n v="0"/>
    <n v="0"/>
    <s v="Intermedio"/>
    <n v="6"/>
    <s v="Fuera SC"/>
    <m/>
    <s v="No"/>
    <s v="No"/>
    <n v="78"/>
    <n v="77.975670072190439"/>
    <s v="Sin Información"/>
    <s v="Sin Información"/>
    <n v="0.99087504261134973"/>
    <s v="Medio Bajo"/>
    <n v="97115.709357"/>
    <n v="11294.779833000001"/>
    <n v="60386"/>
    <n v="1.6082487556221641"/>
    <n v="0.18704302045176036"/>
    <m/>
    <m/>
    <m/>
    <m/>
    <m/>
    <m/>
    <m/>
    <n v="10"/>
    <n v="0"/>
    <n v="7"/>
    <n v="10652.481753"/>
    <n v="2876.7354850000002"/>
    <n v="0.27005307793086253"/>
    <s v="0% - 30%"/>
    <n v="8.3695079588375621E-5"/>
    <n v="2165.3630990000001"/>
    <n v="0.20327311036136539"/>
    <s v="0% - 30%"/>
    <n v="0.93855946155505787"/>
    <s v="Aceptable"/>
    <n v="1"/>
    <s v="Candidato"/>
    <n v="0"/>
    <n v="0"/>
  </r>
  <r>
    <n v="5030"/>
    <s v="05030"/>
    <x v="1"/>
    <x v="1"/>
    <s v="AMAGÁ"/>
    <n v="53.830599999999997"/>
    <n v="58.64"/>
    <n v="43.02"/>
    <n v="44.31"/>
    <n v="60.750091468026511"/>
    <n v="72.167404447145245"/>
    <n v="64.425323830597222"/>
    <n v="65.251800000000003"/>
    <n v="49.950150000000001"/>
    <n v="65.648654936442242"/>
    <n v="57.799402468221118"/>
    <n v="33.013489402301012"/>
    <n v="66.986510597698981"/>
    <n v="0.70287859537929076"/>
    <n v="0"/>
    <n v="40.625962820625574"/>
    <n v="2"/>
    <n v="2"/>
    <b v="1"/>
    <x v="3"/>
    <n v="57.201380808786979"/>
    <n v="0.71153277088723677"/>
    <n v="40.700656985452206"/>
    <n v="2"/>
    <n v="0"/>
    <n v="0.59802165943413854"/>
    <n v="-8.6541755079460048E-3"/>
    <n v="-7.4694164826631493E-2"/>
    <n v="2"/>
    <b v="1"/>
    <n v="0"/>
    <n v="1.1166517821440873"/>
    <n v="63.874023821234573"/>
    <n v="0.62837069659419609"/>
    <n v="2"/>
    <n v="0"/>
    <n v="62.837069659419612"/>
    <n v="3"/>
    <n v="-0.41377318676479657"/>
    <b v="0"/>
    <n v="0"/>
    <n v="1"/>
    <n v="-1"/>
    <n v="0"/>
    <n v="0"/>
    <n v="0"/>
    <n v="0"/>
    <n v="0"/>
    <s v="Intermedio"/>
    <n v="5"/>
    <s v="Fuera SC"/>
    <m/>
    <s v="No"/>
    <s v="Si"/>
    <n v="22.9"/>
    <n v="9.663881290515981"/>
    <n v="30.568449311005033"/>
    <s v="Medio"/>
    <n v="5.3119817127724085"/>
    <s v="Medio Bajo"/>
    <n v="79522.107959999994"/>
    <n v="22269.60803965"/>
    <n v="32595"/>
    <n v="2.4397026525540726"/>
    <n v="0.68322159962110751"/>
    <m/>
    <m/>
    <m/>
    <m/>
    <m/>
    <m/>
    <m/>
    <n v="83"/>
    <n v="1"/>
    <n v="6"/>
    <n v="8411.8976770000008"/>
    <n v="537.04995799999995"/>
    <n v="6.3844090670338749E-2"/>
    <s v="0% - 30%"/>
    <n v="1.5624807776771933E-5"/>
    <s v="N.D."/>
    <s v="N.D."/>
    <s v="N.D."/>
    <n v="0.93029069671123343"/>
    <s v="Aceptable"/>
    <n v="2"/>
    <s v="Candidato"/>
    <n v="0"/>
    <n v="0"/>
  </r>
  <r>
    <n v="5697"/>
    <s v="05697"/>
    <x v="1"/>
    <x v="1"/>
    <s v="EL SANTUARIO"/>
    <n v="84.315299999999993"/>
    <n v="77.819999999999993"/>
    <n v="79.84"/>
    <n v="82.3"/>
    <n v="58.034764466681729"/>
    <n v="66.861928020081947"/>
    <n v="64.239396157924944"/>
    <n v="61.523000000000003"/>
    <n v="81.06882499999999"/>
    <n v="62.664772161172152"/>
    <n v="71.866798580586078"/>
    <n v="33.604153996254048"/>
    <n v="66.395846003745959"/>
    <n v="0.69756261403371367"/>
    <n v="0"/>
    <n v="50.131591880108004"/>
    <n v="2"/>
    <n v="2"/>
    <b v="1"/>
    <x v="0"/>
    <n v="72.933372783115374"/>
    <n v="0.71270638751351012"/>
    <n v="51.98008064543032"/>
    <n v="1"/>
    <n v="0"/>
    <n v="-1.0665742025292957"/>
    <n v="-1.5143773479796452E-2"/>
    <n v="-1.8484887653223154"/>
    <n v="1"/>
    <b v="1"/>
    <n v="0"/>
    <n v="1.1166517821440873"/>
    <n v="81.441180696044853"/>
    <n v="0.84811731156928161"/>
    <n v="1"/>
    <n v="0"/>
    <n v="84.811731156928161"/>
    <n v="2"/>
    <n v="-0.41908916811037367"/>
    <b v="0"/>
    <n v="0"/>
    <n v="1"/>
    <n v="0"/>
    <n v="0"/>
    <n v="0"/>
    <n v="0"/>
    <n v="0"/>
    <n v="0"/>
    <s v="Intermedio"/>
    <n v="6"/>
    <s v="Fuera SC"/>
    <m/>
    <s v="No"/>
    <s v="Si"/>
    <n v="22"/>
    <n v="6.7955709800033048"/>
    <n v="11.397519656810426"/>
    <s v="Bajo"/>
    <n v="1.218441216905235"/>
    <s v="Medio Bajo"/>
    <n v="59628.100095000002"/>
    <n v="24200.487281999998"/>
    <n v="39396"/>
    <n v="1.5135572163417605"/>
    <n v="0.61428792978982638"/>
    <m/>
    <m/>
    <m/>
    <m/>
    <m/>
    <m/>
    <m/>
    <n v="22"/>
    <n v="0"/>
    <n v="6"/>
    <n v="8352.8319690000008"/>
    <n v="3707.8519550000001"/>
    <n v="0.44390357291527122"/>
    <s v="31% - 50%"/>
    <n v="1.0787539073153233E-4"/>
    <s v="N.D."/>
    <s v="N.D."/>
    <s v="N.D."/>
    <n v="0.81152791204082131"/>
    <s v="Crítico bajo"/>
    <n v="3"/>
    <s v="Candidato"/>
    <n v="0"/>
    <n v="0"/>
  </r>
  <r>
    <n v="76520"/>
    <s v="76520"/>
    <x v="3"/>
    <x v="3"/>
    <s v="PALMIRA"/>
    <n v="72.999733333333296"/>
    <n v="79.98"/>
    <n v="82"/>
    <n v="82.41"/>
    <n v="57.700775200812203"/>
    <n v="58.843563028243381"/>
    <n v="52.580807541655275"/>
    <n v="63.866599999999998"/>
    <n v="79.347433333333328"/>
    <n v="58.247936442677712"/>
    <n v="68.79768488800552"/>
    <n v="34.801666901705616"/>
    <n v="65.198333098294384"/>
    <n v="0.68678499788464942"/>
    <n v="0"/>
    <n v="47.249217870277647"/>
    <n v="2"/>
    <n v="2"/>
    <b v="1"/>
    <x v="0"/>
    <n v="64.825945482036616"/>
    <n v="0.6995236100284099"/>
    <n v="45.347279407099144"/>
    <n v="2"/>
    <n v="1"/>
    <n v="3.9717394059689042"/>
    <n v="-1.2738612143760486E-2"/>
    <n v="1.901938463178503"/>
    <n v="1"/>
    <b v="1"/>
    <s v="Efecto ponderador"/>
    <n v="0.9741882058902549"/>
    <n v="63.152671524284727"/>
    <n v="0.61934733973634692"/>
    <n v="2"/>
    <n v="1"/>
    <n v="61.934733973634692"/>
    <n v="3"/>
    <n v="-0.28740320800560548"/>
    <b v="0"/>
    <s v="Cambio en corte"/>
    <n v="1"/>
    <n v="0"/>
    <n v="0"/>
    <n v="1"/>
    <n v="0"/>
    <n v="0"/>
    <n v="0"/>
    <s v="Ciudades y aglomeraciones"/>
    <n v="1"/>
    <s v="Uninodal"/>
    <m/>
    <s v="Si"/>
    <s v="Si"/>
    <n v="11.5"/>
    <n v="4.5692626005689014"/>
    <n v="2.863038010269817"/>
    <s v="Sin riesgo"/>
    <n v="3.4377242815853797"/>
    <s v="Medio Bajo"/>
    <n v="891310.53115299996"/>
    <n v="449836.56303890003"/>
    <n v="378446"/>
    <n v="2.3551854984674168"/>
    <n v="1.188641346556444"/>
    <m/>
    <m/>
    <m/>
    <m/>
    <m/>
    <m/>
    <m/>
    <n v="85"/>
    <n v="0"/>
    <n v="3"/>
    <n v="100505.238702"/>
    <n v="39748.121764000003"/>
    <n v="0.39548308403956894"/>
    <s v="31% - 50%"/>
    <n v="1.1564226992272198E-3"/>
    <s v="N.D."/>
    <s v="N.D."/>
    <s v="N.D."/>
    <n v="0.99007969257479811"/>
    <s v="Aceptable"/>
    <n v="3"/>
    <s v="Candidato"/>
    <n v="0"/>
    <n v="0"/>
  </r>
  <r>
    <n v="15759"/>
    <s v="15759"/>
    <x v="10"/>
    <x v="10"/>
    <s v="SOGAMOSO"/>
    <n v="82.696799999999996"/>
    <n v="88.93"/>
    <n v="86.28"/>
    <n v="88"/>
    <n v="48.374072534065427"/>
    <n v="56.387633763452321"/>
    <n v="58.987908863127927"/>
    <n v="75.722399999999993"/>
    <n v="86.476699999999994"/>
    <n v="59.868003790161417"/>
    <n v="73.172351895080709"/>
    <n v="35.323619893944333"/>
    <n v="64.67638010605566"/>
    <n v="0.68208742095450092"/>
    <n v="0"/>
    <n v="49.909940789290786"/>
    <n v="2"/>
    <n v="2"/>
    <b v="1"/>
    <x v="0"/>
    <n v="69.366230287711204"/>
    <n v="0.69885203505422633"/>
    <n v="48.476731200607084"/>
    <n v="1"/>
    <n v="0"/>
    <n v="3.806121607369505"/>
    <n v="-1.6764614099725406E-2"/>
    <n v="1.4332095886837024"/>
    <n v="1"/>
    <b v="1"/>
    <n v="0"/>
    <s v="Especial"/>
    <s v="N.D."/>
    <s v="N.D."/>
    <s v="SC- Centro aglomeración"/>
    <n v="1"/>
    <s v="N.D"/>
    <n v="2"/>
    <s v="N.D."/>
    <b v="0"/>
    <s v="Cambio en corte"/>
    <s v="SC- Centro aglomeración"/>
    <n v="1"/>
    <n v="0"/>
    <n v="1"/>
    <n v="0"/>
    <n v="0"/>
    <n v="0"/>
    <s v="Ciudades y aglomeraciones"/>
    <n v="2"/>
    <s v="Centro aglomeración"/>
    <m/>
    <s v="Si"/>
    <s v="No"/>
    <n v="10.4"/>
    <n v="3.5932152330903828"/>
    <n v="0.92759512406381028"/>
    <s v="Sin riesgo"/>
    <n v="1.2631334076225447"/>
    <s v="Medio Bajo"/>
    <n v="340671.05210799997"/>
    <n v="96779.431789199996"/>
    <n v="136725"/>
    <n v="2.4916515056353994"/>
    <n v="0.70784005696982988"/>
    <m/>
    <m/>
    <m/>
    <m/>
    <m/>
    <m/>
    <m/>
    <n v="62"/>
    <n v="1"/>
    <n v="4"/>
    <n v="20732.078419000001"/>
    <n v="10469.788868"/>
    <n v="0.50500430571422672"/>
    <s v="31% - 50%"/>
    <n v="3.0460562576915167E-4"/>
    <s v="N.D."/>
    <s v="N.D."/>
    <s v="N.D."/>
    <n v="0.74943274409678917"/>
    <s v="Crítico Medio"/>
    <n v="2"/>
    <s v="Candidato"/>
    <n v="0"/>
    <n v="0"/>
  </r>
  <r>
    <n v="19573"/>
    <s v="19573"/>
    <x v="13"/>
    <x v="13"/>
    <s v="PUERTO TEJADA"/>
    <n v="54.482300000000002"/>
    <n v="72.12"/>
    <n v="81.77"/>
    <n v="84.43"/>
    <n v="59.929687566540366"/>
    <n v="56.669071570400348"/>
    <n v="47.562715820724804"/>
    <n v="48.549399999999999"/>
    <n v="73.200575000000001"/>
    <n v="53.177718739416378"/>
    <n v="63.189146869708189"/>
    <n v="35.903795286246861"/>
    <n v="64.096204713753139"/>
    <n v="0.67686584242377823"/>
    <n v="0"/>
    <n v="42.770575128004886"/>
    <n v="2"/>
    <n v="2"/>
    <b v="1"/>
    <x v="3"/>
    <n v="59.309102566381789"/>
    <n v="0.69744594558984163"/>
    <n v="41.364893121495051"/>
    <n v="2"/>
    <n v="0"/>
    <n v="3.8800443033264003"/>
    <n v="-2.0580103166063402E-2"/>
    <n v="1.405682006509835"/>
    <n v="2"/>
    <b v="1"/>
    <n v="0"/>
    <n v="0.9741882058902549"/>
    <n v="57.778228222104588"/>
    <n v="0.55211871922331013"/>
    <n v="2"/>
    <n v="0"/>
    <n v="55.211871922331014"/>
    <n v="3"/>
    <n v="-0.29732236346647667"/>
    <b v="0"/>
    <n v="0"/>
    <n v="2"/>
    <n v="0"/>
    <n v="0"/>
    <n v="0"/>
    <n v="0"/>
    <n v="0"/>
    <n v="0"/>
    <s v="Ciudades y aglomeraciones"/>
    <n v="5"/>
    <s v="En aglomeración"/>
    <m/>
    <s v="No"/>
    <s v="No"/>
    <n v="16.600000000000001"/>
    <n v="7.9760119940029988"/>
    <n v="0.59616402448022809"/>
    <s v="Sin riesgo"/>
    <n v="13.27739276772234"/>
    <s v="Alto"/>
    <n v="61330.633961"/>
    <n v="21513.718613000001"/>
    <n v="43471"/>
    <n v="1.4108401914149662"/>
    <n v="0.49489817609440778"/>
    <m/>
    <m/>
    <m/>
    <m/>
    <m/>
    <m/>
    <m/>
    <n v="32"/>
    <n v="0"/>
    <n v="6"/>
    <n v="11316.391291"/>
    <n v="426.19460400000003"/>
    <n v="3.7661706195945645E-2"/>
    <s v="0% - 30%"/>
    <n v="1.2399607641338714E-5"/>
    <n v="5.2220999999999997E-2"/>
    <n v="4.6146336457569914E-6"/>
    <n v="0"/>
    <n v="0.9804807185091835"/>
    <s v="Aceptable"/>
    <n v="2"/>
    <s v="Candidato"/>
    <n v="0"/>
    <n v="0"/>
  </r>
  <r>
    <n v="8520"/>
    <s v="08520"/>
    <x v="2"/>
    <x v="2"/>
    <s v="PALMAR DE VARELA"/>
    <n v="65.743700000000004"/>
    <n v="68.91"/>
    <n v="55"/>
    <n v="55.12"/>
    <n v="53.412704969634312"/>
    <n v="60.574079628510006"/>
    <n v="70.963654717301893"/>
    <n v="61.9861"/>
    <n v="61.193425000000005"/>
    <n v="61.734134828861549"/>
    <n v="61.463779914430773"/>
    <n v="34.799657655325277"/>
    <n v="65.200342344674723"/>
    <n v="0.68680308110207244"/>
    <n v="0"/>
    <n v="42.213513421410731"/>
    <n v="2"/>
    <n v="2"/>
    <b v="1"/>
    <x v="3"/>
    <n v="61.545932945889767"/>
    <n v="0.69574890858589433"/>
    <n v="42.820515675003442"/>
    <n v="2"/>
    <n v="0"/>
    <n v="-8.2153031458993553E-2"/>
    <n v="-8.9458274838218887E-3"/>
    <n v="-0.60700225359271087"/>
    <n v="2"/>
    <b v="1"/>
    <n v="0"/>
    <n v="0.9741882058902549"/>
    <n v="59.957321996398285"/>
    <n v="0.57937688535837484"/>
    <n v="2"/>
    <n v="0"/>
    <n v="57.937688535837481"/>
    <n v="3"/>
    <n v="-0.28738512478818246"/>
    <b v="0"/>
    <n v="0"/>
    <n v="2"/>
    <n v="0"/>
    <n v="0"/>
    <n v="0"/>
    <n v="0"/>
    <n v="0"/>
    <n v="0"/>
    <s v="Ciudades y aglomeraciones"/>
    <n v="6"/>
    <s v="En aglomeración"/>
    <m/>
    <s v="No"/>
    <s v="No"/>
    <n v="36"/>
    <n v="18.163694761324621"/>
    <n v="0"/>
    <s v="Sin riesgo"/>
    <n v="0.59382577008034398"/>
    <s v="Medio Bajo"/>
    <n v="45494.884461000001"/>
    <n v="12306.695818"/>
    <n v="34647"/>
    <n v="1.313097366611828"/>
    <n v="0.35520234992928679"/>
    <m/>
    <m/>
    <m/>
    <m/>
    <m/>
    <m/>
    <m/>
    <n v="5"/>
    <n v="0"/>
    <n v="7"/>
    <n v="9219.1760990000002"/>
    <n v="659.84525299999996"/>
    <n v="7.1573126048820462E-2"/>
    <s v="0% - 30%"/>
    <n v="1.9197385805475558E-5"/>
    <s v="N.D."/>
    <s v="N.D."/>
    <s v="N.D."/>
    <n v="0.90725344163429433"/>
    <s v="Aceptable"/>
    <n v="2"/>
    <s v="Candidato"/>
    <n v="0"/>
    <n v="0"/>
  </r>
  <r>
    <n v="25843"/>
    <s v="25843"/>
    <x v="5"/>
    <x v="5"/>
    <s v="VILLA DE SAN DIEGO DE UBATÉ"/>
    <n v="86.414333333333303"/>
    <n v="91.21"/>
    <n v="90.53"/>
    <n v="96.06"/>
    <n v="67.473615376793902"/>
    <n v="62.262567369970974"/>
    <n v="62.748600039503501"/>
    <n v="66.861199999999997"/>
    <n v="91.053583333333322"/>
    <n v="64.836495696567098"/>
    <n v="77.94503951495021"/>
    <n v="36.645683055071579"/>
    <n v="63.354316944928421"/>
    <n v="0.67018885250435578"/>
    <n v="0"/>
    <n v="52.23789659093115"/>
    <n v="2"/>
    <n v="2"/>
    <b v="1"/>
    <x v="0"/>
    <n v="75.173226211371741"/>
    <n v="0.69174802936323976"/>
    <n v="52.000931092593447"/>
    <n v="1"/>
    <n v="0"/>
    <n v="2.7718133035784689"/>
    <n v="-2.1559176858883977E-2"/>
    <n v="0.2369654983377032"/>
    <n v="1"/>
    <b v="1"/>
    <n v="0"/>
    <n v="0.9741882058902549"/>
    <n v="73.232870373838523"/>
    <n v="0.74544000181312486"/>
    <n v="1"/>
    <n v="0"/>
    <n v="74.544000181312484"/>
    <n v="2"/>
    <n v="-0.30399935338589912"/>
    <b v="0"/>
    <n v="0"/>
    <n v="1"/>
    <n v="0"/>
    <n v="0"/>
    <n v="0"/>
    <n v="0"/>
    <n v="0"/>
    <n v="0"/>
    <s v="Intermedio"/>
    <n v="5"/>
    <s v="Fuera SC"/>
    <m/>
    <s v="No"/>
    <s v="No"/>
    <n v="14.2"/>
    <n v="5.2521590251026007"/>
    <n v="0.40741676986649983"/>
    <s v="Sin riesgo"/>
    <n v="0.6729800289294825"/>
    <s v="Medio Bajo"/>
    <n v="71331.479999000003"/>
    <n v="36332.7025497"/>
    <n v="47305"/>
    <n v="1.5079057181904663"/>
    <n v="0.76805205685868305"/>
    <m/>
    <m/>
    <m/>
    <m/>
    <m/>
    <m/>
    <m/>
    <n v="36"/>
    <n v="1"/>
    <n v="6"/>
    <n v="10211.177116999999"/>
    <n v="4190.8891759999997"/>
    <n v="0.41042174942033177"/>
    <s v="31% - 50%"/>
    <n v="1.2192876437903776E-4"/>
    <s v="N.D."/>
    <s v="N.D."/>
    <s v="N.D."/>
    <n v="0.98028673629959084"/>
    <s v="Aceptable"/>
    <n v="3"/>
    <s v="Candidato"/>
    <n v="0"/>
    <n v="0"/>
  </r>
  <r>
    <n v="23162"/>
    <s v="23162"/>
    <x v="14"/>
    <x v="14"/>
    <s v="CERETÉ"/>
    <n v="68.2177333333333"/>
    <n v="47.5"/>
    <n v="45.74"/>
    <n v="56.33"/>
    <n v="61.258916053052829"/>
    <n v="71.013728149304512"/>
    <n v="53.939946835500955"/>
    <n v="70.755200000000002"/>
    <n v="54.44693333333332"/>
    <n v="64.24194775946458"/>
    <n v="59.34444054639895"/>
    <n v="35.183798075583042"/>
    <n v="64.816201924416958"/>
    <n v="0.68334581731975264"/>
    <n v="0"/>
    <n v="40.55277522856246"/>
    <n v="2"/>
    <n v="2"/>
    <b v="1"/>
    <x v="3"/>
    <n v="60.256881633892164"/>
    <n v="0.69380658504102766"/>
    <n v="41.806621271632139"/>
    <n v="2"/>
    <n v="0"/>
    <n v="-0.91244108749321384"/>
    <n v="-1.0460767721275022E-2"/>
    <n v="-1.2538460430696787"/>
    <n v="2"/>
    <b v="1"/>
    <n v="0"/>
    <n v="0.9741882058902549"/>
    <n v="58.701543411462858"/>
    <n v="0.56366841897623332"/>
    <n v="2"/>
    <n v="0"/>
    <n v="56.366841897623331"/>
    <n v="3"/>
    <n v="-0.29084238857050226"/>
    <b v="0"/>
    <n v="0"/>
    <n v="2"/>
    <n v="0"/>
    <n v="0"/>
    <n v="1"/>
    <n v="0"/>
    <n v="0"/>
    <n v="0"/>
    <s v="Intermedio"/>
    <n v="5"/>
    <s v="Fuera SC"/>
    <m/>
    <s v="No"/>
    <s v="Si"/>
    <n v="34.4"/>
    <n v="25.190037955597152"/>
    <n v="0"/>
    <s v="Sin riesgo"/>
    <n v="2.5762155716575648"/>
    <s v="Medio Bajo"/>
    <n v="258694.15857999999"/>
    <n v="31553.239698000001"/>
    <n v="119389"/>
    <n v="2.166817366591562"/>
    <n v="0.26428933735938825"/>
    <m/>
    <m/>
    <m/>
    <m/>
    <m/>
    <m/>
    <m/>
    <n v="56"/>
    <n v="0"/>
    <n v="5"/>
    <n v="29044.660767000001"/>
    <n v="1747.8661090000001"/>
    <n v="6.0178568550743508E-2"/>
    <s v="0% - 30%"/>
    <n v="5.0852013980902882E-5"/>
    <s v="N.D."/>
    <s v="N.D."/>
    <s v="N.D."/>
    <n v="0.95826153407759862"/>
    <s v="Aceptable"/>
    <n v="2"/>
    <s v="Candidato"/>
    <n v="0"/>
    <n v="0"/>
  </r>
  <r>
    <n v="25295"/>
    <s v="25295"/>
    <x v="5"/>
    <x v="5"/>
    <s v="GACHANCIPÁ"/>
    <n v="71.590800000000002"/>
    <n v="85.79"/>
    <n v="49.43"/>
    <n v="56.84"/>
    <n v="57.018038062873629"/>
    <n v="64.443756893948304"/>
    <n v="64.888026338788791"/>
    <n v="61.994900000000001"/>
    <n v="65.912700000000001"/>
    <n v="62.086180323902681"/>
    <n v="63.999440161951341"/>
    <n v="35.799788991369759"/>
    <n v="64.200211008630248"/>
    <n v="0.67780189907767219"/>
    <n v="0"/>
    <n v="43.37894208167846"/>
    <n v="2"/>
    <n v="2"/>
    <b v="1"/>
    <x v="3"/>
    <n v="64.377074539051989"/>
    <n v="0.69017296255623761"/>
    <n v="44.431316255321249"/>
    <n v="2"/>
    <n v="0"/>
    <n v="-0.37763437710064807"/>
    <n v="-1.2371063478565425E-2"/>
    <n v="-1.0523741736427894"/>
    <n v="2"/>
    <b v="1"/>
    <n v="0"/>
    <n v="0.9741882058902549"/>
    <n v="62.715386745662265"/>
    <n v="0.61387736809738458"/>
    <n v="2"/>
    <n v="0"/>
    <n v="61.387736809738456"/>
    <n v="3"/>
    <n v="-0.29638630681258271"/>
    <b v="0"/>
    <n v="0"/>
    <n v="1"/>
    <n v="-1"/>
    <n v="0"/>
    <n v="0"/>
    <n v="0"/>
    <n v="0"/>
    <n v="0"/>
    <s v="Ciudades y aglomeraciones"/>
    <n v="6"/>
    <s v="En aglomeración"/>
    <m/>
    <s v="No"/>
    <s v="No"/>
    <n v="11.1"/>
    <n v="4.7647732064333477"/>
    <n v="6.1737991431419648"/>
    <s v="Bajo"/>
    <n v="0.42250028352797842"/>
    <s v="Medio Bajo"/>
    <n v="39774.021054999997"/>
    <n v="23561.657013799999"/>
    <n v="20800"/>
    <n v="1.9122125507211538"/>
    <n v="1.1327719718173077"/>
    <m/>
    <m/>
    <m/>
    <m/>
    <m/>
    <m/>
    <m/>
    <n v="96"/>
    <n v="0"/>
    <n v="6"/>
    <n v="4286.5440680000002"/>
    <n v="963.13411699999995"/>
    <n v="0.22468779084531271"/>
    <s v="0% - 30%"/>
    <n v="2.8021202156719971E-5"/>
    <s v="N.D."/>
    <s v="N.D."/>
    <s v="N.D."/>
    <n v="0.97165574729324555"/>
    <s v="Aceptable"/>
    <n v="2"/>
    <s v="Candidato"/>
    <n v="0"/>
    <n v="0"/>
  </r>
  <r>
    <n v="63401"/>
    <s v="63401"/>
    <x v="7"/>
    <x v="7"/>
    <s v="LA TEBAIDA"/>
    <n v="71.642099999999999"/>
    <n v="70.55"/>
    <n v="67.8"/>
    <n v="63.55"/>
    <n v="50.336469226468367"/>
    <n v="52.475237760317285"/>
    <n v="13.864202829387549"/>
    <n v="54.812399999999997"/>
    <n v="68.385525000000001"/>
    <n v="42.8720774540433"/>
    <n v="55.628801227021654"/>
    <n v="36.375234290180373"/>
    <n v="63.624765709819627"/>
    <n v="0.67262289138837672"/>
    <n v="0"/>
    <n v="37.417205125788584"/>
    <n v="3"/>
    <n v="3"/>
    <b v="1"/>
    <x v="3"/>
    <n v="56.563430423881911"/>
    <n v="0.69204025513578582"/>
    <n v="39.144170821898506"/>
    <n v="2"/>
    <n v="0"/>
    <n v="-0.93462919686025714"/>
    <n v="-1.94173637474091E-2"/>
    <n v="-1.7269656961099216"/>
    <n v="2"/>
    <b v="1"/>
    <n v="0"/>
    <n v="0.9741882058902549"/>
    <n v="55.103426803639778"/>
    <n v="0.5186597729847745"/>
    <n v="2"/>
    <n v="0"/>
    <n v="51.865977298477453"/>
    <n v="3"/>
    <n v="-0.30156531450187818"/>
    <b v="0"/>
    <n v="0"/>
    <n v="1"/>
    <n v="-1"/>
    <n v="0"/>
    <n v="0"/>
    <n v="0"/>
    <n v="0"/>
    <n v="0"/>
    <s v="Ciudades y aglomeraciones"/>
    <n v="6"/>
    <s v="En aglomeración"/>
    <m/>
    <s v="No"/>
    <s v="No"/>
    <n v="27.4"/>
    <n v="10.227447600874088"/>
    <n v="0"/>
    <s v="Sin riesgo"/>
    <n v="2.1929349726190148"/>
    <s v="Medio Bajo"/>
    <n v="66831.886345000006"/>
    <n v="25188.858686"/>
    <n v="33885"/>
    <n v="1.9723147807289363"/>
    <n v="0.74336310125424232"/>
    <m/>
    <m/>
    <m/>
    <m/>
    <m/>
    <m/>
    <m/>
    <n v="16"/>
    <n v="0"/>
    <n v="6"/>
    <n v="8944.5048279999992"/>
    <n v="2942.0862339999999"/>
    <n v="0.32892667515702528"/>
    <s v="31% - 50%"/>
    <n v="8.5596379227231687E-5"/>
    <s v="N.D."/>
    <s v="N.D."/>
    <s v="N.D."/>
    <n v="0.80713316006406144"/>
    <s v="Crítico bajo"/>
    <n v="2"/>
    <s v="Candidato"/>
    <n v="0"/>
    <n v="0"/>
  </r>
  <r>
    <n v="68547"/>
    <s v="68547"/>
    <x v="0"/>
    <x v="0"/>
    <s v="PIEDECUESTA"/>
    <n v="71.256699999999995"/>
    <n v="73.36"/>
    <n v="67.400000000000006"/>
    <n v="68.72"/>
    <n v="61.188819014925102"/>
    <n v="63.04297927249354"/>
    <n v="64.360882417693702"/>
    <n v="59.969200000000001"/>
    <n v="70.184174999999996"/>
    <n v="62.140470176278086"/>
    <n v="66.162322588139034"/>
    <n v="35.849987619183153"/>
    <n v="64.150012380816847"/>
    <n v="0.67735011142735158"/>
    <n v="0"/>
    <n v="44.815056577368352"/>
    <n v="2"/>
    <n v="2"/>
    <b v="1"/>
    <x v="3"/>
    <n v="64.893106304757765"/>
    <n v="0.69131680902049697"/>
    <n v="44.861695178033031"/>
    <n v="2"/>
    <n v="0"/>
    <n v="1.2692162833812688"/>
    <n v="-1.3966697593145394E-2"/>
    <n v="-4.663860066467862E-2"/>
    <n v="2"/>
    <b v="1"/>
    <n v="0"/>
    <n v="0.9741882058902549"/>
    <n v="63.218098805677556"/>
    <n v="0.62016576605971596"/>
    <n v="2"/>
    <n v="0"/>
    <n v="62.016576605971593"/>
    <n v="3"/>
    <n v="-0.29683809446290332"/>
    <b v="0"/>
    <n v="0"/>
    <n v="2"/>
    <n v="0"/>
    <n v="0"/>
    <n v="1"/>
    <n v="0"/>
    <n v="0"/>
    <n v="0"/>
    <s v="Ciudades y aglomeraciones"/>
    <n v="2"/>
    <s v="En aglomeración"/>
    <m/>
    <s v="Si"/>
    <s v="No"/>
    <n v="16.2"/>
    <n v="5.5521511553683132"/>
    <n v="4.6163822048527772"/>
    <s v="Sin riesgo"/>
    <n v="0.78471979173904605"/>
    <s v="Medio Bajo"/>
    <n v="411563.75232799997"/>
    <n v="127864.94005605001"/>
    <n v="189863"/>
    <n v="2.1676880294106802"/>
    <n v="0.67345896807724526"/>
    <m/>
    <m/>
    <m/>
    <m/>
    <m/>
    <m/>
    <m/>
    <n v="39"/>
    <n v="0"/>
    <n v="6"/>
    <n v="48379.585050000002"/>
    <n v="22153.020542999999"/>
    <n v="0.45790017669860106"/>
    <s v="31% - 50%"/>
    <n v="6.4451487706708812E-4"/>
    <s v="N.D."/>
    <s v="N.D."/>
    <s v="N.D."/>
    <n v="0.94923004384422405"/>
    <s v="Aceptable"/>
    <n v="2"/>
    <s v="Candidato"/>
    <n v="0"/>
    <n v="0"/>
  </r>
  <r>
    <n v="15238"/>
    <s v="15238"/>
    <x v="10"/>
    <x v="10"/>
    <s v="DUITAMA"/>
    <n v="56.996833333333299"/>
    <n v="55.61"/>
    <n v="54.78"/>
    <n v="57.55"/>
    <n v="57.092778535663491"/>
    <n v="57.291450525943326"/>
    <n v="57.692940917302835"/>
    <n v="57.785800000000002"/>
    <n v="56.234208333333328"/>
    <n v="57.465742494727408"/>
    <n v="56.849975414030368"/>
    <n v="36.114972168712221"/>
    <n v="63.885027831287779"/>
    <n v="0.67496525048158995"/>
    <n v="0"/>
    <n v="38.371757895203238"/>
    <n v="3"/>
    <n v="3"/>
    <b v="1"/>
    <x v="3"/>
    <n v="57.253458496808591"/>
    <n v="0.69054861513903099"/>
    <n v="39.53629647689116"/>
    <n v="2"/>
    <n v="0"/>
    <n v="-0.40348308277822298"/>
    <n v="-1.5583364657441034E-2"/>
    <n v="-1.1645385816879212"/>
    <n v="2"/>
    <b v="1"/>
    <n v="0"/>
    <s v="Especial"/>
    <s v="N.D."/>
    <s v="N.D."/>
    <s v="SC- Centro aglomeración"/>
    <n v="2"/>
    <s v="N.D"/>
    <n v="3"/>
    <s v="N.D."/>
    <b v="0"/>
    <s v="Cambio en corte"/>
    <s v="SC- Centro aglomeración"/>
    <n v="2"/>
    <n v="0"/>
    <n v="1"/>
    <n v="0"/>
    <n v="0"/>
    <n v="0"/>
    <s v="Ciudades y aglomeraciones"/>
    <n v="3"/>
    <s v="Centro aglomeración"/>
    <m/>
    <s v="Si"/>
    <s v="No"/>
    <n v="10.5"/>
    <n v="3.382817786991271"/>
    <n v="2.5982463134968565"/>
    <s v="Sin riesgo"/>
    <n v="1.3274497459639101"/>
    <s v="Medio Bajo"/>
    <n v="270876.53771300003"/>
    <n v="74401.65124169999"/>
    <n v="134425"/>
    <n v="2.015075601361354"/>
    <n v="0.55348076058545648"/>
    <m/>
    <m/>
    <m/>
    <m/>
    <m/>
    <m/>
    <m/>
    <n v="21"/>
    <n v="1"/>
    <n v="4"/>
    <n v="23354.543514000001"/>
    <n v="13791.227621"/>
    <n v="0.59051582886785081"/>
    <s v="51% - 70%"/>
    <n v="4.012387998060931E-4"/>
    <s v="N.D."/>
    <s v="N.D."/>
    <s v="N.D."/>
    <n v="0.93204374316170391"/>
    <s v="Aceptable"/>
    <n v="1"/>
    <s v="Candidato"/>
    <n v="0"/>
    <n v="0"/>
  </r>
  <r>
    <n v="73001"/>
    <s v="73001"/>
    <x v="15"/>
    <x v="15"/>
    <s v="IBAGUÉ"/>
    <n v="98.213133742488196"/>
    <n v="86.44"/>
    <n v="85.44"/>
    <n v="85.2"/>
    <n v="49.048113175611228"/>
    <n v="56.058816399255477"/>
    <n v="59.66103266941839"/>
    <n v="52.416499999999999"/>
    <n v="88.823283435622045"/>
    <n v="54.296115561071275"/>
    <n v="71.55969949834666"/>
    <n v="36.209658141249243"/>
    <n v="63.790341858750757"/>
    <n v="0.67411307672875675"/>
    <n v="0"/>
    <n v="48.239329198615735"/>
    <n v="2"/>
    <n v="2"/>
    <b v="1"/>
    <x v="0"/>
    <n v="74.065611264075159"/>
    <n v="0.68712223690897456"/>
    <n v="50.892128489801863"/>
    <n v="1"/>
    <n v="0"/>
    <n v="-2.5059117657284986"/>
    <n v="-1.3009160180217805E-2"/>
    <n v="-2.6527992911861276"/>
    <n v="1"/>
    <b v="1"/>
    <n v="0"/>
    <n v="0.9741882058902549"/>
    <n v="72.15384495551443"/>
    <n v="0.73194253122989161"/>
    <n v="1"/>
    <n v="0"/>
    <n v="73.194253122989167"/>
    <n v="2"/>
    <n v="-0.30007512916149814"/>
    <b v="0"/>
    <n v="0"/>
    <n v="1"/>
    <n v="0"/>
    <n v="1"/>
    <n v="0"/>
    <n v="0"/>
    <n v="0"/>
    <n v="0"/>
    <s v="Ciudades y aglomeraciones"/>
    <n v="1"/>
    <s v="Uninodal"/>
    <m/>
    <s v="Si"/>
    <s v="Si"/>
    <n v="14.8"/>
    <n v="5.4248581647131209"/>
    <n v="9.1512820926800771"/>
    <s v="Bajo"/>
    <n v="1.1091438394613093"/>
    <s v="Medio Bajo"/>
    <n v="1305626.203278"/>
    <n v="380194.02418070001"/>
    <n v="552035"/>
    <n v="2.3651148990154609"/>
    <n v="0.68871362174626616"/>
    <m/>
    <m/>
    <m/>
    <m/>
    <m/>
    <m/>
    <m/>
    <n v="18"/>
    <n v="1"/>
    <n v="3"/>
    <n v="137657.180055"/>
    <n v="89891.044718999998"/>
    <n v="0.65300658260676725"/>
    <s v="51% - 70%"/>
    <n v="2.6152693500212229E-3"/>
    <s v="N.D."/>
    <s v="N.D."/>
    <s v="N.D."/>
    <n v="0.91744534148526458"/>
    <s v="Aceptable"/>
    <n v="2"/>
    <s v="Candidato"/>
    <n v="0"/>
    <n v="0"/>
  </r>
  <r>
    <n v="70221"/>
    <s v="70221"/>
    <x v="9"/>
    <x v="9"/>
    <s v="COVEÑAS"/>
    <n v="65.873900000000006"/>
    <n v="74.25"/>
    <n v="67.94"/>
    <n v="75.099999999999994"/>
    <n v="53.85517970048879"/>
    <n v="62.701503405177775"/>
    <n v="72.661851348855421"/>
    <n v="69.795000000000002"/>
    <n v="70.790975000000003"/>
    <n v="64.753383613630504"/>
    <n v="67.772179306815246"/>
    <n v="35.743397792426506"/>
    <n v="64.256602207573494"/>
    <n v="0.67830941986816151"/>
    <n v="0"/>
    <n v="45.970507628806871"/>
    <n v="2"/>
    <n v="2"/>
    <b v="1"/>
    <x v="3"/>
    <n v="64.84653171783836"/>
    <n v="0.68838457737772252"/>
    <n v="44.639352330995237"/>
    <n v="2"/>
    <n v="0"/>
    <n v="2.9256475889768865"/>
    <n v="-1.0075157509561006E-2"/>
    <n v="1.3311552978116339"/>
    <n v="2"/>
    <b v="1"/>
    <n v="0"/>
    <n v="0.9741882058902549"/>
    <n v="63.17272639240646"/>
    <n v="0.61959820499672624"/>
    <n v="2"/>
    <n v="0"/>
    <n v="61.959820499672624"/>
    <n v="3"/>
    <n v="-0.29587878602209339"/>
    <b v="0"/>
    <n v="0"/>
    <n v="2"/>
    <n v="0"/>
    <n v="0"/>
    <n v="1"/>
    <n v="0"/>
    <n v="0"/>
    <n v="0"/>
    <s v="Intermedio"/>
    <n v="4"/>
    <s v="Fuera SC"/>
    <m/>
    <s v="No"/>
    <s v="No"/>
    <n v="45"/>
    <n v="28.206992267530236"/>
    <n v="18.604651162790699"/>
    <s v="Medio"/>
    <n v="3.622388598626288"/>
    <s v="Medio Bajo"/>
    <n v="128753.530734"/>
    <n v="99952.853800500001"/>
    <n v="21748"/>
    <n v="5.9202469530071733"/>
    <n v="4.595956124724113"/>
    <m/>
    <m/>
    <m/>
    <m/>
    <m/>
    <m/>
    <m/>
    <n v="43"/>
    <n v="0"/>
    <n v="6"/>
    <n v="5581.6803200000004"/>
    <n v="1873.3052580000001"/>
    <n v="0.33561672303009998"/>
    <s v="31% - 50%"/>
    <n v="5.4501511688910995E-5"/>
    <n v="133.181061"/>
    <n v="2.3860388514690141E-2"/>
    <s v="0% - 30%"/>
    <n v="0.94385323975106261"/>
    <s v="Aceptable"/>
    <n v="3"/>
    <s v="Candidato"/>
    <n v="0"/>
    <n v="0"/>
  </r>
  <r>
    <n v="68307"/>
    <s v="68307"/>
    <x v="0"/>
    <x v="0"/>
    <s v="GIRÓN"/>
    <n v="75.634133333333295"/>
    <n v="59.94"/>
    <n v="62.95"/>
    <n v="66.63"/>
    <n v="48.076813222393483"/>
    <n v="50.952739505402675"/>
    <n v="59.421512703002691"/>
    <n v="64.779499999999999"/>
    <n v="66.288533333333319"/>
    <n v="55.807641357699708"/>
    <n v="61.048087345516514"/>
    <n v="36.33472818833981"/>
    <n v="63.66527181166019"/>
    <n v="0.67298744630494178"/>
    <n v="0"/>
    <n v="41.084596404460193"/>
    <n v="2"/>
    <n v="2"/>
    <b v="1"/>
    <x v="3"/>
    <n v="59.673046394409845"/>
    <n v="0.68636407296534685"/>
    <n v="40.957435169517247"/>
    <n v="2"/>
    <n v="0"/>
    <n v="1.3750409511066692"/>
    <n v="-1.3376626660405067E-2"/>
    <n v="0.12716123494294607"/>
    <n v="2"/>
    <b v="1"/>
    <n v="0"/>
    <n v="0.9741882058902549"/>
    <n v="58.132778006976068"/>
    <n v="0.55655376330135153"/>
    <n v="2"/>
    <n v="0"/>
    <n v="55.655376330135155"/>
    <n v="3"/>
    <n v="-0.30120075958531312"/>
    <b v="0"/>
    <n v="0"/>
    <n v="1"/>
    <n v="-1"/>
    <n v="0"/>
    <n v="1"/>
    <n v="0"/>
    <n v="0"/>
    <n v="0"/>
    <s v="Ciudades y aglomeraciones"/>
    <n v="2"/>
    <s v="En aglomeración"/>
    <m/>
    <s v="Si"/>
    <s v="Si"/>
    <n v="16.5"/>
    <n v="6.6652772268574232"/>
    <n v="0.82527722570138295"/>
    <s v="Sin riesgo"/>
    <n v="1.2405165429407143"/>
    <s v="Medio Bajo"/>
    <n v="417931.93455599999"/>
    <n v="135528.52238529999"/>
    <n v="175000"/>
    <n v="2.3881824831771428"/>
    <n v="0.77444869934457139"/>
    <m/>
    <m/>
    <m/>
    <m/>
    <m/>
    <m/>
    <m/>
    <n v="39"/>
    <n v="0"/>
    <n v="5"/>
    <n v="49157.224656999999"/>
    <n v="12814.282646"/>
    <n v="0.26067953867235349"/>
    <s v="0% - 30%"/>
    <n v="3.7281578772784197E-4"/>
    <s v="N.D."/>
    <s v="N.D."/>
    <s v="N.D."/>
    <n v="0.70092024013493481"/>
    <s v="Crítico Medio"/>
    <n v="2"/>
    <s v="Candidato"/>
    <n v="0"/>
    <n v="0"/>
  </r>
  <r>
    <n v="63130"/>
    <s v="63130"/>
    <x v="7"/>
    <x v="7"/>
    <s v="CALARCÁ"/>
    <n v="70.714200000000005"/>
    <n v="58.4"/>
    <n v="56.23"/>
    <n v="67.290000000000006"/>
    <n v="62.399175298127496"/>
    <n v="61.157035741305407"/>
    <n v="12.596453985372122"/>
    <n v="56.007399999999997"/>
    <n v="63.158550000000005"/>
    <n v="48.040016256201248"/>
    <n v="55.599283128100623"/>
    <n v="37.262734258978782"/>
    <n v="62.737265741021218"/>
    <n v="0.66463539166919094"/>
    <n v="0"/>
    <n v="36.9532513183714"/>
    <n v="3"/>
    <n v="3"/>
    <b v="1"/>
    <x v="3"/>
    <n v="56.099586594623723"/>
    <n v="0.6825801092261099"/>
    <n v="38.292461945297873"/>
    <n v="2"/>
    <n v="0"/>
    <n v="-0.50030346652309987"/>
    <n v="-1.7944717556918954E-2"/>
    <n v="-1.339210626926473"/>
    <n v="2"/>
    <b v="1"/>
    <n v="0"/>
    <n v="0.9741882058902549"/>
    <n v="54.651555615801477"/>
    <n v="0.51300734074204657"/>
    <n v="2"/>
    <n v="0"/>
    <n v="51.300734074204655"/>
    <n v="3"/>
    <n v="-0.30955281422106395"/>
    <b v="0"/>
    <n v="0"/>
    <n v="2"/>
    <n v="0"/>
    <n v="0"/>
    <n v="1"/>
    <n v="0"/>
    <n v="0"/>
    <n v="0"/>
    <s v="Ciudades y aglomeraciones"/>
    <n v="5"/>
    <s v="En aglomeración"/>
    <m/>
    <s v="No"/>
    <s v="Si"/>
    <n v="19.899999999999999"/>
    <n v="7.249949543003777"/>
    <n v="0.97070554070018589"/>
    <s v="Sin riesgo"/>
    <n v="7.3329228282805623"/>
    <s v="Medio"/>
    <n v="101832.310159"/>
    <n v="34956.760861099996"/>
    <n v="74545"/>
    <n v="1.3660515146421626"/>
    <n v="0.46893501725266612"/>
    <m/>
    <m/>
    <m/>
    <m/>
    <m/>
    <m/>
    <m/>
    <n v="16"/>
    <n v="0"/>
    <n v="6"/>
    <n v="21978.548912999999"/>
    <n v="16786.220282999999"/>
    <n v="0.76375471144371998"/>
    <s v="71% - 100%"/>
    <n v="4.8837442646336665E-4"/>
    <n v="153.05898199999999"/>
    <n v="6.9640167149282442E-3"/>
    <s v="0% - 30%"/>
    <n v="0.91161524888599899"/>
    <s v="Aceptable"/>
    <n v="2"/>
    <s v="Candidato"/>
    <n v="0"/>
    <n v="0"/>
  </r>
  <r>
    <n v="50001"/>
    <s v="50001"/>
    <x v="16"/>
    <x v="16"/>
    <s v="VILLAVICENCIO"/>
    <n v="72.340900000000005"/>
    <n v="63.64"/>
    <n v="63.47"/>
    <n v="64.81"/>
    <n v="59.027523972691824"/>
    <n v="64.39243200043822"/>
    <n v="68.298698643393323"/>
    <n v="60.671399999999998"/>
    <n v="66.065224999999998"/>
    <n v="63.097513654130843"/>
    <n v="64.581369327065417"/>
    <n v="38.168615597260867"/>
    <n v="61.831384402739133"/>
    <n v="0.65648245962465213"/>
    <n v="0"/>
    <n v="42.39653618175997"/>
    <n v="2"/>
    <n v="2"/>
    <b v="1"/>
    <x v="3"/>
    <n v="64.299836677921107"/>
    <n v="0.68137052017752509"/>
    <n v="43.812013164565009"/>
    <n v="2"/>
    <n v="0"/>
    <n v="0.2815326491443102"/>
    <n v="-2.4888060552872959E-2"/>
    <n v="-1.4154769828050391"/>
    <n v="2"/>
    <b v="1"/>
    <n v="0"/>
    <s v="Especial"/>
    <s v="N.D."/>
    <s v="N.D."/>
    <s v="SC- Centro aglomeración"/>
    <n v="2"/>
    <s v="N.D"/>
    <n v="3"/>
    <s v="N.D."/>
    <b v="0"/>
    <s v="Cambio en corte"/>
    <s v="SC- Centro aglomeración"/>
    <n v="2"/>
    <n v="1"/>
    <n v="0"/>
    <n v="0"/>
    <n v="0"/>
    <n v="0"/>
    <s v="Ciudades y aglomeraciones"/>
    <n v="1"/>
    <s v="Centro aglomeración"/>
    <m/>
    <s v="Si"/>
    <s v="Si"/>
    <n v="15.9"/>
    <n v="6.3757314623424266"/>
    <n v="15.630749973072193"/>
    <s v="Medio"/>
    <n v="2.3511097309568885"/>
    <s v="Medio Bajo"/>
    <n v="979433.51173899998"/>
    <n v="355507.77375590004"/>
    <n v="579176"/>
    <n v="1.6910809697553075"/>
    <n v="0.61381648023381497"/>
    <m/>
    <m/>
    <m/>
    <m/>
    <m/>
    <m/>
    <m/>
    <n v="88"/>
    <n v="1"/>
    <n v="3"/>
    <n v="128375.745175"/>
    <n v="5806.0556290000004"/>
    <n v="4.5227045195221784E-2"/>
    <s v="0% - 30%"/>
    <n v="1.6892004513362178E-4"/>
    <n v="44.181542"/>
    <n v="3.4415801785432556E-4"/>
    <n v="0"/>
    <n v="0.87840996256565951"/>
    <s v="Aceptable"/>
    <n v="3"/>
    <s v="Candidato"/>
    <n v="0"/>
    <n v="0"/>
  </r>
  <r>
    <n v="76130"/>
    <s v="76130"/>
    <x v="3"/>
    <x v="3"/>
    <s v="CANDELARIA"/>
    <n v="75.087500000000006"/>
    <n v="69.98"/>
    <n v="65.59"/>
    <n v="75.97"/>
    <n v="67.949189574200986"/>
    <n v="65.47761112464525"/>
    <n v="71.587107393001787"/>
    <n v="63.337800000000001"/>
    <n v="71.656874999999999"/>
    <n v="67.087927022962006"/>
    <n v="69.372401011481003"/>
    <n v="34.942306790502002"/>
    <n v="65.057693209497998"/>
    <n v="0.68551923888548205"/>
    <n v="0"/>
    <n v="47.556115541048904"/>
    <n v="2"/>
    <n v="2"/>
    <b v="1"/>
    <x v="0"/>
    <n v="69.346670759449381"/>
    <n v="0.68537528464614106"/>
    <n v="47.528494211019847"/>
    <n v="1"/>
    <n v="0"/>
    <n v="2.5730252031621603E-2"/>
    <n v="1.4395423934099316E-4"/>
    <n v="2.7621330029056423E-2"/>
    <n v="1"/>
    <b v="1"/>
    <n v="0"/>
    <n v="0.9741882058902549"/>
    <n v="67.55670877161019"/>
    <n v="0.67443720340755164"/>
    <n v="1"/>
    <n v="0"/>
    <n v="67.443720340755164"/>
    <n v="3"/>
    <n v="-0.28866896700477285"/>
    <b v="0"/>
    <n v="0"/>
    <n v="1"/>
    <n v="0"/>
    <n v="0"/>
    <n v="1"/>
    <n v="0"/>
    <n v="0"/>
    <n v="0"/>
    <s v="Ciudades y aglomeraciones"/>
    <n v="2"/>
    <s v="En aglomeración"/>
    <m/>
    <s v="No"/>
    <s v="Si"/>
    <n v="15.5"/>
    <n v="6.4424644908184243"/>
    <n v="9.7752826480271136"/>
    <s v="Bajo"/>
    <n v="7.3174138266136977"/>
    <s v="Medio"/>
    <n v="166874.35619799999"/>
    <n v="94940.435028300009"/>
    <n v="110619"/>
    <n v="1.5085505762843634"/>
    <n v="0.85826517170016015"/>
    <m/>
    <m/>
    <m/>
    <m/>
    <m/>
    <m/>
    <m/>
    <n v="85"/>
    <n v="0"/>
    <n v="6"/>
    <n v="29578.174028000001"/>
    <n v="7062.7594760000002"/>
    <n v="0.23878280888178158"/>
    <s v="0% - 30%"/>
    <n v="2.0548229739564467E-4"/>
    <n v="191.47096500000001"/>
    <n v="6.473386924383674E-3"/>
    <s v="0% - 30%"/>
    <n v="0.86915611089642275"/>
    <s v="Aceptable"/>
    <n v="3"/>
    <s v="Candidato"/>
    <n v="0"/>
    <n v="0"/>
  </r>
  <r>
    <n v="63190"/>
    <s v="63190"/>
    <x v="7"/>
    <x v="7"/>
    <s v="CIRCASIA"/>
    <n v="53.182066666666699"/>
    <n v="62.3"/>
    <n v="58.42"/>
    <n v="82.43"/>
    <n v="56.018566128825725"/>
    <n v="62.907561943691491"/>
    <n v="69.52907766026928"/>
    <n v="65.578800000000001"/>
    <n v="64.08301666666668"/>
    <n v="63.508501433196628"/>
    <n v="63.795759049931654"/>
    <n v="37.680968432416265"/>
    <n v="62.319031567583735"/>
    <n v="0.66087128410825369"/>
    <n v="0"/>
    <n v="42.160785203989079"/>
    <n v="2"/>
    <n v="2"/>
    <b v="1"/>
    <x v="3"/>
    <n v="57.624038845345723"/>
    <n v="0.68000344591221129"/>
    <n v="39.184544982214213"/>
    <n v="2"/>
    <n v="0"/>
    <n v="6.171720204585931"/>
    <n v="-1.9132161803957604E-2"/>
    <n v="2.9762402217748658"/>
    <n v="2"/>
    <b v="1"/>
    <n v="0"/>
    <n v="0.9741882058902549"/>
    <n v="56.136659018897703"/>
    <n v="0.53158441886823593"/>
    <n v="2"/>
    <n v="0"/>
    <n v="53.158441886823596"/>
    <n v="3"/>
    <n v="-0.31331692178200121"/>
    <b v="0"/>
    <n v="0"/>
    <n v="2"/>
    <n v="0"/>
    <n v="0"/>
    <n v="0"/>
    <n v="0"/>
    <n v="0"/>
    <n v="0"/>
    <s v="Ciudades y aglomeraciones"/>
    <n v="6"/>
    <s v="En aglomeración"/>
    <m/>
    <s v="No"/>
    <s v="No"/>
    <n v="17.3"/>
    <n v="6.5227021040974531"/>
    <n v="0"/>
    <s v="Sin riesgo"/>
    <n v="1.7308476022007857"/>
    <s v="Medio Bajo"/>
    <n v="40982.928092000002"/>
    <n v="12317.517371"/>
    <n v="29013"/>
    <n v="1.4125711953951678"/>
    <n v="0.42455166204804745"/>
    <m/>
    <m/>
    <m/>
    <m/>
    <m/>
    <m/>
    <m/>
    <n v="16"/>
    <n v="0"/>
    <n v="7"/>
    <n v="9150.7274899999993"/>
    <n v="3199.7422969999998"/>
    <n v="0.34967081038056352"/>
    <s v="31% - 50%"/>
    <n v="9.3092565377002955E-5"/>
    <s v="N.D."/>
    <s v="N.D."/>
    <s v="N.D."/>
    <n v="0.94711899195283178"/>
    <s v="Aceptable"/>
    <n v="3"/>
    <s v="Candidato"/>
    <n v="0"/>
    <n v="0"/>
  </r>
  <r>
    <n v="68679"/>
    <s v="68679"/>
    <x v="0"/>
    <x v="0"/>
    <s v="SAN GIL"/>
    <n v="81.741600000000005"/>
    <n v="70.09"/>
    <n v="75.569999999999993"/>
    <n v="81.48"/>
    <n v="62.187317421544584"/>
    <n v="65.095125188447781"/>
    <n v="68.150648430872721"/>
    <n v="59.158700000000003"/>
    <n v="77.220399999999998"/>
    <n v="63.647947760216269"/>
    <n v="70.434173880108133"/>
    <n v="36.140316377347055"/>
    <n v="63.859683622652945"/>
    <n v="0.67473715260387646"/>
    <n v="0"/>
    <n v="47.524553929870493"/>
    <n v="2"/>
    <n v="2"/>
    <b v="1"/>
    <x v="0"/>
    <n v="70.358254856723306"/>
    <n v="0.6846170667771122"/>
    <n v="48.168462063566416"/>
    <n v="1"/>
    <n v="0"/>
    <n v="7.5919023384827256E-2"/>
    <n v="-9.8799141732357487E-3"/>
    <n v="-0.64390813369592337"/>
    <n v="1"/>
    <b v="1"/>
    <n v="0"/>
    <n v="0.9741882058902549"/>
    <n v="68.542182068440596"/>
    <n v="0.68676443556413003"/>
    <n v="1"/>
    <n v="0"/>
    <n v="68.676443556413005"/>
    <n v="3"/>
    <n v="-0.29945105328637844"/>
    <b v="0"/>
    <n v="0"/>
    <n v="1"/>
    <n v="0"/>
    <n v="0"/>
    <n v="1"/>
    <n v="0"/>
    <n v="0"/>
    <n v="0"/>
    <s v="Ciudades y aglomeraciones"/>
    <n v="5"/>
    <s v="Uninodal"/>
    <m/>
    <s v="No"/>
    <s v="No"/>
    <n v="13.7"/>
    <n v="5.0234898087522657"/>
    <n v="0.76351648351648338"/>
    <s v="Sin riesgo"/>
    <n v="0.55196227236283701"/>
    <s v="Medio Bajo"/>
    <n v="102750.57012400001"/>
    <n v="39384.489080800005"/>
    <n v="67893"/>
    <n v="1.5134192055734761"/>
    <n v="0.58009646179723984"/>
    <m/>
    <m/>
    <m/>
    <m/>
    <m/>
    <m/>
    <m/>
    <n v="4"/>
    <n v="1"/>
    <n v="4"/>
    <n v="14658.026204"/>
    <n v="6996.7711230000004"/>
    <n v="0.4773337846190141"/>
    <s v="31% - 50%"/>
    <n v="2.0356244745287498E-4"/>
    <s v="N.D."/>
    <s v="N.D."/>
    <s v="N.D."/>
    <n v="0.92988015753279529"/>
    <s v="Aceptable"/>
    <n v="2"/>
    <s v="Candidato"/>
    <n v="0"/>
    <n v="0"/>
  </r>
  <r>
    <n v="25740"/>
    <s v="25740"/>
    <x v="5"/>
    <x v="5"/>
    <s v="SIBATÉ"/>
    <n v="68.126000000000005"/>
    <n v="87.55"/>
    <n v="80.97"/>
    <n v="80.290000000000006"/>
    <n v="56.401457516077869"/>
    <n v="61.448134651014783"/>
    <n v="64.481549198031857"/>
    <n v="60.168799999999997"/>
    <n v="79.233999999999995"/>
    <n v="60.624985341281125"/>
    <n v="69.929492670640556"/>
    <n v="37.490609696892271"/>
    <n v="62.509390303107729"/>
    <n v="0.66258451272796948"/>
    <n v="0"/>
    <n v="46.334198826490486"/>
    <n v="2"/>
    <n v="2"/>
    <b v="1"/>
    <x v="3"/>
    <n v="68.508977916837196"/>
    <n v="0.67729332086929561"/>
    <n v="46.400673162655906"/>
    <n v="2"/>
    <n v="0"/>
    <n v="1.42051475380336"/>
    <n v="-1.4708808141326135E-2"/>
    <n v="-6.6474336165420311E-2"/>
    <n v="2"/>
    <b v="1"/>
    <n v="0"/>
    <n v="0.9741882058902549"/>
    <n v="66.740638284178715"/>
    <n v="0.6642290218291611"/>
    <n v="1"/>
    <n v="-1"/>
    <n v="66.422902182916104"/>
    <n v="3"/>
    <n v="-0.31160369316228542"/>
    <b v="0"/>
    <s v="Cambio en corte"/>
    <n v="1"/>
    <n v="-1"/>
    <n v="0"/>
    <n v="0"/>
    <n v="0"/>
    <n v="0"/>
    <n v="0"/>
    <s v="Ciudades y aglomeraciones"/>
    <n v="4"/>
    <s v="En aglomeración"/>
    <m/>
    <s v="No"/>
    <s v="No"/>
    <n v="13.5"/>
    <n v="5.9503030687696361"/>
    <n v="17.828207708535938"/>
    <s v="Medio"/>
    <n v="3.0440727682934603"/>
    <s v="Medio Bajo"/>
    <n v="65127.239820000003"/>
    <n v="33640.181572100002"/>
    <n v="40013"/>
    <n v="1.6276520085972059"/>
    <n v="0.84073130162947052"/>
    <m/>
    <m/>
    <m/>
    <m/>
    <m/>
    <m/>
    <m/>
    <n v="94"/>
    <n v="0"/>
    <n v="6"/>
    <n v="12190.262119000001"/>
    <n v="4538.0222320000003"/>
    <n v="0.37226617341779245"/>
    <s v="31% - 50%"/>
    <n v="1.3202817355348819E-4"/>
    <s v="N.D."/>
    <s v="N.D."/>
    <s v="N.D."/>
    <n v="0.84089188342860988"/>
    <s v="Crítico bajo"/>
    <n v="3"/>
    <s v="Candidato"/>
    <n v="0"/>
    <n v="0"/>
  </r>
  <r>
    <n v="73268"/>
    <s v="73268"/>
    <x v="15"/>
    <x v="15"/>
    <s v="ESPINAL"/>
    <n v="56.284966666666698"/>
    <n v="68.27"/>
    <n v="56.48"/>
    <n v="52.38"/>
    <n v="61.352071294982096"/>
    <n v="61.026923769874337"/>
    <n v="54.446961404550542"/>
    <n v="64.951999999999998"/>
    <n v="58.353741666666672"/>
    <n v="60.444489117351743"/>
    <n v="59.399115392009207"/>
    <n v="37.498650217822401"/>
    <n v="62.501349782177599"/>
    <n v="0.66251214803959835"/>
    <n v="0"/>
    <n v="39.352635530011987"/>
    <n v="2"/>
    <n v="2"/>
    <b v="1"/>
    <x v="3"/>
    <n v="57.603882997096079"/>
    <n v="0.67933522069960195"/>
    <n v="39.132346568986314"/>
    <n v="2"/>
    <n v="0"/>
    <n v="1.7952323949131284"/>
    <n v="-1.6823072660003602E-2"/>
    <n v="0.2202889610256733"/>
    <n v="2"/>
    <b v="1"/>
    <n v="0"/>
    <n v="0.9741882058902549"/>
    <n v="56.117023429253187"/>
    <n v="0.53133879833964548"/>
    <n v="2"/>
    <n v="0"/>
    <n v="53.133879833964549"/>
    <n v="3"/>
    <n v="-0.31167605785065655"/>
    <b v="0"/>
    <n v="0"/>
    <n v="2"/>
    <n v="0"/>
    <n v="0"/>
    <n v="1"/>
    <n v="0"/>
    <n v="0"/>
    <n v="0"/>
    <s v="Intermedio"/>
    <n v="3"/>
    <s v="Fuera SC"/>
    <m/>
    <s v="No"/>
    <s v="Si"/>
    <n v="19.2"/>
    <n v="8.8918331497305498"/>
    <n v="0"/>
    <s v="Sin riesgo"/>
    <n v="4.4312858541302766"/>
    <s v="Medio Bajo"/>
    <n v="151755.37596800001"/>
    <n v="53951.657845000002"/>
    <n v="71777"/>
    <n v="2.1142618940329077"/>
    <n v="0.75165662879473927"/>
    <m/>
    <m/>
    <m/>
    <m/>
    <m/>
    <m/>
    <m/>
    <n v="6"/>
    <n v="1"/>
    <n v="4"/>
    <n v="21634.435859000001"/>
    <n v="437.19693899999999"/>
    <n v="2.0208381759958143E-2"/>
    <s v="0% - 30%"/>
    <n v="1.2719707041608381E-5"/>
    <s v="N.D."/>
    <s v="N.D."/>
    <s v="N.D."/>
    <n v="0.89839042199051145"/>
    <s v="Aceptable"/>
    <n v="2"/>
    <s v="Candidato"/>
    <n v="0"/>
    <n v="0"/>
  </r>
  <r>
    <n v="5079"/>
    <s v="05079"/>
    <x v="1"/>
    <x v="1"/>
    <s v="BARBOSA"/>
    <n v="59.380699999999997"/>
    <n v="50.89"/>
    <n v="54.53"/>
    <n v="61.57"/>
    <n v="54.698758425580756"/>
    <n v="48.192155583429816"/>
    <n v="49.905174548118524"/>
    <n v="57.984499999999997"/>
    <n v="56.592675"/>
    <n v="52.695147139282277"/>
    <n v="54.643911069641135"/>
    <n v="35.054220381919869"/>
    <n v="64.945779618080138"/>
    <n v="0.6845120165627212"/>
    <n v="0"/>
    <n v="37.40441375915406"/>
    <n v="3"/>
    <n v="3"/>
    <b v="1"/>
    <x v="3"/>
    <n v="52.66376504251636"/>
    <n v="0.68398789635570878"/>
    <n v="36.021377865602076"/>
    <n v="2"/>
    <n v="0"/>
    <n v="1.9801460271247748"/>
    <n v="5.2412020701242401E-4"/>
    <n v="1.383035893551984"/>
    <n v="2"/>
    <b v="1"/>
    <n v="0"/>
    <n v="0.9741882058902549"/>
    <n v="51.304418782194936"/>
    <n v="0.47113818716841754"/>
    <n v="3"/>
    <n v="1"/>
    <n v="47.113818716841756"/>
    <n v="3"/>
    <n v="-0.2896761893275337"/>
    <b v="0"/>
    <s v="Cambio en corte"/>
    <n v="2"/>
    <n v="0"/>
    <n v="0"/>
    <n v="0"/>
    <n v="0"/>
    <n v="0"/>
    <n v="0"/>
    <s v="Ciudades y aglomeraciones"/>
    <n v="4"/>
    <s v="En aglomeración"/>
    <m/>
    <s v="No"/>
    <s v="Si"/>
    <n v="22.2"/>
    <n v="7.0123932677438878"/>
    <n v="33.645428173469661"/>
    <s v="Medio"/>
    <n v="5.0033206890338437"/>
    <s v="Medio Bajo"/>
    <n v="99919.575878999996"/>
    <n v="46847.997572400003"/>
    <n v="62506"/>
    <n v="1.5985597523277766"/>
    <n v="0.7494960095414841"/>
    <m/>
    <m/>
    <m/>
    <m/>
    <m/>
    <m/>
    <m/>
    <n v="2"/>
    <n v="0"/>
    <n v="6"/>
    <n v="20560.328452999998"/>
    <n v="373.87112500000001"/>
    <n v="1.8184102742067224E-2"/>
    <s v="0% - 30%"/>
    <n v="1.0877320395229363E-5"/>
    <s v="N.D."/>
    <s v="N.D."/>
    <s v="N.D."/>
    <n v="0.8791141541944405"/>
    <s v="Aceptable"/>
    <n v="2"/>
    <s v="Candidato"/>
    <n v="0"/>
    <n v="0"/>
  </r>
  <r>
    <n v="76834"/>
    <s v="76834"/>
    <x v="3"/>
    <x v="3"/>
    <s v="TULUÁ"/>
    <n v="76.768133333333296"/>
    <n v="70.19"/>
    <n v="75.44"/>
    <n v="76.3"/>
    <n v="60.358220275382621"/>
    <n v="68.017478470936354"/>
    <n v="61.445881945098392"/>
    <n v="60.792900000000003"/>
    <n v="74.674533333333329"/>
    <n v="62.653620172854339"/>
    <n v="68.664076753093838"/>
    <n v="38.044040822242977"/>
    <n v="61.955959177757023"/>
    <n v="0.65760363259981325"/>
    <n v="0"/>
    <n v="45.153746301946896"/>
    <n v="2"/>
    <n v="2"/>
    <b v="1"/>
    <x v="3"/>
    <n v="68.274863544482642"/>
    <n v="0.6773455176313411"/>
    <n v="46.245672788746774"/>
    <n v="2"/>
    <n v="0"/>
    <n v="0.38921320861119568"/>
    <n v="-1.974188503152785E-2"/>
    <n v="-1.0919264867998777"/>
    <n v="2"/>
    <b v="1"/>
    <n v="0"/>
    <s v="Especial"/>
    <s v="N.D."/>
    <s v="N.D."/>
    <s v="SC- Centro aglomeración"/>
    <n v="2"/>
    <s v="N.D"/>
    <n v="3"/>
    <s v="N.D."/>
    <b v="0"/>
    <s v="Cambio en corte"/>
    <s v="SC- Centro aglomeración"/>
    <n v="2"/>
    <n v="0"/>
    <n v="1"/>
    <n v="0"/>
    <n v="0"/>
    <n v="0"/>
    <s v="Ciudades y aglomeraciones"/>
    <n v="2"/>
    <s v="Centro aglomeración"/>
    <m/>
    <s v="Si"/>
    <s v="No"/>
    <n v="13.7"/>
    <n v="5.5474208934012337"/>
    <n v="5.284522800799647"/>
    <s v="Bajo"/>
    <n v="5.4265955408362929"/>
    <s v="Medio Bajo"/>
    <n v="475104.30497100001"/>
    <n v="119671.3754298"/>
    <n v="224250"/>
    <n v="2.1186368114648828"/>
    <n v="0.53365161841605346"/>
    <m/>
    <m/>
    <m/>
    <m/>
    <m/>
    <m/>
    <m/>
    <n v="66"/>
    <n v="1"/>
    <n v="4"/>
    <n v="90943.863131999999"/>
    <n v="41937.640270000004"/>
    <n v="0.46113766037329901"/>
    <s v="31% - 50%"/>
    <n v="1.2201240463185362E-3"/>
    <n v="406.72370100000001"/>
    <n v="4.4722501001487371E-3"/>
    <s v="0% - 30%"/>
    <n v="0.70732792683266954"/>
    <s v="Crítico Medio"/>
    <n v="2"/>
    <s v="Candidato"/>
    <n v="0"/>
    <n v="0"/>
  </r>
  <r>
    <n v="8770"/>
    <s v="08770"/>
    <x v="2"/>
    <x v="2"/>
    <s v="SUAN"/>
    <n v="67.968066666666701"/>
    <n v="53.83"/>
    <n v="45.07"/>
    <n v="47.46"/>
    <n v="53.489860166125823"/>
    <n v="45.832189083924156"/>
    <n v="45.805656042810256"/>
    <n v="51.5914"/>
    <n v="53.582016666666675"/>
    <n v="49.179776323215059"/>
    <n v="51.38089649494087"/>
    <n v="36.826015908827515"/>
    <n v="63.173984091172485"/>
    <n v="0.66856585682055236"/>
    <n v="0"/>
    <n v="34.351513089348259"/>
    <n v="3"/>
    <n v="3"/>
    <b v="1"/>
    <x v="4"/>
    <n v="55.319050338299462"/>
    <n v="0.67695790808124801"/>
    <n v="37.448668594056457"/>
    <n v="2"/>
    <n v="-1"/>
    <n v="-3.9381538433585916"/>
    <n v="-8.3920512606956432E-3"/>
    <n v="-3.0971555047081978"/>
    <n v="3"/>
    <b v="1"/>
    <s v="Efecto ponderador"/>
    <n v="0.9741882058902549"/>
    <n v="53.891166400620648"/>
    <n v="0.50349567318591826"/>
    <n v="2"/>
    <n v="-1"/>
    <n v="50.349567318591824"/>
    <n v="4"/>
    <n v="-0.30562234906970254"/>
    <b v="0"/>
    <s v="Cambio en corte"/>
    <n v="3"/>
    <n v="0"/>
    <n v="0"/>
    <n v="0"/>
    <n v="0"/>
    <n v="0"/>
    <n v="0"/>
    <s v="Intermedio"/>
    <n v="6"/>
    <s v="Fuera SC"/>
    <m/>
    <s v="No"/>
    <s v="No"/>
    <n v="43.8"/>
    <n v="18.273455673300596"/>
    <n v="0"/>
    <s v="Sin riesgo"/>
    <n v="0"/>
    <s v="Bajo"/>
    <n v="21903.264195"/>
    <n v="2882.8690029999998"/>
    <n v="14150"/>
    <n v="1.5479338653710246"/>
    <n v="0.20373632530035335"/>
    <m/>
    <m/>
    <m/>
    <m/>
    <m/>
    <m/>
    <m/>
    <n v="77"/>
    <n v="0"/>
    <n v="7"/>
    <n v="4251.3379610000002"/>
    <n v="453.42739999999998"/>
    <n v="0.10665522340485599"/>
    <s v="0% - 30%"/>
    <n v="1.3191912335502833E-5"/>
    <s v="N.D."/>
    <s v="N.D."/>
    <s v="N.D."/>
    <n v="0.90580690643360895"/>
    <s v="Aceptable"/>
    <n v="1"/>
    <s v="Candidato"/>
    <n v="0"/>
    <n v="0"/>
  </r>
  <r>
    <n v="76364"/>
    <s v="76364"/>
    <x v="3"/>
    <x v="3"/>
    <s v="JAMUNDÍ"/>
    <n v="66.396799999999999"/>
    <n v="66.66"/>
    <n v="66.36"/>
    <n v="70.45"/>
    <n v="54.542945343434333"/>
    <n v="56.87601061093325"/>
    <n v="53.739291991247143"/>
    <n v="53.741799999999998"/>
    <n v="67.466700000000003"/>
    <n v="54.725011986403686"/>
    <n v="61.095855993201845"/>
    <n v="37.550673342406938"/>
    <n v="62.449326657593062"/>
    <n v="0.66204393991833754"/>
    <n v="0"/>
    <n v="40.448141214422726"/>
    <n v="2"/>
    <n v="2"/>
    <b v="1"/>
    <x v="3"/>
    <n v="59.359703028386491"/>
    <n v="0.67461945681206648"/>
    <n v="40.045210613535673"/>
    <n v="2"/>
    <n v="0"/>
    <n v="1.7361529648153535"/>
    <n v="-1.2575516893728933E-2"/>
    <n v="0.40293060088705346"/>
    <n v="2"/>
    <b v="1"/>
    <n v="0"/>
    <n v="0.9741882058902549"/>
    <n v="57.827522595402165"/>
    <n v="0.55273533987209555"/>
    <n v="2"/>
    <n v="0"/>
    <n v="55.273533987209554"/>
    <n v="3"/>
    <n v="-0.31214426597191736"/>
    <b v="0"/>
    <n v="0"/>
    <n v="2"/>
    <n v="0"/>
    <n v="0"/>
    <n v="1"/>
    <n v="0"/>
    <n v="0"/>
    <n v="0"/>
    <s v="Ciudades y aglomeraciones"/>
    <n v="2"/>
    <s v="En aglomeración"/>
    <m/>
    <s v="Si"/>
    <s v="Si"/>
    <n v="14.9"/>
    <n v="6.5604719764011801"/>
    <n v="6.5048752808865808"/>
    <s v="Bajo"/>
    <n v="14.047829598791372"/>
    <s v="Alto"/>
    <n v="349879.562531"/>
    <n v="136010.44062810001"/>
    <n v="189878"/>
    <n v="1.8426545599332202"/>
    <n v="0.71630436716259915"/>
    <m/>
    <m/>
    <m/>
    <m/>
    <m/>
    <m/>
    <m/>
    <n v="85"/>
    <n v="0"/>
    <n v="5"/>
    <n v="62919.842789000002"/>
    <n v="38697.297933000002"/>
    <n v="0.61502534363873651"/>
    <s v="51% - 70%"/>
    <n v="1.1258502727293741E-3"/>
    <n v="125.53851"/>
    <n v="1.9952133450331401E-3"/>
    <s v="0% - 30%"/>
    <n v="0.93904876591578468"/>
    <s v="Aceptable"/>
    <n v="2"/>
    <s v="No es Candidato"/>
    <n v="0"/>
    <n v="0"/>
  </r>
  <r>
    <n v="8558"/>
    <s v="08558"/>
    <x v="2"/>
    <x v="2"/>
    <s v="POLONUEVO"/>
    <n v="67.878766666666706"/>
    <n v="69.67"/>
    <n v="62.93"/>
    <n v="61"/>
    <n v="48.316071330944375"/>
    <n v="46.980822413641206"/>
    <n v="6.2348156654105713"/>
    <n v="42.6203"/>
    <n v="65.369691666666682"/>
    <n v="36.038002352499035"/>
    <n v="50.703847009582859"/>
    <n v="37.399515704784569"/>
    <n v="62.600484295215431"/>
    <n v="0.66340435865693892"/>
    <n v="0"/>
    <n v="33.637153106831867"/>
    <n v="3"/>
    <n v="3"/>
    <b v="1"/>
    <x v="4"/>
    <n v="50.670642430929725"/>
    <n v="0.67385793920374626"/>
    <n v="34.144814686636209"/>
    <n v="3"/>
    <n v="0"/>
    <n v="3.3204578653133865E-2"/>
    <n v="-1.045358054680734E-2"/>
    <n v="-0.50766157980434201"/>
    <n v="3"/>
    <b v="1"/>
    <n v="0"/>
    <n v="0.9741882058902549"/>
    <n v="49.362742241094054"/>
    <n v="0.44684986035924174"/>
    <n v="3"/>
    <n v="0"/>
    <n v="44.684986035924176"/>
    <n v="4"/>
    <n v="-0.31078384723331598"/>
    <b v="0"/>
    <n v="0"/>
    <n v="2"/>
    <n v="-1"/>
    <n v="0"/>
    <n v="0"/>
    <n v="0"/>
    <n v="0"/>
    <n v="0"/>
    <s v="Ciudades y aglomeraciones"/>
    <n v="6"/>
    <s v="En aglomeración"/>
    <m/>
    <s v="No"/>
    <s v="No"/>
    <n v="30.5"/>
    <n v="13.334566302940633"/>
    <n v="0"/>
    <s v="Sin riesgo"/>
    <n v="1.5781691253963008"/>
    <s v="Medio Bajo"/>
    <n v="32711.708130999999"/>
    <n v="5240.7119199999997"/>
    <n v="21012"/>
    <n v="1.5568107810298877"/>
    <n v="0.24941518751189795"/>
    <m/>
    <m/>
    <m/>
    <m/>
    <m/>
    <m/>
    <m/>
    <n v="5"/>
    <n v="0"/>
    <n v="7"/>
    <n v="7380.719454"/>
    <n v="0"/>
    <n v="0"/>
    <n v="0"/>
    <n v="0"/>
    <s v="N.D."/>
    <s v="N.D."/>
    <s v="N.D."/>
    <n v="0.96197186253308997"/>
    <s v="Aceptable"/>
    <n v="2"/>
    <s v="Candidato"/>
    <n v="0"/>
    <n v="0"/>
  </r>
  <r>
    <n v="76400"/>
    <s v="76400"/>
    <x v="3"/>
    <x v="3"/>
    <s v="LA UNIÓN"/>
    <n v="85.0957333333333"/>
    <n v="89.81"/>
    <n v="86.16"/>
    <n v="87.13"/>
    <n v="48.145420365667697"/>
    <n v="60.113063270906352"/>
    <n v="73.504396916552309"/>
    <n v="54.835000000000001"/>
    <n v="87.048933333333324"/>
    <n v="59.149470138281593"/>
    <n v="73.099201735807455"/>
    <n v="38.294288040397838"/>
    <n v="61.705711959602162"/>
    <n v="0.65535140763641941"/>
    <n v="0"/>
    <n v="47.905664754660009"/>
    <n v="2"/>
    <n v="2"/>
    <b v="1"/>
    <x v="0"/>
    <n v="72.233388043510587"/>
    <n v="0.67241982239212728"/>
    <n v="48.571161958998999"/>
    <n v="1"/>
    <n v="0"/>
    <n v="0.865813692296868"/>
    <n v="-1.7068414755707861E-2"/>
    <n v="-0.6654972043389904"/>
    <n v="1"/>
    <b v="1"/>
    <n v="0"/>
    <n v="0.9741882058902549"/>
    <n v="70.368914703482162"/>
    <n v="0.70961493527080144"/>
    <n v="1"/>
    <n v="0"/>
    <n v="70.961493527080137"/>
    <n v="2"/>
    <n v="-0.31883679825383549"/>
    <b v="0"/>
    <n v="0"/>
    <n v="1"/>
    <n v="0"/>
    <n v="0"/>
    <n v="0"/>
    <n v="0"/>
    <n v="0"/>
    <n v="0"/>
    <s v="Intermedio"/>
    <n v="6"/>
    <s v="Fuera SC"/>
    <m/>
    <s v="No"/>
    <s v="No"/>
    <n v="22.5"/>
    <n v="8.9998978445193583"/>
    <n v="5.3026211646903469"/>
    <s v="Bajo"/>
    <n v="11.643180202246903"/>
    <s v="Alto"/>
    <n v="60426.275493000001"/>
    <n v="16783.2150649"/>
    <n v="34777"/>
    <n v="1.7375355980389338"/>
    <n v="0.48259525160019551"/>
    <m/>
    <m/>
    <m/>
    <m/>
    <m/>
    <m/>
    <m/>
    <n v="91"/>
    <n v="0"/>
    <n v="6"/>
    <n v="12087.266232"/>
    <n v="5073.5857550000001"/>
    <n v="0.41974633946327061"/>
    <s v="31% - 50%"/>
    <n v="1.4760973533274778E-4"/>
    <s v="N.D."/>
    <s v="N.D."/>
    <s v="N.D."/>
    <n v="0.97074048180013306"/>
    <s v="Aceptable"/>
    <n v="2"/>
    <s v="Candidato"/>
    <n v="0"/>
    <n v="0"/>
  </r>
  <r>
    <n v="25785"/>
    <s v="25785"/>
    <x v="5"/>
    <x v="5"/>
    <s v="TABIO"/>
    <n v="66.511700000000005"/>
    <n v="67.73"/>
    <n v="61.62"/>
    <n v="69.19"/>
    <n v="61.535782851672508"/>
    <n v="60.32772370091287"/>
    <n v="60.012108917965577"/>
    <n v="63.58"/>
    <n v="66.262924999999996"/>
    <n v="61.363903867637731"/>
    <n v="63.813414433818863"/>
    <n v="38.935061385833791"/>
    <n v="61.064938614166209"/>
    <n v="0.64958444752749589"/>
    <n v="0"/>
    <n v="41.452201559835359"/>
    <n v="2"/>
    <n v="2"/>
    <b v="1"/>
    <x v="3"/>
    <n v="63.632821730449606"/>
    <n v="0.67142988940920634"/>
    <n v="42.724978457271519"/>
    <n v="2"/>
    <n v="0"/>
    <n v="0.18059270336925692"/>
    <n v="-2.1845441881710448E-2"/>
    <n v="-1.2727768974361595"/>
    <n v="2"/>
    <b v="1"/>
    <n v="0"/>
    <n v="0.9741882058902549"/>
    <n v="61.990344437321127"/>
    <n v="0.60480785308666896"/>
    <n v="2"/>
    <n v="0"/>
    <n v="60.480785308666896"/>
    <n v="3"/>
    <n v="-0.32460375836275901"/>
    <b v="0"/>
    <n v="0"/>
    <n v="2"/>
    <n v="0"/>
    <n v="0"/>
    <n v="0"/>
    <n v="0"/>
    <n v="0"/>
    <n v="0"/>
    <s v="Ciudades y aglomeraciones"/>
    <n v="6"/>
    <s v="En aglomeración"/>
    <m/>
    <s v="No"/>
    <s v="No"/>
    <n v="9.6"/>
    <n v="3.9338682227084854"/>
    <n v="1.1232006539646606"/>
    <s v="Sin riesgo"/>
    <n v="0"/>
    <s v="Bajo"/>
    <n v="32265.329174999999"/>
    <n v="17485.272198300001"/>
    <n v="22884"/>
    <n v="1.4099514584425799"/>
    <n v="0.76408286131358161"/>
    <m/>
    <m/>
    <m/>
    <m/>
    <m/>
    <m/>
    <m/>
    <n v="94"/>
    <n v="0"/>
    <n v="7"/>
    <n v="7512.9822510000004"/>
    <n v="3308.7906969999999"/>
    <n v="0.44040975826338336"/>
    <s v="31% - 50%"/>
    <n v="9.6265194408964513E-5"/>
    <s v="N.D."/>
    <s v="N.D."/>
    <s v="N.D."/>
    <n v="0.96768716875419925"/>
    <s v="Aceptable"/>
    <n v="3"/>
    <s v="Candidato"/>
    <n v="0"/>
    <n v="0"/>
  </r>
  <r>
    <n v="73275"/>
    <s v="73275"/>
    <x v="15"/>
    <x v="15"/>
    <s v="FLANDES"/>
    <n v="50.209099999999999"/>
    <n v="53.74"/>
    <n v="37.53"/>
    <n v="72.06"/>
    <n v="60.417220869435859"/>
    <n v="64.300297952061683"/>
    <n v="62.449922161887606"/>
    <n v="54.264200000000002"/>
    <n v="53.384775000000005"/>
    <n v="60.357910245846284"/>
    <n v="56.871342622923144"/>
    <n v="38.1845389365362"/>
    <n v="61.8154610634638"/>
    <n v="0.65633914957117423"/>
    <n v="0"/>
    <n v="37.326888652100251"/>
    <n v="3"/>
    <n v="3"/>
    <b v="1"/>
    <x v="3"/>
    <n v="52.970762364457329"/>
    <n v="0.67252282852683465"/>
    <n v="35.624046934567644"/>
    <n v="2"/>
    <n v="0"/>
    <n v="3.9005802584658156"/>
    <n v="-1.6183678955660419E-2"/>
    <n v="1.7028417175326069"/>
    <n v="2"/>
    <b v="1"/>
    <n v="0"/>
    <n v="0.9741882058902549"/>
    <n v="51.603491952469724"/>
    <n v="0.47487927727571821"/>
    <n v="3"/>
    <n v="1"/>
    <n v="47.487927727571822"/>
    <n v="3"/>
    <n v="-0.31784905631908067"/>
    <b v="0"/>
    <s v="Cambio en corte"/>
    <n v="2"/>
    <n v="0"/>
    <n v="0"/>
    <n v="0"/>
    <n v="0"/>
    <n v="0"/>
    <n v="0"/>
    <s v="Intermedio"/>
    <n v="5"/>
    <s v="En aglomeración"/>
    <m/>
    <s v="No"/>
    <s v="No"/>
    <n v="17.399999999999999"/>
    <n v="7.0416346259474896"/>
    <n v="11.908084384527303"/>
    <s v="Bajo"/>
    <n v="7.4096942231760483"/>
    <s v="Medio"/>
    <n v="38977.417670000003"/>
    <n v="18250.453453999999"/>
    <n v="29056"/>
    <n v="1.3414584825853526"/>
    <n v="0.62811307316905285"/>
    <m/>
    <m/>
    <m/>
    <m/>
    <m/>
    <m/>
    <m/>
    <n v="55"/>
    <n v="0"/>
    <n v="6"/>
    <n v="9674.4339880000007"/>
    <n v="315.145127"/>
    <n v="3.2575045464251502E-2"/>
    <s v="0% - 30%"/>
    <n v="9.1687597360567697E-6"/>
    <s v="N.D."/>
    <s v="N.D."/>
    <s v="N.D."/>
    <n v="0.87400783834694784"/>
    <s v="Aceptable"/>
    <n v="2"/>
    <s v="Candidato"/>
    <n v="0"/>
    <n v="0"/>
  </r>
  <r>
    <n v="8638"/>
    <s v="08638"/>
    <x v="2"/>
    <x v="2"/>
    <s v="SABANALARGA"/>
    <n v="49.290966666666698"/>
    <n v="52.26"/>
    <n v="50.47"/>
    <n v="53.44"/>
    <n v="66.285467255663235"/>
    <n v="62.37442106981878"/>
    <n v="72.821740479234663"/>
    <n v="69.302999999999997"/>
    <n v="51.365241666666677"/>
    <n v="67.696157201179176"/>
    <n v="59.530699433922926"/>
    <n v="37.875964661620941"/>
    <n v="62.124035338379059"/>
    <n v="0.65911631804541149"/>
    <n v="0"/>
    <n v="39.237655421555338"/>
    <n v="2"/>
    <n v="2"/>
    <b v="1"/>
    <x v="3"/>
    <n v="56.460370021996255"/>
    <n v="0.67248314773841367"/>
    <n v="37.968647354867606"/>
    <n v="2"/>
    <n v="0"/>
    <n v="3.0703294119266715"/>
    <n v="-1.336682969300218E-2"/>
    <n v="1.2690080666877321"/>
    <n v="2"/>
    <b v="1"/>
    <n v="0"/>
    <n v="0.9741882058902549"/>
    <n v="55.003026575628461"/>
    <n v="0.51740387196416882"/>
    <n v="2"/>
    <n v="0"/>
    <n v="51.740387196416883"/>
    <n v="3"/>
    <n v="-0.31507188784484341"/>
    <b v="0"/>
    <n v="0"/>
    <n v="3"/>
    <n v="1"/>
    <n v="0"/>
    <n v="1"/>
    <n v="0"/>
    <n v="0"/>
    <n v="0"/>
    <s v="Ciudades y aglomeraciones"/>
    <n v="5"/>
    <s v="En aglomeración"/>
    <m/>
    <s v="No"/>
    <s v="Si"/>
    <n v="36.5"/>
    <n v="18.143103280127434"/>
    <n v="1.2154679751178381"/>
    <s v="Sin riesgo"/>
    <n v="0.6816683425407154"/>
    <s v="Medio Bajo"/>
    <n v="149653.57361799999"/>
    <n v="29290.448161"/>
    <n v="103909"/>
    <n v="1.4402368766709333"/>
    <n v="0.28188557450268986"/>
    <m/>
    <m/>
    <m/>
    <m/>
    <m/>
    <m/>
    <m/>
    <n v="77"/>
    <n v="1"/>
    <n v="6"/>
    <n v="39557.894090000002"/>
    <n v="456.14365700000002"/>
    <n v="1.1531039947733477E-2"/>
    <s v="0% - 30%"/>
    <n v="1.3270938491012395E-5"/>
    <s v="N.D."/>
    <s v="N.D."/>
    <s v="N.D."/>
    <n v="0.92316979614706174"/>
    <s v="Aceptable"/>
    <n v="2"/>
    <s v="Candidato"/>
    <n v="0"/>
    <n v="0"/>
  </r>
  <r>
    <n v="8675"/>
    <s v="08675"/>
    <x v="2"/>
    <x v="2"/>
    <s v="SANTA LUCÍA"/>
    <n v="49.135933333333298"/>
    <n v="59.69"/>
    <n v="9.11"/>
    <n v="41.6"/>
    <n v="49.396139135048344"/>
    <n v="55.797770186953073"/>
    <n v="50.712338163318229"/>
    <n v="59.824599999999997"/>
    <n v="39.883983333333326"/>
    <n v="53.932711871329914"/>
    <n v="46.908347602331617"/>
    <n v="37.504852089705103"/>
    <n v="62.495147910294897"/>
    <n v="0.66245633119265412"/>
    <n v="0"/>
    <n v="31.074731854950336"/>
    <n v="3"/>
    <n v="3"/>
    <b v="1"/>
    <x v="4"/>
    <n v="45.84136280729782"/>
    <n v="0.67086329213643647"/>
    <n v="30.753287568924613"/>
    <n v="3"/>
    <n v="0"/>
    <n v="1.0669847950337967"/>
    <n v="-8.4069609437823489E-3"/>
    <n v="0.32144428602572361"/>
    <n v="3"/>
    <b v="1"/>
    <n v="0"/>
    <n v="0.9741882058902549"/>
    <n v="44.658114988805721"/>
    <n v="0.38799993257768295"/>
    <n v="3"/>
    <n v="0"/>
    <n v="38.799993257768293"/>
    <n v="4"/>
    <n v="-0.31173187469760077"/>
    <b v="0"/>
    <n v="0"/>
    <n v="3"/>
    <n v="0"/>
    <n v="0"/>
    <n v="0"/>
    <n v="0"/>
    <n v="0"/>
    <n v="0"/>
    <s v="Intermedio"/>
    <n v="6"/>
    <s v="Fuera SC"/>
    <m/>
    <s v="No"/>
    <s v="No"/>
    <n v="47.2"/>
    <n v="33.090909090909093"/>
    <n v="0"/>
    <s v="Sin riesgo"/>
    <n v="0.95714775737493363"/>
    <s v="Medio Bajo"/>
    <n v="29051.598443999999"/>
    <n v="4497.3812250000001"/>
    <n v="19147"/>
    <n v="1.5172924449783256"/>
    <n v="0.23488699143468952"/>
    <m/>
    <m/>
    <m/>
    <m/>
    <m/>
    <m/>
    <m/>
    <n v="77"/>
    <n v="0"/>
    <n v="7"/>
    <n v="5731.196293"/>
    <n v="16.251013"/>
    <n v="2.8355359281357633E-3"/>
    <s v="0% - 30%"/>
    <n v="4.7280322904861266E-7"/>
    <s v="N.D."/>
    <s v="N.D."/>
    <s v="N.D."/>
    <n v="0.94868319843783322"/>
    <s v="Aceptable"/>
    <n v="1"/>
    <s v="Candidato"/>
    <n v="0"/>
    <n v="0"/>
  </r>
  <r>
    <n v="47001"/>
    <s v="47001"/>
    <x v="17"/>
    <x v="17"/>
    <s v="SANTA MARTA"/>
    <n v="67.262533333333295"/>
    <n v="78.63"/>
    <n v="85.54"/>
    <n v="85.04"/>
    <n v="51.757874808827438"/>
    <n v="52.848860103469285"/>
    <n v="66.200011977547007"/>
    <n v="61.943800000000003"/>
    <n v="79.118133333333333"/>
    <n v="58.187636722460937"/>
    <n v="68.652885027897128"/>
    <n v="38.195517375535658"/>
    <n v="61.804482624464342"/>
    <n v="0.65624034362017902"/>
    <n v="0"/>
    <n v="45.052792861223857"/>
    <n v="2"/>
    <n v="2"/>
    <b v="1"/>
    <x v="3"/>
    <n v="64.167353359694943"/>
    <n v="0.66735072507972348"/>
    <n v="42.822129791039252"/>
    <n v="2"/>
    <n v="0"/>
    <n v="4.4855316682021851"/>
    <n v="-1.1110381459544461E-2"/>
    <n v="2.2306630701846046"/>
    <n v="2"/>
    <b v="1"/>
    <n v="0"/>
    <n v="0.9741882058902549"/>
    <n v="62.511078846207234"/>
    <n v="0.6113216916360279"/>
    <n v="2"/>
    <n v="0"/>
    <n v="61.132169163602789"/>
    <n v="3"/>
    <n v="-0.31794786227007588"/>
    <b v="0"/>
    <n v="0"/>
    <n v="2"/>
    <n v="0"/>
    <n v="1"/>
    <n v="0"/>
    <n v="1"/>
    <n v="1"/>
    <n v="0"/>
    <s v="Ciudades y aglomeraciones"/>
    <n v="1"/>
    <s v="Uninodal"/>
    <m/>
    <s v="Si"/>
    <s v="Si"/>
    <n v="24.4"/>
    <n v="14.303404664572756"/>
    <n v="2.0588235294117645"/>
    <s v="Sin riesgo"/>
    <n v="3.6452804389447522"/>
    <s v="Medio Bajo"/>
    <n v="1394491.606219"/>
    <n v="342625.55171700002"/>
    <n v="574486"/>
    <n v="2.4273726535006945"/>
    <n v="0.59640365773404402"/>
    <m/>
    <m/>
    <m/>
    <m/>
    <m/>
    <m/>
    <m/>
    <n v="42"/>
    <n v="1"/>
    <n v="3"/>
    <n v="234407.15996600001"/>
    <n v="144490.74546999999"/>
    <n v="0.61640926621421421"/>
    <s v="51% - 70%"/>
    <n v="4.2037804674611486E-3"/>
    <n v="105176.47387"/>
    <n v="0.44869138760631505"/>
    <s v="31% - 50%"/>
    <n v="0.89794488413528017"/>
    <s v="Aceptable"/>
    <n v="3"/>
    <s v="Candidato"/>
    <n v="0"/>
    <n v="0"/>
  </r>
  <r>
    <n v="15176"/>
    <s v="15176"/>
    <x v="10"/>
    <x v="10"/>
    <s v="CHIQUINQUIRÁ"/>
    <n v="87.560500000000005"/>
    <n v="90.29"/>
    <n v="83.13"/>
    <n v="86.02"/>
    <n v="62.317694218679229"/>
    <n v="60.821459826627262"/>
    <n v="68.794346607716435"/>
    <n v="67.973600000000005"/>
    <n v="86.750124999999997"/>
    <n v="64.976775163255724"/>
    <n v="75.86345008162786"/>
    <n v="39.208910845947088"/>
    <n v="60.791089154052912"/>
    <n v="0.64711980238647626"/>
    <n v="0"/>
    <n v="49.092740825179327"/>
    <n v="2"/>
    <n v="2"/>
    <b v="1"/>
    <x v="0"/>
    <n v="74.547633632712348"/>
    <n v="0.66518201150507783"/>
    <n v="49.587744892751189"/>
    <n v="1"/>
    <n v="0"/>
    <n v="1.3158164489155126"/>
    <n v="-1.8062209118601569E-2"/>
    <n v="-0.49500406757186255"/>
    <n v="1"/>
    <b v="1"/>
    <n v="0"/>
    <n v="0.9741882058902549"/>
    <n v="72.623425462016073"/>
    <n v="0.73781648838171654"/>
    <n v="1"/>
    <n v="0"/>
    <n v="73.781648838171648"/>
    <n v="2"/>
    <n v="-0.32706840350377864"/>
    <b v="0"/>
    <n v="0"/>
    <n v="1"/>
    <n v="0"/>
    <n v="0"/>
    <n v="0"/>
    <n v="0"/>
    <n v="0"/>
    <n v="0"/>
    <s v="Intermedio"/>
    <n v="5"/>
    <s v="Fuera SC"/>
    <m/>
    <s v="No"/>
    <s v="No"/>
    <n v="17.3"/>
    <n v="5.2806628544754348"/>
    <n v="7.115954904539854"/>
    <s v="Bajo"/>
    <n v="0.59059461231397525"/>
    <s v="Medio Bajo"/>
    <n v="74715.182562000002"/>
    <n v="34644.5773223"/>
    <n v="58135"/>
    <n v="1.2852013857744904"/>
    <n v="0.59593321273415323"/>
    <m/>
    <m/>
    <m/>
    <m/>
    <m/>
    <m/>
    <m/>
    <n v="86"/>
    <n v="1"/>
    <n v="6"/>
    <n v="16477.838796"/>
    <n v="562.09885099999997"/>
    <n v="3.4112413524548475E-2"/>
    <s v="0% - 30%"/>
    <n v="1.6353574500082856E-5"/>
    <s v="N.D."/>
    <s v="N.D."/>
    <s v="N.D."/>
    <n v="0.87998879119241624"/>
    <s v="Aceptable"/>
    <n v="3"/>
    <s v="Candidato"/>
    <n v="0"/>
    <n v="0"/>
  </r>
  <r>
    <n v="70670"/>
    <s v="70670"/>
    <x v="9"/>
    <x v="9"/>
    <s v="SAMPUÉS"/>
    <n v="63.239899999999999"/>
    <n v="50.8"/>
    <n v="50.73"/>
    <n v="48.64"/>
    <n v="53.371633661181704"/>
    <n v="58.341499698790237"/>
    <n v="57.865428301255491"/>
    <n v="56.831499999999998"/>
    <n v="53.352474999999998"/>
    <n v="56.602515415306861"/>
    <n v="54.977495207653433"/>
    <n v="38.591605708489674"/>
    <n v="61.408394291510326"/>
    <n v="0.65267554862359289"/>
    <n v="0"/>
    <n v="35.882466846606157"/>
    <n v="3"/>
    <n v="3"/>
    <b v="1"/>
    <x v="3"/>
    <n v="56.098200349500743"/>
    <n v="0.66536812316915028"/>
    <n v="37.325954279714281"/>
    <n v="2"/>
    <n v="0"/>
    <n v="-1.12070514184731"/>
    <n v="-1.2692574545557389E-2"/>
    <n v="-1.4434874331081247"/>
    <n v="2"/>
    <b v="1"/>
    <n v="0"/>
    <n v="0.9741882058902549"/>
    <n v="54.650205152152196"/>
    <n v="0.51299044786531689"/>
    <n v="2"/>
    <n v="0"/>
    <n v="51.299044786531688"/>
    <n v="3"/>
    <n v="-0.32151265726666201"/>
    <b v="0"/>
    <n v="0"/>
    <n v="2"/>
    <n v="0"/>
    <n v="0"/>
    <n v="0"/>
    <n v="0"/>
    <n v="0"/>
    <n v="0"/>
    <s v="Intermedio"/>
    <n v="6"/>
    <s v="Fuera SC"/>
    <m/>
    <s v="No"/>
    <s v="No"/>
    <n v="56.9"/>
    <n v="41.497635430441314"/>
    <n v="7.3863636363636367"/>
    <s v="Bajo"/>
    <n v="3.8673490935361627"/>
    <s v="Medio Bajo"/>
    <n v="101543.648451"/>
    <n v="11183.6133575"/>
    <n v="53083"/>
    <n v="1.9129221869713469"/>
    <n v="0.21068163738861784"/>
    <m/>
    <m/>
    <m/>
    <m/>
    <m/>
    <m/>
    <m/>
    <n v="43"/>
    <n v="0"/>
    <n v="7"/>
    <n v="21400.899696"/>
    <n v="168.13130699999999"/>
    <n v="7.8562728384463706E-3"/>
    <s v="0% - 30%"/>
    <n v="4.8915735193715994E-6"/>
    <n v="1256.6011559999999"/>
    <n v="5.8717211605588189E-2"/>
    <s v="0% - 30%"/>
    <n v="0.95817942308867221"/>
    <s v="Aceptable"/>
    <n v="1"/>
    <s v="Candidato"/>
    <n v="0"/>
    <n v="0"/>
  </r>
  <r>
    <n v="25260"/>
    <s v="25260"/>
    <x v="5"/>
    <x v="5"/>
    <s v="EL ROSAL"/>
    <n v="71.142466666666706"/>
    <n v="73.69"/>
    <n v="76.599999999999994"/>
    <n v="75.260000000000005"/>
    <n v="72.832957871055442"/>
    <n v="70.884601636522845"/>
    <n v="56.148666321229719"/>
    <n v="73.497799999999998"/>
    <n v="74.173116666666672"/>
    <n v="68.341006457201999"/>
    <n v="71.257061561934336"/>
    <n v="38.666949556785092"/>
    <n v="61.333050443214908"/>
    <n v="0.65199745398893416"/>
    <n v="0"/>
    <n v="46.459422717113931"/>
    <n v="2"/>
    <n v="2"/>
    <b v="1"/>
    <x v="3"/>
    <n v="69.327951251912452"/>
    <n v="0.6635472480182143"/>
    <n v="46.002371263947424"/>
    <n v="2"/>
    <n v="0"/>
    <n v="1.9291103100218834"/>
    <n v="-1.1549794029280136E-2"/>
    <n v="0.45705145316650686"/>
    <n v="2"/>
    <b v="1"/>
    <n v="0"/>
    <n v="0.9741882058902549"/>
    <n v="67.538472448147644"/>
    <n v="0.67420908622393205"/>
    <n v="1"/>
    <n v="-1"/>
    <n v="67.420908622393199"/>
    <n v="3"/>
    <n v="-0.32219075190132074"/>
    <b v="0"/>
    <s v="Cambio en corte"/>
    <n v="2"/>
    <n v="0"/>
    <n v="0"/>
    <n v="0"/>
    <n v="0"/>
    <n v="0"/>
    <n v="0"/>
    <s v="Intermedio"/>
    <n v="6"/>
    <s v="Fuera SC"/>
    <m/>
    <s v="No"/>
    <s v="No"/>
    <n v="12.8"/>
    <n v="7.6121245371005353"/>
    <n v="1.0558440810686318"/>
    <s v="Sin riesgo"/>
    <n v="1.0078958599471617"/>
    <s v="Medio Bajo"/>
    <n v="25155.926498000001"/>
    <n v="16571.790780399999"/>
    <n v="26497"/>
    <n v="0.94938772306298824"/>
    <n v="0.62542139790919726"/>
    <m/>
    <m/>
    <m/>
    <m/>
    <m/>
    <m/>
    <m/>
    <n v="59"/>
    <n v="0"/>
    <n v="7"/>
    <n v="8712.0090120000004"/>
    <n v="1556.9614329999999"/>
    <n v="0.1787143965135283"/>
    <s v="0% - 30%"/>
    <n v="4.5297877309344051E-5"/>
    <s v="N.D."/>
    <s v="N.D."/>
    <s v="N.D."/>
    <n v="0.93213971124537975"/>
    <s v="Aceptable"/>
    <n v="3"/>
    <s v="Candidato"/>
    <n v="0"/>
    <n v="0"/>
  </r>
  <r>
    <n v="19845"/>
    <s v="19845"/>
    <x v="13"/>
    <x v="13"/>
    <s v="VILLA RICA"/>
    <n v="59.549966666666698"/>
    <n v="69.14"/>
    <n v="60.67"/>
    <n v="66.48"/>
    <n v="55.286860182122524"/>
    <n v="61.905926897472668"/>
    <n v="63.692295592112913"/>
    <n v="58.9206"/>
    <n v="63.959991666666681"/>
    <n v="59.951420667927032"/>
    <n v="61.955706167296853"/>
    <n v="37.835642775120292"/>
    <n v="62.164357224879708"/>
    <n v="0.65947921502391738"/>
    <n v="0"/>
    <n v="40.858500469461404"/>
    <n v="2"/>
    <n v="2"/>
    <b v="1"/>
    <x v="3"/>
    <n v="60.665881575890687"/>
    <n v="0.6675055663164583"/>
    <n v="40.494813637402103"/>
    <n v="2"/>
    <n v="0"/>
    <n v="1.2898245914061661"/>
    <n v="-8.0263512925409231E-3"/>
    <n v="0.36368683205930097"/>
    <n v="2"/>
    <b v="1"/>
    <n v="0"/>
    <n v="0.9741882058902549"/>
    <n v="59.099986331167621"/>
    <n v="0.56865251990331389"/>
    <n v="2"/>
    <n v="0"/>
    <n v="56.865251990331387"/>
    <n v="3"/>
    <n v="-0.31470899086633752"/>
    <b v="0"/>
    <n v="0"/>
    <n v="2"/>
    <n v="0"/>
    <n v="0"/>
    <n v="0"/>
    <n v="0"/>
    <n v="0"/>
    <n v="0"/>
    <s v="Ciudades y aglomeraciones"/>
    <n v="5"/>
    <s v="En aglomeración"/>
    <m/>
    <s v="No"/>
    <s v="No"/>
    <n v="22.7"/>
    <n v="11.177442567027343"/>
    <n v="0.13504784257086117"/>
    <s v="Sin riesgo"/>
    <n v="7.8588238054019932"/>
    <s v="Medio"/>
    <n v="49580.350508000003"/>
    <n v="30210.803574699999"/>
    <n v="23298"/>
    <n v="2.128094708043609"/>
    <n v="1.2967123175680315"/>
    <m/>
    <m/>
    <m/>
    <m/>
    <m/>
    <m/>
    <m/>
    <n v="32"/>
    <n v="0"/>
    <n v="7"/>
    <n v="7751.2177949999996"/>
    <n v="453.89704499999999"/>
    <n v="5.8558159118273105E-2"/>
    <s v="0% - 30%"/>
    <n v="1.3205576078957259E-5"/>
    <s v="N.D."/>
    <s v="N.D."/>
    <s v="N.D."/>
    <n v="0.83610653104909849"/>
    <s v="Crítico bajo"/>
    <n v="2"/>
    <s v="Candidato"/>
    <n v="0"/>
    <n v="0"/>
  </r>
  <r>
    <n v="63470"/>
    <s v="63470"/>
    <x v="7"/>
    <x v="7"/>
    <s v="MONTENEGRO"/>
    <n v="68.840966666666702"/>
    <n v="72.44"/>
    <n v="66.290000000000006"/>
    <n v="71.97"/>
    <n v="52.960333741399346"/>
    <n v="50.474243105996024"/>
    <n v="53.612639135296988"/>
    <n v="56.298999999999999"/>
    <n v="69.885241666666673"/>
    <n v="53.336553995673093"/>
    <n v="61.610897831169879"/>
    <n v="39.20660558099042"/>
    <n v="60.79339441900958"/>
    <n v="0.64714054977108626"/>
    <n v="0"/>
    <n v="39.8709102943535"/>
    <n v="2"/>
    <n v="2"/>
    <b v="1"/>
    <x v="3"/>
    <n v="60.402101348714105"/>
    <n v="0.66481655836500586"/>
    <n v="40.156317136666388"/>
    <n v="2"/>
    <n v="0"/>
    <n v="1.2087964824557744"/>
    <n v="-1.7676008593919601E-2"/>
    <n v="-0.28540684231288793"/>
    <n v="2"/>
    <b v="1"/>
    <n v="0"/>
    <n v="0.9741882058902549"/>
    <n v="58.84301474490514"/>
    <n v="0.56543807623275455"/>
    <n v="2"/>
    <n v="0"/>
    <n v="56.543807623275455"/>
    <n v="3"/>
    <n v="-0.32704765611916864"/>
    <b v="0"/>
    <n v="0"/>
    <n v="2"/>
    <n v="0"/>
    <n v="0"/>
    <n v="0"/>
    <n v="0"/>
    <n v="0"/>
    <n v="0"/>
    <s v="Intermedio"/>
    <n v="6"/>
    <s v="Fuera SC"/>
    <m/>
    <s v="No"/>
    <s v="No"/>
    <n v="25.8"/>
    <n v="11.127554214810177"/>
    <n v="0.71416666666666673"/>
    <s v="Sin riesgo"/>
    <n v="7.1744544895484665"/>
    <s v="Medio"/>
    <n v="67021.639238999996"/>
    <n v="15236.45091625"/>
    <n v="37530"/>
    <n v="1.7858150609912069"/>
    <n v="0.40598057330802023"/>
    <m/>
    <m/>
    <m/>
    <m/>
    <m/>
    <m/>
    <m/>
    <n v="16"/>
    <n v="0"/>
    <n v="7"/>
    <n v="14943.769965"/>
    <n v="4435.0709800000004"/>
    <n v="0.29678394343511971"/>
    <s v="0% - 30%"/>
    <n v="1.2903293354105341E-4"/>
    <s v="N.D."/>
    <s v="N.D."/>
    <s v="N.D."/>
    <n v="0.83750782488036557"/>
    <s v="Crítico bajo"/>
    <n v="2"/>
    <s v="Candidato"/>
    <n v="0"/>
    <n v="0"/>
  </r>
  <r>
    <n v="70215"/>
    <s v="70215"/>
    <x v="9"/>
    <x v="9"/>
    <s v="COROZAL"/>
    <n v="58.263566666666698"/>
    <n v="48.32"/>
    <n v="46.5"/>
    <n v="60.53"/>
    <n v="50.937302619212701"/>
    <n v="62.537312834172596"/>
    <n v="60.342849744583916"/>
    <n v="44.551499999999997"/>
    <n v="53.403391666666671"/>
    <n v="54.592241299492308"/>
    <n v="53.99781648307949"/>
    <n v="38.196999039748604"/>
    <n v="61.803000960251396"/>
    <n v="0.65622700864226258"/>
    <n v="0"/>
    <n v="35.434825583905116"/>
    <n v="3"/>
    <n v="3"/>
    <b v="1"/>
    <x v="4"/>
    <n v="55.570674215636174"/>
    <n v="0.66350900768695154"/>
    <n v="36.871642905311624"/>
    <n v="2"/>
    <n v="-1"/>
    <n v="-1.5728577325566846"/>
    <n v="-7.2819990446889582E-3"/>
    <n v="-1.4368173214065081"/>
    <n v="2"/>
    <b v="0"/>
    <s v="Cambio en corte"/>
    <n v="0.9741882058902549"/>
    <n v="54.136295414242454"/>
    <n v="0.50656197875599107"/>
    <n v="2"/>
    <n v="-1"/>
    <n v="50.656197875599105"/>
    <n v="3"/>
    <n v="-0.31796119724799232"/>
    <b v="1"/>
    <s v="Efecto ponderador"/>
    <n v="2"/>
    <n v="-1"/>
    <n v="0"/>
    <n v="1"/>
    <n v="0"/>
    <n v="0"/>
    <n v="0"/>
    <s v="Intermedio"/>
    <n v="6"/>
    <s v="Fuera SC"/>
    <m/>
    <s v="No"/>
    <s v="No"/>
    <n v="34.5"/>
    <n v="18.188859190863809"/>
    <n v="1.1029411764705883"/>
    <s v="Sin riesgo"/>
    <n v="3.6237657115940389"/>
    <s v="Medio Bajo"/>
    <n v="199209.516516"/>
    <n v="27193.744035"/>
    <n v="76816"/>
    <n v="2.5933336351280984"/>
    <n v="0.35401145640231202"/>
    <m/>
    <m/>
    <m/>
    <m/>
    <m/>
    <m/>
    <m/>
    <n v="43"/>
    <n v="0"/>
    <n v="6"/>
    <n v="28551.349440000002"/>
    <n v="269.69511699999998"/>
    <n v="9.4459674337550315E-3"/>
    <s v="0% - 30%"/>
    <n v="7.8464476138344975E-6"/>
    <s v="N.D."/>
    <s v="N.D."/>
    <s v="N.D."/>
    <n v="0.88428317516692512"/>
    <s v="Aceptable"/>
    <n v="2"/>
    <s v="Candidato"/>
    <n v="0"/>
    <n v="0"/>
  </r>
  <r>
    <n v="76318"/>
    <s v="76318"/>
    <x v="3"/>
    <x v="3"/>
    <s v="GUACARÍ"/>
    <n v="55.438566666666702"/>
    <n v="48.81"/>
    <n v="42.36"/>
    <n v="65.28"/>
    <n v="59.722255019901588"/>
    <n v="55.270346991226148"/>
    <n v="59.682786394285799"/>
    <n v="66.655799999999999"/>
    <n v="52.97214166666668"/>
    <n v="60.332797101353378"/>
    <n v="56.652469384010033"/>
    <n v="39.662013236763535"/>
    <n v="60.337986763236465"/>
    <n v="0.64304188086912817"/>
    <n v="0"/>
    <n v="36.429910468574512"/>
    <n v="3"/>
    <n v="3"/>
    <b v="1"/>
    <x v="3"/>
    <n v="54.612786522655242"/>
    <n v="0.66184702189856082"/>
    <n v="36.145310117601234"/>
    <n v="2"/>
    <n v="0"/>
    <n v="2.039682861354791"/>
    <n v="-1.8805141029432648E-2"/>
    <n v="0.28460035097327818"/>
    <n v="2"/>
    <b v="1"/>
    <n v="0"/>
    <n v="0.9741882058902549"/>
    <n v="53.203132521173004"/>
    <n v="0.49488909461009911"/>
    <n v="2"/>
    <n v="0"/>
    <n v="49.488909461009911"/>
    <n v="3"/>
    <n v="-0.33114632502112673"/>
    <b v="0"/>
    <n v="0"/>
    <n v="2"/>
    <n v="0"/>
    <n v="0"/>
    <n v="0"/>
    <n v="0"/>
    <n v="0"/>
    <n v="0"/>
    <s v="Intermedio"/>
    <n v="6"/>
    <s v="Fuera SC"/>
    <m/>
    <s v="No"/>
    <s v="No"/>
    <n v="16"/>
    <n v="7.1817879694250584"/>
    <n v="9.5433388807568011"/>
    <s v="Bajo"/>
    <n v="10.083858861511441"/>
    <s v="Medio"/>
    <n v="53077.705742999999"/>
    <n v="23429.601780099998"/>
    <n v="34561"/>
    <n v="1.5357688071236364"/>
    <n v="0.67792025057434679"/>
    <m/>
    <m/>
    <m/>
    <m/>
    <m/>
    <m/>
    <m/>
    <n v="85"/>
    <n v="0"/>
    <n v="6"/>
    <n v="16252.375382"/>
    <n v="2394.699822"/>
    <n v="0.14734460444792599"/>
    <s v="0% - 30%"/>
    <n v="6.9670845038628552E-5"/>
    <s v="N.D."/>
    <s v="N.D."/>
    <s v="N.D."/>
    <n v="0.97175300978673684"/>
    <s v="Aceptable"/>
    <n v="3"/>
    <s v="Candidato"/>
    <n v="0"/>
    <n v="0"/>
  </r>
  <r>
    <n v="76020"/>
    <s v="76020"/>
    <x v="3"/>
    <x v="3"/>
    <s v="ALCALÁ"/>
    <n v="65.256033333333306"/>
    <n v="55.62"/>
    <n v="32.299999999999997"/>
    <n v="43.52"/>
    <n v="54.843174945570205"/>
    <n v="58.468215645405103"/>
    <n v="53.106410544356663"/>
    <n v="44.137799999999999"/>
    <n v="49.174008333333326"/>
    <n v="52.638900283832989"/>
    <n v="50.906454308583157"/>
    <n v="39.63941901947976"/>
    <n v="60.36058098052024"/>
    <n v="0.64324522882468216"/>
    <n v="0"/>
    <n v="32.745333850377797"/>
    <n v="3"/>
    <n v="3"/>
    <b v="1"/>
    <x v="4"/>
    <n v="54.692684526195634"/>
    <n v="0.66096487974988793"/>
    <n v="36.149943651055452"/>
    <n v="2"/>
    <n v="-1"/>
    <n v="-3.7862302176124771"/>
    <n v="-1.7719650925205777E-2"/>
    <n v="-3.4046098006776546"/>
    <n v="3"/>
    <b v="1"/>
    <s v="Efecto ponderador"/>
    <n v="0.9741882058902549"/>
    <n v="53.28096821389623"/>
    <n v="0.49586273707951289"/>
    <n v="2"/>
    <n v="-1"/>
    <n v="49.586273707951293"/>
    <n v="4"/>
    <n v="-0.33094297706557274"/>
    <b v="0"/>
    <s v="Cambio en corte"/>
    <n v="2"/>
    <n v="-1"/>
    <n v="0"/>
    <n v="0"/>
    <n v="0"/>
    <n v="0"/>
    <n v="0"/>
    <s v="Intermedio"/>
    <n v="6"/>
    <s v="Fuera SC"/>
    <m/>
    <s v="No"/>
    <s v="No"/>
    <n v="31.9"/>
    <n v="11.631730374023839"/>
    <n v="7.2695716532950128"/>
    <s v="Bajo"/>
    <n v="11.143224714450058"/>
    <s v="Medio"/>
    <n v="26899.748249"/>
    <n v="7535.6488182499997"/>
    <n v="14381"/>
    <n v="1.8705061017314513"/>
    <n v="0.52400033504276478"/>
    <m/>
    <m/>
    <m/>
    <m/>
    <m/>
    <m/>
    <m/>
    <n v="49"/>
    <n v="0"/>
    <n v="7"/>
    <n v="6233.6104420000001"/>
    <n v="5987.2747319999999"/>
    <n v="0.96048265891941664"/>
    <s v="71% - 100%"/>
    <n v="1.7419239197524283E-4"/>
    <s v="N.D."/>
    <s v="N.D."/>
    <s v="N.D."/>
    <n v="0.78902332028952926"/>
    <s v="Crítico bajo"/>
    <n v="1"/>
    <s v="Candidato"/>
    <n v="0"/>
    <n v="0"/>
  </r>
  <r>
    <n v="8137"/>
    <s v="08137"/>
    <x v="2"/>
    <x v="2"/>
    <s v="CAMPO DE LA CRUZ"/>
    <n v="50.5463666666667"/>
    <n v="47.38"/>
    <n v="38.549999999999997"/>
    <n v="56.69"/>
    <n v="53.511891105533635"/>
    <n v="48.856299331413197"/>
    <n v="49.879812460546169"/>
    <n v="51.473999999999997"/>
    <n v="48.291591666666676"/>
    <n v="50.930500724373246"/>
    <n v="49.611046195519961"/>
    <n v="38.537350900282156"/>
    <n v="61.462649099717844"/>
    <n v="0.65316384189746057"/>
    <n v="0"/>
    <n v="32.404141533618215"/>
    <n v="3"/>
    <n v="3"/>
    <b v="1"/>
    <x v="4"/>
    <n v="49.700959562688951"/>
    <n v="0.66114712439250667"/>
    <n v="32.859646494420055"/>
    <n v="3"/>
    <n v="0"/>
    <n v="-8.9913367168989566E-2"/>
    <n v="-7.9832824950460957E-3"/>
    <n v="-0.45550496080183933"/>
    <n v="3"/>
    <b v="1"/>
    <n v="0"/>
    <n v="0.9741882058902549"/>
    <n v="48.41808862740006"/>
    <n v="0.43503323941069799"/>
    <n v="3"/>
    <n v="0"/>
    <n v="43.503323941069802"/>
    <n v="4"/>
    <n v="-0.32102436399279433"/>
    <b v="0"/>
    <n v="0"/>
    <n v="3"/>
    <n v="0"/>
    <n v="0"/>
    <n v="0"/>
    <n v="0"/>
    <n v="0"/>
    <n v="0"/>
    <s v="Intermedio"/>
    <n v="6"/>
    <s v="Fuera SC"/>
    <m/>
    <s v="No"/>
    <s v="No"/>
    <n v="64.599999999999994"/>
    <n v="34.980271810609381"/>
    <n v="4.4295491143317225"/>
    <s v="Sin riesgo"/>
    <n v="0.40189845725859863"/>
    <s v="Medio Bajo"/>
    <n v="50122.570016999998"/>
    <n v="5671.5214610000003"/>
    <n v="26781"/>
    <n v="1.871572010641873"/>
    <n v="0.21177407344759344"/>
    <m/>
    <m/>
    <m/>
    <m/>
    <m/>
    <m/>
    <m/>
    <n v="77"/>
    <n v="0"/>
    <n v="7"/>
    <n v="9991.9317269999992"/>
    <n v="1184.6663160000001"/>
    <n v="0.11856229089304306"/>
    <s v="0% - 30%"/>
    <n v="3.4466408927857246E-5"/>
    <s v="N.D."/>
    <s v="N.D."/>
    <s v="N.D."/>
    <n v="0.93256540867275484"/>
    <s v="Aceptable"/>
    <n v="1"/>
    <s v="Candidato"/>
    <n v="0"/>
    <n v="0"/>
  </r>
  <r>
    <n v="76036"/>
    <s v="76036"/>
    <x v="3"/>
    <x v="3"/>
    <s v="ANDALUCÍA"/>
    <n v="68.669899999999998"/>
    <n v="61.54"/>
    <n v="60.96"/>
    <n v="74.25"/>
    <n v="49.168958633560443"/>
    <n v="55.34823338068226"/>
    <n v="59.397264617249505"/>
    <n v="54.8992"/>
    <n v="66.354974999999996"/>
    <n v="54.703414157873056"/>
    <n v="60.529194578936526"/>
    <n v="39.107184571935164"/>
    <n v="60.892815428064836"/>
    <n v="0.64803533885258358"/>
    <n v="0"/>
    <n v="39.2250571194351"/>
    <n v="2"/>
    <n v="2"/>
    <b v="1"/>
    <x v="3"/>
    <n v="59.97561429161501"/>
    <n v="0.65967249209331358"/>
    <n v="39.564262944577024"/>
    <n v="2"/>
    <n v="0"/>
    <n v="0.5535802873215161"/>
    <n v="-1.1637153240730003E-2"/>
    <n v="-0.33920582514192432"/>
    <n v="2"/>
    <b v="1"/>
    <n v="0"/>
    <n v="0.9741882058902549"/>
    <n v="58.427536083914354"/>
    <n v="0.56024087613954976"/>
    <n v="2"/>
    <n v="0"/>
    <n v="56.024087613954975"/>
    <n v="3"/>
    <n v="-0.32615286703767132"/>
    <b v="0"/>
    <n v="0"/>
    <n v="2"/>
    <n v="0"/>
    <n v="0"/>
    <n v="0"/>
    <n v="0"/>
    <n v="0"/>
    <n v="0"/>
    <s v="Intermedio"/>
    <n v="6"/>
    <s v="En aglomeración"/>
    <m/>
    <s v="No"/>
    <s v="No"/>
    <n v="15.3"/>
    <n v="5.8508583098747033"/>
    <n v="4.2735117260176967"/>
    <s v="Sin riesgo"/>
    <n v="5.2786330526129115"/>
    <s v="Medio Bajo"/>
    <n v="32645.728779000001"/>
    <n v="13116.0618577"/>
    <n v="24590"/>
    <n v="1.3276018210248068"/>
    <n v="0.53339007148027651"/>
    <m/>
    <m/>
    <m/>
    <m/>
    <m/>
    <m/>
    <m/>
    <n v="66"/>
    <n v="0"/>
    <n v="7"/>
    <n v="11043.532442"/>
    <n v="1802.761585"/>
    <n v="0.16324138987846512"/>
    <s v="0% - 30%"/>
    <n v="5.2449130315309886E-5"/>
    <n v="3.099043"/>
    <n v="2.8062062716580917E-4"/>
    <n v="0"/>
    <n v="0.93749371989393582"/>
    <s v="Aceptable"/>
    <n v="2"/>
    <s v="Candidato"/>
    <n v="0"/>
    <n v="0"/>
  </r>
  <r>
    <n v="63594"/>
    <s v="63594"/>
    <x v="7"/>
    <x v="7"/>
    <s v="QUIMBAYA"/>
    <n v="57.4232333333333"/>
    <n v="59.28"/>
    <n v="65.59"/>
    <n v="65.28"/>
    <n v="59.221827380067239"/>
    <n v="52.739464368612772"/>
    <n v="51.195118400677885"/>
    <n v="55.348700000000001"/>
    <n v="61.89330833333333"/>
    <n v="54.626277537339476"/>
    <n v="58.259792935336407"/>
    <n v="39.624087927902139"/>
    <n v="60.375912072097861"/>
    <n v="0.64338320864888077"/>
    <n v="0"/>
    <n v="37.483372513956134"/>
    <n v="3"/>
    <n v="3"/>
    <b v="1"/>
    <x v="3"/>
    <n v="57.241971001319953"/>
    <n v="0.65946556055414496"/>
    <n v="37.749108493609576"/>
    <n v="2"/>
    <n v="0"/>
    <n v="1.0178219340164532"/>
    <n v="-1.6082351905264192E-2"/>
    <n v="-0.2657359796534422"/>
    <n v="2"/>
    <b v="1"/>
    <n v="0"/>
    <n v="0.9741882058902549"/>
    <n v="55.764453031397885"/>
    <n v="0.52692851430670584"/>
    <n v="2"/>
    <n v="0"/>
    <n v="52.692851430670586"/>
    <n v="3"/>
    <n v="-0.33080499724137413"/>
    <b v="0"/>
    <n v="0"/>
    <n v="2"/>
    <n v="0"/>
    <n v="0"/>
    <n v="0"/>
    <n v="0"/>
    <n v="0"/>
    <n v="0"/>
    <s v="Intermedio"/>
    <n v="6"/>
    <s v="Fuera SC"/>
    <m/>
    <s v="No"/>
    <s v="No"/>
    <n v="22"/>
    <n v="7.6044577855984539"/>
    <n v="0"/>
    <s v="Sin riesgo"/>
    <n v="7.778952858652084"/>
    <s v="Medio"/>
    <n v="55811.217793999997"/>
    <n v="15530.898195350001"/>
    <n v="31400"/>
    <n v="1.7774273182802547"/>
    <n v="0.49461459220859877"/>
    <m/>
    <m/>
    <m/>
    <m/>
    <m/>
    <m/>
    <m/>
    <n v="16"/>
    <n v="0"/>
    <n v="7"/>
    <n v="13322.775221"/>
    <n v="4047.0484959999999"/>
    <n v="0.30376917938395054"/>
    <s v="0% - 30%"/>
    <n v="1.1774389676662811E-4"/>
    <s v="N.D."/>
    <s v="N.D."/>
    <s v="N.D."/>
    <n v="0.8593214904090789"/>
    <s v="Aceptable"/>
    <n v="2"/>
    <s v="Candidato"/>
    <n v="0"/>
    <n v="0"/>
  </r>
  <r>
    <n v="68432"/>
    <s v="68432"/>
    <x v="0"/>
    <x v="0"/>
    <s v="MÁLAGA"/>
    <n v="54.680300000000003"/>
    <n v="58.36"/>
    <n v="44.93"/>
    <n v="55.53"/>
    <n v="56.044445261455529"/>
    <n v="53.493382803515907"/>
    <n v="61.311257349476705"/>
    <n v="57.9514"/>
    <n v="53.375075000000002"/>
    <n v="57.20012135361204"/>
    <n v="55.287598176806021"/>
    <n v="39.048041918424389"/>
    <n v="60.951958081575611"/>
    <n v="0.64856762273418045"/>
    <n v="0"/>
    <n v="35.85774611621369"/>
    <n v="3"/>
    <n v="3"/>
    <b v="1"/>
    <x v="3"/>
    <n v="54.672823789684543"/>
    <n v="0.65760493973404277"/>
    <n v="35.953118993305445"/>
    <n v="2"/>
    <n v="0"/>
    <n v="0.61477438712147858"/>
    <n v="-9.0373169998623215E-3"/>
    <n v="-9.5372877091755015E-2"/>
    <n v="2"/>
    <b v="1"/>
    <n v="0"/>
    <n v="0.9741882058902549"/>
    <n v="53.26162011862683"/>
    <n v="0.49562071280250752"/>
    <n v="2"/>
    <n v="0"/>
    <n v="49.562071280250755"/>
    <n v="3"/>
    <n v="-0.32562058315607445"/>
    <b v="0"/>
    <n v="0"/>
    <n v="2"/>
    <n v="0"/>
    <n v="0"/>
    <n v="0"/>
    <n v="0"/>
    <n v="0"/>
    <n v="0"/>
    <s v="Ciudades y aglomeraciones"/>
    <n v="6"/>
    <s v="Uninodal"/>
    <m/>
    <s v="No"/>
    <s v="No"/>
    <n v="19.3"/>
    <n v="7.6404149844125309"/>
    <n v="2.0005555555555556"/>
    <s v="Sin riesgo"/>
    <n v="0.39423703839620755"/>
    <s v="Medio Bajo"/>
    <n v="39840.400077999999"/>
    <n v="10259.92706245"/>
    <n v="23796"/>
    <n v="1.6742477760127752"/>
    <n v="0.43116183654605816"/>
    <m/>
    <m/>
    <m/>
    <m/>
    <m/>
    <m/>
    <m/>
    <n v="58"/>
    <n v="1"/>
    <n v="5"/>
    <n v="5707.1661089999998"/>
    <n v="1320.3725360000001"/>
    <n v="0.23135344421074747"/>
    <s v="0% - 30%"/>
    <n v="3.8414614434675897E-5"/>
    <s v="N.D."/>
    <s v="N.D."/>
    <s v="N.D."/>
    <n v="0.93865859542507568"/>
    <s v="Aceptable"/>
    <n v="1"/>
    <s v="Candidato"/>
    <n v="0"/>
    <n v="0"/>
  </r>
  <r>
    <n v="23670"/>
    <s v="23670"/>
    <x v="14"/>
    <x v="14"/>
    <s v="SAN ANDRÉS DE SOTAVENTO"/>
    <n v="55.746033333333301"/>
    <n v="46.74"/>
    <n v="42.34"/>
    <n v="43.15"/>
    <n v="63.373986487267125"/>
    <n v="54.993615815801078"/>
    <n v="63.650121114702955"/>
    <n v="54.614699999999999"/>
    <n v="46.994008333333326"/>
    <n v="59.158105854442788"/>
    <n v="53.076057093888053"/>
    <n v="39.291956412082463"/>
    <n v="60.708043587917537"/>
    <n v="0.64637239229125787"/>
    <n v="0"/>
    <n v="34.306897997163809"/>
    <n v="3"/>
    <n v="3"/>
    <b v="1"/>
    <x v="4"/>
    <n v="56.021668523766778"/>
    <n v="0.65677547610748022"/>
    <n v="36.793658017032364"/>
    <n v="2"/>
    <n v="-1"/>
    <n v="-2.9456114298787242"/>
    <n v="-1.0403083816222347E-2"/>
    <n v="-2.4867600198685551"/>
    <n v="3"/>
    <b v="1"/>
    <s v="Efecto ponderador"/>
    <n v="0.9741882058902549"/>
    <n v="54.575648750146925"/>
    <n v="0.5120578258660865"/>
    <n v="2"/>
    <n v="-1"/>
    <n v="51.205782586608649"/>
    <n v="4"/>
    <n v="-0.32781581359899703"/>
    <b v="0"/>
    <s v="Cambio en corte"/>
    <n v="2"/>
    <n v="-1"/>
    <n v="0"/>
    <n v="0"/>
    <n v="0"/>
    <n v="0"/>
    <n v="0"/>
    <s v="Intermedio"/>
    <n v="6"/>
    <s v="Fuera SC"/>
    <m/>
    <s v="No"/>
    <s v="Si"/>
    <n v="76.3"/>
    <n v="72.579148926048376"/>
    <n v="21.74"/>
    <s v="Medio"/>
    <n v="1.186336333854888"/>
    <s v="Medio Bajo"/>
    <n v="129482.424633"/>
    <n v="13748.538465"/>
    <n v="52225"/>
    <n v="2.4793188058018192"/>
    <n v="0.26325588252752513"/>
    <m/>
    <m/>
    <m/>
    <m/>
    <m/>
    <m/>
    <m/>
    <n v="10"/>
    <n v="0"/>
    <n v="7"/>
    <n v="20674.384583999999"/>
    <n v="1645.209396"/>
    <n v="7.9577188347034769E-2"/>
    <s v="0% - 30%"/>
    <n v="4.7865343218291546E-5"/>
    <n v="3461.0015840000001"/>
    <n v="0.16740530147042371"/>
    <s v="0% - 30%"/>
    <n v="0.85177716487601196"/>
    <s v="Aceptable"/>
    <n v="1"/>
    <s v="Candidato"/>
    <n v="0"/>
    <n v="0"/>
  </r>
  <r>
    <n v="25386"/>
    <s v="25386"/>
    <x v="5"/>
    <x v="5"/>
    <s v="LA MESA"/>
    <n v="75.036733333333302"/>
    <n v="78.78"/>
    <n v="73.8"/>
    <n v="83.61"/>
    <n v="70.316895658116863"/>
    <n v="75.844055708961108"/>
    <n v="78.347307575539048"/>
    <n v="60.670999999999999"/>
    <n v="77.806683333333325"/>
    <n v="71.294814735654256"/>
    <n v="74.550749034493791"/>
    <n v="39.974708156795081"/>
    <n v="60.025291843204919"/>
    <n v="0.64022762658884425"/>
    <n v="0"/>
    <n v="47.729449114774532"/>
    <n v="2"/>
    <n v="2"/>
    <b v="1"/>
    <x v="0"/>
    <n v="72.420463443332096"/>
    <n v="0.65696932435706334"/>
    <n v="47.578022937991292"/>
    <n v="1"/>
    <n v="0"/>
    <n v="2.1302855911616945"/>
    <n v="-1.6741697768219099E-2"/>
    <n v="0.15142617678323944"/>
    <n v="1"/>
    <b v="1"/>
    <n v="0"/>
    <n v="0.9741882058902549"/>
    <n v="70.551161351600484"/>
    <n v="0.71189464873268682"/>
    <n v="1"/>
    <n v="0"/>
    <n v="71.189464873268676"/>
    <n v="3"/>
    <n v="-0.33396057930141065"/>
    <b v="0"/>
    <n v="0"/>
    <n v="1"/>
    <n v="0"/>
    <n v="0"/>
    <n v="0"/>
    <n v="0"/>
    <n v="0"/>
    <n v="0"/>
    <s v="Intermedio"/>
    <n v="5"/>
    <s v="Fuera SC"/>
    <m/>
    <s v="No"/>
    <s v="No"/>
    <n v="18.3"/>
    <n v="8.911677370347352"/>
    <n v="8.232183920496837"/>
    <s v="Bajo"/>
    <n v="3.0929228805571665"/>
    <s v="Medio Bajo"/>
    <n v="80276.524378000002"/>
    <n v="31990.821693999998"/>
    <n v="36901"/>
    <n v="2.1754566103357633"/>
    <n v="0.86693644329421959"/>
    <m/>
    <m/>
    <m/>
    <m/>
    <m/>
    <m/>
    <m/>
    <n v="93"/>
    <n v="1"/>
    <n v="6"/>
    <n v="14812.919553"/>
    <n v="6952.8169749999997"/>
    <n v="0.46937519306191561"/>
    <s v="31% - 50%"/>
    <n v="2.0228365559513164E-4"/>
    <s v="N.D."/>
    <s v="N.D."/>
    <s v="N.D."/>
    <n v="0.9623103802241475"/>
    <s v="Aceptable"/>
    <n v="3"/>
    <s v="Candidato"/>
    <n v="0"/>
    <n v="0"/>
  </r>
  <r>
    <n v="25758"/>
    <s v="25758"/>
    <x v="5"/>
    <x v="5"/>
    <s v="SOPÓ"/>
    <n v="94.301833333333306"/>
    <n v="81.89"/>
    <n v="88.74"/>
    <n v="88.1"/>
    <n v="78.505673549088513"/>
    <n v="61.885100463227673"/>
    <n v="75.872328277612212"/>
    <n v="61.393000000000001"/>
    <n v="88.257958333333335"/>
    <n v="69.414025572482103"/>
    <n v="78.835991952907719"/>
    <n v="39.402254940159473"/>
    <n v="60.597745059840527"/>
    <n v="0.64537970553856472"/>
    <n v="0"/>
    <n v="50.879149272408242"/>
    <n v="2"/>
    <n v="2"/>
    <b v="1"/>
    <x v="0"/>
    <n v="80.526156437192952"/>
    <n v="0.6535289541477961"/>
    <n v="52.626174797940529"/>
    <n v="1"/>
    <n v="0"/>
    <n v="-1.6901644842852335"/>
    <n v="-8.1492486092313854E-3"/>
    <n v="-1.7470255255322868"/>
    <n v="1"/>
    <b v="1"/>
    <n v="0"/>
    <n v="0.9741882058902549"/>
    <n v="78.447631866787006"/>
    <n v="0.81067117121316623"/>
    <n v="1"/>
    <n v="0"/>
    <n v="81.067117121316628"/>
    <n v="2"/>
    <n v="-0.32880850035169018"/>
    <b v="0"/>
    <n v="0"/>
    <n v="1"/>
    <n v="0"/>
    <n v="0"/>
    <n v="1"/>
    <n v="0"/>
    <n v="0"/>
    <n v="0"/>
    <s v="Ciudades y aglomeraciones"/>
    <n v="3"/>
    <s v="En aglomeración"/>
    <m/>
    <s v="No"/>
    <s v="No"/>
    <n v="8"/>
    <n v="2.889543565115622"/>
    <n v="2.4763825806451614"/>
    <s v="Sin riesgo"/>
    <n v="0.27647825571216877"/>
    <s v="Medio Bajo"/>
    <n v="70227.996069999994"/>
    <n v="57488.005824199994"/>
    <n v="32937"/>
    <n v="2.1321916407080184"/>
    <n v="1.7453928962625618"/>
    <m/>
    <m/>
    <m/>
    <m/>
    <m/>
    <m/>
    <m/>
    <n v="94"/>
    <n v="0"/>
    <n v="6"/>
    <n v="11088.929595"/>
    <n v="3823.3394170000001"/>
    <n v="0.34478886210297022"/>
    <s v="31% - 50%"/>
    <n v="1.11235356350182E-4"/>
    <s v="N.D."/>
    <s v="N.D."/>
    <s v="N.D."/>
    <n v="0.984272268044599"/>
    <s v="Aceptable"/>
    <n v="3"/>
    <s v="Candidato"/>
    <n v="0"/>
    <n v="0"/>
  </r>
  <r>
    <n v="52001"/>
    <s v="52001"/>
    <x v="18"/>
    <x v="18"/>
    <s v="PASTO"/>
    <n v="73.581366666666696"/>
    <n v="81.27"/>
    <n v="80.12"/>
    <n v="82.18"/>
    <n v="63.485270237553223"/>
    <n v="68.234214197829502"/>
    <n v="63.529756677093971"/>
    <n v="61.863700000000001"/>
    <n v="79.287841666666679"/>
    <n v="64.278235278119169"/>
    <n v="71.783038472392917"/>
    <n v="40.074733701947736"/>
    <n v="59.925266298052264"/>
    <n v="0.63932739668247029"/>
    <n v="0"/>
    <n v="45.892863112512572"/>
    <n v="2"/>
    <n v="2"/>
    <b v="1"/>
    <x v="3"/>
    <n v="70.439734967762121"/>
    <n v="0.65443254707805243"/>
    <n v="46.098055170455517"/>
    <n v="2"/>
    <n v="0"/>
    <n v="1.3433035046307964"/>
    <n v="-1.5105150395582134E-2"/>
    <n v="-0.20519205794294493"/>
    <n v="2"/>
    <b v="1"/>
    <n v="0"/>
    <s v="Especial"/>
    <s v="N.D."/>
    <s v="N.D."/>
    <s v="SC- Centro aglomeración"/>
    <n v="2"/>
    <s v="N.D"/>
    <n v="3"/>
    <s v="N.D."/>
    <b v="0"/>
    <s v="Cambio en corte"/>
    <s v="SC- Centro aglomeración"/>
    <n v="2"/>
    <n v="1"/>
    <n v="0"/>
    <n v="0"/>
    <n v="0"/>
    <n v="0"/>
    <s v="Ciudades y aglomeraciones"/>
    <n v="1"/>
    <s v="Centro aglomeración"/>
    <m/>
    <s v="Si"/>
    <s v="Si"/>
    <n v="16.3"/>
    <n v="8.2449792759165543"/>
    <n v="11.219467876341547"/>
    <s v="Bajo"/>
    <n v="2.1322282981818099"/>
    <s v="Medio Bajo"/>
    <n v="1035800.2088659999"/>
    <n v="238017.037148"/>
    <n v="403166"/>
    <n v="2.5691655766260051"/>
    <n v="0.5903698157781162"/>
    <m/>
    <m/>
    <m/>
    <m/>
    <m/>
    <m/>
    <m/>
    <n v="80"/>
    <n v="1"/>
    <n v="3"/>
    <n v="110029.29750099999"/>
    <n v="78988.997711000004"/>
    <n v="0.71789059373283848"/>
    <s v="71% - 100%"/>
    <n v="2.2980877054909915E-3"/>
    <n v="658.80310899999995"/>
    <n v="5.9875244499676319E-3"/>
    <s v="0% - 30%"/>
    <n v="0.97281508663614846"/>
    <s v="Aceptable"/>
    <n v="3"/>
    <s v="Candidato"/>
    <n v="1"/>
    <s v="Unidad Especial de Desarrollo Fronterizo"/>
  </r>
  <r>
    <n v="41001"/>
    <s v="41001"/>
    <x v="19"/>
    <x v="19"/>
    <s v="NEIVA"/>
    <n v="90.693866666666693"/>
    <n v="76.239999999999995"/>
    <n v="76.72"/>
    <n v="85.18"/>
    <n v="54.547522082438803"/>
    <n v="51.741523525289075"/>
    <n v="53.905447746053227"/>
    <n v="50.634599999999999"/>
    <n v="82.208466666666681"/>
    <n v="52.707273338445276"/>
    <n v="67.457870002555978"/>
    <n v="39.851965836411146"/>
    <n v="60.148034163588854"/>
    <n v="0.64133230747229963"/>
    <n v="0"/>
    <n v="43.262911425905649"/>
    <n v="2"/>
    <n v="2"/>
    <b v="1"/>
    <x v="3"/>
    <n v="68.033210220423044"/>
    <n v="0.65129775725430994"/>
    <n v="44.309877235372525"/>
    <n v="2"/>
    <n v="0"/>
    <n v="-0.57534021786706546"/>
    <n v="-9.965449782010305E-3"/>
    <n v="-1.0469658094668759"/>
    <n v="2"/>
    <b v="1"/>
    <n v="0"/>
    <n v="0.9741882058902549"/>
    <n v="66.277151005588479"/>
    <n v="0.65843128453564026"/>
    <n v="1"/>
    <n v="-1"/>
    <n v="65.84312845356402"/>
    <n v="3"/>
    <n v="-0.33285589841795526"/>
    <b v="0"/>
    <s v="Cambio en corte"/>
    <n v="1"/>
    <n v="-1"/>
    <n v="1"/>
    <n v="0"/>
    <n v="0"/>
    <n v="0"/>
    <n v="0"/>
    <s v="Ciudades y aglomeraciones"/>
    <n v="1"/>
    <s v="Uninodal"/>
    <m/>
    <s v="Si"/>
    <s v="Si"/>
    <n v="17.600000000000001"/>
    <n v="7.570138201780984"/>
    <n v="1.3736523779966543"/>
    <s v="Sin riesgo"/>
    <n v="2.6139561954832868"/>
    <s v="Medio Bajo"/>
    <n v="981652.52498300001"/>
    <n v="248740.36980505"/>
    <n v="396442"/>
    <n v="2.4761567265400739"/>
    <n v="0.62743193154370624"/>
    <m/>
    <m/>
    <m/>
    <m/>
    <m/>
    <m/>
    <m/>
    <n v="71"/>
    <n v="1"/>
    <n v="3"/>
    <n v="126914.313373"/>
    <n v="55136.725448999998"/>
    <n v="0.43444056059267067"/>
    <s v="31% - 50%"/>
    <n v="1.604135190308076E-3"/>
    <n v="563.23466499999995"/>
    <n v="4.4379128723224344E-3"/>
    <s v="0% - 30%"/>
    <n v="0.84057603619176835"/>
    <s v="Crítico bajo"/>
    <n v="2"/>
    <s v="Candidato"/>
    <n v="0"/>
    <n v="0"/>
  </r>
  <r>
    <n v="23300"/>
    <s v="23300"/>
    <x v="14"/>
    <x v="14"/>
    <s v="COTORRA"/>
    <n v="62.413600000000002"/>
    <n v="41.64"/>
    <n v="35.9"/>
    <n v="33.93"/>
    <n v="49.969585049527836"/>
    <n v="58.698604048738446"/>
    <n v="56.732403943956882"/>
    <n v="48.2746"/>
    <n v="43.4709"/>
    <n v="53.418798260555789"/>
    <n v="48.444849130277895"/>
    <n v="39.904396453591154"/>
    <n v="60.095603546408846"/>
    <n v="0.64086043191767961"/>
    <n v="0"/>
    <n v="31.046386937816717"/>
    <n v="3"/>
    <n v="3"/>
    <b v="1"/>
    <x v="4"/>
    <n v="52.494111098146931"/>
    <n v="0.65000949574372724"/>
    <n v="34.12167068442168"/>
    <n v="3"/>
    <n v="0"/>
    <n v="-4.049261967869036"/>
    <n v="-9.149063826047632E-3"/>
    <n v="-3.0752837466049634"/>
    <n v="3"/>
    <b v="1"/>
    <n v="0"/>
    <n v="0.9741882058902549"/>
    <n v="51.139143910507478"/>
    <n v="0.46907077273974368"/>
    <n v="3"/>
    <n v="0"/>
    <n v="46.907077273974366"/>
    <n v="4"/>
    <n v="-0.33332777397257529"/>
    <b v="0"/>
    <n v="0"/>
    <n v="3"/>
    <n v="0"/>
    <n v="0"/>
    <n v="0"/>
    <n v="0"/>
    <n v="0"/>
    <n v="0"/>
    <s v="Intermedio"/>
    <n v="6"/>
    <s v="Fuera SC"/>
    <m/>
    <s v="No"/>
    <s v="Si"/>
    <n v="39.700000000000003"/>
    <n v="24.199814986123958"/>
    <n v="10.87"/>
    <s v="Bajo"/>
    <n v="1.65353853823847"/>
    <s v="Medio Bajo"/>
    <n v="34784.143343999996"/>
    <n v="4726.1371810000001"/>
    <n v="21334"/>
    <n v="1.6304557675072653"/>
    <n v="0.22153075752320239"/>
    <m/>
    <m/>
    <m/>
    <m/>
    <m/>
    <m/>
    <m/>
    <n v="56"/>
    <n v="0"/>
    <n v="7"/>
    <n v="8774.1176350000005"/>
    <n v="2922.242859"/>
    <n v="0.33305261914236917"/>
    <s v="31% - 50%"/>
    <n v="8.5019060645600975E-5"/>
    <s v="N.D."/>
    <s v="N.D."/>
    <s v="N.D."/>
    <n v="0.95068190498221372"/>
    <s v="Aceptable"/>
    <n v="1"/>
    <s v="Candidato"/>
    <n v="0"/>
    <n v="0"/>
  </r>
  <r>
    <n v="17777"/>
    <s v="17777"/>
    <x v="11"/>
    <x v="11"/>
    <s v="SUPÍA"/>
    <n v="70.201800000000006"/>
    <n v="53.69"/>
    <n v="41.6"/>
    <n v="60.76"/>
    <n v="57.423883097800505"/>
    <n v="61.082142472768808"/>
    <n v="61.125104376794951"/>
    <n v="59.2699"/>
    <n v="56.562950000000001"/>
    <n v="59.725257486841066"/>
    <n v="58.14410374342053"/>
    <n v="40.199967072685602"/>
    <n v="59.800032927314398"/>
    <n v="0.63820029634582953"/>
    <n v="0"/>
    <n v="37.10758423981364"/>
    <n v="3"/>
    <n v="3"/>
    <b v="1"/>
    <x v="3"/>
    <n v="58.678720874635815"/>
    <n v="0.65004871505332651"/>
    <n v="38.144027105529815"/>
    <n v="2"/>
    <n v="0"/>
    <n v="-0.53461713121528476"/>
    <n v="-1.1848418707496977E-2"/>
    <n v="-1.0364428657161753"/>
    <n v="2"/>
    <b v="1"/>
    <n v="0"/>
    <n v="0.9741882058902549"/>
    <n v="57.164117812796512"/>
    <n v="0.54443684533625458"/>
    <n v="2"/>
    <n v="0"/>
    <n v="54.443684533625458"/>
    <n v="3"/>
    <n v="-0.33598790954442537"/>
    <b v="0"/>
    <n v="0"/>
    <n v="2"/>
    <n v="0"/>
    <n v="0"/>
    <n v="0"/>
    <n v="0"/>
    <n v="0"/>
    <n v="0"/>
    <s v="Intermedio"/>
    <n v="6"/>
    <s v="Fuera SC"/>
    <m/>
    <s v="No"/>
    <s v="No"/>
    <n v="31.3"/>
    <n v="11.181363140265702"/>
    <n v="36.770894353502442"/>
    <s v="Alto"/>
    <n v="0.86747374465687077"/>
    <s v="Medio Bajo"/>
    <n v="52019.387131000003"/>
    <n v="9964.5288555999996"/>
    <n v="31325"/>
    <n v="1.6606348645171589"/>
    <n v="0.31810147982761372"/>
    <m/>
    <m/>
    <m/>
    <m/>
    <m/>
    <m/>
    <m/>
    <n v="31"/>
    <n v="0"/>
    <n v="7"/>
    <n v="12143.960956000001"/>
    <n v="33.131042999999998"/>
    <n v="2.72819083658457E-3"/>
    <s v="0% - 30%"/>
    <n v="9.6390693381073743E-7"/>
    <n v="569.95074"/>
    <n v="4.6932853462313122E-2"/>
    <s v="0% - 30%"/>
    <n v="0.90644505325550595"/>
    <s v="Aceptable"/>
    <n v="2"/>
    <s v="Candidato"/>
    <n v="0"/>
    <n v="0"/>
  </r>
  <r>
    <n v="19698"/>
    <s v="19698"/>
    <x v="13"/>
    <x v="13"/>
    <s v="SANTANDER DE QUILICHAO"/>
    <n v="76.745699999999999"/>
    <n v="78.33"/>
    <n v="62.61"/>
    <n v="66.290000000000006"/>
    <n v="44.801141636024504"/>
    <n v="45.286333422257783"/>
    <n v="59.307662392604456"/>
    <n v="48.496400000000001"/>
    <n v="70.993925000000004"/>
    <n v="49.472884362721686"/>
    <n v="60.233404681360845"/>
    <n v="39.934450521671366"/>
    <n v="60.065549478328634"/>
    <n v="0.64058994530495772"/>
    <n v="0"/>
    <n v="38.584913410364329"/>
    <n v="2"/>
    <n v="2"/>
    <b v="1"/>
    <x v="3"/>
    <n v="59.995188929262056"/>
    <n v="0.6504480954132501"/>
    <n v="39.023756372996615"/>
    <n v="2"/>
    <n v="0"/>
    <n v="0.23821575209878887"/>
    <n v="-9.858150108292385E-3"/>
    <n v="-0.43884296263228606"/>
    <n v="2"/>
    <b v="1"/>
    <n v="0"/>
    <n v="0.9741882058902549"/>
    <n v="58.446605465044684"/>
    <n v="0.56047941399646772"/>
    <n v="2"/>
    <n v="0"/>
    <n v="56.047941399646774"/>
    <n v="3"/>
    <n v="-0.33359826058529718"/>
    <b v="0"/>
    <n v="0"/>
    <n v="2"/>
    <n v="0"/>
    <n v="0"/>
    <n v="1"/>
    <n v="0"/>
    <n v="1"/>
    <n v="1"/>
    <s v="Intermedio"/>
    <n v="4"/>
    <s v="Fuera SC"/>
    <m/>
    <s v="No"/>
    <s v="No"/>
    <n v="23.8"/>
    <n v="12.193229013718168"/>
    <n v="1.9066927120841133"/>
    <s v="Sin riesgo"/>
    <n v="21.253058878341268"/>
    <s v="Alto"/>
    <n v="164542.84062800001"/>
    <n v="37035.326248999998"/>
    <n v="126198"/>
    <n v="1.3038466586475221"/>
    <n v="0.29346999357359072"/>
    <m/>
    <m/>
    <m/>
    <m/>
    <m/>
    <m/>
    <m/>
    <n v="32"/>
    <n v="1"/>
    <n v="6"/>
    <n v="51836.450821999999"/>
    <n v="21052.305273999998"/>
    <n v="0.40612937306010838"/>
    <s v="31% - 50%"/>
    <n v="6.124909205638035E-4"/>
    <n v="3313.9444090000002"/>
    <n v="6.3930773740271646E-2"/>
    <s v="0% - 30%"/>
    <n v="0.9558148916820024"/>
    <s v="Aceptable"/>
    <n v="2"/>
    <s v="Candidato"/>
    <n v="0"/>
    <n v="0"/>
  </r>
  <r>
    <n v="17442"/>
    <s v="17442"/>
    <x v="11"/>
    <x v="11"/>
    <s v="MARMATO"/>
    <n v="48.853166666666702"/>
    <n v="52.47"/>
    <n v="51.65"/>
    <n v="60.7"/>
    <n v="56.541971131802981"/>
    <n v="57.904241756030622"/>
    <n v="66.430887717277869"/>
    <n v="58.1038"/>
    <n v="53.418291666666676"/>
    <n v="59.745225151277872"/>
    <n v="56.581758408972277"/>
    <n v="40.360446511697333"/>
    <n v="59.639553488302667"/>
    <n v="0.636755981394724"/>
    <n v="0"/>
    <n v="36.028773104744317"/>
    <n v="3"/>
    <n v="3"/>
    <b v="1"/>
    <x v="3"/>
    <n v="54.122094444036492"/>
    <n v="0.65068589971018842"/>
    <n v="35.216483717517676"/>
    <n v="2"/>
    <n v="0"/>
    <n v="2.4596639649357854"/>
    <n v="-1.3929918315464418E-2"/>
    <n v="0.81228938722664168"/>
    <n v="2"/>
    <b v="1"/>
    <n v="0"/>
    <n v="0.9741882058902549"/>
    <n v="52.72510608545884"/>
    <n v="0.48890948778667409"/>
    <n v="2"/>
    <n v="0"/>
    <n v="48.890948778667408"/>
    <n v="3"/>
    <n v="-0.3374322244955309"/>
    <b v="0"/>
    <n v="0"/>
    <n v="2"/>
    <n v="0"/>
    <n v="0"/>
    <n v="0"/>
    <n v="0"/>
    <n v="0"/>
    <n v="0"/>
    <s v="Intermedio"/>
    <n v="6"/>
    <s v="Fuera SC"/>
    <m/>
    <s v="No"/>
    <s v="No"/>
    <n v="37.6"/>
    <n v="14.661166764879198"/>
    <n v="57.028703315267911"/>
    <s v="Alto"/>
    <n v="5.6167735532099323"/>
    <s v="Medio Bajo"/>
    <n v="20883.000915000001"/>
    <n v="6497.0266457500002"/>
    <n v="9394"/>
    <n v="2.2230147876304023"/>
    <n v="0.69161450348626785"/>
    <m/>
    <m/>
    <m/>
    <m/>
    <m/>
    <m/>
    <m/>
    <n v="31"/>
    <n v="0"/>
    <n v="7"/>
    <n v="3685.375168"/>
    <n v="233.442924"/>
    <n v="6.3343055552926547E-2"/>
    <s v="0% - 30%"/>
    <n v="6.7917346608331362E-6"/>
    <s v="N.D."/>
    <s v="N.D."/>
    <s v="N.D."/>
    <n v="0.89857348666166614"/>
    <s v="Aceptable"/>
    <n v="2"/>
    <s v="Candidato"/>
    <n v="0"/>
    <n v="0"/>
  </r>
  <r>
    <n v="25245"/>
    <s v="25245"/>
    <x v="5"/>
    <x v="5"/>
    <s v="EL COLEGIO"/>
    <n v="62.829066666666698"/>
    <n v="66.66"/>
    <n v="65.069999999999993"/>
    <n v="47.78"/>
    <n v="59.534465421201965"/>
    <n v="62.416595915490632"/>
    <n v="74.620015170744509"/>
    <n v="63.587600000000002"/>
    <n v="60.584766666666674"/>
    <n v="65.03966912685928"/>
    <n v="62.812217896762974"/>
    <n v="40.905815297732765"/>
    <n v="59.094184702267235"/>
    <n v="0.63184766232040512"/>
    <n v="0"/>
    <n v="39.687753043229598"/>
    <n v="2"/>
    <n v="2"/>
    <b v="1"/>
    <x v="3"/>
    <n v="64.219536893462177"/>
    <n v="0.6492333592771955"/>
    <n v="41.693465668568244"/>
    <n v="2"/>
    <n v="0"/>
    <n v="-1.4073189966992032"/>
    <n v="-1.7385696956790375E-2"/>
    <n v="-2.0057126253386457"/>
    <n v="2"/>
    <b v="1"/>
    <n v="0"/>
    <n v="0.9741882058902549"/>
    <n v="62.56191542934495"/>
    <n v="0.61195760370427099"/>
    <n v="2"/>
    <n v="0"/>
    <n v="61.195760370427102"/>
    <n v="3"/>
    <n v="-0.34234054356984978"/>
    <b v="0"/>
    <n v="0"/>
    <n v="2"/>
    <n v="0"/>
    <n v="0"/>
    <n v="0"/>
    <n v="0"/>
    <n v="0"/>
    <n v="0"/>
    <s v="Intermedio"/>
    <n v="6"/>
    <s v="Fuera SC"/>
    <m/>
    <s v="No"/>
    <s v="No"/>
    <n v="18.3"/>
    <n v="6.7557370500244129"/>
    <n v="10.52917616202352"/>
    <s v="Bajo"/>
    <n v="0"/>
    <s v="Bajo"/>
    <n v="44074.211678"/>
    <n v="15836.09303305"/>
    <n v="26618"/>
    <n v="1.655804781651514"/>
    <n v="0.59493925287587346"/>
    <m/>
    <m/>
    <m/>
    <m/>
    <m/>
    <m/>
    <m/>
    <n v="93"/>
    <n v="0"/>
    <n v="7"/>
    <n v="11815.611214"/>
    <n v="4524.2322469999999"/>
    <n v="0.38290293790636565"/>
    <s v="31% - 50%"/>
    <n v="1.3162697090621123E-4"/>
    <s v="N.D."/>
    <s v="N.D."/>
    <s v="N.D."/>
    <n v="0.97478873088241458"/>
    <s v="Aceptable"/>
    <n v="2"/>
    <s v="Candidato"/>
    <n v="0"/>
    <n v="0"/>
  </r>
  <r>
    <n v="68755"/>
    <s v="68755"/>
    <x v="0"/>
    <x v="0"/>
    <s v="SOCORRO"/>
    <n v="85.166766666666703"/>
    <n v="80.27"/>
    <n v="77.27"/>
    <n v="81.47"/>
    <n v="57.812026177457653"/>
    <n v="62.890132080218535"/>
    <n v="59.662302750713323"/>
    <n v="56.386200000000002"/>
    <n v="81.044191666666677"/>
    <n v="59.187665252097382"/>
    <n v="70.115928459382033"/>
    <n v="40.248036844141573"/>
    <n v="59.751963155858427"/>
    <n v="0.63776766840272581"/>
    <n v="0"/>
    <n v="44.717672211432408"/>
    <n v="2"/>
    <n v="2"/>
    <b v="1"/>
    <x v="3"/>
    <n v="70.433290247059944"/>
    <n v="0.65042337141088225"/>
    <n v="45.81145810205394"/>
    <n v="2"/>
    <n v="0"/>
    <n v="-0.31736178767791046"/>
    <n v="-1.2655703008156438E-2"/>
    <n v="-1.0937858906215325"/>
    <n v="2"/>
    <b v="1"/>
    <n v="0"/>
    <n v="0.9741882058902549"/>
    <n v="68.615280660730917"/>
    <n v="0.68767882190050278"/>
    <n v="1"/>
    <n v="-1"/>
    <n v="68.767882190050273"/>
    <n v="3"/>
    <n v="-0.33642053748752909"/>
    <b v="0"/>
    <s v="Cambio en corte"/>
    <n v="1"/>
    <n v="-1"/>
    <n v="0"/>
    <n v="0"/>
    <n v="0"/>
    <n v="0"/>
    <n v="0"/>
    <s v="Intermedio"/>
    <n v="6"/>
    <s v="Fuera SC"/>
    <m/>
    <s v="No"/>
    <s v="No"/>
    <n v="15.1"/>
    <n v="4.1345987920621221"/>
    <n v="3.6274999999999999"/>
    <s v="Sin riesgo"/>
    <n v="0.3323684586828935"/>
    <s v="Medio Bajo"/>
    <n v="53878.388883"/>
    <n v="20650.622831799999"/>
    <n v="36336"/>
    <n v="1.4827826090653897"/>
    <n v="0.56832405415565823"/>
    <m/>
    <m/>
    <m/>
    <m/>
    <m/>
    <m/>
    <m/>
    <n v="45"/>
    <n v="1"/>
    <n v="5"/>
    <n v="12759.689377999999"/>
    <n v="3807.1009079999999"/>
    <n v="0.29836940345617874"/>
    <s v="0% - 30%"/>
    <n v="1.1076291690962929E-4"/>
    <s v="N.D."/>
    <s v="N.D."/>
    <s v="N.D."/>
    <n v="0.96843082221039456"/>
    <s v="Aceptable"/>
    <n v="2"/>
    <s v="No es Candidato"/>
    <n v="0"/>
    <n v="0"/>
  </r>
  <r>
    <n v="5190"/>
    <s v="05190"/>
    <x v="1"/>
    <x v="1"/>
    <s v="CISNEROS"/>
    <n v="61.076266666666697"/>
    <n v="51.43"/>
    <n v="55.91"/>
    <n v="59.58"/>
    <n v="63.62667926729366"/>
    <n v="66.15318255543076"/>
    <n v="60.818924020496588"/>
    <n v="54.011800000000001"/>
    <n v="56.999066666666678"/>
    <n v="61.152646460805251"/>
    <n v="59.075856563735968"/>
    <n v="40.045293428840687"/>
    <n v="59.954706571159313"/>
    <n v="0.63959235914043377"/>
    <n v="0"/>
    <n v="37.784466467841767"/>
    <n v="3"/>
    <n v="3"/>
    <b v="1"/>
    <x v="3"/>
    <n v="58.995775325591765"/>
    <n v="0.64961845188517797"/>
    <n v="38.324744234776702"/>
    <n v="2"/>
    <n v="0"/>
    <n v="8.0081238144202871E-2"/>
    <n v="-1.0026092744744197E-2"/>
    <n v="-0.54027776693493479"/>
    <n v="2"/>
    <b v="1"/>
    <n v="0"/>
    <n v="0.9741882058902549"/>
    <n v="57.47298851954281"/>
    <n v="0.54830049229723687"/>
    <n v="2"/>
    <n v="0"/>
    <n v="54.830049229723684"/>
    <n v="3"/>
    <n v="-0.33459584674982112"/>
    <b v="0"/>
    <n v="0"/>
    <n v="2"/>
    <n v="0"/>
    <n v="0"/>
    <n v="0"/>
    <n v="0"/>
    <n v="0"/>
    <n v="0"/>
    <s v="Intermedio"/>
    <n v="6"/>
    <s v="Fuera SC"/>
    <m/>
    <s v="No"/>
    <s v="Si"/>
    <n v="28.8"/>
    <n v="13.238105949836914"/>
    <n v="58.932371048880114"/>
    <s v="Alto"/>
    <n v="13.816729964355137"/>
    <s v="Alto"/>
    <n v="30146.358828"/>
    <n v="8351.8250939499994"/>
    <n v="10040"/>
    <n v="3.0026253812749006"/>
    <n v="0.83185508903884453"/>
    <m/>
    <m/>
    <m/>
    <m/>
    <m/>
    <m/>
    <m/>
    <n v="72"/>
    <n v="0"/>
    <n v="6"/>
    <n v="4691.4921050000003"/>
    <n v="1.121019"/>
    <n v="2.38947220822404E-4"/>
    <n v="0"/>
    <n v="3.2614668576343318E-8"/>
    <s v="N.D."/>
    <s v="N.D."/>
    <s v="N.D."/>
    <n v="0.92712918723307758"/>
    <s v="Aceptable"/>
    <n v="1"/>
    <s v="Candidato"/>
    <n v="0"/>
    <n v="0"/>
  </r>
  <r>
    <n v="15322"/>
    <s v="15322"/>
    <x v="10"/>
    <x v="10"/>
    <s v="GUATEQUE"/>
    <n v="57.736899999999999"/>
    <n v="80.19"/>
    <n v="51.41"/>
    <n v="53.02"/>
    <n v="56.800040779635772"/>
    <n v="63.2009425834312"/>
    <n v="67.08687434377407"/>
    <n v="60.312899999999999"/>
    <n v="60.589224999999999"/>
    <n v="61.850189426710259"/>
    <n v="61.219707213355129"/>
    <n v="40.74411935613319"/>
    <n v="59.25588064386681"/>
    <n v="0.6333029257948013"/>
    <n v="0"/>
    <n v="38.770619694518906"/>
    <n v="2"/>
    <n v="2"/>
    <b v="1"/>
    <x v="3"/>
    <n v="62.277503521465633"/>
    <n v="0.64764393347892868"/>
    <n v="40.333647347889837"/>
    <n v="2"/>
    <n v="0"/>
    <n v="-1.057796308110504"/>
    <n v="-1.4341007684127383E-2"/>
    <n v="-1.5630276533709306"/>
    <n v="2"/>
    <b v="1"/>
    <n v="0"/>
    <n v="0.9741882058902549"/>
    <n v="60.670009422900634"/>
    <n v="0.58829185382056026"/>
    <n v="2"/>
    <n v="0"/>
    <n v="58.829185382056025"/>
    <n v="3"/>
    <n v="-0.3408852800954536"/>
    <b v="0"/>
    <n v="0"/>
    <n v="2"/>
    <n v="0"/>
    <n v="0"/>
    <n v="0"/>
    <n v="0"/>
    <n v="0"/>
    <n v="0"/>
    <s v="Intermedio"/>
    <n v="6"/>
    <s v="Fuera SC"/>
    <m/>
    <s v="No"/>
    <s v="No"/>
    <n v="19.399999999999999"/>
    <n v="6.7788161993769469"/>
    <n v="28.471390035147095"/>
    <s v="Medio"/>
    <n v="0"/>
    <s v="Bajo"/>
    <n v="31013.414153999998"/>
    <n v="9637.2397017000003"/>
    <n v="11331"/>
    <n v="2.7370412279586973"/>
    <n v="0.85051978657664817"/>
    <m/>
    <m/>
    <m/>
    <m/>
    <m/>
    <m/>
    <m/>
    <n v="98"/>
    <n v="0"/>
    <n v="6"/>
    <n v="3607.5179779999999"/>
    <n v="5.4033429999999996"/>
    <n v="1.4978007131084628E-3"/>
    <s v="0% - 30%"/>
    <n v="1.5720361666421766E-7"/>
    <s v="N.D."/>
    <s v="N.D."/>
    <s v="N.D."/>
    <n v="0.90683344045776648"/>
    <s v="Aceptable"/>
    <n v="2"/>
    <s v="Candidato"/>
    <n v="0"/>
    <n v="0"/>
  </r>
  <r>
    <n v="25797"/>
    <s v="25797"/>
    <x v="5"/>
    <x v="5"/>
    <s v="TENA"/>
    <n v="81.8172"/>
    <n v="65.31"/>
    <n v="62.03"/>
    <n v="56.83"/>
    <n v="52.050047802911095"/>
    <n v="53.064310665872469"/>
    <n v="73.223446150980976"/>
    <n v="54.188299999999998"/>
    <n v="66.496800000000007"/>
    <n v="58.131526154941135"/>
    <n v="62.314163077470567"/>
    <n v="40.929332343715984"/>
    <n v="59.070667656284016"/>
    <n v="0.63163600890655613"/>
    <n v="0"/>
    <n v="39.359869264605791"/>
    <n v="2"/>
    <n v="2"/>
    <b v="1"/>
    <x v="3"/>
    <n v="64.520892794149972"/>
    <n v="0.64559131124355529"/>
    <n v="41.654127781580137"/>
    <n v="2"/>
    <n v="0"/>
    <n v="-2.2067297166794049"/>
    <n v="-1.3955302336999154E-2"/>
    <n v="-2.2942585169743452"/>
    <n v="2"/>
    <b v="1"/>
    <n v="0"/>
    <n v="0.9741882058902549"/>
    <n v="62.855492793570434"/>
    <n v="0.61562994707102059"/>
    <n v="2"/>
    <n v="0"/>
    <n v="61.562994707102057"/>
    <n v="3"/>
    <n v="-0.34255219698369876"/>
    <b v="0"/>
    <n v="0"/>
    <n v="2"/>
    <n v="0"/>
    <n v="0"/>
    <n v="0"/>
    <n v="0"/>
    <n v="0"/>
    <n v="0"/>
    <s v="Intermedio"/>
    <n v="6"/>
    <s v="Fuera SC"/>
    <m/>
    <s v="No"/>
    <s v="No"/>
    <n v="18.5"/>
    <n v="7.1818407343091044"/>
    <n v="21.89136325608548"/>
    <s v="Medio"/>
    <n v="0.75887290091140891"/>
    <s v="Medio Bajo"/>
    <n v="16868.677630999999"/>
    <n v="6515.2463509999998"/>
    <n v="11062"/>
    <n v="1.5249211382209364"/>
    <n v="0.58897544304827332"/>
    <m/>
    <m/>
    <m/>
    <m/>
    <m/>
    <m/>
    <m/>
    <n v="93"/>
    <n v="0"/>
    <n v="7"/>
    <n v="5138.3664049999998"/>
    <n v="3161.0070679999999"/>
    <n v="0.61517743556086479"/>
    <s v="51% - 70%"/>
    <n v="9.1965611546547131E-5"/>
    <s v="N.D."/>
    <s v="N.D."/>
    <s v="N.D."/>
    <n v="0.91931909944063017"/>
    <s v="Aceptable"/>
    <n v="1"/>
    <s v="Candidato"/>
    <n v="0"/>
    <n v="0"/>
  </r>
  <r>
    <n v="25799"/>
    <s v="25799"/>
    <x v="5"/>
    <x v="5"/>
    <s v="TENJO"/>
    <n v="71.543300000000002"/>
    <n v="71.209999999999994"/>
    <n v="73.73"/>
    <n v="76.73"/>
    <n v="58.345588584822131"/>
    <n v="62.456299769347098"/>
    <n v="69.157075453429869"/>
    <n v="70.691900000000004"/>
    <n v="73.303325000000001"/>
    <n v="65.16271595189977"/>
    <n v="69.233020475949886"/>
    <n v="41.437361187219587"/>
    <n v="58.562638812780413"/>
    <n v="0.62706374931502373"/>
    <n v="0"/>
    <n v="43.413517396052946"/>
    <n v="2"/>
    <n v="2"/>
    <b v="1"/>
    <x v="3"/>
    <n v="67.904355878444733"/>
    <n v="0.64375773182912666"/>
    <n v="43.713954121625406"/>
    <n v="2"/>
    <n v="0"/>
    <n v="1.3286645975051528"/>
    <n v="-1.6693982514102923E-2"/>
    <n v="-0.30043672557246026"/>
    <n v="2"/>
    <b v="1"/>
    <n v="0"/>
    <n v="0.9741882058902549"/>
    <n v="66.151622625355458"/>
    <n v="0.6568610568183102"/>
    <n v="1"/>
    <n v="-1"/>
    <n v="65.686105681831023"/>
    <n v="3"/>
    <n v="-0.34712445657523117"/>
    <b v="0"/>
    <s v="Cambio en corte"/>
    <n v="1"/>
    <n v="-1"/>
    <n v="0"/>
    <n v="1"/>
    <n v="0"/>
    <n v="0"/>
    <n v="0"/>
    <s v="Intermedio"/>
    <n v="3"/>
    <s v="Fuera SC"/>
    <m/>
    <s v="No"/>
    <s v="No"/>
    <n v="10.4"/>
    <n v="4.5905341712490184"/>
    <n v="6.9137406938129908"/>
    <s v="Bajo"/>
    <n v="0.32715672423575864"/>
    <s v="Medio Bajo"/>
    <n v="122119.779263"/>
    <n v="107564.1915268"/>
    <n v="24623"/>
    <n v="4.9595816619826989"/>
    <n v="4.3684437934776428"/>
    <m/>
    <m/>
    <m/>
    <m/>
    <m/>
    <m/>
    <m/>
    <n v="59"/>
    <n v="0"/>
    <n v="6"/>
    <n v="11400.982292000001"/>
    <n v="2246.0539549999999"/>
    <n v="0.19700530160248053"/>
    <s v="0% - 30%"/>
    <n v="6.5346176422442553E-5"/>
    <n v="7.5929890000000002"/>
    <n v="6.6599428062685036E-4"/>
    <n v="0"/>
    <n v="0.95672031015546533"/>
    <s v="Aceptable"/>
    <n v="3"/>
    <s v="Candidato"/>
    <n v="0"/>
    <n v="0"/>
  </r>
  <r>
    <n v="76111"/>
    <s v="76111"/>
    <x v="3"/>
    <x v="3"/>
    <s v="GUADALAJARA DE BUGA"/>
    <n v="72.272266666666695"/>
    <n v="73.17"/>
    <n v="72.41"/>
    <n v="72.42"/>
    <n v="51.669162565042171"/>
    <n v="54.794002961553758"/>
    <n v="58.728439107034362"/>
    <n v="53.260599999999997"/>
    <n v="72.568066666666667"/>
    <n v="54.613051158407572"/>
    <n v="63.590558912537119"/>
    <n v="41.392370799446624"/>
    <n v="58.607629200553376"/>
    <n v="0.62746866280498037"/>
    <n v="0"/>
    <n v="39.901082967870991"/>
    <n v="2"/>
    <n v="2"/>
    <b v="1"/>
    <x v="3"/>
    <n v="63.500809971360873"/>
    <n v="0.6437538107314984"/>
    <n v="40.878888403600293"/>
    <n v="2"/>
    <n v="0"/>
    <n v="8.9748941176246433E-2"/>
    <n v="-1.6285147926518029E-2"/>
    <n v="-0.97780543572930156"/>
    <n v="2"/>
    <b v="1"/>
    <n v="0"/>
    <n v="0.9741882058902549"/>
    <n v="61.861740138578057"/>
    <n v="0.60319914887110193"/>
    <n v="2"/>
    <n v="0"/>
    <n v="60.319914887110194"/>
    <n v="3"/>
    <n v="-0.34671954308527453"/>
    <b v="0"/>
    <n v="0"/>
    <n v="2"/>
    <n v="0"/>
    <n v="0"/>
    <n v="1"/>
    <n v="0"/>
    <n v="0"/>
    <n v="0"/>
    <s v="Ciudades y aglomeraciones"/>
    <n v="2"/>
    <s v="Uninodal"/>
    <m/>
    <s v="Si"/>
    <s v="Si"/>
    <n v="12.3"/>
    <n v="4.1891287769216605"/>
    <n v="8.1642192940336198"/>
    <s v="Bajo"/>
    <n v="5.7181786378977284"/>
    <s v="Medio Bajo"/>
    <n v="310353.31988999998"/>
    <n v="101163.96850264999"/>
    <n v="132138"/>
    <n v="2.3487060489034191"/>
    <n v="0.76559330777406953"/>
    <m/>
    <m/>
    <m/>
    <m/>
    <m/>
    <m/>
    <m/>
    <n v="66"/>
    <n v="0"/>
    <n v="3"/>
    <n v="82588.247871"/>
    <n v="54070.382684999997"/>
    <n v="0.6546982661438232"/>
    <s v="51% - 70%"/>
    <n v="1.5731112595480782E-3"/>
    <s v="N.D."/>
    <s v="N.D."/>
    <s v="N.D."/>
    <n v="0.86899290606961177"/>
    <s v="Aceptable"/>
    <n v="2"/>
    <s v="Candidato"/>
    <n v="0"/>
    <n v="0"/>
  </r>
  <r>
    <n v="15491"/>
    <s v="15491"/>
    <x v="10"/>
    <x v="10"/>
    <s v="NOBSA"/>
    <n v="89.825299999999999"/>
    <n v="81.87"/>
    <n v="55.16"/>
    <n v="75.540000000000006"/>
    <n v="68.692723701971602"/>
    <n v="71.372196190056542"/>
    <n v="86.456496639672224"/>
    <n v="63.087699999999998"/>
    <n v="75.598825000000005"/>
    <n v="72.402279132925088"/>
    <n v="74.000552066462546"/>
    <n v="41.271536437208084"/>
    <n v="58.728463562791916"/>
    <n v="0.62855617206512715"/>
    <n v="0"/>
    <n v="46.51350373760183"/>
    <n v="2"/>
    <n v="2"/>
    <b v="1"/>
    <x v="3"/>
    <n v="75.081287992565223"/>
    <n v="0.64469083115412085"/>
    <n v="48.40421796004879"/>
    <n v="1"/>
    <n v="-1"/>
    <n v="-1.0807359261026761"/>
    <n v="-1.6134659088993697E-2"/>
    <n v="-1.8907142224469595"/>
    <n v="2"/>
    <b v="1"/>
    <s v="Efecto ponderador"/>
    <n v="0.9741882058902549"/>
    <n v="73.143305245406651"/>
    <n v="0.74431963646698662"/>
    <n v="1"/>
    <n v="-1"/>
    <n v="74.431963646698662"/>
    <n v="3"/>
    <n v="-0.34563203382512775"/>
    <b v="0"/>
    <s v="Cambio en corte"/>
    <n v="1"/>
    <n v="-1"/>
    <n v="0"/>
    <n v="0"/>
    <n v="0"/>
    <n v="0"/>
    <n v="0"/>
    <s v="Intermedio"/>
    <n v="5"/>
    <s v="En aglomeración"/>
    <m/>
    <s v="No"/>
    <s v="No"/>
    <n v="10.5"/>
    <n v="4.033854344413351"/>
    <n v="8.3343156801661493"/>
    <s v="Bajo"/>
    <n v="0.49571857114350459"/>
    <s v="Medio Bajo"/>
    <n v="53757.435371"/>
    <n v="40069.087941500002"/>
    <n v="16962"/>
    <n v="3.169286367822191"/>
    <n v="2.3622855760818302"/>
    <m/>
    <m/>
    <m/>
    <m/>
    <m/>
    <m/>
    <m/>
    <n v="62"/>
    <n v="0"/>
    <n v="6"/>
    <n v="5540.2967639999997"/>
    <n v="426.01662700000003"/>
    <n v="7.6894189092575491E-2"/>
    <s v="0% - 30%"/>
    <n v="1.2394429619495007E-5"/>
    <s v="N.D."/>
    <s v="N.D."/>
    <s v="N.D."/>
    <n v="0.90647331164599154"/>
    <s v="Aceptable"/>
    <n v="3"/>
    <s v="Candidato"/>
    <n v="0"/>
    <n v="0"/>
  </r>
  <r>
    <n v="13222"/>
    <s v="13222"/>
    <x v="8"/>
    <x v="8"/>
    <s v="CLEMENCIA"/>
    <n v="53.096066666666701"/>
    <n v="56.83"/>
    <n v="51.34"/>
    <n v="50.11"/>
    <n v="46.92437026980248"/>
    <n v="48.220260788973079"/>
    <n v="38.768997106571689"/>
    <n v="49.023000000000003"/>
    <n v="52.844016666666676"/>
    <n v="45.734157041336807"/>
    <n v="49.289086854001738"/>
    <n v="41.077929577508563"/>
    <n v="58.922070422491437"/>
    <n v="0.6302986338024229"/>
    <n v="0"/>
    <n v="31.066844105446258"/>
    <n v="3"/>
    <n v="3"/>
    <b v="1"/>
    <x v="4"/>
    <n v="50.225513850329264"/>
    <n v="0.64359449949716041"/>
    <n v="32.324864448490359"/>
    <n v="3"/>
    <n v="0"/>
    <n v="-0.93642699632752624"/>
    <n v="-1.3295865694737508E-2"/>
    <n v="-1.2580203430441017"/>
    <n v="3"/>
    <b v="1"/>
    <n v="0"/>
    <n v="0.9741882058902549"/>
    <n v="48.929103227768415"/>
    <n v="0.44142549340114373"/>
    <n v="3"/>
    <n v="0"/>
    <n v="44.142549340114371"/>
    <n v="4"/>
    <n v="-0.343889572087832"/>
    <b v="0"/>
    <n v="0"/>
    <n v="3"/>
    <n v="0"/>
    <n v="0"/>
    <n v="0"/>
    <n v="0"/>
    <n v="0"/>
    <n v="0"/>
    <s v="Ciudades y aglomeraciones"/>
    <n v="6"/>
    <s v="En aglomeración"/>
    <m/>
    <s v="No"/>
    <s v="No"/>
    <n v="63"/>
    <n v="84.943202373200208"/>
    <n v="34.888888888888886"/>
    <s v="Medio"/>
    <n v="1.414343525642475"/>
    <s v="Medio Bajo"/>
    <n v="47417.071486000001"/>
    <n v="11657.845909"/>
    <n v="15919"/>
    <n v="2.9786463650983102"/>
    <n v="0.73232275325083229"/>
    <m/>
    <m/>
    <m/>
    <m/>
    <m/>
    <m/>
    <m/>
    <n v="48"/>
    <n v="0"/>
    <n v="7"/>
    <n v="8533.3756520000006"/>
    <n v="447.280304"/>
    <n v="5.2415400685562129E-2"/>
    <s v="0% - 30%"/>
    <n v="1.3013070140368794E-5"/>
    <s v="N.D."/>
    <s v="N.D."/>
    <s v="N.D."/>
    <n v="0.79996582044913978"/>
    <s v="Crítico bajo"/>
    <n v="1"/>
    <s v="Candidato"/>
    <n v="0"/>
    <n v="0"/>
  </r>
  <r>
    <n v="25123"/>
    <s v="25123"/>
    <x v="5"/>
    <x v="5"/>
    <s v="CACHIPAY"/>
    <n v="77.333933333333306"/>
    <n v="90.85"/>
    <n v="87.89"/>
    <n v="85.22"/>
    <n v="69.00743019526233"/>
    <n v="71.324366588208633"/>
    <n v="69.93147189841676"/>
    <n v="65.600300000000004"/>
    <n v="85.323483333333314"/>
    <n v="68.965892170471932"/>
    <n v="77.144687751902623"/>
    <n v="42.09051878331077"/>
    <n v="57.90948121668923"/>
    <n v="0.62118533095020301"/>
    <n v="0"/>
    <n v="47.921148392215706"/>
    <n v="2"/>
    <n v="2"/>
    <b v="1"/>
    <x v="0"/>
    <n v="74.610812637999857"/>
    <n v="0.64210242194506473"/>
    <n v="47.907783498149151"/>
    <n v="1"/>
    <n v="0"/>
    <n v="2.5338751139027664"/>
    <n v="-2.091709099486172E-2"/>
    <n v="1.3364894066555166E-2"/>
    <n v="1"/>
    <b v="1"/>
    <n v="0"/>
    <n v="0.9741882058902549"/>
    <n v="72.68497370382704"/>
    <n v="0.7385863920088096"/>
    <n v="1"/>
    <n v="0"/>
    <n v="73.858639200880958"/>
    <n v="2"/>
    <n v="-0.35300287494005189"/>
    <b v="0"/>
    <n v="0"/>
    <n v="2"/>
    <n v="1"/>
    <n v="0"/>
    <n v="0"/>
    <n v="0"/>
    <n v="0"/>
    <n v="0"/>
    <s v="Intermedio"/>
    <n v="6"/>
    <s v="Fuera SC"/>
    <m/>
    <s v="No"/>
    <s v="No"/>
    <n v="20.6"/>
    <n v="9.3881515053415345"/>
    <n v="6.0632877288935472"/>
    <s v="Bajo"/>
    <n v="2.1980199855756855"/>
    <s v="Medio Bajo"/>
    <n v="21104.513166000001"/>
    <n v="8415.5491760000004"/>
    <n v="10338"/>
    <n v="2.0414502965757402"/>
    <n v="0.81404035364674021"/>
    <m/>
    <m/>
    <m/>
    <m/>
    <m/>
    <m/>
    <m/>
    <n v="93"/>
    <n v="0"/>
    <n v="7"/>
    <n v="5339.5844719999996"/>
    <n v="1679.5802639999999"/>
    <n v="0.31455261599614603"/>
    <s v="31% - 50%"/>
    <n v="4.8865321335077471E-5"/>
    <s v="N.D."/>
    <s v="N.D."/>
    <s v="N.D."/>
    <n v="0.97896317548066447"/>
    <s v="Aceptable"/>
    <n v="3"/>
    <s v="No es Candidato"/>
    <n v="0"/>
    <n v="0"/>
  </r>
  <r>
    <n v="19548"/>
    <s v="19548"/>
    <x v="13"/>
    <x v="13"/>
    <s v="PIENDAMÓ - TUNÍA"/>
    <n v="54.459899999999998"/>
    <n v="45.55"/>
    <n v="83.34"/>
    <n v="82.72"/>
    <n v="63.864381740886685"/>
    <n v="65.699585435610146"/>
    <n v="59.048154894296317"/>
    <n v="50.709099999999999"/>
    <n v="66.51747499999999"/>
    <n v="59.830305517698285"/>
    <n v="63.173890258849141"/>
    <n v="41.617697639019994"/>
    <n v="58.382302360980006"/>
    <n v="0.62544072124882011"/>
    <n v="0"/>
    <n v="39.51152348758842"/>
    <n v="2"/>
    <n v="2"/>
    <b v="1"/>
    <x v="3"/>
    <n v="60.979866657224399"/>
    <n v="0.64288002278309597"/>
    <n v="39.202738065906573"/>
    <n v="2"/>
    <n v="0"/>
    <n v="2.1940236016247425"/>
    <n v="-1.7439301534275864E-2"/>
    <n v="0.30878542168184708"/>
    <n v="2"/>
    <b v="1"/>
    <n v="0"/>
    <n v="0.9741882058902549"/>
    <n v="59.40586689422841"/>
    <n v="0.57247876331869907"/>
    <n v="2"/>
    <n v="0"/>
    <n v="57.247876331869904"/>
    <n v="3"/>
    <n v="-0.34874748464143479"/>
    <b v="0"/>
    <n v="0"/>
    <n v="2"/>
    <n v="0"/>
    <n v="0"/>
    <n v="0"/>
    <n v="0"/>
    <n v="1"/>
    <n v="1"/>
    <s v="Intermedio"/>
    <n v="6"/>
    <s v="Fuera SC"/>
    <m/>
    <s v="No"/>
    <s v="No"/>
    <n v="30.7"/>
    <n v="13.515863971690758"/>
    <n v="0"/>
    <s v="Sin riesgo"/>
    <n v="2.3777308717717371"/>
    <s v="Medio Bajo"/>
    <n v="71877.680817999993"/>
    <n v="10684.56243975"/>
    <n v="42676"/>
    <n v="1.6842647112662854"/>
    <n v="0.2503646649111913"/>
    <m/>
    <m/>
    <m/>
    <m/>
    <m/>
    <m/>
    <m/>
    <n v="46"/>
    <n v="0"/>
    <n v="7"/>
    <n v="18126.987857"/>
    <n v="1.503347"/>
    <n v="8.2934186962532806E-5"/>
    <n v="0"/>
    <n v="4.3738031344910298E-8"/>
    <n v="271.63931500000001"/>
    <n v="1.4985353173009522E-2"/>
    <s v="0% - 30%"/>
    <n v="0.82193006168890737"/>
    <s v="Crítico bajo"/>
    <n v="2"/>
    <s v="Candidato"/>
    <n v="0"/>
    <n v="0"/>
  </r>
  <r>
    <n v="19300"/>
    <s v="19300"/>
    <x v="13"/>
    <x v="13"/>
    <s v="GUACHENÉ"/>
    <n v="76.848133333333294"/>
    <n v="71.58"/>
    <n v="82.51"/>
    <n v="86.99"/>
    <n v="66.029496747813312"/>
    <n v="60.09647323380252"/>
    <n v="68.855572702561233"/>
    <n v="64.511099999999999"/>
    <n v="79.48203333333332"/>
    <n v="64.873160671044275"/>
    <n v="72.177597002188804"/>
    <n v="41.517626570974294"/>
    <n v="58.482373429025706"/>
    <n v="0.62634136086123127"/>
    <n v="0"/>
    <n v="45.207814330044464"/>
    <n v="2"/>
    <n v="2"/>
    <b v="1"/>
    <x v="3"/>
    <n v="71.496614232689751"/>
    <n v="0.64263895392595105"/>
    <n v="45.946509379743006"/>
    <n v="2"/>
    <n v="0"/>
    <n v="0.68098276949905312"/>
    <n v="-1.6297593064719784E-2"/>
    <n v="-0.73869504969854205"/>
    <n v="2"/>
    <b v="1"/>
    <n v="0"/>
    <n v="0.9741882058902549"/>
    <n v="69.651158346571691"/>
    <n v="0.70063655983236683"/>
    <n v="1"/>
    <n v="-1"/>
    <n v="70.063655983236686"/>
    <n v="3"/>
    <n v="-0.34784684502902363"/>
    <b v="0"/>
    <s v="Cambio en corte"/>
    <n v="2"/>
    <n v="0"/>
    <n v="0"/>
    <n v="0"/>
    <n v="0"/>
    <n v="0"/>
    <n v="0"/>
    <s v="Intermedio"/>
    <n v="4"/>
    <s v="Fuera SC"/>
    <m/>
    <s v="No"/>
    <s v="No"/>
    <n v="20.2"/>
    <n v="4.9532760762707291"/>
    <n v="0"/>
    <s v="Sin riesgo"/>
    <n v="39.565723954239154"/>
    <s v="Muy Alto"/>
    <n v="43668.266302000004"/>
    <n v="21536.811708699999"/>
    <n v="20320"/>
    <n v="2.1490288534448823"/>
    <n v="1.0598824659793307"/>
    <m/>
    <m/>
    <m/>
    <m/>
    <m/>
    <m/>
    <m/>
    <n v="32"/>
    <n v="0"/>
    <n v="7"/>
    <n v="10064.905516999999"/>
    <n v="720.48234000000002"/>
    <n v="7.1583616834065514E-2"/>
    <s v="0% - 30%"/>
    <n v="2.0961547247823901E-5"/>
    <n v="974.74527999999998"/>
    <n v="9.6845944390994934E-2"/>
    <s v="0% - 30%"/>
    <n v="0.91324679722546254"/>
    <s v="Aceptable"/>
    <n v="3"/>
    <s v="Candidato"/>
    <n v="0"/>
    <n v="0"/>
  </r>
  <r>
    <n v="25875"/>
    <s v="25875"/>
    <x v="5"/>
    <x v="5"/>
    <s v="VILLETA"/>
    <n v="72.882833333333295"/>
    <n v="78.180000000000007"/>
    <n v="82.09"/>
    <n v="85.12"/>
    <n v="62.049069856366515"/>
    <n v="63.093424849033141"/>
    <n v="69.919551412011003"/>
    <n v="63.092399999999998"/>
    <n v="79.568208333333331"/>
    <n v="64.538611529352664"/>
    <n v="72.053409931342998"/>
    <n v="42.486607199261165"/>
    <n v="57.513392800738835"/>
    <n v="0.6176205352066495"/>
    <n v="0"/>
    <n v="44.501665605260179"/>
    <n v="2"/>
    <n v="2"/>
    <b v="1"/>
    <x v="3"/>
    <n v="69.855073321968831"/>
    <n v="0.63741287989595097"/>
    <n v="44.526523461498968"/>
    <n v="2"/>
    <n v="0"/>
    <n v="2.1983366093741665"/>
    <n v="-1.9792344689301467E-2"/>
    <n v="-2.4857856238789111E-2"/>
    <n v="2"/>
    <b v="1"/>
    <n v="0"/>
    <n v="0.9741882058902549"/>
    <n v="68.051988551861029"/>
    <n v="0.68063263138439101"/>
    <n v="1"/>
    <n v="-1"/>
    <n v="68.063263138439098"/>
    <n v="3"/>
    <n v="-0.3565676706836054"/>
    <b v="0"/>
    <s v="Cambio en corte"/>
    <n v="1"/>
    <n v="-1"/>
    <n v="0"/>
    <n v="0"/>
    <n v="0"/>
    <n v="0"/>
    <n v="0"/>
    <s v="Intermedio"/>
    <n v="6"/>
    <s v="Fuera SC"/>
    <m/>
    <s v="No"/>
    <s v="No"/>
    <n v="18.7"/>
    <n v="8.414819431999689"/>
    <n v="4.8544028207825116"/>
    <s v="Sin riesgo"/>
    <n v="1.3451569155950514"/>
    <s v="Medio Bajo"/>
    <n v="53915.877949000002"/>
    <n v="25481.971749"/>
    <n v="29130"/>
    <n v="1.850871196326811"/>
    <n v="0.87476731029866117"/>
    <m/>
    <m/>
    <m/>
    <m/>
    <m/>
    <m/>
    <m/>
    <n v="37"/>
    <n v="1"/>
    <n v="6"/>
    <n v="14077.470251999999"/>
    <n v="6648.6382649999996"/>
    <n v="0.47228927825689571"/>
    <s v="31% - 50%"/>
    <n v="1.934339502693257E-4"/>
    <s v="N.D."/>
    <s v="N.D."/>
    <s v="N.D."/>
    <n v="0.98152920154702761"/>
    <s v="Aceptable"/>
    <n v="3"/>
    <s v="Candidato"/>
    <n v="0"/>
    <n v="0"/>
  </r>
  <r>
    <n v="5148"/>
    <s v="05148"/>
    <x v="1"/>
    <x v="1"/>
    <s v="EL CARMEN DE VIBORAL"/>
    <n v="70.951700000000002"/>
    <n v="60"/>
    <n v="72.53"/>
    <n v="76.599999999999994"/>
    <n v="65.206023361741899"/>
    <n v="68.281297281248087"/>
    <n v="60.537747960452563"/>
    <n v="54.5732"/>
    <n v="70.020425000000003"/>
    <n v="62.149567150860634"/>
    <n v="66.084996075430325"/>
    <n v="40.731609842392011"/>
    <n v="59.268390157607989"/>
    <n v="0.63341551141847185"/>
    <n v="0"/>
    <n v="41.859261586206408"/>
    <n v="2"/>
    <n v="2"/>
    <b v="1"/>
    <x v="3"/>
    <n v="65.137091064378836"/>
    <n v="0.63960974749583799"/>
    <n v="41.662318368300753"/>
    <n v="2"/>
    <n v="0"/>
    <n v="0.94790501105148905"/>
    <n v="-6.1942360773661331E-3"/>
    <n v="0.19694321790565539"/>
    <n v="2"/>
    <b v="1"/>
    <n v="0"/>
    <n v="0.9741882058902549"/>
    <n v="63.455785880917375"/>
    <n v="0.62313898082517249"/>
    <n v="2"/>
    <n v="0"/>
    <n v="62.313898082517248"/>
    <n v="3"/>
    <n v="-0.34077269447178304"/>
    <b v="0"/>
    <n v="0"/>
    <n v="1"/>
    <n v="-1"/>
    <n v="0"/>
    <n v="1"/>
    <n v="0"/>
    <n v="0"/>
    <n v="0"/>
    <s v="Intermedio"/>
    <n v="2"/>
    <s v="En aglomeración"/>
    <m/>
    <s v="No"/>
    <s v="Si"/>
    <n v="18.5"/>
    <n v="5.8463604820355934"/>
    <n v="2.303807027688062"/>
    <s v="Sin riesgo"/>
    <n v="5.7361108014826767"/>
    <s v="Medio"/>
    <n v="116314.16667000001"/>
    <n v="64936.359653599997"/>
    <n v="68325"/>
    <n v="1.7023661422612515"/>
    <n v="0.95040409299085249"/>
    <m/>
    <m/>
    <m/>
    <m/>
    <m/>
    <m/>
    <m/>
    <n v="22"/>
    <n v="0"/>
    <n v="6"/>
    <n v="40912.776323999999"/>
    <n v="32087.333634999999"/>
    <n v="0.78428638968158038"/>
    <s v="71% - 100%"/>
    <n v="9.3354149394798698E-4"/>
    <s v="N.D."/>
    <s v="N.D."/>
    <s v="N.D."/>
    <n v="0.90368256273429781"/>
    <s v="Aceptable"/>
    <n v="2"/>
    <s v="Candidato"/>
    <n v="0"/>
    <n v="0"/>
  </r>
  <r>
    <n v="5541"/>
    <s v="05541"/>
    <x v="1"/>
    <x v="1"/>
    <s v="PEÑOL"/>
    <n v="53.290999999999997"/>
    <n v="41.53"/>
    <n v="42.78"/>
    <n v="69.290000000000006"/>
    <n v="61.707333094180662"/>
    <n v="56.201509500428699"/>
    <n v="63.275785547901407"/>
    <n v="62.461100000000002"/>
    <n v="51.722750000000005"/>
    <n v="60.911432035627683"/>
    <n v="56.317091017813844"/>
    <n v="41.296549511142906"/>
    <n v="58.703450488857094"/>
    <n v="0.62833105439971382"/>
    <n v="0"/>
    <n v="35.385777179947624"/>
    <n v="3"/>
    <n v="3"/>
    <b v="1"/>
    <x v="4"/>
    <n v="53.430716296723332"/>
    <n v="0.63802572889353104"/>
    <n v="34.090171710520373"/>
    <n v="3"/>
    <n v="0"/>
    <n v="2.8863747210905117"/>
    <n v="-9.6946744938172236E-3"/>
    <n v="1.295605469427251"/>
    <n v="2"/>
    <b v="0"/>
    <n v="0"/>
    <n v="0.9741882058902549"/>
    <n v="52.051573648536106"/>
    <n v="0.48048430697088035"/>
    <n v="2"/>
    <n v="-1"/>
    <n v="48.048430697088037"/>
    <n v="3"/>
    <n v="-0.34585715149054108"/>
    <b v="1"/>
    <s v="Efecto ponderador"/>
    <n v="2"/>
    <n v="-1"/>
    <n v="0"/>
    <n v="0"/>
    <n v="0"/>
    <n v="0"/>
    <n v="0"/>
    <s v="Intermedio"/>
    <n v="6"/>
    <s v="Fuera SC"/>
    <m/>
    <s v="No"/>
    <s v="Si"/>
    <n v="20"/>
    <n v="6.8570793509668819"/>
    <n v="7.1621621621621626E-2"/>
    <s v="Sin riesgo"/>
    <n v="2.7405834411340133"/>
    <s v="Medio Bajo"/>
    <n v="52816.913607000002"/>
    <n v="19908.137690599997"/>
    <n v="23491"/>
    <n v="2.2483893238687158"/>
    <n v="0.84747936190881601"/>
    <m/>
    <m/>
    <m/>
    <m/>
    <m/>
    <m/>
    <m/>
    <n v="22"/>
    <n v="0"/>
    <n v="7"/>
    <n v="11825.51981"/>
    <n v="4962.137487"/>
    <n v="0.41961263155670109"/>
    <s v="31% - 50%"/>
    <n v="1.4436728509396727E-4"/>
    <s v="N.D."/>
    <s v="N.D."/>
    <s v="N.D."/>
    <n v="0.75798591627700729"/>
    <s v="Crítico bajo"/>
    <n v="3"/>
    <s v="Candidato"/>
    <n v="0"/>
    <n v="0"/>
  </r>
  <r>
    <n v="13620"/>
    <s v="13620"/>
    <x v="8"/>
    <x v="8"/>
    <s v="SAN CRISTÓBAL"/>
    <n v="48.212499999999999"/>
    <n v="33.71"/>
    <n v="23.93"/>
    <n v="46.28"/>
    <n v="49.8445066488175"/>
    <n v="44.261606827217371"/>
    <n v="40.607994636166069"/>
    <n v="51.940800000000003"/>
    <n v="38.033124999999998"/>
    <n v="46.663727028050232"/>
    <n v="42.348426014025115"/>
    <n v="41.195514498106597"/>
    <n v="58.804485501893403"/>
    <n v="0.62924036951704054"/>
    <n v="0"/>
    <n v="26.647339233530214"/>
    <n v="4"/>
    <n v="4"/>
    <b v="1"/>
    <x v="5"/>
    <n v="41.283006153187863"/>
    <n v="0.63492564135925422"/>
    <n v="26.211639159050844"/>
    <n v="4"/>
    <n v="0"/>
    <n v="1.0654198608372525"/>
    <n v="-5.6852718422136794E-3"/>
    <n v="0.43570007447937087"/>
    <n v="4"/>
    <b v="1"/>
    <n v="0"/>
    <n v="0.9741882058902549"/>
    <n v="40.21741769813044"/>
    <n v="0.33245149040750022"/>
    <n v="4"/>
    <n v="0"/>
    <n v="33.245149040750022"/>
    <n v="4"/>
    <n v="-0.34494783637321436"/>
    <b v="1"/>
    <n v="0"/>
    <n v="4"/>
    <n v="0"/>
    <n v="0"/>
    <n v="0"/>
    <n v="0"/>
    <n v="0"/>
    <n v="0"/>
    <s v="Ciudades y aglomeraciones"/>
    <n v="6"/>
    <s v="En aglomeración"/>
    <m/>
    <s v="No"/>
    <s v="No"/>
    <n v="49.9"/>
    <n v="25.596994902066005"/>
    <n v="18.020952380952384"/>
    <s v="Medio"/>
    <n v="0.68104008854570519"/>
    <s v="Medio Bajo"/>
    <n v="21128.042796999998"/>
    <n v="4639.3169230000003"/>
    <n v="9542"/>
    <n v="2.2142153423810522"/>
    <n v="0.48619963561098306"/>
    <m/>
    <m/>
    <m/>
    <m/>
    <m/>
    <m/>
    <m/>
    <n v="48"/>
    <n v="0"/>
    <n v="7"/>
    <n v="4224.1976489999997"/>
    <n v="136.16843499999999"/>
    <n v="3.2235337054419159E-2"/>
    <s v="0% - 30%"/>
    <n v="3.9616530835644601E-6"/>
    <s v="N.D."/>
    <s v="N.D."/>
    <s v="N.D."/>
    <n v="0.9190675140504394"/>
    <s v="Aceptable"/>
    <n v="1"/>
    <s v="Candidato"/>
    <n v="0"/>
    <n v="0"/>
  </r>
  <r>
    <n v="13873"/>
    <s v="13873"/>
    <x v="8"/>
    <x v="8"/>
    <s v="VILLANUEVA"/>
    <n v="55.689"/>
    <n v="39.18"/>
    <n v="39.04"/>
    <n v="38.380000000000003"/>
    <n v="37.487210377784336"/>
    <n v="38.066054204345846"/>
    <n v="43.902911559524441"/>
    <n v="50.4163"/>
    <n v="43.072249999999997"/>
    <n v="42.468119035413658"/>
    <n v="42.770184517706824"/>
    <n v="41.059629206620443"/>
    <n v="58.940370793379557"/>
    <n v="0.63046333714041602"/>
    <n v="0"/>
    <n v="26.9650332611448"/>
    <n v="4"/>
    <n v="4"/>
    <b v="1"/>
    <x v="5"/>
    <n v="43.624701789597431"/>
    <n v="0.63496340551524411"/>
    <n v="27.700089212909749"/>
    <n v="4"/>
    <n v="0"/>
    <n v="-0.85451727189060733"/>
    <n v="-4.5000683748280812E-3"/>
    <n v="-0.73505595176494865"/>
    <n v="4"/>
    <b v="1"/>
    <n v="0"/>
    <n v="0.9741882058902549"/>
    <n v="42.498669968905311"/>
    <n v="0.36098755164833884"/>
    <n v="3"/>
    <n v="-1"/>
    <n v="36.098755164833882"/>
    <n v="4"/>
    <n v="-0.34372486874983887"/>
    <b v="1"/>
    <s v="Efecto ponderador"/>
    <n v="3"/>
    <n v="-1"/>
    <n v="0"/>
    <n v="0"/>
    <n v="0"/>
    <n v="0"/>
    <n v="0"/>
    <s v="Ciudades y aglomeraciones"/>
    <n v="6"/>
    <s v="En aglomeración"/>
    <m/>
    <s v="No"/>
    <s v="No"/>
    <n v="54.1"/>
    <n v="39.929027679205113"/>
    <n v="28.543375303222824"/>
    <s v="Medio"/>
    <n v="2.7180121194278244"/>
    <s v="Medio Bajo"/>
    <n v="47000.343178000003"/>
    <n v="5259.9245684999996"/>
    <n v="28802"/>
    <n v="1.6318430379140338"/>
    <n v="0.18262358754600375"/>
    <m/>
    <m/>
    <m/>
    <m/>
    <m/>
    <m/>
    <m/>
    <n v="48"/>
    <n v="0"/>
    <n v="7"/>
    <n v="13705.844604"/>
    <n v="1811.315646"/>
    <n v="0.13215644116316438"/>
    <s v="0% - 30%"/>
    <n v="5.2698000195746186E-5"/>
    <s v="N.D."/>
    <s v="N.D."/>
    <s v="N.D."/>
    <n v="0.88710490597086622"/>
    <s v="Aceptable"/>
    <n v="1"/>
    <s v="Candidato"/>
    <n v="0"/>
    <n v="0"/>
  </r>
  <r>
    <n v="23672"/>
    <s v="23672"/>
    <x v="14"/>
    <x v="14"/>
    <s v="SAN ANTERO"/>
    <n v="58.889899999999997"/>
    <n v="58.04"/>
    <n v="59.31"/>
    <n v="51.82"/>
    <n v="58.952120938045255"/>
    <n v="57.436528312170658"/>
    <n v="51.952014342731523"/>
    <n v="56.0289"/>
    <n v="57.014975"/>
    <n v="56.092390898236857"/>
    <n v="56.553682949118425"/>
    <n v="41.496595712698102"/>
    <n v="58.503404287301898"/>
    <n v="0.62653063858571711"/>
    <n v="0"/>
    <n v="35.432615092485349"/>
    <n v="3"/>
    <n v="3"/>
    <b v="1"/>
    <x v="4"/>
    <n v="57.806650282831171"/>
    <n v="0.63436542326345779"/>
    <n v="36.670540174110876"/>
    <n v="2"/>
    <n v="-1"/>
    <n v="-1.2529673337127463"/>
    <n v="-7.8347846777406804E-3"/>
    <n v="-1.2379250816255265"/>
    <n v="2"/>
    <b v="0"/>
    <s v="Cambio en corte"/>
    <n v="0.9741882058902549"/>
    <n v="56.314556927556694"/>
    <n v="0.53380973418348854"/>
    <n v="2"/>
    <n v="-1"/>
    <n v="53.380973418348852"/>
    <n v="3"/>
    <n v="-0.34765756730453778"/>
    <b v="1"/>
    <s v="Efecto ponderador"/>
    <n v="2"/>
    <n v="-1"/>
    <n v="0"/>
    <n v="0"/>
    <n v="0"/>
    <n v="0"/>
    <n v="0"/>
    <s v="Intermedio"/>
    <n v="6"/>
    <s v="Fuera SC"/>
    <m/>
    <s v="No"/>
    <s v="Si"/>
    <n v="46"/>
    <n v="29.574893206559185"/>
    <n v="21.74"/>
    <s v="Medio"/>
    <n v="3.2317567533462834"/>
    <s v="Medio Bajo"/>
    <n v="61919.731550999997"/>
    <n v="16063.13413525"/>
    <n v="38802"/>
    <n v="1.5957871128034637"/>
    <n v="0.41397696343616308"/>
    <m/>
    <m/>
    <m/>
    <m/>
    <m/>
    <m/>
    <m/>
    <n v="56"/>
    <n v="0"/>
    <n v="7"/>
    <n v="20810.687095000001"/>
    <n v="9957.4595439999994"/>
    <n v="0.47847817318787084"/>
    <s v="31% - 50%"/>
    <n v="2.8970003442395413E-4"/>
    <n v="207.12461500000001"/>
    <n v="9.9528004075254192E-3"/>
    <s v="0% - 30%"/>
    <n v="0.86874611099112964"/>
    <s v="Aceptable"/>
    <n v="1"/>
    <s v="Candidato"/>
    <n v="0"/>
    <n v="0"/>
  </r>
  <r>
    <n v="5045"/>
    <s v="05045"/>
    <x v="1"/>
    <x v="1"/>
    <s v="APARTADÓ"/>
    <n v="67.260933333333298"/>
    <n v="61.26"/>
    <n v="63.83"/>
    <n v="61.04"/>
    <n v="57.672571554911542"/>
    <n v="61.171900736144863"/>
    <n v="52.095902954680014"/>
    <n v="51.383699999999997"/>
    <n v="63.347733333333316"/>
    <n v="55.581018811434106"/>
    <n v="59.464376072383715"/>
    <n v="42.455545170046186"/>
    <n v="57.544454829953814"/>
    <n v="0.6179000934695843"/>
    <n v="0"/>
    <n v="36.74304353323641"/>
    <n v="3"/>
    <n v="3"/>
    <b v="1"/>
    <x v="3"/>
    <n v="60.220424615337258"/>
    <n v="0.63369297959349113"/>
    <n v="38.161260306878283"/>
    <n v="2"/>
    <n v="0"/>
    <n v="-0.75604854295354329"/>
    <n v="-1.5792886123906835E-2"/>
    <n v="-1.4182167736418734"/>
    <n v="2"/>
    <b v="1"/>
    <n v="0"/>
    <n v="0.9741882058902549"/>
    <n v="58.666027413964748"/>
    <n v="0.5632241512849222"/>
    <n v="2"/>
    <n v="0"/>
    <n v="56.322415128492217"/>
    <n v="3"/>
    <n v="-0.3562881124206706"/>
    <b v="0"/>
    <n v="0"/>
    <n v="2"/>
    <n v="0"/>
    <n v="0"/>
    <n v="1"/>
    <n v="0"/>
    <n v="1"/>
    <n v="1"/>
    <s v="Ciudades y aglomeraciones"/>
    <n v="3"/>
    <s v="Uninodal"/>
    <m/>
    <s v="Si"/>
    <s v="Si"/>
    <n v="28"/>
    <n v="14.674009751236699"/>
    <n v="2.4056760413953602"/>
    <s v="Sin riesgo"/>
    <n v="4.732092797783217"/>
    <s v="Medio Bajo"/>
    <n v="336622.36056200002"/>
    <n v="70150.823256000003"/>
    <n v="124423"/>
    <n v="2.7054673216527494"/>
    <n v="0.56380912898740587"/>
    <m/>
    <m/>
    <m/>
    <m/>
    <m/>
    <m/>
    <m/>
    <n v="35"/>
    <n v="0"/>
    <n v="5"/>
    <n v="53536.472286999997"/>
    <n v="31557.252961999999"/>
    <n v="0.58945335047156056"/>
    <s v="51% - 70%"/>
    <n v="9.1811944894373636E-4"/>
    <n v="529.01308100000006"/>
    <n v="9.8813586028614325E-3"/>
    <s v="0% - 30%"/>
    <n v="0.62510476277094473"/>
    <s v="Crítico Medio"/>
    <n v="1"/>
    <s v="Candidato"/>
    <n v="0"/>
    <n v="0"/>
  </r>
  <r>
    <n v="54498"/>
    <s v="54498"/>
    <x v="12"/>
    <x v="12"/>
    <s v="OCAÑA"/>
    <n v="68.843533333333298"/>
    <n v="59.56"/>
    <n v="53.99"/>
    <n v="65.09"/>
    <n v="35.685887847096552"/>
    <n v="48.06043453374739"/>
    <n v="45.749781419426455"/>
    <n v="43.710700000000003"/>
    <n v="61.870883333333332"/>
    <n v="43.301700950067598"/>
    <n v="52.586292141700469"/>
    <n v="42.58552476639187"/>
    <n v="57.41447523360813"/>
    <n v="0.61673027710247319"/>
    <n v="0"/>
    <n v="32.431558524342542"/>
    <n v="3"/>
    <n v="3"/>
    <b v="1"/>
    <x v="4"/>
    <n v="51.900549703316635"/>
    <n v="0.63196758789053031"/>
    <n v="32.799465206197596"/>
    <n v="3"/>
    <n v="0"/>
    <n v="0.68574243838383353"/>
    <n v="-1.5237310788057123E-2"/>
    <n v="-0.36790668185505382"/>
    <n v="3"/>
    <b v="1"/>
    <n v="0"/>
    <n v="0.9741882058902549"/>
    <n v="50.560903400192032"/>
    <n v="0.46183759347864839"/>
    <n v="3"/>
    <n v="0"/>
    <n v="46.183759347864836"/>
    <n v="4"/>
    <n v="-0.35745792878778171"/>
    <b v="0"/>
    <n v="0"/>
    <n v="2"/>
    <n v="-1"/>
    <n v="0"/>
    <n v="1"/>
    <n v="0"/>
    <n v="0"/>
    <n v="0"/>
    <s v="Ciudades y aglomeraciones"/>
    <n v="4"/>
    <s v="Uninodal"/>
    <m/>
    <s v="No"/>
    <s v="No"/>
    <n v="31.4"/>
    <n v="12.576917168906038"/>
    <n v="3.0601298912400989"/>
    <s v="Sin riesgo"/>
    <n v="12.188657292248143"/>
    <s v="Alto"/>
    <n v="185217.37986300001"/>
    <n v="32275.447234499999"/>
    <n v="136427"/>
    <n v="1.3576299402830818"/>
    <n v="0.236576683753949"/>
    <m/>
    <m/>
    <m/>
    <m/>
    <m/>
    <m/>
    <m/>
    <n v="14"/>
    <n v="1"/>
    <n v="4"/>
    <n v="55286.934047000002"/>
    <n v="25147.984596999999"/>
    <n v="0.4548630708228717"/>
    <s v="31% - 50%"/>
    <n v="7.3164967140979908E-4"/>
    <s v="N.D."/>
    <s v="N.D."/>
    <s v="N.D."/>
    <n v="0.94940115642115996"/>
    <s v="Aceptable"/>
    <n v="2"/>
    <s v="Candidato"/>
    <n v="1"/>
    <s v="Unidad Especial de Desarrollo Fronterizo"/>
  </r>
  <r>
    <n v="19455"/>
    <s v="19455"/>
    <x v="13"/>
    <x v="13"/>
    <s v="MIRANDA"/>
    <n v="62.253733333333301"/>
    <n v="64.709999999999994"/>
    <n v="75.36"/>
    <n v="76.41"/>
    <n v="59.956517873152713"/>
    <n v="53.483760072328039"/>
    <n v="64.771368798388437"/>
    <n v="50.955500000000001"/>
    <n v="69.683433333333312"/>
    <n v="57.291786685967296"/>
    <n v="63.487610009650304"/>
    <n v="42.285499753967045"/>
    <n v="57.714500246032955"/>
    <n v="0.61943050221429652"/>
    <n v="0"/>
    <n v="39.326162152663088"/>
    <n v="2"/>
    <n v="2"/>
    <b v="1"/>
    <x v="3"/>
    <n v="62.017041525642071"/>
    <n v="0.63296112864089715"/>
    <n v="39.254376599039794"/>
    <n v="2"/>
    <n v="0"/>
    <n v="1.4705684840082327"/>
    <n v="-1.3530626426600634E-2"/>
    <n v="7.1785553623293197E-2"/>
    <n v="2"/>
    <b v="1"/>
    <n v="0"/>
    <n v="0.9741882058902549"/>
    <n v="60.416270418486683"/>
    <n v="0.58511784634146347"/>
    <n v="2"/>
    <n v="0"/>
    <n v="58.511784634146345"/>
    <n v="3"/>
    <n v="-0.35475770367595838"/>
    <b v="0"/>
    <n v="0"/>
    <n v="2"/>
    <n v="0"/>
    <n v="0"/>
    <n v="0"/>
    <n v="0"/>
    <n v="1"/>
    <n v="1"/>
    <s v="Intermedio"/>
    <n v="5"/>
    <s v="Fuera SC"/>
    <m/>
    <s v="No"/>
    <s v="No"/>
    <n v="21.6"/>
    <n v="9.3377715487035733"/>
    <n v="6.330000000000001"/>
    <s v="Bajo"/>
    <n v="17.89434239586042"/>
    <s v="Alto"/>
    <n v="38061.083270000003"/>
    <n v="20538.818836900002"/>
    <n v="32570"/>
    <n v="1.1685932843107154"/>
    <n v="0.63060542944120357"/>
    <m/>
    <m/>
    <m/>
    <m/>
    <m/>
    <m/>
    <m/>
    <n v="32"/>
    <n v="0"/>
    <n v="7"/>
    <n v="18971.928467000002"/>
    <n v="6758.4661580000002"/>
    <n v="0.35623506433495977"/>
    <s v="31% - 50%"/>
    <n v="1.9662925769108495E-4"/>
    <n v="43.114111999999999"/>
    <n v="2.2725213240706236E-3"/>
    <s v="0% - 30%"/>
    <n v="0.96294489744854384"/>
    <s v="Aceptable"/>
    <n v="2"/>
    <s v="Candidato"/>
    <n v="0"/>
    <n v="0"/>
  </r>
  <r>
    <n v="66594"/>
    <s v="66594"/>
    <x v="6"/>
    <x v="6"/>
    <s v="QUINCHÍA"/>
    <n v="98.249126339342794"/>
    <n v="85.84"/>
    <n v="75.69"/>
    <n v="72.58"/>
    <n v="60.233108792979792"/>
    <n v="56.671133915885193"/>
    <n v="55.667859512484462"/>
    <n v="56.146799999999999"/>
    <n v="83.089781584835691"/>
    <n v="57.179725555337356"/>
    <n v="70.134753570086531"/>
    <n v="42.450780079995155"/>
    <n v="57.549219920004845"/>
    <n v="0.6179429792800436"/>
    <n v="0"/>
    <n v="43.339278572170947"/>
    <n v="2"/>
    <n v="2"/>
    <b v="1"/>
    <x v="3"/>
    <n v="73.4609938636019"/>
    <n v="0.63221032991342685"/>
    <n v="46.442799166275982"/>
    <n v="2"/>
    <n v="0"/>
    <n v="-3.3262402935153688"/>
    <n v="-1.4267350633383247E-2"/>
    <n v="-3.103520594105035"/>
    <n v="2"/>
    <b v="1"/>
    <n v="0"/>
    <n v="0.9741882058902549"/>
    <n v="71.564833814897355"/>
    <n v="0.72457462273703743"/>
    <n v="1"/>
    <n v="-1"/>
    <n v="72.45746227370374"/>
    <n v="3"/>
    <n v="-0.3562452266102113"/>
    <b v="0"/>
    <s v="Cambio en corte"/>
    <n v="1"/>
    <n v="-1"/>
    <n v="0"/>
    <n v="0"/>
    <n v="0"/>
    <n v="0"/>
    <n v="1"/>
    <s v="Intermedio"/>
    <n v="6"/>
    <s v="Fuera SC"/>
    <m/>
    <s v="No"/>
    <s v="Si"/>
    <n v="41.4"/>
    <n v="16.416487967595902"/>
    <n v="52.585803544056382"/>
    <s v="Alto"/>
    <n v="1.2337503345749745"/>
    <s v="Medio Bajo"/>
    <n v="49013.685656000001"/>
    <n v="9050.3770956000008"/>
    <n v="28224"/>
    <n v="1.7365960053854876"/>
    <n v="0.32066245378401365"/>
    <m/>
    <m/>
    <m/>
    <m/>
    <m/>
    <m/>
    <m/>
    <n v="31"/>
    <n v="0"/>
    <n v="6"/>
    <n v="14013.777894000001"/>
    <n v="483.129908"/>
    <n v="3.4475350733712717E-2"/>
    <s v="0% - 30%"/>
    <n v="1.4056070261734403E-5"/>
    <n v="36.382984999999998"/>
    <n v="2.5962296016962972E-3"/>
    <s v="0% - 30%"/>
    <n v="0.93276966177578502"/>
    <s v="Aceptable"/>
    <n v="2"/>
    <s v="Candidato"/>
    <n v="0"/>
    <n v="0"/>
  </r>
  <r>
    <n v="25200"/>
    <s v="25200"/>
    <x v="5"/>
    <x v="5"/>
    <s v="COGUA"/>
    <n v="65.660433333333302"/>
    <n v="68.63"/>
    <n v="49.82"/>
    <n v="57.58"/>
    <n v="77.002683610946022"/>
    <n v="64.163816243828222"/>
    <n v="70.407708325020636"/>
    <n v="67.242099999999994"/>
    <n v="60.422608333333315"/>
    <n v="69.704077044948718"/>
    <n v="65.063342689141024"/>
    <n v="43.101761529987861"/>
    <n v="56.898238470012139"/>
    <n v="0.61208414623010932"/>
    <n v="0"/>
    <n v="39.824240560759911"/>
    <n v="2"/>
    <n v="2"/>
    <b v="1"/>
    <x v="3"/>
    <n v="64.963582378878144"/>
    <n v="0.6285064114019252"/>
    <n v="40.830028032762044"/>
    <n v="2"/>
    <n v="0"/>
    <n v="9.9760310262880125E-2"/>
    <n v="-1.6422265171815886E-2"/>
    <n v="-1.0057874720021331"/>
    <n v="2"/>
    <b v="1"/>
    <n v="0"/>
    <n v="0.9741882058902549"/>
    <n v="63.286755765883079"/>
    <n v="0.62102459226062934"/>
    <n v="2"/>
    <n v="0"/>
    <n v="62.102459226062933"/>
    <n v="3"/>
    <n v="-0.36210405966014558"/>
    <b v="0"/>
    <n v="0"/>
    <n v="2"/>
    <n v="0"/>
    <n v="0"/>
    <n v="0"/>
    <n v="0"/>
    <n v="0"/>
    <n v="0"/>
    <s v="Ciudades y aglomeraciones"/>
    <n v="5"/>
    <s v="En aglomeración"/>
    <m/>
    <s v="No"/>
    <s v="No"/>
    <n v="12.6"/>
    <n v="3.5959809624537282"/>
    <n v="13.418609339581149"/>
    <s v="Bajo"/>
    <n v="0.32661679949416839"/>
    <s v="Medio Bajo"/>
    <n v="42083.220022000001"/>
    <n v="28960.997409599997"/>
    <n v="24963"/>
    <n v="1.6858238201337981"/>
    <n v="1.1601569286383846"/>
    <m/>
    <m/>
    <m/>
    <m/>
    <m/>
    <m/>
    <m/>
    <n v="36"/>
    <n v="0"/>
    <n v="7"/>
    <n v="13270.127930000001"/>
    <n v="9574.4756689999995"/>
    <n v="0.72150590555761118"/>
    <s v="71% - 100%"/>
    <n v="2.7855758977920797E-4"/>
    <s v="N.D."/>
    <s v="N.D."/>
    <s v="N.D."/>
    <n v="0.9645536748667134"/>
    <s v="Aceptable"/>
    <n v="2"/>
    <s v="Candidato"/>
    <n v="0"/>
    <n v="0"/>
  </r>
  <r>
    <n v="73449"/>
    <s v="73449"/>
    <x v="15"/>
    <x v="15"/>
    <s v="MELGAR"/>
    <n v="56.528500000000001"/>
    <n v="48.62"/>
    <n v="71.87"/>
    <n v="75.16"/>
    <n v="70.277161221567539"/>
    <n v="68.406912690948502"/>
    <n v="66.309012693530534"/>
    <n v="66.971000000000004"/>
    <n v="63.044625000000003"/>
    <n v="67.991021651511645"/>
    <n v="65.517823325755828"/>
    <n v="42.026446036458807"/>
    <n v="57.973553963541193"/>
    <n v="0.62176198567187069"/>
    <n v="0"/>
    <n v="40.736491927920753"/>
    <n v="2"/>
    <n v="2"/>
    <b v="1"/>
    <x v="3"/>
    <n v="61.73196203789955"/>
    <n v="0.63142083751129807"/>
    <n v="38.978847171186196"/>
    <n v="2"/>
    <n v="0"/>
    <n v="3.7858612878562781"/>
    <n v="-9.6588518394273848E-3"/>
    <n v="1.7576447567345568"/>
    <n v="2"/>
    <b v="1"/>
    <n v="0"/>
    <n v="0.9741882058902549"/>
    <n v="60.138549343786686"/>
    <n v="0.58164384844257311"/>
    <n v="2"/>
    <n v="0"/>
    <n v="58.164384844257313"/>
    <n v="3"/>
    <n v="-0.35242622021838421"/>
    <b v="0"/>
    <n v="0"/>
    <n v="2"/>
    <n v="0"/>
    <n v="0"/>
    <n v="0"/>
    <n v="0"/>
    <n v="0"/>
    <n v="0"/>
    <s v="Intermedio"/>
    <n v="4"/>
    <s v="Fuera SC"/>
    <m/>
    <s v="No"/>
    <s v="Si"/>
    <n v="19.7"/>
    <n v="9.4987119888668463"/>
    <n v="0.81515151515151529"/>
    <s v="Sin riesgo"/>
    <n v="8.6547041174375874"/>
    <s v="Medio"/>
    <n v="106646.046754"/>
    <n v="48104.583661500001"/>
    <n v="39096"/>
    <n v="2.7277994361059954"/>
    <n v="1.2304221317142419"/>
    <m/>
    <m/>
    <m/>
    <m/>
    <m/>
    <m/>
    <m/>
    <n v="6"/>
    <n v="0"/>
    <n v="4"/>
    <n v="20199.633798999999"/>
    <n v="7025.0918819999997"/>
    <n v="0.34778313071931943"/>
    <s v="31% - 50%"/>
    <n v="2.0438640509196537E-4"/>
    <s v="N.D."/>
    <s v="N.D."/>
    <s v="N.D."/>
    <n v="0.86047496173805538"/>
    <s v="Aceptable"/>
    <n v="3"/>
    <s v="Candidato"/>
    <n v="0"/>
    <n v="0"/>
  </r>
  <r>
    <n v="47980"/>
    <s v="47980"/>
    <x v="17"/>
    <x v="17"/>
    <s v="ZONA BANANERA"/>
    <n v="44.429666666666698"/>
    <n v="68.98"/>
    <n v="39.22"/>
    <n v="38.380000000000003"/>
    <n v="45.095008320651154"/>
    <n v="61.655974091442808"/>
    <n v="58.966856631611542"/>
    <n v="54.317399999999999"/>
    <n v="47.752416666666676"/>
    <n v="55.008809760926376"/>
    <n v="51.380613213796522"/>
    <n v="41.747758639133906"/>
    <n v="58.252241360866094"/>
    <n v="0.62427017224779491"/>
    <n v="0"/>
    <n v="32.075384261174079"/>
    <n v="3"/>
    <n v="3"/>
    <b v="1"/>
    <x v="4"/>
    <n v="53.374357373803974"/>
    <n v="0.63014417915940513"/>
    <n v="33.633540615476448"/>
    <n v="3"/>
    <n v="0"/>
    <n v="-1.9937441600074521"/>
    <n v="-5.8740069116102189E-3"/>
    <n v="-1.5581563543023691"/>
    <n v="3"/>
    <b v="1"/>
    <n v="0"/>
    <n v="0.9741882058902549"/>
    <n v="51.996669450531392"/>
    <n v="0.47979751332832127"/>
    <n v="2"/>
    <n v="-1"/>
    <n v="47.97975133283213"/>
    <n v="4"/>
    <n v="-0.34991803364245999"/>
    <b v="0"/>
    <s v="Cambio en corte"/>
    <n v="3"/>
    <n v="0"/>
    <n v="0"/>
    <n v="0"/>
    <n v="0"/>
    <n v="0"/>
    <n v="0"/>
    <s v="Intermedio"/>
    <n v="6"/>
    <s v="Fuera SC"/>
    <m/>
    <s v="No"/>
    <s v="No"/>
    <n v="48.6"/>
    <n v="28.765605820185023"/>
    <n v="0"/>
    <s v="Sin riesgo"/>
    <n v="11.471197297021114"/>
    <s v="Alto"/>
    <n v="94620.542662000007"/>
    <n v="16351.243337"/>
    <n v="79037"/>
    <n v="1.1971676893353747"/>
    <n v="0.20688087018738061"/>
    <m/>
    <m/>
    <m/>
    <m/>
    <m/>
    <m/>
    <m/>
    <n v="42"/>
    <n v="0"/>
    <n v="7"/>
    <n v="41803.021792"/>
    <n v="34022.139784999999"/>
    <n v="0.81386795323755623"/>
    <s v="71% - 100%"/>
    <n v="9.898322984229521E-4"/>
    <s v="N.D."/>
    <s v="N.D."/>
    <s v="N.D."/>
    <n v="0.91186251287521736"/>
    <s v="Aceptable"/>
    <n v="1"/>
    <s v="Candidato"/>
    <n v="0"/>
    <n v="0"/>
  </r>
  <r>
    <n v="76622"/>
    <s v="76622"/>
    <x v="3"/>
    <x v="3"/>
    <s v="ROLDANILLO"/>
    <n v="68.873633333333302"/>
    <n v="80.900000000000006"/>
    <n v="73.89"/>
    <n v="88.49"/>
    <n v="49.740680454469704"/>
    <n v="60.932765296792141"/>
    <n v="63.735014887961789"/>
    <n v="60.415300000000002"/>
    <n v="78.038408333333322"/>
    <n v="58.705940159805913"/>
    <n v="68.372174246569614"/>
    <n v="42.745301652690749"/>
    <n v="57.254698347309251"/>
    <n v="0.61529228512578327"/>
    <n v="0"/>
    <n v="42.068871331190046"/>
    <n v="2"/>
    <n v="2"/>
    <b v="1"/>
    <x v="3"/>
    <n v="65.09802597217211"/>
    <n v="0.62928232836852582"/>
    <n v="40.965037355963233"/>
    <n v="2"/>
    <n v="0"/>
    <n v="3.2741482743975041"/>
    <n v="-1.3990043242742556E-2"/>
    <n v="1.1038339752268129"/>
    <n v="2"/>
    <b v="1"/>
    <n v="0"/>
    <n v="0.9741882058902549"/>
    <n v="63.417729128827567"/>
    <n v="0.62266293097212699"/>
    <n v="2"/>
    <n v="0"/>
    <n v="62.266293097212696"/>
    <n v="3"/>
    <n v="-0.35889592076447163"/>
    <b v="0"/>
    <n v="0"/>
    <n v="2"/>
    <n v="0"/>
    <n v="0"/>
    <n v="0"/>
    <n v="0"/>
    <n v="0"/>
    <n v="1"/>
    <s v="Intermedio"/>
    <n v="6"/>
    <s v="Fuera SC"/>
    <m/>
    <s v="No"/>
    <s v="No"/>
    <n v="16.5"/>
    <n v="5.8094451153626139"/>
    <n v="6.3121881974587311"/>
    <s v="Bajo"/>
    <n v="5.3139762711402296"/>
    <s v="Medio Bajo"/>
    <n v="58223.308254000003"/>
    <n v="15834.663914700001"/>
    <n v="38443"/>
    <n v="1.5145360209661058"/>
    <n v="0.4118997974845876"/>
    <m/>
    <m/>
    <m/>
    <m/>
    <m/>
    <m/>
    <m/>
    <n v="66"/>
    <n v="0"/>
    <n v="6"/>
    <n v="23516.663514"/>
    <n v="14153.714690999999"/>
    <n v="0.6018589619473006"/>
    <s v="51% - 70%"/>
    <n v="4.1178491512729615E-4"/>
    <s v="N.D."/>
    <s v="N.D."/>
    <s v="N.D."/>
    <n v="0.86860835273699766"/>
    <s v="Aceptable"/>
    <n v="3"/>
    <s v="Candidato"/>
    <n v="0"/>
    <n v="0"/>
  </r>
  <r>
    <n v="23001"/>
    <s v="23001"/>
    <x v="14"/>
    <x v="14"/>
    <s v="MONTERÍA"/>
    <n v="69.881166666666701"/>
    <n v="75.25"/>
    <n v="79.16"/>
    <n v="82.49"/>
    <n v="63.839104212441619"/>
    <n v="53.602182661820805"/>
    <n v="66.383182195661163"/>
    <n v="66.782200000000003"/>
    <n v="76.695291666666677"/>
    <n v="62.651667267480903"/>
    <n v="69.67347946707379"/>
    <n v="41.874444887687226"/>
    <n v="58.125555112312774"/>
    <n v="0.62312999601081498"/>
    <n v="0"/>
    <n v="43.415634982377291"/>
    <n v="2"/>
    <n v="2"/>
    <b v="1"/>
    <x v="3"/>
    <n v="67.013423239218184"/>
    <n v="0.62957121409749717"/>
    <n v="42.189722229544024"/>
    <n v="2"/>
    <n v="0"/>
    <n v="2.6600562278556055"/>
    <n v="-6.4412180866821878E-3"/>
    <n v="1.2259127528332669"/>
    <n v="2"/>
    <b v="1"/>
    <n v="0"/>
    <n v="0.9741882058902549"/>
    <n v="65.283686555978278"/>
    <n v="0.64600409148125559"/>
    <n v="1"/>
    <n v="-1"/>
    <n v="64.600409148125564"/>
    <n v="3"/>
    <n v="-0.35105820987943992"/>
    <b v="0"/>
    <s v="Cambio en corte"/>
    <n v="2"/>
    <n v="0"/>
    <n v="1"/>
    <n v="0"/>
    <n v="0"/>
    <n v="0"/>
    <n v="0"/>
    <s v="Ciudades y aglomeraciones"/>
    <n v="1"/>
    <s v="Uninodal"/>
    <m/>
    <s v="Si"/>
    <s v="No"/>
    <n v="27.1"/>
    <n v="18.79873585312524"/>
    <n v="4.5196759767639376"/>
    <s v="Sin riesgo"/>
    <n v="1.8118328652283286"/>
    <s v="Medio Bajo"/>
    <n v="1444683.443285"/>
    <n v="345748.69804799999"/>
    <n v="563597"/>
    <n v="2.5633270639925336"/>
    <n v="0.61346795325028347"/>
    <m/>
    <m/>
    <m/>
    <m/>
    <m/>
    <m/>
    <m/>
    <n v="56"/>
    <n v="1"/>
    <n v="3"/>
    <n v="313734.68645899999"/>
    <n v="18588.400783000001"/>
    <n v="5.9248790730792214E-2"/>
    <s v="0% - 30%"/>
    <n v="5.4080665082553074E-4"/>
    <s v="N.D."/>
    <s v="N.D."/>
    <s v="N.D."/>
    <n v="0.85297025067947685"/>
    <s v="Aceptable"/>
    <n v="3"/>
    <s v="Candidato"/>
    <n v="0"/>
    <n v="0"/>
  </r>
  <r>
    <n v="66682"/>
    <s v="66682"/>
    <x v="6"/>
    <x v="6"/>
    <s v="SANTA ROSA DE CABAL"/>
    <n v="77.905933333333294"/>
    <n v="71.48"/>
    <n v="74.3"/>
    <n v="59.55"/>
    <n v="52.554566570822708"/>
    <n v="59.618381886090475"/>
    <n v="59.826301499548023"/>
    <n v="50.483800000000002"/>
    <n v="70.80898333333333"/>
    <n v="55.6207624891153"/>
    <n v="63.214872911224319"/>
    <n v="42.955516967471311"/>
    <n v="57.044483032528689"/>
    <n v="0.61340034729275827"/>
    <n v="0"/>
    <n v="38.776024997812577"/>
    <n v="2"/>
    <n v="2"/>
    <b v="1"/>
    <x v="3"/>
    <n v="65.98591344109326"/>
    <n v="0.62753054980226219"/>
    <n v="41.408176540893734"/>
    <n v="2"/>
    <n v="0"/>
    <n v="-2.7710405298689409"/>
    <n v="-1.413020250950392E-2"/>
    <n v="-2.6321515430811573"/>
    <n v="2"/>
    <b v="1"/>
    <n v="0"/>
    <n v="0.9741882058902549"/>
    <n v="64.282698629208298"/>
    <n v="0.63348278765809451"/>
    <n v="2"/>
    <n v="0"/>
    <n v="63.348278765809454"/>
    <n v="3"/>
    <n v="-0.36078785859749662"/>
    <b v="0"/>
    <n v="0"/>
    <n v="1"/>
    <n v="-1"/>
    <n v="0"/>
    <n v="0"/>
    <n v="0"/>
    <n v="0"/>
    <n v="0"/>
    <s v="Ciudades y aglomeraciones"/>
    <n v="4"/>
    <s v="En aglomeración"/>
    <m/>
    <s v="No"/>
    <s v="Si"/>
    <n v="21.2"/>
    <n v="7.7083274303686284"/>
    <n v="5.9433370743813478"/>
    <s v="Bajo"/>
    <n v="2.2452900289234963"/>
    <s v="Medio Bajo"/>
    <n v="124643.520189"/>
    <n v="47843.938979999999"/>
    <n v="83030"/>
    <n v="1.5011865613513189"/>
    <n v="0.57622472576177286"/>
    <m/>
    <m/>
    <m/>
    <m/>
    <m/>
    <m/>
    <m/>
    <n v="49"/>
    <n v="0"/>
    <n v="5"/>
    <n v="54332.923053999999"/>
    <n v="42835.395127999996"/>
    <n v="0.78838745865793147"/>
    <s v="71% - 100%"/>
    <n v="1.2462431193730268E-3"/>
    <s v="N.D."/>
    <s v="N.D."/>
    <s v="N.D."/>
    <n v="0.97529042879827332"/>
    <s v="Aceptable"/>
    <n v="1"/>
    <s v="Candidato"/>
    <n v="0"/>
    <n v="0"/>
  </r>
  <r>
    <n v="76122"/>
    <s v="76122"/>
    <x v="3"/>
    <x v="3"/>
    <s v="CAICEDONIA"/>
    <n v="69.364366666666697"/>
    <n v="65.010000000000005"/>
    <n v="67.31"/>
    <n v="72.78"/>
    <n v="37.538322744468708"/>
    <n v="37.418801255702554"/>
    <n v="47.971330066980656"/>
    <n v="40.506500000000003"/>
    <n v="68.616091666666676"/>
    <n v="40.85873851678798"/>
    <n v="54.737415091727328"/>
    <n v="42.684517587969012"/>
    <n v="57.315482412030988"/>
    <n v="0.61583934170827892"/>
    <n v="0"/>
    <n v="33.709453676902172"/>
    <n v="3"/>
    <n v="3"/>
    <b v="1"/>
    <x v="4"/>
    <n v="54.143812635254264"/>
    <n v="0.6286663923718856"/>
    <n v="34.038395358664616"/>
    <n v="3"/>
    <n v="0"/>
    <n v="0.59360245647306442"/>
    <n v="-1.2827050663606676E-2"/>
    <n v="-0.3289416817624442"/>
    <n v="3"/>
    <b v="1"/>
    <n v="0"/>
    <n v="0.9741882058902549"/>
    <n v="52.746263691196468"/>
    <n v="0.48917414713223317"/>
    <n v="2"/>
    <n v="-1"/>
    <n v="48.917414713223316"/>
    <n v="4"/>
    <n v="-0.35834886418197598"/>
    <b v="0"/>
    <s v="Cambio en corte"/>
    <n v="2"/>
    <n v="-1"/>
    <n v="0"/>
    <n v="0"/>
    <n v="0"/>
    <n v="0"/>
    <n v="1"/>
    <s v="Intermedio"/>
    <n v="6"/>
    <s v="Fuera SC"/>
    <m/>
    <s v="No"/>
    <s v="No"/>
    <n v="24.6"/>
    <n v="8.4608908617786618"/>
    <n v="6.6152177096003966"/>
    <s v="Bajo"/>
    <n v="7.0635551051336929"/>
    <s v="Medio"/>
    <n v="51616.522083000003"/>
    <n v="10721.5449818"/>
    <n v="30115"/>
    <n v="1.7139804776025238"/>
    <n v="0.35602008905196747"/>
    <m/>
    <m/>
    <m/>
    <m/>
    <m/>
    <m/>
    <m/>
    <n v="16"/>
    <n v="0"/>
    <n v="7"/>
    <n v="16713.736156999999"/>
    <n v="10459.70775"/>
    <n v="0.62581505725273123"/>
    <s v="51% - 70%"/>
    <n v="3.0431232804409172E-4"/>
    <n v="43.276736"/>
    <n v="2.5892915619512734E-3"/>
    <s v="0% - 30%"/>
    <n v="0.97355922193259126"/>
    <s v="Aceptable"/>
    <n v="2"/>
    <s v="Candidato"/>
    <n v="0"/>
    <n v="0"/>
  </r>
  <r>
    <n v="23586"/>
    <s v="23586"/>
    <x v="14"/>
    <x v="14"/>
    <s v="PURÍSIMA DE LA CONCEPCIÓN"/>
    <n v="62.441166666666703"/>
    <n v="64.760000000000005"/>
    <n v="30.9"/>
    <n v="57.87"/>
    <n v="54.597375344758483"/>
    <n v="55.227606415584852"/>
    <n v="51.815045156246626"/>
    <n v="50.4617"/>
    <n v="53.992791666666676"/>
    <n v="53.025431729147492"/>
    <n v="53.509111697907088"/>
    <n v="42.536467662295081"/>
    <n v="57.463532337704919"/>
    <n v="0.61717179103934428"/>
    <n v="0"/>
    <n v="33.024314303521642"/>
    <n v="3"/>
    <n v="3"/>
    <b v="1"/>
    <x v="4"/>
    <n v="53.84151267847345"/>
    <n v="0.62652635668939682"/>
    <n v="33.733126777089936"/>
    <n v="3"/>
    <n v="0"/>
    <n v="-0.33240098056636214"/>
    <n v="-9.3545656500525487E-3"/>
    <n v="-0.70881247356829391"/>
    <n v="3"/>
    <b v="1"/>
    <n v="0"/>
    <n v="0.9741882058902549"/>
    <n v="52.451766638659464"/>
    <n v="0.4854902994341494"/>
    <n v="2"/>
    <n v="-1"/>
    <n v="48.549029943414936"/>
    <n v="4"/>
    <n v="-0.35701641485091062"/>
    <b v="0"/>
    <s v="Cambio en corte"/>
    <n v="3"/>
    <n v="0"/>
    <n v="0"/>
    <n v="0"/>
    <n v="0"/>
    <n v="0"/>
    <n v="0"/>
    <s v="Intermedio"/>
    <n v="6"/>
    <s v="Fuera SC"/>
    <m/>
    <s v="No"/>
    <s v="Si"/>
    <n v="53.1"/>
    <n v="36.083526050877431"/>
    <n v="21.74"/>
    <s v="Medio"/>
    <n v="1.8379836436247097"/>
    <s v="Medio Bajo"/>
    <n v="45687.165943"/>
    <n v="5692.1845860000003"/>
    <n v="19091"/>
    <n v="2.3931258678434864"/>
    <n v="0.29816062993033365"/>
    <m/>
    <m/>
    <m/>
    <m/>
    <m/>
    <m/>
    <m/>
    <n v="10"/>
    <n v="0"/>
    <n v="7"/>
    <n v="11749.475354"/>
    <n v="4965.6737510000003"/>
    <n v="0.42262940270856286"/>
    <s v="31% - 50%"/>
    <n v="1.444701683442587E-4"/>
    <n v="49.678255999999998"/>
    <n v="4.2281254697119301E-3"/>
    <s v="0% - 30%"/>
    <n v="0.96193173731395243"/>
    <s v="Aceptable"/>
    <n v="1"/>
    <s v="Candidato"/>
    <n v="0"/>
    <n v="0"/>
  </r>
  <r>
    <n v="17042"/>
    <s v="17042"/>
    <x v="11"/>
    <x v="11"/>
    <s v="ANSERMA"/>
    <n v="73.301100000000005"/>
    <n v="64.069999999999993"/>
    <n v="60.99"/>
    <n v="52.7"/>
    <n v="50.668406711912446"/>
    <n v="50.750691249360948"/>
    <n v="55.623845993611177"/>
    <n v="57.999299999999998"/>
    <n v="62.765275000000003"/>
    <n v="53.760560988721146"/>
    <n v="58.262917994360578"/>
    <n v="43.144664649632212"/>
    <n v="56.855335350367788"/>
    <n v="0.61169801815331004"/>
    <n v="0"/>
    <n v="35.639311468979194"/>
    <n v="3"/>
    <n v="3"/>
    <b v="1"/>
    <x v="3"/>
    <n v="59.907790665213611"/>
    <n v="0.62633428211940556"/>
    <n v="37.522303059656196"/>
    <n v="2"/>
    <n v="0"/>
    <n v="-1.644872670853033"/>
    <n v="-1.463626396609552E-2"/>
    <n v="-1.8829915906770012"/>
    <n v="2"/>
    <b v="1"/>
    <n v="0"/>
    <n v="0.9741882058902549"/>
    <n v="58.361463106993405"/>
    <n v="0.55941437284575124"/>
    <n v="2"/>
    <n v="0"/>
    <n v="55.941437284575123"/>
    <n v="3"/>
    <n v="-0.36249018773694486"/>
    <b v="0"/>
    <n v="0"/>
    <n v="2"/>
    <n v="0"/>
    <n v="0"/>
    <n v="0"/>
    <n v="0"/>
    <n v="0"/>
    <n v="1"/>
    <s v="Intermedio"/>
    <n v="6"/>
    <s v="Fuera SC"/>
    <m/>
    <s v="No"/>
    <s v="Si"/>
    <n v="32.5"/>
    <n v="10.665436732616579"/>
    <n v="25.78936015089279"/>
    <s v="Medio"/>
    <n v="1.1733268884052703"/>
    <s v="Medio Bajo"/>
    <n v="57896.096158"/>
    <n v="13796.638249149999"/>
    <n v="37428"/>
    <n v="1.5468658800363364"/>
    <n v="0.36861810006278717"/>
    <m/>
    <m/>
    <m/>
    <m/>
    <m/>
    <m/>
    <m/>
    <n v="31"/>
    <n v="0"/>
    <n v="6"/>
    <n v="20915.969802"/>
    <n v="153.903381"/>
    <n v="7.3581757124780147E-3"/>
    <s v="0% - 30%"/>
    <n v="4.4776295175137021E-6"/>
    <n v="163.98766699999999"/>
    <n v="7.84030903431116E-3"/>
    <s v="0% - 30%"/>
    <n v="0.93926474890207645"/>
    <s v="Aceptable"/>
    <n v="1"/>
    <s v="Candidato"/>
    <n v="0"/>
    <n v="0"/>
  </r>
  <r>
    <n v="5400"/>
    <s v="05400"/>
    <x v="1"/>
    <x v="1"/>
    <s v="LA UNIÓN"/>
    <n v="50.572566666666702"/>
    <n v="50.4"/>
    <n v="49.84"/>
    <n v="39.659999999999997"/>
    <n v="56.386026807232682"/>
    <n v="64.937479037088096"/>
    <n v="76.421116271037192"/>
    <n v="65.911100000000005"/>
    <n v="47.618141666666673"/>
    <n v="65.913930528839501"/>
    <n v="56.766036097753087"/>
    <n v="42.703447049811572"/>
    <n v="57.296552950188428"/>
    <n v="0.61566897655169583"/>
    <n v="0"/>
    <n v="34.949087347200262"/>
    <n v="3"/>
    <n v="3"/>
    <b v="1"/>
    <x v="4"/>
    <n v="57.042443900016096"/>
    <n v="0.62589275222992125"/>
    <n v="35.70245220650196"/>
    <n v="2"/>
    <n v="-1"/>
    <n v="-0.27640780226300876"/>
    <n v="-1.0223775678225411E-2"/>
    <n v="-0.75336485930169772"/>
    <n v="3"/>
    <b v="1"/>
    <s v="Efecto ponderador"/>
    <n v="0.9741882058902549"/>
    <n v="55.570076082552198"/>
    <n v="0.52449706356926329"/>
    <n v="2"/>
    <n v="-1"/>
    <n v="52.449706356926328"/>
    <n v="4"/>
    <n v="-0.35851922933855906"/>
    <b v="0"/>
    <s v="Cambio en corte"/>
    <n v="2"/>
    <n v="-1"/>
    <n v="0"/>
    <n v="0"/>
    <n v="0"/>
    <n v="0"/>
    <n v="0"/>
    <s v="Intermedio"/>
    <n v="6"/>
    <s v="Fuera SC"/>
    <m/>
    <s v="No"/>
    <s v="Si"/>
    <n v="23"/>
    <n v="6.6689169640273898"/>
    <n v="13.555626654898498"/>
    <s v="Bajo"/>
    <n v="5.6967191091807861"/>
    <s v="Medio Bajo"/>
    <n v="44826.065000000002"/>
    <n v="19955.792057400002"/>
    <n v="23718"/>
    <n v="1.8899597352221942"/>
    <n v="0.84137752160384527"/>
    <m/>
    <m/>
    <m/>
    <m/>
    <m/>
    <m/>
    <m/>
    <n v="22"/>
    <n v="0"/>
    <n v="7"/>
    <n v="16767.031784999999"/>
    <n v="304.99133999999998"/>
    <n v="1.8189942257570545E-2"/>
    <s v="0% - 30%"/>
    <n v="8.8733477958489914E-6"/>
    <s v="N.D."/>
    <s v="N.D."/>
    <s v="N.D."/>
    <n v="0.89300434800637429"/>
    <s v="Aceptable"/>
    <n v="2"/>
    <s v="Candidato"/>
    <n v="0"/>
    <n v="0"/>
  </r>
  <r>
    <n v="13683"/>
    <s v="13683"/>
    <x v="8"/>
    <x v="8"/>
    <s v="SANTA ROSA"/>
    <n v="71.400499999999994"/>
    <n v="89.81"/>
    <n v="91.29"/>
    <n v="78.790000000000006"/>
    <n v="61.540459261881892"/>
    <n v="61.948153785114734"/>
    <n v="62.996073159594154"/>
    <n v="61.586199999999998"/>
    <n v="82.822625000000002"/>
    <n v="62.017721551647689"/>
    <n v="72.420173275823842"/>
    <n v="43.105222817071656"/>
    <n v="56.894777182928344"/>
    <n v="0.6120529946463551"/>
    <n v="0"/>
    <n v="44.32498392627592"/>
    <n v="2"/>
    <n v="2"/>
    <b v="1"/>
    <x v="3"/>
    <n v="69.306622628397434"/>
    <n v="0.62512371084772866"/>
    <n v="43.325213123786966"/>
    <n v="2"/>
    <n v="0"/>
    <n v="3.1135506474264076"/>
    <n v="-1.3070716201373567E-2"/>
    <n v="0.99977080248895334"/>
    <n v="2"/>
    <b v="1"/>
    <n v="0"/>
    <n v="0.9741882058902549"/>
    <n v="67.517694354671434"/>
    <n v="0.67394917417671962"/>
    <n v="1"/>
    <n v="-1"/>
    <n v="67.394917417671962"/>
    <n v="3"/>
    <n v="-0.3621352112438998"/>
    <b v="0"/>
    <s v="Cambio en corte"/>
    <n v="2"/>
    <n v="0"/>
    <n v="0"/>
    <n v="0"/>
    <n v="0"/>
    <n v="0"/>
    <n v="0"/>
    <s v="Ciudades y aglomeraciones"/>
    <n v="6"/>
    <s v="En aglomeración"/>
    <m/>
    <s v="No"/>
    <s v="Si"/>
    <n v="54.3"/>
    <n v="70.911564625850346"/>
    <n v="21.875"/>
    <s v="Medio"/>
    <n v="11.16018547488529"/>
    <s v="Medio"/>
    <n v="63399.070408"/>
    <n v="15992.509855"/>
    <n v="22371"/>
    <n v="2.8339846411872514"/>
    <n v="0.71487684301104104"/>
    <m/>
    <m/>
    <m/>
    <m/>
    <m/>
    <m/>
    <m/>
    <n v="48"/>
    <n v="0"/>
    <n v="7"/>
    <n v="15461.311315000001"/>
    <n v="45.713110999999998"/>
    <n v="2.9566128039638399E-3"/>
    <s v="0% - 30%"/>
    <n v="1.3299667221149633E-6"/>
    <s v="N.D."/>
    <s v="N.D."/>
    <s v="N.D."/>
    <n v="0.77170783398476595"/>
    <s v="Crítico bajo"/>
    <n v="3"/>
    <s v="Candidato"/>
    <n v="0"/>
    <n v="0"/>
  </r>
  <r>
    <n v="76248"/>
    <s v="76248"/>
    <x v="3"/>
    <x v="3"/>
    <s v="EL CERRITO"/>
    <n v="53.2143333333333"/>
    <n v="52.61"/>
    <n v="51.13"/>
    <n v="51.95"/>
    <n v="48.582540636300827"/>
    <n v="63.426727547754396"/>
    <n v="74.136703151822843"/>
    <n v="69.423599999999993"/>
    <n v="52.226083333333321"/>
    <n v="63.892392833969517"/>
    <n v="58.059238083651422"/>
    <n v="43.563259798928158"/>
    <n v="56.436740201071842"/>
    <n v="0.60793066180964661"/>
    <n v="0"/>
    <n v="35.295991032358046"/>
    <n v="3"/>
    <n v="3"/>
    <b v="1"/>
    <x v="4"/>
    <n v="56.710844055752972"/>
    <n v="0.62495230124971857"/>
    <n v="35.441572498456743"/>
    <n v="2"/>
    <n v="-1"/>
    <n v="1.3483940278984505"/>
    <n v="-1.7021639440071956E-2"/>
    <n v="-0.14558146609869738"/>
    <n v="2"/>
    <b v="0"/>
    <s v="Cambio en corte"/>
    <n v="0.9741882058902549"/>
    <n v="55.247035425196017"/>
    <n v="0.52045616546268714"/>
    <n v="2"/>
    <n v="-1"/>
    <n v="52.045616546268711"/>
    <n v="3"/>
    <n v="-0.36625754408060829"/>
    <b v="1"/>
    <s v="Efecto ponderador"/>
    <n v="2"/>
    <n v="-1"/>
    <n v="0"/>
    <n v="0"/>
    <n v="0"/>
    <n v="0"/>
    <n v="0"/>
    <s v="Intermedio"/>
    <n v="5"/>
    <s v="Fuera SC"/>
    <m/>
    <s v="No"/>
    <s v="Si"/>
    <n v="15.2"/>
    <n v="6.818223961134084"/>
    <n v="4.5980802453486573"/>
    <s v="Sin riesgo"/>
    <n v="6.0662176759892885"/>
    <s v="Medio"/>
    <n v="75004.156902999996"/>
    <n v="50544.082318349996"/>
    <n v="56819"/>
    <n v="1.3200541527130008"/>
    <n v="0.88956303909519696"/>
    <m/>
    <m/>
    <m/>
    <m/>
    <m/>
    <m/>
    <m/>
    <n v="85"/>
    <n v="0"/>
    <n v="6"/>
    <n v="44200.765515999999"/>
    <n v="19689.500636000001"/>
    <n v="0.44545610027665028"/>
    <s v="31% - 50%"/>
    <n v="5.7284179632712819E-4"/>
    <n v="52.104987999999999"/>
    <n v="1.17882546584264E-3"/>
    <s v="0% - 30%"/>
    <n v="0.95286933574976862"/>
    <s v="Aceptable"/>
    <n v="2"/>
    <s v="Candidato"/>
    <n v="0"/>
    <n v="0"/>
  </r>
  <r>
    <n v="25743"/>
    <s v="25743"/>
    <x v="5"/>
    <x v="5"/>
    <s v="SILVANIA"/>
    <n v="71.965133333333299"/>
    <n v="68.739999999999995"/>
    <n v="56.98"/>
    <n v="54.64"/>
    <n v="49.719260041086514"/>
    <n v="59.772690112975809"/>
    <n v="63.818650042431827"/>
    <n v="64.712299999999999"/>
    <n v="63.081283333333317"/>
    <n v="59.505725049123534"/>
    <n v="61.293504191228422"/>
    <n v="44.579749743993439"/>
    <n v="55.420250256006561"/>
    <n v="0.59878225230405913"/>
    <n v="0"/>
    <n v="36.701462491232043"/>
    <n v="3"/>
    <n v="3"/>
    <b v="1"/>
    <x v="3"/>
    <n v="62.02026148088985"/>
    <n v="0.62096014522263321"/>
    <n v="38.512110575919046"/>
    <n v="2"/>
    <n v="0"/>
    <n v="-0.72675728966142827"/>
    <n v="-2.2177892918574083E-2"/>
    <n v="-1.8106480846870028"/>
    <n v="2"/>
    <b v="1"/>
    <n v="0"/>
    <n v="0.9741882058902549"/>
    <n v="60.419407260912564"/>
    <n v="0.58515708493366758"/>
    <n v="2"/>
    <n v="0"/>
    <n v="58.515708493366759"/>
    <n v="3"/>
    <n v="-0.37540595358619577"/>
    <b v="0"/>
    <n v="0"/>
    <n v="1"/>
    <n v="-1"/>
    <n v="0"/>
    <n v="0"/>
    <n v="0"/>
    <n v="0"/>
    <n v="1"/>
    <s v="Intermedio"/>
    <n v="6"/>
    <s v="Fuera SC"/>
    <m/>
    <s v="No"/>
    <s v="Si"/>
    <n v="23.5"/>
    <n v="8.0105119719680751"/>
    <n v="29.813601362007986"/>
    <s v="Medio"/>
    <n v="0.39401809535156757"/>
    <s v="Medio Bajo"/>
    <n v="43682.419417999998"/>
    <n v="15431.681498"/>
    <n v="22445"/>
    <n v="1.9461982364891957"/>
    <n v="0.6875331476052573"/>
    <m/>
    <m/>
    <m/>
    <m/>
    <m/>
    <m/>
    <m/>
    <n v="78"/>
    <n v="0"/>
    <n v="7"/>
    <n v="16278.506073"/>
    <n v="6087.5795310000003"/>
    <n v="0.37396426328685256"/>
    <s v="31% - 50%"/>
    <n v="1.7711063669366577E-4"/>
    <s v="N.D."/>
    <s v="N.D."/>
    <s v="N.D."/>
    <n v="0.97168932898664329"/>
    <s v="Aceptable"/>
    <n v="2"/>
    <s v="Candidato"/>
    <n v="0"/>
    <n v="0"/>
  </r>
  <r>
    <n v="25151"/>
    <s v="25151"/>
    <x v="5"/>
    <x v="5"/>
    <s v="CÁQUEZA"/>
    <n v="63.668033333333298"/>
    <n v="61.33"/>
    <n v="63.44"/>
    <n v="66.14"/>
    <n v="55.755286300829908"/>
    <n v="53.724375053299411"/>
    <n v="69.389530967102516"/>
    <n v="54.849299999999999"/>
    <n v="63.64450833333332"/>
    <n v="58.429623080307955"/>
    <n v="61.037065706820641"/>
    <n v="44.157561348097019"/>
    <n v="55.842438651902981"/>
    <n v="0.60258194786712682"/>
    <n v="0"/>
    <n v="36.77983394570979"/>
    <n v="3"/>
    <n v="3"/>
    <b v="1"/>
    <x v="3"/>
    <n v="59.827991584002859"/>
    <n v="0.62163235660553551"/>
    <n v="37.19101539933984"/>
    <n v="2"/>
    <n v="0"/>
    <n v="1.2090741228177819"/>
    <n v="-1.9050408738408686E-2"/>
    <n v="-0.41118145363004999"/>
    <n v="2"/>
    <b v="1"/>
    <n v="0"/>
    <n v="0.9741882058902549"/>
    <n v="58.283723783237015"/>
    <n v="0.55844193585053015"/>
    <n v="2"/>
    <n v="0"/>
    <n v="55.844193585053013"/>
    <n v="3"/>
    <n v="-0.37160625802312808"/>
    <b v="0"/>
    <n v="0"/>
    <n v="2"/>
    <n v="0"/>
    <n v="0"/>
    <n v="0"/>
    <n v="0"/>
    <n v="0"/>
    <n v="0"/>
    <s v="Intermedio"/>
    <n v="6"/>
    <s v="Fuera SC"/>
    <m/>
    <s v="No"/>
    <s v="No"/>
    <n v="21.7"/>
    <n v="7.5218658892128278"/>
    <n v="10.778421052631579"/>
    <s v="Bajo"/>
    <n v="14.380075663328123"/>
    <s v="Alto"/>
    <n v="25264.239205000002"/>
    <n v="9788.6466540000001"/>
    <n v="18061"/>
    <n v="1.3988283707989593"/>
    <n v="0.54197700315597142"/>
    <m/>
    <m/>
    <m/>
    <m/>
    <m/>
    <m/>
    <m/>
    <n v="40"/>
    <n v="1"/>
    <n v="6"/>
    <n v="11140.520939"/>
    <n v="25.748328000000001"/>
    <n v="2.311231955936814E-3"/>
    <s v="0% - 30%"/>
    <n v="7.4911592409671984E-7"/>
    <s v="N.D."/>
    <s v="N.D."/>
    <s v="N.D."/>
    <n v="0.85120152415771977"/>
    <s v="Aceptable"/>
    <n v="2"/>
    <s v="Candidato"/>
    <n v="0"/>
    <n v="0"/>
  </r>
  <r>
    <n v="52019"/>
    <s v="52019"/>
    <x v="18"/>
    <x v="18"/>
    <s v="ALBÁN"/>
    <n v="71.844666666666697"/>
    <n v="56.27"/>
    <n v="56.22"/>
    <n v="38.78"/>
    <n v="53.68771511916534"/>
    <n v="48.553822536562208"/>
    <n v="49.541750312796239"/>
    <n v="44.425800000000002"/>
    <n v="55.778666666666673"/>
    <n v="49.052271992130947"/>
    <n v="52.41546932939881"/>
    <n v="43.56483677574456"/>
    <n v="56.43516322425544"/>
    <n v="0.60791646901829888"/>
    <n v="0"/>
    <n v="31.864227036665067"/>
    <n v="3"/>
    <n v="3"/>
    <b v="1"/>
    <x v="4"/>
    <n v="57.316800312762318"/>
    <n v="0.62301123133579983"/>
    <n v="35.709010339082205"/>
    <n v="2"/>
    <n v="-1"/>
    <n v="-4.9013309833635077"/>
    <n v="-1.5094762317500954E-2"/>
    <n v="-3.8447833024171381"/>
    <n v="3"/>
    <b v="1"/>
    <s v="Efecto ponderador"/>
    <n v="0.9741882058902549"/>
    <n v="55.837350864059921"/>
    <n v="0.52784038935174926"/>
    <n v="2"/>
    <n v="-1"/>
    <n v="52.784038935174927"/>
    <n v="4"/>
    <n v="-0.36627173687195602"/>
    <b v="0"/>
    <s v="Cambio en corte"/>
    <n v="3"/>
    <n v="0"/>
    <n v="0"/>
    <n v="0"/>
    <n v="0"/>
    <n v="0"/>
    <n v="0"/>
    <s v="Intermedio"/>
    <n v="6"/>
    <s v="Fuera SC"/>
    <m/>
    <s v="No"/>
    <s v="Si"/>
    <n v="44.2"/>
    <n v="15.895495055548773"/>
    <n v="35.569651826106153"/>
    <s v="Alto"/>
    <n v="4.8074348458730451"/>
    <s v="Medio Bajo"/>
    <n v="26739.315701"/>
    <n v="2773.9904529999999"/>
    <n v="9628"/>
    <n v="2.7772450873493977"/>
    <n v="0.28811699761113418"/>
    <m/>
    <m/>
    <m/>
    <m/>
    <m/>
    <m/>
    <m/>
    <n v="69"/>
    <n v="0"/>
    <n v="7"/>
    <n v="3863.842486"/>
    <n v="1106.956727"/>
    <n v="0.28649116288018373"/>
    <s v="0% - 30%"/>
    <n v="3.2205544044711775E-5"/>
    <s v="N.D."/>
    <s v="N.D."/>
    <s v="N.D."/>
    <n v="0.93740610212833753"/>
    <s v="Aceptable"/>
    <n v="1"/>
    <s v="Candidato"/>
    <n v="0"/>
    <n v="0"/>
  </r>
  <r>
    <n v="17873"/>
    <s v="17873"/>
    <x v="11"/>
    <x v="11"/>
    <s v="VILLAMARÍA"/>
    <n v="65.292766666666694"/>
    <n v="62.32"/>
    <n v="64.05"/>
    <n v="60.86"/>
    <n v="69.070904491648108"/>
    <n v="67.995364276177696"/>
    <n v="68.649531256207482"/>
    <n v="63.181899999999999"/>
    <n v="63.130691666666678"/>
    <n v="67.224425006008317"/>
    <n v="65.177558336337498"/>
    <n v="43.504245694847519"/>
    <n v="56.495754305152481"/>
    <n v="0.60846178874637236"/>
    <n v="0"/>
    <n v="39.658053731448945"/>
    <n v="2"/>
    <n v="2"/>
    <b v="1"/>
    <x v="3"/>
    <n v="64.549401803449442"/>
    <n v="0.62229754565310891"/>
    <n v="40.168934315662952"/>
    <n v="2"/>
    <n v="0"/>
    <n v="0.62815653288805606"/>
    <n v="-1.3835756906736552E-2"/>
    <n v="-0.51088058421400717"/>
    <n v="2"/>
    <b v="1"/>
    <n v="0"/>
    <n v="0.9741882058902549"/>
    <n v="62.883265934191598"/>
    <n v="0.6159773597845416"/>
    <n v="2"/>
    <n v="0"/>
    <n v="61.59773597845416"/>
    <n v="3"/>
    <n v="-0.36572641714388254"/>
    <b v="0"/>
    <n v="0"/>
    <n v="2"/>
    <n v="0"/>
    <n v="0"/>
    <n v="0"/>
    <n v="0"/>
    <n v="0"/>
    <n v="0"/>
    <s v="Ciudades y aglomeraciones"/>
    <n v="5"/>
    <s v="En aglomeración"/>
    <m/>
    <s v="No"/>
    <s v="No"/>
    <n v="17"/>
    <n v="6.8612276810646069"/>
    <n v="6.9630335313407041"/>
    <s v="Bajo"/>
    <n v="0.49620272070789251"/>
    <s v="Medio Bajo"/>
    <n v="62176.145815999997"/>
    <n v="27290.920629150001"/>
    <n v="72649"/>
    <n v="0.855843106112954"/>
    <n v="0.37565445675990033"/>
    <m/>
    <m/>
    <m/>
    <m/>
    <m/>
    <m/>
    <m/>
    <n v="19"/>
    <n v="0"/>
    <n v="7"/>
    <n v="45487.084753000003"/>
    <n v="38882.082907999997"/>
    <n v="0.85479390730652649"/>
    <s v="71% - 100%"/>
    <n v="1.1312263642296188E-3"/>
    <s v="N.D."/>
    <s v="N.D."/>
    <s v="N.D."/>
    <n v="0.97109422137869017"/>
    <s v="Aceptable"/>
    <n v="3"/>
    <s v="Candidato"/>
    <n v="0"/>
    <n v="0"/>
  </r>
  <r>
    <n v="52323"/>
    <s v="52323"/>
    <x v="18"/>
    <x v="18"/>
    <s v="GUALMATÁN"/>
    <n v="68.227033333333296"/>
    <n v="63.31"/>
    <n v="71.31"/>
    <n v="70.95"/>
    <n v="45.931849616143651"/>
    <n v="61.468591321408226"/>
    <n v="67.5957537589656"/>
    <n v="61.186599999999999"/>
    <n v="68.449258333333319"/>
    <n v="59.045698674129369"/>
    <n v="63.747478503731344"/>
    <n v="43.235907175565167"/>
    <n v="56.764092824434833"/>
    <n v="0.61087683541991344"/>
    <n v="0"/>
    <n v="38.94185793435836"/>
    <n v="2"/>
    <n v="2"/>
    <b v="1"/>
    <x v="3"/>
    <n v="62.816705358902723"/>
    <n v="0.62100968225783237"/>
    <n v="39.009782235416054"/>
    <n v="2"/>
    <n v="0"/>
    <n v="0.9307731448286205"/>
    <n v="-1.013284683791893E-2"/>
    <n v="-6.7924301057693981E-2"/>
    <n v="2"/>
    <b v="1"/>
    <n v="0"/>
    <n v="0.9741882058902549"/>
    <n v="61.195293493526208"/>
    <n v="0.59486260384248435"/>
    <n v="2"/>
    <n v="0"/>
    <n v="59.486260384248432"/>
    <n v="3"/>
    <n v="-0.36331137047034145"/>
    <b v="0"/>
    <n v="0"/>
    <n v="3"/>
    <n v="1"/>
    <n v="0"/>
    <n v="0"/>
    <n v="0"/>
    <n v="0"/>
    <n v="0"/>
    <s v="Intermedio"/>
    <n v="6"/>
    <s v="Fuera SC"/>
    <m/>
    <s v="No"/>
    <s v="Si"/>
    <n v="30.9"/>
    <n v="15.643879173290937"/>
    <n v="23.912794322789942"/>
    <s v="Medio"/>
    <n v="1.157508257728582"/>
    <s v="Medio Bajo"/>
    <n v="16250.790083"/>
    <n v="3204.4668272499998"/>
    <n v="7609"/>
    <n v="2.1357326958864502"/>
    <n v="0.42114165162964906"/>
    <m/>
    <m/>
    <m/>
    <m/>
    <m/>
    <m/>
    <m/>
    <n v="28"/>
    <n v="0"/>
    <n v="7"/>
    <n v="2999.411537"/>
    <n v="683.65216999999996"/>
    <n v="0.22792876588178568"/>
    <s v="0% - 30%"/>
    <n v="1.9890018765112739E-5"/>
    <s v="N.D."/>
    <s v="N.D."/>
    <s v="N.D."/>
    <n v="0.98801757105812338"/>
    <s v="Aceptable"/>
    <n v="3"/>
    <s v="Candidato"/>
    <n v="0"/>
    <n v="0"/>
  </r>
  <r>
    <n v="17524"/>
    <s v="17524"/>
    <x v="11"/>
    <x v="11"/>
    <s v="PALESTINA"/>
    <n v="58.746899999999997"/>
    <n v="41.25"/>
    <n v="68.260000000000005"/>
    <n v="71.55"/>
    <n v="60.691128668456209"/>
    <n v="55.248820293738135"/>
    <n v="56.270526237390413"/>
    <n v="50.759500000000003"/>
    <n v="59.951724999999996"/>
    <n v="55.742493799896188"/>
    <n v="57.847109399948096"/>
    <n v="44.020547501020175"/>
    <n v="55.979452498979825"/>
    <n v="0.60381507249081834"/>
    <n v="0"/>
    <n v="34.92895655571396"/>
    <n v="3"/>
    <n v="3"/>
    <b v="1"/>
    <x v="4"/>
    <n v="56.703531798978574"/>
    <n v="0.61954229755485235"/>
    <n v="35.130236370213801"/>
    <n v="2"/>
    <n v="-1"/>
    <n v="1.1435776009695218"/>
    <n v="-1.5727225064034012E-2"/>
    <n v="-0.20127981449984134"/>
    <n v="3"/>
    <b v="1"/>
    <s v="Efecto ponderador"/>
    <n v="0.9741882058902549"/>
    <n v="55.239911910887955"/>
    <n v="0.52036705780758519"/>
    <n v="2"/>
    <n v="-1"/>
    <n v="52.036705780758517"/>
    <n v="4"/>
    <n v="-0.37037313339943656"/>
    <b v="0"/>
    <s v="Cambio en corte"/>
    <n v="2"/>
    <n v="-1"/>
    <n v="0"/>
    <n v="0"/>
    <n v="0"/>
    <n v="0"/>
    <n v="1"/>
    <s v="Intermedio"/>
    <n v="6"/>
    <s v="Fuera SC"/>
    <m/>
    <s v="No"/>
    <s v="No"/>
    <n v="30.1"/>
    <n v="9.2512972572275753"/>
    <n v="35.575677842740099"/>
    <s v="Alto"/>
    <n v="1.1229963945222081"/>
    <s v="Medio Bajo"/>
    <n v="32470.478751999999"/>
    <n v="13845.980091200001"/>
    <n v="16059"/>
    <n v="2.0219489851173797"/>
    <n v="0.86219441379911577"/>
    <m/>
    <m/>
    <m/>
    <m/>
    <m/>
    <m/>
    <m/>
    <n v="19"/>
    <n v="0"/>
    <n v="7"/>
    <n v="11220.389364000001"/>
    <n v="25.114070999999999"/>
    <n v="2.2382530752967549E-3"/>
    <s v="0% - 30%"/>
    <n v="7.3066299703016176E-7"/>
    <s v="N.D."/>
    <s v="N.D."/>
    <s v="N.D."/>
    <n v="0.90531013026153517"/>
    <s v="Aceptable"/>
    <n v="2"/>
    <s v="Candidato"/>
    <n v="0"/>
    <n v="0"/>
  </r>
  <r>
    <n v="19513"/>
    <s v="19513"/>
    <x v="13"/>
    <x v="13"/>
    <s v="PADILLA"/>
    <n v="68.167000000000002"/>
    <n v="41.49"/>
    <n v="56.2"/>
    <n v="56.65"/>
    <n v="40.50540833362345"/>
    <n v="54.098305544819439"/>
    <n v="50.587986714326121"/>
    <n v="42.063400000000001"/>
    <n v="55.626750000000008"/>
    <n v="46.813775148192249"/>
    <n v="51.220262574096125"/>
    <n v="43.735152035177791"/>
    <n v="56.264847964822209"/>
    <n v="0.60638363168339982"/>
    <n v="0"/>
    <n v="31.059128835457734"/>
    <n v="3"/>
    <n v="3"/>
    <b v="1"/>
    <x v="4"/>
    <n v="52.998137551938029"/>
    <n v="0.61988149886217858"/>
    <n v="32.852564942599258"/>
    <n v="3"/>
    <n v="0"/>
    <n v="-1.7778749778419041"/>
    <n v="-1.3497867178778766E-2"/>
    <n v="-1.7934361071415239"/>
    <n v="3"/>
    <b v="1"/>
    <n v="0"/>
    <n v="0.9741882058902549"/>
    <n v="51.630160537247455"/>
    <n v="0.47521287315994953"/>
    <n v="3"/>
    <n v="0"/>
    <n v="47.521287315994954"/>
    <n v="4"/>
    <n v="-0.36780457420685508"/>
    <b v="0"/>
    <n v="0"/>
    <n v="3"/>
    <n v="0"/>
    <n v="0"/>
    <n v="0"/>
    <n v="0"/>
    <n v="0"/>
    <n v="0"/>
    <s v="Ciudades y aglomeraciones"/>
    <n v="6"/>
    <s v="En aglomeración"/>
    <m/>
    <s v="No"/>
    <s v="No"/>
    <n v="22"/>
    <n v="8.3190688120506682"/>
    <n v="14.021134156688978"/>
    <s v="Medio"/>
    <n v="5.1026473068049372"/>
    <s v="Medio Bajo"/>
    <n v="13991.560172"/>
    <n v="3056.0903125"/>
    <n v="10541"/>
    <n v="1.3273465678778105"/>
    <n v="0.28992413551845175"/>
    <m/>
    <m/>
    <m/>
    <m/>
    <m/>
    <m/>
    <m/>
    <n v="32"/>
    <n v="0"/>
    <n v="7"/>
    <n v="6969.6992730000002"/>
    <n v="310.29576200000002"/>
    <n v="4.4520681574032675E-2"/>
    <s v="0% - 30%"/>
    <n v="9.027673427724155E-6"/>
    <n v="234.020037"/>
    <n v="3.3576776821142483E-2"/>
    <s v="0% - 30%"/>
    <n v="0.90048742655787417"/>
    <s v="Aceptable"/>
    <n v="1"/>
    <s v="Candidato"/>
    <n v="0"/>
    <n v="0"/>
  </r>
  <r>
    <n v="76845"/>
    <s v="76845"/>
    <x v="3"/>
    <x v="3"/>
    <s v="ULLOA"/>
    <n v="58.907833333333301"/>
    <n v="39.97"/>
    <n v="41.37"/>
    <n v="34.28"/>
    <n v="59.882198413139285"/>
    <n v="61.66295651873773"/>
    <n v="55.239613625819104"/>
    <n v="53.865099999999998"/>
    <n v="43.631958333333323"/>
    <n v="57.662467139424024"/>
    <n v="50.647212736378677"/>
    <n v="44.135043339602191"/>
    <n v="55.864956660397809"/>
    <n v="0.6027846099435803"/>
    <n v="0"/>
    <n v="30.529360374027554"/>
    <n v="3"/>
    <n v="3"/>
    <b v="1"/>
    <x v="4"/>
    <n v="53.742906679673595"/>
    <n v="0.61908861303491902"/>
    <n v="33.271621556784211"/>
    <n v="3"/>
    <n v="0"/>
    <n v="-3.0956939432949184"/>
    <n v="-1.6304003091338726E-2"/>
    <n v="-2.742261182756657"/>
    <n v="3"/>
    <b v="1"/>
    <n v="0"/>
    <n v="0.9741882058902549"/>
    <n v="52.355705837598613"/>
    <n v="0.48428868007050691"/>
    <n v="2"/>
    <n v="-1"/>
    <n v="48.428868007050689"/>
    <n v="4"/>
    <n v="-0.3714035959466746"/>
    <b v="0"/>
    <s v="Cambio en corte"/>
    <n v="2"/>
    <n v="-1"/>
    <n v="0"/>
    <n v="0"/>
    <n v="0"/>
    <n v="0"/>
    <n v="0"/>
    <s v="Intermedio"/>
    <n v="6"/>
    <s v="Fuera SC"/>
    <m/>
    <s v="No"/>
    <s v="No"/>
    <n v="24.2"/>
    <n v="7.9421626152556577"/>
    <n v="21.328587110932993"/>
    <s v="Medio"/>
    <n v="1.468507456569548"/>
    <s v="Medio Bajo"/>
    <n v="9959.9816200000005"/>
    <n v="2735.8966882499999"/>
    <n v="5636"/>
    <n v="1.7672075266146203"/>
    <n v="0.48543234355039033"/>
    <m/>
    <m/>
    <m/>
    <m/>
    <m/>
    <m/>
    <m/>
    <n v="49"/>
    <n v="0"/>
    <n v="7"/>
    <n v="4187.2252900000003"/>
    <n v="3950.9042730000001"/>
    <n v="0.94356142776353924"/>
    <s v="71% - 100%"/>
    <n v="1.1494669888802388E-4"/>
    <s v="N.D."/>
    <s v="N.D."/>
    <s v="N.D."/>
    <n v="0.96953226828025785"/>
    <s v="Aceptable"/>
    <n v="1"/>
    <s v="Candidato"/>
    <n v="0"/>
    <n v="0"/>
  </r>
  <r>
    <n v="76563"/>
    <s v="76563"/>
    <x v="3"/>
    <x v="3"/>
    <s v="PRADERA"/>
    <n v="67.944900000000004"/>
    <n v="62.13"/>
    <n v="57.14"/>
    <n v="64.28"/>
    <n v="46.150533668974319"/>
    <n v="63.40294282717965"/>
    <n v="54.320486612315577"/>
    <n v="43.424900000000001"/>
    <n v="62.873725"/>
    <n v="51.824715777117383"/>
    <n v="57.349220388558692"/>
    <n v="43.124617746431142"/>
    <n v="56.875382253568858"/>
    <n v="0.6118784402821198"/>
    <n v="0"/>
    <n v="35.090751522746835"/>
    <n v="3"/>
    <n v="3"/>
    <b v="1"/>
    <x v="4"/>
    <n v="60.231959826344109"/>
    <n v="0.62189339935799626"/>
    <n v="37.457858246399404"/>
    <n v="2"/>
    <n v="-1"/>
    <n v="-2.8827394377854176"/>
    <n v="-1.0014959075876462E-2"/>
    <n v="-2.3671067236525687"/>
    <n v="2"/>
    <b v="0"/>
    <s v="Cambio en corte"/>
    <n v="0.9741882058902549"/>
    <n v="58.677264880480074"/>
    <n v="0.56336472014562267"/>
    <n v="2"/>
    <n v="-1"/>
    <n v="56.336472014562268"/>
    <n v="4"/>
    <n v="-0.3623097656081351"/>
    <b v="0"/>
    <s v="Cambio en corte"/>
    <n v="2"/>
    <n v="-1"/>
    <n v="0"/>
    <n v="0"/>
    <n v="0"/>
    <n v="1"/>
    <n v="1"/>
    <s v="Ciudades y aglomeraciones"/>
    <n v="6"/>
    <s v="En aglomeración"/>
    <m/>
    <s v="No"/>
    <s v="Si"/>
    <n v="24.8"/>
    <n v="10.377878913253344"/>
    <n v="2.1035350064428191"/>
    <s v="Sin riesgo"/>
    <n v="9.6177631530913601"/>
    <s v="Medio"/>
    <n v="87919.847941"/>
    <n v="22594.506934500001"/>
    <n v="49776"/>
    <n v="1.7663100277442945"/>
    <n v="0.45392371694189976"/>
    <m/>
    <m/>
    <m/>
    <m/>
    <m/>
    <m/>
    <m/>
    <n v="85"/>
    <n v="0"/>
    <n v="6"/>
    <n v="35677.461393999998"/>
    <n v="15657.150588"/>
    <n v="0.43885270914014968"/>
    <s v="31% - 50%"/>
    <n v="4.5552553282104843E-4"/>
    <n v="1181.437586"/>
    <n v="3.3114396031514913E-2"/>
    <s v="0% - 30%"/>
    <n v="0.73976844672388786"/>
    <s v="Crítico Medio"/>
    <n v="1"/>
    <s v="Candidato"/>
    <n v="0"/>
    <n v="0"/>
  </r>
  <r>
    <n v="76275"/>
    <s v="76275"/>
    <x v="3"/>
    <x v="3"/>
    <s v="FLORIDA"/>
    <n v="67.231833333333299"/>
    <n v="56.81"/>
    <n v="60"/>
    <n v="56.95"/>
    <n v="49.740946475680765"/>
    <n v="45.931522765242462"/>
    <n v="51.188639975550231"/>
    <n v="57.712800000000001"/>
    <n v="60.24795833333333"/>
    <n v="51.143477304118363"/>
    <n v="55.695717818725846"/>
    <n v="43.284867645611349"/>
    <n v="56.715132354388651"/>
    <n v="0.61043619118949788"/>
    <n v="0"/>
    <n v="33.998681850828056"/>
    <n v="3"/>
    <n v="3"/>
    <b v="1"/>
    <x v="4"/>
    <n v="55.576903128787727"/>
    <n v="0.62160727860301412"/>
    <n v="34.547007507069083"/>
    <n v="3"/>
    <n v="0"/>
    <n v="0.1188146899381195"/>
    <n v="-1.1171087413516245E-2"/>
    <n v="-0.54832565624102614"/>
    <n v="3"/>
    <b v="1"/>
    <n v="0"/>
    <n v="0.9741882058902549"/>
    <n v="54.142363547970213"/>
    <n v="0.50663788471250937"/>
    <n v="2"/>
    <n v="-1"/>
    <n v="50.663788471250939"/>
    <n v="4"/>
    <n v="-0.36375201470075702"/>
    <b v="0"/>
    <s v="Cambio en corte"/>
    <n v="2"/>
    <n v="-1"/>
    <n v="0"/>
    <n v="0"/>
    <n v="0"/>
    <n v="1"/>
    <n v="1"/>
    <s v="Ciudades y aglomeraciones"/>
    <n v="6"/>
    <s v="En aglomeración"/>
    <m/>
    <s v="No"/>
    <s v="No"/>
    <n v="18.899999999999999"/>
    <n v="8.6058996070618186"/>
    <n v="9.8333236808242663"/>
    <s v="Bajo"/>
    <n v="8.699246039892067"/>
    <s v="Medio"/>
    <n v="76415.430414000002"/>
    <n v="20884.414649549999"/>
    <n v="57543"/>
    <n v="1.3279709159063657"/>
    <n v="0.362935798438559"/>
    <m/>
    <m/>
    <m/>
    <m/>
    <m/>
    <m/>
    <m/>
    <n v="85"/>
    <n v="0"/>
    <n v="6"/>
    <n v="40159.541382000003"/>
    <n v="20018.439720999999"/>
    <n v="0.49847281697227019"/>
    <s v="31% - 50%"/>
    <n v="5.8241187430000882E-4"/>
    <n v="8673.3570650000001"/>
    <n v="0.21597251279586338"/>
    <s v="0% - 30%"/>
    <n v="0.95615896617778717"/>
    <s v="Aceptable"/>
    <n v="1"/>
    <s v="Candidato"/>
    <n v="0"/>
    <n v="0"/>
  </r>
  <r>
    <n v="8560"/>
    <s v="08560"/>
    <x v="2"/>
    <x v="2"/>
    <s v="PONEDERA"/>
    <n v="73.406733333333307"/>
    <n v="68.52"/>
    <n v="15.21"/>
    <n v="39.340000000000003"/>
    <n v="55.720477828615856"/>
    <n v="65.987275526460266"/>
    <n v="54.454608322287839"/>
    <n v="60.339700000000001"/>
    <n v="49.119183333333325"/>
    <n v="59.125515419340985"/>
    <n v="54.122349376337155"/>
    <n v="43.316309490259073"/>
    <n v="56.683690509740927"/>
    <n v="0.61015321458766836"/>
    <n v="0"/>
    <n v="33.022925453009002"/>
    <n v="3"/>
    <n v="3"/>
    <b v="1"/>
    <x v="4"/>
    <n v="57.963865620294122"/>
    <n v="0.62033980182155524"/>
    <n v="35.957292911704513"/>
    <n v="2"/>
    <n v="-1"/>
    <n v="-3.841516243956967"/>
    <n v="-1.0186587233886879E-2"/>
    <n v="-2.9343674586955117"/>
    <n v="3"/>
    <b v="1"/>
    <s v="Efecto ponderador"/>
    <n v="0.9741882058902549"/>
    <n v="56.467714255098159"/>
    <n v="0.53572557090799156"/>
    <n v="2"/>
    <n v="-1"/>
    <n v="53.572557090799158"/>
    <n v="4"/>
    <n v="-0.36403499130258654"/>
    <b v="0"/>
    <s v="Cambio en corte"/>
    <n v="2"/>
    <n v="-1"/>
    <n v="0"/>
    <n v="0"/>
    <n v="0"/>
    <n v="0"/>
    <n v="0"/>
    <s v="Ciudades y aglomeraciones"/>
    <n v="6"/>
    <s v="En aglomeración"/>
    <m/>
    <s v="No"/>
    <s v="No"/>
    <n v="46.7"/>
    <n v="23.214590808132581"/>
    <n v="5.8113565513882133"/>
    <s v="Bajo"/>
    <n v="2.2929330363067457"/>
    <s v="Medio Bajo"/>
    <n v="48014.234002999998"/>
    <n v="7342.4453304999997"/>
    <n v="27097"/>
    <n v="1.7719391077610067"/>
    <n v="0.27096893864634458"/>
    <m/>
    <m/>
    <m/>
    <m/>
    <m/>
    <m/>
    <m/>
    <n v="77"/>
    <n v="0"/>
    <n v="7"/>
    <n v="20650.811281999999"/>
    <n v="1915.7829850000001"/>
    <n v="9.277034973777841E-2"/>
    <s v="0% - 30%"/>
    <n v="5.5737348894151395E-5"/>
    <s v="N.D."/>
    <s v="N.D."/>
    <s v="N.D."/>
    <n v="0.86357365420647758"/>
    <s v="Aceptable"/>
    <n v="2"/>
    <s v="Candidato"/>
    <n v="0"/>
    <n v="0"/>
  </r>
  <r>
    <n v="8421"/>
    <s v="08421"/>
    <x v="2"/>
    <x v="2"/>
    <s v="LURUACO"/>
    <n v="56.902299999999997"/>
    <n v="56.84"/>
    <n v="61.09"/>
    <n v="48.04"/>
    <n v="63.919434927720928"/>
    <n v="61.546940846823532"/>
    <n v="58.016236654825747"/>
    <n v="51.9086"/>
    <n v="55.718074999999999"/>
    <n v="58.84780310734255"/>
    <n v="57.282939053671271"/>
    <n v="43.223518960950067"/>
    <n v="56.776481039049933"/>
    <n v="0.61098832935144942"/>
    <n v="0"/>
    <n v="34.999207232743508"/>
    <n v="3"/>
    <n v="3"/>
    <b v="1"/>
    <x v="4"/>
    <n v="58.712571367449712"/>
    <n v="0.61961534211661229"/>
    <n v="36.379209994388368"/>
    <n v="2"/>
    <n v="-1"/>
    <n v="-1.4296323137784412"/>
    <n v="-8.627012765162867E-3"/>
    <n v="-1.3800027616448602"/>
    <n v="2"/>
    <b v="0"/>
    <s v="Cambio en corte"/>
    <n v="0.9741882058902549"/>
    <n v="57.197094563659384"/>
    <n v="0.54484934972877719"/>
    <n v="2"/>
    <n v="-1"/>
    <n v="54.484934972877717"/>
    <n v="4"/>
    <n v="-0.36319987653880548"/>
    <b v="0"/>
    <s v="Cambio en corte"/>
    <n v="2"/>
    <n v="-1"/>
    <n v="0"/>
    <n v="0"/>
    <n v="0"/>
    <n v="0"/>
    <n v="0"/>
    <s v="Intermedio"/>
    <n v="6"/>
    <s v="Fuera SC"/>
    <m/>
    <s v="No"/>
    <s v="No"/>
    <n v="55.4"/>
    <n v="24.834520924512606"/>
    <n v="7.3025461229160786"/>
    <s v="Bajo"/>
    <n v="1.2010661198966357"/>
    <s v="Medio Bajo"/>
    <n v="53303.325825"/>
    <n v="12428.2295165"/>
    <n v="32443"/>
    <n v="1.6429838740252134"/>
    <n v="0.38307892354282896"/>
    <m/>
    <m/>
    <m/>
    <m/>
    <m/>
    <m/>
    <m/>
    <n v="77"/>
    <n v="0"/>
    <n v="7"/>
    <n v="22418.948978"/>
    <n v="5295.7143599999999"/>
    <n v="0.2362159959058184"/>
    <s v="0% - 30%"/>
    <n v="1.5407229380267601E-4"/>
    <s v="N.D."/>
    <s v="N.D."/>
    <s v="N.D."/>
    <n v="0.93619720574650089"/>
    <s v="Aceptable"/>
    <n v="1"/>
    <s v="Candidato"/>
    <n v="0"/>
    <n v="0"/>
  </r>
  <r>
    <n v="8849"/>
    <s v="08849"/>
    <x v="2"/>
    <x v="2"/>
    <s v="USIACURÍ"/>
    <n v="58.525599999999997"/>
    <n v="74.56"/>
    <n v="73.92"/>
    <n v="75.849999999999994"/>
    <n v="59.225808619245328"/>
    <n v="66.245231753388111"/>
    <n v="65.13473680504228"/>
    <n v="71.595500000000001"/>
    <n v="70.713899999999995"/>
    <n v="65.550319294418927"/>
    <n v="68.132109647209461"/>
    <n v="42.883914899008325"/>
    <n v="57.116085100991675"/>
    <n v="0.61404476590892509"/>
    <n v="0"/>
    <n v="41.836165319201953"/>
    <n v="2"/>
    <n v="2"/>
    <b v="1"/>
    <x v="3"/>
    <n v="61.756030253761494"/>
    <n v="0.6187746070181126"/>
    <n v="38.213063351269945"/>
    <n v="2"/>
    <n v="0"/>
    <n v="6.3760793934479665"/>
    <n v="-4.7298411091875048E-3"/>
    <n v="3.6231019679320084"/>
    <n v="2"/>
    <b v="1"/>
    <n v="0"/>
    <n v="0.9741882058902549"/>
    <n v="60.161996315816211"/>
    <n v="0.58193714534722429"/>
    <n v="2"/>
    <n v="0"/>
    <n v="58.193714534722432"/>
    <n v="3"/>
    <n v="-0.3601434399813298"/>
    <b v="0"/>
    <n v="0"/>
    <n v="2"/>
    <n v="0"/>
    <n v="0"/>
    <n v="0"/>
    <n v="0"/>
    <n v="0"/>
    <n v="0"/>
    <s v="Ciudades y aglomeraciones"/>
    <n v="6"/>
    <s v="En aglomeración"/>
    <m/>
    <s v="No"/>
    <s v="Si"/>
    <n v="32.700000000000003"/>
    <n v="13.601592790527087"/>
    <n v="0"/>
    <s v="Sin riesgo"/>
    <n v="0"/>
    <s v="Bajo"/>
    <n v="22426.304894000001"/>
    <n v="5281.1140457499996"/>
    <n v="15033"/>
    <n v="1.4918050218851859"/>
    <n v="0.35130140662209802"/>
    <m/>
    <m/>
    <m/>
    <m/>
    <m/>
    <m/>
    <m/>
    <n v="5"/>
    <n v="0"/>
    <n v="7"/>
    <n v="10130.913395"/>
    <n v="654.71114899999998"/>
    <n v="6.4625085959487669E-2"/>
    <s v="0% - 30%"/>
    <n v="1.9048015366262236E-5"/>
    <s v="N.D."/>
    <s v="N.D."/>
    <s v="N.D."/>
    <n v="0.99479028952621329"/>
    <s v="Aceptable"/>
    <n v="3"/>
    <s v="Candidato"/>
    <n v="0"/>
    <n v="0"/>
  </r>
  <r>
    <n v="5607"/>
    <s v="05607"/>
    <x v="1"/>
    <x v="1"/>
    <s v="RETIRO"/>
    <n v="73.561899999999994"/>
    <n v="71.099999999999994"/>
    <n v="76.45"/>
    <n v="88.15"/>
    <n v="66.732966266231386"/>
    <n v="65.279584288087989"/>
    <n v="70.236791950540578"/>
    <n v="72.348299999999995"/>
    <n v="77.315474999999992"/>
    <n v="68.649410626214987"/>
    <n v="72.982442813107497"/>
    <n v="43.318814908306159"/>
    <n v="56.681185091693841"/>
    <n v="0.61013066582524456"/>
    <n v="0"/>
    <n v="44.528826427114112"/>
    <n v="2"/>
    <n v="2"/>
    <b v="1"/>
    <x v="3"/>
    <n v="69.311755563359895"/>
    <n v="0.61750258646463918"/>
    <n v="42.800188332779577"/>
    <n v="2"/>
    <n v="0"/>
    <n v="3.6706872497476013"/>
    <n v="-7.3719206393946246E-3"/>
    <n v="1.728638094334535"/>
    <n v="2"/>
    <b v="1"/>
    <n v="0"/>
    <n v="0.9741882058902549"/>
    <n v="67.522694799373468"/>
    <n v="0.6740117244689765"/>
    <n v="1"/>
    <n v="-1"/>
    <n v="67.401172446897647"/>
    <n v="3"/>
    <n v="-0.36405754006501034"/>
    <b v="0"/>
    <s v="Cambio en corte"/>
    <n v="1"/>
    <n v="-1"/>
    <n v="0"/>
    <n v="1"/>
    <n v="0"/>
    <n v="0"/>
    <n v="0"/>
    <s v="Intermedio"/>
    <n v="3"/>
    <s v="Fuera SC"/>
    <m/>
    <s v="No"/>
    <s v="Si"/>
    <n v="11.7"/>
    <n v="4.6091015169194867"/>
    <n v="12.545936487229955"/>
    <s v="Bajo"/>
    <n v="0.68199343622499808"/>
    <s v="Medio Bajo"/>
    <n v="86361.600533999997"/>
    <n v="67926.337322899999"/>
    <n v="26766"/>
    <n v="3.2265411542255098"/>
    <n v="2.53778440270866"/>
    <m/>
    <m/>
    <m/>
    <m/>
    <m/>
    <m/>
    <m/>
    <n v="22"/>
    <n v="0"/>
    <n v="7"/>
    <n v="24192.023086000001"/>
    <n v="16940.230328000001"/>
    <n v="0.70024033408778308"/>
    <s v="51% - 70%"/>
    <n v="4.9285515923872805E-4"/>
    <s v="N.D."/>
    <s v="N.D."/>
    <s v="N.D."/>
    <n v="0.65732372973765241"/>
    <s v="Crítico Medio"/>
    <n v="2"/>
    <s v="Candidato"/>
    <n v="0"/>
    <n v="0"/>
  </r>
  <r>
    <n v="25645"/>
    <s v="25645"/>
    <x v="5"/>
    <x v="5"/>
    <s v="SAN ANTONIO DEL TEQUENDAMA"/>
    <n v="60.3539666666667"/>
    <n v="77.33"/>
    <n v="60.53"/>
    <n v="60.96"/>
    <n v="63.218320748251429"/>
    <n v="63.415232932879036"/>
    <n v="68.674242396996206"/>
    <n v="62.505499999999998"/>
    <n v="64.793491666666668"/>
    <n v="64.453324019531664"/>
    <n v="64.623407843099159"/>
    <n v="44.589841709560609"/>
    <n v="55.410158290439391"/>
    <n v="0.59869142461395453"/>
    <n v="0"/>
    <n v="38.689480104993635"/>
    <n v="2"/>
    <n v="2"/>
    <b v="1"/>
    <x v="3"/>
    <n v="62.922254529623885"/>
    <n v="0.61997514447075341"/>
    <n v="39.010233842429088"/>
    <n v="2"/>
    <n v="0"/>
    <n v="1.7011533134752739"/>
    <n v="-2.1283719856798888E-2"/>
    <n v="-0.32075373743545299"/>
    <n v="2"/>
    <b v="1"/>
    <n v="0"/>
    <n v="0.9741882058902549"/>
    <n v="61.298118250784256"/>
    <n v="0.59614883316827183"/>
    <n v="2"/>
    <n v="0"/>
    <n v="59.614883316827182"/>
    <n v="3"/>
    <n v="-0.37549678127630037"/>
    <b v="0"/>
    <n v="0"/>
    <n v="2"/>
    <n v="0"/>
    <n v="0"/>
    <n v="0"/>
    <n v="0"/>
    <n v="0"/>
    <n v="0"/>
    <s v="Intermedio"/>
    <n v="6"/>
    <s v="Fuera SC"/>
    <m/>
    <s v="No"/>
    <s v="Si"/>
    <n v="21.8"/>
    <n v="7.3613017055479322"/>
    <n v="4.9430928472607416"/>
    <s v="Sin riesgo"/>
    <n v="0"/>
    <s v="Bajo"/>
    <n v="20404.058464999998"/>
    <n v="6176.5603435000003"/>
    <n v="12208"/>
    <n v="1.6713678297018346"/>
    <n v="0.50594367164973786"/>
    <m/>
    <m/>
    <m/>
    <m/>
    <m/>
    <m/>
    <m/>
    <n v="93"/>
    <n v="0"/>
    <n v="7"/>
    <n v="8847.4060040000004"/>
    <n v="4985.4957059999997"/>
    <n v="0.56349801328728522"/>
    <s v="51% - 70%"/>
    <n v="1.450468637373432E-4"/>
    <s v="N.D."/>
    <s v="N.D."/>
    <s v="N.D."/>
    <n v="0.95896702803032663"/>
    <s v="Aceptable"/>
    <n v="3"/>
    <s v="Candidato"/>
    <n v="0"/>
    <n v="0"/>
  </r>
  <r>
    <n v="68081"/>
    <s v="68081"/>
    <x v="0"/>
    <x v="0"/>
    <s v="BARRANCABERMEJA"/>
    <n v="76.667366666666695"/>
    <n v="64.14"/>
    <n v="69.790000000000006"/>
    <n v="68.13"/>
    <n v="55.976064558697729"/>
    <n v="60.616484239856803"/>
    <n v="64.593928240920292"/>
    <n v="60.692599999999999"/>
    <n v="69.681841666666671"/>
    <n v="60.469769259868706"/>
    <n v="65.075805463267685"/>
    <n v="43.249806992755275"/>
    <n v="56.750193007244725"/>
    <n v="0.61075173706520247"/>
    <n v="0"/>
    <n v="39.74516122760793"/>
    <n v="2"/>
    <n v="2"/>
    <b v="1"/>
    <x v="3"/>
    <n v="65.328038675367907"/>
    <n v="0.61833418848972621"/>
    <n v="40.39455977995906"/>
    <n v="2"/>
    <n v="0"/>
    <n v="-0.2522332121002222"/>
    <n v="-7.5824514245237395E-3"/>
    <n v="-0.64939855235112987"/>
    <n v="2"/>
    <b v="1"/>
    <n v="0"/>
    <n v="0.9741882058902549"/>
    <n v="63.641804791485846"/>
    <n v="0.62546588131396985"/>
    <n v="2"/>
    <n v="0"/>
    <n v="62.546588131396987"/>
    <n v="3"/>
    <n v="-0.36343646882505243"/>
    <b v="0"/>
    <n v="0"/>
    <n v="1"/>
    <n v="-1"/>
    <n v="0"/>
    <n v="1"/>
    <n v="1"/>
    <n v="0"/>
    <n v="0"/>
    <s v="Ciudades y aglomeraciones"/>
    <n v="1"/>
    <s v="Uninodal"/>
    <m/>
    <s v="Si"/>
    <s v="Si"/>
    <n v="26.4"/>
    <n v="11.647489064220554"/>
    <n v="0.88164893617021278"/>
    <s v="Sin riesgo"/>
    <n v="6.1850234017576788"/>
    <s v="Medio"/>
    <n v="941914.25358799996"/>
    <n v="469224.2589433"/>
    <n v="226559"/>
    <n v="4.1574788624067018"/>
    <n v="2.0710907928764692"/>
    <m/>
    <m/>
    <m/>
    <m/>
    <m/>
    <m/>
    <m/>
    <n v="95"/>
    <n v="1"/>
    <n v="4"/>
    <n v="132466.62049"/>
    <n v="52733.676313000004"/>
    <n v="0.39809029714758148"/>
    <s v="31% - 50%"/>
    <n v="1.534221432251069E-3"/>
    <s v="N.D."/>
    <s v="N.D."/>
    <s v="N.D."/>
    <n v="0.87690174732446646"/>
    <s v="Aceptable"/>
    <n v="3"/>
    <s v="Candidato"/>
    <n v="0"/>
    <n v="0"/>
  </r>
  <r>
    <n v="25001"/>
    <s v="25001"/>
    <x v="5"/>
    <x v="5"/>
    <s v="AGUA DE DIOS"/>
    <n v="61.833666666666701"/>
    <n v="75.7"/>
    <n v="74.510000000000005"/>
    <n v="76.41"/>
    <n v="61.010832781151421"/>
    <n v="67.586349224111686"/>
    <n v="64.249724630331642"/>
    <n v="53.308500000000002"/>
    <n v="72.113416666666666"/>
    <n v="61.538851658898686"/>
    <n v="66.826134162782679"/>
    <n v="44.983064566945487"/>
    <n v="55.016935433054513"/>
    <n v="0.5951524188974906"/>
    <n v="0"/>
    <n v="39.771735392548344"/>
    <n v="2"/>
    <n v="2"/>
    <b v="1"/>
    <x v="3"/>
    <n v="65.538854204215198"/>
    <n v="0.617247643789402"/>
    <n v="40.453703334208974"/>
    <n v="2"/>
    <n v="0"/>
    <n v="1.2872799585674812"/>
    <n v="-2.2095224891911402E-2"/>
    <n v="-0.68196794166063057"/>
    <n v="2"/>
    <b v="1"/>
    <n v="0"/>
    <n v="0.9741882058902549"/>
    <n v="63.847178793307393"/>
    <n v="0.62803489359215381"/>
    <n v="2"/>
    <n v="0"/>
    <n v="62.803489359215384"/>
    <n v="3"/>
    <n v="-0.3790357869927643"/>
    <b v="0"/>
    <n v="0"/>
    <n v="2"/>
    <n v="0"/>
    <n v="0"/>
    <n v="0"/>
    <n v="0"/>
    <n v="0"/>
    <n v="0"/>
    <s v="Intermedio"/>
    <n v="6"/>
    <s v="Fuera SC"/>
    <m/>
    <s v="No"/>
    <s v="No"/>
    <n v="17.899999999999999"/>
    <n v="8.0798387870645811"/>
    <n v="0.57579037068598204"/>
    <s v="Sin riesgo"/>
    <n v="1.247983679545466"/>
    <s v="Medio Bajo"/>
    <n v="22816.446012"/>
    <n v="7950.0218962500003"/>
    <n v="11820"/>
    <n v="1.9303253817258883"/>
    <n v="0.67259068496192898"/>
    <m/>
    <m/>
    <m/>
    <m/>
    <m/>
    <m/>
    <m/>
    <n v="55"/>
    <n v="0"/>
    <n v="7"/>
    <n v="8588.5120399999996"/>
    <n v="2908.4451159999999"/>
    <n v="0.33864365590386947"/>
    <s v="31% - 50%"/>
    <n v="8.4617632288858959E-5"/>
    <s v="N.D."/>
    <s v="N.D."/>
    <s v="N.D."/>
    <n v="0.99003201388010997"/>
    <s v="Aceptable"/>
    <n v="2"/>
    <s v="Candidato"/>
    <n v="0"/>
    <n v="0"/>
  </r>
  <r>
    <n v="54553"/>
    <s v="54553"/>
    <x v="12"/>
    <x v="12"/>
    <s v="PUERTO SANTANDER"/>
    <n v="56.0137"/>
    <n v="70.03"/>
    <n v="72.98"/>
    <n v="79.11"/>
    <n v="52.762857590666215"/>
    <n v="52.805541300703581"/>
    <n v="62.293607089537645"/>
    <n v="52.197899999999997"/>
    <n v="69.533425000000008"/>
    <n v="55.014976495226861"/>
    <n v="62.274200747613435"/>
    <n v="44.251508636276995"/>
    <n v="55.748491363723005"/>
    <n v="0.6017364222735071"/>
    <n v="0"/>
    <n v="37.472654757811071"/>
    <n v="3"/>
    <n v="3"/>
    <b v="1"/>
    <x v="3"/>
    <n v="58.819701370914586"/>
    <n v="0.61852418730314651"/>
    <n v="36.381407987858715"/>
    <n v="2"/>
    <n v="0"/>
    <n v="3.4544993766988483"/>
    <n v="-1.6787765029639412E-2"/>
    <n v="1.091246769952356"/>
    <n v="2"/>
    <b v="1"/>
    <n v="0"/>
    <n v="0.9741882058902549"/>
    <n v="57.301459349531846"/>
    <n v="0.54615484318918783"/>
    <n v="2"/>
    <n v="0"/>
    <n v="54.615484318918782"/>
    <n v="3"/>
    <n v="-0.3724517836167478"/>
    <b v="0"/>
    <n v="0"/>
    <n v="3"/>
    <n v="1"/>
    <n v="0"/>
    <n v="0"/>
    <n v="0"/>
    <n v="0"/>
    <n v="0"/>
    <s v="Intermedio"/>
    <n v="6"/>
    <s v="Fuera SC"/>
    <m/>
    <s v="No"/>
    <s v="No"/>
    <n v="42.9"/>
    <n v="19.314412089937338"/>
    <n v="11.536095430243115"/>
    <s v="Bajo"/>
    <n v="23.768876981031688"/>
    <s v="Muy Alto"/>
    <n v="32680.167505000001"/>
    <n v="3629.2611120000001"/>
    <n v="9525"/>
    <n v="3.4309887144356956"/>
    <n v="0.38102478866141731"/>
    <m/>
    <m/>
    <m/>
    <m/>
    <m/>
    <m/>
    <m/>
    <n v="73"/>
    <n v="0"/>
    <n v="7"/>
    <n v="4631.3557940000001"/>
    <n v="17.047816000000001"/>
    <n v="3.6809558060915413E-3"/>
    <s v="0% - 30%"/>
    <n v="4.9598523199917467E-7"/>
    <s v="N.D."/>
    <s v="N.D."/>
    <s v="N.D."/>
    <n v="0.92721626939988311"/>
    <s v="Aceptable"/>
    <n v="2"/>
    <s v="Candidato"/>
    <n v="1"/>
    <s v="Unidad Especial de Desarrollo Fronterizo"/>
  </r>
  <r>
    <n v="13052"/>
    <s v="13052"/>
    <x v="8"/>
    <x v="8"/>
    <s v="ARJONA"/>
    <n v="47.155299999999997"/>
    <n v="37.479999999999997"/>
    <n v="29.29"/>
    <n v="31.1"/>
    <n v="46.569539686131989"/>
    <n v="31.804862635461024"/>
    <n v="45.512413597395458"/>
    <n v="53.833100000000002"/>
    <n v="36.256324999999997"/>
    <n v="44.429978979747119"/>
    <n v="40.343151989873562"/>
    <n v="44.09567513938503"/>
    <n v="55.90432486061497"/>
    <n v="0.60313892374553479"/>
    <n v="0"/>
    <n v="24.332525271674871"/>
    <n v="4"/>
    <n v="4"/>
    <b v="1"/>
    <x v="5"/>
    <n v="41.851454017397749"/>
    <n v="0.61721402273159842"/>
    <n v="25.831304291244582"/>
    <n v="4"/>
    <n v="0"/>
    <n v="-1.5083020275241878"/>
    <n v="-1.4075098986063628E-2"/>
    <n v="-1.4987790195697102"/>
    <n v="4"/>
    <b v="1"/>
    <n v="0"/>
    <n v="0.9741882058902549"/>
    <n v="40.771192903107213"/>
    <n v="0.33937863448767142"/>
    <n v="4"/>
    <n v="0"/>
    <n v="33.937863448767139"/>
    <n v="4"/>
    <n v="-0.37104928214472011"/>
    <b v="1"/>
    <n v="0"/>
    <n v="3"/>
    <n v="-1"/>
    <n v="0"/>
    <n v="0"/>
    <n v="0"/>
    <n v="0"/>
    <n v="0"/>
    <s v="Ciudades y aglomeraciones"/>
    <n v="6"/>
    <s v="En aglomeración"/>
    <m/>
    <s v="No"/>
    <s v="Si"/>
    <n v="47.4"/>
    <n v="26.983606557377048"/>
    <n v="0"/>
    <s v="Sin riesgo"/>
    <n v="3.4847911160482079"/>
    <s v="Medio Bajo"/>
    <n v="116613.08228800001"/>
    <n v="18667.837366"/>
    <n v="73374"/>
    <n v="1.5892970573772727"/>
    <n v="0.25442033098917871"/>
    <m/>
    <m/>
    <m/>
    <m/>
    <m/>
    <m/>
    <m/>
    <n v="48"/>
    <n v="0"/>
    <n v="7"/>
    <n v="58718.979102999998"/>
    <n v="8585.3637529999996"/>
    <n v="0.14621105278312591"/>
    <s v="0% - 30%"/>
    <n v="2.497805955219724E-4"/>
    <n v="135.03220400000001"/>
    <n v="2.2996347358685788E-3"/>
    <s v="0% - 30%"/>
    <n v="0.96798654804157236"/>
    <s v="Aceptable"/>
    <n v="1"/>
    <s v="Candidato"/>
    <n v="0"/>
    <n v="0"/>
  </r>
  <r>
    <n v="52399"/>
    <s v="52399"/>
    <x v="18"/>
    <x v="18"/>
    <s v="LA UNIÓN"/>
    <n v="49.963466666666697"/>
    <n v="54.09"/>
    <n v="43.52"/>
    <n v="56.07"/>
    <n v="55.807394088589191"/>
    <n v="65.716040865231804"/>
    <n v="70.371862080786769"/>
    <n v="66.128100000000003"/>
    <n v="50.910866666666678"/>
    <n v="64.505849258651949"/>
    <n v="57.708357962659314"/>
    <n v="43.634248995684047"/>
    <n v="56.365751004315953"/>
    <n v="0.60729175903884358"/>
    <n v="0"/>
    <n v="35.045810218386627"/>
    <n v="3"/>
    <n v="3"/>
    <b v="1"/>
    <x v="4"/>
    <n v="55.462818539411778"/>
    <n v="0.61738880359642956"/>
    <n v="34.242123182133312"/>
    <n v="3"/>
    <n v="0"/>
    <n v="2.2455394232475356"/>
    <n v="-1.0097044557585977E-2"/>
    <n v="0.80368703625331506"/>
    <n v="2"/>
    <b v="0"/>
    <n v="0"/>
    <n v="0.9741882058902549"/>
    <n v="54.031223686526324"/>
    <n v="0.50524764219830298"/>
    <n v="2"/>
    <n v="-1"/>
    <n v="50.524764219830296"/>
    <n v="4"/>
    <n v="-0.36689644685141132"/>
    <b v="0"/>
    <s v="Cambio en corte"/>
    <n v="3"/>
    <n v="0"/>
    <n v="0"/>
    <n v="0"/>
    <n v="0"/>
    <n v="0"/>
    <n v="0"/>
    <s v="Intermedio"/>
    <n v="6"/>
    <s v="Fuera SC"/>
    <m/>
    <s v="No"/>
    <s v="Si"/>
    <n v="48.6"/>
    <n v="19.156994073710418"/>
    <n v="44.7855913327653"/>
    <s v="Alto"/>
    <n v="6.8796303434160837"/>
    <s v="Medio"/>
    <n v="56915.822538"/>
    <n v="7430.6691597500003"/>
    <n v="34338"/>
    <n v="1.6575171104315918"/>
    <n v="0.2163978437809424"/>
    <m/>
    <m/>
    <m/>
    <m/>
    <m/>
    <m/>
    <m/>
    <n v="69"/>
    <n v="1"/>
    <n v="6"/>
    <n v="14226.366763"/>
    <n v="1163.868127"/>
    <n v="8.1810636994611552E-2"/>
    <s v="0% - 30%"/>
    <n v="3.3861311207637385E-5"/>
    <s v="N.D."/>
    <s v="N.D."/>
    <s v="N.D."/>
    <n v="0.91025036767331646"/>
    <s v="Aceptable"/>
    <n v="2"/>
    <s v="Candidato"/>
    <n v="0"/>
    <n v="0"/>
  </r>
  <r>
    <n v="5390"/>
    <s v="05390"/>
    <x v="1"/>
    <x v="1"/>
    <s v="LA PINTADA"/>
    <n v="46.582799999999999"/>
    <n v="44.88"/>
    <n v="49.52"/>
    <n v="57.29"/>
    <n v="56.411658879341388"/>
    <n v="42.857350059228182"/>
    <n v="57.766455675491734"/>
    <n v="60.665300000000002"/>
    <n v="49.568199999999997"/>
    <n v="54.425191153515328"/>
    <n v="51.996695576757659"/>
    <n v="43.065158366197934"/>
    <n v="56.934841633802066"/>
    <n v="0.61241357470421864"/>
    <n v="0"/>
    <n v="31.843482210969192"/>
    <n v="3"/>
    <n v="3"/>
    <b v="1"/>
    <x v="4"/>
    <n v="50.521078795254553"/>
    <n v="0.61995977543508096"/>
    <n v="31.321036664644044"/>
    <n v="3"/>
    <n v="0"/>
    <n v="1.4756167815031063"/>
    <n v="-7.546200730862318E-3"/>
    <n v="0.52244554632514806"/>
    <n v="3"/>
    <b v="1"/>
    <n v="0"/>
    <n v="0.9741882058902549"/>
    <n v="49.21703911118923"/>
    <n v="0.44502726778970814"/>
    <n v="3"/>
    <n v="0"/>
    <n v="44.502726778970811"/>
    <n v="4"/>
    <n v="-0.36177463118603626"/>
    <b v="0"/>
    <n v="0"/>
    <n v="3"/>
    <n v="0"/>
    <n v="0"/>
    <n v="0"/>
    <n v="0"/>
    <n v="0"/>
    <n v="0"/>
    <s v="Intermedio"/>
    <n v="6"/>
    <s v="Fuera SC"/>
    <m/>
    <s v="No"/>
    <s v="No"/>
    <n v="31.2"/>
    <n v="12.854276398294457"/>
    <n v="3.2786482322323915"/>
    <s v="Sin riesgo"/>
    <n v="3.1725382194054559"/>
    <s v="Medio Bajo"/>
    <n v="20604.873423000001"/>
    <n v="8298.8252326999991"/>
    <n v="8554"/>
    <n v="2.4087997922609308"/>
    <n v="0.97016895402151027"/>
    <m/>
    <m/>
    <m/>
    <m/>
    <m/>
    <m/>
    <m/>
    <n v="65"/>
    <n v="0"/>
    <n v="7"/>
    <n v="5429.8411100000003"/>
    <n v="507.040166"/>
    <n v="9.3380295247718584E-2"/>
    <s v="0% - 30%"/>
    <n v="1.4751709800622558E-5"/>
    <s v="N.D."/>
    <s v="N.D."/>
    <s v="N.D."/>
    <n v="0.88959421591239796"/>
    <s v="Aceptable"/>
    <n v="2"/>
    <s v="Candidato"/>
    <n v="0"/>
    <n v="0"/>
  </r>
  <r>
    <n v="41551"/>
    <s v="41551"/>
    <x v="19"/>
    <x v="19"/>
    <s v="PITALITO"/>
    <n v="69.794899999999998"/>
    <n v="70.099999999999994"/>
    <n v="66.45"/>
    <n v="63.99"/>
    <n v="59.583313792015879"/>
    <n v="59.030910461287732"/>
    <n v="54.897960914006248"/>
    <n v="55.216099999999997"/>
    <n v="67.583725000000001"/>
    <n v="57.182071291827455"/>
    <n v="62.382898145913728"/>
    <n v="43.612403146943585"/>
    <n v="56.387596853056415"/>
    <n v="0.60748837167750769"/>
    <n v="0"/>
    <n v="37.896885215184945"/>
    <n v="3"/>
    <n v="3"/>
    <b v="1"/>
    <x v="3"/>
    <n v="62.604767372608194"/>
    <n v="0.61601795461040387"/>
    <n v="38.565660745734249"/>
    <n v="2"/>
    <n v="0"/>
    <n v="-0.22186922669446574"/>
    <n v="-8.5295829328961847E-3"/>
    <n v="-0.66877553054930416"/>
    <n v="2"/>
    <b v="1"/>
    <n v="0"/>
    <n v="0.9741882058902549"/>
    <n v="60.988826006897945"/>
    <n v="0.5922799132220099"/>
    <n v="2"/>
    <n v="0"/>
    <n v="59.227991322200992"/>
    <n v="3"/>
    <n v="-0.36669983421274721"/>
    <b v="0"/>
    <n v="0"/>
    <n v="2"/>
    <n v="0"/>
    <n v="0"/>
    <n v="1"/>
    <n v="0"/>
    <n v="0"/>
    <n v="0"/>
    <s v="Intermedio"/>
    <n v="3"/>
    <s v="Fuera SC"/>
    <m/>
    <s v="Si"/>
    <s v="Si"/>
    <n v="33.700000000000003"/>
    <n v="11.925271659201115"/>
    <n v="0.66724137931034488"/>
    <s v="Sin riesgo"/>
    <n v="4.796693759505958"/>
    <s v="Medio Bajo"/>
    <n v="381985.60569699999"/>
    <n v="59428.225942199999"/>
    <n v="140776"/>
    <n v="2.7134284657683128"/>
    <n v="0.42214742528698074"/>
    <m/>
    <m/>
    <m/>
    <m/>
    <m/>
    <m/>
    <m/>
    <n v="54"/>
    <n v="1"/>
    <n v="5"/>
    <n v="63073.167135000003"/>
    <n v="34032.475818999999"/>
    <n v="0.53957137979384895"/>
    <s v="51% - 70%"/>
    <n v="9.9013301261540007E-4"/>
    <n v="389.64633099999998"/>
    <n v="6.1776877347226294E-3"/>
    <s v="0% - 30%"/>
    <n v="0.87452111979791336"/>
    <s v="Aceptable"/>
    <n v="2"/>
    <s v="Candidato"/>
    <n v="0"/>
    <n v="0"/>
  </r>
  <r>
    <n v="54518"/>
    <s v="54518"/>
    <x v="12"/>
    <x v="12"/>
    <s v="PAMPLONA"/>
    <n v="73.629199999999997"/>
    <n v="64.040000000000006"/>
    <n v="79.099999999999994"/>
    <n v="76.760000000000005"/>
    <n v="42.67365193038242"/>
    <n v="45.948251238953318"/>
    <n v="54.917496770563559"/>
    <n v="43.924999999999997"/>
    <n v="73.382300000000001"/>
    <n v="46.866099984974824"/>
    <n v="60.124199992487412"/>
    <n v="44.294623232431491"/>
    <n v="55.705376767568509"/>
    <n v="0.60134839090811654"/>
    <n v="0"/>
    <n v="36.155590920120098"/>
    <n v="3"/>
    <n v="3"/>
    <b v="1"/>
    <x v="3"/>
    <n v="59.337771988368615"/>
    <n v="0.61760718763733913"/>
    <n v="36.647434478402019"/>
    <n v="2"/>
    <n v="0"/>
    <n v="0.78642800411879676"/>
    <n v="-1.6258796729222591E-2"/>
    <n v="-0.49184355828192139"/>
    <n v="2"/>
    <b v="1"/>
    <n v="0"/>
    <n v="0.9741882058902549"/>
    <n v="57.806157634873841"/>
    <n v="0.55246808673667747"/>
    <n v="2"/>
    <n v="0"/>
    <n v="55.246808673667744"/>
    <n v="3"/>
    <n v="-0.37283981498213836"/>
    <b v="0"/>
    <n v="0"/>
    <n v="2"/>
    <n v="0"/>
    <n v="0"/>
    <n v="0"/>
    <n v="0"/>
    <n v="0"/>
    <n v="0"/>
    <s v="Ciudades y aglomeraciones"/>
    <n v="6"/>
    <s v="Uninodal"/>
    <m/>
    <s v="No"/>
    <s v="No"/>
    <n v="20.5"/>
    <n v="8.6865305211471942"/>
    <n v="3.9228129503989879"/>
    <s v="Sin riesgo"/>
    <n v="0.32439691732103615"/>
    <s v="Medio Bajo"/>
    <n v="75154.174138999995"/>
    <n v="21466.840955"/>
    <n v="52427"/>
    <n v="1.433501328304118"/>
    <n v="0.40946155521010164"/>
    <m/>
    <m/>
    <m/>
    <m/>
    <m/>
    <m/>
    <m/>
    <n v="24"/>
    <n v="1"/>
    <n v="4"/>
    <n v="29765.003054000001"/>
    <n v="14189.220554"/>
    <n v="0.47670818404613491"/>
    <s v="31% - 50%"/>
    <n v="4.1281791452718331E-4"/>
    <s v="N.D."/>
    <s v="N.D."/>
    <s v="N.D."/>
    <n v="0.96185097568064781"/>
    <s v="Aceptable"/>
    <n v="2"/>
    <s v="Candidato"/>
    <n v="1"/>
    <s v="Unidad Especial de Desarrollo Fronterizo"/>
  </r>
  <r>
    <n v="8372"/>
    <s v="08372"/>
    <x v="2"/>
    <x v="2"/>
    <s v="JUAN DE ACOSTA"/>
    <n v="42.2961666666667"/>
    <n v="65.75"/>
    <n v="55.32"/>
    <n v="64.42"/>
    <n v="48.312917430334309"/>
    <n v="50.080389120855969"/>
    <n v="53.345812302839889"/>
    <n v="63.783700000000003"/>
    <n v="56.946541666666675"/>
    <n v="53.880704713507541"/>
    <n v="55.413623190087108"/>
    <n v="44.053055425561517"/>
    <n v="55.946944574438483"/>
    <n v="0.60352250116994632"/>
    <n v="0"/>
    <n v="33.443368466570313"/>
    <n v="3"/>
    <n v="3"/>
    <b v="1"/>
    <x v="4"/>
    <n v="51.916187964396357"/>
    <n v="0.61507212226826036"/>
    <n v="31.932199911339183"/>
    <n v="3"/>
    <n v="0"/>
    <n v="3.4974352256907508"/>
    <n v="-1.1549621098314033E-2"/>
    <n v="1.51116855523113"/>
    <n v="3"/>
    <b v="1"/>
    <n v="0"/>
    <n v="0.9741882058902549"/>
    <n v="50.576138009696535"/>
    <n v="0.46202816238475758"/>
    <n v="3"/>
    <n v="0"/>
    <n v="46.202816238475755"/>
    <n v="4"/>
    <n v="-0.37066570472030858"/>
    <b v="0"/>
    <n v="0"/>
    <n v="3"/>
    <n v="0"/>
    <n v="0"/>
    <n v="0"/>
    <n v="0"/>
    <n v="0"/>
    <n v="0"/>
    <s v="Intermedio"/>
    <n v="6"/>
    <s v="Fuera SC"/>
    <m/>
    <s v="No"/>
    <s v="No"/>
    <n v="36.700000000000003"/>
    <n v="17.845761631612493"/>
    <n v="0"/>
    <s v="Sin riesgo"/>
    <n v="0.84727089659397126"/>
    <s v="Medio Bajo"/>
    <n v="43160.385289999998"/>
    <n v="10804.09431"/>
    <n v="23939"/>
    <n v="1.8029318388403859"/>
    <n v="0.45131769539245586"/>
    <m/>
    <m/>
    <m/>
    <m/>
    <m/>
    <m/>
    <m/>
    <n v="5"/>
    <n v="0"/>
    <n v="7"/>
    <n v="16789.209579999999"/>
    <n v="1463.941726"/>
    <n v="8.7195392911403519E-2"/>
    <s v="0% - 30%"/>
    <n v="4.259158337955913E-5"/>
    <s v="N.D."/>
    <s v="N.D."/>
    <s v="N.D."/>
    <n v="0.88891556883712397"/>
    <s v="Aceptable"/>
    <n v="3"/>
    <s v="Candidato"/>
    <n v="0"/>
    <n v="0"/>
  </r>
  <r>
    <n v="50313"/>
    <s v="50313"/>
    <x v="16"/>
    <x v="16"/>
    <s v="GRANADA"/>
    <n v="73.116366666666707"/>
    <n v="76.72"/>
    <n v="59.38"/>
    <n v="85.87"/>
    <n v="67.924420648000307"/>
    <n v="55.113414642475327"/>
    <n v="56.947385547582172"/>
    <n v="55.852600000000002"/>
    <n v="73.77159166666668"/>
    <n v="58.959455209514452"/>
    <n v="66.365523438090563"/>
    <n v="45.048538385650595"/>
    <n v="54.951461614349405"/>
    <n v="0.59456315452914466"/>
    <n v="0"/>
    <n v="39.45849496732901"/>
    <n v="2"/>
    <n v="2"/>
    <b v="1"/>
    <x v="3"/>
    <n v="65.766902178910996"/>
    <n v="0.61350364702164895"/>
    <n v="40.34823434007793"/>
    <n v="2"/>
    <n v="0"/>
    <n v="0.59862125917956632"/>
    <n v="-1.8940492492504291E-2"/>
    <n v="-0.88973937274892023"/>
    <n v="2"/>
    <b v="1"/>
    <n v="0"/>
    <n v="0.9741882058902549"/>
    <n v="64.069340440633198"/>
    <n v="0.63081390161974971"/>
    <n v="2"/>
    <n v="0"/>
    <n v="63.081390161974973"/>
    <n v="3"/>
    <n v="-0.37962505136111024"/>
    <b v="0"/>
    <n v="0"/>
    <n v="1"/>
    <n v="-1"/>
    <n v="0"/>
    <n v="0"/>
    <n v="0"/>
    <n v="0"/>
    <n v="1"/>
    <s v="Intermedio"/>
    <n v="5"/>
    <s v="Fuera SC"/>
    <m/>
    <s v="No"/>
    <s v="Si"/>
    <n v="29.6"/>
    <n v="11.168092058975281"/>
    <n v="39.755937500000002"/>
    <s v="Alto"/>
    <n v="9.900086232848011"/>
    <s v="Medio"/>
    <n v="152502.32874699999"/>
    <n v="43206.685329749998"/>
    <n v="73899"/>
    <n v="2.0636588958849238"/>
    <n v="0.58467212451792305"/>
    <m/>
    <m/>
    <m/>
    <m/>
    <m/>
    <m/>
    <m/>
    <n v="63"/>
    <n v="1"/>
    <n v="7"/>
    <n v="34781.989496000002"/>
    <n v="383.60117600000001"/>
    <n v="1.1028730143343725E-2"/>
    <s v="0% - 30%"/>
    <n v="1.1160404257854276E-5"/>
    <s v="N.D."/>
    <s v="N.D."/>
    <s v="N.D."/>
    <n v="0.91043618191655939"/>
    <s v="Aceptable"/>
    <n v="2"/>
    <s v="Candidato"/>
    <n v="0"/>
    <n v="0"/>
  </r>
  <r>
    <n v="25019"/>
    <s v="25019"/>
    <x v="5"/>
    <x v="5"/>
    <s v="ALBÁN"/>
    <n v="61.272066666666703"/>
    <n v="88.09"/>
    <n v="44.65"/>
    <n v="61.59"/>
    <n v="59.202681551809107"/>
    <n v="69.658619267999839"/>
    <n v="75.347457460788277"/>
    <n v="54.227899999999998"/>
    <n v="63.900516666666675"/>
    <n v="64.609164570149304"/>
    <n v="64.254840618407997"/>
    <n v="45.070833457277629"/>
    <n v="54.929166542722371"/>
    <n v="0.59436249888450143"/>
    <n v="0"/>
    <n v="38.19066763538234"/>
    <n v="3"/>
    <n v="3"/>
    <b v="1"/>
    <x v="3"/>
    <n v="63.761837659192537"/>
    <n v="0.61178518812061522"/>
    <n v="39.008547847245232"/>
    <n v="2"/>
    <n v="0"/>
    <n v="0.49300295921545967"/>
    <n v="-1.7422689236113786E-2"/>
    <n v="-0.81788021186289228"/>
    <n v="2"/>
    <b v="1"/>
    <n v="0"/>
    <n v="0.9741882058902549"/>
    <n v="62.116030233474469"/>
    <n v="0.60638004991123018"/>
    <n v="2"/>
    <n v="0"/>
    <n v="60.638004991123019"/>
    <n v="3"/>
    <n v="-0.37982570700575347"/>
    <b v="0"/>
    <n v="0"/>
    <n v="2"/>
    <n v="0"/>
    <n v="0"/>
    <n v="0"/>
    <n v="0"/>
    <n v="0"/>
    <n v="0"/>
    <s v="Intermedio"/>
    <n v="6"/>
    <s v="Fuera SC"/>
    <m/>
    <s v="No"/>
    <s v="No"/>
    <n v="25.8"/>
    <n v="9.9493243243243246"/>
    <n v="10.975286922977499"/>
    <s v="Bajo"/>
    <n v="4.927862129889387E-2"/>
    <s v="Bajo"/>
    <n v="16118.600377999999"/>
    <n v="4901.4995052499999"/>
    <n v="6911"/>
    <n v="2.3323108635508607"/>
    <n v="0.7092315880842136"/>
    <m/>
    <m/>
    <m/>
    <m/>
    <m/>
    <m/>
    <m/>
    <n v="59"/>
    <n v="0"/>
    <n v="7"/>
    <n v="5075.0985149999997"/>
    <n v="3247.3863339999998"/>
    <n v="0.63986665961301048"/>
    <s v="51% - 70%"/>
    <n v="9.4478710015402523E-5"/>
    <s v="N.D."/>
    <s v="N.D."/>
    <s v="N.D."/>
    <n v="0.95700554720694286"/>
    <s v="Aceptable"/>
    <n v="2"/>
    <s v="Candidato"/>
    <n v="0"/>
    <n v="0"/>
  </r>
  <r>
    <n v="25486"/>
    <s v="25486"/>
    <x v="5"/>
    <x v="5"/>
    <s v="NEMOCÓN"/>
    <n v="68.3048"/>
    <n v="91.23"/>
    <n v="44.21"/>
    <n v="64.97"/>
    <n v="54.70370090748871"/>
    <n v="53.452103303370514"/>
    <n v="59.492878802808875"/>
    <n v="52.83"/>
    <n v="67.178700000000006"/>
    <n v="55.119670753417026"/>
    <n v="61.149185376708516"/>
    <n v="45.09300607324861"/>
    <n v="54.90699392675139"/>
    <n v="0.59416294534076253"/>
    <n v="0"/>
    <n v="36.332580088613419"/>
    <n v="3"/>
    <n v="3"/>
    <b v="1"/>
    <x v="3"/>
    <n v="61.073472516060981"/>
    <n v="0.6115274823795791"/>
    <n v="37.348106887925191"/>
    <n v="2"/>
    <n v="0"/>
    <n v="7.5712860647534796E-2"/>
    <n v="-1.7364537038816574E-2"/>
    <n v="-1.0155267993117718"/>
    <n v="2"/>
    <b v="1"/>
    <n v="0"/>
    <n v="0.9741882058902549"/>
    <n v="59.497056617909237"/>
    <n v="0.57361945063891706"/>
    <n v="2"/>
    <n v="0"/>
    <n v="57.361945063891703"/>
    <n v="3"/>
    <n v="-0.38002526054949237"/>
    <b v="0"/>
    <n v="0"/>
    <n v="2"/>
    <n v="0"/>
    <n v="0"/>
    <n v="0"/>
    <n v="0"/>
    <n v="0"/>
    <n v="0"/>
    <s v="Ciudades y aglomeraciones"/>
    <n v="6"/>
    <s v="En aglomeración"/>
    <m/>
    <s v="No"/>
    <s v="No"/>
    <n v="14.2"/>
    <n v="4.5007378258730943"/>
    <n v="9.1942771701982231"/>
    <s v="Bajo"/>
    <n v="0.54593281439700692"/>
    <s v="Medio Bajo"/>
    <n v="20107.531856000001"/>
    <n v="10146.588519700001"/>
    <n v="14659"/>
    <n v="1.3716850983013849"/>
    <n v="0.69217467219455631"/>
    <m/>
    <m/>
    <m/>
    <m/>
    <m/>
    <m/>
    <m/>
    <n v="36"/>
    <n v="0"/>
    <n v="7"/>
    <n v="9822.9937549999995"/>
    <n v="2383.2346779999998"/>
    <n v="0.2426179571565858"/>
    <s v="0% - 30%"/>
    <n v="6.9337280779913877E-5"/>
    <s v="N.D."/>
    <s v="N.D."/>
    <s v="N.D."/>
    <n v="0.9687383119642885"/>
    <s v="Aceptable"/>
    <n v="2"/>
    <s v="Candidato"/>
    <n v="0"/>
    <n v="0"/>
  </r>
  <r>
    <n v="23660"/>
    <s v="23660"/>
    <x v="14"/>
    <x v="14"/>
    <s v="SAHAGÚN"/>
    <n v="64.136033333333302"/>
    <n v="45"/>
    <n v="51.85"/>
    <n v="44.5"/>
    <n v="56.843726850025242"/>
    <n v="49.872561429425701"/>
    <n v="55.919511946679599"/>
    <n v="52.949599999999997"/>
    <n v="51.371508333333324"/>
    <n v="53.896350056532633"/>
    <n v="52.633929194932975"/>
    <n v="44.001254170306176"/>
    <n v="55.998745829693824"/>
    <n v="0.60398871246724439"/>
    <n v="0"/>
    <n v="31.790299126539672"/>
    <n v="3"/>
    <n v="3"/>
    <b v="1"/>
    <x v="4"/>
    <n v="56.086466522384178"/>
    <n v="0.61341816590724985"/>
    <n v="34.404457426379274"/>
    <n v="3"/>
    <n v="0"/>
    <n v="-3.4525373274512035"/>
    <n v="-9.429453440005453E-3"/>
    <n v="-2.6141582998396018"/>
    <n v="3"/>
    <b v="1"/>
    <n v="0"/>
    <n v="0.9741882058902549"/>
    <n v="54.638774196165286"/>
    <n v="0.51284745865528403"/>
    <n v="2"/>
    <n v="-1"/>
    <n v="51.2847458655284"/>
    <n v="4"/>
    <n v="-0.37019949342301051"/>
    <b v="0"/>
    <s v="Cambio en corte"/>
    <n v="2"/>
    <n v="-1"/>
    <n v="0"/>
    <n v="1"/>
    <n v="0"/>
    <n v="0"/>
    <n v="0"/>
    <s v="Intermedio"/>
    <n v="6"/>
    <s v="Fuera SC"/>
    <m/>
    <s v="Si"/>
    <s v="No"/>
    <n v="40.4"/>
    <n v="25.29092649718115"/>
    <n v="0"/>
    <s v="Sin riesgo"/>
    <n v="2.1856205156083557"/>
    <s v="Medio Bajo"/>
    <n v="302385.57831700001"/>
    <n v="35552.774696100001"/>
    <n v="118572"/>
    <n v="2.5502275268781838"/>
    <n v="0.29984123314188849"/>
    <m/>
    <m/>
    <m/>
    <m/>
    <m/>
    <m/>
    <m/>
    <n v="10"/>
    <n v="1"/>
    <n v="4"/>
    <n v="96436.619133999993"/>
    <n v="484.75633199999999"/>
    <n v="5.0266831868755633E-3"/>
    <s v="0% - 30%"/>
    <n v="1.41033890669684E-5"/>
    <s v="N.D."/>
    <s v="N.D."/>
    <s v="N.D."/>
    <n v="0.9017762170694682"/>
    <s v="Aceptable"/>
    <n v="1"/>
    <s v="Candidato"/>
    <n v="0"/>
    <n v="0"/>
  </r>
  <r>
    <n v="25312"/>
    <s v="25312"/>
    <x v="5"/>
    <x v="5"/>
    <s v="GRANADA"/>
    <n v="78.777433333333306"/>
    <n v="92.13"/>
    <n v="44.38"/>
    <n v="82.28"/>
    <n v="68.878308814424486"/>
    <n v="68.337421517303383"/>
    <n v="71.599118898077535"/>
    <n v="69.758200000000002"/>
    <n v="74.391858333333317"/>
    <n v="69.643262307451351"/>
    <n v="72.017560320392334"/>
    <n v="45.083925484654223"/>
    <n v="54.916074515345777"/>
    <n v="0.59424467063811204"/>
    <n v="0"/>
    <n v="42.796051412751908"/>
    <n v="2"/>
    <n v="2"/>
    <b v="1"/>
    <x v="3"/>
    <n v="71.131504176357694"/>
    <n v="0.61342781861500784"/>
    <n v="43.634043441707419"/>
    <n v="2"/>
    <n v="0"/>
    <n v="0.88605614403464017"/>
    <n v="-1.9183147976895798E-2"/>
    <n v="-0.83799202895551161"/>
    <n v="2"/>
    <b v="1"/>
    <n v="0"/>
    <n v="0.9741882058902549"/>
    <n v="69.295472435841077"/>
    <n v="0.69618730401741713"/>
    <n v="1"/>
    <n v="-1"/>
    <n v="69.618730401741715"/>
    <n v="3"/>
    <n v="-0.37994353525214286"/>
    <b v="0"/>
    <s v="Cambio en corte"/>
    <n v="1"/>
    <n v="-1"/>
    <n v="0"/>
    <n v="0"/>
    <n v="0"/>
    <n v="0"/>
    <n v="0"/>
    <s v="Intermedio"/>
    <n v="6"/>
    <s v="Fuera SC"/>
    <m/>
    <s v="No"/>
    <s v="No"/>
    <n v="19.899999999999999"/>
    <n v="4.9717350340629078"/>
    <n v="2.6538529134229769"/>
    <s v="Sin riesgo"/>
    <n v="1.0555599981580051"/>
    <s v="Medio Bajo"/>
    <n v="16107.373294999999"/>
    <n v="6215.5518897499996"/>
    <n v="7614"/>
    <n v="2.1154942599159443"/>
    <n v="0.81633200548332019"/>
    <m/>
    <m/>
    <m/>
    <m/>
    <m/>
    <m/>
    <m/>
    <n v="78"/>
    <n v="0"/>
    <n v="7"/>
    <n v="6063.927651"/>
    <n v="1833.5229220000001"/>
    <n v="0.30236556692717709"/>
    <s v="0% - 30%"/>
    <n v="5.3344093568582315E-5"/>
    <s v="N.D."/>
    <s v="N.D."/>
    <s v="N.D."/>
    <n v="0.97513674670103978"/>
    <s v="Aceptable"/>
    <n v="3"/>
    <s v="Candidato"/>
    <n v="0"/>
    <n v="0"/>
  </r>
  <r>
    <n v="23464"/>
    <s v="23464"/>
    <x v="14"/>
    <x v="14"/>
    <s v="MOMIL"/>
    <n v="37.633033333333302"/>
    <n v="31.29"/>
    <n v="31.55"/>
    <n v="21.63"/>
    <n v="48.070814753778954"/>
    <n v="56.167032294179876"/>
    <n v="49.555304184800349"/>
    <n v="48.2239"/>
    <n v="30.525758333333325"/>
    <n v="50.504262808189793"/>
    <n v="40.515010570761561"/>
    <n v="43.763037857805692"/>
    <n v="56.236962142194308"/>
    <n v="0.6061326592797488"/>
    <n v="0"/>
    <n v="24.557471098002839"/>
    <n v="4"/>
    <n v="4"/>
    <b v="1"/>
    <x v="5"/>
    <n v="43.138211744366224"/>
    <n v="0.61356848730994029"/>
    <n v="26.468247325246686"/>
    <n v="4"/>
    <n v="0"/>
    <n v="-2.623201173604663"/>
    <n v="-7.4358280301914936E-3"/>
    <n v="-1.9107762272438471"/>
    <n v="4"/>
    <b v="1"/>
    <n v="0"/>
    <n v="0.9741882058902549"/>
    <n v="42.024737104558056"/>
    <n v="0.35505915108768293"/>
    <n v="3"/>
    <n v="-1"/>
    <n v="35.505915108768292"/>
    <n v="4"/>
    <n v="-0.3680555466105061"/>
    <b v="1"/>
    <s v="Efecto ponderador"/>
    <n v="3"/>
    <n v="-1"/>
    <n v="0"/>
    <n v="0"/>
    <n v="0"/>
    <n v="0"/>
    <n v="0"/>
    <s v="Intermedio"/>
    <n v="6"/>
    <s v="Fuera SC"/>
    <m/>
    <s v="No"/>
    <s v="Si"/>
    <n v="42.1"/>
    <n v="26.666256763403837"/>
    <n v="0"/>
    <s v="Sin riesgo"/>
    <n v="7.6196650347236421"/>
    <s v="Medio"/>
    <n v="35657.185737"/>
    <n v="6397.2202669999997"/>
    <n v="22186"/>
    <n v="1.6071930828901109"/>
    <n v="0.28834491422518704"/>
    <m/>
    <m/>
    <m/>
    <m/>
    <m/>
    <m/>
    <m/>
    <n v="10"/>
    <n v="0"/>
    <n v="7"/>
    <n v="15863.964726"/>
    <n v="6230.709484"/>
    <n v="0.3927586572219412"/>
    <s v="31% - 50%"/>
    <n v="1.8127482657844253E-4"/>
    <n v="4.8366610000000003"/>
    <n v="3.0488349435579804E-4"/>
    <n v="0"/>
    <n v="0.92160797734042443"/>
    <s v="Aceptable"/>
    <n v="1"/>
    <s v="Candidato"/>
    <n v="0"/>
    <n v="0"/>
  </r>
  <r>
    <n v="19807"/>
    <s v="19807"/>
    <x v="13"/>
    <x v="13"/>
    <s v="TIMBÍO"/>
    <n v="63.480133333333299"/>
    <n v="63.91"/>
    <n v="60.77"/>
    <n v="42.35"/>
    <n v="51.597366775897754"/>
    <n v="56.431438257873822"/>
    <n v="56.880176265957147"/>
    <n v="54.949300000000001"/>
    <n v="57.627533333333325"/>
    <n v="54.964570324932183"/>
    <n v="56.29605182913275"/>
    <n v="44.189770828869975"/>
    <n v="55.810229171130025"/>
    <n v="0.6022920625401702"/>
    <n v="0"/>
    <n v="33.906665169036685"/>
    <n v="3"/>
    <n v="3"/>
    <b v="1"/>
    <x v="4"/>
    <n v="58.156829608592631"/>
    <n v="0.61328058132033381"/>
    <n v="35.666454270105291"/>
    <n v="2"/>
    <n v="-1"/>
    <n v="-1.8607777794598803"/>
    <n v="-1.0988518780163603E-2"/>
    <n v="-1.7597891010686055"/>
    <n v="3"/>
    <b v="1"/>
    <s v="Efecto ponderador"/>
    <n v="0.9741882058902549"/>
    <n v="56.65569749666011"/>
    <n v="0.53807704310691717"/>
    <n v="2"/>
    <n v="-1"/>
    <n v="53.807704310691719"/>
    <n v="4"/>
    <n v="-0.3718961433500847"/>
    <b v="0"/>
    <s v="Cambio en corte"/>
    <n v="2"/>
    <n v="-1"/>
    <n v="0"/>
    <n v="0"/>
    <n v="0"/>
    <n v="0"/>
    <n v="0"/>
    <s v="Intermedio"/>
    <n v="6"/>
    <s v="Fuera SC"/>
    <m/>
    <s v="No"/>
    <s v="Si"/>
    <n v="35.700000000000003"/>
    <n v="17.466583773702208"/>
    <n v="4.1406376746913098"/>
    <s v="Sin riesgo"/>
    <n v="1.7905096837671699"/>
    <s v="Medio Bajo"/>
    <n v="57656.327897000003"/>
    <n v="7772.6490185000002"/>
    <n v="38572"/>
    <n v="1.4947715414549414"/>
    <n v="0.20151013736648346"/>
    <m/>
    <m/>
    <m/>
    <m/>
    <m/>
    <m/>
    <m/>
    <n v="46"/>
    <n v="0"/>
    <n v="7"/>
    <n v="20139.793691999999"/>
    <n v="5558.6947659999996"/>
    <n v="0.27600554658154441"/>
    <s v="0% - 30%"/>
    <n v="1.6172338516130794E-4"/>
    <n v="60.234518999999999"/>
    <n v="2.9908210541365462E-3"/>
    <s v="0% - 30%"/>
    <n v="0.94519458293896585"/>
    <s v="Aceptable"/>
    <n v="1"/>
    <s v="Candidato"/>
    <n v="0"/>
    <n v="0"/>
  </r>
  <r>
    <n v="76895"/>
    <s v="76895"/>
    <x v="3"/>
    <x v="3"/>
    <s v="ZARZAL"/>
    <n v="82.6779333333333"/>
    <n v="77.069999999999993"/>
    <n v="81.8"/>
    <n v="75.150000000000006"/>
    <n v="60.133691759904508"/>
    <n v="60.499319405997134"/>
    <n v="71.437672704678661"/>
    <n v="60.914700000000003"/>
    <n v="79.174483333333313"/>
    <n v="63.246345967645077"/>
    <n v="71.210414650489199"/>
    <n v="44.676801198710052"/>
    <n v="55.323198801289948"/>
    <n v="0.59790878921160961"/>
    <n v="0"/>
    <n v="42.577332802930663"/>
    <n v="2"/>
    <n v="2"/>
    <b v="1"/>
    <x v="3"/>
    <n v="71.404128036630226"/>
    <n v="0.61248841873075521"/>
    <n v="43.734201472004031"/>
    <n v="2"/>
    <n v="0"/>
    <n v="-0.1937133861410274"/>
    <n v="-1.4579629519145598E-2"/>
    <n v="-1.1568686690733685"/>
    <n v="2"/>
    <b v="1"/>
    <n v="0"/>
    <n v="0.9741882058902549"/>
    <n v="69.561059385162849"/>
    <n v="0.69950951679839957"/>
    <n v="1"/>
    <n v="-1"/>
    <n v="69.95095167983996"/>
    <n v="3"/>
    <n v="-0.37627941667864528"/>
    <b v="0"/>
    <s v="Cambio en corte"/>
    <n v="1"/>
    <n v="-1"/>
    <n v="0"/>
    <n v="0"/>
    <n v="0"/>
    <n v="0"/>
    <n v="0"/>
    <s v="Intermedio"/>
    <n v="5"/>
    <s v="Fuera SC"/>
    <m/>
    <s v="No"/>
    <s v="No"/>
    <n v="17.2"/>
    <n v="6.0949230181956988"/>
    <n v="1.2513431263601427"/>
    <s v="Sin riesgo"/>
    <n v="5.3035326183339189"/>
    <s v="Medio Bajo"/>
    <n v="80862.879197999995"/>
    <n v="39829.849006800003"/>
    <n v="43760"/>
    <n v="1.8478720109232174"/>
    <n v="0.91018850563985376"/>
    <m/>
    <m/>
    <m/>
    <m/>
    <m/>
    <m/>
    <m/>
    <n v="66"/>
    <n v="0"/>
    <n v="6"/>
    <n v="36795.292742999998"/>
    <n v="3116.1004090000001"/>
    <n v="8.4687474312670402E-2"/>
    <s v="0% - 30%"/>
    <n v="9.065910755316623E-5"/>
    <s v="N.D."/>
    <s v="N.D."/>
    <s v="N.D."/>
    <n v="0.98101340272780946"/>
    <s v="Aceptable"/>
    <n v="3"/>
    <s v="Candidato"/>
    <n v="0"/>
    <n v="0"/>
  </r>
  <r>
    <n v="52838"/>
    <s v="52838"/>
    <x v="18"/>
    <x v="18"/>
    <s v="TÚQUERRES"/>
    <n v="54.001833333333302"/>
    <n v="41.35"/>
    <n v="48.64"/>
    <n v="52.43"/>
    <n v="56.053053135901209"/>
    <n v="50.010760096350211"/>
    <n v="52.232093641386307"/>
    <n v="48.305799999999998"/>
    <n v="49.105458333333331"/>
    <n v="51.650426718409435"/>
    <n v="50.377942525871383"/>
    <n v="44.288312840390844"/>
    <n v="55.711687159609156"/>
    <n v="0.60140518443648239"/>
    <n v="0"/>
    <n v="30.297555816302189"/>
    <n v="3"/>
    <n v="3"/>
    <b v="1"/>
    <x v="4"/>
    <n v="49.564092147330371"/>
    <n v="0.61286338516836081"/>
    <n v="30.376017296209461"/>
    <n v="3"/>
    <n v="0"/>
    <n v="0.81385037854101228"/>
    <n v="-1.1458200731878421E-2"/>
    <n v="-7.8461479907272036E-2"/>
    <n v="3"/>
    <b v="1"/>
    <n v="0"/>
    <n v="0.9741882058902549"/>
    <n v="48.284754005587047"/>
    <n v="0.43336536383975655"/>
    <n v="3"/>
    <n v="0"/>
    <n v="43.336536383975655"/>
    <n v="4"/>
    <n v="-0.37278302145377251"/>
    <b v="0"/>
    <n v="0"/>
    <n v="2"/>
    <n v="-1"/>
    <n v="0"/>
    <n v="0"/>
    <n v="0"/>
    <n v="0"/>
    <n v="0"/>
    <s v="Intermedio"/>
    <n v="6"/>
    <s v="Fuera SC"/>
    <m/>
    <s v="No"/>
    <s v="No"/>
    <n v="32.5"/>
    <n v="15.17573790832518"/>
    <n v="38.533938409751862"/>
    <s v="Alto"/>
    <n v="8.360067088569096"/>
    <s v="Medio"/>
    <n v="77222.682686"/>
    <n v="10870.457479999999"/>
    <n v="47014"/>
    <n v="1.642546532649849"/>
    <n v="0.23121745607691324"/>
    <m/>
    <m/>
    <m/>
    <m/>
    <m/>
    <m/>
    <m/>
    <n v="70"/>
    <n v="1"/>
    <n v="6"/>
    <n v="21651.509687000002"/>
    <n v="5956.6295099999998"/>
    <n v="0.27511381867179818"/>
    <s v="0% - 30%"/>
    <n v="1.7330080694503508E-4"/>
    <s v="N.D."/>
    <s v="N.D."/>
    <s v="N.D."/>
    <n v="0.97240575648770977"/>
    <s v="Aceptable"/>
    <n v="1"/>
    <s v="Candidato"/>
    <n v="1"/>
    <s v="Unidad Especial de Desarrollo Fronterizo"/>
  </r>
  <r>
    <n v="70418"/>
    <s v="70418"/>
    <x v="9"/>
    <x v="9"/>
    <s v="LOS PALMITOS"/>
    <n v="52.856533333333303"/>
    <n v="59.6"/>
    <n v="63.61"/>
    <n v="61.68"/>
    <n v="52.3002717340324"/>
    <n v="56.058878221933753"/>
    <n v="42.807858933876986"/>
    <n v="53.1023"/>
    <n v="59.436633333333333"/>
    <n v="51.06732722246079"/>
    <n v="55.251980277897061"/>
    <n v="44.060652492354421"/>
    <n v="55.939347507645579"/>
    <n v="0.60345412756881023"/>
    <n v="0"/>
    <n v="33.342035555047481"/>
    <n v="3"/>
    <n v="3"/>
    <b v="1"/>
    <x v="4"/>
    <n v="52.839131401985128"/>
    <n v="0.61235492266999969"/>
    <n v="32.356302223612552"/>
    <n v="3"/>
    <n v="0"/>
    <n v="2.4128488759119335"/>
    <n v="-8.9007951011894626E-3"/>
    <n v="0.98573333143492903"/>
    <n v="3"/>
    <b v="1"/>
    <n v="0"/>
    <n v="0.9741882058902549"/>
    <n v="51.475258621299318"/>
    <n v="0.47327521347344859"/>
    <n v="3"/>
    <n v="0"/>
    <n v="47.327521347344856"/>
    <n v="4"/>
    <n v="-0.37073407832144467"/>
    <b v="0"/>
    <n v="0"/>
    <n v="3"/>
    <n v="0"/>
    <n v="0"/>
    <n v="0"/>
    <n v="0"/>
    <n v="1"/>
    <n v="1"/>
    <s v="Intermedio"/>
    <n v="6"/>
    <s v="Fuera SC"/>
    <m/>
    <s v="No"/>
    <s v="Si"/>
    <n v="41.6"/>
    <n v="22.234437268104987"/>
    <n v="14.84375"/>
    <s v="Medio"/>
    <n v="6.5472237467966323"/>
    <s v="Medio"/>
    <n v="56997.520283999998"/>
    <n v="9306.4837805000006"/>
    <n v="25570"/>
    <n v="2.2290778366836137"/>
    <n v="0.36396103951896758"/>
    <m/>
    <m/>
    <m/>
    <m/>
    <m/>
    <m/>
    <m/>
    <n v="43"/>
    <n v="0"/>
    <n v="7"/>
    <n v="19876.472293999999"/>
    <n v="160.924387"/>
    <n v="8.0962247535533438E-3"/>
    <s v="0% - 30%"/>
    <n v="4.68189704889588E-6"/>
    <s v="N.D."/>
    <s v="N.D."/>
    <s v="N.D."/>
    <n v="0.86912530064912485"/>
    <s v="Aceptable"/>
    <n v="2"/>
    <s v="No es Candidato"/>
    <n v="0"/>
    <n v="0"/>
  </r>
  <r>
    <n v="8141"/>
    <s v="08141"/>
    <x v="2"/>
    <x v="2"/>
    <s v="CANDELARIA"/>
    <n v="75.525966666666704"/>
    <n v="57.45"/>
    <n v="66.91"/>
    <n v="61.81"/>
    <n v="37.997208220371981"/>
    <n v="51.870440604476528"/>
    <n v="43.22924638843719"/>
    <n v="33.481400000000001"/>
    <n v="65.423991666666666"/>
    <n v="41.644573803321428"/>
    <n v="53.534282734994051"/>
    <n v="43.732007518742279"/>
    <n v="56.267992481257721"/>
    <n v="0.60641193233131951"/>
    <n v="0"/>
    <n v="32.463827839298936"/>
    <n v="3"/>
    <n v="3"/>
    <b v="1"/>
    <x v="4"/>
    <n v="56.430611994279928"/>
    <n v="0.61233810953925061"/>
    <n v="34.554614268720329"/>
    <n v="3"/>
    <n v="0"/>
    <n v="-2.8963292592858778"/>
    <n v="-5.9261772079310937E-3"/>
    <n v="-2.0907864294213923"/>
    <n v="3"/>
    <b v="1"/>
    <n v="0"/>
    <n v="0.9741882058902549"/>
    <n v="54.974036655996663"/>
    <n v="0.51704123862783069"/>
    <n v="2"/>
    <n v="-1"/>
    <n v="51.704123862783071"/>
    <n v="4"/>
    <n v="-0.36777627355893538"/>
    <b v="0"/>
    <s v="Cambio en corte"/>
    <n v="2"/>
    <n v="-1"/>
    <n v="0"/>
    <n v="0"/>
    <n v="0"/>
    <n v="0"/>
    <n v="0"/>
    <s v="Intermedio"/>
    <n v="6"/>
    <s v="Fuera SC"/>
    <m/>
    <s v="No"/>
    <s v="No"/>
    <n v="52"/>
    <n v="32.960143304970892"/>
    <n v="1.0732838501448922"/>
    <s v="Sin riesgo"/>
    <n v="0.96732034223592356"/>
    <s v="Medio Bajo"/>
    <n v="35145.488705000003"/>
    <n v="5692.602081"/>
    <n v="19104"/>
    <n v="1.8396926667190119"/>
    <n v="0.29797958966708543"/>
    <m/>
    <m/>
    <m/>
    <m/>
    <m/>
    <m/>
    <m/>
    <n v="77"/>
    <n v="0"/>
    <n v="7"/>
    <n v="13568.066080000001"/>
    <n v="0"/>
    <n v="0"/>
    <n v="0"/>
    <n v="0"/>
    <s v="N.D."/>
    <s v="N.D."/>
    <s v="N.D."/>
    <n v="0.94216867726099685"/>
    <s v="Aceptable"/>
    <n v="2"/>
    <s v="Candidato"/>
    <n v="0"/>
    <n v="0"/>
  </r>
  <r>
    <n v="68327"/>
    <s v="68327"/>
    <x v="0"/>
    <x v="0"/>
    <s v="GÜEPSA"/>
    <n v="76.781599999999997"/>
    <n v="66.040000000000006"/>
    <n v="61.97"/>
    <n v="71.010000000000005"/>
    <n v="41.299066328359146"/>
    <n v="41.58548583051266"/>
    <n v="57.173986234690702"/>
    <n v="56.351199999999999"/>
    <n v="68.950400000000002"/>
    <n v="49.10243459839063"/>
    <n v="59.026417299195316"/>
    <n v="44.698352055633194"/>
    <n v="55.301647944366806"/>
    <n v="0.59771483149930127"/>
    <n v="0"/>
    <n v="35.280965069995972"/>
    <n v="3"/>
    <n v="3"/>
    <b v="1"/>
    <x v="4"/>
    <n v="59.268005856768148"/>
    <n v="0.60805464709293799"/>
    <n v="36.03818638513934"/>
    <n v="2"/>
    <n v="-1"/>
    <n v="-0.24158855757283249"/>
    <n v="-1.0339815593636725E-2"/>
    <n v="-0.75722131514336866"/>
    <n v="2"/>
    <b v="0"/>
    <s v="Cambio en corte"/>
    <n v="0.9741882058902549"/>
    <n v="57.738192292298081"/>
    <n v="0.55161791194327869"/>
    <n v="2"/>
    <n v="-1"/>
    <n v="55.161791194327868"/>
    <n v="3"/>
    <n v="-0.37647337439095363"/>
    <b v="1"/>
    <s v="Efecto ponderador"/>
    <n v="2"/>
    <n v="-1"/>
    <n v="0"/>
    <n v="0"/>
    <n v="0"/>
    <n v="0"/>
    <n v="0"/>
    <s v="Intermedio"/>
    <n v="6"/>
    <s v="Fuera SC"/>
    <m/>
    <s v="No"/>
    <s v="Si"/>
    <n v="29.6"/>
    <n v="10.699681962744208"/>
    <n v="0"/>
    <s v="Sin riesgo"/>
    <n v="0"/>
    <s v="Bajo"/>
    <n v="13130.678288999999"/>
    <n v="3441.3200778"/>
    <n v="5560"/>
    <n v="2.3616327857913668"/>
    <n v="0.6189424600359712"/>
    <m/>
    <m/>
    <m/>
    <m/>
    <m/>
    <m/>
    <m/>
    <n v="20"/>
    <n v="0"/>
    <n v="7"/>
    <n v="3010.9312070000001"/>
    <n v="19.411439000000001"/>
    <n v="6.4469885445642468E-3"/>
    <s v="0% - 30%"/>
    <n v="5.6475193513660799E-7"/>
    <s v="N.D."/>
    <s v="N.D."/>
    <s v="N.D."/>
    <n v="0.96563595955637971"/>
    <s v="Aceptable"/>
    <n v="2"/>
    <s v="Candidato"/>
    <n v="0"/>
    <n v="0"/>
  </r>
  <r>
    <n v="76869"/>
    <s v="76869"/>
    <x v="3"/>
    <x v="3"/>
    <s v="VIJES"/>
    <n v="52.731999999999999"/>
    <n v="50.19"/>
    <n v="51.2"/>
    <n v="38.619999999999997"/>
    <n v="52.882321773699722"/>
    <n v="55.81429741120786"/>
    <n v="56.088258777574481"/>
    <n v="53.6751"/>
    <n v="48.185500000000005"/>
    <n v="54.614994490620518"/>
    <n v="51.400247245310261"/>
    <n v="44.207345120004618"/>
    <n v="55.792654879995382"/>
    <n v="0.60213389391995842"/>
    <n v="0"/>
    <n v="30.949831022267283"/>
    <n v="3"/>
    <n v="3"/>
    <b v="1"/>
    <x v="4"/>
    <n v="52.232264077886455"/>
    <n v="0.61195983423665512"/>
    <n v="31.964047666908591"/>
    <n v="3"/>
    <n v="0"/>
    <n v="-0.83201683257619408"/>
    <n v="-9.8259403166967019E-3"/>
    <n v="-1.0142166446413086"/>
    <n v="3"/>
    <b v="1"/>
    <n v="0"/>
    <n v="0.9741882058902549"/>
    <n v="50.884055631622218"/>
    <n v="0.46587988725928015"/>
    <n v="3"/>
    <n v="0"/>
    <n v="46.587988725928014"/>
    <n v="4"/>
    <n v="-0.37205431197029648"/>
    <b v="0"/>
    <n v="0"/>
    <n v="3"/>
    <n v="0"/>
    <n v="0"/>
    <n v="0"/>
    <n v="0"/>
    <n v="0"/>
    <n v="0"/>
    <s v="Ciudades y aglomeraciones"/>
    <n v="6"/>
    <s v="En aglomeración"/>
    <m/>
    <s v="No"/>
    <s v="Si"/>
    <n v="19"/>
    <n v="7.1315519970207619"/>
    <n v="20.065993955809695"/>
    <s v="Medio"/>
    <n v="1.3541043235737555"/>
    <s v="Medio Bajo"/>
    <n v="18786.003680999998"/>
    <n v="5108.1962076"/>
    <n v="13893"/>
    <n v="1.3521920161952061"/>
    <n v="0.36768129328438781"/>
    <m/>
    <m/>
    <m/>
    <m/>
    <m/>
    <m/>
    <m/>
    <n v="85"/>
    <n v="0"/>
    <n v="7"/>
    <n v="11297.115349"/>
    <n v="8019.1615529999999"/>
    <n v="0.70984152195187078"/>
    <s v="71% - 100%"/>
    <n v="2.3330763913122755E-4"/>
    <n v="48.701593000000003"/>
    <n v="4.3109759877162784E-3"/>
    <s v="0% - 30%"/>
    <n v="0.92518056817303895"/>
    <s v="Aceptable"/>
    <n v="1"/>
    <s v="Candidato"/>
    <n v="0"/>
    <n v="0"/>
  </r>
  <r>
    <n v="23417"/>
    <s v="23417"/>
    <x v="14"/>
    <x v="14"/>
    <s v="LORICA"/>
    <n v="64.372666666666703"/>
    <n v="58.3"/>
    <n v="59.71"/>
    <n v="59.77"/>
    <n v="52.022231681790856"/>
    <n v="55.455237008432768"/>
    <n v="57.178336556804496"/>
    <n v="48.110599999999998"/>
    <n v="60.538166666666676"/>
    <n v="53.191601311757033"/>
    <n v="56.864883989211854"/>
    <n v="44.283889874770871"/>
    <n v="55.716110125229129"/>
    <n v="0.60144499112706207"/>
    <n v="0"/>
    <n v="34.201099646332935"/>
    <n v="3"/>
    <n v="3"/>
    <b v="1"/>
    <x v="4"/>
    <n v="57.679729519479039"/>
    <n v="0.61131641790971558"/>
    <n v="35.260565635849204"/>
    <n v="2"/>
    <n v="-1"/>
    <n v="-0.81484553026718487"/>
    <n v="-9.871426782653514E-3"/>
    <n v="-1.0594659895162692"/>
    <n v="3"/>
    <b v="1"/>
    <s v="Efecto ponderador"/>
    <n v="0.9741882058902549"/>
    <n v="56.190912216816457"/>
    <n v="0.53226306918593835"/>
    <n v="2"/>
    <n v="-1"/>
    <n v="53.226306918593835"/>
    <n v="4"/>
    <n v="-0.37274321476319283"/>
    <b v="0"/>
    <s v="Cambio en corte"/>
    <n v="2"/>
    <n v="-1"/>
    <n v="0"/>
    <n v="1"/>
    <n v="0"/>
    <n v="0"/>
    <n v="0"/>
    <s v="Intermedio"/>
    <n v="6"/>
    <s v="Fuera SC"/>
    <m/>
    <s v="Si"/>
    <s v="Si"/>
    <n v="41.1"/>
    <n v="33.403429639562759"/>
    <n v="0"/>
    <s v="Sin riesgo"/>
    <n v="1.6638745838773283"/>
    <s v="Medio Bajo"/>
    <n v="356561.56553299999"/>
    <n v="26785.029535999998"/>
    <n v="120346"/>
    <n v="2.9628036289781128"/>
    <n v="0.22256684506340052"/>
    <m/>
    <m/>
    <m/>
    <m/>
    <m/>
    <m/>
    <m/>
    <n v="56"/>
    <n v="0"/>
    <n v="6"/>
    <n v="95122.870303000003"/>
    <n v="23536.813392"/>
    <n v="0.24743590386861666"/>
    <s v="0% - 30%"/>
    <n v="6.8477462748028266E-4"/>
    <s v="N.D."/>
    <s v="N.D."/>
    <s v="N.D."/>
    <n v="0.90016962909472831"/>
    <s v="Aceptable"/>
    <n v="1"/>
    <s v="Candidato"/>
    <n v="0"/>
    <n v="0"/>
  </r>
  <r>
    <n v="23500"/>
    <s v="23500"/>
    <x v="14"/>
    <x v="14"/>
    <s v="MOÑITOS"/>
    <n v="72.960133333333303"/>
    <n v="62.7"/>
    <n v="52.74"/>
    <n v="48.03"/>
    <n v="49.506403743956"/>
    <n v="41.067858464808602"/>
    <n v="51.718703018074386"/>
    <n v="49.653300000000002"/>
    <n v="59.107533333333329"/>
    <n v="47.986566306709747"/>
    <n v="53.547049820021542"/>
    <n v="44.363643087691152"/>
    <n v="55.636356912308848"/>
    <n v="0.60072721221077963"/>
    <n v="0"/>
    <n v="32.167169960493268"/>
    <n v="3"/>
    <n v="3"/>
    <b v="1"/>
    <x v="4"/>
    <n v="56.406618882548436"/>
    <n v="0.61109817922978293"/>
    <n v="34.46998209563364"/>
    <n v="3"/>
    <n v="0"/>
    <n v="-2.8595690625268944"/>
    <n v="-1.0370967019003308E-2"/>
    <n v="-2.3028121351403712"/>
    <n v="3"/>
    <b v="1"/>
    <n v="0"/>
    <n v="0.9741882058902549"/>
    <n v="54.950662849525237"/>
    <n v="0.51674885694718764"/>
    <n v="2"/>
    <n v="-1"/>
    <n v="51.674885694718768"/>
    <n v="4"/>
    <n v="-0.37346099367947527"/>
    <b v="0"/>
    <s v="Cambio en corte"/>
    <n v="2"/>
    <n v="-1"/>
    <n v="0"/>
    <n v="0"/>
    <n v="0"/>
    <n v="0"/>
    <n v="0"/>
    <s v="Intermedio"/>
    <n v="6"/>
    <s v="Fuera SC"/>
    <m/>
    <s v="No"/>
    <s v="No"/>
    <n v="65.400000000000006"/>
    <n v="68.344291691572025"/>
    <n v="0"/>
    <s v="Sin riesgo"/>
    <n v="1.483657602527013"/>
    <s v="Medio Bajo"/>
    <n v="85636.206806999995"/>
    <n v="10420.231076"/>
    <n v="32846"/>
    <n v="2.6072035196675394"/>
    <n v="0.31724505498386407"/>
    <m/>
    <m/>
    <m/>
    <m/>
    <m/>
    <m/>
    <m/>
    <n v="56"/>
    <n v="0"/>
    <n v="7"/>
    <n v="20341.361346999998"/>
    <n v="300.38754399999999"/>
    <n v="1.4767327460327625E-2"/>
    <s v="0% - 30%"/>
    <n v="8.7394060154392976E-6"/>
    <s v="N.D."/>
    <s v="N.D."/>
    <s v="N.D."/>
    <n v="0.93094095578789582"/>
    <s v="Aceptable"/>
    <n v="1"/>
    <s v="Candidato"/>
    <n v="0"/>
    <n v="0"/>
  </r>
  <r>
    <n v="5679"/>
    <s v="05679"/>
    <x v="1"/>
    <x v="1"/>
    <s v="SANTA BÁRBARA"/>
    <n v="94.980266666666694"/>
    <n v="80.14"/>
    <n v="68"/>
    <n v="66.95"/>
    <n v="33.121756356189039"/>
    <n v="44.032288908990814"/>
    <n v="30.50267075446812"/>
    <n v="49.307899999999997"/>
    <n v="77.517566666666667"/>
    <n v="39.241154004911991"/>
    <n v="58.379360335789329"/>
    <n v="43.856564515687587"/>
    <n v="56.143435484312413"/>
    <n v="0.60529091935881163"/>
    <n v="0"/>
    <n v="35.336496689229264"/>
    <n v="3"/>
    <n v="3"/>
    <b v="1"/>
    <x v="4"/>
    <n v="60.934122447118796"/>
    <n v="0.61376286625813292"/>
    <n v="37.39910164606767"/>
    <n v="2"/>
    <n v="-1"/>
    <n v="-2.5547621113294667"/>
    <n v="-8.4719468993212921E-3"/>
    <n v="-2.0626049568384062"/>
    <n v="2"/>
    <b v="0"/>
    <s v="Cambio en corte"/>
    <n v="0.9741882058902549"/>
    <n v="59.361303424255766"/>
    <n v="0.57192132128366646"/>
    <n v="2"/>
    <n v="-1"/>
    <n v="57.192132128366644"/>
    <n v="3"/>
    <n v="-0.36889728653144327"/>
    <b v="1"/>
    <s v="Efecto ponderador"/>
    <n v="1"/>
    <n v="-2"/>
    <n v="0"/>
    <n v="0"/>
    <n v="0"/>
    <n v="0"/>
    <n v="0"/>
    <s v="Intermedio"/>
    <n v="6"/>
    <s v="Fuera SC"/>
    <m/>
    <s v="No"/>
    <s v="Si"/>
    <n v="28.1"/>
    <n v="9.8140685107162486"/>
    <n v="5.7586719630785348"/>
    <s v="Bajo"/>
    <n v="3.3859011038820062"/>
    <s v="Medio Bajo"/>
    <n v="35691.122984000001"/>
    <n v="19769.939991299998"/>
    <n v="29171"/>
    <n v="1.2235138659627713"/>
    <n v="0.67772582329368203"/>
    <m/>
    <m/>
    <m/>
    <m/>
    <m/>
    <m/>
    <m/>
    <n v="65"/>
    <n v="0"/>
    <n v="6"/>
    <n v="19611.812807999999"/>
    <n v="3109.424771"/>
    <n v="0.15854856465546172"/>
    <s v="0% - 30%"/>
    <n v="9.046488807882579E-5"/>
    <s v="N.D."/>
    <s v="N.D."/>
    <s v="N.D."/>
    <n v="0.82714714481719165"/>
    <s v="Crítico bajo"/>
    <n v="2"/>
    <s v="Candidato"/>
    <n v="0"/>
    <n v="0"/>
  </r>
  <r>
    <n v="5656"/>
    <s v="05656"/>
    <x v="1"/>
    <x v="1"/>
    <s v="SAN JERÓNIMO"/>
    <n v="67.755766666666702"/>
    <n v="82"/>
    <n v="79.86"/>
    <n v="81.84"/>
    <n v="52.674343948168982"/>
    <n v="55.676478419716631"/>
    <n v="58.567127704070202"/>
    <n v="76.715999999999994"/>
    <n v="77.863941666666676"/>
    <n v="60.908487517988959"/>
    <n v="69.386214592327818"/>
    <n v="42.599931663646821"/>
    <n v="57.400068336353179"/>
    <n v="0.61660061502717867"/>
    <n v="0"/>
    <n v="42.783582592037135"/>
    <n v="2"/>
    <n v="2"/>
    <b v="1"/>
    <x v="3"/>
    <n v="64.052318642592013"/>
    <n v="0.61134027694085646"/>
    <n v="39.157762217666182"/>
    <n v="2"/>
    <n v="0"/>
    <n v="5.3338959497358047"/>
    <n v="5.2603380863222027E-3"/>
    <n v="3.6258203743709529"/>
    <n v="2"/>
    <b v="1"/>
    <n v="0"/>
    <n v="0.9741882058902549"/>
    <n v="62.399013381537642"/>
    <n v="0.60991987080114562"/>
    <n v="2"/>
    <n v="0"/>
    <n v="60.991987080114562"/>
    <n v="3"/>
    <n v="-0.35758759086307623"/>
    <b v="0"/>
    <n v="0"/>
    <n v="2"/>
    <n v="0"/>
    <n v="0"/>
    <n v="0"/>
    <n v="0"/>
    <n v="0"/>
    <n v="0"/>
    <s v="Intermedio"/>
    <n v="6"/>
    <s v="Fuera SC"/>
    <m/>
    <s v="No"/>
    <s v="Si"/>
    <n v="30.5"/>
    <n v="13.2871392674941"/>
    <n v="33.670518598923351"/>
    <s v="Medio"/>
    <n v="5.0853676797186642"/>
    <s v="Medio Bajo"/>
    <n v="44157.219942999996"/>
    <n v="18823.665247299999"/>
    <n v="17982"/>
    <n v="2.4556345202424645"/>
    <n v="1.0468059863919474"/>
    <m/>
    <m/>
    <m/>
    <m/>
    <m/>
    <m/>
    <m/>
    <n v="90"/>
    <n v="0"/>
    <n v="7"/>
    <n v="15213.959889"/>
    <n v="4030.4912850000001"/>
    <n v="0.26492059361311493"/>
    <s v="0% - 30%"/>
    <n v="1.1726218508349554E-4"/>
    <s v="N.D."/>
    <s v="N.D."/>
    <s v="N.D."/>
    <n v="0.96812798960931068"/>
    <s v="Aceptable"/>
    <n v="3"/>
    <s v="Candidato"/>
    <n v="0"/>
    <n v="0"/>
  </r>
  <r>
    <n v="5664"/>
    <s v="05664"/>
    <x v="1"/>
    <x v="1"/>
    <s v="SAN PEDRO DE LOS MILAGROS"/>
    <n v="63.296466666666703"/>
    <n v="60.71"/>
    <n v="63.87"/>
    <n v="63.1"/>
    <n v="58.989262799907223"/>
    <n v="64.317308178421243"/>
    <n v="13.784867693438001"/>
    <n v="56.901400000000002"/>
    <n v="62.744116666666677"/>
    <n v="48.498209667941616"/>
    <n v="55.621163167304147"/>
    <n v="44.885101911276095"/>
    <n v="55.114898088723905"/>
    <n v="0.59603408279851522"/>
    <n v="0"/>
    <n v="33.152108972610684"/>
    <n v="3"/>
    <n v="3"/>
    <b v="1"/>
    <x v="4"/>
    <n v="56.545355007634868"/>
    <n v="0.60987671083582728"/>
    <n v="34.485695125100527"/>
    <n v="3"/>
    <n v="0"/>
    <n v="-0.92419184033072099"/>
    <n v="-1.3842628037312066E-2"/>
    <n v="-1.3335861524898434"/>
    <n v="3"/>
    <b v="1"/>
    <n v="0"/>
    <n v="0.9741882058902549"/>
    <n v="55.085817946315352"/>
    <n v="0.5184395047411311"/>
    <n v="2"/>
    <n v="-1"/>
    <n v="51.843950474113107"/>
    <n v="4"/>
    <n v="-0.37815412309173968"/>
    <b v="0"/>
    <s v="Cambio en corte"/>
    <n v="2"/>
    <n v="-1"/>
    <n v="0"/>
    <n v="0"/>
    <n v="0"/>
    <n v="0"/>
    <n v="0"/>
    <s v="Intermedio"/>
    <n v="5"/>
    <s v="Fuera SC"/>
    <m/>
    <s v="No"/>
    <s v="Si"/>
    <n v="19.5"/>
    <n v="6.6686251468860167"/>
    <n v="1.5039829596155581"/>
    <s v="Sin riesgo"/>
    <n v="2.5920751394671036"/>
    <s v="Medio Bajo"/>
    <n v="66380.571121000001"/>
    <n v="27436.763865500001"/>
    <n v="22297"/>
    <n v="2.9771077329237117"/>
    <n v="1.2305136953626048"/>
    <m/>
    <m/>
    <m/>
    <m/>
    <m/>
    <m/>
    <m/>
    <n v="61"/>
    <n v="0"/>
    <n v="6"/>
    <n v="23536.616716"/>
    <n v="4943.5225920000003"/>
    <n v="0.21003539513134162"/>
    <s v="0% - 30%"/>
    <n v="1.4382570762649488E-4"/>
    <s v="N.D."/>
    <s v="N.D."/>
    <s v="N.D."/>
    <n v="0.92256172677084347"/>
    <s v="Aceptable"/>
    <n v="2"/>
    <s v="Candidato"/>
    <n v="0"/>
    <n v="0"/>
  </r>
  <r>
    <n v="66088"/>
    <s v="66088"/>
    <x v="6"/>
    <x v="6"/>
    <s v="BELÉN DE UMBRÍA"/>
    <n v="65.507366666666698"/>
    <n v="46.09"/>
    <n v="45.22"/>
    <n v="58.54"/>
    <n v="51.688693549672436"/>
    <n v="55.721556011765436"/>
    <n v="62.667546239163599"/>
    <n v="53.6509"/>
    <n v="53.839341666666677"/>
    <n v="55.932173950150364"/>
    <n v="54.88575780840852"/>
    <n v="44.985049339106865"/>
    <n v="55.014950660893135"/>
    <n v="0.59513455594803821"/>
    <n v="0"/>
    <n v="32.664411101178779"/>
    <n v="3"/>
    <n v="3"/>
    <b v="1"/>
    <x v="4"/>
    <n v="55.729026531637899"/>
    <n v="0.60855788210853601"/>
    <n v="33.914338358063972"/>
    <n v="3"/>
    <n v="0"/>
    <n v="-0.84326872322937874"/>
    <n v="-1.3423326160497795E-2"/>
    <n v="-1.2499272568851936"/>
    <n v="3"/>
    <b v="1"/>
    <n v="0"/>
    <n v="0.9741882058902549"/>
    <n v="54.290560372866743"/>
    <n v="0.50849167077778701"/>
    <n v="2"/>
    <n v="-1"/>
    <n v="50.849167077778702"/>
    <n v="4"/>
    <n v="-0.37905364994221669"/>
    <b v="0"/>
    <s v="Cambio en corte"/>
    <n v="2"/>
    <n v="-1"/>
    <n v="0"/>
    <n v="0"/>
    <n v="0"/>
    <n v="0"/>
    <n v="0"/>
    <s v="Intermedio"/>
    <n v="6"/>
    <s v="Fuera SC"/>
    <m/>
    <s v="No"/>
    <s v="Si"/>
    <n v="35.6"/>
    <n v="13.024581736610898"/>
    <n v="12.717806284011049"/>
    <s v="Bajo"/>
    <n v="3.6079030665625393"/>
    <s v="Medio Bajo"/>
    <n v="51639.006415000003"/>
    <n v="12823.8728784"/>
    <n v="25391"/>
    <n v="2.0337523695403883"/>
    <n v="0.50505584177070617"/>
    <m/>
    <m/>
    <m/>
    <m/>
    <m/>
    <m/>
    <m/>
    <n v="31"/>
    <n v="0"/>
    <n v="6"/>
    <n v="18058.722401999999"/>
    <n v="2409.1099439999998"/>
    <n v="0.13340422928995196"/>
    <s v="0% - 30%"/>
    <n v="7.0090089808944367E-5"/>
    <n v="18.609175"/>
    <n v="1.0304812591802751E-3"/>
    <s v="0% - 30%"/>
    <n v="0.91304653235723543"/>
    <s v="Aceptable"/>
    <n v="1"/>
    <s v="Candidato"/>
    <n v="0"/>
    <n v="0"/>
  </r>
  <r>
    <n v="76606"/>
    <s v="76606"/>
    <x v="3"/>
    <x v="3"/>
    <s v="RESTREPO"/>
    <n v="50.624533333333297"/>
    <n v="48.7"/>
    <n v="47.92"/>
    <n v="57.39"/>
    <n v="58.488561686808964"/>
    <n v="54.197214560562252"/>
    <n v="52.515144504992008"/>
    <n v="47.677700000000002"/>
    <n v="51.158633333333327"/>
    <n v="53.219655188090812"/>
    <n v="52.189144260712069"/>
    <n v="45.251208488895401"/>
    <n v="54.748791511104599"/>
    <n v="0.59273912359994141"/>
    <n v="0"/>
    <n v="30.934547630525383"/>
    <n v="3"/>
    <n v="3"/>
    <b v="1"/>
    <x v="4"/>
    <n v="51.744358260156034"/>
    <n v="0.6089048804126086"/>
    <n v="31.507392278427485"/>
    <n v="3"/>
    <n v="0"/>
    <n v="0.44478600055603579"/>
    <n v="-1.6165756812667187E-2"/>
    <n v="-0.57284464790210166"/>
    <n v="3"/>
    <b v="1"/>
    <n v="0"/>
    <n v="0.9741882058902549"/>
    <n v="50.408743538403996"/>
    <n v="0.45993423399929273"/>
    <n v="3"/>
    <n v="0"/>
    <n v="45.99342339992927"/>
    <n v="4"/>
    <n v="-0.38144908229031349"/>
    <b v="0"/>
    <n v="0"/>
    <n v="3"/>
    <n v="0"/>
    <n v="0"/>
    <n v="0"/>
    <n v="0"/>
    <n v="0"/>
    <n v="0"/>
    <s v="Intermedio"/>
    <n v="6"/>
    <s v="Fuera SC"/>
    <m/>
    <s v="No"/>
    <s v="No"/>
    <n v="20.7"/>
    <n v="9.2436318174714796"/>
    <n v="16.544997279487333"/>
    <s v="Medio"/>
    <n v="11.593770847380176"/>
    <s v="Alto"/>
    <n v="32317.037262000002"/>
    <n v="8495.2641887499994"/>
    <n v="15926"/>
    <n v="2.0291998783121938"/>
    <n v="0.53342108431181712"/>
    <m/>
    <m/>
    <m/>
    <m/>
    <m/>
    <m/>
    <m/>
    <n v="85"/>
    <n v="0"/>
    <n v="7"/>
    <n v="13724.335402999999"/>
    <n v="6128.2742909999997"/>
    <n v="0.44652612392877122"/>
    <s v="31% - 50%"/>
    <n v="1.7829460066768745E-4"/>
    <n v="37.255077999999997"/>
    <n v="2.714526926517434E-3"/>
    <s v="0% - 30%"/>
    <n v="0.93712209070006391"/>
    <s v="Aceptable"/>
    <n v="1"/>
    <s v="Candidato"/>
    <n v="0"/>
    <n v="0"/>
  </r>
  <r>
    <n v="23686"/>
    <s v="23686"/>
    <x v="14"/>
    <x v="14"/>
    <s v="SAN PELAYO"/>
    <n v="52.683666666666703"/>
    <n v="48.99"/>
    <n v="47.97"/>
    <n v="51.37"/>
    <n v="48.481867574528394"/>
    <n v="66.146087969596238"/>
    <n v="43.705703497651989"/>
    <n v="56.104799999999997"/>
    <n v="50.253416666666681"/>
    <n v="53.60961476044416"/>
    <n v="51.93151571355542"/>
    <n v="44.383258774289388"/>
    <n v="55.616741225710612"/>
    <n v="0.60055067103139548"/>
    <n v="0"/>
    <n v="31.187506609453166"/>
    <n v="3"/>
    <n v="3"/>
    <b v="1"/>
    <x v="4"/>
    <n v="51.879712537137394"/>
    <n v="0.60817202992566577"/>
    <n v="31.551790085670859"/>
    <n v="3"/>
    <n v="0"/>
    <n v="5.1803176418026453E-2"/>
    <n v="-7.6213588942702915E-3"/>
    <n v="-0.36428347621769319"/>
    <n v="3"/>
    <b v="1"/>
    <n v="0"/>
    <n v="0.9741882058902549"/>
    <n v="50.540604078656038"/>
    <n v="0.46158367036373488"/>
    <n v="3"/>
    <n v="0"/>
    <n v="46.158367036373491"/>
    <n v="4"/>
    <n v="-0.37363753485885942"/>
    <b v="0"/>
    <n v="0"/>
    <n v="3"/>
    <n v="0"/>
    <n v="0"/>
    <n v="0"/>
    <n v="0"/>
    <n v="0"/>
    <n v="0"/>
    <s v="Intermedio"/>
    <n v="6"/>
    <s v="Fuera SC"/>
    <m/>
    <s v="No"/>
    <s v="Si"/>
    <n v="45.8"/>
    <n v="37.174373368789091"/>
    <n v="10.87"/>
    <s v="Bajo"/>
    <n v="3.4074230900585158"/>
    <s v="Medio Bajo"/>
    <n v="95405.126654000007"/>
    <n v="15819.96192475"/>
    <n v="57804"/>
    <n v="1.6504935065739397"/>
    <n v="0.27368282341619954"/>
    <m/>
    <m/>
    <m/>
    <m/>
    <m/>
    <m/>
    <m/>
    <n v="56"/>
    <n v="0"/>
    <n v="7"/>
    <n v="44558.548513000002"/>
    <n v="1707.5963509999999"/>
    <n v="3.8322530871978629E-2"/>
    <s v="0% - 30%"/>
    <n v="4.9680414917176435E-5"/>
    <s v="N.D."/>
    <s v="N.D."/>
    <s v="N.D."/>
    <n v="0.94710903239099564"/>
    <s v="Aceptable"/>
    <n v="1"/>
    <s v="Candidato"/>
    <n v="0"/>
    <n v="0"/>
  </r>
  <r>
    <n v="25035"/>
    <s v="25035"/>
    <x v="5"/>
    <x v="5"/>
    <s v="ANAPOIMA"/>
    <n v="70.854366666666706"/>
    <n v="75.7"/>
    <n v="78.77"/>
    <n v="79.989999999999995"/>
    <n v="63.242340836731003"/>
    <n v="63.8090783322383"/>
    <n v="66.640516527648145"/>
    <n v="60.794600000000003"/>
    <n v="76.328591666666682"/>
    <n v="63.621633924154366"/>
    <n v="69.975112795410524"/>
    <n v="45.00225162305928"/>
    <n v="54.99774837694072"/>
    <n v="0.59497973539246651"/>
    <n v="0"/>
    <n v="41.633774095071352"/>
    <n v="2"/>
    <n v="2"/>
    <b v="1"/>
    <x v="3"/>
    <n v="69.220110945465379"/>
    <n v="0.6088687188811237"/>
    <n v="42.145960272174754"/>
    <n v="2"/>
    <n v="0"/>
    <n v="0.75500184994514541"/>
    <n v="-1.3888983488657192E-2"/>
    <n v="-0.51218617710340197"/>
    <n v="2"/>
    <b v="1"/>
    <n v="0"/>
    <n v="0.9741882058902549"/>
    <n v="67.433415693487319"/>
    <n v="0.67289493696338909"/>
    <n v="1"/>
    <n v="-1"/>
    <n v="67.289493696338909"/>
    <n v="3"/>
    <n v="-0.37920847049778839"/>
    <b v="0"/>
    <s v="Cambio en corte"/>
    <n v="1"/>
    <n v="-1"/>
    <n v="0"/>
    <n v="0"/>
    <n v="0"/>
    <n v="0"/>
    <n v="0"/>
    <s v="Intermedio"/>
    <n v="4"/>
    <s v="Fuera SC"/>
    <m/>
    <s v="No"/>
    <s v="No"/>
    <n v="22.6"/>
    <n v="10.33800494641385"/>
    <n v="2.9871034268616268"/>
    <s v="Sin riesgo"/>
    <n v="6.0503891920324131"/>
    <s v="Medio"/>
    <n v="60519.42381"/>
    <n v="40931.350602999999"/>
    <n v="16635"/>
    <n v="3.6380777763751126"/>
    <n v="2.4605560927562369"/>
    <m/>
    <m/>
    <m/>
    <m/>
    <m/>
    <m/>
    <m/>
    <n v="93"/>
    <n v="0"/>
    <n v="7"/>
    <n v="12383.748530000001"/>
    <n v="5408.0519059999997"/>
    <n v="0.43670556559662305"/>
    <s v="31% - 50%"/>
    <n v="1.5734061649075686E-4"/>
    <s v="N.D."/>
    <s v="N.D."/>
    <s v="N.D."/>
    <n v="0.97298780408960828"/>
    <s v="Aceptable"/>
    <n v="3"/>
    <s v="Candidato"/>
    <n v="0"/>
    <n v="0"/>
  </r>
  <r>
    <n v="25745"/>
    <s v="25745"/>
    <x v="5"/>
    <x v="5"/>
    <s v="SIMIJACA"/>
    <n v="60.173566666666702"/>
    <n v="64.650000000000006"/>
    <n v="33.69"/>
    <n v="74.03"/>
    <n v="61.625507131947295"/>
    <n v="56.961891610431351"/>
    <n v="69.441861654551872"/>
    <n v="51.277299999999997"/>
    <n v="58.135891666666673"/>
    <n v="59.826640099232627"/>
    <n v="58.98126588294965"/>
    <n v="45.885765859522081"/>
    <n v="54.114234140477919"/>
    <n v="0.58702810726430132"/>
    <n v="0"/>
    <n v="34.623660875320446"/>
    <n v="3"/>
    <n v="3"/>
    <b v="1"/>
    <x v="4"/>
    <n v="58.038596087808635"/>
    <n v="0.60478347272845601"/>
    <n v="35.10078369426909"/>
    <n v="2"/>
    <n v="-1"/>
    <n v="0.94266979514101479"/>
    <n v="-1.7755365464154682E-2"/>
    <n v="-0.47712281894864361"/>
    <n v="3"/>
    <b v="1"/>
    <s v="Efecto ponderador"/>
    <n v="0.9741882058902549"/>
    <n v="56.540515795171459"/>
    <n v="0.53663624143425182"/>
    <n v="2"/>
    <n v="-1"/>
    <n v="53.663624143425182"/>
    <n v="4"/>
    <n v="-0.38716009862595357"/>
    <b v="0"/>
    <s v="Cambio en corte"/>
    <n v="2"/>
    <n v="-1"/>
    <n v="0"/>
    <n v="0"/>
    <n v="0"/>
    <n v="0"/>
    <n v="0"/>
    <s v="Intermedio"/>
    <n v="6"/>
    <s v="Fuera SC"/>
    <m/>
    <s v="No"/>
    <s v="No"/>
    <n v="22.4"/>
    <n v="5.2397945861258597"/>
    <n v="14.611737519188946"/>
    <s v="Medio"/>
    <n v="0"/>
    <s v="Bajo"/>
    <n v="21813.713531000001"/>
    <n v="6818.9167338500001"/>
    <n v="14289"/>
    <n v="1.526608827139758"/>
    <n v="0.47721441205472742"/>
    <m/>
    <m/>
    <m/>
    <m/>
    <m/>
    <m/>
    <m/>
    <n v="86"/>
    <n v="0"/>
    <n v="7"/>
    <n v="9658.0264889999999"/>
    <n v="175.83782299999999"/>
    <n v="1.8206392703547698E-2"/>
    <s v="0% - 30%"/>
    <n v="5.1157851207969873E-6"/>
    <s v="N.D."/>
    <s v="N.D."/>
    <s v="N.D."/>
    <n v="0.93363898626343589"/>
    <s v="Aceptable"/>
    <n v="2"/>
    <s v="Candidato"/>
    <n v="0"/>
    <n v="0"/>
  </r>
  <r>
    <n v="5674"/>
    <s v="05674"/>
    <x v="1"/>
    <x v="1"/>
    <s v="SAN VICENTE"/>
    <n v="60.160166666666697"/>
    <n v="43.97"/>
    <n v="41.56"/>
    <n v="47.97"/>
    <n v="71.138730421076147"/>
    <n v="50.210524963073972"/>
    <n v="64.612347899891773"/>
    <n v="60.322099999999999"/>
    <n v="48.415041666666674"/>
    <n v="61.570925821010476"/>
    <n v="54.992983743838579"/>
    <n v="44.303727034272526"/>
    <n v="55.696272965727474"/>
    <n v="0.60126645669154732"/>
    <n v="0"/>
    <n v="33.065436478553686"/>
    <n v="3"/>
    <n v="3"/>
    <b v="1"/>
    <x v="4"/>
    <n v="56.750207100884026"/>
    <n v="0.61009033754915376"/>
    <n v="34.622753006162718"/>
    <n v="3"/>
    <n v="0"/>
    <n v="-1.7572233570454472"/>
    <n v="-8.8238808576064365E-3"/>
    <n v="-1.5573165276090322"/>
    <n v="3"/>
    <b v="1"/>
    <n v="0"/>
    <n v="0.9741882058902549"/>
    <n v="55.285382439510613"/>
    <n v="0.52093584619019961"/>
    <n v="2"/>
    <n v="-1"/>
    <n v="52.093584619019964"/>
    <n v="4"/>
    <n v="-0.37292174919870757"/>
    <b v="0"/>
    <s v="Cambio en corte"/>
    <n v="2"/>
    <n v="-1"/>
    <n v="0"/>
    <n v="0"/>
    <n v="0"/>
    <n v="0"/>
    <n v="0"/>
    <s v="Intermedio"/>
    <n v="6"/>
    <s v="Fuera SC"/>
    <m/>
    <s v="No"/>
    <s v="Si"/>
    <n v="27.8"/>
    <n v="10.974592761438817"/>
    <n v="7.8542626853473703"/>
    <s v="Bajo"/>
    <n v="3.0185625340980184"/>
    <s v="Medio Bajo"/>
    <n v="45401.839113000002"/>
    <n v="13657.0174651"/>
    <n v="24534"/>
    <n v="1.8505681549278552"/>
    <n v="0.55665678100187499"/>
    <m/>
    <m/>
    <m/>
    <m/>
    <m/>
    <m/>
    <m/>
    <n v="22"/>
    <n v="0"/>
    <n v="7"/>
    <n v="23039.152050000001"/>
    <n v="954.56809999999996"/>
    <n v="4.1432431971818159E-2"/>
    <s v="0% - 30%"/>
    <n v="2.777198443117355E-5"/>
    <s v="N.D."/>
    <s v="N.D."/>
    <s v="N.D."/>
    <n v="0.9034299991405772"/>
    <s v="Aceptable"/>
    <n v="2"/>
    <s v="Candidato"/>
    <n v="0"/>
    <n v="0"/>
  </r>
  <r>
    <n v="52683"/>
    <s v="52683"/>
    <x v="18"/>
    <x v="18"/>
    <s v="SANDONÁ"/>
    <n v="52.463999999999999"/>
    <n v="55.04"/>
    <n v="33"/>
    <n v="59.02"/>
    <n v="45.170398222438564"/>
    <n v="54.543477093957236"/>
    <n v="52.67747020137692"/>
    <n v="54.971299999999999"/>
    <n v="49.881"/>
    <n v="51.840661379443176"/>
    <n v="50.860830689721588"/>
    <n v="45.268616494949484"/>
    <n v="54.731383505050516"/>
    <n v="0.59258245154545464"/>
    <n v="0"/>
    <n v="30.139235737753516"/>
    <n v="3"/>
    <n v="3"/>
    <b v="1"/>
    <x v="4"/>
    <n v="49.813244750500616"/>
    <n v="0.6059029758716209"/>
    <n v="30.181993232149722"/>
    <n v="3"/>
    <n v="0"/>
    <n v="1.0475859392209728"/>
    <n v="-1.3320524326166261E-2"/>
    <n v="-4.2757494396205686E-2"/>
    <n v="3"/>
    <b v="1"/>
    <n v="0"/>
    <n v="0.9741882058902549"/>
    <n v="48.527475533062351"/>
    <n v="0.43640155429586619"/>
    <n v="3"/>
    <n v="0"/>
    <n v="43.640155429586621"/>
    <n v="4"/>
    <n v="-0.38160575434480026"/>
    <b v="0"/>
    <n v="0"/>
    <n v="2"/>
    <n v="-1"/>
    <n v="0"/>
    <n v="0"/>
    <n v="0"/>
    <n v="0"/>
    <n v="0"/>
    <s v="Intermedio"/>
    <n v="6"/>
    <s v="Fuera SC"/>
    <m/>
    <s v="No"/>
    <s v="Si"/>
    <n v="28.9"/>
    <n v="14.657323352975526"/>
    <n v="9.1127442727548846"/>
    <s v="Bajo"/>
    <n v="2.816755481789138"/>
    <s v="Medio Bajo"/>
    <n v="39710.114264000003"/>
    <n v="6230.2148024999997"/>
    <n v="20826"/>
    <n v="1.9067566630173822"/>
    <n v="0.29915561329588014"/>
    <m/>
    <m/>
    <m/>
    <m/>
    <m/>
    <m/>
    <m/>
    <n v="80"/>
    <n v="0"/>
    <n v="7"/>
    <n v="10171.331704"/>
    <n v="1010.43852"/>
    <n v="9.9341811810407563E-2"/>
    <s v="0% - 30%"/>
    <n v="2.9397465561753056E-5"/>
    <s v="N.D."/>
    <s v="N.D."/>
    <s v="N.D."/>
    <n v="0.962016447773544"/>
    <s v="Aceptable"/>
    <n v="1"/>
    <s v="Candidato"/>
    <n v="0"/>
    <n v="0"/>
  </r>
  <r>
    <n v="13430"/>
    <s v="13430"/>
    <x v="8"/>
    <x v="8"/>
    <s v="MAGANGUÉ"/>
    <n v="54.165100000000002"/>
    <n v="44.54"/>
    <n v="41.7"/>
    <n v="56.93"/>
    <n v="63.864805873693086"/>
    <n v="55.618851255748822"/>
    <n v="63.57928992619302"/>
    <n v="65.048599999999993"/>
    <n v="49.333775000000003"/>
    <n v="62.027886763908732"/>
    <n v="55.680830881954364"/>
    <n v="44.932095666991302"/>
    <n v="55.067904333008698"/>
    <n v="0.59561113899707829"/>
    <n v="0"/>
    <n v="33.164123101904529"/>
    <n v="3"/>
    <n v="3"/>
    <b v="1"/>
    <x v="4"/>
    <n v="56.023180857250523"/>
    <n v="0.60559759406617542"/>
    <n v="33.92750353908513"/>
    <n v="3"/>
    <n v="0"/>
    <n v="-0.34234997529615896"/>
    <n v="-9.9864550690971221E-3"/>
    <n v="-0.76338043718060078"/>
    <n v="3"/>
    <b v="1"/>
    <n v="0"/>
    <n v="0.9741882058902549"/>
    <n v="54.577122047590159"/>
    <n v="0.51207625526409939"/>
    <n v="2"/>
    <n v="-1"/>
    <n v="51.207625526409942"/>
    <n v="4"/>
    <n v="-0.37857706689317661"/>
    <b v="0"/>
    <s v="Cambio en corte"/>
    <n v="3"/>
    <n v="0"/>
    <n v="0"/>
    <n v="1"/>
    <n v="0"/>
    <n v="0"/>
    <n v="0"/>
    <s v="Intermedio"/>
    <n v="5"/>
    <s v="Fuera SC"/>
    <m/>
    <s v="Si"/>
    <s v="Si"/>
    <n v="49.1"/>
    <n v="26.45072212503236"/>
    <n v="6.5357815014544354"/>
    <s v="Bajo"/>
    <n v="2.2242479278320721"/>
    <s v="Medio Bajo"/>
    <n v="418651.794414"/>
    <n v="46455.173916"/>
    <n v="149065"/>
    <n v="2.808518394083118"/>
    <n v="0.31164373874484286"/>
    <m/>
    <m/>
    <m/>
    <m/>
    <m/>
    <m/>
    <m/>
    <n v="9"/>
    <n v="1"/>
    <n v="5"/>
    <n v="112998.750583"/>
    <n v="4917.5075390000002"/>
    <n v="4.3518247003872718E-2"/>
    <s v="0% - 30%"/>
    <n v="1.4306883166668422E-4"/>
    <s v="N.D."/>
    <s v="N.D."/>
    <s v="N.D."/>
    <n v="0.8329532305085896"/>
    <s v="Crítico bajo"/>
    <n v="2"/>
    <s v="Candidato"/>
    <n v="0"/>
    <n v="0"/>
  </r>
  <r>
    <n v="47189"/>
    <s v="47189"/>
    <x v="17"/>
    <x v="17"/>
    <s v="CIÉNAGA"/>
    <n v="51.732599999999998"/>
    <n v="38.950000000000003"/>
    <n v="42.77"/>
    <n v="51"/>
    <n v="53.892509681568626"/>
    <n v="61.260814088557133"/>
    <n v="59.865644381506641"/>
    <n v="54.395600000000002"/>
    <n v="46.113150000000005"/>
    <n v="57.353642037908102"/>
    <n v="51.733396018954053"/>
    <n v="44.979445900366514"/>
    <n v="55.020554099633486"/>
    <n v="0.59518498689670141"/>
    <n v="0"/>
    <n v="30.790940631663034"/>
    <n v="3"/>
    <n v="3"/>
    <b v="1"/>
    <x v="4"/>
    <n v="52.480195705135884"/>
    <n v="0.60538556716224923"/>
    <n v="31.770753041739525"/>
    <n v="3"/>
    <n v="0"/>
    <n v="-0.74679968618183068"/>
    <n v="-1.0200580265547821E-2"/>
    <n v="-0.97981241007649089"/>
    <n v="3"/>
    <b v="1"/>
    <n v="0"/>
    <n v="0.9741882058902549"/>
    <n v="51.125587698755787"/>
    <n v="0.46890119882032411"/>
    <n v="3"/>
    <n v="0"/>
    <n v="46.890119882032408"/>
    <n v="4"/>
    <n v="-0.37900321899355349"/>
    <b v="0"/>
    <n v="0"/>
    <n v="2"/>
    <n v="-1"/>
    <n v="0"/>
    <n v="1"/>
    <n v="0"/>
    <n v="1"/>
    <n v="0"/>
    <s v="Ciudades y aglomeraciones"/>
    <n v="5"/>
    <s v="Uninodal"/>
    <m/>
    <s v="Si"/>
    <s v="No"/>
    <n v="44.6"/>
    <n v="28.528061289204203"/>
    <n v="5.918088187962665"/>
    <s v="Bajo"/>
    <n v="5.7451782212224103"/>
    <s v="Medio"/>
    <n v="330897.90833599999"/>
    <n v="41392.18664"/>
    <n v="136851"/>
    <n v="2.4179429330878106"/>
    <n v="0.30246170389693899"/>
    <m/>
    <m/>
    <m/>
    <m/>
    <m/>
    <m/>
    <m/>
    <n v="42"/>
    <n v="0"/>
    <n v="5"/>
    <n v="134681.186338"/>
    <n v="58012.988036000002"/>
    <n v="0.43074307268432316"/>
    <s v="31% - 50%"/>
    <n v="1.6878165115109646E-3"/>
    <n v="42434.002157000003"/>
    <n v="0.31507000577279104"/>
    <s v="31% - 50%"/>
    <n v="0.94640055346908858"/>
    <s v="Aceptable"/>
    <n v="1"/>
    <s v="Candidato"/>
    <n v="0"/>
    <n v="0"/>
  </r>
  <r>
    <n v="63272"/>
    <s v="63272"/>
    <x v="7"/>
    <x v="7"/>
    <s v="FILANDIA"/>
    <n v="68.563999999999993"/>
    <n v="80.819999999999993"/>
    <n v="76.67"/>
    <n v="85.41"/>
    <n v="52.352052424420258"/>
    <n v="47.231663665737244"/>
    <n v="55.255765029626872"/>
    <n v="52.381999999999998"/>
    <n v="77.865999999999985"/>
    <n v="51.805370279946096"/>
    <n v="64.835685139973037"/>
    <n v="45.615485097341612"/>
    <n v="54.384514902658388"/>
    <n v="0.58946063412392546"/>
    <n v="0"/>
    <n v="38.218084076467676"/>
    <n v="3"/>
    <n v="3"/>
    <b v="1"/>
    <x v="3"/>
    <n v="61.996987506519993"/>
    <n v="0.60435089938210773"/>
    <n v="37.467935158546652"/>
    <n v="2"/>
    <n v="0"/>
    <n v="2.8386976334530445"/>
    <n v="-1.4890265258182267E-2"/>
    <n v="0.75014891792102389"/>
    <n v="2"/>
    <b v="1"/>
    <n v="0"/>
    <n v="0.9741882058902549"/>
    <n v="60.39673402957726"/>
    <n v="0.58487346670950158"/>
    <n v="2"/>
    <n v="0"/>
    <n v="58.48734667095016"/>
    <n v="3"/>
    <n v="-0.38472757176632943"/>
    <b v="0"/>
    <n v="0"/>
    <n v="2"/>
    <n v="0"/>
    <n v="0"/>
    <n v="0"/>
    <n v="0"/>
    <n v="0"/>
    <n v="0"/>
    <s v="Intermedio"/>
    <n v="6"/>
    <s v="Fuera SC"/>
    <m/>
    <s v="No"/>
    <s v="No"/>
    <n v="18.100000000000001"/>
    <n v="6.2684431726728072"/>
    <n v="0.83875"/>
    <s v="Sin riesgo"/>
    <n v="0"/>
    <s v="Bajo"/>
    <n v="34970.654104000001"/>
    <n v="8926.3371272999993"/>
    <n v="12418"/>
    <n v="2.8161261156385891"/>
    <n v="0.71882244542599449"/>
    <m/>
    <m/>
    <m/>
    <m/>
    <m/>
    <m/>
    <m/>
    <n v="16"/>
    <n v="0"/>
    <n v="7"/>
    <n v="10660.875846000001"/>
    <n v="5441.9900900000002"/>
    <n v="0.51046369628644106"/>
    <s v="31% - 50%"/>
    <n v="1.5832800619890899E-4"/>
    <s v="N.D."/>
    <s v="N.D."/>
    <s v="N.D."/>
    <n v="0.90864114627092429"/>
    <s v="Aceptable"/>
    <n v="2"/>
    <s v="Candidato"/>
    <n v="0"/>
    <n v="0"/>
  </r>
  <r>
    <n v="17614"/>
    <s v="17614"/>
    <x v="11"/>
    <x v="11"/>
    <s v="RIOSUCIO"/>
    <n v="79.659166666666707"/>
    <n v="74.790000000000006"/>
    <n v="68.23"/>
    <n v="63.95"/>
    <n v="51.433312942333956"/>
    <n v="56.296145167487595"/>
    <n v="59.800395649896871"/>
    <n v="61.111800000000002"/>
    <n v="71.65729166666668"/>
    <n v="57.160413439929613"/>
    <n v="64.408852553298146"/>
    <n v="45.603303206421963"/>
    <n v="54.396696793578037"/>
    <n v="0.5895702711422024"/>
    <n v="0"/>
    <n v="37.973544663806123"/>
    <n v="3"/>
    <n v="3"/>
    <b v="1"/>
    <x v="3"/>
    <n v="65.872250530517277"/>
    <n v="0.60500779153741646"/>
    <n v="39.85322481706767"/>
    <n v="2"/>
    <n v="0"/>
    <n v="-1.463397977219131"/>
    <n v="-1.5437520395214066E-2"/>
    <n v="-1.8796801532615461"/>
    <n v="2"/>
    <b v="1"/>
    <n v="0"/>
    <n v="0.9741882058902549"/>
    <n v="64.171969562278022"/>
    <n v="0.63209768375023523"/>
    <n v="2"/>
    <n v="0"/>
    <n v="63.209768375023522"/>
    <n v="3"/>
    <n v="-0.3846179347480525"/>
    <b v="0"/>
    <n v="0"/>
    <n v="1"/>
    <n v="-1"/>
    <n v="0"/>
    <n v="0"/>
    <n v="0"/>
    <n v="0"/>
    <n v="1"/>
    <s v="Intermedio"/>
    <n v="6"/>
    <s v="Fuera SC"/>
    <m/>
    <s v="No"/>
    <s v="No"/>
    <n v="29.3"/>
    <n v="11.313838207114888"/>
    <n v="41.852782706643666"/>
    <s v="Alto"/>
    <n v="3.0084049557674417"/>
    <s v="Medio Bajo"/>
    <n v="110268.914978"/>
    <n v="15349.61218305"/>
    <n v="52440"/>
    <n v="2.1027634435163995"/>
    <n v="0.2927080889216247"/>
    <m/>
    <m/>
    <m/>
    <m/>
    <m/>
    <m/>
    <m/>
    <n v="31"/>
    <n v="1"/>
    <n v="6"/>
    <n v="38409.536096000003"/>
    <n v="283.81611700000002"/>
    <n v="7.3892097079911578E-3"/>
    <s v="0% - 30%"/>
    <n v="8.2572807352771702E-6"/>
    <n v="5385.8760750000001"/>
    <n v="0.14022236721471076"/>
    <s v="0% - 30%"/>
    <n v="0.95443336585836513"/>
    <s v="Aceptable"/>
    <n v="3"/>
    <s v="Candidato"/>
    <n v="0"/>
    <n v="0"/>
  </r>
  <r>
    <n v="17616"/>
    <s v="17616"/>
    <x v="11"/>
    <x v="11"/>
    <s v="RISARALDA"/>
    <n v="49.2642666666667"/>
    <n v="71.83"/>
    <n v="80.25"/>
    <n v="84.04"/>
    <n v="59.704880756457477"/>
    <n v="54.108431113014824"/>
    <n v="57.211726479117203"/>
    <n v="60.002200000000002"/>
    <n v="71.346066666666673"/>
    <n v="57.756809587147373"/>
    <n v="64.551438126907016"/>
    <n v="45.663001697411367"/>
    <n v="54.336998302588633"/>
    <n v="0.58903298472329768"/>
    <n v="0"/>
    <n v="38.022926268073313"/>
    <n v="3"/>
    <n v="3"/>
    <b v="1"/>
    <x v="3"/>
    <n v="58.881502647127263"/>
    <n v="0.60244994290057019"/>
    <n v="35.473157907661594"/>
    <n v="2"/>
    <n v="0"/>
    <n v="5.6699354797797525"/>
    <n v="-1.3416958177272509E-2"/>
    <n v="2.5497683604117185"/>
    <n v="2"/>
    <b v="1"/>
    <n v="0"/>
    <n v="0.9741882058902549"/>
    <n v="57.361665423927207"/>
    <n v="0.54690795771668943"/>
    <n v="2"/>
    <n v="0"/>
    <n v="54.690795771668945"/>
    <n v="3"/>
    <n v="-0.38515522116695722"/>
    <b v="0"/>
    <n v="0"/>
    <n v="2"/>
    <n v="0"/>
    <n v="0"/>
    <n v="0"/>
    <n v="0"/>
    <n v="0"/>
    <n v="1"/>
    <s v="Intermedio"/>
    <n v="6"/>
    <s v="Fuera SC"/>
    <m/>
    <s v="No"/>
    <s v="No"/>
    <n v="39.4"/>
    <n v="11.463414634146341"/>
    <n v="34.7725374275714"/>
    <s v="Medio"/>
    <n v="17.823136601063148"/>
    <s v="Alto"/>
    <n v="27682.587986999999"/>
    <n v="5266.3261751"/>
    <n v="11157"/>
    <n v="2.4811856222102713"/>
    <n v="0.47201991351617817"/>
    <m/>
    <m/>
    <m/>
    <m/>
    <m/>
    <m/>
    <m/>
    <n v="19"/>
    <n v="0"/>
    <n v="7"/>
    <n v="8990.5933980000009"/>
    <n v="44.400210000000001"/>
    <n v="4.9385182973436473E-3"/>
    <s v="0% - 30%"/>
    <n v="1.2917694828277169E-6"/>
    <n v="67.452916999999999"/>
    <n v="7.5026101185940866E-3"/>
    <s v="0% - 30%"/>
    <n v="0.96474970525338977"/>
    <s v="Aceptable"/>
    <n v="3"/>
    <s v="Candidato"/>
    <n v="0"/>
    <n v="0"/>
  </r>
  <r>
    <n v="23675"/>
    <s v="23675"/>
    <x v="14"/>
    <x v="14"/>
    <s v="SAN BERNARDO DEL VIENTO"/>
    <n v="56.869866666666702"/>
    <n v="71.33"/>
    <n v="65.03"/>
    <n v="56.86"/>
    <n v="60.076731506139907"/>
    <n v="56.267754848893432"/>
    <n v="61.135636818829511"/>
    <n v="57.849499999999999"/>
    <n v="62.522466666666674"/>
    <n v="58.832405793465718"/>
    <n v="60.677436230066192"/>
    <n v="45.148295433337267"/>
    <n v="54.851704566662733"/>
    <n v="0.59366534109996461"/>
    <n v="0"/>
    <n v="36.022090876593595"/>
    <n v="3"/>
    <n v="3"/>
    <b v="1"/>
    <x v="3"/>
    <n v="60.428309309606846"/>
    <n v="0.60283141605280033"/>
    <n v="36.428083270786914"/>
    <n v="2"/>
    <n v="0"/>
    <n v="0.24912692045934648"/>
    <n v="-9.1660749528357233E-3"/>
    <n v="-0.40599239419331923"/>
    <n v="2"/>
    <b v="1"/>
    <n v="0"/>
    <n v="0.9741882058902549"/>
    <n v="58.868546231307278"/>
    <n v="0.5657574482149218"/>
    <n v="2"/>
    <n v="0"/>
    <n v="56.575744821492179"/>
    <n v="3"/>
    <n v="-0.38052286479029029"/>
    <b v="0"/>
    <n v="0"/>
    <n v="3"/>
    <n v="1"/>
    <n v="0"/>
    <n v="0"/>
    <n v="0"/>
    <n v="0"/>
    <n v="0"/>
    <s v="Intermedio"/>
    <n v="6"/>
    <s v="Fuera SC"/>
    <m/>
    <s v="No"/>
    <s v="No"/>
    <n v="57"/>
    <n v="41.984577232734317"/>
    <n v="32.61"/>
    <s v="Medio"/>
    <n v="1.9589913237550109"/>
    <s v="Medio Bajo"/>
    <n v="78522.256833000007"/>
    <n v="8387.8305130000008"/>
    <n v="40897"/>
    <n v="1.9200004115949827"/>
    <n v="0.20509647438687437"/>
    <m/>
    <m/>
    <m/>
    <m/>
    <m/>
    <m/>
    <m/>
    <n v="56"/>
    <n v="0"/>
    <n v="7"/>
    <n v="31579.774189"/>
    <n v="13155.069329"/>
    <n v="0.41656628860830264"/>
    <s v="31% - 50%"/>
    <n v="3.8273055698802077E-4"/>
    <s v="N.D."/>
    <s v="N.D."/>
    <s v="N.D."/>
    <n v="0.97573658449664769"/>
    <s v="Aceptable"/>
    <n v="1"/>
    <s v="Candidato"/>
    <n v="0"/>
    <n v="0"/>
  </r>
  <r>
    <n v="70820"/>
    <s v="70820"/>
    <x v="9"/>
    <x v="9"/>
    <s v="SANTIAGO DE TOLÚ"/>
    <n v="77.722966666666693"/>
    <n v="67.510000000000005"/>
    <n v="47.7"/>
    <n v="68.47"/>
    <n v="59.254645107713522"/>
    <n v="62.423312146678413"/>
    <n v="61.904912449859509"/>
    <n v="53.532899999999998"/>
    <n v="65.350741666666664"/>
    <n v="59.278942426062855"/>
    <n v="62.31484204636476"/>
    <n v="44.752406621926461"/>
    <n v="55.247593378073539"/>
    <n v="0.59722834040266182"/>
    <n v="0"/>
    <n v="37.216189697804438"/>
    <n v="3"/>
    <n v="3"/>
    <b v="1"/>
    <x v="3"/>
    <n v="64.388971991268775"/>
    <n v="0.6024423675112851"/>
    <n v="38.790644728037783"/>
    <n v="2"/>
    <n v="0"/>
    <n v="-2.0741299449040156"/>
    <n v="-5.214027108623287E-3"/>
    <n v="-1.5744550302333451"/>
    <n v="2"/>
    <b v="1"/>
    <n v="0"/>
    <n v="0.9741882058902549"/>
    <n v="62.726977103292"/>
    <n v="0.614022351253944"/>
    <n v="2"/>
    <n v="0"/>
    <n v="61.402235125394398"/>
    <n v="3"/>
    <n v="-0.37695986548759308"/>
    <b v="0"/>
    <n v="0"/>
    <n v="2"/>
    <n v="0"/>
    <n v="0"/>
    <n v="0"/>
    <n v="0"/>
    <n v="0"/>
    <n v="0"/>
    <s v="Intermedio"/>
    <n v="6"/>
    <s v="Fuera SC"/>
    <m/>
    <s v="No"/>
    <s v="No"/>
    <n v="42.7"/>
    <n v="23.750468574284643"/>
    <n v="16.071428571428573"/>
    <s v="Medio"/>
    <n v="5.639504798614011"/>
    <s v="Medio Bajo"/>
    <n v="87866.454394999993"/>
    <n v="32825.918640000004"/>
    <n v="37512"/>
    <n v="2.3423558966464064"/>
    <n v="0.87507780550223935"/>
    <m/>
    <m/>
    <m/>
    <m/>
    <m/>
    <m/>
    <m/>
    <n v="43"/>
    <n v="0"/>
    <n v="6"/>
    <n v="30259.127983999999"/>
    <n v="4342.1321109999999"/>
    <n v="0.14349825656892598"/>
    <s v="0% - 30%"/>
    <n v="1.2632899149342069E-4"/>
    <s v="N.D."/>
    <s v="N.D."/>
    <s v="N.D."/>
    <n v="0.94823830622707006"/>
    <s v="Aceptable"/>
    <n v="2"/>
    <s v="Candidato"/>
    <n v="0"/>
    <n v="0"/>
  </r>
  <r>
    <n v="25612"/>
    <s v="25612"/>
    <x v="5"/>
    <x v="5"/>
    <s v="RICAURTE"/>
    <n v="72.662199999999999"/>
    <n v="62.74"/>
    <n v="61.47"/>
    <n v="65.02"/>
    <n v="57.884862605052774"/>
    <n v="66.05325267567585"/>
    <n v="80.156691871501096"/>
    <n v="56.064"/>
    <n v="65.473050000000001"/>
    <n v="65.039701788057428"/>
    <n v="65.256375894028707"/>
    <n v="45.570750235275582"/>
    <n v="54.429249764724418"/>
    <n v="0.58986324788251976"/>
    <n v="0"/>
    <n v="38.492337829894339"/>
    <n v="2"/>
    <n v="2"/>
    <b v="1"/>
    <x v="3"/>
    <n v="66.696920405447045"/>
    <n v="0.60236660867408531"/>
    <n v="40.175997753634533"/>
    <n v="2"/>
    <n v="0"/>
    <n v="-1.4405445114183379"/>
    <n v="-1.2503360791565554E-2"/>
    <n v="-1.6836599237401941"/>
    <n v="2"/>
    <b v="1"/>
    <n v="0"/>
    <n v="0.9741882058902549"/>
    <n v="64.975353228187586"/>
    <n v="0.64214716656455706"/>
    <n v="2"/>
    <n v="0"/>
    <n v="64.214716656455707"/>
    <n v="3"/>
    <n v="-0.38432495800773514"/>
    <b v="0"/>
    <n v="0"/>
    <n v="1"/>
    <n v="-1"/>
    <n v="0"/>
    <n v="0"/>
    <n v="0"/>
    <n v="0"/>
    <n v="0"/>
    <s v="Intermedio"/>
    <n v="3"/>
    <s v="En aglomeración"/>
    <m/>
    <s v="No"/>
    <s v="Si"/>
    <n v="17.5"/>
    <n v="9.3074997682395484"/>
    <n v="0.23783099765984345"/>
    <s v="Sin riesgo"/>
    <n v="0"/>
    <s v="Bajo"/>
    <n v="65617.170679000003"/>
    <n v="50617.841481000003"/>
    <n v="15191"/>
    <n v="4.319476708511619"/>
    <n v="3.3320941005200448"/>
    <m/>
    <m/>
    <m/>
    <m/>
    <m/>
    <m/>
    <m/>
    <n v="55"/>
    <n v="0"/>
    <n v="7"/>
    <n v="12791.838145"/>
    <n v="1803.5617970000001"/>
    <n v="0.14099316896883704"/>
    <s v="0% - 30%"/>
    <n v="5.2472411498921237E-5"/>
    <s v="N.D."/>
    <s v="N.D."/>
    <s v="N.D."/>
    <n v="0.90119196089621534"/>
    <s v="Aceptable"/>
    <n v="2"/>
    <s v="Candidato"/>
    <n v="0"/>
    <n v="0"/>
  </r>
  <r>
    <n v="25040"/>
    <s v="25040"/>
    <x v="5"/>
    <x v="5"/>
    <s v="ANOLAIMA"/>
    <n v="46.5062"/>
    <n v="84.5"/>
    <n v="58.46"/>
    <n v="82.97"/>
    <n v="58.184534110123806"/>
    <n v="61.998700238698888"/>
    <n v="64.946465011733906"/>
    <n v="57.475900000000003"/>
    <n v="68.109049999999996"/>
    <n v="60.651399840139149"/>
    <n v="64.380224920069566"/>
    <n v="46.204979922552539"/>
    <n v="53.795020077447461"/>
    <n v="0.58415518069702721"/>
    <n v="0"/>
    <n v="37.60804192149849"/>
    <n v="3"/>
    <n v="3"/>
    <b v="1"/>
    <x v="3"/>
    <n v="59.318350734558813"/>
    <n v="0.60231763420998086"/>
    <n v="35.728488679677341"/>
    <n v="2"/>
    <n v="0"/>
    <n v="5.061874185510753"/>
    <n v="-1.8162453512953647E-2"/>
    <n v="1.8795532418211494"/>
    <n v="2"/>
    <b v="1"/>
    <n v="0"/>
    <n v="0.9741882058902549"/>
    <n v="57.787237678468735"/>
    <n v="0.55223141802556341"/>
    <n v="2"/>
    <n v="0"/>
    <n v="55.223141802556341"/>
    <n v="3"/>
    <n v="-0.39003302519322769"/>
    <b v="0"/>
    <n v="0"/>
    <n v="3"/>
    <n v="1"/>
    <n v="0"/>
    <n v="0"/>
    <n v="0"/>
    <n v="0"/>
    <n v="0"/>
    <s v="Intermedio"/>
    <n v="6"/>
    <s v="Fuera SC"/>
    <m/>
    <s v="No"/>
    <s v="No"/>
    <n v="22.7"/>
    <n v="9.8019801980198018"/>
    <n v="10.461009226626688"/>
    <s v="Bajo"/>
    <n v="0.52992096088302765"/>
    <s v="Medio Bajo"/>
    <n v="26871.917816000001"/>
    <n v="8879.2194203999989"/>
    <n v="14581"/>
    <n v="1.8429406636033194"/>
    <n v="0.60895819356697067"/>
    <m/>
    <m/>
    <m/>
    <m/>
    <m/>
    <m/>
    <m/>
    <n v="59"/>
    <n v="0"/>
    <n v="7"/>
    <n v="12083.149561"/>
    <n v="7483.5117700000001"/>
    <n v="0.61933453130084948"/>
    <s v="51% - 70%"/>
    <n v="2.1772356772339663E-4"/>
    <s v="N.D."/>
    <s v="N.D."/>
    <s v="N.D."/>
    <n v="0.9339437323399099"/>
    <s v="Aceptable"/>
    <n v="2"/>
    <s v="Candidato"/>
    <n v="0"/>
    <n v="0"/>
  </r>
  <r>
    <n v="66440"/>
    <s v="66440"/>
    <x v="6"/>
    <x v="6"/>
    <s v="MARSELLA"/>
    <n v="66.0362333333333"/>
    <n v="63.82"/>
    <n v="53.17"/>
    <n v="44.18"/>
    <n v="50.906353854896544"/>
    <n v="58.496859444012046"/>
    <n v="52.912376283239119"/>
    <n v="48.479900000000001"/>
    <n v="56.801558333333332"/>
    <n v="52.698872395536924"/>
    <n v="54.750215364435128"/>
    <n v="45.800193926498856"/>
    <n v="54.199806073501144"/>
    <n v="0.58779825466151037"/>
    <n v="0"/>
    <n v="32.182081033556777"/>
    <n v="3"/>
    <n v="3"/>
    <b v="1"/>
    <x v="4"/>
    <n v="57.068542831667955"/>
    <n v="0.60198020174055877"/>
    <n v="34.354132926847193"/>
    <n v="3"/>
    <n v="0"/>
    <n v="-2.3183274672328267"/>
    <n v="-1.4181947079048407E-2"/>
    <n v="-2.1720518932904156"/>
    <n v="3"/>
    <b v="1"/>
    <n v="0"/>
    <n v="0.9741882058902549"/>
    <n v="55.595501353953772"/>
    <n v="0.52481510691373479"/>
    <n v="2"/>
    <n v="-1"/>
    <n v="52.481510691373479"/>
    <n v="4"/>
    <n v="-0.38638995122874453"/>
    <b v="0"/>
    <s v="Cambio en corte"/>
    <n v="2"/>
    <n v="-1"/>
    <n v="0"/>
    <n v="0"/>
    <n v="0"/>
    <n v="0"/>
    <n v="0"/>
    <s v="Intermedio"/>
    <n v="6"/>
    <s v="Fuera SC"/>
    <m/>
    <s v="No"/>
    <s v="No"/>
    <n v="33.299999999999997"/>
    <n v="17.293476851251459"/>
    <n v="22.48540574590735"/>
    <s v="Medio"/>
    <n v="0.58037986185937773"/>
    <s v="Medio Bajo"/>
    <n v="32174.914385"/>
    <n v="7430.4996499999997"/>
    <n v="17421"/>
    <n v="1.8469039885770047"/>
    <n v="0.42652543769014406"/>
    <m/>
    <m/>
    <m/>
    <m/>
    <m/>
    <m/>
    <m/>
    <n v="49"/>
    <n v="0"/>
    <n v="7"/>
    <n v="14929.766884999999"/>
    <n v="780.46053600000005"/>
    <n v="5.2275466992330072E-2"/>
    <s v="0% - 30%"/>
    <n v="2.2706539067183753E-5"/>
    <n v="187.36663100000001"/>
    <n v="1.2549869830067345E-2"/>
    <s v="0% - 30%"/>
    <n v="0.96815624207648932"/>
    <s v="Aceptable"/>
    <n v="1"/>
    <s v="Candidato"/>
    <n v="0"/>
    <n v="0"/>
  </r>
  <r>
    <n v="76670"/>
    <s v="76670"/>
    <x v="3"/>
    <x v="3"/>
    <s v="SAN PEDRO"/>
    <n v="70.693733333333299"/>
    <n v="66.03"/>
    <n v="66.19"/>
    <n v="39.36"/>
    <n v="57.24261662675621"/>
    <n v="56.272122019367927"/>
    <n v="61.588516916139803"/>
    <n v="59.017899999999997"/>
    <n v="60.568433333333331"/>
    <n v="58.530288890565984"/>
    <n v="59.549361111949658"/>
    <n v="46.270014622921693"/>
    <n v="53.729985377078307"/>
    <n v="0.58356986839370473"/>
    <n v="0"/>
    <n v="34.751212827029661"/>
    <n v="3"/>
    <n v="3"/>
    <b v="1"/>
    <x v="4"/>
    <n v="63.125829573850453"/>
    <n v="0.60113888069199239"/>
    <n v="37.947390532777931"/>
    <n v="2"/>
    <n v="-1"/>
    <n v="-3.5764684619007951"/>
    <n v="-1.7569012298287667E-2"/>
    <n v="-3.1961777057482692"/>
    <n v="3"/>
    <b v="1"/>
    <s v="Efecto ponderador"/>
    <n v="0.9741882058902549"/>
    <n v="61.496438657883367"/>
    <n v="0.59862961241166779"/>
    <n v="2"/>
    <n v="-1"/>
    <n v="59.862961241166779"/>
    <n v="4"/>
    <n v="-0.39061833749655017"/>
    <b v="0"/>
    <s v="Cambio en corte"/>
    <n v="2"/>
    <n v="-1"/>
    <n v="0"/>
    <n v="0"/>
    <n v="0"/>
    <n v="0"/>
    <n v="0"/>
    <s v="Intermedio"/>
    <n v="6"/>
    <s v="Fuera SC"/>
    <m/>
    <s v="No"/>
    <s v="No"/>
    <n v="18"/>
    <n v="7.5145631067961167"/>
    <n v="6.9697299878045609"/>
    <s v="Bajo"/>
    <n v="3.8980375315886633"/>
    <s v="Medio Bajo"/>
    <n v="29916.130314000002"/>
    <n v="14054.2475024"/>
    <n v="17270"/>
    <n v="1.7322600066010423"/>
    <n v="0.81379545468442382"/>
    <m/>
    <m/>
    <m/>
    <m/>
    <m/>
    <m/>
    <m/>
    <n v="66"/>
    <n v="0"/>
    <n v="7"/>
    <n v="20222.701067000002"/>
    <n v="5366.084527"/>
    <n v="0.26534954500991631"/>
    <s v="0% - 30%"/>
    <n v="1.5611962723267758E-4"/>
    <s v="N.D."/>
    <s v="N.D."/>
    <s v="N.D."/>
    <n v="0.96304294511004795"/>
    <s v="Aceptable"/>
    <n v="1"/>
    <s v="Candidato"/>
    <n v="0"/>
    <n v="0"/>
  </r>
  <r>
    <n v="13760"/>
    <s v="13760"/>
    <x v="8"/>
    <x v="8"/>
    <s v="SOPLAVIENTO"/>
    <n v="44.2068333333333"/>
    <n v="30.98"/>
    <n v="26.7"/>
    <n v="25.77"/>
    <n v="46.934754565837721"/>
    <n v="39.855255774617802"/>
    <n v="52.365998489445204"/>
    <n v="65.955100000000002"/>
    <n v="31.914208333333324"/>
    <n v="51.277777207475182"/>
    <n v="41.595992770404251"/>
    <n v="44.639025921086876"/>
    <n v="55.360974078913124"/>
    <n v="0.5982487667102182"/>
    <n v="0"/>
    <n v="24.884751374981494"/>
    <n v="4"/>
    <n v="4"/>
    <b v="1"/>
    <x v="5"/>
    <n v="41.852089626679899"/>
    <n v="0.60187420825966553"/>
    <n v="25.189693308070524"/>
    <n v="4"/>
    <n v="0"/>
    <n v="-0.25609685627564716"/>
    <n v="-3.625441549447328E-3"/>
    <n v="-0.3049419330890295"/>
    <n v="4"/>
    <b v="1"/>
    <n v="0"/>
    <n v="0.9741882058902549"/>
    <n v="40.771812106173435"/>
    <n v="0.33938638006532829"/>
    <n v="4"/>
    <n v="0"/>
    <n v="33.938638006532827"/>
    <n v="4"/>
    <n v="-0.37593943918003669"/>
    <b v="1"/>
    <n v="0"/>
    <n v="3"/>
    <n v="-1"/>
    <n v="0"/>
    <n v="0"/>
    <n v="0"/>
    <n v="0"/>
    <n v="0"/>
    <s v="Intermedio"/>
    <n v="6"/>
    <s v="Fuera SC"/>
    <m/>
    <s v="No"/>
    <s v="Si"/>
    <n v="39.4"/>
    <n v="28.289974964623926"/>
    <n v="0.97666666666666657"/>
    <s v="Sin riesgo"/>
    <n v="0.73457062674324891"/>
    <s v="Medio Bajo"/>
    <n v="45225.845650000003"/>
    <n v="3168.2308057499999"/>
    <n v="12824"/>
    <n v="3.5266567100748598"/>
    <n v="0.24705480394182783"/>
    <m/>
    <m/>
    <m/>
    <m/>
    <m/>
    <m/>
    <m/>
    <n v="48"/>
    <n v="0"/>
    <n v="7"/>
    <n v="9256.4138079999993"/>
    <n v="290.42276800000002"/>
    <n v="3.137530084804524E-2"/>
    <s v="0% - 30%"/>
    <n v="8.4494931177297143E-6"/>
    <s v="N.D."/>
    <s v="N.D."/>
    <s v="N.D."/>
    <n v="0.93225956773292529"/>
    <s v="Aceptable"/>
    <n v="2"/>
    <s v="Candidato"/>
    <n v="0"/>
    <n v="0"/>
  </r>
  <r>
    <n v="17877"/>
    <s v="17877"/>
    <x v="11"/>
    <x v="11"/>
    <s v="VITERBO"/>
    <n v="63.152266666666698"/>
    <n v="54.82"/>
    <n v="55.69"/>
    <n v="57.8"/>
    <n v="67.605705592773504"/>
    <n v="65.037459350253442"/>
    <n v="52.146551011443606"/>
    <n v="58.711199999999998"/>
    <n v="57.86556666666668"/>
    <n v="60.875228988617629"/>
    <n v="59.370397827642151"/>
    <n v="46.107825502047284"/>
    <n v="53.892174497952716"/>
    <n v="0.58502957048157445"/>
    <n v="0"/>
    <n v="34.733438340425685"/>
    <n v="3"/>
    <n v="3"/>
    <b v="1"/>
    <x v="4"/>
    <n v="60.135696391892466"/>
    <n v="0.60123168973654084"/>
    <n v="36.155486355181111"/>
    <n v="2"/>
    <n v="-1"/>
    <n v="-0.76529856425031539"/>
    <n v="-1.6202119254966396E-2"/>
    <n v="-1.4220480147554255"/>
    <n v="3"/>
    <b v="1"/>
    <s v="Efecto ponderador"/>
    <n v="0.9741882058902549"/>
    <n v="58.583486177978799"/>
    <n v="0.56219164742940186"/>
    <n v="2"/>
    <n v="-1"/>
    <n v="56.219164742940187"/>
    <n v="4"/>
    <n v="-0.38915863540868045"/>
    <b v="0"/>
    <s v="Cambio en corte"/>
    <n v="2"/>
    <n v="-1"/>
    <n v="0"/>
    <n v="0"/>
    <n v="0"/>
    <n v="0"/>
    <n v="0"/>
    <s v="Intermedio"/>
    <n v="6"/>
    <s v="Fuera SC"/>
    <m/>
    <s v="No"/>
    <s v="No"/>
    <n v="26"/>
    <n v="8.7243460764587528"/>
    <n v="10.617756248384467"/>
    <s v="Bajo"/>
    <n v="2.7981533830016287"/>
    <s v="Medio Bajo"/>
    <n v="24567.770714999999"/>
    <n v="8333.160061300001"/>
    <n v="12728"/>
    <n v="1.9302145439189189"/>
    <n v="0.65471087848051546"/>
    <m/>
    <m/>
    <m/>
    <m/>
    <m/>
    <m/>
    <m/>
    <n v="49"/>
    <n v="0"/>
    <n v="7"/>
    <n v="11289.618882999999"/>
    <n v="111.345046"/>
    <n v="9.8626045001097666E-3"/>
    <s v="0% - 30%"/>
    <n v="3.2394471216881258E-6"/>
    <n v="64.147582"/>
    <n v="5.6819971218509385E-3"/>
    <s v="0% - 30%"/>
    <n v="0.89712804855017381"/>
    <s v="Aceptable"/>
    <n v="1"/>
    <s v="Candidato"/>
    <n v="0"/>
    <n v="0"/>
  </r>
  <r>
    <n v="5237"/>
    <s v="05237"/>
    <x v="1"/>
    <x v="1"/>
    <s v="DON MATÍAS"/>
    <n v="65.793633333333304"/>
    <n v="63.4"/>
    <n v="43.64"/>
    <n v="65.94"/>
    <n v="50.317893178190047"/>
    <n v="54.880055967667161"/>
    <n v="75.734939646308092"/>
    <n v="59.396599999999999"/>
    <n v="59.693408333333323"/>
    <n v="60.082372198041327"/>
    <n v="59.887890265687325"/>
    <n v="44.109097751287472"/>
    <n v="55.890902248712528"/>
    <n v="0.60301812023841272"/>
    <n v="0"/>
    <n v="36.11348301305911"/>
    <n v="3"/>
    <n v="3"/>
    <b v="1"/>
    <x v="3"/>
    <n v="59.068691498058421"/>
    <n v="0.6085320169305064"/>
    <n v="35.945189974759344"/>
    <n v="2"/>
    <n v="0"/>
    <n v="0.81919876762890453"/>
    <n v="-5.5138966920936783E-3"/>
    <n v="0.16829303829976539"/>
    <n v="2"/>
    <b v="1"/>
    <n v="0"/>
    <n v="0.9741882058902549"/>
    <n v="57.544022594778482"/>
    <n v="0.54918905370146209"/>
    <n v="2"/>
    <n v="0"/>
    <n v="54.918905370146206"/>
    <n v="3"/>
    <n v="-0.37117008565184217"/>
    <b v="0"/>
    <n v="0"/>
    <n v="2"/>
    <n v="0"/>
    <n v="0"/>
    <n v="0"/>
    <n v="0"/>
    <n v="0"/>
    <n v="0"/>
    <s v="Intermedio"/>
    <n v="6"/>
    <s v="Fuera SC"/>
    <m/>
    <s v="No"/>
    <s v="Si"/>
    <n v="19.7"/>
    <n v="6.1004024571065454"/>
    <n v="24.732492794765982"/>
    <s v="Medio"/>
    <n v="1.6853155185306528"/>
    <s v="Medio Bajo"/>
    <n v="42769.98949"/>
    <n v="20301.846096099998"/>
    <n v="19689"/>
    <n v="2.1722784036771801"/>
    <n v="1.0311263190664837"/>
    <m/>
    <m/>
    <m/>
    <m/>
    <m/>
    <m/>
    <m/>
    <n v="61"/>
    <n v="0"/>
    <n v="7"/>
    <n v="19801.510092"/>
    <n v="317.37028099999998"/>
    <n v="1.6027579690915623E-2"/>
    <s v="0% - 30%"/>
    <n v="9.2334978540024283E-6"/>
    <s v="N.D."/>
    <s v="N.D."/>
    <s v="N.D."/>
    <n v="0.85993574942826667"/>
    <s v="Aceptable"/>
    <n v="2"/>
    <s v="Candidato"/>
    <n v="0"/>
    <n v="0"/>
  </r>
  <r>
    <n v="25402"/>
    <s v="25402"/>
    <x v="5"/>
    <x v="5"/>
    <s v="LA VEGA"/>
    <n v="77.0981666666667"/>
    <n v="78.42"/>
    <n v="86.83"/>
    <n v="78.790000000000006"/>
    <n v="50.355107302643468"/>
    <n v="63.477947263257008"/>
    <n v="66.2913531393516"/>
    <n v="66.620400000000004"/>
    <n v="80.284541666666684"/>
    <n v="61.686201926313018"/>
    <n v="70.985371796489858"/>
    <n v="46.751732021452945"/>
    <n v="53.248267978547055"/>
    <n v="0.57923441180692359"/>
    <n v="0"/>
    <n v="41.117170079435589"/>
    <n v="2"/>
    <n v="2"/>
    <b v="1"/>
    <x v="3"/>
    <n v="68.492010852003972"/>
    <n v="0.59711093625322886"/>
    <n v="40.897328725706402"/>
    <n v="2"/>
    <n v="0"/>
    <n v="2.493360944485886"/>
    <n v="-1.7876524446305275E-2"/>
    <n v="0.21984135372918701"/>
    <n v="2"/>
    <b v="1"/>
    <n v="0"/>
    <n v="0.9741882058902549"/>
    <n v="66.724109169729616"/>
    <n v="0.66402226003073184"/>
    <n v="1"/>
    <n v="-1"/>
    <n v="66.402226003073181"/>
    <n v="3"/>
    <n v="-0.39495379408333131"/>
    <b v="0"/>
    <s v="Cambio en corte"/>
    <n v="1"/>
    <n v="-1"/>
    <n v="0"/>
    <n v="0"/>
    <n v="0"/>
    <n v="0"/>
    <n v="0"/>
    <s v="Intermedio"/>
    <n v="6"/>
    <s v="Fuera SC"/>
    <m/>
    <s v="No"/>
    <s v="No"/>
    <n v="22.1"/>
    <n v="7.5302589244675957"/>
    <n v="13.059274837691103"/>
    <s v="Bajo"/>
    <n v="6.4599616008454337"/>
    <s v="Medio"/>
    <n v="42074.573023999998"/>
    <n v="19330.3007679"/>
    <n v="18891"/>
    <n v="2.2272284698533693"/>
    <n v="1.0232545004446563"/>
    <m/>
    <m/>
    <m/>
    <m/>
    <m/>
    <m/>
    <m/>
    <n v="37"/>
    <n v="0"/>
    <n v="7"/>
    <n v="15527.047992"/>
    <n v="9324.1485940000002"/>
    <n v="0.60051006468222945"/>
    <s v="51% - 70%"/>
    <n v="2.7127463151818795E-4"/>
    <s v="N.D."/>
    <s v="N.D."/>
    <s v="N.D."/>
    <n v="0.94426380104755214"/>
    <s v="Aceptable"/>
    <n v="3"/>
    <s v="Candidato"/>
    <n v="0"/>
    <n v="0"/>
  </r>
  <r>
    <n v="5282"/>
    <s v="05282"/>
    <x v="1"/>
    <x v="1"/>
    <s v="FREDONIA"/>
    <n v="47.847633333333299"/>
    <n v="55.1"/>
    <n v="38.42"/>
    <n v="53.11"/>
    <n v="44.088121846281339"/>
    <n v="40.045710628441661"/>
    <n v="51.025814928970917"/>
    <n v="51.252899999999997"/>
    <n v="48.619408333333325"/>
    <n v="46.603136850923477"/>
    <n v="47.611272592128401"/>
    <n v="45.101281542403257"/>
    <n v="54.898718457596743"/>
    <n v="0.59408846611837063"/>
    <n v="0"/>
    <n v="28.285307904201183"/>
    <n v="4"/>
    <n v="4"/>
    <b v="1"/>
    <x v="5"/>
    <n v="46.039983077086369"/>
    <n v="0.60200669562123921"/>
    <n v="27.716378078694536"/>
    <n v="4"/>
    <n v="0"/>
    <n v="1.5712895150420323"/>
    <n v="-7.918229502868579E-3"/>
    <n v="0.56892982550664684"/>
    <n v="3"/>
    <b v="0"/>
    <n v="0"/>
    <n v="0.9741882058902549"/>
    <n v="44.851608513084464"/>
    <n v="0.39042033260501025"/>
    <n v="3"/>
    <n v="-1"/>
    <n v="39.042033260501022"/>
    <n v="4"/>
    <n v="-0.38009973977188427"/>
    <b v="1"/>
    <s v="Efecto ponderador"/>
    <n v="2"/>
    <n v="-2"/>
    <n v="0"/>
    <n v="0"/>
    <n v="0"/>
    <n v="0"/>
    <n v="0"/>
    <s v="Intermedio"/>
    <n v="6"/>
    <s v="Fuera SC"/>
    <m/>
    <s v="No"/>
    <s v="Si"/>
    <n v="31.6"/>
    <n v="11.128894579598805"/>
    <n v="7.0624270941585516"/>
    <s v="Bajo"/>
    <n v="3.1519244390451258"/>
    <s v="Medio Bajo"/>
    <n v="39636.424213999999"/>
    <n v="14556.725544000001"/>
    <n v="26245"/>
    <n v="1.510246683711183"/>
    <n v="0.55464757264240816"/>
    <m/>
    <m/>
    <m/>
    <m/>
    <m/>
    <m/>
    <m/>
    <n v="65"/>
    <n v="0"/>
    <n v="6"/>
    <n v="25404.507624999998"/>
    <n v="1083.6816699999999"/>
    <n v="4.2657062518053825E-2"/>
    <s v="0% - 30%"/>
    <n v="3.1528384897408738E-5"/>
    <s v="N.D."/>
    <s v="N.D."/>
    <s v="N.D."/>
    <n v="0.89303085028309082"/>
    <s v="Aceptable"/>
    <n v="1"/>
    <s v="Candidato"/>
    <n v="0"/>
    <n v="0"/>
  </r>
  <r>
    <n v="73520"/>
    <s v="73520"/>
    <x v="15"/>
    <x v="15"/>
    <s v="PALOCABILDO"/>
    <n v="51.700466666666699"/>
    <n v="39.880000000000003"/>
    <n v="42.94"/>
    <n v="61.19"/>
    <n v="42.978972125139947"/>
    <n v="59.528177658390952"/>
    <n v="51.786771060709683"/>
    <n v="54.551400000000001"/>
    <n v="48.927616666666673"/>
    <n v="52.211330211060144"/>
    <n v="50.569473438863412"/>
    <n v="45.823086152274314"/>
    <n v="54.176913847725686"/>
    <n v="0.5875922246295312"/>
    <n v="0"/>
    <n v="29.714229396285742"/>
    <n v="3"/>
    <n v="3"/>
    <b v="1"/>
    <x v="4"/>
    <n v="49.119721645947976"/>
    <n v="0.59906231385782516"/>
    <n v="29.425774105273895"/>
    <n v="3"/>
    <n v="0"/>
    <n v="1.4497517929154355"/>
    <n v="-1.1470089228293956E-2"/>
    <n v="0.28845529101184653"/>
    <n v="3"/>
    <b v="1"/>
    <n v="0"/>
    <n v="0.9741882058902549"/>
    <n v="47.851853504094777"/>
    <n v="0.42795023488622913"/>
    <n v="3"/>
    <n v="0"/>
    <n v="42.79502348862291"/>
    <n v="4"/>
    <n v="-0.3865959812607237"/>
    <b v="0"/>
    <n v="0"/>
    <n v="3"/>
    <n v="0"/>
    <n v="0"/>
    <n v="0"/>
    <n v="0"/>
    <n v="0"/>
    <n v="0"/>
    <s v="Intermedio"/>
    <n v="6"/>
    <s v="Fuera SC"/>
    <m/>
    <s v="No"/>
    <s v="Si"/>
    <n v="45.5"/>
    <n v="17.294296909011756"/>
    <n v="2.02"/>
    <s v="Sin riesgo"/>
    <n v="2.7790880926648711"/>
    <s v="Medio Bajo"/>
    <n v="23523.212837999999"/>
    <n v="3894.0779510000002"/>
    <n v="10120"/>
    <n v="2.3244281460474308"/>
    <n v="0.38479031136363639"/>
    <m/>
    <m/>
    <m/>
    <m/>
    <m/>
    <m/>
    <m/>
    <n v="89"/>
    <n v="0"/>
    <n v="7"/>
    <n v="6497.2936810000001"/>
    <n v="4616.8226199999999"/>
    <n v="0.71057625631129295"/>
    <s v="71% - 100%"/>
    <n v="1.3432077389149071E-4"/>
    <s v="N.D."/>
    <s v="N.D."/>
    <s v="N.D."/>
    <n v="0.93414938026575101"/>
    <s v="Aceptable"/>
    <n v="2"/>
    <s v="Candidato"/>
    <n v="0"/>
    <n v="0"/>
  </r>
  <r>
    <n v="19142"/>
    <s v="19142"/>
    <x v="13"/>
    <x v="13"/>
    <s v="CALOTO"/>
    <n v="56.820799999999998"/>
    <n v="67.08"/>
    <n v="72.59"/>
    <n v="49.9"/>
    <n v="47.115056827593548"/>
    <n v="48.081061812973914"/>
    <n v="57.560595406969554"/>
    <n v="48.209899999999998"/>
    <n v="61.597700000000003"/>
    <n v="50.241653511884252"/>
    <n v="55.919676755942127"/>
    <n v="45.885671431545624"/>
    <n v="54.114328568454376"/>
    <n v="0.58702895711608938"/>
    <n v="0"/>
    <n v="32.826469528309531"/>
    <n v="3"/>
    <n v="3"/>
    <b v="1"/>
    <x v="4"/>
    <n v="55.364924804626071"/>
    <n v="0.60042021744560747"/>
    <n v="33.242220190053295"/>
    <n v="3"/>
    <n v="0"/>
    <n v="0.55475195131605659"/>
    <n v="-1.3391260329518095E-2"/>
    <n v="-0.41575066174376474"/>
    <n v="3"/>
    <b v="1"/>
    <n v="0"/>
    <n v="0.9741882058902549"/>
    <n v="53.935856764667541"/>
    <n v="0.50405470253206075"/>
    <n v="2"/>
    <n v="-1"/>
    <n v="50.405470253206076"/>
    <n v="4"/>
    <n v="-0.38715924877416552"/>
    <b v="0"/>
    <s v="Cambio en corte"/>
    <n v="2"/>
    <n v="-1"/>
    <n v="0"/>
    <n v="0"/>
    <n v="0"/>
    <n v="1"/>
    <n v="1"/>
    <s v="Intermedio"/>
    <n v="5"/>
    <s v="Fuera SC"/>
    <m/>
    <s v="No"/>
    <s v="No"/>
    <n v="37.4"/>
    <n v="22.910069664344523"/>
    <n v="0"/>
    <s v="Sin riesgo"/>
    <n v="34.629082878959593"/>
    <s v="Muy Alto"/>
    <n v="60422.223014000003"/>
    <n v="20652.982660000001"/>
    <n v="31061"/>
    <n v="1.9452761667042273"/>
    <n v="0.6649168623032099"/>
    <m/>
    <m/>
    <m/>
    <m/>
    <m/>
    <m/>
    <m/>
    <n v="32"/>
    <n v="0"/>
    <n v="6"/>
    <n v="26502.242211000001"/>
    <n v="14937.47399"/>
    <n v="0.56363057401234007"/>
    <s v="51% - 70%"/>
    <n v="4.3458742764538211E-4"/>
    <n v="8958.9869199999994"/>
    <n v="0.33804637542258553"/>
    <s v="31% - 50%"/>
    <n v="0.94205385225708982"/>
    <s v="Aceptable"/>
    <n v="1"/>
    <s v="Candidato"/>
    <n v="0"/>
    <n v="0"/>
  </r>
  <r>
    <n v="25099"/>
    <s v="25099"/>
    <x v="5"/>
    <x v="5"/>
    <s v="BOJACÁ"/>
    <n v="78.996499999999997"/>
    <n v="83.18"/>
    <n v="76.44"/>
    <n v="77.05"/>
    <n v="71.816786911754463"/>
    <n v="60.558159233863506"/>
    <n v="66.336128390696217"/>
    <n v="59.540900000000001"/>
    <n v="78.916624999999996"/>
    <n v="64.562993634078552"/>
    <n v="71.739809317039274"/>
    <n v="46.469000551899811"/>
    <n v="53.530999448100189"/>
    <n v="0.58177899503290176"/>
    <n v="0"/>
    <n v="41.736714168319111"/>
    <n v="2"/>
    <n v="2"/>
    <b v="1"/>
    <x v="3"/>
    <n v="70.90883609678265"/>
    <n v="0.59897806468074144"/>
    <n v="42.472837414014769"/>
    <n v="2"/>
    <n v="0"/>
    <n v="0.83097322025662379"/>
    <n v="-1.7199069647839682E-2"/>
    <n v="-0.73612324569565857"/>
    <n v="2"/>
    <b v="1"/>
    <n v="0"/>
    <n v="0.9741882058902549"/>
    <n v="69.07855181889083"/>
    <n v="0.69347385575525267"/>
    <n v="1"/>
    <n v="-1"/>
    <n v="69.347385575525266"/>
    <n v="3"/>
    <n v="-0.39240921085735314"/>
    <b v="0"/>
    <s v="Cambio en corte"/>
    <n v="1"/>
    <n v="-1"/>
    <n v="0"/>
    <n v="0"/>
    <n v="0"/>
    <n v="0"/>
    <n v="0"/>
    <s v="Ciudades y aglomeraciones"/>
    <n v="6"/>
    <s v="En aglomeración"/>
    <m/>
    <s v="No"/>
    <s v="No"/>
    <n v="16.8"/>
    <n v="5.3351289754480469"/>
    <n v="4.6008333333333331"/>
    <s v="Sin riesgo"/>
    <n v="0"/>
    <s v="Bajo"/>
    <n v="21046.521218000002"/>
    <n v="12679.275018100001"/>
    <n v="10793"/>
    <n v="1.9500158638006118"/>
    <n v="1.1747683700639304"/>
    <m/>
    <m/>
    <m/>
    <m/>
    <m/>
    <m/>
    <m/>
    <n v="59"/>
    <n v="0"/>
    <n v="7"/>
    <n v="10220.749075"/>
    <n v="5036.031097"/>
    <n v="0.49272622388491621"/>
    <s v="31% - 50%"/>
    <n v="1.4651712876303941E-4"/>
    <s v="N.D."/>
    <s v="N.D."/>
    <s v="N.D."/>
    <n v="0.95731611691878027"/>
    <s v="Aceptable"/>
    <n v="2"/>
    <s v="Candidato"/>
    <n v="0"/>
    <n v="0"/>
  </r>
  <r>
    <n v="52480"/>
    <s v="52480"/>
    <x v="18"/>
    <x v="18"/>
    <s v="NARIÑO"/>
    <n v="88.822966666666701"/>
    <n v="85.56"/>
    <n v="88.48"/>
    <n v="85.48"/>
    <n v="43.461159938094099"/>
    <n v="62.326054497334383"/>
    <n v="57.907496435238272"/>
    <n v="79.986000000000004"/>
    <n v="87.085741666666678"/>
    <n v="60.920177717666689"/>
    <n v="74.002959692166684"/>
    <n v="45.960180457329493"/>
    <n v="54.039819542670507"/>
    <n v="0.58635837588403461"/>
    <n v="0"/>
    <n v="43.392255255710538"/>
    <n v="2"/>
    <n v="2"/>
    <b v="1"/>
    <x v="3"/>
    <n v="72.1352553354983"/>
    <n v="0.59834134906959713"/>
    <n v="43.16150599292191"/>
    <n v="2"/>
    <n v="0"/>
    <n v="1.8677043566683835"/>
    <n v="-1.1982973185562518E-2"/>
    <n v="0.23074926278862762"/>
    <n v="2"/>
    <b v="1"/>
    <n v="0"/>
    <n v="0.9741882058902549"/>
    <n v="70.273314976724521"/>
    <n v="0.70841908346067406"/>
    <n v="1"/>
    <n v="-1"/>
    <n v="70.841908346067413"/>
    <n v="3"/>
    <n v="-0.38782983000622029"/>
    <b v="0"/>
    <s v="Cambio en corte"/>
    <n v="1"/>
    <n v="-1"/>
    <n v="0"/>
    <n v="0"/>
    <n v="0"/>
    <n v="0"/>
    <n v="0"/>
    <s v="Ciudades y aglomeraciones"/>
    <n v="6"/>
    <s v="En aglomeración"/>
    <m/>
    <s v="No"/>
    <s v="No"/>
    <n v="40.799999999999997"/>
    <n v="25.230846019465936"/>
    <n v="6.5863962396239621"/>
    <s v="Bajo"/>
    <n v="54.322274368123324"/>
    <s v="Muy Alto"/>
    <n v="22193.398972999999"/>
    <n v="5186.9081445000002"/>
    <n v="4530"/>
    <n v="4.8992050713024282"/>
    <n v="1.1450128354304636"/>
    <m/>
    <m/>
    <m/>
    <m/>
    <m/>
    <m/>
    <m/>
    <n v="80"/>
    <n v="0"/>
    <n v="7"/>
    <n v="2533.6198650000001"/>
    <n v="843.63076100000001"/>
    <n v="0.33297448155270126"/>
    <s v="31% - 50%"/>
    <n v="2.4544399043034328E-5"/>
    <s v="N.D."/>
    <s v="N.D."/>
    <s v="N.D."/>
    <n v="0.98007487351229972"/>
    <s v="Aceptable"/>
    <n v="3"/>
    <s v="Candidato"/>
    <n v="0"/>
    <n v="0"/>
  </r>
  <r>
    <n v="8832"/>
    <s v="08832"/>
    <x v="2"/>
    <x v="2"/>
    <s v="TUBARÁ"/>
    <n v="72.168133333333301"/>
    <n v="72.06"/>
    <n v="77.47"/>
    <n v="75.88"/>
    <n v="65.822177615764446"/>
    <n v="65.125136213547265"/>
    <n v="62.646518417291801"/>
    <n v="71.210999999999999"/>
    <n v="74.394533333333328"/>
    <n v="66.201208061650888"/>
    <n v="70.297870697492101"/>
    <n v="45.536141139144647"/>
    <n v="54.463858860855353"/>
    <n v="0.59017472974769813"/>
    <n v="0"/>
    <n v="41.488026840731031"/>
    <n v="2"/>
    <n v="2"/>
    <b v="1"/>
    <x v="3"/>
    <n v="68.153778285803526"/>
    <n v="0.59825743576471058"/>
    <n v="40.773504634941432"/>
    <n v="2"/>
    <n v="0"/>
    <n v="2.1440924116885753"/>
    <n v="-8.0827060170124421E-3"/>
    <n v="0.71452220578959924"/>
    <n v="2"/>
    <b v="1"/>
    <n v="0"/>
    <n v="0.9741882058902549"/>
    <n v="66.394606992889152"/>
    <n v="0.65990053512649083"/>
    <n v="1"/>
    <n v="-1"/>
    <n v="65.990053512649084"/>
    <n v="3"/>
    <n v="-0.38401347614255676"/>
    <b v="0"/>
    <s v="Cambio en corte"/>
    <n v="1"/>
    <n v="-1"/>
    <n v="0"/>
    <n v="0"/>
    <n v="0"/>
    <n v="0"/>
    <n v="0"/>
    <s v="Ciudades y aglomeraciones"/>
    <n v="6"/>
    <s v="En aglomeración"/>
    <m/>
    <s v="No"/>
    <s v="No"/>
    <n v="32.799999999999997"/>
    <n v="16.13461236043403"/>
    <n v="4.8285419947279475"/>
    <s v="Sin riesgo"/>
    <n v="0.95716759249894146"/>
    <s v="Medio Bajo"/>
    <n v="30073.65926"/>
    <n v="9235.5788229999998"/>
    <n v="20017"/>
    <n v="1.5024059179697258"/>
    <n v="0.46138676240195831"/>
    <m/>
    <m/>
    <m/>
    <m/>
    <m/>
    <m/>
    <m/>
    <n v="5"/>
    <n v="0"/>
    <n v="7"/>
    <n v="18300.111439"/>
    <n v="4256.216171"/>
    <n v="0.23257870233125633"/>
    <s v="0% - 30%"/>
    <n v="1.2382937292448922E-4"/>
    <s v="N.D."/>
    <s v="N.D."/>
    <s v="N.D."/>
    <n v="0.94066146510283866"/>
    <s v="Aceptable"/>
    <n v="3"/>
    <s v="Candidato"/>
    <n v="0"/>
    <n v="0"/>
  </r>
  <r>
    <n v="52210"/>
    <s v="52210"/>
    <x v="18"/>
    <x v="18"/>
    <s v="CONTADERO"/>
    <n v="55.658633333333299"/>
    <n v="43.78"/>
    <n v="45.9"/>
    <n v="54.85"/>
    <n v="50.593623123255639"/>
    <n v="53.101727081254694"/>
    <n v="60.07508037161746"/>
    <n v="58.772500000000001"/>
    <n v="50.047158333333321"/>
    <n v="55.635732644031954"/>
    <n v="52.841445488682638"/>
    <n v="46.066672857868703"/>
    <n v="53.933327142131297"/>
    <n v="0.58539994427918163"/>
    <n v="0"/>
    <n v="30.933379244706231"/>
    <n v="3"/>
    <n v="3"/>
    <b v="1"/>
    <x v="4"/>
    <n v="52.406727933239004"/>
    <n v="0.59766035482171442"/>
    <n v="31.321423611624677"/>
    <n v="3"/>
    <n v="0"/>
    <n v="0.43471755544363333"/>
    <n v="-1.2260410542532796E-2"/>
    <n v="-0.38804436691844657"/>
    <n v="3"/>
    <b v="1"/>
    <n v="0"/>
    <n v="0.9741882058902549"/>
    <n v="51.054016261860809"/>
    <n v="0.46800591558817367"/>
    <n v="3"/>
    <n v="0"/>
    <n v="46.800591558817366"/>
    <n v="4"/>
    <n v="-0.38878826161107327"/>
    <b v="0"/>
    <n v="0"/>
    <n v="2"/>
    <n v="-1"/>
    <n v="0"/>
    <n v="0"/>
    <n v="0"/>
    <n v="0"/>
    <n v="0"/>
    <s v="Intermedio"/>
    <n v="6"/>
    <s v="Fuera SC"/>
    <m/>
    <s v="No"/>
    <s v="Si"/>
    <n v="44"/>
    <n v="18.548512692726991"/>
    <n v="41.591510835580806"/>
    <s v="Alto"/>
    <n v="0.17056333571505458"/>
    <s v="Bajo"/>
    <n v="19648.817133"/>
    <n v="4333.2627132500002"/>
    <n v="7530"/>
    <n v="2.6094046657370518"/>
    <n v="0.57546649578353259"/>
    <m/>
    <m/>
    <m/>
    <m/>
    <m/>
    <m/>
    <m/>
    <n v="28"/>
    <n v="0"/>
    <n v="7"/>
    <n v="4325.3985869999997"/>
    <n v="360.07518199999998"/>
    <n v="8.3246705420907841E-2"/>
    <s v="0% - 30%"/>
    <n v="1.0475944407272758E-5"/>
    <n v="11.71861"/>
    <n v="2.7092555204554611E-3"/>
    <s v="0% - 30%"/>
    <n v="0.89478929571664689"/>
    <s v="Aceptable"/>
    <n v="1"/>
    <s v="Candidato"/>
    <n v="0"/>
    <n v="0"/>
  </r>
  <r>
    <n v="73443"/>
    <s v="73443"/>
    <x v="15"/>
    <x v="15"/>
    <s v="SAN SEBASTIÁN DE MARIQUITA"/>
    <n v="59.3588666666667"/>
    <n v="75.040000000000006"/>
    <n v="56.05"/>
    <n v="54.84"/>
    <n v="65.797217246942495"/>
    <n v="65.265221694185584"/>
    <n v="63.382975247653228"/>
    <n v="55.443600000000004"/>
    <n v="61.322216666666684"/>
    <n v="62.472253547195329"/>
    <n v="61.897235106931006"/>
    <n v="46.396690691361734"/>
    <n v="53.603309308638266"/>
    <n v="0.58242978377774446"/>
    <n v="0"/>
    <n v="36.050793259770039"/>
    <n v="3"/>
    <n v="3"/>
    <b v="1"/>
    <x v="3"/>
    <n v="62.499245613382463"/>
    <n v="0.59563244477931609"/>
    <n v="37.226578461561942"/>
    <n v="2"/>
    <n v="0"/>
    <n v="-0.60201050645145671"/>
    <n v="-1.3202661001571636E-2"/>
    <n v="-1.1757852017919035"/>
    <n v="2"/>
    <b v="1"/>
    <n v="0"/>
    <n v="0.9741882058902549"/>
    <n v="60.886027953595445"/>
    <n v="0.59099401793455764"/>
    <n v="2"/>
    <n v="0"/>
    <n v="59.099401793455762"/>
    <n v="3"/>
    <n v="-0.39175842211251044"/>
    <b v="0"/>
    <n v="0"/>
    <n v="2"/>
    <n v="0"/>
    <n v="0"/>
    <n v="0"/>
    <n v="0"/>
    <n v="0"/>
    <n v="0"/>
    <s v="Intermedio"/>
    <n v="6"/>
    <s v="Fuera SC"/>
    <m/>
    <s v="No"/>
    <s v="Si"/>
    <n v="27.1"/>
    <n v="12.041397755683469"/>
    <n v="23.519690229216209"/>
    <s v="Medio"/>
    <n v="4.7621716344826686"/>
    <s v="Medio Bajo"/>
    <n v="65325.739192000001"/>
    <n v="20608.335322999999"/>
    <n v="40114"/>
    <n v="1.6285022483920826"/>
    <n v="0.51374421207059873"/>
    <m/>
    <m/>
    <m/>
    <m/>
    <m/>
    <m/>
    <m/>
    <n v="89"/>
    <n v="0"/>
    <n v="6"/>
    <n v="29311.576115"/>
    <n v="4719.9710439999999"/>
    <n v="0.1610275416607361"/>
    <s v="0% - 30%"/>
    <n v="1.373217503806779E-4"/>
    <s v="N.D."/>
    <s v="N.D."/>
    <s v="N.D."/>
    <n v="0.97131809393292512"/>
    <s v="Aceptable"/>
    <n v="1"/>
    <s v="Candidato"/>
    <n v="0"/>
    <n v="0"/>
  </r>
  <r>
    <n v="20001"/>
    <s v="20001"/>
    <x v="20"/>
    <x v="20"/>
    <s v="VALLEDUPAR"/>
    <n v="55.495466666666701"/>
    <n v="58.26"/>
    <n v="71.97"/>
    <n v="79.349999999999994"/>
    <n v="62.591075821576915"/>
    <n v="63.176481034710008"/>
    <n v="61.098730407538191"/>
    <n v="62.040700000000001"/>
    <n v="66.268866666666668"/>
    <n v="62.226746815956275"/>
    <n v="64.247806741311479"/>
    <n v="45.425359711528976"/>
    <n v="54.574640288471024"/>
    <n v="0.59117176259623916"/>
    <n v="0"/>
    <n v="37.981489154203643"/>
    <n v="3"/>
    <n v="3"/>
    <b v="1"/>
    <x v="3"/>
    <n v="59.12774833461549"/>
    <n v="0.59724487204384835"/>
    <n v="35.313744488348298"/>
    <n v="2"/>
    <n v="0"/>
    <n v="5.1200584066959891"/>
    <n v="-6.0731094476091929E-3"/>
    <n v="2.667744665855345"/>
    <n v="2"/>
    <b v="1"/>
    <n v="0"/>
    <n v="0.9741882058902549"/>
    <n v="57.601555068429569"/>
    <n v="0.54990872430189364"/>
    <n v="2"/>
    <n v="0"/>
    <n v="54.990872430189363"/>
    <n v="3"/>
    <n v="-0.38301644329401574"/>
    <b v="0"/>
    <n v="0"/>
    <n v="2"/>
    <n v="0"/>
    <n v="1"/>
    <n v="0"/>
    <n v="0"/>
    <n v="1"/>
    <n v="0"/>
    <s v="Ciudades y aglomeraciones"/>
    <n v="1"/>
    <s v="Uninodal"/>
    <m/>
    <s v="Si"/>
    <s v="Si"/>
    <n v="30.5"/>
    <n v="17.826291162243546"/>
    <n v="2.3975862068965519"/>
    <s v="Sin riesgo"/>
    <n v="2.4447927804955869"/>
    <s v="Medio Bajo"/>
    <n v="1250280.6125169999"/>
    <n v="272263.07421225001"/>
    <n v="601259"/>
    <n v="2.0794376674893846"/>
    <n v="0.45282161965517359"/>
    <m/>
    <m/>
    <m/>
    <m/>
    <m/>
    <m/>
    <m/>
    <n v="47"/>
    <n v="1"/>
    <n v="3"/>
    <n v="418184.48237300001"/>
    <n v="129817.693876"/>
    <n v="0.31043163806400881"/>
    <s v="31% - 50%"/>
    <n v="3.7768860840993184E-3"/>
    <n v="102587.83641800001"/>
    <n v="0.24531717637120906"/>
    <s v="0% - 30%"/>
    <n v="0.89503745270558221"/>
    <s v="Aceptable"/>
    <n v="3"/>
    <s v="Candidato"/>
    <n v="1"/>
    <s v="Unidad Especial de Desarrollo Fronterizo"/>
  </r>
  <r>
    <n v="73283"/>
    <s v="73283"/>
    <x v="15"/>
    <x v="15"/>
    <s v="FRESNO"/>
    <n v="54.4782333333333"/>
    <n v="60.95"/>
    <n v="41.19"/>
    <n v="52.4"/>
    <n v="55.442011589757094"/>
    <n v="55.908267233328289"/>
    <n v="56.146884105996328"/>
    <n v="50.424700000000001"/>
    <n v="52.254558333333328"/>
    <n v="54.480465732270424"/>
    <n v="53.367512032801876"/>
    <n v="46.600582571850254"/>
    <n v="53.399417428149746"/>
    <n v="0.58059475685334772"/>
    <n v="0"/>
    <n v="30.984897672552712"/>
    <n v="3"/>
    <n v="3"/>
    <b v="1"/>
    <x v="4"/>
    <n v="51.783426153217107"/>
    <n v="0.59833607679188616"/>
    <n v="30.983892047358278"/>
    <n v="3"/>
    <n v="0"/>
    <n v="1.5840858795847694"/>
    <n v="-1.7741319938538447E-2"/>
    <n v="1.0056251944341454E-3"/>
    <n v="3"/>
    <b v="1"/>
    <n v="0"/>
    <n v="0.9741882058902549"/>
    <n v="50.446803019053078"/>
    <n v="0.4604103179837386"/>
    <n v="3"/>
    <n v="0"/>
    <n v="46.041031798373858"/>
    <n v="4"/>
    <n v="-0.39359344903690718"/>
    <b v="0"/>
    <n v="0"/>
    <n v="3"/>
    <n v="0"/>
    <n v="0"/>
    <n v="0"/>
    <n v="0"/>
    <n v="0"/>
    <n v="0"/>
    <s v="Intermedio"/>
    <n v="6"/>
    <s v="Fuera SC"/>
    <m/>
    <s v="No"/>
    <s v="No"/>
    <n v="33.6"/>
    <n v="11.777175423964415"/>
    <n v="45.521193429711381"/>
    <s v="Alto"/>
    <n v="10.367990596016604"/>
    <s v="Medio"/>
    <n v="56712.963298000002"/>
    <n v="11888.550904"/>
    <n v="31821"/>
    <n v="1.7822495615474059"/>
    <n v="0.37360708035573992"/>
    <m/>
    <m/>
    <m/>
    <m/>
    <m/>
    <m/>
    <m/>
    <n v="89"/>
    <n v="0"/>
    <n v="6"/>
    <n v="21955.672682"/>
    <n v="4961.2564080000002"/>
    <n v="0.22596695076746182"/>
    <s v="0% - 30%"/>
    <n v="1.4434165118448441E-4"/>
    <s v="N.D."/>
    <s v="N.D."/>
    <s v="N.D."/>
    <n v="0.94595359128213219"/>
    <s v="Aceptable"/>
    <n v="1"/>
    <s v="Candidato"/>
    <n v="0"/>
    <n v="0"/>
  </r>
  <r>
    <n v="66318"/>
    <s v="66318"/>
    <x v="6"/>
    <x v="6"/>
    <s v="GUÁTICA"/>
    <n v="88.166899999999998"/>
    <n v="66.17"/>
    <n v="51.35"/>
    <n v="60.43"/>
    <n v="47.264732797760395"/>
    <n v="49.411599493335586"/>
    <n v="52.448390510132114"/>
    <n v="56.206899999999997"/>
    <n v="66.529224999999997"/>
    <n v="51.332905700307016"/>
    <n v="58.931065350153503"/>
    <n v="46.200828831852846"/>
    <n v="53.799171168147154"/>
    <n v="0.58419254051332437"/>
    <n v="0"/>
    <n v="34.427088782062917"/>
    <n v="3"/>
    <n v="3"/>
    <b v="1"/>
    <x v="4"/>
    <n v="62.879014889960644"/>
    <n v="0.59693922453208759"/>
    <n v="37.534950387754698"/>
    <n v="2"/>
    <n v="-1"/>
    <n v="-3.9479495398071407"/>
    <n v="-1.2746684018763221E-2"/>
    <n v="-3.1078616056917809"/>
    <n v="3"/>
    <b v="1"/>
    <s v="Efecto ponderador"/>
    <n v="0.9741882058902549"/>
    <n v="61.255994703797384"/>
    <n v="0.59562191199786996"/>
    <n v="2"/>
    <n v="-1"/>
    <n v="59.562191199786994"/>
    <n v="4"/>
    <n v="-0.38999566537693053"/>
    <b v="0"/>
    <s v="Cambio en corte"/>
    <n v="2"/>
    <n v="-1"/>
    <n v="0"/>
    <n v="0"/>
    <n v="0"/>
    <n v="0"/>
    <n v="0"/>
    <s v="Intermedio"/>
    <n v="6"/>
    <s v="Fuera SC"/>
    <m/>
    <s v="No"/>
    <s v="No"/>
    <n v="36.5"/>
    <n v="10.958666203542897"/>
    <n v="43.322732542554618"/>
    <s v="Alto"/>
    <n v="4.4589952670117422E-2"/>
    <s v="Bajo"/>
    <n v="25053.128589"/>
    <n v="4900.6864558500001"/>
    <n v="12548"/>
    <n v="1.996583406837743"/>
    <n v="0.39055518455929233"/>
    <m/>
    <m/>
    <m/>
    <m/>
    <m/>
    <m/>
    <m/>
    <n v="31"/>
    <n v="0"/>
    <n v="7"/>
    <n v="10080.899643000001"/>
    <n v="2219.1803770000001"/>
    <n v="0.22013713612762328"/>
    <s v="0% - 30%"/>
    <n v="6.4564322734030039E-5"/>
    <n v="22.406237999999998"/>
    <n v="2.2226426999061035E-3"/>
    <s v="0% - 30%"/>
    <n v="0.9507835764712298"/>
    <s v="Aceptable"/>
    <n v="2"/>
    <s v="Candidato"/>
    <n v="0"/>
    <n v="0"/>
  </r>
  <r>
    <n v="20011"/>
    <s v="20011"/>
    <x v="20"/>
    <x v="20"/>
    <s v="AGUACHICA"/>
    <n v="49.656933333333299"/>
    <n v="51.48"/>
    <n v="47.26"/>
    <n v="55.75"/>
    <n v="51.369086559018001"/>
    <n v="54.390044133205372"/>
    <n v="53.57273719853066"/>
    <n v="52.223599999999998"/>
    <n v="51.036733333333324"/>
    <n v="52.888866972688511"/>
    <n v="51.962800153010917"/>
    <n v="45.769725078741786"/>
    <n v="54.230274921258214"/>
    <n v="0.58807247429132392"/>
    <n v="0"/>
    <n v="30.557892457086716"/>
    <n v="3"/>
    <n v="3"/>
    <b v="1"/>
    <x v="4"/>
    <n v="50.856801181721977"/>
    <n v="0.59615144601506043"/>
    <n v="30.318355564183989"/>
    <n v="3"/>
    <n v="0"/>
    <n v="1.1059989712889404"/>
    <n v="-8.0789717237365055E-3"/>
    <n v="0.23953689290272706"/>
    <n v="3"/>
    <b v="1"/>
    <n v="0"/>
    <n v="0.9741882058902549"/>
    <n v="49.544095900539126"/>
    <n v="0.44911840347412352"/>
    <n v="3"/>
    <n v="0"/>
    <n v="44.911840347412351"/>
    <n v="4"/>
    <n v="-0.38611573159893098"/>
    <b v="0"/>
    <n v="0"/>
    <n v="2"/>
    <n v="-1"/>
    <n v="0"/>
    <n v="1"/>
    <n v="0"/>
    <n v="0"/>
    <n v="1"/>
    <s v="Ciudades y aglomeraciones"/>
    <n v="4"/>
    <s v="Fuera SC"/>
    <m/>
    <s v="No"/>
    <s v="Si"/>
    <n v="37"/>
    <n v="18.794741909825429"/>
    <n v="1.487907759225187"/>
    <s v="Sin riesgo"/>
    <n v="2.9417835399439984"/>
    <s v="Medio Bajo"/>
    <n v="172829.13546200001"/>
    <n v="39055.594731999998"/>
    <n v="132237"/>
    <n v="1.3069650359732905"/>
    <n v="0.29534543835688953"/>
    <m/>
    <m/>
    <m/>
    <m/>
    <m/>
    <m/>
    <m/>
    <n v="8"/>
    <n v="1"/>
    <n v="5"/>
    <n v="87631.769069000002"/>
    <n v="6621.0733019999998"/>
    <n v="7.5555627512057424E-2"/>
    <s v="0% - 30%"/>
    <n v="1.9263198158497321E-4"/>
    <s v="N.D."/>
    <s v="N.D."/>
    <s v="N.D."/>
    <n v="0.83586343155895126"/>
    <s v="Crítico bajo"/>
    <n v="1"/>
    <s v="Candidato"/>
    <n v="1"/>
    <s v="Unidad Especial de Desarrollo Fronterizo"/>
  </r>
  <r>
    <n v="76306"/>
    <s v="76306"/>
    <x v="3"/>
    <x v="3"/>
    <s v="GINEBRA"/>
    <n v="53.476300000000002"/>
    <n v="44.69"/>
    <n v="45.11"/>
    <n v="38.92"/>
    <n v="63.585469460940402"/>
    <n v="62.690568335947063"/>
    <n v="59.765483555479875"/>
    <n v="57.168399999999998"/>
    <n v="45.549075000000002"/>
    <n v="60.802480338091833"/>
    <n v="53.175777669045914"/>
    <n v="46.649264298762958"/>
    <n v="53.350735701237042"/>
    <n v="0.58015662131113332"/>
    <n v="0"/>
    <n v="30.85027950806569"/>
    <n v="3"/>
    <n v="3"/>
    <b v="1"/>
    <x v="4"/>
    <n v="55.203292398746207"/>
    <n v="0.59685285421996559"/>
    <n v="32.948242630531006"/>
    <n v="3"/>
    <n v="0"/>
    <n v="-2.0275147297002931"/>
    <n v="-1.6696232908832265E-2"/>
    <n v="-2.0979631224653161"/>
    <n v="3"/>
    <b v="1"/>
    <n v="0"/>
    <n v="0.9741882058902549"/>
    <n v="53.778396381169713"/>
    <n v="0.5020850391133922"/>
    <n v="2"/>
    <n v="-1"/>
    <n v="50.208503911339221"/>
    <n v="4"/>
    <n v="-0.39403158457912157"/>
    <b v="0"/>
    <s v="Cambio en corte"/>
    <n v="2"/>
    <n v="-1"/>
    <n v="0"/>
    <n v="0"/>
    <n v="0"/>
    <n v="0"/>
    <n v="0"/>
    <s v="Intermedio"/>
    <n v="6"/>
    <s v="Fuera SC"/>
    <m/>
    <s v="No"/>
    <s v="No"/>
    <n v="14.7"/>
    <n v="5.9822747415066466"/>
    <n v="26.204415788809122"/>
    <s v="Medio"/>
    <n v="7.4080804514546887"/>
    <s v="Medio"/>
    <n v="28251.852741999999"/>
    <n v="12100.4585075"/>
    <n v="24240"/>
    <n v="1.1655054761551156"/>
    <n v="0.49919383281765672"/>
    <m/>
    <m/>
    <m/>
    <m/>
    <m/>
    <m/>
    <m/>
    <n v="85"/>
    <n v="0"/>
    <n v="6"/>
    <n v="26876.749552000001"/>
    <n v="19102.323214"/>
    <n v="0.71073785083429197"/>
    <s v="71% - 100%"/>
    <n v="5.557585916588383E-4"/>
    <n v="66.413163999999995"/>
    <n v="2.4710266348059169E-3"/>
    <s v="0% - 30%"/>
    <n v="0.94810759742704576"/>
    <s v="Aceptable"/>
    <n v="1"/>
    <s v="Candidato"/>
    <n v="0"/>
    <n v="0"/>
  </r>
  <r>
    <n v="70473"/>
    <s v="70473"/>
    <x v="9"/>
    <x v="9"/>
    <s v="MORROA"/>
    <n v="39.5276"/>
    <n v="41.91"/>
    <n v="41.01"/>
    <n v="58.38"/>
    <n v="53.576354194858631"/>
    <n v="55.747977861559406"/>
    <n v="60.510269834570877"/>
    <n v="53.816000000000003"/>
    <n v="45.206899999999997"/>
    <n v="55.912650472747224"/>
    <n v="50.559775236373611"/>
    <n v="45.875860038723495"/>
    <n v="54.124139961276505"/>
    <n v="0.58711725965148853"/>
    <n v="0"/>
    <n v="29.684516685374867"/>
    <n v="3"/>
    <n v="3"/>
    <b v="1"/>
    <x v="4"/>
    <n v="48.388583995512278"/>
    <n v="0.59532065097468978"/>
    <n v="28.806723323951825"/>
    <n v="3"/>
    <n v="0"/>
    <n v="2.171191240861333"/>
    <n v="-8.2033913232012479E-3"/>
    <n v="0.87779336142304132"/>
    <n v="3"/>
    <b v="1"/>
    <n v="0"/>
    <n v="0.9741882058902549"/>
    <n v="47.139587828158007"/>
    <n v="0.41904054207905217"/>
    <n v="3"/>
    <n v="0"/>
    <n v="41.904054207905219"/>
    <n v="4"/>
    <n v="-0.38707094623876637"/>
    <b v="0"/>
    <n v="0"/>
    <n v="3"/>
    <n v="0"/>
    <n v="0"/>
    <n v="0"/>
    <n v="0"/>
    <n v="1"/>
    <n v="1"/>
    <s v="Intermedio"/>
    <n v="6"/>
    <s v="Fuera SC"/>
    <m/>
    <s v="No"/>
    <s v="Si"/>
    <n v="42.8"/>
    <n v="28.514436405436474"/>
    <n v="32.991803278688522"/>
    <s v="Medio"/>
    <n v="14.807123416822176"/>
    <s v="Alto"/>
    <n v="42219.642671000001"/>
    <n v="5811.7203380000001"/>
    <n v="17030"/>
    <n v="2.4791334510275984"/>
    <n v="0.34126367222548443"/>
    <m/>
    <m/>
    <m/>
    <m/>
    <m/>
    <m/>
    <m/>
    <n v="43"/>
    <n v="0"/>
    <n v="7"/>
    <n v="17016.473289000001"/>
    <n v="1018.335518"/>
    <n v="5.9844099344503125E-2"/>
    <s v="0% - 30%"/>
    <n v="2.9627219002611814E-5"/>
    <s v="N.D."/>
    <s v="N.D."/>
    <s v="N.D."/>
    <n v="0.94230134046650726"/>
    <s v="Aceptable"/>
    <n v="1"/>
    <s v="Candidato"/>
    <n v="0"/>
    <n v="0"/>
  </r>
  <r>
    <n v="8436"/>
    <s v="08436"/>
    <x v="2"/>
    <x v="2"/>
    <s v="MANATÍ"/>
    <n v="68.058599999999998"/>
    <n v="70.83"/>
    <n v="73.09"/>
    <n v="76.56"/>
    <n v="32.708432052626776"/>
    <n v="56.167640210549244"/>
    <n v="51.309797953494467"/>
    <n v="51.768300000000004"/>
    <n v="72.134649999999993"/>
    <n v="47.988542554167623"/>
    <n v="60.061596277083808"/>
    <n v="45.667456211255789"/>
    <n v="54.332543788744211"/>
    <n v="0.58899289409869793"/>
    <n v="0"/>
    <n v="35.375853415427173"/>
    <n v="3"/>
    <n v="3"/>
    <b v="1"/>
    <x v="4"/>
    <n v="58.840963893034484"/>
    <n v="0.59489214570892002"/>
    <n v="35.00402726590837"/>
    <n v="2"/>
    <n v="-1"/>
    <n v="1.2206323840493241"/>
    <n v="-5.8992516102220893E-3"/>
    <n v="0.37182614951880311"/>
    <n v="2"/>
    <b v="0"/>
    <s v="Cambio en corte"/>
    <n v="0.9741882058902549"/>
    <n v="57.322173047808533"/>
    <n v="0.54641394972033308"/>
    <n v="2"/>
    <n v="-1"/>
    <n v="54.641394972033311"/>
    <n v="3"/>
    <n v="-0.38519531179155697"/>
    <b v="1"/>
    <s v="Efecto ponderador"/>
    <n v="2"/>
    <n v="-1"/>
    <n v="0"/>
    <n v="0"/>
    <n v="0"/>
    <n v="0"/>
    <n v="0"/>
    <s v="Intermedio"/>
    <n v="6"/>
    <s v="Fuera SC"/>
    <m/>
    <s v="No"/>
    <s v="No"/>
    <n v="48.4"/>
    <n v="23.865231633130556"/>
    <n v="0"/>
    <s v="Sin riesgo"/>
    <n v="9.3582608462795216E-2"/>
    <s v="Bajo"/>
    <n v="44835.876264999999"/>
    <n v="5424.0164320000003"/>
    <n v="23362"/>
    <n v="1.9191797048625974"/>
    <n v="0.23217260645492682"/>
    <m/>
    <m/>
    <m/>
    <m/>
    <m/>
    <m/>
    <m/>
    <n v="77"/>
    <n v="0"/>
    <n v="7"/>
    <n v="21412.728627"/>
    <n v="371.068738"/>
    <n v="1.7329353230214083E-2"/>
    <s v="0% - 30%"/>
    <n v="1.0795788393338534E-5"/>
    <s v="N.D."/>
    <s v="N.D."/>
    <s v="N.D."/>
    <n v="0.96149725561867072"/>
    <s v="Aceptable"/>
    <n v="2"/>
    <s v="Candidato"/>
    <n v="0"/>
    <n v="0"/>
  </r>
  <r>
    <n v="23189"/>
    <s v="23189"/>
    <x v="14"/>
    <x v="14"/>
    <s v="CIÉNAGA DE ORO"/>
    <n v="56.895400000000002"/>
    <n v="51.73"/>
    <n v="43.79"/>
    <n v="43.57"/>
    <n v="56.788277073810917"/>
    <n v="60.777725734621058"/>
    <n v="51.036761118207139"/>
    <n v="62.898400000000002"/>
    <n v="48.99635"/>
    <n v="57.875290981659781"/>
    <n v="53.43582049082989"/>
    <n v="46.304225119724101"/>
    <n v="53.695774880275899"/>
    <n v="0.58326197392248313"/>
    <n v="0"/>
    <n v="31.167082137648912"/>
    <n v="3"/>
    <n v="3"/>
    <b v="1"/>
    <x v="4"/>
    <n v="55.752265151230041"/>
    <n v="0.59477658752933593"/>
    <n v="33.160142013679319"/>
    <n v="3"/>
    <n v="0"/>
    <n v="-2.3164446604001512"/>
    <n v="-1.1514613606852797E-2"/>
    <n v="-1.9930598760304079"/>
    <n v="3"/>
    <b v="1"/>
    <n v="0"/>
    <n v="0.9741882058902549"/>
    <n v="54.313199161994575"/>
    <n v="0.50877485816624302"/>
    <n v="2"/>
    <n v="-1"/>
    <n v="50.877485816624301"/>
    <n v="4"/>
    <n v="-0.39092623196777176"/>
    <b v="0"/>
    <s v="Cambio en corte"/>
    <n v="3"/>
    <n v="0"/>
    <n v="0"/>
    <n v="0"/>
    <n v="0"/>
    <n v="0"/>
    <n v="0"/>
    <s v="Intermedio"/>
    <n v="6"/>
    <s v="Fuera SC"/>
    <m/>
    <s v="No"/>
    <s v="No"/>
    <n v="52.3"/>
    <n v="36.872312448914322"/>
    <n v="26.569999999999997"/>
    <s v="Medio"/>
    <n v="7.3415952866542815"/>
    <s v="Medio"/>
    <n v="124930.517313"/>
    <n v="21945.072297999999"/>
    <n v="62594"/>
    <n v="1.9958864637664953"/>
    <n v="0.35059386359714989"/>
    <m/>
    <m/>
    <m/>
    <m/>
    <m/>
    <m/>
    <m/>
    <n v="10"/>
    <n v="0"/>
    <n v="6"/>
    <n v="64106.945132000001"/>
    <n v="2921.5681479999998"/>
    <n v="4.5573348441176192E-2"/>
    <s v="0% - 30%"/>
    <n v="8.4999430759176366E-5"/>
    <s v="N.D."/>
    <s v="N.D."/>
    <s v="N.D."/>
    <n v="0.93186298772372855"/>
    <s v="Aceptable"/>
    <n v="2"/>
    <s v="Candidato"/>
    <n v="0"/>
    <n v="0"/>
  </r>
  <r>
    <n v="52224"/>
    <s v="52224"/>
    <x v="18"/>
    <x v="18"/>
    <s v="CUASPUD CARLOSAMA"/>
    <n v="52.116666666666703"/>
    <n v="45"/>
    <n v="41.38"/>
    <n v="41.18"/>
    <n v="51.171184130848026"/>
    <n v="51.728916076078448"/>
    <n v="51.099123524330807"/>
    <n v="52.463900000000002"/>
    <n v="44.919166666666676"/>
    <n v="51.615780932814324"/>
    <n v="48.2674737997405"/>
    <n v="46.248517303801478"/>
    <n v="53.751482696198522"/>
    <n v="0.5837633442657868"/>
    <n v="0"/>
    <n v="28.176781924597758"/>
    <n v="4"/>
    <n v="4"/>
    <b v="1"/>
    <x v="5"/>
    <n v="49.496761879508846"/>
    <n v="0.59387587710054279"/>
    <n v="29.394932874830026"/>
    <n v="3"/>
    <n v="-1"/>
    <n v="-1.2292880797683452"/>
    <n v="-1.0112532834755994E-2"/>
    <n v="-1.2181509502322676"/>
    <n v="3"/>
    <b v="0"/>
    <s v="Cambio en corte"/>
    <n v="0.9741882058902549"/>
    <n v="48.219161652775881"/>
    <n v="0.43254487264694585"/>
    <n v="3"/>
    <n v="-1"/>
    <n v="43.254487264694589"/>
    <n v="4"/>
    <n v="-0.3904248616244681"/>
    <b v="1"/>
    <s v="Efecto ponderador"/>
    <n v="3"/>
    <n v="-1"/>
    <n v="0"/>
    <n v="0"/>
    <n v="0"/>
    <n v="0"/>
    <n v="0"/>
    <s v="Intermedio"/>
    <n v="6"/>
    <s v="Fuera SC"/>
    <m/>
    <s v="No"/>
    <s v="Si"/>
    <n v="51.4"/>
    <n v="26.896935933147631"/>
    <n v="49.252612888575676"/>
    <s v="Alto"/>
    <n v="2.6543982254586802"/>
    <s v="Medio Bajo"/>
    <n v="23455.849587000001"/>
    <n v="3592.703152"/>
    <n v="9889"/>
    <n v="2.3719131951663464"/>
    <n v="0.36330297825867125"/>
    <m/>
    <m/>
    <m/>
    <m/>
    <m/>
    <m/>
    <m/>
    <n v="28"/>
    <n v="0"/>
    <n v="7"/>
    <n v="5739.4834110000002"/>
    <n v="2011.0209850000001"/>
    <n v="0.35038362183359223"/>
    <s v="31% - 50%"/>
    <n v="5.85081813295283E-5"/>
    <n v="268.09839799999997"/>
    <n v="4.6711241901348878E-2"/>
    <s v="0% - 30%"/>
    <n v="0.90015107069148859"/>
    <s v="Aceptable"/>
    <n v="1"/>
    <s v="Candidato"/>
    <n v="1"/>
    <s v="Unidad Especial de Desarrollo Fronterizo"/>
  </r>
  <r>
    <n v="13838"/>
    <s v="13838"/>
    <x v="8"/>
    <x v="8"/>
    <s v="TURBANÁ"/>
    <n v="48.208233333333297"/>
    <n v="0"/>
    <n v="41.1"/>
    <n v="38.46"/>
    <n v="43.300970104358825"/>
    <n v="41.232492158693049"/>
    <n v="57.710768067828695"/>
    <n v="51.559100000000001"/>
    <n v="31.942058333333328"/>
    <n v="48.450832582720139"/>
    <n v="40.19644545802673"/>
    <n v="46.542846779149151"/>
    <n v="53.457153220850849"/>
    <n v="0.58111437898765772"/>
    <n v="0"/>
    <n v="23.358732439852457"/>
    <n v="4"/>
    <n v="4"/>
    <b v="1"/>
    <x v="5"/>
    <n v="45.842599471551011"/>
    <n v="0.59313234512624757"/>
    <n v="27.190728531244329"/>
    <n v="4"/>
    <n v="0"/>
    <n v="-5.6461540135242814"/>
    <n v="-1.2017966138589853E-2"/>
    <n v="-3.831996091391872"/>
    <n v="4"/>
    <b v="1"/>
    <n v="0"/>
    <n v="0.9741882058902549"/>
    <n v="44.659319732535828"/>
    <n v="0.38801500265182698"/>
    <n v="3"/>
    <n v="-1"/>
    <n v="38.801500265182696"/>
    <n v="4"/>
    <n v="-0.39307382690259718"/>
    <b v="1"/>
    <s v="Efecto ponderador"/>
    <n v="3"/>
    <n v="-1"/>
    <n v="0"/>
    <n v="0"/>
    <n v="0"/>
    <n v="0"/>
    <n v="0"/>
    <s v="Ciudades y aglomeraciones"/>
    <n v="6"/>
    <s v="En aglomeración"/>
    <m/>
    <s v="No"/>
    <s v="Si"/>
    <n v="42.8"/>
    <n v="48.565362840967573"/>
    <n v="0"/>
    <s v="Sin riesgo"/>
    <n v="1.5608554264483034"/>
    <s v="Medio Bajo"/>
    <n v="49384.938365000002"/>
    <n v="15076.607649"/>
    <n v="17726"/>
    <n v="2.7860170577118359"/>
    <n v="0.85053636742637928"/>
    <m/>
    <m/>
    <m/>
    <m/>
    <m/>
    <m/>
    <m/>
    <n v="48"/>
    <n v="0"/>
    <n v="7"/>
    <n v="19107.858669000001"/>
    <n v="2149.3778569999999"/>
    <n v="0.11248658964005653"/>
    <s v="0% - 30%"/>
    <n v="6.2533504295097617E-5"/>
    <s v="N.D."/>
    <s v="N.D."/>
    <s v="N.D."/>
    <n v="0.86252843456076644"/>
    <s v="Aceptable"/>
    <n v="1"/>
    <s v="Candidato"/>
    <n v="0"/>
    <n v="0"/>
  </r>
  <r>
    <n v="17444"/>
    <s v="17444"/>
    <x v="11"/>
    <x v="11"/>
    <s v="MARQUETALIA"/>
    <n v="62.250066666666697"/>
    <n v="59.08"/>
    <n v="59.19"/>
    <n v="54.94"/>
    <n v="54.449309913419931"/>
    <n v="56.499093964304144"/>
    <n v="45.016837963792312"/>
    <n v="62.117600000000003"/>
    <n v="58.865016666666676"/>
    <n v="54.5207104603791"/>
    <n v="56.692863563522891"/>
    <n v="47.214466776569317"/>
    <n v="52.785533223430683"/>
    <n v="0.57506979901087618"/>
    <n v="0"/>
    <n v="32.602353654826132"/>
    <n v="3"/>
    <n v="3"/>
    <b v="1"/>
    <x v="4"/>
    <n v="56.292895733282727"/>
    <n v="0.59327167144001913"/>
    <n v="33.396980341883364"/>
    <n v="3"/>
    <n v="0"/>
    <n v="0.3999678302401648"/>
    <n v="-1.8201872429142951E-2"/>
    <n v="-0.79462668705723161"/>
    <n v="3"/>
    <b v="1"/>
    <n v="0"/>
    <n v="0.9741882058902549"/>
    <n v="54.839875098773888"/>
    <n v="0.51536301896658521"/>
    <n v="2"/>
    <n v="-1"/>
    <n v="51.536301896658522"/>
    <n v="4"/>
    <n v="-0.39911840687937872"/>
    <b v="0"/>
    <s v="Cambio en corte"/>
    <n v="2"/>
    <n v="-1"/>
    <n v="0"/>
    <n v="0"/>
    <n v="0"/>
    <n v="0"/>
    <n v="0"/>
    <s v="Intermedio"/>
    <n v="6"/>
    <s v="Fuera SC"/>
    <m/>
    <s v="No"/>
    <s v="No"/>
    <n v="40.700000000000003"/>
    <n v="12.716284460634158"/>
    <n v="35.333739721339896"/>
    <s v="Alto"/>
    <n v="1.2760912460303055"/>
    <s v="Medio Bajo"/>
    <n v="32975.139745"/>
    <n v="5986.0228582"/>
    <n v="13619"/>
    <n v="2.4212599856817683"/>
    <n v="0.43953468376532784"/>
    <m/>
    <m/>
    <m/>
    <m/>
    <m/>
    <m/>
    <m/>
    <n v="13"/>
    <n v="0"/>
    <n v="7"/>
    <n v="9027.7440279999992"/>
    <n v="2966.0925659999998"/>
    <n v="0.32855302020089577"/>
    <s v="31% - 50%"/>
    <n v="8.629481392094667E-5"/>
    <s v="N.D."/>
    <s v="N.D."/>
    <s v="N.D."/>
    <n v="0.95765493827547399"/>
    <s v="Aceptable"/>
    <n v="2"/>
    <s v="Candidato"/>
    <n v="0"/>
    <n v="0"/>
  </r>
  <r>
    <n v="73411"/>
    <s v="73411"/>
    <x v="15"/>
    <x v="15"/>
    <s v="LÍBANO"/>
    <n v="72.379066666666702"/>
    <n v="74.819999999999993"/>
    <n v="74.38"/>
    <n v="76.94"/>
    <n v="42.849790254103112"/>
    <n v="49.76607889991142"/>
    <n v="54.159382509316252"/>
    <n v="47.873800000000003"/>
    <n v="74.629766666666669"/>
    <n v="48.662262915832699"/>
    <n v="61.646014791249684"/>
    <n v="46.583994977229089"/>
    <n v="53.416005022770911"/>
    <n v="0.58074404520493816"/>
    <n v="0"/>
    <n v="35.80055600063379"/>
    <n v="3"/>
    <n v="3"/>
    <b v="1"/>
    <x v="3"/>
    <n v="60.554624237253307"/>
    <n v="0.59279810220466655"/>
    <n v="35.896666327560467"/>
    <n v="2"/>
    <n v="0"/>
    <n v="1.0913905539963764"/>
    <n v="-1.2054056999728391E-2"/>
    <n v="-9.6110326926677203E-2"/>
    <n v="2"/>
    <b v="1"/>
    <n v="0"/>
    <n v="0.9741882058902549"/>
    <n v="58.991600744048341"/>
    <n v="0.56729673045762963"/>
    <n v="2"/>
    <n v="0"/>
    <n v="56.729673045762965"/>
    <n v="3"/>
    <n v="-0.39344416068531674"/>
    <b v="0"/>
    <n v="0"/>
    <n v="2"/>
    <n v="0"/>
    <n v="0"/>
    <n v="0"/>
    <n v="0"/>
    <n v="0"/>
    <n v="0"/>
    <s v="Intermedio"/>
    <n v="6"/>
    <s v="Fuera SC"/>
    <m/>
    <s v="No"/>
    <s v="Si"/>
    <n v="33.4"/>
    <n v="11.445599951347077"/>
    <n v="2.0832869227131824E-2"/>
    <s v="Sin riesgo"/>
    <n v="2.2457838811620299"/>
    <s v="Medio Bajo"/>
    <n v="67608.787729000003"/>
    <n v="12479.566337"/>
    <n v="37508"/>
    <n v="1.8025164692598914"/>
    <n v="0.33271745592940172"/>
    <m/>
    <m/>
    <m/>
    <m/>
    <m/>
    <m/>
    <m/>
    <n v="89"/>
    <n v="1"/>
    <n v="5"/>
    <n v="28220.024439000001"/>
    <n v="18326.759219"/>
    <n v="0.64942393152829681"/>
    <s v="51% - 70%"/>
    <n v="5.3319451142766494E-4"/>
    <s v="N.D."/>
    <s v="N.D."/>
    <s v="N.D."/>
    <n v="0.95425100757642434"/>
    <s v="Aceptable"/>
    <n v="2"/>
    <s v="Candidato"/>
    <n v="0"/>
    <n v="0"/>
  </r>
  <r>
    <n v="17380"/>
    <s v="17380"/>
    <x v="11"/>
    <x v="11"/>
    <s v="LA DORADA"/>
    <n v="77.032233333333295"/>
    <n v="69.31"/>
    <n v="58.94"/>
    <n v="57.47"/>
    <n v="58.760560557101726"/>
    <n v="62.466781997631259"/>
    <n v="64.079727594912711"/>
    <n v="63.509599999999999"/>
    <n v="65.688058333333316"/>
    <n v="62.204167537411429"/>
    <n v="63.946112935372369"/>
    <n v="47.480424568394994"/>
    <n v="52.519575431605006"/>
    <n v="0.572676178884445"/>
    <n v="0"/>
    <n v="36.620415610342228"/>
    <n v="3"/>
    <n v="3"/>
    <b v="1"/>
    <x v="3"/>
    <n v="65.841245007287938"/>
    <n v="0.59091697758572514"/>
    <n v="38.906709500187802"/>
    <n v="2"/>
    <n v="0"/>
    <n v="-1.8951320719155689"/>
    <n v="-1.8240798701280148E-2"/>
    <n v="-2.2862938898455738"/>
    <n v="2"/>
    <b v="1"/>
    <n v="0"/>
    <n v="0.9741882058902549"/>
    <n v="64.141764347230534"/>
    <n v="0.63171984834928896"/>
    <n v="2"/>
    <n v="0"/>
    <n v="63.171984834928892"/>
    <n v="3"/>
    <n v="-0.4015120270058099"/>
    <b v="0"/>
    <n v="0"/>
    <n v="2"/>
    <n v="0"/>
    <n v="0"/>
    <n v="1"/>
    <n v="0"/>
    <n v="0"/>
    <n v="0"/>
    <s v="Intermedio"/>
    <n v="5"/>
    <s v="Fuera SC"/>
    <m/>
    <s v="No"/>
    <s v="Si"/>
    <n v="26.8"/>
    <n v="12.600237385287903"/>
    <n v="2.322105443665142"/>
    <s v="Sin riesgo"/>
    <n v="3.949153541133072"/>
    <s v="Medio Bajo"/>
    <n v="138760.44283300001"/>
    <n v="48618.349401550004"/>
    <n v="72044"/>
    <n v="1.9260513413053135"/>
    <n v="0.67484244908042312"/>
    <m/>
    <m/>
    <m/>
    <m/>
    <m/>
    <m/>
    <m/>
    <n v="29"/>
    <n v="1"/>
    <n v="5"/>
    <n v="54908.284720000003"/>
    <n v="513.75272199999995"/>
    <n v="9.3565611204181123E-3"/>
    <s v="0% - 30%"/>
    <n v="1.4947003358751495E-5"/>
    <s v="N.D."/>
    <s v="N.D."/>
    <s v="N.D."/>
    <n v="0.91617996178408068"/>
    <s v="Aceptable"/>
    <n v="2"/>
    <s v="Candidato"/>
    <n v="0"/>
    <n v="0"/>
  </r>
  <r>
    <n v="52022"/>
    <s v="52022"/>
    <x v="18"/>
    <x v="18"/>
    <s v="ALDANA"/>
    <n v="63.165199999999999"/>
    <n v="58.04"/>
    <n v="35.28"/>
    <n v="27.45"/>
    <n v="62.839053039697149"/>
    <n v="53.243778678791188"/>
    <n v="54.835585052973499"/>
    <n v="54.011099999999999"/>
    <n v="45.983799999999995"/>
    <n v="56.232379192865459"/>
    <n v="51.108089596432727"/>
    <n v="46.603233563238575"/>
    <n v="53.396766436761425"/>
    <n v="0.58057089793085281"/>
    <n v="0"/>
    <n v="29.671869468531426"/>
    <n v="3"/>
    <n v="3"/>
    <b v="1"/>
    <x v="4"/>
    <n v="55.728242053092927"/>
    <n v="0.59219649670381269"/>
    <n v="33.002069711303719"/>
    <n v="3"/>
    <n v="0"/>
    <n v="-4.6201524566602004"/>
    <n v="-1.1625598772959878E-2"/>
    <n v="-3.3302002427722925"/>
    <n v="3"/>
    <b v="1"/>
    <n v="0"/>
    <n v="0.9741882058902549"/>
    <n v="54.289796143120455"/>
    <n v="0.50848211106923502"/>
    <n v="2"/>
    <n v="-1"/>
    <n v="50.8482111069235"/>
    <n v="4"/>
    <n v="-0.39361730795940209"/>
    <b v="0"/>
    <s v="Cambio en corte"/>
    <n v="3"/>
    <n v="0"/>
    <n v="0"/>
    <n v="0"/>
    <n v="0"/>
    <n v="0"/>
    <n v="0"/>
    <s v="Intermedio"/>
    <n v="6"/>
    <s v="Fuera SC"/>
    <m/>
    <s v="No"/>
    <s v="Si"/>
    <n v="29.1"/>
    <n v="11.685098952270081"/>
    <n v="23.890629810786461"/>
    <s v="Medio"/>
    <n v="9.5498833207631098E-2"/>
    <s v="Bajo"/>
    <n v="17607.861856"/>
    <n v="2526.9287077499998"/>
    <n v="7748"/>
    <n v="2.2725686442953021"/>
    <n v="0.32613948215668559"/>
    <m/>
    <m/>
    <m/>
    <m/>
    <m/>
    <m/>
    <m/>
    <n v="28"/>
    <n v="0"/>
    <n v="7"/>
    <n v="4769.1502849999997"/>
    <n v="3079.266599"/>
    <n v="0.645663570025242"/>
    <s v="51% - 70%"/>
    <n v="8.9587473169133494E-5"/>
    <s v="N.D."/>
    <s v="N.D."/>
    <s v="N.D."/>
    <n v="0.98183070991519072"/>
    <s v="Aceptable"/>
    <n v="1"/>
    <s v="Candidato"/>
    <n v="1"/>
    <s v="Zona de Fronteras"/>
  </r>
  <r>
    <n v="15407"/>
    <s v="15407"/>
    <x v="10"/>
    <x v="10"/>
    <s v="VILLA DE LEYVA"/>
    <n v="76.523233333333295"/>
    <n v="72.260000000000005"/>
    <n v="55.74"/>
    <n v="63.12"/>
    <n v="63.893458319294638"/>
    <n v="62.70839340265718"/>
    <n v="65.810545611150303"/>
    <n v="64.148499999999999"/>
    <n v="66.910808333333321"/>
    <n v="64.140224333275526"/>
    <n v="65.525516333304424"/>
    <n v="46.176530285854192"/>
    <n v="53.823469714145808"/>
    <n v="0.58441122742731233"/>
    <n v="0"/>
    <n v="38.293847428154841"/>
    <n v="3"/>
    <n v="3"/>
    <b v="1"/>
    <x v="3"/>
    <n v="67.510623143366104"/>
    <n v="0.58986346014947"/>
    <n v="39.822049764192819"/>
    <n v="2"/>
    <n v="0"/>
    <n v="-1.98510681006168"/>
    <n v="-5.4522327221576683E-3"/>
    <n v="-1.5282023360379782"/>
    <n v="2"/>
    <b v="1"/>
    <n v="0"/>
    <n v="0.9741882058902549"/>
    <n v="65.768052838568948"/>
    <n v="0.65206300310627718"/>
    <n v="1"/>
    <n v="-1"/>
    <n v="65.206300310627725"/>
    <n v="3"/>
    <n v="-0.38977697846294257"/>
    <b v="0"/>
    <s v="Cambio en corte"/>
    <n v="1"/>
    <n v="-1"/>
    <n v="0"/>
    <n v="0"/>
    <n v="0"/>
    <n v="0"/>
    <n v="0"/>
    <s v="Intermedio"/>
    <n v="6"/>
    <s v="Fuera SC"/>
    <m/>
    <s v="No"/>
    <s v="No"/>
    <n v="15.2"/>
    <n v="8.2708347935795885"/>
    <n v="5.3488372525103536"/>
    <s v="Bajo"/>
    <n v="0.49780417409982236"/>
    <s v="Medio Bajo"/>
    <n v="40945.984105000003"/>
    <n v="20646.433420699999"/>
    <n v="19143"/>
    <n v="2.1389533565794285"/>
    <n v="1.0785369806561145"/>
    <m/>
    <m/>
    <m/>
    <m/>
    <m/>
    <m/>
    <m/>
    <n v="68"/>
    <n v="1"/>
    <n v="6"/>
    <n v="12638.40135"/>
    <n v="7147.3530000000001"/>
    <n v="0.56552666765880166"/>
    <s v="51% - 70%"/>
    <n v="2.0794344189807053E-4"/>
    <s v="N.D."/>
    <s v="N.D."/>
    <s v="N.D."/>
    <n v="0.98089383412574471"/>
    <s v="Aceptable"/>
    <n v="3"/>
    <s v="Candidato"/>
    <n v="0"/>
    <n v="0"/>
  </r>
  <r>
    <n v="15806"/>
    <s v="15806"/>
    <x v="10"/>
    <x v="10"/>
    <s v="TIBASOSA"/>
    <n v="95.602199999999996"/>
    <n v="84.04"/>
    <n v="66.510000000000005"/>
    <n v="56.3"/>
    <n v="57.455969461506569"/>
    <n v="61.404912281904842"/>
    <n v="66.696719230705654"/>
    <n v="64.892499999999998"/>
    <n v="75.613050000000001"/>
    <n v="62.612525243529262"/>
    <n v="69.112787621764625"/>
    <n v="47.014941888996646"/>
    <n v="52.985058111003354"/>
    <n v="0.57686552299903027"/>
    <n v="0"/>
    <n v="39.868784377350153"/>
    <n v="2"/>
    <n v="2"/>
    <b v="1"/>
    <x v="3"/>
    <n v="74.114332226013886"/>
    <n v="0.59205410206531128"/>
    <n v="43.879694416242813"/>
    <n v="2"/>
    <n v="0"/>
    <n v="-5.0015446042492613"/>
    <n v="-1.5188579066281016E-2"/>
    <n v="-4.0109100388926606"/>
    <n v="2"/>
    <b v="1"/>
    <n v="0"/>
    <n v="0.9741882058902549"/>
    <n v="72.201308342014769"/>
    <n v="0.73253624816388563"/>
    <n v="1"/>
    <n v="-1"/>
    <n v="73.253624816388566"/>
    <n v="3"/>
    <n v="-0.39732268289122463"/>
    <b v="0"/>
    <s v="Cambio en corte"/>
    <n v="1"/>
    <n v="-1"/>
    <n v="0"/>
    <n v="0"/>
    <n v="0"/>
    <n v="0"/>
    <n v="0"/>
    <s v="Intermedio"/>
    <n v="5"/>
    <s v="En aglomeración"/>
    <m/>
    <s v="No"/>
    <s v="No"/>
    <n v="14.3"/>
    <n v="6.9970051728832017"/>
    <n v="26.88856430924784"/>
    <s v="Medio"/>
    <n v="0"/>
    <s v="Bajo"/>
    <n v="37248.495043000003"/>
    <n v="24102.619716749999"/>
    <n v="13579"/>
    <n v="2.7430955919434421"/>
    <n v="1.7749922466124162"/>
    <m/>
    <m/>
    <m/>
    <m/>
    <m/>
    <m/>
    <m/>
    <n v="21"/>
    <n v="0"/>
    <n v="7"/>
    <n v="9356.7841900000003"/>
    <n v="545.94194700000003"/>
    <n v="5.8347177397066803E-2"/>
    <s v="0% - 30%"/>
    <n v="1.588350925660367E-5"/>
    <s v="N.D."/>
    <s v="N.D."/>
    <s v="N.D."/>
    <n v="0.9647134508986217"/>
    <s v="Aceptable"/>
    <n v="2"/>
    <s v="Candidato"/>
    <n v="0"/>
    <n v="0"/>
  </r>
  <r>
    <n v="13140"/>
    <s v="13140"/>
    <x v="8"/>
    <x v="8"/>
    <s v="CALAMAR"/>
    <n v="48.314866666666703"/>
    <n v="35.96"/>
    <n v="44.49"/>
    <n v="40.81"/>
    <n v="47.371186833885915"/>
    <n v="49.171002987948278"/>
    <n v="52.251491025945043"/>
    <n v="59.768500000000003"/>
    <n v="42.393716666666677"/>
    <n v="52.140545211944811"/>
    <n v="47.267130939305744"/>
    <n v="46.544181018905896"/>
    <n v="53.455818981094104"/>
    <n v="0.58110237082984695"/>
    <n v="0"/>
    <n v="27.467041851155379"/>
    <n v="4"/>
    <n v="4"/>
    <b v="1"/>
    <x v="5"/>
    <n v="45.978110280964387"/>
    <n v="0.59118426856449779"/>
    <n v="27.181535496429746"/>
    <n v="4"/>
    <n v="0"/>
    <n v="1.2890206583413573"/>
    <n v="-1.0081897734650846E-2"/>
    <n v="0.28550635472563357"/>
    <n v="4"/>
    <b v="1"/>
    <n v="0"/>
    <n v="0.9741882058902549"/>
    <n v="44.79133276483698"/>
    <n v="0.38966634653106175"/>
    <n v="3"/>
    <n v="-1"/>
    <n v="38.966634653106176"/>
    <n v="4"/>
    <n v="-0.39308583506040795"/>
    <b v="1"/>
    <s v="Efecto ponderador"/>
    <n v="3"/>
    <n v="-1"/>
    <n v="0"/>
    <n v="0"/>
    <n v="0"/>
    <n v="0"/>
    <n v="0"/>
    <s v="Intermedio"/>
    <n v="6"/>
    <s v="Fuera SC"/>
    <m/>
    <s v="No"/>
    <s v="No"/>
    <n v="62.5"/>
    <n v="40.802630393658227"/>
    <n v="12.053571428571429"/>
    <s v="Bajo"/>
    <n v="1.8735323480664958"/>
    <s v="Medio Bajo"/>
    <n v="58244.043682000003"/>
    <n v="7141.6148919999996"/>
    <n v="24810"/>
    <n v="2.3476035341394601"/>
    <n v="0.28785227295445381"/>
    <m/>
    <m/>
    <m/>
    <m/>
    <m/>
    <m/>
    <m/>
    <n v="48"/>
    <n v="0"/>
    <n v="7"/>
    <n v="25550.405217"/>
    <n v="2799.1060539999999"/>
    <n v="0.10955231552013157"/>
    <s v="0% - 30%"/>
    <n v="8.1436546803618969E-5"/>
    <n v="72.017472999999995"/>
    <n v="2.8186430856322804E-3"/>
    <s v="0% - 30%"/>
    <n v="0.91068643274825856"/>
    <s v="Aceptable"/>
    <n v="1"/>
    <s v="Candidato"/>
    <n v="0"/>
    <n v="0"/>
  </r>
  <r>
    <n v="5576"/>
    <s v="05576"/>
    <x v="1"/>
    <x v="1"/>
    <s v="PUEBLORRICO"/>
    <n v="68.378533333333294"/>
    <n v="66.290000000000006"/>
    <n v="65.400000000000006"/>
    <n v="71.209999999999994"/>
    <n v="42.723422948309413"/>
    <n v="50.435549463197376"/>
    <n v="56.117302059483364"/>
    <n v="50.971499999999999"/>
    <n v="67.819633333333329"/>
    <n v="50.061943617747538"/>
    <n v="58.94078847554043"/>
    <n v="46.140714605875502"/>
    <n v="53.859285394124498"/>
    <n v="0.58473356854712055"/>
    <n v="0"/>
    <n v="34.464657578283756"/>
    <n v="3"/>
    <n v="3"/>
    <b v="1"/>
    <x v="4"/>
    <n v="59.245209710097939"/>
    <n v="0.59082741308817699"/>
    <n v="35.003693990883711"/>
    <n v="2"/>
    <n v="-1"/>
    <n v="-0.30442123455750902"/>
    <n v="-6.0938445410564368E-3"/>
    <n v="-0.53903641259995538"/>
    <n v="3"/>
    <b v="1"/>
    <s v="Efecto ponderador"/>
    <n v="0.9741882058902549"/>
    <n v="57.715984555072218"/>
    <n v="0.55134011655974469"/>
    <n v="2"/>
    <n v="-1"/>
    <n v="55.134011655974469"/>
    <n v="4"/>
    <n v="-0.38945463734313435"/>
    <b v="0"/>
    <s v="Cambio en corte"/>
    <n v="2"/>
    <n v="-1"/>
    <n v="0"/>
    <n v="0"/>
    <n v="0"/>
    <n v="0"/>
    <n v="0"/>
    <s v="Intermedio"/>
    <n v="6"/>
    <s v="Fuera SC"/>
    <m/>
    <s v="No"/>
    <s v="Si"/>
    <n v="45.7"/>
    <n v="15.856706470424882"/>
    <n v="24.14347611799667"/>
    <s v="Medio"/>
    <n v="2.1082601216269743"/>
    <s v="Medio Bajo"/>
    <n v="20738.088411000001"/>
    <n v="4458.5146379999996"/>
    <n v="9040"/>
    <n v="2.2940363286504426"/>
    <n v="0.49319852190265484"/>
    <m/>
    <m/>
    <m/>
    <m/>
    <m/>
    <m/>
    <m/>
    <n v="83"/>
    <n v="0"/>
    <n v="7"/>
    <n v="7542.6831359999996"/>
    <n v="2248.6427309999999"/>
    <n v="0.29812239099208526"/>
    <s v="0% - 30%"/>
    <n v="6.5421493675101418E-5"/>
    <n v="18.688934"/>
    <n v="2.4777567429288866E-3"/>
    <s v="0% - 30%"/>
    <n v="0.88724897292941063"/>
    <s v="Aceptable"/>
    <n v="2"/>
    <s v="Candidato"/>
    <n v="0"/>
    <n v="0"/>
  </r>
  <r>
    <n v="25718"/>
    <s v="25718"/>
    <x v="5"/>
    <x v="5"/>
    <s v="SASAIMA"/>
    <n v="72.180700000000002"/>
    <n v="79.180000000000007"/>
    <n v="78.540000000000006"/>
    <n v="77.48"/>
    <n v="51.353101097816037"/>
    <n v="41.155151871859893"/>
    <n v="53.529305556912917"/>
    <n v="58.444800000000001"/>
    <n v="76.845175000000012"/>
    <n v="51.120589631647206"/>
    <n v="63.982882315823609"/>
    <n v="47.760006087250964"/>
    <n v="52.239993912749036"/>
    <n v="0.57015994521474134"/>
    <n v="0"/>
    <n v="36.48047667587123"/>
    <n v="3"/>
    <n v="3"/>
    <b v="1"/>
    <x v="3"/>
    <n v="62.259451818911877"/>
    <n v="0.58916849535409432"/>
    <n v="36.681307549719044"/>
    <n v="2"/>
    <n v="0"/>
    <n v="1.7234304969117318"/>
    <n v="-1.9008550139352987E-2"/>
    <n v="-0.20083087384781351"/>
    <n v="2"/>
    <b v="1"/>
    <n v="0"/>
    <n v="0.9741882058902549"/>
    <n v="60.652423667176528"/>
    <n v="0.58807187455358545"/>
    <n v="2"/>
    <n v="0"/>
    <n v="58.807187455358545"/>
    <n v="3"/>
    <n v="-0.40402826067551356"/>
    <b v="0"/>
    <n v="0"/>
    <n v="2"/>
    <n v="0"/>
    <n v="0"/>
    <n v="0"/>
    <n v="0"/>
    <n v="0"/>
    <n v="0"/>
    <s v="Intermedio"/>
    <n v="6"/>
    <s v="Fuera SC"/>
    <m/>
    <s v="No"/>
    <s v="No"/>
    <n v="22.9"/>
    <n v="8.5170448435315631"/>
    <n v="3.4613237869455924"/>
    <s v="Sin riesgo"/>
    <n v="0.67982111446081994"/>
    <s v="Medio Bajo"/>
    <n v="18629.088551000001"/>
    <n v="5633.794742"/>
    <n v="11389"/>
    <n v="1.6357088902449732"/>
    <n v="0.49466983422600758"/>
    <m/>
    <m/>
    <m/>
    <m/>
    <m/>
    <m/>
    <m/>
    <n v="37"/>
    <n v="0"/>
    <n v="7"/>
    <n v="11150.661029000001"/>
    <n v="5939.0931579999997"/>
    <n v="0.53262251830218377"/>
    <s v="51% - 70%"/>
    <n v="1.7279060835917874E-4"/>
    <s v="N.D."/>
    <s v="N.D."/>
    <s v="N.D."/>
    <n v="0.92553763744496986"/>
    <s v="Aceptable"/>
    <n v="2"/>
    <s v="Candidato"/>
    <n v="0"/>
    <n v="0"/>
  </r>
  <r>
    <n v="44430"/>
    <s v="44430"/>
    <x v="21"/>
    <x v="21"/>
    <s v="MAICAO"/>
    <n v="66.8309"/>
    <n v="60.92"/>
    <n v="57.71"/>
    <n v="52.64"/>
    <n v="42.692646512186386"/>
    <n v="33.908931014159286"/>
    <n v="56.686379490101402"/>
    <n v="30.821000000000002"/>
    <n v="59.525225000000006"/>
    <n v="41.02723925411177"/>
    <n v="50.276232127055891"/>
    <n v="47.477280891203435"/>
    <n v="52.522719108796565"/>
    <n v="0.57270447197916907"/>
    <n v="0"/>
    <n v="28.793422973427681"/>
    <n v="4"/>
    <n v="4"/>
    <b v="1"/>
    <x v="4"/>
    <n v="55.146191443462101"/>
    <n v="0.59029606195428819"/>
    <n v="32.55257964085294"/>
    <n v="3"/>
    <n v="0"/>
    <n v="-4.8699593164062094"/>
    <n v="-1.7591589975119115E-2"/>
    <n v="-3.759156667425259"/>
    <n v="3"/>
    <b v="1"/>
    <n v="0"/>
    <n v="0.9741882058902549"/>
    <n v="53.722769303986873"/>
    <n v="0.50138920301430123"/>
    <n v="2"/>
    <n v="-1"/>
    <n v="50.138920301430126"/>
    <n v="4"/>
    <n v="-0.40148373391108583"/>
    <b v="0"/>
    <s v="Cambio en corte"/>
    <n v="2"/>
    <n v="-1"/>
    <n v="0"/>
    <n v="1"/>
    <n v="0"/>
    <n v="0"/>
    <n v="1"/>
    <s v="Ciudades y aglomeraciones"/>
    <n v="4"/>
    <s v="Uninodal"/>
    <m/>
    <s v="Si"/>
    <s v="No"/>
    <n v="60"/>
    <n v="59.218888490768855"/>
    <n v="8.1202000000000005"/>
    <s v="Bajo"/>
    <n v="3.3578708568895603"/>
    <s v="Medio Bajo"/>
    <n v="442609.22274100001"/>
    <n v="42924.529527999999"/>
    <n v="208965"/>
    <n v="2.1181021833369225"/>
    <n v="0.20541492368578471"/>
    <m/>
    <m/>
    <m/>
    <m/>
    <m/>
    <m/>
    <m/>
    <n v="76"/>
    <n v="0"/>
    <n v="5"/>
    <n v="176724.92129699999"/>
    <n v="11350.997912999999"/>
    <n v="6.4229752259579526E-2"/>
    <s v="0% - 30%"/>
    <n v="3.3024331875129649E-4"/>
    <n v="89043.620676000006"/>
    <n v="0.503854351850893"/>
    <s v="31% - 50%"/>
    <n v="0.72693825783771882"/>
    <s v="Crítico Medio"/>
    <n v="0"/>
    <s v="Candidato"/>
    <n v="1"/>
    <s v="Unidad Especial de Desarrollo Fronterizo"/>
  </r>
  <r>
    <n v="5147"/>
    <s v="05147"/>
    <x v="1"/>
    <x v="1"/>
    <s v="CAREPA"/>
    <n v="53.224166666666697"/>
    <n v="69.61"/>
    <n v="38.520000000000003"/>
    <n v="73.28"/>
    <n v="48.532970559766191"/>
    <n v="53.169227915439606"/>
    <n v="55.829862171368035"/>
    <n v="49.1813"/>
    <n v="58.658541666666679"/>
    <n v="51.678340161643455"/>
    <n v="55.16844091415507"/>
    <n v="46.985459116592331"/>
    <n v="53.014540883407669"/>
    <n v="0.57713086795066904"/>
    <n v="0"/>
    <n v="31.839410188271518"/>
    <n v="3"/>
    <n v="3"/>
    <b v="1"/>
    <x v="4"/>
    <n v="53.583473981838146"/>
    <n v="0.58999232278709279"/>
    <n v="31.613838277546439"/>
    <n v="3"/>
    <n v="0"/>
    <n v="1.5849669323169238"/>
    <n v="-1.2861454836423758E-2"/>
    <n v="0.22557191072507976"/>
    <n v="3"/>
    <b v="1"/>
    <n v="0"/>
    <n v="0.9741882058902549"/>
    <n v="52.200388383734058"/>
    <n v="0.48234582244268981"/>
    <n v="2"/>
    <n v="-1"/>
    <n v="48.234582244268978"/>
    <n v="4"/>
    <n v="-0.39705733793958586"/>
    <b v="0"/>
    <s v="Cambio en corte"/>
    <n v="2"/>
    <n v="-1"/>
    <n v="0"/>
    <n v="0"/>
    <n v="0"/>
    <n v="1"/>
    <n v="1"/>
    <s v="Intermedio"/>
    <n v="6"/>
    <s v="Fuera SC"/>
    <m/>
    <s v="No"/>
    <s v="Si"/>
    <n v="34.4"/>
    <n v="20.982339955849891"/>
    <n v="14.209662274433395"/>
    <s v="Medio"/>
    <n v="4.2105055657475532"/>
    <s v="Medio Bajo"/>
    <n v="69188.729370000001"/>
    <n v="26629.224685000001"/>
    <n v="50543"/>
    <n v="1.368908243871555"/>
    <n v="0.52686276408206878"/>
    <m/>
    <m/>
    <m/>
    <m/>
    <m/>
    <m/>
    <m/>
    <n v="35"/>
    <n v="0"/>
    <n v="7"/>
    <n v="38743.533395999999"/>
    <n v="19639.943184"/>
    <n v="0.50692183862682194"/>
    <s v="31% - 50%"/>
    <n v="5.7139998323344464E-4"/>
    <n v="0.49729299999999999"/>
    <n v="1.2835509733124704E-5"/>
    <n v="0"/>
    <n v="0.93428853401866852"/>
    <s v="Aceptable"/>
    <n v="2"/>
    <s v="Candidato"/>
    <n v="0"/>
    <n v="0"/>
  </r>
  <r>
    <n v="13673"/>
    <s v="13673"/>
    <x v="8"/>
    <x v="8"/>
    <s v="SANTA CATALINA"/>
    <n v="61.6492"/>
    <n v="53.02"/>
    <n v="57.39"/>
    <n v="68.8"/>
    <n v="39.998040396278441"/>
    <n v="45.974222532227529"/>
    <n v="51.050777883096224"/>
    <n v="46.779000000000003"/>
    <n v="60.214799999999997"/>
    <n v="45.950510202900546"/>
    <n v="53.082655101450271"/>
    <n v="47.052883989868398"/>
    <n v="52.947116010131602"/>
    <n v="0.57652404409118441"/>
    <n v="0"/>
    <n v="30.60342699018565"/>
    <n v="3"/>
    <n v="3"/>
    <b v="1"/>
    <x v="4"/>
    <n v="50.106979720076602"/>
    <n v="0.59037961504695091"/>
    <n v="29.5821393983042"/>
    <n v="3"/>
    <n v="0"/>
    <n v="2.9756753813736694"/>
    <n v="-1.3855570955766505E-2"/>
    <n v="1.0212875918814497"/>
    <n v="3"/>
    <b v="1"/>
    <n v="0"/>
    <n v="0.9741882058902549"/>
    <n v="48.81362867608081"/>
    <n v="0.43998102848118265"/>
    <n v="3"/>
    <n v="0"/>
    <n v="43.998102848118265"/>
    <n v="4"/>
    <n v="-0.39766416179907049"/>
    <b v="0"/>
    <n v="0"/>
    <n v="3"/>
    <n v="0"/>
    <n v="0"/>
    <n v="0"/>
    <n v="0"/>
    <n v="0"/>
    <n v="0"/>
    <s v="Intermedio"/>
    <n v="6"/>
    <s v="Fuera SC"/>
    <m/>
    <s v="No"/>
    <s v="Si"/>
    <n v="54.8"/>
    <n v="57.781893297243393"/>
    <n v="35.989999999999995"/>
    <s v="Alto"/>
    <n v="4.3312098724017902"/>
    <s v="Medio Bajo"/>
    <n v="38594.439267000002"/>
    <n v="8765.3530269999992"/>
    <n v="15213"/>
    <n v="2.5369380968250841"/>
    <n v="0.57617518089791619"/>
    <m/>
    <m/>
    <m/>
    <m/>
    <m/>
    <m/>
    <m/>
    <n v="48"/>
    <n v="0"/>
    <n v="7"/>
    <n v="17273.837879999999"/>
    <n v="2494.9482710000002"/>
    <n v="0.14443508665139795"/>
    <s v="0% - 30%"/>
    <n v="7.2587450323130824E-5"/>
    <s v="N.D."/>
    <s v="N.D."/>
    <s v="N.D."/>
    <n v="0.97353108796183707"/>
    <s v="Aceptable"/>
    <n v="2"/>
    <s v="Candidato"/>
    <n v="0"/>
    <n v="0"/>
  </r>
  <r>
    <n v="19137"/>
    <s v="19137"/>
    <x v="13"/>
    <x v="13"/>
    <s v="CALDONO"/>
    <n v="58.591700000000003"/>
    <n v="42.31"/>
    <n v="42.49"/>
    <n v="75.430000000000007"/>
    <n v="25.915960477614732"/>
    <n v="45.26281778266118"/>
    <n v="45.011234953814593"/>
    <n v="50.577300000000001"/>
    <n v="54.705425000000005"/>
    <n v="41.691828303522627"/>
    <n v="48.198626651761316"/>
    <n v="46.778259036059296"/>
    <n v="53.221740963940704"/>
    <n v="0.57899566867546637"/>
    <n v="0"/>
    <n v="27.906796067475696"/>
    <n v="4"/>
    <n v="4"/>
    <b v="1"/>
    <x v="5"/>
    <n v="44.4356638787431"/>
    <n v="0.59112407696440195"/>
    <n v="26.26699079462243"/>
    <n v="4"/>
    <n v="0"/>
    <n v="3.7629627730182165"/>
    <n v="-1.2128408288935577E-2"/>
    <n v="1.6398052728532662"/>
    <n v="3"/>
    <b v="0"/>
    <n v="0"/>
    <n v="0.9741882058902549"/>
    <n v="43.288699671575145"/>
    <n v="0.37086999045893576"/>
    <n v="3"/>
    <n v="-1"/>
    <n v="37.086999045893577"/>
    <n v="4"/>
    <n v="-0.39519253721478853"/>
    <b v="1"/>
    <s v="Efecto ponderador"/>
    <n v="2"/>
    <n v="-2"/>
    <n v="0"/>
    <n v="0"/>
    <n v="0"/>
    <n v="1"/>
    <n v="1"/>
    <s v="Intermedio"/>
    <n v="6"/>
    <s v="Fuera SC"/>
    <m/>
    <s v="No"/>
    <s v="No"/>
    <n v="56"/>
    <n v="23.775288413308811"/>
    <n v="32.257362344993524"/>
    <s v="Medio"/>
    <n v="24.749648603803013"/>
    <s v="Muy Alto"/>
    <n v="69043.496761000002"/>
    <n v="5525.763704"/>
    <n v="43991"/>
    <n v="1.56949141326635"/>
    <n v="0.12561123193380463"/>
    <m/>
    <m/>
    <m/>
    <m/>
    <m/>
    <m/>
    <m/>
    <n v="32"/>
    <n v="0"/>
    <n v="7"/>
    <n v="35485.572945"/>
    <n v="163.455556"/>
    <n v="4.6062538218938709E-3"/>
    <s v="0% - 30%"/>
    <n v="4.7555382967656437E-6"/>
    <n v="564.93226400000003"/>
    <n v="1.5920054746631909E-2"/>
    <s v="0% - 30%"/>
    <n v="0.97220682576487349"/>
    <s v="Aceptable"/>
    <n v="2"/>
    <s v="Candidato"/>
    <n v="0"/>
    <n v="0"/>
  </r>
  <r>
    <n v="86749"/>
    <s v="86749"/>
    <x v="22"/>
    <x v="22"/>
    <s v="SIBUNDOY"/>
    <n v="55.789466666666698"/>
    <n v="54.41"/>
    <n v="25.71"/>
    <n v="48.47"/>
    <n v="52.329926350137114"/>
    <n v="49.309118195251713"/>
    <n v="52.162985345103522"/>
    <n v="51.499299999999998"/>
    <n v="46.094866666666675"/>
    <n v="51.325332472623089"/>
    <n v="48.710099569644882"/>
    <n v="47.227369261720504"/>
    <n v="52.772630738279496"/>
    <n v="0.57495367664451547"/>
    <n v="0"/>
    <n v="28.006050837287756"/>
    <n v="4"/>
    <n v="4"/>
    <b v="1"/>
    <x v="5"/>
    <n v="50.220999965856009"/>
    <n v="0.58936349742039773"/>
    <n v="29.598424183826573"/>
    <n v="3"/>
    <n v="-1"/>
    <n v="-1.5109003962111274"/>
    <n v="-1.4409820775882265E-2"/>
    <n v="-1.5923733465388175"/>
    <n v="3"/>
    <b v="0"/>
    <s v="Cambio en corte"/>
    <n v="0.9741882058902549"/>
    <n v="48.924705854751821"/>
    <n v="0.44137048689997421"/>
    <n v="3"/>
    <n v="-1"/>
    <n v="44.137048689997421"/>
    <n v="4"/>
    <n v="-0.39923452924573943"/>
    <b v="1"/>
    <s v="Efecto ponderador"/>
    <n v="2"/>
    <n v="-2"/>
    <n v="0"/>
    <n v="0"/>
    <n v="0"/>
    <n v="0"/>
    <n v="0"/>
    <s v="Intermedio"/>
    <n v="6"/>
    <s v="Fuera SC"/>
    <m/>
    <s v="No"/>
    <s v="No"/>
    <n v="23"/>
    <n v="8.152096659559346"/>
    <n v="19.655555555555555"/>
    <s v="Medio"/>
    <n v="2.2069801470979793E-2"/>
    <s v="Bajo"/>
    <n v="36048.89"/>
    <n v="4397.8383242500004"/>
    <n v="16037"/>
    <n v="2.2478574546361538"/>
    <n v="0.27423073668703624"/>
    <m/>
    <m/>
    <m/>
    <m/>
    <m/>
    <m/>
    <m/>
    <n v="80"/>
    <n v="0"/>
    <n v="6"/>
    <n v="9779.0851340000008"/>
    <n v="3073.2149690000001"/>
    <n v="0.3142640571064283"/>
    <s v="31% - 50%"/>
    <n v="8.941140843981432E-5"/>
    <n v="5193.5627270000005"/>
    <n v="0.53108881412055409"/>
    <s v="51% - 70%"/>
    <n v="0.82228613677381324"/>
    <s v="Crítico bajo"/>
    <n v="1"/>
    <s v="Candidato"/>
    <n v="0"/>
    <n v="0"/>
  </r>
  <r>
    <n v="5321"/>
    <s v="05321"/>
    <x v="1"/>
    <x v="1"/>
    <s v="GUATAPÉ"/>
    <n v="68.5619333333333"/>
    <n v="51.48"/>
    <n v="52.67"/>
    <n v="47.66"/>
    <n v="75.844298413022045"/>
    <n v="55.274776274710007"/>
    <n v="57.35836769306804"/>
    <n v="67.808300000000003"/>
    <n v="55.092983333333329"/>
    <n v="64.071435595200029"/>
    <n v="59.582209464266683"/>
    <n v="46.359751412920538"/>
    <n v="53.640248587079462"/>
    <n v="0.58276223728371523"/>
    <n v="0"/>
    <n v="34.722261689703004"/>
    <n v="3"/>
    <n v="3"/>
    <b v="1"/>
    <x v="4"/>
    <n v="61.993860970074167"/>
    <n v="0.59015309389851489"/>
    <n v="36.58586885420366"/>
    <n v="2"/>
    <n v="-1"/>
    <n v="-2.4116515058074839"/>
    <n v="-7.3908566147996568E-3"/>
    <n v="-1.8636071645006567"/>
    <n v="3"/>
    <b v="1"/>
    <s v="Efecto ponderador"/>
    <n v="0.9741882058902549"/>
    <n v="60.393688194646451"/>
    <n v="0.5848353665251298"/>
    <n v="2"/>
    <n v="-1"/>
    <n v="58.483536652512981"/>
    <n v="4"/>
    <n v="-0.39142596860653966"/>
    <b v="0"/>
    <s v="Cambio en corte"/>
    <n v="2"/>
    <n v="-1"/>
    <n v="0"/>
    <n v="1"/>
    <n v="0"/>
    <n v="0"/>
    <n v="0"/>
    <s v="Intermedio"/>
    <n v="6"/>
    <s v="Fuera SC"/>
    <m/>
    <s v="No"/>
    <s v="Si"/>
    <n v="11.4"/>
    <n v="4.3583881108888249"/>
    <n v="1.3097228381374726"/>
    <s v="Sin riesgo"/>
    <n v="10.718241385765072"/>
    <s v="Medio"/>
    <n v="33930.577093"/>
    <n v="15722.522811000001"/>
    <n v="9518"/>
    <n v="3.5648851747215802"/>
    <n v="1.6518725374028158"/>
    <m/>
    <m/>
    <m/>
    <m/>
    <m/>
    <m/>
    <m/>
    <n v="84"/>
    <n v="0"/>
    <n v="7"/>
    <n v="8328.1661920000006"/>
    <n v="6463.952706"/>
    <n v="0.77615558539276563"/>
    <s v="71% - 100%"/>
    <n v="1.8806075115528599E-4"/>
    <s v="N.D."/>
    <s v="N.D."/>
    <s v="N.D."/>
    <n v="0.86340645936369276"/>
    <s v="Aceptable"/>
    <n v="2"/>
    <s v="Candidato"/>
    <n v="0"/>
    <n v="0"/>
  </r>
  <r>
    <n v="25772"/>
    <s v="25772"/>
    <x v="5"/>
    <x v="5"/>
    <s v="SUESCA"/>
    <n v="57.4739"/>
    <n v="60.53"/>
    <n v="58.2"/>
    <n v="54.91"/>
    <n v="55.338196457370721"/>
    <n v="60.654922096414467"/>
    <n v="65.213550074804971"/>
    <n v="59.841000000000001"/>
    <n v="57.778475"/>
    <n v="60.261917157147543"/>
    <n v="59.020196078573775"/>
    <n v="47.470939670496598"/>
    <n v="52.529060329503402"/>
    <n v="0.57276154296553061"/>
    <n v="0"/>
    <n v="33.804498572092072"/>
    <n v="3"/>
    <n v="3"/>
    <b v="1"/>
    <x v="4"/>
    <n v="57.655986860255545"/>
    <n v="0.58724664179688069"/>
    <n v="33.858284663170146"/>
    <n v="3"/>
    <n v="0"/>
    <n v="1.3642092183182299"/>
    <n v="-1.4485098831350074E-2"/>
    <n v="-5.3786091078073639E-2"/>
    <n v="3"/>
    <b v="1"/>
    <n v="0"/>
    <n v="0.9741882058902549"/>
    <n v="56.16778239822446"/>
    <n v="0.53197373953647942"/>
    <n v="2"/>
    <n v="-1"/>
    <n v="53.19737395364794"/>
    <n v="4"/>
    <n v="-0.40142666292472429"/>
    <b v="0"/>
    <s v="Cambio en corte"/>
    <n v="2"/>
    <n v="-1"/>
    <n v="0"/>
    <n v="0"/>
    <n v="0"/>
    <n v="0"/>
    <n v="0"/>
    <s v="Intermedio"/>
    <n v="6"/>
    <s v="Fuera SC"/>
    <m/>
    <s v="No"/>
    <s v="Si"/>
    <n v="14"/>
    <n v="4.982137057486197"/>
    <n v="4.4702072667217179"/>
    <s v="Sin riesgo"/>
    <n v="0.84592452393842354"/>
    <s v="Medio Bajo"/>
    <n v="20166.093213"/>
    <n v="8294.7233735000009"/>
    <n v="19171"/>
    <n v="1.051906171456888"/>
    <n v="0.43267035488498257"/>
    <m/>
    <m/>
    <m/>
    <m/>
    <m/>
    <m/>
    <m/>
    <n v="96"/>
    <n v="0"/>
    <n v="6"/>
    <n v="17301.88205"/>
    <n v="7684.4705009999998"/>
    <n v="0.44414072866714521"/>
    <s v="31% - 50%"/>
    <n v="2.2357021475532697E-4"/>
    <s v="N.D."/>
    <s v="N.D."/>
    <s v="N.D."/>
    <n v="0.95052383762385428"/>
    <s v="Aceptable"/>
    <n v="1"/>
    <s v="Candidato"/>
    <n v="0"/>
    <n v="0"/>
  </r>
  <r>
    <n v="13188"/>
    <s v="13188"/>
    <x v="8"/>
    <x v="8"/>
    <s v="CICUCO"/>
    <n v="57.331666666666699"/>
    <n v="0"/>
    <n v="58.78"/>
    <n v="66.84"/>
    <n v="61.90942933288234"/>
    <n v="70.415778714758659"/>
    <n v="21.663008752493575"/>
    <n v="56.470599999999997"/>
    <n v="45.737916666666678"/>
    <n v="52.614704200033643"/>
    <n v="49.17631043335016"/>
    <n v="46.304176886036515"/>
    <n v="53.695823113963485"/>
    <n v="0.58326240802567131"/>
    <n v="0"/>
    <n v="28.682693241173759"/>
    <n v="4"/>
    <n v="4"/>
    <b v="1"/>
    <x v="4"/>
    <n v="55.136943100101121"/>
    <n v="0.58871727540804508"/>
    <n v="32.460070916219941"/>
    <n v="3"/>
    <n v="0"/>
    <n v="-5.9606326667509606"/>
    <n v="-5.4548673823737737E-3"/>
    <n v="-3.777377675046182"/>
    <n v="3"/>
    <b v="1"/>
    <n v="0"/>
    <n v="0.9741882058902549"/>
    <n v="53.713759676960578"/>
    <n v="0.50127650207724428"/>
    <n v="2"/>
    <n v="-1"/>
    <n v="50.127650207724429"/>
    <n v="4"/>
    <n v="-0.39092579786458359"/>
    <b v="0"/>
    <s v="Cambio en corte"/>
    <n v="2"/>
    <n v="-1"/>
    <n v="0"/>
    <n v="0"/>
    <n v="0"/>
    <n v="0"/>
    <n v="0"/>
    <s v="Intermedio"/>
    <n v="6"/>
    <s v="Fuera SC"/>
    <m/>
    <s v="No"/>
    <s v="Si"/>
    <n v="61.3"/>
    <n v="33.940548780487802"/>
    <n v="11.668571428571429"/>
    <s v="Bajo"/>
    <n v="1.5648856968238878"/>
    <s v="Medio Bajo"/>
    <n v="33193.903352000001"/>
    <n v="6333.9533032500003"/>
    <n v="15697"/>
    <n v="2.1146654361979995"/>
    <n v="0.40351362064407215"/>
    <m/>
    <m/>
    <m/>
    <m/>
    <m/>
    <m/>
    <m/>
    <n v="9"/>
    <n v="0"/>
    <n v="7"/>
    <n v="13201.644721000001"/>
    <n v="46.301735999999998"/>
    <n v="3.5072702665863535E-3"/>
    <s v="0% - 30%"/>
    <n v="1.3470920422841577E-6"/>
    <s v="N.D."/>
    <s v="N.D."/>
    <s v="N.D."/>
    <n v="0.9440855392692078"/>
    <s v="Aceptable"/>
    <n v="2"/>
    <s v="Candidato"/>
    <n v="0"/>
    <n v="0"/>
  </r>
  <r>
    <n v="5861"/>
    <s v="05861"/>
    <x v="1"/>
    <x v="1"/>
    <s v="VENECIA"/>
    <n v="59.457233333333299"/>
    <n v="65.260000000000005"/>
    <n v="63.23"/>
    <n v="61.34"/>
    <n v="55.290735652875775"/>
    <n v="49.464327093855957"/>
    <n v="51.668881391170494"/>
    <n v="49.581200000000003"/>
    <n v="62.321808333333323"/>
    <n v="51.501286034475555"/>
    <n v="56.911547183904439"/>
    <n v="46.35940804192569"/>
    <n v="53.64059195807431"/>
    <n v="0.58276532762266886"/>
    <n v="0"/>
    <n v="33.166076440141047"/>
    <n v="3"/>
    <n v="3"/>
    <b v="1"/>
    <x v="4"/>
    <n v="56.469854698718059"/>
    <n v="0.59132162508866959"/>
    <n v="33.391846248967006"/>
    <n v="3"/>
    <n v="0"/>
    <n v="0.44169248518637971"/>
    <n v="-8.5562974660007285E-3"/>
    <n v="-0.22576980882595876"/>
    <n v="3"/>
    <b v="1"/>
    <n v="0"/>
    <n v="0.9741882058902549"/>
    <n v="55.012266435827527"/>
    <n v="0.51751945287552847"/>
    <n v="2"/>
    <n v="-1"/>
    <n v="51.75194528755285"/>
    <n v="4"/>
    <n v="-0.39142287826758604"/>
    <b v="0"/>
    <s v="Cambio en corte"/>
    <n v="2"/>
    <n v="-1"/>
    <n v="0"/>
    <n v="0"/>
    <n v="0"/>
    <n v="0"/>
    <n v="0"/>
    <s v="Intermedio"/>
    <n v="6"/>
    <s v="Fuera SC"/>
    <m/>
    <s v="No"/>
    <s v="Si"/>
    <n v="25.8"/>
    <n v="9.6272380393307895"/>
    <n v="21.141289500955136"/>
    <s v="Medio"/>
    <n v="10.879761344569349"/>
    <s v="Medio"/>
    <n v="26424.261842"/>
    <n v="10314.0981324"/>
    <n v="12343"/>
    <n v="2.1408297692619298"/>
    <n v="0.8356232789759378"/>
    <m/>
    <m/>
    <m/>
    <m/>
    <m/>
    <m/>
    <m/>
    <n v="83"/>
    <n v="0"/>
    <n v="7"/>
    <n v="14363.047355000001"/>
    <n v="2437.7755189999998"/>
    <n v="0.1697255087132587"/>
    <s v="0% - 30%"/>
    <n v="7.0924079445315656E-5"/>
    <s v="N.D."/>
    <s v="N.D."/>
    <s v="N.D."/>
    <n v="0.97060058895990875"/>
    <s v="Aceptable"/>
    <n v="2"/>
    <s v="Candidato"/>
    <n v="0"/>
    <n v="0"/>
  </r>
  <r>
    <n v="70717"/>
    <s v="70717"/>
    <x v="9"/>
    <x v="9"/>
    <s v="SAN PEDRO"/>
    <n v="50.574033333333297"/>
    <n v="34.28"/>
    <n v="39.56"/>
    <n v="35.11"/>
    <n v="40.818859190536905"/>
    <n v="52.452366346272136"/>
    <n v="57.323861384295256"/>
    <n v="53.042400000000001"/>
    <n v="39.881008333333327"/>
    <n v="50.909371730276078"/>
    <n v="45.395190031804702"/>
    <n v="46.660667000806839"/>
    <n v="53.339332999193161"/>
    <n v="0.58005399699273841"/>
    <n v="0"/>
    <n v="26.331661422193232"/>
    <n v="4"/>
    <n v="4"/>
    <b v="1"/>
    <x v="5"/>
    <n v="47.135212187135693"/>
    <n v="0.58856707487895343"/>
    <n v="27.742233960781252"/>
    <n v="4"/>
    <n v="0"/>
    <n v="-1.7400221553309905"/>
    <n v="-8.5130778862150258E-3"/>
    <n v="-1.4105725385880206"/>
    <n v="4"/>
    <b v="1"/>
    <n v="0"/>
    <n v="0.9741882058902549"/>
    <n v="45.918567794842197"/>
    <n v="0.40376686853870508"/>
    <n v="3"/>
    <n v="-1"/>
    <n v="40.37668685387051"/>
    <n v="4"/>
    <n v="-0.39413420889751649"/>
    <b v="1"/>
    <s v="Efecto ponderador"/>
    <n v="3"/>
    <n v="-1"/>
    <n v="0"/>
    <n v="0"/>
    <n v="0"/>
    <n v="0"/>
    <n v="0"/>
    <s v="Intermedio"/>
    <n v="6"/>
    <s v="Fuera SC"/>
    <m/>
    <s v="No"/>
    <s v="Si"/>
    <n v="47.1"/>
    <n v="30.083287062742922"/>
    <n v="13.157894736842104"/>
    <s v="Bajo"/>
    <n v="2.3038477173058105"/>
    <s v="Medio Bajo"/>
    <n v="47189.844019999997"/>
    <n v="7995.0654800000002"/>
    <n v="20760"/>
    <n v="2.273113873795761"/>
    <n v="0.38511876107899806"/>
    <m/>
    <m/>
    <m/>
    <m/>
    <m/>
    <m/>
    <m/>
    <n v="9"/>
    <n v="0"/>
    <n v="7"/>
    <n v="21280.240109999999"/>
    <n v="105.325515"/>
    <n v="4.9494514373691432E-3"/>
    <s v="0% - 30%"/>
    <n v="3.064316273281431E-6"/>
    <s v="N.D."/>
    <s v="N.D."/>
    <s v="N.D."/>
    <n v="0.70441251620027567"/>
    <s v="Crítico Medio"/>
    <n v="0"/>
    <s v="Candidato"/>
    <n v="0"/>
    <n v="0"/>
  </r>
  <r>
    <n v="44874"/>
    <s v="44874"/>
    <x v="21"/>
    <x v="21"/>
    <s v="VILLANUEVA"/>
    <n v="75.061266666666697"/>
    <n v="66.48"/>
    <n v="80.38"/>
    <n v="86.7"/>
    <n v="48.449340576871407"/>
    <n v="39.127334415061036"/>
    <n v="49.227397000216847"/>
    <n v="59.464599999999997"/>
    <n v="77.155316666666678"/>
    <n v="49.06716799803732"/>
    <n v="63.111242332351999"/>
    <n v="47.250136854308309"/>
    <n v="52.749863145691691"/>
    <n v="0.57474876831122523"/>
    <n v="0"/>
    <n v="36.273108797110567"/>
    <n v="3"/>
    <n v="3"/>
    <b v="1"/>
    <x v="3"/>
    <n v="57.909537300026741"/>
    <n v="0.58933935829106565"/>
    <n v="34.128369551330287"/>
    <n v="3"/>
    <n v="1"/>
    <n v="5.2017050323252576"/>
    <n v="-1.4590589979840418E-2"/>
    <n v="2.1447392457802792"/>
    <n v="2"/>
    <b v="1"/>
    <s v="Efecto ponderador"/>
    <n v="0.9741882058902549"/>
    <n v="56.414788246247845"/>
    <n v="0.53506352232654608"/>
    <n v="2"/>
    <n v="0"/>
    <n v="53.506352232654606"/>
    <n v="3"/>
    <n v="-0.39943943757902967"/>
    <b v="0"/>
    <n v="0"/>
    <n v="2"/>
    <n v="0"/>
    <n v="0"/>
    <n v="0"/>
    <n v="0"/>
    <n v="0"/>
    <n v="1"/>
    <s v="Intermedio"/>
    <n v="6"/>
    <s v="Fuera SC"/>
    <m/>
    <s v="No"/>
    <s v="No"/>
    <n v="31"/>
    <n v="18.597292317551872"/>
    <n v="13.774999999999997"/>
    <s v="Bajo"/>
    <n v="1.5637129172414426"/>
    <s v="Medio Bajo"/>
    <n v="50902.614734000002"/>
    <n v="7593.8609889999998"/>
    <n v="32651"/>
    <n v="1.5589909875348382"/>
    <n v="0.23257667419068329"/>
    <m/>
    <m/>
    <m/>
    <m/>
    <m/>
    <m/>
    <m/>
    <n v="76"/>
    <n v="0"/>
    <n v="6"/>
    <n v="25957.278762000002"/>
    <n v="15656.360113999999"/>
    <n v="0.60315876165416971"/>
    <s v="51% - 70%"/>
    <n v="4.5550253495256607E-4"/>
    <s v="N.D."/>
    <s v="N.D."/>
    <s v="N.D."/>
    <n v="0.89981093322219419"/>
    <s v="Aceptable"/>
    <n v="2"/>
    <s v="No es Candidato"/>
    <n v="1"/>
    <s v="Zona de Fronteras"/>
  </r>
  <r>
    <n v="5467"/>
    <s v="05467"/>
    <x v="1"/>
    <x v="1"/>
    <s v="MONTEBELLO"/>
    <n v="46.476599999999998"/>
    <n v="31.82"/>
    <n v="49.46"/>
    <n v="59.29"/>
    <n v="58.555950494560072"/>
    <n v="56.462775217754064"/>
    <n v="33.122918027697672"/>
    <n v="47.3279"/>
    <n v="46.761649999999996"/>
    <n v="48.86738593500295"/>
    <n v="47.814517967501473"/>
    <n v="47.51135386145566"/>
    <n v="52.48864613854434"/>
    <n v="0.57239781524689903"/>
    <n v="0"/>
    <n v="27.368925621681441"/>
    <n v="4"/>
    <n v="4"/>
    <b v="1"/>
    <x v="5"/>
    <n v="46.827557100351441"/>
    <n v="0.59008876575333058"/>
    <n v="27.632415372589993"/>
    <n v="4"/>
    <n v="0"/>
    <n v="0.98696086715003162"/>
    <n v="-1.7690950506431546E-2"/>
    <n v="-0.2634897509085512"/>
    <n v="4"/>
    <b v="1"/>
    <n v="0"/>
    <n v="0.9741882058902549"/>
    <n v="45.618853837814839"/>
    <n v="0.40001776286458268"/>
    <n v="3"/>
    <n v="-1"/>
    <n v="40.001776286458266"/>
    <n v="4"/>
    <n v="-0.40179039064335587"/>
    <b v="1"/>
    <s v="Efecto ponderador"/>
    <n v="3"/>
    <n v="-1"/>
    <n v="0"/>
    <n v="0"/>
    <n v="0"/>
    <n v="0"/>
    <n v="1"/>
    <s v="Intermedio"/>
    <n v="6"/>
    <s v="Fuera SC"/>
    <m/>
    <s v="No"/>
    <s v="Si"/>
    <n v="39.5"/>
    <n v="15.524570651249787"/>
    <n v="52.550547909801637"/>
    <s v="Alto"/>
    <n v="0.23832252202245688"/>
    <s v="Medio Bajo"/>
    <n v="20234.355081999998"/>
    <n v="4415.8037666"/>
    <n v="6595"/>
    <n v="3.0681357213040181"/>
    <n v="0.66956842556482188"/>
    <m/>
    <m/>
    <m/>
    <m/>
    <m/>
    <m/>
    <m/>
    <n v="65"/>
    <n v="0"/>
    <n v="7"/>
    <n v="7600.5283449999997"/>
    <n v="2.4127450000000001"/>
    <n v="3.17444378927581E-4"/>
    <n v="0"/>
    <n v="7.019584729092857E-8"/>
    <s v="N.D."/>
    <s v="N.D."/>
    <s v="N.D."/>
    <n v="0.95764689274633907"/>
    <s v="Aceptable"/>
    <n v="1"/>
    <s v="Candidato"/>
    <n v="0"/>
    <n v="0"/>
  </r>
  <r>
    <n v="15367"/>
    <s v="15367"/>
    <x v="10"/>
    <x v="10"/>
    <s v="JENESANO"/>
    <n v="70.143133333333296"/>
    <n v="68.7"/>
    <n v="78.900000000000006"/>
    <n v="68.56"/>
    <n v="56.747605235906335"/>
    <n v="60.202377598378355"/>
    <n v="62.931027960069329"/>
    <n v="63.2089"/>
    <n v="71.575783333333334"/>
    <n v="60.77247769858851"/>
    <n v="66.174130515960925"/>
    <n v="47.455973125978019"/>
    <n v="52.544026874021981"/>
    <n v="0.57289624186619781"/>
    <n v="0"/>
    <n v="37.910910681357294"/>
    <n v="3"/>
    <n v="3"/>
    <b v="1"/>
    <x v="3"/>
    <n v="65.349853476183185"/>
    <n v="0.58718046622004882"/>
    <n v="38.37215743155712"/>
    <n v="2"/>
    <n v="0"/>
    <n v="0.82427703977774058"/>
    <n v="-1.4284224353851016E-2"/>
    <n v="-0.46124675019982675"/>
    <n v="2"/>
    <b v="1"/>
    <n v="0"/>
    <n v="0.9741882058902549"/>
    <n v="63.663056513153933"/>
    <n v="0.62573171795061144"/>
    <n v="2"/>
    <n v="0"/>
    <n v="62.573171795061143"/>
    <n v="3"/>
    <n v="-0.40129196402405709"/>
    <b v="0"/>
    <n v="0"/>
    <n v="1"/>
    <n v="-1"/>
    <n v="0"/>
    <n v="0"/>
    <n v="0"/>
    <n v="0"/>
    <n v="0"/>
    <s v="Intermedio"/>
    <n v="6"/>
    <s v="Fuera SC"/>
    <m/>
    <s v="No"/>
    <s v="No"/>
    <n v="38.799999999999997"/>
    <n v="12.111604311984781"/>
    <n v="11.848770189320671"/>
    <s v="Bajo"/>
    <n v="0"/>
    <s v="Bajo"/>
    <n v="26996.603063999999"/>
    <n v="9869.6521364"/>
    <n v="7401"/>
    <n v="3.6476966712606402"/>
    <n v="1.3335565648425889"/>
    <m/>
    <m/>
    <m/>
    <m/>
    <m/>
    <m/>
    <m/>
    <n v="0"/>
    <n v="0"/>
    <n v="7"/>
    <n v="5895.0185570000003"/>
    <n v="1271.650087"/>
    <n v="0.21571604477648126"/>
    <s v="0% - 30%"/>
    <n v="3.6997094725944114E-5"/>
    <s v="N.D."/>
    <s v="N.D."/>
    <s v="N.D."/>
    <n v="0.9539721604254221"/>
    <s v="Aceptable"/>
    <n v="3"/>
    <s v="Candidato"/>
    <n v="0"/>
    <n v="0"/>
  </r>
  <r>
    <n v="25898"/>
    <s v="25898"/>
    <x v="5"/>
    <x v="5"/>
    <s v="ZIPACÓN"/>
    <n v="95.932066666666699"/>
    <n v="92.39"/>
    <n v="86.78"/>
    <n v="83.77"/>
    <n v="50.548785677099524"/>
    <n v="52.281953791019959"/>
    <n v="58.725667508077507"/>
    <n v="56.605699999999999"/>
    <n v="89.718016666666671"/>
    <n v="54.540526744049245"/>
    <n v="72.129271705357951"/>
    <n v="48.165695571128246"/>
    <n v="51.834304428871754"/>
    <n v="0.56650873985984584"/>
    <n v="0"/>
    <n v="40.861862820810764"/>
    <n v="2"/>
    <n v="2"/>
    <b v="1"/>
    <x v="3"/>
    <n v="72.90091966703045"/>
    <n v="0.58795062850146085"/>
    <n v="42.862141536565062"/>
    <n v="2"/>
    <n v="0"/>
    <n v="-0.7716479616724996"/>
    <n v="-2.1441888641615003E-2"/>
    <n v="-2.0002787157542983"/>
    <n v="2"/>
    <b v="1"/>
    <n v="0"/>
    <n v="0.9741882058902549"/>
    <n v="71.019216138173988"/>
    <n v="0.71774952073647114"/>
    <n v="1"/>
    <n v="-1"/>
    <n v="71.774952073647114"/>
    <n v="3"/>
    <n v="-0.40767946603040905"/>
    <b v="0"/>
    <s v="Cambio en corte"/>
    <n v="2"/>
    <n v="0"/>
    <n v="0"/>
    <n v="0"/>
    <n v="0"/>
    <n v="0"/>
    <n v="0"/>
    <s v="Intermedio"/>
    <n v="6"/>
    <s v="Fuera SC"/>
    <m/>
    <s v="No"/>
    <s v="No"/>
    <n v="20.5"/>
    <n v="7.7178817383044409"/>
    <n v="45.044696349065006"/>
    <s v="Alto"/>
    <n v="3.3911293665188851E-2"/>
    <s v="Bajo"/>
    <n v="10228.800853000001"/>
    <n v="2814.9911430000002"/>
    <n v="4679"/>
    <n v="2.1861083250694593"/>
    <n v="0.60162238576618943"/>
    <m/>
    <m/>
    <m/>
    <m/>
    <m/>
    <m/>
    <m/>
    <n v="59"/>
    <n v="0"/>
    <n v="7"/>
    <n v="5414.079882"/>
    <n v="2212.2682479999999"/>
    <n v="0.40861389122739949"/>
    <s v="31% - 50%"/>
    <n v="6.4363222845007699E-5"/>
    <s v="N.D."/>
    <s v="N.D."/>
    <s v="N.D."/>
    <n v="0.98217852524475235"/>
    <s v="Aceptable"/>
    <n v="2"/>
    <s v="Candidato"/>
    <n v="0"/>
    <n v="0"/>
  </r>
  <r>
    <n v="70523"/>
    <s v="70523"/>
    <x v="9"/>
    <x v="9"/>
    <s v="PALMITO"/>
    <n v="49.107566666666699"/>
    <n v="69.55"/>
    <n v="54.67"/>
    <n v="51.93"/>
    <n v="43.519329667392412"/>
    <n v="30.207824889895303"/>
    <n v="31.219246102339881"/>
    <n v="43.752699999999997"/>
    <n v="56.31439166666668"/>
    <n v="37.174775164906897"/>
    <n v="46.744583415786792"/>
    <n v="47.109450590178234"/>
    <n v="52.890549409821766"/>
    <n v="0.57601494468839587"/>
    <n v="0"/>
    <n v="26.925578630726537"/>
    <n v="4"/>
    <n v="4"/>
    <b v="1"/>
    <x v="5"/>
    <n v="47.008224095869039"/>
    <n v="0.58734672224297768"/>
    <n v="27.610126341172045"/>
    <n v="4"/>
    <n v="0"/>
    <n v="-0.26364068008224706"/>
    <n v="-1.1331777554581812E-2"/>
    <n v="-0.68454771044550711"/>
    <n v="4"/>
    <b v="1"/>
    <n v="0"/>
    <n v="0.9741882058902549"/>
    <n v="45.794857494041707"/>
    <n v="0.40221938307863969"/>
    <n v="3"/>
    <n v="-1"/>
    <n v="40.221938307863972"/>
    <n v="4"/>
    <n v="-0.39817326120185903"/>
    <b v="1"/>
    <s v="Efecto ponderador"/>
    <n v="3"/>
    <n v="-1"/>
    <n v="0"/>
    <n v="0"/>
    <n v="0"/>
    <n v="1"/>
    <n v="1"/>
    <s v="Intermedio"/>
    <n v="6"/>
    <s v="Fuera SC"/>
    <m/>
    <s v="No"/>
    <s v="No"/>
    <n v="65.099999999999994"/>
    <n v="45.149194191798308"/>
    <n v="25.78125"/>
    <s v="Medio"/>
    <n v="8.3235890387750242"/>
    <s v="Medio"/>
    <n v="41880.634001999999"/>
    <n v="7952.1879170000002"/>
    <n v="16081"/>
    <n v="2.6043550775449287"/>
    <n v="0.49450829656115913"/>
    <m/>
    <m/>
    <m/>
    <m/>
    <m/>
    <m/>
    <m/>
    <n v="43"/>
    <n v="0"/>
    <n v="7"/>
    <n v="17459.545900000001"/>
    <n v="685.699658"/>
    <n v="3.9273624980131927E-2"/>
    <s v="0% - 30%"/>
    <n v="1.9949587909377056E-5"/>
    <n v="1573.7146990000001"/>
    <n v="9.0134915765478191E-2"/>
    <s v="0% - 30%"/>
    <n v="0.81130214802313239"/>
    <s v="Crítico bajo"/>
    <n v="1"/>
    <s v="Candidato"/>
    <n v="0"/>
    <n v="0"/>
  </r>
  <r>
    <n v="17088"/>
    <s v="17088"/>
    <x v="11"/>
    <x v="11"/>
    <s v="BELALCÁZAR"/>
    <n v="78.370266666666694"/>
    <n v="54.61"/>
    <n v="49.24"/>
    <n v="55.1"/>
    <n v="45.954325341880974"/>
    <n v="46.749953556935957"/>
    <n v="57.546994009478084"/>
    <n v="52.956099999999999"/>
    <n v="59.330066666666674"/>
    <n v="50.801843227073753"/>
    <n v="55.065954946870214"/>
    <n v="47.76187138810424"/>
    <n v="52.23812861189576"/>
    <n v="0.5701431575070619"/>
    <n v="0"/>
    <n v="31.395477424550197"/>
    <n v="3"/>
    <n v="3"/>
    <b v="1"/>
    <x v="4"/>
    <n v="56.743213010368308"/>
    <n v="0.58671141275280914"/>
    <n v="33.291890669446772"/>
    <n v="3"/>
    <n v="0"/>
    <n v="-1.677258063498094"/>
    <n v="-1.6568255245747232E-2"/>
    <n v="-1.8964132448965749"/>
    <n v="3"/>
    <b v="1"/>
    <n v="0"/>
    <n v="0.9741882058902549"/>
    <n v="55.278568879019275"/>
    <n v="0.52085061573062275"/>
    <n v="2"/>
    <n v="-1"/>
    <n v="52.085061573062276"/>
    <n v="4"/>
    <n v="-0.404045048383193"/>
    <b v="0"/>
    <s v="Cambio en corte"/>
    <n v="2"/>
    <n v="-1"/>
    <n v="0"/>
    <n v="0"/>
    <n v="0"/>
    <n v="0"/>
    <n v="1"/>
    <s v="Intermedio"/>
    <n v="6"/>
    <s v="Fuera SC"/>
    <m/>
    <s v="No"/>
    <s v="Si"/>
    <n v="41.2"/>
    <n v="17.824241796915434"/>
    <n v="34.758159321591648"/>
    <s v="Medio"/>
    <n v="1.7487716500566883"/>
    <s v="Medio Bajo"/>
    <n v="25556.807133999999"/>
    <n v="6317.8082551000007"/>
    <n v="10467"/>
    <n v="2.4416554059424858"/>
    <n v="0.60359303096398209"/>
    <m/>
    <m/>
    <m/>
    <m/>
    <m/>
    <m/>
    <m/>
    <n v="49"/>
    <n v="0"/>
    <n v="7"/>
    <n v="11331.6409"/>
    <n v="395.40096899999998"/>
    <n v="3.4893531527283042E-2"/>
    <s v="0% - 30%"/>
    <n v="1.1503704717493634E-5"/>
    <n v="53.776831999999999"/>
    <n v="4.7457232782588442E-3"/>
    <s v="0% - 30%"/>
    <n v="0.95205038108179907"/>
    <s v="Aceptable"/>
    <n v="1"/>
    <s v="Candidato"/>
    <n v="0"/>
    <n v="0"/>
  </r>
  <r>
    <n v="25377"/>
    <s v="25377"/>
    <x v="5"/>
    <x v="5"/>
    <s v="LA CALERA"/>
    <n v="56.319133333333298"/>
    <n v="62.05"/>
    <n v="63.69"/>
    <n v="64.66"/>
    <n v="58.788224809496043"/>
    <n v="63.142739738548286"/>
    <n v="63.126159352453662"/>
    <n v="61.032600000000002"/>
    <n v="61.679783333333326"/>
    <n v="61.5224309751245"/>
    <n v="61.601107154228913"/>
    <n v="45.815742523567188"/>
    <n v="54.184257476432812"/>
    <n v="0.5876583172878953"/>
    <n v="0"/>
    <n v="36.200402973325495"/>
    <n v="3"/>
    <n v="3"/>
    <b v="1"/>
    <x v="3"/>
    <n v="60.044290222727994"/>
    <n v="0.58588012798637867"/>
    <n v="35.17875644054314"/>
    <n v="2"/>
    <n v="0"/>
    <n v="1.5568169315009186"/>
    <n v="1.7781893015166306E-3"/>
    <n v="1.0216465327823556"/>
    <n v="2"/>
    <b v="1"/>
    <n v="0"/>
    <n v="0.9741882058902549"/>
    <n v="58.494439366033156"/>
    <n v="0.5610777656761492"/>
    <n v="2"/>
    <n v="0"/>
    <n v="56.10777656761492"/>
    <n v="3"/>
    <n v="-0.38652988860235959"/>
    <b v="0"/>
    <n v="0"/>
    <n v="2"/>
    <n v="0"/>
    <n v="0"/>
    <n v="1"/>
    <n v="0"/>
    <n v="0"/>
    <n v="0"/>
    <s v="Ciudades y aglomeraciones"/>
    <n v="4"/>
    <s v="En aglomeración"/>
    <m/>
    <s v="No"/>
    <s v="No"/>
    <n v="9.8000000000000007"/>
    <n v="3.1402922020770991"/>
    <n v="6.2444899012232566"/>
    <s v="Bajo"/>
    <n v="0.48192092821137411"/>
    <s v="Medio Bajo"/>
    <n v="54088.619252999997"/>
    <n v="37541.687864300002"/>
    <n v="42445"/>
    <n v="1.2743225174461066"/>
    <n v="0.88447845127341274"/>
    <m/>
    <m/>
    <m/>
    <m/>
    <m/>
    <m/>
    <m/>
    <n v="94"/>
    <n v="0"/>
    <n v="6"/>
    <n v="32634.105521000001"/>
    <n v="15286.881762999999"/>
    <n v="0.4684326877953775"/>
    <s v="31% - 50%"/>
    <n v="4.4475301691228412E-4"/>
    <s v="N.D."/>
    <s v="N.D."/>
    <s v="N.D."/>
    <n v="0.96043768122851558"/>
    <s v="Aceptable"/>
    <n v="3"/>
    <s v="Candidato"/>
    <n v="0"/>
    <n v="0"/>
  </r>
  <r>
    <n v="23182"/>
    <s v="23182"/>
    <x v="14"/>
    <x v="14"/>
    <s v="CHINÚ"/>
    <n v="62.301866666666697"/>
    <n v="55.78"/>
    <n v="51.78"/>
    <n v="49.94"/>
    <n v="56.057750717107581"/>
    <n v="65.823754435913656"/>
    <n v="68.905349803658694"/>
    <n v="60.759799999999998"/>
    <n v="54.950466666666671"/>
    <n v="62.886663739169975"/>
    <n v="58.918565202918323"/>
    <n v="47.066008206997608"/>
    <n v="52.933991793002392"/>
    <n v="0.57640592613702146"/>
    <n v="0"/>
    <n v="33.961010142452622"/>
    <n v="3"/>
    <n v="3"/>
    <b v="1"/>
    <x v="4"/>
    <n v="57.619955360783209"/>
    <n v="0.58570249661549445"/>
    <n v="33.748151709684066"/>
    <n v="3"/>
    <n v="0"/>
    <n v="1.2986098421351144"/>
    <n v="-9.2965704784729875E-3"/>
    <n v="0.21285843276855587"/>
    <n v="3"/>
    <b v="1"/>
    <n v="0"/>
    <n v="0.9741882058902549"/>
    <n v="56.132680936397968"/>
    <n v="0.53153465724945848"/>
    <n v="2"/>
    <n v="-1"/>
    <n v="53.153465724945846"/>
    <n v="4"/>
    <n v="-0.39778227975323344"/>
    <b v="0"/>
    <s v="Cambio en corte"/>
    <n v="2"/>
    <n v="-1"/>
    <n v="0"/>
    <n v="0"/>
    <n v="0"/>
    <n v="0"/>
    <n v="0"/>
    <s v="Intermedio"/>
    <n v="6"/>
    <s v="Fuera SC"/>
    <m/>
    <s v="No"/>
    <s v="Si"/>
    <n v="45.3"/>
    <n v="25.016402661917706"/>
    <n v="0"/>
    <s v="Sin riesgo"/>
    <n v="4.3232931452258265"/>
    <s v="Medio Bajo"/>
    <n v="98640.752439000004"/>
    <n v="16754.294108999999"/>
    <n v="52071"/>
    <n v="1.8943510291525034"/>
    <n v="0.32175863933859533"/>
    <m/>
    <m/>
    <m/>
    <m/>
    <m/>
    <m/>
    <m/>
    <n v="10"/>
    <n v="0"/>
    <n v="6"/>
    <n v="62599.868201999998"/>
    <n v="697.01944300000002"/>
    <n v="1.1134519337178588E-2"/>
    <s v="0% - 30%"/>
    <n v="2.0278923126826951E-5"/>
    <n v="72.889278000000004"/>
    <n v="1.1643679147182496E-3"/>
    <s v="0% - 30%"/>
    <n v="0.89340966942113353"/>
    <s v="Aceptable"/>
    <n v="2"/>
    <s v="Candidato"/>
    <n v="0"/>
    <n v="0"/>
  </r>
  <r>
    <n v="5034"/>
    <s v="05034"/>
    <x v="1"/>
    <x v="1"/>
    <s v="ANDES"/>
    <n v="51.396666666666697"/>
    <n v="39.9"/>
    <n v="40.51"/>
    <n v="50.79"/>
    <n v="59.048263098827626"/>
    <n v="61.830204222990346"/>
    <n v="59.911954310935641"/>
    <n v="63.1569"/>
    <n v="45.649166666666673"/>
    <n v="60.986830408188403"/>
    <n v="53.317998537427542"/>
    <n v="46.775776857219995"/>
    <n v="53.224223142780005"/>
    <n v="0.57901800828502004"/>
    <n v="0"/>
    <n v="30.872081318884906"/>
    <n v="3"/>
    <n v="3"/>
    <b v="1"/>
    <x v="4"/>
    <n v="51.949779870642416"/>
    <n v="0.58558901504229732"/>
    <n v="30.421220426113656"/>
    <n v="3"/>
    <n v="0"/>
    <n v="1.3682186667851255"/>
    <n v="-6.5710067572772868E-3"/>
    <n v="0.45086089277124941"/>
    <n v="3"/>
    <b v="1"/>
    <n v="0"/>
    <n v="0.9741882058902549"/>
    <n v="50.608862848574816"/>
    <n v="0.46243751562389324"/>
    <n v="3"/>
    <n v="0"/>
    <n v="46.24375156238932"/>
    <n v="4"/>
    <n v="-0.39517019760523486"/>
    <b v="0"/>
    <n v="0"/>
    <n v="3"/>
    <n v="0"/>
    <n v="0"/>
    <n v="0"/>
    <n v="0"/>
    <n v="0"/>
    <n v="0"/>
    <s v="Intermedio"/>
    <n v="6"/>
    <s v="Fuera SC"/>
    <m/>
    <s v="No"/>
    <s v="Si"/>
    <n v="40.1"/>
    <n v="12.288330137467254"/>
    <n v="19.457057766082812"/>
    <s v="Medio"/>
    <n v="8.3401520238533013"/>
    <s v="Medio"/>
    <n v="88018.909648999994"/>
    <n v="24009.374663250001"/>
    <n v="45212"/>
    <n v="1.9468041592718746"/>
    <n v="0.53103987134499697"/>
    <m/>
    <m/>
    <m/>
    <m/>
    <m/>
    <m/>
    <m/>
    <n v="65"/>
    <n v="1"/>
    <n v="6"/>
    <n v="40248.7183"/>
    <n v="15769.912189000001"/>
    <n v="0.3918115372384417"/>
    <s v="31% - 50%"/>
    <n v="4.5880619286762467E-4"/>
    <n v="766.93492300000003"/>
    <n v="1.9054890575236034E-2"/>
    <s v="0% - 30%"/>
    <n v="0.88386737832685347"/>
    <s v="Aceptable"/>
    <n v="2"/>
    <s v="Candidato"/>
    <n v="0"/>
    <n v="0"/>
  </r>
  <r>
    <n v="44378"/>
    <s v="44378"/>
    <x v="21"/>
    <x v="21"/>
    <s v="HATONUEVO"/>
    <n v="59.174266666666703"/>
    <n v="80.38"/>
    <n v="65.2"/>
    <n v="79.13"/>
    <n v="77.22558113750047"/>
    <n v="67.885251144288631"/>
    <n v="66.151280523989513"/>
    <n v="76.330799999999996"/>
    <n v="70.971066666666673"/>
    <n v="71.898228201444653"/>
    <n v="71.434647434055663"/>
    <n v="48.221023735838315"/>
    <n v="51.778976264161685"/>
    <n v="0.56601078637745517"/>
    <n v="0"/>
    <n v="40.432780968746108"/>
    <n v="2"/>
    <n v="2"/>
    <b v="1"/>
    <x v="3"/>
    <n v="67.044370942300944"/>
    <n v="0.5856089919740175"/>
    <n v="39.261786485052966"/>
    <n v="2"/>
    <n v="0"/>
    <n v="4.3902764917547188"/>
    <n v="-1.9598205596562335E-2"/>
    <n v="1.1709944836931427"/>
    <n v="2"/>
    <b v="1"/>
    <n v="0"/>
    <n v="0.9741882058902549"/>
    <n v="65.313835443320897"/>
    <n v="0.64638122228198891"/>
    <n v="1"/>
    <n v="-1"/>
    <n v="64.638122228198895"/>
    <n v="3"/>
    <n v="-0.40817741951279973"/>
    <b v="0"/>
    <s v="Cambio en corte"/>
    <n v="2"/>
    <n v="0"/>
    <n v="0"/>
    <n v="0"/>
    <n v="0"/>
    <n v="0"/>
    <n v="0"/>
    <s v="Intermedio"/>
    <n v="6"/>
    <s v="Fuera SC"/>
    <m/>
    <s v="No"/>
    <s v="No"/>
    <n v="43.3"/>
    <n v="30.047532820280669"/>
    <n v="17.69590909090909"/>
    <s v="Medio"/>
    <n v="0.13900070645833193"/>
    <s v="Bajo"/>
    <n v="52646.482408999997"/>
    <n v="13084.77226225"/>
    <n v="23232"/>
    <n v="2.2661192496986913"/>
    <n v="0.56322194655001723"/>
    <m/>
    <m/>
    <m/>
    <m/>
    <m/>
    <m/>
    <m/>
    <n v="76"/>
    <n v="0"/>
    <n v="7"/>
    <n v="21520.872080000001"/>
    <n v="2998.2853340000001"/>
    <n v="0.13931988085122246"/>
    <s v="0% - 30%"/>
    <n v="8.7231422898024764E-5"/>
    <n v="2757.3933339999999"/>
    <n v="0.12812646828390051"/>
    <s v="0% - 30%"/>
    <n v="0.87031649699082092"/>
    <s v="Aceptable"/>
    <n v="3"/>
    <s v="Candidato"/>
    <n v="1"/>
    <s v="Zona de Fronteras"/>
  </r>
  <r>
    <n v="25658"/>
    <s v="25658"/>
    <x v="5"/>
    <x v="5"/>
    <s v="SAN FRANCISCO"/>
    <n v="61.270899999999997"/>
    <n v="62.32"/>
    <n v="60.95"/>
    <n v="67.709999999999994"/>
    <n v="49.3002320247233"/>
    <n v="64.761627217777601"/>
    <n v="66.854377205112527"/>
    <n v="57.887099999999997"/>
    <n v="63.062725"/>
    <n v="59.700834111903355"/>
    <n v="61.381779555951681"/>
    <n v="47.763513749896497"/>
    <n v="52.236486250103503"/>
    <n v="0.5701283762509316"/>
    <n v="0"/>
    <n v="34.995494309627361"/>
    <n v="3"/>
    <n v="3"/>
    <b v="1"/>
    <x v="4"/>
    <n v="60.021472198766723"/>
    <n v="0.58382932159272916"/>
    <n v="35.042295394802828"/>
    <n v="2"/>
    <n v="-1"/>
    <n v="1.3603073571849578"/>
    <n v="-1.3700945341797555E-2"/>
    <n v="-4.6801085175466994E-2"/>
    <n v="2"/>
    <b v="0"/>
    <s v="Cambio en corte"/>
    <n v="0.9741882058902549"/>
    <n v="58.472210316208368"/>
    <n v="0.5607997036944683"/>
    <n v="2"/>
    <n v="-1"/>
    <n v="56.079970369446826"/>
    <n v="4"/>
    <n v="-0.4040598296393233"/>
    <b v="0"/>
    <s v="Cambio en corte"/>
    <n v="2"/>
    <n v="-1"/>
    <n v="0"/>
    <n v="0"/>
    <n v="0"/>
    <n v="0"/>
    <n v="0"/>
    <s v="Intermedio"/>
    <n v="6"/>
    <s v="Fuera SC"/>
    <m/>
    <s v="No"/>
    <s v="No"/>
    <n v="20.2"/>
    <n v="7.5085324232081909"/>
    <n v="1.138441361563352"/>
    <s v="Sin riesgo"/>
    <n v="0.67087116364371635"/>
    <s v="Medio Bajo"/>
    <n v="18921.435226000001"/>
    <n v="7851.9675822500003"/>
    <n v="12563"/>
    <n v="1.5061239533550905"/>
    <n v="0.62500736943803237"/>
    <m/>
    <m/>
    <m/>
    <m/>
    <m/>
    <m/>
    <m/>
    <n v="37"/>
    <n v="0"/>
    <n v="7"/>
    <n v="11861.559762000001"/>
    <n v="8472.0772300000008"/>
    <n v="0.7142464734816214"/>
    <s v="71% - 100%"/>
    <n v="2.4648466351563598E-4"/>
    <s v="N.D."/>
    <s v="N.D."/>
    <s v="N.D."/>
    <n v="0.90500447107396953"/>
    <s v="Aceptable"/>
    <n v="2"/>
    <s v="Candidato"/>
    <n v="0"/>
    <n v="0"/>
  </r>
  <r>
    <n v="25781"/>
    <s v="25781"/>
    <x v="5"/>
    <x v="5"/>
    <s v="SUTATAUSA"/>
    <n v="60.695066666666698"/>
    <n v="85.19"/>
    <n v="89"/>
    <n v="77.2"/>
    <n v="51.784162135290671"/>
    <n v="57.116966781555703"/>
    <n v="68.808867541539271"/>
    <n v="64.686800000000005"/>
    <n v="78.021266666666676"/>
    <n v="60.599199114596416"/>
    <n v="69.310232890631539"/>
    <n v="48.076384451980395"/>
    <n v="51.923615548019605"/>
    <n v="0.56731253993217645"/>
    <n v="0"/>
    <n v="39.320564264474854"/>
    <n v="2"/>
    <n v="2"/>
    <b v="1"/>
    <x v="3"/>
    <n v="64.5079603140682"/>
    <n v="0.58202285176672219"/>
    <n v="37.545107023648512"/>
    <n v="2"/>
    <n v="0"/>
    <n v="4.8022725765633396"/>
    <n v="-1.4710311834545742E-2"/>
    <n v="1.7754572408263414"/>
    <n v="2"/>
    <b v="1"/>
    <n v="0"/>
    <n v="0.9741882058902549"/>
    <n v="62.842894124001866"/>
    <n v="0.61547235099496722"/>
    <n v="2"/>
    <n v="0"/>
    <n v="61.547235099496724"/>
    <n v="3"/>
    <n v="-0.40687566595807845"/>
    <b v="0"/>
    <n v="0"/>
    <n v="2"/>
    <n v="0"/>
    <n v="0"/>
    <n v="0"/>
    <n v="0"/>
    <n v="0"/>
    <n v="0"/>
    <s v="Ciudades y aglomeraciones"/>
    <n v="6"/>
    <s v="En aglomeración"/>
    <m/>
    <s v="No"/>
    <s v="No"/>
    <n v="21.3"/>
    <n v="7.5884366679345758"/>
    <n v="7.2706926866237209"/>
    <s v="Bajo"/>
    <n v="1.229235983073889"/>
    <s v="Medio Bajo"/>
    <n v="16996.412044000001"/>
    <n v="6087.2915763000001"/>
    <n v="6727"/>
    <n v="2.526596111788316"/>
    <n v="0.90490435205886721"/>
    <m/>
    <m/>
    <m/>
    <m/>
    <m/>
    <m/>
    <m/>
    <n v="36"/>
    <n v="0"/>
    <n v="7"/>
    <n v="6478.0622510000003"/>
    <n v="796.70746799999995"/>
    <n v="0.12298546033221809"/>
    <s v="0% - 30%"/>
    <n v="2.3179223564558358E-5"/>
    <s v="N.D."/>
    <s v="N.D."/>
    <s v="N.D."/>
    <n v="0.98132085185641138"/>
    <s v="Aceptable"/>
    <n v="3"/>
    <s v="Candidato"/>
    <n v="0"/>
    <n v="0"/>
  </r>
  <r>
    <n v="5101"/>
    <s v="05101"/>
    <x v="1"/>
    <x v="1"/>
    <s v="CIUDAD BOLÍVAR"/>
    <n v="59.024833333333298"/>
    <n v="33.72"/>
    <n v="38.64"/>
    <n v="30.52"/>
    <n v="56.767513041395262"/>
    <n v="52.707091189121144"/>
    <n v="59.889145312722491"/>
    <n v="53.351399999999998"/>
    <n v="40.476208333333325"/>
    <n v="55.678787385809727"/>
    <n v="48.077497859571523"/>
    <n v="46.801296621884319"/>
    <n v="53.198703378115681"/>
    <n v="0.57878833040304123"/>
    <n v="0"/>
    <n v="27.82669471609719"/>
    <n v="4"/>
    <n v="4"/>
    <b v="1"/>
    <x v="5"/>
    <n v="53.36418917744885"/>
    <n v="0.58473182884368824"/>
    <n v="31.203739932490222"/>
    <n v="3"/>
    <n v="-1"/>
    <n v="-5.2866913178773274"/>
    <n v="-5.9434984406470104E-3"/>
    <n v="-3.3770452163930322"/>
    <n v="3"/>
    <b v="0"/>
    <s v="Cambio en corte"/>
    <n v="0.9741882058902549"/>
    <n v="51.986763713567051"/>
    <n v="0.4796736030005283"/>
    <n v="2"/>
    <n v="-2"/>
    <n v="47.967360300052832"/>
    <n v="4"/>
    <n v="-0.39539987548721367"/>
    <b v="1"/>
    <s v="Efecto ponderador"/>
    <n v="2"/>
    <n v="-2"/>
    <n v="0"/>
    <n v="0"/>
    <n v="0"/>
    <n v="0"/>
    <n v="0"/>
    <s v="Intermedio"/>
    <n v="6"/>
    <s v="Fuera SC"/>
    <m/>
    <s v="No"/>
    <s v="Si"/>
    <n v="40.4"/>
    <n v="11.847006843974704"/>
    <n v="24.669750195439331"/>
    <s v="Medio"/>
    <n v="6.7298101370442094"/>
    <s v="Medio"/>
    <n v="52319.441197"/>
    <n v="15098.71674665"/>
    <n v="27391"/>
    <n v="1.9100960606403563"/>
    <n v="0.55122911710598366"/>
    <m/>
    <m/>
    <m/>
    <m/>
    <m/>
    <m/>
    <m/>
    <n v="65"/>
    <n v="0"/>
    <n v="6"/>
    <n v="26379.091042"/>
    <n v="7848.9796180000003"/>
    <n v="0.29754549182544199"/>
    <s v="0% - 30%"/>
    <n v="2.2835640511315489E-4"/>
    <n v="117.867332"/>
    <n v="4.4682105161370101E-3"/>
    <s v="0% - 30%"/>
    <n v="0.8827821409142963"/>
    <s v="Aceptable"/>
    <n v="1"/>
    <s v="Candidato"/>
    <n v="0"/>
    <n v="0"/>
  </r>
  <r>
    <n v="5809"/>
    <s v="05809"/>
    <x v="1"/>
    <x v="1"/>
    <s v="TITIRIBÍ"/>
    <n v="62.213000000000001"/>
    <n v="65.34"/>
    <n v="76.37"/>
    <n v="81.12"/>
    <n v="48.452398900997139"/>
    <n v="55.503993348925121"/>
    <n v="55.267969073089517"/>
    <n v="40.698799999999999"/>
    <n v="71.260750000000002"/>
    <n v="49.980790330752946"/>
    <n v="60.62077016537647"/>
    <n v="46.617007518491931"/>
    <n v="53.382992481508069"/>
    <n v="0.5804469323335727"/>
    <n v="0"/>
    <n v="35.187140078191341"/>
    <n v="3"/>
    <n v="3"/>
    <b v="1"/>
    <x v="4"/>
    <n v="59.713842728949345"/>
    <n v="0.58614966431306137"/>
    <n v="35.001248870416596"/>
    <n v="2"/>
    <n v="-1"/>
    <n v="0.90692743642712514"/>
    <n v="-5.7027319794886733E-3"/>
    <n v="0.18589120777474477"/>
    <n v="2"/>
    <b v="0"/>
    <s v="Cambio en corte"/>
    <n v="0.9741882058902549"/>
    <n v="58.172521314928005"/>
    <n v="0.55705091019043496"/>
    <n v="2"/>
    <n v="-1"/>
    <n v="55.705091019043493"/>
    <n v="4"/>
    <n v="-0.3937412735566822"/>
    <b v="0"/>
    <s v="Cambio en corte"/>
    <n v="2"/>
    <n v="-1"/>
    <n v="0"/>
    <n v="0"/>
    <n v="0"/>
    <n v="0"/>
    <n v="0"/>
    <s v="Intermedio"/>
    <n v="6"/>
    <s v="Fuera SC"/>
    <m/>
    <s v="No"/>
    <s v="Si"/>
    <n v="30.3"/>
    <n v="11.2238659982883"/>
    <n v="43.332035143680898"/>
    <s v="Alto"/>
    <n v="5.6024778276823719"/>
    <s v="Medio Bajo"/>
    <n v="23552.865045999999"/>
    <n v="8335.6758799500003"/>
    <n v="11449"/>
    <n v="2.0571984492968816"/>
    <n v="0.72807021398812122"/>
    <m/>
    <m/>
    <m/>
    <m/>
    <m/>
    <m/>
    <m/>
    <n v="83"/>
    <n v="0"/>
    <n v="6"/>
    <n v="14032.861226999999"/>
    <n v="3263.1475409999998"/>
    <n v="0.2325361512676776"/>
    <s v="0% - 30%"/>
    <n v="9.4937262941506488E-5"/>
    <s v="N.D."/>
    <s v="N.D."/>
    <s v="N.D."/>
    <n v="0.93292915748135141"/>
    <s v="Aceptable"/>
    <n v="2"/>
    <s v="Candidato"/>
    <n v="0"/>
    <n v="0"/>
  </r>
  <r>
    <n v="52051"/>
    <s v="52051"/>
    <x v="18"/>
    <x v="18"/>
    <s v="ARBOLEDA"/>
    <n v="53.464599999999997"/>
    <n v="44.29"/>
    <n v="45.37"/>
    <n v="42.34"/>
    <n v="53.517363664255335"/>
    <n v="47.731121173178096"/>
    <n v="64.068905547222286"/>
    <n v="61.448300000000003"/>
    <n v="46.366149999999998"/>
    <n v="56.691422596163932"/>
    <n v="51.528786298081968"/>
    <n v="47.520164297295892"/>
    <n v="52.479835702704108"/>
    <n v="0.57231852132433692"/>
    <n v="0"/>
    <n v="29.490878779756024"/>
    <n v="4"/>
    <n v="4"/>
    <b v="1"/>
    <x v="4"/>
    <n v="51.230351415448993"/>
    <n v="0.58342756345730384"/>
    <n v="29.889199101376843"/>
    <n v="3"/>
    <n v="0"/>
    <n v="0.29843488263297502"/>
    <n v="-1.1109042132966929E-2"/>
    <n v="-0.39832032162081887"/>
    <n v="3"/>
    <b v="1"/>
    <n v="0"/>
    <n v="0.9741882058902549"/>
    <n v="49.908004132543532"/>
    <n v="0.45367051186106477"/>
    <n v="3"/>
    <n v="0"/>
    <n v="45.36705118610648"/>
    <n v="4"/>
    <n v="-0.40186968456591798"/>
    <b v="0"/>
    <n v="0"/>
    <n v="3"/>
    <n v="0"/>
    <n v="0"/>
    <n v="0"/>
    <n v="0"/>
    <n v="0"/>
    <n v="0"/>
    <s v="Intermedio"/>
    <n v="6"/>
    <s v="Fuera SC"/>
    <m/>
    <s v="No"/>
    <s v="No"/>
    <n v="54.3"/>
    <n v="25.308156307369526"/>
    <n v="64.83048443924325"/>
    <s v="Alto"/>
    <n v="1.1041654685324678"/>
    <s v="Medio Bajo"/>
    <n v="23817.924915"/>
    <n v="3685.882936"/>
    <n v="9049"/>
    <n v="2.6321057481489665"/>
    <n v="0.40732489070615535"/>
    <m/>
    <m/>
    <m/>
    <m/>
    <m/>
    <m/>
    <m/>
    <n v="69"/>
    <n v="0"/>
    <n v="7"/>
    <n v="6023.2378339999996"/>
    <n v="9.3385590000000001"/>
    <n v="1.5504217594207656E-3"/>
    <s v="0% - 30%"/>
    <n v="2.7169388455113435E-7"/>
    <s v="N.D."/>
    <s v="N.D."/>
    <s v="N.D."/>
    <n v="0.97905247428917752"/>
    <s v="Aceptable"/>
    <n v="2"/>
    <s v="Candidato"/>
    <n v="0"/>
    <n v="0"/>
  </r>
  <r>
    <n v="5353"/>
    <s v="05353"/>
    <x v="1"/>
    <x v="1"/>
    <s v="HISPANIA"/>
    <n v="45.9069"/>
    <n v="79.239999999999995"/>
    <n v="26.67"/>
    <n v="73.58"/>
    <n v="62.294156586861604"/>
    <n v="45.224841541819224"/>
    <n v="60.257248142873337"/>
    <n v="43.874699999999997"/>
    <n v="56.34922499999999"/>
    <n v="52.912736567888537"/>
    <n v="54.630980783944267"/>
    <n v="46.232637639139995"/>
    <n v="53.767362360860005"/>
    <n v="0.58390626124774003"/>
    <n v="0"/>
    <n v="31.899371737850025"/>
    <n v="3"/>
    <n v="3"/>
    <b v="1"/>
    <x v="4"/>
    <n v="51.201357846383267"/>
    <n v="0.58332986959424837"/>
    <n v="29.867281395579198"/>
    <n v="3"/>
    <n v="0"/>
    <n v="3.4296229375609997"/>
    <n v="5.7639165349165911E-4"/>
    <n v="2.032090342270827"/>
    <n v="3"/>
    <b v="1"/>
    <n v="0"/>
    <n v="0.9741882058902549"/>
    <n v="49.879758939513039"/>
    <n v="0.45331719426949313"/>
    <n v="3"/>
    <n v="0"/>
    <n v="45.331719426949313"/>
    <n v="4"/>
    <n v="-0.39028194464251487"/>
    <b v="0"/>
    <n v="0"/>
    <n v="3"/>
    <n v="0"/>
    <n v="0"/>
    <n v="0"/>
    <n v="0"/>
    <n v="0"/>
    <n v="0"/>
    <s v="Intermedio"/>
    <n v="6"/>
    <s v="Fuera SC"/>
    <m/>
    <s v="No"/>
    <s v="Si"/>
    <n v="36.9"/>
    <n v="12.121212121212121"/>
    <n v="9.5691816816816804"/>
    <s v="Bajo"/>
    <n v="3.0033325405276274"/>
    <s v="Medio Bajo"/>
    <n v="12208.165566"/>
    <n v="3696.2384454000003"/>
    <n v="5862"/>
    <n v="2.0825939211873079"/>
    <n v="0.63054221177072678"/>
    <m/>
    <m/>
    <m/>
    <m/>
    <m/>
    <m/>
    <m/>
    <n v="65"/>
    <n v="0"/>
    <n v="7"/>
    <n v="5417.8292730000003"/>
    <n v="1114.4683809999999"/>
    <n v="0.20570385754937018"/>
    <s v="0% - 30%"/>
    <n v="3.2424086375992655E-5"/>
    <s v="N.D."/>
    <s v="N.D."/>
    <s v="N.D."/>
    <n v="0.8107869040988831"/>
    <s v="Crítico bajo"/>
    <n v="2"/>
    <s v="Candidato"/>
    <n v="0"/>
    <n v="0"/>
  </r>
  <r>
    <n v="15686"/>
    <s v="15686"/>
    <x v="10"/>
    <x v="10"/>
    <s v="SANTANA"/>
    <n v="66.414933333333295"/>
    <n v="67.61"/>
    <n v="64.349999999999994"/>
    <n v="65.92"/>
    <n v="55.14976899925913"/>
    <n v="56.61963819403789"/>
    <n v="60.97930779031482"/>
    <n v="59.326999999999998"/>
    <n v="66.073733333333323"/>
    <n v="58.018928745902954"/>
    <n v="62.046331039618138"/>
    <n v="48.422996452586865"/>
    <n v="51.577003547413135"/>
    <n v="0.56419303192671821"/>
    <n v="0"/>
    <n v="35.006107629171005"/>
    <n v="3"/>
    <n v="3"/>
    <b v="1"/>
    <x v="4"/>
    <n v="61.902734473400272"/>
    <n v="0.57870508854856539"/>
    <n v="35.823427434827437"/>
    <n v="2"/>
    <n v="-1"/>
    <n v="0.14359656621786598"/>
    <n v="-1.451205662184718E-2"/>
    <n v="-0.8173198056564317"/>
    <n v="2"/>
    <b v="0"/>
    <s v="Cambio en corte"/>
    <n v="0.9741882058902549"/>
    <n v="60.304913836342642"/>
    <n v="0.58372489287974327"/>
    <n v="2"/>
    <n v="-1"/>
    <n v="58.372489287974325"/>
    <n v="4"/>
    <n v="-0.40999517396353669"/>
    <b v="0"/>
    <s v="Cambio en corte"/>
    <n v="2"/>
    <n v="-1"/>
    <n v="0"/>
    <n v="0"/>
    <n v="0"/>
    <n v="0"/>
    <n v="0"/>
    <s v="Intermedio"/>
    <n v="6"/>
    <s v="Fuera SC"/>
    <m/>
    <s v="No"/>
    <s v="No"/>
    <n v="40.5"/>
    <n v="15.357509910438996"/>
    <n v="25.503422167555009"/>
    <s v="Medio"/>
    <n v="2.1043523023789636"/>
    <s v="Medio Bajo"/>
    <n v="18427.393330999999"/>
    <n v="3983.9529341999996"/>
    <n v="7746"/>
    <n v="2.3789560200103277"/>
    <n v="0.51432390061967459"/>
    <m/>
    <m/>
    <m/>
    <m/>
    <m/>
    <m/>
    <m/>
    <n v="20"/>
    <n v="0"/>
    <n v="7"/>
    <n v="6785.2949250000001"/>
    <n v="31.869730000000001"/>
    <n v="4.6968820592569894E-3"/>
    <s v="0% - 30%"/>
    <n v="9.2721058391298087E-7"/>
    <s v="N.D."/>
    <s v="N.D."/>
    <s v="N.D."/>
    <n v="0.91315848815953926"/>
    <s v="Aceptable"/>
    <n v="2"/>
    <s v="Candidato"/>
    <n v="0"/>
    <n v="0"/>
  </r>
  <r>
    <n v="5036"/>
    <s v="05036"/>
    <x v="1"/>
    <x v="1"/>
    <s v="ANGELÓPOLIS"/>
    <n v="56.986466666666701"/>
    <n v="41.65"/>
    <n v="39.119999999999997"/>
    <n v="36.08"/>
    <n v="60.032250426824739"/>
    <n v="47.117796536248406"/>
    <n v="72.063844399635883"/>
    <n v="42.923200000000001"/>
    <n v="43.459116666666674"/>
    <n v="55.534272840677261"/>
    <n v="49.496694753671967"/>
    <n v="46.517686988347364"/>
    <n v="53.482313011652636"/>
    <n v="0.58134081710487373"/>
    <n v="0"/>
    <n v="28.774448972090177"/>
    <n v="4"/>
    <n v="4"/>
    <b v="1"/>
    <x v="4"/>
    <n v="52.472239178989824"/>
    <n v="0.58473532327488698"/>
    <n v="30.682371739283806"/>
    <n v="3"/>
    <n v="0"/>
    <n v="-2.9755444253178567"/>
    <n v="-3.3945061700132451E-3"/>
    <n v="-1.9079227671936287"/>
    <n v="3"/>
    <b v="1"/>
    <n v="0"/>
    <n v="0.9741882058902549"/>
    <n v="51.117836544824435"/>
    <n v="0.46880424005512927"/>
    <n v="3"/>
    <n v="0"/>
    <n v="46.880424005512928"/>
    <n v="4"/>
    <n v="-0.39284738878538117"/>
    <b v="0"/>
    <n v="0"/>
    <n v="2"/>
    <n v="-1"/>
    <n v="0"/>
    <n v="0"/>
    <n v="0"/>
    <n v="0"/>
    <n v="0"/>
    <s v="Intermedio"/>
    <n v="6"/>
    <s v="Fuera SC"/>
    <m/>
    <s v="No"/>
    <s v="Si"/>
    <n v="30.7"/>
    <n v="13.026132056652703"/>
    <n v="36.549137338353255"/>
    <s v="Alto"/>
    <n v="7.4514482841510921"/>
    <s v="Medio"/>
    <n v="14053.832420000001"/>
    <n v="5147.7053258999995"/>
    <n v="6149"/>
    <n v="2.2855476370141488"/>
    <n v="0.83716138004553575"/>
    <m/>
    <m/>
    <m/>
    <m/>
    <m/>
    <m/>
    <m/>
    <n v="83"/>
    <n v="0"/>
    <n v="7"/>
    <n v="8185.9933360000005"/>
    <n v="3663.0048400000001"/>
    <n v="0.44747224797887375"/>
    <s v="31% - 50%"/>
    <n v="1.0657061909757237E-4"/>
    <s v="N.D."/>
    <s v="N.D."/>
    <s v="N.D."/>
    <n v="0.9493977346460436"/>
    <s v="Aceptable"/>
    <n v="1"/>
    <s v="Candidato"/>
    <n v="0"/>
    <n v="0"/>
  </r>
  <r>
    <n v="15646"/>
    <s v="15646"/>
    <x v="10"/>
    <x v="10"/>
    <s v="SAMACÁ"/>
    <n v="65.828766666666695"/>
    <n v="54.97"/>
    <n v="76.64"/>
    <n v="80.33"/>
    <n v="65.237164034413155"/>
    <n v="74.922606591823907"/>
    <n v="77.853580468006854"/>
    <n v="81.096100000000007"/>
    <n v="69.442191666666673"/>
    <n v="74.777362773560981"/>
    <n v="72.109777220113827"/>
    <n v="47.943429937272228"/>
    <n v="52.056570062727772"/>
    <n v="0.56850913056454999"/>
    <n v="0"/>
    <n v="40.995066752610306"/>
    <n v="2"/>
    <n v="2"/>
    <b v="1"/>
    <x v="3"/>
    <n v="67.607437327280849"/>
    <n v="0.58125285832152962"/>
    <n v="39.29701619027567"/>
    <n v="2"/>
    <n v="0"/>
    <n v="4.5023398928329783"/>
    <n v="-1.2743727756979628E-2"/>
    <n v="1.698050562334636"/>
    <n v="2"/>
    <b v="1"/>
    <n v="0"/>
    <n v="0.9741882058902549"/>
    <n v="65.862368074701578"/>
    <n v="0.65324278729266649"/>
    <n v="1"/>
    <n v="-1"/>
    <n v="65.324278729266652"/>
    <n v="3"/>
    <n v="-0.40567907532570491"/>
    <b v="0"/>
    <s v="Cambio en corte"/>
    <n v="1"/>
    <n v="-1"/>
    <n v="0"/>
    <n v="0"/>
    <n v="0"/>
    <n v="0"/>
    <n v="0"/>
    <s v="Intermedio"/>
    <n v="6"/>
    <s v="Fuera SC"/>
    <m/>
    <s v="No"/>
    <s v="No"/>
    <n v="21.5"/>
    <n v="9.2822419216471257"/>
    <n v="18.954529654741389"/>
    <s v="Medio"/>
    <n v="0.86637828565238351"/>
    <s v="Medio Bajo"/>
    <n v="48330.349462999999"/>
    <n v="17126.272529999998"/>
    <n v="19327"/>
    <n v="2.5006648451906659"/>
    <n v="0.88613196719615039"/>
    <m/>
    <m/>
    <m/>
    <m/>
    <m/>
    <m/>
    <m/>
    <n v="79"/>
    <n v="0"/>
    <n v="7"/>
    <n v="16731.627647000001"/>
    <n v="8552.2872129999996"/>
    <n v="0.51114496410236776"/>
    <s v="31% - 50%"/>
    <n v="2.4881827428588978E-4"/>
    <s v="N.D."/>
    <s v="N.D."/>
    <s v="N.D."/>
    <n v="0.91559405762915724"/>
    <s v="Aceptable"/>
    <n v="3"/>
    <s v="Candidato"/>
    <n v="0"/>
    <n v="0"/>
  </r>
  <r>
    <n v="70702"/>
    <s v="70702"/>
    <x v="9"/>
    <x v="9"/>
    <s v="SAN JUAN DE BETULIA"/>
    <n v="55.595366666666699"/>
    <n v="28.44"/>
    <n v="21.04"/>
    <n v="21.02"/>
    <n v="47.722987820200018"/>
    <n v="39.884569870647155"/>
    <n v="50.935414735308768"/>
    <n v="51.682000000000002"/>
    <n v="31.523841666666673"/>
    <n v="47.556243106538986"/>
    <n v="39.540042386602828"/>
    <n v="47.385276885736964"/>
    <n v="52.614723114263036"/>
    <n v="0.57353250802836742"/>
    <n v="0"/>
    <n v="22.677499677536275"/>
    <n v="4"/>
    <n v="4"/>
    <b v="1"/>
    <x v="5"/>
    <n v="44.196154489342241"/>
    <n v="0.58212045507910326"/>
    <n v="25.727485564082258"/>
    <n v="4"/>
    <n v="0"/>
    <n v="-4.6561121027394137"/>
    <n v="-8.5879470507358446E-3"/>
    <n v="-3.0499858865459828"/>
    <n v="4"/>
    <b v="1"/>
    <n v="0"/>
    <n v="0.9741882058902549"/>
    <n v="43.055372449220854"/>
    <n v="0.36795131285735899"/>
    <n v="3"/>
    <n v="-1"/>
    <n v="36.795131285735899"/>
    <n v="4"/>
    <n v="-0.40065569786188748"/>
    <b v="1"/>
    <s v="Efecto ponderador"/>
    <n v="3"/>
    <n v="-1"/>
    <n v="0"/>
    <n v="0"/>
    <n v="0"/>
    <n v="0"/>
    <n v="0"/>
    <s v="Intermedio"/>
    <n v="6"/>
    <s v="Fuera SC"/>
    <m/>
    <s v="No"/>
    <s v="No"/>
    <n v="44.8"/>
    <n v="25.396352809825085"/>
    <n v="44.31818181818182"/>
    <s v="Alto"/>
    <n v="2.7514530753867268"/>
    <s v="Medio Bajo"/>
    <n v="37548.380066999998"/>
    <n v="5402.4767637499999"/>
    <n v="14694"/>
    <n v="2.5553545710494077"/>
    <n v="0.3676654936538723"/>
    <m/>
    <m/>
    <m/>
    <m/>
    <m/>
    <m/>
    <m/>
    <n v="43"/>
    <n v="0"/>
    <n v="7"/>
    <n v="16802.617426000001"/>
    <n v="59.325251999999999"/>
    <n v="3.5307149175581067E-3"/>
    <s v="0% - 30%"/>
    <n v="1.7259952170195586E-6"/>
    <s v="N.D."/>
    <s v="N.D."/>
    <s v="N.D."/>
    <n v="0.90108370386175496"/>
    <s v="Aceptable"/>
    <n v="1"/>
    <s v="Candidato"/>
    <n v="0"/>
    <n v="0"/>
  </r>
  <r>
    <n v="13442"/>
    <s v="13442"/>
    <x v="8"/>
    <x v="8"/>
    <s v="MARÍA LA BAJA"/>
    <n v="55.512900000000002"/>
    <n v="39.74"/>
    <n v="49.6"/>
    <n v="39.33"/>
    <n v="59.871836650075537"/>
    <n v="43.984768894361437"/>
    <n v="43.983024534382189"/>
    <n v="57.729399999999998"/>
    <n v="46.045725000000004"/>
    <n v="51.392257519704792"/>
    <n v="48.718991259852402"/>
    <n v="47.84789496355895"/>
    <n v="52.15210503644105"/>
    <n v="0.56936894532796956"/>
    <n v="0"/>
    <n v="27.73908067106473"/>
    <n v="4"/>
    <n v="4"/>
    <b v="1"/>
    <x v="5"/>
    <n v="50.358310400434391"/>
    <n v="0.58220446167761986"/>
    <n v="29.31883299767939"/>
    <n v="3"/>
    <n v="-1"/>
    <n v="-1.6393191405819891"/>
    <n v="-1.28355163496503E-2"/>
    <n v="-1.5797523266146598"/>
    <n v="4"/>
    <b v="1"/>
    <s v="Efecto ponderador"/>
    <n v="0.9741882058902549"/>
    <n v="49.058472060663746"/>
    <n v="0.4430437611330606"/>
    <n v="3"/>
    <n v="-1"/>
    <n v="44.304376113306063"/>
    <n v="4"/>
    <n v="-0.40481926056228534"/>
    <b v="1"/>
    <s v="Efecto ponderador"/>
    <n v="3"/>
    <n v="-1"/>
    <n v="0"/>
    <n v="0"/>
    <n v="0"/>
    <n v="1"/>
    <n v="1"/>
    <s v="Intermedio"/>
    <n v="6"/>
    <s v="Fuera SC"/>
    <m/>
    <s v="No"/>
    <s v="No"/>
    <n v="63.2"/>
    <n v="46.598707001169437"/>
    <n v="0.66844018311491848"/>
    <s v="Sin riesgo"/>
    <n v="4.4272204677370466"/>
    <s v="Medio Bajo"/>
    <n v="93426.356520000001"/>
    <n v="12625.295862000001"/>
    <n v="48970"/>
    <n v="1.9078283953440882"/>
    <n v="0.25781694633449054"/>
    <m/>
    <m/>
    <m/>
    <m/>
    <m/>
    <m/>
    <m/>
    <n v="12"/>
    <n v="0"/>
    <n v="7"/>
    <n v="56101.990099000002"/>
    <n v="1794.328162"/>
    <n v="3.1983324634895317E-2"/>
    <s v="0% - 30%"/>
    <n v="5.2203770249058459E-5"/>
    <s v="N.D."/>
    <s v="N.D."/>
    <s v="N.D."/>
    <n v="0.89335543459142519"/>
    <s v="Aceptable"/>
    <n v="1"/>
    <s v="Candidato"/>
    <n v="0"/>
    <n v="0"/>
  </r>
  <r>
    <n v="52083"/>
    <s v="52083"/>
    <x v="18"/>
    <x v="18"/>
    <s v="BELÉN"/>
    <n v="50.876033333333297"/>
    <n v="47.02"/>
    <n v="37.89"/>
    <n v="54.49"/>
    <n v="59.15437231227957"/>
    <n v="48.307195313082303"/>
    <n v="56.282532975253226"/>
    <n v="56.545499999999997"/>
    <n v="47.569008333333329"/>
    <n v="55.072400150153776"/>
    <n v="51.320704241743556"/>
    <n v="48.091751123711148"/>
    <n v="51.908248876288852"/>
    <n v="0.56717423988659965"/>
    <n v="0"/>
    <n v="29.107781418755891"/>
    <n v="4"/>
    <n v="4"/>
    <b v="1"/>
    <x v="4"/>
    <n v="50.902538114365058"/>
    <n v="0.58181333790833323"/>
    <n v="29.615775608324888"/>
    <n v="3"/>
    <n v="0"/>
    <n v="0.41816612737849823"/>
    <n v="-1.4639098021733576E-2"/>
    <n v="-0.507994189568997"/>
    <n v="3"/>
    <b v="1"/>
    <n v="0"/>
    <n v="0.9741882058902549"/>
    <n v="49.588652280893612"/>
    <n v="0.4496757568255062"/>
    <n v="3"/>
    <n v="0"/>
    <n v="44.967575682550617"/>
    <n v="4"/>
    <n v="-0.40701396600365525"/>
    <b v="0"/>
    <n v="0"/>
    <n v="3"/>
    <n v="0"/>
    <n v="0"/>
    <n v="0"/>
    <n v="0"/>
    <n v="0"/>
    <n v="0"/>
    <s v="Intermedio"/>
    <n v="6"/>
    <s v="Fuera SC"/>
    <m/>
    <s v="No"/>
    <s v="Si"/>
    <n v="34.1"/>
    <n v="13.370239892635464"/>
    <n v="55.088816200354962"/>
    <s v="Alto"/>
    <n v="1.6175087830242174"/>
    <s v="Medio Bajo"/>
    <n v="24648.446348000001"/>
    <n v="2911.3125235000002"/>
    <n v="6288"/>
    <n v="3.9199183123409673"/>
    <n v="0.46299499419529266"/>
    <m/>
    <m/>
    <m/>
    <m/>
    <m/>
    <m/>
    <m/>
    <n v="69"/>
    <n v="0"/>
    <n v="7"/>
    <n v="4187.5394310000001"/>
    <n v="1892.4467179999999"/>
    <n v="0.45192331897590671"/>
    <s v="31% - 50%"/>
    <n v="5.505840891720715E-5"/>
    <s v="N.D."/>
    <s v="N.D."/>
    <s v="N.D."/>
    <n v="0.91367550310060963"/>
    <s v="Aceptable"/>
    <n v="1"/>
    <s v="Candidato"/>
    <n v="0"/>
    <n v="0"/>
  </r>
  <r>
    <n v="15764"/>
    <s v="15764"/>
    <x v="10"/>
    <x v="10"/>
    <s v="SORACÁ"/>
    <n v="53.5264666666667"/>
    <n v="56.47"/>
    <n v="85.65"/>
    <n v="76.06"/>
    <n v="63.784017512328901"/>
    <n v="52.369898176716049"/>
    <n v="66.626133260752198"/>
    <n v="57.828899999999997"/>
    <n v="67.926616666666675"/>
    <n v="60.152237237449292"/>
    <n v="64.03942695205798"/>
    <n v="48.096658151924395"/>
    <n v="51.903341848075605"/>
    <n v="0.56713007663268045"/>
    <n v="0"/>
    <n v="36.318685114833585"/>
    <n v="3"/>
    <n v="3"/>
    <b v="1"/>
    <x v="3"/>
    <n v="59.819775120765989"/>
    <n v="0.58069403138297859"/>
    <n v="34.736986371300809"/>
    <n v="3"/>
    <n v="1"/>
    <n v="4.2196518312919906"/>
    <n v="-1.3563954750298146E-2"/>
    <n v="1.5816987435327761"/>
    <n v="2"/>
    <b v="1"/>
    <s v="Efecto ponderador"/>
    <n v="0.9741882058902549"/>
    <n v="58.275719401657526"/>
    <n v="0.55834180947438417"/>
    <n v="2"/>
    <n v="0"/>
    <n v="55.834180947438419"/>
    <n v="3"/>
    <n v="-0.40705812925757445"/>
    <b v="0"/>
    <n v="0"/>
    <n v="2"/>
    <n v="0"/>
    <n v="0"/>
    <n v="0"/>
    <n v="0"/>
    <n v="0"/>
    <n v="0"/>
    <s v="Intermedio"/>
    <n v="6"/>
    <s v="Fuera SC"/>
    <m/>
    <s v="No"/>
    <s v="No"/>
    <n v="38.5"/>
    <n v="11.300785250938887"/>
    <n v="23.451027860475449"/>
    <s v="Medio"/>
    <n v="1.3397356282777912"/>
    <s v="Medio Bajo"/>
    <n v="18236.462603"/>
    <n v="4373.7244612499999"/>
    <n v="6179"/>
    <n v="2.9513614829260399"/>
    <n v="0.70783694145492793"/>
    <m/>
    <m/>
    <m/>
    <m/>
    <m/>
    <m/>
    <m/>
    <n v="79"/>
    <n v="0"/>
    <n v="7"/>
    <n v="5566.0549199999996"/>
    <n v="874.73641699999996"/>
    <n v="0.15715554905088863"/>
    <s v="0% - 30%"/>
    <n v="2.544937983398412E-5"/>
    <s v="N.D."/>
    <s v="N.D."/>
    <s v="N.D."/>
    <n v="0.95695541325982703"/>
    <s v="Aceptable"/>
    <n v="2"/>
    <s v="Candidato"/>
    <n v="0"/>
    <n v="0"/>
  </r>
  <r>
    <n v="13647"/>
    <s v="13647"/>
    <x v="8"/>
    <x v="8"/>
    <s v="SAN ESTANISLAO"/>
    <n v="38.632666666666701"/>
    <n v="25.92"/>
    <n v="23.8"/>
    <n v="29.51"/>
    <n v="52.045784006391351"/>
    <n v="59.499988011420456"/>
    <n v="55.010445237026055"/>
    <n v="62.454599999999999"/>
    <n v="29.465666666666678"/>
    <n v="57.252704313709465"/>
    <n v="43.359185490188068"/>
    <n v="47.168273322923902"/>
    <n v="52.831726677076098"/>
    <n v="0.57548554009368491"/>
    <n v="0"/>
    <n v="24.952584279843148"/>
    <n v="4"/>
    <n v="4"/>
    <b v="1"/>
    <x v="5"/>
    <n v="43.864797943856331"/>
    <n v="0.58131378019388347"/>
    <n v="25.499211510184011"/>
    <n v="4"/>
    <n v="0"/>
    <n v="-0.50561245366826313"/>
    <n v="-5.8282401001985562E-3"/>
    <n v="-0.54662723034086369"/>
    <n v="4"/>
    <b v="1"/>
    <n v="0"/>
    <n v="0.9741882058902549"/>
    <n v="42.732568810663942"/>
    <n v="0.3639133796061203"/>
    <n v="3"/>
    <n v="-1"/>
    <n v="36.391337960612027"/>
    <n v="4"/>
    <n v="-0.39870266579656999"/>
    <b v="1"/>
    <s v="Efecto ponderador"/>
    <n v="4"/>
    <n v="0"/>
    <n v="0"/>
    <n v="0"/>
    <n v="0"/>
    <n v="0"/>
    <n v="0"/>
    <s v="Intermedio"/>
    <n v="6"/>
    <s v="Fuera SC"/>
    <m/>
    <s v="No"/>
    <s v="Si"/>
    <n v="50.7"/>
    <n v="32.855067199418819"/>
    <n v="12.586"/>
    <s v="Bajo"/>
    <n v="1.4094879417920874"/>
    <s v="Medio Bajo"/>
    <n v="47312.598489000004"/>
    <n v="6850.9272309999997"/>
    <n v="21053"/>
    <n v="2.2473091003182448"/>
    <n v="0.32541334873889705"/>
    <m/>
    <m/>
    <m/>
    <m/>
    <m/>
    <m/>
    <m/>
    <n v="48"/>
    <n v="0"/>
    <n v="7"/>
    <n v="21151.133825000001"/>
    <n v="7441.6526670000003"/>
    <n v="0.35183232863876979"/>
    <s v="31% - 50%"/>
    <n v="2.165057286223216E-4"/>
    <n v="202.64389299999999"/>
    <n v="9.5807579242149672E-3"/>
    <s v="0% - 30%"/>
    <n v="0.91608767550438053"/>
    <s v="Aceptable"/>
    <n v="2"/>
    <s v="Candidato"/>
    <n v="0"/>
    <n v="0"/>
  </r>
  <r>
    <n v="52585"/>
    <s v="52585"/>
    <x v="18"/>
    <x v="18"/>
    <s v="PUPIALES"/>
    <n v="67.061066666666704"/>
    <n v="62.75"/>
    <n v="59.89"/>
    <n v="63.69"/>
    <n v="52.296704114096897"/>
    <n v="55.3942814531257"/>
    <n v="56.307600046364662"/>
    <n v="58.581899999999997"/>
    <n v="63.347766666666672"/>
    <n v="55.645121403396814"/>
    <n v="59.496444035031743"/>
    <n v="48.157693699581543"/>
    <n v="51.842306300418457"/>
    <n v="0.56658075670376618"/>
    <n v="0"/>
    <n v="33.709540282551558"/>
    <n v="3"/>
    <n v="3"/>
    <b v="1"/>
    <x v="4"/>
    <n v="60.342172161441738"/>
    <n v="0.5811888622937551"/>
    <n v="35.070198386842222"/>
    <n v="2"/>
    <n v="-1"/>
    <n v="-0.84572812640999473"/>
    <n v="-1.4608105589988929E-2"/>
    <n v="-1.360658104290664"/>
    <n v="3"/>
    <b v="1"/>
    <s v="Efecto ponderador"/>
    <n v="0.9741882058902549"/>
    <n v="58.784632437475814"/>
    <n v="0.56470777510756642"/>
    <n v="2"/>
    <n v="-1"/>
    <n v="56.470777510756641"/>
    <n v="4"/>
    <n v="-0.40760744918648872"/>
    <b v="0"/>
    <s v="Cambio en corte"/>
    <n v="2"/>
    <n v="-1"/>
    <n v="0"/>
    <n v="0"/>
    <n v="0"/>
    <n v="0"/>
    <n v="0"/>
    <s v="Intermedio"/>
    <n v="6"/>
    <s v="Fuera SC"/>
    <m/>
    <s v="No"/>
    <s v="Si"/>
    <n v="32.200000000000003"/>
    <n v="14.709999391394316"/>
    <n v="40.168641886646483"/>
    <s v="Alto"/>
    <n v="7.3840537565528637"/>
    <s v="Medio"/>
    <n v="39915.701655999997"/>
    <n v="4449.0610930000003"/>
    <n v="17327"/>
    <n v="2.3036706675131295"/>
    <n v="0.25677042148092571"/>
    <m/>
    <m/>
    <m/>
    <m/>
    <m/>
    <m/>
    <m/>
    <n v="28"/>
    <n v="0"/>
    <n v="7"/>
    <n v="12980.373899"/>
    <n v="3071.2144149999999"/>
    <n v="0.23660446447051917"/>
    <s v="0% - 30%"/>
    <n v="8.9353204782535462E-5"/>
    <s v="N.D."/>
    <s v="N.D."/>
    <s v="N.D."/>
    <n v="0.89659180558410112"/>
    <s v="Aceptable"/>
    <n v="2"/>
    <s v="Candidato"/>
    <n v="0"/>
    <n v="0"/>
  </r>
  <r>
    <n v="76823"/>
    <s v="76823"/>
    <x v="3"/>
    <x v="3"/>
    <s v="TORO"/>
    <n v="52.986800000000002"/>
    <n v="58.27"/>
    <n v="55.32"/>
    <n v="52.06"/>
    <n v="59.686889617856657"/>
    <n v="55.785243465562772"/>
    <n v="53.916781657365689"/>
    <n v="51.241300000000003"/>
    <n v="54.659199999999998"/>
    <n v="55.157553685196284"/>
    <n v="54.908376842598145"/>
    <n v="48.137784801664402"/>
    <n v="51.862215198335598"/>
    <n v="0.56675993678502035"/>
    <n v="0"/>
    <n v="31.119868188279"/>
    <n v="3"/>
    <n v="3"/>
    <b v="1"/>
    <x v="4"/>
    <n v="54.866331070005032"/>
    <n v="0.58043183198219162"/>
    <n v="31.846165057104461"/>
    <n v="3"/>
    <n v="0"/>
    <n v="4.2045772593112929E-2"/>
    <n v="-1.3671895197171269E-2"/>
    <n v="-0.72629686882546096"/>
    <n v="3"/>
    <b v="1"/>
    <n v="0"/>
    <n v="0.9741882058902549"/>
    <n v="53.45013262886895"/>
    <n v="0.4979788055947203"/>
    <n v="2"/>
    <n v="-1"/>
    <n v="49.797880559472027"/>
    <n v="4"/>
    <n v="-0.40742826910523455"/>
    <b v="0"/>
    <s v="Cambio en corte"/>
    <n v="2"/>
    <n v="-1"/>
    <n v="0"/>
    <n v="0"/>
    <n v="0"/>
    <n v="0"/>
    <n v="0"/>
    <s v="Intermedio"/>
    <n v="6"/>
    <s v="Fuera SC"/>
    <m/>
    <s v="No"/>
    <s v="No"/>
    <n v="32.1"/>
    <n v="10.855154126615844"/>
    <n v="11.779532567998858"/>
    <s v="Bajo"/>
    <n v="9.9450309166628088"/>
    <s v="Medio"/>
    <n v="29746.255064000001"/>
    <n v="5704.8398683000005"/>
    <n v="14973"/>
    <n v="1.9866596583183063"/>
    <n v="0.38100847313831565"/>
    <m/>
    <m/>
    <m/>
    <m/>
    <m/>
    <m/>
    <m/>
    <n v="91"/>
    <n v="0"/>
    <n v="7"/>
    <n v="17575.564189000001"/>
    <n v="2757.3645280000001"/>
    <n v="0.15688625971539216"/>
    <s v="0% - 30%"/>
    <n v="8.0222128460699887E-5"/>
    <s v="N.D."/>
    <s v="N.D."/>
    <s v="N.D."/>
    <n v="0.93085555607332582"/>
    <s v="Aceptable"/>
    <n v="1"/>
    <s v="Candidato"/>
    <n v="0"/>
    <n v="0"/>
  </r>
  <r>
    <n v="25491"/>
    <s v="25491"/>
    <x v="5"/>
    <x v="5"/>
    <s v="NOCAIMA"/>
    <n v="59.719466666666698"/>
    <n v="60.23"/>
    <n v="58.5"/>
    <n v="78.84"/>
    <n v="67.036676414616394"/>
    <n v="49.474711132627959"/>
    <n v="64.980280418926938"/>
    <n v="49.1995"/>
    <n v="64.322366666666682"/>
    <n v="57.672791991542823"/>
    <n v="60.997579329104752"/>
    <n v="50.031157979645272"/>
    <n v="49.968842020354728"/>
    <n v="0.5497195781831925"/>
    <n v="0"/>
    <n v="33.531563578991289"/>
    <n v="3"/>
    <n v="3"/>
    <b v="1"/>
    <x v="4"/>
    <n v="58.835380833726902"/>
    <n v="0.57817916315731344"/>
    <n v="34.017391254486057"/>
    <n v="3"/>
    <n v="0"/>
    <n v="2.1621984953778508"/>
    <n v="-2.8459584974120933E-2"/>
    <n v="-0.48582767549476813"/>
    <n v="3"/>
    <b v="1"/>
    <n v="0"/>
    <n v="0.9741882058902549"/>
    <n v="57.316734097278299"/>
    <n v="0.5463459141823942"/>
    <n v="2"/>
    <n v="-1"/>
    <n v="54.634591418239417"/>
    <n v="4"/>
    <n v="-0.4244686277070624"/>
    <b v="0"/>
    <s v="Cambio en corte"/>
    <n v="2"/>
    <n v="-1"/>
    <n v="0"/>
    <n v="0"/>
    <n v="0"/>
    <n v="0"/>
    <n v="0"/>
    <s v="Intermedio"/>
    <n v="6"/>
    <s v="Fuera SC"/>
    <m/>
    <s v="No"/>
    <s v="No"/>
    <n v="26.2"/>
    <n v="10.916442048517521"/>
    <n v="35.045253116865318"/>
    <s v="Alto"/>
    <n v="2.4059939810066524"/>
    <s v="Medio Bajo"/>
    <n v="16837.807398000001"/>
    <n v="6030.5032468500003"/>
    <n v="5654"/>
    <n v="2.9780345592500885"/>
    <n v="1.0665905990183941"/>
    <m/>
    <m/>
    <m/>
    <m/>
    <m/>
    <m/>
    <m/>
    <n v="37"/>
    <n v="0"/>
    <n v="7"/>
    <n v="6886.6395320000001"/>
    <n v="3574.3213740000001"/>
    <n v="0.51902257369378457"/>
    <s v="51% - 70%"/>
    <n v="1.0399048276465437E-4"/>
    <s v="N.D."/>
    <s v="N.D."/>
    <s v="N.D."/>
    <n v="0.93587350420669702"/>
    <s v="Aceptable"/>
    <n v="2"/>
    <s v="Candidato"/>
    <n v="0"/>
    <n v="0"/>
  </r>
  <r>
    <n v="41298"/>
    <s v="41298"/>
    <x v="19"/>
    <x v="19"/>
    <s v="GARZÓN"/>
    <n v="61.975266666666698"/>
    <n v="70.319999999999993"/>
    <n v="75.87"/>
    <n v="69.819999999999993"/>
    <n v="57.721008105760973"/>
    <n v="59.242321975664879"/>
    <n v="60.751243350670492"/>
    <n v="63.148800000000001"/>
    <n v="69.496316666666672"/>
    <n v="60.215843358024088"/>
    <n v="64.856080012345387"/>
    <n v="47.936245661754441"/>
    <n v="52.063754338245559"/>
    <n v="0.56857378904421008"/>
    <n v="0"/>
    <n v="36.875467155173673"/>
    <n v="3"/>
    <n v="3"/>
    <b v="1"/>
    <x v="3"/>
    <n v="62.059424360017672"/>
    <n v="0.58081626532655473"/>
    <n v="36.045123085101281"/>
    <n v="2"/>
    <n v="0"/>
    <n v="2.7966556523277148"/>
    <n v="-1.224247628234465E-2"/>
    <n v="0.83034407007239253"/>
    <n v="2"/>
    <b v="1"/>
    <n v="0"/>
    <n v="0.9741882058902549"/>
    <n v="60.457559275867595"/>
    <n v="0.58563432642474056"/>
    <n v="2"/>
    <n v="0"/>
    <n v="58.563432642474055"/>
    <n v="3"/>
    <n v="-0.40561441684604482"/>
    <b v="0"/>
    <n v="0"/>
    <n v="2"/>
    <n v="0"/>
    <n v="0"/>
    <n v="0"/>
    <n v="0"/>
    <n v="0"/>
    <n v="0"/>
    <s v="Intermedio"/>
    <n v="5"/>
    <s v="Fuera SC"/>
    <m/>
    <s v="No"/>
    <s v="Si"/>
    <n v="32"/>
    <n v="12.370060778640212"/>
    <n v="0"/>
    <s v="Sin riesgo"/>
    <n v="2.0873060200287421"/>
    <s v="Medio Bajo"/>
    <n v="135590.10673699999"/>
    <n v="30609.209335449999"/>
    <n v="76079"/>
    <n v="1.7822277729333982"/>
    <n v="0.40233453824905691"/>
    <m/>
    <m/>
    <m/>
    <m/>
    <m/>
    <m/>
    <m/>
    <n v="30"/>
    <n v="1"/>
    <n v="6"/>
    <n v="60640.399485000002"/>
    <n v="21117.263771000002"/>
    <n v="0.3482375437883381"/>
    <s v="31% - 50%"/>
    <n v="6.1438080811332093E-4"/>
    <s v="N.D."/>
    <s v="N.D."/>
    <s v="N.D."/>
    <n v="0.93705168975501829"/>
    <s v="Aceptable"/>
    <n v="3"/>
    <s v="Candidato"/>
    <n v="0"/>
    <n v="0"/>
  </r>
  <r>
    <n v="52685"/>
    <s v="52685"/>
    <x v="18"/>
    <x v="18"/>
    <s v="SAN BERNARDO"/>
    <n v="67.339933333333306"/>
    <n v="56.2"/>
    <n v="48.52"/>
    <n v="48.88"/>
    <n v="55.73398244037773"/>
    <n v="57.000436922869241"/>
    <n v="62.770349796707933"/>
    <n v="46.729900000000001"/>
    <n v="55.234983333333325"/>
    <n v="55.558667289988719"/>
    <n v="55.396825311661019"/>
    <n v="48.165752195614573"/>
    <n v="51.834247804385427"/>
    <n v="0.56650823023946884"/>
    <n v="0"/>
    <n v="31.382757468194097"/>
    <n v="3"/>
    <n v="3"/>
    <b v="1"/>
    <x v="4"/>
    <n v="59.250594195641384"/>
    <n v="0.58043699123519155"/>
    <n v="34.391236623815388"/>
    <n v="3"/>
    <n v="0"/>
    <n v="-3.853768883980365"/>
    <n v="-1.3928760995722711E-2"/>
    <n v="-3.0084791556212913"/>
    <n v="3"/>
    <b v="1"/>
    <n v="0"/>
    <n v="0.9741882058902549"/>
    <n v="57.72123005738343"/>
    <n v="0.55140573226437728"/>
    <n v="2"/>
    <n v="-1"/>
    <n v="55.140573226437731"/>
    <n v="4"/>
    <n v="-0.40767997565078606"/>
    <b v="0"/>
    <s v="Cambio en corte"/>
    <n v="2"/>
    <n v="-1"/>
    <n v="0"/>
    <n v="0"/>
    <n v="0"/>
    <n v="0"/>
    <n v="0"/>
    <s v="Intermedio"/>
    <n v="6"/>
    <s v="Fuera SC"/>
    <m/>
    <s v="No"/>
    <s v="No"/>
    <n v="59.4"/>
    <n v="21.241830065359476"/>
    <n v="28.245705792893688"/>
    <s v="Medio"/>
    <n v="3.5835080222551605"/>
    <s v="Medio Bajo"/>
    <n v="21463.295608"/>
    <n v="3287.0295274999999"/>
    <n v="9192"/>
    <n v="2.3349973463881635"/>
    <n v="0.35759677192123585"/>
    <m/>
    <m/>
    <m/>
    <m/>
    <m/>
    <m/>
    <m/>
    <n v="69"/>
    <n v="0"/>
    <n v="7"/>
    <n v="6521.0264029999998"/>
    <n v="2115.6474349999999"/>
    <n v="0.32443472917494948"/>
    <s v="31% - 50%"/>
    <n v="6.1552159166718701E-5"/>
    <s v="N.D."/>
    <s v="N.D."/>
    <s v="N.D."/>
    <n v="0.92616787733769868"/>
    <s v="Aceptable"/>
    <n v="1"/>
    <s v="Candidato"/>
    <n v="0"/>
    <n v="0"/>
  </r>
  <r>
    <n v="44279"/>
    <s v="44279"/>
    <x v="21"/>
    <x v="21"/>
    <s v="FONSECA"/>
    <n v="73.132900000000006"/>
    <n v="78.22"/>
    <n v="47.82"/>
    <n v="40.14"/>
    <n v="63.104481900175777"/>
    <n v="54.580520918253875"/>
    <n v="68.985426608880488"/>
    <n v="66.813000000000002"/>
    <n v="59.828225000000003"/>
    <n v="63.370857356827528"/>
    <n v="61.599541178413766"/>
    <n v="48.005843816002496"/>
    <n v="51.994156183997504"/>
    <n v="0.56794740565597757"/>
    <n v="0"/>
    <n v="34.985299601878658"/>
    <n v="3"/>
    <n v="3"/>
    <b v="1"/>
    <x v="4"/>
    <n v="63.156789091906042"/>
    <n v="0.57948211485263912"/>
    <n v="36.598229710279803"/>
    <n v="2"/>
    <n v="-1"/>
    <n v="-1.5572479134922759"/>
    <n v="-1.1534709196661552E-2"/>
    <n v="-1.6129301084011445"/>
    <n v="2"/>
    <b v="0"/>
    <s v="Cambio en corte"/>
    <n v="0.9741882058902549"/>
    <n v="61.52659905523317"/>
    <n v="0.59900688719045836"/>
    <n v="2"/>
    <n v="-1"/>
    <n v="59.900688719045839"/>
    <n v="4"/>
    <n v="-0.40624080023427733"/>
    <b v="0"/>
    <s v="Cambio en corte"/>
    <n v="2"/>
    <n v="-1"/>
    <n v="0"/>
    <n v="0"/>
    <n v="0"/>
    <n v="1"/>
    <n v="1"/>
    <s v="Intermedio"/>
    <n v="6"/>
    <s v="Fuera SC"/>
    <m/>
    <s v="No"/>
    <s v="No"/>
    <n v="36"/>
    <n v="19.428459485270711"/>
    <n v="7.9339753374116704"/>
    <s v="Bajo"/>
    <n v="1.5685237515518542"/>
    <s v="Medio Bajo"/>
    <n v="122152.96357599999"/>
    <n v="12158.533734000001"/>
    <n v="53775"/>
    <n v="2.2715567378149695"/>
    <n v="0.22610011592747561"/>
    <m/>
    <m/>
    <m/>
    <m/>
    <m/>
    <m/>
    <m/>
    <n v="76"/>
    <n v="0"/>
    <n v="7"/>
    <n v="47251.710445999997"/>
    <n v="30995.219163000002"/>
    <n v="0.6559597286625598"/>
    <s v="51% - 70%"/>
    <n v="9.0176776705155784E-4"/>
    <n v="1279.6990499999999"/>
    <n v="2.7082597390044965E-2"/>
    <s v="0% - 30%"/>
    <n v="0.89763400380260894"/>
    <s v="Aceptable"/>
    <n v="2"/>
    <s v="Candidato"/>
    <n v="1"/>
    <s v="Zona de Fronteras"/>
  </r>
  <r>
    <n v="54172"/>
    <s v="54172"/>
    <x v="12"/>
    <x v="12"/>
    <s v="CHINÁCOTA"/>
    <n v="82.559899999999999"/>
    <n v="90.28"/>
    <n v="88.45"/>
    <n v="85.65"/>
    <n v="54.300280184952399"/>
    <n v="56.010500236598602"/>
    <n v="63.934938122387734"/>
    <n v="56.838999999999999"/>
    <n v="86.734974999999991"/>
    <n v="57.77117963598468"/>
    <n v="72.253077317992336"/>
    <n v="47.580410919482233"/>
    <n v="52.419589080517767"/>
    <n v="0.57177630172465999"/>
    <n v="0"/>
    <n v="41.312597337107576"/>
    <n v="2"/>
    <n v="2"/>
    <b v="1"/>
    <x v="3"/>
    <n v="69.850070539898155"/>
    <n v="0.5805376446416074"/>
    <n v="40.550595429282602"/>
    <n v="2"/>
    <n v="0"/>
    <n v="2.4030067780941806"/>
    <n v="-8.7613429169474122E-3"/>
    <n v="0.76200190782497401"/>
    <n v="2"/>
    <b v="1"/>
    <n v="0"/>
    <n v="0.9741882058902549"/>
    <n v="68.047114900571131"/>
    <n v="0.68057166714406714"/>
    <n v="1"/>
    <n v="-1"/>
    <n v="68.057166714406719"/>
    <n v="3"/>
    <n v="-0.40241190416559491"/>
    <b v="0"/>
    <s v="Cambio en corte"/>
    <n v="2"/>
    <n v="0"/>
    <n v="0"/>
    <n v="0"/>
    <n v="0"/>
    <n v="0"/>
    <n v="0"/>
    <s v="Intermedio"/>
    <n v="6"/>
    <s v="Fuera SC"/>
    <m/>
    <s v="No"/>
    <s v="No"/>
    <n v="30.3"/>
    <n v="15.116570569064928"/>
    <n v="24.481193583606284"/>
    <s v="Medio"/>
    <n v="1.5112867580886942"/>
    <s v="Medio Bajo"/>
    <n v="38266.574941999999"/>
    <n v="13888.39466"/>
    <n v="20021"/>
    <n v="1.9113218591478947"/>
    <n v="0.69369135707507112"/>
    <m/>
    <m/>
    <m/>
    <m/>
    <m/>
    <m/>
    <m/>
    <n v="24"/>
    <n v="0"/>
    <n v="7"/>
    <n v="16589.175975999999"/>
    <n v="9105.3504690000009"/>
    <n v="0.5488729809227989"/>
    <s v="51% - 70%"/>
    <n v="2.6490896926625439E-4"/>
    <s v="N.D."/>
    <s v="N.D."/>
    <s v="N.D."/>
    <n v="0.81481737530418963"/>
    <s v="Crítico bajo"/>
    <n v="2"/>
    <s v="Candidato"/>
    <n v="1"/>
    <s v="Zona de Fronteras"/>
  </r>
  <r>
    <n v="15104"/>
    <s v="15104"/>
    <x v="10"/>
    <x v="10"/>
    <s v="BOYACÁ"/>
    <n v="75.767766666666702"/>
    <n v="80.459999999999994"/>
    <n v="76.14"/>
    <n v="66.63"/>
    <n v="60.587412665377201"/>
    <n v="67.80703573778527"/>
    <n v="60.460422558621616"/>
    <n v="67.406999999999996"/>
    <n v="74.749441666666669"/>
    <n v="64.065467740446024"/>
    <n v="69.40745470355634"/>
    <n v="48.310227524668065"/>
    <n v="51.689772475331935"/>
    <n v="0.56520795227798737"/>
    <n v="0"/>
    <n v="39.229645345824238"/>
    <n v="2"/>
    <n v="2"/>
    <b v="1"/>
    <x v="3"/>
    <n v="68.980584515019117"/>
    <n v="0.57791061388500009"/>
    <n v="39.864611943220829"/>
    <n v="2"/>
    <n v="0"/>
    <n v="0.42687018853722236"/>
    <n v="-1.2702661607012722E-2"/>
    <n v="-0.63496659739659123"/>
    <n v="2"/>
    <b v="1"/>
    <n v="0"/>
    <n v="0.9741882058902549"/>
    <n v="67.200071869947578"/>
    <n v="0.66997605169848162"/>
    <n v="1"/>
    <n v="-1"/>
    <n v="66.997605169848157"/>
    <n v="3"/>
    <n v="-0.40898025361226753"/>
    <b v="0"/>
    <s v="Cambio en corte"/>
    <n v="2"/>
    <n v="0"/>
    <n v="0"/>
    <n v="0"/>
    <n v="0"/>
    <n v="0"/>
    <n v="0"/>
    <s v="Intermedio"/>
    <n v="6"/>
    <s v="Fuera SC"/>
    <m/>
    <s v="No"/>
    <s v="No"/>
    <n v="39.700000000000003"/>
    <n v="11.225402504472273"/>
    <n v="38.748169114047975"/>
    <s v="Alto"/>
    <n v="0"/>
    <s v="Bajo"/>
    <n v="18343.025986000001"/>
    <n v="4171.4432256500004"/>
    <n v="5297"/>
    <n v="3.4629084360959035"/>
    <n v="0.78751052022843127"/>
    <m/>
    <m/>
    <m/>
    <m/>
    <m/>
    <m/>
    <m/>
    <n v="0"/>
    <n v="0"/>
    <n v="7"/>
    <n v="4794.1120870000004"/>
    <n v="798.40022399999998"/>
    <n v="0.16653766318167434"/>
    <s v="0% - 30%"/>
    <n v="2.3228472217721792E-5"/>
    <s v="N.D."/>
    <s v="N.D."/>
    <s v="N.D."/>
    <n v="0.970083810322107"/>
    <s v="Aceptable"/>
    <n v="3"/>
    <s v="Candidato"/>
    <n v="0"/>
    <n v="0"/>
  </r>
  <r>
    <n v="15516"/>
    <s v="15516"/>
    <x v="10"/>
    <x v="10"/>
    <s v="PAIPA"/>
    <n v="83.654466666666707"/>
    <n v="83.95"/>
    <n v="68.06"/>
    <n v="82.04"/>
    <n v="74.278053702437575"/>
    <n v="68.672628394533646"/>
    <n v="69.487966084375856"/>
    <n v="63.533099999999997"/>
    <n v="79.426116666666687"/>
    <n v="68.99293704533676"/>
    <n v="74.20952685600173"/>
    <n v="47.899653690911379"/>
    <n v="52.100346309088621"/>
    <n v="0.56890311678179761"/>
    <n v="0"/>
    <n v="42.218031123281897"/>
    <n v="2"/>
    <n v="2"/>
    <b v="1"/>
    <x v="3"/>
    <n v="73.132755070747095"/>
    <n v="0.5787610963585581"/>
    <n v="42.326393504467489"/>
    <n v="2"/>
    <n v="0"/>
    <n v="1.0767717852546355"/>
    <n v="-9.8579795767604894E-3"/>
    <n v="-0.10836238118559294"/>
    <n v="2"/>
    <b v="1"/>
    <n v="0"/>
    <n v="0.9741882058902549"/>
    <n v="71.245067454182561"/>
    <n v="0.72057468263001101"/>
    <n v="1"/>
    <n v="-1"/>
    <n v="72.057468263001098"/>
    <n v="3"/>
    <n v="-0.40528508910845729"/>
    <b v="0"/>
    <s v="Cambio en corte"/>
    <n v="1"/>
    <n v="-1"/>
    <n v="0"/>
    <n v="1"/>
    <n v="0"/>
    <n v="0"/>
    <n v="0"/>
    <s v="Intermedio"/>
    <n v="5"/>
    <s v="Fuera SC"/>
    <m/>
    <s v="No"/>
    <s v="No"/>
    <n v="16.2"/>
    <n v="5.1162491558671253"/>
    <n v="9.1659269858263137"/>
    <s v="Bajo"/>
    <n v="0.23587783998061293"/>
    <s v="Medio Bajo"/>
    <n v="67680.088185999994"/>
    <n v="29312.056411099999"/>
    <n v="37880"/>
    <n v="1.7866971538014782"/>
    <n v="0.77381352722016894"/>
    <m/>
    <m/>
    <m/>
    <m/>
    <m/>
    <m/>
    <m/>
    <n v="21"/>
    <n v="0"/>
    <n v="6"/>
    <n v="30454.372267999999"/>
    <n v="9429.7177040000006"/>
    <n v="0.3096342824280866"/>
    <s v="31% - 50%"/>
    <n v="2.7434603488829101E-4"/>
    <s v="N.D."/>
    <s v="N.D."/>
    <s v="N.D."/>
    <n v="0.90188380651009203"/>
    <s v="Aceptable"/>
    <n v="3"/>
    <s v="Candidato"/>
    <n v="0"/>
    <n v="0"/>
  </r>
  <r>
    <n v="68406"/>
    <s v="68406"/>
    <x v="0"/>
    <x v="0"/>
    <s v="LEBRÍJA"/>
    <n v="61.915033333333298"/>
    <n v="63.96"/>
    <n v="66.55"/>
    <n v="71.47"/>
    <n v="60.602091033193553"/>
    <n v="67.944023716846502"/>
    <n v="71.621676497190691"/>
    <n v="60.393300000000004"/>
    <n v="65.973758333333336"/>
    <n v="65.140272811807691"/>
    <n v="65.557015572570521"/>
    <n v="47.066289970477406"/>
    <n v="52.933710029522594"/>
    <n v="0.57640339026570342"/>
    <n v="0"/>
    <n v="37.787286031731163"/>
    <n v="3"/>
    <n v="3"/>
    <b v="1"/>
    <x v="3"/>
    <n v="63.969140784772556"/>
    <n v="0.57970486305417912"/>
    <n v="37.083221998330082"/>
    <n v="2"/>
    <n v="0"/>
    <n v="1.5878747877979649"/>
    <n v="-3.3014727884757011E-3"/>
    <n v="0.7040640334010817"/>
    <n v="2"/>
    <b v="1"/>
    <n v="0"/>
    <n v="0.9741882058902549"/>
    <n v="62.317982493458707"/>
    <n v="0.60890625980588531"/>
    <n v="2"/>
    <n v="0"/>
    <n v="60.890625980588531"/>
    <n v="3"/>
    <n v="-0.39778481562455148"/>
    <b v="0"/>
    <n v="0"/>
    <n v="2"/>
    <n v="0"/>
    <n v="0"/>
    <n v="1"/>
    <n v="0"/>
    <n v="0"/>
    <n v="0"/>
    <s v="Intermedio"/>
    <n v="5"/>
    <s v="Fuera SC"/>
    <m/>
    <s v="No"/>
    <s v="No"/>
    <n v="27"/>
    <n v="10.215227333871402"/>
    <n v="7.1495304495617571"/>
    <s v="Bajo"/>
    <n v="3.8291345285467342"/>
    <s v="Medio Bajo"/>
    <n v="78845.063271999999"/>
    <n v="32457.5538829"/>
    <n v="50221"/>
    <n v="1.5699620332530215"/>
    <n v="0.64629445616176495"/>
    <m/>
    <m/>
    <m/>
    <m/>
    <m/>
    <m/>
    <m/>
    <n v="39"/>
    <n v="0"/>
    <n v="6"/>
    <n v="54946.776767000003"/>
    <n v="15660.448779"/>
    <n v="0.28501123633525616"/>
    <s v="0% - 30%"/>
    <n v="4.5562148963031434E-4"/>
    <s v="N.D."/>
    <s v="N.D."/>
    <s v="N.D."/>
    <n v="0.94492254234004247"/>
    <s v="Aceptable"/>
    <n v="3"/>
    <s v="Candidato"/>
    <n v="0"/>
    <n v="0"/>
  </r>
  <r>
    <n v="70823"/>
    <s v="70823"/>
    <x v="9"/>
    <x v="9"/>
    <s v="SAN JOSÉ DE TOLUVIEJO"/>
    <n v="53.316333333333297"/>
    <n v="55.28"/>
    <n v="62.93"/>
    <n v="11.57"/>
    <n v="36.995785519607047"/>
    <n v="59.117419057436386"/>
    <n v="62.637045812356362"/>
    <n v="53.225000000000001"/>
    <n v="45.774083333333323"/>
    <n v="52.993812597349951"/>
    <n v="49.383947965341633"/>
    <n v="48.016886624205355"/>
    <n v="51.983113375794645"/>
    <n v="0.56784802038215176"/>
    <n v="0"/>
    <n v="28.042577090774436"/>
    <n v="4"/>
    <n v="4"/>
    <b v="1"/>
    <x v="5"/>
    <n v="55.421279579858322"/>
    <n v="0.57781573017522436"/>
    <n v="32.023287127681087"/>
    <n v="3"/>
    <n v="-1"/>
    <n v="-6.0373316145166882"/>
    <n v="-9.9677097930725989E-3"/>
    <n v="-3.9807100369066504"/>
    <n v="3"/>
    <b v="0"/>
    <s v="Cambio en corte"/>
    <n v="0.9741882058902549"/>
    <n v="53.990756922044397"/>
    <n v="0.50474144563062462"/>
    <n v="2"/>
    <n v="-2"/>
    <n v="50.47414456306246"/>
    <n v="4"/>
    <n v="-0.40634018550810314"/>
    <b v="1"/>
    <s v="Efecto ponderador"/>
    <n v="3"/>
    <n v="-1"/>
    <n v="0"/>
    <n v="0"/>
    <n v="0"/>
    <n v="1"/>
    <n v="1"/>
    <s v="Rural"/>
    <n v="6"/>
    <s v="Fuera SC"/>
    <m/>
    <s v="No"/>
    <s v="No"/>
    <n v="45.8"/>
    <n v="30.649428443068935"/>
    <n v="52.573529411764703"/>
    <s v="Alto"/>
    <n v="13.440429231580591"/>
    <s v="Alto"/>
    <n v="61413.407734"/>
    <n v="11503.075579799999"/>
    <n v="23190"/>
    <n v="2.6482711398878829"/>
    <n v="0.49603603190168172"/>
    <m/>
    <m/>
    <m/>
    <m/>
    <m/>
    <m/>
    <m/>
    <n v="43"/>
    <n v="0"/>
    <n v="6"/>
    <n v="28470.232997999999"/>
    <n v="3319.332144"/>
    <n v="0.11658956722388536"/>
    <s v="0% - 30%"/>
    <n v="9.6571884839920716E-5"/>
    <n v="39.661135000000002"/>
    <n v="1.3930737764873983E-3"/>
    <s v="0% - 30%"/>
    <n v="0.89797470775068966"/>
    <s v="Aceptable"/>
    <n v="1"/>
    <s v="Candidato"/>
    <n v="0"/>
    <n v="0"/>
  </r>
  <r>
    <n v="41807"/>
    <s v="41807"/>
    <x v="19"/>
    <x v="19"/>
    <s v="TIMANÁ"/>
    <n v="67.644599999999997"/>
    <n v="22.46"/>
    <n v="22.47"/>
    <n v="80.33"/>
    <n v="62.335248005888658"/>
    <n v="60.991793489038713"/>
    <n v="62.125803926991736"/>
    <n v="50.6751"/>
    <n v="48.226150000000004"/>
    <n v="59.031986355479773"/>
    <n v="53.629068177739889"/>
    <n v="48.240900585881683"/>
    <n v="51.759099414118317"/>
    <n v="0.56583189472706485"/>
    <n v="0"/>
    <n v="30.345037259457502"/>
    <n v="3"/>
    <n v="3"/>
    <b v="1"/>
    <x v="4"/>
    <n v="52.338776260470709"/>
    <n v="0.57683440829434285"/>
    <n v="30.190807035058619"/>
    <n v="3"/>
    <n v="0"/>
    <n v="1.2902919172691796"/>
    <n v="-1.1002513567277994E-2"/>
    <n v="0.15423022439888356"/>
    <n v="3"/>
    <b v="1"/>
    <n v="0"/>
    <n v="0.9741882058902549"/>
    <n v="50.987818543679424"/>
    <n v="0.46717785191269678"/>
    <n v="3"/>
    <n v="0"/>
    <n v="46.717785191269677"/>
    <n v="4"/>
    <n v="-0.40835631116319004"/>
    <b v="0"/>
    <n v="0"/>
    <n v="2"/>
    <n v="-1"/>
    <n v="0"/>
    <n v="0"/>
    <n v="0"/>
    <n v="0"/>
    <n v="0"/>
    <s v="Intermedio"/>
    <n v="6"/>
    <s v="Fuera SC"/>
    <m/>
    <s v="No"/>
    <s v="Si"/>
    <n v="40.799999999999997"/>
    <n v="11.118024313199962"/>
    <n v="0"/>
    <s v="Sin riesgo"/>
    <n v="1.6996819686897928"/>
    <s v="Medio Bajo"/>
    <n v="44873.029071999998"/>
    <n v="6295.5589602"/>
    <n v="23228"/>
    <n v="1.931850743585328"/>
    <n v="0.2710331909850181"/>
    <m/>
    <m/>
    <m/>
    <m/>
    <m/>
    <m/>
    <m/>
    <n v="54"/>
    <n v="0"/>
    <n v="7"/>
    <n v="18572.167468"/>
    <n v="7530.3508519999996"/>
    <n v="0.40546429839031212"/>
    <s v="31% - 50%"/>
    <n v="2.1908629318643529E-4"/>
    <s v="N.D."/>
    <s v="N.D."/>
    <s v="N.D."/>
    <n v="0.90265683138092834"/>
    <s v="Aceptable"/>
    <n v="2"/>
    <s v="Candidato"/>
    <n v="0"/>
    <n v="0"/>
  </r>
  <r>
    <n v="15469"/>
    <s v="15469"/>
    <x v="10"/>
    <x v="10"/>
    <s v="MONIQUIRÁ"/>
    <n v="53.723133333333301"/>
    <n v="68.150000000000006"/>
    <n v="57.04"/>
    <n v="49.94"/>
    <n v="60.561321329111145"/>
    <n v="61.439309263861105"/>
    <n v="67.642235841440353"/>
    <n v="68.956000000000003"/>
    <n v="57.213283333333322"/>
    <n v="64.649716608603157"/>
    <n v="60.93149997096824"/>
    <n v="48.665663001619201"/>
    <n v="51.334336998380799"/>
    <n v="0.56200903298542726"/>
    <n v="0"/>
    <n v="34.244053377035449"/>
    <n v="3"/>
    <n v="3"/>
    <b v="1"/>
    <x v="4"/>
    <n v="60.091173584591502"/>
    <n v="0.57478605538548855"/>
    <n v="34.53956862817202"/>
    <n v="3"/>
    <n v="0"/>
    <n v="0.84032638637673784"/>
    <n v="-1.2777022400061289E-2"/>
    <n v="-0.29551525113657107"/>
    <n v="3"/>
    <b v="1"/>
    <n v="0"/>
    <n v="0.9741882058902549"/>
    <n v="58.54011258421307"/>
    <n v="0.56164908949146997"/>
    <n v="2"/>
    <n v="-1"/>
    <n v="56.164908949146998"/>
    <n v="4"/>
    <n v="-0.41217917290482764"/>
    <b v="0"/>
    <s v="Cambio en corte"/>
    <n v="2"/>
    <n v="-1"/>
    <n v="0"/>
    <n v="0"/>
    <n v="0"/>
    <n v="0"/>
    <n v="0"/>
    <s v="Intermedio"/>
    <n v="6"/>
    <s v="Fuera SC"/>
    <m/>
    <s v="No"/>
    <s v="No"/>
    <n v="27.1"/>
    <n v="9.8320994822664147"/>
    <n v="33.209505519768548"/>
    <s v="Medio"/>
    <n v="0.3533613217132644"/>
    <s v="Medio Bajo"/>
    <n v="55721.399117000001"/>
    <n v="15147.0511608"/>
    <n v="23763"/>
    <n v="2.3448806597230991"/>
    <n v="0.63742167069814415"/>
    <m/>
    <m/>
    <m/>
    <m/>
    <m/>
    <m/>
    <m/>
    <n v="20"/>
    <n v="0"/>
    <n v="6"/>
    <n v="21793.006829000002"/>
    <n v="5006.1051520000001"/>
    <n v="0.22971153963657576"/>
    <s v="0% - 30%"/>
    <n v="1.4564647021219514E-4"/>
    <s v="N.D."/>
    <s v="N.D."/>
    <s v="N.D."/>
    <n v="0.94574528010390946"/>
    <s v="Aceptable"/>
    <n v="2"/>
    <s v="Candidato"/>
    <n v="0"/>
    <n v="0"/>
  </r>
  <r>
    <n v="52565"/>
    <s v="52565"/>
    <x v="18"/>
    <x v="18"/>
    <s v="PROVIDENCIA"/>
    <n v="46.616500000000002"/>
    <n v="37.33"/>
    <n v="24.38"/>
    <n v="34.1"/>
    <n v="52.579246144651634"/>
    <n v="55.769644716930387"/>
    <n v="62.031335126814952"/>
    <n v="59.368000000000002"/>
    <n v="35.606625000000001"/>
    <n v="57.437056497099242"/>
    <n v="46.521840748549621"/>
    <n v="48.55006374784427"/>
    <n v="51.44993625215573"/>
    <n v="0.56304942626940158"/>
    <n v="0"/>
    <n v="26.194095742467333"/>
    <n v="4"/>
    <n v="4"/>
    <b v="1"/>
    <x v="5"/>
    <n v="46.257709796522704"/>
    <n v="0.57706100852995523"/>
    <n v="26.693520667467382"/>
    <n v="4"/>
    <n v="0"/>
    <n v="0.2641309520269175"/>
    <n v="-1.4011582260553657E-2"/>
    <n v="-0.49942492500004931"/>
    <n v="4"/>
    <b v="1"/>
    <n v="0"/>
    <n v="0.9741882058902549"/>
    <n v="45.063715315266521"/>
    <n v="0.39307356511866365"/>
    <n v="3"/>
    <n v="-1"/>
    <n v="39.307356511866367"/>
    <n v="4"/>
    <n v="-0.41113877962085332"/>
    <b v="1"/>
    <s v="Efecto ponderador"/>
    <n v="4"/>
    <n v="0"/>
    <n v="0"/>
    <n v="0"/>
    <n v="0"/>
    <n v="0"/>
    <n v="0"/>
    <s v="Intermedio"/>
    <n v="6"/>
    <s v="Fuera SC"/>
    <m/>
    <s v="No"/>
    <s v="Si"/>
    <n v="55.3"/>
    <n v="22.753842823121889"/>
    <n v="58.610684221056346"/>
    <s v="Alto"/>
    <n v="3.0639388194735813"/>
    <s v="Medio Bajo"/>
    <n v="15364.253047"/>
    <n v="2486.4003630000002"/>
    <n v="5555"/>
    <n v="2.7658421326732672"/>
    <n v="0.44759682502250231"/>
    <m/>
    <m/>
    <m/>
    <m/>
    <m/>
    <m/>
    <m/>
    <n v="70"/>
    <n v="0"/>
    <n v="7"/>
    <n v="4000.1385919999998"/>
    <n v="110.412336"/>
    <n v="2.760212764148148E-2"/>
    <s v="0% - 30%"/>
    <n v="3.2123110717836717E-6"/>
    <s v="N.D."/>
    <s v="N.D."/>
    <s v="N.D."/>
    <n v="0.8834242124156203"/>
    <s v="Aceptable"/>
    <n v="1"/>
    <s v="Candidato"/>
    <n v="0"/>
    <n v="0"/>
  </r>
  <r>
    <n v="15861"/>
    <s v="15861"/>
    <x v="10"/>
    <x v="10"/>
    <s v="VENTAQUEMADA"/>
    <n v="63.345100000000002"/>
    <n v="70.48"/>
    <n v="60.24"/>
    <n v="85.7"/>
    <n v="57.312116511760166"/>
    <n v="53.306212333735957"/>
    <n v="64.442979133234104"/>
    <n v="62.674799999999998"/>
    <n v="69.941275000000005"/>
    <n v="59.434026994682554"/>
    <n v="64.687650997341279"/>
    <n v="48.320348391088011"/>
    <n v="51.679651608911989"/>
    <n v="0.56511686448020793"/>
    <n v="0"/>
    <n v="36.556082502207502"/>
    <n v="3"/>
    <n v="3"/>
    <b v="1"/>
    <x v="3"/>
    <n v="61.125279904473587"/>
    <n v="0.57636326021435047"/>
    <n v="35.23036560725712"/>
    <n v="2"/>
    <n v="0"/>
    <n v="3.5623710928676928"/>
    <n v="-1.1246395734142545E-2"/>
    <n v="1.3257168949503821"/>
    <n v="2"/>
    <b v="1"/>
    <n v="0"/>
    <n v="0.9741882058902549"/>
    <n v="59.547526764678771"/>
    <n v="0.57425077897445453"/>
    <n v="2"/>
    <n v="0"/>
    <n v="57.425077897445455"/>
    <n v="3"/>
    <n v="-0.40907134141004697"/>
    <b v="0"/>
    <n v="0"/>
    <n v="2"/>
    <n v="0"/>
    <n v="0"/>
    <n v="0"/>
    <n v="0"/>
    <n v="0"/>
    <n v="0"/>
    <s v="Intermedio"/>
    <n v="6"/>
    <s v="Fuera SC"/>
    <m/>
    <s v="No"/>
    <s v="Si"/>
    <n v="25.7"/>
    <n v="6.705309861170746"/>
    <n v="19.045463930222922"/>
    <s v="Medio"/>
    <n v="0"/>
    <s v="Bajo"/>
    <n v="26757.341552999998"/>
    <n v="9186.6349639"/>
    <n v="16977"/>
    <n v="1.5760936297932495"/>
    <n v="0.54112239876892265"/>
    <m/>
    <m/>
    <m/>
    <m/>
    <m/>
    <m/>
    <m/>
    <n v="96"/>
    <n v="0"/>
    <n v="7"/>
    <n v="15975.372968"/>
    <n v="8260.9364420000002"/>
    <n v="0.51710444936386413"/>
    <s v="51% - 70%"/>
    <n v="2.4034178206262943E-4"/>
    <s v="N.D."/>
    <s v="N.D."/>
    <s v="N.D."/>
    <n v="0.95894154602710069"/>
    <s v="Aceptable"/>
    <n v="3"/>
    <s v="Candidato"/>
    <n v="0"/>
    <n v="0"/>
  </r>
  <r>
    <n v="52693"/>
    <s v="52693"/>
    <x v="18"/>
    <x v="18"/>
    <s v="SAN PABLO"/>
    <n v="48.950433333333301"/>
    <n v="52.01"/>
    <n v="46.03"/>
    <n v="54.57"/>
    <n v="50.426446705114635"/>
    <n v="60.400752525431358"/>
    <n v="64.387250776283878"/>
    <n v="63.293300000000002"/>
    <n v="50.390108333333323"/>
    <n v="59.626937501707474"/>
    <n v="55.008522917520395"/>
    <n v="48.457521853033377"/>
    <n v="51.542478146966623"/>
    <n v="0.56388230332269962"/>
    <n v="0"/>
    <n v="31.01833260511091"/>
    <n v="3"/>
    <n v="3"/>
    <b v="1"/>
    <x v="4"/>
    <n v="53.546284504881584"/>
    <n v="0.57669098953838527"/>
    <n v="30.879659797224068"/>
    <n v="3"/>
    <n v="0"/>
    <n v="1.4622384126388113"/>
    <n v="-1.280868621568565E-2"/>
    <n v="0.13867280788684155"/>
    <n v="3"/>
    <b v="1"/>
    <n v="0"/>
    <n v="0.9741882058902549"/>
    <n v="52.164158833899748"/>
    <n v="0.48189262896380786"/>
    <n v="2"/>
    <n v="-1"/>
    <n v="48.189262896380782"/>
    <n v="4"/>
    <n v="-0.41030590256755528"/>
    <b v="0"/>
    <s v="Cambio en corte"/>
    <n v="2"/>
    <n v="-1"/>
    <n v="0"/>
    <n v="0"/>
    <n v="0"/>
    <n v="0"/>
    <n v="0"/>
    <s v="Intermedio"/>
    <n v="6"/>
    <s v="Fuera SC"/>
    <m/>
    <s v="No"/>
    <s v="Si"/>
    <n v="41.1"/>
    <n v="11.5304145679969"/>
    <n v="44.905991906631115"/>
    <s v="Alto"/>
    <n v="5.8034920381337249"/>
    <s v="Medio"/>
    <n v="30279.514832000001"/>
    <n v="4349.6048868999997"/>
    <n v="15407"/>
    <n v="1.9653089395729215"/>
    <n v="0.28231355143116765"/>
    <m/>
    <m/>
    <m/>
    <m/>
    <m/>
    <m/>
    <m/>
    <n v="69"/>
    <n v="0"/>
    <n v="7"/>
    <n v="11193.413522999999"/>
    <n v="657.168904"/>
    <n v="5.8710321266132327E-2"/>
    <s v="0% - 30%"/>
    <n v="1.9119520724125797E-5"/>
    <s v="N.D."/>
    <s v="N.D."/>
    <s v="N.D."/>
    <n v="0.98112794337432407"/>
    <s v="Aceptable"/>
    <n v="2"/>
    <s v="Candidato"/>
    <n v="0"/>
    <n v="0"/>
  </r>
  <r>
    <n v="15693"/>
    <s v="15693"/>
    <x v="10"/>
    <x v="10"/>
    <s v="SANTA ROSA DE VITERBO"/>
    <n v="62.690266666666702"/>
    <n v="25.72"/>
    <n v="24.6"/>
    <n v="29.86"/>
    <n v="50.162956171510814"/>
    <n v="63.950722223777049"/>
    <n v="59.306883190706891"/>
    <n v="58.440199999999997"/>
    <n v="35.71756666666667"/>
    <n v="57.965190396498691"/>
    <n v="46.841378531582677"/>
    <n v="48.740593365781017"/>
    <n v="51.259406634218983"/>
    <n v="0.56133465970797092"/>
    <n v="0"/>
    <n v="26.293689278278215"/>
    <n v="4"/>
    <n v="4"/>
    <b v="1"/>
    <x v="5"/>
    <n v="53.09914208187233"/>
    <n v="0.57765082970477699"/>
    <n v="30.67276348020539"/>
    <n v="3"/>
    <n v="-1"/>
    <n v="-6.2577635502896527"/>
    <n v="-1.6316169996806074E-2"/>
    <n v="-4.3790742019271747"/>
    <n v="4"/>
    <b v="1"/>
    <s v="Efecto ponderador"/>
    <n v="0.9741882058902549"/>
    <n v="51.728557959050939"/>
    <n v="0.47644372118605194"/>
    <n v="3"/>
    <n v="-1"/>
    <n v="47.64437211860519"/>
    <n v="4"/>
    <n v="-0.41285354618228398"/>
    <b v="1"/>
    <s v="Efecto ponderador"/>
    <n v="2"/>
    <n v="-2"/>
    <n v="0"/>
    <n v="0"/>
    <n v="0"/>
    <n v="0"/>
    <n v="0"/>
    <s v="Intermedio"/>
    <n v="6"/>
    <s v="Fuera SC"/>
    <m/>
    <s v="No"/>
    <s v="No"/>
    <n v="19"/>
    <n v="6.2955111070144714"/>
    <n v="14.433529161947904"/>
    <s v="Medio"/>
    <n v="0"/>
    <s v="Bajo"/>
    <n v="19593.056032"/>
    <n v="4349.9763277000002"/>
    <n v="13452"/>
    <n v="1.4565162081474874"/>
    <n v="0.32337022953464173"/>
    <m/>
    <m/>
    <m/>
    <m/>
    <m/>
    <m/>
    <m/>
    <n v="21"/>
    <n v="0"/>
    <n v="6"/>
    <n v="11648.160372"/>
    <n v="5683.9468390000002"/>
    <n v="0.48796948680953478"/>
    <s v="31% - 50%"/>
    <n v="1.6536744012326217E-4"/>
    <s v="N.D."/>
    <s v="N.D."/>
    <s v="N.D."/>
    <n v="0.89965367590943046"/>
    <s v="Aceptable"/>
    <n v="1"/>
    <s v="Candidato"/>
    <n v="0"/>
    <n v="0"/>
  </r>
  <r>
    <n v="5761"/>
    <s v="05761"/>
    <x v="1"/>
    <x v="1"/>
    <s v="SOPETRÁN"/>
    <n v="48.732066666666697"/>
    <n v="58.45"/>
    <n v="63.1"/>
    <n v="54.68"/>
    <n v="56.477086388725731"/>
    <n v="55.74891660288062"/>
    <n v="68.983917638564165"/>
    <n v="55.972799999999999"/>
    <n v="56.240516666666679"/>
    <n v="59.295680157542634"/>
    <n v="57.768098412104656"/>
    <n v="47.487444943507526"/>
    <n v="52.512555056492474"/>
    <n v="0.57261299550843225"/>
    <n v="0"/>
    <n v="33.078763876581156"/>
    <n v="3"/>
    <n v="3"/>
    <b v="1"/>
    <x v="4"/>
    <n v="55.751482067257811"/>
    <n v="0.57625857681360881"/>
    <n v="32.127269711327422"/>
    <n v="3"/>
    <n v="0"/>
    <n v="2.0166163448468453"/>
    <n v="-3.6455813051765595E-3"/>
    <n v="0.95149416525373454"/>
    <n v="3"/>
    <b v="1"/>
    <n v="0"/>
    <n v="0.9741882058902549"/>
    <n v="54.312436290824607"/>
    <n v="0.50876531545204873"/>
    <n v="2"/>
    <n v="-1"/>
    <n v="50.87653154520487"/>
    <n v="4"/>
    <n v="-0.40157521038182264"/>
    <b v="0"/>
    <s v="Cambio en corte"/>
    <n v="2"/>
    <n v="-1"/>
    <n v="0"/>
    <n v="0"/>
    <n v="0"/>
    <n v="0"/>
    <n v="0"/>
    <s v="Intermedio"/>
    <n v="6"/>
    <s v="Fuera SC"/>
    <m/>
    <s v="No"/>
    <s v="No"/>
    <n v="28.7"/>
    <n v="11.306441024144723"/>
    <n v="0"/>
    <s v="Sin riesgo"/>
    <n v="4.9874197944382725"/>
    <s v="Medio Bajo"/>
    <n v="41154.256540000002"/>
    <n v="16234.66777815"/>
    <n v="16366"/>
    <n v="2.5146191213491385"/>
    <n v="0.99197530112122689"/>
    <m/>
    <m/>
    <m/>
    <m/>
    <m/>
    <m/>
    <m/>
    <n v="90"/>
    <n v="0"/>
    <n v="6"/>
    <n v="21903.648524"/>
    <n v="17636.787007999999"/>
    <n v="0.80519859459373777"/>
    <s v="71% - 100%"/>
    <n v="5.131206188454233E-4"/>
    <n v="29.984427"/>
    <n v="1.368923856093921E-3"/>
    <s v="0% - 30%"/>
    <n v="0.85565811297961869"/>
    <s v="Aceptable"/>
    <n v="1"/>
    <s v="Candidato"/>
    <n v="0"/>
    <n v="0"/>
  </r>
  <r>
    <n v="52317"/>
    <s v="52317"/>
    <x v="18"/>
    <x v="18"/>
    <s v="GUACHUCAL"/>
    <n v="63.007599999999996"/>
    <n v="56.93"/>
    <n v="53.55"/>
    <n v="48.42"/>
    <n v="40.90777702062362"/>
    <n v="41.65128939562112"/>
    <n v="50.59495313975625"/>
    <n v="59.645200000000003"/>
    <n v="55.476900000000001"/>
    <n v="48.199804889000248"/>
    <n v="51.838352444500124"/>
    <n v="48.289323908580833"/>
    <n v="51.710676091419167"/>
    <n v="0.56539608482277259"/>
    <n v="0"/>
    <n v="29.309201515783375"/>
    <n v="4"/>
    <n v="4"/>
    <b v="1"/>
    <x v="4"/>
    <n v="52.184216259701174"/>
    <n v="0.57602907549416049"/>
    <n v="30.059625847463003"/>
    <n v="3"/>
    <n v="0"/>
    <n v="-0.34586381520104936"/>
    <n v="-1.0632990671387899E-2"/>
    <n v="-0.75042433167962841"/>
    <n v="3"/>
    <b v="1"/>
    <n v="0"/>
    <n v="0.9741882058902549"/>
    <n v="50.837248013827356"/>
    <n v="0.46529437330054635"/>
    <n v="3"/>
    <n v="0"/>
    <n v="46.529437330054634"/>
    <n v="4"/>
    <n v="-0.40879212106748231"/>
    <b v="0"/>
    <n v="0"/>
    <n v="2"/>
    <n v="-1"/>
    <n v="0"/>
    <n v="0"/>
    <n v="0"/>
    <n v="0"/>
    <n v="0"/>
    <s v="Intermedio"/>
    <n v="6"/>
    <s v="Fuera SC"/>
    <m/>
    <s v="No"/>
    <s v="Si"/>
    <n v="30.4"/>
    <n v="14.009020960466968"/>
    <n v="46.94474550004459"/>
    <s v="Alto"/>
    <n v="1.9829529757593427"/>
    <s v="Medio Bajo"/>
    <n v="37340.670371"/>
    <n v="4880.9088342499999"/>
    <n v="20468"/>
    <n v="1.8243438719464531"/>
    <n v="0.23846535246482314"/>
    <m/>
    <m/>
    <m/>
    <m/>
    <m/>
    <m/>
    <m/>
    <n v="28"/>
    <n v="0"/>
    <n v="7"/>
    <n v="15585.048897999999"/>
    <n v="13112.863036000001"/>
    <n v="0.84137452001724233"/>
    <s v="71% - 100%"/>
    <n v="3.8150261682105569E-4"/>
    <n v="305.82587999999998"/>
    <n v="1.9623029866736322E-2"/>
    <s v="0% - 30%"/>
    <n v="0.96097140760413757"/>
    <s v="Aceptable"/>
    <n v="1"/>
    <s v="Candidato"/>
    <n v="1"/>
    <s v="Zona de Fronteras"/>
  </r>
  <r>
    <n v="52203"/>
    <s v="52203"/>
    <x v="18"/>
    <x v="18"/>
    <s v="COLÓN"/>
    <n v="58.852233333333302"/>
    <n v="52.12"/>
    <n v="61.8"/>
    <n v="61.49"/>
    <n v="55.872185967056637"/>
    <n v="55.872887421747208"/>
    <n v="51.478173350468893"/>
    <n v="55.552100000000003"/>
    <n v="58.565558333333328"/>
    <n v="54.69383668481818"/>
    <n v="56.629697509075754"/>
    <n v="48.642208962238655"/>
    <n v="51.357791037761345"/>
    <n v="0.56222011933985216"/>
    <n v="0"/>
    <n v="31.838355291732299"/>
    <n v="3"/>
    <n v="3"/>
    <b v="1"/>
    <x v="4"/>
    <n v="55.737511806217377"/>
    <n v="0.57570148140037647"/>
    <n v="32.088168116410316"/>
    <n v="3"/>
    <n v="0"/>
    <n v="0.89218570285837728"/>
    <n v="-1.3481362060524305E-2"/>
    <n v="-0.24981282467801691"/>
    <n v="3"/>
    <b v="1"/>
    <n v="0"/>
    <n v="0.9741882058902549"/>
    <n v="54.298826627285806"/>
    <n v="0.50859507290711592"/>
    <n v="2"/>
    <n v="-1"/>
    <n v="50.859507290711591"/>
    <n v="4"/>
    <n v="-0.41196808655040273"/>
    <b v="0"/>
    <s v="Cambio en corte"/>
    <n v="3"/>
    <n v="0"/>
    <n v="0"/>
    <n v="0"/>
    <n v="0"/>
    <n v="0"/>
    <n v="0"/>
    <s v="Intermedio"/>
    <n v="6"/>
    <s v="Fuera SC"/>
    <m/>
    <s v="No"/>
    <s v="Si"/>
    <n v="42.4"/>
    <n v="12.982998454404946"/>
    <n v="50.168621967654992"/>
    <s v="Alto"/>
    <n v="1.8194912763172515"/>
    <s v="Medio Bajo"/>
    <n v="18518.573725999999"/>
    <n v="2272.7702891999998"/>
    <n v="8501"/>
    <n v="2.1783994501823312"/>
    <n v="0.26735328657804963"/>
    <m/>
    <m/>
    <m/>
    <m/>
    <m/>
    <m/>
    <m/>
    <n v="69"/>
    <n v="0"/>
    <n v="7"/>
    <n v="6179.4957270000004"/>
    <n v="656.81684700000005"/>
    <n v="0.10628971618673959"/>
    <s v="0% - 30%"/>
    <n v="1.9109278058858768E-5"/>
    <s v="N.D."/>
    <s v="N.D."/>
    <s v="N.D."/>
    <n v="0.9595711177085966"/>
    <s v="Aceptable"/>
    <n v="2"/>
    <s v="Candidato"/>
    <n v="0"/>
    <n v="0"/>
  </r>
  <r>
    <n v="13244"/>
    <s v="13244"/>
    <x v="8"/>
    <x v="8"/>
    <s v="EL CARMEN DE BOLÍVAR"/>
    <n v="62.640599999999999"/>
    <n v="51.48"/>
    <n v="55.22"/>
    <n v="52.38"/>
    <n v="59.485243782753926"/>
    <n v="55.542711740519124"/>
    <n v="55.376619661532118"/>
    <n v="66.381200000000007"/>
    <n v="55.430149999999998"/>
    <n v="59.196443796201294"/>
    <n v="57.313296898100646"/>
    <n v="48.2820459346555"/>
    <n v="51.7179540653445"/>
    <n v="0.56546158658810053"/>
    <n v="0"/>
    <n v="32.408467796594849"/>
    <n v="3"/>
    <n v="3"/>
    <b v="1"/>
    <x v="4"/>
    <n v="55.410035367662935"/>
    <n v="0.57541637404786339"/>
    <n v="31.883841637124476"/>
    <n v="3"/>
    <n v="0"/>
    <n v="1.9032615304377103"/>
    <n v="-9.9547874597628594E-3"/>
    <n v="0.5246261594703725"/>
    <n v="3"/>
    <b v="1"/>
    <n v="0"/>
    <n v="0.9741882058902549"/>
    <n v="53.979802943139127"/>
    <n v="0.50460442290110175"/>
    <n v="2"/>
    <n v="-1"/>
    <n v="50.460442290110173"/>
    <n v="4"/>
    <n v="-0.40872661930215437"/>
    <b v="0"/>
    <s v="Cambio en corte"/>
    <n v="3"/>
    <n v="0"/>
    <n v="0"/>
    <n v="0"/>
    <n v="0"/>
    <n v="1"/>
    <n v="1"/>
    <s v="Intermedio"/>
    <n v="6"/>
    <s v="Fuera SC"/>
    <m/>
    <s v="No"/>
    <s v="No"/>
    <n v="58.4"/>
    <n v="41.545951080503443"/>
    <n v="0"/>
    <s v="Sin riesgo"/>
    <n v="10.965429645051374"/>
    <s v="Medio"/>
    <n v="157073.345554"/>
    <n v="14601.657859000001"/>
    <n v="76463"/>
    <n v="2.0542399010501811"/>
    <n v="0.19096370609314309"/>
    <m/>
    <m/>
    <m/>
    <m/>
    <m/>
    <m/>
    <m/>
    <n v="12"/>
    <n v="1"/>
    <n v="6"/>
    <n v="94574.429212000003"/>
    <n v="8768.6910150000003"/>
    <n v="9.2717355928672016E-2"/>
    <s v="0% - 30%"/>
    <n v="2.5511427665595723E-4"/>
    <n v="168.37121300000001"/>
    <n v="1.7803037713563737E-3"/>
    <s v="0% - 30%"/>
    <n v="0.92219328202701623"/>
    <s v="Aceptable"/>
    <n v="2"/>
    <s v="Candidato"/>
    <n v="0"/>
    <n v="0"/>
  </r>
  <r>
    <n v="25736"/>
    <s v="25736"/>
    <x v="5"/>
    <x v="5"/>
    <s v="SESQUILÉ"/>
    <n v="69.034099999999995"/>
    <n v="66.02"/>
    <n v="68.95"/>
    <n v="66.87"/>
    <n v="70.979070386584652"/>
    <n v="64.298228272229011"/>
    <n v="59.997746798796825"/>
    <n v="66.246899999999997"/>
    <n v="67.718525"/>
    <n v="65.380486364402614"/>
    <n v="66.5495056822013"/>
    <n v="49.103501153487947"/>
    <n v="50.896498846512053"/>
    <n v="0.55806848961860844"/>
    <n v="0"/>
    <n v="37.139182120931082"/>
    <n v="3"/>
    <n v="3"/>
    <b v="1"/>
    <x v="3"/>
    <n v="66.294916574896007"/>
    <n v="0.57313192109897226"/>
    <n v="37.995732895666244"/>
    <n v="2"/>
    <n v="0"/>
    <n v="0.25458910730529283"/>
    <n v="-1.506343148036382E-2"/>
    <n v="-0.85655077473516172"/>
    <n v="2"/>
    <b v="1"/>
    <n v="0"/>
    <n v="0.9741882058902549"/>
    <n v="64.583725837742065"/>
    <n v="0.63724832072426463"/>
    <n v="2"/>
    <n v="0"/>
    <n v="63.724832072426466"/>
    <n v="3"/>
    <n v="-0.41611971627164646"/>
    <b v="0"/>
    <n v="0"/>
    <n v="1"/>
    <n v="-1"/>
    <n v="0"/>
    <n v="0"/>
    <n v="0"/>
    <n v="0"/>
    <n v="0"/>
    <s v="Ciudades y aglomeraciones"/>
    <n v="6"/>
    <s v="En aglomeración"/>
    <m/>
    <s v="No"/>
    <s v="No"/>
    <n v="17.7"/>
    <n v="5.7566980448950034"/>
    <n v="7.6946407329478612"/>
    <s v="Bajo"/>
    <n v="0.63009038285358698"/>
    <s v="Medio Bajo"/>
    <n v="36162.441060999998"/>
    <n v="23154.493731250001"/>
    <n v="12723"/>
    <n v="2.8422888517645206"/>
    <n v="1.8198926142615737"/>
    <m/>
    <m/>
    <m/>
    <m/>
    <m/>
    <m/>
    <m/>
    <n v="96"/>
    <n v="0"/>
    <n v="7"/>
    <n v="14098.732724"/>
    <n v="7526.3771660000002"/>
    <n v="0.53383359436185307"/>
    <s v="51% - 70%"/>
    <n v="2.1897068368122939E-4"/>
    <n v="204.26276799999999"/>
    <n v="1.4488023285404045E-2"/>
    <s v="0% - 30%"/>
    <n v="0.97949893487990236"/>
    <s v="Aceptable"/>
    <n v="3"/>
    <s v="Candidato"/>
    <n v="0"/>
    <n v="0"/>
  </r>
  <r>
    <n v="15494"/>
    <s v="15494"/>
    <x v="10"/>
    <x v="10"/>
    <s v="NUEVO COLÓN"/>
    <n v="56.201266666666697"/>
    <n v="49.83"/>
    <n v="46.67"/>
    <n v="46.12"/>
    <n v="44.59112685588147"/>
    <n v="56.202164036477313"/>
    <n v="58.77669754110088"/>
    <n v="57.597499999999997"/>
    <n v="49.705316666666675"/>
    <n v="54.291872108364913"/>
    <n v="51.998594387515794"/>
    <n v="48.952711408602525"/>
    <n v="51.047288591397475"/>
    <n v="0.55942559732257735"/>
    <n v="0"/>
    <n v="29.089344725170442"/>
    <n v="4"/>
    <n v="4"/>
    <b v="1"/>
    <x v="4"/>
    <n v="51.730089571368943"/>
    <n v="0.57361141976575258"/>
    <n v="29.672970123642489"/>
    <n v="3"/>
    <n v="0"/>
    <n v="0.26850481614685151"/>
    <n v="-1.4185822443175233E-2"/>
    <n v="-0.58362539847204786"/>
    <n v="3"/>
    <b v="1"/>
    <n v="0"/>
    <n v="0.9741882058902549"/>
    <n v="50.394843150074095"/>
    <n v="0.45976035479367611"/>
    <n v="3"/>
    <n v="0"/>
    <n v="45.97603547936761"/>
    <n v="4"/>
    <n v="-0.41476260856767755"/>
    <b v="0"/>
    <n v="0"/>
    <n v="2"/>
    <n v="-1"/>
    <n v="0"/>
    <n v="0"/>
    <n v="0"/>
    <n v="0"/>
    <n v="0"/>
    <s v="Intermedio"/>
    <n v="6"/>
    <s v="Fuera SC"/>
    <m/>
    <s v="No"/>
    <s v="No"/>
    <n v="46.2"/>
    <n v="15.215654952076678"/>
    <n v="23.021436729453342"/>
    <s v="Medio"/>
    <n v="0.16999354999719629"/>
    <s v="Bajo"/>
    <n v="17782.449966"/>
    <n v="3417.0980020000002"/>
    <n v="5229"/>
    <n v="3.4007362719449228"/>
    <n v="0.65348976898068467"/>
    <m/>
    <m/>
    <m/>
    <m/>
    <m/>
    <m/>
    <m/>
    <n v="0"/>
    <n v="0"/>
    <n v="7"/>
    <n v="5131.156962"/>
    <n v="2712.61429"/>
    <n v="0.52865548843835974"/>
    <s v="51% - 70%"/>
    <n v="7.8920175343863788E-5"/>
    <s v="N.D."/>
    <s v="N.D."/>
    <s v="N.D."/>
    <n v="0.96535287660852154"/>
    <s v="Aceptable"/>
    <n v="1"/>
    <s v="Candidato"/>
    <n v="0"/>
    <n v="0"/>
  </r>
  <r>
    <n v="76113"/>
    <s v="76113"/>
    <x v="3"/>
    <x v="3"/>
    <s v="BUGALAGRANDE"/>
    <n v="64.996366666666702"/>
    <n v="56.31"/>
    <n v="58.43"/>
    <n v="64.59"/>
    <n v="47.996785647031437"/>
    <n v="60.41250921115703"/>
    <n v="66.507256385963487"/>
    <n v="61.8461"/>
    <n v="61.081591666666675"/>
    <n v="59.190662811037988"/>
    <n v="60.136127238852332"/>
    <n v="48.925492881168083"/>
    <n v="51.074507118831917"/>
    <n v="0.55967056406948723"/>
    <n v="0"/>
    <n v="33.656420252722938"/>
    <n v="3"/>
    <n v="3"/>
    <b v="1"/>
    <x v="4"/>
    <n v="60.387207211013752"/>
    <n v="0.57440032165863308"/>
    <n v="34.686431246072829"/>
    <n v="3"/>
    <n v="0"/>
    <n v="-0.25107997216142053"/>
    <n v="-1.4729757589145853E-2"/>
    <n v="-1.0300109933498902"/>
    <n v="3"/>
    <b v="1"/>
    <n v="0"/>
    <n v="0.9741882058902549"/>
    <n v="58.828505051620553"/>
    <n v="0.56525657526442274"/>
    <n v="2"/>
    <n v="-1"/>
    <n v="56.525657526442274"/>
    <n v="4"/>
    <n v="-0.41451764182076767"/>
    <b v="0"/>
    <s v="Cambio en corte"/>
    <n v="2"/>
    <n v="-1"/>
    <n v="0"/>
    <n v="0"/>
    <n v="0"/>
    <n v="0"/>
    <n v="0"/>
    <s v="Intermedio"/>
    <n v="5"/>
    <s v="Fuera SC"/>
    <m/>
    <s v="No"/>
    <s v="No"/>
    <n v="25.8"/>
    <n v="10.444847934634589"/>
    <n v="13.047150223957734"/>
    <s v="Bajo"/>
    <n v="7.9977465390983102"/>
    <s v="Medio"/>
    <n v="47601.782303"/>
    <n v="22981.461369000001"/>
    <n v="25391"/>
    <n v="1.8747501990075224"/>
    <n v="0.90510264932456386"/>
    <m/>
    <m/>
    <m/>
    <m/>
    <m/>
    <m/>
    <m/>
    <n v="66"/>
    <n v="0"/>
    <n v="6"/>
    <n v="39681.203908000003"/>
    <n v="17070.157296000001"/>
    <n v="0.43018244445346931"/>
    <s v="31% - 50%"/>
    <n v="4.9663522451902137E-4"/>
    <n v="354.02380900000003"/>
    <n v="8.9217003047789688E-3"/>
    <s v="0% - 30%"/>
    <n v="0.89423962282837"/>
    <s v="Aceptable"/>
    <n v="3"/>
    <s v="Candidato"/>
    <n v="0"/>
    <n v="0"/>
  </r>
  <r>
    <n v="19212"/>
    <s v="19212"/>
    <x v="13"/>
    <x v="13"/>
    <s v="CORINTO"/>
    <n v="53.8618666666667"/>
    <n v="39.630000000000003"/>
    <n v="52.38"/>
    <n v="59.08"/>
    <n v="57.423622353774249"/>
    <n v="58.252749855900092"/>
    <n v="54.925216053912706"/>
    <n v="47.252899999999997"/>
    <n v="51.237966666666679"/>
    <n v="54.463622065896757"/>
    <n v="52.850794366281718"/>
    <n v="48.426860555699683"/>
    <n v="51.573139444300317"/>
    <n v="0.56415825499870287"/>
    <n v="0"/>
    <n v="29.81621192497677"/>
    <n v="3"/>
    <n v="3"/>
    <b v="1"/>
    <x v="4"/>
    <n v="51.880361202838102"/>
    <n v="0.57545565985231961"/>
    <n v="29.854847489355883"/>
    <n v="3"/>
    <n v="0"/>
    <n v="0.97043316344361585"/>
    <n v="-1.1297404853616744E-2"/>
    <n v="-3.8635564379113418E-2"/>
    <n v="3"/>
    <b v="1"/>
    <n v="0"/>
    <n v="0.9741882058902549"/>
    <n v="50.541236001131239"/>
    <n v="0.46159157504779058"/>
    <n v="3"/>
    <n v="0"/>
    <n v="46.15915750477906"/>
    <n v="4"/>
    <n v="-0.41002995089155203"/>
    <b v="0"/>
    <n v="0"/>
    <n v="3"/>
    <n v="0"/>
    <n v="0"/>
    <n v="0"/>
    <n v="0"/>
    <n v="1"/>
    <n v="1"/>
    <s v="Intermedio"/>
    <n v="6"/>
    <s v="Fuera SC"/>
    <m/>
    <s v="No"/>
    <s v="No"/>
    <n v="33.700000000000003"/>
    <n v="18.84158461609578"/>
    <n v="0"/>
    <s v="Sin riesgo"/>
    <n v="29.892189419452215"/>
    <s v="Muy Alto"/>
    <n v="51610.658471000002"/>
    <n v="6553.3880147"/>
    <n v="27157"/>
    <n v="1.9004550749714624"/>
    <n v="0.24131487331811319"/>
    <m/>
    <m/>
    <m/>
    <m/>
    <m/>
    <m/>
    <m/>
    <n v="32"/>
    <n v="0"/>
    <n v="7"/>
    <n v="32596.788230999999"/>
    <n v="14656.694489"/>
    <n v="0.44963615387915057"/>
    <s v="31% - 50%"/>
    <n v="4.2641849351657068E-4"/>
    <n v="766.60171600000001"/>
    <n v="2.3517707038110923E-2"/>
    <s v="0% - 30%"/>
    <n v="0.94973328076563912"/>
    <s v="Aceptable"/>
    <n v="1"/>
    <s v="Candidato"/>
    <n v="0"/>
    <n v="0"/>
  </r>
  <r>
    <n v="25053"/>
    <s v="25053"/>
    <x v="5"/>
    <x v="5"/>
    <s v="ARBELÁEZ"/>
    <n v="60.577933333333299"/>
    <n v="43.53"/>
    <n v="40.53"/>
    <n v="56.74"/>
    <n v="47.65363065781473"/>
    <n v="61.329483955013416"/>
    <n v="62.313998730355877"/>
    <n v="53.351599999999998"/>
    <n v="50.344483333333329"/>
    <n v="56.162178335796007"/>
    <n v="53.253330834564665"/>
    <n v="49.652008915331777"/>
    <n v="50.347991084668223"/>
    <n v="0.55313191976201403"/>
    <n v="0"/>
    <n v="29.456117118244411"/>
    <n v="4"/>
    <n v="4"/>
    <b v="1"/>
    <x v="4"/>
    <n v="53.690562159437086"/>
    <n v="0.57327443937997835"/>
    <n v="30.779426921947174"/>
    <n v="3"/>
    <n v="0"/>
    <n v="-0.43723132487242111"/>
    <n v="-2.0142519617964316E-2"/>
    <n v="-1.3233098037027631"/>
    <n v="3"/>
    <b v="1"/>
    <n v="0"/>
    <n v="0.9741882058902549"/>
    <n v="52.304712423341222"/>
    <n v="0.48365080621027223"/>
    <n v="2"/>
    <n v="-1"/>
    <n v="48.365080621027225"/>
    <n v="4"/>
    <n v="-0.42105628612824086"/>
    <b v="0"/>
    <s v="Cambio en corte"/>
    <n v="2"/>
    <n v="-1"/>
    <n v="0"/>
    <n v="0"/>
    <n v="0"/>
    <n v="0"/>
    <n v="0"/>
    <s v="Intermedio"/>
    <n v="6"/>
    <s v="Fuera SC"/>
    <m/>
    <s v="No"/>
    <s v="No"/>
    <n v="20"/>
    <n v="10.142515343805263"/>
    <n v="19.163095420789894"/>
    <s v="Medio"/>
    <n v="7.5668795183572529E-2"/>
    <s v="Bajo"/>
    <n v="23315.499371000002"/>
    <n v="7241.783735"/>
    <n v="10753"/>
    <n v="2.1682785614247186"/>
    <n v="0.67346635683065192"/>
    <m/>
    <m/>
    <m/>
    <m/>
    <m/>
    <m/>
    <m/>
    <n v="78"/>
    <n v="0"/>
    <n v="7"/>
    <n v="14231.224831"/>
    <n v="6475.2440390000002"/>
    <n v="0.45500258170996782"/>
    <s v="31% - 50%"/>
    <n v="1.8838925859680138E-4"/>
    <s v="N.D."/>
    <s v="N.D."/>
    <s v="N.D."/>
    <n v="0.96015825569775859"/>
    <s v="Aceptable"/>
    <n v="1"/>
    <s v="Candidato"/>
    <n v="0"/>
    <n v="0"/>
  </r>
  <r>
    <n v="76736"/>
    <s v="76736"/>
    <x v="3"/>
    <x v="3"/>
    <s v="SEVILLA"/>
    <n v="76.189666666666696"/>
    <n v="70.98"/>
    <n v="68.36"/>
    <n v="61.23"/>
    <n v="45.684663929056157"/>
    <n v="52.109492208063521"/>
    <n v="56.128674047872984"/>
    <n v="50.615900000000003"/>
    <n v="69.189916666666676"/>
    <n v="51.134682546248165"/>
    <n v="60.162299606457424"/>
    <n v="48.719092427045894"/>
    <n v="51.280907572954106"/>
    <n v="0.5615281681565869"/>
    <n v="0"/>
    <n v="33.782825890101783"/>
    <n v="3"/>
    <n v="3"/>
    <b v="1"/>
    <x v="4"/>
    <n v="62.223456989924934"/>
    <n v="0.57337650073463231"/>
    <n v="35.677468032495057"/>
    <n v="2"/>
    <n v="-1"/>
    <n v="-2.0611573834675099"/>
    <n v="-1.1848332578045406E-2"/>
    <n v="-1.8946421423932733"/>
    <n v="3"/>
    <b v="1"/>
    <s v="Efecto ponderador"/>
    <n v="0.9741882058902549"/>
    <n v="60.617357929304411"/>
    <n v="0.58763323913557708"/>
    <n v="2"/>
    <n v="-1"/>
    <n v="58.763323913557706"/>
    <n v="4"/>
    <n v="-0.41266003773366799"/>
    <b v="0"/>
    <s v="Cambio en corte"/>
    <n v="2"/>
    <n v="-1"/>
    <n v="0"/>
    <n v="0"/>
    <n v="0"/>
    <n v="0"/>
    <n v="0"/>
    <s v="Intermedio"/>
    <n v="6"/>
    <s v="Fuera SC"/>
    <m/>
    <s v="No"/>
    <s v="Si"/>
    <n v="27.4"/>
    <n v="10.188224994528344"/>
    <n v="9.2750684861408246"/>
    <s v="Bajo"/>
    <n v="5.0149451033858607"/>
    <s v="Medio Bajo"/>
    <n v="70792.891627000005"/>
    <n v="11945.344131350001"/>
    <n v="43923"/>
    <n v="1.6117499175147418"/>
    <n v="0.27196102568927444"/>
    <m/>
    <m/>
    <m/>
    <m/>
    <m/>
    <m/>
    <m/>
    <n v="66"/>
    <n v="0"/>
    <n v="5"/>
    <n v="53717.039459"/>
    <n v="36820.633573999999"/>
    <n v="0.68545537775036303"/>
    <s v="51% - 70%"/>
    <n v="1.071251032129687E-3"/>
    <n v="17.742535"/>
    <n v="3.3029621845675512E-4"/>
    <n v="0"/>
    <n v="0.96722401424583992"/>
    <s v="Aceptable"/>
    <n v="2"/>
    <s v="Candidato"/>
    <n v="0"/>
    <n v="0"/>
  </r>
  <r>
    <n v="68549"/>
    <s v="68549"/>
    <x v="0"/>
    <x v="0"/>
    <s v="PINCHOTE"/>
    <n v="64.627833333333299"/>
    <n v="64.05"/>
    <n v="64.72"/>
    <n v="67.37"/>
    <n v="41.998670618969534"/>
    <n v="68.674710229324788"/>
    <n v="66.791193942653166"/>
    <n v="69.664199999999994"/>
    <n v="65.191958333333332"/>
    <n v="61.782193697736872"/>
    <n v="63.487076015535102"/>
    <n v="47.55111667443493"/>
    <n v="52.44888332556507"/>
    <n v="0.57203994993008556"/>
    <n v="0"/>
    <n v="36.317143785134235"/>
    <n v="3"/>
    <n v="3"/>
    <b v="1"/>
    <x v="3"/>
    <n v="60.692851204414595"/>
    <n v="0.57735066702897664"/>
    <n v="35.041058126759197"/>
    <n v="2"/>
    <n v="0"/>
    <n v="2.7942248111205075"/>
    <n v="-5.3107170988910823E-3"/>
    <n v="1.2760856583750382"/>
    <n v="2"/>
    <b v="1"/>
    <n v="0"/>
    <n v="0.9741882058902549"/>
    <n v="59.126259825192854"/>
    <n v="0.56898117361869638"/>
    <n v="2"/>
    <n v="0"/>
    <n v="56.898117361869637"/>
    <n v="3"/>
    <n v="-0.40214825596016934"/>
    <b v="0"/>
    <n v="0"/>
    <n v="2"/>
    <n v="0"/>
    <n v="0"/>
    <n v="0"/>
    <n v="0"/>
    <n v="0"/>
    <n v="0"/>
    <s v="Rural"/>
    <n v="6"/>
    <s v="Fuera SC"/>
    <m/>
    <s v="No"/>
    <s v="Si"/>
    <n v="23.8"/>
    <n v="7.0675342158402517"/>
    <n v="0"/>
    <s v="Sin riesgo"/>
    <n v="1.5515042316901606"/>
    <s v="Medio Bajo"/>
    <n v="12685.27102"/>
    <n v="5359.5855637499999"/>
    <n v="6013"/>
    <n v="2.1096409479461169"/>
    <n v="0.89133303904041239"/>
    <m/>
    <m/>
    <m/>
    <m/>
    <m/>
    <m/>
    <m/>
    <n v="4"/>
    <n v="0"/>
    <n v="7"/>
    <n v="5545.5414280000005"/>
    <n v="2794.8306640000001"/>
    <n v="0.50397796144640028"/>
    <s v="31% - 50%"/>
    <n v="8.1312159591729965E-5"/>
    <s v="N.D."/>
    <s v="N.D."/>
    <s v="N.D."/>
    <n v="0.93515093319713283"/>
    <s v="Aceptable"/>
    <n v="3"/>
    <s v="Candidato"/>
    <n v="0"/>
    <n v="0"/>
  </r>
  <r>
    <n v="52694"/>
    <s v="52694"/>
    <x v="18"/>
    <x v="18"/>
    <s v="SAN PEDRO DE CARTAGO"/>
    <n v="62.288866666666699"/>
    <n v="48.64"/>
    <n v="47.64"/>
    <n v="50.14"/>
    <n v="60.538787884747599"/>
    <n v="50.86928359783392"/>
    <n v="71.101944013050357"/>
    <n v="57.115900000000003"/>
    <n v="52.177216666666666"/>
    <n v="59.906478873907972"/>
    <n v="56.041847770287319"/>
    <n v="48.869244881787033"/>
    <n v="51.130755118212967"/>
    <n v="0.56017679606391668"/>
    <n v="0"/>
    <n v="31.393342729461303"/>
    <n v="3"/>
    <n v="3"/>
    <b v="1"/>
    <x v="4"/>
    <n v="58.485243726285049"/>
    <n v="0.57360517609746298"/>
    <n v="33.547438526718778"/>
    <n v="3"/>
    <n v="0"/>
    <n v="-2.4433959559977296"/>
    <n v="-1.3428380033546294E-2"/>
    <n v="-2.1540957972574759"/>
    <n v="3"/>
    <b v="1"/>
    <n v="0"/>
    <n v="0.9741882058902549"/>
    <n v="56.975634656763916"/>
    <n v="0.54207911973426059"/>
    <n v="2"/>
    <n v="-1"/>
    <n v="54.207911973426057"/>
    <n v="4"/>
    <n v="-0.41401140982633822"/>
    <b v="0"/>
    <s v="Cambio en corte"/>
    <n v="3"/>
    <n v="0"/>
    <n v="0"/>
    <n v="0"/>
    <n v="0"/>
    <n v="0"/>
    <n v="0"/>
    <s v="Intermedio"/>
    <n v="6"/>
    <s v="Fuera SC"/>
    <m/>
    <s v="No"/>
    <s v="Si"/>
    <n v="54.6"/>
    <n v="22.48934875228241"/>
    <n v="63.690035208559166"/>
    <s v="Alto"/>
    <n v="1.4326512192793128"/>
    <s v="Medio Bajo"/>
    <n v="16963.229055"/>
    <n v="3151.06992025"/>
    <n v="6842"/>
    <n v="2.4792793123355743"/>
    <n v="0.46054807369921075"/>
    <m/>
    <m/>
    <m/>
    <m/>
    <m/>
    <m/>
    <m/>
    <n v="69"/>
    <n v="0"/>
    <n v="7"/>
    <n v="5568.9323130000002"/>
    <n v="2004.4165949999999"/>
    <n v="0.35992834574787907"/>
    <s v="31% - 50%"/>
    <n v="5.8316034728088964E-5"/>
    <s v="N.D."/>
    <s v="N.D."/>
    <s v="N.D."/>
    <n v="0.94532968428269171"/>
    <s v="Aceptable"/>
    <n v="1"/>
    <s v="Candidato"/>
    <n v="0"/>
    <n v="0"/>
  </r>
  <r>
    <n v="41615"/>
    <s v="41615"/>
    <x v="19"/>
    <x v="19"/>
    <s v="RIVERA"/>
    <n v="69.2453"/>
    <n v="59.6"/>
    <n v="64.489999999999995"/>
    <n v="85.97"/>
    <n v="55.46594442428335"/>
    <n v="61.551287188714909"/>
    <n v="63.028907415208337"/>
    <n v="59.9833"/>
    <n v="69.826324999999997"/>
    <n v="60.007359757051645"/>
    <n v="64.916842378525814"/>
    <n v="48.027729087458482"/>
    <n v="51.972270912541518"/>
    <n v="0.56775043821287363"/>
    <n v="0"/>
    <n v="36.85656570780408"/>
    <n v="3"/>
    <n v="3"/>
    <b v="1"/>
    <x v="3"/>
    <n v="62.69349629260541"/>
    <n v="0.57228721629564039"/>
    <n v="35.878686473136199"/>
    <n v="2"/>
    <n v="0"/>
    <n v="2.2233460859204044"/>
    <n v="-4.536778082766757E-3"/>
    <n v="0.97787923466788129"/>
    <n v="2"/>
    <b v="1"/>
    <n v="0"/>
    <n v="0.9741882058902549"/>
    <n v="61.075264674280611"/>
    <n v="0.59336116983602327"/>
    <n v="2"/>
    <n v="0"/>
    <n v="59.336116983602324"/>
    <n v="3"/>
    <n v="-0.40643776767738127"/>
    <b v="0"/>
    <n v="0"/>
    <n v="2"/>
    <n v="0"/>
    <n v="0"/>
    <n v="0"/>
    <n v="0"/>
    <n v="0"/>
    <n v="0"/>
    <s v="Intermedio"/>
    <n v="6"/>
    <s v="Fuera SC"/>
    <m/>
    <s v="No"/>
    <s v="Si"/>
    <n v="27.4"/>
    <n v="12.594350818893901"/>
    <n v="0.64818310421908587"/>
    <s v="Sin riesgo"/>
    <n v="1.8740736567256544"/>
    <s v="Medio Bajo"/>
    <n v="47089.712017999998"/>
    <n v="17468.104006000001"/>
    <n v="28367"/>
    <n v="1.6600173447315543"/>
    <n v="0.61578961490464279"/>
    <m/>
    <m/>
    <m/>
    <m/>
    <m/>
    <m/>
    <m/>
    <n v="71"/>
    <n v="0"/>
    <n v="7"/>
    <n v="25110.922895"/>
    <n v="10347.340856000001"/>
    <n v="0.41206533504430964"/>
    <s v="31% - 50%"/>
    <n v="3.0104315151205873E-4"/>
    <n v="950.10120199999994"/>
    <n v="3.7836172169887904E-2"/>
    <s v="0% - 30%"/>
    <n v="0.88314404568745597"/>
    <s v="Aceptable"/>
    <n v="2"/>
    <s v="Candidato"/>
    <n v="0"/>
    <n v="0"/>
  </r>
  <r>
    <n v="66045"/>
    <s v="66045"/>
    <x v="6"/>
    <x v="6"/>
    <s v="APÍA"/>
    <n v="60.474566666666703"/>
    <n v="54.47"/>
    <n v="52.93"/>
    <n v="65.010000000000005"/>
    <n v="57.818707727933301"/>
    <n v="54.1835884650827"/>
    <n v="55.537399162111342"/>
    <n v="47.854599999999998"/>
    <n v="58.221141666666682"/>
    <n v="53.848573838781839"/>
    <n v="56.034857752724264"/>
    <n v="48.905371825062389"/>
    <n v="51.094628174937611"/>
    <n v="0.55985165357443845"/>
    <n v="0"/>
    <n v="31.37120777067112"/>
    <n v="3"/>
    <n v="3"/>
    <b v="1"/>
    <x v="4"/>
    <n v="56.705319396915456"/>
    <n v="0.57217104677758257"/>
    <n v="32.445141957190273"/>
    <n v="3"/>
    <n v="0"/>
    <n v="-0.67046164419119236"/>
    <n v="-1.2319393203144124E-2"/>
    <n v="-1.0739341865191534"/>
    <n v="3"/>
    <b v="1"/>
    <n v="0"/>
    <n v="0.9741882058902549"/>
    <n v="55.241653367714939"/>
    <n v="0.52038884159682219"/>
    <n v="2"/>
    <n v="-1"/>
    <n v="52.038884159682219"/>
    <n v="4"/>
    <n v="-0.41433655231581645"/>
    <b v="0"/>
    <s v="Cambio en corte"/>
    <n v="2"/>
    <n v="-1"/>
    <n v="0"/>
    <n v="0"/>
    <n v="0"/>
    <n v="0"/>
    <n v="0"/>
    <s v="Intermedio"/>
    <n v="6"/>
    <s v="Fuera SC"/>
    <m/>
    <s v="No"/>
    <s v="Si"/>
    <n v="33.6"/>
    <n v="9.5666854248733824"/>
    <n v="37.854354370509164"/>
    <s v="Alto"/>
    <n v="2.8744760779644465"/>
    <s v="Medio Bajo"/>
    <n v="27072.945159999999"/>
    <n v="5036.0913879999998"/>
    <n v="12754"/>
    <n v="2.1227023020228946"/>
    <n v="0.39486368104124198"/>
    <m/>
    <m/>
    <m/>
    <m/>
    <m/>
    <m/>
    <m/>
    <n v="31"/>
    <n v="0"/>
    <n v="6"/>
    <n v="14997.960969"/>
    <n v="8901.9951390000006"/>
    <n v="0.59354702665248682"/>
    <s v="51% - 70%"/>
    <n v="2.5899259613503808E-4"/>
    <s v="N.D."/>
    <s v="N.D."/>
    <s v="N.D."/>
    <n v="0.96927324730128195"/>
    <s v="Aceptable"/>
    <n v="2"/>
    <s v="Candidato"/>
    <n v="0"/>
    <n v="0"/>
  </r>
  <r>
    <n v="63111"/>
    <s v="63111"/>
    <x v="7"/>
    <x v="7"/>
    <s v="BUENAVISTA"/>
    <n v="53.2383666666667"/>
    <n v="43.94"/>
    <n v="48.35"/>
    <n v="47.76"/>
    <n v="47.922091718936471"/>
    <n v="42.304750870841332"/>
    <n v="50.524331908697121"/>
    <n v="42.949800000000003"/>
    <n v="48.322091666666672"/>
    <n v="45.925243624618737"/>
    <n v="47.123667645642705"/>
    <n v="48.890025193336079"/>
    <n v="51.109974806663921"/>
    <n v="0.55998977325997523"/>
    <n v="0"/>
    <n v="26.388771960061888"/>
    <n v="4"/>
    <n v="4"/>
    <b v="1"/>
    <x v="5"/>
    <n v="49.023855294888669"/>
    <n v="0.57046285027599131"/>
    <n v="27.966288223039939"/>
    <n v="3"/>
    <n v="-1"/>
    <n v="-1.9001876492459644"/>
    <n v="-1.0473077016016075E-2"/>
    <n v="-1.577516262978051"/>
    <n v="4"/>
    <b v="1"/>
    <s v="Efecto ponderador"/>
    <n v="0.9741882058902549"/>
    <n v="47.758461635551065"/>
    <n v="0.42678200105505598"/>
    <n v="3"/>
    <n v="-1"/>
    <n v="42.678200105505596"/>
    <n v="4"/>
    <n v="-0.41419843263027967"/>
    <b v="1"/>
    <s v="Efecto ponderador"/>
    <n v="2"/>
    <n v="-2"/>
    <n v="0"/>
    <n v="0"/>
    <n v="0"/>
    <n v="0"/>
    <n v="0"/>
    <s v="Intermedio"/>
    <n v="6"/>
    <s v="Fuera SC"/>
    <m/>
    <s v="No"/>
    <s v="No"/>
    <n v="29"/>
    <n v="11.637448713166728"/>
    <n v="0"/>
    <s v="Sin riesgo"/>
    <n v="0"/>
    <s v="Bajo"/>
    <n v="5848.532518"/>
    <n v="1717.7614215000001"/>
    <n v="3199"/>
    <n v="1.8282377361675524"/>
    <n v="0.53696824679587374"/>
    <m/>
    <m/>
    <m/>
    <m/>
    <m/>
    <m/>
    <m/>
    <n v="16"/>
    <n v="0"/>
    <n v="7"/>
    <n v="3826.2992020000002"/>
    <n v="2927.0902740000001"/>
    <n v="0.76499252135588747"/>
    <s v="71% - 100%"/>
    <n v="8.5160090221082739E-5"/>
    <n v="19.343146999999998"/>
    <n v="5.055314803894418E-3"/>
    <s v="0% - 30%"/>
    <n v="0.82526695303003272"/>
    <s v="Crítico bajo"/>
    <n v="1"/>
    <s v="Candidato"/>
    <n v="0"/>
    <n v="0"/>
  </r>
  <r>
    <n v="15476"/>
    <s v="15476"/>
    <x v="10"/>
    <x v="10"/>
    <s v="MOTAVITA"/>
    <n v="81.145133333333305"/>
    <n v="85.91"/>
    <n v="52.87"/>
    <n v="53.76"/>
    <n v="62.345935740143879"/>
    <n v="69.586485860265327"/>
    <n v="60.778348465153869"/>
    <n v="67.001900000000006"/>
    <n v="68.421283333333321"/>
    <n v="64.928167516390772"/>
    <n v="66.674725424862046"/>
    <n v="49.868511764231812"/>
    <n v="50.131488235768188"/>
    <n v="0.55118339412191364"/>
    <n v="0"/>
    <n v="36.750001461822116"/>
    <n v="3"/>
    <n v="3"/>
    <b v="1"/>
    <x v="3"/>
    <n v="68.586326383722934"/>
    <n v="0.5708996998680268"/>
    <n v="39.15591314751795"/>
    <n v="2"/>
    <n v="0"/>
    <n v="-1.9116009588608875"/>
    <n v="-1.9716305746113161E-2"/>
    <n v="-2.405911685695834"/>
    <n v="2"/>
    <b v="1"/>
    <n v="0"/>
    <n v="0.9741882058902549"/>
    <n v="66.815990248362496"/>
    <n v="0.66517159547264315"/>
    <n v="1"/>
    <n v="-1"/>
    <n v="66.517159547264313"/>
    <n v="3"/>
    <n v="-0.42300481176834126"/>
    <b v="0"/>
    <s v="Cambio en corte"/>
    <n v="2"/>
    <n v="0"/>
    <n v="0"/>
    <n v="0"/>
    <n v="0"/>
    <n v="0"/>
    <n v="0"/>
    <s v="Intermedio"/>
    <n v="6"/>
    <s v="En aglomeración"/>
    <m/>
    <s v="No"/>
    <s v="No"/>
    <n v="49.8"/>
    <n v="15.269804822043628"/>
    <n v="11.808773756139225"/>
    <s v="Bajo"/>
    <n v="0"/>
    <s v="Bajo"/>
    <n v="18951.431648999998"/>
    <n v="3679.2740334"/>
    <n v="5281"/>
    <n v="3.5886066368112095"/>
    <n v="0.69670025249005874"/>
    <m/>
    <m/>
    <m/>
    <m/>
    <m/>
    <m/>
    <m/>
    <n v="79"/>
    <n v="0"/>
    <n v="7"/>
    <n v="5994.7279420000004"/>
    <n v="673.37899500000003"/>
    <n v="0.11232853292343788"/>
    <s v="0% - 30%"/>
    <n v="1.9591133377932172E-5"/>
    <s v="N.D."/>
    <s v="N.D."/>
    <s v="N.D."/>
    <n v="0.95119953158631687"/>
    <s v="Aceptable"/>
    <n v="2"/>
    <s v="No es Candidato"/>
    <n v="0"/>
    <n v="0"/>
  </r>
  <r>
    <n v="17665"/>
    <s v="17665"/>
    <x v="11"/>
    <x v="11"/>
    <s v="SAN JOSÉ"/>
    <n v="64.395033333333302"/>
    <n v="78.77"/>
    <n v="68.150000000000006"/>
    <n v="59.3"/>
    <n v="52.361551800967128"/>
    <n v="57.033669354025498"/>
    <n v="57.394112371157277"/>
    <n v="55.933199999999999"/>
    <n v="67.653758333333329"/>
    <n v="55.680633381537476"/>
    <n v="61.667195857435402"/>
    <n v="48.845473035182657"/>
    <n v="51.154526964817343"/>
    <n v="0.5603907426833562"/>
    <n v="0"/>
    <n v="34.55772568574821"/>
    <n v="3"/>
    <n v="3"/>
    <b v="1"/>
    <x v="4"/>
    <n v="61.163102424707901"/>
    <n v="0.57080472313285036"/>
    <n v="34.91218774548156"/>
    <n v="3"/>
    <n v="0"/>
    <n v="0.50409343272750107"/>
    <n v="-1.0413980449494153E-2"/>
    <n v="-0.35446205973335054"/>
    <n v="3"/>
    <b v="1"/>
    <n v="0"/>
    <n v="0.9741882058902549"/>
    <n v="59.58437301780809"/>
    <n v="0.57471168676149054"/>
    <n v="2"/>
    <n v="-1"/>
    <n v="57.471168676149055"/>
    <n v="4"/>
    <n v="-0.4137974632068987"/>
    <b v="0"/>
    <s v="Cambio en corte"/>
    <n v="2"/>
    <n v="-1"/>
    <n v="0"/>
    <n v="0"/>
    <n v="0"/>
    <n v="0"/>
    <n v="0"/>
    <s v="Intermedio"/>
    <n v="6"/>
    <s v="Fuera SC"/>
    <m/>
    <s v="No"/>
    <s v="No"/>
    <n v="39.9"/>
    <n v="13.7511071744907"/>
    <n v="49.307564928509805"/>
    <s v="Alto"/>
    <n v="0"/>
    <s v="Bajo"/>
    <n v="13261.749196000001"/>
    <n v="3710.0719429999999"/>
    <n v="5002"/>
    <n v="2.6512893234706119"/>
    <n v="0.7417177015193922"/>
    <m/>
    <m/>
    <m/>
    <m/>
    <m/>
    <m/>
    <m/>
    <n v="49"/>
    <n v="0"/>
    <n v="7"/>
    <n v="6096.0310440000003"/>
    <n v="0"/>
    <n v="0"/>
    <n v="0"/>
    <n v="0"/>
    <n v="61.454152000000001"/>
    <n v="1.0081010342046413E-2"/>
    <s v="0% - 30%"/>
    <n v="0.95726243129135535"/>
    <s v="Aceptable"/>
    <n v="1"/>
    <s v="Candidato"/>
    <n v="0"/>
    <n v="0"/>
  </r>
  <r>
    <n v="70742"/>
    <s v="70742"/>
    <x v="9"/>
    <x v="9"/>
    <s v="SAN LUIS DE SINCÉ"/>
    <n v="22.172633333333302"/>
    <n v="37.79"/>
    <n v="33.950000000000003"/>
    <n v="0"/>
    <n v="52.030605567363544"/>
    <n v="82.836508552576248"/>
    <n v="56.018003814791761"/>
    <n v="54.218200000000003"/>
    <n v="23.478158333333326"/>
    <n v="61.275829483682891"/>
    <n v="42.376993908508112"/>
    <n v="48.873092361251381"/>
    <n v="51.126907638748619"/>
    <n v="0.56014216874873757"/>
    <n v="0"/>
    <n v="23.737141272963775"/>
    <n v="4"/>
    <n v="4"/>
    <b v="1"/>
    <x v="5"/>
    <n v="44.758483883220684"/>
    <n v="0.57122729324977051"/>
    <n v="25.567267598575629"/>
    <n v="4"/>
    <n v="0"/>
    <n v="-2.3814899747125722"/>
    <n v="-1.1085124501032939E-2"/>
    <n v="-1.8301263256118538"/>
    <n v="4"/>
    <b v="1"/>
    <n v="0"/>
    <n v="0.9741882058902549"/>
    <n v="43.603187112562651"/>
    <n v="0.37480389684467968"/>
    <n v="3"/>
    <n v="-1"/>
    <n v="37.480389684467966"/>
    <n v="4"/>
    <n v="-0.41404603714151733"/>
    <b v="1"/>
    <s v="Efecto ponderador"/>
    <n v="3"/>
    <n v="-1"/>
    <n v="0"/>
    <n v="0"/>
    <n v="0"/>
    <n v="0"/>
    <n v="0"/>
    <s v="Intermedio"/>
    <n v="6"/>
    <s v="Fuera SC"/>
    <m/>
    <s v="No"/>
    <s v="Si"/>
    <n v="51.1"/>
    <n v="30.717503643831986"/>
    <n v="5.0999999999999996"/>
    <s v="Bajo"/>
    <n v="4.062967514178931"/>
    <s v="Medio Bajo"/>
    <n v="109837.552929"/>
    <n v="9729.1978039999995"/>
    <n v="32683"/>
    <n v="3.3606937223939051"/>
    <n v="0.29768374396475228"/>
    <m/>
    <m/>
    <m/>
    <m/>
    <m/>
    <m/>
    <m/>
    <n v="9"/>
    <n v="0"/>
    <n v="6"/>
    <n v="41871.906745"/>
    <n v="472.75748399999998"/>
    <n v="1.1290564981410903E-2"/>
    <s v="0% - 30%"/>
    <n v="1.3754297347008328E-5"/>
    <s v="N.D."/>
    <s v="N.D."/>
    <s v="N.D."/>
    <n v="0.87885964587628296"/>
    <s v="Aceptable"/>
    <n v="1"/>
    <s v="No es Candidato"/>
    <n v="0"/>
    <n v="0"/>
  </r>
  <r>
    <n v="52036"/>
    <s v="52036"/>
    <x v="18"/>
    <x v="18"/>
    <s v="ANCUYÁ"/>
    <n v="57.875866666666703"/>
    <n v="27.44"/>
    <n v="29.55"/>
    <n v="59.62"/>
    <n v="58.386914359301024"/>
    <n v="41.96085109011787"/>
    <n v="62.453593001270512"/>
    <n v="63.522599999999997"/>
    <n v="43.621466666666677"/>
    <n v="56.580989612672354"/>
    <n v="50.101228139669516"/>
    <n v="49.019861517390453"/>
    <n v="50.980138482609547"/>
    <n v="0.55882124634348596"/>
    <n v="0"/>
    <n v="27.997630752349448"/>
    <n v="4"/>
    <n v="4"/>
    <b v="1"/>
    <x v="5"/>
    <n v="49.340951922797927"/>
    <n v="0.57149044341308319"/>
    <n v="28.197882492783407"/>
    <n v="3"/>
    <n v="-1"/>
    <n v="0.76027621687158842"/>
    <n v="-1.2669197069597238E-2"/>
    <n v="-0.20025174043395921"/>
    <n v="3"/>
    <b v="0"/>
    <s v="Cambio en corte"/>
    <n v="0.9741882058902549"/>
    <n v="48.067373430587836"/>
    <n v="0.43064616198724104"/>
    <n v="3"/>
    <n v="-1"/>
    <n v="43.064616198724103"/>
    <n v="4"/>
    <n v="-0.41536695954676894"/>
    <b v="1"/>
    <s v="Efecto ponderador"/>
    <n v="3"/>
    <n v="-1"/>
    <n v="0"/>
    <n v="0"/>
    <n v="0"/>
    <n v="0"/>
    <n v="0"/>
    <s v="Intermedio"/>
    <n v="6"/>
    <s v="Fuera SC"/>
    <m/>
    <s v="No"/>
    <s v="Si"/>
    <n v="22.2"/>
    <n v="10.800695094238739"/>
    <n v="50.231905233716176"/>
    <s v="Alto"/>
    <n v="28.116604118234513"/>
    <s v="Muy Alto"/>
    <n v="18835.907714000001"/>
    <n v="3049.4914990000002"/>
    <n v="8823"/>
    <n v="2.1348642994446334"/>
    <n v="0.34562977433979375"/>
    <m/>
    <m/>
    <m/>
    <m/>
    <m/>
    <m/>
    <m/>
    <n v="70"/>
    <n v="0"/>
    <n v="7"/>
    <n v="6897.8111010000002"/>
    <n v="6.5870290000000002"/>
    <n v="9.5494482286490208E-4"/>
    <n v="0"/>
    <n v="1.9164150450417179E-7"/>
    <s v="N.D."/>
    <s v="N.D."/>
    <s v="N.D."/>
    <n v="0.92798396539445083"/>
    <s v="Aceptable"/>
    <n v="2"/>
    <s v="Candidato"/>
    <n v="0"/>
    <n v="0"/>
  </r>
  <r>
    <n v="8606"/>
    <s v="08606"/>
    <x v="2"/>
    <x v="2"/>
    <s v="REPELÓN"/>
    <n v="53.815166666666698"/>
    <n v="26.38"/>
    <n v="34.9"/>
    <n v="49.43"/>
    <n v="39.712173074632332"/>
    <n v="46.358902105358915"/>
    <n v="50.235180460617855"/>
    <n v="53.614199999999997"/>
    <n v="41.131291666666677"/>
    <n v="47.480113910152269"/>
    <n v="44.305702788409477"/>
    <n v="48.540718071413217"/>
    <n v="51.459281928586783"/>
    <n v="0.56313353735728111"/>
    <n v="0"/>
    <n v="24.950027136337383"/>
    <n v="4"/>
    <n v="4"/>
    <b v="1"/>
    <x v="5"/>
    <n v="41.405705621389828"/>
    <n v="0.57073413985608756"/>
    <n v="23.631649782958291"/>
    <n v="4"/>
    <n v="0"/>
    <n v="2.8999971670196487"/>
    <n v="-7.6006024988064524E-3"/>
    <n v="1.3183773533790912"/>
    <n v="4"/>
    <b v="1"/>
    <n v="0"/>
    <n v="0.9741882058902549"/>
    <n v="40.336950072921795"/>
    <n v="0.33394671441714052"/>
    <n v="4"/>
    <n v="0"/>
    <n v="33.394671441714053"/>
    <n v="4"/>
    <n v="-0.41105466853297379"/>
    <b v="1"/>
    <n v="0"/>
    <n v="3"/>
    <n v="-1"/>
    <n v="0"/>
    <n v="0"/>
    <n v="0"/>
    <n v="0"/>
    <n v="0"/>
    <s v="Intermedio"/>
    <n v="6"/>
    <s v="Fuera SC"/>
    <m/>
    <s v="No"/>
    <s v="No"/>
    <n v="54.6"/>
    <n v="29.532335964188949"/>
    <n v="2.0968598605695381"/>
    <s v="Sin riesgo"/>
    <n v="0.8223520919350743"/>
    <s v="Medio Bajo"/>
    <n v="53193.415489999999"/>
    <n v="9545.6443849999996"/>
    <n v="29894"/>
    <n v="1.7794010667692512"/>
    <n v="0.31931639743761286"/>
    <m/>
    <m/>
    <m/>
    <m/>
    <m/>
    <m/>
    <m/>
    <n v="77"/>
    <n v="0"/>
    <n v="7"/>
    <n v="35834.406061000002"/>
    <n v="4378.1628090000004"/>
    <n v="0.12217763011188645"/>
    <s v="0% - 30%"/>
    <n v="1.2737726032191008E-4"/>
    <n v="315.716296"/>
    <n v="8.8104235762290622E-3"/>
    <s v="0% - 30%"/>
    <n v="0.95511778404356273"/>
    <s v="Aceptable"/>
    <n v="1"/>
    <s v="Candidato"/>
    <n v="0"/>
    <n v="0"/>
  </r>
  <r>
    <n v="5209"/>
    <s v="05209"/>
    <x v="1"/>
    <x v="1"/>
    <s v="CONCORDIA"/>
    <n v="67.549633333333304"/>
    <n v="65.56"/>
    <n v="65.47"/>
    <n v="74.55"/>
    <n v="40.817729292811926"/>
    <n v="45.642947356700027"/>
    <n v="54.756986592024937"/>
    <n v="46.758200000000002"/>
    <n v="68.282408333333322"/>
    <n v="46.993965810384225"/>
    <n v="57.638187071858773"/>
    <n v="48.309158543355409"/>
    <n v="51.690841456644591"/>
    <n v="0.56521757310980125"/>
    <n v="0"/>
    <n v="32.578116215204737"/>
    <n v="3"/>
    <n v="3"/>
    <b v="1"/>
    <x v="4"/>
    <n v="56.894294018872039"/>
    <n v="0.57124544915183162"/>
    <n v="32.500606540986922"/>
    <n v="3"/>
    <n v="0"/>
    <n v="0.74389305298673492"/>
    <n v="-6.0278760420303668E-3"/>
    <n v="7.7509674217814961E-2"/>
    <n v="3"/>
    <b v="1"/>
    <n v="0"/>
    <n v="0.9741882058902549"/>
    <n v="55.425750215637613"/>
    <n v="0.52269169910796565"/>
    <n v="2"/>
    <n v="-1"/>
    <n v="52.269169910796563"/>
    <n v="4"/>
    <n v="-0.40897063278045365"/>
    <b v="0"/>
    <s v="Cambio en corte"/>
    <n v="2"/>
    <n v="-1"/>
    <n v="0"/>
    <n v="0"/>
    <n v="0"/>
    <n v="0"/>
    <n v="0"/>
    <s v="Intermedio"/>
    <n v="6"/>
    <s v="Fuera SC"/>
    <m/>
    <s v="No"/>
    <s v="Si"/>
    <n v="48.5"/>
    <n v="18.539500715931023"/>
    <n v="0.57540540540540552"/>
    <s v="Sin riesgo"/>
    <n v="7.5257246782559459"/>
    <s v="Medio"/>
    <n v="47428.492294000003"/>
    <n v="10442.588010200001"/>
    <n v="22182"/>
    <n v="2.1381522087277975"/>
    <n v="0.47076855153728253"/>
    <m/>
    <m/>
    <m/>
    <m/>
    <m/>
    <m/>
    <m/>
    <n v="83"/>
    <n v="0"/>
    <n v="6"/>
    <n v="24788.694582"/>
    <n v="1102.3835630000001"/>
    <n v="4.447122293404196E-2"/>
    <s v="0% - 30%"/>
    <n v="3.2072493464654468E-5"/>
    <s v="N.D."/>
    <s v="N.D."/>
    <s v="N.D."/>
    <n v="0.92645023395656434"/>
    <s v="Aceptable"/>
    <n v="2"/>
    <s v="Candidato"/>
    <n v="0"/>
    <n v="0"/>
  </r>
  <r>
    <n v="25328"/>
    <s v="25328"/>
    <x v="5"/>
    <x v="5"/>
    <s v="GUAYABAL DE SÍQUIMA"/>
    <n v="63.3046333333333"/>
    <n v="66.42"/>
    <n v="62.02"/>
    <n v="69.739999999999995"/>
    <n v="67.895948610165604"/>
    <n v="58.880807903162612"/>
    <n v="65.604145749694752"/>
    <n v="51.347200000000001"/>
    <n v="65.371158333333327"/>
    <n v="60.932025565755737"/>
    <n v="63.151591949544532"/>
    <n v="49.238234353750308"/>
    <n v="50.761765646249692"/>
    <n v="0.5568558908162472"/>
    <n v="0"/>
    <n v="35.166335991527767"/>
    <n v="3"/>
    <n v="3"/>
    <b v="1"/>
    <x v="4"/>
    <n v="63.189956343955323"/>
    <n v="0.56839026701988149"/>
    <n v="35.916556159315419"/>
    <n v="2"/>
    <n v="-1"/>
    <n v="-3.8364394410791647E-2"/>
    <n v="-1.1534376203634289E-2"/>
    <n v="-0.75022016778765277"/>
    <n v="2"/>
    <b v="0"/>
    <s v="Cambio en corte"/>
    <n v="0.81759069605862034"/>
    <n v="51.663520391168262"/>
    <n v="0.47563016976789824"/>
    <n v="3"/>
    <n v="0"/>
    <n v="47.563016976789825"/>
    <n v="4"/>
    <n v="-0.26073480524237314"/>
    <b v="0"/>
    <n v="0"/>
    <n v="2"/>
    <n v="-1"/>
    <n v="0"/>
    <n v="0"/>
    <n v="0"/>
    <n v="0"/>
    <n v="1"/>
    <s v="Intermedio"/>
    <n v="6"/>
    <s v="Fuera SC"/>
    <m/>
    <s v="No"/>
    <s v="No"/>
    <n v="29.4"/>
    <n v="10.321864594894562"/>
    <n v="0.70725548060708265"/>
    <s v="Sin riesgo"/>
    <n v="1.6524273224894241"/>
    <s v="Medio Bajo"/>
    <n v="11414.947917"/>
    <n v="3652.6160049999999"/>
    <n v="5062"/>
    <n v="2.2550272455551164"/>
    <n v="0.72157566278150931"/>
    <m/>
    <m/>
    <m/>
    <m/>
    <m/>
    <m/>
    <m/>
    <n v="59"/>
    <n v="0"/>
    <n v="7"/>
    <n v="6183.9740259999999"/>
    <n v="3290.0013739999999"/>
    <n v="0.53202056803076225"/>
    <s v="51% - 70%"/>
    <n v="9.5718542173436972E-5"/>
    <s v="N.D."/>
    <s v="N.D."/>
    <s v="N.D."/>
    <n v="0.9670146581070721"/>
    <s v="Aceptable"/>
    <n v="2"/>
    <s v="Candidato"/>
    <n v="0"/>
    <n v="0"/>
  </r>
  <r>
    <n v="66383"/>
    <s v="66383"/>
    <x v="6"/>
    <x v="6"/>
    <s v="LA CELIA"/>
    <n v="54.124233333333301"/>
    <n v="58.22"/>
    <n v="53.14"/>
    <n v="54.07"/>
    <n v="52.990977884702296"/>
    <n v="62.569126143334998"/>
    <n v="58.196904263269147"/>
    <n v="52.644399999999997"/>
    <n v="54.888558333333322"/>
    <n v="56.60035207282661"/>
    <n v="55.744455203079966"/>
    <n v="49.174681661279493"/>
    <n v="50.825318338720507"/>
    <n v="0.55742786504848452"/>
    <n v="0"/>
    <n v="31.073512652143748"/>
    <n v="3"/>
    <n v="3"/>
    <b v="1"/>
    <x v="4"/>
    <n v="54.772385708099492"/>
    <n v="0.56942683677489792"/>
    <n v="31.188866336377721"/>
    <n v="3"/>
    <n v="0"/>
    <n v="0.97206949498047379"/>
    <n v="-1.1998971726413399E-2"/>
    <n v="-0.1153536842339733"/>
    <n v="3"/>
    <b v="1"/>
    <n v="0"/>
    <n v="0.9741882058902549"/>
    <n v="53.358612165302482"/>
    <n v="0.49683398106716575"/>
    <n v="2"/>
    <n v="-1"/>
    <n v="49.683398106716574"/>
    <n v="4"/>
    <n v="-0.41676034084177038"/>
    <b v="0"/>
    <s v="Cambio en corte"/>
    <n v="3"/>
    <n v="0"/>
    <n v="0"/>
    <n v="0"/>
    <n v="0"/>
    <n v="0"/>
    <n v="0"/>
    <s v="Intermedio"/>
    <n v="6"/>
    <s v="Fuera SC"/>
    <m/>
    <s v="No"/>
    <s v="No"/>
    <n v="37.5"/>
    <n v="12.138446538836529"/>
    <n v="39.655453002610969"/>
    <s v="Alto"/>
    <n v="2.3963007563059064"/>
    <s v="Medio Bajo"/>
    <n v="16879.477906"/>
    <n v="3106.5203736999997"/>
    <n v="7749"/>
    <n v="2.1782782173183635"/>
    <n v="0.40089306667957153"/>
    <m/>
    <m/>
    <m/>
    <m/>
    <m/>
    <m/>
    <m/>
    <n v="49"/>
    <n v="0"/>
    <n v="7"/>
    <n v="9247.5512909999998"/>
    <n v="558.65329899999995"/>
    <n v="6.0410943548234057E-2"/>
    <s v="0% - 30%"/>
    <n v="1.6253330403825293E-5"/>
    <s v="N.D."/>
    <s v="N.D."/>
    <s v="N.D."/>
    <n v="0.88044299978414409"/>
    <s v="Aceptable"/>
    <n v="1"/>
    <s v="Candidato"/>
    <n v="0"/>
    <n v="0"/>
  </r>
  <r>
    <n v="15820"/>
    <s v="15820"/>
    <x v="10"/>
    <x v="10"/>
    <s v="TÓPAGA"/>
    <n v="51.3975333333333"/>
    <n v="70.92"/>
    <n v="66.14"/>
    <n v="90.85"/>
    <n v="51.635402947787142"/>
    <n v="58.05914869996608"/>
    <n v="54.088996887795979"/>
    <n v="53.583399999999997"/>
    <n v="69.826883333333313"/>
    <n v="54.341737133887307"/>
    <n v="62.08431023361031"/>
    <n v="49.425509551820063"/>
    <n v="50.574490448179937"/>
    <n v="0.55517041403361944"/>
    <n v="0"/>
    <n v="34.467372217385112"/>
    <n v="3"/>
    <n v="3"/>
    <b v="1"/>
    <x v="4"/>
    <n v="55.316653066586916"/>
    <n v="0.56986573780907201"/>
    <n v="31.523065312919019"/>
    <n v="3"/>
    <n v="0"/>
    <n v="6.767657167023394"/>
    <n v="-1.4695323775452573E-2"/>
    <n v="2.9443069044660923"/>
    <n v="3"/>
    <b v="1"/>
    <n v="0"/>
    <n v="0.9741882058902549"/>
    <n v="53.888831006791975"/>
    <n v="0.5034664598708587"/>
    <n v="2"/>
    <n v="-1"/>
    <n v="50.346645987085871"/>
    <n v="4"/>
    <n v="-0.41901779185663546"/>
    <b v="0"/>
    <s v="Cambio en corte"/>
    <n v="2"/>
    <n v="-1"/>
    <n v="0"/>
    <n v="0"/>
    <n v="0"/>
    <n v="0"/>
    <n v="0"/>
    <s v="Intermedio"/>
    <n v="6"/>
    <s v="En aglomeración"/>
    <m/>
    <s v="No"/>
    <s v="No"/>
    <n v="28.7"/>
    <n v="12.149532710280374"/>
    <n v="39.450291462470972"/>
    <s v="Alto"/>
    <n v="0"/>
    <s v="Bajo"/>
    <n v="9309.5765420000007"/>
    <n v="2892.0107607499999"/>
    <n v="3720"/>
    <n v="2.5025743392473121"/>
    <n v="0.7774222475134408"/>
    <m/>
    <m/>
    <m/>
    <m/>
    <m/>
    <m/>
    <m/>
    <n v="62"/>
    <n v="0"/>
    <n v="7"/>
    <n v="3355.898545"/>
    <n v="1125.2805860000001"/>
    <n v="0.33531424472786026"/>
    <s v="31% - 50%"/>
    <n v="3.2738654177835875E-5"/>
    <s v="N.D."/>
    <s v="N.D."/>
    <s v="N.D."/>
    <n v="0.97062506411992699"/>
    <s v="Aceptable"/>
    <n v="2"/>
    <s v="Candidato"/>
    <n v="0"/>
    <n v="0"/>
  </r>
  <r>
    <n v="47205"/>
    <s v="47205"/>
    <x v="17"/>
    <x v="17"/>
    <s v="CONCORDIA"/>
    <n v="71.805599999999998"/>
    <n v="40.89"/>
    <n v="32.130000000000003"/>
    <n v="48.41"/>
    <n v="41.785665201152433"/>
    <n v="46.600784729039724"/>
    <n v="51.20415134250608"/>
    <n v="55.2881"/>
    <n v="48.308900000000001"/>
    <n v="48.719675318174552"/>
    <n v="48.514287659087273"/>
    <n v="49.244049179670171"/>
    <n v="50.755950820329829"/>
    <n v="0.55680355738296849"/>
    <n v="0"/>
    <n v="27.012927952480442"/>
    <n v="4"/>
    <n v="4"/>
    <b v="1"/>
    <x v="5"/>
    <n v="50.120104103127311"/>
    <n v="0.5688400643200564"/>
    <n v="28.510323241750861"/>
    <n v="3"/>
    <n v="-1"/>
    <n v="-1.6058164440400375"/>
    <n v="-1.203650693708791E-2"/>
    <n v="-1.4973952892704183"/>
    <n v="4"/>
    <b v="1"/>
    <s v="Efecto ponderador"/>
    <n v="0.9741882058902549"/>
    <n v="48.826414295258395"/>
    <n v="0.44014096309978129"/>
    <n v="3"/>
    <n v="-1"/>
    <n v="44.014096309978129"/>
    <n v="4"/>
    <n v="-0.4173846485072864"/>
    <b v="1"/>
    <s v="Efecto ponderador"/>
    <n v="3"/>
    <n v="-1"/>
    <n v="0"/>
    <n v="0"/>
    <n v="0"/>
    <n v="0"/>
    <n v="0"/>
    <s v="Intermedio"/>
    <n v="6"/>
    <s v="Fuera SC"/>
    <m/>
    <s v="No"/>
    <s v="No"/>
    <n v="67.900000000000006"/>
    <n v="31.721929552732156"/>
    <n v="45"/>
    <s v="Alto"/>
    <n v="0.72542841282248249"/>
    <s v="Medio Bajo"/>
    <n v="27526.290734999999"/>
    <n v="4421.6766189999998"/>
    <n v="11170"/>
    <n v="2.4643053478066248"/>
    <n v="0.39585287547000891"/>
    <m/>
    <m/>
    <m/>
    <m/>
    <m/>
    <m/>
    <m/>
    <n v="74"/>
    <n v="0"/>
    <n v="7"/>
    <n v="10939.500173"/>
    <n v="10693.309678"/>
    <n v="0.97749527024940053"/>
    <s v="71% - 100%"/>
    <n v="3.111086887306767E-4"/>
    <s v="N.D."/>
    <s v="N.D."/>
    <s v="N.D."/>
    <n v="0.91187706754336428"/>
    <s v="Aceptable"/>
    <n v="1"/>
    <s v="Candidato"/>
    <n v="0"/>
    <n v="0"/>
  </r>
  <r>
    <n v="25769"/>
    <s v="25769"/>
    <x v="5"/>
    <x v="5"/>
    <s v="SUBACHOQUE"/>
    <n v="91.3136333333333"/>
    <n v="82.44"/>
    <n v="74.17"/>
    <n v="69.86"/>
    <n v="67.688691876790386"/>
    <n v="65.739722945168381"/>
    <n v="67.995238932455891"/>
    <n v="74.325800000000001"/>
    <n v="79.445908333333335"/>
    <n v="68.937363438603668"/>
    <n v="74.191635885968509"/>
    <n v="49.211887288017621"/>
    <n v="50.788112711982379"/>
    <n v="0.55709301440784142"/>
    <n v="0"/>
    <n v="41.331642079563181"/>
    <n v="2"/>
    <n v="2"/>
    <b v="1"/>
    <x v="3"/>
    <n v="74.901953236761571"/>
    <n v="0.56756906825438813"/>
    <n v="42.512031809022517"/>
    <n v="2"/>
    <n v="0"/>
    <n v="-0.71031735079306202"/>
    <n v="-1.0476053846546707E-2"/>
    <n v="-1.1803897294593355"/>
    <n v="2"/>
    <b v="1"/>
    <n v="0"/>
    <n v="0.81759069605862034"/>
    <n v="61.239140082994126"/>
    <n v="0.59541107845806618"/>
    <n v="2"/>
    <n v="0"/>
    <n v="59.541107845806621"/>
    <n v="3"/>
    <n v="-0.26049768165077891"/>
    <b v="0"/>
    <n v="0"/>
    <n v="1"/>
    <n v="-1"/>
    <n v="0"/>
    <n v="0"/>
    <n v="0"/>
    <n v="0"/>
    <n v="0"/>
    <s v="Intermedio"/>
    <n v="6"/>
    <s v="Fuera SC"/>
    <m/>
    <s v="No"/>
    <s v="No"/>
    <n v="12.6"/>
    <n v="3.7483176312247646"/>
    <n v="6.8841575253798464"/>
    <s v="Bajo"/>
    <n v="0.4850661599874907"/>
    <s v="Medio Bajo"/>
    <n v="22364.262124000001"/>
    <n v="12464.631243649999"/>
    <n v="17703"/>
    <n v="1.2633035148844829"/>
    <n v="0.70409711594927404"/>
    <m/>
    <m/>
    <m/>
    <m/>
    <m/>
    <m/>
    <m/>
    <n v="59"/>
    <n v="0"/>
    <n v="7"/>
    <n v="20896.738284999999"/>
    <n v="13632.749578999999"/>
    <n v="0.6523864821901797"/>
    <s v="51% - 70%"/>
    <n v="3.9662807615514892E-4"/>
    <s v="N.D."/>
    <s v="N.D."/>
    <s v="N.D."/>
    <n v="0.99711995712636903"/>
    <s v="Aceptable"/>
    <n v="3"/>
    <s v="Candidato"/>
    <n v="0"/>
    <n v="0"/>
  </r>
  <r>
    <n v="19780"/>
    <s v="19780"/>
    <x v="13"/>
    <x v="13"/>
    <s v="SUÁREZ"/>
    <n v="49.210566666666701"/>
    <n v="79.89"/>
    <n v="26.42"/>
    <n v="36.68"/>
    <n v="55.033613691260847"/>
    <n v="57.350608996626889"/>
    <n v="53.082712363078414"/>
    <n v="51.084000000000003"/>
    <n v="48.050141666666676"/>
    <n v="54.137733762741533"/>
    <n v="51.093937714704104"/>
    <n v="48.439429654124744"/>
    <n v="51.560570345875256"/>
    <n v="0.56404513311287729"/>
    <n v="0"/>
    <n v="28.819286899551336"/>
    <n v="4"/>
    <n v="4"/>
    <b v="1"/>
    <x v="4"/>
    <n v="53.539331843871182"/>
    <n v="0.56949279508545148"/>
    <n v="30.490263738773717"/>
    <n v="3"/>
    <n v="0"/>
    <n v="-2.4453941291670773"/>
    <n v="-5.4476619725741804E-3"/>
    <n v="-1.6709768392223801"/>
    <n v="3"/>
    <b v="1"/>
    <n v="0"/>
    <n v="0.9741882058902549"/>
    <n v="52.157385633543861"/>
    <n v="0.48180790336698182"/>
    <n v="2"/>
    <n v="-1"/>
    <n v="48.18079033669818"/>
    <n v="4"/>
    <n v="-0.4101430727773776"/>
    <b v="0"/>
    <s v="Cambio en corte"/>
    <n v="3"/>
    <n v="0"/>
    <n v="0"/>
    <n v="0"/>
    <n v="0"/>
    <n v="1"/>
    <n v="1"/>
    <s v="Rural"/>
    <n v="6"/>
    <s v="Fuera SC"/>
    <m/>
    <s v="No"/>
    <s v="No"/>
    <n v="44.1"/>
    <n v="28.57215654300856"/>
    <n v="2.3287499999999999"/>
    <s v="Sin riesgo"/>
    <n v="50.050259517901807"/>
    <s v="Muy Alto"/>
    <n v="46178.912484"/>
    <n v="7622.4000321000003"/>
    <n v="37158"/>
    <n v="1.2427717445502988"/>
    <n v="0.20513483051025352"/>
    <m/>
    <m/>
    <m/>
    <m/>
    <m/>
    <m/>
    <m/>
    <n v="32"/>
    <n v="0"/>
    <n v="7"/>
    <n v="39258.508769"/>
    <n v="9417.5022430000008"/>
    <n v="0.23988435980625977"/>
    <s v="0% - 30%"/>
    <n v="2.7399064107960243E-4"/>
    <n v="594.78389200000004"/>
    <n v="1.515044535949526E-2"/>
    <s v="0% - 30%"/>
    <n v="0.93745746677486985"/>
    <s v="Aceptable"/>
    <n v="1"/>
    <s v="Candidato"/>
    <n v="0"/>
    <n v="0"/>
  </r>
  <r>
    <n v="15778"/>
    <s v="15778"/>
    <x v="10"/>
    <x v="10"/>
    <s v="SUTATENZA"/>
    <n v="75.674766666666699"/>
    <n v="57.58"/>
    <n v="62.77"/>
    <n v="57.26"/>
    <n v="47.813523517134918"/>
    <n v="42.849072309845326"/>
    <n v="47.930746981359128"/>
    <n v="62.290100000000002"/>
    <n v="63.321191666666671"/>
    <n v="50.220860702084842"/>
    <n v="56.771026184375756"/>
    <n v="49.451541471675881"/>
    <n v="50.548458528324119"/>
    <n v="0.55493612675491699"/>
    <n v="0"/>
    <n v="31.504293382659455"/>
    <n v="3"/>
    <n v="3"/>
    <b v="1"/>
    <x v="4"/>
    <n v="58.70219920188633"/>
    <n v="0.56951742324544263"/>
    <n v="33.431925228298979"/>
    <n v="3"/>
    <n v="0"/>
    <n v="-1.9311730175105737"/>
    <n v="-1.4581296490525641E-2"/>
    <n v="-1.9276318456395245"/>
    <n v="3"/>
    <b v="1"/>
    <n v="0"/>
    <n v="0.9741882058902549"/>
    <n v="57.186990122297999"/>
    <n v="0.54472295381843139"/>
    <n v="2"/>
    <n v="-1"/>
    <n v="54.472295381843139"/>
    <n v="4"/>
    <n v="-0.41925207913533791"/>
    <b v="0"/>
    <s v="Cambio en corte"/>
    <n v="2"/>
    <n v="-1"/>
    <n v="0"/>
    <n v="0"/>
    <n v="0"/>
    <n v="0"/>
    <n v="0"/>
    <s v="Intermedio"/>
    <n v="6"/>
    <s v="Fuera SC"/>
    <m/>
    <s v="No"/>
    <s v="No"/>
    <n v="47.4"/>
    <n v="11.749497270899166"/>
    <n v="23.109634353741502"/>
    <s v="Medio"/>
    <n v="0"/>
    <s v="Bajo"/>
    <n v="15286.281138"/>
    <n v="3571.0165013999999"/>
    <n v="4257"/>
    <n v="3.5908576786469344"/>
    <n v="0.83885752910500355"/>
    <m/>
    <m/>
    <m/>
    <m/>
    <m/>
    <m/>
    <m/>
    <n v="98"/>
    <n v="0"/>
    <n v="7"/>
    <n v="4106.3501100000003"/>
    <n v="259.68096000000003"/>
    <n v="6.3238874680366694E-2"/>
    <s v="0% - 30%"/>
    <n v="7.5550980366850751E-6"/>
    <s v="N.D."/>
    <s v="N.D."/>
    <s v="N.D."/>
    <n v="0.90297959461521882"/>
    <s v="Aceptable"/>
    <n v="2"/>
    <s v="Candidato"/>
    <n v="0"/>
    <n v="0"/>
  </r>
  <r>
    <n v="70110"/>
    <s v="70110"/>
    <x v="9"/>
    <x v="9"/>
    <s v="BUENAVISTA"/>
    <n v="47.211433333333297"/>
    <n v="60.72"/>
    <n v="57.04"/>
    <n v="63.71"/>
    <n v="48.433273008138855"/>
    <n v="63.046281139229784"/>
    <n v="55.398077337434231"/>
    <n v="59.131300000000003"/>
    <n v="57.170358333333326"/>
    <n v="56.502232871200718"/>
    <n v="56.836295602267022"/>
    <n v="48.678434844081259"/>
    <n v="51.321565155918741"/>
    <n v="0.56189408640326866"/>
    <n v="0"/>
    <n v="31.935978391981944"/>
    <n v="3"/>
    <n v="3"/>
    <b v="1"/>
    <x v="4"/>
    <n v="55.25351061480329"/>
    <n v="0.56788636349790156"/>
    <n v="31.377715213533342"/>
    <n v="3"/>
    <n v="0"/>
    <n v="1.5827849874637323"/>
    <n v="-5.9922770946329029E-3"/>
    <n v="0.55826317844860185"/>
    <n v="3"/>
    <b v="1"/>
    <n v="0"/>
    <n v="0.81759069605862034"/>
    <n v="45.17475620323939"/>
    <n v="0.39446256957907549"/>
    <n v="3"/>
    <n v="0"/>
    <n v="39.446256957907551"/>
    <n v="4"/>
    <n v="-0.25569660965535168"/>
    <b v="0"/>
    <n v="0"/>
    <n v="3"/>
    <n v="0"/>
    <n v="0"/>
    <n v="0"/>
    <n v="0"/>
    <n v="0"/>
    <n v="0"/>
    <s v="Intermedio"/>
    <n v="6"/>
    <s v="Fuera SC"/>
    <m/>
    <s v="No"/>
    <s v="No"/>
    <n v="49.1"/>
    <n v="36.571714142928535"/>
    <n v="9.2017583373460283"/>
    <s v="Bajo"/>
    <n v="2.6348709821578291"/>
    <s v="Medio Bajo"/>
    <n v="39784.053284000001"/>
    <n v="6447.1731739999996"/>
    <n v="11927"/>
    <n v="3.335629519912803"/>
    <n v="0.54055279399681389"/>
    <m/>
    <m/>
    <m/>
    <m/>
    <m/>
    <m/>
    <m/>
    <n v="9"/>
    <n v="0"/>
    <n v="7"/>
    <n v="14640.010668999999"/>
    <n v="93.420837000000006"/>
    <n v="6.3812000627716213E-3"/>
    <s v="0% - 30%"/>
    <n v="2.7179643136107337E-6"/>
    <s v="N.D."/>
    <s v="N.D."/>
    <s v="N.D."/>
    <n v="0.98248282275779353"/>
    <s v="Aceptable"/>
    <n v="2"/>
    <s v="Candidato"/>
    <n v="0"/>
    <n v="0"/>
  </r>
  <r>
    <n v="15204"/>
    <s v="15204"/>
    <x v="10"/>
    <x v="10"/>
    <s v="CÓMBITA"/>
    <n v="67.388999999999996"/>
    <n v="84.75"/>
    <n v="85.99"/>
    <n v="89.77"/>
    <n v="69.458743415022468"/>
    <n v="66.491821400284891"/>
    <n v="61.369204168814107"/>
    <n v="58.732199999999999"/>
    <n v="81.97475"/>
    <n v="64.012992246030365"/>
    <n v="72.993871123015182"/>
    <n v="49.205179105838027"/>
    <n v="50.794820894161973"/>
    <n v="0.55715338804745773"/>
    <n v="0"/>
    <n v="40.668782602887397"/>
    <n v="2"/>
    <n v="2"/>
    <b v="1"/>
    <x v="3"/>
    <n v="68.477301945905268"/>
    <n v="0.56690946831920286"/>
    <n v="38.820430838086672"/>
    <n v="2"/>
    <n v="0"/>
    <n v="4.5165691771099148"/>
    <n v="-9.7560802717451267E-3"/>
    <n v="1.8483517648007251"/>
    <n v="2"/>
    <b v="1"/>
    <n v="0"/>
    <n v="0.81759069605862034"/>
    <n v="55.986404962169004"/>
    <n v="0.52970489900126472"/>
    <n v="2"/>
    <n v="0"/>
    <n v="52.970489900126474"/>
    <n v="3"/>
    <n v="-0.2604373080111626"/>
    <b v="0"/>
    <n v="0"/>
    <n v="2"/>
    <n v="0"/>
    <n v="0"/>
    <n v="0"/>
    <n v="0"/>
    <n v="0"/>
    <n v="0"/>
    <s v="Intermedio"/>
    <n v="6"/>
    <s v="En aglomeración"/>
    <m/>
    <s v="No"/>
    <s v="No"/>
    <n v="36.1"/>
    <n v="10.523498554758591"/>
    <n v="6.2155434947768287"/>
    <s v="Bajo"/>
    <n v="1.2248129981031279"/>
    <s v="Medio Bajo"/>
    <n v="23305.447970000001"/>
    <n v="8105.5671279999997"/>
    <n v="13473"/>
    <n v="1.7297890573740073"/>
    <n v="0.60161561107399986"/>
    <m/>
    <m/>
    <m/>
    <m/>
    <m/>
    <m/>
    <m/>
    <n v="79"/>
    <n v="0"/>
    <n v="7"/>
    <n v="13800.257235999999"/>
    <n v="2558.3389120000002"/>
    <n v="0.18538342208043754"/>
    <s v="0% - 30%"/>
    <n v="7.4431723031315937E-5"/>
    <s v="N.D."/>
    <s v="N.D."/>
    <s v="N.D."/>
    <n v="0.93622630756114289"/>
    <s v="Aceptable"/>
    <n v="2"/>
    <s v="Candidato"/>
    <n v="0"/>
    <n v="0"/>
  </r>
  <r>
    <n v="52207"/>
    <s v="52207"/>
    <x v="18"/>
    <x v="18"/>
    <s v="CONSACÁ"/>
    <n v="58.561966666666699"/>
    <n v="57.97"/>
    <n v="51.32"/>
    <n v="51.21"/>
    <n v="44.130580106218865"/>
    <n v="54.259536433536404"/>
    <n v="63.862613278650969"/>
    <n v="69.960099999999997"/>
    <n v="54.765491666666676"/>
    <n v="58.053207454601562"/>
    <n v="56.409349560634119"/>
    <n v="48.829686765155536"/>
    <n v="51.170313234844464"/>
    <n v="0.5605328191136002"/>
    <n v="0"/>
    <n v="31.619291733586767"/>
    <n v="3"/>
    <n v="3"/>
    <b v="1"/>
    <x v="4"/>
    <n v="55.801661322753993"/>
    <n v="0.56762880764236978"/>
    <n v="31.674630481098191"/>
    <n v="3"/>
    <n v="0"/>
    <n v="0.60768823788012583"/>
    <n v="-7.0959885287695812E-3"/>
    <n v="-5.5338747511424202E-2"/>
    <n v="3"/>
    <b v="1"/>
    <n v="0"/>
    <n v="0.81759069605862034"/>
    <n v="45.622919122097834"/>
    <n v="0.40006861528574938"/>
    <n v="3"/>
    <n v="0"/>
    <n v="40.006861528574937"/>
    <n v="4"/>
    <n v="-0.25705787694502014"/>
    <b v="0"/>
    <n v="0"/>
    <n v="3"/>
    <n v="0"/>
    <n v="0"/>
    <n v="0"/>
    <n v="0"/>
    <n v="0"/>
    <n v="0"/>
    <s v="Intermedio"/>
    <n v="6"/>
    <s v="Fuera SC"/>
    <m/>
    <s v="No"/>
    <s v="Si"/>
    <n v="34.9"/>
    <n v="13.428401663695782"/>
    <n v="33.710069497364586"/>
    <s v="Medio"/>
    <n v="1.2717034985895654"/>
    <s v="Medio Bajo"/>
    <n v="32176.835180999999"/>
    <n v="3515.1060819999998"/>
    <n v="15175"/>
    <n v="2.120384525930807"/>
    <n v="0.23163796257001645"/>
    <m/>
    <m/>
    <m/>
    <m/>
    <m/>
    <m/>
    <m/>
    <n v="80"/>
    <n v="0"/>
    <n v="7"/>
    <n v="11947.078231"/>
    <n v="4487.873681"/>
    <n v="0.37564612821861082"/>
    <s v="31% - 50%"/>
    <n v="1.3056916316164929E-4"/>
    <s v="N.D."/>
    <s v="N.D."/>
    <s v="N.D."/>
    <n v="0.95418785158682196"/>
    <s v="Aceptable"/>
    <n v="2"/>
    <s v="Candidato"/>
    <n v="0"/>
    <n v="0"/>
  </r>
  <r>
    <n v="25599"/>
    <s v="25599"/>
    <x v="5"/>
    <x v="5"/>
    <s v="APULO"/>
    <n v="61.6327"/>
    <n v="50.71"/>
    <n v="51.28"/>
    <n v="54.63"/>
    <n v="47.209754890212487"/>
    <n v="43.828874663458151"/>
    <n v="66.263279937602363"/>
    <n v="57.762099999999997"/>
    <n v="54.563175000000001"/>
    <n v="53.766002372818249"/>
    <n v="54.164588686409125"/>
    <n v="49.942205187208671"/>
    <n v="50.057794812791329"/>
    <n v="0.55052015331512205"/>
    <n v="0"/>
    <n v="29.818697667892476"/>
    <n v="3"/>
    <n v="3"/>
    <b v="1"/>
    <x v="4"/>
    <n v="54.512887272406019"/>
    <n v="0.56804643321686854"/>
    <n v="30.965851179443469"/>
    <n v="3"/>
    <n v="0"/>
    <n v="-0.34829858599689345"/>
    <n v="-1.7526279901746489E-2"/>
    <n v="-1.147153511550993"/>
    <n v="3"/>
    <b v="1"/>
    <n v="0"/>
    <n v="0.81759069605862034"/>
    <n v="44.569229449211541"/>
    <n v="0.38688806817155003"/>
    <n v="3"/>
    <n v="0"/>
    <n v="38.688806817155005"/>
    <n v="4"/>
    <n v="-0.26707054274349828"/>
    <b v="0"/>
    <n v="0"/>
    <n v="2"/>
    <n v="-1"/>
    <n v="0"/>
    <n v="0"/>
    <n v="0"/>
    <n v="0"/>
    <n v="0"/>
    <s v="Intermedio"/>
    <n v="6"/>
    <s v="Fuera SC"/>
    <m/>
    <s v="No"/>
    <s v="No"/>
    <n v="28.4"/>
    <n v="18.406374501992033"/>
    <n v="23.26"/>
    <s v="Medio"/>
    <n v="2.6702230030814338"/>
    <s v="Medio Bajo"/>
    <n v="21148.442493999999"/>
    <n v="9311.3764960000008"/>
    <n v="8624"/>
    <n v="2.4522776546846008"/>
    <n v="1.0797050667903525"/>
    <m/>
    <m/>
    <m/>
    <m/>
    <m/>
    <m/>
    <m/>
    <n v="93"/>
    <n v="0"/>
    <n v="7"/>
    <n v="12187.188063"/>
    <n v="7113.1636680000001"/>
    <n v="0.58365913705683992"/>
    <s v="51% - 70%"/>
    <n v="2.0694874534785455E-4"/>
    <s v="N.D."/>
    <s v="N.D."/>
    <s v="N.D."/>
    <n v="0.947278820802824"/>
    <s v="Aceptable"/>
    <n v="1"/>
    <s v="Candidato"/>
    <n v="0"/>
    <n v="0"/>
  </r>
  <r>
    <n v="47268"/>
    <s v="47268"/>
    <x v="17"/>
    <x v="17"/>
    <s v="EL RETÉN"/>
    <n v="52.131999999999998"/>
    <n v="72.67"/>
    <n v="33.68"/>
    <n v="69.959999999999994"/>
    <n v="60.018644506686357"/>
    <n v="53.414022208329158"/>
    <n v="48.503733093946231"/>
    <n v="53.950899999999997"/>
    <n v="57.110500000000002"/>
    <n v="53.971824952240432"/>
    <n v="55.541162476120221"/>
    <n v="49.400760116857249"/>
    <n v="50.599239883142751"/>
    <n v="0.55539315894828478"/>
    <n v="0"/>
    <n v="30.847181679272349"/>
    <n v="3"/>
    <n v="3"/>
    <b v="1"/>
    <x v="4"/>
    <n v="53.715502693393177"/>
    <n v="0.56666071292094111"/>
    <n v="30.43846505114491"/>
    <n v="3"/>
    <n v="0"/>
    <n v="1.825659782727044"/>
    <n v="-1.126755397265633E-2"/>
    <n v="0.40871662812743992"/>
    <n v="3"/>
    <b v="1"/>
    <n v="0"/>
    <n v="0.81759069605862034"/>
    <n v="43.917295236230025"/>
    <n v="0.37873305837058691"/>
    <n v="3"/>
    <n v="0"/>
    <n v="37.873305837058687"/>
    <n v="4"/>
    <n v="-0.26219753711033555"/>
    <b v="0"/>
    <n v="0"/>
    <n v="3"/>
    <n v="0"/>
    <n v="0"/>
    <n v="0"/>
    <n v="0"/>
    <n v="0"/>
    <n v="0"/>
    <s v="Intermedio"/>
    <n v="6"/>
    <s v="Fuera SC"/>
    <m/>
    <s v="No"/>
    <s v="No"/>
    <n v="63.6"/>
    <n v="35.466528818816229"/>
    <n v="2.6785714285714284"/>
    <s v="Sin riesgo"/>
    <n v="4.4713306707332618"/>
    <s v="Medio Bajo"/>
    <n v="38828.056496999998"/>
    <n v="8209.6837149999992"/>
    <n v="21274"/>
    <n v="1.8251413226003572"/>
    <n v="0.38590221467519031"/>
    <m/>
    <m/>
    <m/>
    <m/>
    <m/>
    <m/>
    <m/>
    <n v="42"/>
    <n v="0"/>
    <n v="7"/>
    <n v="26190.228928"/>
    <n v="26190.228944999999"/>
    <n v="1.000000000649097"/>
    <s v="71% - 100%"/>
    <n v="7.6197248840539607E-4"/>
    <s v="N.D."/>
    <s v="N.D."/>
    <s v="N.D."/>
    <n v="0.92586890253007681"/>
    <s v="Aceptable"/>
    <n v="2"/>
    <s v="Candidato"/>
    <n v="0"/>
    <n v="0"/>
  </r>
  <r>
    <n v="19110"/>
    <s v="19110"/>
    <x v="13"/>
    <x v="13"/>
    <s v="BUENOS AIRES"/>
    <n v="48.712699999999998"/>
    <n v="56.39"/>
    <n v="32.06"/>
    <n v="51.8"/>
    <n v="46.915558095165579"/>
    <n v="54.644077945954315"/>
    <n v="56.624554909888793"/>
    <n v="51.113999999999997"/>
    <n v="47.240674999999996"/>
    <n v="52.324547737752169"/>
    <n v="49.782611368876083"/>
    <n v="49.954869242699914"/>
    <n v="50.045130757300086"/>
    <n v="0.55040617681570081"/>
    <n v="0"/>
    <n v="27.400656795444927"/>
    <n v="4"/>
    <n v="4"/>
    <b v="1"/>
    <x v="5"/>
    <n v="47.195549907733593"/>
    <n v="0.56643824868271342"/>
    <n v="26.733364635354214"/>
    <n v="4"/>
    <n v="0"/>
    <n v="2.5870614611424898"/>
    <n v="-1.6032071867012609E-2"/>
    <n v="0.66729216009071379"/>
    <n v="4"/>
    <b v="1"/>
    <n v="0"/>
    <n v="0.81759069605862034"/>
    <n v="38.586642499933262"/>
    <n v="0.3120522116771437"/>
    <n v="4"/>
    <n v="0"/>
    <n v="31.20522116771437"/>
    <n v="4"/>
    <n v="-0.26718451924291953"/>
    <b v="1"/>
    <n v="0"/>
    <n v="3"/>
    <n v="-1"/>
    <n v="0"/>
    <n v="0"/>
    <n v="0"/>
    <n v="1"/>
    <n v="1"/>
    <s v="Rural"/>
    <n v="6"/>
    <s v="Fuera SC"/>
    <m/>
    <s v="No"/>
    <s v="No"/>
    <n v="42.5"/>
    <n v="15.180694246314788"/>
    <n v="0"/>
    <s v="Sin riesgo"/>
    <n v="22.267466870031516"/>
    <s v="Alto"/>
    <n v="45115.516899000002"/>
    <n v="5057.8598295000002"/>
    <n v="33003"/>
    <n v="1.3670126018543769"/>
    <n v="0.15325454745023182"/>
    <m/>
    <m/>
    <m/>
    <m/>
    <m/>
    <m/>
    <m/>
    <n v="32"/>
    <n v="0"/>
    <n v="7"/>
    <n v="43525.033330999999"/>
    <n v="30682.179764"/>
    <n v="0.70493179248520221"/>
    <s v="51% - 70%"/>
    <n v="8.9266027088091067E-4"/>
    <n v="2098.468781"/>
    <n v="4.8212916117525401E-2"/>
    <s v="0% - 30%"/>
    <n v="0.9357163273950907"/>
    <s v="Aceptable"/>
    <n v="1"/>
    <s v="Candidato"/>
    <n v="0"/>
    <n v="0"/>
  </r>
  <r>
    <n v="73671"/>
    <s v="73671"/>
    <x v="15"/>
    <x v="15"/>
    <s v="SALDAÑA"/>
    <n v="83.166166666666697"/>
    <n v="74.38"/>
    <n v="63.56"/>
    <n v="38.229999999999997"/>
    <n v="46.503841191017322"/>
    <n v="59.139363823261945"/>
    <n v="41.28098145277616"/>
    <n v="46.410800000000002"/>
    <n v="64.834041666666678"/>
    <n v="48.333746616763854"/>
    <n v="56.583894141715263"/>
    <n v="49.338483100244943"/>
    <n v="50.661516899755057"/>
    <n v="0.55595365209779546"/>
    <n v="0"/>
    <n v="31.458022598001655"/>
    <n v="3"/>
    <n v="3"/>
    <b v="1"/>
    <x v="4"/>
    <n v="62.541164145557261"/>
    <n v="0.56653810625912937"/>
    <n v="35.43195269826537"/>
    <n v="2"/>
    <n v="-1"/>
    <n v="-5.9572700038419981"/>
    <n v="-1.0584454161333912E-2"/>
    <n v="-3.9739301002637148"/>
    <n v="3"/>
    <b v="1"/>
    <s v="Efecto ponderador"/>
    <n v="0.81759069605862034"/>
    <n v="51.133073926082588"/>
    <n v="0.46899484363295496"/>
    <n v="3"/>
    <n v="0"/>
    <n v="46.8994843632955"/>
    <n v="4"/>
    <n v="-0.26163704396082488"/>
    <b v="0"/>
    <n v="0"/>
    <n v="2"/>
    <n v="-1"/>
    <n v="0"/>
    <n v="0"/>
    <n v="0"/>
    <n v="0"/>
    <n v="0"/>
    <s v="Intermedio"/>
    <n v="6"/>
    <s v="Fuera SC"/>
    <m/>
    <s v="No"/>
    <s v="No"/>
    <n v="36.299999999999997"/>
    <n v="19.946015058957236"/>
    <n v="7.2404347826086957"/>
    <s v="Bajo"/>
    <n v="2.3741789948481919"/>
    <s v="Medio Bajo"/>
    <n v="36750.880345999998"/>
    <n v="11348.806484000001"/>
    <n v="14768"/>
    <n v="2.488548235780065"/>
    <n v="0.76847281175514626"/>
    <m/>
    <m/>
    <m/>
    <m/>
    <m/>
    <m/>
    <m/>
    <n v="6"/>
    <n v="0"/>
    <n v="6"/>
    <n v="19310.562943000001"/>
    <n v="2328.1081330000002"/>
    <n v="0.12056138082934188"/>
    <s v="0% - 30%"/>
    <n v="6.773344177724411E-5"/>
    <n v="60.442751999999999"/>
    <n v="3.1300357311390679E-3"/>
    <s v="0% - 30%"/>
    <n v="0.94369972809607017"/>
    <s v="Aceptable"/>
    <n v="1"/>
    <s v="Candidato"/>
    <n v="0"/>
    <n v="0"/>
  </r>
  <r>
    <n v="52885"/>
    <s v="52885"/>
    <x v="18"/>
    <x v="18"/>
    <s v="YACUANQUER"/>
    <n v="60.508466666666699"/>
    <n v="46.62"/>
    <n v="49.11"/>
    <n v="58.14"/>
    <n v="52.947505353691497"/>
    <n v="52.489124998035294"/>
    <n v="61.82622099370834"/>
    <n v="57.642200000000003"/>
    <n v="53.594616666666667"/>
    <n v="56.226262836358785"/>
    <n v="54.910439751512726"/>
    <n v="49.270368447204447"/>
    <n v="50.729631552795553"/>
    <n v="0.55656668397515996"/>
    <n v="0"/>
    <n v="30.561321368117245"/>
    <n v="3"/>
    <n v="3"/>
    <b v="1"/>
    <x v="4"/>
    <n v="54.181413368250119"/>
    <n v="0.56615399229462138"/>
    <n v="30.675023486599972"/>
    <n v="3"/>
    <n v="0"/>
    <n v="0.72902638326260671"/>
    <n v="-9.5873083194614184E-3"/>
    <n v="-0.1137021184827276"/>
    <n v="3"/>
    <b v="1"/>
    <n v="0"/>
    <n v="0.81759069605862034"/>
    <n v="44.298219469187451"/>
    <n v="0.38349801899289471"/>
    <n v="3"/>
    <n v="0"/>
    <n v="38.349801899289474"/>
    <n v="4"/>
    <n v="-0.26102401208346038"/>
    <b v="0"/>
    <n v="0"/>
    <n v="2"/>
    <n v="-1"/>
    <n v="0"/>
    <n v="0"/>
    <n v="0"/>
    <n v="0"/>
    <n v="0"/>
    <s v="Intermedio"/>
    <n v="6"/>
    <s v="Fuera SC"/>
    <m/>
    <s v="No"/>
    <s v="Si"/>
    <n v="44.2"/>
    <n v="18.205879572738443"/>
    <n v="43.232896922235383"/>
    <s v="Alto"/>
    <n v="1.492458911052355"/>
    <s v="Medio Bajo"/>
    <n v="22070.005003999999"/>
    <n v="3641.6302479999999"/>
    <n v="11573"/>
    <n v="1.9070254043031192"/>
    <n v="0.31466605443705176"/>
    <m/>
    <m/>
    <m/>
    <m/>
    <m/>
    <m/>
    <m/>
    <n v="80"/>
    <n v="0"/>
    <n v="7"/>
    <n v="10283.49195"/>
    <n v="1407.276091"/>
    <n v="0.13684807629960755"/>
    <s v="0% - 30%"/>
    <n v="4.0942966446935293E-5"/>
    <s v="N.D."/>
    <s v="N.D."/>
    <s v="N.D."/>
    <n v="0.96537448797904646"/>
    <s v="Aceptable"/>
    <n v="1"/>
    <s v="Candidato"/>
    <n v="0"/>
    <n v="0"/>
  </r>
  <r>
    <n v="25317"/>
    <s v="25317"/>
    <x v="5"/>
    <x v="5"/>
    <s v="GUACHETÁ"/>
    <n v="61.910499999999999"/>
    <n v="66.41"/>
    <n v="55.76"/>
    <n v="55.49"/>
    <n v="58.258083728479704"/>
    <n v="64.540622405180031"/>
    <n v="76.49918808684339"/>
    <n v="64.575900000000004"/>
    <n v="59.892624999999995"/>
    <n v="65.968448555125775"/>
    <n v="62.930536777562885"/>
    <n v="50.26501900644935"/>
    <n v="49.73498099355065"/>
    <n v="0.5476148289419559"/>
    <n v="0"/>
    <n v="34.461695132670563"/>
    <n v="3"/>
    <n v="3"/>
    <b v="1"/>
    <x v="4"/>
    <n v="62.017878117056547"/>
    <n v="0.56349077324581887"/>
    <n v="34.946502095245144"/>
    <n v="3"/>
    <n v="0"/>
    <n v="0.91265866050633804"/>
    <n v="-1.5875944303862966E-2"/>
    <n v="-0.48480696257458078"/>
    <n v="3"/>
    <b v="1"/>
    <n v="0"/>
    <n v="0.81759069605862034"/>
    <n v="50.705240137802939"/>
    <n v="0.46364309392089831"/>
    <n v="3"/>
    <n v="0"/>
    <n v="46.364309392089829"/>
    <n v="4"/>
    <n v="-0.26997586711666444"/>
    <b v="0"/>
    <n v="0"/>
    <n v="2"/>
    <n v="-1"/>
    <n v="0"/>
    <n v="0"/>
    <n v="0"/>
    <n v="0"/>
    <n v="0"/>
    <s v="Intermedio"/>
    <n v="6"/>
    <s v="Fuera SC"/>
    <m/>
    <s v="No"/>
    <s v="No"/>
    <n v="25.7"/>
    <n v="11.892284124808514"/>
    <n v="5.909272745244933"/>
    <s v="Bajo"/>
    <n v="0"/>
    <s v="Bajo"/>
    <n v="40981.195334999997"/>
    <n v="12720.655702799999"/>
    <n v="14716"/>
    <n v="2.7848053367083443"/>
    <n v="0.86440987379722745"/>
    <m/>
    <m/>
    <m/>
    <m/>
    <m/>
    <m/>
    <m/>
    <n v="36"/>
    <n v="0"/>
    <n v="7"/>
    <n v="16991.833072000001"/>
    <n v="6940.5744969999996"/>
    <n v="0.40846531787303325"/>
    <s v="31% - 50%"/>
    <n v="2.0192747576006803E-4"/>
    <s v="N.D."/>
    <s v="N.D."/>
    <s v="N.D."/>
    <n v="0.94192722686542973"/>
    <s v="Aceptable"/>
    <n v="2"/>
    <s v="Candidato"/>
    <n v="0"/>
    <n v="0"/>
  </r>
  <r>
    <n v="76377"/>
    <s v="76377"/>
    <x v="3"/>
    <x v="3"/>
    <s v="LA CUMBRE"/>
    <n v="54.781333333333301"/>
    <n v="65.23"/>
    <n v="56.17"/>
    <n v="66.430000000000007"/>
    <n v="63.670243600477235"/>
    <n v="64.345907888858534"/>
    <n v="12.180237076747249"/>
    <n v="61.192799999999998"/>
    <n v="60.652833333333334"/>
    <n v="50.347297141520755"/>
    <n v="55.500065237427044"/>
    <n v="49.083007362634945"/>
    <n v="50.916992637365055"/>
    <n v="0.55825293373628548"/>
    <n v="0"/>
    <n v="30.983074241348881"/>
    <n v="3"/>
    <n v="3"/>
    <b v="1"/>
    <x v="4"/>
    <n v="54.240106204536517"/>
    <n v="0.56598408294582636"/>
    <n v="30.699036769058825"/>
    <n v="3"/>
    <n v="0"/>
    <n v="1.2599590328905279"/>
    <n v="-7.7311492095408774E-3"/>
    <n v="0.2840374722900556"/>
    <n v="3"/>
    <b v="1"/>
    <n v="0"/>
    <n v="0.81759069605862034"/>
    <n v="44.346206186060499"/>
    <n v="0.38409828223820908"/>
    <n v="3"/>
    <n v="0"/>
    <n v="38.409828223820909"/>
    <n v="4"/>
    <n v="-0.25933776232233485"/>
    <b v="0"/>
    <n v="0"/>
    <n v="3"/>
    <n v="0"/>
    <n v="0"/>
    <n v="0"/>
    <n v="0"/>
    <n v="0"/>
    <n v="0"/>
    <s v="Rural"/>
    <n v="6"/>
    <s v="Fuera SC"/>
    <m/>
    <s v="No"/>
    <s v="Si"/>
    <n v="25.3"/>
    <n v="9.2374795544824355"/>
    <n v="21.29489697458963"/>
    <s v="Medio"/>
    <n v="1.594972168202436"/>
    <s v="Medio Bajo"/>
    <n v="26697.298793999998"/>
    <n v="7717.6427712499999"/>
    <n v="18290"/>
    <n v="1.4596664184800436"/>
    <n v="0.42195969224986329"/>
    <m/>
    <m/>
    <m/>
    <m/>
    <m/>
    <m/>
    <m/>
    <n v="85"/>
    <n v="0"/>
    <n v="7"/>
    <n v="25555.014039999998"/>
    <n v="16905.420701999999"/>
    <n v="0.66153047991047009"/>
    <s v="51% - 70%"/>
    <n v="4.9184241599775126E-4"/>
    <s v="N.D."/>
    <s v="N.D."/>
    <s v="N.D."/>
    <n v="0.65558896331929184"/>
    <s v="Crítico Medio"/>
    <n v="2"/>
    <s v="Candidato"/>
    <n v="0"/>
    <n v="0"/>
  </r>
  <r>
    <n v="15224"/>
    <s v="15224"/>
    <x v="10"/>
    <x v="10"/>
    <s v="CUCAITA"/>
    <n v="78.933166666666693"/>
    <n v="64.62"/>
    <n v="33.479999999999997"/>
    <n v="55.99"/>
    <n v="54.704011510647753"/>
    <n v="50.180203265519026"/>
    <n v="44.439316747869334"/>
    <n v="48.676299999999998"/>
    <n v="58.255791666666674"/>
    <n v="49.499957881009024"/>
    <n v="53.877874773837846"/>
    <n v="49.957305802678242"/>
    <n v="50.042694197321758"/>
    <n v="0.55038424777589579"/>
    <n v="0"/>
    <n v="29.653533579162655"/>
    <n v="3"/>
    <n v="3"/>
    <b v="1"/>
    <x v="4"/>
    <n v="57.542041124270504"/>
    <n v="0.56458562435552162"/>
    <n v="32.487409214837363"/>
    <n v="3"/>
    <n v="0"/>
    <n v="-3.6641663504326587"/>
    <n v="-1.4201376579625835E-2"/>
    <n v="-2.8338756356747083"/>
    <n v="3"/>
    <b v="1"/>
    <n v="0"/>
    <n v="0.81759069605862034"/>
    <n v="47.045837455426081"/>
    <n v="0.41786782373838349"/>
    <n v="3"/>
    <n v="0"/>
    <n v="41.786782373838349"/>
    <n v="4"/>
    <n v="-0.26720644828272455"/>
    <b v="0"/>
    <n v="0"/>
    <n v="2"/>
    <n v="-1"/>
    <n v="0"/>
    <n v="0"/>
    <n v="0"/>
    <n v="0"/>
    <n v="0"/>
    <s v="Intermedio"/>
    <n v="6"/>
    <s v="Fuera SC"/>
    <m/>
    <s v="No"/>
    <s v="No"/>
    <n v="25.9"/>
    <n v="10.962962962962964"/>
    <n v="20.848086318407962"/>
    <s v="Medio"/>
    <n v="0"/>
    <s v="Bajo"/>
    <n v="12765.225573"/>
    <n v="3608.4867880000002"/>
    <n v="3801"/>
    <n v="3.3583861018153116"/>
    <n v="0.94935195685345963"/>
    <m/>
    <m/>
    <m/>
    <m/>
    <m/>
    <m/>
    <m/>
    <n v="79"/>
    <n v="0"/>
    <n v="7"/>
    <n v="4205.8087480000004"/>
    <n v="1119.447529"/>
    <n v="0.26616700760164952"/>
    <s v="0% - 30%"/>
    <n v="3.2568948561033733E-5"/>
    <s v="N.D."/>
    <s v="N.D."/>
    <s v="N.D."/>
    <n v="0.92699796389388323"/>
    <s v="Aceptable"/>
    <n v="1"/>
    <s v="Candidato"/>
    <n v="0"/>
    <n v="0"/>
  </r>
  <r>
    <n v="70204"/>
    <s v="70204"/>
    <x v="9"/>
    <x v="9"/>
    <s v="COLOSÓ"/>
    <n v="48.616500000000002"/>
    <n v="50.42"/>
    <n v="37.31"/>
    <n v="51.84"/>
    <n v="51.940623685784963"/>
    <n v="54.839443514859717"/>
    <n v="56.82276191277407"/>
    <n v="51.069699999999997"/>
    <n v="47.046624999999999"/>
    <n v="53.66813227835469"/>
    <n v="50.357378639177341"/>
    <n v="48.896931664984628"/>
    <n v="51.103068335015372"/>
    <n v="0.55992761501513832"/>
    <n v="0"/>
    <n v="28.196486919848841"/>
    <n v="4"/>
    <n v="4"/>
    <b v="1"/>
    <x v="5"/>
    <n v="49.653076118231681"/>
    <n v="0.56460608701002202"/>
    <n v="28.034429015125564"/>
    <n v="3"/>
    <n v="-1"/>
    <n v="0.70430252094566015"/>
    <n v="-4.6784719948836928E-3"/>
    <n v="0.16205790472327664"/>
    <n v="3"/>
    <b v="0"/>
    <s v="Cambio en corte"/>
    <n v="0.81759069605862034"/>
    <n v="40.595893064956698"/>
    <n v="0.33718581829585537"/>
    <n v="4"/>
    <n v="0"/>
    <n v="33.718581829585538"/>
    <n v="4"/>
    <n v="-0.25766308104348201"/>
    <b v="1"/>
    <n v="0"/>
    <n v="4"/>
    <n v="0"/>
    <n v="0"/>
    <n v="0"/>
    <n v="0"/>
    <n v="1"/>
    <n v="1"/>
    <s v="Intermedio"/>
    <n v="6"/>
    <s v="Fuera SC"/>
    <m/>
    <s v="No"/>
    <s v="No"/>
    <n v="59.6"/>
    <n v="61.027809816737154"/>
    <n v="49.715909090909093"/>
    <s v="Alto"/>
    <n v="8.0032025256633492"/>
    <s v="Medio"/>
    <n v="41772.021252999999"/>
    <n v="7916.7971829999997"/>
    <n v="10048"/>
    <n v="4.1572473380772292"/>
    <n v="0.78789780881767513"/>
    <m/>
    <m/>
    <m/>
    <m/>
    <m/>
    <m/>
    <m/>
    <n v="43"/>
    <n v="0"/>
    <n v="7"/>
    <n v="13109.28472"/>
    <n v="5743.0247449999997"/>
    <n v="0.43808833721020896"/>
    <s v="31% - 50%"/>
    <n v="1.670862391127301E-4"/>
    <n v="0.32261800000000002"/>
    <n v="2.4609885809238874E-5"/>
    <n v="0"/>
    <n v="0.9491449346999703"/>
    <s v="Aceptable"/>
    <n v="1"/>
    <s v="Candidato"/>
    <n v="0"/>
    <n v="0"/>
  </r>
  <r>
    <n v="73349"/>
    <s v="73349"/>
    <x v="15"/>
    <x v="15"/>
    <s v="HONDA"/>
    <n v="54.262999999999998"/>
    <n v="38.28"/>
    <n v="40.33"/>
    <n v="43.3"/>
    <n v="47.295507506020158"/>
    <n v="48.027687962380796"/>
    <n v="51.656218627744437"/>
    <n v="45.437199999999997"/>
    <n v="44.04325"/>
    <n v="48.104153524036342"/>
    <n v="46.073701762018175"/>
    <n v="50.705929589023569"/>
    <n v="49.294070410976431"/>
    <n v="0.54364663369878785"/>
    <n v="0"/>
    <n v="25.047812864963092"/>
    <n v="4"/>
    <n v="4"/>
    <b v="1"/>
    <x v="5"/>
    <n v="48.275938722498658"/>
    <n v="0.56255896171742947"/>
    <n v="27.158061963663094"/>
    <n v="4"/>
    <n v="0"/>
    <n v="-2.2022369604804837"/>
    <n v="-1.8912328018641622E-2"/>
    <n v="-2.1102490987000024"/>
    <n v="4"/>
    <b v="1"/>
    <n v="0"/>
    <n v="0.81759069605862034"/>
    <n v="39.46995834301098"/>
    <n v="0.3231015617713825"/>
    <n v="4"/>
    <n v="0"/>
    <n v="32.310156177138246"/>
    <n v="4"/>
    <n v="-0.27394406235983249"/>
    <b v="1"/>
    <n v="0"/>
    <n v="2"/>
    <n v="-2"/>
    <n v="0"/>
    <n v="0"/>
    <n v="0"/>
    <n v="0"/>
    <n v="0"/>
    <s v="Ciudades y aglomeraciones"/>
    <n v="6"/>
    <s v="Uninodal"/>
    <m/>
    <s v="No"/>
    <s v="No"/>
    <n v="25.8"/>
    <n v="10.301938205950863"/>
    <n v="1.9666666666666666"/>
    <s v="Sin riesgo"/>
    <n v="9.6847793475812587"/>
    <s v="Medio"/>
    <n v="38507.567794000002"/>
    <n v="12712.043438000001"/>
    <n v="24953"/>
    <n v="1.5432039351580973"/>
    <n v="0.50943948374944903"/>
    <m/>
    <m/>
    <m/>
    <m/>
    <m/>
    <m/>
    <m/>
    <n v="52"/>
    <n v="0"/>
    <n v="5"/>
    <n v="30471.219269000001"/>
    <n v="9808.2910859999993"/>
    <n v="0.32188705674729917"/>
    <s v="31% - 50%"/>
    <n v="2.8536016166558502E-4"/>
    <s v="N.D."/>
    <s v="N.D."/>
    <s v="N.D."/>
    <n v="0.7186931048184837"/>
    <s v="Crítico Medio"/>
    <n v="0"/>
    <s v="Candidato"/>
    <n v="0"/>
    <n v="0"/>
  </r>
  <r>
    <n v="13433"/>
    <s v="13433"/>
    <x v="8"/>
    <x v="8"/>
    <s v="MAHATES"/>
    <n v="62.552566666666699"/>
    <n v="66.02"/>
    <n v="44.44"/>
    <n v="63.91"/>
    <n v="38.618292097863403"/>
    <n v="38.109537734073548"/>
    <n v="33.563755388038459"/>
    <n v="52.517600000000002"/>
    <n v="59.230641666666671"/>
    <n v="40.702296304993851"/>
    <n v="49.966468985830261"/>
    <n v="49.074406716685694"/>
    <n v="50.925593283314306"/>
    <n v="0.5583303395498288"/>
    <n v="0"/>
    <n v="27.897795594964599"/>
    <n v="4"/>
    <n v="4"/>
    <b v="1"/>
    <x v="5"/>
    <n v="47.69428473297846"/>
    <n v="0.56476637851104838"/>
    <n v="26.93612846431903"/>
    <n v="4"/>
    <n v="0"/>
    <n v="2.272184252851801"/>
    <n v="-6.4360389612195812E-3"/>
    <n v="0.9616671306455693"/>
    <n v="3"/>
    <b v="0"/>
    <n v="0"/>
    <n v="0.81759069605862034"/>
    <n v="38.994403452853888"/>
    <n v="0.31715287137762188"/>
    <n v="4"/>
    <n v="0"/>
    <n v="31.715287137762189"/>
    <n v="4"/>
    <n v="-0.25926035650879153"/>
    <b v="1"/>
    <n v="0"/>
    <n v="3"/>
    <n v="-1"/>
    <n v="0"/>
    <n v="0"/>
    <n v="0"/>
    <n v="0"/>
    <n v="0"/>
    <s v="Intermedio"/>
    <n v="6"/>
    <s v="Fuera SC"/>
    <m/>
    <s v="No"/>
    <s v="Si"/>
    <n v="54.3"/>
    <n v="28.639608877851931"/>
    <n v="23.595040548677655"/>
    <s v="Medio"/>
    <n v="1.5851753715884056"/>
    <s v="Medio Bajo"/>
    <n v="52248.050540999997"/>
    <n v="5327.718785"/>
    <n v="31676"/>
    <n v="1.6494522837795176"/>
    <n v="0.16819417808435408"/>
    <m/>
    <m/>
    <m/>
    <m/>
    <m/>
    <m/>
    <m/>
    <n v="48"/>
    <n v="0"/>
    <n v="7"/>
    <n v="43209.796339"/>
    <n v="8331.4704419999998"/>
    <n v="0.1928143881224508"/>
    <s v="0% - 30%"/>
    <n v="2.4239388201219655E-4"/>
    <n v="3186.5328490000002"/>
    <n v="7.3745611388682283E-2"/>
    <s v="0% - 30%"/>
    <n v="0.86601396682999687"/>
    <s v="Aceptable"/>
    <n v="2"/>
    <s v="Candidato"/>
    <n v="0"/>
    <n v="0"/>
  </r>
  <r>
    <n v="52506"/>
    <s v="52506"/>
    <x v="18"/>
    <x v="18"/>
    <s v="OSPINA"/>
    <n v="63.491866666666702"/>
    <n v="62.09"/>
    <n v="57.59"/>
    <n v="51.57"/>
    <n v="58.626021319934324"/>
    <n v="72.701235285578719"/>
    <n v="68.728488493440807"/>
    <n v="42.149099999999997"/>
    <n v="58.685466666666677"/>
    <n v="60.551211274738463"/>
    <n v="59.618338970702567"/>
    <n v="49.8411288980965"/>
    <n v="50.1588711019035"/>
    <n v="0.55142983991713157"/>
    <n v="0"/>
    <n v="32.875331114739801"/>
    <n v="3"/>
    <n v="3"/>
    <b v="1"/>
    <x v="4"/>
    <n v="63.317774733968491"/>
    <n v="0.56481460364514735"/>
    <n v="35.762803840059142"/>
    <n v="2"/>
    <n v="-1"/>
    <n v="-3.6994357632659245"/>
    <n v="-1.3384763728015781E-2"/>
    <n v="-2.8874727253193413"/>
    <n v="3"/>
    <b v="1"/>
    <s v="Efecto ponderador"/>
    <n v="0.81759069605862034"/>
    <n v="51.768023517628222"/>
    <n v="0.47693739372323379"/>
    <n v="3"/>
    <n v="0"/>
    <n v="47.693739372323378"/>
    <n v="4"/>
    <n v="-0.26616085614148877"/>
    <b v="0"/>
    <n v="0"/>
    <n v="3"/>
    <n v="0"/>
    <n v="0"/>
    <n v="0"/>
    <n v="0"/>
    <n v="0"/>
    <n v="0"/>
    <s v="Intermedio"/>
    <n v="6"/>
    <s v="Fuera SC"/>
    <m/>
    <s v="No"/>
    <s v="Si"/>
    <n v="28.9"/>
    <n v="15.844636251541306"/>
    <n v="52.80220062569505"/>
    <s v="Alto"/>
    <n v="2.3271538503514146"/>
    <s v="Medio Bajo"/>
    <n v="16566.017748999999"/>
    <n v="3199.4752262500001"/>
    <n v="7111"/>
    <n v="2.3296326464632258"/>
    <n v="0.4499332338981859"/>
    <m/>
    <m/>
    <m/>
    <m/>
    <m/>
    <m/>
    <m/>
    <n v="70"/>
    <n v="0"/>
    <n v="7"/>
    <n v="6491.1709300000002"/>
    <n v="726.39680999999996"/>
    <n v="0.11190535849900966"/>
    <s v="0% - 30%"/>
    <n v="2.1133621475695795E-5"/>
    <s v="N.D."/>
    <s v="N.D."/>
    <s v="N.D."/>
    <n v="0.95327045256470599"/>
    <s v="Aceptable"/>
    <n v="1"/>
    <s v="Candidato"/>
    <n v="0"/>
    <n v="0"/>
  </r>
  <r>
    <n v="25524"/>
    <s v="25524"/>
    <x v="5"/>
    <x v="5"/>
    <s v="PANDI"/>
    <n v="67.052533333333301"/>
    <n v="42.2"/>
    <n v="59.76"/>
    <n v="56.47"/>
    <n v="54.046146421866972"/>
    <n v="57.826933269166986"/>
    <n v="65.499525269850082"/>
    <n v="57.155900000000003"/>
    <n v="56.370633333333323"/>
    <n v="58.632126240221005"/>
    <n v="57.501379786777164"/>
    <n v="50.793607450824609"/>
    <n v="49.206392549175391"/>
    <n v="0.54285753294257855"/>
    <n v="0"/>
    <n v="31.215057171844105"/>
    <n v="3"/>
    <n v="3"/>
    <b v="1"/>
    <x v="4"/>
    <n v="59.115893963674182"/>
    <n v="0.56418109968447983"/>
    <n v="33.352070065256804"/>
    <n v="3"/>
    <n v="0"/>
    <n v="-1.6145141768970177"/>
    <n v="-2.1323566741901279E-2"/>
    <n v="-2.1370128934126988"/>
    <n v="3"/>
    <b v="1"/>
    <n v="0"/>
    <n v="0.81759069605862034"/>
    <n v="48.332604893887968"/>
    <n v="0.43396392801281042"/>
    <n v="3"/>
    <n v="0"/>
    <n v="43.396392801281038"/>
    <n v="4"/>
    <n v="-0.27473316311604179"/>
    <b v="0"/>
    <n v="0"/>
    <n v="2"/>
    <n v="-1"/>
    <n v="0"/>
    <n v="0"/>
    <n v="0"/>
    <n v="0"/>
    <n v="0"/>
    <s v="Intermedio"/>
    <n v="6"/>
    <s v="Fuera SC"/>
    <m/>
    <s v="No"/>
    <s v="No"/>
    <n v="36.700000000000003"/>
    <n v="12.864385297845374"/>
    <n v="5.4785511363636363"/>
    <s v="Bajo"/>
    <n v="1.6605460419306379"/>
    <s v="Medio Bajo"/>
    <n v="9158.4252340000003"/>
    <n v="2909.405847"/>
    <n v="4941"/>
    <n v="1.8535570196316535"/>
    <n v="0.58882935579842133"/>
    <m/>
    <m/>
    <m/>
    <m/>
    <m/>
    <m/>
    <m/>
    <n v="78"/>
    <n v="0"/>
    <n v="7"/>
    <n v="7162.6785479999999"/>
    <n v="2141.8936640000002"/>
    <n v="0.2990352910082878"/>
    <s v="0% - 30%"/>
    <n v="6.2315760907825519E-5"/>
    <s v="N.D."/>
    <s v="N.D."/>
    <s v="N.D."/>
    <n v="0.91990592457835629"/>
    <s v="Aceptable"/>
    <n v="1"/>
    <s v="Candidato"/>
    <n v="0"/>
    <n v="0"/>
  </r>
  <r>
    <n v="76497"/>
    <s v="76497"/>
    <x v="3"/>
    <x v="3"/>
    <s v="OBANDO"/>
    <n v="77.034599999999998"/>
    <n v="82.2"/>
    <n v="70.56"/>
    <n v="62.34"/>
    <n v="53.535713012927914"/>
    <n v="66.084586283779757"/>
    <n v="61.130026403868229"/>
    <n v="50.61"/>
    <n v="73.033649999999994"/>
    <n v="57.840081425143978"/>
    <n v="65.436865712571986"/>
    <n v="50.091018708346844"/>
    <n v="49.908981291653156"/>
    <n v="0.54918083162487841"/>
    <n v="0"/>
    <n v="35.936672330955773"/>
    <n v="3"/>
    <n v="3"/>
    <b v="1"/>
    <x v="3"/>
    <n v="67.974493325312949"/>
    <n v="0.56412482941031228"/>
    <n v="38.346099451394579"/>
    <n v="2"/>
    <n v="0"/>
    <n v="-2.5376276127409625"/>
    <n v="-1.4943997785433871E-2"/>
    <n v="-2.4094271204388065"/>
    <n v="2"/>
    <b v="1"/>
    <n v="0"/>
    <n v="0.81759069605862034"/>
    <n v="55.575313312074655"/>
    <n v="0.52456257579002896"/>
    <n v="2"/>
    <n v="0"/>
    <n v="52.456257579002894"/>
    <n v="3"/>
    <n v="-0.26840986443374193"/>
    <b v="0"/>
    <n v="0"/>
    <n v="2"/>
    <n v="0"/>
    <n v="0"/>
    <n v="0"/>
    <n v="0"/>
    <n v="0"/>
    <n v="0"/>
    <s v="Intermedio"/>
    <n v="6"/>
    <s v="Fuera SC"/>
    <m/>
    <s v="No"/>
    <s v="No"/>
    <n v="31.2"/>
    <n v="12.342752962625342"/>
    <n v="16.80140770042194"/>
    <s v="Medio"/>
    <n v="15.148442529702544"/>
    <s v="Alto"/>
    <n v="21727.049658"/>
    <n v="6775.3946134500002"/>
    <n v="12572"/>
    <n v="1.7282094860006363"/>
    <n v="0.53892734755408844"/>
    <m/>
    <m/>
    <m/>
    <m/>
    <m/>
    <m/>
    <m/>
    <n v="91"/>
    <n v="0"/>
    <n v="7"/>
    <n v="21467.490404"/>
    <n v="1319.145137"/>
    <n v="6.144850246464794E-2"/>
    <s v="0% - 30%"/>
    <n v="3.8378904770882561E-5"/>
    <s v="N.D."/>
    <s v="N.D."/>
    <s v="N.D."/>
    <n v="0.93819082234572626"/>
    <s v="Aceptable"/>
    <n v="2"/>
    <s v="Candidato"/>
    <n v="0"/>
    <n v="0"/>
  </r>
  <r>
    <n v="25873"/>
    <s v="25873"/>
    <x v="5"/>
    <x v="5"/>
    <s v="VILLAPINZÓN"/>
    <n v="66.123233333333303"/>
    <n v="64.599999999999994"/>
    <n v="60.17"/>
    <n v="69.28"/>
    <n v="57.812649635412598"/>
    <n v="62.962053668648672"/>
    <n v="70.940527924604623"/>
    <n v="64.069100000000006"/>
    <n v="65.043308333333329"/>
    <n v="63.946082807166476"/>
    <n v="64.494695570249903"/>
    <n v="50.455232328835208"/>
    <n v="49.544767671164792"/>
    <n v="0.54590290904048311"/>
    <n v="0"/>
    <n v="35.207841929479784"/>
    <n v="3"/>
    <n v="3"/>
    <b v="1"/>
    <x v="4"/>
    <n v="62.784008875864721"/>
    <n v="0.56410968733408717"/>
    <n v="35.4170676165446"/>
    <n v="2"/>
    <n v="-1"/>
    <n v="1.7106866943851813"/>
    <n v="-1.8206778293604065E-2"/>
    <n v="-0.2092256870648157"/>
    <n v="2"/>
    <b v="0"/>
    <s v="Cambio en corte"/>
    <n v="0.81759069605862034"/>
    <n v="51.331621518168838"/>
    <n v="0.47147846472106453"/>
    <n v="3"/>
    <n v="0"/>
    <n v="47.147846472106451"/>
    <n v="4"/>
    <n v="-0.27168778701813723"/>
    <b v="0"/>
    <n v="0"/>
    <n v="2"/>
    <n v="-1"/>
    <n v="0"/>
    <n v="0"/>
    <n v="0"/>
    <n v="0"/>
    <n v="0"/>
    <s v="Intermedio"/>
    <n v="6"/>
    <s v="Fuera SC"/>
    <m/>
    <s v="No"/>
    <s v="No"/>
    <n v="31.4"/>
    <n v="8.7580624762868347"/>
    <n v="3.7217538461538457"/>
    <s v="Sin riesgo"/>
    <n v="0.84837012369858822"/>
    <s v="Medio Bajo"/>
    <n v="36334.092238999998"/>
    <n v="12846.502937200001"/>
    <n v="18129"/>
    <n v="2.0041972662033207"/>
    <n v="0.70861619158254729"/>
    <m/>
    <m/>
    <m/>
    <m/>
    <m/>
    <m/>
    <m/>
    <n v="96"/>
    <n v="1"/>
    <n v="7"/>
    <n v="22580.392517"/>
    <n v="13728.984780999999"/>
    <n v="0.60800470012485031"/>
    <s v="51% - 70%"/>
    <n v="3.9942792095582348E-4"/>
    <s v="N.D."/>
    <s v="N.D."/>
    <s v="N.D."/>
    <n v="0.94913807578889386"/>
    <s v="Aceptable"/>
    <n v="3"/>
    <s v="Candidato"/>
    <n v="0"/>
    <n v="0"/>
  </r>
  <r>
    <n v="25878"/>
    <s v="25878"/>
    <x v="5"/>
    <x v="5"/>
    <s v="VIOTÁ"/>
    <n v="50.927333333333301"/>
    <n v="61.1"/>
    <n v="30.79"/>
    <n v="66.81"/>
    <n v="51.738822265138459"/>
    <n v="63.73820446006507"/>
    <n v="67.299052732703871"/>
    <n v="69.276399999999995"/>
    <n v="52.406833333333324"/>
    <n v="63.013119864476849"/>
    <n v="57.709976598905087"/>
    <n v="50.416011339795475"/>
    <n v="49.583988660204525"/>
    <n v="0.54625589794184071"/>
    <n v="0"/>
    <n v="31.524415087237511"/>
    <n v="3"/>
    <n v="3"/>
    <b v="1"/>
    <x v="4"/>
    <n v="53.852462761279241"/>
    <n v="0.56520476864041069"/>
    <n v="30.437668755705165"/>
    <n v="3"/>
    <n v="0"/>
    <n v="3.8575138376258451"/>
    <n v="-1.8948870698569986E-2"/>
    <n v="1.0867463315323462"/>
    <n v="3"/>
    <b v="1"/>
    <n v="0"/>
    <n v="0.81759069605862034"/>
    <n v="44.029272513465223"/>
    <n v="0.38013377607362314"/>
    <n v="3"/>
    <n v="0"/>
    <n v="38.013377607362315"/>
    <n v="4"/>
    <n v="-0.27133479811677963"/>
    <b v="0"/>
    <n v="0"/>
    <n v="2"/>
    <n v="-1"/>
    <n v="0"/>
    <n v="0"/>
    <n v="0"/>
    <n v="0"/>
    <n v="1"/>
    <s v="Intermedio"/>
    <n v="6"/>
    <s v="Fuera SC"/>
    <m/>
    <s v="No"/>
    <s v="No"/>
    <n v="36.299999999999997"/>
    <n v="14.587653533258893"/>
    <n v="10.007272727272728"/>
    <s v="Bajo"/>
    <n v="16.11037001379033"/>
    <s v="Alto"/>
    <n v="31475.700814"/>
    <n v="7262.2813319999996"/>
    <n v="13500"/>
    <n v="2.3315333936296296"/>
    <n v="0.5379467653333333"/>
    <m/>
    <m/>
    <m/>
    <m/>
    <m/>
    <m/>
    <m/>
    <n v="93"/>
    <n v="0"/>
    <n v="7"/>
    <n v="20110.380123999999"/>
    <n v="9969.4979289999992"/>
    <n v="0.49573891033030576"/>
    <s v="31% - 50%"/>
    <n v="2.9005027642428546E-4"/>
    <s v="N.D."/>
    <s v="N.D."/>
    <s v="N.D."/>
    <n v="0.90778540692439691"/>
    <s v="Aceptable"/>
    <n v="3"/>
    <s v="Candidato"/>
    <n v="0"/>
    <n v="0"/>
  </r>
  <r>
    <n v="76041"/>
    <s v="76041"/>
    <x v="3"/>
    <x v="3"/>
    <s v="ANSERMANUEVO"/>
    <n v="70.033000000000001"/>
    <n v="58.46"/>
    <n v="49.81"/>
    <n v="86.4"/>
    <n v="52.395850738035087"/>
    <n v="60.604363246180057"/>
    <n v="55.39700030954473"/>
    <n v="52.372999999999998"/>
    <n v="66.175749999999994"/>
    <n v="55.192553573439966"/>
    <n v="60.68415178671998"/>
    <n v="50.348920720539112"/>
    <n v="49.651079279460888"/>
    <n v="0.54685971351514795"/>
    <n v="0"/>
    <n v="33.185717860995439"/>
    <n v="3"/>
    <n v="3"/>
    <b v="1"/>
    <x v="4"/>
    <n v="58.297837568444706"/>
    <n v="0.5635346625321801"/>
    <n v="32.852852220489339"/>
    <n v="3"/>
    <n v="0"/>
    <n v="2.3863142182752739"/>
    <n v="-1.6674949017032148E-2"/>
    <n v="0.33286564050609968"/>
    <n v="3"/>
    <b v="1"/>
    <n v="0"/>
    <n v="0.81759069605862034"/>
    <n v="47.663769596297094"/>
    <n v="0.42559750345880665"/>
    <n v="3"/>
    <n v="0"/>
    <n v="42.559750345880666"/>
    <n v="4"/>
    <n v="-0.27073098254347239"/>
    <b v="0"/>
    <n v="0"/>
    <n v="2"/>
    <n v="-1"/>
    <n v="0"/>
    <n v="0"/>
    <n v="0"/>
    <n v="0"/>
    <n v="1"/>
    <s v="Intermedio"/>
    <n v="6"/>
    <s v="Fuera SC"/>
    <m/>
    <s v="No"/>
    <s v="No"/>
    <n v="31.3"/>
    <n v="12.759568078717015"/>
    <n v="18.991926767605573"/>
    <s v="Medio"/>
    <n v="20.514126233038667"/>
    <s v="Alto"/>
    <n v="33269.176807999997"/>
    <n v="7286.0495332"/>
    <n v="17894"/>
    <n v="1.8592364372415333"/>
    <n v="0.40717835772884764"/>
    <m/>
    <m/>
    <m/>
    <m/>
    <m/>
    <m/>
    <m/>
    <n v="91"/>
    <n v="0"/>
    <n v="7"/>
    <n v="30546.048154"/>
    <n v="1774.241401"/>
    <n v="5.808415517631086E-2"/>
    <s v="0% - 30%"/>
    <n v="5.1619370651203985E-5"/>
    <n v="64.795883000000003"/>
    <n v="2.1212525650888491E-3"/>
    <s v="0% - 30%"/>
    <n v="0.96996216669140689"/>
    <s v="Aceptable"/>
    <n v="2"/>
    <s v="Candidato"/>
    <n v="0"/>
    <n v="0"/>
  </r>
  <r>
    <n v="70235"/>
    <s v="70235"/>
    <x v="9"/>
    <x v="9"/>
    <s v="GALERAS"/>
    <n v="43.072233333333301"/>
    <n v="33.36"/>
    <n v="44.58"/>
    <n v="37.369999999999997"/>
    <n v="50.123062937837467"/>
    <n v="54.671659708492818"/>
    <n v="56.919834500187761"/>
    <n v="51.436199999999999"/>
    <n v="39.595558333333322"/>
    <n v="53.287689286629515"/>
    <n v="46.441623809981422"/>
    <n v="49.509579930279848"/>
    <n v="50.490420069720152"/>
    <n v="0.55441378062748137"/>
    <n v="0"/>
    <n v="25.747876234971056"/>
    <n v="4"/>
    <n v="4"/>
    <b v="1"/>
    <x v="5"/>
    <n v="46.76909850146032"/>
    <n v="0.56338810166478692"/>
    <n v="26.34915362131116"/>
    <n v="4"/>
    <n v="0"/>
    <n v="-0.32747469147889774"/>
    <n v="-8.9743210373055549E-3"/>
    <n v="-0.60127738634010441"/>
    <n v="4"/>
    <b v="1"/>
    <n v="0"/>
    <n v="0.81759069605862034"/>
    <n v="38.237979797843117"/>
    <n v="0.30769080879912658"/>
    <n v="4"/>
    <n v="0"/>
    <n v="30.769080879912657"/>
    <n v="4"/>
    <n v="-0.26317691543113897"/>
    <b v="1"/>
    <n v="0"/>
    <n v="4"/>
    <n v="0"/>
    <n v="0"/>
    <n v="0"/>
    <n v="0"/>
    <n v="0"/>
    <n v="0"/>
    <s v="Intermedio"/>
    <n v="6"/>
    <s v="Fuera SC"/>
    <m/>
    <s v="No"/>
    <s v="Si"/>
    <n v="46.1"/>
    <n v="26.992440337961362"/>
    <n v="3.125"/>
    <s v="Sin riesgo"/>
    <n v="5.4168976231376025"/>
    <s v="Medio Bajo"/>
    <n v="47716.371196"/>
    <n v="5937.5359200000003"/>
    <n v="25175"/>
    <n v="1.8953871378748759"/>
    <n v="0.23585048341608739"/>
    <m/>
    <m/>
    <m/>
    <m/>
    <m/>
    <m/>
    <m/>
    <n v="9"/>
    <n v="0"/>
    <n v="7"/>
    <n v="32163.589693999998"/>
    <n v="1989.294813"/>
    <n v="6.1849278389815292E-2"/>
    <s v="0% - 30%"/>
    <n v="5.787608508565319E-5"/>
    <s v="N.D."/>
    <s v="N.D."/>
    <s v="N.D."/>
    <n v="0.89530376178986937"/>
    <s v="Aceptable"/>
    <n v="1"/>
    <s v="Candidato"/>
    <n v="0"/>
    <n v="0"/>
  </r>
  <r>
    <n v="13657"/>
    <s v="13657"/>
    <x v="8"/>
    <x v="8"/>
    <s v="SAN JUAN NEPOMUCENO"/>
    <n v="56.449833333333302"/>
    <n v="68.92"/>
    <n v="77.569999999999993"/>
    <n v="93.58"/>
    <n v="57.695631040892771"/>
    <n v="51.380262744385853"/>
    <n v="56.189011839772341"/>
    <n v="53.883699999999997"/>
    <n v="74.12995833333332"/>
    <n v="54.787151406262744"/>
    <n v="64.458554869798036"/>
    <n v="49.274660955558872"/>
    <n v="50.725339044441128"/>
    <n v="0.55652805139997019"/>
    <n v="0"/>
    <n v="35.872993937746763"/>
    <n v="3"/>
    <n v="3"/>
    <b v="1"/>
    <x v="3"/>
    <n v="59.449390760744336"/>
    <n v="0.56300537157961228"/>
    <n v="33.470326335434436"/>
    <n v="3"/>
    <n v="1"/>
    <n v="5.0091641090536996"/>
    <n v="-6.4773201796420876E-3"/>
    <n v="2.4026676023123272"/>
    <n v="2"/>
    <b v="1"/>
    <s v="Efecto ponderador"/>
    <n v="0.81759069605862034"/>
    <n v="48.605268772337872"/>
    <n v="0.43737466571739936"/>
    <n v="3"/>
    <n v="1"/>
    <n v="43.737466571739937"/>
    <n v="3"/>
    <n v="-0.26106264465865014"/>
    <b v="0"/>
    <s v="Cambio en corte"/>
    <n v="3"/>
    <n v="1"/>
    <n v="0"/>
    <n v="0"/>
    <n v="0"/>
    <n v="1"/>
    <n v="1"/>
    <s v="Intermedio"/>
    <n v="6"/>
    <s v="Fuera SC"/>
    <m/>
    <s v="No"/>
    <s v="Si"/>
    <n v="56.2"/>
    <n v="38.390940923980573"/>
    <n v="33.333333333333336"/>
    <s v="Medio"/>
    <n v="1.5703381786198642"/>
    <s v="Medio Bajo"/>
    <n v="72416.426793000006"/>
    <n v="10758.276884999999"/>
    <n v="42048"/>
    <n v="1.72223237236016"/>
    <n v="0.25585704159531963"/>
    <m/>
    <m/>
    <m/>
    <m/>
    <m/>
    <m/>
    <m/>
    <n v="12"/>
    <n v="0"/>
    <n v="7"/>
    <n v="63080.722253"/>
    <n v="14394.502586000001"/>
    <n v="0.22819178461951464"/>
    <s v="0% - 30%"/>
    <n v="4.1879034268260115E-4"/>
    <n v="30.333366999999999"/>
    <n v="4.8086587972694626E-4"/>
    <n v="0"/>
    <n v="0.78258786945865944"/>
    <s v="Crítico bajo"/>
    <n v="2"/>
    <s v="Candidato"/>
    <n v="0"/>
    <n v="0"/>
  </r>
  <r>
    <n v="15638"/>
    <s v="15638"/>
    <x v="10"/>
    <x v="10"/>
    <s v="SÁCHICA"/>
    <n v="68.601666666666702"/>
    <n v="55.66"/>
    <n v="57.33"/>
    <n v="40.71"/>
    <n v="60.209033814077934"/>
    <n v="73.051737029861897"/>
    <n v="61.221330679868338"/>
    <n v="68.261600000000001"/>
    <n v="55.575416666666676"/>
    <n v="65.685925380952042"/>
    <n v="60.630671023809356"/>
    <n v="49.39916206578355"/>
    <n v="50.60083793421645"/>
    <n v="0.55540754140794801"/>
    <n v="0"/>
    <n v="33.674731927248068"/>
    <n v="3"/>
    <n v="3"/>
    <b v="1"/>
    <x v="4"/>
    <n v="64.200024269380208"/>
    <n v="0.56189359817711326"/>
    <n v="36.073582639780042"/>
    <n v="2"/>
    <n v="-1"/>
    <n v="-3.5693532455708521"/>
    <n v="-6.4860567691652493E-3"/>
    <n v="-2.3988507125319742"/>
    <n v="3"/>
    <b v="1"/>
    <s v="Efecto ponderador"/>
    <n v="0.81759069605862034"/>
    <n v="52.489342529382881"/>
    <n v="0.48596033421837703"/>
    <n v="2"/>
    <n v="-1"/>
    <n v="48.596033421837703"/>
    <n v="4"/>
    <n v="-0.26218315465067232"/>
    <b v="0"/>
    <s v="Cambio en corte"/>
    <n v="1"/>
    <n v="-2"/>
    <n v="0"/>
    <n v="0"/>
    <n v="0"/>
    <n v="0"/>
    <n v="0"/>
    <s v="Intermedio"/>
    <n v="6"/>
    <s v="Fuera SC"/>
    <m/>
    <s v="No"/>
    <s v="No"/>
    <n v="23.8"/>
    <n v="9.0192826041882643"/>
    <n v="12.69303985412868"/>
    <s v="Bajo"/>
    <n v="0"/>
    <s v="Bajo"/>
    <n v="15752.461995"/>
    <n v="5941.3810747500002"/>
    <n v="6250"/>
    <n v="2.5203939192"/>
    <n v="0.95062097196000006"/>
    <m/>
    <m/>
    <m/>
    <m/>
    <m/>
    <m/>
    <m/>
    <n v="68"/>
    <n v="0"/>
    <n v="7"/>
    <n v="6382.5221449999999"/>
    <n v="1009.697399"/>
    <n v="0.15819724178959352"/>
    <s v="0% - 30%"/>
    <n v="2.9375903558084994E-5"/>
    <s v="N.D."/>
    <s v="N.D."/>
    <s v="N.D."/>
    <n v="0.80427279037614952"/>
    <s v="Crítico bajo"/>
    <n v="2"/>
    <s v="Candidato"/>
    <n v="0"/>
    <n v="0"/>
  </r>
  <r>
    <n v="25815"/>
    <s v="25815"/>
    <x v="5"/>
    <x v="5"/>
    <s v="TOCAIMA"/>
    <n v="70.6143"/>
    <n v="61.57"/>
    <n v="61.1"/>
    <n v="58.42"/>
    <n v="66.957319659631423"/>
    <n v="64.396705819585833"/>
    <n v="71.105219200134243"/>
    <n v="55.674599999999998"/>
    <n v="62.926074999999997"/>
    <n v="64.533461169837878"/>
    <n v="63.729768084918938"/>
    <n v="50.626091807206677"/>
    <n v="49.373908192793323"/>
    <n v="0.54436517373513993"/>
    <n v="0"/>
    <n v="34.692266275647071"/>
    <n v="3"/>
    <n v="3"/>
    <b v="1"/>
    <x v="4"/>
    <n v="65.754624068572468"/>
    <n v="0.56366841249493882"/>
    <n v="37.06380456293374"/>
    <n v="2"/>
    <n v="-1"/>
    <n v="-2.0248559836535307"/>
    <n v="-1.9303238759798891E-2"/>
    <n v="-2.3715382872866684"/>
    <n v="3"/>
    <b v="1"/>
    <s v="Efecto ponderador"/>
    <n v="0.81759069605862034"/>
    <n v="53.760368861297074"/>
    <n v="0.50185953384258264"/>
    <n v="2"/>
    <n v="-1"/>
    <n v="50.185953384258262"/>
    <n v="4"/>
    <n v="-0.27322552232348041"/>
    <b v="0"/>
    <s v="Cambio en corte"/>
    <n v="2"/>
    <n v="-1"/>
    <n v="0"/>
    <n v="0"/>
    <n v="0"/>
    <n v="0"/>
    <n v="0"/>
    <s v="Intermedio"/>
    <n v="6"/>
    <s v="Fuera SC"/>
    <m/>
    <s v="No"/>
    <s v="No"/>
    <n v="24.4"/>
    <n v="11.171439196727407"/>
    <n v="1.1818141382049245"/>
    <s v="Sin riesgo"/>
    <n v="1.9101419259897774"/>
    <s v="Medio Bajo"/>
    <n v="34707.785484"/>
    <n v="14718.913409000001"/>
    <n v="16059"/>
    <n v="2.1612669209788904"/>
    <n v="0.91655230145089983"/>
    <m/>
    <m/>
    <m/>
    <m/>
    <m/>
    <m/>
    <m/>
    <n v="55"/>
    <n v="0"/>
    <n v="7"/>
    <n v="24558.097679999999"/>
    <n v="9619.447349"/>
    <n v="0.3917016486514765"/>
    <s v="31% - 50%"/>
    <n v="2.7986598547858629E-4"/>
    <s v="N.D."/>
    <s v="N.D."/>
    <s v="N.D."/>
    <n v="0.97836849467778186"/>
    <s v="Aceptable"/>
    <n v="1"/>
    <s v="Candidato"/>
    <n v="0"/>
    <n v="0"/>
  </r>
  <r>
    <n v="47288"/>
    <s v="47288"/>
    <x v="17"/>
    <x v="17"/>
    <s v="FUNDACIÓN"/>
    <n v="63.101233333333298"/>
    <n v="57.53"/>
    <n v="59.21"/>
    <n v="66.599999999999994"/>
    <n v="59.976181320312108"/>
    <n v="56.862856340184351"/>
    <n v="54.302477282439604"/>
    <n v="54.433399999999999"/>
    <n v="61.610308333333322"/>
    <n v="56.393728735734015"/>
    <n v="59.002018534533669"/>
    <n v="49.597114328186471"/>
    <n v="50.402885671813529"/>
    <n v="0.55362597104632172"/>
    <n v="0"/>
    <n v="32.665049804874272"/>
    <n v="3"/>
    <n v="3"/>
    <b v="1"/>
    <x v="4"/>
    <n v="59.283491263537485"/>
    <n v="0.56244355739616791"/>
    <n v="33.343617721128666"/>
    <n v="3"/>
    <n v="0"/>
    <n v="-0.28147272900381637"/>
    <n v="-8.8175863498461959E-3"/>
    <n v="-0.67856791625439428"/>
    <n v="3"/>
    <b v="1"/>
    <n v="0"/>
    <n v="0.81759069605862034"/>
    <n v="48.469630886940749"/>
    <n v="0.43567797874688929"/>
    <n v="3"/>
    <n v="0"/>
    <n v="43.567797874688928"/>
    <n v="4"/>
    <n v="-0.26396472501229862"/>
    <b v="0"/>
    <n v="0"/>
    <n v="2"/>
    <n v="-1"/>
    <n v="0"/>
    <n v="0"/>
    <n v="0"/>
    <n v="1"/>
    <n v="1"/>
    <s v="Intermedio"/>
    <n v="6"/>
    <s v="Fuera SC"/>
    <m/>
    <s v="No"/>
    <s v="Si"/>
    <n v="43.9"/>
    <n v="25.233731370915486"/>
    <n v="1.6599381745289996"/>
    <s v="Sin riesgo"/>
    <n v="2.0395662405823809"/>
    <s v="Medio Bajo"/>
    <n v="121744.27791600001"/>
    <n v="17409.261504999999"/>
    <n v="75360"/>
    <n v="1.6155026262738854"/>
    <n v="0.23101461657377917"/>
    <m/>
    <m/>
    <m/>
    <m/>
    <m/>
    <m/>
    <m/>
    <n v="42"/>
    <n v="0"/>
    <n v="6"/>
    <n v="97056.788379000005"/>
    <n v="76675.745280999996"/>
    <n v="0.79000909221915061"/>
    <s v="71% - 100%"/>
    <n v="2.2307864721150443E-3"/>
    <n v="39171.608910000003"/>
    <n v="0.40359473627993536"/>
    <s v="31% - 50%"/>
    <n v="0.94053248074827811"/>
    <s v="Aceptable"/>
    <n v="2"/>
    <s v="Candidato"/>
    <n v="0"/>
    <n v="0"/>
  </r>
  <r>
    <n v="25178"/>
    <s v="25178"/>
    <x v="5"/>
    <x v="5"/>
    <s v="CHIPAQUE"/>
    <n v="79.084766666666695"/>
    <n v="97.18"/>
    <n v="86.73"/>
    <n v="45.27"/>
    <n v="77.13940704162107"/>
    <n v="79.372124193900703"/>
    <n v="79.425877887916869"/>
    <n v="58.454500000000003"/>
    <n v="77.066191666666668"/>
    <n v="73.597977280859666"/>
    <n v="75.33208447376316"/>
    <n v="50.566871525987409"/>
    <n v="49.433128474012591"/>
    <n v="0.54489815626611326"/>
    <n v="0"/>
    <n v="41.048313937436646"/>
    <n v="2"/>
    <n v="2"/>
    <b v="1"/>
    <x v="3"/>
    <n v="80.428583234121405"/>
    <n v="0.56094902930280355"/>
    <n v="45.116335693380144"/>
    <n v="2"/>
    <n v="0"/>
    <n v="-5.0964987603582443"/>
    <n v="-1.6050873036690283E-2"/>
    <n v="-4.0680217559434979"/>
    <n v="2"/>
    <b v="1"/>
    <n v="0"/>
    <n v="0.81759069605862034"/>
    <n v="65.757661349393999"/>
    <n v="0.65193301653036062"/>
    <n v="1"/>
    <n v="-1"/>
    <n v="65.193301653036059"/>
    <n v="3"/>
    <n v="-0.27269253979250707"/>
    <b v="0"/>
    <s v="Cambio en corte"/>
    <n v="2"/>
    <n v="0"/>
    <n v="0"/>
    <n v="0"/>
    <n v="0"/>
    <n v="0"/>
    <n v="0"/>
    <s v="Intermedio"/>
    <n v="6"/>
    <s v="Fuera SC"/>
    <m/>
    <s v="No"/>
    <s v="No"/>
    <n v="31.1"/>
    <n v="9.5199443413729128"/>
    <n v="7.5864694894146947"/>
    <s v="Bajo"/>
    <n v="1.54572712938344"/>
    <s v="Medio Bajo"/>
    <n v="22376.269500999999"/>
    <n v="7027.2477609999996"/>
    <n v="10150"/>
    <n v="2.2045585715270937"/>
    <n v="0.6923396808866995"/>
    <m/>
    <m/>
    <m/>
    <m/>
    <m/>
    <m/>
    <m/>
    <n v="40"/>
    <n v="0"/>
    <n v="7"/>
    <n v="15036.015829"/>
    <n v="5061.2684090000002"/>
    <n v="0.33660967549916515"/>
    <s v="31% - 50%"/>
    <n v="1.4725137730533687E-4"/>
    <s v="N.D."/>
    <s v="N.D."/>
    <s v="N.D."/>
    <n v="0.93739039432047933"/>
    <s v="Aceptable"/>
    <n v="1"/>
    <s v="Candidato"/>
    <n v="0"/>
    <n v="0"/>
  </r>
  <r>
    <n v="76828"/>
    <s v="76828"/>
    <x v="3"/>
    <x v="3"/>
    <s v="TRUJILLO"/>
    <n v="64.520366666666703"/>
    <n v="53.82"/>
    <n v="57.38"/>
    <n v="52.72"/>
    <n v="54.059804333792016"/>
    <n v="56.880441478725743"/>
    <n v="63.979454242545913"/>
    <n v="59.994700000000002"/>
    <n v="57.110091666666676"/>
    <n v="58.72860001376592"/>
    <n v="57.919345840216295"/>
    <n v="49.839714605966073"/>
    <n v="50.160285394033927"/>
    <n v="0.55144256854630536"/>
    <n v="0"/>
    <n v="31.939192838650641"/>
    <n v="3"/>
    <n v="3"/>
    <b v="1"/>
    <x v="4"/>
    <n v="58.225456088847473"/>
    <n v="0.56247474038468559"/>
    <n v="32.750348297354392"/>
    <n v="3"/>
    <n v="0"/>
    <n v="-0.30611024863117819"/>
    <n v="-1.1032171838380234E-2"/>
    <n v="-0.81115545870375172"/>
    <n v="3"/>
    <b v="1"/>
    <n v="0"/>
    <n v="0.81759069605862034"/>
    <n v="47.604591172011439"/>
    <n v="0.42485724375093215"/>
    <n v="3"/>
    <n v="0"/>
    <n v="42.485724375093213"/>
    <n v="4"/>
    <n v="-0.26614812751231498"/>
    <b v="0"/>
    <n v="0"/>
    <n v="2"/>
    <n v="-1"/>
    <n v="0"/>
    <n v="0"/>
    <n v="0"/>
    <n v="0"/>
    <n v="0"/>
    <s v="Intermedio"/>
    <n v="6"/>
    <s v="Fuera SC"/>
    <m/>
    <s v="No"/>
    <s v="No"/>
    <n v="34.9"/>
    <n v="14.952541151027274"/>
    <n v="17.09743764584449"/>
    <s v="Medio"/>
    <n v="8.4125683156815594"/>
    <s v="Medio"/>
    <n v="40199.371187999997"/>
    <n v="7270.8775221000005"/>
    <n v="19948"/>
    <n v="2.0152081004611988"/>
    <n v="0.36449155414577905"/>
    <m/>
    <m/>
    <m/>
    <m/>
    <m/>
    <m/>
    <m/>
    <n v="66"/>
    <n v="0"/>
    <n v="7"/>
    <n v="30774.167593999999"/>
    <n v="12491.328344"/>
    <n v="0.40590304533323651"/>
    <s v="31% - 50%"/>
    <n v="3.6341982965305977E-4"/>
    <n v="200.409909"/>
    <n v="6.5122771684350501E-3"/>
    <s v="0% - 30%"/>
    <n v="0.96352721023333743"/>
    <s v="Aceptable"/>
    <n v="1"/>
    <s v="Candidato"/>
    <n v="0"/>
    <n v="0"/>
  </r>
  <r>
    <n v="25224"/>
    <s v="25224"/>
    <x v="5"/>
    <x v="5"/>
    <s v="CUCUNUBÁ"/>
    <n v="61.4726"/>
    <n v="86.57"/>
    <n v="85.11"/>
    <n v="88.05"/>
    <n v="53.993204340878535"/>
    <n v="60.059580986764338"/>
    <n v="65.774932410954577"/>
    <n v="65.321899999999999"/>
    <n v="80.300650000000005"/>
    <n v="61.287404434649368"/>
    <n v="70.794027217324683"/>
    <n v="50.754222309313626"/>
    <n v="49.245777690686374"/>
    <n v="0.54321199921617735"/>
    <n v="0"/>
    <n v="38.456165057287414"/>
    <n v="2"/>
    <n v="2"/>
    <b v="1"/>
    <x v="3"/>
    <n v="65.736584908077049"/>
    <n v="0.5593118028465377"/>
    <n v="36.767247817911077"/>
    <n v="2"/>
    <n v="0"/>
    <n v="5.0574423092476337"/>
    <n v="-1.6099803630360343E-2"/>
    <n v="1.6889172393763374"/>
    <n v="2"/>
    <b v="1"/>
    <n v="0"/>
    <n v="0.81759069605862034"/>
    <n v="53.745620211511309"/>
    <n v="0.50167504378030492"/>
    <n v="2"/>
    <n v="0"/>
    <n v="50.167504378030493"/>
    <n v="3"/>
    <n v="-0.27437869684244298"/>
    <b v="0"/>
    <n v="0"/>
    <n v="3"/>
    <n v="1"/>
    <n v="0"/>
    <n v="0"/>
    <n v="0"/>
    <n v="0"/>
    <n v="0"/>
    <s v="Rural"/>
    <n v="6"/>
    <s v="Fuera SC"/>
    <m/>
    <s v="No"/>
    <s v="Si"/>
    <n v="25"/>
    <n v="11.496715224221651"/>
    <n v="10.505660501829002"/>
    <s v="Bajo"/>
    <n v="0"/>
    <s v="Bajo"/>
    <n v="17380.453581999998"/>
    <n v="6831.8682698000002"/>
    <n v="8234"/>
    <n v="2.1108153487976682"/>
    <n v="0.82971438787952401"/>
    <m/>
    <m/>
    <m/>
    <m/>
    <m/>
    <m/>
    <m/>
    <n v="36"/>
    <n v="0"/>
    <n v="7"/>
    <n v="10968.183814"/>
    <n v="3793.7012869999999"/>
    <n v="0.3458823585868106"/>
    <s v="31% - 50%"/>
    <n v="1.1037307142265393E-4"/>
    <s v="N.D."/>
    <s v="N.D."/>
    <s v="N.D."/>
    <n v="0.98553391928008038"/>
    <s v="Aceptable"/>
    <n v="3"/>
    <s v="Candidato"/>
    <n v="0"/>
    <n v="0"/>
  </r>
  <r>
    <n v="20060"/>
    <s v="20060"/>
    <x v="20"/>
    <x v="20"/>
    <s v="BOSCONIA"/>
    <n v="66.872966666666699"/>
    <n v="0"/>
    <n v="44.52"/>
    <n v="53.36"/>
    <n v="58.168098411375652"/>
    <n v="56.58904919256765"/>
    <n v="54.064488150520987"/>
    <n v="39.703499999999998"/>
    <n v="41.18824166666667"/>
    <n v="52.131283938616072"/>
    <n v="46.659762802641367"/>
    <n v="49.573556391021263"/>
    <n v="50.426443608978737"/>
    <n v="0.55383799248080856"/>
    <n v="0"/>
    <n v="25.8419493602456"/>
    <n v="4"/>
    <n v="4"/>
    <b v="1"/>
    <x v="5"/>
    <n v="57.375466303052917"/>
    <n v="0.56154624328548808"/>
    <n v="32.218977559232478"/>
    <n v="3"/>
    <n v="-1"/>
    <n v="-10.71570350041155"/>
    <n v="-7.7082508046795173E-3"/>
    <n v="-6.3770281989868778"/>
    <n v="4"/>
    <b v="1"/>
    <s v="Efecto ponderador"/>
    <n v="0.81759069605862034"/>
    <n v="46.909647431400948"/>
    <n v="0.41616423009564607"/>
    <n v="3"/>
    <n v="-1"/>
    <n v="41.616423009564606"/>
    <n v="4"/>
    <n v="-0.26375270357781178"/>
    <b v="1"/>
    <s v="Efecto ponderador"/>
    <n v="3"/>
    <n v="-1"/>
    <n v="0"/>
    <n v="0"/>
    <n v="0"/>
    <n v="0"/>
    <n v="1"/>
    <s v="Intermedio"/>
    <n v="6"/>
    <s v="Fuera SC"/>
    <m/>
    <s v="No"/>
    <s v="Si"/>
    <n v="43.8"/>
    <n v="31.771513907037519"/>
    <n v="76.340681196928159"/>
    <s v="Alto"/>
    <n v="6.2449033145256019"/>
    <s v="Medio"/>
    <n v="56932.960045"/>
    <n v="15387.956061000001"/>
    <n v="47690"/>
    <n v="1.1938133790102747"/>
    <n v="0.32266630448731393"/>
    <m/>
    <m/>
    <m/>
    <m/>
    <m/>
    <m/>
    <m/>
    <n v="47"/>
    <n v="0"/>
    <n v="6"/>
    <n v="58579.767424999998"/>
    <n v="6331.0297769999997"/>
    <n v="0.10807536552796411"/>
    <s v="0% - 30%"/>
    <n v="1.8419352207573264E-4"/>
    <n v="696.80455199999994"/>
    <n v="1.1894969588128234E-2"/>
    <s v="0% - 30%"/>
    <n v="0.87625714770614482"/>
    <s v="Aceptable"/>
    <n v="1"/>
    <s v="Candidato"/>
    <n v="0"/>
    <n v="0"/>
  </r>
  <r>
    <n v="5659"/>
    <s v="05659"/>
    <x v="1"/>
    <x v="1"/>
    <s v="SAN JUAN DE URABÁ"/>
    <n v="36.544333333333299"/>
    <n v="35.53"/>
    <n v="39.33"/>
    <n v="36.4"/>
    <n v="54.898987597569857"/>
    <n v="55.3594527002641"/>
    <n v="58.949394922004558"/>
    <n v="60.6907"/>
    <n v="36.951083333333322"/>
    <n v="57.474633804959623"/>
    <n v="47.212858569146476"/>
    <n v="50.824917807122283"/>
    <n v="49.175082192877717"/>
    <n v="0.54257573973589945"/>
    <n v="0"/>
    <n v="25.616551663201047"/>
    <n v="4"/>
    <n v="4"/>
    <b v="1"/>
    <x v="5"/>
    <n v="44.649743407981177"/>
    <n v="0.56123500893444078"/>
    <n v="25.058999140498806"/>
    <n v="4"/>
    <n v="0"/>
    <n v="2.5631151611652996"/>
    <n v="-1.8659269198541328E-2"/>
    <n v="0.55755252270224176"/>
    <n v="4"/>
    <b v="1"/>
    <n v="0"/>
    <n v="0.81759069605862034"/>
    <n v="36.505214791770122"/>
    <n v="0.28601574507963456"/>
    <n v="4"/>
    <n v="0"/>
    <n v="28.601574507963456"/>
    <n v="4"/>
    <n v="-0.27501495632272088"/>
    <b v="1"/>
    <n v="0"/>
    <n v="3"/>
    <n v="-1"/>
    <n v="0"/>
    <n v="0"/>
    <n v="0"/>
    <n v="0"/>
    <n v="0"/>
    <s v="Intermedio"/>
    <n v="6"/>
    <s v="Fuera SC"/>
    <m/>
    <s v="No"/>
    <s v="No"/>
    <n v="61.1"/>
    <n v="59.823929571828728"/>
    <n v="3.1866666666666665"/>
    <s v="Sin riesgo"/>
    <n v="1.6544507819564604"/>
    <s v="Medio Bajo"/>
    <n v="63765.760777000003"/>
    <n v="12416.984788"/>
    <n v="20025"/>
    <n v="3.1843076542821476"/>
    <n v="0.62007414671660421"/>
    <m/>
    <m/>
    <m/>
    <m/>
    <m/>
    <m/>
    <m/>
    <n v="35"/>
    <n v="0"/>
    <n v="7"/>
    <n v="25202.597946999998"/>
    <n v="9499.3272859999997"/>
    <n v="0.376918574266696"/>
    <s v="31% - 50%"/>
    <n v="2.763712400334917E-4"/>
    <n v="24.830739000000001"/>
    <n v="9.8524521369654033E-4"/>
    <n v="0"/>
    <n v="0.89164493610225781"/>
    <s v="Aceptable"/>
    <n v="2"/>
    <s v="Candidato"/>
    <n v="0"/>
    <n v="0"/>
  </r>
  <r>
    <n v="5197"/>
    <s v="05197"/>
    <x v="1"/>
    <x v="1"/>
    <s v="COCORNÁ"/>
    <n v="55.940966666666696"/>
    <n v="32.24"/>
    <n v="56.29"/>
    <n v="68.599999999999994"/>
    <n v="55.847238603011668"/>
    <n v="52.483672495629605"/>
    <n v="54.032578548372328"/>
    <n v="53.831899999999997"/>
    <n v="53.267741666666673"/>
    <n v="54.0488474117534"/>
    <n v="53.658294539210033"/>
    <n v="50.280784056417424"/>
    <n v="49.719215943582576"/>
    <n v="0.54747294349224318"/>
    <n v="0"/>
    <n v="29.376464454155077"/>
    <n v="4"/>
    <n v="4"/>
    <b v="1"/>
    <x v="4"/>
    <n v="51.520323534143316"/>
    <n v="0.56572825753247002"/>
    <n v="29.146502860480005"/>
    <n v="3"/>
    <n v="0"/>
    <n v="2.1379710050667171"/>
    <n v="-1.8255314040226844E-2"/>
    <n v="0.22996159367507119"/>
    <n v="3"/>
    <b v="1"/>
    <n v="0"/>
    <n v="0.81759069605862034"/>
    <n v="42.122537179445551"/>
    <n v="0.3562825269335293"/>
    <n v="3"/>
    <n v="0"/>
    <n v="35.628252693352927"/>
    <n v="4"/>
    <n v="-0.27011775256637716"/>
    <b v="0"/>
    <n v="0"/>
    <n v="3"/>
    <n v="0"/>
    <n v="0"/>
    <n v="0"/>
    <n v="0"/>
    <n v="0"/>
    <n v="1"/>
    <s v="Intermedio"/>
    <n v="6"/>
    <s v="Fuera SC"/>
    <m/>
    <s v="No"/>
    <s v="Si"/>
    <n v="42.9"/>
    <n v="14.310004760933143"/>
    <n v="28.340914041056241"/>
    <s v="Medio"/>
    <n v="2.9566020355292966"/>
    <s v="Medio Bajo"/>
    <n v="45704.595093999997"/>
    <n v="7631.1521291000008"/>
    <n v="16062"/>
    <n v="2.8455108388743615"/>
    <n v="0.47510597242560088"/>
    <m/>
    <m/>
    <m/>
    <m/>
    <m/>
    <m/>
    <m/>
    <n v="84"/>
    <n v="0"/>
    <n v="7"/>
    <n v="25780.940665999999"/>
    <n v="4904.4591369999998"/>
    <n v="0.1902358490537166"/>
    <s v="0% - 30%"/>
    <n v="1.426892044643969E-4"/>
    <s v="N.D."/>
    <s v="N.D."/>
    <s v="N.D."/>
    <n v="0.7778519502309631"/>
    <s v="Crítico bajo"/>
    <n v="2"/>
    <s v="Candidato"/>
    <n v="0"/>
    <n v="0"/>
  </r>
  <r>
    <n v="52240"/>
    <s v="52240"/>
    <x v="18"/>
    <x v="18"/>
    <s v="CHACHAGÜÍ"/>
    <n v="39.230133333333299"/>
    <n v="34.409999999999997"/>
    <n v="43.52"/>
    <n v="48.29"/>
    <n v="46.407200495233383"/>
    <n v="63.305002215271216"/>
    <n v="63.775170868584411"/>
    <n v="56.033499999999997"/>
    <n v="41.362533333333324"/>
    <n v="57.380218394772257"/>
    <n v="49.371375864052794"/>
    <n v="49.605878353529469"/>
    <n v="50.394121646470531"/>
    <n v="0.55354709481823483"/>
    <n v="0"/>
    <n v="27.329381676725543"/>
    <n v="4"/>
    <n v="4"/>
    <b v="1"/>
    <x v="5"/>
    <n v="49.726410259196847"/>
    <n v="0.56187221997857406"/>
    <n v="27.939888523900272"/>
    <n v="3"/>
    <n v="-1"/>
    <n v="-0.35503439514405244"/>
    <n v="-8.3251251603392307E-3"/>
    <n v="-0.61050684717472947"/>
    <n v="4"/>
    <b v="1"/>
    <s v="Efecto ponderador"/>
    <n v="0.81759069605862034"/>
    <n v="40.655850376313268"/>
    <n v="0.33793582105996262"/>
    <n v="4"/>
    <n v="0"/>
    <n v="33.793582105996265"/>
    <n v="4"/>
    <n v="-0.26404360124038551"/>
    <b v="1"/>
    <n v="0"/>
    <n v="3"/>
    <n v="-1"/>
    <n v="0"/>
    <n v="0"/>
    <n v="0"/>
    <n v="0"/>
    <n v="0"/>
    <s v="Intermedio"/>
    <n v="6"/>
    <s v="Fuera SC"/>
    <m/>
    <s v="No"/>
    <s v="Si"/>
    <n v="32.200000000000003"/>
    <n v="18.046451404062474"/>
    <n v="40.400479449440745"/>
    <s v="Alto"/>
    <n v="0.6646354126669004"/>
    <s v="Medio Bajo"/>
    <n v="29544.931371999999"/>
    <n v="9593.8582270000006"/>
    <n v="16366"/>
    <n v="1.8052628236588049"/>
    <n v="0.58620666179885128"/>
    <m/>
    <m/>
    <m/>
    <m/>
    <m/>
    <m/>
    <m/>
    <n v="80"/>
    <n v="0"/>
    <n v="7"/>
    <n v="14639.866848"/>
    <n v="755.622432"/>
    <n v="5.1614023532135338E-2"/>
    <s v="0% - 30%"/>
    <n v="2.1983904990486792E-5"/>
    <s v="N.D."/>
    <s v="N.D."/>
    <s v="N.D."/>
    <n v="0.90429614163651251"/>
    <s v="Aceptable"/>
    <n v="1"/>
    <s v="Candidato"/>
    <n v="0"/>
    <n v="0"/>
  </r>
  <r>
    <n v="68872"/>
    <s v="68872"/>
    <x v="0"/>
    <x v="0"/>
    <s v="VILLANUEVA"/>
    <n v="67.518533333333295"/>
    <n v="57.72"/>
    <n v="59.06"/>
    <n v="59.79"/>
    <n v="53.276336800556571"/>
    <n v="62.524683522671168"/>
    <n v="57.452440794359688"/>
    <n v="61.496699999999997"/>
    <n v="61.022133333333322"/>
    <n v="58.687540279396856"/>
    <n v="59.854836806365086"/>
    <n v="49.502403699311095"/>
    <n v="50.497596300688905"/>
    <n v="0.55447836670620021"/>
    <n v="0"/>
    <n v="33.188212151859467"/>
    <n v="3"/>
    <n v="3"/>
    <b v="1"/>
    <x v="4"/>
    <n v="60.07968975849424"/>
    <n v="0.56345743015386174"/>
    <n v="33.852347595762453"/>
    <n v="3"/>
    <n v="0"/>
    <n v="-0.22485295212915446"/>
    <n v="-8.9790634476615283E-3"/>
    <n v="-0.6641354439029854"/>
    <n v="3"/>
    <b v="1"/>
    <n v="0"/>
    <n v="0.81759069605862034"/>
    <n v="49.120595368633268"/>
    <n v="0.44382085823162021"/>
    <n v="3"/>
    <n v="0"/>
    <n v="44.382085823162022"/>
    <n v="4"/>
    <n v="-0.26311232935242013"/>
    <b v="0"/>
    <n v="0"/>
    <n v="3"/>
    <n v="0"/>
    <n v="0"/>
    <n v="0"/>
    <n v="0"/>
    <n v="0"/>
    <n v="0"/>
    <s v="Intermedio"/>
    <n v="6"/>
    <s v="Fuera SC"/>
    <m/>
    <s v="No"/>
    <s v="Si"/>
    <n v="27.5"/>
    <n v="9.3085501858736066"/>
    <n v="46.112939568055239"/>
    <s v="Alto"/>
    <n v="0.97368429185589689"/>
    <s v="Medio Bajo"/>
    <n v="21043.337134000001"/>
    <n v="4787.7211637"/>
    <n v="8989"/>
    <n v="2.341009804650128"/>
    <n v="0.53261999818667261"/>
    <m/>
    <m/>
    <m/>
    <m/>
    <m/>
    <m/>
    <m/>
    <n v="4"/>
    <n v="0"/>
    <n v="7"/>
    <n v="9742.6999360000009"/>
    <n v="856.69080299999996"/>
    <n v="8.7931559898962272E-2"/>
    <s v="0% - 30%"/>
    <n v="2.492436489680052E-5"/>
    <s v="N.D."/>
    <s v="N.D."/>
    <s v="N.D."/>
    <n v="0.96824205642520367"/>
    <s v="Aceptable"/>
    <n v="2"/>
    <s v="Candidato"/>
    <n v="0"/>
    <n v="0"/>
  </r>
  <r>
    <n v="25867"/>
    <s v="25867"/>
    <x v="5"/>
    <x v="5"/>
    <s v="VIANÍ"/>
    <n v="73.343933333333297"/>
    <n v="83.06"/>
    <n v="84.5"/>
    <n v="88.47"/>
    <n v="54.37762694601556"/>
    <n v="47.860342849093854"/>
    <n v="68.796493553327807"/>
    <n v="53.1175"/>
    <n v="82.343483333333324"/>
    <n v="56.037990837109305"/>
    <n v="69.190737085221315"/>
    <n v="50.899867964578782"/>
    <n v="49.100132035421218"/>
    <n v="0.54190118831879097"/>
    <n v="0"/>
    <n v="37.494542647134473"/>
    <n v="3"/>
    <n v="3"/>
    <b v="1"/>
    <x v="3"/>
    <n v="66.997299585343086"/>
    <n v="0.5583733996075384"/>
    <n v="37.409509933992744"/>
    <n v="2"/>
    <n v="0"/>
    <n v="2.1934374998782289"/>
    <n v="-1.6472211288747429E-2"/>
    <n v="8.5032713141728777E-2"/>
    <n v="2"/>
    <b v="1"/>
    <n v="0"/>
    <n v="0.81759069605862034"/>
    <n v="54.776368802028571"/>
    <n v="0.51456862213624799"/>
    <n v="2"/>
    <n v="0"/>
    <n v="51.456862213624802"/>
    <n v="3"/>
    <n v="-0.27568950773982936"/>
    <b v="0"/>
    <n v="0"/>
    <n v="3"/>
    <n v="1"/>
    <n v="0"/>
    <n v="0"/>
    <n v="0"/>
    <n v="0"/>
    <n v="0"/>
    <s v="Intermedio"/>
    <n v="6"/>
    <s v="Fuera SC"/>
    <m/>
    <s v="No"/>
    <s v="Si"/>
    <n v="31.6"/>
    <n v="11.744613767735155"/>
    <n v="12.367272727272727"/>
    <s v="Bajo"/>
    <n v="1.6758567764514631"/>
    <s v="Medio Bajo"/>
    <n v="12503.848097"/>
    <n v="2655.6443250000002"/>
    <n v="4624"/>
    <n v="2.7041193981401386"/>
    <n v="0.57431754433391013"/>
    <m/>
    <m/>
    <m/>
    <m/>
    <m/>
    <m/>
    <m/>
    <n v="52"/>
    <n v="0"/>
    <n v="7"/>
    <n v="6703.5808919999999"/>
    <n v="2444.4135849999998"/>
    <n v="0.36464296088634413"/>
    <s v="31% - 50%"/>
    <n v="7.1117205808542236E-5"/>
    <s v="N.D."/>
    <s v="N.D."/>
    <s v="N.D."/>
    <n v="0.83886314258156158"/>
    <s v="Crítico bajo"/>
    <n v="2"/>
    <s v="Candidato"/>
    <n v="0"/>
    <n v="0"/>
  </r>
  <r>
    <n v="19473"/>
    <s v="19473"/>
    <x v="13"/>
    <x v="13"/>
    <s v="MORALES"/>
    <n v="51.843033333333302"/>
    <n v="66.02"/>
    <n v="63.37"/>
    <n v="71.040000000000006"/>
    <n v="37.014705204474907"/>
    <n v="40.588229930738407"/>
    <n v="54.554231757413589"/>
    <n v="43.729700000000001"/>
    <n v="63.068258333333333"/>
    <n v="43.971716723156725"/>
    <n v="53.519987528245025"/>
    <n v="49.592791008452103"/>
    <n v="50.407208991547897"/>
    <n v="0.55366488092393107"/>
    <n v="0"/>
    <n v="29.632137521876057"/>
    <n v="3"/>
    <n v="3"/>
    <b v="1"/>
    <x v="4"/>
    <n v="50.323304402031184"/>
    <n v="0.56092747343900429"/>
    <n v="28.227723993333274"/>
    <n v="3"/>
    <n v="0"/>
    <n v="3.1966831262138413"/>
    <n v="-7.2625925150732185E-3"/>
    <n v="1.4044135285427828"/>
    <n v="3"/>
    <b v="1"/>
    <n v="0"/>
    <n v="0.81759069605862034"/>
    <n v="41.143865474026505"/>
    <n v="0.34404037551595384"/>
    <n v="4"/>
    <n v="1"/>
    <n v="34.404037551595387"/>
    <n v="4"/>
    <n v="-0.26392581513468927"/>
    <b v="0"/>
    <s v="Cambio en corte"/>
    <n v="3"/>
    <n v="0"/>
    <n v="0"/>
    <n v="0"/>
    <n v="0"/>
    <n v="1"/>
    <n v="1"/>
    <s v="Rural"/>
    <n v="6"/>
    <s v="Fuera SC"/>
    <m/>
    <s v="No"/>
    <s v="No"/>
    <n v="48.7"/>
    <n v="27.07737835020345"/>
    <n v="2.0699999999999998"/>
    <s v="Sin riesgo"/>
    <n v="7.6238576938736768"/>
    <s v="Medio"/>
    <n v="64149.870967000003"/>
    <n v="7779.3784539999997"/>
    <n v="44523"/>
    <n v="1.4408254377961953"/>
    <n v="0.17472718491566155"/>
    <m/>
    <m/>
    <m/>
    <m/>
    <m/>
    <m/>
    <m/>
    <n v="46"/>
    <n v="0"/>
    <n v="7"/>
    <n v="51174.339018999999"/>
    <n v="2497.4866900000002"/>
    <n v="4.88034967891375E-2"/>
    <s v="0% - 30%"/>
    <n v="7.266130250083066E-5"/>
    <n v="4226.1368970000003"/>
    <n v="8.2583126192033882E-2"/>
    <s v="0% - 30%"/>
    <n v="0.94687260723521849"/>
    <s v="Aceptable"/>
    <n v="2"/>
    <s v="Candidato"/>
    <n v="0"/>
    <n v="0"/>
  </r>
  <r>
    <n v="19130"/>
    <s v="19130"/>
    <x v="13"/>
    <x v="13"/>
    <s v="CAJIBÍO"/>
    <n v="68.692233333333306"/>
    <n v="56.23"/>
    <n v="58.22"/>
    <n v="55.62"/>
    <n v="56.35053315439832"/>
    <n v="55.533983894515352"/>
    <n v="53.028153516619028"/>
    <n v="52.093400000000003"/>
    <n v="59.690558333333328"/>
    <n v="54.251517641383174"/>
    <n v="56.971037987358251"/>
    <n v="50.039809158061665"/>
    <n v="49.960190841938335"/>
    <n v="0.54964171757744507"/>
    <n v="0"/>
    <n v="31.31365917154146"/>
    <n v="3"/>
    <n v="3"/>
    <b v="1"/>
    <x v="4"/>
    <n v="59.399688283158291"/>
    <n v="0.56092947290845019"/>
    <n v="33.319035839598222"/>
    <n v="3"/>
    <n v="0"/>
    <n v="-2.4286502958000398"/>
    <n v="-1.1287755331005123E-2"/>
    <n v="-2.005376668056762"/>
    <n v="3"/>
    <b v="1"/>
    <n v="0"/>
    <n v="0.81759069605862034"/>
    <n v="48.56463248909246"/>
    <n v="0.43686634864867935"/>
    <n v="3"/>
    <n v="0"/>
    <n v="43.686634864867933"/>
    <n v="4"/>
    <n v="-0.26794897848117527"/>
    <b v="0"/>
    <n v="0"/>
    <n v="3"/>
    <n v="0"/>
    <n v="0"/>
    <n v="0"/>
    <n v="0"/>
    <n v="1"/>
    <n v="1"/>
    <s v="Rural"/>
    <n v="6"/>
    <s v="Fuera SC"/>
    <m/>
    <s v="No"/>
    <s v="No"/>
    <n v="56.9"/>
    <n v="23.558244144563364"/>
    <n v="0"/>
    <s v="Sin riesgo"/>
    <n v="20.916187853476337"/>
    <s v="Alto"/>
    <n v="73037.622470999995"/>
    <n v="9586.8752124000002"/>
    <n v="45786"/>
    <n v="1.5951955285676844"/>
    <n v="0.20938442345695191"/>
    <m/>
    <m/>
    <m/>
    <m/>
    <m/>
    <m/>
    <m/>
    <n v="46"/>
    <n v="0"/>
    <n v="7"/>
    <n v="55261.942320000002"/>
    <n v="7809.354077"/>
    <n v="0.14131522977927785"/>
    <s v="0% - 30%"/>
    <n v="2.2720354875044085E-4"/>
    <n v="600.98859400000003"/>
    <n v="1.0875270914654308E-2"/>
    <s v="0% - 30%"/>
    <n v="0.95710362920841452"/>
    <s v="Aceptable"/>
    <n v="1"/>
    <s v="Candidato"/>
    <n v="0"/>
    <n v="0"/>
  </r>
  <r>
    <n v="15189"/>
    <s v="15189"/>
    <x v="10"/>
    <x v="10"/>
    <s v="CIÉNEGA"/>
    <n v="60.289766666666701"/>
    <n v="74.06"/>
    <n v="33.06"/>
    <n v="56.31"/>
    <n v="45.537216477640385"/>
    <n v="48.361658354135471"/>
    <n v="66.782269698980869"/>
    <n v="57.081099999999999"/>
    <n v="55.929941666666679"/>
    <n v="54.440561132689183"/>
    <n v="55.185251399677931"/>
    <n v="50.892306607970795"/>
    <n v="49.107693392029205"/>
    <n v="0.5419692405282629"/>
    <n v="0"/>
    <n v="29.908708789444706"/>
    <n v="3"/>
    <n v="3"/>
    <b v="1"/>
    <x v="4"/>
    <n v="55.394769262515823"/>
    <n v="0.55806764118684238"/>
    <n v="30.914028216421606"/>
    <n v="3"/>
    <n v="0"/>
    <n v="-0.20951786283789176"/>
    <n v="-1.6098400658579481E-2"/>
    <n v="-1.0053194269769001"/>
    <n v="3"/>
    <b v="1"/>
    <n v="0"/>
    <n v="0.81759069605862034"/>
    <n v="45.290247959346978"/>
    <n v="0.39590724970819541"/>
    <n v="3"/>
    <n v="0"/>
    <n v="39.590724970819544"/>
    <n v="4"/>
    <n v="-0.27562145553035744"/>
    <b v="0"/>
    <n v="0"/>
    <n v="3"/>
    <n v="0"/>
    <n v="0"/>
    <n v="0"/>
    <n v="0"/>
    <n v="0"/>
    <n v="0"/>
    <s v="Intermedio"/>
    <n v="6"/>
    <s v="Fuera SC"/>
    <m/>
    <s v="No"/>
    <s v="No"/>
    <n v="40.5"/>
    <n v="9.9955476402493328"/>
    <n v="36.826453254080199"/>
    <s v="Alto"/>
    <n v="0"/>
    <s v="Bajo"/>
    <n v="15269.228838000001"/>
    <n v="2879.4143308000002"/>
    <n v="4535"/>
    <n v="3.3669743854465271"/>
    <n v="0.63493149521499459"/>
    <m/>
    <m/>
    <m/>
    <m/>
    <m/>
    <m/>
    <m/>
    <n v="0"/>
    <n v="0"/>
    <n v="7"/>
    <n v="5389.6981690000002"/>
    <n v="3021.998329"/>
    <n v="0.56069899171379733"/>
    <s v="51% - 70%"/>
    <n v="8.7921323312627444E-5"/>
    <s v="N.D."/>
    <s v="N.D."/>
    <s v="N.D."/>
    <n v="0.91772552162081622"/>
    <s v="Aceptable"/>
    <n v="1"/>
    <s v="Candidato"/>
    <n v="0"/>
    <n v="0"/>
  </r>
  <r>
    <n v="73319"/>
    <s v="73319"/>
    <x v="15"/>
    <x v="15"/>
    <s v="GUAMO"/>
    <n v="69.783933333333295"/>
    <n v="57.41"/>
    <n v="56.89"/>
    <n v="65.260000000000005"/>
    <n v="58.277053416847963"/>
    <n v="61.162308232442754"/>
    <n v="63.661949279102892"/>
    <n v="62.754600000000003"/>
    <n v="62.335983333333317"/>
    <n v="61.463977732098407"/>
    <n v="61.899980532715858"/>
    <n v="50.210347929949727"/>
    <n v="49.789652070050273"/>
    <n v="0.54810686863045244"/>
    <n v="0"/>
    <n v="33.927804498072852"/>
    <n v="3"/>
    <n v="3"/>
    <b v="1"/>
    <x v="4"/>
    <n v="60.383441516620877"/>
    <n v="0.55974761965284459"/>
    <n v="33.799487655375287"/>
    <n v="3"/>
    <n v="0"/>
    <n v="1.5165390160949812"/>
    <n v="-1.1640751022392148E-2"/>
    <n v="0.12831684269756494"/>
    <n v="3"/>
    <b v="1"/>
    <n v="0"/>
    <n v="0.81759069605862034"/>
    <n v="49.368939979989058"/>
    <n v="0.44692738753978567"/>
    <n v="3"/>
    <n v="0"/>
    <n v="44.692738753978567"/>
    <n v="4"/>
    <n v="-0.2694838274281679"/>
    <b v="0"/>
    <n v="0"/>
    <n v="2"/>
    <n v="-1"/>
    <n v="0"/>
    <n v="0"/>
    <n v="0"/>
    <n v="0"/>
    <n v="0"/>
    <s v="Intermedio"/>
    <n v="6"/>
    <s v="Fuera SC"/>
    <m/>
    <s v="No"/>
    <s v="No"/>
    <n v="32.200000000000003"/>
    <n v="14.342642603082599"/>
    <n v="14.479030661516175"/>
    <s v="Medio"/>
    <n v="3.2751178208465181"/>
    <s v="Medio Bajo"/>
    <n v="69246.069858000003"/>
    <n v="19910.838008999999"/>
    <n v="33796"/>
    <n v="2.0489427700911351"/>
    <n v="0.58914776923304535"/>
    <m/>
    <m/>
    <m/>
    <m/>
    <m/>
    <m/>
    <m/>
    <n v="6"/>
    <n v="0"/>
    <n v="6"/>
    <n v="50531.285865999998"/>
    <n v="582.77412100000004"/>
    <n v="1.153293669481148E-2"/>
    <s v="0% - 30%"/>
    <n v="1.695509604322924E-5"/>
    <n v="136.81071600000001"/>
    <n v="2.7074457666246164E-3"/>
    <s v="0% - 30%"/>
    <n v="0.86493441263113113"/>
    <s v="Aceptable"/>
    <n v="3"/>
    <s v="Candidato"/>
    <n v="0"/>
    <n v="0"/>
  </r>
  <r>
    <n v="44001"/>
    <s v="44001"/>
    <x v="21"/>
    <x v="21"/>
    <s v="RIOHACHA"/>
    <n v="59.009399999999999"/>
    <n v="62.89"/>
    <n v="60.46"/>
    <n v="58.81"/>
    <n v="54.181192413250635"/>
    <n v="50.366792257412108"/>
    <n v="51.361662247054156"/>
    <n v="51.029299999999999"/>
    <n v="60.292349999999999"/>
    <n v="51.734736729429223"/>
    <n v="56.013543364714607"/>
    <n v="51.03269251974568"/>
    <n v="48.96730748025432"/>
    <n v="0.54070576732228892"/>
    <n v="0"/>
    <n v="30.286845945458317"/>
    <n v="3"/>
    <n v="3"/>
    <b v="1"/>
    <x v="4"/>
    <n v="54.94219856764613"/>
    <n v="0.55950105955802498"/>
    <n v="30.740218313045414"/>
    <n v="3"/>
    <n v="0"/>
    <n v="1.0713447970684769"/>
    <n v="-1.8795292235736061E-2"/>
    <n v="-0.45337236758709665"/>
    <n v="3"/>
    <b v="1"/>
    <n v="0"/>
    <n v="0.81759069605862034"/>
    <n v="44.92023036991273"/>
    <n v="0.39127871969967659"/>
    <n v="3"/>
    <n v="0"/>
    <n v="39.127871969967657"/>
    <n v="4"/>
    <n v="-0.27688492873633141"/>
    <b v="0"/>
    <n v="0"/>
    <n v="3"/>
    <n v="0"/>
    <n v="1"/>
    <n v="0"/>
    <n v="1"/>
    <n v="0"/>
    <n v="1"/>
    <s v="Ciudades y aglomeraciones"/>
    <n v="3"/>
    <s v="Uninodal"/>
    <m/>
    <s v="Si"/>
    <s v="No"/>
    <n v="45.1"/>
    <n v="36.272125770514052"/>
    <n v="11.084069310035241"/>
    <s v="Bajo"/>
    <n v="3.9232422466869967"/>
    <s v="Medio Bajo"/>
    <n v="738466.308968"/>
    <n v="64936.765761249997"/>
    <n v="209292"/>
    <n v="3.5284019884563196"/>
    <n v="0.31026874300618273"/>
    <m/>
    <m/>
    <m/>
    <m/>
    <m/>
    <m/>
    <m/>
    <n v="76"/>
    <n v="1"/>
    <n v="3"/>
    <n v="308241.09467800002"/>
    <n v="69207.900206000006"/>
    <n v="0.22452522198020716"/>
    <s v="0% - 30%"/>
    <n v="2.0135187076073934E-3"/>
    <n v="100056.46255900001"/>
    <n v="0.32460455236678504"/>
    <s v="31% - 50%"/>
    <n v="0.88534933276078442"/>
    <s v="Aceptable"/>
    <n v="1"/>
    <s v="Candidato"/>
    <n v="1"/>
    <s v="Unidad Especial de Desarrollo Fronterizo"/>
  </r>
  <r>
    <n v="25183"/>
    <s v="25183"/>
    <x v="5"/>
    <x v="5"/>
    <s v="CHOCONTÁ"/>
    <n v="68.416633333333294"/>
    <n v="52.41"/>
    <n v="62.38"/>
    <n v="79.33"/>
    <n v="58.122547183671216"/>
    <n v="55.65158076900407"/>
    <n v="60.006437492502805"/>
    <n v="58.3018"/>
    <n v="65.634158333333318"/>
    <n v="58.020591361294521"/>
    <n v="61.827374847313919"/>
    <n v="51.048051009313454"/>
    <n v="48.951948990686546"/>
    <n v="0.54056754091617887"/>
    <n v="0"/>
    <n v="33.421871982515299"/>
    <n v="3"/>
    <n v="3"/>
    <b v="1"/>
    <x v="4"/>
    <n v="60.418875846329712"/>
    <n v="0.55872465315511144"/>
    <n v="33.757515451262307"/>
    <n v="3"/>
    <n v="0"/>
    <n v="1.4084990009842073"/>
    <n v="-1.8157112238932571E-2"/>
    <n v="-0.33564346874700846"/>
    <n v="3"/>
    <b v="1"/>
    <n v="0"/>
    <n v="0.81759069605862034"/>
    <n v="49.397910758280076"/>
    <n v="0.44728978143812748"/>
    <n v="3"/>
    <n v="0"/>
    <n v="44.728978143812746"/>
    <n v="4"/>
    <n v="-0.27702315514244147"/>
    <b v="0"/>
    <n v="0"/>
    <n v="2"/>
    <n v="-1"/>
    <n v="0"/>
    <n v="0"/>
    <n v="0"/>
    <n v="0"/>
    <n v="0"/>
    <s v="Intermedio"/>
    <n v="6"/>
    <s v="Fuera SC"/>
    <m/>
    <s v="No"/>
    <s v="No"/>
    <n v="27.5"/>
    <n v="7.7609504869715975"/>
    <n v="0.96842105263157885"/>
    <s v="Sin riesgo"/>
    <n v="1.0574056549230284"/>
    <s v="Medio Bajo"/>
    <n v="38460.485703999999"/>
    <n v="14391.180356749999"/>
    <n v="21836"/>
    <n v="1.7613338387983146"/>
    <n v="0.65905753602995054"/>
    <m/>
    <m/>
    <m/>
    <m/>
    <m/>
    <m/>
    <m/>
    <n v="96"/>
    <n v="0"/>
    <n v="6"/>
    <n v="29965.600373000001"/>
    <n v="17043.836293"/>
    <n v="0.56878007050901813"/>
    <s v="51% - 70%"/>
    <n v="4.958694473203816E-4"/>
    <n v="2.5421680000000002"/>
    <n v="8.4836211133970061E-5"/>
    <n v="0"/>
    <n v="0.97539467288741699"/>
    <s v="Aceptable"/>
    <n v="2"/>
    <s v="Candidato"/>
    <n v="0"/>
    <n v="0"/>
  </r>
  <r>
    <n v="17433"/>
    <s v="17433"/>
    <x v="11"/>
    <x v="11"/>
    <s v="MANZANARES"/>
    <n v="60.613833333333297"/>
    <n v="54.54"/>
    <n v="71.22"/>
    <n v="77.67"/>
    <n v="53.244350243798344"/>
    <n v="51.030349751041058"/>
    <n v="50.485834864090108"/>
    <n v="58.515999999999998"/>
    <n v="66.010958333333321"/>
    <n v="53.319133714732381"/>
    <n v="59.665046024032847"/>
    <n v="50.878391941470703"/>
    <n v="49.121608058529297"/>
    <n v="0.54209447252676368"/>
    <n v="0"/>
    <n v="32.344091652683161"/>
    <n v="3"/>
    <n v="3"/>
    <b v="1"/>
    <x v="4"/>
    <n v="56.943347607682853"/>
    <n v="0.55992443492351296"/>
    <n v="31.883971731884994"/>
    <n v="3"/>
    <n v="0"/>
    <n v="2.7216984163499944"/>
    <n v="-1.7829962396749277E-2"/>
    <n v="0.46011992079816721"/>
    <n v="3"/>
    <b v="1"/>
    <n v="0"/>
    <n v="0.81759069605862034"/>
    <n v="46.556351206473394"/>
    <n v="0.41174486673112637"/>
    <n v="3"/>
    <n v="0"/>
    <n v="41.174486673112639"/>
    <n v="4"/>
    <n v="-0.27549622353185665"/>
    <b v="0"/>
    <n v="0"/>
    <n v="3"/>
    <n v="0"/>
    <n v="0"/>
    <n v="0"/>
    <n v="0"/>
    <n v="0"/>
    <n v="0"/>
    <s v="Intermedio"/>
    <n v="6"/>
    <s v="Fuera SC"/>
    <m/>
    <s v="No"/>
    <s v="Si"/>
    <n v="37.5"/>
    <n v="17.137316688886195"/>
    <n v="23.814706521546295"/>
    <s v="Medio"/>
    <n v="1.9632838788195914"/>
    <s v="Medio Bajo"/>
    <n v="34926.980773000003"/>
    <n v="7472.7560289499997"/>
    <n v="18375"/>
    <n v="1.9007880692789116"/>
    <n v="0.40668060021496599"/>
    <m/>
    <m/>
    <m/>
    <m/>
    <m/>
    <m/>
    <m/>
    <n v="13"/>
    <n v="0"/>
    <n v="6"/>
    <n v="19780.451559000001"/>
    <n v="13321.138288"/>
    <n v="0.67344965549782676"/>
    <s v="51% - 70%"/>
    <n v="3.8756212902971084E-4"/>
    <s v="N.D."/>
    <s v="N.D."/>
    <s v="N.D."/>
    <n v="0.96440249489454266"/>
    <s v="Aceptable"/>
    <n v="2"/>
    <s v="Candidato"/>
    <n v="0"/>
    <n v="0"/>
  </r>
  <r>
    <n v="23678"/>
    <s v="23678"/>
    <x v="14"/>
    <x v="14"/>
    <s v="SAN CARLOS"/>
    <n v="47.596299999999999"/>
    <n v="47.58"/>
    <n v="49.14"/>
    <n v="64.66"/>
    <n v="45.436085419611928"/>
    <n v="46.817887415543616"/>
    <n v="40.868181109607349"/>
    <n v="56.738999999999997"/>
    <n v="52.244075000000002"/>
    <n v="47.465288486190722"/>
    <n v="49.854681743095362"/>
    <n v="50.15222790293695"/>
    <n v="49.84777209706305"/>
    <n v="0.54862994887356742"/>
    <n v="0"/>
    <n v="27.351771495822383"/>
    <n v="4"/>
    <n v="4"/>
    <b v="1"/>
    <x v="5"/>
    <n v="45.611677661534884"/>
    <n v="0.55874964433085239"/>
    <n v="25.485508670716101"/>
    <n v="4"/>
    <n v="0"/>
    <n v="4.2430040815604784"/>
    <n v="-1.0119695457284972E-2"/>
    <n v="1.8662628251062827"/>
    <n v="4"/>
    <b v="1"/>
    <n v="0"/>
    <n v="0.81759069605862034"/>
    <n v="37.291683287695733"/>
    <n v="0.29585363694772698"/>
    <n v="4"/>
    <n v="0"/>
    <n v="29.585363694772699"/>
    <n v="4"/>
    <n v="-0.26896074718505292"/>
    <b v="1"/>
    <n v="0"/>
    <n v="4"/>
    <n v="0"/>
    <n v="0"/>
    <n v="0"/>
    <n v="0"/>
    <n v="0"/>
    <n v="0"/>
    <s v="Rural"/>
    <n v="6"/>
    <s v="Fuera SC"/>
    <m/>
    <s v="No"/>
    <s v="No"/>
    <n v="58"/>
    <n v="38.60275369709332"/>
    <n v="0"/>
    <s v="Sin riesgo"/>
    <n v="6.2899008250235156"/>
    <s v="Medio"/>
    <n v="61374.497448000002"/>
    <n v="7427.3110139999999"/>
    <n v="28745"/>
    <n v="2.135136456705514"/>
    <n v="0.25838618938945901"/>
    <m/>
    <m/>
    <m/>
    <m/>
    <m/>
    <m/>
    <m/>
    <n v="10"/>
    <n v="0"/>
    <n v="7"/>
    <n v="44643.970652999997"/>
    <n v="486.44541299999997"/>
    <n v="1.0896105473703238E-2"/>
    <s v="0% - 30%"/>
    <n v="1.415253080052831E-5"/>
    <s v="N.D."/>
    <s v="N.D."/>
    <s v="N.D."/>
    <n v="0.96505245393394934"/>
    <s v="Aceptable"/>
    <n v="2"/>
    <s v="Candidato"/>
    <n v="0"/>
    <n v="0"/>
  </r>
  <r>
    <n v="15299"/>
    <s v="15299"/>
    <x v="10"/>
    <x v="10"/>
    <s v="GARAGOA"/>
    <n v="65.395133333333305"/>
    <n v="60.07"/>
    <n v="86.36"/>
    <n v="86.4"/>
    <n v="65.42412333885828"/>
    <n v="56.76746447400533"/>
    <n v="64.097436246040417"/>
    <n v="52.541400000000003"/>
    <n v="74.55628333333334"/>
    <n v="59.707606014726011"/>
    <n v="67.131944674029683"/>
    <n v="50.11564036854125"/>
    <n v="49.88435963145875"/>
    <n v="0.54895923668312874"/>
    <n v="0"/>
    <n v="36.852701105309364"/>
    <n v="3"/>
    <n v="3"/>
    <b v="1"/>
    <x v="3"/>
    <n v="64.544522417367048"/>
    <n v="0.55904813218074068"/>
    <n v="36.083494699926995"/>
    <n v="2"/>
    <n v="0"/>
    <n v="2.5874222566626344"/>
    <n v="-1.0088895497611938E-2"/>
    <n v="0.76920640538236995"/>
    <n v="2"/>
    <b v="1"/>
    <n v="0"/>
    <n v="0.81759069605862034"/>
    <n v="52.77100100998635"/>
    <n v="0.48948358491470273"/>
    <n v="2"/>
    <n v="0"/>
    <n v="48.948358491470273"/>
    <n v="3"/>
    <n v="-0.2686314593754916"/>
    <b v="0"/>
    <n v="0"/>
    <n v="2"/>
    <n v="0"/>
    <n v="0"/>
    <n v="0"/>
    <n v="0"/>
    <n v="0"/>
    <n v="0"/>
    <s v="Intermedio"/>
    <n v="6"/>
    <s v="Fuera SC"/>
    <m/>
    <s v="No"/>
    <s v="No"/>
    <n v="20.3"/>
    <n v="7.3120125921156189"/>
    <n v="15.771397115632242"/>
    <s v="Medio"/>
    <n v="0.51033578034512828"/>
    <s v="Medio Bajo"/>
    <n v="36753.230138999999"/>
    <n v="8579.49732305"/>
    <n v="19295"/>
    <n v="1.904805915470329"/>
    <n v="0.44464873402694999"/>
    <m/>
    <m/>
    <m/>
    <m/>
    <m/>
    <m/>
    <m/>
    <n v="98"/>
    <n v="1"/>
    <n v="6"/>
    <n v="19317.456870999999"/>
    <n v="9512.0850589999991"/>
    <n v="0.49240876387201121"/>
    <s v="31% - 50%"/>
    <n v="2.7674241174259495E-4"/>
    <s v="N.D."/>
    <s v="N.D."/>
    <s v="N.D."/>
    <n v="0.98471027156793145"/>
    <s v="Aceptable"/>
    <n v="2"/>
    <s v="Candidato"/>
    <n v="0"/>
    <n v="0"/>
  </r>
  <r>
    <n v="47245"/>
    <s v="47245"/>
    <x v="17"/>
    <x v="17"/>
    <s v="EL BANCO"/>
    <n v="63.216933333333301"/>
    <n v="50.82"/>
    <n v="65.58"/>
    <n v="71.02"/>
    <n v="44.89173538567897"/>
    <n v="48.176367456555035"/>
    <n v="41.514050299338379"/>
    <n v="50.866199999999999"/>
    <n v="62.659233333333319"/>
    <n v="46.362088285393092"/>
    <n v="54.510660809363202"/>
    <n v="49.976720977370292"/>
    <n v="50.023279022629708"/>
    <n v="0.55020951120366735"/>
    <n v="0"/>
    <n v="29.992284039308633"/>
    <n v="3"/>
    <n v="3"/>
    <b v="1"/>
    <x v="4"/>
    <n v="53.193205495052609"/>
    <n v="0.55848386774120518"/>
    <n v="29.707547142429711"/>
    <n v="3"/>
    <n v="0"/>
    <n v="1.3174553143105925"/>
    <n v="-8.2743565375378303E-3"/>
    <n v="0.2847368968789219"/>
    <n v="3"/>
    <b v="1"/>
    <n v="0"/>
    <n v="0.81759069605862034"/>
    <n v="43.490269906289292"/>
    <n v="0.37339142162015465"/>
    <n v="3"/>
    <n v="0"/>
    <n v="37.339142162015463"/>
    <n v="4"/>
    <n v="-0.26738118485495299"/>
    <b v="0"/>
    <n v="0"/>
    <n v="3"/>
    <n v="0"/>
    <n v="0"/>
    <n v="0"/>
    <n v="0"/>
    <n v="0"/>
    <n v="0"/>
    <s v="Intermedio"/>
    <n v="6"/>
    <s v="Fuera SC"/>
    <m/>
    <s v="No"/>
    <s v="No"/>
    <n v="54.7"/>
    <n v="32.174865229110509"/>
    <n v="11.184210526315789"/>
    <s v="Bajo"/>
    <n v="3.7425147664789589"/>
    <s v="Medio Bajo"/>
    <n v="113626.279562"/>
    <n v="11423.270990999999"/>
    <n v="75024"/>
    <n v="1.5145324104553208"/>
    <n v="0.15226155618202175"/>
    <m/>
    <m/>
    <m/>
    <m/>
    <m/>
    <m/>
    <m/>
    <n v="92"/>
    <n v="1"/>
    <n v="6"/>
    <n v="81404.520558999997"/>
    <n v="35926.222794000001"/>
    <n v="0.44132957908598647"/>
    <s v="31% - 50%"/>
    <n v="1.0452292509102708E-3"/>
    <s v="N.D."/>
    <s v="N.D."/>
    <s v="N.D."/>
    <n v="0.91386089446437402"/>
    <s v="Aceptable"/>
    <n v="2"/>
    <s v="Candidato"/>
    <n v="0"/>
    <n v="0"/>
  </r>
  <r>
    <n v="5172"/>
    <s v="05172"/>
    <x v="1"/>
    <x v="1"/>
    <s v="CHIGORODÓ"/>
    <n v="73.254766666666697"/>
    <n v="83.14"/>
    <n v="54.1"/>
    <n v="53.24"/>
    <n v="54.825910872418611"/>
    <n v="58.048613409852251"/>
    <n v="62.429025349067153"/>
    <n v="62.004100000000001"/>
    <n v="65.933691666666675"/>
    <n v="59.326912407834506"/>
    <n v="62.630302037250587"/>
    <n v="50.854942340673681"/>
    <n v="49.145057659326319"/>
    <n v="0.54230551893393686"/>
    <n v="0"/>
    <n v="33.964758447300383"/>
    <n v="3"/>
    <n v="3"/>
    <b v="1"/>
    <x v="4"/>
    <n v="62.654822935576981"/>
    <n v="0.55797357231402622"/>
    <n v="34.959735376066668"/>
    <n v="3"/>
    <n v="0"/>
    <n v="-2.4520898326393592E-2"/>
    <n v="-1.5668053380089364E-2"/>
    <n v="-0.99497692876628463"/>
    <n v="3"/>
    <b v="1"/>
    <n v="0"/>
    <n v="0.81759069605862034"/>
    <n v="51.226000295327992"/>
    <n v="0.47015725455858876"/>
    <n v="3"/>
    <n v="0"/>
    <n v="47.015725455858878"/>
    <n v="4"/>
    <n v="-0.27528517712468348"/>
    <b v="0"/>
    <n v="0"/>
    <n v="3"/>
    <n v="0"/>
    <n v="0"/>
    <n v="0"/>
    <n v="0"/>
    <n v="1"/>
    <n v="1"/>
    <s v="Intermedio"/>
    <n v="6"/>
    <s v="Fuera SC"/>
    <m/>
    <s v="No"/>
    <s v="Si"/>
    <n v="37.700000000000003"/>
    <n v="21.194067461031715"/>
    <n v="7.0531136146292539"/>
    <s v="Bajo"/>
    <n v="5.4263600590195704"/>
    <s v="Medio Bajo"/>
    <n v="116289.51031899999"/>
    <n v="25885.5769415"/>
    <n v="56758"/>
    <n v="2.0488655399943618"/>
    <n v="0.45606922269107436"/>
    <m/>
    <m/>
    <m/>
    <m/>
    <m/>
    <m/>
    <m/>
    <n v="35"/>
    <n v="0"/>
    <n v="7"/>
    <n v="72198.166696999993"/>
    <n v="14958.960743"/>
    <n v="0.20719308297369246"/>
    <s v="0% - 30%"/>
    <n v="4.3521255828801774E-4"/>
    <n v="12684.550585000001"/>
    <n v="0.17569075733230599"/>
    <s v="0% - 30%"/>
    <n v="0.87647392842108451"/>
    <s v="Aceptable"/>
    <n v="2"/>
    <s v="Candidato"/>
    <n v="0"/>
    <n v="0"/>
  </r>
  <r>
    <n v="50006"/>
    <s v="50006"/>
    <x v="16"/>
    <x v="16"/>
    <s v="ACACÍAS"/>
    <n v="87.364900000000006"/>
    <n v="78.39"/>
    <n v="81.650000000000006"/>
    <n v="82.57"/>
    <n v="48.650736029465655"/>
    <n v="57.958102363490624"/>
    <n v="54.37655432427043"/>
    <n v="62.128300000000003"/>
    <n v="82.493725000000012"/>
    <n v="55.778423179306678"/>
    <n v="69.136074089653349"/>
    <n v="50.777350831625647"/>
    <n v="49.222649168374353"/>
    <n v="0.54300384251536926"/>
    <n v="0"/>
    <n v="37.541153887109026"/>
    <n v="3"/>
    <n v="3"/>
    <b v="1"/>
    <x v="3"/>
    <n v="69.276568321797527"/>
    <n v="0.55567436836261153"/>
    <n v="38.49521334454414"/>
    <n v="2"/>
    <n v="0"/>
    <n v="-0.140494232144178"/>
    <n v="-1.2670525847242264E-2"/>
    <n v="-0.95405945743511467"/>
    <n v="2"/>
    <b v="1"/>
    <n v="0"/>
    <n v="0.81759069605862034"/>
    <n v="56.639877714771011"/>
    <n v="0.53787915431110656"/>
    <n v="2"/>
    <n v="0"/>
    <n v="53.787915431110655"/>
    <n v="3"/>
    <n v="-0.27458685354325107"/>
    <b v="0"/>
    <n v="0"/>
    <n v="2"/>
    <n v="0"/>
    <n v="0"/>
    <n v="1"/>
    <n v="0"/>
    <n v="0"/>
    <n v="0"/>
    <s v="Intermedio"/>
    <n v="3"/>
    <s v="Fuera SC"/>
    <m/>
    <s v="No"/>
    <s v="Si"/>
    <n v="19.2"/>
    <n v="6.3415623943185659"/>
    <n v="2.777173839582344"/>
    <s v="Sin riesgo"/>
    <n v="4.2909035264209541"/>
    <s v="Medio Bajo"/>
    <n v="266722.04666200001"/>
    <n v="96023.345025999995"/>
    <n v="102025"/>
    <n v="2.6142812708845873"/>
    <n v="0.94117466332761579"/>
    <m/>
    <m/>
    <m/>
    <m/>
    <m/>
    <m/>
    <m/>
    <n v="88"/>
    <n v="0"/>
    <n v="5"/>
    <n v="112191.99729"/>
    <n v="22890.948776000001"/>
    <n v="0.20403370408702348"/>
    <s v="0% - 30%"/>
    <n v="6.6598399110745824E-4"/>
    <s v="N.D."/>
    <s v="N.D."/>
    <s v="N.D."/>
    <n v="0.96934036545440438"/>
    <s v="Aceptable"/>
    <n v="3"/>
    <s v="Candidato"/>
    <n v="0"/>
    <n v="0"/>
  </r>
  <r>
    <n v="52320"/>
    <s v="52320"/>
    <x v="18"/>
    <x v="18"/>
    <s v="GUAITARILLA"/>
    <n v="72.620166666666705"/>
    <n v="63.62"/>
    <n v="53.17"/>
    <n v="50.26"/>
    <n v="34.358944833002752"/>
    <n v="51.373062997202204"/>
    <n v="58.654143972545775"/>
    <n v="62.845700000000001"/>
    <n v="59.917541666666679"/>
    <n v="51.807962950687681"/>
    <n v="55.86275230867718"/>
    <n v="50.570351170400315"/>
    <n v="49.429648829599685"/>
    <n v="0.54486683946639725"/>
    <n v="0"/>
    <n v="30.437761294323121"/>
    <n v="3"/>
    <n v="3"/>
    <b v="1"/>
    <x v="4"/>
    <n v="57.674963961243151"/>
    <n v="0.55718110270755072"/>
    <n v="32.135400018543706"/>
    <n v="3"/>
    <n v="0"/>
    <n v="-1.8122116525659706"/>
    <n v="-1.2314263241153478E-2"/>
    <n v="-1.6976387242205853"/>
    <n v="3"/>
    <b v="1"/>
    <n v="0"/>
    <n v="0.81759069605862034"/>
    <n v="47.154513930228632"/>
    <n v="0.41922725188236104"/>
    <n v="3"/>
    <n v="0"/>
    <n v="41.922725188236107"/>
    <n v="4"/>
    <n v="-0.27272385659222309"/>
    <b v="0"/>
    <n v="0"/>
    <n v="3"/>
    <n v="0"/>
    <n v="0"/>
    <n v="0"/>
    <n v="0"/>
    <n v="0"/>
    <n v="0"/>
    <s v="Intermedio"/>
    <n v="6"/>
    <s v="Fuera SC"/>
    <m/>
    <s v="No"/>
    <s v="Si"/>
    <n v="33.6"/>
    <n v="14.098756265082606"/>
    <n v="44.04535693324685"/>
    <s v="Alto"/>
    <n v="0.26331674340392813"/>
    <s v="Medio Bajo"/>
    <n v="25087.772782"/>
    <n v="4391.2887979999996"/>
    <n v="11604"/>
    <n v="2.1619935179248535"/>
    <n v="0.37842888641847633"/>
    <m/>
    <m/>
    <m/>
    <m/>
    <m/>
    <m/>
    <m/>
    <n v="70"/>
    <n v="0"/>
    <n v="7"/>
    <n v="11686.13385"/>
    <n v="1149.237482"/>
    <n v="9.834197492098723E-2"/>
    <s v="0% - 30%"/>
    <n v="3.3435650591953677E-5"/>
    <s v="N.D."/>
    <s v="N.D."/>
    <s v="N.D."/>
    <n v="0.94721711345277304"/>
    <s v="Aceptable"/>
    <n v="2"/>
    <s v="Candidato"/>
    <n v="0"/>
    <n v="0"/>
  </r>
  <r>
    <n v="17388"/>
    <s v="17388"/>
    <x v="11"/>
    <x v="11"/>
    <s v="LA MERCED"/>
    <n v="67.508300000000006"/>
    <n v="66.650000000000006"/>
    <n v="65.599999999999994"/>
    <n v="58.95"/>
    <n v="52.181992522014497"/>
    <n v="50.311158060611"/>
    <n v="55.310497457685187"/>
    <n v="52.367199999999997"/>
    <n v="64.677075000000002"/>
    <n v="52.542712010077672"/>
    <n v="58.609893505038841"/>
    <n v="50.928382103515659"/>
    <n v="49.071617896484341"/>
    <n v="0.54164456106835912"/>
    <n v="0"/>
    <n v="31.745730041800034"/>
    <n v="3"/>
    <n v="3"/>
    <b v="1"/>
    <x v="4"/>
    <n v="59.326233839053536"/>
    <n v="0.55837199331989085"/>
    <n v="33.126107444874286"/>
    <n v="3"/>
    <n v="0"/>
    <n v="-0.71634033401469566"/>
    <n v="-1.6727432251531726E-2"/>
    <n v="-1.3803774030742524"/>
    <n v="3"/>
    <b v="1"/>
    <n v="0"/>
    <n v="0.81759069605862034"/>
    <n v="48.504576819008257"/>
    <n v="0.43611511552056925"/>
    <n v="3"/>
    <n v="0"/>
    <n v="43.611511552056925"/>
    <n v="4"/>
    <n v="-0.27594613499026122"/>
    <b v="0"/>
    <n v="0"/>
    <n v="3"/>
    <n v="0"/>
    <n v="0"/>
    <n v="0"/>
    <n v="0"/>
    <n v="0"/>
    <n v="0"/>
    <s v="Intermedio"/>
    <n v="6"/>
    <s v="Fuera SC"/>
    <m/>
    <s v="No"/>
    <s v="No"/>
    <n v="34.5"/>
    <n v="12.246431254695718"/>
    <n v="41.51208812260537"/>
    <s v="Alto"/>
    <n v="1.3576899666273983"/>
    <s v="Medio Bajo"/>
    <n v="13050.876947000001"/>
    <n v="2626.3280581999998"/>
    <n v="5844"/>
    <n v="2.2332096076317591"/>
    <n v="0.44940589633812456"/>
    <m/>
    <m/>
    <m/>
    <m/>
    <m/>
    <m/>
    <m/>
    <n v="19"/>
    <n v="0"/>
    <n v="7"/>
    <n v="8857.7382319999997"/>
    <n v="192.13529600000001"/>
    <n v="2.1691236630348869E-2"/>
    <s v="0% - 30%"/>
    <n v="5.5899400463842466E-6"/>
    <s v="N.D."/>
    <s v="N.D."/>
    <s v="N.D."/>
    <n v="0.94297512598078914"/>
    <s v="Aceptable"/>
    <n v="1"/>
    <s v="Candidato"/>
    <n v="0"/>
    <n v="0"/>
  </r>
  <r>
    <n v="19821"/>
    <s v="19821"/>
    <x v="13"/>
    <x v="13"/>
    <s v="TORIBÍO"/>
    <n v="55.8021666666667"/>
    <n v="43.55"/>
    <n v="60.9"/>
    <n v="53.29"/>
    <n v="53.970655326461831"/>
    <n v="57.674007635797089"/>
    <n v="59.044995586982623"/>
    <n v="56.4039"/>
    <n v="53.385541666666676"/>
    <n v="56.77338963731038"/>
    <n v="55.079465651988528"/>
    <n v="49.933244001516428"/>
    <n v="50.066755998483572"/>
    <n v="0.55060080398635214"/>
    <n v="0"/>
    <n v="30.326798071123552"/>
    <n v="3"/>
    <n v="3"/>
    <b v="1"/>
    <x v="4"/>
    <n v="53.130747265015032"/>
    <n v="0.55772521135643804"/>
    <n v="29.632357247906"/>
    <n v="3"/>
    <n v="0"/>
    <n v="1.9487183869734963"/>
    <n v="-7.1244073700859056E-3"/>
    <n v="0.69444082321755118"/>
    <n v="3"/>
    <b v="1"/>
    <n v="0"/>
    <n v="0.81759069605862034"/>
    <n v="43.439204638518277"/>
    <n v="0.37275264894820526"/>
    <n v="3"/>
    <n v="0"/>
    <n v="37.275264894820523"/>
    <n v="4"/>
    <n v="-0.2669898920722682"/>
    <b v="0"/>
    <n v="0"/>
    <n v="3"/>
    <n v="0"/>
    <n v="0"/>
    <n v="0"/>
    <n v="0"/>
    <n v="1"/>
    <n v="1"/>
    <s v="Rural"/>
    <n v="6"/>
    <s v="Fuera SC"/>
    <m/>
    <s v="No"/>
    <s v="No"/>
    <n v="45.1"/>
    <n v="22.506035101454948"/>
    <n v="0"/>
    <s v="Sin riesgo"/>
    <n v="31.740137323489183"/>
    <s v="Muy Alto"/>
    <n v="59814.438555000001"/>
    <n v="5977.9842161000006"/>
    <n v="39282"/>
    <n v="1.5226933087673744"/>
    <n v="0.15218125900157833"/>
    <m/>
    <m/>
    <m/>
    <m/>
    <m/>
    <m/>
    <m/>
    <n v="32"/>
    <n v="0"/>
    <n v="7"/>
    <n v="49221.838294000001"/>
    <n v="35725.466613999997"/>
    <n v="0.72580520866801568"/>
    <s v="71% - 100%"/>
    <n v="1.0393884968504798E-3"/>
    <s v="N.D."/>
    <s v="N.D."/>
    <s v="N.D."/>
    <n v="0.9680778846475141"/>
    <s v="Aceptable"/>
    <n v="1"/>
    <s v="Candidato"/>
    <n v="0"/>
    <n v="0"/>
  </r>
  <r>
    <n v="17050"/>
    <s v="17050"/>
    <x v="11"/>
    <x v="11"/>
    <s v="ARANZAZU"/>
    <n v="65.190366666666705"/>
    <n v="54.92"/>
    <n v="50.64"/>
    <n v="54.24"/>
    <n v="47.415292010877238"/>
    <n v="53.437954058906293"/>
    <n v="60.46316299706217"/>
    <n v="51.746299999999998"/>
    <n v="56.247591666666679"/>
    <n v="53.265677266711421"/>
    <n v="54.75663446668905"/>
    <n v="50.357063788097619"/>
    <n v="49.642936211902381"/>
    <n v="0.54678642590712145"/>
    <n v="0"/>
    <n v="29.940184454743605"/>
    <n v="3"/>
    <n v="3"/>
    <b v="1"/>
    <x v="4"/>
    <n v="56.24514929901963"/>
    <n v="0.5562973713987831"/>
    <n v="31.28902870897673"/>
    <n v="3"/>
    <n v="0"/>
    <n v="-1.4885148323305799"/>
    <n v="-9.5109454916616487E-3"/>
    <n v="-1.3488442542331249"/>
    <n v="3"/>
    <b v="1"/>
    <n v="0"/>
    <n v="0.81759069605862034"/>
    <n v="45.985510765306479"/>
    <n v="0.40460425453467108"/>
    <n v="3"/>
    <n v="0"/>
    <n v="40.46042545346711"/>
    <n v="4"/>
    <n v="-0.27080427015149888"/>
    <b v="0"/>
    <n v="0"/>
    <n v="3"/>
    <n v="0"/>
    <n v="0"/>
    <n v="0"/>
    <n v="0"/>
    <n v="0"/>
    <n v="0"/>
    <s v="Intermedio"/>
    <n v="6"/>
    <s v="Fuera SC"/>
    <m/>
    <s v="No"/>
    <s v="No"/>
    <n v="32.1"/>
    <n v="9.8335701238075917"/>
    <n v="19.893600317591826"/>
    <s v="Medio"/>
    <n v="0.87409522617265667"/>
    <s v="Medio Bajo"/>
    <n v="17953.823990000001"/>
    <n v="5156.6827501000007"/>
    <n v="10820"/>
    <n v="1.6593182985212569"/>
    <n v="0.47658805453789288"/>
    <m/>
    <m/>
    <m/>
    <m/>
    <m/>
    <m/>
    <m/>
    <n v="19"/>
    <n v="0"/>
    <n v="7"/>
    <n v="14952.95746"/>
    <n v="1264.2272579999999"/>
    <n v="8.4546970817102815E-2"/>
    <s v="0% - 30%"/>
    <n v="3.678113664875374E-5"/>
    <s v="N.D."/>
    <s v="N.D."/>
    <s v="N.D."/>
    <n v="0.86053211592926726"/>
    <s v="Aceptable"/>
    <n v="1"/>
    <s v="Candidato"/>
    <n v="0"/>
    <n v="0"/>
  </r>
  <r>
    <n v="52354"/>
    <s v="52354"/>
    <x v="18"/>
    <x v="18"/>
    <s v="IMUÉS"/>
    <n v="67.516800000000003"/>
    <n v="57.18"/>
    <n v="49.02"/>
    <n v="68.91"/>
    <n v="54.110272238028855"/>
    <n v="58.672716339546426"/>
    <n v="76.569346204624651"/>
    <n v="46.8551"/>
    <n v="60.656700000000001"/>
    <n v="59.051858695549981"/>
    <n v="59.854279347774991"/>
    <n v="50.591854772748299"/>
    <n v="49.408145227251701"/>
    <n v="0.54467330704526529"/>
    <n v="0"/>
    <n v="32.601028273163728"/>
    <n v="3"/>
    <n v="3"/>
    <b v="1"/>
    <x v="4"/>
    <n v="60.481982877393989"/>
    <n v="0.55593838663986528"/>
    <n v="33.62425598163837"/>
    <n v="3"/>
    <n v="0"/>
    <n v="-0.62770352961899789"/>
    <n v="-1.1265079594599992E-2"/>
    <n v="-1.0232277084746428"/>
    <n v="3"/>
    <b v="1"/>
    <n v="0"/>
    <n v="0.81759069605862034"/>
    <n v="49.449506479734112"/>
    <n v="0.44793518952650058"/>
    <n v="3"/>
    <n v="0"/>
    <n v="44.793518952650061"/>
    <n v="4"/>
    <n v="-0.27291738901335505"/>
    <b v="0"/>
    <n v="0"/>
    <n v="3"/>
    <n v="0"/>
    <n v="0"/>
    <n v="0"/>
    <n v="0"/>
    <n v="0"/>
    <n v="0"/>
    <s v="Rural"/>
    <n v="6"/>
    <s v="Fuera SC"/>
    <m/>
    <s v="No"/>
    <s v="Si"/>
    <n v="40.200000000000003"/>
    <n v="14.643363249881908"/>
    <n v="53.272788758235336"/>
    <s v="Alto"/>
    <n v="0"/>
    <s v="Bajo"/>
    <n v="17923.79463"/>
    <n v="5249.5620222500002"/>
    <n v="7836"/>
    <n v="2.2873653177641655"/>
    <n v="0.66992879303854014"/>
    <m/>
    <m/>
    <m/>
    <m/>
    <m/>
    <m/>
    <m/>
    <n v="70"/>
    <n v="0"/>
    <n v="7"/>
    <n v="8179.2115670000003"/>
    <n v="75.593509999999995"/>
    <n v="9.2421512001219022E-3"/>
    <s v="0% - 30%"/>
    <n v="2.1993001681260479E-6"/>
    <s v="N.D."/>
    <s v="N.D."/>
    <s v="N.D."/>
    <n v="0.92705545017961188"/>
    <s v="Aceptable"/>
    <n v="2"/>
    <s v="Candidato"/>
    <n v="0"/>
    <n v="0"/>
  </r>
  <r>
    <n v="15599"/>
    <s v="15599"/>
    <x v="10"/>
    <x v="10"/>
    <s v="RAMIRIQUÍ"/>
    <n v="36.253866666666703"/>
    <n v="40.840000000000003"/>
    <n v="45.52"/>
    <n v="64.62"/>
    <n v="51.135753840412036"/>
    <n v="52.660565182834951"/>
    <n v="56.985725164157188"/>
    <n v="55.819800000000001"/>
    <n v="46.808466666666682"/>
    <n v="54.150461046851035"/>
    <n v="50.479463856758855"/>
    <n v="51.024191065157574"/>
    <n v="48.975808934842426"/>
    <n v="0.54078228041358178"/>
    <n v="0"/>
    <n v="27.298399578513035"/>
    <n v="4"/>
    <n v="4"/>
    <b v="1"/>
    <x v="5"/>
    <n v="47.076566933629302"/>
    <n v="0.55423307373741382"/>
    <n v="26.091390392630466"/>
    <n v="4"/>
    <n v="0"/>
    <n v="3.4028969231295534"/>
    <n v="-1.3450793323832033E-2"/>
    <n v="1.2070091858825691"/>
    <n v="4"/>
    <b v="1"/>
    <n v="0"/>
    <n v="0.81759069605862034"/>
    <n v="38.48936312731621"/>
    <n v="0.31083534926782863"/>
    <n v="4"/>
    <n v="0"/>
    <n v="31.083534926782864"/>
    <n v="4"/>
    <n v="-0.27680841564503855"/>
    <b v="1"/>
    <n v="0"/>
    <n v="3"/>
    <n v="-1"/>
    <n v="0"/>
    <n v="0"/>
    <n v="0"/>
    <n v="0"/>
    <n v="0"/>
    <s v="Intermedio"/>
    <n v="6"/>
    <s v="Fuera SC"/>
    <m/>
    <s v="No"/>
    <s v="No"/>
    <n v="31.4"/>
    <n v="12.220943613348677"/>
    <n v="23.92597618028589"/>
    <s v="Medio"/>
    <n v="0"/>
    <s v="Bajo"/>
    <n v="25970.035646"/>
    <n v="9408.6784465499986"/>
    <n v="10131"/>
    <n v="2.5634227268778997"/>
    <n v="0.92870185041456899"/>
    <m/>
    <m/>
    <m/>
    <m/>
    <m/>
    <m/>
    <m/>
    <n v="0"/>
    <n v="1"/>
    <n v="6"/>
    <n v="12542.156317999999"/>
    <n v="6889.5119770000001"/>
    <n v="0.54930841255043594"/>
    <s v="51% - 70%"/>
    <n v="2.00441874564662E-4"/>
    <s v="N.D."/>
    <s v="N.D."/>
    <s v="N.D."/>
    <n v="0.94563899453781874"/>
    <s v="Aceptable"/>
    <n v="2"/>
    <s v="Candidato"/>
    <n v="0"/>
    <n v="0"/>
  </r>
  <r>
    <n v="20443"/>
    <s v="20443"/>
    <x v="20"/>
    <x v="20"/>
    <s v="MANAURE"/>
    <n v="60.518366666666701"/>
    <n v="47.01"/>
    <n v="27.11"/>
    <n v="67.98"/>
    <n v="39.129579925283288"/>
    <n v="49.004062230245971"/>
    <n v="64.144072731714104"/>
    <n v="57.008000000000003"/>
    <n v="50.654591666666676"/>
    <n v="52.32142872181084"/>
    <n v="51.488010194238754"/>
    <n v="50.368755669217016"/>
    <n v="49.631244330782984"/>
    <n v="0.54668119897704692"/>
    <n v="0"/>
    <n v="28.147527145928855"/>
    <n v="4"/>
    <n v="4"/>
    <b v="1"/>
    <x v="5"/>
    <n v="49.568662084250128"/>
    <n v="0.55656797111240008"/>
    <n v="27.588329686987247"/>
    <n v="4"/>
    <n v="0"/>
    <n v="1.9193481099886256"/>
    <n v="-9.8867721353531612E-3"/>
    <n v="0.55919745894160755"/>
    <n v="3"/>
    <b v="0"/>
    <n v="0"/>
    <n v="0.81759069605862034"/>
    <n v="40.526876936156604"/>
    <n v="0.33632249927442331"/>
    <n v="4"/>
    <n v="0"/>
    <n v="33.632249927442331"/>
    <n v="4"/>
    <n v="-0.27090949708157341"/>
    <b v="1"/>
    <n v="0"/>
    <n v="3"/>
    <n v="-1"/>
    <n v="0"/>
    <n v="0"/>
    <n v="0"/>
    <n v="1"/>
    <n v="1"/>
    <s v="Intermedio"/>
    <n v="6"/>
    <s v="Fuera SC"/>
    <m/>
    <s v="No"/>
    <s v="Si"/>
    <n v="41.2"/>
    <n v="27.585465491292194"/>
    <n v="64.309090909090912"/>
    <s v="Alto"/>
    <n v="7.9747341283128131E-2"/>
    <s v="Bajo"/>
    <n v="52257.729264000001"/>
    <n v="5539.9037467500002"/>
    <n v="11548"/>
    <n v="4.5252623193626604"/>
    <n v="0.47972841589452719"/>
    <m/>
    <m/>
    <m/>
    <m/>
    <m/>
    <m/>
    <m/>
    <n v="47"/>
    <n v="0"/>
    <n v="7"/>
    <n v="13664.818885999999"/>
    <n v="11805.006758"/>
    <n v="0.86389778426515185"/>
    <s v="71% - 100%"/>
    <n v="3.4345214751370232E-4"/>
    <s v="N.D."/>
    <s v="N.D."/>
    <s v="N.D."/>
    <n v="0.8953859253016252"/>
    <s v="Aceptable"/>
    <n v="2"/>
    <s v="Candidato"/>
    <n v="1"/>
    <s v="Unidad Especial de Desarrollo Fronterizo"/>
  </r>
  <r>
    <n v="52352"/>
    <s v="52352"/>
    <x v="18"/>
    <x v="18"/>
    <s v="ILES"/>
    <n v="56.4838666666667"/>
    <n v="40.729999999999997"/>
    <n v="56.26"/>
    <n v="55.34"/>
    <n v="64.013198349070507"/>
    <n v="54.781812642626612"/>
    <n v="63.020219198785817"/>
    <n v="54.619500000000002"/>
    <n v="52.203466666666671"/>
    <n v="59.108682547620731"/>
    <n v="55.656074607143701"/>
    <n v="50.860271286971745"/>
    <n v="49.139728713028255"/>
    <n v="0.54225755841725432"/>
    <n v="0"/>
    <n v="30.17992712755829"/>
    <n v="3"/>
    <n v="3"/>
    <b v="1"/>
    <x v="4"/>
    <n v="55.870509819797562"/>
    <n v="0.55503229711095603"/>
    <n v="31.009937406042468"/>
    <n v="3"/>
    <n v="0"/>
    <n v="-0.21443521265386067"/>
    <n v="-1.2774738693701715E-2"/>
    <n v="-0.83001027848417763"/>
    <n v="3"/>
    <b v="1"/>
    <n v="0"/>
    <n v="0.81759069605862034"/>
    <n v="45.679209012718268"/>
    <n v="0.4007727424822734"/>
    <n v="3"/>
    <n v="0"/>
    <n v="40.07727424822734"/>
    <n v="4"/>
    <n v="-0.27533313764136602"/>
    <b v="0"/>
    <n v="0"/>
    <n v="3"/>
    <n v="0"/>
    <n v="0"/>
    <n v="0"/>
    <n v="0"/>
    <n v="0"/>
    <n v="0"/>
    <s v="Rural"/>
    <n v="6"/>
    <s v="Fuera SC"/>
    <m/>
    <s v="No"/>
    <s v="Si"/>
    <n v="43.6"/>
    <n v="27.165354330708663"/>
    <n v="57.676397159600413"/>
    <s v="Alto"/>
    <n v="1.2091881663140878"/>
    <s v="Medio Bajo"/>
    <n v="22643.868957999999"/>
    <n v="5828.3232367500004"/>
    <n v="7678"/>
    <n v="2.9491884550664236"/>
    <n v="0.75909393549752546"/>
    <m/>
    <m/>
    <m/>
    <m/>
    <m/>
    <m/>
    <m/>
    <n v="28"/>
    <n v="0"/>
    <n v="7"/>
    <n v="8063.7702440000003"/>
    <n v="1416.9512810000001"/>
    <n v="0.17571821097634935"/>
    <s v="0% - 30%"/>
    <n v="4.1224454196262608E-5"/>
    <n v="66.162144999999995"/>
    <n v="8.2048648458491469E-3"/>
    <s v="0% - 30%"/>
    <n v="0.93452604349832646"/>
    <s v="Aceptable"/>
    <n v="1"/>
    <s v="Candidato"/>
    <n v="0"/>
    <n v="0"/>
  </r>
  <r>
    <n v="66687"/>
    <s v="66687"/>
    <x v="6"/>
    <x v="6"/>
    <s v="SANTUARIO"/>
    <n v="59.532600000000002"/>
    <n v="64.53"/>
    <n v="65.2"/>
    <n v="72.900000000000006"/>
    <n v="57.227129776998936"/>
    <n v="56.608032764489636"/>
    <n v="63.165060102942917"/>
    <n v="56.704099999999997"/>
    <n v="65.540649999999999"/>
    <n v="58.426080661107875"/>
    <n v="61.983365330553937"/>
    <n v="50.757691518823023"/>
    <n v="49.242308481176977"/>
    <n v="0.54318077633059281"/>
    <n v="0"/>
    <n v="33.668172499833041"/>
    <n v="3"/>
    <n v="3"/>
    <b v="1"/>
    <x v="4"/>
    <n v="59.35846598532158"/>
    <n v="0.5547502876672451"/>
    <n v="32.929126080843531"/>
    <n v="3"/>
    <n v="0"/>
    <n v="2.6248993452323575"/>
    <n v="-1.1569511336652294E-2"/>
    <n v="0.73904641898950985"/>
    <n v="3"/>
    <b v="1"/>
    <n v="0"/>
    <n v="0.81759069605862034"/>
    <n v="48.530929521911013"/>
    <n v="0.43644476005551552"/>
    <n v="3"/>
    <n v="0"/>
    <n v="43.644476005551553"/>
    <n v="4"/>
    <n v="-0.27440991972802753"/>
    <b v="0"/>
    <n v="0"/>
    <n v="3"/>
    <n v="0"/>
    <n v="0"/>
    <n v="0"/>
    <n v="0"/>
    <n v="0"/>
    <n v="0"/>
    <s v="Intermedio"/>
    <n v="6"/>
    <s v="Fuera SC"/>
    <m/>
    <s v="No"/>
    <s v="No"/>
    <n v="39.9"/>
    <n v="10.337480824953127"/>
    <n v="23.505727726126604"/>
    <s v="Medio"/>
    <n v="3.9809764747328211"/>
    <s v="Medio Bajo"/>
    <n v="24336.813803000001"/>
    <n v="6187.1589949999998"/>
    <n v="13026"/>
    <n v="1.868325948334101"/>
    <n v="0.47498533663442344"/>
    <m/>
    <m/>
    <m/>
    <m/>
    <m/>
    <m/>
    <m/>
    <n v="49"/>
    <n v="0"/>
    <n v="6"/>
    <n v="19085.961481999999"/>
    <n v="4811.088992"/>
    <n v="0.25207475120063222"/>
    <s v="0% - 30%"/>
    <n v="1.3997271497215804E-4"/>
    <s v="N.D."/>
    <s v="N.D."/>
    <s v="N.D."/>
    <n v="0.96427560361195841"/>
    <s v="Aceptable"/>
    <n v="2"/>
    <s v="Candidato"/>
    <n v="0"/>
    <n v="0"/>
  </r>
  <r>
    <n v="15835"/>
    <s v="15835"/>
    <x v="10"/>
    <x v="10"/>
    <s v="TURMEQUÉ"/>
    <n v="55.332933333333301"/>
    <n v="42.07"/>
    <n v="41.57"/>
    <n v="51.16"/>
    <n v="47.942355634746725"/>
    <n v="56.603329530309978"/>
    <n v="59.517546901002888"/>
    <n v="59.538600000000002"/>
    <n v="47.533233333333321"/>
    <n v="55.900458016514897"/>
    <n v="51.716845674924109"/>
    <n v="51.650497713507107"/>
    <n v="48.349502286492893"/>
    <n v="0.53514552057843601"/>
    <n v="0"/>
    <n v="27.676038301381897"/>
    <n v="4"/>
    <n v="4"/>
    <b v="1"/>
    <x v="5"/>
    <n v="52.33188187118833"/>
    <n v="0.55383695827736257"/>
    <n v="28.983330276469196"/>
    <n v="3"/>
    <n v="-1"/>
    <n v="-0.61503619626422079"/>
    <n v="-1.8691437698926561E-2"/>
    <n v="-1.3072919750872991"/>
    <n v="4"/>
    <b v="1"/>
    <s v="Efecto ponderador"/>
    <n v="0.81759069605862034"/>
    <n v="42.786059725122364"/>
    <n v="0.36458249456125652"/>
    <n v="3"/>
    <n v="-1"/>
    <n v="36.45824945612565"/>
    <n v="4"/>
    <n v="-0.28244517548018433"/>
    <b v="1"/>
    <s v="Efecto ponderador"/>
    <n v="3"/>
    <n v="-1"/>
    <n v="0"/>
    <n v="0"/>
    <n v="0"/>
    <n v="0"/>
    <n v="0"/>
    <s v="Intermedio"/>
    <n v="6"/>
    <s v="Fuera SC"/>
    <m/>
    <s v="No"/>
    <s v="No"/>
    <n v="45.1"/>
    <n v="12.133676092544988"/>
    <n v="40.547311253561254"/>
    <s v="Alto"/>
    <n v="0"/>
    <s v="Bajo"/>
    <n v="16371.533643999999"/>
    <n v="3223.3093935000002"/>
    <n v="5756"/>
    <n v="2.8442553238359971"/>
    <n v="0.55999120804378044"/>
    <m/>
    <m/>
    <m/>
    <m/>
    <m/>
    <m/>
    <m/>
    <n v="0"/>
    <n v="0"/>
    <n v="7"/>
    <n v="7957.7576570000001"/>
    <n v="1931.1981490000001"/>
    <n v="0.24268119641733896"/>
    <s v="0% - 30%"/>
    <n v="5.6185834124919097E-5"/>
    <s v="N.D."/>
    <s v="N.D."/>
    <s v="N.D."/>
    <n v="0.95488569075719698"/>
    <s v="Aceptable"/>
    <n v="1"/>
    <s v="Candidato"/>
    <n v="0"/>
    <n v="0"/>
  </r>
  <r>
    <n v="76890"/>
    <s v="76890"/>
    <x v="3"/>
    <x v="3"/>
    <s v="YOTOCO"/>
    <n v="69.653933333333299"/>
    <n v="52.56"/>
    <n v="69.180000000000007"/>
    <n v="56.31"/>
    <n v="55.675529082885554"/>
    <n v="75.311075543247156"/>
    <n v="69.091354746722189"/>
    <n v="72.132900000000006"/>
    <n v="61.925983333333328"/>
    <n v="68.052714843213721"/>
    <n v="64.989349088273528"/>
    <n v="50.752046758510559"/>
    <n v="49.247953241489441"/>
    <n v="0.54323157917340492"/>
    <n v="0"/>
    <n v="35.304266734674513"/>
    <n v="3"/>
    <n v="3"/>
    <b v="1"/>
    <x v="4"/>
    <n v="65.862043355095551"/>
    <n v="0.55364852056980129"/>
    <n v="36.464422865252764"/>
    <n v="2"/>
    <n v="-1"/>
    <n v="-0.87269426682202322"/>
    <n v="-1.0416941396396373E-2"/>
    <n v="-1.1601561305782511"/>
    <n v="2"/>
    <b v="0"/>
    <s v="Cambio en corte"/>
    <n v="0.81759069605862034"/>
    <n v="53.848193870535603"/>
    <n v="0.50295813213187068"/>
    <n v="2"/>
    <n v="-1"/>
    <n v="50.295813213187067"/>
    <n v="3"/>
    <n v="-0.27435911688521541"/>
    <b v="1"/>
    <s v="Efecto ponderador"/>
    <n v="2"/>
    <n v="-1"/>
    <n v="0"/>
    <n v="0"/>
    <n v="0"/>
    <n v="0"/>
    <n v="1"/>
    <s v="Intermedio"/>
    <n v="6"/>
    <s v="Fuera SC"/>
    <m/>
    <s v="No"/>
    <s v="Si"/>
    <n v="20.8"/>
    <n v="8.7930021541876098"/>
    <n v="19.348839563181357"/>
    <s v="Medio"/>
    <n v="4.8313473339516051"/>
    <s v="Medio Bajo"/>
    <n v="47692.138592000003"/>
    <n v="28577.136949900003"/>
    <n v="16743"/>
    <n v="2.8484822667383387"/>
    <n v="1.7068110225109003"/>
    <m/>
    <m/>
    <m/>
    <m/>
    <m/>
    <m/>
    <m/>
    <n v="66"/>
    <n v="0"/>
    <n v="6"/>
    <n v="32775.060213999997"/>
    <n v="11730.056799"/>
    <n v="0.35789581231614215"/>
    <s v="31% - 50%"/>
    <n v="3.4127157067013813E-4"/>
    <s v="N.D."/>
    <s v="N.D."/>
    <s v="N.D."/>
    <n v="0.98933570893806433"/>
    <s v="Aceptable"/>
    <n v="2"/>
    <s v="Candidato"/>
    <n v="0"/>
    <n v="0"/>
  </r>
  <r>
    <n v="47570"/>
    <s v="47570"/>
    <x v="17"/>
    <x v="17"/>
    <s v="PUEBLOVIEJO"/>
    <n v="69.092833333333303"/>
    <n v="69.650000000000006"/>
    <n v="66.930000000000007"/>
    <n v="62.96"/>
    <n v="54.571199861560451"/>
    <n v="45.285291705408184"/>
    <n v="48.04733360580471"/>
    <n v="51.950499999999998"/>
    <n v="67.15820833333332"/>
    <n v="49.963581293193336"/>
    <n v="58.560894813263332"/>
    <n v="50.581342800920325"/>
    <n v="49.418657199079675"/>
    <n v="0.54476791479171705"/>
    <n v="0"/>
    <n v="31.902096555758543"/>
    <n v="3"/>
    <n v="3"/>
    <b v="1"/>
    <x v="4"/>
    <n v="58.844757841936797"/>
    <n v="0.55410803453862445"/>
    <n v="32.606353110696908"/>
    <n v="3"/>
    <n v="0"/>
    <n v="-0.28386302867346558"/>
    <n v="-9.3401197469074049E-3"/>
    <n v="-0.70425655493836459"/>
    <n v="3"/>
    <b v="1"/>
    <n v="0"/>
    <n v="0.81759069605862034"/>
    <n v="48.110926523390063"/>
    <n v="0.43119096526890971"/>
    <n v="3"/>
    <n v="0"/>
    <n v="43.119096526890971"/>
    <n v="4"/>
    <n v="-0.27282278126690329"/>
    <b v="0"/>
    <n v="0"/>
    <n v="3"/>
    <n v="0"/>
    <n v="0"/>
    <n v="0"/>
    <n v="0"/>
    <n v="0"/>
    <n v="0"/>
    <s v="Rural"/>
    <n v="6"/>
    <s v="Fuera SC"/>
    <m/>
    <s v="No"/>
    <s v="No"/>
    <n v="58"/>
    <n v="45.361293008819409"/>
    <n v="0"/>
    <s v="Sin riesgo"/>
    <n v="6.9859343643042875"/>
    <s v="Medio"/>
    <n v="49809.990818999999"/>
    <n v="5327.7997025000004"/>
    <n v="34162"/>
    <n v="1.4580525384637901"/>
    <n v="0.15595690247936306"/>
    <m/>
    <m/>
    <m/>
    <m/>
    <m/>
    <m/>
    <m/>
    <n v="42"/>
    <n v="0"/>
    <n v="7"/>
    <n v="67911.053774999993"/>
    <n v="67861.297435999993"/>
    <n v="0.99926733077703589"/>
    <s v="71% - 100%"/>
    <n v="1.9743409567864563E-3"/>
    <s v="N.D."/>
    <s v="N.D."/>
    <s v="N.D."/>
    <n v="0.8963869187383251"/>
    <s v="Aceptable"/>
    <n v="2"/>
    <s v="Candidato"/>
    <n v="0"/>
    <n v="0"/>
  </r>
  <r>
    <n v="68855"/>
    <s v="68855"/>
    <x v="0"/>
    <x v="0"/>
    <s v="VALLE DE SAN JOSÉ"/>
    <n v="76.811033333333299"/>
    <n v="79.05"/>
    <n v="79.62"/>
    <n v="82.67"/>
    <n v="59.214844117177137"/>
    <n v="58.732527111263465"/>
    <n v="63.595097880147378"/>
    <n v="63.407400000000003"/>
    <n v="79.537758333333329"/>
    <n v="61.23746727714699"/>
    <n v="70.387612805240167"/>
    <n v="49.605413241012172"/>
    <n v="50.394586758987828"/>
    <n v="0.55355128083089045"/>
    <n v="0"/>
    <n v="38.963153222969481"/>
    <n v="2"/>
    <n v="2"/>
    <b v="1"/>
    <x v="3"/>
    <n v="70.23686079914367"/>
    <n v="0.55788659724414691"/>
    <n v="39.184203272345073"/>
    <n v="2"/>
    <n v="0"/>
    <n v="0.15075200609649642"/>
    <n v="-4.3353164132564626E-3"/>
    <n v="-0.22105004937559158"/>
    <n v="2"/>
    <b v="1"/>
    <n v="0"/>
    <n v="0.81759069605862034"/>
    <n v="57.425003909744298"/>
    <n v="0.54770025540920397"/>
    <n v="2"/>
    <n v="0"/>
    <n v="54.7700255409204"/>
    <n v="3"/>
    <n v="-0.26403941522772989"/>
    <b v="0"/>
    <n v="0"/>
    <n v="2"/>
    <n v="0"/>
    <n v="0"/>
    <n v="0"/>
    <n v="0"/>
    <n v="0"/>
    <n v="0"/>
    <s v="Intermedio"/>
    <n v="6"/>
    <s v="Fuera SC"/>
    <m/>
    <s v="No"/>
    <s v="No"/>
    <n v="36.6"/>
    <n v="8.9235127478753533"/>
    <n v="23.751249999999999"/>
    <s v="Medio"/>
    <n v="1.3340650118859592"/>
    <s v="Medio Bajo"/>
    <n v="13424.205609000001"/>
    <n v="2795.4493115500004"/>
    <n v="7004"/>
    <n v="1.9166484307538549"/>
    <n v="0.39912183203169621"/>
    <m/>
    <m/>
    <m/>
    <m/>
    <m/>
    <m/>
    <m/>
    <n v="4"/>
    <n v="0"/>
    <n v="7"/>
    <n v="8096.2549929999996"/>
    <n v="3927.529215"/>
    <n v="0.48510443635924649"/>
    <s v="31% - 50%"/>
    <n v="1.1426663033466055E-4"/>
    <s v="N.D."/>
    <s v="N.D."/>
    <s v="N.D."/>
    <n v="0.93388701865381663"/>
    <s v="Aceptable"/>
    <n v="3"/>
    <s v="Candidato"/>
    <n v="0"/>
    <n v="0"/>
  </r>
  <r>
    <n v="13654"/>
    <s v="13654"/>
    <x v="8"/>
    <x v="8"/>
    <s v="SAN JACINTO"/>
    <n v="46.187333333333299"/>
    <n v="34.03"/>
    <n v="33.79"/>
    <n v="58.43"/>
    <n v="37.889263006424002"/>
    <n v="50.325364292901064"/>
    <n v="46.070801737494875"/>
    <n v="54.541499999999999"/>
    <n v="43.109333333333325"/>
    <n v="47.206732259204983"/>
    <n v="45.158032796269154"/>
    <n v="50.170643700116599"/>
    <n v="49.829356299883401"/>
    <n v="0.54846420669895057"/>
    <n v="0"/>
    <n v="24.767564633690956"/>
    <n v="4"/>
    <n v="4"/>
    <b v="1"/>
    <x v="5"/>
    <n v="43.840580059314249"/>
    <n v="0.55415546324886189"/>
    <n v="24.294496951868105"/>
    <n v="4"/>
    <n v="0"/>
    <n v="1.3174527369549054"/>
    <n v="-5.6912565499113166E-3"/>
    <n v="0.47306768182285097"/>
    <n v="4"/>
    <b v="1"/>
    <n v="0"/>
    <n v="0.81759069605862034"/>
    <n v="35.84365036630841"/>
    <n v="0.27774027147174501"/>
    <n v="4"/>
    <n v="0"/>
    <n v="27.7740271471745"/>
    <n v="4"/>
    <n v="-0.26912648935966976"/>
    <b v="1"/>
    <n v="0"/>
    <n v="4"/>
    <n v="0"/>
    <n v="0"/>
    <n v="0"/>
    <n v="0"/>
    <n v="1"/>
    <n v="1"/>
    <s v="Intermedio"/>
    <n v="6"/>
    <s v="Fuera SC"/>
    <m/>
    <s v="No"/>
    <s v="No"/>
    <n v="60.3"/>
    <n v="93.444015116130956"/>
    <s v="Sin Información"/>
    <s v="Sin Información"/>
    <n v="3.8616788460329219"/>
    <s v="Medio Bajo"/>
    <n v="58070.111963000003"/>
    <n v="9050.9278687499991"/>
    <n v="27176"/>
    <n v="2.1368160127686195"/>
    <n v="0.33304856744002059"/>
    <m/>
    <m/>
    <m/>
    <m/>
    <m/>
    <m/>
    <m/>
    <n v="12"/>
    <n v="0"/>
    <n v="7"/>
    <n v="44265.142050000002"/>
    <n v="2518.9386380000001"/>
    <n v="5.6905694217691996E-2"/>
    <s v="0% - 30%"/>
    <n v="7.3285420534813096E-5"/>
    <n v="88.387013999999994"/>
    <n v="1.9967633651816101E-3"/>
    <s v="0% - 30%"/>
    <n v="0.91917464536737548"/>
    <s v="Aceptable"/>
    <n v="1"/>
    <s v="Candidato"/>
    <n v="0"/>
    <n v="0"/>
  </r>
  <r>
    <n v="5042"/>
    <s v="05042"/>
    <x v="1"/>
    <x v="1"/>
    <s v="SANTAFÉ DE ANTIOQUIA"/>
    <n v="65.990399999999994"/>
    <n v="64.069999999999993"/>
    <n v="62.23"/>
    <n v="77.52"/>
    <n v="46.786457573539799"/>
    <n v="63.740784411565599"/>
    <n v="64.371823735681261"/>
    <n v="65.272400000000005"/>
    <n v="67.45259999999999"/>
    <n v="60.042866430196668"/>
    <n v="63.747733215098329"/>
    <n v="49.736367659766721"/>
    <n v="50.263632340233279"/>
    <n v="0.55237269106209952"/>
    <n v="0"/>
    <n v="35.212506945132652"/>
    <n v="3"/>
    <n v="3"/>
    <b v="1"/>
    <x v="4"/>
    <n v="59.793158936237994"/>
    <n v="0.55326236774485593"/>
    <n v="33.081304688007521"/>
    <n v="3"/>
    <n v="0"/>
    <n v="3.9545742788603349"/>
    <n v="-8.8967668275641287E-4"/>
    <n v="2.1312022571251319"/>
    <n v="2"/>
    <b v="0"/>
    <n v="0"/>
    <n v="0.81759069605862034"/>
    <n v="48.886330434222536"/>
    <n v="0.44089045084065903"/>
    <n v="3"/>
    <n v="0"/>
    <n v="44.089045084065901"/>
    <n v="4"/>
    <n v="-0.26521800499652082"/>
    <b v="0"/>
    <n v="0"/>
    <n v="3"/>
    <n v="0"/>
    <n v="0"/>
    <n v="0"/>
    <n v="0"/>
    <n v="0"/>
    <n v="1"/>
    <s v="Intermedio"/>
    <n v="5"/>
    <s v="Fuera SC"/>
    <m/>
    <s v="No"/>
    <s v="Si"/>
    <n v="29.7"/>
    <n v="14.129582861621527"/>
    <n v="26.365483179451029"/>
    <s v="Medio"/>
    <n v="9.2346930300469889"/>
    <s v="Medio"/>
    <n v="87052.879835"/>
    <n v="39528.906344949995"/>
    <n v="28130"/>
    <n v="3.0946633428723782"/>
    <n v="1.4052224082811944"/>
    <m/>
    <m/>
    <m/>
    <m/>
    <m/>
    <m/>
    <m/>
    <n v="90"/>
    <n v="1"/>
    <n v="5"/>
    <n v="52557.181573000002"/>
    <n v="18347.107228000001"/>
    <n v="0.34908849140847747"/>
    <s v="31% - 50%"/>
    <n v="5.3378651171465694E-4"/>
    <s v="N.D."/>
    <s v="N.D."/>
    <s v="N.D."/>
    <n v="0.88372995926782805"/>
    <s v="Aceptable"/>
    <n v="3"/>
    <s v="Candidato"/>
    <n v="0"/>
    <n v="0"/>
  </r>
  <r>
    <n v="19364"/>
    <s v="19364"/>
    <x v="13"/>
    <x v="13"/>
    <s v="JAMBALÓ"/>
    <n v="54.083100000000002"/>
    <n v="64.95"/>
    <n v="54.87"/>
    <n v="39.979999999999997"/>
    <n v="59.759727645475984"/>
    <n v="49.805884891959032"/>
    <n v="51.069438588074512"/>
    <n v="57.820700000000002"/>
    <n v="53.470774999999996"/>
    <n v="54.613937781377388"/>
    <n v="54.042356390688695"/>
    <n v="50.61907493571011"/>
    <n v="49.38092506428989"/>
    <n v="0.54442832557860898"/>
    <n v="0"/>
    <n v="29.422189600105085"/>
    <n v="4"/>
    <n v="4"/>
    <b v="1"/>
    <x v="4"/>
    <n v="55.116790756667399"/>
    <n v="0.55537932835313408"/>
    <n v="30.61072623141817"/>
    <n v="3"/>
    <n v="0"/>
    <n v="-1.0744343659787035"/>
    <n v="-1.0951002774525098E-2"/>
    <n v="-1.1885366313130845"/>
    <n v="3"/>
    <b v="1"/>
    <n v="0"/>
    <n v="0.81759069605862034"/>
    <n v="45.062975319261028"/>
    <n v="0.39306430854866425"/>
    <n v="3"/>
    <n v="0"/>
    <n v="39.306430854866427"/>
    <n v="4"/>
    <n v="-0.27316237048001135"/>
    <b v="0"/>
    <n v="0"/>
    <n v="3"/>
    <n v="0"/>
    <n v="0"/>
    <n v="0"/>
    <n v="0"/>
    <n v="1"/>
    <n v="1"/>
    <s v="Rural"/>
    <n v="6"/>
    <s v="Fuera SC"/>
    <m/>
    <s v="No"/>
    <s v="No"/>
    <n v="46.5"/>
    <n v="15.575123830489819"/>
    <n v="0"/>
    <s v="Sin riesgo"/>
    <n v="31.424620639575789"/>
    <s v="Muy Alto"/>
    <n v="36716.331896999996"/>
    <n v="5044.1406710000001"/>
    <n v="19163"/>
    <n v="1.9160012470385637"/>
    <n v="0.26322291243542245"/>
    <m/>
    <m/>
    <m/>
    <m/>
    <m/>
    <m/>
    <m/>
    <n v="32"/>
    <n v="0"/>
    <n v="7"/>
    <n v="23449.983866999999"/>
    <n v="18157.716850000001"/>
    <n v="0.77431681629224725"/>
    <s v="71% - 100%"/>
    <n v="5.2827643168031459E-4"/>
    <n v="15794.835272"/>
    <n v="0.6735542063304909"/>
    <s v="51% - 70%"/>
    <n v="0.7841065099097857"/>
    <s v="Crítico bajo"/>
    <n v="1"/>
    <s v="Candidato"/>
    <n v="0"/>
    <n v="0"/>
  </r>
  <r>
    <n v="5306"/>
    <s v="05306"/>
    <x v="1"/>
    <x v="1"/>
    <s v="GIRALDO"/>
    <n v="71.308433333333298"/>
    <n v="76.349999999999994"/>
    <n v="78.17"/>
    <n v="72.400000000000006"/>
    <n v="55.350168191104679"/>
    <n v="61.055077087282037"/>
    <n v="58.544452486491878"/>
    <n v="52.511000000000003"/>
    <n v="74.557108333333332"/>
    <n v="56.865174441219644"/>
    <n v="65.711141387276484"/>
    <n v="49.627271180239568"/>
    <n v="50.372728819760432"/>
    <n v="0.55335455937784395"/>
    <n v="0"/>
    <n v="36.361559688571582"/>
    <n v="3"/>
    <n v="3"/>
    <b v="1"/>
    <x v="3"/>
    <n v="65.264464092510281"/>
    <n v="0.55270149270556912"/>
    <n v="36.071766724559446"/>
    <n v="2"/>
    <n v="0"/>
    <n v="0.44667729476620366"/>
    <n v="6.5306667227482684E-4"/>
    <n v="0.28979296401213617"/>
    <n v="2"/>
    <b v="1"/>
    <n v="0"/>
    <n v="0.81759069605862034"/>
    <n v="53.359618625288313"/>
    <n v="0.49684657082067968"/>
    <n v="2"/>
    <n v="0"/>
    <n v="49.684657082067964"/>
    <n v="3"/>
    <n v="-0.26423613668077639"/>
    <b v="0"/>
    <n v="0"/>
    <n v="3"/>
    <n v="1"/>
    <n v="0"/>
    <n v="0"/>
    <n v="0"/>
    <n v="0"/>
    <n v="0"/>
    <s v="Intermedio"/>
    <n v="6"/>
    <s v="Fuera SC"/>
    <m/>
    <s v="No"/>
    <s v="Si"/>
    <n v="33.4"/>
    <n v="15.364840814712281"/>
    <n v="67.491126694553685"/>
    <s v="Alto"/>
    <n v="5.8017714591098581"/>
    <s v="Medio"/>
    <n v="20067.846154999999"/>
    <n v="7675.7739352500002"/>
    <n v="6331"/>
    <n v="3.1697750995103458"/>
    <n v="1.2124109832964778"/>
    <m/>
    <m/>
    <m/>
    <m/>
    <m/>
    <m/>
    <m/>
    <n v="90"/>
    <n v="0"/>
    <n v="7"/>
    <n v="9349.1765030000006"/>
    <n v="1060.1076519999999"/>
    <n v="0.11339048435547541"/>
    <s v="0% - 30%"/>
    <n v="3.0842527847632818E-5"/>
    <s v="N.D."/>
    <s v="N.D."/>
    <s v="N.D."/>
    <n v="0.9332905539041576"/>
    <s v="Aceptable"/>
    <n v="2"/>
    <s v="Candidato"/>
    <n v="0"/>
    <n v="0"/>
  </r>
  <r>
    <n v="68498"/>
    <s v="68498"/>
    <x v="0"/>
    <x v="0"/>
    <s v="OCAMONTE"/>
    <n v="62.447366666666703"/>
    <n v="56.8"/>
    <n v="35.65"/>
    <n v="49.63"/>
    <n v="73.470297626046445"/>
    <n v="49.17535388813959"/>
    <n v="63.481018588817889"/>
    <n v="58.746499999999997"/>
    <n v="51.131841666666674"/>
    <n v="61.218292525750975"/>
    <n v="56.175067096208821"/>
    <n v="50.196218884295497"/>
    <n v="49.803781115704503"/>
    <n v="0.54823403004134053"/>
    <n v="0"/>
    <n v="30.797083421997268"/>
    <n v="3"/>
    <n v="3"/>
    <b v="1"/>
    <x v="4"/>
    <n v="57.315446423061474"/>
    <n v="0.55514557703959422"/>
    <n v="31.818416577812407"/>
    <n v="3"/>
    <n v="0"/>
    <n v="-1.1403793268526528"/>
    <n v="-6.9115469982536926E-3"/>
    <n v="-1.0213331558151388"/>
    <n v="3"/>
    <b v="1"/>
    <n v="0"/>
    <n v="0.81759069605862034"/>
    <n v="46.860575735941389"/>
    <n v="0.41555039491188966"/>
    <n v="3"/>
    <n v="0"/>
    <n v="41.555039491188964"/>
    <n v="4"/>
    <n v="-0.26935666601727981"/>
    <b v="0"/>
    <n v="0"/>
    <n v="3"/>
    <n v="0"/>
    <n v="0"/>
    <n v="0"/>
    <n v="0"/>
    <n v="0"/>
    <n v="0"/>
    <s v="Rural"/>
    <n v="6"/>
    <s v="Fuera SC"/>
    <m/>
    <s v="No"/>
    <s v="Si"/>
    <n v="38.6"/>
    <n v="12.232752920432004"/>
    <n v="0"/>
    <s v="Sin riesgo"/>
    <n v="0"/>
    <s v="Bajo"/>
    <n v="11748.966920000001"/>
    <n v="2471.0261636999999"/>
    <n v="6494"/>
    <n v="1.8092034062211273"/>
    <n v="0.38050911051740066"/>
    <m/>
    <m/>
    <m/>
    <m/>
    <m/>
    <m/>
    <m/>
    <n v="75"/>
    <n v="0"/>
    <n v="7"/>
    <n v="7506.8795639999998"/>
    <n v="2862.0286500000002"/>
    <n v="0.38125410506452617"/>
    <s v="31% - 50%"/>
    <n v="8.3267202318381125E-5"/>
    <s v="N.D."/>
    <s v="N.D."/>
    <s v="N.D."/>
    <n v="0.95542472905490483"/>
    <s v="Aceptable"/>
    <n v="1"/>
    <s v="Candidato"/>
    <n v="0"/>
    <n v="0"/>
  </r>
  <r>
    <n v="13468"/>
    <s v="13468"/>
    <x v="8"/>
    <x v="8"/>
    <s v="SANTA CRUZ DE MOMPOX"/>
    <n v="58.300766666666703"/>
    <n v="35.58"/>
    <n v="41.92"/>
    <n v="32.57"/>
    <n v="21.026624090858725"/>
    <n v="42.302000736036902"/>
    <n v="44.103486311091132"/>
    <n v="42.077300000000001"/>
    <n v="42.092691666666674"/>
    <n v="37.377352784496694"/>
    <n v="39.735022225581687"/>
    <n v="50.739668728968134"/>
    <n v="49.260331271031866"/>
    <n v="0.54334298143928683"/>
    <n v="0"/>
    <n v="21.589745443603881"/>
    <n v="5"/>
    <n v="5"/>
    <b v="1"/>
    <x v="5"/>
    <n v="43.016222961274231"/>
    <n v="0.55279613143895212"/>
    <n v="23.779201642107822"/>
    <n v="4"/>
    <n v="0"/>
    <n v="-3.2812007356925434"/>
    <n v="-9.453149999665289E-3"/>
    <n v="-2.1894561985039402"/>
    <n v="4"/>
    <b v="1"/>
    <n v="0"/>
    <n v="0.81759069605862034"/>
    <n v="35.169663672721008"/>
    <n v="0.26930940838390788"/>
    <n v="4"/>
    <n v="0"/>
    <n v="26.930940838390789"/>
    <n v="4"/>
    <n v="-0.2742477146193335"/>
    <b v="1"/>
    <n v="0"/>
    <n v="3"/>
    <n v="-1"/>
    <n v="0"/>
    <n v="0"/>
    <n v="1"/>
    <n v="0"/>
    <n v="0"/>
    <s v="Intermedio"/>
    <n v="6"/>
    <s v="Fuera SC"/>
    <m/>
    <s v="No"/>
    <s v="Si"/>
    <n v="49.1"/>
    <n v="29.197620866023282"/>
    <n v="12.053571428571429"/>
    <s v="Bajo"/>
    <n v="0.77187991627377683"/>
    <s v="Medio Bajo"/>
    <n v="93122.692464000007"/>
    <n v="9257.0218729999997"/>
    <n v="48552"/>
    <n v="1.9179991033119133"/>
    <n v="0.19066200924781676"/>
    <m/>
    <m/>
    <m/>
    <m/>
    <m/>
    <m/>
    <m/>
    <n v="60"/>
    <n v="1"/>
    <n v="5"/>
    <n v="65157.663724999999"/>
    <n v="1600.135775"/>
    <n v="2.4557905908864752E-2"/>
    <s v="0% - 30%"/>
    <n v="4.6553981670939795E-5"/>
    <s v="N.D."/>
    <s v="N.D."/>
    <s v="N.D."/>
    <n v="0.80968017743479215"/>
    <s v="Crítico bajo"/>
    <n v="1"/>
    <s v="Candidato"/>
    <n v="0"/>
    <n v="0"/>
  </r>
  <r>
    <n v="5642"/>
    <s v="05642"/>
    <x v="1"/>
    <x v="1"/>
    <s v="SALGAR"/>
    <n v="54.641066666666703"/>
    <n v="50.51"/>
    <n v="52.25"/>
    <n v="51.72"/>
    <n v="46.697722736078148"/>
    <n v="47.847047101570162"/>
    <n v="58.975416623104259"/>
    <n v="51.029200000000003"/>
    <n v="52.280266666666677"/>
    <n v="51.137346615188143"/>
    <n v="51.708806640927406"/>
    <n v="50.138185663387389"/>
    <n v="49.861814336612611"/>
    <n v="0.54875632902951355"/>
    <n v="0"/>
    <n v="28.375534910772256"/>
    <n v="4"/>
    <n v="4"/>
    <b v="1"/>
    <x v="4"/>
    <n v="51.484559424930822"/>
    <n v="0.5525713491412978"/>
    <n v="28.448892461379344"/>
    <n v="3"/>
    <n v="0"/>
    <n v="0.22424721599658426"/>
    <n v="-3.8150201117842508E-3"/>
    <n v="-7.3357550607088484E-2"/>
    <n v="3"/>
    <b v="1"/>
    <n v="0"/>
    <n v="0.81759069605862034"/>
    <n v="42.093296776500594"/>
    <n v="0.35591676031497788"/>
    <n v="3"/>
    <n v="0"/>
    <n v="35.591676031497791"/>
    <n v="4"/>
    <n v="-0.26883436702910679"/>
    <b v="0"/>
    <n v="0"/>
    <n v="3"/>
    <n v="0"/>
    <n v="0"/>
    <n v="0"/>
    <n v="0"/>
    <n v="0"/>
    <n v="1"/>
    <s v="Intermedio"/>
    <n v="6"/>
    <s v="Fuera SC"/>
    <m/>
    <s v="No"/>
    <s v="Si"/>
    <n v="49.7"/>
    <n v="16.593553309174137"/>
    <n v="13.517479976149065"/>
    <s v="Bajo"/>
    <n v="6.7305415155513648"/>
    <s v="Medio"/>
    <n v="41567.112218000002"/>
    <n v="8364.1584170000006"/>
    <n v="18915"/>
    <n v="2.1975740004229447"/>
    <n v="0.44219711430081948"/>
    <m/>
    <m/>
    <m/>
    <m/>
    <m/>
    <m/>
    <m/>
    <n v="83"/>
    <n v="0"/>
    <n v="7"/>
    <n v="28823.919449000001"/>
    <n v="6844.9696800000002"/>
    <n v="0.23747532642502842"/>
    <s v="0% - 30%"/>
    <n v="1.9914597123538386E-4"/>
    <s v="N.D."/>
    <s v="N.D."/>
    <s v="N.D."/>
    <n v="0.91778407401691442"/>
    <s v="Aceptable"/>
    <n v="1"/>
    <s v="Candidato"/>
    <n v="0"/>
    <n v="0"/>
  </r>
  <r>
    <n v="5364"/>
    <s v="05364"/>
    <x v="1"/>
    <x v="1"/>
    <s v="JARDÍN"/>
    <n v="56.977566666666696"/>
    <n v="74.06"/>
    <n v="72.2"/>
    <n v="70.55"/>
    <n v="47.193565133689347"/>
    <n v="56.35381456504718"/>
    <n v="64.712339287733798"/>
    <n v="47.043500000000002"/>
    <n v="68.446891666666673"/>
    <n v="53.825804746617578"/>
    <n v="61.136348206642126"/>
    <n v="50.32226586865162"/>
    <n v="49.67773413134838"/>
    <n v="0.54709960718213546"/>
    <n v="0"/>
    <n v="33.447672088404161"/>
    <n v="3"/>
    <n v="3"/>
    <b v="1"/>
    <x v="4"/>
    <n v="59.648059512996305"/>
    <n v="0.55249571950008214"/>
    <n v="32.955297557416614"/>
    <n v="3"/>
    <n v="0"/>
    <n v="1.4882886936458206"/>
    <n v="-5.3961123179466775E-3"/>
    <n v="0.49237453098754713"/>
    <n v="3"/>
    <b v="1"/>
    <n v="0"/>
    <n v="0.81759069605862034"/>
    <n v="48.767698495776656"/>
    <n v="0.43940649034055129"/>
    <n v="3"/>
    <n v="0"/>
    <n v="43.940649034055127"/>
    <n v="4"/>
    <n v="-0.27049108887648488"/>
    <b v="0"/>
    <n v="0"/>
    <n v="3"/>
    <n v="0"/>
    <n v="0"/>
    <n v="0"/>
    <n v="0"/>
    <n v="0"/>
    <n v="0"/>
    <s v="Intermedio"/>
    <n v="6"/>
    <s v="Fuera SC"/>
    <m/>
    <s v="No"/>
    <s v="Si"/>
    <n v="28.5"/>
    <n v="9.7896379989593392"/>
    <n v="16.218812272455921"/>
    <s v="Medio"/>
    <n v="7.8411114245485729"/>
    <s v="Medio"/>
    <n v="35052.930228999998"/>
    <n v="11411.7258939"/>
    <n v="15350"/>
    <n v="2.2835785165472311"/>
    <n v="0.7434349116547232"/>
    <m/>
    <m/>
    <m/>
    <m/>
    <m/>
    <m/>
    <m/>
    <n v="65"/>
    <n v="0"/>
    <n v="7"/>
    <n v="20114.093013000002"/>
    <n v="12984.214609000001"/>
    <n v="0.64552821748453348"/>
    <s v="51% - 70%"/>
    <n v="3.777597491181239E-4"/>
    <n v="316.21870000000001"/>
    <n v="1.572125075665225E-2"/>
    <s v="0% - 30%"/>
    <n v="0.93446645943031315"/>
    <s v="Aceptable"/>
    <n v="2"/>
    <s v="Candidato"/>
    <n v="0"/>
    <n v="0"/>
  </r>
  <r>
    <n v="5240"/>
    <s v="05240"/>
    <x v="1"/>
    <x v="1"/>
    <s v="EBÉJICO"/>
    <n v="82.656000000000006"/>
    <n v="70.989999999999995"/>
    <n v="28.94"/>
    <n v="27.22"/>
    <n v="63.884248078770206"/>
    <n v="54.324479296877932"/>
    <n v="60.585371048144061"/>
    <n v="49.530799999999999"/>
    <n v="52.451500000000003"/>
    <n v="57.081224605948051"/>
    <n v="54.766362302974031"/>
    <n v="50.210391787989117"/>
    <n v="49.789608212010883"/>
    <n v="0.54810647390809797"/>
    <n v="0"/>
    <n v="30.017797730656476"/>
    <n v="3"/>
    <n v="3"/>
    <b v="1"/>
    <x v="4"/>
    <n v="61.285951945796789"/>
    <n v="0.55383865827803824"/>
    <n v="33.942529396952423"/>
    <n v="3"/>
    <n v="0"/>
    <n v="-6.5195896428227584"/>
    <n v="-5.7321843699402741E-3"/>
    <n v="-3.9247316662959477"/>
    <n v="3"/>
    <b v="1"/>
    <n v="0"/>
    <n v="0.81759069605862034"/>
    <n v="50.106824109979158"/>
    <n v="0.45615754020277377"/>
    <n v="3"/>
    <n v="0"/>
    <n v="45.615754020277379"/>
    <n v="4"/>
    <n v="-0.26948422215052237"/>
    <b v="0"/>
    <n v="0"/>
    <n v="3"/>
    <n v="0"/>
    <n v="0"/>
    <n v="0"/>
    <n v="0"/>
    <n v="0"/>
    <n v="0"/>
    <s v="Rural"/>
    <n v="6"/>
    <s v="Fuera SC"/>
    <m/>
    <s v="No"/>
    <s v="Si"/>
    <n v="39.1"/>
    <n v="13.891310665504214"/>
    <n v="28.282736001160973"/>
    <s v="Medio"/>
    <n v="4.5101865854762533"/>
    <s v="Medio Bajo"/>
    <n v="24767.222245000001"/>
    <n v="5835.5404144499998"/>
    <n v="12627"/>
    <n v="1.9614494531559357"/>
    <n v="0.46214781139225469"/>
    <m/>
    <m/>
    <m/>
    <m/>
    <m/>
    <m/>
    <m/>
    <n v="90"/>
    <n v="0"/>
    <n v="7"/>
    <n v="23774.737663"/>
    <n v="11588.587288000001"/>
    <n v="0.48743281428652796"/>
    <s v="31% - 50%"/>
    <n v="3.3715568930245182E-4"/>
    <s v="N.D."/>
    <s v="N.D."/>
    <s v="N.D."/>
    <n v="0.91057650423769199"/>
    <s v="Aceptable"/>
    <n v="1"/>
    <s v="Candidato"/>
    <n v="0"/>
    <n v="0"/>
  </r>
  <r>
    <n v="25288"/>
    <s v="25288"/>
    <x v="5"/>
    <x v="5"/>
    <s v="FÚQUENE"/>
    <n v="77.146366666666694"/>
    <n v="73.19"/>
    <n v="36.83"/>
    <n v="65.45"/>
    <n v="55.589468438890464"/>
    <n v="57.304477082776913"/>
    <n v="69.422668108974023"/>
    <n v="64.346299999999999"/>
    <n v="63.154091666666673"/>
    <n v="61.665728407660353"/>
    <n v="62.409910037163513"/>
    <n v="52.257771218043622"/>
    <n v="47.742228781956378"/>
    <n v="0.5296800590376074"/>
    <n v="0"/>
    <n v="33.057284833016539"/>
    <n v="3"/>
    <n v="3"/>
    <b v="1"/>
    <x v="4"/>
    <n v="61.571522811767736"/>
    <n v="0.55010478153202724"/>
    <n v="33.870789104961723"/>
    <n v="3"/>
    <n v="0"/>
    <n v="0.83838722539577759"/>
    <n v="-2.0424722494419845E-2"/>
    <n v="-0.8135042719451846"/>
    <n v="3"/>
    <b v="1"/>
    <n v="0"/>
    <n v="0.81759069605862034"/>
    <n v="50.340304193062401"/>
    <n v="0.45907812993093938"/>
    <n v="3"/>
    <n v="0"/>
    <n v="45.907812993093941"/>
    <n v="4"/>
    <n v="-0.28791063702101294"/>
    <b v="0"/>
    <n v="0"/>
    <n v="2"/>
    <n v="-1"/>
    <n v="0"/>
    <n v="0"/>
    <n v="0"/>
    <n v="0"/>
    <n v="0"/>
    <s v="Rural"/>
    <n v="6"/>
    <s v="Fuera SC"/>
    <m/>
    <s v="No"/>
    <s v="No"/>
    <n v="23.6"/>
    <n v="8.993399339933994"/>
    <n v="4.8883333333333328"/>
    <s v="Sin riesgo"/>
    <n v="0"/>
    <s v="Bajo"/>
    <n v="12963.748666"/>
    <n v="4758.4072511499999"/>
    <n v="4961"/>
    <n v="2.6131321640798224"/>
    <n v="0.95916292101390843"/>
    <m/>
    <m/>
    <m/>
    <m/>
    <m/>
    <m/>
    <m/>
    <n v="36"/>
    <n v="0"/>
    <n v="7"/>
    <n v="7734.9106060000004"/>
    <n v="4598.2351509999999"/>
    <n v="0.59447812459954363"/>
    <s v="51% - 70%"/>
    <n v="1.3377999434974514E-4"/>
    <s v="N.D."/>
    <s v="N.D."/>
    <s v="N.D."/>
    <n v="0.88939280691366362"/>
    <s v="Aceptable"/>
    <n v="3"/>
    <s v="Candidato"/>
    <n v="0"/>
    <n v="0"/>
  </r>
  <r>
    <n v="63212"/>
    <s v="63212"/>
    <x v="7"/>
    <x v="7"/>
    <s v="CÓRDOBA"/>
    <n v="57.083433333333303"/>
    <n v="57.41"/>
    <n v="56.64"/>
    <n v="66.09"/>
    <n v="49.40323958140003"/>
    <n v="52.530464112224614"/>
    <n v="46.320483748122228"/>
    <n v="48.587299999999999"/>
    <n v="59.305858333333326"/>
    <n v="49.210371860436716"/>
    <n v="54.258115096885021"/>
    <n v="51.208899155921117"/>
    <n v="48.791100844078883"/>
    <n v="0.53911990759670991"/>
    <n v="0"/>
    <n v="29.251629997404304"/>
    <n v="4"/>
    <n v="4"/>
    <b v="1"/>
    <x v="4"/>
    <n v="53.990617696899733"/>
    <n v="0.55082734986738013"/>
    <n v="29.739508863686154"/>
    <n v="3"/>
    <n v="0"/>
    <n v="0.2674973999852881"/>
    <n v="-1.1707442270670221E-2"/>
    <n v="-0.48787886628185007"/>
    <n v="3"/>
    <b v="1"/>
    <n v="0"/>
    <n v="0.81759069605862034"/>
    <n v="44.142226703443114"/>
    <n v="0.38154671392530737"/>
    <n v="3"/>
    <n v="0"/>
    <n v="38.154671392530737"/>
    <n v="4"/>
    <n v="-0.27847078846191042"/>
    <b v="0"/>
    <n v="0"/>
    <n v="3"/>
    <n v="0"/>
    <n v="0"/>
    <n v="0"/>
    <n v="0"/>
    <n v="0"/>
    <n v="0"/>
    <s v="Intermedio"/>
    <n v="6"/>
    <s v="Fuera SC"/>
    <m/>
    <s v="No"/>
    <s v="No"/>
    <n v="30.7"/>
    <n v="10.079767947788252"/>
    <n v="0"/>
    <s v="Sin riesgo"/>
    <n v="9.4079650479087229E-2"/>
    <s v="Bajo"/>
    <n v="11925.059015000001"/>
    <n v="2406.1482922499999"/>
    <n v="5866"/>
    <n v="2.032911526593931"/>
    <n v="0.41018552544323217"/>
    <m/>
    <m/>
    <m/>
    <m/>
    <m/>
    <m/>
    <m/>
    <n v="16"/>
    <n v="0"/>
    <n v="7"/>
    <n v="9380.0323759999992"/>
    <n v="8733.9505709999994"/>
    <n v="0.93112158049122706"/>
    <s v="71% - 100%"/>
    <n v="2.5410354618015345E-4"/>
    <n v="180.64382900000001"/>
    <n v="1.9258337472501708E-2"/>
    <s v="0% - 30%"/>
    <n v="0.93400430869725604"/>
    <s v="Aceptable"/>
    <n v="2"/>
    <s v="Candidato"/>
    <n v="0"/>
    <n v="0"/>
  </r>
  <r>
    <n v="25779"/>
    <s v="25779"/>
    <x v="5"/>
    <x v="5"/>
    <s v="SUSA"/>
    <n v="57.092466666666702"/>
    <n v="72.13"/>
    <n v="73.87"/>
    <n v="74.599999999999994"/>
    <n v="45.58107143905238"/>
    <n v="48.957909994842154"/>
    <n v="59.468102107349374"/>
    <n v="48.868299999999998"/>
    <n v="69.423116666666672"/>
    <n v="50.718845885310976"/>
    <n v="60.070981275988828"/>
    <n v="52.337125136034388"/>
    <n v="47.662874863965612"/>
    <n v="0.52896587377569049"/>
    <n v="0"/>
    <n v="31.775499099216574"/>
    <n v="3"/>
    <n v="3"/>
    <b v="1"/>
    <x v="4"/>
    <n v="58.187951587422084"/>
    <n v="0.54989744690030984"/>
    <n v="31.997406018282234"/>
    <n v="3"/>
    <n v="0"/>
    <n v="1.8830296885667437"/>
    <n v="-2.0931573124619351E-2"/>
    <n v="-0.22190691906565974"/>
    <n v="3"/>
    <b v="1"/>
    <n v="0"/>
    <n v="0.81759069605862034"/>
    <n v="47.573927840585725"/>
    <n v="0.42447367779699446"/>
    <n v="3"/>
    <n v="0"/>
    <n v="42.447367779699448"/>
    <n v="4"/>
    <n v="-0.28862482228292985"/>
    <b v="0"/>
    <n v="0"/>
    <n v="3"/>
    <n v="0"/>
    <n v="0"/>
    <n v="0"/>
    <n v="0"/>
    <n v="0"/>
    <n v="0"/>
    <s v="Intermedio"/>
    <n v="6"/>
    <s v="Fuera SC"/>
    <m/>
    <s v="No"/>
    <s v="No"/>
    <n v="27.1"/>
    <n v="13.057796805532686"/>
    <n v="3.4249999999999994"/>
    <s v="Sin riesgo"/>
    <n v="0"/>
    <s v="Bajo"/>
    <n v="13495.467416"/>
    <n v="3825.4892089999998"/>
    <n v="6595"/>
    <n v="2.0463180312357845"/>
    <n v="0.58005901576952235"/>
    <m/>
    <m/>
    <m/>
    <m/>
    <m/>
    <m/>
    <m/>
    <n v="36"/>
    <n v="0"/>
    <n v="7"/>
    <n v="10400.739406000001"/>
    <n v="3004.7868749999998"/>
    <n v="0.28890127496768087"/>
    <s v="0% - 30%"/>
    <n v="8.7420577234347791E-5"/>
    <s v="N.D."/>
    <s v="N.D."/>
    <s v="N.D."/>
    <n v="0.87459158583986762"/>
    <s v="Aceptable"/>
    <n v="2"/>
    <s v="Candidato"/>
    <n v="0"/>
    <n v="0"/>
  </r>
  <r>
    <n v="76616"/>
    <s v="76616"/>
    <x v="3"/>
    <x v="3"/>
    <s v="RIOFRÍO"/>
    <n v="63.439333333333302"/>
    <n v="65.5"/>
    <n v="62.27"/>
    <n v="62.28"/>
    <n v="53.740284140277886"/>
    <n v="62.392172987668069"/>
    <n v="60.900459678533387"/>
    <n v="58.1736"/>
    <n v="63.37233333333333"/>
    <n v="58.801629201619832"/>
    <n v="61.086981267476581"/>
    <n v="50.973033469169771"/>
    <n v="49.026966530830229"/>
    <n v="0.54124269877747211"/>
    <n v="0"/>
    <n v="33.062882601377908"/>
    <n v="3"/>
    <n v="3"/>
    <b v="1"/>
    <x v="4"/>
    <n v="60.118223781828064"/>
    <n v="0.55229427480442506"/>
    <n v="33.20295080611487"/>
    <n v="3"/>
    <n v="0"/>
    <n v="0.96875748564851705"/>
    <n v="-1.1051576026952947E-2"/>
    <n v="-0.1400682047369628"/>
    <n v="3"/>
    <b v="1"/>
    <n v="0"/>
    <n v="0.81759069605862034"/>
    <n v="49.152100427592707"/>
    <n v="0.44421495330974037"/>
    <n v="3"/>
    <n v="0"/>
    <n v="44.421495330974039"/>
    <n v="4"/>
    <n v="-0.27634799728114823"/>
    <b v="0"/>
    <n v="0"/>
    <n v="3"/>
    <n v="0"/>
    <n v="0"/>
    <n v="0"/>
    <n v="0"/>
    <n v="0"/>
    <n v="1"/>
    <s v="Intermedio"/>
    <n v="6"/>
    <s v="Fuera SC"/>
    <m/>
    <s v="No"/>
    <s v="No"/>
    <n v="23.2"/>
    <n v="9.1894204035075209"/>
    <n v="17.850260380839224"/>
    <s v="Medio"/>
    <n v="5.0565667878080092"/>
    <s v="Medio Bajo"/>
    <n v="34605.098180000001"/>
    <n v="9984.9771115000003"/>
    <n v="16128"/>
    <n v="2.1456534089781747"/>
    <n v="0.61910820383804566"/>
    <m/>
    <m/>
    <m/>
    <m/>
    <m/>
    <m/>
    <m/>
    <n v="66"/>
    <n v="0"/>
    <n v="7"/>
    <n v="30816.272925000001"/>
    <n v="7850.7044830000004"/>
    <n v="0.25475840320167464"/>
    <s v="0% - 30%"/>
    <n v="2.2840658793816851E-4"/>
    <n v="3.2870469999999998"/>
    <n v="1.0666594912369662E-4"/>
    <n v="0"/>
    <n v="0.93902830302724027"/>
    <s v="Aceptable"/>
    <n v="2"/>
    <s v="Candidato"/>
    <n v="0"/>
    <n v="0"/>
  </r>
  <r>
    <n v="25841"/>
    <s v="25841"/>
    <x v="5"/>
    <x v="5"/>
    <s v="UBAQUE"/>
    <n v="59.613666666666703"/>
    <n v="56.56"/>
    <n v="65.37"/>
    <n v="69.83"/>
    <n v="60.006217259404188"/>
    <n v="68.286927701936051"/>
    <n v="63.431661463373288"/>
    <n v="56.534700000000001"/>
    <n v="62.84341666666667"/>
    <n v="62.064876606178373"/>
    <n v="62.454146636422522"/>
    <n v="51.945778495864261"/>
    <n v="48.054221504135739"/>
    <n v="0.53248799353722165"/>
    <n v="0"/>
    <n v="33.256083230508047"/>
    <n v="3"/>
    <n v="3"/>
    <b v="1"/>
    <x v="4"/>
    <n v="60.474120131509878"/>
    <n v="0.55106271577592214"/>
    <n v="33.325032873829201"/>
    <n v="3"/>
    <n v="0"/>
    <n v="1.9800265049126438"/>
    <n v="-1.8574722238700492E-2"/>
    <n v="-6.8949643321154497E-2"/>
    <n v="3"/>
    <b v="1"/>
    <n v="0"/>
    <n v="0.81759069605862034"/>
    <n v="49.443077971853789"/>
    <n v="0.44785477566920379"/>
    <n v="3"/>
    <n v="0"/>
    <n v="44.785477566920378"/>
    <n v="4"/>
    <n v="-0.28510270252139869"/>
    <b v="0"/>
    <n v="0"/>
    <n v="3"/>
    <n v="0"/>
    <n v="0"/>
    <n v="0"/>
    <n v="0"/>
    <n v="0"/>
    <n v="0"/>
    <s v="Rural"/>
    <n v="6"/>
    <s v="Fuera SC"/>
    <m/>
    <s v="No"/>
    <s v="No"/>
    <n v="34.1"/>
    <n v="15.320813771517997"/>
    <n v="7.3203510642746625"/>
    <s v="Bajo"/>
    <n v="0"/>
    <s v="Bajo"/>
    <n v="32231.259567000001"/>
    <n v="6222.8464039999999"/>
    <n v="6923"/>
    <n v="4.6556781116567967"/>
    <n v="0.89886557908421205"/>
    <m/>
    <m/>
    <m/>
    <m/>
    <m/>
    <m/>
    <m/>
    <n v="40"/>
    <n v="0"/>
    <n v="7"/>
    <n v="10695.017502000001"/>
    <n v="1906.787906"/>
    <n v="0.17828749748594847"/>
    <s v="0% - 30%"/>
    <n v="5.5475648137604872E-5"/>
    <s v="N.D."/>
    <s v="N.D."/>
    <s v="N.D."/>
    <n v="0.95883899576222109"/>
    <s v="Aceptable"/>
    <n v="2"/>
    <s v="Candidato"/>
    <n v="0"/>
    <n v="0"/>
  </r>
  <r>
    <n v="5368"/>
    <s v="05368"/>
    <x v="1"/>
    <x v="1"/>
    <s v="JERICÓ"/>
    <n v="57.356866666666697"/>
    <n v="91.08"/>
    <n v="63.09"/>
    <n v="61.79"/>
    <n v="57.620432387535431"/>
    <n v="60.164683548911682"/>
    <n v="68.107916344446906"/>
    <n v="50.335599999999999"/>
    <n v="68.329216666666682"/>
    <n v="59.057158070223508"/>
    <n v="63.693187368445095"/>
    <n v="50.198924826376881"/>
    <n v="49.801075173623119"/>
    <n v="0.54820967656260811"/>
    <n v="0"/>
    <n v="34.917221646496884"/>
    <n v="3"/>
    <n v="3"/>
    <b v="1"/>
    <x v="4"/>
    <n v="63.613980904956968"/>
    <n v="0.55246514693788218"/>
    <n v="35.14450730796068"/>
    <n v="2"/>
    <n v="-1"/>
    <n v="7.9206463488127099E-2"/>
    <n v="-4.255470375274073E-3"/>
    <n v="-0.22728566146379592"/>
    <n v="3"/>
    <b v="1"/>
    <s v="Efecto ponderador"/>
    <n v="0.81759069605862034"/>
    <n v="52.010198927143549"/>
    <n v="0.47996675281932671"/>
    <n v="2"/>
    <n v="-1"/>
    <n v="47.996675281932674"/>
    <n v="4"/>
    <n v="-0.26938101949601223"/>
    <b v="0"/>
    <s v="Cambio en corte"/>
    <n v="3"/>
    <n v="0"/>
    <n v="0"/>
    <n v="0"/>
    <n v="0"/>
    <n v="0"/>
    <n v="0"/>
    <s v="Intermedio"/>
    <n v="6"/>
    <s v="Fuera SC"/>
    <m/>
    <s v="No"/>
    <s v="No"/>
    <n v="25.8"/>
    <n v="9.0530508781459353"/>
    <n v="17.541840468613071"/>
    <s v="Medio"/>
    <n v="1.8570750206708948"/>
    <s v="Medio Bajo"/>
    <n v="33417.510525999998"/>
    <n v="12434.7860889"/>
    <n v="14317"/>
    <n v="2.3341140271006493"/>
    <n v="0.86853293908640083"/>
    <m/>
    <m/>
    <m/>
    <m/>
    <m/>
    <m/>
    <m/>
    <n v="65"/>
    <n v="0"/>
    <n v="6"/>
    <n v="20497.123324"/>
    <n v="7784.2900040000004"/>
    <n v="0.37977475575245268"/>
    <s v="31% - 50%"/>
    <n v="2.2647434038370644E-4"/>
    <s v="N.D."/>
    <s v="N.D."/>
    <s v="N.D."/>
    <n v="0.9607865040734731"/>
    <s v="Aceptable"/>
    <n v="2"/>
    <s v="Candidato"/>
    <n v="0"/>
    <n v="0"/>
  </r>
  <r>
    <n v="76054"/>
    <s v="76054"/>
    <x v="3"/>
    <x v="3"/>
    <s v="ARGELIA"/>
    <n v="66.145133333333305"/>
    <n v="67.94"/>
    <n v="44.06"/>
    <n v="41.41"/>
    <n v="54.533270537887532"/>
    <n v="49.824282413939244"/>
    <n v="57.840969848278249"/>
    <n v="48.610799999999998"/>
    <n v="54.888783333333329"/>
    <n v="52.702330700026252"/>
    <n v="53.795557016679794"/>
    <n v="51.30057312489685"/>
    <n v="48.69942687510315"/>
    <n v="0.53829484187592835"/>
    <n v="0"/>
    <n v="28.957870857921137"/>
    <n v="4"/>
    <n v="4"/>
    <b v="1"/>
    <x v="4"/>
    <n v="57.732348798315385"/>
    <n v="0.55146421662638556"/>
    <n v="31.837324504064245"/>
    <n v="3"/>
    <n v="0"/>
    <n v="-3.9367917816355913"/>
    <n v="-1.3169374750457208E-2"/>
    <n v="-2.8794536461431086"/>
    <n v="3"/>
    <b v="1"/>
    <n v="0"/>
    <n v="0.81759069605862034"/>
    <n v="47.201431239113731"/>
    <n v="0.41981413796100847"/>
    <n v="3"/>
    <n v="0"/>
    <n v="41.981413796100846"/>
    <n v="4"/>
    <n v="-0.27929585418269198"/>
    <b v="0"/>
    <n v="0"/>
    <n v="3"/>
    <n v="0"/>
    <n v="0"/>
    <n v="0"/>
    <n v="0"/>
    <n v="0"/>
    <n v="1"/>
    <s v="Intermedio"/>
    <n v="6"/>
    <s v="Fuera SC"/>
    <m/>
    <s v="No"/>
    <s v="No"/>
    <n v="36.200000000000003"/>
    <n v="15.754792332268371"/>
    <n v="24.12781338481339"/>
    <s v="Medio"/>
    <n v="6.3857819991561149"/>
    <s v="Medio"/>
    <n v="15897.446357999999"/>
    <n v="3070.4311427500002"/>
    <n v="5543"/>
    <n v="2.868022074327981"/>
    <n v="0.5539294863341151"/>
    <m/>
    <m/>
    <m/>
    <m/>
    <m/>
    <m/>
    <m/>
    <n v="91"/>
    <n v="0"/>
    <n v="7"/>
    <n v="9080.5953460000001"/>
    <n v="8847.1542449999997"/>
    <n v="0.97429231321238963"/>
    <s v="71% - 100%"/>
    <n v="2.5739706779676693E-4"/>
    <n v="90.075595000000007"/>
    <n v="9.9195693198330086E-3"/>
    <s v="0% - 30%"/>
    <n v="0.95054298485963229"/>
    <s v="Aceptable"/>
    <n v="1"/>
    <s v="Candidato"/>
    <n v="0"/>
    <n v="0"/>
  </r>
  <r>
    <n v="25407"/>
    <s v="25407"/>
    <x v="5"/>
    <x v="5"/>
    <s v="LENGUAZAQUE"/>
    <n v="57.255966666666701"/>
    <n v="56.79"/>
    <n v="54.2"/>
    <n v="81.87"/>
    <n v="58.512859239263662"/>
    <n v="64.571639804440252"/>
    <n v="57.990559673698669"/>
    <n v="64.792400000000001"/>
    <n v="62.528991666666677"/>
    <n v="61.46686467935065"/>
    <n v="61.99792817300866"/>
    <n v="51.932685656815877"/>
    <n v="48.067314343184123"/>
    <n v="0.53260582908865706"/>
    <n v="0"/>
    <n v="33.020457936364288"/>
    <n v="3"/>
    <n v="3"/>
    <b v="1"/>
    <x v="4"/>
    <n v="57.436568525421919"/>
    <n v="0.54955477419975085"/>
    <n v="31.564540446796759"/>
    <n v="3"/>
    <n v="0"/>
    <n v="4.5613596475867411"/>
    <n v="-1.6948945111093794E-2"/>
    <n v="1.4559174895675291"/>
    <n v="3"/>
    <b v="1"/>
    <n v="0"/>
    <n v="0.81759069605862034"/>
    <n v="46.959604039918354"/>
    <n v="0.41678913460896982"/>
    <n v="3"/>
    <n v="0"/>
    <n v="41.678913460896979"/>
    <n v="4"/>
    <n v="-0.28498486696996328"/>
    <b v="0"/>
    <n v="0"/>
    <n v="3"/>
    <n v="0"/>
    <n v="0"/>
    <n v="0"/>
    <n v="0"/>
    <n v="0"/>
    <n v="0"/>
    <s v="Intermedio"/>
    <n v="6"/>
    <s v="Fuera SC"/>
    <m/>
    <s v="No"/>
    <s v="No"/>
    <n v="29.1"/>
    <n v="10.282557892500531"/>
    <n v="53.936875189190687"/>
    <s v="Alto"/>
    <n v="0"/>
    <s v="Bajo"/>
    <n v="25763.736120000001"/>
    <n v="5648.1323713000002"/>
    <n v="10629"/>
    <n v="2.4239096923511152"/>
    <n v="0.53138887678050617"/>
    <m/>
    <m/>
    <m/>
    <m/>
    <m/>
    <m/>
    <m/>
    <n v="96"/>
    <n v="0"/>
    <n v="7"/>
    <n v="15539.601092999999"/>
    <n v="2960.370195"/>
    <n v="0.19050490275027293"/>
    <s v="0% - 30%"/>
    <n v="8.6128328577133695E-5"/>
    <s v="N.D."/>
    <s v="N.D."/>
    <s v="N.D."/>
    <n v="0.86658578493183369"/>
    <s v="Aceptable"/>
    <n v="3"/>
    <s v="Candidato"/>
    <n v="0"/>
    <n v="0"/>
  </r>
  <r>
    <n v="73408"/>
    <s v="73408"/>
    <x v="15"/>
    <x v="15"/>
    <s v="LÉRIDA"/>
    <n v="59.562600000000003"/>
    <n v="70.44"/>
    <n v="77.39"/>
    <n v="78.489999999999995"/>
    <n v="50.232080162667245"/>
    <n v="53.377067341409386"/>
    <n v="56.542319843669844"/>
    <n v="56.1173"/>
    <n v="71.470650000000006"/>
    <n v="54.067191836936615"/>
    <n v="62.768920918468311"/>
    <n v="51.206591441381335"/>
    <n v="48.793408558618665"/>
    <n v="0.53914067702756807"/>
    <n v="0"/>
    <n v="33.841278520272887"/>
    <n v="3"/>
    <n v="3"/>
    <b v="1"/>
    <x v="4"/>
    <n v="59.550392193244946"/>
    <n v="0.54950153342396879"/>
    <n v="32.72303182618684"/>
    <n v="3"/>
    <n v="0"/>
    <n v="3.218528725223365"/>
    <n v="-1.0360856396400719E-2"/>
    <n v="1.1182466940860465"/>
    <n v="3"/>
    <b v="1"/>
    <n v="0"/>
    <n v="0.81759069605862034"/>
    <n v="48.687846603838963"/>
    <n v="0.43840762734423877"/>
    <n v="3"/>
    <n v="0"/>
    <n v="43.840762734423876"/>
    <n v="4"/>
    <n v="-0.27845001903105226"/>
    <b v="0"/>
    <n v="0"/>
    <n v="3"/>
    <n v="0"/>
    <n v="0"/>
    <n v="0"/>
    <n v="0"/>
    <n v="0"/>
    <n v="1"/>
    <s v="Intermedio"/>
    <n v="6"/>
    <s v="Fuera SC"/>
    <m/>
    <s v="No"/>
    <s v="No"/>
    <n v="28.1"/>
    <n v="13.723410523834778"/>
    <n v="30.828928338254642"/>
    <s v="Medio"/>
    <n v="4.3101881287696528"/>
    <s v="Medio Bajo"/>
    <n v="34805.395557999997"/>
    <n v="10325.193248"/>
    <n v="18514"/>
    <n v="1.8799500679485792"/>
    <n v="0.55769651334125525"/>
    <m/>
    <m/>
    <m/>
    <m/>
    <m/>
    <m/>
    <m/>
    <n v="89"/>
    <n v="0"/>
    <n v="6"/>
    <n v="27176.637277000002"/>
    <n v="1971.12013"/>
    <n v="7.2529949526470253E-2"/>
    <s v="0% - 30%"/>
    <n v="5.7347315044712674E-5"/>
    <s v="N.D."/>
    <s v="N.D."/>
    <s v="N.D."/>
    <n v="0.94892151949246539"/>
    <s v="Aceptable"/>
    <n v="2"/>
    <s v="Candidato"/>
    <n v="0"/>
    <n v="0"/>
  </r>
  <r>
    <n v="5264"/>
    <s v="05264"/>
    <x v="1"/>
    <x v="1"/>
    <s v="ENTRERRIOS"/>
    <n v="68.875699999999995"/>
    <n v="51.6"/>
    <n v="48.62"/>
    <n v="64.17"/>
    <n v="64.763279081380006"/>
    <n v="60.659310330208889"/>
    <n v="58.252683821650663"/>
    <n v="71.005200000000002"/>
    <n v="58.316424999999995"/>
    <n v="63.670118308309888"/>
    <n v="60.993271654154938"/>
    <n v="50.006471608359504"/>
    <n v="49.993528391640496"/>
    <n v="0.54994175552476443"/>
    <n v="0"/>
    <n v="33.542746888684817"/>
    <n v="3"/>
    <n v="3"/>
    <b v="1"/>
    <x v="4"/>
    <n v="59.128961625393785"/>
    <n v="0.55256135115698835"/>
    <n v="32.6723789282373"/>
    <n v="3"/>
    <n v="0"/>
    <n v="1.8643100287611531"/>
    <n v="-2.6195956322239144E-3"/>
    <n v="0.87036796044751696"/>
    <n v="3"/>
    <b v="1"/>
    <n v="0"/>
    <n v="0.81759069605862034"/>
    <n v="48.343288892529152"/>
    <n v="0.43409757357381551"/>
    <n v="3"/>
    <n v="0"/>
    <n v="43.409757357381551"/>
    <n v="4"/>
    <n v="-0.26764894053385591"/>
    <b v="0"/>
    <n v="0"/>
    <n v="3"/>
    <n v="0"/>
    <n v="0"/>
    <n v="0"/>
    <n v="0"/>
    <n v="0"/>
    <n v="0"/>
    <s v="Intermedio"/>
    <n v="6"/>
    <s v="Fuera SC"/>
    <m/>
    <s v="No"/>
    <s v="Si"/>
    <n v="23.1"/>
    <n v="7.0281353229297183"/>
    <n v="12.333754484107246"/>
    <s v="Bajo"/>
    <n v="2.8871593911953743"/>
    <s v="Medio Bajo"/>
    <n v="33710.165723999999"/>
    <n v="14445.16018445"/>
    <n v="12568"/>
    <n v="2.6822219704010184"/>
    <n v="1.1493602947525461"/>
    <m/>
    <m/>
    <m/>
    <m/>
    <m/>
    <m/>
    <m/>
    <n v="61"/>
    <n v="0"/>
    <n v="7"/>
    <n v="21422.851106999999"/>
    <n v="3868.392182"/>
    <n v="0.18057317220190117"/>
    <s v="0% - 30%"/>
    <n v="1.1254611111787361E-4"/>
    <s v="N.D."/>
    <s v="N.D."/>
    <s v="N.D."/>
    <n v="0.94053231994322317"/>
    <s v="Aceptable"/>
    <n v="3"/>
    <s v="Candidato"/>
    <n v="0"/>
    <n v="0"/>
  </r>
  <r>
    <n v="68079"/>
    <s v="68079"/>
    <x v="0"/>
    <x v="0"/>
    <s v="BARICHARA"/>
    <n v="71.445566666666707"/>
    <n v="71.02"/>
    <n v="64.489999999999995"/>
    <n v="75.19"/>
    <n v="54.061347747177848"/>
    <n v="74.520581560794895"/>
    <n v="68.785022834974711"/>
    <n v="63.756599999999999"/>
    <n v="70.536391666666674"/>
    <n v="65.280888035736865"/>
    <n v="67.908639851201769"/>
    <n v="49.753157885646537"/>
    <n v="50.246842114353463"/>
    <n v="0.55222157902918123"/>
    <n v="0"/>
    <n v="37.500616328354624"/>
    <n v="3"/>
    <n v="3"/>
    <b v="1"/>
    <x v="3"/>
    <n v="66.863732878308227"/>
    <n v="0.55355494025549112"/>
    <n v="37.01274965871103"/>
    <n v="2"/>
    <n v="0"/>
    <n v="1.0449069728935427"/>
    <n v="-1.3333612263098926E-3"/>
    <n v="0.48786666964359426"/>
    <n v="2"/>
    <b v="1"/>
    <n v="0"/>
    <n v="0.81759069605862034"/>
    <n v="54.667165905053679"/>
    <n v="0.51320260900579573"/>
    <n v="2"/>
    <n v="0"/>
    <n v="51.320260900579569"/>
    <n v="3"/>
    <n v="-0.26536911702943911"/>
    <b v="0"/>
    <n v="0"/>
    <n v="2"/>
    <n v="0"/>
    <n v="0"/>
    <n v="0"/>
    <n v="0"/>
    <n v="0"/>
    <n v="0"/>
    <s v="Intermedio"/>
    <n v="6"/>
    <s v="Fuera SC"/>
    <m/>
    <s v="No"/>
    <s v="Si"/>
    <n v="28.5"/>
    <n v="11.002509576013736"/>
    <n v="70.533616411358949"/>
    <s v="Alto"/>
    <n v="0"/>
    <s v="Bajo"/>
    <n v="22938.715896999998"/>
    <n v="8686.8147599500007"/>
    <n v="12657"/>
    <n v="1.8123343522951725"/>
    <n v="0.68632493955518692"/>
    <m/>
    <m/>
    <m/>
    <m/>
    <m/>
    <m/>
    <m/>
    <n v="4"/>
    <n v="0"/>
    <n v="7"/>
    <n v="13702.735973999999"/>
    <n v="383.307909"/>
    <n v="2.7973093090846998E-2"/>
    <s v="0% - 30%"/>
    <n v="1.1151872015305862E-5"/>
    <s v="N.D."/>
    <s v="N.D."/>
    <s v="N.D."/>
    <n v="0.96106361798362627"/>
    <s v="Aceptable"/>
    <n v="3"/>
    <s v="Candidato"/>
    <n v="0"/>
    <n v="0"/>
  </r>
  <r>
    <n v="19290"/>
    <s v="19290"/>
    <x v="13"/>
    <x v="13"/>
    <s v="FLORENCIA"/>
    <n v="57.597466666666698"/>
    <n v="50.48"/>
    <n v="52.4"/>
    <n v="56.94"/>
    <n v="54.69910317456339"/>
    <n v="57.29921657464012"/>
    <n v="67.665242582612592"/>
    <n v="56.021000000000001"/>
    <n v="54.354366666666671"/>
    <n v="58.921140582954024"/>
    <n v="56.637753624810344"/>
    <n v="51.373571850936585"/>
    <n v="48.626428149063415"/>
    <n v="0.53763785334157077"/>
    <n v="0"/>
    <n v="30.450600276931802"/>
    <n v="3"/>
    <n v="3"/>
    <b v="1"/>
    <x v="4"/>
    <n v="56.913711239518385"/>
    <n v="0.55065523597384702"/>
    <n v="31.339833092744385"/>
    <n v="3"/>
    <n v="0"/>
    <n v="-0.27595761470804092"/>
    <n v="-1.3017382632276253E-2"/>
    <n v="-0.88923281581258351"/>
    <n v="3"/>
    <b v="1"/>
    <n v="0"/>
    <n v="0.81759069605862034"/>
    <n v="46.532120787597158"/>
    <n v="0.41144176973225366"/>
    <n v="3"/>
    <n v="0"/>
    <n v="41.144176973225363"/>
    <n v="4"/>
    <n v="-0.27995284271704957"/>
    <b v="0"/>
    <n v="0"/>
    <n v="3"/>
    <n v="0"/>
    <n v="0"/>
    <n v="0"/>
    <n v="0"/>
    <n v="0"/>
    <n v="1"/>
    <s v="Rural"/>
    <n v="6"/>
    <s v="Fuera SC"/>
    <m/>
    <s v="No"/>
    <s v="No"/>
    <n v="36.299999999999997"/>
    <n v="12.261741010021614"/>
    <n v="0"/>
    <s v="Sin riesgo"/>
    <n v="23.289819031207493"/>
    <s v="Muy Alto"/>
    <n v="17359.420893999999"/>
    <n v="2063.8396790000002"/>
    <n v="5213"/>
    <n v="3.3300251091502013"/>
    <n v="0.3959024897371955"/>
    <m/>
    <m/>
    <m/>
    <m/>
    <m/>
    <m/>
    <m/>
    <n v="69"/>
    <n v="0"/>
    <n v="7"/>
    <n v="5669.4893579999998"/>
    <n v="54.489770999999998"/>
    <n v="9.6110544635050008E-3"/>
    <s v="0% - 30%"/>
    <n v="1.5853128465849761E-6"/>
    <s v="N.D."/>
    <s v="N.D."/>
    <s v="N.D."/>
    <n v="0.92309972688403286"/>
    <s v="Aceptable"/>
    <n v="1"/>
    <s v="Candidato"/>
    <n v="0"/>
    <n v="0"/>
  </r>
  <r>
    <n v="15798"/>
    <s v="15798"/>
    <x v="10"/>
    <x v="10"/>
    <s v="TENZA"/>
    <n v="67.179766666666694"/>
    <n v="65.819999999999993"/>
    <n v="58.88"/>
    <n v="62.7"/>
    <n v="56.313302920976717"/>
    <n v="50.902396616334244"/>
    <n v="59.168479477347454"/>
    <n v="57.1526"/>
    <n v="63.644941666666668"/>
    <n v="55.884194753664609"/>
    <n v="59.764568210165635"/>
    <n v="51.775255478649761"/>
    <n v="48.224744521350239"/>
    <n v="0.53402270069215219"/>
    <n v="0"/>
    <n v="31.915636121292998"/>
    <n v="3"/>
    <n v="3"/>
    <b v="1"/>
    <x v="4"/>
    <n v="59.13836274434081"/>
    <n v="0.5514542967715842"/>
    <n v="32.612104239403315"/>
    <n v="3"/>
    <n v="0"/>
    <n v="0.62620546582482461"/>
    <n v="-1.743159607943201E-2"/>
    <n v="-0.69646811811031739"/>
    <n v="3"/>
    <b v="1"/>
    <n v="0"/>
    <n v="0.81759069605862034"/>
    <n v="48.350975159912785"/>
    <n v="0.43419372067669521"/>
    <n v="3"/>
    <n v="0"/>
    <n v="43.419372067669521"/>
    <n v="4"/>
    <n v="-0.28356799536646815"/>
    <b v="0"/>
    <n v="0"/>
    <n v="3"/>
    <n v="0"/>
    <n v="0"/>
    <n v="0"/>
    <n v="0"/>
    <n v="0"/>
    <n v="0"/>
    <s v="Intermedio"/>
    <n v="6"/>
    <s v="Fuera SC"/>
    <m/>
    <s v="No"/>
    <s v="No"/>
    <n v="41.1"/>
    <n v="9.3987157034442497"/>
    <n v="51.494441259743439"/>
    <s v="Alto"/>
    <n v="0"/>
    <s v="Bajo"/>
    <n v="10147.139213"/>
    <n v="2587.3326634999999"/>
    <n v="3673"/>
    <n v="2.7626297884563029"/>
    <n v="0.70441945643887827"/>
    <m/>
    <m/>
    <m/>
    <m/>
    <m/>
    <m/>
    <m/>
    <n v="98"/>
    <n v="0"/>
    <n v="7"/>
    <n v="4578.731272"/>
    <n v="3891.7831489999999"/>
    <n v="0.8499697662536243"/>
    <s v="71% - 100%"/>
    <n v="1.1322664252401853E-4"/>
    <s v="N.D."/>
    <s v="N.D."/>
    <s v="N.D."/>
    <n v="0.98653716330451457"/>
    <s v="Aceptable"/>
    <n v="2"/>
    <s v="Candidato"/>
    <n v="0"/>
    <n v="0"/>
  </r>
  <r>
    <n v="15804"/>
    <s v="15804"/>
    <x v="10"/>
    <x v="10"/>
    <s v="TIBANÁ"/>
    <n v="89.466899999999995"/>
    <n v="88.07"/>
    <n v="81.58"/>
    <n v="89.57"/>
    <n v="60.365080248301666"/>
    <n v="66.119096930664199"/>
    <n v="65.814478475929604"/>
    <n v="62.973599999999998"/>
    <n v="87.171724999999995"/>
    <n v="63.818063913723869"/>
    <n v="75.494894456861928"/>
    <n v="51.562104124832352"/>
    <n v="48.437895875167648"/>
    <n v="0.53594106287650889"/>
    <n v="0"/>
    <n v="40.460813976960438"/>
    <n v="2"/>
    <n v="2"/>
    <b v="1"/>
    <x v="3"/>
    <n v="74.789438353438385"/>
    <n v="0.54975078411948264"/>
    <n v="41.115552378658464"/>
    <n v="2"/>
    <n v="0"/>
    <n v="0.70545610342354337"/>
    <n v="-1.3809721242973749E-2"/>
    <n v="-0.654738401698026"/>
    <n v="2"/>
    <b v="1"/>
    <n v="0"/>
    <n v="0.81759069605862034"/>
    <n v="61.147148961220964"/>
    <n v="0.59426036649246627"/>
    <n v="2"/>
    <n v="0"/>
    <n v="59.426036649246626"/>
    <n v="3"/>
    <n v="-0.28164963318211145"/>
    <b v="0"/>
    <n v="0"/>
    <n v="2"/>
    <n v="0"/>
    <n v="0"/>
    <n v="0"/>
    <n v="0"/>
    <n v="0"/>
    <n v="0"/>
    <s v="Rural"/>
    <n v="6"/>
    <s v="Fuera SC"/>
    <m/>
    <s v="No"/>
    <s v="No"/>
    <n v="47"/>
    <n v="14.587791063561989"/>
    <n v="21.943947950131157"/>
    <s v="Medio"/>
    <n v="0"/>
    <s v="Bajo"/>
    <n v="23903.70998"/>
    <n v="3731.3155087"/>
    <n v="9107"/>
    <n v="2.6247622685846053"/>
    <n v="0.40971950243768529"/>
    <m/>
    <m/>
    <m/>
    <m/>
    <m/>
    <m/>
    <m/>
    <n v="0"/>
    <n v="0"/>
    <n v="7"/>
    <n v="12162.620639000001"/>
    <n v="3005.811287"/>
    <n v="0.2471351673472186"/>
    <s v="0% - 30%"/>
    <n v="8.7450381241118086E-5"/>
    <s v="N.D."/>
    <s v="N.D."/>
    <s v="N.D."/>
    <n v="0.98860212328667996"/>
    <s v="Aceptable"/>
    <n v="3"/>
    <s v="Candidato"/>
    <n v="0"/>
    <n v="0"/>
  </r>
  <r>
    <n v="70400"/>
    <s v="70400"/>
    <x v="9"/>
    <x v="9"/>
    <s v="LA UNIÓN"/>
    <n v="55.222833333333298"/>
    <n v="52.24"/>
    <n v="50.64"/>
    <n v="48.19"/>
    <n v="46.966054721641243"/>
    <n v="47.222376789203899"/>
    <n v="44.607707245743242"/>
    <n v="58.175699999999999"/>
    <n v="51.573208333333326"/>
    <n v="49.242959689147099"/>
    <n v="50.408084011240213"/>
    <n v="51.28028166143126"/>
    <n v="48.71971833856874"/>
    <n v="0.53847746504711869"/>
    <n v="0"/>
    <n v="27.143617296254824"/>
    <n v="4"/>
    <n v="4"/>
    <b v="1"/>
    <x v="5"/>
    <n v="49.263731491774521"/>
    <n v="0.54950829315609429"/>
    <n v="27.070829006545146"/>
    <n v="4"/>
    <n v="0"/>
    <n v="1.1443525194656914"/>
    <n v="-1.1030828108975599E-2"/>
    <n v="7.2788289709677656E-2"/>
    <n v="4"/>
    <b v="1"/>
    <n v="0"/>
    <n v="0.81759069605862034"/>
    <n v="40.277568520804905"/>
    <n v="0.33320391379421421"/>
    <n v="4"/>
    <n v="0"/>
    <n v="33.320391379421423"/>
    <n v="4"/>
    <n v="-0.27911323101150165"/>
    <b v="1"/>
    <n v="0"/>
    <n v="3"/>
    <n v="-1"/>
    <n v="0"/>
    <n v="0"/>
    <n v="0"/>
    <n v="0"/>
    <n v="0"/>
    <s v="Intermedio"/>
    <n v="6"/>
    <s v="Fuera SC"/>
    <m/>
    <s v="No"/>
    <s v="No"/>
    <n v="55.8"/>
    <n v="33.414422241529103"/>
    <n v="14.224137931034482"/>
    <s v="Medio"/>
    <n v="1.320996454397886"/>
    <s v="Medio Bajo"/>
    <n v="33402.448744000001"/>
    <n v="6941.0306909999999"/>
    <n v="13950"/>
    <n v="2.3944407701792114"/>
    <n v="0.49756492408602149"/>
    <m/>
    <m/>
    <m/>
    <m/>
    <m/>
    <m/>
    <m/>
    <n v="10"/>
    <n v="0"/>
    <n v="7"/>
    <n v="23219.007814000001"/>
    <n v="400.34350799999999"/>
    <n v="1.7242059230395328E-2"/>
    <s v="0% - 30%"/>
    <n v="1.1647501808721038E-5"/>
    <s v="N.D."/>
    <s v="N.D."/>
    <s v="N.D."/>
    <n v="0.84456174102013837"/>
    <s v="Crítico bajo"/>
    <n v="1"/>
    <s v="Candidato"/>
    <n v="0"/>
    <n v="0"/>
  </r>
  <r>
    <n v="25805"/>
    <s v="25805"/>
    <x v="5"/>
    <x v="5"/>
    <s v="TIBACUY"/>
    <n v="60.5583666666667"/>
    <n v="76.44"/>
    <n v="79.19"/>
    <n v="79.11"/>
    <n v="56.052523601873318"/>
    <n v="55.89711727113523"/>
    <n v="67.44708043154067"/>
    <n v="60.560899999999997"/>
    <n v="73.824591666666677"/>
    <n v="59.989405326137302"/>
    <n v="66.906998496401997"/>
    <n v="52.81027104321133"/>
    <n v="47.18972895678867"/>
    <n v="0.52470756061109802"/>
    <n v="0"/>
    <n v="35.106607968857496"/>
    <n v="3"/>
    <n v="3"/>
    <b v="1"/>
    <x v="4"/>
    <n v="64.745254352436859"/>
    <n v="0.54626147788943058"/>
    <n v="35.367838328889249"/>
    <n v="2"/>
    <n v="-1"/>
    <n v="2.1617441439651373"/>
    <n v="-2.1553917278332557E-2"/>
    <n v="-0.26123036003175315"/>
    <n v="2"/>
    <b v="0"/>
    <s v="Cambio en corte"/>
    <n v="0.81759069605862034"/>
    <n v="52.935117572501269"/>
    <n v="0.49153651011660116"/>
    <n v="2"/>
    <n v="-1"/>
    <n v="49.153651011660116"/>
    <n v="4"/>
    <n v="-0.29288313544752231"/>
    <b v="0"/>
    <s v="Cambio en corte"/>
    <n v="3"/>
    <n v="0"/>
    <n v="0"/>
    <n v="0"/>
    <n v="0"/>
    <n v="0"/>
    <n v="0"/>
    <s v="Rural"/>
    <n v="6"/>
    <s v="Fuera SC"/>
    <m/>
    <s v="No"/>
    <s v="No"/>
    <n v="27.4"/>
    <n v="11.13365457773269"/>
    <n v="0.18913766936173737"/>
    <s v="Sin riesgo"/>
    <n v="0.29496324921238742"/>
    <s v="Medio Bajo"/>
    <n v="11057.387562"/>
    <n v="3196.4105260000001"/>
    <n v="4276"/>
    <n v="2.5859185130963516"/>
    <n v="0.74752350935453693"/>
    <m/>
    <m/>
    <m/>
    <m/>
    <m/>
    <m/>
    <m/>
    <n v="78"/>
    <n v="0"/>
    <n v="7"/>
    <n v="8464.3816029999998"/>
    <n v="4061.925193"/>
    <n v="0.47988445978857414"/>
    <s v="31% - 50%"/>
    <n v="1.1817671596252549E-4"/>
    <s v="N.D."/>
    <s v="N.D."/>
    <s v="N.D."/>
    <n v="0.95340911945607343"/>
    <s v="Aceptable"/>
    <n v="3"/>
    <s v="Candidato"/>
    <n v="0"/>
    <n v="0"/>
  </r>
  <r>
    <n v="5313"/>
    <s v="05313"/>
    <x v="1"/>
    <x v="1"/>
    <s v="GRANADA"/>
    <n v="59.262666666666703"/>
    <n v="58.25"/>
    <n v="43.09"/>
    <n v="49.1"/>
    <n v="44.976003501868902"/>
    <n v="49.36069328531795"/>
    <n v="64.875376899592922"/>
    <n v="56.067599999999999"/>
    <n v="52.425666666666679"/>
    <n v="53.819918421694943"/>
    <n v="53.122792544180811"/>
    <n v="51.129054224276118"/>
    <n v="48.870945775723882"/>
    <n v="0.539838511981515"/>
    <n v="0"/>
    <n v="28.67772927935329"/>
    <n v="4"/>
    <n v="4"/>
    <b v="1"/>
    <x v="4"/>
    <n v="54.903875268295096"/>
    <n v="0.55335105798541318"/>
    <n v="30.381117467210252"/>
    <n v="3"/>
    <n v="0"/>
    <n v="-1.7810827241142846"/>
    <n v="-1.3512546003898174E-2"/>
    <n v="-1.7033881878569623"/>
    <n v="3"/>
    <b v="1"/>
    <n v="0"/>
    <n v="0.81759069605862034"/>
    <n v="44.888897596921055"/>
    <n v="0.39088677973740665"/>
    <n v="3"/>
    <n v="0"/>
    <n v="39.088677973740666"/>
    <n v="4"/>
    <n v="-0.27775218407710534"/>
    <b v="0"/>
    <n v="0"/>
    <n v="3"/>
    <n v="0"/>
    <n v="0"/>
    <n v="0"/>
    <n v="0"/>
    <n v="0"/>
    <n v="1"/>
    <s v="Intermedio"/>
    <n v="6"/>
    <s v="Fuera SC"/>
    <m/>
    <s v="No"/>
    <s v="Si"/>
    <n v="33.4"/>
    <n v="11.039878300554166"/>
    <n v="39.7409051666409"/>
    <s v="Alto"/>
    <n v="3.8198076281812527"/>
    <s v="Medio Bajo"/>
    <n v="26936.311977000001"/>
    <n v="4548.0284460000003"/>
    <n v="10463"/>
    <n v="2.5744348635190675"/>
    <n v="0.43467728624677437"/>
    <m/>
    <m/>
    <m/>
    <m/>
    <m/>
    <m/>
    <m/>
    <n v="84"/>
    <n v="0"/>
    <n v="6"/>
    <n v="19008.441934999999"/>
    <n v="2951.6676040000002"/>
    <n v="0.15528193284296135"/>
    <s v="0% - 30%"/>
    <n v="8.5875137399089028E-5"/>
    <s v="N.D."/>
    <s v="N.D."/>
    <s v="N.D."/>
    <n v="0.88266615124282533"/>
    <s v="Aceptable"/>
    <n v="1"/>
    <s v="Candidato"/>
    <n v="0"/>
    <n v="0"/>
  </r>
  <r>
    <n v="68522"/>
    <s v="68522"/>
    <x v="0"/>
    <x v="0"/>
    <s v="PALMAR"/>
    <n v="62.1083"/>
    <n v="51.73"/>
    <n v="58.87"/>
    <n v="78.02"/>
    <n v="51.384995159698406"/>
    <n v="51.267906733188418"/>
    <n v="56.817526651850301"/>
    <n v="55.985100000000003"/>
    <n v="62.682074999999998"/>
    <n v="53.863882136184287"/>
    <n v="58.272978568092142"/>
    <n v="50.867474001936266"/>
    <n v="49.132525998063734"/>
    <n v="0.54219273398257362"/>
    <n v="0"/>
    <n v="31.595185567141797"/>
    <n v="3"/>
    <n v="3"/>
    <b v="1"/>
    <x v="4"/>
    <n v="56.315839333116656"/>
    <n v="0.55178215011876242"/>
    <n v="31.074074912969881"/>
    <n v="3"/>
    <n v="0"/>
    <n v="1.9571392349754859"/>
    <n v="-9.5894161361887997E-3"/>
    <n v="0.52111065417191682"/>
    <n v="3"/>
    <b v="1"/>
    <n v="0"/>
    <n v="0.81759069605862034"/>
    <n v="46.043306279488277"/>
    <n v="0.40532721549487094"/>
    <n v="3"/>
    <n v="0"/>
    <n v="40.532721549487093"/>
    <n v="4"/>
    <n v="-0.27539796207604672"/>
    <b v="0"/>
    <n v="0"/>
    <n v="3"/>
    <n v="0"/>
    <n v="0"/>
    <n v="0"/>
    <n v="0"/>
    <n v="0"/>
    <n v="0"/>
    <s v="Intermedio"/>
    <n v="6"/>
    <s v="Fuera SC"/>
    <m/>
    <s v="No"/>
    <s v="No"/>
    <n v="32.5"/>
    <n v="14.228295819935692"/>
    <n v="13.154"/>
    <s v="Bajo"/>
    <n v="0"/>
    <s v="Bajo"/>
    <n v="7759.1267610000004"/>
    <n v="2690.4878554499996"/>
    <n v="1523"/>
    <n v="5.0946334609323705"/>
    <n v="1.7665711460604068"/>
    <m/>
    <m/>
    <m/>
    <m/>
    <m/>
    <m/>
    <m/>
    <n v="45"/>
    <n v="0"/>
    <n v="7"/>
    <n v="1965.9739890000001"/>
    <n v="1959.068096"/>
    <n v="0.99648729177565931"/>
    <s v="71% - 100%"/>
    <n v="5.6996675943519183E-5"/>
    <s v="N.D."/>
    <s v="N.D."/>
    <s v="N.D."/>
    <n v="0.91594158169394357"/>
    <s v="Aceptable"/>
    <n v="2"/>
    <s v="Candidato"/>
    <n v="0"/>
    <n v="0"/>
  </r>
  <r>
    <n v="17486"/>
    <s v="17486"/>
    <x v="11"/>
    <x v="11"/>
    <s v="NEIRA"/>
    <n v="78.736666666666693"/>
    <n v="68.08"/>
    <n v="69.37"/>
    <n v="68.09"/>
    <n v="53.533724826450864"/>
    <n v="52.699025818952038"/>
    <n v="66.750485583579874"/>
    <n v="56.545999999999999"/>
    <n v="71.069166666666675"/>
    <n v="57.382309057245692"/>
    <n v="64.22573786195619"/>
    <n v="51.490189415126572"/>
    <n v="48.509810584873428"/>
    <n v="0.53658829526386087"/>
    <n v="0"/>
    <n v="34.462779191410675"/>
    <n v="3"/>
    <n v="3"/>
    <b v="1"/>
    <x v="4"/>
    <n v="65.369378053740917"/>
    <n v="0.54870788421215289"/>
    <n v="35.86869312413252"/>
    <n v="2"/>
    <n v="-1"/>
    <n v="-1.1436401917847263"/>
    <n v="-1.2119588948292015E-2"/>
    <n v="-1.4059139327218446"/>
    <n v="3"/>
    <b v="1"/>
    <s v="Efecto ponderador"/>
    <n v="0.81759069605862034"/>
    <n v="53.445395303877135"/>
    <n v="0.49791954665268395"/>
    <n v="2"/>
    <n v="-1"/>
    <n v="49.791954665268392"/>
    <n v="4"/>
    <n v="-0.28100240079475947"/>
    <b v="0"/>
    <s v="Cambio en corte"/>
    <n v="2"/>
    <n v="-1"/>
    <n v="0"/>
    <n v="0"/>
    <n v="0"/>
    <n v="0"/>
    <n v="0"/>
    <s v="Intermedio"/>
    <n v="6"/>
    <s v="Fuera SC"/>
    <m/>
    <s v="No"/>
    <s v="No"/>
    <n v="31.3"/>
    <n v="11.775976418570377"/>
    <n v="16.346343724423793"/>
    <s v="Medio"/>
    <n v="0"/>
    <s v="Bajo"/>
    <n v="41964.622793000002"/>
    <n v="11082.708551899999"/>
    <n v="21568"/>
    <n v="1.9456891131769289"/>
    <n v="0.51384961757696579"/>
    <m/>
    <m/>
    <m/>
    <m/>
    <m/>
    <m/>
    <m/>
    <n v="19"/>
    <n v="0"/>
    <n v="7"/>
    <n v="36919.936568999998"/>
    <n v="5107.1601780000001"/>
    <n v="0.13833068668618059"/>
    <s v="0% - 30%"/>
    <n v="1.485865418621527E-4"/>
    <s v="N.D."/>
    <s v="N.D."/>
    <s v="N.D."/>
    <n v="0.98137360180834787"/>
    <s v="Aceptable"/>
    <n v="2"/>
    <s v="Candidato"/>
    <n v="0"/>
    <n v="0"/>
  </r>
  <r>
    <n v="5789"/>
    <s v="05789"/>
    <x v="1"/>
    <x v="1"/>
    <s v="TÁMESIS"/>
    <n v="44.079533333333302"/>
    <n v="44.1"/>
    <n v="46.34"/>
    <n v="48.82"/>
    <n v="39.595614153338964"/>
    <n v="36.338462350912835"/>
    <n v="45.124292699016607"/>
    <n v="48.251600000000003"/>
    <n v="45.834883333333323"/>
    <n v="42.327492300817106"/>
    <n v="44.081187817075218"/>
    <n v="50.990611551312206"/>
    <n v="49.009388448687794"/>
    <n v="0.5410844960381902"/>
    <n v="0"/>
    <n v="23.851647294766956"/>
    <n v="4"/>
    <n v="4"/>
    <b v="1"/>
    <x v="5"/>
    <n v="43.938954422107798"/>
    <n v="0.54973089416339493"/>
    <n v="24.154600703069978"/>
    <n v="4"/>
    <n v="0"/>
    <n v="0.14223339496741971"/>
    <n v="-8.6463981252047351E-3"/>
    <n v="-0.30295340830302209"/>
    <n v="4"/>
    <b v="1"/>
    <n v="0"/>
    <n v="0.81759069605862034"/>
    <n v="35.924080330059105"/>
    <n v="0.27874636553709303"/>
    <n v="4"/>
    <n v="0"/>
    <n v="27.874636553709305"/>
    <n v="4"/>
    <n v="-0.27650620002043014"/>
    <b v="1"/>
    <n v="0"/>
    <n v="3"/>
    <n v="-1"/>
    <n v="0"/>
    <n v="0"/>
    <n v="0"/>
    <n v="0"/>
    <n v="0"/>
    <s v="Intermedio"/>
    <n v="6"/>
    <s v="Fuera SC"/>
    <m/>
    <s v="No"/>
    <s v="Si"/>
    <n v="36.6"/>
    <n v="12.407182395031727"/>
    <n v="28.249033517221534"/>
    <s v="Medio"/>
    <n v="2.139903327580746"/>
    <s v="Medio Bajo"/>
    <n v="37403.373969"/>
    <n v="10470.7957379"/>
    <n v="16676"/>
    <n v="2.242946388162629"/>
    <n v="0.62789612244543058"/>
    <m/>
    <m/>
    <m/>
    <m/>
    <m/>
    <m/>
    <m/>
    <n v="65"/>
    <n v="0"/>
    <n v="6"/>
    <n v="25219.453600000001"/>
    <n v="11616.427315999999"/>
    <n v="0.46061375873742161"/>
    <s v="31% - 50%"/>
    <n v="3.3796566066455726E-4"/>
    <n v="34.409353000000003"/>
    <n v="1.3643972445144491E-3"/>
    <s v="0% - 30%"/>
    <n v="0.92218822989924987"/>
    <s v="Aceptable"/>
    <n v="1"/>
    <s v="Candidato"/>
    <n v="0"/>
    <n v="0"/>
  </r>
  <r>
    <n v="25489"/>
    <s v="25489"/>
    <x v="5"/>
    <x v="5"/>
    <s v="NIMAIMA"/>
    <n v="56.426733333333303"/>
    <n v="89.97"/>
    <n v="66.39"/>
    <n v="64.98"/>
    <n v="54.457438638606639"/>
    <n v="51.360221920274647"/>
    <n v="79.465488463115989"/>
    <n v="54.684600000000003"/>
    <n v="69.44168333333333"/>
    <n v="59.991937255499323"/>
    <n v="64.716810294416319"/>
    <n v="52.675349027904893"/>
    <n v="47.324650972095107"/>
    <n v="0.525921858748856"/>
    <n v="0"/>
    <n v="34.03598516233653"/>
    <n v="3"/>
    <n v="3"/>
    <b v="1"/>
    <x v="4"/>
    <n v="64.321459716325933"/>
    <n v="0.54544159061682984"/>
    <n v="35.08359929846916"/>
    <n v="2"/>
    <n v="-1"/>
    <n v="0.39535057809038676"/>
    <n v="-1.9519731867973844E-2"/>
    <n v="-1.0476141361326299"/>
    <n v="3"/>
    <b v="1"/>
    <s v="Efecto ponderador"/>
    <n v="0.81759069605862034"/>
    <n v="52.588627020977427"/>
    <n v="0.48720227855250592"/>
    <n v="2"/>
    <n v="-1"/>
    <n v="48.720227855250592"/>
    <n v="4"/>
    <n v="-0.29166883730976434"/>
    <b v="0"/>
    <s v="Cambio en corte"/>
    <n v="3"/>
    <n v="0"/>
    <n v="0"/>
    <n v="0"/>
    <n v="0"/>
    <n v="0"/>
    <n v="0"/>
    <s v="Rural"/>
    <n v="6"/>
    <s v="Fuera SC"/>
    <m/>
    <s v="No"/>
    <s v="No"/>
    <n v="30.2"/>
    <n v="12.912716574043806"/>
    <n v="2.3003715711787041"/>
    <s v="Sin riesgo"/>
    <n v="0"/>
    <s v="Bajo"/>
    <n v="13855.652222999999"/>
    <n v="4195.1822618000006"/>
    <n v="3674"/>
    <n v="3.7712716992378876"/>
    <n v="1.1418569030484487"/>
    <m/>
    <m/>
    <m/>
    <m/>
    <m/>
    <m/>
    <m/>
    <n v="37"/>
    <n v="0"/>
    <n v="7"/>
    <n v="5943.884376"/>
    <n v="2330.8560969999999"/>
    <n v="0.39214357977948661"/>
    <s v="31% - 50%"/>
    <n v="6.7813390408908431E-5"/>
    <s v="N.D."/>
    <s v="N.D."/>
    <s v="N.D."/>
    <n v="0.89852393665787833"/>
    <s v="Aceptable"/>
    <n v="2"/>
    <s v="Candidato"/>
    <n v="0"/>
    <n v="0"/>
  </r>
  <r>
    <n v="70230"/>
    <s v="70230"/>
    <x v="9"/>
    <x v="9"/>
    <s v="CHALÁN"/>
    <n v="48.455233333333297"/>
    <n v="39.67"/>
    <n v="36.22"/>
    <n v="48.17"/>
    <n v="35.209759363721517"/>
    <n v="44.423335370272916"/>
    <n v="11.689919913904419"/>
    <n v="39.8367"/>
    <n v="43.128808333333325"/>
    <n v="32.789928661974713"/>
    <n v="37.959368497654019"/>
    <n v="51.277535733083738"/>
    <n v="48.722464266916262"/>
    <n v="0.53850217840224635"/>
    <n v="0"/>
    <n v="20.441202626760294"/>
    <n v="5"/>
    <n v="5"/>
    <b v="1"/>
    <x v="6"/>
    <n v="38.016785475116293"/>
    <n v="0.54711281479786744"/>
    <n v="20.799470510857557"/>
    <n v="4"/>
    <n v="-1"/>
    <n v="-5.7416977462274588E-2"/>
    <n v="-8.6106363956210963E-3"/>
    <n v="-0.35826788409726262"/>
    <n v="4"/>
    <b v="0"/>
    <s v="Cambio en corte"/>
    <n v="0.81759069605862034"/>
    <n v="31.082170098511579"/>
    <n v="0.21817917239490203"/>
    <n v="4"/>
    <n v="-1"/>
    <n v="21.817917239490203"/>
    <n v="4"/>
    <n v="-0.27908851765637399"/>
    <b v="0"/>
    <s v="Cambio en corte"/>
    <n v="4"/>
    <n v="-1"/>
    <n v="0"/>
    <n v="0"/>
    <n v="0"/>
    <n v="1"/>
    <n v="1"/>
    <s v="Intermedio"/>
    <n v="6"/>
    <s v="Fuera SC"/>
    <m/>
    <s v="No"/>
    <s v="No"/>
    <n v="73.900000000000006"/>
    <n v="60.271186440677965"/>
    <n v="45.454545454545453"/>
    <s v="Alto"/>
    <n v="100"/>
    <s v="Muy Alto"/>
    <n v="24513.185507999999"/>
    <n v="5615.326478"/>
    <n v="4847"/>
    <n v="5.0573933377346814"/>
    <n v="1.1585158815762326"/>
    <m/>
    <m/>
    <m/>
    <m/>
    <m/>
    <m/>
    <m/>
    <n v="12"/>
    <n v="0"/>
    <n v="7"/>
    <n v="8367.1590579999993"/>
    <n v="4097.8337789999996"/>
    <n v="0.4897521070884846"/>
    <s v="31% - 50%"/>
    <n v="1.1922143209261348E-4"/>
    <s v="N.D."/>
    <s v="N.D."/>
    <s v="N.D."/>
    <n v="0.94697039898285973"/>
    <s v="Aceptable"/>
    <n v="1"/>
    <s v="Candidato"/>
    <n v="0"/>
    <n v="0"/>
  </r>
  <r>
    <n v="23168"/>
    <s v="23168"/>
    <x v="14"/>
    <x v="14"/>
    <s v="CHIMÁ"/>
    <n v="66.215299999999999"/>
    <n v="56.58"/>
    <n v="55.5"/>
    <n v="50.18"/>
    <n v="45.597738320558975"/>
    <n v="46.388143941781969"/>
    <n v="39.639659265840812"/>
    <n v="42.061900000000001"/>
    <n v="57.118825000000001"/>
    <n v="43.421860382045438"/>
    <n v="50.270342691022719"/>
    <n v="51.110693659912123"/>
    <n v="48.889306340087877"/>
    <n v="0.54000375706079096"/>
    <n v="0"/>
    <n v="27.14617392188574"/>
    <n v="4"/>
    <n v="4"/>
    <b v="1"/>
    <x v="5"/>
    <n v="52.718166906054236"/>
    <n v="0.54723984400379821"/>
    <n v="28.849481433835319"/>
    <n v="3"/>
    <n v="-1"/>
    <n v="-2.4478242150315168"/>
    <n v="-7.2360869430072583E-3"/>
    <n v="-1.7033075119495784"/>
    <n v="4"/>
    <b v="1"/>
    <s v="Efecto ponderador"/>
    <n v="0.81759069605862034"/>
    <n v="43.101882775655405"/>
    <n v="0.36853310801454991"/>
    <n v="3"/>
    <n v="-1"/>
    <n v="36.853310801454988"/>
    <n v="4"/>
    <n v="-0.27758693899782938"/>
    <b v="1"/>
    <s v="Efecto ponderador"/>
    <n v="3"/>
    <n v="-1"/>
    <n v="0"/>
    <n v="0"/>
    <n v="0"/>
    <n v="0"/>
    <n v="0"/>
    <s v="Rural"/>
    <n v="6"/>
    <s v="Fuera SC"/>
    <m/>
    <s v="No"/>
    <s v="No"/>
    <n v="57.8"/>
    <n v="37.911354876964126"/>
    <n v="0"/>
    <s v="Sin riesgo"/>
    <n v="1.7155883061535089"/>
    <s v="Medio Bajo"/>
    <n v="32471.496191999999"/>
    <n v="5431.8511390000003"/>
    <n v="19407"/>
    <n v="1.6731847370536403"/>
    <n v="0.27989133503375074"/>
    <m/>
    <m/>
    <m/>
    <m/>
    <m/>
    <m/>
    <m/>
    <n v="10"/>
    <n v="0"/>
    <n v="7"/>
    <n v="32405.822504"/>
    <n v="19714.002657000001"/>
    <n v="0.60834754786941792"/>
    <s v="51% - 70%"/>
    <n v="5.7355465248243483E-4"/>
    <n v="239.02599000000001"/>
    <n v="7.3760198486088708E-3"/>
    <s v="0% - 30%"/>
    <n v="0.46530326525327215"/>
    <s v="Crítico Alto"/>
    <n v="0"/>
    <s v="Candidato"/>
    <n v="0"/>
    <n v="0"/>
  </r>
  <r>
    <n v="44035"/>
    <s v="44035"/>
    <x v="21"/>
    <x v="21"/>
    <s v="ALBANIA"/>
    <n v="49.923366666666702"/>
    <n v="75.25"/>
    <n v="63.46"/>
    <n v="52.02"/>
    <n v="57.437277383138508"/>
    <n v="50.268709739568507"/>
    <n v="59.161368947042178"/>
    <n v="64.726900000000001"/>
    <n v="60.163341666666682"/>
    <n v="57.898564017437295"/>
    <n v="59.030952842051988"/>
    <n v="52.140876127085455"/>
    <n v="47.859123872914545"/>
    <n v="0.53073211485623095"/>
    <n v="0"/>
    <n v="31.329622443840687"/>
    <n v="3"/>
    <n v="3"/>
    <b v="1"/>
    <x v="4"/>
    <n v="59.212012979757276"/>
    <n v="0.54747558822869247"/>
    <n v="32.41713163629759"/>
    <n v="3"/>
    <n v="0"/>
    <n v="-0.18106013770528762"/>
    <n v="-1.6743473372461515E-2"/>
    <n v="-1.0875091924569027"/>
    <n v="3"/>
    <b v="1"/>
    <n v="0"/>
    <n v="0.81759069605862034"/>
    <n v="48.411190907151813"/>
    <n v="0.43494695620127494"/>
    <n v="3"/>
    <n v="0"/>
    <n v="43.494695620127494"/>
    <n v="4"/>
    <n v="-0.28685858120238938"/>
    <b v="0"/>
    <n v="0"/>
    <n v="3"/>
    <n v="0"/>
    <n v="0"/>
    <n v="0"/>
    <n v="0"/>
    <n v="0"/>
    <n v="0"/>
    <s v="Intermedio"/>
    <n v="5"/>
    <s v="Fuera SC"/>
    <m/>
    <s v="No"/>
    <s v="No"/>
    <n v="49.8"/>
    <n v="38.140410169751902"/>
    <n v="20.842865805704704"/>
    <s v="Medio"/>
    <n v="1.3378953015796093"/>
    <s v="Medio Bajo"/>
    <n v="179633.23964399999"/>
    <n v="29121.592844999999"/>
    <n v="35960"/>
    <n v="4.9953626152391539"/>
    <n v="0.80983294897107894"/>
    <m/>
    <m/>
    <m/>
    <m/>
    <m/>
    <m/>
    <m/>
    <n v="76"/>
    <n v="0"/>
    <n v="7"/>
    <n v="54411.803543000002"/>
    <n v="16809.175087"/>
    <n v="0.30892515947787352"/>
    <s v="31% - 50%"/>
    <n v="4.8904226824365317E-4"/>
    <n v="11950.97155"/>
    <n v="0.21963932036466149"/>
    <s v="0% - 30%"/>
    <n v="0.8606558925383927"/>
    <s v="Aceptable"/>
    <n v="2"/>
    <s v="Candidato"/>
    <n v="1"/>
    <s v="Municipio Limítrofe"/>
  </r>
  <r>
    <n v="70508"/>
    <s v="70508"/>
    <x v="9"/>
    <x v="9"/>
    <s v="OVEJAS"/>
    <n v="56.926933333333302"/>
    <n v="58.5"/>
    <n v="68.709999999999994"/>
    <n v="69.55"/>
    <n v="61.567347623518572"/>
    <n v="63.557946490340996"/>
    <n v="60.006836808914237"/>
    <n v="55.406599999999997"/>
    <n v="63.421733333333322"/>
    <n v="60.134682730693449"/>
    <n v="61.778208032013382"/>
    <n v="51.221049446258924"/>
    <n v="48.778950553741076"/>
    <n v="0.53901055498366968"/>
    <n v="0"/>
    <n v="33.299106197232135"/>
    <n v="3"/>
    <n v="3"/>
    <b v="1"/>
    <x v="4"/>
    <n v="60.945557650679731"/>
    <n v="0.54676064074739783"/>
    <n v="33.322632151793123"/>
    <n v="3"/>
    <n v="0"/>
    <n v="0.8326503813336501"/>
    <n v="-7.7500857637281539E-3"/>
    <n v="-2.3525954560987827E-2"/>
    <n v="3"/>
    <b v="1"/>
    <n v="0"/>
    <n v="0.81759069605862034"/>
    <n v="49.828520901300017"/>
    <n v="0.45267626042143144"/>
    <n v="3"/>
    <n v="0"/>
    <n v="45.267626042143142"/>
    <n v="4"/>
    <n v="-0.27858014107495066"/>
    <b v="0"/>
    <n v="0"/>
    <n v="3"/>
    <n v="0"/>
    <n v="0"/>
    <n v="0"/>
    <n v="0"/>
    <n v="1"/>
    <n v="1"/>
    <s v="Intermedio"/>
    <n v="6"/>
    <s v="Fuera SC"/>
    <m/>
    <s v="No"/>
    <s v="Si"/>
    <n v="51.5"/>
    <n v="29.275375268048606"/>
    <n v="10.15625"/>
    <s v="Bajo"/>
    <n v="8.1466259564923931"/>
    <s v="Medio"/>
    <n v="70935.988557999997"/>
    <n v="13387.4967215"/>
    <n v="24462"/>
    <n v="2.8998441892731583"/>
    <n v="0.54727727583599051"/>
    <m/>
    <m/>
    <m/>
    <m/>
    <m/>
    <m/>
    <m/>
    <n v="12"/>
    <n v="0"/>
    <n v="7"/>
    <n v="45979.976970000003"/>
    <n v="3189.3596649999999"/>
    <n v="6.9364098791979009E-2"/>
    <s v="0% - 30%"/>
    <n v="9.2790495473076139E-5"/>
    <s v="N.D."/>
    <s v="N.D."/>
    <s v="N.D."/>
    <n v="0.93276384714291627"/>
    <s v="Aceptable"/>
    <n v="2"/>
    <s v="Candidato"/>
    <n v="0"/>
    <n v="0"/>
  </r>
  <r>
    <n v="17272"/>
    <s v="17272"/>
    <x v="11"/>
    <x v="11"/>
    <s v="FILADELFIA"/>
    <n v="53.050633333333302"/>
    <n v="66.17"/>
    <n v="62.34"/>
    <n v="61.45"/>
    <n v="55.636816348854964"/>
    <n v="49.29769766661574"/>
    <n v="63.425714183841045"/>
    <n v="63.515300000000003"/>
    <n v="60.752658333333329"/>
    <n v="57.96888204982794"/>
    <n v="59.360770191580635"/>
    <n v="51.755455797842032"/>
    <n v="48.244544202157968"/>
    <n v="0.53420089781942171"/>
    <n v="0"/>
    <n v="31.710576731594742"/>
    <n v="3"/>
    <n v="3"/>
    <b v="1"/>
    <x v="4"/>
    <n v="57.561379225529301"/>
    <n v="0.5481231747581542"/>
    <n v="31.550725924555184"/>
    <n v="3"/>
    <n v="0"/>
    <n v="1.7993909660513339"/>
    <n v="-1.3922276938732492E-2"/>
    <n v="0.15985080703955745"/>
    <n v="3"/>
    <b v="1"/>
    <n v="0"/>
    <n v="0.81759069605862034"/>
    <n v="47.061648107094712"/>
    <n v="0.41806559832476031"/>
    <n v="3"/>
    <n v="0"/>
    <n v="41.806559832476033"/>
    <n v="4"/>
    <n v="-0.28338979823919863"/>
    <b v="0"/>
    <n v="0"/>
    <n v="3"/>
    <n v="0"/>
    <n v="0"/>
    <n v="0"/>
    <n v="0"/>
    <n v="0"/>
    <n v="0"/>
    <s v="Intermedio"/>
    <n v="6"/>
    <s v="Fuera SC"/>
    <m/>
    <s v="No"/>
    <s v="Si"/>
    <n v="36.200000000000003"/>
    <n v="10.849890772911682"/>
    <n v="43.258890687569227"/>
    <s v="Alto"/>
    <n v="0.14249896639192189"/>
    <s v="Bajo"/>
    <n v="28559.865822"/>
    <n v="4753.0256870000003"/>
    <n v="11182"/>
    <n v="2.5540928118404578"/>
    <n v="0.42506042631014135"/>
    <m/>
    <m/>
    <m/>
    <m/>
    <m/>
    <m/>
    <m/>
    <n v="19"/>
    <n v="0"/>
    <n v="7"/>
    <n v="19256.029989999999"/>
    <n v="56.454352"/>
    <n v="2.9317752428365427E-3"/>
    <s v="0% - 30%"/>
    <n v="1.6424699136876577E-6"/>
    <s v="N.D."/>
    <s v="N.D."/>
    <s v="N.D."/>
    <n v="0.90418391199426673"/>
    <s v="Aceptable"/>
    <n v="3"/>
    <s v="Candidato"/>
    <n v="0"/>
    <n v="0"/>
  </r>
  <r>
    <n v="5347"/>
    <s v="05347"/>
    <x v="1"/>
    <x v="1"/>
    <s v="HELICONIA"/>
    <n v="69.092566666666698"/>
    <n v="66.239999999999995"/>
    <n v="48.2"/>
    <n v="52.86"/>
    <n v="47.172344011215124"/>
    <n v="40.22999398927103"/>
    <n v="49.727017493105819"/>
    <n v="48.925600000000003"/>
    <n v="59.098141666666677"/>
    <n v="46.51373887339799"/>
    <n v="52.805940270032337"/>
    <n v="51.429887481543233"/>
    <n v="48.570112518456767"/>
    <n v="0.53713101266611085"/>
    <n v="0"/>
    <n v="28.363708172028634"/>
    <n v="4"/>
    <n v="4"/>
    <b v="1"/>
    <x v="4"/>
    <n v="54.29485350209815"/>
    <n v="0.54708537276870217"/>
    <n v="29.70392016761744"/>
    <n v="3"/>
    <n v="0"/>
    <n v="-1.4889132320658121"/>
    <n v="-9.9543601025913198E-3"/>
    <n v="-1.3402119955888061"/>
    <n v="3"/>
    <b v="1"/>
    <n v="0"/>
    <n v="0.81759069605862034"/>
    <n v="44.390967067181244"/>
    <n v="0.38465819367861354"/>
    <n v="3"/>
    <n v="0"/>
    <n v="38.465819367861357"/>
    <n v="4"/>
    <n v="-0.28045968339250948"/>
    <b v="0"/>
    <n v="0"/>
    <n v="3"/>
    <n v="0"/>
    <n v="0"/>
    <n v="0"/>
    <n v="0"/>
    <n v="0"/>
    <n v="0"/>
    <s v="Rural"/>
    <n v="6"/>
    <s v="Fuera SC"/>
    <m/>
    <s v="No"/>
    <s v="Si"/>
    <n v="37.5"/>
    <n v="12.423019749416012"/>
    <n v="46.923500551049251"/>
    <s v="Alto"/>
    <n v="4.457781793726503"/>
    <s v="Medio Bajo"/>
    <n v="14168.793129"/>
    <n v="3322.4207299999998"/>
    <n v="5126"/>
    <n v="2.7641032245415529"/>
    <n v="0.64815074717128363"/>
    <m/>
    <m/>
    <m/>
    <m/>
    <m/>
    <m/>
    <m/>
    <n v="90"/>
    <n v="0"/>
    <n v="7"/>
    <n v="11483.091622"/>
    <n v="4720.5910940000003"/>
    <n v="0.41109060603121961"/>
    <s v="31% - 50%"/>
    <n v="1.3733978997255882E-4"/>
    <s v="N.D."/>
    <s v="N.D."/>
    <s v="N.D."/>
    <n v="0.88405625522576003"/>
    <s v="Aceptable"/>
    <n v="1"/>
    <s v="Candidato"/>
    <n v="0"/>
    <n v="0"/>
  </r>
  <r>
    <n v="76403"/>
    <s v="76403"/>
    <x v="3"/>
    <x v="3"/>
    <s v="LA VICTORIA"/>
    <n v="53.848999999999997"/>
    <n v="68.91"/>
    <n v="61.99"/>
    <n v="53.74"/>
    <n v="58.940505152130719"/>
    <n v="61.39404450842548"/>
    <n v="53.641467933973949"/>
    <n v="56.565600000000003"/>
    <n v="59.622250000000001"/>
    <n v="57.635404398632545"/>
    <n v="58.628827199316277"/>
    <n v="51.787239568557908"/>
    <n v="48.212760431442092"/>
    <n v="0.53391484388297883"/>
    <n v="0"/>
    <n v="31.302801121165093"/>
    <n v="3"/>
    <n v="3"/>
    <b v="1"/>
    <x v="4"/>
    <n v="58.327949945230607"/>
    <n v="0.54605232888271282"/>
    <n v="31.850112906547476"/>
    <n v="3"/>
    <n v="0"/>
    <n v="0.30087725408566968"/>
    <n v="-1.2137484999733994E-2"/>
    <n v="-0.54731178538238368"/>
    <n v="3"/>
    <b v="1"/>
    <n v="0"/>
    <n v="0.81759069605862034"/>
    <n v="47.688389195393455"/>
    <n v="0.42590546869199852"/>
    <n v="3"/>
    <n v="0"/>
    <n v="42.590546869199855"/>
    <n v="4"/>
    <n v="-0.28367585217564151"/>
    <b v="0"/>
    <n v="0"/>
    <n v="3"/>
    <n v="0"/>
    <n v="0"/>
    <n v="0"/>
    <n v="0"/>
    <n v="0"/>
    <n v="0"/>
    <s v="Rural"/>
    <n v="6"/>
    <s v="Fuera SC"/>
    <m/>
    <s v="No"/>
    <s v="No"/>
    <n v="22.9"/>
    <n v="8.3740720622849896"/>
    <n v="12.258981281497482"/>
    <s v="Bajo"/>
    <n v="2.2389108660963521"/>
    <s v="Medio Bajo"/>
    <n v="25282.068026000001"/>
    <n v="7774.2282493999992"/>
    <n v="12681"/>
    <n v="1.9936967136661148"/>
    <n v="0.61306113472123647"/>
    <m/>
    <m/>
    <m/>
    <m/>
    <m/>
    <m/>
    <m/>
    <n v="91"/>
    <n v="0"/>
    <n v="7"/>
    <n v="26471.875314000001"/>
    <n v="4179.6628069999997"/>
    <n v="0.15789069559380745"/>
    <s v="0% - 30%"/>
    <n v="1.2160214698517491E-4"/>
    <s v="N.D."/>
    <s v="N.D."/>
    <s v="N.D."/>
    <n v="0.94779899160005288"/>
    <s v="Aceptable"/>
    <n v="1"/>
    <s v="Candidato"/>
    <n v="0"/>
    <n v="0"/>
  </r>
  <r>
    <n v="47675"/>
    <s v="47675"/>
    <x v="17"/>
    <x v="17"/>
    <s v="SALAMINA"/>
    <n v="51.285766666666703"/>
    <n v="44.14"/>
    <n v="48.29"/>
    <n v="37.49"/>
    <n v="49.473656983061893"/>
    <n v="48.610917583985092"/>
    <n v="45.628235315699754"/>
    <n v="55.695799999999998"/>
    <n v="45.301441666666676"/>
    <n v="49.852152470686683"/>
    <n v="47.576797068676683"/>
    <n v="50.840061222380541"/>
    <n v="49.159938777619459"/>
    <n v="0.54243944899857521"/>
    <n v="0"/>
    <n v="25.807531587050008"/>
    <n v="4"/>
    <n v="4"/>
    <b v="1"/>
    <x v="5"/>
    <n v="47.139118438082839"/>
    <n v="0.54623367116299903"/>
    <n v="25.748973719821407"/>
    <n v="4"/>
    <n v="0"/>
    <n v="0.43767863059384382"/>
    <n v="-3.7942221644238217E-3"/>
    <n v="5.8557867228600458E-2"/>
    <n v="4"/>
    <b v="1"/>
    <n v="0"/>
    <n v="0.81759069605862034"/>
    <n v="38.540504655381895"/>
    <n v="0.31147507587567841"/>
    <n v="4"/>
    <n v="0"/>
    <n v="31.147507587567841"/>
    <n v="4"/>
    <n v="-0.27515124706004512"/>
    <b v="1"/>
    <n v="0"/>
    <n v="4"/>
    <n v="0"/>
    <n v="0"/>
    <n v="0"/>
    <n v="0"/>
    <n v="0"/>
    <n v="0"/>
    <s v="Intermedio"/>
    <n v="6"/>
    <s v="Fuera SC"/>
    <m/>
    <s v="No"/>
    <s v="Si"/>
    <n v="44.3"/>
    <n v="26.677350427350426"/>
    <n v="2.34375"/>
    <s v="Sin riesgo"/>
    <n v="2.855385436116225"/>
    <s v="Medio Bajo"/>
    <n v="25834.628000000001"/>
    <n v="5553.8306060000004"/>
    <n v="12611"/>
    <n v="2.0485788597256365"/>
    <n v="0.44039573435889307"/>
    <m/>
    <m/>
    <m/>
    <m/>
    <m/>
    <m/>
    <m/>
    <n v="74"/>
    <n v="0"/>
    <n v="7"/>
    <n v="17016.413806"/>
    <n v="17016.413801999999"/>
    <n v="0.99999999976493281"/>
    <s v="71% - 100%"/>
    <n v="4.9507162368358083E-4"/>
    <s v="N.D."/>
    <s v="N.D."/>
    <s v="N.D."/>
    <n v="0.89051146986905483"/>
    <s v="Aceptable"/>
    <n v="1"/>
    <s v="Candidato"/>
    <n v="0"/>
    <n v="0"/>
  </r>
  <r>
    <n v="23555"/>
    <s v="23555"/>
    <x v="14"/>
    <x v="14"/>
    <s v="PLANETA RICA"/>
    <n v="52.491700000000002"/>
    <n v="35.380000000000003"/>
    <n v="38.020000000000003"/>
    <n v="37.75"/>
    <n v="51.311838915763275"/>
    <n v="55.173390929719972"/>
    <n v="69.730559515545593"/>
    <n v="50.132800000000003"/>
    <n v="40.910425000000004"/>
    <n v="56.587147340257211"/>
    <n v="48.748786170128611"/>
    <n v="51.4538018200981"/>
    <n v="48.5461981799019"/>
    <n v="0.53691578361911707"/>
    <n v="0"/>
    <n v="26.173992727015381"/>
    <n v="4"/>
    <n v="4"/>
    <b v="1"/>
    <x v="5"/>
    <n v="50.664944724788839"/>
    <n v="0.54606313919682725"/>
    <n v="27.666258763651925"/>
    <n v="4"/>
    <n v="0"/>
    <n v="-1.9161585546602282"/>
    <n v="-9.1473555777101812E-3"/>
    <n v="-1.4922660366365434"/>
    <n v="4"/>
    <b v="1"/>
    <n v="0"/>
    <n v="0.81759069605862034"/>
    <n v="41.423187423311632"/>
    <n v="0.34753439866842323"/>
    <n v="4"/>
    <n v="0"/>
    <n v="34.753439866842321"/>
    <n v="4"/>
    <n v="-0.28067491243950327"/>
    <b v="1"/>
    <n v="0"/>
    <n v="3"/>
    <n v="-1"/>
    <n v="0"/>
    <n v="0"/>
    <n v="0"/>
    <n v="0"/>
    <n v="0"/>
    <s v="Intermedio"/>
    <n v="6"/>
    <s v="Fuera SC"/>
    <m/>
    <s v="No"/>
    <s v="Si"/>
    <n v="43"/>
    <n v="33.104821976927546"/>
    <n v="0"/>
    <s v="Sin riesgo"/>
    <n v="4.8414561449638516"/>
    <s v="Medio Bajo"/>
    <n v="155954.45482000001"/>
    <n v="26261.007838000001"/>
    <n v="66459"/>
    <n v="2.3466265640470065"/>
    <n v="0.39514599735175071"/>
    <m/>
    <m/>
    <m/>
    <m/>
    <m/>
    <m/>
    <m/>
    <n v="56"/>
    <n v="0"/>
    <n v="6"/>
    <n v="114009.893385"/>
    <n v="8436.2673940000004"/>
    <n v="7.3995923893302576E-2"/>
    <s v="0% - 30%"/>
    <n v="2.4544282039530243E-4"/>
    <n v="27.232220999999999"/>
    <n v="2.3885840247248993E-4"/>
    <n v="0"/>
    <n v="0.92144185324850603"/>
    <s v="Aceptable"/>
    <n v="1"/>
    <s v="Candidato"/>
    <n v="0"/>
    <n v="0"/>
  </r>
  <r>
    <n v="73148"/>
    <s v="73148"/>
    <x v="15"/>
    <x v="15"/>
    <s v="CARMEN DE APICALÁ"/>
    <n v="65.327399999999997"/>
    <n v="63.34"/>
    <n v="61.52"/>
    <n v="66.86"/>
    <n v="52.027079165964906"/>
    <n v="56.752522164409385"/>
    <n v="71.999604360460793"/>
    <n v="64.008499999999998"/>
    <n v="64.261849999999995"/>
    <n v="61.196926422708771"/>
    <n v="62.729388211354383"/>
    <n v="51.651014573972823"/>
    <n v="48.348985426027177"/>
    <n v="0.53514086883424461"/>
    <n v="0"/>
    <n v="33.569059308864809"/>
    <n v="3"/>
    <n v="3"/>
    <b v="1"/>
    <x v="4"/>
    <n v="61.362821717159242"/>
    <n v="0.54628241260198407"/>
    <n v="33.521430291715177"/>
    <n v="3"/>
    <n v="0"/>
    <n v="1.3665664941951405"/>
    <n v="-1.1141543767739459E-2"/>
    <n v="4.7629017149631636E-2"/>
    <n v="3"/>
    <b v="1"/>
    <n v="0"/>
    <n v="0.81759069605862034"/>
    <n v="50.169672119853253"/>
    <n v="0.45694370255825184"/>
    <n v="3"/>
    <n v="0"/>
    <n v="45.694370255825184"/>
    <n v="4"/>
    <n v="-0.28244982722437573"/>
    <b v="0"/>
    <n v="0"/>
    <n v="3"/>
    <n v="0"/>
    <n v="0"/>
    <n v="0"/>
    <n v="0"/>
    <n v="0"/>
    <n v="0"/>
    <s v="Intermedio"/>
    <n v="6"/>
    <s v="Fuera SC"/>
    <m/>
    <s v="No"/>
    <s v="Si"/>
    <n v="20.7"/>
    <n v="8.5500312044934468"/>
    <n v="5.0344292807659157"/>
    <s v="Bajo"/>
    <n v="1.5774115791815746"/>
    <s v="Medio Bajo"/>
    <n v="30134.947625000001"/>
    <n v="14629.25455"/>
    <n v="10895"/>
    <n v="2.7659428751720974"/>
    <n v="1.3427493850390086"/>
    <m/>
    <m/>
    <m/>
    <m/>
    <m/>
    <m/>
    <m/>
    <n v="6"/>
    <n v="0"/>
    <n v="7"/>
    <n v="19068.323594000001"/>
    <n v="5113.1525160000001"/>
    <n v="0.26814903212618513"/>
    <s v="0% - 30%"/>
    <n v="1.4876088156368087E-4"/>
    <s v="N.D."/>
    <s v="N.D."/>
    <s v="N.D."/>
    <n v="0.92199345973771374"/>
    <s v="Aceptable"/>
    <n v="3"/>
    <s v="Candidato"/>
    <n v="0"/>
    <n v="0"/>
  </r>
  <r>
    <n v="25592"/>
    <s v="25592"/>
    <x v="5"/>
    <x v="5"/>
    <s v="QUEBRADANEGRA"/>
    <n v="66.773666666666699"/>
    <n v="64.95"/>
    <n v="54.39"/>
    <n v="81.22"/>
    <n v="48.648585249062023"/>
    <n v="52.300289720731939"/>
    <n v="64.287240134955084"/>
    <n v="49.411099999999998"/>
    <n v="66.833416666666665"/>
    <n v="53.661803776187263"/>
    <n v="60.247610221426967"/>
    <n v="52.546039889222627"/>
    <n v="47.453960110777373"/>
    <n v="0.5270856409969964"/>
    <n v="0"/>
    <n v="31.755650252098025"/>
    <n v="3"/>
    <n v="3"/>
    <b v="1"/>
    <x v="4"/>
    <n v="58.998473065474698"/>
    <n v="0.54429995790892916"/>
    <n v="32.112866406228967"/>
    <n v="3"/>
    <n v="0"/>
    <n v="1.249137155952269"/>
    <n v="-1.7214316911932759E-2"/>
    <n v="-0.35721615413094199"/>
    <n v="3"/>
    <b v="1"/>
    <n v="0"/>
    <n v="0.81759069605862034"/>
    <n v="48.236602659997224"/>
    <n v="0.43276304126273035"/>
    <n v="3"/>
    <n v="0"/>
    <n v="43.276304126273033"/>
    <n v="4"/>
    <n v="-0.29050505506162394"/>
    <b v="0"/>
    <n v="0"/>
    <n v="3"/>
    <n v="0"/>
    <n v="0"/>
    <n v="0"/>
    <n v="0"/>
    <n v="0"/>
    <n v="0"/>
    <s v="Rural"/>
    <n v="6"/>
    <s v="Fuera SC"/>
    <m/>
    <s v="No"/>
    <s v="No"/>
    <n v="32.1"/>
    <n v="11.221047897458961"/>
    <n v="12.495681500659471"/>
    <s v="Bajo"/>
    <n v="0"/>
    <s v="Bajo"/>
    <n v="15290.268294"/>
    <n v="4911.2974169999998"/>
    <n v="4922"/>
    <n v="3.1065152974400649"/>
    <n v="0.99782556216984963"/>
    <m/>
    <m/>
    <m/>
    <m/>
    <m/>
    <m/>
    <m/>
    <n v="37"/>
    <n v="0"/>
    <n v="7"/>
    <n v="7977.7434599999997"/>
    <n v="5091.7969439999997"/>
    <n v="0.63825027334233175"/>
    <s v="51% - 70%"/>
    <n v="1.4813956747084368E-4"/>
    <s v="N.D."/>
    <s v="N.D."/>
    <s v="N.D."/>
    <n v="0.964178055711991"/>
    <s v="Aceptable"/>
    <n v="2"/>
    <s v="Candidato"/>
    <n v="0"/>
    <n v="0"/>
  </r>
  <r>
    <n v="25513"/>
    <s v="25513"/>
    <x v="5"/>
    <x v="5"/>
    <s v="PACHO"/>
    <n v="85.309299999999993"/>
    <n v="64.11"/>
    <n v="63.73"/>
    <n v="78.05"/>
    <n v="61.644750740125041"/>
    <n v="66.591025272613393"/>
    <n v="69.701827430834925"/>
    <n v="58.754100000000001"/>
    <n v="72.799824999999998"/>
    <n v="64.172925860893343"/>
    <n v="68.486375430446671"/>
    <n v="52.772899389270975"/>
    <n v="47.227100610729025"/>
    <n v="0.52504390549656121"/>
    <n v="0"/>
    <n v="35.958354029305454"/>
    <n v="3"/>
    <n v="3"/>
    <b v="1"/>
    <x v="3"/>
    <n v="70.104179508025226"/>
    <n v="0.54471890554309832"/>
    <n v="38.187071935608401"/>
    <n v="2"/>
    <n v="0"/>
    <n v="-1.6178040775785547"/>
    <n v="-1.9675000046537106E-2"/>
    <n v="-2.228717906302947"/>
    <n v="2"/>
    <b v="1"/>
    <n v="0"/>
    <n v="0.81759069605862034"/>
    <n v="57.316524920584811"/>
    <n v="0.54634329760245159"/>
    <n v="2"/>
    <n v="0"/>
    <n v="54.634329760245159"/>
    <n v="3"/>
    <n v="-0.29254679056205912"/>
    <b v="0"/>
    <n v="0"/>
    <n v="2"/>
    <n v="0"/>
    <n v="0"/>
    <n v="0"/>
    <n v="0"/>
    <n v="0"/>
    <n v="0"/>
    <s v="Intermedio"/>
    <n v="6"/>
    <s v="Fuera SC"/>
    <m/>
    <s v="No"/>
    <s v="No"/>
    <n v="27.7"/>
    <n v="8.1574829788133805"/>
    <n v="1.2091483432194721"/>
    <s v="Sin riesgo"/>
    <n v="1.5041056788719416"/>
    <s v="Medio Bajo"/>
    <n v="34633.015036999997"/>
    <n v="13333.077696799999"/>
    <n v="25018"/>
    <n v="1.3843238882804381"/>
    <n v="0.53293939151011271"/>
    <m/>
    <m/>
    <m/>
    <m/>
    <m/>
    <m/>
    <m/>
    <n v="33"/>
    <n v="1"/>
    <n v="6"/>
    <n v="40214.740598999997"/>
    <n v="23749.716729"/>
    <n v="0.59057242133722909"/>
    <s v="51% - 70%"/>
    <n v="6.9096878812791886E-4"/>
    <s v="N.D."/>
    <s v="N.D."/>
    <s v="N.D."/>
    <n v="0.90730131883086163"/>
    <s v="Aceptable"/>
    <n v="2"/>
    <s v="Candidato"/>
    <n v="0"/>
    <n v="0"/>
  </r>
  <r>
    <n v="15664"/>
    <s v="15664"/>
    <x v="10"/>
    <x v="10"/>
    <s v="SAN JOSÉ DE PARE"/>
    <n v="55.3645"/>
    <n v="49.74"/>
    <n v="52.87"/>
    <n v="45.74"/>
    <n v="44.440867226959185"/>
    <n v="54.513342743858949"/>
    <n v="62.212591635874347"/>
    <n v="51.941200000000002"/>
    <n v="50.928625000000004"/>
    <n v="53.277000401673128"/>
    <n v="52.102812700836566"/>
    <n v="52.744886156641094"/>
    <n v="47.255113843358906"/>
    <n v="0.52529602459023017"/>
    <n v="0"/>
    <n v="27.369400381718801"/>
    <n v="4"/>
    <n v="4"/>
    <b v="1"/>
    <x v="5"/>
    <n v="54.910586925070348"/>
    <n v="0.54110673054449909"/>
    <n v="29.712488163304336"/>
    <n v="3"/>
    <n v="-1"/>
    <n v="-2.807774224233782"/>
    <n v="-1.5810705954268922E-2"/>
    <n v="-2.3430877815855347"/>
    <n v="4"/>
    <b v="1"/>
    <s v="Efecto ponderador"/>
    <n v="0.81759069605862034"/>
    <n v="44.894384985055645"/>
    <n v="0.39095542117871807"/>
    <n v="3"/>
    <n v="-1"/>
    <n v="39.095542117871808"/>
    <n v="4"/>
    <n v="-0.29229467146839017"/>
    <b v="1"/>
    <s v="Efecto ponderador"/>
    <n v="3"/>
    <n v="-1"/>
    <n v="0"/>
    <n v="0"/>
    <n v="0"/>
    <n v="0"/>
    <n v="0"/>
    <s v="Rural"/>
    <n v="6"/>
    <s v="Fuera SC"/>
    <m/>
    <s v="No"/>
    <s v="No"/>
    <n v="50.8"/>
    <n v="17.711464147702877"/>
    <n v="42.935924160767918"/>
    <s v="Alto"/>
    <n v="0"/>
    <s v="Bajo"/>
    <n v="13741.988577"/>
    <n v="2820.9459401999998"/>
    <n v="4871"/>
    <n v="2.8211842695545064"/>
    <n v="0.57913076169164435"/>
    <m/>
    <m/>
    <m/>
    <m/>
    <m/>
    <m/>
    <m/>
    <n v="20"/>
    <n v="0"/>
    <n v="7"/>
    <n v="7428.4808540000004"/>
    <n v="11.416356"/>
    <n v="1.5368358920724223E-3"/>
    <s v="0% - 30%"/>
    <n v="3.3214483188023442E-7"/>
    <s v="N.D."/>
    <s v="N.D."/>
    <s v="N.D."/>
    <n v="0.70356922067689509"/>
    <s v="Crítico Medio"/>
    <n v="0"/>
    <s v="Candidato"/>
    <n v="0"/>
    <n v="0"/>
  </r>
  <r>
    <n v="44098"/>
    <s v="44098"/>
    <x v="21"/>
    <x v="21"/>
    <s v="DISTRACCIÓN"/>
    <n v="52.076633333333298"/>
    <n v="49.37"/>
    <n v="44.69"/>
    <n v="59.94"/>
    <n v="46.624026556014869"/>
    <n v="44.978072844270272"/>
    <n v="59.529223287691238"/>
    <n v="54.807200000000002"/>
    <n v="51.519158333333323"/>
    <n v="51.48463067199409"/>
    <n v="51.501894502663703"/>
    <n v="52.714182761259345"/>
    <n v="47.285817238740655"/>
    <n v="0.52557235514866596"/>
    <n v="0"/>
    <n v="27.067971988383096"/>
    <n v="4"/>
    <n v="4"/>
    <b v="1"/>
    <x v="5"/>
    <n v="51.002963442979748"/>
    <n v="0.54539057791284196"/>
    <n v="27.816535707434277"/>
    <n v="3"/>
    <n v="-1"/>
    <n v="0.49893105968395446"/>
    <n v="-1.9818222764175997E-2"/>
    <n v="-0.74856371905118024"/>
    <n v="4"/>
    <b v="1"/>
    <s v="Efecto ponderador"/>
    <n v="0.81759069605862034"/>
    <n v="41.699548382398177"/>
    <n v="0.35099138295468624"/>
    <n v="4"/>
    <n v="0"/>
    <n v="35.09913829546862"/>
    <n v="4"/>
    <n v="-0.29201834090995438"/>
    <b v="1"/>
    <n v="0"/>
    <n v="3"/>
    <n v="-1"/>
    <n v="0"/>
    <n v="0"/>
    <n v="0"/>
    <n v="0"/>
    <n v="0"/>
    <s v="Intermedio"/>
    <n v="6"/>
    <s v="Fuera SC"/>
    <m/>
    <s v="No"/>
    <s v="Si"/>
    <n v="40.200000000000003"/>
    <n v="25.027932960893853"/>
    <n v="39.981801398482141"/>
    <s v="Alto"/>
    <n v="1.159403890949199"/>
    <s v="Medio Bajo"/>
    <n v="60152.066407999999"/>
    <n v="3474.6394209999999"/>
    <n v="14277"/>
    <n v="4.2132147095328145"/>
    <n v="0.24337321713245078"/>
    <m/>
    <m/>
    <m/>
    <m/>
    <m/>
    <m/>
    <m/>
    <n v="76"/>
    <n v="0"/>
    <n v="7"/>
    <n v="23122.870062999998"/>
    <n v="11845.988859999999"/>
    <n v="0.51230616388556927"/>
    <s v="31% - 50%"/>
    <n v="3.4464447134968716E-4"/>
    <n v="765.93550600000003"/>
    <n v="3.3124586347332799E-2"/>
    <s v="0% - 30%"/>
    <n v="0.79289396752096986"/>
    <s v="Crítico bajo"/>
    <n v="1"/>
    <s v="Candidato"/>
    <n v="0"/>
    <n v="0"/>
  </r>
  <r>
    <n v="41132"/>
    <s v="41132"/>
    <x v="19"/>
    <x v="19"/>
    <s v="CAMPOALEGRE"/>
    <n v="67.305566666666707"/>
    <n v="66.569999999999993"/>
    <n v="71.2"/>
    <n v="77.510000000000005"/>
    <n v="64.446484966186986"/>
    <n v="59.730354903037345"/>
    <n v="57.702785072458241"/>
    <n v="46.1524"/>
    <n v="70.646391666666673"/>
    <n v="57.008006235420638"/>
    <n v="63.827198951043655"/>
    <n v="51.8255599196874"/>
    <n v="48.1744400803126"/>
    <n v="0.53356996072281337"/>
    <n v="0"/>
    <n v="34.056276037355559"/>
    <n v="3"/>
    <n v="3"/>
    <b v="1"/>
    <x v="4"/>
    <n v="62.453534669997353"/>
    <n v="0.54551805884911164"/>
    <n v="34.069531001442648"/>
    <n v="3"/>
    <n v="0"/>
    <n v="1.3736642810463024"/>
    <n v="-1.1948098126298268E-2"/>
    <n v="-1.3254964087089149E-2"/>
    <n v="3"/>
    <b v="1"/>
    <n v="0"/>
    <n v="0.81759069605862034"/>
    <n v="51.061428882164314"/>
    <n v="0.46809863965453219"/>
    <n v="3"/>
    <n v="0"/>
    <n v="46.809863965453218"/>
    <n v="4"/>
    <n v="-0.28402073533580696"/>
    <b v="0"/>
    <n v="0"/>
    <n v="3"/>
    <n v="0"/>
    <n v="0"/>
    <n v="0"/>
    <n v="0"/>
    <n v="0"/>
    <n v="0"/>
    <s v="Intermedio"/>
    <n v="6"/>
    <s v="Fuera SC"/>
    <m/>
    <s v="No"/>
    <s v="Si"/>
    <n v="31.1"/>
    <n v="13.931919420251313"/>
    <n v="6.5507692307692302"/>
    <s v="Bajo"/>
    <n v="13.424356303795648"/>
    <s v="Alto"/>
    <n v="55569.129051000004"/>
    <n v="12947.525453100001"/>
    <n v="31873"/>
    <n v="1.7434546183603679"/>
    <n v="0.40622236542214418"/>
    <m/>
    <m/>
    <m/>
    <m/>
    <m/>
    <m/>
    <m/>
    <n v="71"/>
    <n v="0"/>
    <n v="7"/>
    <n v="46249.718887000003"/>
    <n v="13331.045803999999"/>
    <n v="0.288240580155118"/>
    <s v="0% - 30%"/>
    <n v="3.8785037601816937E-4"/>
    <n v="139.851304"/>
    <n v="3.0238303575788822E-3"/>
    <s v="0% - 30%"/>
    <n v="0.88782020796974492"/>
    <s v="Aceptable"/>
    <n v="2"/>
    <s v="Candidato"/>
    <n v="0"/>
    <n v="0"/>
  </r>
  <r>
    <n v="76233"/>
    <s v="76233"/>
    <x v="3"/>
    <x v="3"/>
    <s v="DAGUA"/>
    <n v="66.707366666666701"/>
    <n v="73.37"/>
    <n v="71.5"/>
    <n v="61.91"/>
    <n v="43.608046872914073"/>
    <n v="60.853581807909762"/>
    <n v="76.477782971246484"/>
    <n v="61.503300000000003"/>
    <n v="68.371841666666683"/>
    <n v="60.610677913017575"/>
    <n v="64.491259789842132"/>
    <n v="50.665484851324152"/>
    <n v="49.334515148675848"/>
    <n v="0.54401063633808266"/>
    <n v="0"/>
    <n v="35.083931276516623"/>
    <n v="3"/>
    <n v="3"/>
    <b v="1"/>
    <x v="4"/>
    <n v="64.38664405578163"/>
    <n v="0.54505026161004833"/>
    <n v="35.093957186796843"/>
    <n v="2"/>
    <n v="-1"/>
    <n v="0.10461573406050206"/>
    <n v="-1.0396252719656607E-3"/>
    <n v="-1.0025910280219819E-2"/>
    <n v="2"/>
    <b v="0"/>
    <s v="Cambio en corte"/>
    <n v="0.81759069605862034"/>
    <n v="52.641921130445134"/>
    <n v="0.48786893168466033"/>
    <n v="2"/>
    <n v="-1"/>
    <n v="48.786893168466037"/>
    <n v="4"/>
    <n v="-0.27358005972053767"/>
    <b v="0"/>
    <s v="Cambio en corte"/>
    <n v="2"/>
    <n v="-1"/>
    <n v="0"/>
    <n v="0"/>
    <n v="0"/>
    <n v="0"/>
    <n v="1"/>
    <s v="Rural"/>
    <n v="6"/>
    <s v="Fuera SC"/>
    <m/>
    <s v="No"/>
    <s v="No"/>
    <n v="28.4"/>
    <n v="10.981036662452592"/>
    <n v="18.910685090821456"/>
    <s v="Medio"/>
    <n v="5.2971417458164467"/>
    <s v="Medio Bajo"/>
    <n v="79693.984110000005"/>
    <n v="24116.507896900002"/>
    <n v="57738"/>
    <n v="1.3802692180193288"/>
    <n v="0.41768866079358485"/>
    <m/>
    <m/>
    <m/>
    <m/>
    <m/>
    <m/>
    <m/>
    <n v="85"/>
    <n v="0"/>
    <n v="6"/>
    <n v="91707.275662"/>
    <n v="84245.365992000006"/>
    <n v="0.918633395048154"/>
    <s v="71% - 100%"/>
    <n v="2.4510152735340118E-3"/>
    <n v="10320.95156"/>
    <n v="0.11254234176620087"/>
    <s v="0% - 30%"/>
    <n v="0.9502520564771062"/>
    <s v="Aceptable"/>
    <n v="3"/>
    <s v="Candidato"/>
    <n v="0"/>
    <n v="0"/>
  </r>
  <r>
    <n v="5154"/>
    <s v="05154"/>
    <x v="1"/>
    <x v="1"/>
    <s v="CAUCASIA"/>
    <n v="67.5452333333333"/>
    <n v="87.48"/>
    <n v="71.56"/>
    <n v="70.91"/>
    <n v="56.883302422120586"/>
    <n v="54.863505211764554"/>
    <n v="54.278017014427043"/>
    <n v="57.938499999999998"/>
    <n v="74.373808333333329"/>
    <n v="55.990831162078045"/>
    <n v="65.182319747705691"/>
    <n v="51.867778683017363"/>
    <n v="48.132221316982637"/>
    <n v="0.53318999185284377"/>
    <n v="0"/>
    <n v="34.754560535228656"/>
    <n v="3"/>
    <n v="3"/>
    <b v="1"/>
    <x v="4"/>
    <n v="64.012547356491893"/>
    <n v="0.54569577191325069"/>
    <n v="34.93137644183436"/>
    <n v="3"/>
    <n v="0"/>
    <n v="1.1697723912137974"/>
    <n v="-1.2505780060406924E-2"/>
    <n v="-0.17681590660570379"/>
    <n v="3"/>
    <b v="1"/>
    <n v="0"/>
    <n v="0.81759069605862034"/>
    <n v="52.336063149679603"/>
    <n v="0.48404297074998487"/>
    <n v="2"/>
    <n v="-1"/>
    <n v="48.404297074998489"/>
    <n v="4"/>
    <n v="-0.28440070420577657"/>
    <b v="0"/>
    <s v="Cambio en corte"/>
    <n v="2"/>
    <n v="-1"/>
    <n v="0"/>
    <n v="1"/>
    <n v="0"/>
    <n v="1"/>
    <n v="1"/>
    <s v="Ciudades y aglomeraciones"/>
    <n v="5"/>
    <s v="Uninodal"/>
    <m/>
    <s v="No"/>
    <s v="Si"/>
    <n v="36"/>
    <n v="22.104216246936382"/>
    <n v="10.783796681667669"/>
    <s v="Bajo"/>
    <n v="10.030241377799035"/>
    <s v="Medio"/>
    <n v="183969.94053699999"/>
    <n v="49283.957416999998"/>
    <n v="93572"/>
    <n v="1.9660789609819176"/>
    <n v="0.52669556509425897"/>
    <m/>
    <m/>
    <m/>
    <m/>
    <m/>
    <m/>
    <m/>
    <n v="67"/>
    <n v="1"/>
    <n v="5"/>
    <n v="142823.932072"/>
    <n v="2346.334511"/>
    <n v="1.6428160721812173E-2"/>
    <s v="0% - 30%"/>
    <n v="6.8263715820607467E-5"/>
    <n v="67.867917000000006"/>
    <n v="4.7518588807502247E-4"/>
    <n v="0"/>
    <n v="0.94968166602888093"/>
    <s v="Aceptable"/>
    <n v="2"/>
    <s v="Candidato"/>
    <n v="0"/>
    <n v="0"/>
  </r>
  <r>
    <n v="41396"/>
    <s v="41396"/>
    <x v="19"/>
    <x v="19"/>
    <s v="LA PLATA"/>
    <n v="66.226966666666698"/>
    <n v="77.86"/>
    <n v="71.150000000000006"/>
    <n v="75.760000000000005"/>
    <n v="61.64264728739451"/>
    <n v="58.479716019428693"/>
    <n v="60.170251579035465"/>
    <n v="62.756500000000003"/>
    <n v="72.749241666666677"/>
    <n v="60.762278721464668"/>
    <n v="66.755760194065672"/>
    <n v="51.321295084229803"/>
    <n v="48.678704915770197"/>
    <n v="0.53810834424193177"/>
    <n v="0"/>
    <n v="35.921831586640138"/>
    <n v="3"/>
    <n v="3"/>
    <b v="1"/>
    <x v="3"/>
    <n v="64.34438432514402"/>
    <n v="0.54481045931705374"/>
    <n v="35.055493578654747"/>
    <n v="2"/>
    <n v="0"/>
    <n v="2.4113758689216525"/>
    <n v="-6.7021150751219727E-3"/>
    <n v="0.86633800798539085"/>
    <n v="2"/>
    <b v="1"/>
    <n v="0"/>
    <n v="0.81759069605862034"/>
    <n v="52.607369967857878"/>
    <n v="0.48743673306105206"/>
    <n v="2"/>
    <n v="0"/>
    <n v="48.743673306105208"/>
    <n v="3"/>
    <n v="-0.27948235181668857"/>
    <b v="0"/>
    <n v="0"/>
    <n v="3"/>
    <n v="1"/>
    <n v="0"/>
    <n v="0"/>
    <n v="0"/>
    <n v="0"/>
    <n v="0"/>
    <s v="Intermedio"/>
    <n v="6"/>
    <s v="Fuera SC"/>
    <m/>
    <s v="No"/>
    <s v="Si"/>
    <n v="42.5"/>
    <n v="19.115385328070857"/>
    <n v="2.6689655172413795"/>
    <s v="Sin riesgo"/>
    <n v="22.408959291847044"/>
    <s v="Muy Alto"/>
    <n v="111044.292894"/>
    <n v="22005.948807599998"/>
    <n v="67536"/>
    <n v="1.644223716151386"/>
    <n v="0.32584027492892675"/>
    <m/>
    <m/>
    <m/>
    <m/>
    <m/>
    <m/>
    <m/>
    <n v="30"/>
    <n v="0"/>
    <n v="6"/>
    <n v="81467.129000999994"/>
    <n v="38469.616030999998"/>
    <n v="0.47221028288020056"/>
    <s v="31% - 50%"/>
    <n v="1.1192261479156453E-3"/>
    <n v="6635.887326"/>
    <n v="8.1454783142272585E-2"/>
    <s v="0% - 30%"/>
    <n v="0.95253250331386741"/>
    <s v="Aceptable"/>
    <n v="3"/>
    <s v="Candidato"/>
    <n v="0"/>
    <n v="0"/>
  </r>
  <r>
    <n v="86219"/>
    <s v="86219"/>
    <x v="22"/>
    <x v="22"/>
    <s v="COLÓN"/>
    <n v="48.963000000000001"/>
    <n v="29.21"/>
    <n v="30.65"/>
    <n v="30.56"/>
    <n v="67.866196738554038"/>
    <n v="61.910770157726105"/>
    <n v="64.999324610903557"/>
    <n v="52.4026"/>
    <n v="34.845750000000002"/>
    <n v="61.79472287679593"/>
    <n v="48.32023643839797"/>
    <n v="51.803535468283457"/>
    <n v="48.196464531716543"/>
    <n v="0.53376818078544885"/>
    <n v="0"/>
    <n v="25.791804698846441"/>
    <n v="4"/>
    <n v="4"/>
    <b v="1"/>
    <x v="5"/>
    <n v="52.072190612651042"/>
    <n v="0.5441471585988028"/>
    <n v="28.334934563889316"/>
    <n v="3"/>
    <n v="-1"/>
    <n v="-3.751954174253072"/>
    <n v="-1.0378977813353951E-2"/>
    <n v="-2.5431298650428751"/>
    <n v="4"/>
    <b v="1"/>
    <s v="Efecto ponderador"/>
    <n v="0.81759069605862034"/>
    <n v="42.573738568294523"/>
    <n v="0.36192658069693545"/>
    <n v="3"/>
    <n v="-1"/>
    <n v="36.192658069693543"/>
    <n v="4"/>
    <n v="-0.28382251527317148"/>
    <b v="1"/>
    <s v="Efecto ponderador"/>
    <n v="3"/>
    <n v="-1"/>
    <n v="0"/>
    <n v="0"/>
    <n v="0"/>
    <n v="0"/>
    <n v="0"/>
    <s v="Intermedio"/>
    <n v="6"/>
    <s v="Fuera SC"/>
    <m/>
    <s v="No"/>
    <s v="No"/>
    <n v="22.6"/>
    <n v="9.9634545104827854"/>
    <n v="9.1955555555555559"/>
    <s v="Bajo"/>
    <n v="0.47753532932833054"/>
    <s v="Medio Bajo"/>
    <n v="13377.128844999999"/>
    <n v="2011.4649777499999"/>
    <n v="5762"/>
    <n v="2.321612086948976"/>
    <n v="0.34909145743665393"/>
    <m/>
    <m/>
    <m/>
    <m/>
    <m/>
    <m/>
    <m/>
    <n v="80"/>
    <n v="0"/>
    <n v="7"/>
    <n v="6432.2935470000002"/>
    <n v="1136.723776"/>
    <n v="0.17672137748286754"/>
    <s v="0% - 30%"/>
    <n v="3.3071579711931307E-5"/>
    <n v="1096.733461"/>
    <n v="0.17050426150272835"/>
    <s v="0% - 30%"/>
    <n v="0.81579501532844279"/>
    <s v="Crítico bajo"/>
    <n v="1"/>
    <s v="Candidato"/>
    <n v="0"/>
    <n v="0"/>
  </r>
  <r>
    <n v="66075"/>
    <s v="66075"/>
    <x v="6"/>
    <x v="6"/>
    <s v="BALBOA"/>
    <n v="57.341733333333302"/>
    <n v="55.2"/>
    <n v="66.48"/>
    <n v="69.59"/>
    <n v="36.851227643564854"/>
    <n v="37.502946966525982"/>
    <n v="63.40744407873899"/>
    <n v="50.545999999999999"/>
    <n v="62.15293333333333"/>
    <n v="47.076904672207455"/>
    <n v="54.614919002770392"/>
    <n v="51.823615538116016"/>
    <n v="48.176384461883984"/>
    <n v="0.53358746015695591"/>
    <n v="0"/>
    <n v="29.141835917366119"/>
    <n v="4"/>
    <n v="4"/>
    <b v="1"/>
    <x v="4"/>
    <n v="51.608806624404508"/>
    <n v="0.54400888077468457"/>
    <n v="28.075649129859425"/>
    <n v="3"/>
    <n v="0"/>
    <n v="3.0061123783658843"/>
    <n v="-1.0421420617728661E-2"/>
    <n v="1.0661867875066946"/>
    <n v="3"/>
    <b v="1"/>
    <n v="0"/>
    <n v="0.81759069605862034"/>
    <n v="42.194880130801621"/>
    <n v="0.35718746099833515"/>
    <n v="3"/>
    <n v="0"/>
    <n v="35.718746099833517"/>
    <n v="4"/>
    <n v="-0.28400323590166443"/>
    <b v="0"/>
    <n v="0"/>
    <n v="3"/>
    <n v="0"/>
    <n v="0"/>
    <n v="0"/>
    <n v="0"/>
    <n v="0"/>
    <n v="1"/>
    <s v="Rural"/>
    <n v="6"/>
    <s v="Fuera SC"/>
    <m/>
    <s v="No"/>
    <s v="Si"/>
    <n v="31.6"/>
    <n v="9.9678456591639879"/>
    <n v="54.065640175653591"/>
    <s v="Alto"/>
    <n v="1.3072197712473934"/>
    <s v="Medio Bajo"/>
    <n v="20437.543031000001"/>
    <n v="8932.0078087000002"/>
    <n v="6647"/>
    <n v="3.0747018250338498"/>
    <n v="1.3437652788776893"/>
    <m/>
    <m/>
    <m/>
    <m/>
    <m/>
    <m/>
    <m/>
    <n v="49"/>
    <n v="0"/>
    <n v="7"/>
    <n v="11947.932654"/>
    <n v="641.50065199999995"/>
    <n v="5.3691351514710335E-2"/>
    <s v="0% - 30%"/>
    <n v="1.8663672209381061E-5"/>
    <n v="30.243728999999998"/>
    <n v="2.5312938962603563E-3"/>
    <s v="0% - 30%"/>
    <n v="0.94429941103554849"/>
    <s v="Aceptable"/>
    <n v="2"/>
    <s v="Candidato"/>
    <n v="0"/>
    <n v="0"/>
  </r>
  <r>
    <n v="5887"/>
    <s v="05887"/>
    <x v="1"/>
    <x v="1"/>
    <s v="YARUMAL"/>
    <n v="66.901799999999994"/>
    <n v="57.69"/>
    <n v="58.09"/>
    <n v="58.82"/>
    <n v="49.592961862773251"/>
    <n v="50.948495375935629"/>
    <n v="68.135126436490395"/>
    <n v="41.730800000000002"/>
    <n v="60.375450000000001"/>
    <n v="52.601845918799825"/>
    <n v="56.488647959399913"/>
    <n v="51.385744566059991"/>
    <n v="48.614255433940009"/>
    <n v="0.53752829890546006"/>
    <n v="0"/>
    <n v="30.364246845085624"/>
    <n v="3"/>
    <n v="3"/>
    <b v="1"/>
    <x v="4"/>
    <n v="59.023275820306083"/>
    <n v="0.54673438834160759"/>
    <n v="32.27005460353304"/>
    <n v="3"/>
    <n v="0"/>
    <n v="-2.5346278609061699"/>
    <n v="-9.2060894361475354E-3"/>
    <n v="-1.9058077584474162"/>
    <n v="3"/>
    <b v="1"/>
    <n v="0"/>
    <n v="0.81759069605862034"/>
    <n v="48.256881161583983"/>
    <n v="0.43301670394202518"/>
    <n v="3"/>
    <n v="0"/>
    <n v="43.301670394202517"/>
    <n v="4"/>
    <n v="-0.28006239715316028"/>
    <b v="0"/>
    <n v="0"/>
    <n v="3"/>
    <n v="0"/>
    <n v="0"/>
    <n v="0"/>
    <n v="0"/>
    <n v="0"/>
    <n v="1"/>
    <s v="Intermedio"/>
    <n v="5"/>
    <s v="Fuera SC"/>
    <m/>
    <s v="No"/>
    <s v="Si"/>
    <n v="33.799999999999997"/>
    <n v="11.751576362926176"/>
    <n v="15.92788063128282"/>
    <s v="Medio"/>
    <n v="18.809073074837727"/>
    <s v="Alto"/>
    <n v="87236.994051000001"/>
    <n v="31991.092735150003"/>
    <n v="41862"/>
    <n v="2.0839184475419237"/>
    <n v="0.76420363898404287"/>
    <m/>
    <m/>
    <m/>
    <m/>
    <m/>
    <m/>
    <m/>
    <n v="61"/>
    <n v="0"/>
    <n v="6"/>
    <n v="71232.993570999999"/>
    <n v="33808.587527999996"/>
    <n v="0.47461977706021846"/>
    <s v="31% - 50%"/>
    <n v="9.8361925824630458E-4"/>
    <s v="N.D."/>
    <s v="N.D."/>
    <s v="N.D."/>
    <n v="0.92421978833976803"/>
    <s v="Aceptable"/>
    <n v="1"/>
    <s v="Candidato"/>
    <n v="0"/>
    <n v="0"/>
  </r>
  <r>
    <n v="70713"/>
    <s v="70713"/>
    <x v="9"/>
    <x v="9"/>
    <s v="SAN ONOFRE"/>
    <n v="34.265999999999998"/>
    <n v="51.68"/>
    <n v="48.12"/>
    <n v="57.47"/>
    <n v="56.229119988290179"/>
    <n v="56.146664083683682"/>
    <n v="53.170457749741651"/>
    <n v="45.279600000000002"/>
    <n v="47.884"/>
    <n v="52.706460455428882"/>
    <n v="50.295230227714441"/>
    <n v="52.236729946160231"/>
    <n v="47.763270053839769"/>
    <n v="0.52986943048455792"/>
    <n v="0"/>
    <n v="26.649904996848772"/>
    <n v="4"/>
    <n v="4"/>
    <b v="1"/>
    <x v="5"/>
    <n v="47.368043426363485"/>
    <n v="0.5432451025404692"/>
    <n v="25.73245760829623"/>
    <n v="4"/>
    <n v="0"/>
    <n v="2.9271868013509561"/>
    <n v="-1.3375672055911281E-2"/>
    <n v="0.91744738855254226"/>
    <n v="4"/>
    <b v="1"/>
    <n v="0"/>
    <n v="0.81759069605862034"/>
    <n v="38.72767159589548"/>
    <n v="0.31381633700895145"/>
    <n v="4"/>
    <n v="0"/>
    <n v="31.381633700895144"/>
    <n v="4"/>
    <n v="-0.28772126557406241"/>
    <b v="1"/>
    <n v="0"/>
    <n v="4"/>
    <n v="0"/>
    <n v="0"/>
    <n v="0"/>
    <n v="0"/>
    <n v="1"/>
    <n v="1"/>
    <s v="Intermedio"/>
    <n v="6"/>
    <s v="Fuera SC"/>
    <m/>
    <s v="No"/>
    <s v="No"/>
    <n v="69"/>
    <n v="41.908575241908572"/>
    <n v="0"/>
    <s v="Sin riesgo"/>
    <n v="9.5792687764646605"/>
    <s v="Medio"/>
    <n v="126271.130019"/>
    <n v="13462.646897500001"/>
    <n v="52983"/>
    <n v="2.3832385863201404"/>
    <n v="0.2540937073684012"/>
    <m/>
    <m/>
    <m/>
    <m/>
    <m/>
    <m/>
    <m/>
    <n v="12"/>
    <n v="0"/>
    <n v="7"/>
    <n v="103469.921835"/>
    <n v="11505.906263000001"/>
    <n v="0.11120049246145254"/>
    <s v="0% - 30%"/>
    <n v="3.3475018660541691E-4"/>
    <s v="N.D."/>
    <s v="N.D."/>
    <s v="N.D."/>
    <n v="0.93381602964509813"/>
    <s v="Aceptable"/>
    <n v="1"/>
    <s v="Candidato"/>
    <n v="0"/>
    <n v="0"/>
  </r>
  <r>
    <n v="73585"/>
    <s v="73585"/>
    <x v="15"/>
    <x v="15"/>
    <s v="PURIFICACIÓN"/>
    <n v="65.183266666666697"/>
    <n v="62.63"/>
    <n v="63.58"/>
    <n v="71.7"/>
    <n v="46.190734815544126"/>
    <n v="64.00576137338831"/>
    <n v="70.263914085104432"/>
    <n v="64.486900000000006"/>
    <n v="65.773316666666673"/>
    <n v="61.236827568509213"/>
    <n v="63.505072117587943"/>
    <n v="51.802916854322703"/>
    <n v="48.197083145677297"/>
    <n v="0.5337737483110957"/>
    <n v="0"/>
    <n v="33.897340380971364"/>
    <n v="3"/>
    <n v="3"/>
    <b v="1"/>
    <x v="4"/>
    <n v="60.98614060367391"/>
    <n v="0.54285227519015766"/>
    <n v="33.106465181771235"/>
    <n v="3"/>
    <n v="0"/>
    <n v="2.5189315139140334"/>
    <n v="-9.0785268790619655E-3"/>
    <n v="0.79087519920012994"/>
    <n v="3"/>
    <b v="1"/>
    <n v="0"/>
    <n v="0.81759069605862034"/>
    <n v="49.861701146086638"/>
    <n v="0.45309131030843736"/>
    <n v="3"/>
    <n v="0"/>
    <n v="45.309131030843737"/>
    <n v="4"/>
    <n v="-0.28381694774752464"/>
    <b v="0"/>
    <n v="0"/>
    <n v="3"/>
    <n v="0"/>
    <n v="0"/>
    <n v="0"/>
    <n v="0"/>
    <n v="0"/>
    <n v="0"/>
    <s v="Intermedio"/>
    <n v="6"/>
    <s v="Fuera SC"/>
    <m/>
    <s v="No"/>
    <s v="Si"/>
    <n v="32.6"/>
    <n v="15.123992698455099"/>
    <n v="0"/>
    <s v="Sin riesgo"/>
    <n v="1.1193310975466464"/>
    <s v="Medio Bajo"/>
    <n v="85617.408001999996"/>
    <n v="16091.946079200001"/>
    <n v="24074"/>
    <n v="3.5564263521641601"/>
    <n v="0.66843674001827702"/>
    <m/>
    <m/>
    <m/>
    <m/>
    <m/>
    <m/>
    <m/>
    <n v="6"/>
    <n v="0"/>
    <n v="6"/>
    <n v="40197.651810000003"/>
    <n v="320.40212100000002"/>
    <n v="7.9706676030338007E-3"/>
    <s v="0% - 30%"/>
    <n v="9.3217055086242515E-6"/>
    <s v="N.D."/>
    <s v="N.D."/>
    <s v="N.D."/>
    <n v="0.84822377469145849"/>
    <s v="Crítico bajo"/>
    <n v="3"/>
    <s v="Candidato"/>
    <n v="0"/>
    <n v="0"/>
  </r>
  <r>
    <n v="13062"/>
    <s v="13062"/>
    <x v="8"/>
    <x v="8"/>
    <s v="ARROYOHONDO"/>
    <n v="35.576599999999999"/>
    <n v="59.7"/>
    <n v="33.340000000000003"/>
    <n v="64.319999999999993"/>
    <n v="64.383416308034342"/>
    <n v="58.062505128751553"/>
    <n v="54.526436903607404"/>
    <n v="56.324399999999997"/>
    <n v="48.23415"/>
    <n v="58.324189585098324"/>
    <n v="53.279169792549162"/>
    <n v="52.04151222663824"/>
    <n v="47.95848777336176"/>
    <n v="0.5316263899602558"/>
    <n v="0"/>
    <n v="28.324612696892423"/>
    <n v="4"/>
    <n v="4"/>
    <b v="1"/>
    <x v="5"/>
    <n v="48.0652141886207"/>
    <n v="0.54250464391858844"/>
    <n v="26.075601908268357"/>
    <n v="4"/>
    <n v="0"/>
    <n v="5.2139556039284614"/>
    <n v="-1.087825395833264E-2"/>
    <n v="2.2490107886240658"/>
    <n v="3"/>
    <b v="0"/>
    <n v="0"/>
    <n v="0.81759069605862034"/>
    <n v="39.297671924681076"/>
    <n v="0.3209464402850784"/>
    <n v="4"/>
    <n v="0"/>
    <n v="32.094644028507844"/>
    <n v="4"/>
    <n v="-0.28596430609836454"/>
    <b v="1"/>
    <n v="0"/>
    <n v="4"/>
    <n v="0"/>
    <n v="0"/>
    <n v="0"/>
    <n v="0"/>
    <n v="0"/>
    <n v="0"/>
    <s v="Intermedio"/>
    <n v="6"/>
    <s v="Fuera SC"/>
    <m/>
    <s v="No"/>
    <s v="No"/>
    <n v="68.400000000000006"/>
    <n v="41.871432117150661"/>
    <n v="13.111659854677566"/>
    <s v="Bajo"/>
    <n v="0.97123952417490722"/>
    <s v="Medio Bajo"/>
    <n v="28439.018237"/>
    <n v="6024.5023739999997"/>
    <n v="8531"/>
    <n v="3.3336089833548237"/>
    <n v="0.70618947063650217"/>
    <m/>
    <m/>
    <m/>
    <m/>
    <m/>
    <m/>
    <m/>
    <n v="48"/>
    <n v="0"/>
    <n v="7"/>
    <n v="16368.634145"/>
    <n v="2554.4485679999998"/>
    <n v="0.15605752718104995"/>
    <s v="0% - 30%"/>
    <n v="7.4318538259061429E-5"/>
    <n v="7.1041720000000002"/>
    <n v="4.3401128872869681E-4"/>
    <n v="0"/>
    <n v="0.85367565418697833"/>
    <s v="Aceptable"/>
    <n v="2"/>
    <s v="Candidato"/>
    <n v="0"/>
    <n v="0"/>
  </r>
  <r>
    <n v="68533"/>
    <s v="68533"/>
    <x v="0"/>
    <x v="0"/>
    <s v="PÁRAMO"/>
    <n v="74.880633333333293"/>
    <n v="69"/>
    <n v="73.19"/>
    <n v="78.709999999999994"/>
    <n v="51.854480420265524"/>
    <n v="55.078899642303178"/>
    <n v="53.801845303116544"/>
    <n v="59.290199999999999"/>
    <n v="73.945158333333325"/>
    <n v="55.006356341421309"/>
    <n v="64.475757337377317"/>
    <n v="50.73215836850062"/>
    <n v="49.26784163149938"/>
    <n v="0.54341057468349441"/>
    <n v="0"/>
    <n v="35.036808347857736"/>
    <n v="3"/>
    <n v="3"/>
    <b v="1"/>
    <x v="4"/>
    <n v="62.886031138227345"/>
    <n v="0.54585045457186732"/>
    <n v="34.326368683021997"/>
    <n v="3"/>
    <n v="0"/>
    <n v="1.5897261991499718"/>
    <n v="-2.4398798883729089E-3"/>
    <n v="0.71043966483573939"/>
    <n v="2"/>
    <b v="0"/>
    <n v="0"/>
    <n v="0.81759069605862034"/>
    <n v="51.415033970667366"/>
    <n v="0.47252186657680845"/>
    <n v="3"/>
    <n v="0"/>
    <n v="47.252186657680845"/>
    <n v="4"/>
    <n v="-0.27418012137512593"/>
    <b v="0"/>
    <n v="0"/>
    <n v="2"/>
    <n v="-1"/>
    <n v="0"/>
    <n v="0"/>
    <n v="0"/>
    <n v="0"/>
    <n v="0"/>
    <s v="Intermedio"/>
    <n v="6"/>
    <s v="Fuera SC"/>
    <m/>
    <s v="No"/>
    <s v="Si"/>
    <n v="31.5"/>
    <n v="10.424710424710424"/>
    <n v="21.556666666666668"/>
    <s v="Medio"/>
    <n v="1.7363804755806023"/>
    <s v="Medio Bajo"/>
    <n v="11478.69384"/>
    <n v="3204.0789709000001"/>
    <n v="5496"/>
    <n v="2.0885541921397381"/>
    <n v="0.58298380110989811"/>
    <m/>
    <m/>
    <m/>
    <m/>
    <m/>
    <m/>
    <m/>
    <n v="4"/>
    <n v="0"/>
    <n v="7"/>
    <n v="7284.692078"/>
    <n v="2739.5869240000002"/>
    <n v="0.37607449905448154"/>
    <s v="31% - 50%"/>
    <n v="7.970491094472427E-5"/>
    <s v="N.D."/>
    <s v="N.D."/>
    <s v="N.D."/>
    <n v="0.96121829418121507"/>
    <s v="Aceptable"/>
    <n v="2"/>
    <s v="Candidato"/>
    <n v="0"/>
    <n v="0"/>
  </r>
  <r>
    <n v="15753"/>
    <s v="15753"/>
    <x v="10"/>
    <x v="10"/>
    <s v="SOATÁ"/>
    <n v="68.8005"/>
    <n v="82.88"/>
    <n v="86.11"/>
    <n v="88.2"/>
    <n v="47.011416370643687"/>
    <n v="65.168489367918184"/>
    <n v="62.243437513474206"/>
    <n v="62.032699999999998"/>
    <n v="81.497624999999999"/>
    <n v="59.114010813009024"/>
    <n v="70.305817906504515"/>
    <n v="52.161277264201942"/>
    <n v="47.838722735798058"/>
    <n v="0.5305485046221825"/>
    <n v="0"/>
    <n v="37.300646556535433"/>
    <n v="3"/>
    <n v="3"/>
    <b v="1"/>
    <x v="3"/>
    <n v="65.405779982974877"/>
    <n v="0.54238553879013041"/>
    <n v="35.475149216054554"/>
    <n v="2"/>
    <n v="0"/>
    <n v="4.9000379235296379"/>
    <n v="-1.1837034167947902E-2"/>
    <n v="1.8254973404808794"/>
    <n v="2"/>
    <b v="1"/>
    <n v="0"/>
    <n v="0.81759069605862034"/>
    <n v="53.475157182537409"/>
    <n v="0.49829183638274677"/>
    <n v="2"/>
    <n v="0"/>
    <n v="49.829183638274678"/>
    <n v="3"/>
    <n v="-0.28704219143643783"/>
    <b v="0"/>
    <n v="0"/>
    <n v="3"/>
    <n v="1"/>
    <n v="0"/>
    <n v="0"/>
    <n v="0"/>
    <n v="0"/>
    <n v="0"/>
    <s v="Intermedio"/>
    <n v="6"/>
    <s v="Fuera SC"/>
    <m/>
    <s v="No"/>
    <s v="No"/>
    <n v="17.3"/>
    <n v="7.5922421948912016"/>
    <n v="20.8103200077047"/>
    <s v="Medio"/>
    <n v="5.8786053488365318E-2"/>
    <s v="Bajo"/>
    <n v="21785.946306999998"/>
    <n v="4055.3281404999998"/>
    <n v="9285"/>
    <n v="2.346359322240172"/>
    <n v="0.43676124291868601"/>
    <m/>
    <m/>
    <m/>
    <m/>
    <m/>
    <m/>
    <m/>
    <n v="82"/>
    <n v="0"/>
    <n v="6"/>
    <n v="12283.09549"/>
    <n v="3299.9689079999998"/>
    <n v="0.26865938726004318"/>
    <s v="0% - 30%"/>
    <n v="9.600853531176328E-5"/>
    <s v="N.D."/>
    <s v="N.D."/>
    <s v="N.D."/>
    <n v="0.95240099636569164"/>
    <s v="Aceptable"/>
    <n v="3"/>
    <s v="Candidato"/>
    <n v="0"/>
    <n v="0"/>
  </r>
  <r>
    <n v="15762"/>
    <s v="15762"/>
    <x v="10"/>
    <x v="10"/>
    <s v="SORA"/>
    <n v="63.2601333333333"/>
    <n v="52.17"/>
    <n v="56.01"/>
    <n v="82.13"/>
    <n v="62.19329137005554"/>
    <n v="68.295001670527"/>
    <n v="59.730424008467978"/>
    <n v="63.601900000000001"/>
    <n v="63.392533333333326"/>
    <n v="63.455154262262624"/>
    <n v="63.423843797797971"/>
    <n v="52.314075206985265"/>
    <n v="47.685924793014735"/>
    <n v="0.52917332313713261"/>
    <n v="0"/>
    <n v="33.562206188611171"/>
    <n v="3"/>
    <n v="3"/>
    <b v="1"/>
    <x v="4"/>
    <n v="58.87284838073532"/>
    <n v="0.54068311234290689"/>
    <n v="31.831554894988038"/>
    <n v="3"/>
    <n v="0"/>
    <n v="4.5509954170626514"/>
    <n v="-1.1509789205774279E-2"/>
    <n v="1.7306512936231329"/>
    <n v="3"/>
    <b v="1"/>
    <n v="0"/>
    <n v="0.81759069605862034"/>
    <n v="48.133893086559013"/>
    <n v="0.43147825276511376"/>
    <n v="3"/>
    <n v="0"/>
    <n v="43.147825276511377"/>
    <n v="4"/>
    <n v="-0.28841737292148772"/>
    <b v="0"/>
    <n v="0"/>
    <n v="3"/>
    <n v="0"/>
    <n v="0"/>
    <n v="0"/>
    <n v="0"/>
    <n v="0"/>
    <n v="0"/>
    <s v="Rural"/>
    <n v="6"/>
    <s v="Fuera SC"/>
    <m/>
    <s v="No"/>
    <s v="No"/>
    <n v="55.3"/>
    <n v="14.810518174787317"/>
    <n v="27.610491578333505"/>
    <s v="Medio"/>
    <n v="0"/>
    <s v="Bajo"/>
    <n v="17850.901766999999"/>
    <n v="2970.3581267"/>
    <n v="3150"/>
    <n v="5.6669529419047615"/>
    <n v="0.94297083387301583"/>
    <m/>
    <m/>
    <m/>
    <m/>
    <m/>
    <m/>
    <m/>
    <n v="79"/>
    <n v="0"/>
    <n v="7"/>
    <n v="4776.5547290000004"/>
    <n v="1147.578636"/>
    <n v="0.24025237877683697"/>
    <s v="0% - 30%"/>
    <n v="3.338738850851959E-5"/>
    <s v="N.D."/>
    <s v="N.D."/>
    <s v="N.D."/>
    <n v="0.9508355329552487"/>
    <s v="Aceptable"/>
    <n v="3"/>
    <s v="Candidato"/>
    <n v="0"/>
    <n v="0"/>
  </r>
  <r>
    <n v="41503"/>
    <s v="41503"/>
    <x v="19"/>
    <x v="19"/>
    <s v="OPORAPA"/>
    <n v="56.291833333333301"/>
    <n v="54.05"/>
    <n v="33.26"/>
    <n v="71.709999999999994"/>
    <n v="49.845874001751937"/>
    <n v="46.512224530959443"/>
    <n v="53.67262684040989"/>
    <n v="54.109000000000002"/>
    <n v="53.827958333333328"/>
    <n v="51.03493134328032"/>
    <n v="52.431444838306824"/>
    <n v="52.194439516800436"/>
    <n v="47.805560483199564"/>
    <n v="0.53025004434879608"/>
    <n v="0"/>
    <n v="27.80177595078365"/>
    <n v="4"/>
    <n v="4"/>
    <b v="1"/>
    <x v="5"/>
    <n v="49.028574956810608"/>
    <n v="0.54013370715918474"/>
    <n v="26.48198594815408"/>
    <n v="4"/>
    <n v="0"/>
    <n v="3.4028698814962155"/>
    <n v="-9.8836628103886603E-3"/>
    <n v="1.3197900026295706"/>
    <n v="3"/>
    <b v="0"/>
    <n v="0"/>
    <n v="0.81759069605862034"/>
    <n v="40.085306725701024"/>
    <n v="0.33079892140049955"/>
    <n v="4"/>
    <n v="0"/>
    <n v="33.079892140049957"/>
    <n v="4"/>
    <n v="-0.28734065170982426"/>
    <b v="1"/>
    <n v="0"/>
    <n v="3"/>
    <n v="-1"/>
    <n v="0"/>
    <n v="0"/>
    <n v="0"/>
    <n v="0"/>
    <n v="0"/>
    <s v="Rural"/>
    <n v="6"/>
    <s v="Fuera SC"/>
    <m/>
    <s v="No"/>
    <s v="Si"/>
    <n v="58.5"/>
    <n v="18.405184051840518"/>
    <n v="9.8387499999999992"/>
    <s v="Bajo"/>
    <n v="4.3218285216990306"/>
    <s v="Medio Bajo"/>
    <n v="33848.123671000001"/>
    <n v="4753.4871810000004"/>
    <n v="12309"/>
    <n v="2.7498678748070517"/>
    <n v="0.38617980185230322"/>
    <m/>
    <m/>
    <m/>
    <m/>
    <m/>
    <m/>
    <m/>
    <n v="54"/>
    <n v="0"/>
    <n v="7"/>
    <n v="15582.073723"/>
    <n v="9608.9837549999993"/>
    <n v="0.61666912413696318"/>
    <s v="51% - 70%"/>
    <n v="2.7956156008487979E-4"/>
    <n v="153.149619"/>
    <n v="9.8285774873432107E-3"/>
    <s v="0% - 30%"/>
    <n v="0.89352003989603035"/>
    <s v="Aceptable"/>
    <n v="2"/>
    <s v="Candidato"/>
    <n v="0"/>
    <n v="0"/>
  </r>
  <r>
    <n v="23574"/>
    <s v="23574"/>
    <x v="14"/>
    <x v="14"/>
    <s v="PUERTO ESCONDIDO"/>
    <n v="40.959933333333296"/>
    <n v="29.83"/>
    <n v="32.76"/>
    <n v="41.21"/>
    <n v="64.493972922140443"/>
    <n v="60.057440543687576"/>
    <n v="52.59358029514398"/>
    <n v="64.830500000000001"/>
    <n v="36.189983333333323"/>
    <n v="60.493873440243"/>
    <n v="48.341928386788162"/>
    <n v="52.787180832362679"/>
    <n v="47.212819167637321"/>
    <n v="0.52491537250873588"/>
    <n v="0"/>
    <n v="25.37542134694154"/>
    <n v="4"/>
    <n v="4"/>
    <b v="1"/>
    <x v="5"/>
    <n v="48.725199376678887"/>
    <n v="0.54100248266301254"/>
    <n v="26.360453831033549"/>
    <n v="4"/>
    <n v="0"/>
    <n v="-0.38327098989072539"/>
    <n v="-1.6087110154276663E-2"/>
    <n v="-0.9850324840920095"/>
    <n v="4"/>
    <b v="1"/>
    <n v="0"/>
    <n v="0.81759069605862034"/>
    <n v="39.837269673973942"/>
    <n v="0.32769623933909081"/>
    <n v="4"/>
    <n v="0"/>
    <n v="32.769623933909081"/>
    <n v="4"/>
    <n v="-0.29267532354988446"/>
    <b v="1"/>
    <n v="0"/>
    <n v="4"/>
    <n v="0"/>
    <n v="0"/>
    <n v="0"/>
    <n v="0"/>
    <n v="0"/>
    <n v="0"/>
    <s v="Rural"/>
    <n v="6"/>
    <s v="Fuera SC"/>
    <m/>
    <s v="No"/>
    <s v="Si"/>
    <n v="67.900000000000006"/>
    <n v="73.790695286022384"/>
    <n v="78.984999999999999"/>
    <s v="Alto"/>
    <n v="1.3545554195898946"/>
    <s v="Medio Bajo"/>
    <n v="68191.864415000004"/>
    <n v="11249.5535385"/>
    <n v="24650"/>
    <n v="2.7664042359026371"/>
    <n v="0.45637134030425963"/>
    <m/>
    <m/>
    <m/>
    <m/>
    <m/>
    <m/>
    <m/>
    <n v="56"/>
    <n v="0"/>
    <n v="7"/>
    <n v="41117.702839999998"/>
    <n v="773.58755499999995"/>
    <n v="1.8813977960058625E-2"/>
    <s v="0% - 30%"/>
    <n v="2.2506578141056267E-5"/>
    <s v="N.D."/>
    <s v="N.D."/>
    <s v="N.D."/>
    <n v="0.87011614142799254"/>
    <s v="Aceptable"/>
    <n v="2"/>
    <s v="Candidato"/>
    <n v="0"/>
    <n v="0"/>
  </r>
  <r>
    <n v="41548"/>
    <s v="41548"/>
    <x v="19"/>
    <x v="19"/>
    <s v="PITAL"/>
    <n v="60.6850666666667"/>
    <n v="51.83"/>
    <n v="29.17"/>
    <n v="59.49"/>
    <n v="55.120851322339263"/>
    <n v="50.638397561360733"/>
    <n v="56.051888755208182"/>
    <n v="56.109000000000002"/>
    <n v="50.293766666666677"/>
    <n v="54.480034409727047"/>
    <n v="52.386900538196862"/>
    <n v="52.124309155787252"/>
    <n v="47.875690844212748"/>
    <n v="0.53088121759791473"/>
    <n v="0"/>
    <n v="27.811221543898803"/>
    <n v="4"/>
    <n v="4"/>
    <b v="1"/>
    <x v="5"/>
    <n v="51.988932511874864"/>
    <n v="0.54089463783744063"/>
    <n v="28.120534822565698"/>
    <n v="3"/>
    <n v="-1"/>
    <n v="0.39796802632199757"/>
    <n v="-1.0013420239525894E-2"/>
    <n v="-0.30931327866689529"/>
    <n v="3"/>
    <b v="0"/>
    <s v="Cambio en corte"/>
    <n v="0.81759069605862034"/>
    <n v="42.505667519728405"/>
    <n v="0.36107508363302193"/>
    <n v="3"/>
    <n v="-1"/>
    <n v="36.107508363302195"/>
    <n v="4"/>
    <n v="-0.2867094784607056"/>
    <b v="1"/>
    <s v="Efecto ponderador"/>
    <n v="3"/>
    <n v="-1"/>
    <n v="0"/>
    <n v="0"/>
    <n v="0"/>
    <n v="0"/>
    <n v="0"/>
    <s v="Intermedio"/>
    <n v="6"/>
    <s v="Fuera SC"/>
    <m/>
    <s v="No"/>
    <s v="Si"/>
    <n v="43.9"/>
    <n v="15.742104401898215"/>
    <n v="2.1500000000000004"/>
    <s v="Sin riesgo"/>
    <n v="7.6576272466583415"/>
    <s v="Medio"/>
    <n v="29663.437363000001"/>
    <n v="4692.7780563000006"/>
    <n v="14641"/>
    <n v="2.0260526851307969"/>
    <n v="0.32052305554948435"/>
    <m/>
    <m/>
    <m/>
    <m/>
    <m/>
    <m/>
    <m/>
    <n v="30"/>
    <n v="0"/>
    <n v="7"/>
    <n v="19364.325081999999"/>
    <n v="11345.468967999999"/>
    <n v="0.58589539888204611"/>
    <s v="51% - 70%"/>
    <n v="3.3008246089897479E-4"/>
    <n v="0.52910900000000005"/>
    <n v="2.7323906088099623E-5"/>
    <n v="0"/>
    <n v="0.8878059885666596"/>
    <s v="Aceptable"/>
    <n v="1"/>
    <s v="Candidato"/>
    <n v="0"/>
    <n v="0"/>
  </r>
  <r>
    <n v="41319"/>
    <s v="41319"/>
    <x v="19"/>
    <x v="19"/>
    <s v="GUADALUPE"/>
    <n v="55.6689333333333"/>
    <n v="60.82"/>
    <n v="57.67"/>
    <n v="62.79"/>
    <n v="61.732489893082118"/>
    <n v="64.498698319733336"/>
    <n v="47.667483041812986"/>
    <n v="49.047800000000002"/>
    <n v="59.237233333333329"/>
    <n v="55.736617813657105"/>
    <n v="57.486925573495213"/>
    <n v="52.326552030976991"/>
    <n v="47.673447969023009"/>
    <n v="0.52906103172120711"/>
    <n v="0"/>
    <n v="30.414092154393622"/>
    <n v="3"/>
    <n v="3"/>
    <b v="1"/>
    <x v="4"/>
    <n v="58.530895054925054"/>
    <n v="0.54095688569376754"/>
    <n v="31.662690705780996"/>
    <n v="3"/>
    <n v="0"/>
    <n v="-1.0439694814298406"/>
    <n v="-1.1895853972560433E-2"/>
    <n v="-1.2485985513873743"/>
    <n v="3"/>
    <b v="1"/>
    <n v="0"/>
    <n v="0.81759069605862034"/>
    <n v="47.854315228890236"/>
    <n v="0.42798102846851777"/>
    <n v="3"/>
    <n v="0"/>
    <n v="42.798102846851776"/>
    <n v="4"/>
    <n v="-0.28852966433741323"/>
    <b v="0"/>
    <n v="0"/>
    <n v="3"/>
    <n v="0"/>
    <n v="0"/>
    <n v="0"/>
    <n v="0"/>
    <n v="0"/>
    <n v="0"/>
    <s v="Rural"/>
    <n v="6"/>
    <s v="Fuera SC"/>
    <m/>
    <s v="No"/>
    <s v="Si"/>
    <n v="43.2"/>
    <n v="18.450393700787401"/>
    <n v="0"/>
    <s v="Sin riesgo"/>
    <n v="3.1390533042290993"/>
    <s v="Medio Bajo"/>
    <n v="37809.588066999997"/>
    <n v="6441.4344388999998"/>
    <n v="18490"/>
    <n v="2.0448668505678742"/>
    <n v="0.34837395559221201"/>
    <m/>
    <m/>
    <m/>
    <m/>
    <m/>
    <m/>
    <m/>
    <n v="30"/>
    <n v="0"/>
    <n v="7"/>
    <n v="24953.561624000002"/>
    <n v="18796.859832999999"/>
    <n v="0.75327362547402577"/>
    <s v="71% - 100%"/>
    <n v="5.4687151041086276E-4"/>
    <s v="N.D."/>
    <s v="N.D."/>
    <s v="N.D."/>
    <n v="0.94794945547741849"/>
    <s v="Aceptable"/>
    <n v="2"/>
    <s v="Candidato"/>
    <n v="0"/>
    <n v="0"/>
  </r>
  <r>
    <n v="19622"/>
    <s v="19622"/>
    <x v="13"/>
    <x v="13"/>
    <s v="ROSAS"/>
    <n v="74.436300000000003"/>
    <n v="84.13"/>
    <n v="84.67"/>
    <n v="91.25"/>
    <n v="58.477336719103405"/>
    <n v="52.267614700682635"/>
    <n v="51.071963666123686"/>
    <n v="44.028599999999997"/>
    <n v="83.621575000000007"/>
    <n v="51.461378771477428"/>
    <n v="67.541476885738717"/>
    <n v="52.300968867312214"/>
    <n v="47.699031132687786"/>
    <n v="0.52929128019419014"/>
    <n v="0"/>
    <n v="35.749114767058948"/>
    <n v="3"/>
    <n v="3"/>
    <b v="1"/>
    <x v="3"/>
    <n v="66.034831012703222"/>
    <n v="0.54014273909455457"/>
    <n v="35.668234498847561"/>
    <n v="2"/>
    <n v="0"/>
    <n v="1.5066458730354952"/>
    <n v="-1.085145890036443E-2"/>
    <n v="8.0880268211387829E-2"/>
    <n v="2"/>
    <b v="1"/>
    <n v="0"/>
    <n v="0.81759069605862034"/>
    <n v="53.989463451789398"/>
    <n v="0.5047252656811807"/>
    <n v="2"/>
    <n v="0"/>
    <n v="50.47252656811807"/>
    <n v="3"/>
    <n v="-0.2882994158644302"/>
    <b v="0"/>
    <n v="0"/>
    <n v="3"/>
    <n v="1"/>
    <n v="0"/>
    <n v="0"/>
    <n v="0"/>
    <n v="0"/>
    <n v="0"/>
    <s v="Rural"/>
    <n v="6"/>
    <s v="Fuera SC"/>
    <m/>
    <s v="No"/>
    <s v="No"/>
    <n v="43.2"/>
    <n v="18.155526992287918"/>
    <n v="8.2816666666666663"/>
    <s v="Bajo"/>
    <n v="22.817096552618732"/>
    <s v="Muy Alto"/>
    <n v="14594.603327000001"/>
    <n v="3392.9834125000002"/>
    <n v="12028"/>
    <n v="1.2133857105919521"/>
    <n v="0.28209040675922847"/>
    <m/>
    <m/>
    <m/>
    <m/>
    <m/>
    <m/>
    <m/>
    <n v="46"/>
    <n v="0"/>
    <n v="7"/>
    <n v="16918.014598999998"/>
    <n v="11052.864089000001"/>
    <n v="0.65331921924534342"/>
    <s v="51% - 70%"/>
    <n v="3.2156948194642717E-4"/>
    <n v="21.945988"/>
    <n v="1.2971964216946118E-3"/>
    <s v="0% - 30%"/>
    <n v="0.96856442946942911"/>
    <s v="Aceptable"/>
    <n v="2"/>
    <s v="Candidato"/>
    <n v="0"/>
    <n v="0"/>
  </r>
  <r>
    <n v="25488"/>
    <s v="25488"/>
    <x v="5"/>
    <x v="5"/>
    <s v="NILO"/>
    <n v="71.174166666666693"/>
    <n v="64.5"/>
    <n v="77.099999999999994"/>
    <n v="84.23"/>
    <n v="53.054630733107288"/>
    <n v="60.854191590744236"/>
    <n v="66.013063806198119"/>
    <n v="65.307699999999997"/>
    <n v="74.251041666666666"/>
    <n v="61.307396532512414"/>
    <n v="67.77921909958954"/>
    <n v="53.264650774134239"/>
    <n v="46.735349225865761"/>
    <n v="0.52061814303279186"/>
    <n v="0"/>
    <n v="35.287091183841042"/>
    <n v="3"/>
    <n v="3"/>
    <b v="1"/>
    <x v="4"/>
    <n v="65.812284880166104"/>
    <n v="0.53990519412429427"/>
    <n v="35.532394443989439"/>
    <n v="2"/>
    <n v="-1"/>
    <n v="1.966934219423436"/>
    <n v="-1.9287051091502416E-2"/>
    <n v="-0.24530326014839687"/>
    <n v="2"/>
    <b v="0"/>
    <s v="Cambio en corte"/>
    <n v="0.81759069605862034"/>
    <n v="53.807511804383218"/>
    <n v="0.5024492423672442"/>
    <n v="2"/>
    <n v="-1"/>
    <n v="50.244924236724422"/>
    <n v="3"/>
    <n v="-0.29697255302582848"/>
    <b v="1"/>
    <s v="Efecto ponderador"/>
    <n v="2"/>
    <n v="-1"/>
    <n v="0"/>
    <n v="0"/>
    <n v="0"/>
    <n v="0"/>
    <n v="0"/>
    <s v="Intermedio"/>
    <n v="6"/>
    <s v="Fuera SC"/>
    <m/>
    <s v="No"/>
    <s v="No"/>
    <n v="22.1"/>
    <n v="7.916666666666667"/>
    <n v="5.2458564515515675"/>
    <s v="Bajo"/>
    <n v="0.66766049825988893"/>
    <s v="Medio Bajo"/>
    <n v="30717.324063"/>
    <n v="18287.202549000001"/>
    <n v="11030"/>
    <n v="2.7848888543064372"/>
    <n v="1.6579512737080691"/>
    <m/>
    <m/>
    <m/>
    <m/>
    <m/>
    <m/>
    <m/>
    <n v="55"/>
    <n v="0"/>
    <n v="7"/>
    <n v="22445.324314000001"/>
    <n v="6904.0923039999998"/>
    <n v="0.30759601453803254"/>
    <s v="31% - 50%"/>
    <n v="2.0086607124004369E-4"/>
    <s v="N.D."/>
    <s v="N.D."/>
    <s v="N.D."/>
    <n v="0.96295844950710796"/>
    <s v="Aceptable"/>
    <n v="3"/>
    <s v="Candidato"/>
    <n v="0"/>
    <n v="0"/>
  </r>
  <r>
    <n v="70708"/>
    <s v="70708"/>
    <x v="9"/>
    <x v="9"/>
    <s v="SAN MARCOS"/>
    <n v="59.467399999999998"/>
    <n v="30.88"/>
    <n v="26.05"/>
    <n v="34.76"/>
    <n v="44.206552395650597"/>
    <n v="48.032210146123518"/>
    <n v="60.721729128134299"/>
    <n v="61.958100000000002"/>
    <n v="37.789349999999999"/>
    <n v="53.729647917477109"/>
    <n v="45.759498958738554"/>
    <n v="51.701625562366175"/>
    <n v="48.298374437633825"/>
    <n v="0.53468536993870441"/>
    <n v="0"/>
    <n v="24.466934628962882"/>
    <n v="4"/>
    <n v="4"/>
    <b v="1"/>
    <x v="5"/>
    <n v="47.614358427839917"/>
    <n v="0.54007054976485369"/>
    <n v="25.715112732824299"/>
    <n v="4"/>
    <n v="0"/>
    <n v="-1.8548594691013633"/>
    <n v="-5.3851798261492778E-3"/>
    <n v="-1.2481781038614166"/>
    <n v="4"/>
    <b v="1"/>
    <n v="0"/>
    <n v="0.81759069605862034"/>
    <n v="38.929056449402275"/>
    <n v="0.31633544924667661"/>
    <n v="4"/>
    <n v="0"/>
    <n v="31.63354492466766"/>
    <n v="4"/>
    <n v="-0.28290532611991592"/>
    <b v="1"/>
    <n v="0"/>
    <n v="3"/>
    <n v="-1"/>
    <n v="0"/>
    <n v="0"/>
    <n v="0"/>
    <n v="0"/>
    <n v="0"/>
    <s v="Intermedio"/>
    <n v="6"/>
    <s v="Fuera SC"/>
    <m/>
    <s v="No"/>
    <s v="Si"/>
    <n v="59.1"/>
    <n v="30.154740692112913"/>
    <n v="7.75"/>
    <s v="Bajo"/>
    <n v="2.3570768045765247"/>
    <s v="Medio Bajo"/>
    <n v="174851.18603300001"/>
    <n v="22957.770887999999"/>
    <n v="64076"/>
    <n v="2.7288093206972972"/>
    <n v="0.35828970110493785"/>
    <m/>
    <m/>
    <m/>
    <m/>
    <m/>
    <m/>
    <m/>
    <n v="10"/>
    <n v="0"/>
    <n v="6"/>
    <n v="96979.218571999998"/>
    <n v="9968.614227"/>
    <n v="0.1027912409873568"/>
    <s v="0% - 30%"/>
    <n v="2.900245662018448E-4"/>
    <s v="N.D."/>
    <s v="N.D."/>
    <s v="N.D."/>
    <n v="0.93328193230683576"/>
    <s v="Aceptable"/>
    <n v="2"/>
    <s v="Candidato"/>
    <n v="0"/>
    <n v="0"/>
  </r>
  <r>
    <n v="5690"/>
    <s v="05690"/>
    <x v="1"/>
    <x v="1"/>
    <s v="SANTO DOMINGO"/>
    <n v="59.25"/>
    <n v="59.85"/>
    <n v="57.14"/>
    <n v="57.54"/>
    <n v="50.482337186930984"/>
    <n v="60.295310022704228"/>
    <n v="66.08326903030266"/>
    <n v="60.094499999999996"/>
    <n v="58.445"/>
    <n v="59.238854059984462"/>
    <n v="58.841927029992235"/>
    <n v="51.032002892183705"/>
    <n v="48.967997107816295"/>
    <n v="0.54071197397034665"/>
    <n v="0"/>
    <n v="31.816534516606197"/>
    <n v="3"/>
    <n v="3"/>
    <b v="1"/>
    <x v="4"/>
    <n v="57.889459753177562"/>
    <n v="0.54389160761262101"/>
    <n v="31.485591328981865"/>
    <n v="3"/>
    <n v="0"/>
    <n v="0.95246727681467291"/>
    <n v="-3.1796336422743599E-3"/>
    <n v="0.33094318762433161"/>
    <n v="3"/>
    <b v="1"/>
    <n v="0"/>
    <n v="0.81759069605862034"/>
    <n v="47.329883694057933"/>
    <n v="0.42142094277071007"/>
    <n v="3"/>
    <n v="0"/>
    <n v="42.14209427707101"/>
    <n v="4"/>
    <n v="-0.27687872208827369"/>
    <b v="0"/>
    <n v="0"/>
    <n v="2"/>
    <n v="-1"/>
    <n v="0"/>
    <n v="0"/>
    <n v="0"/>
    <n v="0"/>
    <n v="1"/>
    <s v="Rural disperso"/>
    <n v="6"/>
    <s v="Fuera SC"/>
    <m/>
    <s v="No"/>
    <s v="Si"/>
    <n v="41.5"/>
    <n v="11.544117647058824"/>
    <n v="39.456316301406702"/>
    <s v="Alto"/>
    <n v="9.9725899822998603"/>
    <s v="Medio"/>
    <n v="40288.905963999998"/>
    <n v="9108.5714136000006"/>
    <n v="13434"/>
    <n v="2.9990253062379035"/>
    <n v="0.67802377650736945"/>
    <m/>
    <m/>
    <m/>
    <m/>
    <m/>
    <m/>
    <m/>
    <n v="72"/>
    <n v="0"/>
    <n v="7"/>
    <n v="26576.73847"/>
    <n v="1597.6866829999999"/>
    <n v="6.0115980175802206E-2"/>
    <s v="0% - 30%"/>
    <n v="4.6482728352402845E-5"/>
    <s v="N.D."/>
    <s v="N.D."/>
    <s v="N.D."/>
    <n v="0.9252968504795831"/>
    <s v="Aceptable"/>
    <n v="2"/>
    <s v="Candidato"/>
    <n v="0"/>
    <n v="0"/>
  </r>
  <r>
    <n v="20400"/>
    <s v="20400"/>
    <x v="20"/>
    <x v="20"/>
    <s v="LA JAGUA DE IBIRICO"/>
    <n v="73.787166666666707"/>
    <n v="65.22"/>
    <n v="63.56"/>
    <n v="77.760000000000005"/>
    <n v="69.801824736229392"/>
    <n v="68.163857862309385"/>
    <n v="72.918099715939093"/>
    <n v="73.552000000000007"/>
    <n v="70.081791666666675"/>
    <n v="71.108945578619469"/>
    <n v="70.595368622643065"/>
    <n v="51.36025892199374"/>
    <n v="48.63974107800626"/>
    <n v="0.53775766970205641"/>
    <n v="0"/>
    <n v="37.963200922270204"/>
    <n v="3"/>
    <n v="3"/>
    <b v="1"/>
    <x v="3"/>
    <n v="67.789426289245981"/>
    <n v="0.54035234509272201"/>
    <n v="36.630175467884285"/>
    <n v="2"/>
    <n v="0"/>
    <n v="2.8059423333970841"/>
    <n v="-2.5946753906656017E-3"/>
    <n v="1.3330254543859184"/>
    <n v="2"/>
    <b v="1"/>
    <n v="0"/>
    <n v="0.81759069605862034"/>
    <n v="55.424004225239159"/>
    <n v="0.52266985860852833"/>
    <n v="2"/>
    <n v="0"/>
    <n v="52.266985860852834"/>
    <n v="3"/>
    <n v="-0.27983302635656393"/>
    <b v="0"/>
    <n v="0"/>
    <n v="2"/>
    <n v="0"/>
    <n v="0"/>
    <n v="0"/>
    <n v="0"/>
    <n v="1"/>
    <n v="1"/>
    <s v="Intermedio"/>
    <n v="5"/>
    <s v="Fuera SC"/>
    <m/>
    <s v="No"/>
    <s v="Si"/>
    <n v="32.6"/>
    <n v="21.279577426831239"/>
    <n v="6.2892857142857128"/>
    <s v="Bajo"/>
    <n v="0.68354877556395754"/>
    <s v="Medio Bajo"/>
    <n v="190219.508764"/>
    <n v="36426.9298576"/>
    <n v="58996"/>
    <n v="3.2242780656993695"/>
    <n v="0.61744745165095938"/>
    <m/>
    <m/>
    <m/>
    <m/>
    <m/>
    <m/>
    <m/>
    <n v="47"/>
    <n v="0"/>
    <n v="7"/>
    <n v="75481.560563999999"/>
    <n v="28610.555369000002"/>
    <n v="0.37904032660720388"/>
    <s v="31% - 50%"/>
    <n v="8.3238890789991507E-4"/>
    <s v="N.D."/>
    <s v="N.D."/>
    <s v="N.D."/>
    <n v="0.89323905645216217"/>
    <s v="Aceptable"/>
    <n v="3"/>
    <s v="Candidato"/>
    <n v="1"/>
    <s v="Zona de Fronteras"/>
  </r>
  <r>
    <n v="73352"/>
    <s v="73352"/>
    <x v="15"/>
    <x v="15"/>
    <s v="ICONONZO"/>
    <n v="50.550933333333298"/>
    <n v="49.27"/>
    <n v="56.77"/>
    <n v="48.83"/>
    <n v="49.439191899069939"/>
    <n v="53.976264347132272"/>
    <n v="48.087526718962323"/>
    <n v="45.710700000000003"/>
    <n v="51.355233333333331"/>
    <n v="49.303420741291134"/>
    <n v="50.329327037312233"/>
    <n v="52.303344101938251"/>
    <n v="47.696655898061749"/>
    <n v="0.52926990308255573"/>
    <n v="0"/>
    <n v="26.637798043248498"/>
    <n v="4"/>
    <n v="4"/>
    <b v="1"/>
    <x v="5"/>
    <n v="50.771841932464802"/>
    <n v="0.53903656570103775"/>
    <n v="27.367879309591768"/>
    <n v="4"/>
    <n v="0"/>
    <n v="-0.44251489515256992"/>
    <n v="-9.7666626184820249E-3"/>
    <n v="-0.73008126634326942"/>
    <n v="4"/>
    <b v="1"/>
    <n v="0"/>
    <n v="0.81759069605862034"/>
    <n v="41.510585585742149"/>
    <n v="0.34862765755408204"/>
    <n v="4"/>
    <n v="0"/>
    <n v="34.862765755408205"/>
    <n v="4"/>
    <n v="-0.28832079297606461"/>
    <b v="1"/>
    <n v="0"/>
    <n v="4"/>
    <n v="0"/>
    <n v="0"/>
    <n v="0"/>
    <n v="0"/>
    <n v="0"/>
    <n v="0"/>
    <s v="Intermedio"/>
    <n v="6"/>
    <s v="Fuera SC"/>
    <m/>
    <s v="No"/>
    <s v="No"/>
    <n v="33.700000000000003"/>
    <n v="13.428199218358554"/>
    <n v="33.858536752677963"/>
    <s v="Medio"/>
    <n v="2.6071405617709713"/>
    <s v="Medio Bajo"/>
    <n v="22590.393832000002"/>
    <n v="5465.9231858000003"/>
    <n v="12415"/>
    <n v="1.819604819331454"/>
    <n v="0.44026767505436976"/>
    <m/>
    <m/>
    <m/>
    <m/>
    <m/>
    <m/>
    <m/>
    <n v="78"/>
    <n v="0"/>
    <n v="7"/>
    <n v="21497.355781999999"/>
    <n v="11830.799601999999"/>
    <n v="0.55033743321613882"/>
    <s v="51% - 70%"/>
    <n v="3.4420255857604945E-4"/>
    <s v="N.D."/>
    <s v="N.D."/>
    <s v="N.D."/>
    <n v="0.96613223354119815"/>
    <s v="Aceptable"/>
    <n v="1"/>
    <s v="Candidato"/>
    <n v="0"/>
    <n v="0"/>
  </r>
  <r>
    <n v="52356"/>
    <s v="52356"/>
    <x v="18"/>
    <x v="18"/>
    <s v="IPIALES"/>
    <n v="71.155833333333305"/>
    <n v="67.099999999999994"/>
    <n v="60.76"/>
    <n v="66.22"/>
    <n v="47.648098218883327"/>
    <n v="51.613743323379168"/>
    <n v="55.672130971042691"/>
    <n v="48.900599999999997"/>
    <n v="66.308958333333322"/>
    <n v="50.958643128326294"/>
    <n v="58.633800730829805"/>
    <n v="52.165911244785434"/>
    <n v="47.834088755214566"/>
    <n v="0.53050679879693108"/>
    <n v="0"/>
    <n v="31.105629927009677"/>
    <n v="3"/>
    <n v="3"/>
    <b v="1"/>
    <x v="4"/>
    <n v="58.435569468010399"/>
    <n v="0.53886008268911523"/>
    <n v="31.488595795517622"/>
    <n v="3"/>
    <n v="0"/>
    <n v="0.19823126281940517"/>
    <n v="-8.353283892184149E-3"/>
    <n v="-0.38296586850794512"/>
    <n v="3"/>
    <b v="1"/>
    <n v="0"/>
    <n v="0.81759069605862034"/>
    <n v="47.776377915932486"/>
    <n v="0.42700611483708789"/>
    <n v="3"/>
    <n v="0"/>
    <n v="42.700611483708791"/>
    <n v="4"/>
    <n v="-0.28708389726168926"/>
    <b v="0"/>
    <n v="0"/>
    <n v="3"/>
    <n v="0"/>
    <n v="0"/>
    <n v="1"/>
    <n v="0"/>
    <n v="0"/>
    <n v="1"/>
    <s v="Ciudades y aglomeraciones"/>
    <n v="4"/>
    <s v="Uninodal"/>
    <m/>
    <s v="Si"/>
    <s v="Si"/>
    <n v="23.4"/>
    <n v="10.546056471443745"/>
    <n v="26.880135820091485"/>
    <s v="Medio"/>
    <n v="9.3732895833867822"/>
    <s v="Medio"/>
    <n v="359987.704685"/>
    <n v="49920.594084999997"/>
    <n v="121440"/>
    <n v="2.9643256314640976"/>
    <n v="0.41107208568017123"/>
    <m/>
    <m/>
    <m/>
    <m/>
    <m/>
    <m/>
    <m/>
    <n v="28"/>
    <n v="1"/>
    <n v="4"/>
    <n v="154304.646607"/>
    <n v="17134.904849999999"/>
    <n v="0.11104594208132341"/>
    <s v="0% - 30%"/>
    <n v="4.9851897494148419E-4"/>
    <n v="62822.851817000002"/>
    <n v="0.40713519131412895"/>
    <s v="31% - 50%"/>
    <n v="0.93044794484930593"/>
    <s v="Aceptable"/>
    <n v="2"/>
    <s v="Candidato"/>
    <n v="1"/>
    <s v="Unidad Especial de Desarrollo Fronterizo"/>
  </r>
  <r>
    <n v="5792"/>
    <s v="05792"/>
    <x v="1"/>
    <x v="1"/>
    <s v="TARSO"/>
    <n v="61.943833333333302"/>
    <n v="25.42"/>
    <n v="23.91"/>
    <n v="69.05"/>
    <n v="40.488378231786562"/>
    <n v="54.099405692593095"/>
    <n v="36.042949464723534"/>
    <n v="46.136499999999998"/>
    <n v="45.080958333333328"/>
    <n v="44.191808347275796"/>
    <n v="44.636383340304562"/>
    <n v="51.545652773590611"/>
    <n v="48.454347226409389"/>
    <n v="0.53608912503768447"/>
    <n v="0"/>
    <n v="23.929079689750548"/>
    <n v="4"/>
    <n v="4"/>
    <b v="1"/>
    <x v="5"/>
    <n v="43.87324840123388"/>
    <n v="0.5385345842048942"/>
    <n v="23.627261585476528"/>
    <n v="4"/>
    <n v="0"/>
    <n v="0.76313493907068164"/>
    <n v="-2.4454591672097292E-3"/>
    <n v="0.30181810427401956"/>
    <n v="4"/>
    <b v="1"/>
    <n v="0"/>
    <n v="0.81759069605862034"/>
    <n v="35.870359698717557"/>
    <n v="0.27807437706589327"/>
    <n v="4"/>
    <n v="0"/>
    <n v="27.807437706589326"/>
    <n v="4"/>
    <n v="-0.28150157102093587"/>
    <b v="1"/>
    <n v="0"/>
    <n v="3"/>
    <n v="-1"/>
    <n v="0"/>
    <n v="0"/>
    <n v="0"/>
    <n v="0"/>
    <n v="0"/>
    <s v="Intermedio"/>
    <n v="6"/>
    <s v="Fuera SC"/>
    <m/>
    <s v="No"/>
    <s v="Si"/>
    <n v="42.6"/>
    <n v="16.24158696422246"/>
    <n v="5.9156730499016428"/>
    <s v="Bajo"/>
    <n v="5.3139698656379375"/>
    <s v="Medio Bajo"/>
    <n v="16488.199068000002"/>
    <n v="6652.0656746000004"/>
    <n v="6530"/>
    <n v="2.5249922003062788"/>
    <n v="1.0186930588973966"/>
    <m/>
    <m/>
    <m/>
    <m/>
    <m/>
    <m/>
    <m/>
    <n v="83"/>
    <n v="0"/>
    <n v="7"/>
    <n v="12046.149568999999"/>
    <n v="2864.3505489999998"/>
    <n v="0.23778141991290097"/>
    <s v="0% - 30%"/>
    <n v="8.3334755113073034E-5"/>
    <s v="N.D."/>
    <s v="N.D."/>
    <s v="N.D."/>
    <n v="0.87206467412143673"/>
    <s v="Aceptable"/>
    <n v="2"/>
    <s v="Candidato"/>
    <n v="0"/>
    <n v="0"/>
  </r>
  <r>
    <n v="70233"/>
    <s v="70233"/>
    <x v="9"/>
    <x v="9"/>
    <s v="EL ROBLE"/>
    <n v="58.539866666666697"/>
    <n v="40.4"/>
    <n v="31.95"/>
    <n v="34.32"/>
    <n v="36.682134774557476"/>
    <n v="60.925752859696829"/>
    <n v="51.743390798067942"/>
    <n v="53.506599999999999"/>
    <n v="41.302466666666668"/>
    <n v="50.714469608080556"/>
    <n v="46.008468137373612"/>
    <n v="52.045796150162147"/>
    <n v="47.954203849837853"/>
    <n v="0.53158783464854065"/>
    <n v="0"/>
    <n v="24.457541952642813"/>
    <n v="4"/>
    <n v="4"/>
    <b v="1"/>
    <x v="5"/>
    <n v="47.566865493810624"/>
    <n v="0.53861492009232581"/>
    <n v="25.620223456991219"/>
    <n v="4"/>
    <n v="0"/>
    <n v="-1.5583973564370126"/>
    <n v="-7.0270854437851638E-3"/>
    <n v="-1.1626815043484058"/>
    <n v="4"/>
    <b v="1"/>
    <n v="0"/>
    <n v="0.81759069605862034"/>
    <n v="38.890226668411401"/>
    <n v="0.31584972961692798"/>
    <n v="4"/>
    <n v="0"/>
    <n v="31.584972961692799"/>
    <n v="4"/>
    <n v="-0.28600286141007969"/>
    <b v="1"/>
    <n v="0"/>
    <n v="3"/>
    <n v="-1"/>
    <n v="0"/>
    <n v="0"/>
    <n v="0"/>
    <n v="0"/>
    <n v="0"/>
    <s v="Intermedio"/>
    <n v="6"/>
    <s v="Fuera SC"/>
    <m/>
    <s v="No"/>
    <s v="No"/>
    <n v="64.3"/>
    <n v="34.723073778867771"/>
    <n v="15.384615384615385"/>
    <s v="Medio"/>
    <n v="9.3619000723013226"/>
    <s v="Medio"/>
    <n v="34557.857926999997"/>
    <n v="5507.7749852500001"/>
    <n v="10586"/>
    <n v="3.2644868625543166"/>
    <n v="0.52028858730870964"/>
    <m/>
    <m/>
    <m/>
    <m/>
    <m/>
    <m/>
    <m/>
    <n v="9"/>
    <n v="0"/>
    <n v="7"/>
    <n v="19836.216563999998"/>
    <n v="312.613564"/>
    <n v="1.5759737397067472E-2"/>
    <s v="0% - 30%"/>
    <n v="9.0951070252417575E-6"/>
    <s v="N.D."/>
    <s v="N.D."/>
    <s v="N.D."/>
    <n v="0.89653611071482953"/>
    <s v="Aceptable"/>
    <n v="1"/>
    <s v="Candidato"/>
    <n v="0"/>
    <n v="0"/>
  </r>
  <r>
    <n v="5670"/>
    <s v="05670"/>
    <x v="1"/>
    <x v="1"/>
    <s v="SAN ROQUE"/>
    <n v="63.4577666666667"/>
    <n v="71.78"/>
    <n v="59.84"/>
    <n v="87.42"/>
    <n v="60.340521112716665"/>
    <n v="52.437495599212696"/>
    <n v="56.11470315517856"/>
    <n v="53.983499999999999"/>
    <n v="70.624441666666669"/>
    <n v="55.71905496677698"/>
    <n v="63.171748316721825"/>
    <n v="51.173136609341519"/>
    <n v="48.826863390658481"/>
    <n v="0.53944177051592634"/>
    <n v="0"/>
    <n v="34.077479758558908"/>
    <n v="3"/>
    <n v="3"/>
    <b v="1"/>
    <x v="4"/>
    <n v="61.166731921847749"/>
    <n v="0.53967901123080897"/>
    <n v="33.010401403802753"/>
    <n v="3"/>
    <n v="0"/>
    <n v="2.005016394874076"/>
    <n v="-2.3724071488262499E-4"/>
    <n v="1.0670783547561555"/>
    <n v="3"/>
    <b v="1"/>
    <n v="0"/>
    <n v="0.81759069605862034"/>
    <n v="50.009350927614534"/>
    <n v="0.45493825343781136"/>
    <n v="3"/>
    <n v="0"/>
    <n v="45.493825343781133"/>
    <n v="4"/>
    <n v="-0.27814892554269399"/>
    <b v="0"/>
    <n v="0"/>
    <n v="2"/>
    <n v="-1"/>
    <n v="0"/>
    <n v="0"/>
    <n v="0"/>
    <n v="0"/>
    <n v="0"/>
    <s v="Intermedio"/>
    <n v="6"/>
    <s v="Fuera SC"/>
    <m/>
    <s v="No"/>
    <s v="Si"/>
    <n v="40.799999999999997"/>
    <n v="14.845070422535212"/>
    <n v="56.66788015745896"/>
    <s v="Alto"/>
    <n v="3.8655596059633766"/>
    <s v="Medio Bajo"/>
    <n v="43232.097063000001"/>
    <n v="8776.6414262500002"/>
    <n v="24238"/>
    <n v="1.7836495198861293"/>
    <n v="0.36210254254682733"/>
    <m/>
    <m/>
    <m/>
    <m/>
    <m/>
    <m/>
    <m/>
    <n v="72"/>
    <n v="0"/>
    <n v="7"/>
    <n v="42452.722892999998"/>
    <n v="3059.322357"/>
    <n v="7.206421987844859E-2"/>
    <s v="0% - 30%"/>
    <n v="8.9007219986237936E-5"/>
    <s v="N.D."/>
    <s v="N.D."/>
    <s v="N.D."/>
    <n v="0.8907288004064251"/>
    <s v="Aceptable"/>
    <n v="2"/>
    <s v="Candidato"/>
    <n v="0"/>
    <n v="0"/>
  </r>
  <r>
    <n v="5091"/>
    <s v="05091"/>
    <x v="1"/>
    <x v="1"/>
    <s v="BETANIA"/>
    <n v="62.730333333333299"/>
    <n v="73.02"/>
    <n v="67.75"/>
    <n v="51.72"/>
    <n v="55.187577777578944"/>
    <n v="53.305152201515774"/>
    <n v="61.660266588104513"/>
    <n v="58.441899999999997"/>
    <n v="63.805083333333322"/>
    <n v="57.148724141799811"/>
    <n v="60.476903737566566"/>
    <n v="51.796983837082664"/>
    <n v="48.203016162917336"/>
    <n v="0.53382714546625598"/>
    <n v="0"/>
    <n v="32.284212888862704"/>
    <n v="3"/>
    <n v="3"/>
    <b v="1"/>
    <x v="4"/>
    <n v="61.161780327551952"/>
    <n v="0.53833163818961616"/>
    <n v="32.925321398324478"/>
    <n v="3"/>
    <n v="0"/>
    <n v="-0.68487658998538592"/>
    <n v="-4.5044927233601761E-3"/>
    <n v="-0.64110850946177322"/>
    <n v="3"/>
    <b v="1"/>
    <n v="0"/>
    <n v="0.81759069605862034"/>
    <n v="50.005302550187629"/>
    <n v="0.45488761250359283"/>
    <n v="3"/>
    <n v="0"/>
    <n v="45.488761250359282"/>
    <n v="4"/>
    <n v="-0.28376355059236436"/>
    <b v="0"/>
    <n v="0"/>
    <n v="3"/>
    <n v="0"/>
    <n v="0"/>
    <n v="0"/>
    <n v="0"/>
    <n v="0"/>
    <n v="0"/>
    <s v="Intermedio"/>
    <n v="6"/>
    <s v="Fuera SC"/>
    <m/>
    <s v="No"/>
    <s v="Si"/>
    <n v="53.6"/>
    <n v="16.218418907905459"/>
    <n v="23.643122946670506"/>
    <s v="Medio"/>
    <n v="6.9653255415280739"/>
    <s v="Medio"/>
    <n v="22048.810621000001"/>
    <n v="5941.8209804999997"/>
    <n v="10758"/>
    <n v="2.0495269214538019"/>
    <n v="0.55231650683212485"/>
    <m/>
    <m/>
    <m/>
    <m/>
    <m/>
    <m/>
    <m/>
    <n v="65"/>
    <n v="0"/>
    <n v="7"/>
    <n v="18052.637663000001"/>
    <n v="9030.0981539999993"/>
    <n v="0.50020935015539281"/>
    <s v="31% - 50%"/>
    <n v="2.6271959574686923E-4"/>
    <s v="N.D."/>
    <s v="N.D."/>
    <s v="N.D."/>
    <n v="0.96359502848744749"/>
    <s v="Aceptable"/>
    <n v="1"/>
    <s v="Candidato"/>
    <n v="0"/>
    <n v="0"/>
  </r>
  <r>
    <n v="19824"/>
    <s v="19824"/>
    <x v="13"/>
    <x v="13"/>
    <s v="TOTORÓ"/>
    <n v="84.477199999999996"/>
    <n v="69.88"/>
    <n v="70.94"/>
    <n v="68.680000000000007"/>
    <n v="43.75521401622894"/>
    <n v="38.639470299740445"/>
    <n v="55.074721742788398"/>
    <n v="41.996200000000002"/>
    <n v="73.494299999999996"/>
    <n v="44.866401514689443"/>
    <n v="59.180350757344719"/>
    <n v="52.387664596915769"/>
    <n v="47.612335403084231"/>
    <n v="0.52851101862775807"/>
    <n v="0"/>
    <n v="31.27746746151227"/>
    <n v="3"/>
    <n v="3"/>
    <b v="1"/>
    <x v="4"/>
    <n v="60.628417145692495"/>
    <n v="0.53821202143596847"/>
    <n v="32.63094294844629"/>
    <n v="3"/>
    <n v="0"/>
    <n v="-1.448066388347776"/>
    <n v="-9.7010028082104016E-3"/>
    <n v="-1.3534754869340198"/>
    <n v="3"/>
    <b v="1"/>
    <n v="0"/>
    <n v="0.81759069605862034"/>
    <n v="49.569229775079116"/>
    <n v="0.4494328017510178"/>
    <n v="3"/>
    <n v="0"/>
    <n v="44.943280175101776"/>
    <n v="4"/>
    <n v="-0.28907967743086227"/>
    <b v="0"/>
    <n v="0"/>
    <n v="3"/>
    <n v="0"/>
    <n v="0"/>
    <n v="0"/>
    <n v="0"/>
    <n v="0"/>
    <n v="0"/>
    <s v="Rural"/>
    <n v="6"/>
    <s v="Fuera SC"/>
    <m/>
    <s v="No"/>
    <s v="No"/>
    <n v="55.1"/>
    <n v="25.730713943459513"/>
    <n v="0.496"/>
    <s v="Sin riesgo"/>
    <n v="1.4397626715305349"/>
    <s v="Medio Bajo"/>
    <n v="42593.491045000002"/>
    <n v="4761.5658009999997"/>
    <n v="27100"/>
    <n v="1.5717155367158673"/>
    <n v="0.17570353509225092"/>
    <m/>
    <m/>
    <m/>
    <m/>
    <m/>
    <m/>
    <m/>
    <n v="46"/>
    <n v="0"/>
    <n v="7"/>
    <n v="40458.453629000003"/>
    <n v="14274.235482"/>
    <n v="0.35281218637008027"/>
    <s v="31% - 50%"/>
    <n v="4.1529131926052121E-4"/>
    <n v="4503.2981419999996"/>
    <n v="0.11130672920163474"/>
    <s v="0% - 30%"/>
    <n v="0.93470811745601079"/>
    <s v="Aceptable"/>
    <n v="2"/>
    <s v="Candidato"/>
    <n v="0"/>
    <n v="0"/>
  </r>
  <r>
    <n v="13780"/>
    <s v="13780"/>
    <x v="8"/>
    <x v="8"/>
    <s v="TALAIGUA NUEVO"/>
    <n v="48.610433333333297"/>
    <n v="49.12"/>
    <n v="39.479999999999997"/>
    <n v="43.85"/>
    <n v="39.817683658351086"/>
    <n v="45.907273741991844"/>
    <n v="38.746749611715671"/>
    <n v="39.045200000000001"/>
    <n v="45.265108333333323"/>
    <n v="40.879226753014649"/>
    <n v="43.07216754317399"/>
    <n v="51.864163398215027"/>
    <n v="48.135836601784973"/>
    <n v="0.53322252941606485"/>
    <n v="0"/>
    <n v="22.967050124803766"/>
    <n v="4"/>
    <n v="4"/>
    <b v="1"/>
    <x v="5"/>
    <n v="43.062010809562594"/>
    <n v="0.53719776502022687"/>
    <n v="23.132815964173876"/>
    <n v="4"/>
    <n v="0"/>
    <n v="1.0156733611395907E-2"/>
    <n v="-3.9752356041620196E-3"/>
    <n v="-0.1657658393701098"/>
    <n v="4"/>
    <b v="1"/>
    <n v="0"/>
    <n v="0.81759069605862034"/>
    <n v="35.207099391474117"/>
    <n v="0.26977768976454219"/>
    <n v="4"/>
    <n v="0"/>
    <n v="26.977768976454218"/>
    <n v="4"/>
    <n v="-0.28436816664255549"/>
    <b v="1"/>
    <n v="0"/>
    <n v="4"/>
    <n v="0"/>
    <n v="0"/>
    <n v="0"/>
    <n v="0"/>
    <n v="0"/>
    <n v="0"/>
    <s v="Intermedio"/>
    <n v="6"/>
    <s v="Fuera SC"/>
    <m/>
    <s v="No"/>
    <s v="No"/>
    <n v="50.7"/>
    <n v="26.344881276761384"/>
    <n v="26.630434782608695"/>
    <s v="Medio"/>
    <n v="1.1563733255505297"/>
    <s v="Medio Bajo"/>
    <n v="27797.952099999999"/>
    <n v="5011.7744034999996"/>
    <n v="14965"/>
    <n v="1.8575310457734713"/>
    <n v="0.33489972626127629"/>
    <m/>
    <m/>
    <m/>
    <m/>
    <m/>
    <m/>
    <m/>
    <n v="9"/>
    <n v="0"/>
    <n v="7"/>
    <n v="24909.437397000002"/>
    <n v="2791.205387"/>
    <n v="0.11205413203495966"/>
    <s v="0% - 30%"/>
    <n v="8.1206686617719314E-5"/>
    <s v="N.D."/>
    <s v="N.D."/>
    <s v="N.D."/>
    <n v="0.73552515707133792"/>
    <s v="Crítico Medio"/>
    <n v="0"/>
    <s v="Candidato"/>
    <n v="0"/>
    <n v="0"/>
  </r>
  <r>
    <n v="85001"/>
    <s v="85001"/>
    <x v="23"/>
    <x v="23"/>
    <s v="YOPAL"/>
    <n v="87.569500000000005"/>
    <n v="73.709999999999994"/>
    <n v="76.05"/>
    <n v="78.27"/>
    <n v="51.477159270722062"/>
    <n v="57.989391542450456"/>
    <n v="58.185882438548937"/>
    <n v="59.671399999999998"/>
    <n v="78.899874999999994"/>
    <n v="56.830958312930363"/>
    <n v="67.865416656465186"/>
    <n v="52.585562282026096"/>
    <n v="47.414437717973904"/>
    <n v="0.52672993946176516"/>
    <n v="0"/>
    <n v="35.746746807007376"/>
    <n v="3"/>
    <n v="3"/>
    <b v="1"/>
    <x v="3"/>
    <n v="68.569657684478358"/>
    <n v="0.53673201212719535"/>
    <n v="36.803530339863073"/>
    <n v="2"/>
    <n v="0"/>
    <n v="-0.7042410280131719"/>
    <n v="-1.0002072665430184E-2"/>
    <n v="-1.0567835328556967"/>
    <n v="2"/>
    <b v="1"/>
    <n v="0"/>
    <n v="0.81759069605862034"/>
    <n v="56.061914154753985"/>
    <n v="0.53064943940631137"/>
    <n v="2"/>
    <n v="0"/>
    <n v="53.064943940631139"/>
    <n v="3"/>
    <n v="-0.29086075659685517"/>
    <b v="0"/>
    <n v="0"/>
    <n v="2"/>
    <n v="0"/>
    <n v="1"/>
    <n v="0"/>
    <n v="0"/>
    <n v="0"/>
    <n v="0"/>
    <s v="Ciudades y aglomeraciones"/>
    <n v="1"/>
    <s v="Uninodal"/>
    <m/>
    <s v="Si"/>
    <s v="No"/>
    <n v="22.9"/>
    <n v="11.534975854166936"/>
    <n v="0.61257507494158425"/>
    <s v="Sin riesgo"/>
    <n v="1.1989092530548413"/>
    <s v="Medio Bajo"/>
    <n v="567204.24980800005"/>
    <n v="198153.10839820001"/>
    <n v="192468"/>
    <n v="2.9470054752374422"/>
    <n v="1.0295379408431533"/>
    <m/>
    <m/>
    <m/>
    <m/>
    <m/>
    <m/>
    <m/>
    <n v="41"/>
    <n v="1"/>
    <n v="3"/>
    <n v="247685.303629"/>
    <n v="32557.806872000001"/>
    <n v="0.13144827890461888"/>
    <s v="0% - 30%"/>
    <n v="9.472293339389189E-4"/>
    <s v="N.D."/>
    <s v="N.D."/>
    <s v="N.D."/>
    <n v="0.98005761530387403"/>
    <s v="Aceptable"/>
    <n v="2"/>
    <s v="Candidato"/>
    <n v="0"/>
    <n v="0"/>
  </r>
  <r>
    <n v="25281"/>
    <s v="25281"/>
    <x v="5"/>
    <x v="5"/>
    <s v="FOSCA"/>
    <n v="59.351100000000002"/>
    <n v="87.77"/>
    <n v="67.989999999999995"/>
    <n v="60.28"/>
    <n v="59.815682257801576"/>
    <n v="46.794682718978592"/>
    <n v="55.114526346011885"/>
    <n v="55.9026"/>
    <n v="68.847775000000013"/>
    <n v="54.40687283069802"/>
    <n v="61.627323915349017"/>
    <n v="53.815374338559316"/>
    <n v="46.184625661440684"/>
    <n v="0.51566163095296613"/>
    <n v="0"/>
    <n v="31.77884636145561"/>
    <n v="3"/>
    <n v="3"/>
    <b v="1"/>
    <x v="4"/>
    <n v="61.730699449342765"/>
    <n v="0.5361436988997087"/>
    <n v="33.096525538436843"/>
    <n v="3"/>
    <n v="0"/>
    <n v="-0.10337553399374855"/>
    <n v="-2.0482067946742566E-2"/>
    <n v="-1.3176791769812333"/>
    <n v="3"/>
    <b v="1"/>
    <n v="0"/>
    <n v="0.81759069605862034"/>
    <n v="50.470445530973642"/>
    <n v="0.46070606088630822"/>
    <n v="3"/>
    <n v="0"/>
    <n v="46.070606088630825"/>
    <n v="4"/>
    <n v="-0.3019290651056542"/>
    <b v="0"/>
    <n v="0"/>
    <n v="3"/>
    <n v="0"/>
    <n v="0"/>
    <n v="0"/>
    <n v="0"/>
    <n v="0"/>
    <n v="0"/>
    <s v="Intermedio"/>
    <n v="6"/>
    <s v="Fuera SC"/>
    <m/>
    <s v="No"/>
    <s v="No"/>
    <n v="45.2"/>
    <n v="13.342923934544146"/>
    <n v="9.3275663875348922"/>
    <s v="Bajo"/>
    <n v="0"/>
    <s v="Bajo"/>
    <n v="13750.882871"/>
    <n v="3108.5942192500002"/>
    <n v="5631"/>
    <n v="2.4419966029124489"/>
    <n v="0.55205011885100341"/>
    <m/>
    <m/>
    <m/>
    <m/>
    <m/>
    <m/>
    <m/>
    <n v="40"/>
    <n v="0"/>
    <n v="7"/>
    <n v="11105.589556999999"/>
    <n v="738.72816699999998"/>
    <n v="6.6518590769849756E-2"/>
    <s v="0% - 30%"/>
    <n v="2.1492387135913483E-5"/>
    <s v="N.D."/>
    <s v="N.D."/>
    <s v="N.D."/>
    <n v="0.77932098061302735"/>
    <s v="Crítico bajo"/>
    <n v="2"/>
    <s v="Candidato"/>
    <n v="0"/>
    <n v="0"/>
  </r>
  <r>
    <n v="15776"/>
    <s v="15776"/>
    <x v="10"/>
    <x v="10"/>
    <s v="SUTAMARCHÁN"/>
    <n v="77.018066666666698"/>
    <n v="89.51"/>
    <n v="73.87"/>
    <n v="70.349999999999994"/>
    <n v="52.698815870174961"/>
    <n v="57.980736364940626"/>
    <n v="64.332425358992197"/>
    <n v="58.367899999999999"/>
    <n v="77.687016666666665"/>
    <n v="58.344969398526942"/>
    <n v="68.015993032596811"/>
    <n v="53.136048041262207"/>
    <n v="46.863951958737793"/>
    <n v="0.52177556762864019"/>
    <n v="0"/>
    <n v="35.489083372408835"/>
    <n v="3"/>
    <n v="3"/>
    <b v="1"/>
    <x v="4"/>
    <n v="69.468089726266868"/>
    <n v="0.53469614881301264"/>
    <n v="37.144320042031701"/>
    <n v="2"/>
    <n v="-1"/>
    <n v="-1.4520966936700574"/>
    <n v="-1.2920581184372448E-2"/>
    <n v="-1.655236669622866"/>
    <n v="2"/>
    <b v="0"/>
    <s v="Cambio en corte"/>
    <n v="0.81759069605862034"/>
    <n v="56.796463833161219"/>
    <n v="0.53983788159484114"/>
    <n v="2"/>
    <n v="-1"/>
    <n v="53.983788159484114"/>
    <n v="3"/>
    <n v="-0.29581512842998015"/>
    <b v="1"/>
    <s v="Efecto ponderador"/>
    <n v="2"/>
    <n v="-1"/>
    <n v="0"/>
    <n v="0"/>
    <n v="0"/>
    <n v="0"/>
    <n v="0"/>
    <s v="Intermedio"/>
    <n v="6"/>
    <s v="Fuera SC"/>
    <m/>
    <s v="No"/>
    <s v="No"/>
    <n v="31.1"/>
    <n v="11.138140747176369"/>
    <n v="51.772018285174497"/>
    <s v="Alto"/>
    <n v="3.9084510306891578"/>
    <s v="Medio Bajo"/>
    <n v="16268.020195999999"/>
    <n v="4393.9618895000003"/>
    <n v="6304"/>
    <n v="2.5805869600253808"/>
    <n v="0.69701172105012699"/>
    <m/>
    <m/>
    <m/>
    <m/>
    <m/>
    <m/>
    <m/>
    <n v="68"/>
    <n v="0"/>
    <n v="7"/>
    <n v="10334.567000999999"/>
    <n v="5953.0862989999996"/>
    <n v="0.57603635434595024"/>
    <s v="51% - 70%"/>
    <n v="1.7319772158032578E-4"/>
    <s v="N.D."/>
    <s v="N.D."/>
    <s v="N.D."/>
    <n v="0.69231505433756646"/>
    <s v="Crítico Medio"/>
    <n v="1"/>
    <s v="Candidato"/>
    <n v="0"/>
    <n v="0"/>
  </r>
  <r>
    <n v="5093"/>
    <s v="05093"/>
    <x v="1"/>
    <x v="1"/>
    <s v="BETULIA"/>
    <n v="68.039266666666705"/>
    <n v="57.59"/>
    <n v="77.930000000000007"/>
    <n v="71.16"/>
    <n v="48.089503335110557"/>
    <n v="48.073517468572724"/>
    <n v="50.034304762258728"/>
    <n v="51.490699999999997"/>
    <n v="68.679816666666682"/>
    <n v="49.422006391485503"/>
    <n v="59.050911529076089"/>
    <n v="51.790108351756658"/>
    <n v="48.209891648243342"/>
    <n v="0.5338890248341901"/>
    <n v="0"/>
    <n v="31.526633571828466"/>
    <n v="3"/>
    <n v="3"/>
    <b v="1"/>
    <x v="4"/>
    <n v="56.668387133904289"/>
    <n v="0.53712151329168467"/>
    <n v="30.437809853161706"/>
    <n v="3"/>
    <n v="0"/>
    <n v="2.3825243951717994"/>
    <n v="-3.2324884574945756E-3"/>
    <n v="1.0888237186667595"/>
    <n v="3"/>
    <b v="1"/>
    <n v="0"/>
    <n v="0.81759069605862034"/>
    <n v="46.33154608132817"/>
    <n v="0.40893279158249779"/>
    <n v="3"/>
    <n v="0"/>
    <n v="40.893279158249776"/>
    <n v="4"/>
    <n v="-0.28370167122443024"/>
    <b v="0"/>
    <n v="0"/>
    <n v="3"/>
    <n v="0"/>
    <n v="0"/>
    <n v="0"/>
    <n v="0"/>
    <n v="0"/>
    <n v="0"/>
    <s v="Intermedio"/>
    <n v="6"/>
    <s v="Fuera SC"/>
    <m/>
    <s v="No"/>
    <s v="Si"/>
    <n v="53.1"/>
    <n v="17.180967549273344"/>
    <n v="20.248652378557409"/>
    <s v="Medio"/>
    <n v="7.0459921185547367"/>
    <s v="Medio"/>
    <n v="35480.617005"/>
    <n v="7713.8034613999998"/>
    <n v="16861"/>
    <n v="2.1043008721309531"/>
    <n v="0.45749382963050828"/>
    <m/>
    <m/>
    <m/>
    <m/>
    <m/>
    <m/>
    <m/>
    <n v="83"/>
    <n v="0"/>
    <n v="7"/>
    <n v="26236.212124000001"/>
    <n v="5970.2675849999996"/>
    <n v="0.22755829068551403"/>
    <s v="0% - 30%"/>
    <n v="1.7369758995776217E-4"/>
    <s v="N.D."/>
    <s v="N.D."/>
    <s v="N.D."/>
    <n v="0.92976214368037291"/>
    <s v="Aceptable"/>
    <n v="2"/>
    <s v="Candidato"/>
    <n v="0"/>
    <n v="0"/>
  </r>
  <r>
    <n v="41359"/>
    <s v="41359"/>
    <x v="19"/>
    <x v="19"/>
    <s v="ISNOS"/>
    <n v="72.8457333333333"/>
    <n v="56.57"/>
    <n v="59.72"/>
    <n v="58.99"/>
    <n v="58.187489673670868"/>
    <n v="57.606411870519416"/>
    <n v="62.637289731352098"/>
    <n v="64.937600000000003"/>
    <n v="62.031433333333325"/>
    <n v="60.842197818885595"/>
    <n v="61.43681557610946"/>
    <n v="52.767111172148603"/>
    <n v="47.232888827851397"/>
    <n v="0.52509599945066265"/>
    <n v="0"/>
    <n v="32.260226078003235"/>
    <n v="3"/>
    <n v="3"/>
    <b v="1"/>
    <x v="4"/>
    <n v="62.390559060539118"/>
    <n v="0.53560621628182936"/>
    <n v="33.416771270123363"/>
    <n v="3"/>
    <n v="0"/>
    <n v="-0.95374348442965839"/>
    <n v="-1.0510216831166708E-2"/>
    <n v="-1.1565451921201273"/>
    <n v="3"/>
    <b v="1"/>
    <n v="0"/>
    <n v="0.81759069605862034"/>
    <n v="51.009940609792636"/>
    <n v="0.46745457564091736"/>
    <n v="3"/>
    <n v="0"/>
    <n v="46.745457564091737"/>
    <n v="4"/>
    <n v="-0.29249469660795768"/>
    <b v="0"/>
    <n v="0"/>
    <n v="2"/>
    <n v="-1"/>
    <n v="0"/>
    <n v="0"/>
    <n v="0"/>
    <n v="0"/>
    <n v="1"/>
    <s v="Rural"/>
    <n v="6"/>
    <s v="Fuera SC"/>
    <m/>
    <s v="No"/>
    <s v="Si"/>
    <n v="43.1"/>
    <n v="19.384640429774937"/>
    <n v="0"/>
    <s v="Sin riesgo"/>
    <n v="3.563533283989055"/>
    <s v="Medio Bajo"/>
    <n v="60273.255196999999"/>
    <n v="7396.392965"/>
    <n v="26521"/>
    <n v="2.272661483239697"/>
    <n v="0.27888816277666756"/>
    <m/>
    <m/>
    <m/>
    <m/>
    <m/>
    <m/>
    <m/>
    <n v="54"/>
    <n v="0"/>
    <n v="7"/>
    <n v="37072.869283"/>
    <n v="9562.5010820000007"/>
    <n v="0.25793798178941996"/>
    <s v="0% - 30%"/>
    <n v="2.7820920390319377E-4"/>
    <n v="108.195215"/>
    <n v="2.9184472929267877E-3"/>
    <s v="0% - 30%"/>
    <n v="0.93595981776396142"/>
    <s v="Aceptable"/>
    <n v="2"/>
    <s v="Candidato"/>
    <n v="0"/>
    <n v="0"/>
  </r>
  <r>
    <n v="25181"/>
    <s v="25181"/>
    <x v="5"/>
    <x v="5"/>
    <s v="CHOACHÍ"/>
    <n v="63.589500000000001"/>
    <n v="51.24"/>
    <n v="56.27"/>
    <n v="64.150000000000006"/>
    <n v="58.986182476707782"/>
    <n v="72.909161794408377"/>
    <n v="66.927390987469906"/>
    <n v="56.490200000000002"/>
    <n v="58.812375000000003"/>
    <n v="63.828233814646524"/>
    <n v="61.320304407323263"/>
    <n v="53.694697828376583"/>
    <n v="46.305302171623417"/>
    <n v="0.51674771954461074"/>
    <n v="0"/>
    <n v="31.68712746426564"/>
    <n v="3"/>
    <n v="3"/>
    <b v="1"/>
    <x v="4"/>
    <n v="62.96384755786098"/>
    <n v="0.53549615535174444"/>
    <n v="33.716898293387878"/>
    <n v="3"/>
    <n v="0"/>
    <n v="-1.6435431505377167"/>
    <n v="-1.8748435807133701E-2"/>
    <n v="-2.0297708291222385"/>
    <n v="3"/>
    <b v="1"/>
    <n v="0"/>
    <n v="0.81759069605862034"/>
    <n v="51.478655951360423"/>
    <n v="0.47331771049138954"/>
    <n v="3"/>
    <n v="0"/>
    <n v="47.331771049138958"/>
    <n v="4"/>
    <n v="-0.3008429765140096"/>
    <b v="0"/>
    <n v="0"/>
    <n v="2"/>
    <n v="-1"/>
    <n v="0"/>
    <n v="0"/>
    <n v="0"/>
    <n v="0"/>
    <n v="0"/>
    <s v="Intermedio"/>
    <n v="6"/>
    <s v="Fuera SC"/>
    <m/>
    <s v="No"/>
    <s v="No"/>
    <n v="22.5"/>
    <n v="8.2191780821917817"/>
    <n v="6.125"/>
    <s v="Bajo"/>
    <n v="0"/>
    <s v="Bajo"/>
    <n v="27297.792684"/>
    <n v="8644.7409072499995"/>
    <n v="11283"/>
    <n v="2.4193736314809891"/>
    <n v="0.76617397033147205"/>
    <m/>
    <m/>
    <m/>
    <m/>
    <m/>
    <m/>
    <m/>
    <n v="40"/>
    <n v="0"/>
    <n v="7"/>
    <n v="21213.244783999999"/>
    <n v="6789.0863090000003"/>
    <n v="0.3200399739940134"/>
    <s v="31% - 50%"/>
    <n v="1.9752011331139341E-4"/>
    <s v="N.D."/>
    <s v="N.D."/>
    <s v="N.D."/>
    <n v="0.96306324533869159"/>
    <s v="Aceptable"/>
    <n v="2"/>
    <s v="Candidato"/>
    <n v="0"/>
    <n v="0"/>
  </r>
  <r>
    <n v="76109"/>
    <s v="76109"/>
    <x v="3"/>
    <x v="3"/>
    <s v="BUENAVENTURA"/>
    <n v="50.938366666666703"/>
    <n v="54.41"/>
    <n v="40.39"/>
    <n v="52.33"/>
    <n v="39.158217035503441"/>
    <n v="40.950886185941179"/>
    <n v="45.463764054926109"/>
    <n v="46.642899999999997"/>
    <n v="49.517091666666673"/>
    <n v="43.053941819092685"/>
    <n v="46.285516742879679"/>
    <n v="52.606981992844545"/>
    <n v="47.393018007155455"/>
    <n v="0.52653716206439904"/>
    <n v="0"/>
    <n v="24.371044630480093"/>
    <n v="4"/>
    <n v="4"/>
    <b v="1"/>
    <x v="5"/>
    <n v="44.571023890785817"/>
    <n v="0.53623898446927232"/>
    <n v="23.900720587950662"/>
    <n v="4"/>
    <n v="0"/>
    <n v="1.714492852093862"/>
    <n v="-9.7018224048732726E-3"/>
    <n v="0.47032404252943039"/>
    <n v="4"/>
    <b v="1"/>
    <n v="0"/>
    <n v="0.81759069605862034"/>
    <n v="36.440854446912972"/>
    <n v="0.28521066500766989"/>
    <n v="4"/>
    <n v="0"/>
    <n v="28.521066500766988"/>
    <n v="4"/>
    <n v="-0.29105353399422129"/>
    <b v="1"/>
    <n v="0"/>
    <n v="3"/>
    <n v="-1"/>
    <n v="0"/>
    <n v="1"/>
    <n v="1"/>
    <n v="1"/>
    <n v="1"/>
    <s v="Ciudades y aglomeraciones"/>
    <n v="2"/>
    <s v="Uninodal"/>
    <m/>
    <s v="Si"/>
    <s v="Si"/>
    <n v="41"/>
    <n v="16.653757380673436"/>
    <n v="8.3503973356369361"/>
    <s v="Bajo"/>
    <n v="29.083114923394277"/>
    <s v="Muy Alto"/>
    <n v="842926.56745800003"/>
    <n v="204709.319212"/>
    <n v="328686"/>
    <n v="2.5645344415582048"/>
    <n v="0.62281119126461126"/>
    <m/>
    <m/>
    <m/>
    <m/>
    <m/>
    <m/>
    <m/>
    <n v="38"/>
    <n v="1"/>
    <n v="4"/>
    <n v="629593.50294599996"/>
    <n v="378237.454463"/>
    <n v="0.6007645452075786"/>
    <s v="51% - 70%"/>
    <n v="1.1004353378908378E-2"/>
    <n v="442214.23691899999"/>
    <n v="0.70238055959883139"/>
    <s v="51% - 70%"/>
    <n v="0.91047695870932688"/>
    <s v="Aceptable"/>
    <n v="1"/>
    <s v="Candidato"/>
    <n v="0"/>
    <n v="0"/>
  </r>
  <r>
    <n v="52381"/>
    <s v="52381"/>
    <x v="18"/>
    <x v="18"/>
    <s v="LA FLORIDA"/>
    <n v="63.4624666666667"/>
    <n v="54.85"/>
    <n v="68.42"/>
    <n v="55.37"/>
    <n v="53.805511366024007"/>
    <n v="58.18699606671391"/>
    <n v="48.244498016725672"/>
    <n v="57.301499999999997"/>
    <n v="60.525616666666679"/>
    <n v="54.3846263623659"/>
    <n v="57.455121514516293"/>
    <n v="52.950972851155576"/>
    <n v="47.049027148844424"/>
    <n v="0.52344124433959982"/>
    <n v="0"/>
    <n v="30.074380299241323"/>
    <n v="3"/>
    <n v="3"/>
    <b v="1"/>
    <x v="4"/>
    <n v="58.066559629784173"/>
    <n v="0.5355506323546676"/>
    <n v="31.097582728390929"/>
    <n v="3"/>
    <n v="0"/>
    <n v="-0.61143811526788028"/>
    <n v="-1.2109388015067779E-2"/>
    <n v="-1.023202429149606"/>
    <n v="3"/>
    <b v="1"/>
    <n v="0"/>
    <n v="0.81759069605862034"/>
    <n v="47.474678905444627"/>
    <n v="0.42323217823661818"/>
    <n v="3"/>
    <n v="0"/>
    <n v="42.323217823661821"/>
    <n v="4"/>
    <n v="-0.29414945171902052"/>
    <b v="0"/>
    <n v="0"/>
    <n v="3"/>
    <n v="0"/>
    <n v="0"/>
    <n v="0"/>
    <n v="0"/>
    <n v="0"/>
    <n v="0"/>
    <s v="Rural"/>
    <n v="6"/>
    <s v="Fuera SC"/>
    <m/>
    <s v="No"/>
    <s v="Si"/>
    <n v="59"/>
    <n v="32.519067094064333"/>
    <n v="27.257445169265878"/>
    <s v="Medio"/>
    <n v="8.5919539770991316E-2"/>
    <s v="Bajo"/>
    <n v="26275.361080999999"/>
    <n v="4779.1099287500001"/>
    <n v="10098"/>
    <n v="2.60203615379283"/>
    <n v="0.47327291827589624"/>
    <m/>
    <m/>
    <m/>
    <m/>
    <m/>
    <m/>
    <m/>
    <n v="80"/>
    <n v="0"/>
    <n v="7"/>
    <n v="13644.19332"/>
    <n v="2851.191777"/>
    <n v="0.20896741273964886"/>
    <s v="0% - 30%"/>
    <n v="8.2951916831427807E-5"/>
    <s v="N.D."/>
    <s v="N.D."/>
    <s v="N.D."/>
    <n v="0.92501007963967963"/>
    <s v="Aceptable"/>
    <n v="1"/>
    <s v="Candidato"/>
    <n v="0"/>
    <n v="0"/>
  </r>
  <r>
    <n v="68572"/>
    <s v="68572"/>
    <x v="0"/>
    <x v="0"/>
    <s v="PUENTE NACIONAL"/>
    <n v="62.906599999999997"/>
    <n v="69.3"/>
    <n v="58.66"/>
    <n v="70.88"/>
    <n v="66.284768718173268"/>
    <n v="63.04390977607062"/>
    <n v="74.285801279813555"/>
    <n v="61.843899999999998"/>
    <n v="65.436649999999986"/>
    <n v="66.364594943514362"/>
    <n v="65.900622471757174"/>
    <n v="53.05103993170335"/>
    <n v="46.94896006829665"/>
    <n v="0.52254064061466987"/>
    <n v="0"/>
    <n v="34.435753483297503"/>
    <n v="3"/>
    <n v="3"/>
    <b v="1"/>
    <x v="4"/>
    <n v="64.150414349575755"/>
    <n v="0.53393534078450355"/>
    <n v="34.252173347207837"/>
    <n v="3"/>
    <n v="0"/>
    <n v="1.7502081221814194"/>
    <n v="-1.1394700169833683E-2"/>
    <n v="0.18358013608966672"/>
    <n v="3"/>
    <b v="1"/>
    <n v="0"/>
    <n v="0.81759069605862034"/>
    <n v="52.448781920518549"/>
    <n v="0.48545296375639602"/>
    <n v="2"/>
    <n v="-1"/>
    <n v="48.545296375639602"/>
    <n v="4"/>
    <n v="-0.29505005544395047"/>
    <b v="0"/>
    <s v="Cambio en corte"/>
    <n v="2"/>
    <n v="-1"/>
    <n v="0"/>
    <n v="0"/>
    <n v="0"/>
    <n v="0"/>
    <n v="0"/>
    <s v="Intermedio"/>
    <n v="6"/>
    <s v="Fuera SC"/>
    <m/>
    <s v="No"/>
    <s v="Si"/>
    <n v="26.4"/>
    <n v="7.2122721066580997"/>
    <n v="13.351223035439139"/>
    <s v="Bajo"/>
    <n v="0"/>
    <s v="Bajo"/>
    <n v="31794.679701000001"/>
    <n v="12746.467704000001"/>
    <n v="15257"/>
    <n v="2.0839404667365802"/>
    <n v="0.83545046234515308"/>
    <m/>
    <m/>
    <m/>
    <m/>
    <m/>
    <m/>
    <m/>
    <n v="20"/>
    <n v="0"/>
    <n v="6"/>
    <n v="25129.897667000001"/>
    <n v="261.51434"/>
    <n v="1.0406502384743674E-2"/>
    <s v="0% - 30%"/>
    <n v="7.608437972113909E-6"/>
    <s v="N.D."/>
    <s v="N.D."/>
    <s v="N.D."/>
    <n v="0.96509517617102325"/>
    <s v="Aceptable"/>
    <n v="3"/>
    <s v="Candidato"/>
    <n v="0"/>
    <n v="0"/>
  </r>
  <r>
    <n v="25596"/>
    <s v="25596"/>
    <x v="5"/>
    <x v="5"/>
    <s v="QUIPILE"/>
    <n v="62.3922666666667"/>
    <n v="61.53"/>
    <n v="42.16"/>
    <n v="53.81"/>
    <n v="46.724228319166748"/>
    <n v="49.887100915554512"/>
    <n v="66.710993133115693"/>
    <n v="45.320700000000002"/>
    <n v="54.973066666666675"/>
    <n v="52.160755591959244"/>
    <n v="53.566911129312956"/>
    <n v="54.262663951496926"/>
    <n v="45.737336048503074"/>
    <n v="0.51163602443652767"/>
    <n v="0"/>
    <n v="27.406761451546469"/>
    <n v="4"/>
    <n v="4"/>
    <b v="1"/>
    <x v="5"/>
    <n v="54.637416327513407"/>
    <n v="0.53564731617782291"/>
    <n v="29.266385418722919"/>
    <n v="3"/>
    <n v="-1"/>
    <n v="-1.0705051982004505"/>
    <n v="-2.4011291741295238E-2"/>
    <n v="-1.8596239671764501"/>
    <n v="4"/>
    <b v="1"/>
    <s v="Efecto ponderador"/>
    <n v="0.81759069605862034"/>
    <n v="44.671043246056314"/>
    <n v="0.38816165144822018"/>
    <n v="3"/>
    <n v="-1"/>
    <n v="38.816165144822016"/>
    <n v="4"/>
    <n v="-0.30595467162209267"/>
    <b v="1"/>
    <s v="Efecto ponderador"/>
    <n v="3"/>
    <n v="-1"/>
    <n v="0"/>
    <n v="0"/>
    <n v="0"/>
    <n v="0"/>
    <n v="0"/>
    <s v="Rural"/>
    <n v="6"/>
    <s v="Fuera SC"/>
    <m/>
    <s v="No"/>
    <s v="No"/>
    <n v="44.1"/>
    <n v="18.592471358428806"/>
    <n v="9.1484529467680602"/>
    <s v="Bajo"/>
    <n v="3.5741288159683018"/>
    <s v="Medio Bajo"/>
    <n v="17566.330825000001"/>
    <n v="4187.3763310000004"/>
    <n v="5777"/>
    <n v="3.0407358187640647"/>
    <n v="0.72483578518262082"/>
    <m/>
    <m/>
    <m/>
    <m/>
    <m/>
    <m/>
    <m/>
    <n v="93"/>
    <n v="0"/>
    <n v="7"/>
    <n v="12758.956534000001"/>
    <n v="7115.008178"/>
    <n v="0.55764812420513887"/>
    <s v="51% - 70%"/>
    <n v="2.0700240909693978E-4"/>
    <s v="N.D."/>
    <s v="N.D."/>
    <s v="N.D."/>
    <n v="0.86990011660532662"/>
    <s v="Aceptable"/>
    <n v="1"/>
    <s v="Candidato"/>
    <n v="0"/>
    <n v="0"/>
  </r>
  <r>
    <n v="5059"/>
    <s v="05059"/>
    <x v="1"/>
    <x v="1"/>
    <s v="ARMENIA"/>
    <n v="47.816933333333303"/>
    <n v="41.47"/>
    <n v="35.729999999999997"/>
    <n v="74.239999999999995"/>
    <n v="44.362553353737468"/>
    <n v="43.457283940185093"/>
    <n v="63.257166674181533"/>
    <n v="40.610900000000001"/>
    <n v="49.81423333333332"/>
    <n v="47.92197599202602"/>
    <n v="48.86810466267967"/>
    <n v="52.100277353379973"/>
    <n v="47.899722646620027"/>
    <n v="0.53109750381958032"/>
    <n v="0"/>
    <n v="25.953728402743167"/>
    <n v="4"/>
    <n v="4"/>
    <b v="1"/>
    <x v="5"/>
    <n v="46.515713230572857"/>
    <n v="0.53584226894924303"/>
    <n v="24.925085319262482"/>
    <n v="4"/>
    <n v="0"/>
    <n v="2.3523914321068133"/>
    <n v="-4.7447651296627091E-3"/>
    <n v="1.0286430834806843"/>
    <n v="4"/>
    <b v="1"/>
    <n v="0"/>
    <n v="0.81759069605862034"/>
    <n v="38.030814357847234"/>
    <n v="0.30509938751773547"/>
    <n v="4"/>
    <n v="0"/>
    <n v="30.509938751773547"/>
    <n v="4"/>
    <n v="-0.28649319223904002"/>
    <b v="1"/>
    <n v="0"/>
    <n v="3"/>
    <n v="-1"/>
    <n v="0"/>
    <n v="0"/>
    <n v="0"/>
    <n v="0"/>
    <n v="0"/>
    <s v="Rural"/>
    <n v="6"/>
    <s v="Fuera SC"/>
    <m/>
    <s v="No"/>
    <s v="Si"/>
    <n v="37.700000000000003"/>
    <n v="8.3573487031700289"/>
    <n v="0.56911764705882362"/>
    <s v="Sin riesgo"/>
    <n v="3.1765586826504397"/>
    <s v="Medio Bajo"/>
    <n v="11091.518391"/>
    <n v="2528.0654196"/>
    <n v="5308"/>
    <n v="2.0895852281461944"/>
    <n v="0.47627457038432558"/>
    <m/>
    <m/>
    <m/>
    <m/>
    <m/>
    <m/>
    <m/>
    <n v="90"/>
    <n v="0"/>
    <n v="7"/>
    <n v="11042.213792"/>
    <n v="2400.7995540000002"/>
    <n v="0.21742012962467372"/>
    <s v="0% - 30%"/>
    <n v="6.9848309236456171E-5"/>
    <s v="N.D."/>
    <s v="N.D."/>
    <s v="N.D."/>
    <n v="0.94167715132391316"/>
    <s v="Aceptable"/>
    <n v="2"/>
    <s v="Candidato"/>
    <n v="0"/>
    <n v="0"/>
  </r>
  <r>
    <n v="17513"/>
    <s v="17513"/>
    <x v="11"/>
    <x v="11"/>
    <s v="PÁCORA"/>
    <n v="68.3018"/>
    <n v="46.99"/>
    <n v="40.82"/>
    <n v="50.11"/>
    <n v="64.914711418819735"/>
    <n v="50.637256944528787"/>
    <n v="58.063847896065809"/>
    <n v="61.147399999999998"/>
    <n v="51.555449999999993"/>
    <n v="58.69080406485358"/>
    <n v="55.123127032426787"/>
    <n v="52.424049294530526"/>
    <n v="47.575950705469474"/>
    <n v="0.52818355634922531"/>
    <n v="0"/>
    <n v="29.115129273077297"/>
    <n v="4"/>
    <n v="4"/>
    <b v="1"/>
    <x v="4"/>
    <n v="55.718134879816795"/>
    <n v="0.53646076460732106"/>
    <n v="29.890593240120364"/>
    <n v="3"/>
    <n v="0"/>
    <n v="-0.59500784739000778"/>
    <n v="-8.2772082580957473E-3"/>
    <n v="-0.7754639670430663"/>
    <n v="3"/>
    <b v="1"/>
    <n v="0"/>
    <n v="0.81759069605862034"/>
    <n v="45.554628679477503"/>
    <n v="0.3992143738334808"/>
    <n v="3"/>
    <n v="0"/>
    <n v="39.921437383348078"/>
    <n v="4"/>
    <n v="-0.28940713970939502"/>
    <b v="0"/>
    <n v="0"/>
    <n v="3"/>
    <n v="0"/>
    <n v="0"/>
    <n v="0"/>
    <n v="0"/>
    <n v="0"/>
    <n v="0"/>
    <s v="Intermedio"/>
    <n v="6"/>
    <s v="Fuera SC"/>
    <m/>
    <s v="No"/>
    <s v="Si"/>
    <n v="33.299999999999997"/>
    <n v="13.255315894141043"/>
    <n v="33.231387538787914"/>
    <s v="Medio"/>
    <n v="3.8815391539408393"/>
    <s v="Medio Bajo"/>
    <n v="37013.698530000001"/>
    <n v="7443.5806509499998"/>
    <n v="15748"/>
    <n v="2.3503745574041148"/>
    <n v="0.47266831667195836"/>
    <m/>
    <m/>
    <m/>
    <m/>
    <m/>
    <m/>
    <m/>
    <n v="19"/>
    <n v="0"/>
    <n v="7"/>
    <n v="25719.256617999999"/>
    <n v="782.92847900000004"/>
    <n v="3.0441333924560481E-2"/>
    <s v="0% - 30%"/>
    <n v="2.2778340832372661E-5"/>
    <s v="N.D."/>
    <s v="N.D."/>
    <s v="N.D."/>
    <n v="0.77822268652970727"/>
    <s v="Crítico bajo"/>
    <n v="2"/>
    <s v="Candidato"/>
    <n v="0"/>
    <n v="0"/>
  </r>
  <r>
    <n v="5686"/>
    <s v="05686"/>
    <x v="1"/>
    <x v="1"/>
    <s v="SANTA ROSA DE OSOS"/>
    <n v="76.787733333333307"/>
    <n v="74.33"/>
    <n v="76.599999999999994"/>
    <n v="75.709999999999994"/>
    <n v="63.738157247482626"/>
    <n v="55.326292774121114"/>
    <n v="61.436297501068267"/>
    <n v="62.994599999999998"/>
    <n v="75.85693333333333"/>
    <n v="60.873836880667994"/>
    <n v="68.365385107000662"/>
    <n v="51.54347312282934"/>
    <n v="48.45652687717066"/>
    <n v="0.53610874189453595"/>
    <n v="0"/>
    <n v="36.651280598849567"/>
    <n v="3"/>
    <n v="3"/>
    <b v="1"/>
    <x v="3"/>
    <n v="66.379827681128376"/>
    <n v="0.5392073407299115"/>
    <n v="35.792490362050998"/>
    <n v="2"/>
    <n v="0"/>
    <n v="1.9855574258722868"/>
    <n v="-3.0985988353755545E-3"/>
    <n v="0.85879023679856914"/>
    <n v="2"/>
    <b v="1"/>
    <n v="0"/>
    <n v="0.81759069605862034"/>
    <n v="54.271529518065023"/>
    <n v="0.50825361484462928"/>
    <n v="2"/>
    <n v="0"/>
    <n v="50.825361484462931"/>
    <n v="3"/>
    <n v="-0.28148195416408439"/>
    <b v="0"/>
    <n v="0"/>
    <n v="2"/>
    <n v="0"/>
    <n v="0"/>
    <n v="0"/>
    <n v="0"/>
    <n v="0"/>
    <n v="0"/>
    <s v="Rural"/>
    <n v="5"/>
    <s v="Fuera SC"/>
    <m/>
    <s v="No"/>
    <s v="Si"/>
    <n v="30.9"/>
    <n v="9.2257001647446462"/>
    <n v="8.0255674254746694"/>
    <s v="Bajo"/>
    <n v="3.5612223166795012"/>
    <s v="Medio Bajo"/>
    <n v="75641.280064000006"/>
    <n v="29386.407986499999"/>
    <n v="39788"/>
    <n v="1.901107873328642"/>
    <n v="0.73857464528249717"/>
    <m/>
    <m/>
    <m/>
    <m/>
    <m/>
    <m/>
    <m/>
    <n v="61"/>
    <n v="1"/>
    <n v="5"/>
    <n v="86449.904907999997"/>
    <n v="2282.7687799999999"/>
    <n v="2.6405682949325656E-2"/>
    <s v="0% - 30%"/>
    <n v="6.641434908429167E-5"/>
    <s v="N.D."/>
    <s v="N.D."/>
    <s v="N.D."/>
    <n v="0.93771712213211345"/>
    <s v="Aceptable"/>
    <n v="3"/>
    <s v="Candidato"/>
    <n v="0"/>
    <n v="0"/>
  </r>
  <r>
    <n v="54347"/>
    <s v="54347"/>
    <x v="12"/>
    <x v="12"/>
    <s v="HERRÁN"/>
    <n v="47.730800000000002"/>
    <n v="64.09"/>
    <n v="59.6"/>
    <n v="63.93"/>
    <n v="52.384556069423589"/>
    <n v="64.349713151900218"/>
    <n v="58.356866378205886"/>
    <n v="55.915500000000002"/>
    <n v="58.837700000000005"/>
    <n v="57.751658899882429"/>
    <n v="58.294679449941214"/>
    <n v="51.97406603805014"/>
    <n v="48.02593396194986"/>
    <n v="0.53223340565754873"/>
    <n v="0"/>
    <n v="31.02637577535733"/>
    <n v="3"/>
    <n v="3"/>
    <b v="1"/>
    <x v="4"/>
    <n v="55.439609463295611"/>
    <n v="0.53608491877168385"/>
    <n v="29.720338535864702"/>
    <n v="3"/>
    <n v="0"/>
    <n v="2.8550699866456029"/>
    <n v="-3.8515131141351189E-3"/>
    <n v="1.3060372394926283"/>
    <n v="3"/>
    <b v="1"/>
    <n v="0"/>
    <n v="0.81759069605862034"/>
    <n v="45.326908890313931"/>
    <n v="0.39636583931032815"/>
    <n v="3"/>
    <n v="0"/>
    <n v="39.636583931032817"/>
    <n v="4"/>
    <n v="-0.28535729040107161"/>
    <b v="0"/>
    <n v="0"/>
    <n v="4"/>
    <n v="1"/>
    <n v="0"/>
    <n v="0"/>
    <n v="0"/>
    <n v="0"/>
    <n v="0"/>
    <s v="Rural"/>
    <n v="6"/>
    <s v="Fuera SC"/>
    <m/>
    <s v="No"/>
    <s v="Si"/>
    <n v="52.4"/>
    <n v="29.430582213691618"/>
    <n v="3.508"/>
    <s v="Sin riesgo"/>
    <n v="6.568043861660704"/>
    <s v="Medio"/>
    <n v="17479.938858000001"/>
    <n v="4288.889639"/>
    <n v="8388"/>
    <n v="2.0839221337625182"/>
    <n v="0.51131254637577495"/>
    <m/>
    <m/>
    <m/>
    <m/>
    <m/>
    <m/>
    <m/>
    <n v="24"/>
    <n v="0"/>
    <n v="7"/>
    <n v="10751.768631000001"/>
    <n v="5090.4417949999997"/>
    <n v="0.47345157524344417"/>
    <s v="31% - 50%"/>
    <n v="1.4810014107797563E-4"/>
    <s v="N.D."/>
    <s v="N.D."/>
    <s v="N.D."/>
    <n v="0.91384607467879597"/>
    <s v="Aceptable"/>
    <n v="2"/>
    <s v="Candidato"/>
    <n v="1"/>
    <s v="Zona de Fronteras"/>
  </r>
  <r>
    <n v="23419"/>
    <s v="23419"/>
    <x v="14"/>
    <x v="14"/>
    <s v="LOS CÓRDOBAS"/>
    <n v="82.458933333333306"/>
    <n v="71.84"/>
    <n v="70.69"/>
    <n v="77.09"/>
    <n v="57.345128102252332"/>
    <n v="62.810645507252367"/>
    <n v="64.179696659508352"/>
    <n v="73.740200000000002"/>
    <n v="75.519733333333335"/>
    <n v="64.518917567253268"/>
    <n v="70.019325450293309"/>
    <n v="53.611179607829243"/>
    <n v="46.388820392170757"/>
    <n v="0.51749938352953684"/>
    <n v="0"/>
    <n v="36.234957755680796"/>
    <n v="3"/>
    <n v="3"/>
    <b v="1"/>
    <x v="3"/>
    <n v="69.707721233702159"/>
    <n v="0.5344934860729138"/>
    <n v="37.258322928400339"/>
    <n v="2"/>
    <n v="0"/>
    <n v="0.31160421659114945"/>
    <n v="-1.6994102543376965E-2"/>
    <n v="-1.0233651727195436"/>
    <n v="2"/>
    <b v="1"/>
    <n v="0"/>
    <n v="0.81759069605862034"/>
    <n v="56.992384324122817"/>
    <n v="0.54228864041710689"/>
    <n v="2"/>
    <n v="0"/>
    <n v="54.228864041710686"/>
    <n v="3"/>
    <n v="-0.3000913125290835"/>
    <b v="0"/>
    <n v="0"/>
    <n v="2"/>
    <n v="0"/>
    <n v="0"/>
    <n v="0"/>
    <n v="0"/>
    <n v="0"/>
    <n v="0"/>
    <s v="Rural"/>
    <n v="6"/>
    <s v="Fuera SC"/>
    <m/>
    <s v="No"/>
    <s v="No"/>
    <n v="60.5"/>
    <n v="70.791892232154098"/>
    <s v="Sin Información"/>
    <s v="Sin Información"/>
    <n v="2.9335446354011045"/>
    <s v="Medio Bajo"/>
    <n v="82816.159538000007"/>
    <n v="13741.476173999999"/>
    <n v="19217"/>
    <n v="4.3095259165322375"/>
    <n v="0.71506875027319561"/>
    <m/>
    <m/>
    <m/>
    <m/>
    <m/>
    <m/>
    <m/>
    <n v="56"/>
    <n v="0"/>
    <n v="7"/>
    <n v="36612.672591000002"/>
    <n v="574.18395999999996"/>
    <n v="1.5682656287187947E-2"/>
    <s v="0% - 30%"/>
    <n v="1.6705175877708021E-5"/>
    <s v="N.D."/>
    <s v="N.D."/>
    <s v="N.D."/>
    <n v="0.97402442803101696"/>
    <s v="Aceptable"/>
    <n v="3"/>
    <s v="Candidato"/>
    <n v="0"/>
    <n v="0"/>
  </r>
  <r>
    <n v="47161"/>
    <s v="47161"/>
    <x v="17"/>
    <x v="17"/>
    <s v="CERRO DE SAN ANTONIO"/>
    <n v="48.290999999999997"/>
    <n v="25.91"/>
    <n v="33.1"/>
    <n v="23.28"/>
    <n v="38.370469936254949"/>
    <n v="48.16504381691005"/>
    <n v="52.477842597665344"/>
    <n v="44.377299999999998"/>
    <n v="32.645249999999997"/>
    <n v="45.847664087707585"/>
    <n v="39.246457043853795"/>
    <n v="52.38802705826955"/>
    <n v="47.61197294173045"/>
    <n v="0.52850775647557413"/>
    <n v="0"/>
    <n v="20.742056961862161"/>
    <n v="5"/>
    <n v="5"/>
    <b v="1"/>
    <x v="6"/>
    <n v="43.670655058375267"/>
    <n v="0.53459216702991152"/>
    <n v="23.345990123272603"/>
    <n v="4"/>
    <n v="-1"/>
    <n v="-4.4241980145214725"/>
    <n v="-6.0844105543373939E-3"/>
    <n v="-2.603933161410442"/>
    <n v="4"/>
    <b v="0"/>
    <s v="Cambio en corte"/>
    <n v="0.81759069605862034"/>
    <n v="35.704721266512941"/>
    <n v="0.27600241487837868"/>
    <n v="4"/>
    <n v="-1"/>
    <n v="27.600241487837867"/>
    <n v="4"/>
    <n v="-0.28908293958304621"/>
    <b v="0"/>
    <s v="Cambio en corte"/>
    <n v="4"/>
    <n v="-1"/>
    <n v="0"/>
    <n v="0"/>
    <n v="0"/>
    <n v="0"/>
    <n v="0"/>
    <s v="Intermedio"/>
    <n v="6"/>
    <s v="Fuera SC"/>
    <m/>
    <s v="No"/>
    <s v="No"/>
    <n v="62.4"/>
    <n v="38.15718157181572"/>
    <n v="3.5714285714285716"/>
    <s v="Sin riesgo"/>
    <n v="0.596383616028204"/>
    <s v="Medio Bajo"/>
    <n v="28392.464044"/>
    <n v="5920.1919180000004"/>
    <n v="11374"/>
    <n v="2.496260246527167"/>
    <n v="0.52050219078600324"/>
    <m/>
    <m/>
    <m/>
    <m/>
    <m/>
    <m/>
    <m/>
    <n v="74"/>
    <n v="0"/>
    <n v="7"/>
    <n v="17688.336142"/>
    <n v="17688.336149999999"/>
    <n v="1.0000000004522753"/>
    <s v="71% - 100%"/>
    <n v="5.1462037770921149E-4"/>
    <s v="N.D."/>
    <s v="N.D."/>
    <s v="N.D."/>
    <n v="0.75956769753055742"/>
    <s v="Crítico bajo"/>
    <n v="1"/>
    <s v="Candidato"/>
    <n v="0"/>
    <n v="0"/>
  </r>
  <r>
    <n v="5315"/>
    <s v="05315"/>
    <x v="1"/>
    <x v="1"/>
    <s v="GUADALUPE"/>
    <n v="80.665400000000005"/>
    <n v="90.09"/>
    <n v="88.56"/>
    <n v="94.95"/>
    <n v="45.166225130661644"/>
    <n v="50.169646128936989"/>
    <n v="66.452021732547124"/>
    <n v="55.415900000000001"/>
    <n v="88.56635"/>
    <n v="54.300948248036441"/>
    <n v="71.433649124018217"/>
    <n v="52.244899638644291"/>
    <n v="47.755100361355709"/>
    <n v="0.52979590325220138"/>
    <n v="0"/>
    <n v="37.845254660260053"/>
    <n v="3"/>
    <n v="3"/>
    <b v="1"/>
    <x v="3"/>
    <n v="68.098560071165934"/>
    <n v="0.53623754669843648"/>
    <n v="36.517004786258127"/>
    <n v="2"/>
    <n v="0"/>
    <n v="3.3350890528522825"/>
    <n v="-6.4416434462351013E-3"/>
    <n v="1.3282498740019264"/>
    <n v="2"/>
    <b v="1"/>
    <n v="0"/>
    <n v="0.81759069605862034"/>
    <n v="55.676749129174326"/>
    <n v="0.52583143093851614"/>
    <n v="2"/>
    <n v="0"/>
    <n v="52.583143093851618"/>
    <n v="3"/>
    <n v="-0.28779479280641895"/>
    <b v="0"/>
    <n v="0"/>
    <n v="3"/>
    <n v="1"/>
    <n v="0"/>
    <n v="0"/>
    <n v="0"/>
    <n v="0"/>
    <n v="1"/>
    <s v="Intermedio"/>
    <n v="6"/>
    <s v="Fuera SC"/>
    <m/>
    <s v="No"/>
    <s v="Si"/>
    <n v="41.1"/>
    <n v="15.315480557593544"/>
    <n v="45.422062023263571"/>
    <s v="Alto"/>
    <n v="19.593018163221178"/>
    <s v="Alto"/>
    <n v="22146.877396"/>
    <n v="6592.4519513999994"/>
    <n v="6975"/>
    <n v="3.1751795549820789"/>
    <n v="0.94515440163440856"/>
    <m/>
    <m/>
    <m/>
    <m/>
    <m/>
    <m/>
    <m/>
    <n v="61"/>
    <n v="0"/>
    <n v="7"/>
    <n v="11817.417339"/>
    <n v="730.18155899999999"/>
    <n v="6.1788590353853798E-2"/>
    <s v="0% - 30%"/>
    <n v="2.1243734091342496E-5"/>
    <s v="N.D."/>
    <s v="N.D."/>
    <s v="N.D."/>
    <n v="0.90018182919330458"/>
    <s v="Aceptable"/>
    <n v="2"/>
    <s v="Candidato"/>
    <n v="0"/>
    <n v="0"/>
  </r>
  <r>
    <n v="25483"/>
    <s v="25483"/>
    <x v="5"/>
    <x v="5"/>
    <s v="NARIÑO"/>
    <n v="47.735566666666699"/>
    <n v="75.22"/>
    <n v="17.510000000000002"/>
    <n v="55.19"/>
    <n v="55.804576054588551"/>
    <n v="55.072738327989029"/>
    <n v="63.523726744164428"/>
    <n v="54.757800000000003"/>
    <n v="48.913891666666672"/>
    <n v="57.289710281685501"/>
    <n v="53.101800974176086"/>
    <n v="53.700887044946064"/>
    <n v="46.299112955053936"/>
    <n v="0.51669201659548547"/>
    <n v="0"/>
    <n v="27.437276630199158"/>
    <n v="4"/>
    <n v="4"/>
    <b v="1"/>
    <x v="5"/>
    <n v="52.721210512341457"/>
    <n v="0.533005200713493"/>
    <n v="28.100679390988876"/>
    <n v="3"/>
    <n v="-1"/>
    <n v="0.38059046183462897"/>
    <n v="-1.6313184118007529E-2"/>
    <n v="-0.66340276078971883"/>
    <n v="4"/>
    <b v="1"/>
    <s v="Efecto ponderador"/>
    <n v="0.81759069605862034"/>
    <n v="43.104371199838305"/>
    <n v="0.3685642355780317"/>
    <n v="3"/>
    <n v="-1"/>
    <n v="36.856423557803168"/>
    <n v="4"/>
    <n v="-0.30089867946313487"/>
    <b v="1"/>
    <s v="Efecto ponderador"/>
    <n v="3"/>
    <n v="-1"/>
    <n v="0"/>
    <n v="0"/>
    <n v="0"/>
    <n v="0"/>
    <n v="0"/>
    <s v="Intermedio"/>
    <n v="6"/>
    <s v="Fuera SC"/>
    <m/>
    <s v="No"/>
    <s v="No"/>
    <n v="27.8"/>
    <n v="9.8571428571428577"/>
    <n v="12.765454545454544"/>
    <s v="Bajo"/>
    <n v="3.1047065708940269"/>
    <s v="Medio Bajo"/>
    <n v="9007.0438140000006"/>
    <n v="3287.4299129999999"/>
    <n v="2462"/>
    <n v="3.6584255946385054"/>
    <n v="1.3352680393988627"/>
    <m/>
    <m/>
    <m/>
    <m/>
    <m/>
    <m/>
    <m/>
    <n v="55"/>
    <n v="0"/>
    <n v="7"/>
    <n v="5508.8973859999996"/>
    <n v="2060.6229170000001"/>
    <n v="0.37405360321953912"/>
    <s v="31% - 50%"/>
    <n v="5.9951288514086566E-5"/>
    <s v="N.D."/>
    <s v="N.D."/>
    <s v="N.D."/>
    <n v="0.97682165047467939"/>
    <s v="Aceptable"/>
    <n v="1"/>
    <s v="Candidato"/>
    <n v="0"/>
    <n v="0"/>
  </r>
  <r>
    <n v="25807"/>
    <s v="25807"/>
    <x v="5"/>
    <x v="5"/>
    <s v="TIBIRITA"/>
    <n v="44.743566666666702"/>
    <n v="66.989999999999995"/>
    <n v="81.81"/>
    <n v="82.25"/>
    <n v="54.778128035091342"/>
    <n v="44.679011117541663"/>
    <n v="68.095974386747699"/>
    <n v="52.681800000000003"/>
    <n v="68.94839166666668"/>
    <n v="55.058728384845182"/>
    <n v="62.003560025755931"/>
    <n v="53.425065409134866"/>
    <n v="46.574934590865134"/>
    <n v="0.51917441131778619"/>
    <n v="0"/>
    <n v="32.190661775978853"/>
    <n v="3"/>
    <n v="3"/>
    <b v="1"/>
    <x v="4"/>
    <n v="56.909663539695451"/>
    <n v="0.53502832690909929"/>
    <n v="30.448282068603028"/>
    <n v="3"/>
    <n v="0"/>
    <n v="5.0938964860604798"/>
    <n v="-1.5853915591313106E-2"/>
    <n v="1.7423797073758251"/>
    <n v="3"/>
    <b v="1"/>
    <n v="0"/>
    <n v="0.81759069605862034"/>
    <n v="46.528811425881493"/>
    <n v="0.41140037310558675"/>
    <n v="3"/>
    <n v="0"/>
    <n v="41.140037310558675"/>
    <n v="4"/>
    <n v="-0.29841628474083415"/>
    <b v="0"/>
    <n v="0"/>
    <n v="4"/>
    <n v="1"/>
    <n v="0"/>
    <n v="0"/>
    <n v="0"/>
    <n v="0"/>
    <n v="0"/>
    <s v="Rural"/>
    <n v="6"/>
    <s v="Fuera SC"/>
    <m/>
    <s v="No"/>
    <s v="No"/>
    <n v="52.3"/>
    <n v="11.622176591375769"/>
    <n v="8.2549954665190501"/>
    <s v="Bajo"/>
    <n v="0"/>
    <s v="Bajo"/>
    <n v="11811.310927"/>
    <n v="2923.4917725999999"/>
    <n v="3346"/>
    <n v="3.5299793565451285"/>
    <n v="0.87372736778242677"/>
    <m/>
    <m/>
    <m/>
    <m/>
    <m/>
    <m/>
    <m/>
    <n v="96"/>
    <n v="0"/>
    <n v="7"/>
    <n v="5645.6026309999997"/>
    <n v="1139.480114"/>
    <n v="0.20183498352206292"/>
    <s v="0% - 30%"/>
    <n v="3.3151771974822813E-5"/>
    <s v="N.D."/>
    <s v="N.D."/>
    <s v="N.D."/>
    <n v="0.87368923071365956"/>
    <s v="Aceptable"/>
    <n v="2"/>
    <s v="Candidato"/>
    <n v="0"/>
    <n v="0"/>
  </r>
  <r>
    <n v="52378"/>
    <s v="52378"/>
    <x v="18"/>
    <x v="18"/>
    <s v="LA CRUZ"/>
    <n v="83.000699999999995"/>
    <n v="67.540000000000006"/>
    <n v="63.78"/>
    <n v="57.83"/>
    <n v="61.825627118634074"/>
    <n v="63.253376660590867"/>
    <n v="64.004766670314581"/>
    <n v="61.3172"/>
    <n v="68.037675000000007"/>
    <n v="62.600242612384875"/>
    <n v="65.318958806192441"/>
    <n v="52.829264385264828"/>
    <n v="47.170735614735172"/>
    <n v="0.52453662053261652"/>
    <n v="0"/>
    <n v="34.262185908909373"/>
    <n v="3"/>
    <n v="3"/>
    <b v="1"/>
    <x v="4"/>
    <n v="69.319654312617899"/>
    <n v="0.53341866205196842"/>
    <n v="36.976397257341603"/>
    <n v="2"/>
    <n v="-1"/>
    <n v="-4.0006955064254583"/>
    <n v="-8.882041519351902E-3"/>
    <n v="-2.7142113484322294"/>
    <n v="3"/>
    <b v="1"/>
    <s v="Efecto ponderador"/>
    <n v="0.81759069605862034"/>
    <n v="56.67510441999621"/>
    <n v="0.53831980326102635"/>
    <n v="2"/>
    <n v="-1"/>
    <n v="53.831980326102638"/>
    <n v="4"/>
    <n v="-0.29305407552600382"/>
    <b v="0"/>
    <s v="Cambio en corte"/>
    <n v="2"/>
    <n v="-1"/>
    <n v="0"/>
    <n v="0"/>
    <n v="0"/>
    <n v="0"/>
    <n v="0"/>
    <s v="Intermedio"/>
    <n v="6"/>
    <s v="Fuera SC"/>
    <m/>
    <s v="No"/>
    <s v="Si"/>
    <n v="27.8"/>
    <n v="11.601944661184802"/>
    <n v="26.187604120649304"/>
    <s v="Medio"/>
    <n v="4.4403837887947697"/>
    <s v="Medio Bajo"/>
    <n v="34276.36795"/>
    <n v="4053.6468876999998"/>
    <n v="19560"/>
    <n v="1.752370549591002"/>
    <n v="0.20724166092535787"/>
    <m/>
    <m/>
    <m/>
    <m/>
    <m/>
    <m/>
    <m/>
    <n v="69"/>
    <n v="0"/>
    <n v="6"/>
    <n v="23899.919378999999"/>
    <n v="13237.8477"/>
    <n v="0.55388670941005858"/>
    <s v="51% - 70%"/>
    <n v="3.8513889184715752E-4"/>
    <s v="N.D."/>
    <s v="N.D."/>
    <s v="N.D."/>
    <n v="0.93501690835904094"/>
    <s v="Aceptable"/>
    <n v="2"/>
    <s v="Candidato"/>
    <n v="0"/>
    <n v="0"/>
  </r>
  <r>
    <n v="44560"/>
    <s v="44560"/>
    <x v="21"/>
    <x v="21"/>
    <s v="MANAURE"/>
    <n v="47.139233333333301"/>
    <n v="61.6"/>
    <n v="66.63"/>
    <n v="76.02"/>
    <n v="47.567353125331486"/>
    <n v="44.670029485513354"/>
    <n v="53.048702803015708"/>
    <n v="46.1267"/>
    <n v="62.847308333333316"/>
    <n v="47.853196353465137"/>
    <n v="55.350252343399227"/>
    <n v="53.822559170622242"/>
    <n v="46.177440829377758"/>
    <n v="0.51559696746439987"/>
    <n v="0"/>
    <n v="28.538422256645934"/>
    <n v="4"/>
    <n v="4"/>
    <b v="1"/>
    <x v="4"/>
    <n v="52.489810206301499"/>
    <n v="0.53352343166493255"/>
    <n v="28.004543668706976"/>
    <n v="3"/>
    <n v="0"/>
    <n v="2.8604421370977278"/>
    <n v="-1.7926464200532677E-2"/>
    <n v="0.53387858793895759"/>
    <n v="3"/>
    <b v="1"/>
    <n v="0"/>
    <n v="0.81759069605862034"/>
    <n v="42.915180462554915"/>
    <n v="0.36619765888045125"/>
    <n v="3"/>
    <n v="0"/>
    <n v="36.619765888045123"/>
    <n v="4"/>
    <n v="-0.30199372859422047"/>
    <b v="0"/>
    <n v="0"/>
    <n v="3"/>
    <n v="0"/>
    <n v="0"/>
    <n v="0"/>
    <n v="0"/>
    <n v="0"/>
    <n v="0"/>
    <s v="Rural"/>
    <n v="4"/>
    <s v="Fuera SC"/>
    <m/>
    <s v="No"/>
    <s v="No"/>
    <n v="86.7"/>
    <n v="81.102362204724415"/>
    <n v="12.518261913803743"/>
    <s v="Bajo"/>
    <n v="0.23825741906886422"/>
    <s v="Medio Bajo"/>
    <n v="167361.79220200001"/>
    <n v="25903.063713"/>
    <n v="96422"/>
    <n v="1.7357220572276038"/>
    <n v="0.26864267193171681"/>
    <m/>
    <m/>
    <m/>
    <m/>
    <m/>
    <m/>
    <m/>
    <n v="76"/>
    <n v="0"/>
    <n v="7"/>
    <n v="161612.56005999999"/>
    <n v="8908.2882539999991"/>
    <n v="5.5121261928483309E-2"/>
    <s v="0% - 30%"/>
    <n v="2.5917568657332483E-4"/>
    <n v="151825.13355999999"/>
    <n v="0.93943894895071067"/>
    <s v="71% - 100%"/>
    <n v="0.93551639962822541"/>
    <s v="Aceptable"/>
    <n v="2"/>
    <s v="Candidato"/>
    <n v="1"/>
    <s v="Zona de Fronteras"/>
  </r>
  <r>
    <n v="15632"/>
    <s v="15632"/>
    <x v="10"/>
    <x v="10"/>
    <s v="SABOYÁ"/>
    <n v="83.148333333333298"/>
    <n v="88.42"/>
    <n v="64.87"/>
    <n v="57.73"/>
    <n v="54.335882268597075"/>
    <n v="53.014755794278734"/>
    <n v="61.415729930676093"/>
    <n v="49.4953"/>
    <n v="73.542083333333323"/>
    <n v="54.565416998387974"/>
    <n v="64.053750165860649"/>
    <n v="53.331095570206536"/>
    <n v="46.668904429793464"/>
    <n v="0.52002013986814122"/>
    <n v="0"/>
    <n v="33.309240120329825"/>
    <n v="3"/>
    <n v="3"/>
    <b v="1"/>
    <x v="4"/>
    <n v="67.535570739696198"/>
    <n v="0.53112893153589602"/>
    <n v="35.870095527641766"/>
    <n v="2"/>
    <n v="-1"/>
    <n v="-3.4818205738355488"/>
    <n v="-1.1108791667754803E-2"/>
    <n v="-2.5608554073119407"/>
    <n v="3"/>
    <b v="1"/>
    <s v="Efecto ponderador"/>
    <n v="0.81759069605862034"/>
    <n v="55.216454289784409"/>
    <n v="0.52007362769424315"/>
    <n v="2"/>
    <n v="-1"/>
    <n v="52.007362769424311"/>
    <n v="4"/>
    <n v="-0.29757055619047912"/>
    <b v="0"/>
    <s v="Cambio en corte"/>
    <n v="2"/>
    <n v="-1"/>
    <n v="0"/>
    <n v="0"/>
    <n v="0"/>
    <n v="0"/>
    <n v="0"/>
    <s v="Rural"/>
    <n v="6"/>
    <s v="Fuera SC"/>
    <m/>
    <s v="No"/>
    <s v="No"/>
    <n v="41.8"/>
    <n v="15.993190574321297"/>
    <n v="30.000138315844396"/>
    <s v="Medio"/>
    <n v="0"/>
    <s v="Bajo"/>
    <n v="28788.491400999999"/>
    <n v="5961.0916626000007"/>
    <n v="14424"/>
    <n v="1.9958743345119245"/>
    <n v="0.41327590561564065"/>
    <m/>
    <m/>
    <m/>
    <m/>
    <m/>
    <m/>
    <m/>
    <n v="86"/>
    <n v="0"/>
    <n v="7"/>
    <n v="24828.825861000001"/>
    <n v="4503.7065089999996"/>
    <n v="0.18139023303853521"/>
    <s v="0% - 30%"/>
    <n v="1.3102979981263041E-4"/>
    <s v="N.D."/>
    <s v="N.D."/>
    <s v="N.D."/>
    <n v="0.94175538705601736"/>
    <s v="Aceptable"/>
    <n v="1"/>
    <s v="Candidato"/>
    <n v="0"/>
    <n v="0"/>
  </r>
  <r>
    <n v="76243"/>
    <s v="76243"/>
    <x v="3"/>
    <x v="3"/>
    <s v="EL ÁGUILA"/>
    <n v="59.087566666666703"/>
    <n v="60.69"/>
    <n v="55.4"/>
    <n v="64.28"/>
    <n v="40.818631454260043"/>
    <n v="35.403091042527777"/>
    <n v="42.567855586182304"/>
    <n v="41.921100000000003"/>
    <n v="59.864391666666677"/>
    <n v="40.177669520742533"/>
    <n v="50.021030593704609"/>
    <n v="53.178570797683257"/>
    <n v="46.821429202316743"/>
    <n v="0.52139286282085073"/>
    <n v="0"/>
    <n v="26.080608342501005"/>
    <n v="4"/>
    <n v="4"/>
    <b v="1"/>
    <x v="5"/>
    <n v="48.731440011714007"/>
    <n v="0.53306746746560585"/>
    <n v="25.97714531299648"/>
    <n v="4"/>
    <n v="0"/>
    <n v="1.2895905819906019"/>
    <n v="-1.1674604644755116E-2"/>
    <n v="0.10346302950452468"/>
    <n v="4"/>
    <b v="1"/>
    <n v="0"/>
    <n v="0.81759069605862034"/>
    <n v="39.842371959116157"/>
    <n v="0.32776006354790443"/>
    <n v="4"/>
    <n v="0"/>
    <n v="32.776006354790447"/>
    <n v="4"/>
    <n v="-0.2961978332377696"/>
    <b v="1"/>
    <n v="0"/>
    <n v="3"/>
    <n v="-1"/>
    <n v="0"/>
    <n v="0"/>
    <n v="0"/>
    <n v="0"/>
    <n v="1"/>
    <s v="Rural"/>
    <n v="6"/>
    <s v="Fuera SC"/>
    <m/>
    <s v="No"/>
    <s v="No"/>
    <n v="43.5"/>
    <n v="13.929201139292012"/>
    <n v="37.741165447198867"/>
    <s v="Alto"/>
    <n v="9.1099155282516229"/>
    <s v="Medio"/>
    <n v="23033.750194"/>
    <n v="4097.6823239000005"/>
    <n v="9210"/>
    <n v="2.5009500753528773"/>
    <n v="0.44491664754614557"/>
    <m/>
    <m/>
    <m/>
    <m/>
    <m/>
    <m/>
    <m/>
    <n v="91"/>
    <n v="0"/>
    <n v="7"/>
    <n v="18782.405535000002"/>
    <n v="2954.8358039999998"/>
    <n v="0.15731934860493893"/>
    <s v="0% - 30%"/>
    <n v="8.5967312280142377E-5"/>
    <s v="N.D."/>
    <s v="N.D."/>
    <s v="N.D."/>
    <n v="0.95925022294175055"/>
    <s v="Aceptable"/>
    <n v="2"/>
    <s v="Candidato"/>
    <n v="0"/>
    <n v="0"/>
  </r>
  <r>
    <n v="52786"/>
    <s v="52786"/>
    <x v="18"/>
    <x v="18"/>
    <s v="TAMINANGO"/>
    <n v="50.065366666666698"/>
    <n v="44.06"/>
    <n v="41.29"/>
    <n v="48.19"/>
    <n v="58.874389201953342"/>
    <n v="53.528916177408512"/>
    <n v="45.566665043055487"/>
    <n v="61.227800000000002"/>
    <n v="45.901341666666674"/>
    <n v="54.799442605604334"/>
    <n v="50.350392136135504"/>
    <n v="52.942633370894264"/>
    <n v="47.057366629105736"/>
    <n v="0.52351629966195168"/>
    <n v="0"/>
    <n v="26.359250977637888"/>
    <n v="4"/>
    <n v="4"/>
    <b v="1"/>
    <x v="5"/>
    <n v="48.800309388207282"/>
    <n v="0.53332668516794579"/>
    <n v="26.026507241182774"/>
    <n v="4"/>
    <n v="0"/>
    <n v="1.5500827479282222"/>
    <n v="-9.8103855059941125E-3"/>
    <n v="0.33274373645511446"/>
    <n v="4"/>
    <b v="1"/>
    <n v="0"/>
    <n v="0.81759069605862034"/>
    <n v="39.898678920580416"/>
    <n v="0.32846440428269036"/>
    <n v="4"/>
    <n v="0"/>
    <n v="32.846440428269034"/>
    <n v="4"/>
    <n v="-0.29407439639666866"/>
    <b v="1"/>
    <n v="0"/>
    <n v="4"/>
    <n v="0"/>
    <n v="0"/>
    <n v="0"/>
    <n v="0"/>
    <n v="0"/>
    <n v="0"/>
    <s v="Rural"/>
    <n v="6"/>
    <s v="Fuera SC"/>
    <m/>
    <s v="No"/>
    <s v="No"/>
    <n v="36.1"/>
    <n v="16.240591746690889"/>
    <n v="36.777737391503031"/>
    <s v="Alto"/>
    <n v="12.331928231899134"/>
    <s v="Alto"/>
    <n v="47026.225345999999"/>
    <n v="5704.5417577500002"/>
    <n v="18398"/>
    <n v="2.5560509482552449"/>
    <n v="0.31006314587183392"/>
    <m/>
    <m/>
    <m/>
    <m/>
    <m/>
    <m/>
    <m/>
    <n v="69"/>
    <n v="0"/>
    <n v="7"/>
    <n v="23480.32834"/>
    <n v="13453.101962999999"/>
    <n v="0.5729520374756395"/>
    <s v="51% - 70%"/>
    <n v="3.9140144979433772E-4"/>
    <s v="N.D."/>
    <s v="N.D."/>
    <s v="N.D."/>
    <n v="0.97623713593349193"/>
    <s v="Aceptable"/>
    <n v="2"/>
    <s v="Candidato"/>
    <n v="0"/>
    <n v="0"/>
  </r>
  <r>
    <n v="5856"/>
    <s v="05856"/>
    <x v="1"/>
    <x v="1"/>
    <s v="VALPARAÍSO"/>
    <n v="60.159799999999997"/>
    <n v="44.07"/>
    <n v="37.67"/>
    <n v="57.38"/>
    <n v="28.196483472101193"/>
    <n v="46.095350684358131"/>
    <n v="43.013155991255452"/>
    <n v="47.2425"/>
    <n v="49.819949999999999"/>
    <n v="41.136872536928692"/>
    <n v="45.478411268464342"/>
    <n v="52.555041380806543"/>
    <n v="47.444958619193457"/>
    <n v="0.52700462757274114"/>
    <n v="0"/>
    <n v="23.967333193137005"/>
    <n v="4"/>
    <n v="4"/>
    <b v="1"/>
    <x v="5"/>
    <n v="45.362505379494436"/>
    <n v="0.53465875713310984"/>
    <n v="24.253460746644503"/>
    <n v="4"/>
    <n v="0"/>
    <n v="0.11590588896990539"/>
    <n v="-7.6541295603687054E-3"/>
    <n v="-0.28612755350749808"/>
    <n v="4"/>
    <b v="1"/>
    <n v="0"/>
    <n v="0.81759069605862034"/>
    <n v="37.087962348183765"/>
    <n v="0.29330530273654393"/>
    <n v="4"/>
    <n v="0"/>
    <n v="29.330530273654393"/>
    <n v="4"/>
    <n v="-0.2905860684858792"/>
    <b v="1"/>
    <n v="0"/>
    <n v="3"/>
    <n v="-1"/>
    <n v="0"/>
    <n v="0"/>
    <n v="0"/>
    <n v="0"/>
    <n v="0"/>
    <s v="Intermedio"/>
    <n v="6"/>
    <s v="Fuera SC"/>
    <m/>
    <s v="No"/>
    <s v="Si"/>
    <n v="25.9"/>
    <n v="8.8843738455855199"/>
    <n v="34.018681938362384"/>
    <s v="Medio"/>
    <n v="0.13426919284973382"/>
    <s v="Bajo"/>
    <n v="13412.044683"/>
    <n v="5101.3857090000001"/>
    <n v="6683"/>
    <n v="2.0068898223851566"/>
    <n v="0.76333767903636096"/>
    <m/>
    <m/>
    <m/>
    <m/>
    <m/>
    <m/>
    <m/>
    <n v="31"/>
    <n v="0"/>
    <n v="7"/>
    <n v="12614.562884000001"/>
    <n v="2163.944356"/>
    <n v="0.17154334842190158"/>
    <s v="0% - 30%"/>
    <n v="6.2957298661832381E-5"/>
    <n v="153.420434"/>
    <n v="1.2162168075962003E-2"/>
    <s v="0% - 30%"/>
    <n v="0.86073460701647608"/>
    <s v="Aceptable"/>
    <n v="1"/>
    <s v="Candidato"/>
    <n v="0"/>
    <n v="0"/>
  </r>
  <r>
    <n v="19743"/>
    <s v="19743"/>
    <x v="13"/>
    <x v="13"/>
    <s v="SILVIA"/>
    <n v="70.9179666666667"/>
    <n v="68.38"/>
    <n v="63.02"/>
    <n v="69.09"/>
    <n v="46.448953015678136"/>
    <n v="44.087450367129286"/>
    <n v="41.645395798921399"/>
    <n v="49.543900000000001"/>
    <n v="67.851991666666677"/>
    <n v="45.431424795432207"/>
    <n v="56.641708231049442"/>
    <n v="53.173634255118721"/>
    <n v="46.826365744881279"/>
    <n v="0.5214372917039316"/>
    <n v="0"/>
    <n v="29.535098937482712"/>
    <n v="4"/>
    <n v="4"/>
    <b v="1"/>
    <x v="4"/>
    <n v="55.039400711150115"/>
    <n v="0.53334770647579743"/>
    <n v="29.35513813509429"/>
    <n v="3"/>
    <n v="0"/>
    <n v="1.6023075198993268"/>
    <n v="-1.1910414771865829E-2"/>
    <n v="0.17996080238842183"/>
    <n v="3"/>
    <b v="1"/>
    <n v="0"/>
    <n v="0.81759069605862034"/>
    <n v="44.999701938078545"/>
    <n v="0.39227282524650192"/>
    <n v="3"/>
    <n v="0"/>
    <n v="39.227282524650192"/>
    <n v="4"/>
    <n v="-0.29615340435468873"/>
    <b v="0"/>
    <n v="0"/>
    <n v="3"/>
    <n v="0"/>
    <n v="0"/>
    <n v="0"/>
    <n v="0"/>
    <n v="0"/>
    <n v="0"/>
    <s v="Rural"/>
    <n v="6"/>
    <s v="Fuera SC"/>
    <m/>
    <s v="No"/>
    <s v="No"/>
    <n v="43.8"/>
    <n v="14.176153385260635"/>
    <n v="4.6574999999999998"/>
    <s v="Sin riesgo"/>
    <n v="12.360124504744807"/>
    <s v="Alto"/>
    <n v="58911.133064000001"/>
    <n v="6893.6561498000001"/>
    <n v="39887"/>
    <n v="1.4769507123624239"/>
    <n v="0.1728296474991852"/>
    <m/>
    <m/>
    <m/>
    <m/>
    <m/>
    <m/>
    <m/>
    <n v="46"/>
    <n v="0"/>
    <n v="6"/>
    <n v="68116.671428000001"/>
    <n v="29190.639263000001"/>
    <n v="0.42853883859922304"/>
    <s v="31% - 50%"/>
    <n v="8.4926573509845919E-4"/>
    <n v="31882.559355000001"/>
    <n v="0.4680580933655894"/>
    <s v="31% - 50%"/>
    <n v="0.83027832809910573"/>
    <s v="Crítico bajo"/>
    <n v="2"/>
    <s v="Candidato"/>
    <n v="0"/>
    <n v="0"/>
  </r>
  <r>
    <n v="15187"/>
    <s v="15187"/>
    <x v="10"/>
    <x v="10"/>
    <s v="CHIVATÁ"/>
    <n v="84.250466666666696"/>
    <n v="83.25"/>
    <n v="53.73"/>
    <n v="89.75"/>
    <n v="61.462158802796182"/>
    <n v="66.347476855991744"/>
    <n v="58.289968873504691"/>
    <n v="60.909500000000001"/>
    <n v="77.745116666666661"/>
    <n v="61.75227613307316"/>
    <n v="69.748696399869914"/>
    <n v="53.435694573760358"/>
    <n v="46.564305426239642"/>
    <n v="0.51907874883615679"/>
    <n v="0"/>
    <n v="36.205066060197431"/>
    <n v="3"/>
    <n v="3"/>
    <b v="1"/>
    <x v="3"/>
    <n v="67.843974812836109"/>
    <n v="0.53137520009911887"/>
    <n v="36.050605691690372"/>
    <n v="2"/>
    <n v="0"/>
    <n v="1.904721587033805"/>
    <n v="-1.2296451262962083E-2"/>
    <n v="0.1544603685070598"/>
    <n v="2"/>
    <b v="1"/>
    <n v="0"/>
    <n v="0.81759069605862034"/>
    <n v="55.468602590610182"/>
    <n v="0.52322773714821147"/>
    <n v="2"/>
    <n v="0"/>
    <n v="52.322773714821146"/>
    <n v="3"/>
    <n v="-0.29851194722246355"/>
    <b v="0"/>
    <n v="0"/>
    <n v="2"/>
    <n v="0"/>
    <n v="0"/>
    <n v="0"/>
    <n v="0"/>
    <n v="0"/>
    <n v="0"/>
    <s v="Rural"/>
    <n v="6"/>
    <s v="En aglomeración"/>
    <m/>
    <s v="No"/>
    <s v="No"/>
    <n v="42.3"/>
    <n v="20.553359683794465"/>
    <n v="14.014789092932663"/>
    <s v="Medio"/>
    <n v="0"/>
    <s v="Bajo"/>
    <n v="13313.029966"/>
    <n v="3642.7320929000002"/>
    <n v="2858"/>
    <n v="4.6581630391882438"/>
    <n v="1.274573860356893"/>
    <m/>
    <m/>
    <m/>
    <m/>
    <m/>
    <m/>
    <m/>
    <n v="79"/>
    <n v="0"/>
    <n v="7"/>
    <n v="4944.4209940000001"/>
    <n v="297.912239"/>
    <n v="6.0252199268936282E-2"/>
    <s v="0% - 30%"/>
    <n v="8.6673900619181122E-6"/>
    <s v="N.D."/>
    <s v="N.D."/>
    <s v="N.D."/>
    <n v="0.92697923686465489"/>
    <s v="Aceptable"/>
    <n v="3"/>
    <s v="Candidato"/>
    <n v="0"/>
    <n v="0"/>
  </r>
  <r>
    <n v="13300"/>
    <s v="13300"/>
    <x v="8"/>
    <x v="8"/>
    <s v="HATILLO DE LOBA"/>
    <n v="42.847666666666697"/>
    <n v="43.65"/>
    <n v="77.42"/>
    <n v="88.61"/>
    <n v="37.110360726324522"/>
    <n v="49.259485428400893"/>
    <n v="47.894615190350009"/>
    <n v="55.396000000000001"/>
    <n v="63.131916666666683"/>
    <n v="47.415115336268855"/>
    <n v="55.273516001467769"/>
    <n v="52.944382955622025"/>
    <n v="47.055617044377975"/>
    <n v="0.52350055339940182"/>
    <n v="0"/>
    <n v="28.93571621509907"/>
    <n v="4"/>
    <n v="4"/>
    <b v="1"/>
    <x v="4"/>
    <n v="50.575227931580287"/>
    <n v="0.53205977471068744"/>
    <n v="26.909044379218273"/>
    <n v="4"/>
    <n v="1"/>
    <n v="4.6982880698874823"/>
    <n v="-8.5592213112856141E-3"/>
    <n v="2.0266718358807978"/>
    <n v="3"/>
    <b v="1"/>
    <s v="Efecto ponderador"/>
    <n v="0.81759069605862034"/>
    <n v="41.349835807904107"/>
    <n v="0.34661684727956582"/>
    <n v="4"/>
    <n v="1"/>
    <n v="34.661684727956583"/>
    <n v="4"/>
    <n v="-0.29409014265921851"/>
    <b v="0"/>
    <s v="Cambio en corte"/>
    <n v="4"/>
    <n v="1"/>
    <n v="0"/>
    <n v="0"/>
    <n v="0"/>
    <n v="0"/>
    <n v="0"/>
    <s v="Rural"/>
    <n v="6"/>
    <s v="Fuera SC"/>
    <m/>
    <s v="No"/>
    <s v="Si"/>
    <n v="73.8"/>
    <n v="50.450297366185218"/>
    <n v="74.190833333333345"/>
    <s v="Alto"/>
    <n v="2.0472601784696378"/>
    <s v="Medio Bajo"/>
    <n v="36428.324868999996"/>
    <n v="6711.1829079999998"/>
    <n v="13252"/>
    <n v="2.7488926100965889"/>
    <n v="0.50642792846362816"/>
    <m/>
    <m/>
    <m/>
    <m/>
    <m/>
    <m/>
    <m/>
    <n v="60"/>
    <n v="0"/>
    <n v="7"/>
    <n v="19402.397991999998"/>
    <n v="865.36483799999996"/>
    <n v="4.4600921925053154E-2"/>
    <s v="0% - 30%"/>
    <n v="2.5176725273158639E-5"/>
    <s v="N.D."/>
    <s v="N.D."/>
    <s v="N.D."/>
    <n v="0.92606811622136642"/>
    <s v="Aceptable"/>
    <n v="2"/>
    <s v="Candidato"/>
    <n v="0"/>
    <n v="0"/>
  </r>
  <r>
    <n v="68147"/>
    <s v="68147"/>
    <x v="0"/>
    <x v="0"/>
    <s v="CAPITANEJO"/>
    <n v="57.930300000000003"/>
    <n v="36.25"/>
    <n v="29.94"/>
    <n v="40.78"/>
    <n v="68.700477979927385"/>
    <n v="69.094523433269643"/>
    <n v="63.396194963758774"/>
    <n v="56.344799999999999"/>
    <n v="41.225075000000004"/>
    <n v="64.383999094238959"/>
    <n v="52.804537047119481"/>
    <n v="52.614977798939364"/>
    <n v="47.385022201060636"/>
    <n v="0.52646519980954576"/>
    <n v="0"/>
    <n v="27.799751147362318"/>
    <n v="4"/>
    <n v="4"/>
    <b v="1"/>
    <x v="5"/>
    <n v="53.945310914852243"/>
    <n v="0.53231101177060069"/>
    <n v="28.715683033364627"/>
    <n v="3"/>
    <n v="-1"/>
    <n v="-1.1407738677327615"/>
    <n v="-5.8458119610549364E-3"/>
    <n v="-0.91593188600230846"/>
    <n v="3"/>
    <b v="0"/>
    <s v="Cambio en corte"/>
    <n v="0.81759069605862034"/>
    <n v="44.105184299972734"/>
    <n v="0.38108335250426667"/>
    <n v="3"/>
    <n v="-1"/>
    <n v="38.10833525042667"/>
    <n v="4"/>
    <n v="-0.29112549624907458"/>
    <b v="1"/>
    <s v="Efecto ponderador"/>
    <n v="3"/>
    <n v="-1"/>
    <n v="0"/>
    <n v="0"/>
    <n v="0"/>
    <n v="0"/>
    <n v="0"/>
    <s v="Intermedio"/>
    <n v="6"/>
    <s v="Fuera SC"/>
    <m/>
    <s v="No"/>
    <s v="No"/>
    <n v="35.700000000000003"/>
    <n v="16.357088703563306"/>
    <n v="26.294999999999998"/>
    <s v="Medio"/>
    <n v="0"/>
    <s v="Bajo"/>
    <n v="15331.606717000001"/>
    <n v="4140.04699385"/>
    <n v="6215"/>
    <n v="2.4668715554304104"/>
    <n v="0.66613789120675782"/>
    <m/>
    <m/>
    <m/>
    <m/>
    <m/>
    <m/>
    <m/>
    <n v="58"/>
    <n v="0"/>
    <n v="7"/>
    <n v="8522.6149399999995"/>
    <n v="404.36116199999998"/>
    <n v="4.744566835962203E-2"/>
    <s v="0% - 30%"/>
    <n v="1.1764390508791615E-5"/>
    <s v="N.D."/>
    <s v="N.D."/>
    <s v="N.D."/>
    <n v="0.98676912070606559"/>
    <s v="Aceptable"/>
    <n v="1"/>
    <s v="Candidato"/>
    <n v="0"/>
    <n v="0"/>
  </r>
  <r>
    <n v="19785"/>
    <s v="19785"/>
    <x v="13"/>
    <x v="13"/>
    <s v="SUCRE"/>
    <n v="63.978499999999997"/>
    <n v="53.31"/>
    <n v="59.55"/>
    <n v="65.8"/>
    <n v="45.873684335503626"/>
    <n v="55.932055301662523"/>
    <n v="55.853002150340799"/>
    <n v="48.786799999999999"/>
    <n v="60.659625000000005"/>
    <n v="51.611385446876731"/>
    <n v="56.135505223438372"/>
    <n v="53.329982340698791"/>
    <n v="46.670017659301209"/>
    <n v="0.52003015893371096"/>
    <n v="0"/>
    <n v="29.192155703168819"/>
    <n v="4"/>
    <n v="4"/>
    <b v="1"/>
    <x v="4"/>
    <n v="55.699132036852575"/>
    <n v="0.53101842258176202"/>
    <n v="29.577265233382739"/>
    <n v="3"/>
    <n v="0"/>
    <n v="0.43637318658579716"/>
    <n v="-1.0988263648051055E-2"/>
    <n v="-0.38510953021392069"/>
    <n v="3"/>
    <b v="1"/>
    <n v="0"/>
    <n v="0.81759069605862034"/>
    <n v="45.539092131871293"/>
    <n v="0.39902002799999198"/>
    <n v="3"/>
    <n v="0"/>
    <n v="39.902002799999195"/>
    <n v="4"/>
    <n v="-0.29756053712490937"/>
    <b v="0"/>
    <n v="0"/>
    <n v="3"/>
    <n v="0"/>
    <n v="0"/>
    <n v="0"/>
    <n v="0"/>
    <n v="0"/>
    <n v="0"/>
    <s v="Rural"/>
    <n v="6"/>
    <s v="Fuera SC"/>
    <m/>
    <s v="No"/>
    <s v="No"/>
    <n v="75.5"/>
    <n v="35.478148685695857"/>
    <n v="0"/>
    <s v="Sin riesgo"/>
    <n v="44.959476510324691"/>
    <s v="Muy Alto"/>
    <n v="26972.060334999998"/>
    <n v="4643.2882014999996"/>
    <n v="9756"/>
    <n v="2.7646638309758096"/>
    <n v="0.47594180007175069"/>
    <m/>
    <m/>
    <m/>
    <m/>
    <m/>
    <m/>
    <m/>
    <n v="26"/>
    <n v="0"/>
    <n v="7"/>
    <n v="13595.853985"/>
    <n v="301.21807000000001"/>
    <n v="2.2155141584510037E-2"/>
    <s v="0% - 30%"/>
    <n v="8.7635691475842802E-6"/>
    <s v="N.D."/>
    <s v="N.D."/>
    <s v="N.D."/>
    <n v="0.96059136490707597"/>
    <s v="Aceptable"/>
    <n v="2"/>
    <s v="Candidato"/>
    <n v="0"/>
    <n v="0"/>
  </r>
  <r>
    <n v="23350"/>
    <s v="23350"/>
    <x v="14"/>
    <x v="14"/>
    <s v="LA APARTADA"/>
    <n v="64.204233333333306"/>
    <n v="49.77"/>
    <n v="49.06"/>
    <n v="43.48"/>
    <n v="63.293173225583914"/>
    <n v="52.809207117730004"/>
    <n v="61.447132891641125"/>
    <n v="64.349000000000004"/>
    <n v="51.628558333333324"/>
    <n v="60.474628308738758"/>
    <n v="56.051593321036037"/>
    <n v="52.732577563304552"/>
    <n v="47.267422436695448"/>
    <n v="0.52540680193025902"/>
    <n v="0"/>
    <n v="29.449888389901009"/>
    <n v="4"/>
    <n v="4"/>
    <b v="1"/>
    <x v="4"/>
    <n v="58.244001685309158"/>
    <n v="0.5322824518960817"/>
    <n v="31.002260025295872"/>
    <n v="3"/>
    <n v="0"/>
    <n v="-2.1924083642731205"/>
    <n v="-6.8756499658226833E-3"/>
    <n v="-1.5523716353948629"/>
    <n v="3"/>
    <b v="1"/>
    <n v="0"/>
    <n v="0.81759069605862034"/>
    <n v="47.619753879131373"/>
    <n v="0.42504691323400268"/>
    <n v="3"/>
    <n v="0"/>
    <n v="42.504691323400266"/>
    <n v="4"/>
    <n v="-0.29218389412836132"/>
    <b v="0"/>
    <n v="0"/>
    <n v="3"/>
    <n v="0"/>
    <n v="0"/>
    <n v="0"/>
    <n v="0"/>
    <n v="0"/>
    <n v="0"/>
    <s v="Intermedio"/>
    <n v="6"/>
    <s v="Fuera SC"/>
    <m/>
    <s v="No"/>
    <s v="No"/>
    <n v="52.6"/>
    <n v="30.546857933444986"/>
    <n v="0"/>
    <s v="Sin riesgo"/>
    <n v="4.7407981326525492"/>
    <s v="Medio Bajo"/>
    <n v="45742.654053999999"/>
    <n v="10376.293841000001"/>
    <n v="16297"/>
    <n v="2.8068143863287722"/>
    <n v="0.63669962821378168"/>
    <m/>
    <m/>
    <m/>
    <m/>
    <m/>
    <m/>
    <m/>
    <n v="67"/>
    <n v="0"/>
    <n v="7"/>
    <n v="28689.539698"/>
    <n v="7144.0297979999996"/>
    <n v="0.24901165627617311"/>
    <s v="0% - 30%"/>
    <n v="2.0784675742453149E-4"/>
    <s v="N.D."/>
    <s v="N.D."/>
    <s v="N.D."/>
    <n v="0.92381734941144611"/>
    <s v="Aceptable"/>
    <n v="2"/>
    <s v="Candidato"/>
    <n v="0"/>
    <n v="0"/>
  </r>
  <r>
    <n v="68229"/>
    <s v="68229"/>
    <x v="0"/>
    <x v="0"/>
    <s v="CURITÍ"/>
    <n v="58.191733333333303"/>
    <n v="63.22"/>
    <n v="64.19"/>
    <n v="67.94"/>
    <n v="64.868347016847082"/>
    <n v="65.302663052957087"/>
    <n v="65.919046830101223"/>
    <n v="62.247599999999998"/>
    <n v="63.385433333333324"/>
    <n v="64.584414224976342"/>
    <n v="63.984923779154833"/>
    <n v="52.088805025163374"/>
    <n v="47.911194974836626"/>
    <n v="0.53120075477352968"/>
    <n v="0"/>
    <n v="33.988839805613814"/>
    <n v="3"/>
    <n v="3"/>
    <b v="1"/>
    <x v="4"/>
    <n v="61.639934591537212"/>
    <n v="0.5351969144071389"/>
    <n v="32.989502797648584"/>
    <n v="3"/>
    <n v="0"/>
    <n v="2.344989187617621"/>
    <n v="-3.9961596336092198E-3"/>
    <n v="0.99933700796523084"/>
    <n v="3"/>
    <b v="1"/>
    <n v="0"/>
    <n v="0.81759069605862034"/>
    <n v="50.396237027702739"/>
    <n v="0.45977779073352493"/>
    <n v="3"/>
    <n v="0"/>
    <n v="45.977779073352494"/>
    <n v="4"/>
    <n v="-0.28638994128509065"/>
    <b v="0"/>
    <n v="0"/>
    <n v="3"/>
    <n v="0"/>
    <n v="0"/>
    <n v="0"/>
    <n v="0"/>
    <n v="0"/>
    <n v="0"/>
    <s v="Intermedio"/>
    <n v="6"/>
    <s v="Fuera SC"/>
    <m/>
    <s v="No"/>
    <s v="No"/>
    <n v="35.700000000000003"/>
    <n v="14"/>
    <n v="6.4603253838047721"/>
    <s v="Bajo"/>
    <n v="0.64338101692148986"/>
    <s v="Medio Bajo"/>
    <n v="23994.467311"/>
    <n v="5575.88115105"/>
    <n v="14441"/>
    <n v="1.6615516453846686"/>
    <n v="0.38611461471158509"/>
    <m/>
    <m/>
    <m/>
    <m/>
    <m/>
    <m/>
    <m/>
    <n v="4"/>
    <n v="0"/>
    <n v="7"/>
    <n v="24374.945368000001"/>
    <n v="8200.7706460000009"/>
    <n v="0.33644262672958292"/>
    <s v="31% - 50%"/>
    <n v="2.3859133225208039E-4"/>
    <s v="N.D."/>
    <s v="N.D."/>
    <s v="N.D."/>
    <n v="0.9299613398130353"/>
    <s v="Aceptable"/>
    <n v="3"/>
    <s v="Candidato"/>
    <n v="0"/>
    <n v="0"/>
  </r>
  <r>
    <n v="15740"/>
    <s v="15740"/>
    <x v="10"/>
    <x v="10"/>
    <s v="SIACHOQUE"/>
    <n v="66.699033333333304"/>
    <n v="78.14"/>
    <n v="80.3"/>
    <n v="86.49"/>
    <n v="52.425650739884269"/>
    <n v="68.042000929904802"/>
    <n v="64.663372656512166"/>
    <n v="61.191200000000002"/>
    <n v="77.907258333333331"/>
    <n v="61.58055608157531"/>
    <n v="69.743907207454328"/>
    <n v="53.522120204805326"/>
    <n v="46.477879795194674"/>
    <n v="0.51830091815675206"/>
    <n v="0"/>
    <n v="36.148331141462897"/>
    <n v="3"/>
    <n v="3"/>
    <b v="1"/>
    <x v="3"/>
    <n v="66.590022026407098"/>
    <n v="0.53039958337446047"/>
    <n v="35.319319939702474"/>
    <n v="2"/>
    <n v="0"/>
    <n v="3.1538851810472295"/>
    <n v="-1.2098665217708415E-2"/>
    <n v="0.82901120176042298"/>
    <n v="2"/>
    <b v="1"/>
    <n v="0"/>
    <n v="0.81759069605862034"/>
    <n v="54.44338245912904"/>
    <n v="0.51040331398726524"/>
    <n v="2"/>
    <n v="0"/>
    <n v="51.040331398726522"/>
    <n v="3"/>
    <n v="-0.29928977790186828"/>
    <b v="0"/>
    <n v="0"/>
    <n v="3"/>
    <n v="1"/>
    <n v="0"/>
    <n v="0"/>
    <n v="0"/>
    <n v="0"/>
    <n v="0"/>
    <s v="Rural"/>
    <n v="6"/>
    <s v="Fuera SC"/>
    <m/>
    <s v="No"/>
    <s v="No"/>
    <n v="45.1"/>
    <n v="19.777410136862684"/>
    <n v="17.051573104811055"/>
    <s v="Medio"/>
    <n v="0"/>
    <s v="Bajo"/>
    <n v="20151.395381999999"/>
    <n v="4535.4947263000004"/>
    <n v="6894"/>
    <n v="2.9230338529155784"/>
    <n v="0.6578901546707282"/>
    <m/>
    <m/>
    <m/>
    <m/>
    <m/>
    <m/>
    <m/>
    <n v="79"/>
    <n v="0"/>
    <n v="7"/>
    <n v="11900.719316000001"/>
    <n v="5897.7239470000004"/>
    <n v="0.49557709835831237"/>
    <s v="31% - 50%"/>
    <n v="1.7158702206311258E-4"/>
    <s v="N.D."/>
    <s v="N.D."/>
    <s v="N.D."/>
    <n v="0.94271696850677333"/>
    <s v="Aceptable"/>
    <n v="3"/>
    <s v="Candidato"/>
    <n v="0"/>
    <n v="0"/>
  </r>
  <r>
    <n v="44078"/>
    <s v="44078"/>
    <x v="21"/>
    <x v="21"/>
    <s v="BARRANCAS"/>
    <n v="58.058433333333298"/>
    <n v="81.27"/>
    <n v="83.12"/>
    <n v="88.02"/>
    <n v="66.717197356848715"/>
    <n v="44.582509570470769"/>
    <n v="58.770572734877931"/>
    <n v="52.185699999999997"/>
    <n v="77.61710833333332"/>
    <n v="55.563994915549351"/>
    <n v="66.590551624441332"/>
    <n v="53.812776865377351"/>
    <n v="46.187223134622649"/>
    <n v="0.51568500821160379"/>
    <n v="0"/>
    <n v="34.339749161265253"/>
    <n v="3"/>
    <n v="3"/>
    <b v="1"/>
    <x v="4"/>
    <n v="63.22679250780557"/>
    <n v="0.53111289039838538"/>
    <n v="33.580564519439591"/>
    <n v="3"/>
    <n v="0"/>
    <n v="3.3637591166357623"/>
    <n v="-1.5427882186781594E-2"/>
    <n v="0.75918464182566225"/>
    <n v="3"/>
    <b v="1"/>
    <n v="0"/>
    <n v="0.81759069605862034"/>
    <n v="51.693637296010714"/>
    <n v="0.4760069005012672"/>
    <n v="3"/>
    <n v="0"/>
    <n v="47.600690050126722"/>
    <n v="4"/>
    <n v="-0.30190568784701655"/>
    <b v="0"/>
    <n v="0"/>
    <n v="3"/>
    <n v="0"/>
    <n v="0"/>
    <n v="0"/>
    <n v="0"/>
    <n v="0"/>
    <n v="0"/>
    <s v="Intermedio"/>
    <n v="6"/>
    <s v="Fuera SC"/>
    <m/>
    <s v="No"/>
    <s v="No"/>
    <n v="46.7"/>
    <n v="40.610221739587345"/>
    <n v="3.3028571428571429"/>
    <s v="Sin riesgo"/>
    <n v="3.8509990410147958"/>
    <s v="Medio Bajo"/>
    <n v="220913.957345"/>
    <n v="27341.289096"/>
    <n v="42798"/>
    <n v="5.16178226424132"/>
    <n v="0.63884501836534413"/>
    <m/>
    <m/>
    <m/>
    <m/>
    <m/>
    <m/>
    <m/>
    <n v="76"/>
    <n v="0"/>
    <n v="7"/>
    <n v="79994.753807999994"/>
    <n v="37332.253525"/>
    <n v="0.46668377297095365"/>
    <s v="31% - 50%"/>
    <n v="1.0861359851402157E-3"/>
    <n v="6013.3069390000001"/>
    <n v="7.5171266273696941E-2"/>
    <s v="0% - 30%"/>
    <n v="0.9241681663352701"/>
    <s v="Aceptable"/>
    <n v="2"/>
    <s v="Candidato"/>
    <n v="1"/>
    <s v="Zona de Fronteras"/>
  </r>
  <r>
    <n v="52687"/>
    <s v="52687"/>
    <x v="18"/>
    <x v="18"/>
    <s v="SAN LORENZO"/>
    <n v="67.298299999999998"/>
    <n v="80.81"/>
    <n v="82.31"/>
    <n v="86.31"/>
    <n v="48.631773577922552"/>
    <n v="40.095385992729241"/>
    <n v="56.758114185442416"/>
    <n v="57.815800000000003"/>
    <n v="79.182074999999998"/>
    <n v="50.825268439023553"/>
    <n v="65.003671719511772"/>
    <n v="53.324401931026344"/>
    <n v="46.675598068973656"/>
    <n v="0.52008038262076295"/>
    <n v="0"/>
    <n v="33.807134459638149"/>
    <n v="3"/>
    <n v="3"/>
    <b v="1"/>
    <x v="4"/>
    <n v="63.386068820421428"/>
    <n v="0.53144649824603685"/>
    <n v="33.686304312195269"/>
    <n v="3"/>
    <n v="0"/>
    <n v="1.6176028990903433"/>
    <n v="-1.1366115625273898E-2"/>
    <n v="0.12083014744288079"/>
    <n v="3"/>
    <b v="1"/>
    <n v="0"/>
    <n v="0.81759069605862034"/>
    <n v="51.823860127307967"/>
    <n v="0.47763585085299293"/>
    <n v="3"/>
    <n v="0"/>
    <n v="47.76358508529929"/>
    <n v="4"/>
    <n v="-0.29751031343785739"/>
    <b v="0"/>
    <n v="0"/>
    <n v="3"/>
    <n v="0"/>
    <n v="0"/>
    <n v="0"/>
    <n v="0"/>
    <n v="0"/>
    <n v="0"/>
    <s v="Rural"/>
    <n v="6"/>
    <s v="Fuera SC"/>
    <m/>
    <s v="No"/>
    <s v="No"/>
    <n v="55.3"/>
    <n v="21.682906291350896"/>
    <n v="60.862869203872435"/>
    <s v="Alto"/>
    <n v="1.3816329925572266"/>
    <s v="Medio Bajo"/>
    <n v="34403.649455999999"/>
    <n v="4098.3904839999996"/>
    <n v="18725"/>
    <n v="1.837311052389853"/>
    <n v="0.2188726560213618"/>
    <m/>
    <m/>
    <m/>
    <m/>
    <m/>
    <m/>
    <m/>
    <n v="69"/>
    <n v="0"/>
    <n v="7"/>
    <n v="24935.123249"/>
    <n v="478.58016600000002"/>
    <n v="1.9193013855233022E-2"/>
    <s v="0% - 30%"/>
    <n v="1.3923701115950192E-5"/>
    <s v="N.D."/>
    <s v="N.D."/>
    <s v="N.D."/>
    <n v="0.91786620498724769"/>
    <s v="Aceptable"/>
    <n v="2"/>
    <s v="Candidato"/>
    <n v="0"/>
    <n v="0"/>
  </r>
  <r>
    <n v="41530"/>
    <s v="41530"/>
    <x v="19"/>
    <x v="19"/>
    <s v="PALESTINA"/>
    <n v="65.601533333333293"/>
    <n v="65"/>
    <n v="60.81"/>
    <n v="72.37"/>
    <n v="48.824444598506332"/>
    <n v="56.861701639908389"/>
    <n v="58.13871956234459"/>
    <n v="58.570099999999996"/>
    <n v="65.945383333333325"/>
    <n v="55.598741450189827"/>
    <n v="60.77206239176158"/>
    <n v="54.129745901231573"/>
    <n v="45.870254098768427"/>
    <n v="0.5128322868889158"/>
    <n v="0"/>
    <n v="31.165875735322963"/>
    <n v="3"/>
    <n v="3"/>
    <b v="1"/>
    <x v="4"/>
    <n v="58.711117263860629"/>
    <n v="0.53027642350901694"/>
    <n v="31.133121282898514"/>
    <n v="3"/>
    <n v="0"/>
    <n v="2.0609451279009505"/>
    <n v="-1.7444136620101136E-2"/>
    <n v="3.2754452424448743E-2"/>
    <n v="3"/>
    <b v="1"/>
    <n v="0"/>
    <n v="0.81759069605862034"/>
    <n v="48.001663230139094"/>
    <n v="0.42982419664470739"/>
    <n v="3"/>
    <n v="0"/>
    <n v="42.98241966447074"/>
    <n v="4"/>
    <n v="-0.30475840916970454"/>
    <b v="0"/>
    <n v="0"/>
    <n v="3"/>
    <n v="0"/>
    <n v="0"/>
    <n v="0"/>
    <n v="0"/>
    <n v="0"/>
    <n v="0"/>
    <s v="Rural"/>
    <n v="6"/>
    <s v="Fuera SC"/>
    <m/>
    <s v="No"/>
    <s v="Si"/>
    <n v="51"/>
    <n v="20.001913143294434"/>
    <n v="1.0335375429412725"/>
    <s v="Sin riesgo"/>
    <n v="2.5101088838405028"/>
    <s v="Medio Bajo"/>
    <n v="29865.704335999999"/>
    <n v="4124.51001825"/>
    <n v="11821"/>
    <n v="2.5264955871753658"/>
    <n v="0.3489137990229253"/>
    <m/>
    <m/>
    <m/>
    <m/>
    <m/>
    <m/>
    <m/>
    <n v="54"/>
    <n v="0"/>
    <n v="7"/>
    <n v="19696.126097"/>
    <n v="18103.393064"/>
    <n v="0.91913470572050227"/>
    <s v="71% - 100%"/>
    <n v="5.2669594796308746E-4"/>
    <n v="3.57E-4"/>
    <n v="1.8125391675593314E-8"/>
    <n v="0"/>
    <n v="0.94946949570168027"/>
    <s v="Aceptable"/>
    <n v="2"/>
    <s v="Candidato"/>
    <n v="0"/>
    <n v="0"/>
  </r>
  <r>
    <n v="52411"/>
    <s v="52411"/>
    <x v="18"/>
    <x v="18"/>
    <s v="LINARES"/>
    <n v="53.140266666666697"/>
    <n v="69.459999999999994"/>
    <n v="76.650000000000006"/>
    <n v="86.98"/>
    <n v="57.610800770257576"/>
    <n v="51.817570949952298"/>
    <n v="64.937323086485847"/>
    <n v="61.557099999999998"/>
    <n v="71.557566666666673"/>
    <n v="58.98069870167393"/>
    <n v="65.269132684170302"/>
    <n v="53.372942904285956"/>
    <n v="46.627057095714044"/>
    <n v="0.51964351386142638"/>
    <n v="0"/>
    <n v="33.916681454689929"/>
    <n v="3"/>
    <n v="3"/>
    <b v="1"/>
    <x v="4"/>
    <n v="59.533965320478011"/>
    <n v="0.53089353583116849"/>
    <n v="31.606197351038734"/>
    <n v="3"/>
    <n v="0"/>
    <n v="5.7351673636922911"/>
    <n v="-1.1250021969742119E-2"/>
    <n v="2.3104841036511949"/>
    <n v="3"/>
    <b v="1"/>
    <n v="0"/>
    <n v="0.81759069605862034"/>
    <n v="48.674416145499379"/>
    <n v="0.43823962646744813"/>
    <n v="3"/>
    <n v="0"/>
    <n v="43.82396264674481"/>
    <n v="4"/>
    <n v="-0.29794718219719396"/>
    <b v="0"/>
    <n v="0"/>
    <n v="4"/>
    <n v="1"/>
    <n v="0"/>
    <n v="0"/>
    <n v="0"/>
    <n v="0"/>
    <n v="1"/>
    <s v="Rural"/>
    <n v="6"/>
    <s v="Fuera SC"/>
    <m/>
    <s v="No"/>
    <s v="Si"/>
    <n v="32.9"/>
    <n v="14.459716169404402"/>
    <n v="45.378098879657614"/>
    <s v="Alto"/>
    <n v="17.000438488957066"/>
    <s v="Alto"/>
    <n v="24089.938921000001"/>
    <n v="3450.1672472499999"/>
    <n v="10242"/>
    <n v="2.3520737083577425"/>
    <n v="0.33686460137180235"/>
    <m/>
    <m/>
    <m/>
    <m/>
    <m/>
    <m/>
    <m/>
    <n v="70"/>
    <n v="0"/>
    <n v="7"/>
    <n v="13577.191543999999"/>
    <n v="1046.0408669999999"/>
    <n v="7.7043979501214582E-2"/>
    <s v="0% - 30%"/>
    <n v="3.0433272044912545E-5"/>
    <s v="N.D."/>
    <s v="N.D."/>
    <s v="N.D."/>
    <n v="0.95853724755787562"/>
    <s v="Aceptable"/>
    <n v="3"/>
    <s v="Candidato"/>
    <n v="0"/>
    <n v="0"/>
  </r>
  <r>
    <n v="19022"/>
    <s v="19022"/>
    <x v="13"/>
    <x v="13"/>
    <s v="ALMAGUER"/>
    <n v="46.771233333333299"/>
    <n v="78.88"/>
    <n v="83.23"/>
    <n v="85.55"/>
    <n v="47.727301882910581"/>
    <n v="50.661854072944045"/>
    <n v="51.664060128447716"/>
    <n v="46.503799999999998"/>
    <n v="73.607808333333324"/>
    <n v="49.139254021075587"/>
    <n v="61.373531177204455"/>
    <n v="53.187906492665164"/>
    <n v="46.812093507334836"/>
    <n v="0.52130884156601354"/>
    <n v="0"/>
    <n v="31.994564440804069"/>
    <n v="3"/>
    <n v="3"/>
    <b v="1"/>
    <x v="4"/>
    <n v="55.523880736926941"/>
    <n v="0.53464303958225845"/>
    <n v="29.685456366593428"/>
    <n v="3"/>
    <n v="0"/>
    <n v="5.8496504402775145"/>
    <n v="-1.3334198016244914E-2"/>
    <n v="2.3091080742106413"/>
    <n v="3"/>
    <b v="1"/>
    <n v="0"/>
    <n v="0.81759069605862034"/>
    <n v="45.395808299579919"/>
    <n v="0.39722769829342258"/>
    <n v="3"/>
    <n v="0"/>
    <n v="39.722769829342255"/>
    <n v="4"/>
    <n v="-0.2962818544926068"/>
    <b v="0"/>
    <n v="0"/>
    <n v="4"/>
    <n v="1"/>
    <n v="0"/>
    <n v="0"/>
    <n v="0"/>
    <n v="0"/>
    <n v="0"/>
    <s v="Rural"/>
    <n v="6"/>
    <s v="Fuera SC"/>
    <m/>
    <s v="No"/>
    <s v="No"/>
    <n v="62.9"/>
    <n v="33.698480905404587"/>
    <n v="0"/>
    <s v="Sin riesgo"/>
    <n v="2.6494987308195808"/>
    <s v="Medio Bajo"/>
    <n v="33925.913578"/>
    <n v="5258.6628472499997"/>
    <n v="18432"/>
    <n v="1.8405986099175347"/>
    <n v="0.2853007187093099"/>
    <m/>
    <m/>
    <m/>
    <m/>
    <m/>
    <m/>
    <m/>
    <n v="26"/>
    <n v="0"/>
    <n v="7"/>
    <n v="23685.163981000002"/>
    <n v="1905.1755780000001"/>
    <n v="8.0437508455855011E-2"/>
    <s v="0% - 30%"/>
    <n v="5.5428739438148073E-5"/>
    <s v="N.D."/>
    <s v="N.D."/>
    <s v="N.D."/>
    <n v="0.95712435701389165"/>
    <s v="Aceptable"/>
    <n v="2"/>
    <s v="Candidato"/>
    <n v="0"/>
    <n v="0"/>
  </r>
  <r>
    <n v="54261"/>
    <s v="54261"/>
    <x v="12"/>
    <x v="12"/>
    <s v="EL ZULIA"/>
    <n v="65.897033333333297"/>
    <n v="61.81"/>
    <n v="55.33"/>
    <n v="70.290000000000006"/>
    <n v="50.498778719252385"/>
    <n v="61.471561617423177"/>
    <n v="58.45824099055281"/>
    <n v="62.0807"/>
    <n v="63.331758333333326"/>
    <n v="58.127320331807091"/>
    <n v="60.729539332570212"/>
    <n v="52.828347276217158"/>
    <n v="47.171652723782842"/>
    <n v="0.52454487451404563"/>
    <n v="0"/>
    <n v="31.855368588498841"/>
    <n v="3"/>
    <n v="3"/>
    <b v="1"/>
    <x v="4"/>
    <n v="59.034150462307608"/>
    <n v="0.5320677347084698"/>
    <n v="31.410166706918975"/>
    <n v="3"/>
    <n v="0"/>
    <n v="1.6953888702626045"/>
    <n v="-7.5228601944241635E-3"/>
    <n v="0.44520188157986595"/>
    <n v="3"/>
    <b v="1"/>
    <n v="0"/>
    <n v="0.81759069605862034"/>
    <n v="48.265772167707404"/>
    <n v="0.43312792105662534"/>
    <n v="3"/>
    <n v="0"/>
    <n v="43.312792105662531"/>
    <n v="4"/>
    <n v="-0.2930458215445747"/>
    <b v="0"/>
    <n v="0"/>
    <n v="2"/>
    <n v="-1"/>
    <n v="0"/>
    <n v="0"/>
    <n v="0"/>
    <n v="0"/>
    <n v="1"/>
    <s v="Intermedio"/>
    <n v="6"/>
    <s v="Fuera SC"/>
    <m/>
    <s v="No"/>
    <s v="Si"/>
    <n v="41.9"/>
    <n v="22.554713642832418"/>
    <n v="13.91732346832814"/>
    <s v="Bajo"/>
    <n v="6.8227414754207185"/>
    <s v="Medio"/>
    <n v="64455.075085999997"/>
    <n v="13708.400653999999"/>
    <n v="31482"/>
    <n v="2.0473627814624229"/>
    <n v="0.43543614300235051"/>
    <m/>
    <m/>
    <m/>
    <m/>
    <m/>
    <m/>
    <m/>
    <n v="73"/>
    <n v="0"/>
    <n v="6"/>
    <n v="50424.625118000004"/>
    <n v="7850.190885"/>
    <n v="0.15568169057537978"/>
    <s v="0% - 30%"/>
    <n v="2.2839164543625597E-4"/>
    <s v="N.D."/>
    <s v="N.D."/>
    <s v="N.D."/>
    <n v="0.94705564777101392"/>
    <s v="Aceptable"/>
    <n v="3"/>
    <s v="Candidato"/>
    <n v="1"/>
    <s v="Unidad Especial de Desarrollo Fronterizo"/>
  </r>
  <r>
    <n v="20710"/>
    <s v="20710"/>
    <x v="20"/>
    <x v="20"/>
    <s v="SAN ALBERTO"/>
    <n v="69.273066666666693"/>
    <n v="83.03"/>
    <n v="70.430000000000007"/>
    <n v="72.430000000000007"/>
    <n v="48.865943320181444"/>
    <n v="61.677562935487131"/>
    <n v="64.822491615051362"/>
    <n v="58.8964"/>
    <n v="73.790766666666684"/>
    <n v="58.565599467679981"/>
    <n v="66.178183067173336"/>
    <n v="52.939582113570239"/>
    <n v="47.060417886429761"/>
    <n v="0.52354376097786792"/>
    <n v="0"/>
    <n v="34.647174857669782"/>
    <n v="3"/>
    <n v="3"/>
    <b v="1"/>
    <x v="4"/>
    <n v="63.218209207520104"/>
    <n v="0.52968735231893782"/>
    <n v="33.48588585347602"/>
    <n v="3"/>
    <n v="0"/>
    <n v="2.9599738596532319"/>
    <n v="-6.1435913410698983E-3"/>
    <n v="1.1612890041937618"/>
    <n v="3"/>
    <b v="1"/>
    <n v="0"/>
    <n v="0.81759069605862034"/>
    <n v="51.686619669555846"/>
    <n v="0.47591911739159237"/>
    <n v="3"/>
    <n v="0"/>
    <n v="47.591911739159237"/>
    <n v="4"/>
    <n v="-0.29404693508075241"/>
    <b v="0"/>
    <n v="0"/>
    <n v="3"/>
    <n v="0"/>
    <n v="0"/>
    <n v="0"/>
    <n v="0"/>
    <n v="0"/>
    <n v="0"/>
    <s v="Intermedio"/>
    <n v="6"/>
    <s v="Fuera SC"/>
    <m/>
    <s v="No"/>
    <s v="Si"/>
    <n v="31.9"/>
    <n v="13.734614882790414"/>
    <n v="0.87181210024800937"/>
    <s v="Sin riesgo"/>
    <n v="2.3497585539946226"/>
    <s v="Medio Bajo"/>
    <n v="50095.362866000003"/>
    <n v="13980.725302999999"/>
    <n v="31199"/>
    <n v="1.6056720685278376"/>
    <n v="0.44811453261322476"/>
    <m/>
    <m/>
    <m/>
    <m/>
    <m/>
    <m/>
    <m/>
    <n v="8"/>
    <n v="0"/>
    <n v="6"/>
    <n v="54931.571968999997"/>
    <n v="15304.28638"/>
    <n v="0.27860637938118354"/>
    <s v="0% - 30%"/>
    <n v="4.4525938283039362E-4"/>
    <s v="N.D."/>
    <s v="N.D."/>
    <s v="N.D."/>
    <n v="0.92939610682518659"/>
    <s v="Aceptable"/>
    <n v="2"/>
    <s v="Candidato"/>
    <n v="0"/>
    <n v="0"/>
  </r>
  <r>
    <n v="68051"/>
    <s v="68051"/>
    <x v="0"/>
    <x v="0"/>
    <s v="ARATOCA"/>
    <n v="63.049900000000001"/>
    <n v="60.66"/>
    <n v="54.96"/>
    <n v="59.23"/>
    <n v="51.005423009885469"/>
    <n v="60.835649492274001"/>
    <n v="64.770749528837257"/>
    <n v="69.836200000000005"/>
    <n v="59.474975000000001"/>
    <n v="61.612005507749188"/>
    <n v="60.543490253874594"/>
    <n v="52.792688513157707"/>
    <n v="47.207311486842293"/>
    <n v="0.52486580338158073"/>
    <n v="0"/>
    <n v="31.777207651624792"/>
    <n v="3"/>
    <n v="3"/>
    <b v="1"/>
    <x v="4"/>
    <n v="58.674125668095471"/>
    <n v="0.53400207781563092"/>
    <n v="31.332105020778425"/>
    <n v="3"/>
    <n v="0"/>
    <n v="1.8693645857791239"/>
    <n v="-9.1362744340501845E-3"/>
    <n v="0.44510263084636748"/>
    <n v="3"/>
    <b v="1"/>
    <n v="0"/>
    <n v="0.81759069605862034"/>
    <n v="47.971419245609141"/>
    <n v="0.42944587627840236"/>
    <n v="3"/>
    <n v="0"/>
    <n v="42.944587627840235"/>
    <n v="4"/>
    <n v="-0.29272489267703961"/>
    <b v="0"/>
    <n v="0"/>
    <n v="3"/>
    <n v="0"/>
    <n v="0"/>
    <n v="0"/>
    <n v="0"/>
    <n v="0"/>
    <n v="0"/>
    <s v="Intermedio"/>
    <n v="6"/>
    <s v="Fuera SC"/>
    <m/>
    <s v="No"/>
    <s v="Si"/>
    <n v="40.6"/>
    <n v="20.124666073018698"/>
    <n v="7.853529411764705"/>
    <s v="Bajo"/>
    <n v="0"/>
    <s v="Bajo"/>
    <n v="22434.310720000001"/>
    <n v="5121.6007091000001"/>
    <n v="8824"/>
    <n v="2.5424196192203086"/>
    <n v="0.58041712478467822"/>
    <m/>
    <m/>
    <m/>
    <m/>
    <m/>
    <m/>
    <m/>
    <n v="4"/>
    <n v="0"/>
    <n v="7"/>
    <n v="16946.175818"/>
    <n v="3450.3414889999999"/>
    <n v="0.20360590649219476"/>
    <s v="0% - 30%"/>
    <n v="1.0038344054734301E-4"/>
    <s v="N.D."/>
    <s v="N.D."/>
    <s v="N.D."/>
    <n v="0.95978862515865893"/>
    <s v="Aceptable"/>
    <n v="2"/>
    <s v="Candidato"/>
    <n v="0"/>
    <n v="0"/>
  </r>
  <r>
    <n v="20310"/>
    <s v="20310"/>
    <x v="20"/>
    <x v="20"/>
    <s v="GONZÁLEZ"/>
    <n v="55.818566666666698"/>
    <n v="47.97"/>
    <n v="47.92"/>
    <n v="42.03"/>
    <n v="39.935593287908198"/>
    <n v="36.608522858989211"/>
    <n v="51.130910539906161"/>
    <n v="39.680300000000003"/>
    <n v="48.434641666666671"/>
    <n v="41.838831671700888"/>
    <n v="45.136736669183776"/>
    <n v="53.026741108998657"/>
    <n v="46.973258891001343"/>
    <n v="0.52275933001901209"/>
    <n v="0"/>
    <n v="23.595650220427085"/>
    <n v="4"/>
    <n v="4"/>
    <b v="1"/>
    <x v="5"/>
    <n v="48.48702261270941"/>
    <n v="0.52969587520410177"/>
    <n v="25.683375878880184"/>
    <n v="4"/>
    <n v="0"/>
    <n v="-3.350285943525634"/>
    <n v="-6.936545185089682E-3"/>
    <n v="-2.087725658453099"/>
    <n v="4"/>
    <b v="1"/>
    <n v="0"/>
    <n v="0.81759069605862034"/>
    <n v="39.642538567735151"/>
    <n v="0.32526035846597773"/>
    <n v="4"/>
    <n v="0"/>
    <n v="32.526035846597772"/>
    <n v="4"/>
    <n v="-0.29483136603960824"/>
    <b v="1"/>
    <n v="0"/>
    <n v="4"/>
    <n v="0"/>
    <n v="0"/>
    <n v="0"/>
    <n v="0"/>
    <n v="0"/>
    <n v="0"/>
    <s v="Rural"/>
    <n v="6"/>
    <s v="Fuera SC"/>
    <m/>
    <s v="No"/>
    <s v="Si"/>
    <n v="56.6"/>
    <n v="21.244422409519089"/>
    <n v="3.1742857142857139"/>
    <s v="Sin riesgo"/>
    <n v="12.354747251035985"/>
    <s v="Alto"/>
    <n v="12599.387735"/>
    <n v="2654.02629875"/>
    <n v="4928"/>
    <n v="2.5566939397321429"/>
    <n v="0.53856053140219151"/>
    <m/>
    <m/>
    <m/>
    <m/>
    <m/>
    <m/>
    <m/>
    <n v="14"/>
    <n v="0"/>
    <n v="7"/>
    <n v="7257.4100310000003"/>
    <n v="3603.0020570000001"/>
    <n v="0.49645838413563381"/>
    <s v="31% - 50%"/>
    <n v="1.0482491194969776E-4"/>
    <s v="N.D."/>
    <s v="N.D."/>
    <s v="N.D."/>
    <n v="0.9092876135057355"/>
    <s v="Aceptable"/>
    <n v="1"/>
    <s v="Candidato"/>
    <n v="0"/>
    <n v="0"/>
  </r>
  <r>
    <n v="15272"/>
    <s v="15272"/>
    <x v="10"/>
    <x v="10"/>
    <s v="FIRAVITOBA"/>
    <n v="61.298633333333299"/>
    <n v="60.06"/>
    <n v="29.66"/>
    <n v="33.81"/>
    <n v="50.993810953878118"/>
    <n v="57.485760434758603"/>
    <n v="74.400927581024135"/>
    <n v="66.931200000000004"/>
    <n v="46.207158333333325"/>
    <n v="62.452924742415206"/>
    <n v="54.330041537874266"/>
    <n v="53.465153967352549"/>
    <n v="46.534846032647451"/>
    <n v="0.51881361429382711"/>
    <n v="0"/>
    <n v="28.187165214998306"/>
    <n v="4"/>
    <n v="4"/>
    <b v="1"/>
    <x v="5"/>
    <n v="55.972537558932686"/>
    <n v="0.52974695125354321"/>
    <n v="29.651281125769032"/>
    <n v="3"/>
    <n v="-1"/>
    <n v="-1.6424960210584203"/>
    <n v="-1.09333369597161E-2"/>
    <n v="-1.464115910770726"/>
    <n v="3"/>
    <b v="0"/>
    <s v="Cambio en corte"/>
    <n v="0.81759069605862034"/>
    <n v="45.762625942975042"/>
    <n v="0.401816200350053"/>
    <n v="3"/>
    <n v="-1"/>
    <n v="40.181620035005302"/>
    <n v="4"/>
    <n v="-0.29877708176479323"/>
    <b v="1"/>
    <s v="Efecto ponderador"/>
    <n v="3"/>
    <n v="-1"/>
    <n v="0"/>
    <n v="0"/>
    <n v="0"/>
    <n v="0"/>
    <n v="0"/>
    <s v="Intermedio"/>
    <n v="6"/>
    <s v="En aglomeración"/>
    <m/>
    <s v="No"/>
    <s v="No"/>
    <n v="21.7"/>
    <n v="6.5307373907711179"/>
    <n v="13.772831205491755"/>
    <s v="Bajo"/>
    <n v="0"/>
    <s v="Bajo"/>
    <n v="12835.831187"/>
    <n v="4226.0208689999999"/>
    <n v="7088"/>
    <n v="1.8109242645316026"/>
    <n v="0.59622190589729118"/>
    <m/>
    <m/>
    <m/>
    <m/>
    <m/>
    <m/>
    <m/>
    <n v="62"/>
    <n v="0"/>
    <n v="7"/>
    <n v="10911.753484999999"/>
    <n v="3942.676594"/>
    <n v="0.36132383300446236"/>
    <s v="31% - 50%"/>
    <n v="1.1470732469031845E-4"/>
    <s v="N.D."/>
    <s v="N.D."/>
    <s v="N.D."/>
    <n v="0.95533140474596667"/>
    <s v="Aceptable"/>
    <n v="2"/>
    <s v="Candidato"/>
    <n v="0"/>
    <n v="0"/>
  </r>
  <r>
    <n v="68861"/>
    <s v="68861"/>
    <x v="0"/>
    <x v="0"/>
    <s v="VÉLEZ"/>
    <n v="65.545133333333297"/>
    <n v="59.72"/>
    <n v="59.32"/>
    <n v="62.81"/>
    <n v="61.132023546160482"/>
    <n v="63.322432128142239"/>
    <n v="60.679761188838754"/>
    <n v="56.653300000000002"/>
    <n v="61.848783333333323"/>
    <n v="60.446879215785373"/>
    <n v="61.147831274559351"/>
    <n v="53.315487996180131"/>
    <n v="46.684512003819869"/>
    <n v="0.5201606080343788"/>
    <n v="0"/>
    <n v="31.806693095758398"/>
    <n v="3"/>
    <n v="3"/>
    <b v="1"/>
    <x v="4"/>
    <n v="61.002978630857797"/>
    <n v="0.52845430452120512"/>
    <n v="32.237286646091896"/>
    <n v="3"/>
    <n v="0"/>
    <n v="0.14485264370155448"/>
    <n v="-8.2936964868263185E-3"/>
    <n v="-0.43059355033349789"/>
    <n v="3"/>
    <b v="1"/>
    <n v="0"/>
    <n v="0.81759069605862034"/>
    <n v="49.875467760452167"/>
    <n v="0.45326351614277077"/>
    <n v="3"/>
    <n v="0"/>
    <n v="45.32635161427708"/>
    <n v="4"/>
    <n v="-0.29743008802424153"/>
    <b v="0"/>
    <n v="0"/>
    <n v="3"/>
    <n v="0"/>
    <n v="0"/>
    <n v="0"/>
    <n v="0"/>
    <n v="0"/>
    <n v="0"/>
    <s v="Intermedio"/>
    <n v="6"/>
    <s v="Fuera SC"/>
    <m/>
    <s v="No"/>
    <s v="No"/>
    <n v="32.299999999999997"/>
    <n v="12.697203786312697"/>
    <n v="5.347142857142857"/>
    <s v="Bajo"/>
    <n v="4.3169031224214898"/>
    <s v="Medio Bajo"/>
    <n v="34397.048656999999"/>
    <n v="9590.2292579000004"/>
    <n v="26750"/>
    <n v="1.2858709778317756"/>
    <n v="0.35851324328598133"/>
    <m/>
    <m/>
    <m/>
    <m/>
    <m/>
    <m/>
    <m/>
    <n v="25"/>
    <n v="1"/>
    <n v="6"/>
    <n v="44698.404067000003"/>
    <n v="22184.691723"/>
    <n v="0.49631954845069165"/>
    <s v="31% - 50%"/>
    <n v="6.4543631108303411E-4"/>
    <s v="N.D."/>
    <s v="N.D."/>
    <s v="N.D."/>
    <n v="0.90991070704782484"/>
    <s v="Aceptable"/>
    <n v="2"/>
    <s v="Candidato"/>
    <n v="0"/>
    <n v="0"/>
  </r>
  <r>
    <n v="25862"/>
    <s v="25862"/>
    <x v="5"/>
    <x v="5"/>
    <s v="VERGARA"/>
    <n v="50.937433333333303"/>
    <n v="45.07"/>
    <n v="61.25"/>
    <n v="68.84"/>
    <n v="53.2741783365747"/>
    <n v="51.872269246191493"/>
    <n v="58.431159810945665"/>
    <n v="67.674700000000001"/>
    <n v="56.524358333333325"/>
    <n v="57.813076848427968"/>
    <n v="57.168717590880647"/>
    <n v="54.967839285676469"/>
    <n v="45.032160714323531"/>
    <n v="0.50528944642891183"/>
    <n v="0"/>
    <n v="28.886749664546876"/>
    <n v="4"/>
    <n v="4"/>
    <b v="1"/>
    <x v="4"/>
    <n v="53.805429697526279"/>
    <n v="0.52652477785998242"/>
    <n v="28.329891919150924"/>
    <n v="3"/>
    <n v="0"/>
    <n v="3.363287893354368"/>
    <n v="-2.1235331431070592E-2"/>
    <n v="0.55685774539595201"/>
    <n v="3"/>
    <b v="1"/>
    <n v="0"/>
    <n v="0.81759069605862034"/>
    <n v="43.990818718133674"/>
    <n v="0.37965275962814643"/>
    <n v="3"/>
    <n v="0"/>
    <n v="37.965275962814644"/>
    <n v="4"/>
    <n v="-0.31230124962970851"/>
    <b v="0"/>
    <n v="0"/>
    <n v="3"/>
    <n v="0"/>
    <n v="0"/>
    <n v="0"/>
    <n v="0"/>
    <n v="0"/>
    <n v="0"/>
    <s v="Rural"/>
    <n v="6"/>
    <s v="Fuera SC"/>
    <m/>
    <s v="No"/>
    <s v="No"/>
    <n v="50"/>
    <n v="22.415506958250496"/>
    <n v="1.5149999999999999"/>
    <s v="Sin riesgo"/>
    <n v="1.0903268047175572"/>
    <s v="Medio Bajo"/>
    <n v="21172.659060000002"/>
    <n v="5967.5795035000001"/>
    <n v="6708"/>
    <n v="3.1563296153846156"/>
    <n v="0.8896212736285033"/>
    <m/>
    <m/>
    <m/>
    <m/>
    <m/>
    <m/>
    <m/>
    <n v="37"/>
    <n v="0"/>
    <n v="7"/>
    <n v="14449.245865999999"/>
    <n v="5916.6360969999996"/>
    <n v="0.40947715554638203"/>
    <s v="31% - 50%"/>
    <n v="1.7213724779908677E-4"/>
    <s v="N.D."/>
    <s v="N.D."/>
    <s v="N.D."/>
    <n v="0.9718689602851236"/>
    <s v="Aceptable"/>
    <n v="3"/>
    <s v="Candidato"/>
    <n v="0"/>
    <n v="0"/>
  </r>
  <r>
    <n v="54599"/>
    <s v="54599"/>
    <x v="12"/>
    <x v="12"/>
    <s v="RAGONVALIA"/>
    <n v="61.0456"/>
    <n v="62.4"/>
    <n v="66.17"/>
    <n v="80.66"/>
    <n v="69.383620594358746"/>
    <n v="62.312259777867062"/>
    <n v="50.910213651722287"/>
    <n v="60.02"/>
    <n v="67.568899999999999"/>
    <n v="60.656523505987032"/>
    <n v="64.112711752993519"/>
    <n v="53.25043377495102"/>
    <n v="46.74956622504898"/>
    <n v="0.52074609602544086"/>
    <n v="0"/>
    <n v="33.386444350975772"/>
    <n v="3"/>
    <n v="3"/>
    <b v="1"/>
    <x v="4"/>
    <n v="60.414651389078848"/>
    <n v="0.52981285785253474"/>
    <n v="32.00845910861247"/>
    <n v="3"/>
    <n v="0"/>
    <n v="3.6980603639146707"/>
    <n v="-9.0667618270938721E-3"/>
    <n v="1.3779852423633017"/>
    <n v="3"/>
    <b v="1"/>
    <n v="0"/>
    <n v="0.81759069605862034"/>
    <n v="49.39445688133587"/>
    <n v="0.44724657707828491"/>
    <n v="3"/>
    <n v="0"/>
    <n v="44.724657707828491"/>
    <n v="4"/>
    <n v="-0.29684460003317947"/>
    <b v="0"/>
    <n v="0"/>
    <n v="3"/>
    <n v="0"/>
    <n v="0"/>
    <n v="0"/>
    <n v="0"/>
    <n v="0"/>
    <n v="0"/>
    <s v="Intermedio"/>
    <n v="6"/>
    <s v="Fuera SC"/>
    <m/>
    <s v="No"/>
    <s v="No"/>
    <n v="41.4"/>
    <n v="19.624605091990336"/>
    <n v="0"/>
    <s v="Sin riesgo"/>
    <n v="0.27542809368579174"/>
    <s v="Medio Bajo"/>
    <n v="20014.154626"/>
    <n v="3650.6169829999999"/>
    <n v="6653"/>
    <n v="3.0082901887870133"/>
    <n v="0.5487174181572223"/>
    <m/>
    <m/>
    <m/>
    <m/>
    <m/>
    <m/>
    <m/>
    <n v="24"/>
    <n v="0"/>
    <n v="7"/>
    <n v="9782.1844469999996"/>
    <n v="469.09953400000001"/>
    <n v="4.7954476481361322E-2"/>
    <s v="0% - 30%"/>
    <n v="1.364787379226141E-5"/>
    <s v="N.D."/>
    <s v="N.D."/>
    <s v="N.D."/>
    <n v="0.98876273670521675"/>
    <s v="Aceptable"/>
    <n v="3"/>
    <s v="Candidato"/>
    <n v="1"/>
    <s v="Zona de Fronteras"/>
  </r>
  <r>
    <n v="23466"/>
    <s v="23466"/>
    <x v="14"/>
    <x v="14"/>
    <s v="MONTELÍBANO"/>
    <n v="67.348366666666706"/>
    <n v="59.05"/>
    <n v="58.79"/>
    <n v="72.3"/>
    <n v="59.327135374825872"/>
    <n v="72.412328982565938"/>
    <n v="61.814259547083601"/>
    <n v="60.156799999999997"/>
    <n v="64.372091666666677"/>
    <n v="63.427630976118849"/>
    <n v="63.899861321392763"/>
    <n v="53.209708876132254"/>
    <n v="46.790291123867746"/>
    <n v="0.52111262011480974"/>
    <n v="0"/>
    <n v="33.299024158163974"/>
    <n v="3"/>
    <n v="3"/>
    <b v="1"/>
    <x v="4"/>
    <n v="61.778578026786263"/>
    <n v="0.52937703488421328"/>
    <n v="32.704160455183121"/>
    <n v="3"/>
    <n v="0"/>
    <n v="2.1212832946064992"/>
    <n v="-8.2644147694035386E-3"/>
    <n v="0.59486370298085234"/>
    <n v="3"/>
    <b v="1"/>
    <n v="0"/>
    <n v="0.81759069605862034"/>
    <n v="50.509590610431971"/>
    <n v="0.46119572456752878"/>
    <n v="3"/>
    <n v="0"/>
    <n v="46.119572456752877"/>
    <n v="4"/>
    <n v="-0.29647807594381059"/>
    <b v="0"/>
    <n v="0"/>
    <n v="3"/>
    <n v="0"/>
    <n v="0"/>
    <n v="0"/>
    <n v="0"/>
    <n v="1"/>
    <n v="1"/>
    <s v="Intermedio"/>
    <n v="5"/>
    <s v="Fuera SC"/>
    <m/>
    <s v="No"/>
    <s v="No"/>
    <n v="41.1"/>
    <n v="26.992420442512401"/>
    <n v="0"/>
    <s v="Sin riesgo"/>
    <n v="8.6818634373269887"/>
    <s v="Medio"/>
    <n v="157614.40530000001"/>
    <n v="36279.744975349997"/>
    <n v="87467"/>
    <n v="1.801987095704666"/>
    <n v="0.41478208896326613"/>
    <m/>
    <m/>
    <m/>
    <m/>
    <m/>
    <m/>
    <m/>
    <n v="67"/>
    <n v="0"/>
    <n v="6"/>
    <n v="155083.89618800001"/>
    <n v="57282.285600000003"/>
    <n v="0.36936320925648991"/>
    <s v="31% - 50%"/>
    <n v="1.6665576231441603E-3"/>
    <n v="684.92596600000002"/>
    <n v="4.4164867071027182E-3"/>
    <s v="0% - 30%"/>
    <n v="0.93282073978702829"/>
    <s v="Aceptable"/>
    <n v="3"/>
    <s v="Candidato"/>
    <n v="0"/>
    <n v="0"/>
  </r>
  <r>
    <n v="5411"/>
    <s v="05411"/>
    <x v="1"/>
    <x v="1"/>
    <s v="LIBORINA"/>
    <n v="63.894799999999996"/>
    <n v="68.98"/>
    <n v="52.76"/>
    <n v="45.12"/>
    <n v="49.697234504710735"/>
    <n v="44.762920654759654"/>
    <n v="54.825490750411404"/>
    <n v="38.544899999999998"/>
    <n v="57.688699999999997"/>
    <n v="46.957636477470444"/>
    <n v="52.323168238735221"/>
    <n v="52.859968495714313"/>
    <n v="47.140031504285687"/>
    <n v="0.52426028353857124"/>
    <n v="0"/>
    <n v="27.430959016475693"/>
    <n v="4"/>
    <n v="4"/>
    <b v="1"/>
    <x v="5"/>
    <n v="55.745550928894801"/>
    <n v="0.52696248989294336"/>
    <n v="29.375814317944286"/>
    <n v="3"/>
    <n v="-1"/>
    <n v="-3.42238269015958"/>
    <n v="-2.7022063543721275E-3"/>
    <n v="-1.9448553014685928"/>
    <n v="4"/>
    <b v="1"/>
    <s v="Efecto ponderador"/>
    <n v="0.81759069605862034"/>
    <n v="45.577043786126367"/>
    <n v="0.39949476318990856"/>
    <n v="3"/>
    <n v="-1"/>
    <n v="39.949476318990854"/>
    <n v="4"/>
    <n v="-0.2933304125200491"/>
    <b v="1"/>
    <s v="Efecto ponderador"/>
    <n v="3"/>
    <n v="-1"/>
    <n v="0"/>
    <n v="0"/>
    <n v="0"/>
    <n v="0"/>
    <n v="0"/>
    <s v="Rural disperso"/>
    <n v="6"/>
    <s v="Fuera SC"/>
    <m/>
    <s v="No"/>
    <s v="Si"/>
    <n v="43.3"/>
    <n v="13.857251328777524"/>
    <n v="64.4045036351325"/>
    <s v="Alto"/>
    <n v="1.2084957913016752"/>
    <s v="Medio Bajo"/>
    <n v="23335.209566000001"/>
    <n v="4217.1371299499997"/>
    <n v="10817"/>
    <n v="2.1572718467227512"/>
    <n v="0.38986198853194043"/>
    <m/>
    <m/>
    <m/>
    <m/>
    <m/>
    <m/>
    <m/>
    <n v="90"/>
    <n v="0"/>
    <n v="7"/>
    <n v="21638.676512999999"/>
    <n v="9413.6068730000006"/>
    <n v="0.43503616625279884"/>
    <s v="31% - 50%"/>
    <n v="2.738773100820616E-4"/>
    <s v="N.D."/>
    <s v="N.D."/>
    <s v="N.D."/>
    <n v="0.90557894316437926"/>
    <s v="Aceptable"/>
    <n v="1"/>
    <s v="Candidato"/>
    <n v="0"/>
    <n v="0"/>
  </r>
  <r>
    <n v="5145"/>
    <s v="05145"/>
    <x v="1"/>
    <x v="1"/>
    <s v="CARAMANTA"/>
    <n v="45.513599999999997"/>
    <n v="32.99"/>
    <n v="31.25"/>
    <n v="29.82"/>
    <n v="57.490397893224738"/>
    <n v="50.526182927806033"/>
    <n v="72.892178227043345"/>
    <n v="41.747999999999998"/>
    <n v="34.8934"/>
    <n v="55.664189762018523"/>
    <n v="45.278794881009262"/>
    <n v="53.612640060906415"/>
    <n v="46.387359939093585"/>
    <n v="0.51748623945184224"/>
    <n v="0"/>
    <n v="23.431153289884808"/>
    <n v="4"/>
    <n v="4"/>
    <b v="1"/>
    <x v="5"/>
    <n v="48.085073963539017"/>
    <n v="0.52911983858481193"/>
    <n v="25.442766573926509"/>
    <n v="4"/>
    <n v="0"/>
    <n v="-2.8062790825297554"/>
    <n v="-1.1633599132969685E-2"/>
    <n v="-2.0116132840417009"/>
    <n v="4"/>
    <b v="1"/>
    <n v="0"/>
    <n v="0.81759069605862034"/>
    <n v="39.313909091880106"/>
    <n v="0.32114955013115076"/>
    <n v="4"/>
    <n v="0"/>
    <n v="32.114955013115079"/>
    <n v="4"/>
    <n v="-0.30010445660677809"/>
    <b v="1"/>
    <n v="0"/>
    <n v="4"/>
    <n v="0"/>
    <n v="0"/>
    <n v="0"/>
    <n v="0"/>
    <n v="0"/>
    <n v="0"/>
    <s v="Intermedio"/>
    <n v="6"/>
    <s v="Fuera SC"/>
    <m/>
    <s v="No"/>
    <s v="Si"/>
    <n v="30.5"/>
    <n v="8.9248067463106118"/>
    <n v="45.716653880295809"/>
    <s v="Alto"/>
    <n v="0.37629303853057822"/>
    <s v="Medio Bajo"/>
    <n v="11628.047245"/>
    <n v="2983.0850332499999"/>
    <n v="4556"/>
    <n v="2.5522491758121157"/>
    <n v="0.65475966489244952"/>
    <m/>
    <m/>
    <m/>
    <m/>
    <m/>
    <m/>
    <m/>
    <n v="31"/>
    <n v="0"/>
    <n v="7"/>
    <n v="9206.2654020000009"/>
    <n v="422.20738799999998"/>
    <n v="4.5860875128396601E-2"/>
    <s v="0% - 30%"/>
    <n v="1.2283604497429205E-5"/>
    <n v="2.8015249999999998"/>
    <n v="3.0430634765226154E-4"/>
    <n v="0"/>
    <n v="0.83051345832667001"/>
    <s v="Crítico bajo"/>
    <n v="1"/>
    <s v="Candidato"/>
    <n v="0"/>
    <n v="0"/>
  </r>
  <r>
    <n v="68418"/>
    <s v="68418"/>
    <x v="0"/>
    <x v="0"/>
    <s v="LOS SANTOS"/>
    <n v="59.292999999999999"/>
    <n v="47.14"/>
    <n v="45.97"/>
    <n v="44.73"/>
    <n v="61.29347274146285"/>
    <n v="69.599037578060091"/>
    <n v="65.028481406693828"/>
    <n v="53.381999999999998"/>
    <n v="49.283249999999995"/>
    <n v="62.325747931554197"/>
    <n v="55.8044989657771"/>
    <n v="52.691097245766215"/>
    <n v="47.308902754233785"/>
    <n v="0.5257801247881041"/>
    <n v="0"/>
    <n v="29.340896429963909"/>
    <n v="4"/>
    <n v="4"/>
    <b v="1"/>
    <x v="4"/>
    <n v="58.061561542319303"/>
    <n v="0.52823793518512618"/>
    <n v="30.670319382738878"/>
    <n v="3"/>
    <n v="0"/>
    <n v="-2.2570625765422037"/>
    <n v="-2.4578103970220866E-3"/>
    <n v="-1.3294229527749692"/>
    <n v="3"/>
    <b v="1"/>
    <n v="0"/>
    <n v="0.81759069605862034"/>
    <n v="47.470592515635261"/>
    <n v="0.42318106180756387"/>
    <n v="3"/>
    <n v="0"/>
    <n v="42.318106180756388"/>
    <n v="4"/>
    <n v="-0.29181057127051624"/>
    <b v="0"/>
    <n v="0"/>
    <n v="3"/>
    <n v="0"/>
    <n v="0"/>
    <n v="0"/>
    <n v="0"/>
    <n v="0"/>
    <n v="0"/>
    <s v="Rural"/>
    <n v="6"/>
    <s v="Fuera SC"/>
    <m/>
    <s v="No"/>
    <s v="Si"/>
    <n v="44.6"/>
    <n v="21.123921631863258"/>
    <n v="3"/>
    <s v="Sin riesgo"/>
    <n v="0"/>
    <s v="Bajo"/>
    <n v="29548.283201999999"/>
    <n v="10215.31310435"/>
    <n v="16737"/>
    <n v="1.7654468065961642"/>
    <n v="0.61034313821772124"/>
    <m/>
    <m/>
    <m/>
    <m/>
    <m/>
    <m/>
    <m/>
    <n v="39"/>
    <n v="0"/>
    <n v="7"/>
    <n v="28958.256506999998"/>
    <n v="827.46496000000002"/>
    <n v="2.857440536173092E-2"/>
    <s v="0% - 30%"/>
    <n v="2.407407495228643E-5"/>
    <s v="N.D."/>
    <s v="N.D."/>
    <s v="N.D."/>
    <n v="0.89761636622471785"/>
    <s v="Aceptable"/>
    <n v="1"/>
    <s v="Candidato"/>
    <n v="0"/>
    <n v="0"/>
  </r>
  <r>
    <n v="15466"/>
    <s v="15466"/>
    <x v="10"/>
    <x v="10"/>
    <s v="MONGUÍ"/>
    <n v="61.044899999999998"/>
    <n v="49.02"/>
    <n v="49.25"/>
    <n v="52.57"/>
    <n v="64.926707823682676"/>
    <n v="55.604749108082643"/>
    <n v="68.264966397715227"/>
    <n v="52.915900000000001"/>
    <n v="52.971224999999997"/>
    <n v="60.428080832370135"/>
    <n v="56.699652916185066"/>
    <n v="53.887844407565389"/>
    <n v="46.112155592434611"/>
    <n v="0.51500940033191156"/>
    <n v="0"/>
    <n v="29.200854247391991"/>
    <n v="4"/>
    <n v="4"/>
    <b v="1"/>
    <x v="4"/>
    <n v="58.373395965658545"/>
    <n v="0.52815714145382131"/>
    <n v="30.830325950174242"/>
    <n v="3"/>
    <n v="0"/>
    <n v="-1.6737430494734795"/>
    <n v="-1.3147741121909751E-2"/>
    <n v="-1.6294717027822507"/>
    <n v="3"/>
    <b v="1"/>
    <n v="0"/>
    <n v="0.81759069605862034"/>
    <n v="47.725545438868231"/>
    <n v="0.42637025413149554"/>
    <n v="3"/>
    <n v="0"/>
    <n v="42.637025413149551"/>
    <n v="4"/>
    <n v="-0.30258129572670878"/>
    <b v="0"/>
    <n v="0"/>
    <n v="3"/>
    <n v="0"/>
    <n v="0"/>
    <n v="0"/>
    <n v="0"/>
    <n v="0"/>
    <n v="0"/>
    <s v="Intermedio"/>
    <n v="6"/>
    <s v="En aglomeración"/>
    <m/>
    <s v="No"/>
    <s v="No"/>
    <n v="28.8"/>
    <n v="12.066752246469832"/>
    <n v="57.700199371642846"/>
    <s v="Alto"/>
    <n v="0"/>
    <s v="Bajo"/>
    <n v="12571.290719000001"/>
    <n v="2533.5928179000002"/>
    <n v="4325"/>
    <n v="2.9066568136416184"/>
    <n v="0.58580180760693645"/>
    <m/>
    <m/>
    <m/>
    <m/>
    <m/>
    <m/>
    <m/>
    <n v="62"/>
    <n v="0"/>
    <n v="7"/>
    <n v="6867.3881970000002"/>
    <n v="6287.7180040000003"/>
    <n v="0.9155908802049042"/>
    <s v="71% - 100%"/>
    <n v="1.8293341932827805E-4"/>
    <s v="N.D."/>
    <s v="N.D."/>
    <s v="N.D."/>
    <n v="0.94786727252999081"/>
    <s v="Aceptable"/>
    <n v="1"/>
    <s v="Candidato"/>
    <n v="0"/>
    <n v="0"/>
  </r>
  <r>
    <n v="47555"/>
    <s v="47555"/>
    <x v="17"/>
    <x v="17"/>
    <s v="PLATO"/>
    <n v="57.006700000000002"/>
    <n v="59.78"/>
    <n v="62.59"/>
    <n v="60.82"/>
    <n v="59.599630227159267"/>
    <n v="50.250061368484296"/>
    <n v="57.200103765508892"/>
    <n v="57.796900000000001"/>
    <n v="60.049174999999998"/>
    <n v="56.211673840288114"/>
    <n v="58.130424420144053"/>
    <n v="53.162990134317198"/>
    <n v="46.837009865682802"/>
    <n v="0.52153308879114524"/>
    <n v="0"/>
    <n v="30.316939800577945"/>
    <n v="3"/>
    <n v="3"/>
    <b v="1"/>
    <x v="4"/>
    <n v="52.819194574714224"/>
    <n v="0.52746597389824534"/>
    <n v="27.860327906872556"/>
    <n v="3"/>
    <n v="0"/>
    <n v="5.3112298454298283"/>
    <n v="-5.9328851071001054E-3"/>
    <n v="2.4566118937053893"/>
    <n v="3"/>
    <b v="1"/>
    <n v="0"/>
    <n v="0.81759069605862034"/>
    <n v="43.184482057596306"/>
    <n v="0.36956633796378052"/>
    <n v="3"/>
    <n v="0"/>
    <n v="36.95663379637805"/>
    <n v="4"/>
    <n v="-0.2960576072674751"/>
    <b v="0"/>
    <n v="0"/>
    <n v="3"/>
    <n v="0"/>
    <n v="0"/>
    <n v="0"/>
    <n v="0"/>
    <n v="0"/>
    <n v="0"/>
    <s v="Intermedio"/>
    <n v="6"/>
    <s v="Fuera SC"/>
    <m/>
    <s v="No"/>
    <s v="Si"/>
    <n v="52.7"/>
    <n v="37.417413139102095"/>
    <n v="6.4814814814814818"/>
    <s v="Bajo"/>
    <n v="1.6769014309954908"/>
    <s v="Medio Bajo"/>
    <n v="109998.449175"/>
    <n v="17113.217098000001"/>
    <n v="72742"/>
    <n v="1.5121724612328504"/>
    <n v="0.23525909513073603"/>
    <m/>
    <m/>
    <m/>
    <m/>
    <m/>
    <m/>
    <m/>
    <n v="74"/>
    <n v="1"/>
    <n v="6"/>
    <n v="145559.656113"/>
    <n v="50889.495122"/>
    <n v="0.34961263636466527"/>
    <s v="31% - 50%"/>
    <n v="1.4805672494591705E-3"/>
    <s v="N.D."/>
    <s v="N.D."/>
    <s v="N.D."/>
    <n v="0.87625353916367321"/>
    <s v="Aceptable"/>
    <n v="2"/>
    <s v="Candidato"/>
    <n v="0"/>
    <n v="0"/>
  </r>
  <r>
    <n v="50606"/>
    <s v="50606"/>
    <x v="16"/>
    <x v="16"/>
    <s v="RESTREPO"/>
    <n v="70.9369333333333"/>
    <n v="66.98"/>
    <n v="65.63"/>
    <n v="74.38"/>
    <n v="57.794645879929234"/>
    <n v="63.547959058840163"/>
    <n v="66.581362633635152"/>
    <n v="55.637"/>
    <n v="69.481733333333324"/>
    <n v="60.890241893101134"/>
    <n v="65.185987613217236"/>
    <n v="54.281834328021326"/>
    <n v="45.718165671978674"/>
    <n v="0.51146349104780808"/>
    <n v="0"/>
    <n v="33.34025279205526"/>
    <n v="3"/>
    <n v="3"/>
    <b v="1"/>
    <x v="4"/>
    <n v="66.12853255601695"/>
    <n v="0.52572643552176679"/>
    <n v="34.765517706959898"/>
    <n v="3"/>
    <n v="0"/>
    <n v="-0.94254494279971368"/>
    <n v="-1.4262944473958705E-2"/>
    <n v="-1.4252649149046377"/>
    <n v="3"/>
    <b v="1"/>
    <n v="0"/>
    <n v="0.81759069605862034"/>
    <n v="54.066072961809034"/>
    <n v="0.50568356989749097"/>
    <n v="2"/>
    <n v="-1"/>
    <n v="50.568356989749098"/>
    <n v="4"/>
    <n v="-0.30612720501081225"/>
    <b v="0"/>
    <s v="Cambio en corte"/>
    <n v="2"/>
    <n v="-1"/>
    <n v="0"/>
    <n v="0"/>
    <n v="0"/>
    <n v="0"/>
    <n v="0"/>
    <s v="Ciudades y aglomeraciones"/>
    <n v="6"/>
    <s v="En aglomeración"/>
    <m/>
    <s v="No"/>
    <s v="No"/>
    <n v="15.3"/>
    <n v="6.056924678930927"/>
    <n v="0.65611111111111109"/>
    <s v="Sin riesgo"/>
    <n v="0.97639076640178413"/>
    <s v="Medio Bajo"/>
    <n v="38683.047671"/>
    <n v="20410.242467"/>
    <n v="21173"/>
    <n v="1.8269988981722005"/>
    <n v="0.96397499017616772"/>
    <m/>
    <m/>
    <m/>
    <m/>
    <m/>
    <m/>
    <m/>
    <n v="88"/>
    <n v="0"/>
    <n v="7"/>
    <n v="36449.231718000003"/>
    <n v="5719.5109190000003"/>
    <n v="0.15691718726064369"/>
    <s v="0% - 30%"/>
    <n v="1.6640213327513787E-4"/>
    <s v="N.D."/>
    <s v="N.D."/>
    <s v="N.D."/>
    <n v="0.9756870471474397"/>
    <s v="Aceptable"/>
    <n v="2"/>
    <s v="Candidato"/>
    <n v="0"/>
    <n v="0"/>
  </r>
  <r>
    <n v="25322"/>
    <s v="25322"/>
    <x v="5"/>
    <x v="5"/>
    <s v="GUASCA"/>
    <n v="70.499133333333305"/>
    <n v="74.2"/>
    <n v="82.08"/>
    <n v="78.88"/>
    <n v="63.055107371305461"/>
    <n v="61.900397618212949"/>
    <n v="14.889938837999745"/>
    <n v="61.644399999999997"/>
    <n v="76.414783333333318"/>
    <n v="50.372460956879536"/>
    <n v="63.393622145106427"/>
    <n v="53.895191148522272"/>
    <n v="46.104808851477728"/>
    <n v="0.51494327966329956"/>
    <n v="0"/>
    <n v="32.644119697137079"/>
    <n v="3"/>
    <n v="3"/>
    <b v="1"/>
    <x v="4"/>
    <n v="61.104388554850161"/>
    <n v="0.5255990002342289"/>
    <n v="32.116405534353106"/>
    <n v="3"/>
    <n v="0"/>
    <n v="2.2892335902562664"/>
    <n v="-1.0655720570929339E-2"/>
    <n v="0.52771416278397254"/>
    <n v="3"/>
    <b v="1"/>
    <n v="0"/>
    <n v="0.81759069605862034"/>
    <n v="49.958379570796339"/>
    <n v="0.45430065549289023"/>
    <n v="3"/>
    <n v="0"/>
    <n v="45.430065549289026"/>
    <n v="4"/>
    <n v="-0.30264741639532078"/>
    <b v="0"/>
    <n v="0"/>
    <n v="2"/>
    <n v="-1"/>
    <n v="0"/>
    <n v="0"/>
    <n v="0"/>
    <n v="0"/>
    <n v="0"/>
    <s v="Intermedio"/>
    <n v="6"/>
    <s v="Fuera SC"/>
    <m/>
    <s v="No"/>
    <s v="No"/>
    <n v="15.5"/>
    <n v="4.7478935401899154"/>
    <n v="4.9889739844184753"/>
    <s v="Sin riesgo"/>
    <n v="0"/>
    <s v="Bajo"/>
    <n v="27511.956352000001"/>
    <n v="14709.71492235"/>
    <n v="17529"/>
    <n v="1.5695108877859547"/>
    <n v="0.83916452292486732"/>
    <m/>
    <m/>
    <m/>
    <m/>
    <m/>
    <m/>
    <m/>
    <n v="87"/>
    <n v="1"/>
    <n v="7"/>
    <n v="36008.425671999998"/>
    <n v="25586.542614999998"/>
    <n v="0.71057098824778631"/>
    <s v="71% - 100%"/>
    <n v="7.4440897737032964E-4"/>
    <s v="N.D."/>
    <s v="N.D."/>
    <s v="N.D."/>
    <n v="0.89264823109466529"/>
    <s v="Aceptable"/>
    <n v="3"/>
    <s v="Candidato"/>
    <n v="0"/>
    <n v="0"/>
  </r>
  <r>
    <n v="23570"/>
    <s v="23570"/>
    <x v="14"/>
    <x v="14"/>
    <s v="PUEBLO NUEVO"/>
    <n v="65.500699999999995"/>
    <n v="65.88"/>
    <n v="62.02"/>
    <n v="64.77"/>
    <n v="58.200341090340075"/>
    <n v="67.585112765141162"/>
    <n v="58.668357184156449"/>
    <n v="56.197600000000001"/>
    <n v="64.542675000000003"/>
    <n v="60.16285275990942"/>
    <n v="62.352763879954708"/>
    <n v="53.301186747931254"/>
    <n v="46.698813252068746"/>
    <n v="0.52028931926861866"/>
    <n v="0"/>
    <n v="32.44147707361855"/>
    <n v="3"/>
    <n v="3"/>
    <b v="1"/>
    <x v="4"/>
    <n v="61.828137894739726"/>
    <n v="0.5271712003929081"/>
    <n v="32.59401367202819"/>
    <n v="3"/>
    <n v="0"/>
    <n v="0.52462598521498194"/>
    <n v="-6.8818811242894462E-3"/>
    <n v="-0.15253659840963962"/>
    <n v="3"/>
    <b v="1"/>
    <n v="0"/>
    <n v="0.81759069605862034"/>
    <n v="50.550110297368612"/>
    <n v="0.46170258313933016"/>
    <n v="3"/>
    <n v="0"/>
    <n v="46.170258313933019"/>
    <n v="4"/>
    <n v="-0.29730137679000168"/>
    <b v="0"/>
    <n v="0"/>
    <n v="3"/>
    <n v="0"/>
    <n v="0"/>
    <n v="0"/>
    <n v="0"/>
    <n v="0"/>
    <n v="0"/>
    <s v="Rural disperso"/>
    <n v="6"/>
    <s v="Fuera SC"/>
    <m/>
    <s v="No"/>
    <s v="Si"/>
    <n v="52.9"/>
    <n v="42.861910412340549"/>
    <n v="21.74"/>
    <s v="Medio"/>
    <n v="4.7166473962927986"/>
    <s v="Medio Bajo"/>
    <n v="76497.616129999995"/>
    <n v="15298.632503700001"/>
    <n v="37976"/>
    <n v="2.0143673933536967"/>
    <n v="0.40285002379660839"/>
    <m/>
    <m/>
    <m/>
    <m/>
    <m/>
    <m/>
    <m/>
    <n v="10"/>
    <n v="0"/>
    <n v="7"/>
    <n v="84895.155691000007"/>
    <n v="23145.976642000001"/>
    <n v="0.27264190110265357"/>
    <s v="0% - 30%"/>
    <n v="6.7340371309907669E-4"/>
    <s v="N.D."/>
    <s v="N.D."/>
    <s v="N.D."/>
    <n v="0.94366101292625792"/>
    <s v="Aceptable"/>
    <n v="2"/>
    <s v="Candidato"/>
    <n v="0"/>
    <n v="0"/>
  </r>
  <r>
    <n v="17653"/>
    <s v="17653"/>
    <x v="11"/>
    <x v="11"/>
    <s v="SALAMINA"/>
    <n v="57.1995"/>
    <n v="57.03"/>
    <n v="59.25"/>
    <n v="64.680000000000007"/>
    <n v="50.064763547147777"/>
    <n v="48.96906494794456"/>
    <n v="55.004149430113131"/>
    <n v="54.245199999999997"/>
    <n v="59.539875000000002"/>
    <n v="52.070794481301363"/>
    <n v="55.805334740650679"/>
    <n v="53.735657704967046"/>
    <n v="46.264342295032954"/>
    <n v="0.51637908065529659"/>
    <n v="0"/>
    <n v="28.816707449038283"/>
    <n v="4"/>
    <n v="4"/>
    <b v="1"/>
    <x v="4"/>
    <n v="53.592416360396165"/>
    <n v="0.52826810548152037"/>
    <n v="28.31116425888332"/>
    <n v="3"/>
    <n v="0"/>
    <n v="2.2129183802545143"/>
    <n v="-1.1889024826223782E-2"/>
    <n v="0.50554319015496318"/>
    <n v="3"/>
    <b v="1"/>
    <n v="0"/>
    <n v="0.81759069605862034"/>
    <n v="43.816660995559694"/>
    <n v="0.37747423009828956"/>
    <n v="3"/>
    <n v="0"/>
    <n v="37.747423009828957"/>
    <n v="4"/>
    <n v="-0.30121161540332375"/>
    <b v="0"/>
    <n v="0"/>
    <n v="3"/>
    <n v="0"/>
    <n v="0"/>
    <n v="0"/>
    <n v="0"/>
    <n v="0"/>
    <n v="0"/>
    <s v="Intermedio"/>
    <n v="6"/>
    <s v="Fuera SC"/>
    <m/>
    <s v="No"/>
    <s v="No"/>
    <n v="28.7"/>
    <n v="10.297427163797822"/>
    <n v="25.220542039433674"/>
    <s v="Medio"/>
    <n v="0.46337936203458957"/>
    <s v="Medio Bajo"/>
    <n v="36497.612589999997"/>
    <n v="7022.55161985"/>
    <n v="19511"/>
    <n v="1.870617220542258"/>
    <n v="0.3599278160960484"/>
    <m/>
    <m/>
    <m/>
    <m/>
    <m/>
    <m/>
    <m/>
    <n v="19"/>
    <n v="0"/>
    <n v="6"/>
    <n v="38795.878925999998"/>
    <n v="3068.7613769999998"/>
    <n v="7.9100189555014702E-2"/>
    <s v="0% - 30%"/>
    <n v="8.9281836659983402E-5"/>
    <s v="N.D."/>
    <s v="N.D."/>
    <s v="N.D."/>
    <n v="0.9540749596071707"/>
    <s v="Aceptable"/>
    <n v="2"/>
    <s v="Candidato"/>
    <n v="0"/>
    <n v="0"/>
  </r>
  <r>
    <n v="15162"/>
    <s v="15162"/>
    <x v="10"/>
    <x v="10"/>
    <s v="CERINZA"/>
    <n v="60.259333333333302"/>
    <n v="51.21"/>
    <n v="55.51"/>
    <n v="79.8"/>
    <n v="62.349018727422667"/>
    <n v="45.868851854087055"/>
    <n v="53.849602007042073"/>
    <n v="48.0914"/>
    <n v="61.694833333333321"/>
    <n v="52.539718147137947"/>
    <n v="57.117275740235634"/>
    <n v="54.420280401497742"/>
    <n v="45.579719598502258"/>
    <n v="0.51021747638652037"/>
    <n v="0"/>
    <n v="29.142232286256046"/>
    <n v="4"/>
    <n v="4"/>
    <b v="1"/>
    <x v="4"/>
    <n v="55.042775608656058"/>
    <n v="0.5283049849454855"/>
    <n v="29.079372739288775"/>
    <n v="3"/>
    <n v="0"/>
    <n v="2.0745001315795761"/>
    <n v="-1.8087508558965126E-2"/>
    <n v="6.2859546967271029E-2"/>
    <n v="3"/>
    <b v="1"/>
    <n v="0"/>
    <n v="0.81759069605862034"/>
    <n v="45.002461222879553"/>
    <n v="0.39230734099080217"/>
    <n v="3"/>
    <n v="0"/>
    <n v="39.230734099080216"/>
    <n v="4"/>
    <n v="-0.30737321967209996"/>
    <b v="0"/>
    <n v="0"/>
    <n v="3"/>
    <n v="0"/>
    <n v="0"/>
    <n v="0"/>
    <n v="0"/>
    <n v="0"/>
    <n v="0"/>
    <s v="Intermedio"/>
    <n v="6"/>
    <s v="En aglomeración"/>
    <m/>
    <s v="No"/>
    <s v="No"/>
    <n v="29.4"/>
    <n v="8.6083608360836088"/>
    <n v="16.197109521657051"/>
    <s v="Medio"/>
    <n v="0"/>
    <s v="Bajo"/>
    <n v="8019.8010450000002"/>
    <n v="1785.341019"/>
    <n v="3583"/>
    <n v="2.2382922257884457"/>
    <n v="0.49828105470276302"/>
    <m/>
    <m/>
    <m/>
    <m/>
    <m/>
    <m/>
    <m/>
    <n v="21"/>
    <n v="0"/>
    <n v="7"/>
    <n v="6345.3069859999996"/>
    <n v="3180.01667"/>
    <n v="0.50116041304482917"/>
    <s v="31% - 50%"/>
    <n v="9.2518672528562771E-5"/>
    <s v="N.D."/>
    <s v="N.D."/>
    <s v="N.D."/>
    <n v="0.96007046208835123"/>
    <s v="Aceptable"/>
    <n v="2"/>
    <s v="Candidato"/>
    <n v="0"/>
    <n v="0"/>
  </r>
  <r>
    <n v="52788"/>
    <s v="52788"/>
    <x v="18"/>
    <x v="18"/>
    <s v="TANGUA"/>
    <n v="72.949633333333296"/>
    <n v="62.91"/>
    <n v="64.069999999999993"/>
    <n v="71.31"/>
    <n v="46.000040952950641"/>
    <n v="58.421047966732274"/>
    <n v="57.601414616152461"/>
    <n v="55.657800000000002"/>
    <n v="67.809908333333325"/>
    <n v="54.420075883958845"/>
    <n v="61.114992108646085"/>
    <n v="53.302637790781048"/>
    <n v="46.697362209218952"/>
    <n v="0.52027625988297055"/>
    <n v="0"/>
    <n v="31.796679517063644"/>
    <n v="3"/>
    <n v="3"/>
    <b v="1"/>
    <x v="4"/>
    <n v="61.773789457980747"/>
    <n v="0.52748828915248591"/>
    <n v="32.584950515656132"/>
    <n v="3"/>
    <n v="0"/>
    <n v="-0.65879734933466239"/>
    <n v="-7.2120292695153632E-3"/>
    <n v="-0.78827099859248762"/>
    <n v="3"/>
    <b v="1"/>
    <n v="0"/>
    <n v="0.81759069605862034"/>
    <n v="50.505675521129142"/>
    <n v="0.4611467509272435"/>
    <n v="3"/>
    <n v="0"/>
    <n v="46.114675092724347"/>
    <n v="4"/>
    <n v="-0.29731443617564979"/>
    <b v="0"/>
    <n v="0"/>
    <n v="3"/>
    <n v="0"/>
    <n v="0"/>
    <n v="0"/>
    <n v="0"/>
    <n v="0"/>
    <n v="0"/>
    <s v="Rural"/>
    <n v="6"/>
    <s v="Fuera SC"/>
    <m/>
    <s v="No"/>
    <s v="Si"/>
    <n v="46"/>
    <n v="22.369567321653278"/>
    <n v="54.764347411767737"/>
    <s v="Alto"/>
    <n v="0.15761587196496368"/>
    <s v="Bajo"/>
    <n v="25794.246238"/>
    <n v="5663.26877375"/>
    <n v="14521"/>
    <n v="1.7763409020039942"/>
    <n v="0.39000542481578404"/>
    <m/>
    <m/>
    <m/>
    <m/>
    <m/>
    <m/>
    <m/>
    <n v="80"/>
    <n v="0"/>
    <n v="7"/>
    <n v="21818.721960999999"/>
    <n v="14255.820266999999"/>
    <n v="0.6533755869148361"/>
    <s v="51% - 70%"/>
    <n v="4.1475555123697549E-4"/>
    <n v="473.07690000000002"/>
    <n v="2.1682154474748982E-2"/>
    <s v="0% - 30%"/>
    <n v="0.8760458099806061"/>
    <s v="Aceptable"/>
    <n v="2"/>
    <s v="Candidato"/>
    <n v="0"/>
    <n v="0"/>
  </r>
  <r>
    <n v="25793"/>
    <s v="25793"/>
    <x v="5"/>
    <x v="5"/>
    <s v="TAUSA"/>
    <n v="69.519400000000005"/>
    <n v="61.49"/>
    <n v="64.489999999999995"/>
    <n v="81.09"/>
    <n v="53.71807599262096"/>
    <n v="57.60955953266842"/>
    <n v="68.313063961633077"/>
    <n v="70.062899999999999"/>
    <n v="69.147349999999989"/>
    <n v="62.425899871730621"/>
    <n v="65.786624935865305"/>
    <n v="54.92213272591836"/>
    <n v="45.07786727408164"/>
    <n v="0.50570080546673479"/>
    <n v="0"/>
    <n v="33.268349219005067"/>
    <n v="3"/>
    <n v="3"/>
    <b v="1"/>
    <x v="4"/>
    <n v="63.182869264625907"/>
    <n v="0.52316122084167482"/>
    <n v="33.054827020761621"/>
    <n v="3"/>
    <n v="0"/>
    <n v="2.6037556712393979"/>
    <n v="-1.746041537494003E-2"/>
    <n v="0.21352219824344587"/>
    <n v="3"/>
    <b v="1"/>
    <n v="0"/>
    <n v="0.81759069605862034"/>
    <n v="51.657726061046304"/>
    <n v="0.47555768880587218"/>
    <n v="3"/>
    <n v="0"/>
    <n v="47.555768880587216"/>
    <n v="4"/>
    <n v="-0.31188989059188554"/>
    <b v="0"/>
    <n v="0"/>
    <n v="3"/>
    <n v="0"/>
    <n v="0"/>
    <n v="0"/>
    <n v="0"/>
    <n v="0"/>
    <n v="0"/>
    <s v="Rural disperso"/>
    <n v="6"/>
    <s v="En aglomeración"/>
    <m/>
    <s v="No"/>
    <s v="Si"/>
    <n v="24.3"/>
    <n v="8.0968031072602322"/>
    <n v="23.170391558463852"/>
    <s v="Medio"/>
    <n v="0"/>
    <s v="Bajo"/>
    <n v="18746.172290999999"/>
    <n v="8669.5722793999994"/>
    <n v="8560"/>
    <n v="2.1899733984813081"/>
    <n v="1.0128004999299065"/>
    <m/>
    <m/>
    <m/>
    <m/>
    <m/>
    <m/>
    <m/>
    <n v="36"/>
    <n v="0"/>
    <n v="7"/>
    <n v="20159.873928000001"/>
    <n v="18777.641903"/>
    <n v="0.93143647475492286"/>
    <s v="71% - 100%"/>
    <n v="5.4631238838200036E-4"/>
    <s v="N.D."/>
    <s v="N.D."/>
    <s v="N.D."/>
    <n v="0.96846800121739218"/>
    <s v="Aceptable"/>
    <n v="3"/>
    <s v="Candidato"/>
    <n v="0"/>
    <n v="0"/>
  </r>
  <r>
    <n v="18001"/>
    <s v="18001"/>
    <x v="24"/>
    <x v="24"/>
    <s v="FLORENCIA"/>
    <n v="65.388400000000004"/>
    <n v="60.78"/>
    <n v="66.239999999999995"/>
    <n v="66.45"/>
    <n v="42.262601973190861"/>
    <n v="47.216486881606073"/>
    <n v="54.489847755349743"/>
    <n v="39.151499999999999"/>
    <n v="64.714600000000004"/>
    <n v="45.780109152536667"/>
    <n v="55.247354576268336"/>
    <n v="53.118515561209321"/>
    <n v="46.881484438790679"/>
    <n v="0.52193335994911616"/>
    <n v="0"/>
    <n v="28.835437402291912"/>
    <n v="4"/>
    <n v="4"/>
    <b v="1"/>
    <x v="4"/>
    <n v="55.317998522584439"/>
    <n v="0.52617343938891226"/>
    <n v="29.106861542739022"/>
    <n v="3"/>
    <n v="0"/>
    <n v="-7.0643946316103268E-2"/>
    <n v="-4.2400794397960961E-3"/>
    <n v="-0.27142414044710961"/>
    <n v="3"/>
    <b v="1"/>
    <n v="0"/>
    <n v="0.81759069605862034"/>
    <n v="45.22748091664954"/>
    <n v="0.39512210016674987"/>
    <n v="3"/>
    <n v="0"/>
    <n v="39.512210016674985"/>
    <n v="4"/>
    <n v="-0.29565733610950418"/>
    <b v="0"/>
    <n v="0"/>
    <n v="3"/>
    <n v="0"/>
    <n v="1"/>
    <n v="0"/>
    <n v="0"/>
    <n v="1"/>
    <n v="1"/>
    <s v="Ciudades y aglomeraciones"/>
    <n v="2"/>
    <s v="Uninodal"/>
    <m/>
    <s v="Si"/>
    <s v="No"/>
    <n v="29.6"/>
    <n v="14.509358972677308"/>
    <n v="0.92000000000000015"/>
    <s v="Sin riesgo"/>
    <n v="3.3154051686764934"/>
    <s v="Medio Bajo"/>
    <n v="460830.67764200002"/>
    <n v="93385.356967"/>
    <n v="184170"/>
    <n v="2.5022027346581965"/>
    <n v="0.5070606340174838"/>
    <m/>
    <m/>
    <m/>
    <m/>
    <m/>
    <m/>
    <m/>
    <n v="3"/>
    <n v="1"/>
    <n v="3"/>
    <n v="254694.239336"/>
    <n v="99286.198239000005"/>
    <n v="0.38982506435105813"/>
    <s v="31% - 50%"/>
    <n v="2.8886097825015513E-3"/>
    <n v="2173.7228620000001"/>
    <n v="8.5346369343374199E-3"/>
    <s v="0% - 30%"/>
    <n v="0.92845314666581058"/>
    <s v="Aceptable"/>
    <n v="2"/>
    <s v="Candidato"/>
    <n v="0"/>
    <n v="0"/>
  </r>
  <r>
    <n v="15480"/>
    <s v="15480"/>
    <x v="10"/>
    <x v="10"/>
    <s v="MUZO"/>
    <n v="62.392766666666702"/>
    <n v="84.05"/>
    <n v="79.38"/>
    <n v="87.93"/>
    <n v="72.493093254907308"/>
    <n v="55.370548291090913"/>
    <n v="60.282940206648689"/>
    <n v="43.900799999999997"/>
    <n v="78.438191666666683"/>
    <n v="58.011845438161728"/>
    <n v="68.225018552414213"/>
    <n v="54.644703599231782"/>
    <n v="45.355296400768218"/>
    <n v="0.50819766760691398"/>
    <n v="0"/>
    <n v="34.671795300775337"/>
    <n v="3"/>
    <n v="3"/>
    <b v="1"/>
    <x v="4"/>
    <n v="66.838064198881909"/>
    <n v="0.52472676290281006"/>
    <n v="35.071721065769502"/>
    <n v="2"/>
    <n v="-1"/>
    <n v="1.3869543535323032"/>
    <n v="-1.6529095295896079E-2"/>
    <n v="-0.39992576499416543"/>
    <n v="3"/>
    <b v="1"/>
    <s v="Efecto ponderador"/>
    <n v="0.81759069605862034"/>
    <n v="54.646179431574609"/>
    <n v="0.51294009034440069"/>
    <n v="2"/>
    <n v="-1"/>
    <n v="51.294009034440066"/>
    <n v="4"/>
    <n v="-0.30939302845170635"/>
    <b v="0"/>
    <s v="Cambio en corte"/>
    <n v="3"/>
    <n v="0"/>
    <n v="0"/>
    <n v="0"/>
    <n v="0"/>
    <n v="0"/>
    <n v="0"/>
    <s v="Intermedio"/>
    <n v="6"/>
    <s v="Fuera SC"/>
    <m/>
    <s v="No"/>
    <s v="No"/>
    <n v="40.700000000000003"/>
    <n v="23.062429343047356"/>
    <n v="20.612616377098455"/>
    <s v="Medio"/>
    <n v="2.0515946510311323"/>
    <s v="Medio Bajo"/>
    <n v="24899.759889000001"/>
    <n v="8943.3446050000002"/>
    <n v="8228"/>
    <n v="3.0262226408604764"/>
    <n v="1.0869402777102577"/>
    <m/>
    <m/>
    <m/>
    <m/>
    <m/>
    <m/>
    <m/>
    <n v="86"/>
    <n v="0"/>
    <n v="7"/>
    <n v="13771.030446999999"/>
    <n v="28.678132000000002"/>
    <n v="2.0824971748027391E-3"/>
    <s v="0% - 30%"/>
    <n v="8.3435496683698112E-7"/>
    <s v="N.D."/>
    <s v="N.D."/>
    <s v="N.D."/>
    <n v="0.86341846512998877"/>
    <s v="Aceptable"/>
    <n v="2"/>
    <s v="Candidato"/>
    <n v="0"/>
    <n v="0"/>
  </r>
  <r>
    <n v="52720"/>
    <s v="52720"/>
    <x v="18"/>
    <x v="18"/>
    <s v="SAPUYES"/>
    <n v="53.873033333333296"/>
    <n v="57.49"/>
    <n v="47.11"/>
    <n v="50.41"/>
    <n v="54.405518397141478"/>
    <n v="52.511314139588848"/>
    <n v="65.99240388329352"/>
    <n v="54.345399999999998"/>
    <n v="52.220758333333329"/>
    <n v="56.813659105005954"/>
    <n v="54.517208719169645"/>
    <n v="53.974862756518341"/>
    <n v="46.025137243481659"/>
    <n v="0.51422623519133492"/>
    <n v="0"/>
    <n v="28.034178992798825"/>
    <n v="4"/>
    <n v="4"/>
    <b v="1"/>
    <x v="5"/>
    <n v="54.611284552943175"/>
    <n v="0.52604989987539763"/>
    <n v="28.728260771142608"/>
    <n v="3"/>
    <n v="-1"/>
    <n v="-9.4075833773530348E-2"/>
    <n v="-1.1823664684062707E-2"/>
    <n v="-0.69408177834378293"/>
    <n v="3"/>
    <b v="0"/>
    <s v="Cambio en corte"/>
    <n v="0.81759069605862034"/>
    <n v="44.649678150296189"/>
    <n v="0.38789439662119479"/>
    <n v="3"/>
    <n v="-1"/>
    <n v="38.789439662119477"/>
    <n v="4"/>
    <n v="-0.30336446086728541"/>
    <b v="1"/>
    <s v="Efecto ponderador"/>
    <n v="3"/>
    <n v="-1"/>
    <n v="0"/>
    <n v="0"/>
    <n v="0"/>
    <n v="0"/>
    <n v="0"/>
    <s v="Rural"/>
    <n v="6"/>
    <s v="Fuera SC"/>
    <m/>
    <s v="No"/>
    <s v="No"/>
    <n v="43"/>
    <n v="25.935596170583114"/>
    <n v="44.133723321345443"/>
    <s v="Alto"/>
    <n v="17.693154546858853"/>
    <s v="Alto"/>
    <n v="20173.89618"/>
    <n v="3933.9201047500001"/>
    <n v="7368"/>
    <n v="2.7380423697068403"/>
    <n v="0.53391966676845826"/>
    <m/>
    <m/>
    <m/>
    <m/>
    <m/>
    <m/>
    <m/>
    <n v="70"/>
    <n v="0"/>
    <n v="7"/>
    <n v="11568.031976"/>
    <n v="8602.187398"/>
    <n v="0.74361718707614333"/>
    <s v="71% - 100%"/>
    <n v="2.5027005877453198E-4"/>
    <s v="N.D."/>
    <s v="N.D."/>
    <s v="N.D."/>
    <n v="0.99207300607767612"/>
    <s v="Aceptable"/>
    <n v="1"/>
    <s v="Candidato"/>
    <n v="0"/>
    <n v="0"/>
  </r>
  <r>
    <n v="54673"/>
    <s v="54673"/>
    <x v="12"/>
    <x v="12"/>
    <s v="SAN CAYETANO"/>
    <n v="74.337800000000001"/>
    <n v="67.91"/>
    <n v="57.51"/>
    <n v="79.14"/>
    <n v="47.139521920399218"/>
    <n v="65.973832439754474"/>
    <n v="62.233306583823449"/>
    <n v="59.530999999999999"/>
    <n v="69.72444999999999"/>
    <n v="58.71941523599429"/>
    <n v="64.22193261799714"/>
    <n v="52.978567224874951"/>
    <n v="47.021432775125049"/>
    <n v="0.52319289497612542"/>
    <n v="0"/>
    <n v="33.600458847371584"/>
    <n v="3"/>
    <n v="3"/>
    <b v="1"/>
    <x v="4"/>
    <n v="62.290080359908394"/>
    <n v="0.52703400273864087"/>
    <n v="32.828990382994121"/>
    <n v="3"/>
    <n v="0"/>
    <n v="1.9318522580887461"/>
    <n v="-3.8411077625154499E-3"/>
    <n v="0.77146846437746319"/>
    <n v="3"/>
    <b v="1"/>
    <n v="0"/>
    <n v="0.81759069605862034"/>
    <n v="50.9277901590049"/>
    <n v="0.46642696009630025"/>
    <n v="3"/>
    <n v="0"/>
    <n v="46.642696009630022"/>
    <n v="4"/>
    <n v="-0.29439780108249491"/>
    <b v="0"/>
    <n v="0"/>
    <n v="3"/>
    <n v="0"/>
    <n v="0"/>
    <n v="0"/>
    <n v="0"/>
    <n v="0"/>
    <n v="0"/>
    <s v="Ciudades y aglomeraciones"/>
    <n v="6"/>
    <s v="En aglomeración"/>
    <m/>
    <s v="No"/>
    <s v="No"/>
    <n v="37.6"/>
    <n v="22.92945933802606"/>
    <n v="14.681626450259197"/>
    <s v="Medio"/>
    <n v="20.615190906921502"/>
    <s v="Alto"/>
    <n v="30775.181302000001"/>
    <n v="12669.159167600001"/>
    <n v="8712"/>
    <n v="3.5325047408172638"/>
    <n v="1.4542193718549128"/>
    <m/>
    <m/>
    <m/>
    <m/>
    <m/>
    <m/>
    <m/>
    <n v="73"/>
    <n v="0"/>
    <n v="7"/>
    <n v="13897.553894000001"/>
    <n v="7552.4948670000003"/>
    <n v="0.54344058850965449"/>
    <s v="51% - 70%"/>
    <n v="2.1973054605830866E-4"/>
    <s v="N.D."/>
    <s v="N.D."/>
    <s v="N.D."/>
    <n v="0.93859164034429976"/>
    <s v="Aceptable"/>
    <n v="2"/>
    <s v="Candidato"/>
    <n v="1"/>
    <s v="Unidad Especial de Desarrollo Fronterizo"/>
  </r>
  <r>
    <n v="25095"/>
    <s v="25095"/>
    <x v="5"/>
    <x v="5"/>
    <s v="BITUIMA"/>
    <n v="60.313466666666699"/>
    <n v="82.78"/>
    <n v="77.760000000000005"/>
    <n v="72.19"/>
    <n v="51.728833948277156"/>
    <n v="56.326676800230608"/>
    <n v="60.052447613000844"/>
    <n v="53.48"/>
    <n v="73.260866666666672"/>
    <n v="55.396989590377153"/>
    <n v="64.328928128521909"/>
    <n v="54.930836680947046"/>
    <n v="45.069163319052954"/>
    <n v="0.50562246987147663"/>
    <n v="0"/>
    <n v="32.526151524527954"/>
    <n v="3"/>
    <n v="3"/>
    <b v="1"/>
    <x v="4"/>
    <n v="60.997905202738636"/>
    <n v="0.52339962058412803"/>
    <n v="31.926280439540012"/>
    <n v="3"/>
    <n v="0"/>
    <n v="3.3310229257832731"/>
    <n v="-1.7777150712651402E-2"/>
    <n v="0.59987108498794228"/>
    <n v="3"/>
    <b v="1"/>
    <n v="0"/>
    <n v="0.81759069605862034"/>
    <n v="49.871319772824819"/>
    <n v="0.45321162918994373"/>
    <n v="3"/>
    <n v="0"/>
    <n v="45.321162918994375"/>
    <n v="4"/>
    <n v="-0.3119682261871437"/>
    <b v="0"/>
    <n v="0"/>
    <n v="3"/>
    <n v="0"/>
    <n v="0"/>
    <n v="0"/>
    <n v="0"/>
    <n v="0"/>
    <n v="0"/>
    <s v="Rural disperso"/>
    <n v="6"/>
    <s v="Fuera SC"/>
    <m/>
    <s v="No"/>
    <s v="No"/>
    <n v="29.3"/>
    <n v="9.6716149347728297"/>
    <n v="9.85"/>
    <s v="Bajo"/>
    <n v="0"/>
    <s v="Bajo"/>
    <n v="9317.1982220000009"/>
    <n v="2474.9661209999999"/>
    <n v="2476"/>
    <n v="3.7630041284329567"/>
    <n v="0.999582439822294"/>
    <m/>
    <m/>
    <m/>
    <m/>
    <m/>
    <m/>
    <m/>
    <n v="52"/>
    <n v="0"/>
    <n v="7"/>
    <n v="6101.6943650000003"/>
    <n v="3338.3576170000001"/>
    <n v="0.54711976990345368"/>
    <s v="51% - 70%"/>
    <n v="9.7125407569154725E-5"/>
    <s v="N.D."/>
    <s v="N.D."/>
    <s v="N.D."/>
    <n v="0.9595871426419964"/>
    <s v="Aceptable"/>
    <n v="2"/>
    <s v="Candidato"/>
    <n v="0"/>
    <n v="0"/>
  </r>
  <r>
    <n v="54099"/>
    <s v="54099"/>
    <x v="12"/>
    <x v="12"/>
    <s v="BOCHALEMA"/>
    <n v="65.432466666666699"/>
    <n v="70.62"/>
    <n v="50.77"/>
    <n v="43.94"/>
    <n v="52.693580438073823"/>
    <n v="59.415426912283841"/>
    <n v="60.990052172307834"/>
    <n v="49.725099999999998"/>
    <n v="57.690616666666678"/>
    <n v="55.706039880666374"/>
    <n v="56.698328273666526"/>
    <n v="53.383193429074346"/>
    <n v="46.616806570925654"/>
    <n v="0.51955125913833089"/>
    <n v="0"/>
    <n v="29.457687845621869"/>
    <n v="4"/>
    <n v="4"/>
    <b v="1"/>
    <x v="4"/>
    <n v="59.746195308397695"/>
    <n v="0.52680833229118018"/>
    <n v="31.474793511160122"/>
    <n v="3"/>
    <n v="0"/>
    <n v="-3.0478670347311692"/>
    <n v="-7.2570731528492916E-3"/>
    <n v="-2.0171056655382529"/>
    <n v="3"/>
    <b v="1"/>
    <n v="0"/>
    <n v="0.81759069605862034"/>
    <n v="48.847933409047151"/>
    <n v="0.44041014452999455"/>
    <n v="3"/>
    <n v="0"/>
    <n v="44.041014452999455"/>
    <n v="4"/>
    <n v="-0.29803943692028945"/>
    <b v="0"/>
    <n v="0"/>
    <n v="3"/>
    <n v="0"/>
    <n v="0"/>
    <n v="0"/>
    <n v="0"/>
    <n v="0"/>
    <n v="0"/>
    <s v="Intermedio"/>
    <n v="6"/>
    <s v="Fuera SC"/>
    <m/>
    <s v="No"/>
    <s v="No"/>
    <n v="36.299999999999997"/>
    <n v="16.19338867045289"/>
    <n v="31.613891315929674"/>
    <s v="Medio"/>
    <n v="0.91416916004087856"/>
    <s v="Medio Bajo"/>
    <n v="24030.811075000001"/>
    <n v="5608.5663274999997"/>
    <n v="9467"/>
    <n v="2.5383765791697477"/>
    <n v="0.59243332919615499"/>
    <m/>
    <m/>
    <m/>
    <m/>
    <m/>
    <m/>
    <m/>
    <n v="1"/>
    <n v="0"/>
    <n v="7"/>
    <n v="16996.362807000001"/>
    <n v="7023.226447"/>
    <n v="0.41321937680145682"/>
    <s v="31% - 50%"/>
    <n v="2.0433213255574993E-4"/>
    <s v="N.D."/>
    <s v="N.D."/>
    <s v="N.D."/>
    <n v="0.93529477424778951"/>
    <s v="Aceptable"/>
    <n v="1"/>
    <s v="Candidato"/>
    <n v="1"/>
    <s v="Zona de Fronteras"/>
  </r>
  <r>
    <n v="25851"/>
    <s v="25851"/>
    <x v="5"/>
    <x v="5"/>
    <s v="ÚTICA"/>
    <n v="68.246333333333297"/>
    <n v="62.6"/>
    <n v="23.17"/>
    <n v="57.1"/>
    <n v="61.213013443395063"/>
    <n v="54.290844126341547"/>
    <n v="60.179320478704057"/>
    <n v="65.2714"/>
    <n v="52.779083333333325"/>
    <n v="60.238644512110163"/>
    <n v="56.508863922721744"/>
    <n v="54.902085728326163"/>
    <n v="45.097914271673837"/>
    <n v="0.50588122844506456"/>
    <n v="0"/>
    <n v="28.586773499261465"/>
    <n v="4"/>
    <n v="4"/>
    <b v="1"/>
    <x v="4"/>
    <n v="56.94300208186236"/>
    <n v="0.52359551060771825"/>
    <n v="29.815100250589087"/>
    <n v="3"/>
    <n v="0"/>
    <n v="-0.43413815914061615"/>
    <n v="-1.7714282162653694E-2"/>
    <n v="-1.2283267513276215"/>
    <n v="3"/>
    <b v="1"/>
    <n v="0"/>
    <n v="0.81759069605862034"/>
    <n v="46.556068707777314"/>
    <n v="0.41174133297022009"/>
    <n v="3"/>
    <n v="0"/>
    <n v="41.17413329702201"/>
    <n v="4"/>
    <n v="-0.31170946761355578"/>
    <b v="0"/>
    <n v="0"/>
    <n v="3"/>
    <n v="0"/>
    <n v="0"/>
    <n v="0"/>
    <n v="0"/>
    <n v="0"/>
    <n v="0"/>
    <s v="Intermedio"/>
    <n v="6"/>
    <s v="Fuera SC"/>
    <m/>
    <s v="No"/>
    <s v="No"/>
    <n v="35.5"/>
    <n v="16.919631749191343"/>
    <n v="3.3254545454545452"/>
    <s v="Sin riesgo"/>
    <n v="1.7346108256870223"/>
    <s v="Medio Bajo"/>
    <n v="13458.380846"/>
    <n v="3989.88021815"/>
    <n v="4342"/>
    <n v="3.0995810331644402"/>
    <n v="0.9189037812413634"/>
    <m/>
    <m/>
    <m/>
    <m/>
    <m/>
    <m/>
    <m/>
    <n v="37"/>
    <n v="0"/>
    <n v="7"/>
    <n v="9199.4126180000003"/>
    <n v="1968.7799520000001"/>
    <n v="0.21401148461889766"/>
    <s v="0% - 30%"/>
    <n v="5.7279230445005043E-5"/>
    <s v="N.D."/>
    <s v="N.D."/>
    <s v="N.D."/>
    <n v="0.930278845280049"/>
    <s v="Aceptable"/>
    <n v="2"/>
    <s v="Candidato"/>
    <n v="0"/>
    <n v="0"/>
  </r>
  <r>
    <n v="20550"/>
    <s v="20550"/>
    <x v="20"/>
    <x v="20"/>
    <s v="PELAYA"/>
    <n v="71.645066666666693"/>
    <n v="69.36"/>
    <n v="89.41"/>
    <n v="90.7"/>
    <n v="50.096927366222275"/>
    <n v="53.014509731754302"/>
    <n v="62.022436497617107"/>
    <n v="66.478099999999998"/>
    <n v="80.278766666666669"/>
    <n v="57.902993398898417"/>
    <n v="69.090880032782536"/>
    <n v="53.607098635477648"/>
    <n v="46.392901364522352"/>
    <n v="0.51753611228070118"/>
    <n v="0"/>
    <n v="35.757025446218599"/>
    <n v="3"/>
    <n v="3"/>
    <b v="1"/>
    <x v="3"/>
    <n v="64.190666395768375"/>
    <n v="0.52509007699034538"/>
    <n v="33.705881959815592"/>
    <n v="3"/>
    <n v="1"/>
    <n v="4.9002136370141613"/>
    <n v="-7.5539647096442009E-3"/>
    <n v="2.0511434864030065"/>
    <n v="2"/>
    <b v="1"/>
    <s v="Efecto ponderador"/>
    <n v="0.81759069605862034"/>
    <n v="52.481691618982957"/>
    <n v="0.48586462939409375"/>
    <n v="2"/>
    <n v="0"/>
    <n v="48.586462939409373"/>
    <n v="3"/>
    <n v="-0.30005458377791916"/>
    <b v="0"/>
    <n v="0"/>
    <n v="2"/>
    <n v="0"/>
    <n v="0"/>
    <n v="0"/>
    <n v="0"/>
    <n v="0"/>
    <n v="1"/>
    <s v="Intermedio"/>
    <n v="6"/>
    <s v="Fuera SC"/>
    <m/>
    <s v="No"/>
    <s v="Si"/>
    <n v="51"/>
    <n v="26.759344404175906"/>
    <n v="1.111"/>
    <s v="Sin riesgo"/>
    <n v="13.489608455407371"/>
    <s v="Alto"/>
    <n v="49273.659099999997"/>
    <n v="7968.8431844999996"/>
    <n v="24204"/>
    <n v="2.0357651255990743"/>
    <n v="0.32923662140555277"/>
    <m/>
    <m/>
    <m/>
    <m/>
    <m/>
    <m/>
    <m/>
    <n v="8"/>
    <n v="0"/>
    <n v="7"/>
    <n v="42273.952237999998"/>
    <n v="8424.7564839999995"/>
    <n v="0.19928953972813068"/>
    <s v="0% - 30%"/>
    <n v="2.4510792463112524E-4"/>
    <s v="N.D."/>
    <s v="N.D."/>
    <s v="N.D."/>
    <n v="0.93653459347204371"/>
    <s v="Aceptable"/>
    <n v="3"/>
    <s v="Candidato"/>
    <n v="0"/>
    <n v="0"/>
  </r>
  <r>
    <n v="5138"/>
    <s v="05138"/>
    <x v="1"/>
    <x v="1"/>
    <s v="CAÑASGORDAS"/>
    <n v="72.985933333333307"/>
    <n v="74.63"/>
    <n v="64.290000000000006"/>
    <n v="72.180000000000007"/>
    <n v="56.487503442979964"/>
    <n v="54.765483448628025"/>
    <n v="71.422309023754082"/>
    <n v="59.349400000000003"/>
    <n v="71.021483333333336"/>
    <n v="60.506173978840522"/>
    <n v="65.763828656086929"/>
    <n v="53.649583224820262"/>
    <n v="46.350416775179738"/>
    <n v="0.51715375097661764"/>
    <n v="0"/>
    <n v="34.010010668078934"/>
    <n v="3"/>
    <n v="3"/>
    <b v="1"/>
    <x v="4"/>
    <n v="64.80198451281079"/>
    <n v="0.52433112245081481"/>
    <n v="33.977697276642402"/>
    <n v="3"/>
    <n v="0"/>
    <n v="0.96184414327613865"/>
    <n v="-7.1773714741971695E-3"/>
    <n v="3.2313391436531447E-2"/>
    <n v="3"/>
    <b v="1"/>
    <n v="0"/>
    <n v="0.81759069605862034"/>
    <n v="52.981499623808908"/>
    <n v="0.49211670068716917"/>
    <n v="2"/>
    <n v="-1"/>
    <n v="49.21167006871692"/>
    <n v="4"/>
    <n v="-0.30043694508200269"/>
    <b v="0"/>
    <s v="Cambio en corte"/>
    <n v="2"/>
    <n v="-1"/>
    <n v="0"/>
    <n v="0"/>
    <n v="0"/>
    <n v="0"/>
    <n v="0"/>
    <s v="Rural"/>
    <n v="6"/>
    <s v="Fuera SC"/>
    <m/>
    <s v="No"/>
    <s v="Si"/>
    <n v="45.3"/>
    <n v="22.791623654328269"/>
    <n v="46.126595388865127"/>
    <s v="Alto"/>
    <n v="4.0951249853289431"/>
    <s v="Medio Bajo"/>
    <n v="41483.101116999998"/>
    <n v="11374.935652299999"/>
    <n v="15570"/>
    <n v="2.6642967962106616"/>
    <n v="0.73056747927424526"/>
    <m/>
    <m/>
    <m/>
    <m/>
    <m/>
    <m/>
    <m/>
    <n v="99"/>
    <n v="0"/>
    <n v="7"/>
    <n v="36483.860142999998"/>
    <n v="24773.535251000001"/>
    <n v="0.67902725078703585"/>
    <s v="51% - 70%"/>
    <n v="7.2075552838598027E-4"/>
    <s v="N.D."/>
    <s v="N.D."/>
    <s v="N.D."/>
    <n v="0.91020006886932348"/>
    <s v="Aceptable"/>
    <n v="2"/>
    <s v="Candidato"/>
    <n v="0"/>
    <n v="0"/>
  </r>
  <r>
    <n v="20250"/>
    <s v="20250"/>
    <x v="20"/>
    <x v="20"/>
    <s v="EL PASO"/>
    <n v="71.152833333333305"/>
    <n v="54.35"/>
    <n v="46.73"/>
    <n v="30.72"/>
    <n v="54.692059758463827"/>
    <n v="46.624684439806323"/>
    <n v="59.016637550892533"/>
    <n v="73.697000000000003"/>
    <n v="50.738208333333326"/>
    <n v="58.507595437290675"/>
    <n v="54.622901885312004"/>
    <n v="53.33174272574044"/>
    <n v="46.66825727425956"/>
    <n v="0.5200143154683361"/>
    <n v="0"/>
    <n v="28.404690932784607"/>
    <n v="4"/>
    <n v="4"/>
    <b v="1"/>
    <x v="4"/>
    <n v="58.426484867450611"/>
    <n v="0.52438554331456244"/>
    <n v="30.63800401117815"/>
    <n v="3"/>
    <n v="0"/>
    <n v="-3.8035829821386073"/>
    <n v="-4.3712278462263443E-3"/>
    <n v="-2.2333130783935431"/>
    <n v="3"/>
    <b v="1"/>
    <n v="0"/>
    <n v="0.81759069605862034"/>
    <n v="47.768950431037396"/>
    <n v="0.42691320483035738"/>
    <n v="3"/>
    <n v="0"/>
    <n v="42.691320483035739"/>
    <n v="4"/>
    <n v="-0.29757638059028424"/>
    <b v="0"/>
    <n v="0"/>
    <n v="2"/>
    <n v="-1"/>
    <n v="0"/>
    <n v="0"/>
    <n v="0"/>
    <n v="0"/>
    <n v="0"/>
    <s v="Rural"/>
    <n v="6"/>
    <s v="Fuera SC"/>
    <m/>
    <s v="No"/>
    <s v="Si"/>
    <n v="40.700000000000003"/>
    <n v="22.784517619872904"/>
    <n v="56.622307692307693"/>
    <s v="Alto"/>
    <n v="3.8149333902973188"/>
    <s v="Medio Bajo"/>
    <n v="101270.189769"/>
    <n v="23860.983004999998"/>
    <n v="45704"/>
    <n v="2.2157839525862069"/>
    <n v="0.52207647044022398"/>
    <m/>
    <m/>
    <m/>
    <m/>
    <m/>
    <m/>
    <m/>
    <n v="47"/>
    <n v="0"/>
    <n v="6"/>
    <n v="81231.387925000003"/>
    <n v="5597.8303109999997"/>
    <n v="6.8912158883317517E-2"/>
    <s v="0% - 30%"/>
    <n v="1.6286198569326107E-4"/>
    <s v="N.D."/>
    <s v="N.D."/>
    <s v="N.D."/>
    <n v="0.89856678982123483"/>
    <s v="Aceptable"/>
    <n v="2"/>
    <s v="Candidato"/>
    <n v="0"/>
    <n v="0"/>
  </r>
  <r>
    <n v="15814"/>
    <s v="15814"/>
    <x v="10"/>
    <x v="10"/>
    <s v="TOCA"/>
    <n v="80.220166666666699"/>
    <n v="65.59"/>
    <n v="69.069999999999993"/>
    <n v="67.319999999999993"/>
    <n v="71.521442118586378"/>
    <n v="73.866839883285792"/>
    <n v="68.914852903995197"/>
    <n v="58.891800000000003"/>
    <n v="70.550041666666672"/>
    <n v="68.298733726466835"/>
    <n v="69.424387696566754"/>
    <n v="54.379092413944363"/>
    <n v="45.620907586055637"/>
    <n v="0.51058816827450071"/>
    <n v="0"/>
    <n v="35.447270947568803"/>
    <n v="3"/>
    <n v="3"/>
    <b v="1"/>
    <x v="4"/>
    <n v="71.327760034206634"/>
    <n v="0.52287279500421258"/>
    <n v="37.295345250475393"/>
    <n v="2"/>
    <n v="-1"/>
    <n v="-1.9033723376398797"/>
    <n v="-1.2284626729711867E-2"/>
    <n v="-1.8480743029065891"/>
    <n v="2"/>
    <b v="0"/>
    <s v="Cambio en corte"/>
    <n v="0.81759069605862034"/>
    <n v="58.316912974669243"/>
    <n v="0.55885709765064195"/>
    <n v="2"/>
    <n v="-1"/>
    <n v="55.885709765064192"/>
    <n v="3"/>
    <n v="-0.30700252778411963"/>
    <b v="1"/>
    <s v="Efecto ponderador"/>
    <n v="2"/>
    <n v="-1"/>
    <n v="0"/>
    <n v="0"/>
    <n v="0"/>
    <n v="0"/>
    <n v="0"/>
    <s v="Intermedio"/>
    <n v="6"/>
    <s v="Fuera SC"/>
    <m/>
    <s v="No"/>
    <s v="No"/>
    <n v="30.2"/>
    <n v="9.8885953830251516"/>
    <n v="38.248600107077202"/>
    <s v="Alto"/>
    <n v="0"/>
    <s v="Bajo"/>
    <n v="22920.117921000001"/>
    <n v="4461.0203766000004"/>
    <n v="8960"/>
    <n v="2.5580488751116071"/>
    <n v="0.49788173845982148"/>
    <m/>
    <m/>
    <m/>
    <m/>
    <m/>
    <m/>
    <m/>
    <n v="79"/>
    <n v="0"/>
    <n v="7"/>
    <n v="16794.120220000001"/>
    <n v="6687.5327180000004"/>
    <n v="0.39820679085266192"/>
    <s v="31% - 50%"/>
    <n v="1.9456553652616272E-4"/>
    <s v="N.D."/>
    <s v="N.D."/>
    <s v="N.D."/>
    <n v="0.97438721188646449"/>
    <s v="Aceptable"/>
    <n v="2"/>
    <s v="Candidato"/>
    <n v="0"/>
    <n v="0"/>
  </r>
  <r>
    <n v="5002"/>
    <s v="05002"/>
    <x v="1"/>
    <x v="1"/>
    <s v="ABEJORRAL"/>
    <n v="62.9072666666667"/>
    <n v="41.54"/>
    <n v="28.46"/>
    <n v="39.369999999999997"/>
    <n v="50.808558975151769"/>
    <n v="62.925519489100978"/>
    <n v="65.49887848289697"/>
    <n v="49.944899999999997"/>
    <n v="43.06931666666668"/>
    <n v="57.294464236787427"/>
    <n v="50.181890451727057"/>
    <n v="53.887956318216943"/>
    <n v="46.112043681783057"/>
    <n v="0.51500839313604752"/>
    <n v="0"/>
    <n v="25.844094766073116"/>
    <n v="4"/>
    <n v="4"/>
    <b v="1"/>
    <x v="5"/>
    <n v="54.158768123507357"/>
    <n v="0.52419525755831931"/>
    <n v="28.389769405543234"/>
    <n v="3"/>
    <n v="-1"/>
    <n v="-3.9768776717803007"/>
    <n v="-9.1868644222717899E-3"/>
    <n v="-2.5456746394701177"/>
    <n v="4"/>
    <b v="1"/>
    <s v="Efecto ponderador"/>
    <n v="0.81759069605862034"/>
    <n v="44.279704927775796"/>
    <n v="0.38326642159600116"/>
    <n v="3"/>
    <n v="-1"/>
    <n v="38.326642159600119"/>
    <n v="4"/>
    <n v="-0.30258230292257282"/>
    <b v="1"/>
    <s v="Efecto ponderador"/>
    <n v="2"/>
    <n v="-2"/>
    <n v="0"/>
    <n v="0"/>
    <n v="0"/>
    <n v="0"/>
    <n v="1"/>
    <s v="Rural"/>
    <n v="6"/>
    <s v="Fuera SC"/>
    <m/>
    <s v="No"/>
    <s v="Si"/>
    <n v="40.6"/>
    <n v="13.958914243441644"/>
    <n v="33.659093709679453"/>
    <s v="Medio"/>
    <n v="15.931426255479797"/>
    <s v="Alto"/>
    <n v="38552.668971999999"/>
    <n v="9982.3655418999988"/>
    <n v="21121"/>
    <n v="1.8253240363619148"/>
    <n v="0.47262750541641013"/>
    <m/>
    <m/>
    <m/>
    <m/>
    <m/>
    <m/>
    <m/>
    <n v="65"/>
    <n v="0"/>
    <n v="6"/>
    <n v="50695.279803999998"/>
    <n v="5678.776511"/>
    <n v="0.11201785517222708"/>
    <s v="0% - 30%"/>
    <n v="1.652170157913365E-4"/>
    <s v="N.D."/>
    <s v="N.D."/>
    <s v="N.D."/>
    <n v="0.81294975298069971"/>
    <s v="Crítico bajo"/>
    <n v="1"/>
    <s v="Candidato"/>
    <n v="0"/>
    <n v="0"/>
  </r>
  <r>
    <n v="68179"/>
    <s v="68179"/>
    <x v="0"/>
    <x v="0"/>
    <s v="CHIPATÁ"/>
    <n v="63.519166666666699"/>
    <n v="47.31"/>
    <n v="55.53"/>
    <n v="53.65"/>
    <n v="49.770634038337498"/>
    <n v="52.108862680768127"/>
    <n v="53.797399782593928"/>
    <n v="50.746299999999998"/>
    <n v="55.002291666666679"/>
    <n v="51.605799125424888"/>
    <n v="53.30404539604578"/>
    <n v="54.183016241553261"/>
    <n v="45.816983758446739"/>
    <n v="0.51235285382602069"/>
    <n v="0"/>
    <n v="27.310479779135814"/>
    <n v="4"/>
    <n v="4"/>
    <b v="1"/>
    <x v="5"/>
    <n v="53.720210408710436"/>
    <n v="0.52320957629345011"/>
    <n v="28.106928526336375"/>
    <n v="3"/>
    <n v="-1"/>
    <n v="-0.41616501266465633"/>
    <n v="-1.0856722467429414E-2"/>
    <n v="-0.7964487472005608"/>
    <n v="4"/>
    <b v="1"/>
    <s v="Efecto ponderador"/>
    <n v="0.81759069605862034"/>
    <n v="43.92114422047311"/>
    <n v="0.37878120510625607"/>
    <n v="3"/>
    <n v="-1"/>
    <n v="37.878120510625607"/>
    <n v="4"/>
    <n v="-0.30523784223259964"/>
    <b v="1"/>
    <s v="Efecto ponderador"/>
    <n v="3"/>
    <n v="-1"/>
    <n v="0"/>
    <n v="0"/>
    <n v="0"/>
    <n v="0"/>
    <n v="0"/>
    <s v="Rural"/>
    <n v="6"/>
    <s v="Fuera SC"/>
    <m/>
    <s v="No"/>
    <s v="Si"/>
    <n v="42.8"/>
    <n v="15.244464944649447"/>
    <n v="17.684999999999999"/>
    <s v="Medio"/>
    <n v="0"/>
    <s v="Bajo"/>
    <n v="12847.278818999999"/>
    <n v="3055.3270635999997"/>
    <n v="5247"/>
    <n v="2.4484998702115495"/>
    <n v="0.58229980247760615"/>
    <m/>
    <m/>
    <m/>
    <m/>
    <m/>
    <m/>
    <m/>
    <n v="25"/>
    <n v="0"/>
    <n v="7"/>
    <n v="9483.627665"/>
    <n v="607.29698399999995"/>
    <n v="6.403635881249034E-2"/>
    <s v="0% - 30%"/>
    <n v="1.7668558570883158E-5"/>
    <s v="N.D."/>
    <s v="N.D."/>
    <s v="N.D."/>
    <n v="0.95443000104366504"/>
    <s v="Aceptable"/>
    <n v="1"/>
    <s v="Candidato"/>
    <n v="0"/>
    <n v="0"/>
  </r>
  <r>
    <n v="25398"/>
    <s v="25398"/>
    <x v="5"/>
    <x v="5"/>
    <s v="LA PEÑA"/>
    <n v="81.224000000000004"/>
    <n v="80.47"/>
    <n v="82.5"/>
    <n v="86.11"/>
    <n v="63.431351270264429"/>
    <n v="59.59637057241126"/>
    <n v="66.070542141152742"/>
    <n v="54.9514"/>
    <n v="82.576000000000008"/>
    <n v="61.012415995957106"/>
    <n v="71.79420799797856"/>
    <n v="55.209242790597187"/>
    <n v="44.790757209402813"/>
    <n v="0.50311681488462534"/>
    <n v="0"/>
    <n v="36.12087325510727"/>
    <n v="3"/>
    <n v="3"/>
    <b v="1"/>
    <x v="3"/>
    <n v="71.882566014671468"/>
    <n v="0.52116428908808621"/>
    <n v="37.462626414863685"/>
    <n v="2"/>
    <n v="0"/>
    <n v="-8.8358016692907881E-2"/>
    <n v="-1.8047474203460867E-2"/>
    <n v="-1.341753159756415"/>
    <n v="2"/>
    <b v="1"/>
    <n v="0"/>
    <n v="0.81759069605862034"/>
    <n v="58.77051718241497"/>
    <n v="0.56453120814563662"/>
    <n v="2"/>
    <n v="0"/>
    <n v="56.453120814563661"/>
    <n v="3"/>
    <n v="-0.314473881173995"/>
    <b v="0"/>
    <n v="0"/>
    <n v="3"/>
    <n v="1"/>
    <n v="0"/>
    <n v="0"/>
    <n v="0"/>
    <n v="0"/>
    <n v="0"/>
    <s v="Rural"/>
    <n v="6"/>
    <s v="Fuera SC"/>
    <m/>
    <s v="No"/>
    <s v="No"/>
    <n v="50.3"/>
    <n v="30.077691453940066"/>
    <n v="1.3900000000000001"/>
    <s v="Sin riesgo"/>
    <n v="0"/>
    <s v="Bajo"/>
    <n v="17616.568007999998"/>
    <n v="3853.1260027500002"/>
    <n v="6051"/>
    <n v="2.9113482082300441"/>
    <n v="0.63677507895389196"/>
    <m/>
    <m/>
    <m/>
    <m/>
    <m/>
    <m/>
    <m/>
    <n v="37"/>
    <n v="0"/>
    <n v="7"/>
    <n v="12833.834503"/>
    <n v="1722.1863820000001"/>
    <n v="0.13419110099927087"/>
    <s v="0% - 30%"/>
    <n v="5.0104893918498963E-5"/>
    <s v="N.D."/>
    <s v="N.D."/>
    <s v="N.D."/>
    <n v="0.84441537885729923"/>
    <s v="Crítico bajo"/>
    <n v="2"/>
    <s v="Candidato"/>
    <n v="0"/>
    <n v="0"/>
  </r>
  <r>
    <n v="15362"/>
    <s v="15362"/>
    <x v="10"/>
    <x v="10"/>
    <s v="IZA"/>
    <n v="64.556066666666695"/>
    <n v="47.7"/>
    <n v="43.65"/>
    <n v="40.479999999999997"/>
    <n v="51.44843084240361"/>
    <n v="54.031655262271414"/>
    <n v="60.983658835388184"/>
    <n v="58.998800000000003"/>
    <n v="49.096516666666673"/>
    <n v="56.365636235015799"/>
    <n v="52.731076450841236"/>
    <n v="54.603838697081706"/>
    <n v="45.396161302918294"/>
    <n v="0.50856545172626466"/>
    <n v="0"/>
    <n v="26.817203715234271"/>
    <n v="4"/>
    <n v="4"/>
    <b v="1"/>
    <x v="5"/>
    <n v="54.915147597144909"/>
    <n v="0.52323845217261655"/>
    <n v="28.733716829560887"/>
    <n v="3"/>
    <n v="-1"/>
    <n v="-2.1840711463036726"/>
    <n v="-1.4673000446351891E-2"/>
    <n v="-1.9165131143266159"/>
    <n v="4"/>
    <b v="1"/>
    <s v="Efecto ponderador"/>
    <n v="0.81759069605862034"/>
    <n v="44.898113748111577"/>
    <n v="0.39100206407406102"/>
    <n v="3"/>
    <n v="-1"/>
    <n v="39.100206407406105"/>
    <n v="4"/>
    <n v="-0.30902524433235568"/>
    <b v="1"/>
    <s v="Efecto ponderador"/>
    <n v="3"/>
    <n v="-1"/>
    <n v="0"/>
    <n v="0"/>
    <n v="0"/>
    <n v="0"/>
    <n v="0"/>
    <s v="Intermedio"/>
    <n v="6"/>
    <s v="En aglomeración"/>
    <m/>
    <s v="No"/>
    <s v="No"/>
    <n v="24.8"/>
    <n v="8.5390946502057616"/>
    <n v="0"/>
    <s v="Sin riesgo"/>
    <n v="0"/>
    <s v="Bajo"/>
    <n v="7212.0776390000001"/>
    <n v="3178.7450183999999"/>
    <n v="1934"/>
    <n v="3.7290990894519132"/>
    <n v="1.6436116951396069"/>
    <m/>
    <m/>
    <m/>
    <m/>
    <m/>
    <m/>
    <m/>
    <n v="62"/>
    <n v="0"/>
    <n v="7"/>
    <n v="3418.027701"/>
    <n v="320.50809800000002"/>
    <n v="9.3769894815723731E-2"/>
    <s v="0% - 30%"/>
    <n v="9.324788779052063E-6"/>
    <s v="N.D."/>
    <s v="N.D."/>
    <s v="N.D."/>
    <n v="0.87130899699153042"/>
    <s v="Aceptable"/>
    <n v="1"/>
    <s v="Candidato"/>
    <n v="0"/>
    <n v="0"/>
  </r>
  <r>
    <n v="47703"/>
    <s v="47703"/>
    <x v="17"/>
    <x v="17"/>
    <s v="SAN ZENÓN"/>
    <n v="65.028766666666698"/>
    <n v="57.97"/>
    <n v="67.72"/>
    <n v="27.69"/>
    <n v="38.377113453507697"/>
    <n v="38.895290148192231"/>
    <n v="47.189358513344459"/>
    <n v="52.285200000000003"/>
    <n v="54.60219166666667"/>
    <n v="44.186740528761092"/>
    <n v="49.394466097713881"/>
    <n v="53.588241480236512"/>
    <n v="46.411758519763488"/>
    <n v="0.51770582667787146"/>
    <n v="0"/>
    <n v="25.57180290442906"/>
    <n v="4"/>
    <n v="4"/>
    <b v="1"/>
    <x v="5"/>
    <n v="54.114943492303254"/>
    <n v="0.52283807345572331"/>
    <n v="28.293352800681166"/>
    <n v="3"/>
    <n v="-1"/>
    <n v="-4.7204773945893734"/>
    <n v="-5.1322467778518455E-3"/>
    <n v="-2.7215498962521067"/>
    <n v="4"/>
    <b v="1"/>
    <s v="Efecto ponderador"/>
    <n v="0.81759069605862034"/>
    <n v="44.243874317045126"/>
    <n v="0.38281821842478425"/>
    <n v="3"/>
    <n v="-1"/>
    <n v="38.281821842478422"/>
    <n v="4"/>
    <n v="-0.29988486938074888"/>
    <b v="1"/>
    <s v="Efecto ponderador"/>
    <n v="3"/>
    <n v="-1"/>
    <n v="0"/>
    <n v="0"/>
    <n v="0"/>
    <n v="0"/>
    <n v="0"/>
    <s v="Rural"/>
    <n v="6"/>
    <s v="Fuera SC"/>
    <m/>
    <s v="No"/>
    <s v="No"/>
    <n v="56.4"/>
    <n v="27.259022789749046"/>
    <n v="62.5"/>
    <s v="Alto"/>
    <n v="3.9947976977644908"/>
    <s v="Medio Bajo"/>
    <n v="25744.493233000001"/>
    <n v="3741.1430180000002"/>
    <n v="13973"/>
    <n v="1.8424456618478495"/>
    <n v="0.26774085865597941"/>
    <m/>
    <m/>
    <m/>
    <m/>
    <m/>
    <m/>
    <m/>
    <n v="60"/>
    <n v="0"/>
    <n v="7"/>
    <n v="26853.949240999998"/>
    <n v="725.852845"/>
    <n v="2.7029649847247959E-2"/>
    <s v="0% - 30%"/>
    <n v="2.1117795483279852E-5"/>
    <s v="N.D."/>
    <s v="N.D."/>
    <s v="N.D."/>
    <n v="0.88605640940572972"/>
    <s v="Aceptable"/>
    <n v="1"/>
    <s v="Candidato"/>
    <n v="0"/>
    <n v="0"/>
  </r>
  <r>
    <n v="68684"/>
    <s v="68684"/>
    <x v="0"/>
    <x v="0"/>
    <s v="SAN JOSÉ DE MIRANDA"/>
    <n v="55.7329333333333"/>
    <n v="25.54"/>
    <n v="32.68"/>
    <n v="50.3"/>
    <n v="60.957646090656446"/>
    <n v="53.945132767157133"/>
    <n v="52.719987952656602"/>
    <n v="57.762999999999998"/>
    <n v="41.063233333333329"/>
    <n v="56.346441702617547"/>
    <n v="48.704837517975434"/>
    <n v="54.110865071827284"/>
    <n v="45.889134928172716"/>
    <n v="0.51300221435355442"/>
    <n v="0"/>
    <n v="24.985689496451474"/>
    <n v="4"/>
    <n v="4"/>
    <b v="1"/>
    <x v="5"/>
    <n v="48.08350347873413"/>
    <n v="0.52319881457089956"/>
    <n v="25.15723202048942"/>
    <n v="4"/>
    <n v="0"/>
    <n v="0.62133403924130448"/>
    <n v="-1.0196600217345142E-2"/>
    <n v="-0.17154252403794601"/>
    <n v="4"/>
    <b v="1"/>
    <n v="0"/>
    <n v="0.81759069605862034"/>
    <n v="39.312625078115332"/>
    <n v="0.32113348847243151"/>
    <n v="4"/>
    <n v="0"/>
    <n v="32.113348847243152"/>
    <n v="4"/>
    <n v="-0.30458848170506592"/>
    <b v="1"/>
    <n v="0"/>
    <n v="3"/>
    <n v="-1"/>
    <n v="0"/>
    <n v="0"/>
    <n v="0"/>
    <n v="0"/>
    <n v="0"/>
    <s v="Rural"/>
    <n v="6"/>
    <s v="Fuera SC"/>
    <m/>
    <s v="No"/>
    <s v="No"/>
    <n v="47.6"/>
    <n v="26.234269119070667"/>
    <n v="24.307499999999997"/>
    <s v="Medio"/>
    <n v="0"/>
    <s v="Bajo"/>
    <n v="14170.924239"/>
    <n v="4045.5315081999997"/>
    <n v="4519"/>
    <n v="3.1358540028767425"/>
    <n v="0.89522715383934492"/>
    <m/>
    <m/>
    <m/>
    <m/>
    <m/>
    <m/>
    <m/>
    <n v="58"/>
    <n v="0"/>
    <n v="7"/>
    <n v="7513.2949550000003"/>
    <n v="36.926349999999999"/>
    <n v="4.9148010588118858E-3"/>
    <s v="0% - 30%"/>
    <n v="1.0743267214775619E-6"/>
    <s v="N.D."/>
    <s v="N.D."/>
    <s v="N.D."/>
    <n v="0.93497985252371396"/>
    <s v="Aceptable"/>
    <n v="1"/>
    <s v="Candidato"/>
    <n v="0"/>
    <n v="0"/>
  </r>
  <r>
    <n v="47318"/>
    <s v="47318"/>
    <x v="17"/>
    <x v="17"/>
    <s v="GUAMAL"/>
    <n v="33.874699999999997"/>
    <n v="28.13"/>
    <n v="25.58"/>
    <n v="31.19"/>
    <n v="45.484579145924499"/>
    <n v="33.348024299128333"/>
    <n v="41.908971907634793"/>
    <n v="45.676499999999997"/>
    <n v="29.693674999999999"/>
    <n v="41.604518838171906"/>
    <n v="35.649096919085949"/>
    <n v="54.320406114401095"/>
    <n v="45.679593885598905"/>
    <n v="0.51111634497039016"/>
    <n v="0"/>
    <n v="18.220836118778408"/>
    <n v="5"/>
    <n v="5"/>
    <b v="1"/>
    <x v="6"/>
    <n v="35.534169663559318"/>
    <n v="0.52279991237808465"/>
    <n v="18.577260786536804"/>
    <n v="5"/>
    <n v="0"/>
    <n v="0.11492725552663074"/>
    <n v="-1.1683567407694495E-2"/>
    <n v="-0.35642466775839665"/>
    <n v="5"/>
    <b v="1"/>
    <n v="0"/>
    <n v="0.81759069605862034"/>
    <n v="29.052406509094574"/>
    <n v="0.19278896946379268"/>
    <n v="4"/>
    <n v="-1"/>
    <n v="19.278896946379266"/>
    <n v="5"/>
    <n v="-0.30647435108823018"/>
    <b v="1"/>
    <s v="Efecto ponderador"/>
    <n v="4"/>
    <n v="-1"/>
    <n v="0"/>
    <n v="0"/>
    <n v="0"/>
    <n v="0"/>
    <n v="0"/>
    <s v="Rural"/>
    <n v="6"/>
    <s v="Fuera SC"/>
    <m/>
    <s v="No"/>
    <s v="No"/>
    <n v="60.3"/>
    <n v="33.246404299035881"/>
    <n v="19.021739130434781"/>
    <s v="Medio"/>
    <n v="1.4629684945952737"/>
    <s v="Medio Bajo"/>
    <n v="52575.486316000002"/>
    <n v="6099.2109879999998"/>
    <n v="28668"/>
    <n v="1.8339432927305708"/>
    <n v="0.21275327849867448"/>
    <m/>
    <m/>
    <m/>
    <m/>
    <m/>
    <m/>
    <m/>
    <n v="60"/>
    <n v="0"/>
    <n v="7"/>
    <n v="56381.396053999997"/>
    <n v="8319.140883"/>
    <n v="0.14755116874070018"/>
    <s v="0% - 30%"/>
    <n v="2.4203516866257673E-4"/>
    <s v="N.D."/>
    <s v="N.D."/>
    <s v="N.D."/>
    <n v="0.89671611376936555"/>
    <s v="Aceptable"/>
    <n v="1"/>
    <s v="Candidato"/>
    <n v="0"/>
    <n v="0"/>
  </r>
  <r>
    <n v="25320"/>
    <s v="25320"/>
    <x v="5"/>
    <x v="5"/>
    <s v="GUADUAS"/>
    <n v="58.783799999999999"/>
    <n v="70.83"/>
    <n v="69.72"/>
    <n v="89.17"/>
    <n v="55.178059982476924"/>
    <n v="67.201338863109498"/>
    <n v="61.843873951850021"/>
    <n v="50.298200000000001"/>
    <n v="72.125950000000003"/>
    <n v="58.630368199359111"/>
    <n v="65.37815909967955"/>
    <n v="56.251401716951491"/>
    <n v="43.748598283048509"/>
    <n v="0.49373738454743654"/>
    <n v="0"/>
    <n v="32.279641280401968"/>
    <n v="3"/>
    <n v="3"/>
    <b v="1"/>
    <x v="4"/>
    <n v="61.915614167373775"/>
    <n v="0.52103266858483899"/>
    <n v="32.260057676696022"/>
    <n v="3"/>
    <n v="0"/>
    <n v="3.4625449323057751"/>
    <n v="-2.7295284037402445E-2"/>
    <n v="1.9583603705946473E-2"/>
    <n v="3"/>
    <b v="1"/>
    <n v="0"/>
    <n v="0.81759069605862034"/>
    <n v="50.621630084000103"/>
    <n v="0.46259722028112887"/>
    <n v="3"/>
    <n v="0"/>
    <n v="46.25972202811289"/>
    <n v="4"/>
    <n v="-0.32385331151118379"/>
    <b v="0"/>
    <n v="0"/>
    <n v="3"/>
    <n v="0"/>
    <n v="0"/>
    <n v="0"/>
    <n v="0"/>
    <n v="0"/>
    <n v="0"/>
    <s v="Rural"/>
    <n v="6"/>
    <s v="Fuera SC"/>
    <m/>
    <s v="No"/>
    <s v="No"/>
    <n v="27.2"/>
    <n v="9.4150281471812018"/>
    <n v="5.9716904528861132"/>
    <s v="Bajo"/>
    <n v="1.9424528919515047"/>
    <s v="Medio Bajo"/>
    <n v="48049.713052999999"/>
    <n v="15808.95667775"/>
    <n v="30787"/>
    <n v="1.5607143616786305"/>
    <n v="0.5134945489248709"/>
    <m/>
    <m/>
    <m/>
    <m/>
    <m/>
    <m/>
    <m/>
    <n v="52"/>
    <n v="1"/>
    <n v="6"/>
    <n v="76281.970042999994"/>
    <n v="6641.1448929999997"/>
    <n v="8.7060479550494035E-2"/>
    <s v="0% - 30%"/>
    <n v="1.9321593983034186E-4"/>
    <s v="N.D."/>
    <s v="N.D."/>
    <s v="N.D."/>
    <n v="0.90536321846313106"/>
    <s v="Aceptable"/>
    <n v="2"/>
    <s v="Candidato"/>
    <n v="0"/>
    <n v="0"/>
  </r>
  <r>
    <n v="52835"/>
    <s v="52835"/>
    <x v="18"/>
    <x v="18"/>
    <s v="SAN ANDRÉS DE TUMACO"/>
    <n v="54.262500000000003"/>
    <n v="66.319999999999993"/>
    <n v="56.42"/>
    <n v="34.76"/>
    <n v="51.638476144813851"/>
    <n v="48.124083792940155"/>
    <n v="52.120638402251089"/>
    <n v="48.929299999999998"/>
    <n v="52.940624999999997"/>
    <n v="50.203124585001277"/>
    <n v="51.571874792500637"/>
    <n v="53.876381852065492"/>
    <n v="46.123618147934508"/>
    <n v="0.51511256333141064"/>
    <n v="0"/>
    <n v="26.565320620171565"/>
    <n v="4"/>
    <n v="4"/>
    <b v="1"/>
    <x v="5"/>
    <n v="53.390988112931943"/>
    <n v="0.52249606119558656"/>
    <n v="27.896580992347324"/>
    <n v="3"/>
    <n v="-1"/>
    <n v="-1.8191133204313061"/>
    <n v="-7.3834978641759141E-3"/>
    <n v="-1.331260372175759"/>
    <n v="4"/>
    <b v="1"/>
    <s v="Efecto ponderador"/>
    <n v="0.81759069605862034"/>
    <n v="43.651975134509549"/>
    <n v="0.37541418357181272"/>
    <n v="3"/>
    <n v="-1"/>
    <n v="37.541418357181271"/>
    <n v="4"/>
    <n v="-0.30247813272720969"/>
    <b v="1"/>
    <s v="Efecto ponderador"/>
    <n v="3"/>
    <n v="-1"/>
    <n v="0"/>
    <n v="1"/>
    <n v="1"/>
    <n v="1"/>
    <n v="1"/>
    <s v="Ciudades y aglomeraciones"/>
    <n v="4"/>
    <s v="Uninodal"/>
    <m/>
    <s v="Si"/>
    <s v="No"/>
    <n v="53.7"/>
    <n v="27.616378223665674"/>
    <n v="24.79018625479155"/>
    <s v="Medio"/>
    <n v="82.768763414127918"/>
    <s v="Muy Alto"/>
    <n v="511000.77463200002"/>
    <n v="31200.944404999998"/>
    <n v="272306"/>
    <n v="1.8765681792982896"/>
    <n v="0.11458045142229697"/>
    <m/>
    <m/>
    <m/>
    <m/>
    <m/>
    <m/>
    <m/>
    <n v="97"/>
    <n v="1"/>
    <n v="4"/>
    <n v="361689.08669800003"/>
    <n v="90321.207899000001"/>
    <n v="0.24972057831099451"/>
    <s v="0% - 30%"/>
    <n v="2.6277844184986045E-3"/>
    <n v="256877.511004"/>
    <n v="0.71021637215856981"/>
    <s v="71% - 100%"/>
    <n v="0.92336671355490951"/>
    <s v="Aceptable"/>
    <n v="1"/>
    <s v="Candidato"/>
    <n v="1"/>
    <s v="Unidad Especial de Desarrollo Fronterizo"/>
  </r>
  <r>
    <n v="15837"/>
    <s v="15837"/>
    <x v="10"/>
    <x v="10"/>
    <s v="TUTA"/>
    <n v="76.796266666666696"/>
    <n v="70.92"/>
    <n v="55.15"/>
    <n v="63.84"/>
    <n v="64.097050568115236"/>
    <n v="76.859691384239284"/>
    <n v="79.002196156620442"/>
    <n v="73.111400000000003"/>
    <n v="66.676566666666673"/>
    <n v="73.267584527243741"/>
    <n v="69.972075596955207"/>
    <n v="54.933207071208457"/>
    <n v="45.066792928791543"/>
    <n v="0.50560113635912396"/>
    <n v="0"/>
    <n v="35.37796093522708"/>
    <n v="3"/>
    <n v="3"/>
    <b v="1"/>
    <x v="4"/>
    <n v="70.451676562771155"/>
    <n v="0.52156473416994498"/>
    <n v="36.74510995828868"/>
    <n v="2"/>
    <n v="-1"/>
    <n v="-0.47960096581594769"/>
    <n v="-1.5963597810821017E-2"/>
    <n v="-1.3671490230616001"/>
    <n v="2"/>
    <b v="0"/>
    <s v="Cambio en corte"/>
    <n v="0.81759069605862034"/>
    <n v="57.60063527945286"/>
    <n v="0.54989721871134389"/>
    <n v="2"/>
    <n v="-1"/>
    <n v="54.989721871134392"/>
    <n v="3"/>
    <n v="-0.31198955969949638"/>
    <b v="1"/>
    <s v="Efecto ponderador"/>
    <n v="2"/>
    <n v="-1"/>
    <n v="0"/>
    <n v="0"/>
    <n v="0"/>
    <n v="0"/>
    <n v="0"/>
    <s v="Intermedio"/>
    <n v="6"/>
    <s v="Fuera SC"/>
    <m/>
    <s v="No"/>
    <s v="No"/>
    <n v="32.799999999999997"/>
    <n v="11.727864423431168"/>
    <n v="6.1252287735422355"/>
    <s v="Bajo"/>
    <n v="0"/>
    <s v="Bajo"/>
    <n v="30039.130335000002"/>
    <n v="14446.337748200001"/>
    <n v="8251"/>
    <n v="3.6406654144952131"/>
    <n v="1.7508590168706826"/>
    <m/>
    <m/>
    <m/>
    <m/>
    <m/>
    <m/>
    <m/>
    <n v="21"/>
    <n v="0"/>
    <n v="6"/>
    <n v="16523.680907999998"/>
    <n v="2048.8410370000001"/>
    <n v="0.12399422673479772"/>
    <s v="0% - 30%"/>
    <n v="5.9608509211143218E-5"/>
    <s v="N.D."/>
    <s v="N.D."/>
    <s v="N.D."/>
    <n v="0.98550380173606045"/>
    <s v="Aceptable"/>
    <n v="3"/>
    <s v="Candidato"/>
    <n v="0"/>
    <n v="0"/>
  </r>
  <r>
    <n v="44855"/>
    <s v="44855"/>
    <x v="21"/>
    <x v="21"/>
    <s v="URUMITA"/>
    <n v="69.350999999999999"/>
    <n v="63.87"/>
    <n v="77.42"/>
    <n v="81.88"/>
    <n v="45.96283405391226"/>
    <n v="30.523649914224332"/>
    <n v="47.999980989313258"/>
    <n v="54.233800000000002"/>
    <n v="73.130250000000004"/>
    <n v="44.680066239362461"/>
    <n v="58.905158119681232"/>
    <n v="54.73849314783935"/>
    <n v="45.26150685216065"/>
    <n v="0.5073535616694459"/>
    <n v="0"/>
    <n v="29.885741772722152"/>
    <n v="3"/>
    <n v="3"/>
    <b v="1"/>
    <x v="4"/>
    <n v="55.367237078276496"/>
    <n v="0.52290475905992573"/>
    <n v="28.951791764229956"/>
    <n v="3"/>
    <n v="0"/>
    <n v="3.5379210414047364"/>
    <n v="-1.5551197390479832E-2"/>
    <n v="0.93395000849219656"/>
    <n v="3"/>
    <b v="1"/>
    <n v="0"/>
    <n v="0.81759069605862034"/>
    <n v="45.267737901670735"/>
    <n v="0.39562567261450293"/>
    <n v="3"/>
    <n v="0"/>
    <n v="39.56256726145029"/>
    <n v="4"/>
    <n v="-0.31023713438917444"/>
    <b v="0"/>
    <n v="0"/>
    <n v="3"/>
    <n v="0"/>
    <n v="0"/>
    <n v="0"/>
    <n v="0"/>
    <n v="0"/>
    <n v="1"/>
    <s v="Intermedio"/>
    <n v="6"/>
    <s v="Fuera SC"/>
    <m/>
    <s v="No"/>
    <s v="Si"/>
    <n v="32"/>
    <n v="24.963188377343673"/>
    <n v="25.84"/>
    <s v="Medio"/>
    <n v="1.0729424033239223"/>
    <s v="Medio Bajo"/>
    <n v="44890.612746999999"/>
    <n v="6502.68354"/>
    <n v="11700"/>
    <n v="3.8368045082905984"/>
    <n v="0.55578491794871798"/>
    <m/>
    <m/>
    <m/>
    <m/>
    <m/>
    <m/>
    <m/>
    <n v="47"/>
    <n v="0"/>
    <n v="7"/>
    <n v="24548.812484999999"/>
    <n v="19203.098805000001"/>
    <n v="0.7822414553344943"/>
    <s v="71% - 100%"/>
    <n v="5.5869053349126953E-4"/>
    <s v="N.D."/>
    <s v="N.D."/>
    <s v="N.D."/>
    <n v="0.91701852633524683"/>
    <s v="Aceptable"/>
    <n v="2"/>
    <s v="Candidato"/>
    <n v="1"/>
    <s v="Zona de Fronteras"/>
  </r>
  <r>
    <n v="17013"/>
    <s v="17013"/>
    <x v="11"/>
    <x v="11"/>
    <s v="AGUADAS"/>
    <n v="68.092799999999997"/>
    <n v="74.599999999999994"/>
    <n v="60.78"/>
    <n v="72.36"/>
    <n v="61.102461750763958"/>
    <n v="57.725680974792425"/>
    <n v="61.232760212018349"/>
    <n v="54.259700000000002"/>
    <n v="68.958199999999991"/>
    <n v="58.580150734393683"/>
    <n v="63.769175367196837"/>
    <n v="54.128924770775065"/>
    <n v="45.871075229224935"/>
    <n v="0.51283967706302447"/>
    <n v="0"/>
    <n v="32.703363301888601"/>
    <n v="3"/>
    <n v="3"/>
    <b v="1"/>
    <x v="4"/>
    <n v="63.948345413429649"/>
    <n v="0.52309053597998478"/>
    <n v="33.450774277344117"/>
    <n v="3"/>
    <n v="0"/>
    <n v="-0.1791700462328123"/>
    <n v="-1.0250858916960315E-2"/>
    <n v="-0.74741097545551582"/>
    <n v="3"/>
    <b v="1"/>
    <n v="0"/>
    <n v="0.81759069605862034"/>
    <n v="52.283572238363028"/>
    <n v="0.48338636478005043"/>
    <n v="2"/>
    <n v="-1"/>
    <n v="48.338636478005043"/>
    <n v="4"/>
    <n v="-0.30475101899559587"/>
    <b v="0"/>
    <s v="Cambio en corte"/>
    <n v="3"/>
    <n v="0"/>
    <n v="0"/>
    <n v="0"/>
    <n v="0"/>
    <n v="0"/>
    <n v="0"/>
    <s v="Rural"/>
    <n v="6"/>
    <s v="Fuera SC"/>
    <m/>
    <s v="No"/>
    <s v="Si"/>
    <n v="30"/>
    <n v="11.006090133982948"/>
    <n v="31.969303788008641"/>
    <s v="Medio"/>
    <n v="2.9800379708852205"/>
    <s v="Medio Bajo"/>
    <n v="46628.762645000003"/>
    <n v="10759.19274255"/>
    <n v="22674"/>
    <n v="2.0564859594689953"/>
    <n v="0.47451674792934639"/>
    <m/>
    <m/>
    <m/>
    <m/>
    <m/>
    <m/>
    <m/>
    <n v="19"/>
    <n v="0"/>
    <n v="6"/>
    <n v="47555.103062000002"/>
    <n v="5218.3619250000002"/>
    <n v="0.10973295375254589"/>
    <s v="0% - 30%"/>
    <n v="1.5182181987574155E-4"/>
    <s v="N.D."/>
    <s v="N.D."/>
    <s v="N.D."/>
    <n v="0.95078571832844494"/>
    <s v="Aceptable"/>
    <n v="2"/>
    <s v="Candidato"/>
    <n v="0"/>
    <n v="0"/>
  </r>
  <r>
    <n v="68324"/>
    <s v="68324"/>
    <x v="0"/>
    <x v="0"/>
    <s v="GUAVATÁ"/>
    <n v="65.032433333333302"/>
    <n v="85.58"/>
    <n v="43.18"/>
    <n v="70.150000000000006"/>
    <n v="47.55335040015072"/>
    <n v="59.015635138045425"/>
    <n v="56.860235656009991"/>
    <n v="56.222999999999999"/>
    <n v="65.985608333333317"/>
    <n v="54.913055298551541"/>
    <n v="60.449331815942429"/>
    <n v="54.498198197119322"/>
    <n v="45.501801802880678"/>
    <n v="0.50951621622592613"/>
    <n v="0"/>
    <n v="30.799914820244478"/>
    <n v="3"/>
    <n v="3"/>
    <b v="1"/>
    <x v="4"/>
    <n v="57.952557337905887"/>
    <n v="0.52122451929228364"/>
    <n v="30.206293840208502"/>
    <n v="3"/>
    <n v="0"/>
    <n v="2.4967744780365422"/>
    <n v="-1.1708303066357506E-2"/>
    <n v="0.59362098003597552"/>
    <n v="3"/>
    <b v="1"/>
    <n v="0"/>
    <n v="0.81759069605862034"/>
    <n v="47.381471692275582"/>
    <n v="0.42206625424953703"/>
    <n v="3"/>
    <n v="0"/>
    <n v="42.2066254249537"/>
    <n v="4"/>
    <n v="-0.3080744798326942"/>
    <b v="0"/>
    <n v="0"/>
    <n v="3"/>
    <n v="0"/>
    <n v="0"/>
    <n v="0"/>
    <n v="0"/>
    <n v="0"/>
    <n v="0"/>
    <s v="Rural"/>
    <n v="6"/>
    <s v="Fuera SC"/>
    <m/>
    <s v="No"/>
    <s v="Si"/>
    <n v="40.4"/>
    <n v="13.367129135538955"/>
    <n v="6.9739999999999993"/>
    <s v="Bajo"/>
    <n v="0"/>
    <s v="Bajo"/>
    <n v="13302.275027"/>
    <n v="2565.4485360999997"/>
    <n v="4326"/>
    <n v="3.0749595531668978"/>
    <n v="0.59303017478039755"/>
    <m/>
    <m/>
    <m/>
    <m/>
    <m/>
    <m/>
    <m/>
    <n v="25"/>
    <n v="0"/>
    <n v="7"/>
    <n v="8367.1444780000002"/>
    <n v="297.27020800000003"/>
    <n v="3.5528274763465845E-2"/>
    <s v="0% - 30%"/>
    <n v="8.6487109598861772E-6"/>
    <s v="N.D."/>
    <s v="N.D."/>
    <s v="N.D."/>
    <n v="0.96108488997723929"/>
    <s v="Aceptable"/>
    <n v="2"/>
    <s v="Candidato"/>
    <n v="0"/>
    <n v="0"/>
  </r>
  <r>
    <n v="47692"/>
    <s v="47692"/>
    <x v="17"/>
    <x v="17"/>
    <s v="SAN SEBASTIÁN DE BUENAVISTA"/>
    <n v="49.887"/>
    <n v="26.68"/>
    <n v="23.36"/>
    <n v="83.95"/>
    <n v="51.141769464164447"/>
    <n v="51.234724410868402"/>
    <n v="54.649783304447169"/>
    <n v="50.544499999999999"/>
    <n v="45.969250000000002"/>
    <n v="51.892694294870005"/>
    <n v="48.930972147435"/>
    <n v="54.236855782513558"/>
    <n v="45.763144217486442"/>
    <n v="0.51186829795737798"/>
    <n v="0"/>
    <n v="25.046213430507422"/>
    <n v="4"/>
    <n v="4"/>
    <b v="1"/>
    <x v="5"/>
    <n v="43.170803181567855"/>
    <n v="0.52115245915569286"/>
    <n v="22.498570241800497"/>
    <n v="4"/>
    <n v="0"/>
    <n v="5.7601689658671447"/>
    <n v="-9.2841611983148775E-3"/>
    <n v="2.5476431887069246"/>
    <n v="4"/>
    <b v="1"/>
    <n v="0"/>
    <n v="0.81759069605862034"/>
    <n v="35.296047022627761"/>
    <n v="0.27089033087063336"/>
    <n v="4"/>
    <n v="0"/>
    <n v="27.089033087063335"/>
    <n v="4"/>
    <n v="-0.30572239810124235"/>
    <b v="1"/>
    <n v="0"/>
    <n v="4"/>
    <n v="0"/>
    <n v="0"/>
    <n v="0"/>
    <n v="0"/>
    <n v="0"/>
    <n v="0"/>
    <s v="Rural"/>
    <n v="6"/>
    <s v="Fuera SC"/>
    <m/>
    <s v="No"/>
    <s v="No"/>
    <n v="63.8"/>
    <n v="42.682215743440231"/>
    <n v="3.7535883111302111"/>
    <s v="Sin riesgo"/>
    <n v="7.2127193776080292"/>
    <s v="Medio"/>
    <n v="52838.612499000003"/>
    <n v="7440.7429149999998"/>
    <n v="21808"/>
    <n v="2.4229004264031548"/>
    <n v="0.34119327379860603"/>
    <m/>
    <m/>
    <m/>
    <m/>
    <m/>
    <m/>
    <m/>
    <n v="60"/>
    <n v="0"/>
    <n v="7"/>
    <n v="43711.108118999997"/>
    <n v="11960.296592000001"/>
    <n v="0.27362144559316703"/>
    <s v="0% - 30%"/>
    <n v="3.4797011417544971E-4"/>
    <s v="N.D."/>
    <s v="N.D."/>
    <s v="N.D."/>
    <n v="0.7530405587137956"/>
    <s v="Crítico bajo"/>
    <n v="2"/>
    <s v="Candidato"/>
    <n v="0"/>
    <n v="0"/>
  </r>
  <r>
    <n v="52254"/>
    <s v="52254"/>
    <x v="18"/>
    <x v="18"/>
    <s v="EL PEÑOL"/>
    <n v="46.471299999999999"/>
    <n v="39.26"/>
    <n v="41.32"/>
    <n v="50.37"/>
    <n v="50.620774557860543"/>
    <n v="57.960490009702731"/>
    <n v="39.115259746407972"/>
    <n v="66.644599999999997"/>
    <n v="44.355325000000001"/>
    <n v="53.585281078492805"/>
    <n v="48.970303039246403"/>
    <n v="54.23096017995708"/>
    <n v="45.76903982004292"/>
    <n v="0.51192135838038633"/>
    <n v="0"/>
    <n v="25.068944052150179"/>
    <n v="4"/>
    <n v="4"/>
    <b v="1"/>
    <x v="5"/>
    <n v="47.782361201082978"/>
    <n v="0.52086604317127549"/>
    <n v="24.888209412188765"/>
    <n v="4"/>
    <n v="0"/>
    <n v="1.1879418381634252"/>
    <n v="-8.944684790889168E-3"/>
    <n v="0.1807346399614147"/>
    <n v="4"/>
    <b v="1"/>
    <n v="0"/>
    <n v="0.81759069605862034"/>
    <n v="39.066413953717849"/>
    <n v="0.31805364683720727"/>
    <n v="4"/>
    <n v="0"/>
    <n v="31.805364683720725"/>
    <n v="4"/>
    <n v="-0.30566933767823401"/>
    <b v="1"/>
    <n v="0"/>
    <n v="4"/>
    <n v="0"/>
    <n v="0"/>
    <n v="0"/>
    <n v="0"/>
    <n v="0"/>
    <n v="1"/>
    <s v="Rural"/>
    <n v="6"/>
    <s v="Fuera SC"/>
    <m/>
    <s v="No"/>
    <s v="No"/>
    <n v="43"/>
    <n v="16.319612590799032"/>
    <n v="36.54381573840255"/>
    <s v="Alto"/>
    <n v="5.8435761904465169"/>
    <s v="Medio"/>
    <n v="17107.265711"/>
    <n v="3184.6476272499999"/>
    <n v="7831"/>
    <n v="2.1845569800791727"/>
    <n v="0.40667189723534669"/>
    <m/>
    <m/>
    <m/>
    <m/>
    <m/>
    <m/>
    <m/>
    <n v="80"/>
    <n v="0"/>
    <n v="7"/>
    <n v="12123.733323"/>
    <n v="6630.0289759999996"/>
    <n v="0.54686364334838478"/>
    <s v="51% - 70%"/>
    <n v="1.9289253590152607E-4"/>
    <s v="N.D."/>
    <s v="N.D."/>
    <s v="N.D."/>
    <n v="0.91527620977262381"/>
    <s v="Aceptable"/>
    <n v="2"/>
    <s v="Candidato"/>
    <n v="0"/>
    <n v="0"/>
  </r>
  <r>
    <n v="15500"/>
    <s v="15500"/>
    <x v="10"/>
    <x v="10"/>
    <s v="OICATÁ"/>
    <n v="71.948733333333294"/>
    <n v="63.21"/>
    <n v="35.85"/>
    <n v="31.71"/>
    <n v="66.434313999586792"/>
    <n v="64.383052008080384"/>
    <n v="59.64939851055135"/>
    <n v="51.5503"/>
    <n v="50.679683333333323"/>
    <n v="60.50426612955463"/>
    <n v="55.591974731443976"/>
    <n v="54.676254337362138"/>
    <n v="45.323745662637862"/>
    <n v="0.50791371096374072"/>
    <n v="0"/>
    <n v="28.235926185650214"/>
    <n v="4"/>
    <n v="4"/>
    <b v="1"/>
    <x v="5"/>
    <n v="60.077761320635972"/>
    <n v="0.51915716026359204"/>
    <n v="31.18979996221524"/>
    <n v="3"/>
    <n v="-1"/>
    <n v="-4.4857865891919957"/>
    <n v="-1.1243449299851327E-2"/>
    <n v="-2.9538737765650254"/>
    <n v="3"/>
    <b v="0"/>
    <s v="Cambio en corte"/>
    <n v="0.81759069605862034"/>
    <n v="49.119018695782422"/>
    <n v="0.44380113571622598"/>
    <n v="3"/>
    <n v="-1"/>
    <n v="44.380113571622601"/>
    <n v="4"/>
    <n v="-0.30967698509487962"/>
    <b v="1"/>
    <s v="Efecto ponderador"/>
    <n v="2"/>
    <n v="-2"/>
    <n v="0"/>
    <n v="0"/>
    <n v="0"/>
    <n v="0"/>
    <n v="0"/>
    <s v="Rural"/>
    <n v="6"/>
    <s v="En aglomeración"/>
    <m/>
    <s v="No"/>
    <s v="No"/>
    <n v="22.8"/>
    <n v="6.614229531641044"/>
    <n v="18.834099113882509"/>
    <s v="Medio"/>
    <n v="2.8300634222881702"/>
    <s v="Medio Bajo"/>
    <n v="8176.0289059999996"/>
    <n v="2869.2133055999998"/>
    <n v="2929"/>
    <n v="2.7914062499146466"/>
    <n v="0.97958801829976094"/>
    <m/>
    <m/>
    <m/>
    <m/>
    <m/>
    <m/>
    <m/>
    <n v="79"/>
    <n v="0"/>
    <n v="7"/>
    <n v="6019.5517490000002"/>
    <n v="220.67445599999999"/>
    <n v="3.6659616064711062E-2"/>
    <s v="0% - 30%"/>
    <n v="6.4202517938633113E-6"/>
    <s v="N.D."/>
    <s v="N.D."/>
    <s v="N.D."/>
    <n v="0.77262896717441998"/>
    <s v="Crítico bajo"/>
    <n v="1"/>
    <s v="Candidato"/>
    <n v="0"/>
    <n v="0"/>
  </r>
  <r>
    <n v="5125"/>
    <s v="05125"/>
    <x v="1"/>
    <x v="1"/>
    <s v="CAICEDO"/>
    <n v="52.722533333333303"/>
    <n v="47.87"/>
    <n v="47.2"/>
    <n v="64.42"/>
    <n v="39.605263391269162"/>
    <n v="56.413102368545829"/>
    <n v="52.924687033112022"/>
    <n v="46.898299999999999"/>
    <n v="53.053133333333335"/>
    <n v="48.960338198231753"/>
    <n v="51.006735765782544"/>
    <n v="53.560275783977417"/>
    <n v="46.439724216022583"/>
    <n v="0.51795751794420331"/>
    <n v="0"/>
    <n v="26.419322255680548"/>
    <n v="4"/>
    <n v="4"/>
    <b v="1"/>
    <x v="5"/>
    <n v="49.447854957070533"/>
    <n v="0.52018415513214022"/>
    <n v="25.721990653940345"/>
    <n v="4"/>
    <n v="0"/>
    <n v="1.5588808087120114"/>
    <n v="-2.2266371879369196E-3"/>
    <n v="0.6973316017402027"/>
    <n v="4"/>
    <b v="1"/>
    <n v="0"/>
    <n v="0.81759069605862034"/>
    <n v="40.428106152957"/>
    <n v="0.33508698089081546"/>
    <n v="4"/>
    <n v="0"/>
    <n v="33.508698089081548"/>
    <n v="4"/>
    <n v="-0.29963317811441703"/>
    <b v="1"/>
    <n v="0"/>
    <n v="4"/>
    <n v="0"/>
    <n v="0"/>
    <n v="0"/>
    <n v="0"/>
    <n v="0"/>
    <n v="1"/>
    <s v="Rural disperso"/>
    <n v="6"/>
    <s v="Fuera SC"/>
    <m/>
    <s v="No"/>
    <s v="No"/>
    <n v="54.6"/>
    <n v="18.617248752672843"/>
    <n v="2.1710714285714285"/>
    <s v="Sin riesgo"/>
    <n v="3.5295718306626012"/>
    <s v="Medio Bajo"/>
    <n v="23988.260945000002"/>
    <n v="4776.4451486499993"/>
    <n v="9036"/>
    <n v="2.6547433538069947"/>
    <n v="0.5286017207447985"/>
    <m/>
    <m/>
    <m/>
    <m/>
    <m/>
    <m/>
    <m/>
    <n v="83"/>
    <n v="0"/>
    <n v="7"/>
    <n v="20013.033325"/>
    <n v="5537.5651369999996"/>
    <n v="0.27669794213966309"/>
    <s v="0% - 30%"/>
    <n v="1.6110864460207021E-4"/>
    <s v="N.D."/>
    <s v="N.D."/>
    <s v="N.D."/>
    <n v="0.94385857288120545"/>
    <s v="Aceptable"/>
    <n v="2"/>
    <s v="Candidato"/>
    <n v="0"/>
    <n v="0"/>
  </r>
  <r>
    <n v="5665"/>
    <s v="05665"/>
    <x v="1"/>
    <x v="1"/>
    <s v="SAN PEDRO DE URABÁ"/>
    <n v="48.870366666666698"/>
    <n v="46.76"/>
    <n v="44.08"/>
    <n v="39.35"/>
    <n v="48.292210409921246"/>
    <n v="49.768514580466828"/>
    <n v="64.18144636972022"/>
    <n v="54.6526"/>
    <n v="44.76509166666667"/>
    <n v="54.223692840027077"/>
    <n v="49.494392253346874"/>
    <n v="54.297967920844471"/>
    <n v="45.702032079155529"/>
    <n v="0.51131828871239982"/>
    <n v="0"/>
    <n v="25.307387947841583"/>
    <n v="4"/>
    <n v="4"/>
    <b v="1"/>
    <x v="5"/>
    <n v="49.48760952543477"/>
    <n v="0.52021796849996549"/>
    <n v="25.744343693241216"/>
    <n v="4"/>
    <n v="0"/>
    <n v="6.7827279121033257E-3"/>
    <n v="-8.899679787565673E-3"/>
    <n v="-0.43695574539963289"/>
    <n v="4"/>
    <b v="1"/>
    <n v="0"/>
    <n v="0.81759069605862034"/>
    <n v="40.460609118177423"/>
    <n v="0.33549355872436815"/>
    <n v="4"/>
    <n v="0"/>
    <n v="33.549355872436813"/>
    <n v="4"/>
    <n v="-0.30627240734622052"/>
    <b v="1"/>
    <n v="0"/>
    <n v="3"/>
    <n v="-1"/>
    <n v="0"/>
    <n v="0"/>
    <n v="0"/>
    <n v="1"/>
    <n v="1"/>
    <s v="Intermedio"/>
    <n v="6"/>
    <s v="Fuera SC"/>
    <m/>
    <s v="No"/>
    <s v="Si"/>
    <n v="62.3"/>
    <n v="66.14222990952635"/>
    <n v="39.464719423634435"/>
    <s v="Alto"/>
    <n v="0.97158136342008605"/>
    <s v="Medio Bajo"/>
    <n v="77771.661179000002"/>
    <n v="10653.43962225"/>
    <n v="32352"/>
    <n v="2.4039212777880814"/>
    <n v="0.32929771334847924"/>
    <m/>
    <m/>
    <m/>
    <m/>
    <m/>
    <m/>
    <m/>
    <n v="35"/>
    <n v="0"/>
    <n v="7"/>
    <n v="60265.121734"/>
    <n v="22602.149827000001"/>
    <n v="0.37504528617335325"/>
    <s v="31% - 50%"/>
    <n v="6.5758174100569253E-4"/>
    <n v="95.178321999999994"/>
    <n v="1.5793268023269068E-3"/>
    <s v="0% - 30%"/>
    <n v="0.94167413179843895"/>
    <s v="Aceptable"/>
    <n v="1"/>
    <s v="Candidato"/>
    <n v="0"/>
    <n v="0"/>
  </r>
  <r>
    <n v="15842"/>
    <s v="15842"/>
    <x v="10"/>
    <x v="10"/>
    <s v="ÚMBITA"/>
    <n v="65.257233333333303"/>
    <n v="39.54"/>
    <n v="43.03"/>
    <n v="34.42"/>
    <n v="50.058564178062035"/>
    <n v="64.478121943895047"/>
    <n v="68.702404905075213"/>
    <n v="65.017300000000006"/>
    <n v="45.561808333333332"/>
    <n v="62.064097756758073"/>
    <n v="53.812953045045703"/>
    <n v="54.600784328267395"/>
    <n v="45.399215671732605"/>
    <n v="0.50859294104559349"/>
    <n v="0"/>
    <n v="27.36888805552822"/>
    <n v="4"/>
    <n v="4"/>
    <b v="1"/>
    <x v="5"/>
    <n v="58.184105162624292"/>
    <n v="0.5201086434694584"/>
    <n v="30.262056007616831"/>
    <n v="3"/>
    <n v="-1"/>
    <n v="-4.371152117578589"/>
    <n v="-1.1515702423864904E-2"/>
    <n v="-2.8931679520886107"/>
    <n v="4"/>
    <b v="1"/>
    <s v="Efecto ponderador"/>
    <n v="0.81759069605862034"/>
    <n v="47.570783039457957"/>
    <n v="0.42443433964981897"/>
    <n v="3"/>
    <n v="-1"/>
    <n v="42.443433964981899"/>
    <n v="4"/>
    <n v="-0.30899775501302684"/>
    <b v="1"/>
    <s v="Efecto ponderador"/>
    <n v="3"/>
    <n v="-1"/>
    <n v="0"/>
    <n v="0"/>
    <n v="0"/>
    <n v="0"/>
    <n v="0"/>
    <s v="Rural"/>
    <n v="6"/>
    <s v="Fuera SC"/>
    <m/>
    <s v="No"/>
    <s v="No"/>
    <n v="49.4"/>
    <n v="10.195510499637944"/>
    <n v="50.102690484299067"/>
    <s v="Alto"/>
    <n v="0"/>
    <s v="Bajo"/>
    <n v="18326.323796000001"/>
    <n v="3156.7831975999998"/>
    <n v="7698"/>
    <n v="2.3806604047804627"/>
    <n v="0.41007835770329953"/>
    <m/>
    <m/>
    <m/>
    <m/>
    <m/>
    <m/>
    <m/>
    <n v="0"/>
    <n v="0"/>
    <n v="7"/>
    <n v="14584.450278"/>
    <n v="6638.321105"/>
    <n v="0.45516430022827903"/>
    <s v="31% - 50%"/>
    <n v="1.9313378519268643E-4"/>
    <s v="N.D."/>
    <s v="N.D."/>
    <s v="N.D."/>
    <n v="0.88738719712497405"/>
    <s v="Aceptable"/>
    <n v="2"/>
    <s v="No es Candidato"/>
    <n v="0"/>
    <n v="0"/>
  </r>
  <r>
    <n v="15832"/>
    <s v="15832"/>
    <x v="10"/>
    <x v="10"/>
    <s v="TUNUNGUÁ"/>
    <n v="49.295066666666699"/>
    <n v="66.959999999999994"/>
    <n v="45.92"/>
    <n v="62.76"/>
    <n v="52.80125637652344"/>
    <n v="59.997527270407673"/>
    <n v="48.454372084095439"/>
    <n v="41.922800000000002"/>
    <n v="56.233766666666668"/>
    <n v="50.793988932756633"/>
    <n v="53.513877799711651"/>
    <n v="54.837683459303769"/>
    <n v="45.162316540696231"/>
    <n v="0.50646084886626608"/>
    <n v="0"/>
    <n v="27.102683976567594"/>
    <n v="4"/>
    <n v="4"/>
    <b v="1"/>
    <x v="5"/>
    <n v="51.912092959226797"/>
    <n v="0.51911678276828488"/>
    <n v="26.94843868376195"/>
    <n v="4"/>
    <n v="0"/>
    <n v="1.6017848404848536"/>
    <n v="-1.2655933902018801E-2"/>
    <n v="0.15424529280564414"/>
    <n v="4"/>
    <b v="1"/>
    <n v="0"/>
    <n v="0.81759069605862034"/>
    <n v="42.442844216394043"/>
    <n v="0.36028923033031279"/>
    <n v="3"/>
    <n v="-1"/>
    <n v="36.028923033031276"/>
    <n v="4"/>
    <n v="-0.31112984719235426"/>
    <b v="1"/>
    <s v="Efecto ponderador"/>
    <n v="3"/>
    <n v="-1"/>
    <n v="0"/>
    <n v="0"/>
    <n v="0"/>
    <n v="0"/>
    <n v="0"/>
    <s v="Rural"/>
    <n v="6"/>
    <s v="Fuera SC"/>
    <m/>
    <s v="No"/>
    <s v="No"/>
    <n v="42.1"/>
    <n v="20.904325032765399"/>
    <n v="59.694748637189569"/>
    <s v="Alto"/>
    <n v="0"/>
    <s v="Bajo"/>
    <n v="8460.9500810000009"/>
    <n v="2794.1100809999998"/>
    <n v="1570"/>
    <n v="5.3891401789808926"/>
    <n v="1.7796879496815285"/>
    <m/>
    <m/>
    <m/>
    <m/>
    <m/>
    <m/>
    <m/>
    <n v="86"/>
    <n v="0"/>
    <n v="7"/>
    <n v="2918.2302549999999"/>
    <n v="0.52743300000000004"/>
    <n v="1.8073728044465089E-4"/>
    <n v="0"/>
    <n v="1.5345014215839772E-8"/>
    <s v="N.D."/>
    <s v="N.D."/>
    <s v="N.D."/>
    <n v="0.77166427676617855"/>
    <s v="Crítico bajo"/>
    <n v="2"/>
    <s v="Candidato"/>
    <n v="0"/>
    <n v="0"/>
  </r>
  <r>
    <n v="5667"/>
    <s v="05667"/>
    <x v="1"/>
    <x v="1"/>
    <s v="SAN RAFAEL"/>
    <n v="45.337400000000002"/>
    <n v="57.53"/>
    <n v="32.26"/>
    <n v="35.96"/>
    <n v="43.290605850124678"/>
    <n v="58.454891213844732"/>
    <n v="66.538898828751712"/>
    <n v="42.163200000000003"/>
    <n v="42.771850000000001"/>
    <n v="52.611898973180288"/>
    <n v="47.691874486590144"/>
    <n v="53.643375079444667"/>
    <n v="46.356624920555333"/>
    <n v="0.51720962428499806"/>
    <n v="0"/>
    <n v="24.666696484656573"/>
    <n v="4"/>
    <n v="4"/>
    <b v="1"/>
    <x v="5"/>
    <n v="49.814400335497581"/>
    <n v="0.52268035011450986"/>
    <n v="26.037008208102232"/>
    <n v="4"/>
    <n v="0"/>
    <n v="-2.1225258489074363"/>
    <n v="-5.4707258295118022E-3"/>
    <n v="-1.3703117234456599"/>
    <n v="4"/>
    <b v="1"/>
    <n v="0"/>
    <n v="0.81759069605862034"/>
    <n v="40.727790244042239"/>
    <n v="0.33883571297348364"/>
    <n v="4"/>
    <n v="0"/>
    <n v="33.883571297348361"/>
    <n v="4"/>
    <n v="-0.30038107177362228"/>
    <b v="1"/>
    <n v="0"/>
    <n v="3"/>
    <n v="-1"/>
    <n v="0"/>
    <n v="0"/>
    <n v="0"/>
    <n v="0"/>
    <n v="1"/>
    <s v="Rural"/>
    <n v="6"/>
    <s v="Fuera SC"/>
    <m/>
    <s v="No"/>
    <s v="Si"/>
    <n v="36.799999999999997"/>
    <n v="11.117305088795094"/>
    <n v="34.557506075798187"/>
    <s v="Medio"/>
    <n v="3.9441304642115829"/>
    <s v="Medio Bajo"/>
    <n v="38905.550907999997"/>
    <n v="9291.5265372999984"/>
    <n v="17222"/>
    <n v="2.2590611373824179"/>
    <n v="0.53951495397166405"/>
    <m/>
    <m/>
    <m/>
    <m/>
    <m/>
    <m/>
    <m/>
    <n v="84"/>
    <n v="0"/>
    <n v="7"/>
    <n v="36369.313326000003"/>
    <n v="14634.006954"/>
    <n v="0.40237237428231337"/>
    <s v="31% - 50%"/>
    <n v="4.2575842759900892E-4"/>
    <s v="N.D."/>
    <s v="N.D."/>
    <s v="N.D."/>
    <n v="0.9067146362959122"/>
    <s v="Aceptable"/>
    <n v="1"/>
    <s v="Candidato"/>
    <n v="0"/>
    <n v="0"/>
  </r>
  <r>
    <n v="76250"/>
    <s v="76250"/>
    <x v="3"/>
    <x v="3"/>
    <s v="EL DOVIO"/>
    <n v="65.258866666666705"/>
    <n v="63.66"/>
    <n v="70.569999999999993"/>
    <n v="73.260000000000005"/>
    <n v="43.951175054444491"/>
    <n v="46.172643991638452"/>
    <n v="61.821203686586323"/>
    <n v="48.077500000000001"/>
    <n v="68.187216666666671"/>
    <n v="50.005630683167311"/>
    <n v="59.096423674916991"/>
    <n v="54.617795299572144"/>
    <n v="45.382204700427856"/>
    <n v="0.50843984230385075"/>
    <n v="0"/>
    <n v="30.046976333996348"/>
    <n v="3"/>
    <n v="3"/>
    <b v="1"/>
    <x v="4"/>
    <n v="57.763735522184973"/>
    <n v="0.51929733950849855"/>
    <n v="29.996554176743206"/>
    <n v="3"/>
    <n v="0"/>
    <n v="1.3326881527320182"/>
    <n v="-1.0857497204647792E-2"/>
    <n v="5.0422157253141364E-2"/>
    <n v="3"/>
    <b v="1"/>
    <n v="0"/>
    <n v="0.81759069605862034"/>
    <n v="47.227092732529265"/>
    <n v="0.42013513619387305"/>
    <n v="3"/>
    <n v="0"/>
    <n v="42.013513619387304"/>
    <n v="4"/>
    <n v="-0.30915085375476958"/>
    <b v="0"/>
    <n v="0"/>
    <n v="3"/>
    <n v="0"/>
    <n v="0"/>
    <n v="0"/>
    <n v="0"/>
    <n v="0"/>
    <n v="1"/>
    <s v="Rural"/>
    <n v="6"/>
    <s v="Fuera SC"/>
    <m/>
    <s v="No"/>
    <s v="No"/>
    <n v="37.200000000000003"/>
    <n v="16.701977401129945"/>
    <n v="24.082894003456012"/>
    <s v="Medio"/>
    <n v="20.367383120250565"/>
    <s v="Alto"/>
    <n v="26454.249273000001"/>
    <n v="5144.0281839999998"/>
    <n v="9256"/>
    <n v="2.8580649603500432"/>
    <n v="0.55575066810717366"/>
    <m/>
    <m/>
    <m/>
    <m/>
    <m/>
    <m/>
    <m/>
    <n v="91"/>
    <n v="0"/>
    <n v="7"/>
    <n v="23602.934981999999"/>
    <n v="23503.502776000001"/>
    <n v="0.99578729483956863"/>
    <s v="71% - 100%"/>
    <n v="6.838054960909718E-4"/>
    <n v="110.92556999999999"/>
    <n v="4.6996515511564018E-3"/>
    <s v="0% - 30%"/>
    <n v="0.98059778152832244"/>
    <s v="Aceptable"/>
    <n v="2"/>
    <s v="Candidato"/>
    <n v="0"/>
    <n v="0"/>
  </r>
  <r>
    <n v="25394"/>
    <s v="25394"/>
    <x v="5"/>
    <x v="5"/>
    <s v="LA PALMA"/>
    <n v="51.219166666666702"/>
    <n v="61.95"/>
    <n v="54.54"/>
    <n v="42.03"/>
    <n v="46.883354353066558"/>
    <n v="62.539553153140261"/>
    <n v="55.632601370226439"/>
    <n v="49.709699999999998"/>
    <n v="52.434791666666676"/>
    <n v="53.691302219108316"/>
    <n v="53.063046942887496"/>
    <n v="55.270646636392442"/>
    <n v="44.729353363607558"/>
    <n v="0.50256418027246808"/>
    <n v="0"/>
    <n v="26.667586689611749"/>
    <n v="4"/>
    <n v="4"/>
    <b v="1"/>
    <x v="5"/>
    <n v="53.010534100158452"/>
    <n v="0.5189683610918906"/>
    <n v="27.51079000256501"/>
    <n v="4"/>
    <n v="0"/>
    <n v="5.2512842729043996E-2"/>
    <n v="-1.640418081942252E-2"/>
    <n v="-0.84320331295326056"/>
    <n v="4"/>
    <b v="1"/>
    <n v="0"/>
    <n v="0.81759069605862034"/>
    <n v="43.340919473387778"/>
    <n v="0.37152320513475223"/>
    <n v="3"/>
    <n v="-1"/>
    <n v="37.152320513475225"/>
    <n v="4"/>
    <n v="-0.31502651578615226"/>
    <b v="1"/>
    <s v="Efecto ponderador"/>
    <n v="3"/>
    <n v="-1"/>
    <n v="0"/>
    <n v="0"/>
    <n v="0"/>
    <n v="0"/>
    <n v="1"/>
    <s v="Intermedio"/>
    <n v="6"/>
    <s v="Fuera SC"/>
    <m/>
    <s v="No"/>
    <s v="No"/>
    <n v="39.4"/>
    <n v="20.264660093409443"/>
    <n v="3.242500000000001"/>
    <s v="Sin riesgo"/>
    <n v="0"/>
    <s v="Bajo"/>
    <n v="21409.243106999998"/>
    <n v="5069.7042000000001"/>
    <n v="9706"/>
    <n v="2.2057740683082629"/>
    <n v="0.5223268287657119"/>
    <m/>
    <m/>
    <m/>
    <m/>
    <m/>
    <m/>
    <m/>
    <n v="33"/>
    <n v="0"/>
    <n v="6"/>
    <n v="19059.401303999999"/>
    <n v="4130.8485680000003"/>
    <n v="0.21673548408538199"/>
    <s v="0% - 30%"/>
    <n v="1.2018195675932558E-4"/>
    <s v="N.D."/>
    <s v="N.D."/>
    <s v="N.D."/>
    <n v="0.97312906653994213"/>
    <s v="Aceptable"/>
    <n v="1"/>
    <s v="Candidato"/>
    <n v="0"/>
    <n v="0"/>
  </r>
  <r>
    <n v="25535"/>
    <s v="25535"/>
    <x v="5"/>
    <x v="5"/>
    <s v="PASCA"/>
    <n v="67.269933333333299"/>
    <n v="62.52"/>
    <n v="64.02"/>
    <n v="68.3"/>
    <n v="53.059931056554241"/>
    <n v="53.839891074972869"/>
    <n v="58.861549105315568"/>
    <n v="57.306800000000003"/>
    <n v="65.527483333333322"/>
    <n v="55.767042809210672"/>
    <n v="60.647263071271993"/>
    <n v="55.587996107652906"/>
    <n v="44.412003892347094"/>
    <n v="0.49970803503112393"/>
    <n v="0"/>
    <n v="30.305924659360976"/>
    <n v="3"/>
    <n v="3"/>
    <b v="1"/>
    <x v="4"/>
    <n v="60.426722302469287"/>
    <n v="0.51723688947154012"/>
    <n v="31.254929884689755"/>
    <n v="3"/>
    <n v="0"/>
    <n v="0.22054076880270657"/>
    <n v="-1.7528854440416186E-2"/>
    <n v="-0.94900522532877929"/>
    <n v="3"/>
    <b v="1"/>
    <n v="0"/>
    <n v="0.81759069605862034"/>
    <n v="49.404325947816822"/>
    <n v="0.447370028696985"/>
    <n v="3"/>
    <n v="0"/>
    <n v="44.7370028696985"/>
    <n v="4"/>
    <n v="-0.3178826610274964"/>
    <b v="0"/>
    <n v="0"/>
    <n v="3"/>
    <n v="0"/>
    <n v="0"/>
    <n v="0"/>
    <n v="0"/>
    <n v="0"/>
    <n v="0"/>
    <s v="Rural"/>
    <n v="6"/>
    <s v="Fuera SC"/>
    <m/>
    <s v="No"/>
    <s v="No"/>
    <n v="30.6"/>
    <n v="8.1740732212756164"/>
    <n v="10.911702834194324"/>
    <s v="Bajo"/>
    <n v="2.6888082700775198"/>
    <s v="Medio Bajo"/>
    <n v="19695.016737999998"/>
    <n v="4144.60124"/>
    <n v="9386"/>
    <n v="2.098339733432772"/>
    <n v="0.44157268698060942"/>
    <m/>
    <m/>
    <m/>
    <m/>
    <m/>
    <m/>
    <m/>
    <n v="78"/>
    <n v="0"/>
    <n v="7"/>
    <n v="27140.82012"/>
    <n v="14750.559409"/>
    <n v="0.54348244982215366"/>
    <s v="51% - 70%"/>
    <n v="4.2914937787869565E-4"/>
    <s v="N.D."/>
    <s v="N.D."/>
    <s v="N.D."/>
    <n v="0.95030307599465624"/>
    <s v="Aceptable"/>
    <n v="2"/>
    <s v="Candidato"/>
    <n v="0"/>
    <n v="0"/>
  </r>
  <r>
    <n v="73124"/>
    <s v="73124"/>
    <x v="15"/>
    <x v="15"/>
    <s v="CAJAMARCA"/>
    <n v="48.5523666666667"/>
    <n v="43.65"/>
    <n v="37.11"/>
    <n v="40.770000000000003"/>
    <n v="53.17359832028805"/>
    <n v="46.812359321368419"/>
    <n v="41.650430306490428"/>
    <n v="44.892400000000002"/>
    <n v="42.520591666666682"/>
    <n v="46.632196987036728"/>
    <n v="44.576394326851705"/>
    <n v="55.297322557247121"/>
    <n v="44.702677442752879"/>
    <n v="0.50232409698477598"/>
    <n v="0"/>
    <n v="22.391797027073075"/>
    <n v="4"/>
    <n v="4"/>
    <b v="1"/>
    <x v="5"/>
    <n v="44.571188435807777"/>
    <n v="0.51218695225894384"/>
    <n v="22.828781163495467"/>
    <n v="4"/>
    <n v="0"/>
    <n v="5.2058910439285455E-3"/>
    <n v="-9.8628552741678588E-3"/>
    <n v="-0.43698413642239231"/>
    <n v="4"/>
    <b v="1"/>
    <n v="0"/>
    <n v="0.81759069605862034"/>
    <n v="36.44098897739201"/>
    <n v="0.28521234784215416"/>
    <n v="4"/>
    <n v="0"/>
    <n v="28.521234784215416"/>
    <n v="4"/>
    <n v="-0.31526659907384436"/>
    <b v="1"/>
    <n v="0"/>
    <n v="3"/>
    <n v="-1"/>
    <n v="0"/>
    <n v="0"/>
    <n v="0"/>
    <n v="0"/>
    <n v="1"/>
    <s v="Rural"/>
    <n v="6"/>
    <s v="Fuera SC"/>
    <m/>
    <s v="No"/>
    <s v="Si"/>
    <n v="36.200000000000003"/>
    <n v="11.228273464658169"/>
    <n v="48.412777777777784"/>
    <s v="Alto"/>
    <n v="1.1490325835664763"/>
    <s v="Medio Bajo"/>
    <n v="36079.842815000004"/>
    <n v="7723.1718627500004"/>
    <n v="19013"/>
    <n v="1.8976407097775208"/>
    <n v="0.40620480001840847"/>
    <m/>
    <m/>
    <m/>
    <m/>
    <m/>
    <m/>
    <m/>
    <n v="18"/>
    <n v="0"/>
    <n v="7"/>
    <n v="50838.818727999998"/>
    <n v="46547.285232000002"/>
    <n v="0.91558549936101508"/>
    <s v="71% - 100%"/>
    <n v="1.3542359950814392E-3"/>
    <s v="N.D."/>
    <s v="N.D."/>
    <s v="N.D."/>
    <n v="0.91393661546714533"/>
    <s v="Aceptable"/>
    <n v="1"/>
    <s v="Candidato"/>
    <n v="0"/>
    <n v="0"/>
  </r>
  <r>
    <n v="68132"/>
    <s v="68132"/>
    <x v="0"/>
    <x v="0"/>
    <s v="CALIFORNIA"/>
    <n v="59.553600000000003"/>
    <n v="53.61"/>
    <n v="29.33"/>
    <n v="27.97"/>
    <n v="48.273770796728904"/>
    <n v="33.164075543717608"/>
    <n v="48.844795099409453"/>
    <n v="46.900199999999998"/>
    <n v="42.615900000000003"/>
    <n v="44.295710359963991"/>
    <n v="43.455805179981994"/>
    <n v="53.628528950447141"/>
    <n v="46.371471049552859"/>
    <n v="0.51734323944597571"/>
    <n v="0"/>
    <n v="22.481567024545097"/>
    <n v="4"/>
    <n v="4"/>
    <b v="1"/>
    <x v="5"/>
    <n v="46.645191401003984"/>
    <n v="0.51896061455122955"/>
    <n v="24.207017195324756"/>
    <n v="4"/>
    <n v="0"/>
    <n v="-3.1893862210219908"/>
    <n v="-1.6173751052538377E-3"/>
    <n v="-1.7254501707796592"/>
    <n v="4"/>
    <b v="1"/>
    <n v="0"/>
    <n v="0.81759069605862034"/>
    <n v="38.136674505334419"/>
    <n v="0.30642358637568656"/>
    <n v="4"/>
    <n v="0"/>
    <n v="30.642358637568655"/>
    <n v="4"/>
    <n v="-0.30024745661264463"/>
    <b v="1"/>
    <n v="0"/>
    <n v="3"/>
    <n v="-1"/>
    <n v="0"/>
    <n v="0"/>
    <n v="0"/>
    <n v="0"/>
    <n v="0"/>
    <s v="Intermedio"/>
    <n v="6"/>
    <s v="Fuera SC"/>
    <m/>
    <s v="No"/>
    <s v="No"/>
    <n v="21.2"/>
    <n v="6.8946188340807177"/>
    <n v="5.3033333333333337"/>
    <s v="Bajo"/>
    <n v="0"/>
    <s v="Bajo"/>
    <n v="4966.2631730000003"/>
    <n v="1483.81764075"/>
    <n v="2465"/>
    <n v="2.0147112263691684"/>
    <n v="0.60195441815415818"/>
    <m/>
    <m/>
    <m/>
    <m/>
    <m/>
    <m/>
    <m/>
    <n v="39"/>
    <n v="0"/>
    <n v="7"/>
    <n v="4492.357994"/>
    <n v="2762.33376"/>
    <n v="0.61489617784009576"/>
    <s v="51% - 70%"/>
    <n v="8.0366702151920953E-5"/>
    <s v="N.D."/>
    <s v="N.D."/>
    <s v="N.D."/>
    <n v="0.94668453447801748"/>
    <s v="Aceptable"/>
    <n v="1"/>
    <s v="Candidato"/>
    <n v="0"/>
    <n v="0"/>
  </r>
  <r>
    <n v="68673"/>
    <s v="68673"/>
    <x v="0"/>
    <x v="0"/>
    <s v="SAN BENITO"/>
    <n v="75.150933333333299"/>
    <n v="60.98"/>
    <n v="0"/>
    <n v="45.77"/>
    <n v="40.812047841514357"/>
    <n v="41.426028741397261"/>
    <n v="62.072941647169081"/>
    <n v="59.605899999999998"/>
    <n v="45.475233333333328"/>
    <n v="50.979229557520171"/>
    <n v="48.227231445426753"/>
    <n v="55.021207530543059"/>
    <n v="44.978792469456941"/>
    <n v="0.50480913222511248"/>
    <n v="0"/>
    <n v="24.345546855585535"/>
    <n v="4"/>
    <n v="4"/>
    <b v="1"/>
    <x v="5"/>
    <n v="57.910445577470767"/>
    <n v="0.51498337462347499"/>
    <n v="29.82291668943499"/>
    <n v="3"/>
    <n v="-1"/>
    <n v="-9.6832141320440144"/>
    <n v="-1.017424239836251E-2"/>
    <n v="-5.4773698338494547"/>
    <n v="4"/>
    <b v="1"/>
    <s v="Efecto ponderador"/>
    <n v="0.81759069605862034"/>
    <n v="47.347041508749179"/>
    <n v="0.4216355689464561"/>
    <n v="3"/>
    <n v="-1"/>
    <n v="42.163556894645609"/>
    <n v="4"/>
    <n v="-0.31278156383350786"/>
    <b v="1"/>
    <s v="Efecto ponderador"/>
    <n v="3"/>
    <n v="-1"/>
    <n v="0"/>
    <n v="0"/>
    <n v="0"/>
    <n v="0"/>
    <n v="0"/>
    <s v="Rural"/>
    <n v="6"/>
    <s v="Fuera SC"/>
    <m/>
    <s v="No"/>
    <s v="Si"/>
    <n v="49.8"/>
    <n v="11.977818853974123"/>
    <n v="93.85"/>
    <s v="Inviable sanitariamente"/>
    <n v="2.7855976140165399"/>
    <s v="Medio Bajo"/>
    <n v="9365.0016680000008"/>
    <n v="2165.2136425500003"/>
    <n v="3015"/>
    <n v="3.1061365399668328"/>
    <n v="0.71814714512437816"/>
    <m/>
    <m/>
    <m/>
    <m/>
    <m/>
    <m/>
    <m/>
    <n v="20"/>
    <n v="0"/>
    <n v="7"/>
    <n v="5901.8059270000003"/>
    <n v="29.134525"/>
    <n v="4.9365440613208427E-3"/>
    <s v="0% - 30%"/>
    <n v="8.4763315965580313E-7"/>
    <s v="N.D."/>
    <s v="N.D."/>
    <s v="N.D."/>
    <n v="0.8899403728681472"/>
    <s v="Aceptable"/>
    <n v="1"/>
    <s v="Candidato"/>
    <n v="0"/>
    <n v="0"/>
  </r>
  <r>
    <n v="20295"/>
    <s v="20295"/>
    <x v="20"/>
    <x v="20"/>
    <s v="GAMARRA"/>
    <n v="62.675066666666702"/>
    <n v="59.03"/>
    <n v="70.17"/>
    <n v="66.31"/>
    <n v="51.911420750081525"/>
    <n v="56.740141844433055"/>
    <n v="69.254707959974482"/>
    <n v="54.717100000000002"/>
    <n v="64.546266666666682"/>
    <n v="58.155842638622275"/>
    <n v="61.351054652644478"/>
    <n v="54.989855900334973"/>
    <n v="45.010144099665027"/>
    <n v="0.50509129689698529"/>
    <n v="0"/>
    <n v="30.987883760502022"/>
    <n v="3"/>
    <n v="3"/>
    <b v="1"/>
    <x v="4"/>
    <n v="58.972158774100365"/>
    <n v="0.51752165562149721"/>
    <n v="30.519369244346223"/>
    <n v="3"/>
    <n v="0"/>
    <n v="2.3788958785441139"/>
    <n v="-1.2430358724511925E-2"/>
    <n v="0.46851451615579975"/>
    <n v="3"/>
    <b v="1"/>
    <n v="0"/>
    <n v="0.81759069605862034"/>
    <n v="48.215088340196189"/>
    <n v="0.43249391980025009"/>
    <n v="3"/>
    <n v="0"/>
    <n v="43.24939198002501"/>
    <n v="4"/>
    <n v="-0.31249939916163505"/>
    <b v="0"/>
    <n v="0"/>
    <n v="3"/>
    <n v="0"/>
    <n v="0"/>
    <n v="0"/>
    <n v="0"/>
    <n v="0"/>
    <n v="0"/>
    <s v="Intermedio"/>
    <n v="6"/>
    <s v="Fuera SC"/>
    <m/>
    <s v="No"/>
    <s v="Si"/>
    <n v="48.6"/>
    <n v="23.360655737704917"/>
    <n v="31.898077532140107"/>
    <s v="Medio"/>
    <n v="1.9856502854390785"/>
    <s v="Medio Bajo"/>
    <n v="33918.840966000003"/>
    <n v="6910.8702617500003"/>
    <n v="16058"/>
    <n v="2.1122705795242247"/>
    <n v="0.43036930263731477"/>
    <m/>
    <m/>
    <m/>
    <m/>
    <m/>
    <m/>
    <m/>
    <n v="8"/>
    <n v="0"/>
    <n v="7"/>
    <n v="32642.655470999998"/>
    <n v="2112.063701"/>
    <n v="6.4702570012307198E-2"/>
    <s v="0% - 30%"/>
    <n v="6.1447894835181264E-5"/>
    <s v="N.D."/>
    <s v="N.D."/>
    <s v="N.D."/>
    <n v="0.84429033251726615"/>
    <s v="Crítico bajo"/>
    <n v="2"/>
    <s v="Candidato"/>
    <n v="0"/>
    <n v="0"/>
  </r>
  <r>
    <n v="41306"/>
    <s v="41306"/>
    <x v="19"/>
    <x v="19"/>
    <s v="GIGANTE"/>
    <n v="77.569299999999998"/>
    <n v="44.64"/>
    <n v="41.03"/>
    <n v="44.06"/>
    <n v="53.205064239514783"/>
    <n v="51.834104871156157"/>
    <n v="67.978617781328282"/>
    <n v="45.3506"/>
    <n v="51.824825000000004"/>
    <n v="54.592096722999798"/>
    <n v="53.208460861499901"/>
    <n v="55.241410114344717"/>
    <n v="44.758589885655283"/>
    <n v="0.50282730897089756"/>
    <n v="0"/>
    <n v="26.75466718947132"/>
    <n v="4"/>
    <n v="4"/>
    <b v="1"/>
    <x v="5"/>
    <n v="56.665069860748403"/>
    <n v="0.51815283297831161"/>
    <n v="29.361166479260728"/>
    <n v="3"/>
    <n v="-1"/>
    <n v="-3.4566089992485018"/>
    <n v="-1.5325524007414049E-2"/>
    <n v="-2.6064992897894079"/>
    <n v="4"/>
    <b v="1"/>
    <s v="Efecto ponderador"/>
    <n v="0.81759069605862034"/>
    <n v="46.328833909659636"/>
    <n v="0.40889886517382285"/>
    <n v="3"/>
    <n v="-1"/>
    <n v="40.889886517382287"/>
    <n v="4"/>
    <n v="-0.31476338708772278"/>
    <b v="1"/>
    <s v="Efecto ponderador"/>
    <n v="2"/>
    <n v="-2"/>
    <n v="0"/>
    <n v="0"/>
    <n v="0"/>
    <n v="0"/>
    <n v="0"/>
    <s v="Intermedio"/>
    <n v="6"/>
    <s v="Fuera SC"/>
    <m/>
    <s v="No"/>
    <s v="Si"/>
    <n v="36.9"/>
    <n v="13.327734064185305"/>
    <n v="0.92142857142857149"/>
    <s v="Sin riesgo"/>
    <n v="6.0544724702549146"/>
    <s v="Medio"/>
    <n v="47903.257204000001"/>
    <n v="12564.2947162"/>
    <n v="23760"/>
    <n v="2.0161303537037036"/>
    <n v="0.52880028266835022"/>
    <m/>
    <m/>
    <m/>
    <m/>
    <m/>
    <m/>
    <m/>
    <n v="30"/>
    <n v="0"/>
    <n v="7"/>
    <n v="50351.972304000003"/>
    <n v="17858.045582999999"/>
    <n v="0.35466427164326475"/>
    <s v="31% - 50%"/>
    <n v="5.1955786486292978E-4"/>
    <s v="N.D."/>
    <s v="N.D."/>
    <s v="N.D."/>
    <n v="0.91745268939623914"/>
    <s v="Aceptable"/>
    <n v="1"/>
    <s v="Candidato"/>
    <n v="0"/>
    <n v="0"/>
  </r>
  <r>
    <n v="5134"/>
    <s v="05134"/>
    <x v="1"/>
    <x v="1"/>
    <s v="CAMPAMENTO"/>
    <n v="56.497433333333298"/>
    <n v="70.77"/>
    <n v="77.19"/>
    <n v="0"/>
    <n v="53.850082556279624"/>
    <n v="40.010617468736825"/>
    <n v="53.748871377802352"/>
    <n v="40.371000000000002"/>
    <n v="51.114358333333321"/>
    <n v="46.995142850704703"/>
    <n v="49.054750592019012"/>
    <n v="54.818181598396329"/>
    <n v="45.181818401603671"/>
    <n v="0.50663636561443304"/>
    <n v="0"/>
    <n v="24.852920556062969"/>
    <n v="4"/>
    <n v="4"/>
    <b v="1"/>
    <x v="5"/>
    <n v="56.176360326168805"/>
    <n v="0.5204031573937985"/>
    <n v="29.234355284629963"/>
    <n v="3"/>
    <n v="-1"/>
    <n v="-7.1216097341497928"/>
    <n v="-1.3766791779365462E-2"/>
    <n v="-4.3814347285669939"/>
    <n v="4"/>
    <b v="1"/>
    <s v="Efecto ponderador"/>
    <n v="0.81759069605862034"/>
    <n v="45.92926954111222"/>
    <n v="0.4039007361038392"/>
    <n v="3"/>
    <n v="-1"/>
    <n v="40.390073610383922"/>
    <n v="4"/>
    <n v="-0.3109543304441873"/>
    <b v="1"/>
    <s v="Efecto ponderador"/>
    <n v="3"/>
    <n v="-1"/>
    <n v="0"/>
    <n v="0"/>
    <n v="0"/>
    <n v="0"/>
    <n v="1"/>
    <s v="Rural"/>
    <n v="6"/>
    <s v="Fuera SC"/>
    <m/>
    <s v="No"/>
    <s v="Si"/>
    <n v="59.3"/>
    <n v="24.641988651715753"/>
    <n v="39.525365197334708"/>
    <s v="Alto"/>
    <n v="14.821118720087398"/>
    <s v="Alto"/>
    <n v="22306.630108000001"/>
    <n v="4400.0385482499996"/>
    <n v="9940"/>
    <n v="2.2441277774647888"/>
    <n v="0.44265981370724344"/>
    <m/>
    <m/>
    <m/>
    <m/>
    <m/>
    <m/>
    <m/>
    <n v="61"/>
    <n v="0"/>
    <n v="7"/>
    <n v="23205.911914"/>
    <n v="679.99386100000004"/>
    <n v="2.9302613209945153E-2"/>
    <s v="0% - 30%"/>
    <n v="1.9783584765702515E-5"/>
    <s v="N.D."/>
    <s v="N.D."/>
    <s v="N.D."/>
    <n v="0.89861198377074525"/>
    <s v="Aceptable"/>
    <n v="1"/>
    <s v="Candidato"/>
    <n v="0"/>
    <n v="0"/>
  </r>
  <r>
    <n v="41244"/>
    <s v="41244"/>
    <x v="19"/>
    <x v="19"/>
    <s v="ELÍAS"/>
    <n v="58.710466666666697"/>
    <n v="55.6"/>
    <n v="52.39"/>
    <n v="65.239999999999995"/>
    <n v="51.494553108650905"/>
    <n v="49.800979354885349"/>
    <n v="48.90031771073685"/>
    <n v="46.6648"/>
    <n v="57.98511666666667"/>
    <n v="49.215162543568283"/>
    <n v="53.600139605117477"/>
    <n v="54.60199927850541"/>
    <n v="45.39800072149459"/>
    <n v="0.50858200649345131"/>
    <n v="0"/>
    <n v="27.260066548699754"/>
    <n v="4"/>
    <n v="4"/>
    <b v="1"/>
    <x v="5"/>
    <n v="52.529528911219067"/>
    <n v="0.5145862091342146"/>
    <n v="27.030971150030346"/>
    <n v="4"/>
    <n v="0"/>
    <n v="1.0706106938984092"/>
    <n v="-6.0042026407632898E-3"/>
    <n v="0.22909539866940776"/>
    <n v="4"/>
    <b v="1"/>
    <n v="0"/>
    <n v="0.81759069605862034"/>
    <n v="42.947654106155021"/>
    <n v="0.36660386993144173"/>
    <n v="3"/>
    <n v="-1"/>
    <n v="36.660386993144172"/>
    <n v="4"/>
    <n v="-0.30900868956516903"/>
    <b v="1"/>
    <s v="Efecto ponderador"/>
    <n v="3"/>
    <n v="-1"/>
    <n v="0"/>
    <n v="0"/>
    <n v="0"/>
    <n v="0"/>
    <n v="0"/>
    <s v="Intermedio"/>
    <n v="6"/>
    <s v="Fuera SC"/>
    <m/>
    <s v="No"/>
    <s v="Si"/>
    <n v="32.299999999999997"/>
    <n v="9.6705062952049285"/>
    <n v="24.594000000000001"/>
    <s v="Medio"/>
    <n v="3.7555166420214157"/>
    <s v="Medio Bajo"/>
    <n v="14435.833486"/>
    <n v="1816.4384010000001"/>
    <n v="4683"/>
    <n v="3.0826037766389067"/>
    <n v="0.38787922293401667"/>
    <m/>
    <m/>
    <m/>
    <m/>
    <m/>
    <m/>
    <m/>
    <n v="54"/>
    <n v="0"/>
    <n v="7"/>
    <n v="8044.1799499999997"/>
    <n v="219.62443099999999"/>
    <n v="2.7302277219693475E-2"/>
    <s v="0% - 30%"/>
    <n v="6.3897026083705813E-6"/>
    <s v="N.D."/>
    <s v="N.D."/>
    <s v="N.D."/>
    <n v="0.91666816083060265"/>
    <s v="Aceptable"/>
    <n v="2"/>
    <s v="Candidato"/>
    <n v="0"/>
    <n v="0"/>
  </r>
  <r>
    <n v="5591"/>
    <s v="05591"/>
    <x v="1"/>
    <x v="1"/>
    <s v="PUERTO TRIUNFO"/>
    <n v="45.6210666666667"/>
    <n v="47.97"/>
    <n v="43.68"/>
    <n v="50.39"/>
    <n v="66.607206049177535"/>
    <n v="68.864645870855327"/>
    <n v="69.007049470076467"/>
    <n v="62.200499999999998"/>
    <n v="46.915266666666682"/>
    <n v="66.66985034752733"/>
    <n v="56.792558507097006"/>
    <n v="54.260033392354082"/>
    <n v="45.739966607645918"/>
    <n v="0.51165969946881329"/>
    <n v="0"/>
    <n v="29.058463417806248"/>
    <n v="4"/>
    <n v="4"/>
    <b v="1"/>
    <x v="4"/>
    <n v="56.303426274013944"/>
    <n v="0.51884650136996313"/>
    <n v="29.212835737413794"/>
    <n v="3"/>
    <n v="0"/>
    <n v="0.48913223308306186"/>
    <n v="-7.1868019011498419E-3"/>
    <n v="-0.15437231960754616"/>
    <n v="3"/>
    <b v="1"/>
    <n v="0"/>
    <n v="0.81759069605862034"/>
    <n v="46.033157477856271"/>
    <n v="0.40520026468429982"/>
    <n v="3"/>
    <n v="0"/>
    <n v="40.520026468429982"/>
    <n v="4"/>
    <n v="-0.30593099658980705"/>
    <b v="0"/>
    <n v="0"/>
    <n v="3"/>
    <n v="0"/>
    <n v="0"/>
    <n v="0"/>
    <n v="0"/>
    <n v="0"/>
    <n v="0"/>
    <s v="Rural"/>
    <n v="6"/>
    <s v="Fuera SC"/>
    <m/>
    <s v="No"/>
    <s v="Si"/>
    <n v="29.3"/>
    <n v="13.150419625564881"/>
    <n v="18.843232119862684"/>
    <s v="Medio"/>
    <n v="6.986851078514432"/>
    <s v="Medio"/>
    <n v="49303.014497999997"/>
    <n v="17900.834449000002"/>
    <n v="20006"/>
    <n v="2.464411401479556"/>
    <n v="0.89477329046286125"/>
    <m/>
    <m/>
    <m/>
    <m/>
    <m/>
    <m/>
    <m/>
    <n v="29"/>
    <n v="0"/>
    <n v="6"/>
    <n v="36965.442770000001"/>
    <n v="1776.8543360000001"/>
    <n v="4.80679846595004E-2"/>
    <s v="0% - 30%"/>
    <n v="5.1695390780244202E-5"/>
    <s v="N.D."/>
    <s v="N.D."/>
    <s v="N.D."/>
    <n v="0.8544725889866549"/>
    <s v="Aceptable"/>
    <n v="2"/>
    <s v="Candidato"/>
    <n v="0"/>
    <n v="0"/>
  </r>
  <r>
    <n v="5021"/>
    <s v="05021"/>
    <x v="1"/>
    <x v="1"/>
    <s v="ALEJANDRÍA"/>
    <n v="58.135933333333298"/>
    <n v="61.29"/>
    <n v="29.31"/>
    <n v="51.67"/>
    <n v="59.404509482865294"/>
    <n v="38.875220635386469"/>
    <n v="51.87270155498809"/>
    <n v="61.3506"/>
    <n v="50.10148333333332"/>
    <n v="52.875757918309958"/>
    <n v="51.488620625821639"/>
    <n v="53.790650366470175"/>
    <n v="46.209349633529825"/>
    <n v="0.51588414670176852"/>
    <n v="0"/>
    <n v="26.562163116403074"/>
    <n v="4"/>
    <n v="4"/>
    <b v="1"/>
    <x v="5"/>
    <n v="49.35791642102842"/>
    <n v="0.52035930220250182"/>
    <n v="25.683850947015756"/>
    <n v="4"/>
    <n v="0"/>
    <n v="2.1307042047932185"/>
    <n v="-4.4751555007332966E-3"/>
    <n v="0.87831216938731771"/>
    <n v="4"/>
    <b v="1"/>
    <n v="0"/>
    <n v="0.81759069605862034"/>
    <n v="40.354573242671833"/>
    <n v="0.33416716169414157"/>
    <n v="4"/>
    <n v="0"/>
    <n v="33.416716169414158"/>
    <n v="4"/>
    <n v="-0.30170654935685182"/>
    <b v="1"/>
    <n v="0"/>
    <n v="3"/>
    <n v="-1"/>
    <n v="0"/>
    <n v="0"/>
    <n v="0"/>
    <n v="0"/>
    <n v="1"/>
    <s v="Rural"/>
    <n v="6"/>
    <s v="Fuera SC"/>
    <m/>
    <s v="No"/>
    <s v="Si"/>
    <n v="31.9"/>
    <n v="12.676424464192367"/>
    <n v="18.342995711979899"/>
    <s v="Medio"/>
    <n v="22.908260714433165"/>
    <s v="Muy Alto"/>
    <n v="16263.807421"/>
    <n v="3587.2385315000001"/>
    <n v="5196"/>
    <n v="3.1300630140492687"/>
    <n v="0.69038462884911478"/>
    <m/>
    <m/>
    <m/>
    <m/>
    <m/>
    <m/>
    <m/>
    <n v="72"/>
    <n v="0"/>
    <n v="7"/>
    <n v="12885.643964000001"/>
    <n v="4042.14831"/>
    <n v="0.31369393111380239"/>
    <s v="31% - 50%"/>
    <n v="1.1760133188382735E-4"/>
    <s v="N.D."/>
    <s v="N.D."/>
    <s v="N.D."/>
    <n v="0.92905981949584726"/>
    <s v="Aceptable"/>
    <n v="2"/>
    <s v="Candidato"/>
    <n v="0"/>
    <n v="0"/>
  </r>
  <r>
    <n v="25777"/>
    <s v="25777"/>
    <x v="5"/>
    <x v="5"/>
    <s v="SUPATÁ"/>
    <n v="58.124466666666699"/>
    <n v="60.04"/>
    <n v="61.11"/>
    <n v="66.959999999999994"/>
    <n v="50.912751570986373"/>
    <n v="53.195734085429464"/>
    <n v="73.131179435678646"/>
    <n v="51.908700000000003"/>
    <n v="61.558616666666666"/>
    <n v="57.28709127302362"/>
    <n v="59.422853969845143"/>
    <n v="55.652556645232998"/>
    <n v="44.347443354767002"/>
    <n v="0.49912699019290308"/>
    <n v="0"/>
    <n v="29.659550250641207"/>
    <n v="3"/>
    <n v="3"/>
    <b v="1"/>
    <x v="4"/>
    <n v="59.47694667676241"/>
    <n v="0.51578267515803977"/>
    <n v="30.677178667172598"/>
    <n v="3"/>
    <n v="0"/>
    <n v="-5.4092706917266753E-2"/>
    <n v="-1.6655684965136697E-2"/>
    <n v="-1.0176284165313909"/>
    <n v="3"/>
    <b v="1"/>
    <n v="0"/>
    <n v="0.81759069605862034"/>
    <n v="48.627798232895621"/>
    <n v="0.43765648552068687"/>
    <n v="3"/>
    <n v="0"/>
    <n v="43.76564855206869"/>
    <n v="4"/>
    <n v="-0.31846370586571726"/>
    <b v="0"/>
    <n v="0"/>
    <n v="4"/>
    <n v="1"/>
    <n v="0"/>
    <n v="0"/>
    <n v="0"/>
    <n v="0"/>
    <n v="0"/>
    <s v="Rural"/>
    <n v="6"/>
    <s v="Fuera SC"/>
    <m/>
    <s v="No"/>
    <s v="No"/>
    <n v="28.2"/>
    <n v="10.410495133305121"/>
    <n v="2.4206546530022695"/>
    <s v="Sin riesgo"/>
    <n v="0"/>
    <s v="Bajo"/>
    <n v="12993.20168"/>
    <n v="4679.6970209999999"/>
    <n v="5529"/>
    <n v="2.350009347079038"/>
    <n v="0.84639121378187732"/>
    <m/>
    <m/>
    <m/>
    <m/>
    <m/>
    <m/>
    <m/>
    <n v="37"/>
    <n v="0"/>
    <n v="7"/>
    <n v="13023.778994"/>
    <n v="8195.1454759999997"/>
    <n v="0.62924482055288777"/>
    <s v="51% - 70%"/>
    <n v="2.3842767485177262E-4"/>
    <s v="N.D."/>
    <s v="N.D."/>
    <s v="N.D."/>
    <n v="0.96652040657466065"/>
    <s v="Aceptable"/>
    <n v="2"/>
    <s v="Candidato"/>
    <n v="0"/>
    <n v="0"/>
  </r>
  <r>
    <n v="13894"/>
    <s v="13894"/>
    <x v="8"/>
    <x v="8"/>
    <s v="ZAMBRANO"/>
    <n v="57.899833333333298"/>
    <n v="47.41"/>
    <n v="52.19"/>
    <n v="50.37"/>
    <n v="58.289929245972147"/>
    <n v="65.723617649524044"/>
    <n v="62.98555336362476"/>
    <n v="53.314700000000002"/>
    <n v="51.967458333333326"/>
    <n v="60.078450064780242"/>
    <n v="56.022954199056784"/>
    <n v="54.372241112130169"/>
    <n v="45.627758887869831"/>
    <n v="0.51064982999082853"/>
    <n v="0"/>
    <n v="28.608112037332319"/>
    <n v="4"/>
    <n v="4"/>
    <b v="1"/>
    <x v="4"/>
    <n v="57.077275277551415"/>
    <n v="0.5166131274529544"/>
    <n v="29.486869687629031"/>
    <n v="3"/>
    <n v="0"/>
    <n v="-1.0543210784946311"/>
    <n v="-5.9632974621258716E-3"/>
    <n v="-0.87875765029671271"/>
    <n v="3"/>
    <b v="1"/>
    <n v="0"/>
    <n v="0.81759069605862034"/>
    <n v="46.665849223302743"/>
    <n v="0.41311457149987224"/>
    <n v="3"/>
    <n v="0"/>
    <n v="41.311457149987227"/>
    <n v="4"/>
    <n v="-0.30694086606779181"/>
    <b v="0"/>
    <n v="0"/>
    <n v="3"/>
    <n v="0"/>
    <n v="0"/>
    <n v="0"/>
    <n v="0"/>
    <n v="1"/>
    <n v="1"/>
    <s v="Rural"/>
    <n v="6"/>
    <s v="Fuera SC"/>
    <m/>
    <s v="No"/>
    <s v="Si"/>
    <n v="62.4"/>
    <n v="41.910794404856162"/>
    <n v="13.25759357700864"/>
    <s v="Bajo"/>
    <n v="2.947768951693674"/>
    <s v="Medio Bajo"/>
    <n v="34503.582097999999"/>
    <n v="7987.1840204999999"/>
    <n v="13291"/>
    <n v="2.5960109922503949"/>
    <n v="0.60094680765179442"/>
    <m/>
    <m/>
    <m/>
    <m/>
    <m/>
    <m/>
    <m/>
    <n v="74"/>
    <n v="0"/>
    <n v="7"/>
    <n v="30930.984962999999"/>
    <n v="3887.6601169999999"/>
    <n v="0.12568820946537795"/>
    <s v="0% - 30%"/>
    <n v="1.1310668798068818E-4"/>
    <s v="N.D."/>
    <s v="N.D."/>
    <s v="N.D."/>
    <n v="0.94750398730571406"/>
    <s v="Aceptable"/>
    <n v="1"/>
    <s v="Candidato"/>
    <n v="0"/>
    <n v="0"/>
  </r>
  <r>
    <n v="5501"/>
    <s v="05501"/>
    <x v="1"/>
    <x v="1"/>
    <s v="OLAYA"/>
    <n v="78.302633333333304"/>
    <n v="58.78"/>
    <n v="48.19"/>
    <n v="50.43"/>
    <n v="58.032794783181295"/>
    <n v="72.660317834325909"/>
    <n v="51.185293161794874"/>
    <n v="46.8474"/>
    <n v="58.925658333333331"/>
    <n v="57.18145144482552"/>
    <n v="58.053554889079422"/>
    <n v="53.954234747825382"/>
    <n v="46.045765252174618"/>
    <n v="0.51441188726957154"/>
    <n v="0"/>
    <n v="29.863438733199008"/>
    <n v="3"/>
    <n v="3"/>
    <b v="1"/>
    <x v="4"/>
    <n v="62.517618988717715"/>
    <n v="0.51457847911455756"/>
    <n v="32.170221297077745"/>
    <n v="3"/>
    <n v="0"/>
    <n v="-4.4640640996382928"/>
    <n v="-1.6659184498601931E-4"/>
    <n v="-2.3067825638787376"/>
    <n v="3"/>
    <b v="1"/>
    <n v="0"/>
    <n v="0.81759069605862034"/>
    <n v="51.113823624913337"/>
    <n v="0.46875404265705778"/>
    <n v="3"/>
    <n v="0"/>
    <n v="46.875404265705775"/>
    <n v="4"/>
    <n v="-0.30317880878904879"/>
    <b v="0"/>
    <n v="0"/>
    <n v="2"/>
    <n v="-1"/>
    <n v="0"/>
    <n v="0"/>
    <n v="0"/>
    <n v="0"/>
    <n v="0"/>
    <s v="Rural disperso"/>
    <n v="6"/>
    <s v="Fuera SC"/>
    <m/>
    <s v="No"/>
    <s v="Si"/>
    <n v="33.4"/>
    <n v="12.0264803236484"/>
    <n v="29.743765431952294"/>
    <s v="Medio"/>
    <n v="5.6749162720849444"/>
    <s v="Medio Bajo"/>
    <n v="11014.955029000001"/>
    <n v="2358.5249484999999"/>
    <n v="3431"/>
    <n v="3.2104211684640047"/>
    <n v="0.68741619017779076"/>
    <m/>
    <m/>
    <m/>
    <m/>
    <m/>
    <m/>
    <m/>
    <n v="90"/>
    <n v="0"/>
    <n v="7"/>
    <n v="8697.3904280000006"/>
    <n v="5856.9932319999998"/>
    <n v="0.67341960562610259"/>
    <s v="51% - 70%"/>
    <n v="1.7040201202260253E-4"/>
    <s v="N.D."/>
    <s v="N.D."/>
    <s v="N.D."/>
    <n v="0.83425941267471737"/>
    <s v="Crítico bajo"/>
    <n v="1"/>
    <s v="Candidato"/>
    <n v="0"/>
    <n v="0"/>
  </r>
  <r>
    <n v="52260"/>
    <s v="52260"/>
    <x v="18"/>
    <x v="18"/>
    <s v="EL TAMBO"/>
    <n v="56.181699999999999"/>
    <n v="46.91"/>
    <n v="65.91"/>
    <n v="63.97"/>
    <n v="50.342778653131809"/>
    <n v="58.346313485360753"/>
    <n v="66.299334574068894"/>
    <n v="49.878900000000002"/>
    <n v="58.242925"/>
    <n v="56.216831678140366"/>
    <n v="57.229878339070183"/>
    <n v="54.872065594422217"/>
    <n v="45.127934405577783"/>
    <n v="0.50615140965020011"/>
    <n v="0"/>
    <n v="28.966983595429827"/>
    <n v="4"/>
    <n v="4"/>
    <b v="1"/>
    <x v="4"/>
    <n v="55.209390953377344"/>
    <n v="0.51607157499474143"/>
    <n v="28.491997343809874"/>
    <n v="3"/>
    <n v="0"/>
    <n v="2.0204873856928387"/>
    <n v="-9.9201653445413207E-3"/>
    <n v="0.47498625161995278"/>
    <n v="3"/>
    <b v="1"/>
    <n v="0"/>
    <n v="0.81759069605862034"/>
    <n v="45.138684378544276"/>
    <n v="0.3940113490754269"/>
    <n v="3"/>
    <n v="0"/>
    <n v="39.401134907542691"/>
    <n v="4"/>
    <n v="-0.31143928640842022"/>
    <b v="0"/>
    <n v="0"/>
    <n v="3"/>
    <n v="0"/>
    <n v="0"/>
    <n v="0"/>
    <n v="0"/>
    <n v="0"/>
    <n v="0"/>
    <s v="Intermedio"/>
    <n v="6"/>
    <s v="Fuera SC"/>
    <m/>
    <s v="No"/>
    <s v="Si"/>
    <n v="31.9"/>
    <n v="16.647928043687759"/>
    <n v="45.322742639215576"/>
    <s v="Alto"/>
    <n v="2.2704451295656054"/>
    <s v="Medio Bajo"/>
    <n v="27731.081237999999"/>
    <n v="4456.5983735"/>
    <n v="14548"/>
    <n v="1.9061782539180643"/>
    <n v="0.30633752911053064"/>
    <m/>
    <m/>
    <m/>
    <m/>
    <m/>
    <m/>
    <m/>
    <n v="80"/>
    <n v="0"/>
    <n v="7"/>
    <n v="24654.730617000001"/>
    <n v="2895.709707"/>
    <n v="0.11745047033705336"/>
    <s v="0% - 30%"/>
    <n v="8.4247111232820502E-5"/>
    <s v="N.D."/>
    <s v="N.D."/>
    <s v="N.D."/>
    <n v="0.96296221759410305"/>
    <s v="Aceptable"/>
    <n v="2"/>
    <s v="Candidato"/>
    <n v="0"/>
    <n v="0"/>
  </r>
  <r>
    <n v="25594"/>
    <s v="25594"/>
    <x v="5"/>
    <x v="5"/>
    <s v="QUETAME"/>
    <n v="55.906166666666699"/>
    <n v="47.94"/>
    <n v="34.39"/>
    <n v="44.55"/>
    <n v="69.091105614318849"/>
    <n v="54.495114814559535"/>
    <n v="47.56414020627615"/>
    <n v="59.843400000000003"/>
    <n v="45.696541666666675"/>
    <n v="57.748440158788632"/>
    <n v="51.72249091272765"/>
    <n v="55.592143786714431"/>
    <n v="44.407856213285569"/>
    <n v="0.49967070591957008"/>
    <n v="0"/>
    <n v="25.844213546281175"/>
    <n v="4"/>
    <n v="4"/>
    <b v="1"/>
    <x v="5"/>
    <n v="54.462010994716103"/>
    <n v="0.51537187015705577"/>
    <n v="28.06818845886097"/>
    <n v="3"/>
    <n v="-1"/>
    <n v="-2.7395200819884522"/>
    <n v="-1.5701164237485687E-2"/>
    <n v="-2.223974912579795"/>
    <n v="4"/>
    <b v="1"/>
    <s v="Efecto ponderador"/>
    <n v="0.81759069605862034"/>
    <n v="44.527633477922173"/>
    <n v="0.38636774641700666"/>
    <n v="3"/>
    <n v="-1"/>
    <n v="38.636774641700669"/>
    <n v="4"/>
    <n v="-0.31791999013905026"/>
    <b v="1"/>
    <s v="Efecto ponderador"/>
    <n v="3"/>
    <n v="-1"/>
    <n v="0"/>
    <n v="0"/>
    <n v="0"/>
    <n v="0"/>
    <n v="0"/>
    <s v="Rural"/>
    <n v="6"/>
    <s v="Fuera SC"/>
    <m/>
    <s v="No"/>
    <s v="No"/>
    <n v="37.700000000000003"/>
    <n v="9.7199675324675319"/>
    <n v="4.2815384615384611"/>
    <s v="Sin riesgo"/>
    <n v="0"/>
    <s v="Bajo"/>
    <n v="14087.449130000001"/>
    <n v="4384.902349"/>
    <n v="5182"/>
    <n v="2.7185351466615209"/>
    <n v="0.84617953473562335"/>
    <m/>
    <m/>
    <m/>
    <m/>
    <m/>
    <m/>
    <m/>
    <n v="40"/>
    <n v="0"/>
    <n v="7"/>
    <n v="13759.643059"/>
    <n v="2618.720703"/>
    <n v="0.19031894154311871"/>
    <s v="0% - 30%"/>
    <n v="7.618845695064381E-5"/>
    <s v="N.D."/>
    <s v="N.D."/>
    <s v="N.D."/>
    <n v="0.91608999039534145"/>
    <s v="Aceptable"/>
    <n v="1"/>
    <s v="Candidato"/>
    <n v="0"/>
    <n v="0"/>
  </r>
  <r>
    <n v="41770"/>
    <s v="41770"/>
    <x v="19"/>
    <x v="19"/>
    <s v="SUAZA"/>
    <n v="55.161766666666701"/>
    <n v="66.05"/>
    <n v="74.7"/>
    <n v="71.98"/>
    <n v="60.201127163475824"/>
    <n v="58.618454295805805"/>
    <n v="61.51873553327156"/>
    <n v="54.306399999999996"/>
    <n v="66.972941666666685"/>
    <n v="58.661179248138296"/>
    <n v="62.817060457402491"/>
    <n v="54.034107027882975"/>
    <n v="45.965892972117025"/>
    <n v="0.5136930367490532"/>
    <n v="0"/>
    <n v="32.268686546011956"/>
    <n v="3"/>
    <n v="3"/>
    <b v="1"/>
    <x v="4"/>
    <n v="61.562970236487416"/>
    <n v="0.51582044478464029"/>
    <n v="31.755438689648511"/>
    <n v="3"/>
    <n v="0"/>
    <n v="1.2540902209150744"/>
    <n v="-2.1274080355870861E-3"/>
    <n v="0.51324785636344572"/>
    <n v="3"/>
    <b v="1"/>
    <n v="0"/>
    <n v="0.81759069605862034"/>
    <n v="50.333311687085875"/>
    <n v="0.45899066105196912"/>
    <n v="3"/>
    <n v="0"/>
    <n v="45.899066105196908"/>
    <n v="4"/>
    <n v="-0.30389765930956714"/>
    <b v="0"/>
    <n v="0"/>
    <n v="3"/>
    <n v="0"/>
    <n v="0"/>
    <n v="0"/>
    <n v="0"/>
    <n v="0"/>
    <n v="0"/>
    <s v="Rural"/>
    <n v="6"/>
    <s v="Fuera SC"/>
    <m/>
    <s v="No"/>
    <s v="Si"/>
    <n v="41.6"/>
    <n v="15.280497638520908"/>
    <n v="4.0222222222222221"/>
    <s v="Sin riesgo"/>
    <n v="4.2543527975882993"/>
    <s v="Medio Bajo"/>
    <n v="47315.636788000003"/>
    <n v="7837.1169550000004"/>
    <n v="25611"/>
    <n v="1.847473225879505"/>
    <n v="0.30600589414704621"/>
    <m/>
    <m/>
    <m/>
    <m/>
    <m/>
    <m/>
    <m/>
    <n v="30"/>
    <n v="0"/>
    <n v="7"/>
    <n v="42962.346071"/>
    <n v="33521.976730000002"/>
    <n v="0.7802641102187774"/>
    <s v="71% - 100%"/>
    <n v="9.7528066970572569E-4"/>
    <s v="N.D."/>
    <s v="N.D."/>
    <s v="N.D."/>
    <n v="0.96999623094473508"/>
    <s v="Aceptable"/>
    <n v="2"/>
    <s v="Candidato"/>
    <n v="0"/>
    <n v="0"/>
  </r>
  <r>
    <n v="54313"/>
    <s v="54313"/>
    <x v="12"/>
    <x v="12"/>
    <s v="GRAMALOTE"/>
    <n v="45.931266666666701"/>
    <n v="48.94"/>
    <n v="27.23"/>
    <n v="68.510000000000005"/>
    <n v="39.896770923778206"/>
    <n v="40.20378073709589"/>
    <n v="47.978181926732439"/>
    <n v="50.599600000000002"/>
    <n v="47.652816666666681"/>
    <n v="44.669583396901636"/>
    <n v="46.161200031784162"/>
    <n v="54.50039283036098"/>
    <n v="45.49960716963902"/>
    <n v="0.50949646452675124"/>
    <n v="0"/>
    <n v="23.518968214506188"/>
    <n v="4"/>
    <n v="4"/>
    <b v="1"/>
    <x v="5"/>
    <n v="40.579248709180931"/>
    <n v="0.51595095499211574"/>
    <n v="20.93690212436448"/>
    <n v="4"/>
    <n v="0"/>
    <n v="5.5819513226032313"/>
    <n v="-6.4544904653645041E-3"/>
    <n v="2.5820660901417085"/>
    <n v="4"/>
    <b v="1"/>
    <n v="0"/>
    <n v="0.81759069605862034"/>
    <n v="33.177216197675108"/>
    <n v="0.24438599070868883"/>
    <n v="4"/>
    <n v="0"/>
    <n v="24.438599070868882"/>
    <n v="4"/>
    <n v="-0.3080942315318691"/>
    <b v="1"/>
    <n v="0"/>
    <n v="4"/>
    <n v="0"/>
    <n v="0"/>
    <n v="0"/>
    <n v="0"/>
    <n v="0"/>
    <n v="0"/>
    <s v="Intermedio"/>
    <n v="6"/>
    <s v="Fuera SC"/>
    <m/>
    <s v="No"/>
    <s v="No"/>
    <n v="42.3"/>
    <n v="14.251901944209637"/>
    <n v="41.71298945602684"/>
    <s v="Alto"/>
    <n v="3.9046240371720935"/>
    <s v="Medio Bajo"/>
    <n v="16366.341605"/>
    <n v="3022.2497349999999"/>
    <n v="8430"/>
    <n v="1.9414402852906287"/>
    <n v="0.35851123784104388"/>
    <m/>
    <m/>
    <m/>
    <m/>
    <m/>
    <m/>
    <m/>
    <n v="1"/>
    <n v="0"/>
    <n v="7"/>
    <n v="14871.499793999999"/>
    <n v="9559.2443879999992"/>
    <n v="0.64278953168238862"/>
    <s v="51% - 70%"/>
    <n v="2.7811445439808761E-4"/>
    <s v="N.D."/>
    <s v="N.D."/>
    <s v="N.D."/>
    <n v="0.95584762903180276"/>
    <s v="Aceptable"/>
    <n v="2"/>
    <s v="Candidato"/>
    <n v="0"/>
    <n v="0"/>
  </r>
  <r>
    <n v="76863"/>
    <s v="76863"/>
    <x v="3"/>
    <x v="3"/>
    <s v="VERSALLES"/>
    <n v="78.145133333333305"/>
    <n v="84.22"/>
    <n v="80.38"/>
    <n v="82.81"/>
    <n v="46.206604802078495"/>
    <n v="59.054718319344147"/>
    <n v="56.767021907452467"/>
    <n v="48.912500000000001"/>
    <n v="81.388783333333322"/>
    <n v="52.735211257218772"/>
    <n v="67.061997295276043"/>
    <n v="55.185493121269566"/>
    <n v="44.814506878730434"/>
    <n v="0.50333056190857395"/>
    <n v="0"/>
    <n v="33.754352781342554"/>
    <n v="3"/>
    <n v="3"/>
    <b v="1"/>
    <x v="4"/>
    <n v="65.439041354362089"/>
    <n v="0.51415857467549775"/>
    <n v="33.646044230889764"/>
    <n v="3"/>
    <n v="0"/>
    <n v="1.622955940913954"/>
    <n v="-1.08280127669238E-2"/>
    <n v="0.10830855045279009"/>
    <n v="3"/>
    <b v="1"/>
    <n v="0"/>
    <n v="0.81759069605862034"/>
    <n v="53.50235137032174"/>
    <n v="0.49863200700655286"/>
    <n v="2"/>
    <n v="-1"/>
    <n v="49.863200700655284"/>
    <n v="4"/>
    <n v="-0.31426013415004639"/>
    <b v="0"/>
    <s v="Cambio en corte"/>
    <n v="3"/>
    <n v="0"/>
    <n v="0"/>
    <n v="0"/>
    <n v="0"/>
    <n v="0"/>
    <n v="0"/>
    <s v="Rural"/>
    <n v="6"/>
    <s v="Fuera SC"/>
    <m/>
    <s v="No"/>
    <s v="No"/>
    <n v="30.6"/>
    <n v="10.460452430611262"/>
    <n v="28.128207534079181"/>
    <s v="Medio"/>
    <n v="4.4005424709240106"/>
    <s v="Medio Bajo"/>
    <n v="18567.670160000001"/>
    <n v="3229.3269765"/>
    <n v="7457"/>
    <n v="2.4899651548880248"/>
    <n v="0.43305980642349468"/>
    <m/>
    <m/>
    <m/>
    <m/>
    <m/>
    <m/>
    <m/>
    <n v="91"/>
    <n v="0"/>
    <n v="7"/>
    <n v="20063.763864"/>
    <n v="19990.674338000001"/>
    <n v="0.99635713784834046"/>
    <s v="71% - 100%"/>
    <n v="5.8160407464234005E-4"/>
    <n v="0.12574099999999999"/>
    <n v="6.2670693720441202E-6"/>
    <n v="0"/>
    <n v="0.94747451316396192"/>
    <s v="Aceptable"/>
    <n v="2"/>
    <s v="Candidato"/>
    <n v="0"/>
    <n v="0"/>
  </r>
  <r>
    <n v="81736"/>
    <s v="81736"/>
    <x v="25"/>
    <x v="25"/>
    <s v="SARAVENA"/>
    <n v="74.527166666666702"/>
    <n v="60.65"/>
    <n v="60.92"/>
    <n v="62.04"/>
    <n v="69.15198612949402"/>
    <n v="65.432117080495061"/>
    <n v="67.035198817901374"/>
    <n v="76.254599999999996"/>
    <n v="64.534291666666675"/>
    <n v="69.468475506972609"/>
    <n v="67.001383586819642"/>
    <n v="55.472647519495752"/>
    <n v="44.527352480504248"/>
    <n v="0.50074617232453822"/>
    <n v="0"/>
    <n v="33.550686371548075"/>
    <n v="3"/>
    <n v="3"/>
    <b v="1"/>
    <x v="4"/>
    <n v="67.135425464739711"/>
    <n v="0.51446693006698663"/>
    <n v="34.538956237585637"/>
    <n v="3"/>
    <n v="0"/>
    <n v="-0.13404187792006894"/>
    <n v="-1.3720757742448408E-2"/>
    <n v="-0.98826986603756239"/>
    <n v="3"/>
    <b v="1"/>
    <n v="0"/>
    <n v="0.81759069605862034"/>
    <n v="54.889299235908162"/>
    <n v="0.51598126282418377"/>
    <n v="2"/>
    <n v="-1"/>
    <n v="51.598126282418377"/>
    <n v="4"/>
    <n v="-0.31684452373408212"/>
    <b v="0"/>
    <s v="Cambio en corte"/>
    <n v="2"/>
    <n v="-1"/>
    <n v="0"/>
    <n v="0"/>
    <n v="0"/>
    <n v="1"/>
    <n v="1"/>
    <s v="Intermedio"/>
    <n v="6"/>
    <s v="Fuera SC"/>
    <m/>
    <s v="No"/>
    <s v="No"/>
    <n v="39.4"/>
    <n v="27.950571942308429"/>
    <n v="12.743397908371154"/>
    <s v="Bajo"/>
    <n v="32.894805310650597"/>
    <s v="Muy Alto"/>
    <n v="153364.42391300001"/>
    <n v="21239.28586425"/>
    <n v="58996"/>
    <n v="2.5995732577293378"/>
    <n v="0.36001230361804187"/>
    <m/>
    <m/>
    <m/>
    <m/>
    <m/>
    <m/>
    <m/>
    <n v="53"/>
    <n v="0"/>
    <n v="6"/>
    <n v="92349.767084000006"/>
    <n v="16977.126958000001"/>
    <n v="0.18383508149574274"/>
    <s v="0% - 30%"/>
    <n v="4.9392862129337117E-4"/>
    <n v="10597.753210000001"/>
    <n v="0.11475668585455595"/>
    <s v="0% - 30%"/>
    <n v="0.9899346191740106"/>
    <s v="Aceptable"/>
    <n v="3"/>
    <s v="Candidato"/>
    <n v="1"/>
    <s v="Zona de Fronteras"/>
  </r>
  <r>
    <n v="19392"/>
    <s v="19392"/>
    <x v="13"/>
    <x v="13"/>
    <s v="LA SIERRA"/>
    <n v="66.533500000000004"/>
    <n v="48.17"/>
    <n v="53.42"/>
    <n v="78.66"/>
    <n v="47.657760798135683"/>
    <n v="48.895073575078264"/>
    <n v="51.509751172574362"/>
    <n v="54.046399999999998"/>
    <n v="61.695875000000001"/>
    <n v="50.527246386447082"/>
    <n v="56.111560693223538"/>
    <n v="54.69289049092346"/>
    <n v="45.30710950907654"/>
    <n v="0.50776398558168889"/>
    <n v="0"/>
    <n v="28.491429694800019"/>
    <n v="4"/>
    <n v="4"/>
    <b v="1"/>
    <x v="4"/>
    <n v="54.236133630380891"/>
    <n v="0.51698503303138732"/>
    <n v="28.039269336397201"/>
    <n v="3"/>
    <n v="0"/>
    <n v="1.8754270628426468"/>
    <n v="-9.2210474496984274E-3"/>
    <n v="0.45216035840281776"/>
    <n v="3"/>
    <b v="1"/>
    <n v="0"/>
    <n v="0.81759069605862034"/>
    <n v="44.342958246391461"/>
    <n v="0.38405765393660057"/>
    <n v="3"/>
    <n v="0"/>
    <n v="38.405765393660054"/>
    <n v="4"/>
    <n v="-0.30982671047693144"/>
    <b v="0"/>
    <n v="0"/>
    <n v="4"/>
    <n v="1"/>
    <n v="0"/>
    <n v="0"/>
    <n v="0"/>
    <n v="0"/>
    <n v="0"/>
    <s v="Rural"/>
    <n v="6"/>
    <s v="Fuera SC"/>
    <m/>
    <s v="No"/>
    <s v="No"/>
    <n v="53.6"/>
    <n v="23.029693004529442"/>
    <n v="1.55375"/>
    <s v="Sin riesgo"/>
    <n v="13.95032014287502"/>
    <s v="Alto"/>
    <n v="29205.195605000001"/>
    <n v="3806.3219549999999"/>
    <n v="11305"/>
    <n v="2.5833874927023444"/>
    <n v="0.3366936713843432"/>
    <m/>
    <m/>
    <m/>
    <m/>
    <m/>
    <m/>
    <m/>
    <n v="26"/>
    <n v="0"/>
    <n v="7"/>
    <n v="20846.739420999998"/>
    <n v="6390.9657299999999"/>
    <n v="0.30656908022566109"/>
    <s v="31% - 50%"/>
    <n v="1.8593728488698052E-4"/>
    <n v="192.322168"/>
    <n v="9.2255275089333129E-3"/>
    <s v="0% - 30%"/>
    <n v="0.93557902193431985"/>
    <s v="Aceptable"/>
    <n v="2"/>
    <s v="Candidato"/>
    <n v="0"/>
    <n v="0"/>
  </r>
  <r>
    <n v="15879"/>
    <s v="15879"/>
    <x v="10"/>
    <x v="10"/>
    <s v="VIRACACHÁ"/>
    <n v="75.4219333333333"/>
    <n v="64.37"/>
    <n v="72.959999999999994"/>
    <n v="80.680000000000007"/>
    <n v="54.368069138810483"/>
    <n v="44.759978264450012"/>
    <n v="56.629603301834663"/>
    <n v="46.516300000000001"/>
    <n v="73.357983333333323"/>
    <n v="50.56848767627379"/>
    <n v="61.963235504803556"/>
    <n v="55.359573695941222"/>
    <n v="44.640426304058778"/>
    <n v="0.50176383673652902"/>
    <n v="0"/>
    <n v="31.09091078349935"/>
    <n v="3"/>
    <n v="3"/>
    <b v="1"/>
    <x v="4"/>
    <n v="61.942747259262951"/>
    <n v="0.51270558274749667"/>
    <n v="31.758392330541312"/>
    <n v="3"/>
    <n v="0"/>
    <n v="2.0488245540605021E-2"/>
    <n v="-1.0941746010967646E-2"/>
    <n v="-0.66748154704196239"/>
    <n v="3"/>
    <b v="1"/>
    <n v="0"/>
    <n v="0.81759069605862034"/>
    <n v="50.64381384748399"/>
    <n v="0.46287471577842149"/>
    <n v="3"/>
    <n v="0"/>
    <n v="46.287471577842147"/>
    <n v="4"/>
    <n v="-0.31582685932209131"/>
    <b v="0"/>
    <n v="0"/>
    <n v="3"/>
    <n v="0"/>
    <n v="0"/>
    <n v="0"/>
    <n v="0"/>
    <n v="0"/>
    <n v="0"/>
    <s v="Rural disperso"/>
    <n v="6"/>
    <s v="Fuera SC"/>
    <m/>
    <s v="No"/>
    <s v="No"/>
    <n v="45.1"/>
    <n v="13.245546088303641"/>
    <n v="61.023601131071182"/>
    <s v="Alto"/>
    <n v="2.8509215111626562"/>
    <s v="Medio Bajo"/>
    <n v="10412.544241"/>
    <n v="2239.0323933"/>
    <n v="2910"/>
    <n v="3.5781938972508591"/>
    <n v="0.76942693927835049"/>
    <m/>
    <m/>
    <m/>
    <m/>
    <m/>
    <m/>
    <m/>
    <n v="0"/>
    <n v="0"/>
    <n v="7"/>
    <n v="6246.9906449999999"/>
    <n v="5472.8878720000002"/>
    <n v="0.8760838911101011"/>
    <s v="71% - 100%"/>
    <n v="1.5922693915158337E-4"/>
    <s v="N.D."/>
    <s v="N.D."/>
    <s v="N.D."/>
    <n v="0.92067377567601638"/>
    <s v="Aceptable"/>
    <n v="2"/>
    <s v="Candidato"/>
    <n v="0"/>
    <n v="0"/>
  </r>
  <r>
    <n v="5051"/>
    <s v="05051"/>
    <x v="1"/>
    <x v="1"/>
    <s v="ARBOLETES"/>
    <n v="43.874666666666698"/>
    <n v="35"/>
    <n v="36.229999999999997"/>
    <n v="32.130000000000003"/>
    <n v="52.398016476513824"/>
    <n v="59.816224620017309"/>
    <n v="47.234877297569099"/>
    <n v="58.838500000000003"/>
    <n v="36.808666666666674"/>
    <n v="54.571904598525066"/>
    <n v="45.690285632595874"/>
    <n v="55.570793788645048"/>
    <n v="44.429206211354952"/>
    <n v="0.49986285590219459"/>
    <n v="0"/>
    <n v="22.838876663296382"/>
    <n v="4"/>
    <n v="4"/>
    <b v="1"/>
    <x v="5"/>
    <n v="45.582024232044667"/>
    <n v="0.51346125283077315"/>
    <n v="23.404603268748314"/>
    <n v="4"/>
    <n v="0"/>
    <n v="0.10826140055120703"/>
    <n v="-1.359839692857856E-2"/>
    <n v="-0.56572660545193187"/>
    <n v="4"/>
    <b v="1"/>
    <n v="0"/>
    <n v="0.81759069605862034"/>
    <n v="37.267438919638295"/>
    <n v="0.2955503654593013"/>
    <n v="4"/>
    <n v="0"/>
    <n v="29.555036545930129"/>
    <n v="4"/>
    <n v="-0.31772784015642574"/>
    <b v="1"/>
    <n v="0"/>
    <n v="4"/>
    <n v="0"/>
    <n v="0"/>
    <n v="0"/>
    <n v="0"/>
    <n v="0"/>
    <n v="0"/>
    <s v="Rural"/>
    <n v="6"/>
    <s v="Fuera SC"/>
    <m/>
    <s v="No"/>
    <s v="Si"/>
    <n v="59.1"/>
    <n v="62.487157045549679"/>
    <n v="55.077002341420233"/>
    <s v="Alto"/>
    <n v="1.530367827766173"/>
    <s v="Medio Bajo"/>
    <n v="81324.149690000006"/>
    <n v="12827.09128825"/>
    <n v="31449"/>
    <n v="2.5859057423129514"/>
    <n v="0.40786960756303858"/>
    <m/>
    <m/>
    <m/>
    <m/>
    <m/>
    <m/>
    <m/>
    <n v="35"/>
    <n v="0"/>
    <n v="7"/>
    <n v="75439.450568999993"/>
    <n v="33169.063793000001"/>
    <n v="0.43967796083910005"/>
    <s v="31% - 50%"/>
    <n v="9.6501310200476891E-4"/>
    <n v="26.487044000000001"/>
    <n v="3.5110335242664409E-4"/>
    <n v="0"/>
    <n v="0.8761271336625418"/>
    <s v="Aceptable"/>
    <n v="1"/>
    <s v="Candidato"/>
    <n v="0"/>
    <n v="0"/>
  </r>
  <r>
    <n v="73270"/>
    <s v="73270"/>
    <x v="15"/>
    <x v="15"/>
    <s v="FALAN"/>
    <n v="63.846933333333297"/>
    <n v="36.94"/>
    <n v="35.26"/>
    <n v="28.07"/>
    <n v="48.288359637907945"/>
    <n v="55.204929406778241"/>
    <n v="54.367972480145724"/>
    <n v="43.966900000000003"/>
    <n v="41.029233333333323"/>
    <n v="50.457040381207975"/>
    <n v="45.743136857270649"/>
    <n v="55.361065859141533"/>
    <n v="44.638934140858467"/>
    <n v="0.50175040726772624"/>
    <n v="0"/>
    <n v="22.951637547838889"/>
    <n v="4"/>
    <n v="4"/>
    <b v="1"/>
    <x v="5"/>
    <n v="51.391889569054413"/>
    <n v="0.51178869230439639"/>
    <n v="26.301787957598307"/>
    <n v="4"/>
    <n v="0"/>
    <n v="-5.6487527117837644"/>
    <n v="-1.0038285036670147E-2"/>
    <n v="-3.3501504097594186"/>
    <n v="4"/>
    <b v="1"/>
    <n v="0"/>
    <n v="0.81759069605862034"/>
    <n v="42.017530764530946"/>
    <n v="0.3549690073701422"/>
    <n v="3"/>
    <n v="-1"/>
    <n v="35.496900737014222"/>
    <n v="4"/>
    <n v="-0.3158402887908941"/>
    <b v="1"/>
    <s v="Efecto ponderador"/>
    <n v="3"/>
    <n v="-1"/>
    <n v="0"/>
    <n v="0"/>
    <n v="0"/>
    <n v="0"/>
    <n v="0"/>
    <s v="Rural disperso"/>
    <n v="6"/>
    <s v="Fuera SC"/>
    <m/>
    <s v="No"/>
    <s v="Si"/>
    <n v="39.299999999999997"/>
    <n v="18.784029038112521"/>
    <n v="54.130529226901317"/>
    <s v="Alto"/>
    <n v="17.163712419036344"/>
    <s v="Alto"/>
    <n v="18904.054791999999"/>
    <n v="3506.3990397500002"/>
    <n v="7948"/>
    <n v="2.3784668837443381"/>
    <n v="0.44116746851409161"/>
    <m/>
    <m/>
    <m/>
    <m/>
    <m/>
    <m/>
    <m/>
    <n v="89"/>
    <n v="0"/>
    <n v="7"/>
    <n v="18119.798465"/>
    <n v="10245.870852"/>
    <n v="0.56545170034814729"/>
    <s v="51% - 70%"/>
    <n v="2.9809100658775302E-4"/>
    <s v="N.D."/>
    <s v="N.D."/>
    <s v="N.D."/>
    <n v="0.95466091250815555"/>
    <s v="Aceptable"/>
    <n v="1"/>
    <s v="Candidato"/>
    <n v="0"/>
    <n v="0"/>
  </r>
  <r>
    <n v="47030"/>
    <s v="47030"/>
    <x v="17"/>
    <x v="17"/>
    <s v="ALGARROBO"/>
    <n v="89.073333333333295"/>
    <n v="76.87"/>
    <n v="77.09"/>
    <n v="75.930000000000007"/>
    <n v="42.075033940852897"/>
    <n v="46.891133155761636"/>
    <n v="50.774123955098801"/>
    <n v="57.554000000000002"/>
    <n v="79.740833333333327"/>
    <n v="49.323572762928329"/>
    <n v="64.532203048130825"/>
    <n v="54.517446822376151"/>
    <n v="45.482553177623849"/>
    <n v="0.50934297859861466"/>
    <n v="0"/>
    <n v="32.869024516065558"/>
    <n v="3"/>
    <n v="3"/>
    <b v="1"/>
    <x v="4"/>
    <n v="65.5430228321556"/>
    <n v="0.51347445628727895"/>
    <n v="33.654668012165807"/>
    <n v="3"/>
    <n v="0"/>
    <n v="-1.0108197840247755"/>
    <n v="-4.1314776886642868E-3"/>
    <n v="-0.78564349610024919"/>
    <n v="3"/>
    <b v="1"/>
    <n v="0"/>
    <n v="0.81759069605862034"/>
    <n v="53.587365659128139"/>
    <n v="0.49969544614601363"/>
    <n v="2"/>
    <n v="-1"/>
    <n v="49.969544614601361"/>
    <n v="4"/>
    <n v="-0.30824771746000568"/>
    <b v="0"/>
    <s v="Cambio en corte"/>
    <n v="2"/>
    <n v="-1"/>
    <n v="0"/>
    <n v="0"/>
    <n v="0"/>
    <n v="0"/>
    <n v="0"/>
    <s v="Rural"/>
    <n v="6"/>
    <s v="Fuera SC"/>
    <m/>
    <s v="No"/>
    <s v="No"/>
    <n v="57.3"/>
    <n v="29.480901077375123"/>
    <n v="18.654863025257356"/>
    <s v="Medio"/>
    <n v="2.150147741946618"/>
    <s v="Medio Bajo"/>
    <n v="32498.432245"/>
    <n v="5525.4260329999997"/>
    <n v="18615"/>
    <n v="1.7458196210045662"/>
    <n v="0.2968265395111469"/>
    <m/>
    <m/>
    <m/>
    <m/>
    <m/>
    <m/>
    <m/>
    <n v="42"/>
    <n v="0"/>
    <n v="7"/>
    <n v="40591.779133000004"/>
    <n v="3929.580199"/>
    <n v="9.6807291597755044E-2"/>
    <s v="0% - 30%"/>
    <n v="1.1432630119074361E-4"/>
    <s v="N.D."/>
    <s v="N.D."/>
    <s v="N.D."/>
    <n v="0.95346298069959912"/>
    <s v="Aceptable"/>
    <n v="2"/>
    <s v="Candidato"/>
    <n v="0"/>
    <n v="0"/>
  </r>
  <r>
    <n v="47258"/>
    <s v="47258"/>
    <x v="17"/>
    <x v="17"/>
    <s v="EL PIÑÓN"/>
    <n v="64.5065666666667"/>
    <n v="79.16"/>
    <n v="64.31"/>
    <n v="63.46"/>
    <n v="50.816774010365855"/>
    <n v="43.234807412612689"/>
    <n v="10.57977479513676"/>
    <n v="27.426100000000002"/>
    <n v="67.859141666666673"/>
    <n v="33.014364054528826"/>
    <n v="50.43675286059775"/>
    <n v="54.622777327196602"/>
    <n v="45.377222672803398"/>
    <n v="0.50839500405523064"/>
    <n v="0"/>
    <n v="25.641793175096257"/>
    <n v="4"/>
    <n v="4"/>
    <b v="1"/>
    <x v="5"/>
    <n v="53.496914918948377"/>
    <n v="0.51304088757091049"/>
    <n v="27.446104712322757"/>
    <n v="4"/>
    <n v="0"/>
    <n v="-3.0601620583506275"/>
    <n v="-4.6458835156798495E-3"/>
    <n v="-1.8043115372265"/>
    <n v="4"/>
    <b v="1"/>
    <n v="0"/>
    <n v="0.81759069605862034"/>
    <n v="43.738579905571797"/>
    <n v="0.37649751796776787"/>
    <n v="3"/>
    <n v="-1"/>
    <n v="37.649751796776783"/>
    <n v="4"/>
    <n v="-0.3091956920033897"/>
    <b v="1"/>
    <s v="Efecto ponderador"/>
    <n v="3"/>
    <n v="-1"/>
    <n v="0"/>
    <n v="0"/>
    <n v="0"/>
    <n v="0"/>
    <n v="0"/>
    <s v="Rural disperso"/>
    <n v="6"/>
    <s v="Fuera SC"/>
    <m/>
    <s v="No"/>
    <s v="Si"/>
    <n v="50.4"/>
    <n v="25.710654032817196"/>
    <n v="0"/>
    <s v="Sin riesgo"/>
    <n v="1.8509783078665805"/>
    <s v="Medio Bajo"/>
    <n v="20926.635768"/>
    <n v="3682.9086569999999"/>
    <n v="26170"/>
    <n v="0.79964217684371419"/>
    <n v="0.14073017413068398"/>
    <m/>
    <m/>
    <m/>
    <m/>
    <m/>
    <m/>
    <m/>
    <n v="74"/>
    <n v="0"/>
    <n v="7"/>
    <n v="55668.602422999997"/>
    <n v="47023.28026"/>
    <n v="0.84470021184817634"/>
    <s v="71% - 100%"/>
    <n v="1.3680844847878645E-3"/>
    <s v="N.D."/>
    <s v="N.D."/>
    <s v="N.D."/>
    <n v="0.85094730937261476"/>
    <s v="Aceptable"/>
    <n v="2"/>
    <s v="Candidato"/>
    <n v="0"/>
    <n v="0"/>
  </r>
  <r>
    <n v="68209"/>
    <s v="68209"/>
    <x v="0"/>
    <x v="0"/>
    <s v="CONFINES"/>
    <n v="66.797566666666697"/>
    <n v="70.3"/>
    <n v="62.92"/>
    <n v="63.86"/>
    <n v="69.493284638495609"/>
    <n v="66.058270904290964"/>
    <n v="14.153185492793268"/>
    <n v="59.353700000000003"/>
    <n v="65.969391666666681"/>
    <n v="52.264610258894955"/>
    <n v="59.117000962780821"/>
    <n v="53.968111341471449"/>
    <n v="46.031888658528551"/>
    <n v="0.51428699792675703"/>
    <n v="0"/>
    <n v="30.403104951581753"/>
    <n v="3"/>
    <n v="3"/>
    <b v="1"/>
    <x v="4"/>
    <n v="59.559249802460428"/>
    <n v="0.51585071940784444"/>
    <n v="30.72368185799073"/>
    <n v="3"/>
    <n v="0"/>
    <n v="-0.44224883967960693"/>
    <n v="-1.56372148108741E-3"/>
    <n v="-0.32057690640897718"/>
    <n v="3"/>
    <b v="1"/>
    <n v="0"/>
    <n v="0.81759069605862034"/>
    <n v="48.695088502722868"/>
    <n v="0.43849821586559545"/>
    <n v="3"/>
    <n v="0"/>
    <n v="43.849821586559543"/>
    <n v="4"/>
    <n v="-0.30330369813186331"/>
    <b v="0"/>
    <n v="0"/>
    <n v="3"/>
    <n v="0"/>
    <n v="0"/>
    <n v="0"/>
    <n v="0"/>
    <n v="0"/>
    <n v="0"/>
    <s v="Rural disperso"/>
    <n v="6"/>
    <s v="Fuera SC"/>
    <m/>
    <s v="No"/>
    <s v="Si"/>
    <n v="32.6"/>
    <n v="10.854583046175051"/>
    <n v="11.94"/>
    <s v="Bajo"/>
    <n v="0"/>
    <s v="Bajo"/>
    <n v="9908.1179400000001"/>
    <n v="2451.5352819"/>
    <n v="3613"/>
    <n v="2.7423520453916415"/>
    <n v="0.67853176913921953"/>
    <m/>
    <m/>
    <m/>
    <m/>
    <m/>
    <m/>
    <m/>
    <n v="45"/>
    <n v="0"/>
    <n v="7"/>
    <n v="7129.3563700000004"/>
    <n v="24.044975000000001"/>
    <n v="3.3726712135165714E-3"/>
    <s v="0% - 30%"/>
    <n v="6.995589642561461E-7"/>
    <s v="N.D."/>
    <s v="N.D."/>
    <s v="N.D."/>
    <n v="0.95249597870382441"/>
    <s v="Aceptable"/>
    <n v="2"/>
    <s v="Candidato"/>
    <n v="0"/>
    <n v="0"/>
  </r>
  <r>
    <n v="15757"/>
    <s v="15757"/>
    <x v="10"/>
    <x v="10"/>
    <s v="SOCHA"/>
    <n v="54.605400000000003"/>
    <n v="44.2"/>
    <n v="48.42"/>
    <n v="76.209999999999994"/>
    <n v="51.983259409847847"/>
    <n v="74.139905915427647"/>
    <n v="72.045244307860827"/>
    <n v="72.880200000000002"/>
    <n v="55.858850000000004"/>
    <n v="67.762152408284081"/>
    <n v="61.810501204142042"/>
    <n v="55.175021588468866"/>
    <n v="44.824978411531134"/>
    <n v="0.50342480570378023"/>
    <n v="0"/>
    <n v="31.116939559148481"/>
    <n v="3"/>
    <n v="3"/>
    <b v="1"/>
    <x v="4"/>
    <n v="57.379472722295624"/>
    <n v="0.51382975682030119"/>
    <n v="29.483280515374265"/>
    <n v="3"/>
    <n v="0"/>
    <n v="4.4310284818464183"/>
    <n v="-1.0404951116520955E-2"/>
    <n v="1.633659043774216"/>
    <n v="3"/>
    <b v="1"/>
    <n v="0"/>
    <n v="0.81759069605862034"/>
    <n v="46.912923042498299"/>
    <n v="0.41620520453765436"/>
    <n v="3"/>
    <n v="0"/>
    <n v="41.620520453765437"/>
    <n v="4"/>
    <n v="-0.3141658903548401"/>
    <b v="0"/>
    <n v="0"/>
    <n v="3"/>
    <n v="0"/>
    <n v="0"/>
    <n v="0"/>
    <n v="0"/>
    <n v="0"/>
    <n v="0"/>
    <s v="Intermedio"/>
    <n v="6"/>
    <s v="Fuera SC"/>
    <m/>
    <s v="No"/>
    <s v="No"/>
    <n v="20.8"/>
    <n v="9.0169401093770833"/>
    <n v="44.461979611786056"/>
    <s v="Alto"/>
    <n v="2.1898362666859249E-2"/>
    <s v="Bajo"/>
    <n v="28297.877110000001"/>
    <n v="7359.4392068999996"/>
    <n v="8424"/>
    <n v="3.3591971877967715"/>
    <n v="0.87362763614672356"/>
    <m/>
    <m/>
    <m/>
    <m/>
    <m/>
    <m/>
    <m/>
    <n v="82"/>
    <n v="1"/>
    <n v="6"/>
    <n v="14988.258685000001"/>
    <n v="10141.418092"/>
    <n v="0.67662416996774699"/>
    <s v="51% - 70%"/>
    <n v="2.9505208204741576E-4"/>
    <s v="N.D."/>
    <s v="N.D."/>
    <s v="N.D."/>
    <n v="0.94321037270108243"/>
    <s v="Aceptable"/>
    <n v="3"/>
    <s v="Candidato"/>
    <n v="0"/>
    <n v="0"/>
  </r>
  <r>
    <n v="73861"/>
    <s v="73861"/>
    <x v="15"/>
    <x v="15"/>
    <s v="VENADILLO"/>
    <n v="47.413266666666701"/>
    <n v="64.63"/>
    <n v="67.14"/>
    <n v="56.1"/>
    <n v="56.949028336298973"/>
    <n v="51.433246553513008"/>
    <n v="62.171605441205131"/>
    <n v="54.489600000000003"/>
    <n v="58.820816666666673"/>
    <n v="56.26087008275428"/>
    <n v="57.540843374710477"/>
    <n v="55.364537425306125"/>
    <n v="44.635462574693875"/>
    <n v="0.50171916317224485"/>
    <n v="0"/>
    <n v="28.869343786184949"/>
    <n v="4"/>
    <n v="4"/>
    <b v="1"/>
    <x v="4"/>
    <n v="56.77281253147207"/>
    <n v="0.51098702579664268"/>
    <n v="29.010170621567276"/>
    <n v="3"/>
    <n v="0"/>
    <n v="0.76803084323840665"/>
    <n v="-9.2678626243978268E-3"/>
    <n v="-0.14082683538232743"/>
    <n v="3"/>
    <b v="1"/>
    <n v="0"/>
    <n v="0.81759069605862034"/>
    <n v="46.416923314811811"/>
    <n v="0.41000077077729113"/>
    <n v="3"/>
    <n v="0"/>
    <n v="41.000077077729117"/>
    <n v="4"/>
    <n v="-0.31587153288637548"/>
    <b v="0"/>
    <n v="0"/>
    <n v="3"/>
    <n v="0"/>
    <n v="0"/>
    <n v="0"/>
    <n v="0"/>
    <n v="0"/>
    <n v="1"/>
    <s v="Rural"/>
    <n v="6"/>
    <s v="Fuera SC"/>
    <m/>
    <s v="No"/>
    <s v="Si"/>
    <n v="36.299999999999997"/>
    <n v="17.979197622585438"/>
    <n v="26.370001884516807"/>
    <s v="Medio"/>
    <n v="1.8744930899548409"/>
    <s v="Medio Bajo"/>
    <n v="31314.341107"/>
    <n v="8580.0358665000003"/>
    <n v="13031"/>
    <n v="2.4030650838001688"/>
    <n v="0.65843265033381937"/>
    <m/>
    <m/>
    <m/>
    <m/>
    <m/>
    <m/>
    <m/>
    <n v="18"/>
    <n v="0"/>
    <n v="7"/>
    <n v="33439.856419000003"/>
    <n v="18891.190519"/>
    <n v="0.5649303717783406"/>
    <s v="51% - 70%"/>
    <n v="5.4961594566170968E-4"/>
    <s v="N.D."/>
    <s v="N.D."/>
    <s v="N.D."/>
    <n v="0.89377411351465619"/>
    <s v="Aceptable"/>
    <n v="1"/>
    <s v="No es Candidato"/>
    <n v="0"/>
    <n v="0"/>
  </r>
  <r>
    <n v="47170"/>
    <s v="47170"/>
    <x v="17"/>
    <x v="17"/>
    <s v="CHIVOLO"/>
    <n v="49.848399999999998"/>
    <n v="36.28"/>
    <n v="42"/>
    <n v="35.58"/>
    <n v="46.94931018359906"/>
    <n v="48.231612575596138"/>
    <n v="59.005711990671287"/>
    <n v="63.362400000000001"/>
    <n v="40.927099999999996"/>
    <n v="54.38725868746662"/>
    <n v="47.657179343733304"/>
    <n v="54.671845247467623"/>
    <n v="45.328154752532377"/>
    <n v="0.50795339277279139"/>
    <n v="0"/>
    <n v="24.207625937630723"/>
    <n v="4"/>
    <n v="4"/>
    <b v="1"/>
    <x v="5"/>
    <n v="48.649347628930457"/>
    <n v="0.51289768636110811"/>
    <n v="24.952137841855691"/>
    <n v="4"/>
    <n v="0"/>
    <n v="-0.9921682851971525"/>
    <n v="-4.9442935883167172E-3"/>
    <n v="-0.74451190422496794"/>
    <n v="4"/>
    <b v="1"/>
    <n v="0"/>
    <n v="0.81759069605862034"/>
    <n v="39.775253990735045"/>
    <n v="0.32692048851246414"/>
    <n v="4"/>
    <n v="0"/>
    <n v="32.692048851246412"/>
    <n v="4"/>
    <n v="-0.30963730328582895"/>
    <b v="1"/>
    <n v="0"/>
    <n v="4"/>
    <n v="0"/>
    <n v="0"/>
    <n v="0"/>
    <n v="0"/>
    <n v="0"/>
    <n v="0"/>
    <s v="Rural"/>
    <n v="6"/>
    <s v="Fuera SC"/>
    <m/>
    <s v="No"/>
    <s v="Si"/>
    <n v="53.3"/>
    <n v="44.908831282952548"/>
    <n v="22.321428571428573"/>
    <s v="Medio"/>
    <n v="1.0061393425086564"/>
    <s v="Medio Bajo"/>
    <n v="41983.223729999998"/>
    <n v="6655.9223400000001"/>
    <n v="25934"/>
    <n v="1.6188487595434564"/>
    <n v="0.25664850543687823"/>
    <m/>
    <m/>
    <m/>
    <m/>
    <m/>
    <m/>
    <m/>
    <n v="74"/>
    <n v="0"/>
    <n v="7"/>
    <n v="53609.968746999999"/>
    <n v="0"/>
    <n v="0"/>
    <n v="0"/>
    <n v="0"/>
    <s v="N.D."/>
    <s v="N.D."/>
    <s v="N.D."/>
    <n v="0.92778447357250049"/>
    <s v="Aceptable"/>
    <n v="2"/>
    <s v="Candidato"/>
    <n v="0"/>
    <n v="0"/>
  </r>
  <r>
    <n v="25845"/>
    <s v="25845"/>
    <x v="5"/>
    <x v="5"/>
    <s v="UNE"/>
    <n v="60.361699999999999"/>
    <n v="51"/>
    <n v="50.45"/>
    <n v="74.41"/>
    <n v="68.512527832422833"/>
    <n v="53.909326226770901"/>
    <n v="62.593006712495203"/>
    <n v="62.070500000000003"/>
    <n v="59.055425"/>
    <n v="61.771340192922239"/>
    <n v="60.413382596461119"/>
    <n v="56.690072653396697"/>
    <n v="43.309927346603303"/>
    <n v="0.48978934611942981"/>
    <n v="0"/>
    <n v="29.589831158783632"/>
    <n v="3"/>
    <n v="3"/>
    <b v="1"/>
    <x v="4"/>
    <n v="57.510494444380754"/>
    <n v="0.51110928912928577"/>
    <n v="29.394147932941184"/>
    <n v="3"/>
    <n v="0"/>
    <n v="2.9028881520803651"/>
    <n v="-2.1319943009855957E-2"/>
    <n v="0.19568322584244768"/>
    <n v="3"/>
    <b v="1"/>
    <n v="0"/>
    <n v="0.81759069605862034"/>
    <n v="47.020045183456681"/>
    <n v="0.41754518960366366"/>
    <n v="3"/>
    <n v="0"/>
    <n v="41.754518960366369"/>
    <n v="4"/>
    <n v="-0.32780134993919052"/>
    <b v="0"/>
    <n v="0"/>
    <n v="3"/>
    <n v="0"/>
    <n v="0"/>
    <n v="0"/>
    <n v="0"/>
    <n v="0"/>
    <n v="0"/>
    <s v="Rural"/>
    <n v="6"/>
    <s v="Fuera SC"/>
    <m/>
    <s v="No"/>
    <s v="Si"/>
    <n v="29.6"/>
    <n v="11.925807853934213"/>
    <n v="4.1277991196478592"/>
    <s v="Sin riesgo"/>
    <n v="1.0541311421801729"/>
    <s v="Medio Bajo"/>
    <n v="15752.809073"/>
    <n v="3941.2988949999999"/>
    <n v="6730"/>
    <n v="2.3406848548291235"/>
    <n v="0.5856313365527489"/>
    <m/>
    <m/>
    <m/>
    <m/>
    <m/>
    <m/>
    <m/>
    <n v="40"/>
    <n v="0"/>
    <n v="7"/>
    <n v="20886.648099999999"/>
    <n v="11319.460080000001"/>
    <n v="0.54194718203731318"/>
    <s v="51% - 70%"/>
    <n v="3.2932576430225413E-4"/>
    <s v="N.D."/>
    <s v="N.D."/>
    <s v="N.D."/>
    <n v="0.88440518148279312"/>
    <s v="Aceptable"/>
    <n v="3"/>
    <s v="Candidato"/>
    <n v="0"/>
    <n v="0"/>
  </r>
  <r>
    <n v="41791"/>
    <s v="41791"/>
    <x v="19"/>
    <x v="19"/>
    <s v="TARQUI"/>
    <n v="66.532866666666706"/>
    <n v="63.67"/>
    <n v="45.9"/>
    <n v="64.040000000000006"/>
    <n v="54.17061055085918"/>
    <n v="55.691063595231881"/>
    <n v="59.503032521996957"/>
    <n v="50.886099999999999"/>
    <n v="60.035716666666673"/>
    <n v="55.062701667022004"/>
    <n v="57.549209166844335"/>
    <n v="55.155602634315002"/>
    <n v="44.844397365684998"/>
    <n v="0.50359957629116503"/>
    <n v="0"/>
    <n v="28.981757352314439"/>
    <n v="4"/>
    <n v="4"/>
    <b v="1"/>
    <x v="4"/>
    <n v="57.381205117119819"/>
    <n v="0.51247363553736847"/>
    <n v="29.406354797885843"/>
    <n v="3"/>
    <n v="0"/>
    <n v="0.16800404972451588"/>
    <n v="-8.8740592462034362E-3"/>
    <n v="-0.42459744557140411"/>
    <n v="3"/>
    <b v="1"/>
    <n v="0"/>
    <n v="0.81759069605862034"/>
    <n v="46.914339432388459"/>
    <n v="0.4162229220821646"/>
    <n v="3"/>
    <n v="0"/>
    <n v="41.622292208216457"/>
    <n v="4"/>
    <n v="-0.31399111976745531"/>
    <b v="0"/>
    <n v="0"/>
    <n v="3"/>
    <n v="0"/>
    <n v="0"/>
    <n v="0"/>
    <n v="0"/>
    <n v="0"/>
    <n v="0"/>
    <s v="Intermedio"/>
    <n v="6"/>
    <s v="Fuera SC"/>
    <m/>
    <s v="No"/>
    <s v="Si"/>
    <n v="47.1"/>
    <n v="13.601936925751179"/>
    <n v="4.3000000000000007"/>
    <s v="Sin riesgo"/>
    <n v="1.9400742035549448"/>
    <s v="Medio Bajo"/>
    <n v="33938.614587999997"/>
    <n v="4853.9842232999999"/>
    <n v="18649"/>
    <n v="1.8198624370207517"/>
    <n v="0.26028120667596116"/>
    <m/>
    <m/>
    <m/>
    <m/>
    <m/>
    <m/>
    <m/>
    <n v="54"/>
    <n v="0"/>
    <n v="7"/>
    <n v="36279.091738000003"/>
    <n v="7928.9669910000002"/>
    <n v="0.21855472701084519"/>
    <s v="0% - 30%"/>
    <n v="2.306835393193435E-4"/>
    <s v="N.D."/>
    <s v="N.D."/>
    <s v="N.D."/>
    <n v="0.94484245854906335"/>
    <s v="Aceptable"/>
    <n v="2"/>
    <s v="Candidato"/>
    <n v="0"/>
    <n v="0"/>
  </r>
  <r>
    <n v="20228"/>
    <s v="20228"/>
    <x v="20"/>
    <x v="20"/>
    <s v="CURUMANÍ"/>
    <n v="72.869066666666697"/>
    <n v="49.82"/>
    <n v="38.799999999999997"/>
    <n v="51.68"/>
    <n v="53.334895573751503"/>
    <n v="55.681744759105129"/>
    <n v="50.042779935597295"/>
    <n v="54.902500000000003"/>
    <n v="53.292266666666677"/>
    <n v="53.490480067113488"/>
    <n v="53.391373366890079"/>
    <n v="54.781673657415439"/>
    <n v="45.218326342584561"/>
    <n v="0.50696493708326107"/>
    <n v="0"/>
    <n v="27.067554239734328"/>
    <n v="4"/>
    <n v="4"/>
    <b v="1"/>
    <x v="5"/>
    <n v="55.350771694397061"/>
    <n v="0.51218436021386027"/>
    <n v="28.349799587638206"/>
    <n v="3"/>
    <n v="-1"/>
    <n v="-1.9593983275069817"/>
    <n v="-5.2194231305991989E-3"/>
    <n v="-1.2822453479038778"/>
    <n v="4"/>
    <b v="1"/>
    <s v="Efecto ponderador"/>
    <n v="0.81759069605862034"/>
    <n v="45.25427595700387"/>
    <n v="0.39545727787694773"/>
    <n v="3"/>
    <n v="-1"/>
    <n v="39.545727787694773"/>
    <n v="4"/>
    <n v="-0.31062575897535927"/>
    <b v="1"/>
    <s v="Efecto ponderador"/>
    <n v="3"/>
    <n v="-1"/>
    <n v="0"/>
    <n v="0"/>
    <n v="0"/>
    <n v="0"/>
    <n v="1"/>
    <s v="Intermedio"/>
    <n v="6"/>
    <s v="Fuera SC"/>
    <m/>
    <s v="No"/>
    <s v="No"/>
    <n v="45.8"/>
    <n v="28.662475238997501"/>
    <n v="2.211851851851852"/>
    <s v="Sin riesgo"/>
    <n v="6.280825819211608"/>
    <s v="Medio"/>
    <n v="82303.585533000005"/>
    <n v="13301.130999999999"/>
    <n v="44811"/>
    <n v="1.836682634464752"/>
    <n v="0.29682736381691993"/>
    <m/>
    <m/>
    <m/>
    <m/>
    <m/>
    <m/>
    <m/>
    <n v="92"/>
    <n v="0"/>
    <n v="7"/>
    <n v="91366.927714999998"/>
    <n v="40237.939879999998"/>
    <n v="0.44039939709381304"/>
    <s v="31% - 50%"/>
    <n v="1.1706733546719792E-3"/>
    <s v="N.D."/>
    <s v="N.D."/>
    <s v="N.D."/>
    <n v="0.71834923246441451"/>
    <s v="Crítico Medio"/>
    <n v="0"/>
    <s v="Candidato"/>
    <n v="1"/>
    <s v="Unidad Especial de Desarrollo Fronterizo"/>
  </r>
  <r>
    <n v="5837"/>
    <s v="05837"/>
    <x v="1"/>
    <x v="1"/>
    <s v="TURBO"/>
    <n v="57.947299999999998"/>
    <n v="51.83"/>
    <n v="45.25"/>
    <n v="67.260000000000005"/>
    <n v="41.333431907415346"/>
    <n v="40.770034955865739"/>
    <n v="41.192011313069528"/>
    <n v="41.94"/>
    <n v="55.571825000000004"/>
    <n v="41.308869544087656"/>
    <n v="48.44034727204383"/>
    <n v="55.475283542746048"/>
    <n v="44.524716457253952"/>
    <n v="0.50072244811528566"/>
    <n v="0"/>
    <n v="24.255169273612385"/>
    <n v="4"/>
    <n v="4"/>
    <b v="1"/>
    <x v="5"/>
    <n v="47.584120151065648"/>
    <n v="0.51198484133409516"/>
    <n v="24.362348205565866"/>
    <n v="4"/>
    <n v="0"/>
    <n v="0.85622712097818265"/>
    <n v="-1.1262393218809508E-2"/>
    <n v="-0.10717893195348083"/>
    <n v="4"/>
    <b v="1"/>
    <n v="0"/>
    <n v="0.81759069605862034"/>
    <n v="38.904333915646788"/>
    <n v="0.31602619640940244"/>
    <n v="4"/>
    <n v="0"/>
    <n v="31.602619640940244"/>
    <n v="4"/>
    <n v="-0.31686824794333468"/>
    <b v="1"/>
    <n v="0"/>
    <n v="3"/>
    <n v="-1"/>
    <n v="0"/>
    <n v="1"/>
    <n v="1"/>
    <n v="1"/>
    <n v="1"/>
    <s v="Ciudades y aglomeraciones"/>
    <n v="5"/>
    <s v="Uninodal"/>
    <m/>
    <s v="Si"/>
    <s v="Si"/>
    <n v="49.9"/>
    <n v="39.15000175112948"/>
    <n v="32.764901916839811"/>
    <s v="Medio"/>
    <n v="6.398518825958539"/>
    <s v="Medio"/>
    <n v="406927.34745200002"/>
    <n v="45857.037413999999"/>
    <n v="130019"/>
    <n v="3.1297529395857531"/>
    <n v="0.35269489393088699"/>
    <m/>
    <m/>
    <m/>
    <m/>
    <m/>
    <m/>
    <m/>
    <n v="35"/>
    <n v="1"/>
    <n v="5"/>
    <n v="291920.64763199998"/>
    <n v="56549.437582999999"/>
    <n v="0.19371510046211995"/>
    <s v="0% - 30%"/>
    <n v="1.6452363117379436E-3"/>
    <n v="49832.899436"/>
    <n v="0.17070700493519109"/>
    <s v="0% - 30%"/>
    <n v="0.86583156316197063"/>
    <s v="Aceptable"/>
    <n v="2"/>
    <s v="Candidato"/>
    <n v="0"/>
    <n v="0"/>
  </r>
  <r>
    <n v="15761"/>
    <s v="15761"/>
    <x v="10"/>
    <x v="10"/>
    <s v="SOMONDOCO"/>
    <n v="65.3975333333333"/>
    <n v="62.85"/>
    <n v="70.56"/>
    <n v="64.42"/>
    <n v="46.090792523351126"/>
    <n v="39.493648219984095"/>
    <n v="39.27256373350756"/>
    <n v="53.459099999999999"/>
    <n v="65.806883333333332"/>
    <n v="44.579026119210695"/>
    <n v="55.192954726272013"/>
    <n v="55.323394927133663"/>
    <n v="44.676605072866337"/>
    <n v="0.50208944565579705"/>
    <n v="0"/>
    <n v="27.711800042619419"/>
    <n v="4"/>
    <n v="4"/>
    <b v="1"/>
    <x v="5"/>
    <n v="54.733198363638337"/>
    <n v="0.51323100440037683"/>
    <n v="28.090774370215165"/>
    <n v="3"/>
    <n v="-1"/>
    <n v="0.45975636263367647"/>
    <n v="-1.1141558744579783E-2"/>
    <n v="-0.37897432759574556"/>
    <n v="4"/>
    <b v="1"/>
    <s v="Efecto ponderador"/>
    <n v="0.81759069605862034"/>
    <n v="44.749353747641607"/>
    <n v="0.38914123327600275"/>
    <n v="3"/>
    <n v="-1"/>
    <n v="38.914123327600272"/>
    <n v="4"/>
    <n v="-0.31550125040282329"/>
    <b v="1"/>
    <s v="Efecto ponderador"/>
    <n v="3"/>
    <n v="-1"/>
    <n v="0"/>
    <n v="0"/>
    <n v="0"/>
    <n v="0"/>
    <n v="0"/>
    <s v="Rural"/>
    <n v="6"/>
    <s v="Fuera SC"/>
    <m/>
    <s v="No"/>
    <s v="No"/>
    <n v="41"/>
    <n v="8.9255499153976317"/>
    <n v="59.517381260794473"/>
    <s v="Alto"/>
    <n v="0"/>
    <s v="Bajo"/>
    <n v="9693.0724050000008"/>
    <n v="2139.2286320499998"/>
    <n v="2963"/>
    <n v="3.2713710445494435"/>
    <n v="0.72198063855889294"/>
    <m/>
    <m/>
    <m/>
    <m/>
    <m/>
    <m/>
    <m/>
    <n v="98"/>
    <n v="0"/>
    <n v="7"/>
    <n v="5869.6777080000002"/>
    <n v="1169.312353"/>
    <n v="0.19921236074108484"/>
    <s v="0% - 30%"/>
    <n v="3.4019704264886827E-5"/>
    <s v="N.D."/>
    <s v="N.D."/>
    <s v="N.D."/>
    <n v="0.96513369594830256"/>
    <s v="Aceptable"/>
    <n v="2"/>
    <s v="Candidato"/>
    <n v="0"/>
    <n v="0"/>
  </r>
  <r>
    <n v="44650"/>
    <s v="44650"/>
    <x v="21"/>
    <x v="21"/>
    <s v="SAN JUAN DEL CESAR"/>
    <n v="93.986833333333294"/>
    <n v="89.52"/>
    <n v="88.02"/>
    <n v="94.42"/>
    <n v="65.814363327406298"/>
    <n v="70.450867192745136"/>
    <n v="61.76589037099842"/>
    <n v="62.8596"/>
    <n v="91.486708333333326"/>
    <n v="65.22268022278746"/>
    <n v="78.354694278060393"/>
    <n v="55.176791506791567"/>
    <n v="44.823208493208433"/>
    <n v="0.50340887643887589"/>
    <n v="0"/>
    <n v="39.444448610229998"/>
    <n v="2"/>
    <n v="2"/>
    <b v="1"/>
    <x v="3"/>
    <n v="77.972463850004814"/>
    <n v="0.51188799411205188"/>
    <n v="39.913168116153443"/>
    <n v="2"/>
    <n v="0"/>
    <n v="0.38223042805557839"/>
    <n v="-8.4791176731759954E-3"/>
    <n v="-0.46871950592344547"/>
    <n v="2"/>
    <b v="1"/>
    <n v="0"/>
    <n v="0.81759069605862034"/>
    <n v="63.749560992531045"/>
    <n v="0.62681379780330282"/>
    <n v="2"/>
    <n v="0"/>
    <n v="62.681379780330282"/>
    <n v="3"/>
    <n v="-0.31418181961974445"/>
    <b v="0"/>
    <n v="0"/>
    <n v="2"/>
    <n v="0"/>
    <n v="0"/>
    <n v="0"/>
    <n v="0"/>
    <n v="1"/>
    <n v="1"/>
    <s v="Intermedio"/>
    <n v="6"/>
    <s v="Fuera SC"/>
    <m/>
    <s v="No"/>
    <s v="No"/>
    <n v="36.6"/>
    <n v="24.23778821986668"/>
    <n v="3.4013636363636364"/>
    <s v="Sin riesgo"/>
    <n v="1.3453655346673197"/>
    <s v="Medio Bajo"/>
    <n v="120724.1869"/>
    <n v="14968.008382"/>
    <n v="57850"/>
    <n v="2.0868485203111495"/>
    <n v="0.25873826070872946"/>
    <m/>
    <m/>
    <m/>
    <m/>
    <m/>
    <m/>
    <m/>
    <n v="76"/>
    <n v="0"/>
    <n v="6"/>
    <n v="130798.197573"/>
    <n v="64241.253764000001"/>
    <n v="0.49114785185129334"/>
    <s v="31% - 50%"/>
    <n v="1.869020240015225E-3"/>
    <n v="31666.708345999999"/>
    <n v="0.24210355290505009"/>
    <s v="0% - 30%"/>
    <n v="0.9298720789710313"/>
    <s v="Aceptable"/>
    <n v="3"/>
    <s v="Candidato"/>
    <n v="1"/>
    <s v="Zona de Fronteras"/>
  </r>
  <r>
    <n v="68524"/>
    <s v="68524"/>
    <x v="0"/>
    <x v="0"/>
    <s v="PALMAS DEL SOCORRO"/>
    <n v="71.787466666666703"/>
    <n v="73.849999999999994"/>
    <n v="60.79"/>
    <n v="60.94"/>
    <n v="58.987563332269701"/>
    <n v="61.393605984942134"/>
    <n v="51.811089091014878"/>
    <n v="54.268900000000002"/>
    <n v="66.841866666666675"/>
    <n v="56.615289602056677"/>
    <n v="61.728578134361676"/>
    <n v="54.495488238961208"/>
    <n v="45.504511761038792"/>
    <n v="0.50954060584934913"/>
    <n v="0"/>
    <n v="31.453217100801535"/>
    <n v="3"/>
    <n v="3"/>
    <b v="1"/>
    <x v="4"/>
    <n v="62.061204577593088"/>
    <n v="0.51455114307402838"/>
    <n v="31.933663755951645"/>
    <n v="3"/>
    <n v="0"/>
    <n v="-0.33262644323141188"/>
    <n v="-5.0105372246792568E-3"/>
    <n v="-0.48044665515011076"/>
    <n v="3"/>
    <b v="1"/>
    <n v="0"/>
    <n v="0.81759069605862034"/>
    <n v="50.740663448830766"/>
    <n v="0.46408620220216701"/>
    <n v="3"/>
    <n v="0"/>
    <n v="46.408620220216704"/>
    <n v="4"/>
    <n v="-0.30805009020927121"/>
    <b v="0"/>
    <n v="0"/>
    <n v="3"/>
    <n v="0"/>
    <n v="0"/>
    <n v="0"/>
    <n v="0"/>
    <n v="0"/>
    <n v="0"/>
    <s v="Rural"/>
    <n v="6"/>
    <s v="Fuera SC"/>
    <m/>
    <s v="No"/>
    <s v="No"/>
    <n v="27.3"/>
    <n v="12.088815789473685"/>
    <n v="21.052304804804805"/>
    <s v="Medio"/>
    <n v="0"/>
    <s v="Bajo"/>
    <n v="8700.4581789999993"/>
    <n v="2128.4746279999999"/>
    <n v="2789"/>
    <n v="3.1195619143062028"/>
    <n v="0.7631676686984582"/>
    <m/>
    <m/>
    <m/>
    <m/>
    <m/>
    <m/>
    <m/>
    <n v="45"/>
    <n v="0"/>
    <n v="7"/>
    <n v="5843.7725680000003"/>
    <n v="709.35199599999999"/>
    <n v="0.1213859690372536"/>
    <s v="0% - 30%"/>
    <n v="2.0637723583193159E-5"/>
    <s v="N.D."/>
    <s v="N.D."/>
    <s v="N.D."/>
    <n v="0.96943521663391985"/>
    <s v="Aceptable"/>
    <n v="2"/>
    <s v="Candidato"/>
    <n v="0"/>
    <n v="0"/>
  </r>
  <r>
    <n v="41483"/>
    <s v="41483"/>
    <x v="19"/>
    <x v="19"/>
    <s v="NÁTAGA"/>
    <n v="66.862566666666694"/>
    <n v="55.76"/>
    <n v="37.5"/>
    <n v="76.61"/>
    <n v="48.233921946830883"/>
    <n v="49.331467587276848"/>
    <n v="55.3055087332759"/>
    <n v="54.673999999999999"/>
    <n v="59.183141666666671"/>
    <n v="51.886224566845911"/>
    <n v="55.534683116756291"/>
    <n v="55.075662880767794"/>
    <n v="44.924337119232206"/>
    <n v="0.50431903407308987"/>
    <n v="0"/>
    <n v="28.007197746997665"/>
    <n v="4"/>
    <n v="4"/>
    <b v="1"/>
    <x v="5"/>
    <n v="54.109429109936542"/>
    <n v="0.51130035168194432"/>
    <n v="27.66617013321979"/>
    <n v="4"/>
    <n v="0"/>
    <n v="1.425254006819749"/>
    <n v="-6.9813176088544537E-3"/>
    <n v="0.34102761377787516"/>
    <n v="3"/>
    <b v="0"/>
    <n v="0"/>
    <n v="0.81759069605862034"/>
    <n v="44.239365809327587"/>
    <n v="0.38276182174565293"/>
    <n v="3"/>
    <n v="-1"/>
    <n v="38.276182174565292"/>
    <n v="4"/>
    <n v="-0.31327166198553047"/>
    <b v="1"/>
    <s v="Efecto ponderador"/>
    <n v="3"/>
    <n v="-1"/>
    <n v="0"/>
    <n v="0"/>
    <n v="0"/>
    <n v="0"/>
    <n v="0"/>
    <s v="Intermedio"/>
    <n v="6"/>
    <s v="Fuera SC"/>
    <m/>
    <s v="No"/>
    <s v="Si"/>
    <n v="46.9"/>
    <n v="18.921552704239076"/>
    <n v="8.1289999999999996"/>
    <s v="Bajo"/>
    <n v="5.2916877381849119"/>
    <s v="Medio Bajo"/>
    <n v="17339.637794999999"/>
    <n v="3143.0026519000003"/>
    <n v="7007"/>
    <n v="2.4746164970743538"/>
    <n v="0.44855182701584134"/>
    <m/>
    <m/>
    <m/>
    <m/>
    <m/>
    <m/>
    <m/>
    <n v="30"/>
    <n v="0"/>
    <n v="7"/>
    <n v="13192.36074"/>
    <n v="138.37365600000001"/>
    <n v="1.0488923000751722E-2"/>
    <s v="0% - 30%"/>
    <n v="4.025811275399382E-6"/>
    <n v="872.98240599999997"/>
    <n v="6.6173327367638368E-2"/>
    <s v="0% - 30%"/>
    <n v="0.97081478035508928"/>
    <s v="Aceptable"/>
    <n v="2"/>
    <s v="Candidato"/>
    <n v="0"/>
    <n v="0"/>
  </r>
  <r>
    <n v="15051"/>
    <s v="15051"/>
    <x v="10"/>
    <x v="10"/>
    <s v="ARCABUCO"/>
    <n v="63.246299999999998"/>
    <n v="65.48"/>
    <n v="65.58"/>
    <n v="0"/>
    <n v="54.826969603483988"/>
    <n v="58.915158047580348"/>
    <n v="71.081983327045918"/>
    <n v="62.051099999999998"/>
    <n v="48.576575000000005"/>
    <n v="61.718802744527558"/>
    <n v="55.147688872263785"/>
    <n v="55.213376417312787"/>
    <n v="44.786623582687213"/>
    <n v="0.50307961224418496"/>
    <n v="0"/>
    <n v="27.74367793402142"/>
    <n v="4"/>
    <n v="4"/>
    <b v="1"/>
    <x v="5"/>
    <n v="60.59575771781676"/>
    <n v="0.51142491135019974"/>
    <n v="30.990180019032618"/>
    <n v="3"/>
    <n v="-1"/>
    <n v="-5.4480688455529744"/>
    <n v="-8.3452991060147808E-3"/>
    <n v="-3.2465020850111976"/>
    <n v="4"/>
    <b v="1"/>
    <s v="Efecto ponderador"/>
    <n v="0.81759069605862034"/>
    <n v="49.542527730709317"/>
    <n v="0.44909878732255942"/>
    <n v="3"/>
    <n v="-1"/>
    <n v="44.90987873225594"/>
    <n v="4"/>
    <n v="-0.31451108381443538"/>
    <b v="1"/>
    <s v="Efecto ponderador"/>
    <n v="3"/>
    <n v="-1"/>
    <n v="0"/>
    <n v="0"/>
    <n v="0"/>
    <n v="0"/>
    <n v="0"/>
    <s v="Rural"/>
    <n v="6"/>
    <s v="Fuera SC"/>
    <m/>
    <s v="No"/>
    <s v="No"/>
    <n v="24.8"/>
    <n v="8.9407013034697993"/>
    <n v="36.149827629711403"/>
    <s v="Alto"/>
    <n v="0"/>
    <s v="Bajo"/>
    <n v="19005.620019000002"/>
    <n v="4190.9568037999998"/>
    <n v="6370"/>
    <n v="2.9836138177394038"/>
    <n v="0.65792100530612241"/>
    <m/>
    <m/>
    <m/>
    <m/>
    <m/>
    <m/>
    <m/>
    <n v="68"/>
    <n v="0"/>
    <n v="7"/>
    <n v="13766.889198999999"/>
    <n v="7137.4466499999999"/>
    <n v="0.51845021390296731"/>
    <s v="51% - 70%"/>
    <n v="2.0765522883294741E-4"/>
    <s v="N.D."/>
    <s v="N.D."/>
    <s v="N.D."/>
    <n v="0.96945376251187021"/>
    <s v="Aceptable"/>
    <n v="2"/>
    <s v="Candidato"/>
    <n v="0"/>
    <n v="0"/>
  </r>
  <r>
    <n v="13650"/>
    <s v="13650"/>
    <x v="8"/>
    <x v="8"/>
    <s v="SAN FERNANDO"/>
    <n v="65.5409333333333"/>
    <n v="64.900000000000006"/>
    <n v="66.28"/>
    <n v="64.62"/>
    <n v="58.564462871314504"/>
    <n v="41.359005697534478"/>
    <n v="50.290058156688609"/>
    <n v="46.107199999999999"/>
    <n v="65.335233333333321"/>
    <n v="49.080181681384403"/>
    <n v="57.207707507358862"/>
    <n v="55.824862203144718"/>
    <n v="44.175137796855282"/>
    <n v="0.49757624017169755"/>
    <n v="0"/>
    <n v="28.465196010353818"/>
    <n v="4"/>
    <n v="4"/>
    <b v="1"/>
    <x v="4"/>
    <n v="56.129426601576483"/>
    <n v="0.51096474274239823"/>
    <n v="28.680158023752853"/>
    <n v="3"/>
    <n v="0"/>
    <n v="1.0782809057823783"/>
    <n v="-1.3388502570700678E-2"/>
    <n v="-0.21496201339903465"/>
    <n v="3"/>
    <b v="1"/>
    <n v="0"/>
    <n v="0.81759069605862034"/>
    <n v="45.890896964554159"/>
    <n v="0.40342073561960623"/>
    <n v="3"/>
    <n v="0"/>
    <n v="40.342073561960625"/>
    <n v="4"/>
    <n v="-0.32001445588692279"/>
    <b v="0"/>
    <n v="0"/>
    <n v="4"/>
    <n v="1"/>
    <n v="0"/>
    <n v="0"/>
    <n v="0"/>
    <n v="0"/>
    <n v="0"/>
    <s v="Rural disperso"/>
    <n v="6"/>
    <s v="Fuera SC"/>
    <m/>
    <s v="No"/>
    <s v="Si"/>
    <n v="64.3"/>
    <n v="40.732405891980363"/>
    <n v="42.274230769230762"/>
    <s v="Alto"/>
    <n v="0.90255647249301074"/>
    <s v="Medio Bajo"/>
    <n v="29966.610489999999"/>
    <n v="4748.4866849999999"/>
    <n v="12766"/>
    <n v="2.3473766637944538"/>
    <n v="0.37196355044649848"/>
    <m/>
    <m/>
    <m/>
    <m/>
    <m/>
    <m/>
    <m/>
    <n v="60"/>
    <n v="0"/>
    <n v="7"/>
    <n v="31777.725966999998"/>
    <n v="1907.5841829999999"/>
    <n v="6.0028970763388041E-2"/>
    <s v="0% - 30%"/>
    <n v="5.5498814837232589E-5"/>
    <s v="N.D."/>
    <s v="N.D."/>
    <s v="N.D."/>
    <n v="0.75188344719595901"/>
    <s v="Crítico bajo"/>
    <n v="2"/>
    <s v="Candidato"/>
    <n v="0"/>
    <n v="0"/>
  </r>
  <r>
    <n v="70124"/>
    <s v="70124"/>
    <x v="9"/>
    <x v="9"/>
    <s v="CAIMITO"/>
    <n v="57.100533333333303"/>
    <n v="36.76"/>
    <n v="36.96"/>
    <n v="37.92"/>
    <n v="46.379901972630812"/>
    <n v="50.325112093040467"/>
    <n v="47.786649543512198"/>
    <n v="39.5032"/>
    <n v="42.185133333333326"/>
    <n v="45.998715902295871"/>
    <n v="44.091924617814598"/>
    <n v="54.994522797005963"/>
    <n v="45.005477202994037"/>
    <n v="0.50504929482694638"/>
    <n v="0"/>
    <n v="22.268595435790139"/>
    <n v="4"/>
    <n v="4"/>
    <b v="1"/>
    <x v="5"/>
    <n v="48.034483789217475"/>
    <n v="0.51090356753019039"/>
    <n v="24.540989132382308"/>
    <n v="4"/>
    <n v="0"/>
    <n v="-3.9425591714028769"/>
    <n v="-5.8542727032440123E-3"/>
    <n v="-2.2723936965921681"/>
    <n v="4"/>
    <b v="1"/>
    <n v="0"/>
    <n v="0.81759069605862034"/>
    <n v="39.27254703604283"/>
    <n v="0.32063215441234294"/>
    <n v="4"/>
    <n v="0"/>
    <n v="32.063215441234291"/>
    <n v="4"/>
    <n v="-0.31254140123167395"/>
    <b v="1"/>
    <n v="0"/>
    <n v="4"/>
    <n v="0"/>
    <n v="0"/>
    <n v="0"/>
    <n v="0"/>
    <n v="0"/>
    <n v="0"/>
    <s v="Rural disperso"/>
    <n v="6"/>
    <s v="Fuera SC"/>
    <m/>
    <s v="No"/>
    <s v="No"/>
    <n v="58.7"/>
    <n v="32.18813292326157"/>
    <n v="20.833333333333332"/>
    <s v="Medio"/>
    <n v="8.706683673556799E-2"/>
    <s v="Bajo"/>
    <n v="33288.383819000002"/>
    <n v="7176.5945027500002"/>
    <n v="17498"/>
    <n v="1.9024107794605098"/>
    <n v="0.41013798735569779"/>
    <m/>
    <m/>
    <m/>
    <m/>
    <m/>
    <m/>
    <m/>
    <n v="10"/>
    <n v="0"/>
    <n v="7"/>
    <n v="41222.408659000001"/>
    <n v="2182.3947939999998"/>
    <n v="5.2941952326299162E-2"/>
    <s v="0% - 30%"/>
    <n v="6.3494091455226935E-5"/>
    <s v="N.D."/>
    <s v="N.D."/>
    <s v="N.D."/>
    <n v="0.72152457406291126"/>
    <s v="Crítico Medio"/>
    <n v="0"/>
    <s v="Candidato"/>
    <n v="0"/>
    <n v="0"/>
  </r>
  <r>
    <n v="19532"/>
    <s v="19532"/>
    <x v="13"/>
    <x v="13"/>
    <s v="PATÍA"/>
    <n v="59.175533333333298"/>
    <n v="79.400000000000006"/>
    <n v="66.36"/>
    <n v="58.49"/>
    <n v="30.844374585759557"/>
    <n v="44.943126679409765"/>
    <n v="45.899634301552467"/>
    <n v="42.661099999999998"/>
    <n v="65.856383333333326"/>
    <n v="41.087058891680449"/>
    <n v="53.471721112506884"/>
    <n v="55.414287266012906"/>
    <n v="44.585712733987094"/>
    <n v="0.50127141460588387"/>
    <n v="0"/>
    <n v="26.803845283477632"/>
    <n v="4"/>
    <n v="4"/>
    <b v="1"/>
    <x v="5"/>
    <n v="57.056213684734374"/>
    <n v="0.51048051156042873"/>
    <n v="29.126085149484336"/>
    <n v="3"/>
    <n v="-1"/>
    <n v="-3.5844925722274894"/>
    <n v="-9.2090969545448598E-3"/>
    <n v="-2.3222398660067043"/>
    <n v="4"/>
    <b v="1"/>
    <s v="Efecto ponderador"/>
    <n v="0.81759069605862034"/>
    <n v="46.648629460971357"/>
    <n v="0.41289917042444702"/>
    <n v="3"/>
    <n v="-1"/>
    <n v="41.289917042444699"/>
    <n v="4"/>
    <n v="-0.31631928145273647"/>
    <b v="1"/>
    <s v="Efecto ponderador"/>
    <n v="3"/>
    <n v="-1"/>
    <n v="0"/>
    <n v="0"/>
    <n v="0"/>
    <n v="1"/>
    <n v="1"/>
    <s v="Intermedio"/>
    <n v="6"/>
    <s v="Fuera SC"/>
    <m/>
    <s v="No"/>
    <s v="Si"/>
    <n v="44.1"/>
    <n v="20.67628080815204"/>
    <n v="0"/>
    <s v="Sin riesgo"/>
    <n v="26.28249375830341"/>
    <s v="Muy Alto"/>
    <n v="61632.619696000002"/>
    <n v="9107.4321589500014"/>
    <n v="38915"/>
    <n v="1.5837754001284852"/>
    <n v="0.23403397556083777"/>
    <m/>
    <m/>
    <m/>
    <m/>
    <m/>
    <m/>
    <m/>
    <n v="26"/>
    <n v="0"/>
    <n v="6"/>
    <n v="75583.882987999998"/>
    <n v="5432.8163780000004"/>
    <n v="7.1877974023411006E-2"/>
    <s v="0% - 30%"/>
    <n v="1.5806110833500585E-4"/>
    <n v="1213.6996300000001"/>
    <n v="1.6057651208428812E-2"/>
    <s v="0% - 30%"/>
    <n v="0.89249807608438014"/>
    <s v="Aceptable"/>
    <n v="1"/>
    <s v="Candidato"/>
    <n v="0"/>
    <n v="0"/>
  </r>
  <r>
    <n v="15808"/>
    <s v="15808"/>
    <x v="10"/>
    <x v="10"/>
    <s v="TINJACÁ"/>
    <n v="59.3671333333333"/>
    <n v="62.65"/>
    <n v="61.68"/>
    <n v="46.57"/>
    <n v="64.515970653278146"/>
    <n v="55.336844503489978"/>
    <n v="47.640217392073652"/>
    <n v="48.2637"/>
    <n v="57.566783333333326"/>
    <n v="53.939183137210442"/>
    <n v="55.752983235271884"/>
    <n v="55.534720891836486"/>
    <n v="44.465279108163514"/>
    <n v="0.50018751197347167"/>
    <n v="0"/>
    <n v="27.88694596954932"/>
    <n v="4"/>
    <n v="4"/>
    <b v="1"/>
    <x v="5"/>
    <n v="58.691193591974297"/>
    <n v="0.50869773178822952"/>
    <n v="29.856077056181196"/>
    <n v="3"/>
    <n v="-1"/>
    <n v="-2.9382103567024132"/>
    <n v="-8.5102198147578578E-3"/>
    <n v="-1.9691310866318759"/>
    <n v="3"/>
    <b v="0"/>
    <s v="Cambio en corte"/>
    <n v="0.81759069605862034"/>
    <n v="47.9853738213735"/>
    <n v="0.42962043331170519"/>
    <n v="3"/>
    <n v="-1"/>
    <n v="42.96204333117052"/>
    <n v="4"/>
    <n v="-0.31740318408514867"/>
    <b v="1"/>
    <s v="Efecto ponderador"/>
    <n v="3"/>
    <n v="-1"/>
    <n v="0"/>
    <n v="0"/>
    <n v="0"/>
    <n v="0"/>
    <n v="0"/>
    <s v="Rural disperso"/>
    <n v="6"/>
    <s v="Fuera SC"/>
    <m/>
    <s v="No"/>
    <s v="No"/>
    <n v="35.200000000000003"/>
    <n v="11.885674451028233"/>
    <n v="45.42683661609022"/>
    <s v="Alto"/>
    <n v="0"/>
    <s v="Bajo"/>
    <n v="9374.2006529999999"/>
    <n v="2472.4153566"/>
    <n v="3552"/>
    <n v="2.6391330667229731"/>
    <n v="0.69606288192567567"/>
    <m/>
    <m/>
    <m/>
    <m/>
    <m/>
    <m/>
    <m/>
    <n v="68"/>
    <n v="0"/>
    <n v="7"/>
    <n v="7963.1030419999997"/>
    <n v="3313.2514460000002"/>
    <n v="0.41607542041398093"/>
    <s v="31% - 50%"/>
    <n v="9.6394974412904923E-5"/>
    <s v="N.D."/>
    <s v="N.D."/>
    <s v="N.D."/>
    <n v="0.93318480558854988"/>
    <s v="Aceptable"/>
    <n v="1"/>
    <s v="Candidato"/>
    <n v="0"/>
    <n v="0"/>
  </r>
  <r>
    <n v="25649"/>
    <s v="25649"/>
    <x v="5"/>
    <x v="5"/>
    <s v="SAN BERNARDO"/>
    <n v="58.662399999999998"/>
    <n v="75.59"/>
    <n v="55.58"/>
    <n v="75.52"/>
    <n v="65.828121237690709"/>
    <n v="57.810263981774654"/>
    <n v="63.466369619675227"/>
    <n v="53.207299999999996"/>
    <n v="66.338099999999997"/>
    <n v="60.078013709785147"/>
    <n v="63.208056854892575"/>
    <n v="56.276164708168722"/>
    <n v="43.723835291831278"/>
    <n v="0.49351451762648157"/>
    <n v="0"/>
    <n v="31.194093688849531"/>
    <n v="3"/>
    <n v="3"/>
    <b v="1"/>
    <x v="4"/>
    <n v="60.819966697961576"/>
    <n v="0.50953036759831827"/>
    <n v="30.989619988929835"/>
    <n v="3"/>
    <n v="0"/>
    <n v="2.3880901569309998"/>
    <n v="-1.6015849971836693E-2"/>
    <n v="0.20447369991969566"/>
    <n v="3"/>
    <b v="1"/>
    <n v="0"/>
    <n v="0.81759069605862034"/>
    <n v="49.725838906848516"/>
    <n v="0.45139181690786767"/>
    <n v="3"/>
    <n v="0"/>
    <n v="45.139181690786771"/>
    <n v="4"/>
    <n v="-0.32407617843213876"/>
    <b v="0"/>
    <n v="0"/>
    <n v="3"/>
    <n v="0"/>
    <n v="0"/>
    <n v="0"/>
    <n v="0"/>
    <n v="0"/>
    <n v="0"/>
    <s v="Rural"/>
    <n v="6"/>
    <s v="Fuera SC"/>
    <m/>
    <s v="No"/>
    <s v="No"/>
    <n v="34.799999999999997"/>
    <n v="8.6709886547811994"/>
    <n v="1.6727272727272726"/>
    <s v="Sin riesgo"/>
    <n v="0.13293520086893809"/>
    <s v="Bajo"/>
    <n v="19522.494118999999"/>
    <n v="3602.5368109999999"/>
    <n v="8709"/>
    <n v="2.2416458972327478"/>
    <n v="0.41365677012286139"/>
    <m/>
    <m/>
    <m/>
    <m/>
    <m/>
    <m/>
    <m/>
    <n v="78"/>
    <n v="0"/>
    <n v="7"/>
    <n v="24674.977567000002"/>
    <n v="15461.521433"/>
    <n v="0.62660731467809072"/>
    <s v="51% - 70%"/>
    <n v="4.4983394324567537E-4"/>
    <s v="N.D."/>
    <s v="N.D."/>
    <s v="N.D."/>
    <n v="0.96025626773018535"/>
    <s v="Aceptable"/>
    <n v="2"/>
    <s v="No es Candidato"/>
    <n v="0"/>
    <n v="0"/>
  </r>
  <r>
    <n v="15816"/>
    <s v="15816"/>
    <x v="10"/>
    <x v="10"/>
    <s v="TOGÜÍ"/>
    <n v="86.257599999999996"/>
    <n v="67.58"/>
    <n v="57.56"/>
    <n v="64.760000000000005"/>
    <n v="55.129864736066672"/>
    <n v="50.373218276438706"/>
    <n v="55.387343376149481"/>
    <n v="54.309600000000003"/>
    <n v="69.039400000000001"/>
    <n v="53.800006597163716"/>
    <n v="61.419703298581858"/>
    <n v="56.122399512834228"/>
    <n v="43.877600487165772"/>
    <n v="0.49489840438449195"/>
    <n v="0"/>
    <n v="30.396513160237077"/>
    <n v="3"/>
    <n v="3"/>
    <b v="1"/>
    <x v="4"/>
    <n v="63.553839476729628"/>
    <n v="0.50660038831161147"/>
    <n v="32.19639975760505"/>
    <n v="3"/>
    <n v="0"/>
    <n v="-2.1341361781477701"/>
    <n v="-1.1701983927119519E-2"/>
    <n v="-1.7998865973679727"/>
    <n v="3"/>
    <b v="1"/>
    <n v="0"/>
    <n v="0.81759069605862034"/>
    <n v="51.961027854977203"/>
    <n v="0.47935167453772137"/>
    <n v="2"/>
    <n v="-1"/>
    <n v="47.935167453772138"/>
    <n v="4"/>
    <n v="-0.32269229167412838"/>
    <b v="0"/>
    <s v="Cambio en corte"/>
    <n v="2"/>
    <n v="-1"/>
    <n v="0"/>
    <n v="0"/>
    <n v="0"/>
    <n v="0"/>
    <n v="0"/>
    <s v="Rural disperso"/>
    <n v="6"/>
    <s v="Fuera SC"/>
    <m/>
    <s v="No"/>
    <s v="No"/>
    <n v="50"/>
    <n v="25.355113636363637"/>
    <n v="58.623606394469647"/>
    <s v="Alto"/>
    <n v="0"/>
    <s v="Bajo"/>
    <n v="15174.620290999999"/>
    <n v="3542.0822481999999"/>
    <n v="4440"/>
    <n v="3.4177072727477475"/>
    <n v="0.79776627211711704"/>
    <m/>
    <m/>
    <m/>
    <m/>
    <m/>
    <m/>
    <m/>
    <n v="20"/>
    <n v="0"/>
    <n v="7"/>
    <n v="10127.758924"/>
    <n v="9.9219939999999998"/>
    <n v="9.7968307445466603E-4"/>
    <n v="0"/>
    <n v="2.8866820805576618E-7"/>
    <s v="N.D."/>
    <s v="N.D."/>
    <s v="N.D."/>
    <n v="0.97401678785493406"/>
    <s v="Aceptable"/>
    <n v="2"/>
    <s v="Candidato"/>
    <n v="0"/>
    <n v="0"/>
  </r>
  <r>
    <n v="15087"/>
    <s v="15087"/>
    <x v="10"/>
    <x v="10"/>
    <s v="BELÉN"/>
    <n v="53.608899999999998"/>
    <n v="38.78"/>
    <n v="52.48"/>
    <n v="60.01"/>
    <n v="53.719137325401441"/>
    <n v="63.536475808170664"/>
    <n v="65.315960808272308"/>
    <n v="58.9619"/>
    <n v="51.219724999999997"/>
    <n v="60.383368485461105"/>
    <n v="55.801546742730551"/>
    <n v="55.857709714515757"/>
    <n v="44.142290285484243"/>
    <n v="0.49728061256935818"/>
    <n v="0"/>
    <n v="27.749027346542722"/>
    <n v="4"/>
    <n v="4"/>
    <b v="1"/>
    <x v="5"/>
    <n v="54.682875454533935"/>
    <n v="0.51071403804864723"/>
    <n v="27.927312135496283"/>
    <n v="3"/>
    <n v="-1"/>
    <n v="1.1186712881966159"/>
    <n v="-1.3433425479289052E-2"/>
    <n v="-0.1782847889535617"/>
    <n v="4"/>
    <b v="1"/>
    <s v="Efecto ponderador"/>
    <n v="0.81759069605862034"/>
    <n v="44.708210205359244"/>
    <n v="0.38862657093143188"/>
    <n v="3"/>
    <n v="-1"/>
    <n v="38.862657093143191"/>
    <n v="4"/>
    <n v="-0.32031008348926215"/>
    <b v="1"/>
    <s v="Efecto ponderador"/>
    <n v="3"/>
    <n v="-1"/>
    <n v="0"/>
    <n v="0"/>
    <n v="0"/>
    <n v="0"/>
    <n v="0"/>
    <s v="Rural"/>
    <n v="6"/>
    <s v="Fuera SC"/>
    <m/>
    <s v="No"/>
    <s v="No"/>
    <n v="25.2"/>
    <n v="7.6345260857689157"/>
    <n v="21.764992696465086"/>
    <s v="Medio"/>
    <n v="1.0753096677812148"/>
    <s v="Medio Bajo"/>
    <n v="17668.792126"/>
    <n v="4693.0124643999998"/>
    <n v="7638"/>
    <n v="2.3132746957318671"/>
    <n v="0.61442949258968316"/>
    <m/>
    <m/>
    <m/>
    <m/>
    <m/>
    <m/>
    <m/>
    <n v="21"/>
    <n v="0"/>
    <n v="7"/>
    <n v="16277.418712999999"/>
    <n v="9956.8818890000002"/>
    <n v="0.61169907001580737"/>
    <s v="51% - 70%"/>
    <n v="2.8968322826243819E-4"/>
    <s v="N.D."/>
    <s v="N.D."/>
    <s v="N.D."/>
    <n v="0.94132049067724477"/>
    <s v="Aceptable"/>
    <n v="2"/>
    <s v="Candidato"/>
    <n v="0"/>
    <n v="0"/>
  </r>
  <r>
    <n v="52215"/>
    <s v="52215"/>
    <x v="18"/>
    <x v="18"/>
    <s v="CÓRDOBA"/>
    <n v="55.182566666666702"/>
    <n v="32.68"/>
    <n v="30.47"/>
    <n v="32.46"/>
    <n v="52.495732582982512"/>
    <n v="50.252717110198837"/>
    <n v="62.565522043438882"/>
    <n v="58.556899999999999"/>
    <n v="37.698141666666679"/>
    <n v="55.967717934155061"/>
    <n v="46.832929800410867"/>
    <n v="55.256115201108955"/>
    <n v="44.743884798891045"/>
    <n v="0.50269496319001938"/>
    <n v="0"/>
    <n v="23.542677922098303"/>
    <n v="4"/>
    <n v="4"/>
    <b v="1"/>
    <x v="5"/>
    <n v="48.856381417751628"/>
    <n v="0.50926387700783704"/>
    <n v="24.880790217377839"/>
    <n v="4"/>
    <n v="0"/>
    <n v="-2.0234516173407613"/>
    <n v="-6.5689138178176565E-3"/>
    <n v="-1.3381122952795366"/>
    <n v="4"/>
    <b v="1"/>
    <n v="0"/>
    <n v="0.81759069605862034"/>
    <n v="39.944522890244997"/>
    <n v="0.32903786401909524"/>
    <n v="4"/>
    <n v="0"/>
    <n v="32.903786401909521"/>
    <n v="4"/>
    <n v="-0.31489573286860095"/>
    <b v="1"/>
    <n v="0"/>
    <n v="3"/>
    <n v="-1"/>
    <n v="0"/>
    <n v="0"/>
    <n v="0"/>
    <n v="0"/>
    <n v="0"/>
    <s v="Rural"/>
    <n v="6"/>
    <s v="Fuera SC"/>
    <m/>
    <s v="No"/>
    <s v="No"/>
    <n v="41.8"/>
    <n v="19.666824037229379"/>
    <n v="40.02393207472408"/>
    <s v="Alto"/>
    <n v="1.4133455729435744"/>
    <s v="Medio Bajo"/>
    <n v="40357.446494999997"/>
    <n v="4633.2316250000003"/>
    <n v="16735"/>
    <n v="2.4115593961756794"/>
    <n v="0.27685877651628327"/>
    <m/>
    <m/>
    <m/>
    <m/>
    <m/>
    <m/>
    <m/>
    <n v="28"/>
    <n v="0"/>
    <n v="7"/>
    <n v="30491.737392999999"/>
    <n v="7194.715999"/>
    <n v="0.23595624959867634"/>
    <s v="0% - 30%"/>
    <n v="2.0932141008163092E-4"/>
    <n v="346.56376999999998"/>
    <n v="1.1365825618043029E-2"/>
    <s v="0% - 30%"/>
    <n v="0.94571249148376202"/>
    <s v="Aceptable"/>
    <n v="1"/>
    <s v="No es Candidato"/>
    <n v="0"/>
    <n v="0"/>
  </r>
  <r>
    <n v="15131"/>
    <s v="15131"/>
    <x v="10"/>
    <x v="10"/>
    <s v="CALDAS"/>
    <n v="61.680333333333301"/>
    <n v="54.22"/>
    <n v="44.14"/>
    <n v="48.47"/>
    <n v="45.114255984773408"/>
    <n v="45.959897263906427"/>
    <n v="51.541141550886316"/>
    <n v="49.8902"/>
    <n v="52.127583333333327"/>
    <n v="48.126373699891538"/>
    <n v="50.126978516612432"/>
    <n v="56.921452662826979"/>
    <n v="43.078547337173021"/>
    <n v="0.48770692603455723"/>
    <n v="0"/>
    <n v="24.447274603737338"/>
    <n v="4"/>
    <n v="4"/>
    <b v="1"/>
    <x v="5"/>
    <n v="52.005758604562487"/>
    <n v="0.50702203740790319"/>
    <n v="26.368065684628863"/>
    <n v="4"/>
    <n v="0"/>
    <n v="-1.8787800879500551"/>
    <n v="-1.9315111373345961E-2"/>
    <n v="-1.9207910808915258"/>
    <n v="4"/>
    <b v="1"/>
    <n v="0"/>
    <n v="0.81759069605862034"/>
    <n v="42.519424376560828"/>
    <n v="0.36124716741090157"/>
    <n v="3"/>
    <n v="-1"/>
    <n v="36.124716741090154"/>
    <n v="4"/>
    <n v="-0.32988377002406311"/>
    <b v="1"/>
    <s v="Efecto ponderador"/>
    <n v="3"/>
    <n v="-1"/>
    <n v="0"/>
    <n v="0"/>
    <n v="0"/>
    <n v="0"/>
    <n v="0"/>
    <s v="Rural disperso"/>
    <n v="6"/>
    <s v="Fuera SC"/>
    <m/>
    <s v="No"/>
    <s v="No"/>
    <n v="43.7"/>
    <n v="15.332252836304701"/>
    <n v="63.208510915970592"/>
    <s v="Alto"/>
    <n v="2.5819176913897235"/>
    <s v="Medio Bajo"/>
    <n v="11688.486081999999"/>
    <n v="2750.9792800999999"/>
    <n v="2893"/>
    <n v="4.0402648053923258"/>
    <n v="0.95090884206705839"/>
    <m/>
    <m/>
    <m/>
    <m/>
    <m/>
    <m/>
    <m/>
    <n v="86"/>
    <n v="0"/>
    <n v="7"/>
    <n v="7885.6883989999997"/>
    <n v="0"/>
    <n v="0"/>
    <n v="0"/>
    <n v="0"/>
    <s v="N.D."/>
    <s v="N.D."/>
    <s v="N.D."/>
    <n v="0.88701798360511186"/>
    <s v="Aceptable"/>
    <n v="1"/>
    <s v="Candidato"/>
    <n v="0"/>
    <n v="0"/>
  </r>
  <r>
    <n v="15380"/>
    <s v="15380"/>
    <x v="10"/>
    <x v="10"/>
    <s v="LA CAPILLA"/>
    <n v="75.666633333333294"/>
    <n v="69.069999999999993"/>
    <n v="46.35"/>
    <n v="82.25"/>
    <n v="61.555662480401459"/>
    <n v="41.968396056447901"/>
    <n v="55.216654749448175"/>
    <n v="48.873100000000001"/>
    <n v="68.33415833333332"/>
    <n v="51.903453321574382"/>
    <n v="60.118805827453855"/>
    <n v="56.050594363014739"/>
    <n v="43.949405636985261"/>
    <n v="0.49554465073286735"/>
    <n v="0"/>
    <n v="29.791552636242692"/>
    <n v="3"/>
    <n v="3"/>
    <b v="1"/>
    <x v="4"/>
    <n v="59.261884182341788"/>
    <n v="0.51073456062515965"/>
    <n v="30.267092379687433"/>
    <n v="3"/>
    <n v="0"/>
    <n v="0.8569216451120667"/>
    <n v="-1.5189909892292297E-2"/>
    <n v="-0.4755397434447417"/>
    <n v="3"/>
    <b v="1"/>
    <n v="0"/>
    <n v="0.81759069605862034"/>
    <n v="48.451965138386164"/>
    <n v="0.43545699885392569"/>
    <n v="3"/>
    <n v="0"/>
    <n v="43.545699885392573"/>
    <n v="4"/>
    <n v="-0.32204604532575298"/>
    <b v="0"/>
    <n v="0"/>
    <n v="3"/>
    <n v="0"/>
    <n v="0"/>
    <n v="0"/>
    <n v="0"/>
    <n v="0"/>
    <n v="0"/>
    <s v="Intermedio"/>
    <n v="6"/>
    <s v="Fuera SC"/>
    <m/>
    <s v="No"/>
    <s v="No"/>
    <n v="31.6"/>
    <n v="7.1366024518388791"/>
    <n v="53.013299093050058"/>
    <s v="Alto"/>
    <n v="0"/>
    <s v="Bajo"/>
    <n v="12102.785302"/>
    <n v="2202.1783146999996"/>
    <n v="2586"/>
    <n v="4.6801180595514307"/>
    <n v="0.8515770745166279"/>
    <m/>
    <m/>
    <m/>
    <m/>
    <m/>
    <m/>
    <m/>
    <n v="98"/>
    <n v="0"/>
    <n v="7"/>
    <n v="5683.7152729999998"/>
    <n v="5288.1881309999999"/>
    <n v="0.93041045812429812"/>
    <s v="71% - 100%"/>
    <n v="1.5385332742970224E-4"/>
    <s v="N.D."/>
    <s v="N.D."/>
    <s v="N.D."/>
    <n v="0.94356564525106168"/>
    <s v="Aceptable"/>
    <n v="2"/>
    <s v="Candidato"/>
    <n v="0"/>
    <n v="0"/>
  </r>
  <r>
    <n v="15810"/>
    <s v="15810"/>
    <x v="10"/>
    <x v="10"/>
    <s v="TIPACOQUE"/>
    <n v="73.085666666666697"/>
    <n v="46.82"/>
    <n v="58.31"/>
    <n v="86.34"/>
    <n v="36.67821299545362"/>
    <n v="39.261039081038263"/>
    <n v="48.06423516222155"/>
    <n v="43.263399999999997"/>
    <n v="66.138916666666674"/>
    <n v="41.816721809678356"/>
    <n v="53.977819238172515"/>
    <n v="56.387304656858241"/>
    <n v="43.612695343141759"/>
    <n v="0.49251425808827587"/>
    <n v="0"/>
    <n v="26.584845595311599"/>
    <n v="4"/>
    <n v="4"/>
    <b v="1"/>
    <x v="5"/>
    <n v="52.176708032872426"/>
    <n v="0.50928406417916083"/>
    <n v="26.572765922470737"/>
    <n v="4"/>
    <n v="0"/>
    <n v="1.8011112053000886"/>
    <n v="-1.6769806090884964E-2"/>
    <n v="1.2079672840862088E-2"/>
    <n v="4"/>
    <b v="1"/>
    <n v="0"/>
    <n v="0.81759069605862034"/>
    <n v="42.659191038643577"/>
    <n v="0.36299550102560796"/>
    <n v="3"/>
    <n v="-1"/>
    <n v="36.299550102560794"/>
    <n v="4"/>
    <n v="-0.32507643797034447"/>
    <b v="1"/>
    <s v="Efecto ponderador"/>
    <n v="3"/>
    <n v="-1"/>
    <n v="0"/>
    <n v="0"/>
    <n v="0"/>
    <n v="0"/>
    <n v="0"/>
    <s v="Rural"/>
    <n v="6"/>
    <s v="Fuera SC"/>
    <m/>
    <s v="No"/>
    <s v="No"/>
    <n v="41.6"/>
    <n v="24.413443246670894"/>
    <n v="43.359141396933566"/>
    <s v="Alto"/>
    <n v="0"/>
    <s v="Bajo"/>
    <n v="15694.869898000001"/>
    <n v="3047.1786749499997"/>
    <n v="3217"/>
    <n v="4.8787285974510413"/>
    <n v="0.94721127601802912"/>
    <m/>
    <m/>
    <m/>
    <m/>
    <m/>
    <m/>
    <m/>
    <n v="82"/>
    <n v="0"/>
    <n v="7"/>
    <n v="7179.3050620000004"/>
    <n v="420.40924999999999"/>
    <n v="5.8558488094512452E-2"/>
    <s v="0% - 30%"/>
    <n v="1.2231289884630913E-5"/>
    <s v="N.D."/>
    <s v="N.D."/>
    <s v="N.D."/>
    <n v="0.97302704561091535"/>
    <s v="Aceptable"/>
    <n v="2"/>
    <s v="Candidato"/>
    <n v="0"/>
    <n v="0"/>
  </r>
  <r>
    <n v="25324"/>
    <s v="25324"/>
    <x v="5"/>
    <x v="5"/>
    <s v="GUATAQUÍ"/>
    <n v="66.689300000000003"/>
    <n v="62.79"/>
    <n v="59.52"/>
    <n v="72.489999999999995"/>
    <n v="53.481091300202074"/>
    <n v="54.159385402806208"/>
    <n v="64.096034739175593"/>
    <n v="51.439399999999999"/>
    <n v="65.372325000000004"/>
    <n v="55.793977860545972"/>
    <n v="60.583151430272991"/>
    <n v="56.04079866898558"/>
    <n v="43.95920133101442"/>
    <n v="0.49563281197912978"/>
    <n v="0"/>
    <n v="30.026997701943642"/>
    <n v="3"/>
    <n v="3"/>
    <b v="1"/>
    <x v="4"/>
    <n v="60.2837829950928"/>
    <n v="0.50830180511811107"/>
    <n v="30.64235571575416"/>
    <n v="3"/>
    <n v="0"/>
    <n v="0.29936843518019174"/>
    <n v="-1.2668993138981288E-2"/>
    <n v="-0.61535801381051769"/>
    <n v="3"/>
    <b v="1"/>
    <n v="0"/>
    <n v="0.81759069605862034"/>
    <n v="49.287460100004743"/>
    <n v="0.44590816012907109"/>
    <n v="3"/>
    <n v="0"/>
    <n v="44.590816012907112"/>
    <n v="4"/>
    <n v="-0.32195788407949055"/>
    <b v="0"/>
    <n v="0"/>
    <n v="3"/>
    <n v="0"/>
    <n v="0"/>
    <n v="0"/>
    <n v="0"/>
    <n v="0"/>
    <n v="0"/>
    <s v="Rural"/>
    <n v="6"/>
    <s v="Fuera SC"/>
    <m/>
    <s v="No"/>
    <s v="No"/>
    <n v="32.9"/>
    <n v="12.512664640324214"/>
    <n v="2.5434233615221986"/>
    <s v="Sin riesgo"/>
    <n v="2.5563234337099816"/>
    <s v="Medio Bajo"/>
    <n v="10550.404358"/>
    <n v="2835.1255900000001"/>
    <n v="3118"/>
    <n v="3.3837089025016036"/>
    <n v="0.90927696921103274"/>
    <m/>
    <m/>
    <m/>
    <m/>
    <m/>
    <m/>
    <m/>
    <n v="55"/>
    <n v="0"/>
    <n v="7"/>
    <n v="9089.2175530000004"/>
    <n v="8139.5478480000002"/>
    <n v="0.89551689136469714"/>
    <s v="71% - 100%"/>
    <n v="2.3681013026880763E-4"/>
    <s v="N.D."/>
    <s v="N.D."/>
    <s v="N.D."/>
    <n v="0.8042599065075966"/>
    <s v="Crítico bajo"/>
    <n v="2"/>
    <s v="Candidato"/>
    <n v="0"/>
    <n v="0"/>
  </r>
  <r>
    <n v="23090"/>
    <s v="23090"/>
    <x v="14"/>
    <x v="14"/>
    <s v="CANALETE"/>
    <n v="46.853733333333302"/>
    <n v="38.83"/>
    <n v="33.31"/>
    <n v="46.51"/>
    <n v="53.98183594383778"/>
    <n v="51.580717839985468"/>
    <n v="11.302324899111554"/>
    <n v="58.7149"/>
    <n v="41.375933333333322"/>
    <n v="43.8949446707337"/>
    <n v="42.635439002033507"/>
    <n v="55.708646149186634"/>
    <n v="44.291353850813366"/>
    <n v="0.49862218465732033"/>
    <n v="0"/>
    <n v="21.25897573901787"/>
    <n v="5"/>
    <n v="5"/>
    <b v="1"/>
    <x v="5"/>
    <n v="42.085456599699782"/>
    <n v="0.50857280039581954"/>
    <n v="21.403518518846042"/>
    <n v="4"/>
    <n v="0"/>
    <n v="0.54998240233372542"/>
    <n v="-9.9506157384992022E-3"/>
    <n v="-0.14454277982817132"/>
    <n v="4"/>
    <b v="1"/>
    <n v="0"/>
    <n v="0.81759069605862034"/>
    <n v="34.408677755293404"/>
    <n v="0.25979027671165589"/>
    <n v="4"/>
    <n v="0"/>
    <n v="25.979027671165589"/>
    <n v="4"/>
    <n v="-0.3189685114013"/>
    <b v="1"/>
    <n v="0"/>
    <n v="4"/>
    <n v="0"/>
    <n v="0"/>
    <n v="0"/>
    <n v="0"/>
    <n v="0"/>
    <n v="0"/>
    <s v="Rural disperso"/>
    <n v="6"/>
    <s v="Fuera SC"/>
    <m/>
    <s v="No"/>
    <s v="No"/>
    <n v="68.2"/>
    <n v="75.375901827253728"/>
    <s v="Sin Información"/>
    <s v="Sin Información"/>
    <n v="3.1967658069967673"/>
    <s v="Medio Bajo"/>
    <n v="70659.877689000001"/>
    <n v="10049.16561025"/>
    <n v="16420"/>
    <n v="4.3032812234470157"/>
    <n v="0.61200764983252132"/>
    <m/>
    <m/>
    <m/>
    <m/>
    <m/>
    <m/>
    <m/>
    <n v="56"/>
    <n v="0"/>
    <n v="7"/>
    <n v="42008.897123000002"/>
    <n v="767.27020900000002"/>
    <n v="1.8264469232635892E-2"/>
    <s v="0% - 30%"/>
    <n v="2.2322782731636726E-5"/>
    <s v="N.D."/>
    <s v="N.D."/>
    <s v="N.D."/>
    <n v="0.92768013252179848"/>
    <s v="Aceptable"/>
    <n v="1"/>
    <s v="Candidato"/>
    <n v="0"/>
    <n v="0"/>
  </r>
  <r>
    <n v="15696"/>
    <s v="15696"/>
    <x v="10"/>
    <x v="10"/>
    <s v="SANTA SOFÍA"/>
    <n v="64.999333333333297"/>
    <n v="58.31"/>
    <n v="59.52"/>
    <n v="74.19"/>
    <n v="66.670994087771049"/>
    <n v="60.677723658002478"/>
    <n v="69.82518730946822"/>
    <n v="60.869799999999998"/>
    <n v="64.254833333333323"/>
    <n v="64.510926263810433"/>
    <n v="64.382879798571878"/>
    <n v="55.984845589359963"/>
    <n v="44.015154410640037"/>
    <n v="0.49613638969576035"/>
    <n v="0"/>
    <n v="31.942689541479552"/>
    <n v="3"/>
    <n v="3"/>
    <b v="1"/>
    <x v="4"/>
    <n v="64.045346583440576"/>
    <n v="0.50629232094032228"/>
    <n v="32.425667167157471"/>
    <n v="3"/>
    <n v="0"/>
    <n v="0.33753321513130174"/>
    <n v="-1.0155931244561933E-2"/>
    <n v="-0.48297762567791835"/>
    <n v="3"/>
    <b v="1"/>
    <n v="0"/>
    <n v="0.81759069605862034"/>
    <n v="52.362879492470761"/>
    <n v="0.48437841493121248"/>
    <n v="2"/>
    <n v="-1"/>
    <n v="48.437841493121248"/>
    <n v="4"/>
    <n v="-0.32145430636285999"/>
    <b v="0"/>
    <s v="Cambio en corte"/>
    <n v="2"/>
    <n v="-1"/>
    <n v="0"/>
    <n v="0"/>
    <n v="0"/>
    <n v="0"/>
    <n v="0"/>
    <s v="Rural"/>
    <n v="6"/>
    <s v="Fuera SC"/>
    <m/>
    <s v="No"/>
    <s v="No"/>
    <n v="31.4"/>
    <n v="10.054719562243502"/>
    <n v="27.842445900185748"/>
    <s v="Medio"/>
    <n v="0"/>
    <s v="Bajo"/>
    <n v="13434.30141"/>
    <n v="7496.1073293999998"/>
    <n v="3338"/>
    <n v="4.0246559047333736"/>
    <n v="2.2456882352905931"/>
    <m/>
    <m/>
    <m/>
    <m/>
    <m/>
    <m/>
    <m/>
    <n v="68"/>
    <n v="0"/>
    <n v="7"/>
    <n v="7744.2032849999996"/>
    <n v="5775.5793080000003"/>
    <n v="0.74579386612783116"/>
    <s v="71% - 100%"/>
    <n v="1.6803337407020425E-4"/>
    <s v="N.D."/>
    <s v="N.D."/>
    <s v="N.D."/>
    <n v="0.95001513982761809"/>
    <s v="Aceptable"/>
    <n v="3"/>
    <s v="Candidato"/>
    <n v="0"/>
    <n v="0"/>
  </r>
  <r>
    <n v="68266"/>
    <s v="68266"/>
    <x v="0"/>
    <x v="0"/>
    <s v="ENCISO"/>
    <n v="80.806933333333305"/>
    <n v="82.14"/>
    <n v="37.39"/>
    <n v="59.34"/>
    <n v="62.20217973278033"/>
    <n v="46.639877881693401"/>
    <n v="60.045480109157573"/>
    <n v="56.249899999999997"/>
    <n v="64.919233333333324"/>
    <n v="56.284359430907827"/>
    <n v="60.601796382120575"/>
    <n v="55.256870247906967"/>
    <n v="44.743129752093033"/>
    <n v="0.50268816776883729"/>
    <n v="0"/>
    <n v="30.463805986828344"/>
    <n v="3"/>
    <n v="3"/>
    <b v="1"/>
    <x v="4"/>
    <n v="62.67987765545422"/>
    <n v="0.50830327342680359"/>
    <n v="31.860386990258942"/>
    <n v="3"/>
    <n v="0"/>
    <n v="-2.0780812733336447"/>
    <n v="-5.6151056579663017E-3"/>
    <n v="-1.3965810034305974"/>
    <n v="3"/>
    <b v="1"/>
    <n v="0"/>
    <n v="0.81759069605862034"/>
    <n v="51.246484801191983"/>
    <n v="0.47041349413424283"/>
    <n v="3"/>
    <n v="0"/>
    <n v="47.041349413424285"/>
    <n v="4"/>
    <n v="-0.31490252828978305"/>
    <b v="0"/>
    <n v="0"/>
    <n v="3"/>
    <n v="0"/>
    <n v="0"/>
    <n v="0"/>
    <n v="0"/>
    <n v="0"/>
    <n v="0"/>
    <s v="Rural disperso"/>
    <n v="6"/>
    <s v="Fuera SC"/>
    <m/>
    <s v="No"/>
    <s v="Si"/>
    <n v="35.299999999999997"/>
    <n v="19.485511531638085"/>
    <n v="4.3563330598851522"/>
    <s v="Sin riesgo"/>
    <n v="2.3449988180822618"/>
    <s v="Medio Bajo"/>
    <n v="12949.451969"/>
    <n v="2612.5329011500003"/>
    <n v="3921"/>
    <n v="3.3025891275184902"/>
    <n v="0.66629250220606995"/>
    <m/>
    <m/>
    <m/>
    <m/>
    <m/>
    <m/>
    <m/>
    <n v="58"/>
    <n v="0"/>
    <n v="7"/>
    <n v="7465.4550259999996"/>
    <n v="1979.749043"/>
    <n v="0.26518799404793308"/>
    <s v="0% - 30%"/>
    <n v="5.7598362651995957E-5"/>
    <s v="N.D."/>
    <s v="N.D."/>
    <s v="N.D."/>
    <n v="0.9167942680684783"/>
    <s v="Aceptable"/>
    <n v="1"/>
    <s v="Candidato"/>
    <n v="0"/>
    <n v="0"/>
  </r>
  <r>
    <n v="85440"/>
    <s v="85440"/>
    <x v="23"/>
    <x v="23"/>
    <s v="VILLANUEVA"/>
    <n v="65.656433333333297"/>
    <n v="87.46"/>
    <n v="85.51"/>
    <n v="81.02"/>
    <n v="47.860839002676876"/>
    <n v="53.985127004396929"/>
    <n v="56.648511878146714"/>
    <n v="57.168399999999998"/>
    <n v="79.911608333333319"/>
    <n v="53.915719471305124"/>
    <n v="66.913663902319229"/>
    <n v="56.038529295263864"/>
    <n v="43.961470704736136"/>
    <n v="0.49565323634262526"/>
    <n v="0"/>
    <n v="33.165974068727223"/>
    <n v="3"/>
    <n v="3"/>
    <b v="1"/>
    <x v="4"/>
    <n v="63.373102320023307"/>
    <n v="0.50632723805315882"/>
    <n v="32.087527864557636"/>
    <n v="3"/>
    <n v="0"/>
    <n v="3.540561582295922"/>
    <n v="-1.0674001710533565E-2"/>
    <n v="1.0784462041695875"/>
    <n v="3"/>
    <b v="1"/>
    <n v="0"/>
    <n v="0.81759069605862034"/>
    <n v="51.813258837222023"/>
    <n v="0.47750323988883087"/>
    <n v="3"/>
    <n v="0"/>
    <n v="47.750323988883089"/>
    <n v="4"/>
    <n v="-0.32193745971599508"/>
    <b v="0"/>
    <n v="0"/>
    <n v="3"/>
    <n v="0"/>
    <n v="0"/>
    <n v="0"/>
    <n v="0"/>
    <n v="0"/>
    <n v="1"/>
    <s v="Intermedio"/>
    <n v="5"/>
    <s v="Fuera SC"/>
    <m/>
    <s v="No"/>
    <s v="No"/>
    <n v="24.6"/>
    <n v="12.672367549146445"/>
    <n v="0.99827586206896557"/>
    <s v="Sin riesgo"/>
    <n v="9.960738145948822"/>
    <s v="Medio"/>
    <n v="81464.523738999997"/>
    <n v="44133.290438000004"/>
    <n v="40889"/>
    <n v="1.9923334818410818"/>
    <n v="1.0793438440167282"/>
    <m/>
    <m/>
    <m/>
    <m/>
    <m/>
    <m/>
    <m/>
    <n v="41"/>
    <n v="0"/>
    <n v="6"/>
    <n v="83218.052427000002"/>
    <n v="13923.730696000001"/>
    <n v="0.16731622874993482"/>
    <s v="0% - 30%"/>
    <n v="4.0509381375007745E-4"/>
    <s v="N.D."/>
    <s v="N.D."/>
    <s v="N.D."/>
    <n v="0.93189383964486128"/>
    <s v="Aceptable"/>
    <n v="2"/>
    <s v="Candidato"/>
    <n v="0"/>
    <n v="0"/>
  </r>
  <r>
    <n v="54418"/>
    <s v="54418"/>
    <x v="12"/>
    <x v="12"/>
    <s v="LOURDES"/>
    <n v="42.2783333333333"/>
    <n v="34.1"/>
    <n v="54.96"/>
    <n v="32.700000000000003"/>
    <n v="43.79695494794143"/>
    <n v="46.398792368834933"/>
    <n v="47.756663382925531"/>
    <n v="55.238100000000003"/>
    <n v="41.009583333333325"/>
    <n v="48.297627674925472"/>
    <n v="44.653605504129402"/>
    <n v="55.433748528002866"/>
    <n v="44.566251471997134"/>
    <n v="0.50109626324797418"/>
    <n v="0"/>
    <n v="22.375754858668415"/>
    <n v="4"/>
    <n v="4"/>
    <b v="1"/>
    <x v="5"/>
    <n v="45.507999934024745"/>
    <n v="0.50749467215200361"/>
    <n v="23.09506750681129"/>
    <n v="4"/>
    <n v="0"/>
    <n v="-0.85439442989534342"/>
    <n v="-6.398408904029429E-3"/>
    <n v="-0.71931264814287488"/>
    <n v="4"/>
    <b v="1"/>
    <n v="0"/>
    <n v="0.81759069605862034"/>
    <n v="37.206917342294943"/>
    <n v="0.29479330432249179"/>
    <n v="4"/>
    <n v="0"/>
    <n v="29.479330432249178"/>
    <n v="4"/>
    <n v="-0.31649443281064615"/>
    <b v="1"/>
    <n v="0"/>
    <n v="4"/>
    <n v="0"/>
    <n v="0"/>
    <n v="0"/>
    <n v="0"/>
    <n v="0"/>
    <n v="0"/>
    <s v="Intermedio"/>
    <n v="6"/>
    <s v="Fuera SC"/>
    <m/>
    <s v="No"/>
    <s v="No"/>
    <n v="45.3"/>
    <n v="22.04330927262632"/>
    <n v="0"/>
    <s v="Sin riesgo"/>
    <n v="0"/>
    <s v="Bajo"/>
    <n v="13559.614798000001"/>
    <n v="3061.6134699999998"/>
    <n v="4520"/>
    <n v="2.9999147783185842"/>
    <n v="0.67734811283185836"/>
    <m/>
    <m/>
    <m/>
    <m/>
    <m/>
    <m/>
    <m/>
    <n v="1"/>
    <n v="0"/>
    <n v="7"/>
    <n v="8641.0083379999996"/>
    <n v="83.419459000000003"/>
    <n v="9.6539033104680247E-3"/>
    <s v="0% - 30%"/>
    <n v="2.426986525743863E-6"/>
    <s v="N.D."/>
    <s v="N.D."/>
    <s v="N.D."/>
    <n v="0.94644726381974309"/>
    <s v="Aceptable"/>
    <n v="1"/>
    <s v="Candidato"/>
    <n v="0"/>
    <n v="0"/>
  </r>
  <r>
    <n v="15109"/>
    <s v="15109"/>
    <x v="10"/>
    <x v="10"/>
    <s v="BUENAVISTA"/>
    <n v="60.9472666666667"/>
    <n v="67.849999999999994"/>
    <n v="65.83"/>
    <n v="63.93"/>
    <n v="70.314902266810748"/>
    <n v="60.357350063793433"/>
    <n v="57.546247045896344"/>
    <n v="50.979900000000001"/>
    <n v="64.639316666666673"/>
    <n v="59.799599844125126"/>
    <n v="62.219458255395899"/>
    <n v="56.29936527320092"/>
    <n v="43.70063472679908"/>
    <n v="0.49330571254119171"/>
    <n v="0"/>
    <n v="30.693214188605008"/>
    <n v="3"/>
    <n v="3"/>
    <b v="1"/>
    <x v="4"/>
    <n v="61.28373579852277"/>
    <n v="0.50510207348529435"/>
    <n v="30.954542022758812"/>
    <n v="3"/>
    <n v="0"/>
    <n v="0.93572245687312972"/>
    <n v="-1.1796360944102635E-2"/>
    <n v="-0.26132783415380345"/>
    <n v="3"/>
    <b v="1"/>
    <n v="0"/>
    <n v="0.81759069605862034"/>
    <n v="50.105012208586821"/>
    <n v="0.45613487522627977"/>
    <n v="3"/>
    <n v="0"/>
    <n v="45.613487522627977"/>
    <n v="4"/>
    <n v="-0.32428498351742863"/>
    <b v="0"/>
    <n v="0"/>
    <n v="3"/>
    <n v="0"/>
    <n v="0"/>
    <n v="0"/>
    <n v="0"/>
    <n v="0"/>
    <n v="0"/>
    <s v="Rural disperso"/>
    <n v="6"/>
    <s v="Fuera SC"/>
    <m/>
    <s v="No"/>
    <s v="No"/>
    <n v="44.9"/>
    <n v="14.599056603773585"/>
    <n v="50.34535672092413"/>
    <s v="Alto"/>
    <n v="0"/>
    <s v="Bajo"/>
    <n v="15092.192343000001"/>
    <n v="2665.3487759999998"/>
    <n v="4509"/>
    <n v="3.3471262681304061"/>
    <n v="0.59111749301397198"/>
    <m/>
    <m/>
    <m/>
    <m/>
    <m/>
    <m/>
    <m/>
    <n v="86"/>
    <n v="0"/>
    <n v="7"/>
    <n v="11001.024751999999"/>
    <n v="194.86886999999999"/>
    <n v="1.7713701622621345E-2"/>
    <s v="0% - 30%"/>
    <n v="5.6694700187031E-6"/>
    <s v="N.D."/>
    <s v="N.D."/>
    <s v="N.D."/>
    <n v="0.93884817343483784"/>
    <s v="Aceptable"/>
    <n v="2"/>
    <s v="Candidato"/>
    <n v="0"/>
    <n v="0"/>
  </r>
  <r>
    <n v="15232"/>
    <s v="15232"/>
    <x v="10"/>
    <x v="10"/>
    <s v="CHÍQUIZA"/>
    <n v="58.347900000000003"/>
    <n v="68.27"/>
    <n v="52.56"/>
    <n v="37.51"/>
    <n v="55.074262473874789"/>
    <n v="47.086295404886251"/>
    <n v="61.894865306317243"/>
    <n v="57.260599999999997"/>
    <n v="54.171974999999996"/>
    <n v="55.32900579626957"/>
    <n v="54.750490398134787"/>
    <n v="56.085964532140807"/>
    <n v="43.914035467859193"/>
    <n v="0.49522631921073279"/>
    <n v="0"/>
    <n v="27.11388383485086"/>
    <n v="4"/>
    <n v="4"/>
    <b v="1"/>
    <x v="5"/>
    <n v="57.067631134529918"/>
    <n v="0.50648947559562729"/>
    <n v="28.90415456681275"/>
    <n v="3"/>
    <n v="-1"/>
    <n v="-2.3171407363951317"/>
    <n v="-1.1263156384894502E-2"/>
    <n v="-1.7902707319618898"/>
    <n v="4"/>
    <b v="1"/>
    <s v="Efecto ponderador"/>
    <n v="0.81759069605862034"/>
    <n v="46.657964261696911"/>
    <n v="0.41301593894171623"/>
    <n v="3"/>
    <n v="-1"/>
    <n v="41.301593894171624"/>
    <n v="4"/>
    <n v="-0.32236437684788755"/>
    <b v="1"/>
    <s v="Efecto ponderador"/>
    <n v="3"/>
    <n v="-1"/>
    <n v="0"/>
    <n v="0"/>
    <n v="0"/>
    <n v="0"/>
    <n v="0"/>
    <s v="Rural disperso"/>
    <n v="6"/>
    <s v="Fuera SC"/>
    <m/>
    <s v="No"/>
    <s v="No"/>
    <n v="51.3"/>
    <n v="17.759374281113413"/>
    <n v="10.04042578591325"/>
    <s v="Bajo"/>
    <n v="0"/>
    <s v="Bajo"/>
    <n v="15364.882856"/>
    <n v="3319.7650993000002"/>
    <n v="4813"/>
    <n v="3.1923712561811759"/>
    <n v="0.68974965703303559"/>
    <m/>
    <m/>
    <m/>
    <m/>
    <m/>
    <m/>
    <m/>
    <n v="68"/>
    <n v="0"/>
    <n v="7"/>
    <n v="11631.848795"/>
    <n v="7858.4823610000003"/>
    <n v="0.67560045694352588"/>
    <s v="51% - 70%"/>
    <n v="2.2863287572918474E-4"/>
    <s v="N.D."/>
    <s v="N.D."/>
    <s v="N.D."/>
    <n v="0.95883498273902945"/>
    <s v="Aceptable"/>
    <n v="1"/>
    <s v="Candidato"/>
    <n v="0"/>
    <n v="0"/>
  </r>
  <r>
    <n v="41006"/>
    <s v="41006"/>
    <x v="19"/>
    <x v="19"/>
    <s v="ACEVEDO"/>
    <n v="82.5809"/>
    <n v="61.42"/>
    <n v="60.27"/>
    <n v="73.959999999999994"/>
    <n v="63.160998869608207"/>
    <n v="57.363546108040708"/>
    <n v="63.584769049274712"/>
    <n v="63.767800000000001"/>
    <n v="69.557725000000005"/>
    <n v="61.969278506730909"/>
    <n v="65.76350175336546"/>
    <n v="55.682501141123453"/>
    <n v="44.317498858876547"/>
    <n v="0.49885748972988897"/>
    <n v="0"/>
    <n v="32.806615400531044"/>
    <n v="3"/>
    <n v="3"/>
    <b v="1"/>
    <x v="4"/>
    <n v="66.387320423105706"/>
    <n v="0.5061673747542349"/>
    <n v="33.603095695531621"/>
    <n v="3"/>
    <n v="0"/>
    <n v="-0.62381866974024547"/>
    <n v="-7.3098850243459301E-3"/>
    <n v="-0.7964802950005776"/>
    <n v="3"/>
    <b v="1"/>
    <n v="0"/>
    <n v="0.81759069605862034"/>
    <n v="54.277655514193654"/>
    <n v="0.50833024459878984"/>
    <n v="2"/>
    <n v="-1"/>
    <n v="50.833024459878985"/>
    <n v="4"/>
    <n v="-0.31873320632873137"/>
    <b v="0"/>
    <s v="Cambio en corte"/>
    <n v="2"/>
    <n v="-1"/>
    <n v="0"/>
    <n v="0"/>
    <n v="0"/>
    <n v="0"/>
    <n v="1"/>
    <s v="Rural"/>
    <n v="6"/>
    <s v="Fuera SC"/>
    <m/>
    <s v="No"/>
    <s v="Si"/>
    <n v="51"/>
    <n v="19.330673397931765"/>
    <n v="5.8062500000000004"/>
    <s v="Bajo"/>
    <n v="6.5352541025507058"/>
    <s v="Medio"/>
    <n v="60580.793634000001"/>
    <n v="7946.1377528999992"/>
    <n v="25976"/>
    <n v="2.3321833089775179"/>
    <n v="0.30590305485448105"/>
    <m/>
    <m/>
    <m/>
    <m/>
    <m/>
    <m/>
    <m/>
    <n v="54"/>
    <n v="0"/>
    <n v="7"/>
    <n v="52180.677217999997"/>
    <n v="41810.940233000001"/>
    <n v="0.80127247215137909"/>
    <s v="71% - 100%"/>
    <n v="1.2164378646254824E-3"/>
    <s v="N.D."/>
    <s v="N.D."/>
    <s v="N.D."/>
    <n v="0.94830925152811374"/>
    <s v="Aceptable"/>
    <n v="3"/>
    <s v="Candidato"/>
    <n v="0"/>
    <n v="0"/>
  </r>
  <r>
    <n v="19075"/>
    <s v="19075"/>
    <x v="13"/>
    <x v="13"/>
    <s v="BALBOA"/>
    <n v="35.026033333333302"/>
    <n v="37.729999999999997"/>
    <n v="55.99"/>
    <n v="53.52"/>
    <n v="38.993592925427038"/>
    <n v="46.486422612099823"/>
    <n v="54.395201807779785"/>
    <n v="53.368400000000001"/>
    <n v="45.566508333333331"/>
    <n v="48.310904336326665"/>
    <n v="46.938706334830002"/>
    <n v="55.845399085900503"/>
    <n v="44.154600914099497"/>
    <n v="0.49739140822689543"/>
    <n v="0"/>
    <n v="23.346909244229792"/>
    <n v="4"/>
    <n v="4"/>
    <b v="1"/>
    <x v="5"/>
    <n v="42.910050548359351"/>
    <n v="0.50641675991443857"/>
    <n v="21.73036876646492"/>
    <n v="4"/>
    <n v="0"/>
    <n v="4.0286557864706509"/>
    <n v="-9.0253516875431483E-3"/>
    <n v="1.6165404777648718"/>
    <n v="4"/>
    <b v="1"/>
    <n v="0"/>
    <n v="0.81759069605862034"/>
    <n v="35.082858095743703"/>
    <n v="0.26822356211762483"/>
    <n v="4"/>
    <n v="0"/>
    <n v="26.822356211762482"/>
    <n v="4"/>
    <n v="-0.32019928783172491"/>
    <b v="1"/>
    <n v="0"/>
    <n v="4"/>
    <n v="0"/>
    <n v="0"/>
    <n v="0"/>
    <n v="0"/>
    <n v="1"/>
    <n v="1"/>
    <s v="Rural"/>
    <n v="6"/>
    <s v="Fuera SC"/>
    <m/>
    <s v="No"/>
    <s v="No"/>
    <n v="47.1"/>
    <n v="20.360770207363522"/>
    <n v="6.21"/>
    <s v="Bajo"/>
    <n v="87.481171711150125"/>
    <s v="Muy Alto"/>
    <n v="55210.650135000004"/>
    <n v="5689.2097350000004"/>
    <n v="22220"/>
    <n v="2.4847277288478851"/>
    <n v="0.25604004207920794"/>
    <m/>
    <m/>
    <m/>
    <m/>
    <m/>
    <m/>
    <m/>
    <n v="26"/>
    <n v="0"/>
    <n v="7"/>
    <n v="41355.223710999999"/>
    <n v="3259.4072529999999"/>
    <n v="7.8814886259049213E-2"/>
    <s v="0% - 30%"/>
    <n v="9.482844386395287E-5"/>
    <n v="483.81363900000002"/>
    <n v="1.1698972840311617E-2"/>
    <s v="0% - 30%"/>
    <n v="0.87890316428287441"/>
    <s v="Aceptable"/>
    <n v="1"/>
    <s v="Candidato"/>
    <n v="0"/>
    <n v="0"/>
  </r>
  <r>
    <n v="25506"/>
    <s v="25506"/>
    <x v="5"/>
    <x v="5"/>
    <s v="VENECIA"/>
    <n v="67.913566666666696"/>
    <n v="65.58"/>
    <n v="68.88"/>
    <n v="75.08"/>
    <n v="42.80872551471839"/>
    <n v="46.636279072344372"/>
    <n v="63.013198064211004"/>
    <n v="52.9375"/>
    <n v="69.363391666666672"/>
    <n v="51.348925662818438"/>
    <n v="60.356158664742551"/>
    <n v="56.515563125494374"/>
    <n v="43.484436874505626"/>
    <n v="0.49135993187055071"/>
    <n v="0"/>
    <n v="29.656598009476049"/>
    <n v="3"/>
    <n v="3"/>
    <b v="1"/>
    <x v="4"/>
    <n v="56.718558876257944"/>
    <n v="0.50505770406170392"/>
    <n v="28.646145123731415"/>
    <n v="3"/>
    <n v="0"/>
    <n v="3.6375997884846072"/>
    <n v="-1.3697772191153201E-2"/>
    <n v="1.010452885744634"/>
    <n v="3"/>
    <b v="1"/>
    <n v="0"/>
    <n v="0.81759069605862034"/>
    <n v="46.372566031081568"/>
    <n v="0.40944590791481011"/>
    <n v="3"/>
    <n v="0"/>
    <n v="40.944590791481012"/>
    <n v="4"/>
    <n v="-0.32623076418806962"/>
    <b v="0"/>
    <n v="0"/>
    <n v="3"/>
    <n v="0"/>
    <n v="0"/>
    <n v="0"/>
    <n v="0"/>
    <n v="0"/>
    <n v="0"/>
    <s v="Rural"/>
    <n v="6"/>
    <s v="Fuera SC"/>
    <m/>
    <s v="No"/>
    <s v="No"/>
    <n v="38.1"/>
    <n v="13.419386264003897"/>
    <n v="5.8409090909090908"/>
    <s v="Bajo"/>
    <n v="4.0803169477516485"/>
    <s v="Medio Bajo"/>
    <n v="12779.664526"/>
    <n v="2803.80278"/>
    <n v="4505"/>
    <n v="2.8367734796892341"/>
    <n v="0.622375755826859"/>
    <m/>
    <m/>
    <m/>
    <m/>
    <m/>
    <m/>
    <m/>
    <n v="78"/>
    <n v="0"/>
    <n v="7"/>
    <n v="12208.121246000001"/>
    <n v="3696.7168929999998"/>
    <n v="0.30280800939876246"/>
    <s v="0% - 30%"/>
    <n v="1.0755142980249629E-4"/>
    <s v="N.D."/>
    <s v="N.D."/>
    <s v="N.D."/>
    <n v="0.97231915319923901"/>
    <s v="Aceptable"/>
    <n v="2"/>
    <s v="Candidato"/>
    <n v="0"/>
    <n v="0"/>
  </r>
  <r>
    <n v="70265"/>
    <s v="70265"/>
    <x v="9"/>
    <x v="9"/>
    <s v="GUARANDA"/>
    <n v="48.150633333333303"/>
    <n v="24.78"/>
    <n v="34.979999999999997"/>
    <n v="23.72"/>
    <n v="56.630837346158685"/>
    <n v="56.468788612997301"/>
    <n v="57.920704028834393"/>
    <n v="64.007199999999997"/>
    <n v="32.907658333333323"/>
    <n v="58.756882496997591"/>
    <n v="45.832270415165453"/>
    <n v="55.591315025263278"/>
    <n v="44.408684974736722"/>
    <n v="0.4996781647726305"/>
    <n v="0"/>
    <n v="22.9013847684128"/>
    <n v="4"/>
    <n v="4"/>
    <b v="1"/>
    <x v="5"/>
    <n v="47.598493335015107"/>
    <n v="0.50495075530399702"/>
    <n v="24.034895160848148"/>
    <n v="4"/>
    <n v="0"/>
    <n v="-1.7662229198496533"/>
    <n v="-5.2725905313665278E-3"/>
    <n v="-1.1335103924353476"/>
    <n v="4"/>
    <b v="1"/>
    <n v="0"/>
    <n v="0.81759069605862034"/>
    <n v="38.916085297116602"/>
    <n v="0.31617319380446612"/>
    <n v="4"/>
    <n v="0"/>
    <n v="31.617319380446613"/>
    <n v="4"/>
    <n v="-0.31791253128598984"/>
    <b v="1"/>
    <n v="0"/>
    <n v="4"/>
    <n v="0"/>
    <n v="0"/>
    <n v="0"/>
    <n v="0"/>
    <n v="0"/>
    <n v="0"/>
    <s v="Intermedio"/>
    <n v="6"/>
    <s v="Fuera SC"/>
    <m/>
    <s v="No"/>
    <s v="No"/>
    <n v="66.099999999999994"/>
    <n v="58.170060186963759"/>
    <n v="21.180555555555557"/>
    <s v="Medio"/>
    <n v="3.9380692449649888"/>
    <s v="Medio Bajo"/>
    <n v="90088.591417000003"/>
    <n v="11747.678108"/>
    <n v="19509"/>
    <n v="4.6177964742939155"/>
    <n v="0.60216710789891847"/>
    <m/>
    <m/>
    <m/>
    <m/>
    <m/>
    <m/>
    <m/>
    <n v="64"/>
    <n v="0"/>
    <n v="7"/>
    <n v="36139.744513999998"/>
    <n v="3200.6057799999999"/>
    <n v="8.8561937087301021E-2"/>
    <s v="0% - 30%"/>
    <n v="9.31176873525148E-5"/>
    <s v="N.D."/>
    <s v="N.D."/>
    <s v="N.D."/>
    <n v="0.90045801935553871"/>
    <s v="Aceptable"/>
    <n v="2"/>
    <s v="Candidato"/>
    <n v="0"/>
    <n v="0"/>
  </r>
  <r>
    <n v="20238"/>
    <s v="20238"/>
    <x v="20"/>
    <x v="20"/>
    <s v="EL COPEY"/>
    <n v="53.168100000000003"/>
    <n v="61.56"/>
    <n v="54.15"/>
    <n v="53.35"/>
    <n v="58.32206054805868"/>
    <n v="64.933806858099913"/>
    <n v="60.678248017181375"/>
    <n v="60.093200000000003"/>
    <n v="55.557025000000003"/>
    <n v="61.006828855834989"/>
    <n v="58.281926927917496"/>
    <n v="55.863665040138734"/>
    <n v="44.136334959861266"/>
    <n v="0.49722701463875141"/>
    <n v="0"/>
    <n v="28.979348533762273"/>
    <n v="4"/>
    <n v="4"/>
    <b v="1"/>
    <x v="4"/>
    <n v="58.357706368102711"/>
    <n v="0.50443425718380419"/>
    <n v="29.437626262744452"/>
    <n v="3"/>
    <n v="0"/>
    <n v="-7.5779440185215208E-2"/>
    <n v="-7.2072425450527833E-3"/>
    <n v="-0.45827772898217844"/>
    <n v="3"/>
    <b v="1"/>
    <n v="0"/>
    <n v="0.81759069605862034"/>
    <n v="47.712717769881678"/>
    <n v="0.42620979351411142"/>
    <n v="3"/>
    <n v="0"/>
    <n v="42.620979351411144"/>
    <n v="4"/>
    <n v="-0.32036368141986893"/>
    <b v="0"/>
    <n v="0"/>
    <n v="3"/>
    <n v="0"/>
    <n v="0"/>
    <n v="0"/>
    <n v="0"/>
    <n v="0"/>
    <n v="1"/>
    <s v="Intermedio"/>
    <n v="6"/>
    <s v="Fuera SC"/>
    <m/>
    <s v="No"/>
    <s v="Si"/>
    <n v="48.2"/>
    <n v="26.984238178633976"/>
    <n v="20.591206896551725"/>
    <s v="Medio"/>
    <n v="9.0723519570674593"/>
    <s v="Medio"/>
    <n v="60943.280675000002"/>
    <n v="11602.58703825"/>
    <n v="34776"/>
    <n v="1.7524522853404647"/>
    <n v="0.33363776852570737"/>
    <m/>
    <m/>
    <m/>
    <m/>
    <m/>
    <m/>
    <m/>
    <n v="42"/>
    <n v="0"/>
    <n v="7"/>
    <n v="95514.981860999993"/>
    <n v="56727.105386000003"/>
    <n v="0.59390793235508554"/>
    <s v="51% - 70%"/>
    <n v="1.6504053378753527E-3"/>
    <n v="174.408412"/>
    <n v="1.8259796379777487E-3"/>
    <s v="0% - 30%"/>
    <n v="0.93133361882961263"/>
    <s v="Aceptable"/>
    <n v="2"/>
    <s v="No es Candidato"/>
    <n v="0"/>
    <n v="0"/>
  </r>
  <r>
    <n v="15114"/>
    <s v="15114"/>
    <x v="10"/>
    <x v="10"/>
    <s v="BUSBANZÁ"/>
    <n v="59.530999999999999"/>
    <n v="57.65"/>
    <n v="41.53"/>
    <n v="65.56"/>
    <n v="54.550435311750746"/>
    <n v="56.8637062240159"/>
    <n v="57.5742803741758"/>
    <n v="55.588900000000002"/>
    <n v="56.067750000000004"/>
    <n v="56.14433047748561"/>
    <n v="56.106040238742807"/>
    <n v="55.535996404298515"/>
    <n v="44.464003595701485"/>
    <n v="0.50017603236131336"/>
    <n v="0"/>
    <n v="28.06289659811857"/>
    <n v="4"/>
    <n v="4"/>
    <b v="1"/>
    <x v="5"/>
    <n v="54.254046586726481"/>
    <n v="0.50557722268755667"/>
    <n v="27.429610192878489"/>
    <n v="4"/>
    <n v="0"/>
    <n v="1.8519936520163256"/>
    <n v="-5.4011903262433103E-3"/>
    <n v="0.63328640524008151"/>
    <n v="3"/>
    <b v="0"/>
    <n v="0"/>
    <n v="0.81759069605862034"/>
    <n v="44.357603712838518"/>
    <n v="0.38424085328407642"/>
    <n v="3"/>
    <n v="-1"/>
    <n v="38.424085328407642"/>
    <n v="4"/>
    <n v="-0.31741466369730698"/>
    <b v="1"/>
    <s v="Efecto ponderador"/>
    <n v="3"/>
    <n v="-1"/>
    <n v="0"/>
    <n v="0"/>
    <n v="0"/>
    <n v="0"/>
    <n v="0"/>
    <s v="Rural"/>
    <n v="6"/>
    <s v="En aglomeración"/>
    <m/>
    <s v="No"/>
    <s v="No"/>
    <n v="31.3"/>
    <n v="10.379464285714286"/>
    <n v="7.8866333333333323"/>
    <s v="Bajo"/>
    <n v="0"/>
    <s v="Bajo"/>
    <n v="4719.4295529999999"/>
    <n v="1492.5464807000001"/>
    <n v="1288"/>
    <n v="3.6641533796583849"/>
    <n v="1.1588093794254659"/>
    <m/>
    <m/>
    <m/>
    <m/>
    <m/>
    <m/>
    <m/>
    <n v="21"/>
    <n v="0"/>
    <n v="7"/>
    <n v="2530.119275"/>
    <n v="0"/>
    <n v="0"/>
    <n v="0"/>
    <n v="0"/>
    <s v="N.D."/>
    <s v="N.D."/>
    <s v="N.D."/>
    <n v="0.95983764853948417"/>
    <s v="Aceptable"/>
    <n v="2"/>
    <s v="Candidato"/>
    <n v="0"/>
    <n v="0"/>
  </r>
  <r>
    <n v="70429"/>
    <s v="70429"/>
    <x v="9"/>
    <x v="9"/>
    <s v="MAJAGUAL"/>
    <n v="43.325200000000002"/>
    <n v="48.47"/>
    <n v="66.11"/>
    <n v="69.53"/>
    <n v="51.244496879488153"/>
    <n v="53.782558688465755"/>
    <n v="54.371153783297437"/>
    <n v="50.717399999999998"/>
    <n v="56.858799999999995"/>
    <n v="52.528902337812838"/>
    <n v="54.69385116890642"/>
    <n v="56.286140720117103"/>
    <n v="43.713859279882897"/>
    <n v="0.49342473351894611"/>
    <n v="0"/>
    <n v="26.987298938142551"/>
    <n v="4"/>
    <n v="4"/>
    <b v="1"/>
    <x v="5"/>
    <n v="51.852018225208568"/>
    <n v="0.50328005097257311"/>
    <n v="26.096086375413758"/>
    <n v="4"/>
    <n v="0"/>
    <n v="2.8418329436978524"/>
    <n v="-9.8553174536269994E-3"/>
    <n v="0.89121256272879279"/>
    <n v="4"/>
    <b v="1"/>
    <n v="0"/>
    <n v="0.81759069605862034"/>
    <n v="42.393727672792544"/>
    <n v="0.35967483414357515"/>
    <n v="3"/>
    <n v="-1"/>
    <n v="35.967483414357517"/>
    <n v="4"/>
    <n v="-0.32416596253967422"/>
    <b v="1"/>
    <s v="Efecto ponderador"/>
    <n v="4"/>
    <n v="0"/>
    <n v="0"/>
    <n v="0"/>
    <n v="0"/>
    <n v="0"/>
    <n v="0"/>
    <s v="Rural disperso"/>
    <n v="6"/>
    <s v="Fuera SC"/>
    <m/>
    <s v="No"/>
    <s v="Si"/>
    <n v="64.400000000000006"/>
    <n v="51.646128379621118"/>
    <n v="20.348837209302324"/>
    <s v="Medio"/>
    <n v="4.6053293621620366"/>
    <s v="Medio Bajo"/>
    <n v="89375.627842999995"/>
    <n v="10028.126249000001"/>
    <n v="40125"/>
    <n v="2.2274299773956385"/>
    <n v="0.24992214950778818"/>
    <m/>
    <m/>
    <m/>
    <m/>
    <m/>
    <m/>
    <m/>
    <n v="64"/>
    <n v="1"/>
    <n v="6"/>
    <n v="84458.564876000004"/>
    <n v="12994.731818"/>
    <n v="0.15385925438205761"/>
    <s v="0% - 30%"/>
    <n v="3.7806573437429094E-4"/>
    <s v="N.D."/>
    <s v="N.D."/>
    <s v="N.D."/>
    <n v="0.87002984616862156"/>
    <s v="Aceptable"/>
    <n v="2"/>
    <s v="Candidato"/>
    <n v="0"/>
    <n v="0"/>
  </r>
  <r>
    <n v="47745"/>
    <s v="47745"/>
    <x v="17"/>
    <x v="17"/>
    <s v="SITIONUEVO"/>
    <n v="66.9953"/>
    <n v="47.72"/>
    <n v="29.2"/>
    <n v="64.34"/>
    <n v="54.962587622556661"/>
    <n v="52.586642907143379"/>
    <n v="49.756827866222785"/>
    <n v="64.569500000000005"/>
    <n v="52.063825000000001"/>
    <n v="55.468889598980709"/>
    <n v="53.766357299490352"/>
    <n v="56.063149362372364"/>
    <n v="43.936850637627636"/>
    <n v="0.49543165573864867"/>
    <n v="0"/>
    <n v="26.637555419922283"/>
    <n v="4"/>
    <n v="4"/>
    <b v="1"/>
    <x v="5"/>
    <n v="52.759116031716154"/>
    <n v="0.50271732796829449"/>
    <n v="26.522921837433554"/>
    <n v="4"/>
    <n v="0"/>
    <n v="1.007241267774198"/>
    <n v="-7.2856722296458232E-3"/>
    <n v="0.11463358248872879"/>
    <n v="4"/>
    <b v="1"/>
    <n v="0"/>
    <n v="0.81759069605862034"/>
    <n v="43.135362399808322"/>
    <n v="0.36895190282185258"/>
    <n v="3"/>
    <n v="-1"/>
    <n v="36.895190282185261"/>
    <n v="4"/>
    <n v="-0.32215904031997167"/>
    <b v="1"/>
    <s v="Efecto ponderador"/>
    <n v="3"/>
    <n v="-1"/>
    <n v="0"/>
    <n v="0"/>
    <n v="0"/>
    <n v="0"/>
    <n v="0"/>
    <s v="Rural"/>
    <n v="5"/>
    <s v="En aglomeración"/>
    <m/>
    <s v="No"/>
    <s v="No"/>
    <n v="70.7"/>
    <n v="48.550612308169278"/>
    <n v="27.631578947368421"/>
    <s v="Medio"/>
    <n v="1.9363250740801512"/>
    <s v="Medio Bajo"/>
    <n v="60801.281718999999"/>
    <n v="26040.477284000001"/>
    <n v="28889"/>
    <n v="2.1046516569974729"/>
    <n v="0.90139766983973135"/>
    <m/>
    <m/>
    <m/>
    <m/>
    <m/>
    <m/>
    <m/>
    <n v="5"/>
    <n v="0"/>
    <n v="7"/>
    <n v="97021.714435999995"/>
    <n v="94286.538534000007"/>
    <n v="0.97180862121536482"/>
    <s v="71% - 100%"/>
    <n v="2.7431508346397637E-3"/>
    <s v="N.D."/>
    <s v="N.D."/>
    <s v="N.D."/>
    <n v="0.90365243183219124"/>
    <s v="Aceptable"/>
    <n v="3"/>
    <s v="Candidato"/>
    <n v="0"/>
    <n v="0"/>
  </r>
  <r>
    <n v="50226"/>
    <s v="50226"/>
    <x v="16"/>
    <x v="16"/>
    <s v="CUMARAL"/>
    <n v="75.259533333333295"/>
    <n v="60.82"/>
    <n v="54.4"/>
    <n v="53.26"/>
    <n v="54.789131223598964"/>
    <n v="55.386017816684785"/>
    <n v="58.365991444025447"/>
    <n v="61.125100000000003"/>
    <n v="60.934883333333325"/>
    <n v="57.416560121077296"/>
    <n v="59.175721727205314"/>
    <n v="57.409345198219619"/>
    <n v="42.590654801780381"/>
    <n v="0.48331589321602342"/>
    <n v="0"/>
    <n v="28.60056680328708"/>
    <n v="4"/>
    <n v="4"/>
    <b v="1"/>
    <x v="4"/>
    <n v="62.058421376167466"/>
    <n v="0.50159492640632342"/>
    <n v="31.128189303071327"/>
    <n v="3"/>
    <n v="0"/>
    <n v="-2.8826996489621521"/>
    <n v="-1.8279033190299998E-2"/>
    <n v="-2.5276224997842469"/>
    <n v="3"/>
    <b v="1"/>
    <n v="0"/>
    <n v="0.81759069605862034"/>
    <n v="50.73838792923992"/>
    <n v="0.46405773785070925"/>
    <n v="3"/>
    <n v="0"/>
    <n v="46.405773785070927"/>
    <n v="4"/>
    <n v="-0.33427480284259692"/>
    <b v="0"/>
    <n v="0"/>
    <n v="2"/>
    <n v="-1"/>
    <n v="0"/>
    <n v="0"/>
    <n v="0"/>
    <n v="0"/>
    <n v="0"/>
    <s v="Rural"/>
    <n v="6"/>
    <s v="Fuera SC"/>
    <m/>
    <s v="No"/>
    <s v="No"/>
    <n v="22.7"/>
    <n v="8.3758744564189822"/>
    <n v="15.11"/>
    <s v="Medio"/>
    <n v="0.55033053918317143"/>
    <s v="Medio Bajo"/>
    <n v="46947.113302999998"/>
    <n v="23812.039048999999"/>
    <n v="24556"/>
    <n v="1.9118387890128685"/>
    <n v="0.96970349604984518"/>
    <m/>
    <m/>
    <m/>
    <m/>
    <m/>
    <m/>
    <m/>
    <n v="88"/>
    <n v="0"/>
    <n v="7"/>
    <n v="62382.771252999999"/>
    <n v="228.20449300000001"/>
    <n v="3.6581333021338904E-3"/>
    <s v="0% - 30%"/>
    <n v="6.6393289559119506E-6"/>
    <s v="N.D."/>
    <s v="N.D."/>
    <s v="N.D."/>
    <n v="0.91749094589709834"/>
    <s v="Aceptable"/>
    <n v="2"/>
    <s v="Candidato"/>
    <n v="0"/>
    <n v="0"/>
  </r>
  <r>
    <n v="13440"/>
    <s v="13440"/>
    <x v="8"/>
    <x v="8"/>
    <s v="MARGARITA"/>
    <n v="55.348999999999997"/>
    <n v="64.540000000000006"/>
    <n v="32.520000000000003"/>
    <n v="33.409999999999997"/>
    <n v="50.925635666592129"/>
    <n v="49.604748036303576"/>
    <n v="52.425875211245184"/>
    <n v="46.040700000000001"/>
    <n v="46.454750000000004"/>
    <n v="49.74923972853523"/>
    <n v="48.101994864267617"/>
    <n v="56.303925476590258"/>
    <n v="43.696074523409742"/>
    <n v="0.49326467071068769"/>
    <n v="0"/>
    <n v="23.727014657250155"/>
    <n v="4"/>
    <n v="4"/>
    <b v="1"/>
    <x v="5"/>
    <n v="49.557027306789792"/>
    <n v="0.50302115445276208"/>
    <n v="24.928233087108456"/>
    <n v="4"/>
    <n v="0"/>
    <n v="-1.4550324425221746"/>
    <n v="-9.7564837420743844E-3"/>
    <n v="-1.2012184298583009"/>
    <n v="4"/>
    <b v="1"/>
    <n v="0"/>
    <n v="0.81759069605862034"/>
    <n v="40.517364450354322"/>
    <n v="0.3362035081041419"/>
    <n v="4"/>
    <n v="0"/>
    <n v="33.620350810414187"/>
    <n v="4"/>
    <n v="-0.32432602534793264"/>
    <b v="1"/>
    <n v="0"/>
    <n v="4"/>
    <n v="0"/>
    <n v="0"/>
    <n v="0"/>
    <n v="0"/>
    <n v="0"/>
    <n v="0"/>
    <s v="Rural disperso"/>
    <n v="6"/>
    <s v="Fuera SC"/>
    <m/>
    <s v="No"/>
    <s v="Si"/>
    <n v="65.599999999999994"/>
    <n v="36.697530864197532"/>
    <n v="74.132499999999993"/>
    <s v="Alto"/>
    <n v="1.6728283818307248"/>
    <s v="Medio Bajo"/>
    <n v="29758.943078"/>
    <n v="4514.7222545000004"/>
    <n v="11721"/>
    <n v="2.5389423323948468"/>
    <n v="0.38518234404061091"/>
    <m/>
    <m/>
    <m/>
    <m/>
    <m/>
    <m/>
    <m/>
    <n v="60"/>
    <n v="0"/>
    <n v="7"/>
    <n v="29262.005966000001"/>
    <n v="1849.84411"/>
    <n v="6.3216585771644088E-2"/>
    <s v="0% - 30%"/>
    <n v="5.3818938452917182E-5"/>
    <s v="N.D."/>
    <s v="N.D."/>
    <s v="N.D."/>
    <n v="0.90647010812949347"/>
    <s v="Aceptable"/>
    <n v="1"/>
    <s v="Candidato"/>
    <n v="0"/>
    <n v="0"/>
  </r>
  <r>
    <n v="68500"/>
    <s v="68500"/>
    <x v="0"/>
    <x v="0"/>
    <s v="OIBA"/>
    <n v="56.586066666666703"/>
    <n v="58.41"/>
    <n v="50.57"/>
    <n v="57.32"/>
    <n v="52.953767420023354"/>
    <n v="54.946727324300156"/>
    <n v="75.084603603221979"/>
    <n v="55.806199999999997"/>
    <n v="55.721516666666673"/>
    <n v="59.69782458688637"/>
    <n v="57.709670626776521"/>
    <n v="56.161590343696218"/>
    <n v="43.838409656303782"/>
    <n v="0.49454568690673406"/>
    <n v="0"/>
    <n v="28.540068701280568"/>
    <n v="4"/>
    <n v="4"/>
    <b v="1"/>
    <x v="4"/>
    <n v="58.057606622756097"/>
    <n v="0.50036354756838153"/>
    <n v="29.049910013091804"/>
    <n v="3"/>
    <n v="0"/>
    <n v="-0.34793599597957581"/>
    <n v="-5.8178606616474671E-3"/>
    <n v="-0.50984131181123615"/>
    <n v="3"/>
    <b v="1"/>
    <n v="0"/>
    <n v="0.81759069605862034"/>
    <n v="47.467359010196724"/>
    <n v="0.42314061406296383"/>
    <n v="3"/>
    <n v="0"/>
    <n v="42.314061406296382"/>
    <n v="4"/>
    <n v="-0.32304500915188628"/>
    <b v="0"/>
    <n v="0"/>
    <n v="3"/>
    <n v="0"/>
    <n v="0"/>
    <n v="0"/>
    <n v="0"/>
    <n v="0"/>
    <n v="0"/>
    <s v="Rural"/>
    <n v="6"/>
    <s v="Fuera SC"/>
    <m/>
    <s v="No"/>
    <s v="Si"/>
    <n v="31.8"/>
    <n v="12.592665810022734"/>
    <n v="1.4933333333333334"/>
    <s v="Sin riesgo"/>
    <n v="0"/>
    <s v="Bajo"/>
    <n v="25218.896314000001"/>
    <n v="6444.4767103500008"/>
    <n v="11595"/>
    <n v="2.1749802771884434"/>
    <n v="0.55579790516170768"/>
    <m/>
    <m/>
    <m/>
    <m/>
    <m/>
    <m/>
    <m/>
    <n v="20"/>
    <n v="0"/>
    <n v="7"/>
    <n v="28734.076481"/>
    <n v="624.55306900000005"/>
    <n v="2.1735623534411379E-2"/>
    <s v="0% - 30%"/>
    <n v="1.8170603133196744E-5"/>
    <s v="N.D."/>
    <s v="N.D."/>
    <s v="N.D."/>
    <n v="0.95678322361686774"/>
    <s v="Aceptable"/>
    <n v="1"/>
    <s v="Candidato"/>
    <n v="0"/>
    <n v="0"/>
  </r>
  <r>
    <n v="73504"/>
    <s v="73504"/>
    <x v="15"/>
    <x v="15"/>
    <s v="ORTEGA"/>
    <n v="83.756533333333294"/>
    <n v="74.430000000000007"/>
    <n v="66.400000000000006"/>
    <n v="70.290000000000006"/>
    <n v="37.377139950588806"/>
    <n v="46.376639293125351"/>
    <n v="43.60836667851359"/>
    <n v="48.498600000000003"/>
    <n v="73.719133333333332"/>
    <n v="43.965186480556937"/>
    <n v="58.842159906945135"/>
    <n v="55.78657151521783"/>
    <n v="44.21342848478217"/>
    <n v="0.49792085636303951"/>
    <n v="0"/>
    <n v="29.298738651117031"/>
    <n v="4"/>
    <n v="4"/>
    <b v="1"/>
    <x v="4"/>
    <n v="60.579677915098941"/>
    <n v="0.50265718175493534"/>
    <n v="30.450810172425332"/>
    <n v="3"/>
    <n v="0"/>
    <n v="-1.7375180081538062"/>
    <n v="-4.7363253918958348E-3"/>
    <n v="-1.1520715213083008"/>
    <n v="3"/>
    <b v="1"/>
    <n v="0"/>
    <n v="0.81759069605862034"/>
    <n v="49.529381033612772"/>
    <n v="0.44893433599980664"/>
    <n v="3"/>
    <n v="0"/>
    <n v="44.893433599980668"/>
    <n v="4"/>
    <n v="-0.31966983969558083"/>
    <b v="0"/>
    <n v="0"/>
    <n v="2"/>
    <n v="-1"/>
    <n v="0"/>
    <n v="0"/>
    <n v="0"/>
    <n v="0"/>
    <n v="1"/>
    <s v="Rural disperso"/>
    <n v="6"/>
    <s v="Fuera SC"/>
    <m/>
    <s v="No"/>
    <s v="No"/>
    <n v="51.3"/>
    <n v="28.346031960083607"/>
    <n v="5.9366666666666674"/>
    <s v="Bajo"/>
    <n v="1.3906480944167474"/>
    <s v="Medio Bajo"/>
    <n v="69379.132624000005"/>
    <n v="8429.1553739999999"/>
    <n v="36303"/>
    <n v="1.9111129279673857"/>
    <n v="0.23218894785554914"/>
    <m/>
    <m/>
    <m/>
    <m/>
    <m/>
    <m/>
    <m/>
    <n v="15"/>
    <n v="0"/>
    <n v="7"/>
    <n v="95328.589739000003"/>
    <n v="66084.029519999996"/>
    <n v="0.69322361424763923"/>
    <s v="51% - 70%"/>
    <n v="1.9226335334049539E-3"/>
    <n v="5992.2007839999997"/>
    <n v="6.2858380685228185E-2"/>
    <s v="0% - 30%"/>
    <n v="0.98504206950728923"/>
    <s v="Aceptable"/>
    <n v="2"/>
    <s v="Candidato"/>
    <n v="0"/>
    <n v="0"/>
  </r>
  <r>
    <n v="23855"/>
    <s v="23855"/>
    <x v="14"/>
    <x v="14"/>
    <s v="VALENCIA"/>
    <n v="61.563966666666701"/>
    <n v="51.44"/>
    <n v="54.55"/>
    <n v="65.58"/>
    <n v="55.528880598563255"/>
    <n v="67.812909842977419"/>
    <n v="60.215162204377165"/>
    <n v="64.746700000000004"/>
    <n v="58.283491666666677"/>
    <n v="62.075913161479455"/>
    <n v="60.179702414073063"/>
    <n v="56.064984759372891"/>
    <n v="43.935015240627109"/>
    <n v="0.495415137165644"/>
    <n v="0"/>
    <n v="29.813935526055644"/>
    <n v="3"/>
    <n v="3"/>
    <b v="1"/>
    <x v="4"/>
    <n v="57.91579751474876"/>
    <n v="0.50184517029575559"/>
    <n v="29.064763266603592"/>
    <n v="3"/>
    <n v="0"/>
    <n v="2.2639048993243023"/>
    <n v="-6.4300331301115898E-3"/>
    <n v="0.74917225945205246"/>
    <n v="3"/>
    <b v="1"/>
    <n v="0"/>
    <n v="0.81759069605862034"/>
    <n v="47.351417202873556"/>
    <n v="0.42169030426753568"/>
    <n v="3"/>
    <n v="0"/>
    <n v="42.169030426753565"/>
    <n v="4"/>
    <n v="-0.32217555889297633"/>
    <b v="0"/>
    <n v="0"/>
    <n v="3"/>
    <n v="0"/>
    <n v="0"/>
    <n v="0"/>
    <n v="0"/>
    <n v="1"/>
    <n v="1"/>
    <s v="Rural"/>
    <n v="6"/>
    <s v="Fuera SC"/>
    <m/>
    <s v="No"/>
    <s v="Si"/>
    <n v="53.1"/>
    <n v="55.931481724092755"/>
    <s v="Sin Información"/>
    <s v="Sin Información"/>
    <n v="2.4785776061170113"/>
    <s v="Medio Bajo"/>
    <n v="66935.783186999994"/>
    <n v="10705.201499999999"/>
    <n v="36721"/>
    <n v="1.8228202714250699"/>
    <n v="0.29152804934506138"/>
    <m/>
    <m/>
    <m/>
    <m/>
    <m/>
    <m/>
    <m/>
    <n v="56"/>
    <n v="0"/>
    <n v="7"/>
    <n v="91922.065724999993"/>
    <n v="14415.906333000001"/>
    <n v="0.15682748444891959"/>
    <s v="0% - 30%"/>
    <n v="4.1941305836779193E-4"/>
    <n v="4.6744450000000004"/>
    <n v="5.0852262328224573E-5"/>
    <n v="0"/>
    <n v="0.95543636232202389"/>
    <s v="Aceptable"/>
    <n v="3"/>
    <s v="Candidato"/>
    <n v="0"/>
    <n v="0"/>
  </r>
  <r>
    <n v="5819"/>
    <s v="05819"/>
    <x v="1"/>
    <x v="1"/>
    <s v="TOLEDO"/>
    <n v="59.343866666666699"/>
    <n v="72.55"/>
    <n v="76.61"/>
    <n v="50.7"/>
    <n v="57.922204404847264"/>
    <n v="48.81335522431894"/>
    <n v="49.010860622089055"/>
    <n v="47.9133"/>
    <n v="64.800966666666667"/>
    <n v="50.914930062813809"/>
    <n v="57.857948364740238"/>
    <n v="57.165857563140719"/>
    <n v="42.834142436859281"/>
    <n v="0.48550728193173354"/>
    <n v="0"/>
    <n v="28.090455248711621"/>
    <n v="4"/>
    <n v="4"/>
    <b v="1"/>
    <x v="5"/>
    <n v="57.950708908079271"/>
    <n v="0.50406656314839349"/>
    <n v="29.211014671308508"/>
    <n v="3"/>
    <n v="-1"/>
    <n v="-9.2760543339032608E-2"/>
    <n v="-1.8559281216659951E-2"/>
    <n v="-1.1205594225968873"/>
    <n v="3"/>
    <b v="0"/>
    <s v="Cambio en corte"/>
    <n v="0.81759069605862034"/>
    <n v="47.379960433247021"/>
    <n v="0.42204734999210691"/>
    <n v="3"/>
    <n v="-1"/>
    <n v="42.204734999210693"/>
    <n v="4"/>
    <n v="-0.3320834141268868"/>
    <b v="1"/>
    <s v="Efecto ponderador"/>
    <n v="3"/>
    <n v="-1"/>
    <n v="0"/>
    <n v="0"/>
    <n v="0"/>
    <n v="0"/>
    <n v="1"/>
    <s v="Rural"/>
    <n v="6"/>
    <s v="Fuera SC"/>
    <m/>
    <s v="No"/>
    <s v="No"/>
    <n v="53.5"/>
    <n v="23.913043478260871"/>
    <n v="1.4749999999999999"/>
    <s v="Sin riesgo"/>
    <n v="24.000608944047215"/>
    <s v="Muy Alto"/>
    <n v="21881.010837000002"/>
    <n v="5992.8984479999999"/>
    <n v="4867"/>
    <n v="4.495790186357099"/>
    <n v="1.2313331514279844"/>
    <m/>
    <m/>
    <m/>
    <m/>
    <m/>
    <m/>
    <m/>
    <n v="99"/>
    <n v="0"/>
    <n v="7"/>
    <n v="13441.75424"/>
    <n v="1964.385642"/>
    <n v="0.1461405711580693"/>
    <s v="0% - 30%"/>
    <n v="5.7151383402027434E-5"/>
    <s v="N.D."/>
    <s v="N.D."/>
    <s v="N.D."/>
    <n v="0.91078787150723117"/>
    <s v="Aceptable"/>
    <n v="1"/>
    <s v="Candidato"/>
    <n v="0"/>
    <n v="0"/>
  </r>
  <r>
    <n v="86001"/>
    <s v="86001"/>
    <x v="22"/>
    <x v="22"/>
    <s v="MOCOA"/>
    <n v="72.089299999999994"/>
    <n v="64.53"/>
    <n v="59.21"/>
    <n v="72.849999999999994"/>
    <n v="48.923789380408181"/>
    <n v="52.67373208399993"/>
    <n v="55.827896604012423"/>
    <n v="60.917099999999998"/>
    <n v="67.169825000000003"/>
    <n v="54.585629517105133"/>
    <n v="60.877727258552568"/>
    <n v="56.034373984207406"/>
    <n v="43.965626015792594"/>
    <n v="0.49569063414213332"/>
    <n v="0"/>
    <n v="30.176519229923759"/>
    <n v="3"/>
    <n v="3"/>
    <b v="1"/>
    <x v="4"/>
    <n v="56.936115526438314"/>
    <n v="0.50152387874427795"/>
    <n v="28.554821499451652"/>
    <n v="3"/>
    <n v="0"/>
    <n v="3.9416117321142536"/>
    <n v="-5.8332446021446271E-3"/>
    <n v="1.621697730472107"/>
    <n v="3"/>
    <b v="1"/>
    <n v="0"/>
    <n v="0.81759069605862034"/>
    <n v="46.550438324134724"/>
    <n v="0.41167090280583507"/>
    <n v="3"/>
    <n v="0"/>
    <n v="41.167090280583508"/>
    <n v="4"/>
    <n v="-0.32190006191648701"/>
    <b v="0"/>
    <n v="0"/>
    <n v="2"/>
    <n v="-1"/>
    <n v="1"/>
    <n v="0"/>
    <n v="0"/>
    <n v="1"/>
    <n v="1"/>
    <s v="Intermedio"/>
    <n v="6"/>
    <s v="Uninodal"/>
    <m/>
    <s v="No"/>
    <s v="No"/>
    <n v="24.8"/>
    <n v="10.665384534983382"/>
    <n v="0.38240359286608794"/>
    <s v="Sin riesgo"/>
    <n v="2.6166523361322516"/>
    <s v="Medio Bajo"/>
    <n v="100614.723942"/>
    <n v="23520.83396675"/>
    <n v="65766"/>
    <n v="1.5298896685521393"/>
    <n v="0.35764428377505092"/>
    <m/>
    <m/>
    <m/>
    <m/>
    <m/>
    <m/>
    <m/>
    <n v="81"/>
    <n v="1"/>
    <n v="5"/>
    <n v="130526.518947"/>
    <n v="43964.255713999999"/>
    <n v="0.33682240259430796"/>
    <s v="31% - 50%"/>
    <n v="1.2790859292462643E-3"/>
    <n v="70240.883499000003"/>
    <n v="0.5381349634208904"/>
    <s v="51% - 70%"/>
    <n v="0.93905340752638533"/>
    <s v="Aceptable"/>
    <n v="3"/>
    <s v="Candidato"/>
    <n v="0"/>
    <n v="0"/>
  </r>
  <r>
    <n v="73217"/>
    <s v="73217"/>
    <x v="15"/>
    <x v="15"/>
    <s v="COYAIMA"/>
    <n v="49.454466666666697"/>
    <n v="46.17"/>
    <n v="40.85"/>
    <n v="41.31"/>
    <n v="46.689820271729687"/>
    <n v="46.809387771979942"/>
    <n v="48.12266412982278"/>
    <n v="51.049300000000002"/>
    <n v="44.446116666666676"/>
    <n v="48.167793043383099"/>
    <n v="46.306954855024884"/>
    <n v="56.16408967644626"/>
    <n v="43.83591032355374"/>
    <n v="0.49452319291198366"/>
    <n v="0"/>
    <n v="22.899863168937991"/>
    <n v="4"/>
    <n v="4"/>
    <b v="1"/>
    <x v="5"/>
    <n v="45.674104857757527"/>
    <n v="0.50212560864624201"/>
    <n v="22.934137701073777"/>
    <n v="4"/>
    <n v="0"/>
    <n v="0.63284999726735691"/>
    <n v="-7.6024157342583498E-3"/>
    <n v="-3.4274532135786018E-2"/>
    <n v="4"/>
    <b v="1"/>
    <n v="0"/>
    <n v="0.81759069605862034"/>
    <n v="37.342723182508387"/>
    <n v="0.29649209223071293"/>
    <n v="4"/>
    <n v="0"/>
    <n v="29.649209223071292"/>
    <n v="4"/>
    <n v="-0.32306750314663668"/>
    <b v="1"/>
    <n v="0"/>
    <n v="3"/>
    <n v="-1"/>
    <n v="0"/>
    <n v="0"/>
    <n v="0"/>
    <n v="0"/>
    <n v="0"/>
    <s v="Rural disperso"/>
    <n v="6"/>
    <s v="Fuera SC"/>
    <m/>
    <s v="No"/>
    <s v="No"/>
    <n v="62.1"/>
    <n v="37.570398442023262"/>
    <n v="35.217596991876803"/>
    <s v="Alto"/>
    <n v="2.8951948560329521"/>
    <s v="Medio Bajo"/>
    <n v="58166.024829000002"/>
    <n v="8007.0096237500002"/>
    <n v="23625"/>
    <n v="2.4620539610158731"/>
    <n v="0.33892104227513226"/>
    <m/>
    <m/>
    <m/>
    <m/>
    <m/>
    <m/>
    <m/>
    <n v="15"/>
    <n v="0"/>
    <n v="7"/>
    <n v="66869.383885999996"/>
    <n v="8366.5436169999994"/>
    <n v="0.12511770156673521"/>
    <s v="0% - 30%"/>
    <n v="2.4341429288707474E-4"/>
    <n v="8767.6288380000005"/>
    <n v="0.13111574129271469"/>
    <s v="0% - 30%"/>
    <n v="0.8751811723507924"/>
    <s v="Aceptable"/>
    <n v="1"/>
    <s v="Candidato"/>
    <n v="0"/>
    <n v="0"/>
  </r>
  <r>
    <n v="52258"/>
    <s v="52258"/>
    <x v="18"/>
    <x v="18"/>
    <s v="EL TABLÓN DE GÓMEZ"/>
    <n v="47.016733333333299"/>
    <n v="33.21"/>
    <n v="47.09"/>
    <n v="48.35"/>
    <n v="62.001012342978328"/>
    <n v="55.424318481883056"/>
    <n v="64.215856586942522"/>
    <n v="56.6584"/>
    <n v="43.916683333333324"/>
    <n v="59.574896852950978"/>
    <n v="51.745790093142148"/>
    <n v="56.490892774615489"/>
    <n v="43.509107225384511"/>
    <n v="0.49158196502846063"/>
    <n v="0"/>
    <n v="25.437297175937069"/>
    <n v="4"/>
    <n v="4"/>
    <b v="1"/>
    <x v="5"/>
    <n v="52.423060822761499"/>
    <n v="0.5014783991893067"/>
    <n v="26.289032622002097"/>
    <n v="4"/>
    <n v="0"/>
    <n v="-0.67727072961935164"/>
    <n v="-9.8964341608460682E-3"/>
    <n v="-0.85173544606502816"/>
    <n v="4"/>
    <b v="1"/>
    <n v="0"/>
    <n v="0.81759069605862034"/>
    <n v="42.860606787604965"/>
    <n v="0.36551499973290313"/>
    <n v="3"/>
    <n v="-1"/>
    <n v="36.551499973290312"/>
    <n v="4"/>
    <n v="-0.3260087310301597"/>
    <b v="1"/>
    <s v="Efecto ponderador"/>
    <n v="4"/>
    <n v="0"/>
    <n v="0"/>
    <n v="0"/>
    <n v="0"/>
    <n v="0"/>
    <n v="0"/>
    <s v="Rural disperso"/>
    <n v="6"/>
    <s v="Fuera SC"/>
    <m/>
    <s v="No"/>
    <s v="Si"/>
    <n v="50.4"/>
    <n v="25.810351341140915"/>
    <n v="49.070556675156574"/>
    <s v="Alto"/>
    <n v="3.9982858986115062"/>
    <s v="Medio Bajo"/>
    <n v="35729.721502"/>
    <n v="4629.6057890000002"/>
    <n v="14671"/>
    <n v="2.4353978257787472"/>
    <n v="0.31556170601867634"/>
    <m/>
    <m/>
    <m/>
    <m/>
    <m/>
    <m/>
    <m/>
    <n v="69"/>
    <n v="0"/>
    <n v="7"/>
    <n v="30711.093982999999"/>
    <n v="16275.803779"/>
    <n v="0.52996496275936655"/>
    <s v="51% - 70%"/>
    <n v="4.735244862626602E-4"/>
    <n v="8997.6119699999999"/>
    <n v="0.29297595113285746"/>
    <s v="0% - 30%"/>
    <n v="0.92132412259375962"/>
    <s v="Aceptable"/>
    <n v="1"/>
    <s v="Candidato"/>
    <n v="0"/>
    <n v="0"/>
  </r>
  <r>
    <n v="63690"/>
    <s v="63690"/>
    <x v="7"/>
    <x v="7"/>
    <s v="SALENTO"/>
    <n v="76.819266666666707"/>
    <n v="70.86"/>
    <n v="66.05"/>
    <n v="75.33"/>
    <n v="54.012249421983299"/>
    <n v="54.634426811492609"/>
    <n v="59.43670344624654"/>
    <n v="59.631799999999998"/>
    <n v="72.264816666666675"/>
    <n v="56.92879491993061"/>
    <n v="64.596805793298643"/>
    <n v="56.517753596850483"/>
    <n v="43.482246403149517"/>
    <n v="0.49134021762834568"/>
    <n v="0"/>
    <n v="31.739008616575337"/>
    <n v="3"/>
    <n v="3"/>
    <b v="1"/>
    <x v="4"/>
    <n v="63.905935950165969"/>
    <n v="0.49901784734296206"/>
    <n v="31.890202590289032"/>
    <n v="3"/>
    <n v="0"/>
    <n v="0.69086984313267408"/>
    <n v="-7.6776297146163852E-3"/>
    <n v="-0.15119397371369558"/>
    <n v="3"/>
    <b v="1"/>
    <n v="0"/>
    <n v="0.81759069605862034"/>
    <n v="52.2488986557738"/>
    <n v="0.48295263481126033"/>
    <n v="2"/>
    <n v="-1"/>
    <n v="48.295263481126035"/>
    <n v="4"/>
    <n v="-0.32625047843027466"/>
    <b v="0"/>
    <s v="Cambio en corte"/>
    <n v="2"/>
    <n v="-1"/>
    <n v="0"/>
    <n v="0"/>
    <n v="0"/>
    <n v="0"/>
    <n v="1"/>
    <s v="Rural"/>
    <n v="6"/>
    <s v="Fuera SC"/>
    <m/>
    <s v="No"/>
    <s v="No"/>
    <n v="19.7"/>
    <n v="5.8344459279038716"/>
    <n v="0.21210526315789474"/>
    <s v="Sin riesgo"/>
    <n v="0.87299966257904582"/>
    <s v="Medio Bajo"/>
    <n v="19489.109005999999"/>
    <n v="8064.9007929999998"/>
    <n v="10264"/>
    <n v="1.8987830286438034"/>
    <n v="0.785746375"/>
    <m/>
    <m/>
    <m/>
    <m/>
    <m/>
    <m/>
    <m/>
    <n v="16"/>
    <n v="0"/>
    <n v="7"/>
    <n v="34631.828513"/>
    <n v="32836.737680999999"/>
    <n v="0.94816644372889047"/>
    <s v="71% - 100%"/>
    <n v="9.5534448264850027E-4"/>
    <s v="N.D."/>
    <s v="N.D."/>
    <s v="N.D."/>
    <n v="0.85799935939784833"/>
    <s v="Aceptable"/>
    <n v="2"/>
    <s v="Candidato"/>
    <n v="0"/>
    <n v="0"/>
  </r>
  <r>
    <n v="41349"/>
    <s v="41349"/>
    <x v="19"/>
    <x v="19"/>
    <s v="HOBO"/>
    <n v="77.356999999999999"/>
    <n v="77.87"/>
    <n v="72.66"/>
    <n v="90.71"/>
    <n v="55.919232149828602"/>
    <n v="48.478091395143899"/>
    <n v="64.037196305567875"/>
    <n v="48.688499999999998"/>
    <n v="79.649249999999995"/>
    <n v="54.280754962635093"/>
    <n v="66.965002481317541"/>
    <n v="56.023493502829943"/>
    <n v="43.976506497170057"/>
    <n v="0.49578855847453052"/>
    <n v="0"/>
    <n v="33.200482048455783"/>
    <n v="3"/>
    <n v="3"/>
    <b v="1"/>
    <x v="4"/>
    <n v="66.608537577546642"/>
    <n v="0.50159300505923887"/>
    <n v="33.410376526122853"/>
    <n v="3"/>
    <n v="0"/>
    <n v="0.3564649037708989"/>
    <n v="-5.8044465847083559E-3"/>
    <n v="-0.20989447766707059"/>
    <n v="3"/>
    <b v="1"/>
    <n v="0"/>
    <n v="0.81759069605862034"/>
    <n v="54.458520601473126"/>
    <n v="0.51059267619088355"/>
    <n v="2"/>
    <n v="-1"/>
    <n v="51.059267619088352"/>
    <n v="4"/>
    <n v="-0.32180213758408982"/>
    <b v="0"/>
    <s v="Cambio en corte"/>
    <n v="2"/>
    <n v="-1"/>
    <n v="0"/>
    <n v="0"/>
    <n v="0"/>
    <n v="0"/>
    <n v="1"/>
    <s v="Rural"/>
    <n v="6"/>
    <s v="Fuera SC"/>
    <m/>
    <s v="No"/>
    <s v="Si"/>
    <n v="38.799999999999997"/>
    <n v="20.430750822614417"/>
    <n v="5.806"/>
    <s v="Bajo"/>
    <n v="9.4389124076005757"/>
    <s v="Medio"/>
    <n v="22726.465242999999"/>
    <n v="7009.1279763999992"/>
    <n v="7995"/>
    <n v="2.8425847708567855"/>
    <n v="0.87668892762976847"/>
    <m/>
    <m/>
    <m/>
    <m/>
    <m/>
    <m/>
    <m/>
    <n v="71"/>
    <n v="0"/>
    <n v="7"/>
    <n v="19427.530922000002"/>
    <n v="3861.565803"/>
    <n v="0.19876770849079489"/>
    <s v="0% - 30%"/>
    <n v="1.1234750601960007E-4"/>
    <s v="N.D."/>
    <s v="N.D."/>
    <s v="N.D."/>
    <n v="0.84896105919968434"/>
    <s v="Crítico bajo"/>
    <n v="2"/>
    <s v="No es Candidato"/>
    <n v="0"/>
    <n v="0"/>
  </r>
  <r>
    <n v="15185"/>
    <s v="15185"/>
    <x v="10"/>
    <x v="10"/>
    <s v="CHITARAQUE"/>
    <n v="57.233533333333298"/>
    <n v="43.87"/>
    <n v="50"/>
    <n v="66.959999999999994"/>
    <n v="41.208949686581541"/>
    <n v="49.711227589727748"/>
    <n v="62.068320964813701"/>
    <n v="53.430700000000002"/>
    <n v="54.515883333333321"/>
    <n v="51.604799560280746"/>
    <n v="53.06034144680703"/>
    <n v="57.15118255967139"/>
    <n v="42.84881744032861"/>
    <n v="0.48563935696295746"/>
    <n v="0"/>
    <n v="25.768190100462327"/>
    <n v="4"/>
    <n v="4"/>
    <b v="1"/>
    <x v="5"/>
    <n v="50.622751135751088"/>
    <n v="0.4968672533077314"/>
    <n v="25.152787311701484"/>
    <n v="4"/>
    <n v="0"/>
    <n v="2.437590311055942"/>
    <n v="-1.1227896344773947E-2"/>
    <n v="0.61540278876084287"/>
    <n v="4"/>
    <b v="1"/>
    <n v="0"/>
    <n v="0.81759069605862034"/>
    <n v="41.388690337481044"/>
    <n v="0.34710287648803861"/>
    <n v="4"/>
    <n v="0"/>
    <n v="34.710287648803863"/>
    <n v="4"/>
    <n v="-0.33195133909566288"/>
    <b v="1"/>
    <n v="0"/>
    <n v="3"/>
    <n v="-1"/>
    <n v="0"/>
    <n v="0"/>
    <n v="0"/>
    <n v="0"/>
    <n v="0"/>
    <s v="Rural disperso"/>
    <n v="6"/>
    <s v="Fuera SC"/>
    <m/>
    <s v="No"/>
    <s v="No"/>
    <n v="46.4"/>
    <n v="22.920406941950926"/>
    <n v="41.885653710247347"/>
    <s v="Alto"/>
    <n v="0"/>
    <s v="Bajo"/>
    <n v="16484.677827"/>
    <n v="4734.7090846000001"/>
    <n v="5961"/>
    <n v="2.7654215445395067"/>
    <n v="0.79428100731420903"/>
    <m/>
    <m/>
    <m/>
    <m/>
    <m/>
    <m/>
    <m/>
    <n v="20"/>
    <n v="0"/>
    <n v="7"/>
    <n v="15827.015342999999"/>
    <n v="10.163385999999999"/>
    <n v="6.4215430261114136E-4"/>
    <n v="0"/>
    <n v="2.9569121130279466E-7"/>
    <s v="N.D."/>
    <s v="N.D."/>
    <s v="N.D."/>
    <n v="0.9236970363339998"/>
    <s v="Aceptable"/>
    <n v="2"/>
    <s v="Candidato"/>
    <n v="0"/>
    <n v="0"/>
  </r>
  <r>
    <n v="52678"/>
    <s v="52678"/>
    <x v="18"/>
    <x v="18"/>
    <s v="SAMANIEGO"/>
    <n v="62.130766666666702"/>
    <n v="48.45"/>
    <n v="38.74"/>
    <n v="49.88"/>
    <n v="60.077581985512111"/>
    <n v="55.661961030147253"/>
    <n v="60.280510751457442"/>
    <n v="56.884300000000003"/>
    <n v="49.800191666666677"/>
    <n v="58.226088441779197"/>
    <n v="54.013140054222937"/>
    <n v="56.544784422994397"/>
    <n v="43.455215577005603"/>
    <n v="0.49109694019305039"/>
    <n v="0"/>
    <n v="26.525687810847575"/>
    <n v="4"/>
    <n v="4"/>
    <b v="1"/>
    <x v="5"/>
    <n v="55.374186229195217"/>
    <n v="0.50090968545998926"/>
    <n v="27.737466206669044"/>
    <n v="4"/>
    <n v="0"/>
    <n v="-1.3610461749722802"/>
    <n v="-9.8127452669388715E-3"/>
    <n v="-1.2117783958214687"/>
    <n v="4"/>
    <b v="1"/>
    <n v="0"/>
    <n v="0.81759069605862034"/>
    <n v="45.273419462807389"/>
    <n v="0.39569674295539253"/>
    <n v="3"/>
    <n v="-1"/>
    <n v="39.569674295539251"/>
    <n v="4"/>
    <n v="-0.32649375586556995"/>
    <b v="1"/>
    <s v="Efecto ponderador"/>
    <n v="3"/>
    <n v="-1"/>
    <n v="0"/>
    <n v="0"/>
    <n v="0"/>
    <n v="0"/>
    <n v="1"/>
    <s v="Rural"/>
    <n v="6"/>
    <s v="Fuera SC"/>
    <m/>
    <s v="No"/>
    <s v="No"/>
    <n v="47.7"/>
    <n v="26.644722960712325"/>
    <n v="52.796584777223153"/>
    <s v="Alto"/>
    <n v="52.794337902378871"/>
    <s v="Muy Alto"/>
    <n v="58012.788503000003"/>
    <n v="7052.517237"/>
    <n v="29401"/>
    <n v="1.9731569845583485"/>
    <n v="0.23987337971497569"/>
    <m/>
    <m/>
    <m/>
    <m/>
    <m/>
    <m/>
    <m/>
    <n v="70"/>
    <n v="0"/>
    <n v="6"/>
    <n v="60572.244709999999"/>
    <n v="44433.443814999999"/>
    <n v="0.73356112238753446"/>
    <s v="71% - 100%"/>
    <n v="1.2927363797864235E-3"/>
    <n v="42848.265677000003"/>
    <n v="0.70739108121456318"/>
    <s v="71% - 100%"/>
    <n v="0.95092513124364419"/>
    <s v="Aceptable"/>
    <n v="1"/>
    <s v="Candidato"/>
    <n v="0"/>
    <n v="0"/>
  </r>
  <r>
    <n v="20517"/>
    <s v="20517"/>
    <x v="20"/>
    <x v="20"/>
    <s v="PAILITAS"/>
    <n v="56.953600000000002"/>
    <n v="76.53"/>
    <n v="87.06"/>
    <n v="95.16"/>
    <n v="52.350953322002297"/>
    <n v="54.969173904462536"/>
    <n v="58.576808845273689"/>
    <n v="52.161999999999999"/>
    <n v="78.925899999999999"/>
    <n v="54.514734017934636"/>
    <n v="66.720317008967314"/>
    <n v="56.449975279442299"/>
    <n v="43.550024720557701"/>
    <n v="0.4919502224850193"/>
    <n v="0"/>
    <n v="32.823074796832486"/>
    <n v="3"/>
    <n v="3"/>
    <b v="1"/>
    <x v="4"/>
    <n v="61.003892303426973"/>
    <n v="0.50074986638178887"/>
    <n v="30.547690919710096"/>
    <n v="3"/>
    <n v="0"/>
    <n v="5.7164247055403408"/>
    <n v="-8.7996438967695711E-3"/>
    <n v="2.2753838771223904"/>
    <n v="3"/>
    <b v="1"/>
    <n v="0"/>
    <n v="0.81759069605862034"/>
    <n v="49.876214770643969"/>
    <n v="0.4532728604528472"/>
    <n v="3"/>
    <n v="0"/>
    <n v="45.327286045284723"/>
    <n v="4"/>
    <n v="-0.32564047357360104"/>
    <b v="0"/>
    <n v="0"/>
    <n v="3"/>
    <n v="0"/>
    <n v="0"/>
    <n v="0"/>
    <n v="0"/>
    <n v="0"/>
    <n v="1"/>
    <s v="Rural"/>
    <n v="6"/>
    <s v="Fuera SC"/>
    <m/>
    <s v="No"/>
    <s v="Si"/>
    <n v="46.1"/>
    <n v="25.577380952380953"/>
    <n v="12.078461538461537"/>
    <s v="Bajo"/>
    <n v="9.6362533043982239"/>
    <s v="Medio"/>
    <n v="48849.973338999996"/>
    <n v="9455.6146879999997"/>
    <n v="21068"/>
    <n v="2.3186810964021265"/>
    <n v="0.448814063413708"/>
    <m/>
    <m/>
    <m/>
    <m/>
    <m/>
    <m/>
    <m/>
    <n v="92"/>
    <n v="0"/>
    <n v="7"/>
    <n v="53090.962513999999"/>
    <n v="25049.101648"/>
    <n v="0.47181479600025322"/>
    <s v="31% - 50%"/>
    <n v="7.2877279366777477E-4"/>
    <s v="N.D."/>
    <s v="N.D."/>
    <s v="N.D."/>
    <n v="0.96452048070805141"/>
    <s v="Aceptable"/>
    <n v="2"/>
    <s v="Candidato"/>
    <n v="0"/>
    <n v="0"/>
  </r>
  <r>
    <n v="20013"/>
    <s v="20013"/>
    <x v="20"/>
    <x v="20"/>
    <s v="AGUSTÍN CODAZZI"/>
    <n v="59.724933333333297"/>
    <n v="49.7"/>
    <n v="24.49"/>
    <n v="68.77"/>
    <n v="55.536732254066003"/>
    <n v="61.705200926187658"/>
    <n v="74.960592267259273"/>
    <n v="69.6023"/>
    <n v="50.671233333333319"/>
    <n v="65.451206361878235"/>
    <n v="58.061219847605777"/>
    <n v="56.55969556952931"/>
    <n v="43.44030443047069"/>
    <n v="0.49096273987423622"/>
    <n v="0"/>
    <n v="28.505895576820915"/>
    <n v="4"/>
    <n v="4"/>
    <b v="1"/>
    <x v="4"/>
    <n v="54.094174020205642"/>
    <n v="0.50093376782443344"/>
    <n v="27.097598409292193"/>
    <n v="4"/>
    <n v="1"/>
    <n v="3.9670458274001348"/>
    <n v="-9.9710279501972199E-3"/>
    <n v="1.4082971675287226"/>
    <n v="3"/>
    <b v="1"/>
    <s v="Efecto ponderador"/>
    <n v="0.81759069605862034"/>
    <n v="44.22689338989607"/>
    <n v="0.38260580492573398"/>
    <n v="3"/>
    <n v="0"/>
    <n v="38.260580492573396"/>
    <n v="4"/>
    <n v="-0.32662795618438412"/>
    <b v="0"/>
    <n v="0"/>
    <n v="3"/>
    <n v="0"/>
    <n v="0"/>
    <n v="0"/>
    <n v="0"/>
    <n v="1"/>
    <n v="1"/>
    <s v="Intermedio"/>
    <n v="5"/>
    <s v="Fuera SC"/>
    <m/>
    <s v="No"/>
    <s v="Si"/>
    <n v="44.5"/>
    <n v="28.66695168875588"/>
    <n v="0.58473684210526311"/>
    <s v="Sin riesgo"/>
    <n v="3.4920555735629111"/>
    <s v="Medio Bajo"/>
    <n v="187785.56012000001"/>
    <n v="26560.978782999999"/>
    <n v="67850"/>
    <n v="2.7676574815033161"/>
    <n v="0.39146615745025792"/>
    <m/>
    <m/>
    <m/>
    <m/>
    <m/>
    <m/>
    <m/>
    <n v="47"/>
    <n v="0"/>
    <n v="7"/>
    <n v="175099.14585599999"/>
    <n v="65339.016035000001"/>
    <n v="0.37315439613128804"/>
    <s v="31% - 50%"/>
    <n v="1.9009582826748758E-3"/>
    <n v="8944.5692429999999"/>
    <n v="5.1082883353160018E-2"/>
    <s v="0% - 30%"/>
    <n v="0.73520083415903992"/>
    <s v="Crítico Medio"/>
    <n v="2"/>
    <s v="Candidato"/>
    <n v="1"/>
    <s v="Unidad Especial de Desarrollo Fronterizo"/>
  </r>
  <r>
    <n v="5044"/>
    <s v="05044"/>
    <x v="1"/>
    <x v="1"/>
    <s v="ANZÁ"/>
    <n v="57.820166666666701"/>
    <n v="45.8"/>
    <n v="61.19"/>
    <n v="56.54"/>
    <n v="51.015658654683712"/>
    <n v="48.234378615850019"/>
    <n v="52.742034940365343"/>
    <n v="47.9407"/>
    <n v="55.337541666666674"/>
    <n v="49.983193052724772"/>
    <n v="52.660367359695726"/>
    <n v="55.760762773901106"/>
    <n v="44.239237226098894"/>
    <n v="0.49815313503489"/>
    <n v="0"/>
    <n v="26.232927092321418"/>
    <n v="4"/>
    <n v="4"/>
    <b v="1"/>
    <x v="5"/>
    <n v="52.677859879059"/>
    <n v="0.49843964434549137"/>
    <n v="26.256733742999796"/>
    <n v="4"/>
    <n v="0"/>
    <n v="-1.7492519363273118E-2"/>
    <n v="-2.8650931060136831E-4"/>
    <n v="-2.3806650678377395E-2"/>
    <n v="4"/>
    <b v="1"/>
    <n v="0"/>
    <n v="0.81759069605862034"/>
    <n v="43.068928125398315"/>
    <n v="0.36812088007730942"/>
    <n v="3"/>
    <n v="-1"/>
    <n v="36.812088007730942"/>
    <n v="4"/>
    <n v="-0.31943756102373033"/>
    <b v="1"/>
    <s v="Efecto ponderador"/>
    <n v="3"/>
    <n v="-1"/>
    <n v="0"/>
    <n v="0"/>
    <n v="0"/>
    <n v="0"/>
    <n v="0"/>
    <s v="Rural disperso"/>
    <n v="6"/>
    <s v="Fuera SC"/>
    <m/>
    <s v="No"/>
    <s v="Si"/>
    <n v="47.1"/>
    <n v="16.332602568117757"/>
    <n v="53.095912360865491"/>
    <s v="Alto"/>
    <n v="6.0970951788250973"/>
    <s v="Medio"/>
    <n v="20239.809028"/>
    <n v="4332.6951966000006"/>
    <n v="7628"/>
    <n v="2.6533572401678027"/>
    <n v="0.56799884590980609"/>
    <m/>
    <m/>
    <m/>
    <m/>
    <m/>
    <m/>
    <m/>
    <n v="90"/>
    <n v="0"/>
    <n v="7"/>
    <n v="25591.052738999999"/>
    <n v="8595.3165169999993"/>
    <n v="0.3358719394884836"/>
    <s v="31% - 50%"/>
    <n v="2.500701589453208E-4"/>
    <s v="N.D."/>
    <s v="N.D."/>
    <s v="N.D."/>
    <n v="0.9538084534716651"/>
    <s v="Aceptable"/>
    <n v="1"/>
    <s v="Candidato"/>
    <n v="0"/>
    <n v="0"/>
  </r>
  <r>
    <n v="20570"/>
    <s v="20570"/>
    <x v="20"/>
    <x v="20"/>
    <s v="PUEBLO BELLO"/>
    <n v="60.571666666666701"/>
    <n v="64.33"/>
    <n v="59.87"/>
    <n v="49.82"/>
    <n v="49.73462356474991"/>
    <n v="57.457384238142744"/>
    <n v="50.374469173624739"/>
    <n v="40.036099999999998"/>
    <n v="58.647916666666674"/>
    <n v="49.400644244129346"/>
    <n v="54.024280455398014"/>
    <n v="55.584094284749732"/>
    <n v="44.415905715250268"/>
    <n v="0.49974315143725245"/>
    <n v="0"/>
    <n v="26.998264168910566"/>
    <n v="4"/>
    <n v="4"/>
    <b v="1"/>
    <x v="5"/>
    <n v="58.176721472644573"/>
    <n v="0.50108770350949061"/>
    <n v="29.151639760438741"/>
    <n v="3"/>
    <n v="-1"/>
    <n v="-4.1524410172465593"/>
    <n v="-1.3445520722381588E-3"/>
    <n v="-2.1533755915281745"/>
    <n v="4"/>
    <b v="1"/>
    <s v="Efecto ponderador"/>
    <n v="0.81759069605862034"/>
    <n v="47.564746203227962"/>
    <n v="0.42435882519200691"/>
    <n v="3"/>
    <n v="-1"/>
    <n v="42.435882519200689"/>
    <n v="4"/>
    <n v="-0.31784754462136788"/>
    <b v="1"/>
    <s v="Efecto ponderador"/>
    <n v="3"/>
    <n v="-1"/>
    <n v="0"/>
    <n v="0"/>
    <n v="0"/>
    <n v="1"/>
    <n v="1"/>
    <s v="Rural"/>
    <n v="6"/>
    <s v="Fuera SC"/>
    <m/>
    <s v="No"/>
    <s v="No"/>
    <n v="74.900000000000006"/>
    <n v="64.552124060976141"/>
    <n v="24.119999999999997"/>
    <s v="Medio"/>
    <n v="0.73633705948824391"/>
    <s v="Medio Bajo"/>
    <n v="42929.131718999997"/>
    <n v="8505.6594920000007"/>
    <n v="33724"/>
    <n v="1.2729549199086703"/>
    <n v="0.25221383857193691"/>
    <m/>
    <m/>
    <m/>
    <m/>
    <m/>
    <m/>
    <m/>
    <n v="47"/>
    <n v="0"/>
    <n v="7"/>
    <n v="74263.686388000002"/>
    <n v="53741.910996999999"/>
    <n v="0.72366338934777086"/>
    <s v="71% - 100%"/>
    <n v="1.563554779915858E-3"/>
    <n v="34947.961373999999"/>
    <n v="0.47059287080646606"/>
    <s v="31% - 50%"/>
    <n v="0.9686401370957618"/>
    <s v="Aceptable"/>
    <n v="1"/>
    <s v="Candidato"/>
    <n v="0"/>
    <n v="0"/>
  </r>
  <r>
    <n v="73678"/>
    <s v="73678"/>
    <x v="15"/>
    <x v="15"/>
    <s v="SAN LUIS"/>
    <n v="60.298066666666699"/>
    <n v="53.98"/>
    <n v="71.89"/>
    <n v="77.22"/>
    <n v="33.423655419639417"/>
    <n v="32.290413759977838"/>
    <n v="57.724216924488317"/>
    <n v="44.265799999999999"/>
    <n v="65.847016666666661"/>
    <n v="41.926021526026389"/>
    <n v="53.886519096346525"/>
    <n v="56.093376913811873"/>
    <n v="43.906623086188127"/>
    <n v="0.49515960777569312"/>
    <n v="0"/>
    <n v="26.682427660144342"/>
    <n v="4"/>
    <n v="4"/>
    <b v="1"/>
    <x v="5"/>
    <n v="51.902845177289628"/>
    <n v="0.50034207908675876"/>
    <n v="25.969177466523242"/>
    <n v="4"/>
    <n v="0"/>
    <n v="1.9836739190568977"/>
    <n v="-5.1824713110656395E-3"/>
    <n v="0.71325019362109998"/>
    <n v="4"/>
    <b v="1"/>
    <n v="0"/>
    <n v="0.81759069605862034"/>
    <n v="42.43528331592303"/>
    <n v="0.36019465143536078"/>
    <n v="3"/>
    <n v="-1"/>
    <n v="36.019465143536081"/>
    <n v="4"/>
    <n v="-0.32243108828292721"/>
    <b v="1"/>
    <s v="Efecto ponderador"/>
    <n v="3"/>
    <n v="-1"/>
    <n v="0"/>
    <n v="0"/>
    <n v="0"/>
    <n v="0"/>
    <n v="0"/>
    <s v="Rural disperso"/>
    <n v="6"/>
    <s v="Fuera SC"/>
    <m/>
    <s v="No"/>
    <s v="No"/>
    <n v="39.4"/>
    <n v="16.088639920916055"/>
    <n v="1.1237919104036989"/>
    <s v="Sin riesgo"/>
    <n v="4.0048887117794418"/>
    <s v="Medio Bajo"/>
    <n v="32642.77792"/>
    <n v="7551.18543125"/>
    <n v="13979"/>
    <n v="2.3351296888189426"/>
    <n v="0.5401806589348308"/>
    <m/>
    <m/>
    <m/>
    <m/>
    <m/>
    <m/>
    <m/>
    <n v="18"/>
    <n v="0"/>
    <n v="7"/>
    <n v="41199.658581999996"/>
    <n v="21542.14243"/>
    <n v="0.52287186766668248"/>
    <s v="51% - 70%"/>
    <n v="6.2674212995393749E-4"/>
    <s v="N.D."/>
    <s v="N.D."/>
    <s v="N.D."/>
    <n v="0.93528974477146432"/>
    <s v="Aceptable"/>
    <n v="2"/>
    <s v="Candidato"/>
    <n v="0"/>
    <n v="0"/>
  </r>
  <r>
    <n v="15215"/>
    <s v="15215"/>
    <x v="10"/>
    <x v="10"/>
    <s v="CORRALES"/>
    <n v="81.153466666666702"/>
    <n v="72.069999999999993"/>
    <n v="77.17"/>
    <n v="85.29"/>
    <n v="56.786667562935335"/>
    <n v="55.982309776909773"/>
    <n v="70.819438370966083"/>
    <n v="55.095100000000002"/>
    <n v="78.920866666666683"/>
    <n v="59.670878927702802"/>
    <n v="69.295872797184742"/>
    <n v="56.918190762282975"/>
    <n v="43.081809237717025"/>
    <n v="0.48773628313945316"/>
    <n v="0"/>
    <n v="33.798111435003229"/>
    <n v="3"/>
    <n v="3"/>
    <b v="1"/>
    <x v="4"/>
    <n v="68.960872438224754"/>
    <n v="0.50054470194104173"/>
    <n v="34.517999340185412"/>
    <n v="3"/>
    <n v="0"/>
    <n v="0.33500035895998792"/>
    <n v="-1.2808418801588561E-2"/>
    <n v="-0.71988790518218337"/>
    <n v="3"/>
    <b v="1"/>
    <n v="0"/>
    <n v="0.81759069605862034"/>
    <n v="56.381767697577907"/>
    <n v="0.5346504700696243"/>
    <n v="2"/>
    <n v="-1"/>
    <n v="53.465047006962429"/>
    <n v="4"/>
    <n v="-0.32985441291916717"/>
    <b v="0"/>
    <s v="Cambio en corte"/>
    <n v="3"/>
    <n v="0"/>
    <n v="0"/>
    <n v="0"/>
    <n v="0"/>
    <n v="0"/>
    <n v="0"/>
    <s v="Rural"/>
    <n v="6"/>
    <s v="En aglomeración"/>
    <m/>
    <s v="No"/>
    <s v="No"/>
    <n v="26.6"/>
    <n v="14.602662363856394"/>
    <n v="26.184250454108348"/>
    <s v="Medio"/>
    <n v="0"/>
    <s v="Bajo"/>
    <n v="9889.8880119999994"/>
    <n v="3874.9677410500003"/>
    <n v="2561"/>
    <n v="3.8617290167903162"/>
    <n v="1.5130682315696995"/>
    <m/>
    <m/>
    <m/>
    <m/>
    <m/>
    <m/>
    <m/>
    <n v="21"/>
    <n v="0"/>
    <n v="7"/>
    <n v="6072.6842059999999"/>
    <n v="419.51818700000001"/>
    <n v="6.9082826106041065E-2"/>
    <s v="0% - 30%"/>
    <n v="1.2205365502951707E-5"/>
    <s v="N.D."/>
    <s v="N.D."/>
    <s v="N.D."/>
    <n v="0.89645279849377868"/>
    <s v="Aceptable"/>
    <n v="2"/>
    <s v="Candidato"/>
    <n v="0"/>
    <n v="0"/>
  </r>
  <r>
    <n v="41020"/>
    <s v="41020"/>
    <x v="19"/>
    <x v="19"/>
    <s v="ALGECIRAS"/>
    <n v="61.790766666666698"/>
    <n v="54.3"/>
    <n v="67.03"/>
    <n v="81.180000000000007"/>
    <n v="64.443268991986287"/>
    <n v="63.879303109642699"/>
    <n v="60.309287092281465"/>
    <n v="58.805"/>
    <n v="66.075191666666683"/>
    <n v="61.859214798477616"/>
    <n v="63.967203232572146"/>
    <n v="56.893268643094054"/>
    <n v="43.106731356905946"/>
    <n v="0.48796058221215355"/>
    <n v="0"/>
    <n v="31.213473731849056"/>
    <n v="3"/>
    <n v="3"/>
    <b v="1"/>
    <x v="4"/>
    <n v="61.428406555861145"/>
    <n v="0.49949354147549141"/>
    <n v="30.683092337783378"/>
    <n v="3"/>
    <n v="0"/>
    <n v="2.5387966767110015"/>
    <n v="-1.1532959263337861E-2"/>
    <n v="0.53038139406567808"/>
    <n v="3"/>
    <b v="1"/>
    <n v="0"/>
    <n v="0.81759069605862034"/>
    <n v="50.223293673778429"/>
    <n v="0.45761445167541021"/>
    <n v="3"/>
    <n v="0"/>
    <n v="45.761445167541019"/>
    <n v="4"/>
    <n v="-0.32963011384646679"/>
    <b v="0"/>
    <n v="0"/>
    <n v="3"/>
    <n v="0"/>
    <n v="0"/>
    <n v="0"/>
    <n v="0"/>
    <n v="1"/>
    <n v="1"/>
    <s v="Rural"/>
    <n v="6"/>
    <s v="Fuera SC"/>
    <m/>
    <s v="No"/>
    <s v="Si"/>
    <n v="45.2"/>
    <n v="20.214838870846865"/>
    <n v="1.6125"/>
    <s v="Sin riesgo"/>
    <n v="33.276086904481325"/>
    <s v="Muy Alto"/>
    <n v="48725.150787999999"/>
    <n v="8899.7171460000009"/>
    <n v="22769"/>
    <n v="2.1399776357327944"/>
    <n v="0.39086991725591819"/>
    <m/>
    <m/>
    <m/>
    <m/>
    <m/>
    <m/>
    <m/>
    <n v="71"/>
    <n v="0"/>
    <n v="7"/>
    <n v="58942.716248999997"/>
    <n v="43437.408667000003"/>
    <n v="0.73694277141048703"/>
    <s v="71% - 100%"/>
    <n v="1.2637579626120412E-3"/>
    <s v="N.D."/>
    <s v="N.D."/>
    <s v="N.D."/>
    <n v="0.95158526487437411"/>
    <s v="Aceptable"/>
    <n v="2"/>
    <s v="Candidato"/>
    <n v="0"/>
    <n v="0"/>
  </r>
  <r>
    <n v="19100"/>
    <s v="19100"/>
    <x v="13"/>
    <x v="13"/>
    <s v="BOLÍVAR"/>
    <n v="53.156433333333297"/>
    <n v="46.97"/>
    <n v="55.36"/>
    <n v="44.92"/>
    <n v="52.733826761534459"/>
    <n v="44.861548620395169"/>
    <n v="49.721264509469684"/>
    <n v="48.479300000000002"/>
    <n v="50.101608333333331"/>
    <n v="48.948984972849829"/>
    <n v="49.52529665309158"/>
    <n v="57.041020610821867"/>
    <n v="42.958979389178133"/>
    <n v="0.48663081450260315"/>
    <n v="0"/>
    <n v="24.100535448777002"/>
    <n v="4"/>
    <n v="4"/>
    <b v="1"/>
    <x v="5"/>
    <n v="49.931654722335011"/>
    <n v="0.49710318571534862"/>
    <n v="24.821184630511564"/>
    <n v="4"/>
    <n v="0"/>
    <n v="-0.40635806924343143"/>
    <n v="-1.0472371212745468E-2"/>
    <n v="-0.72064918173456149"/>
    <n v="4"/>
    <b v="1"/>
    <n v="0"/>
    <n v="0.81759069605862034"/>
    <n v="40.823656339792578"/>
    <n v="0.34003489677893034"/>
    <n v="4"/>
    <n v="0"/>
    <n v="34.003489677893036"/>
    <n v="4"/>
    <n v="-0.33095988155601719"/>
    <b v="1"/>
    <n v="0"/>
    <n v="3"/>
    <n v="-1"/>
    <n v="0"/>
    <n v="0"/>
    <n v="0"/>
    <n v="0"/>
    <n v="0"/>
    <s v="Rural disperso"/>
    <n v="6"/>
    <s v="Fuera SC"/>
    <m/>
    <s v="No"/>
    <s v="No"/>
    <n v="51.1"/>
    <n v="27.486315789473686"/>
    <n v="2.0699999999999998"/>
    <s v="Sin riesgo"/>
    <n v="12.988217232600588"/>
    <s v="Alto"/>
    <n v="78567.322060000006"/>
    <n v="5781.4688040000001"/>
    <n v="38005"/>
    <n v="2.0672890951190634"/>
    <n v="0.15212389959215894"/>
    <m/>
    <m/>
    <m/>
    <m/>
    <m/>
    <m/>
    <m/>
    <n v="26"/>
    <n v="0"/>
    <n v="6"/>
    <n v="79834.678903000007"/>
    <n v="5404.2220900000002"/>
    <n v="6.7692663943274431E-2"/>
    <s v="0% - 30%"/>
    <n v="1.5722919270619269E-4"/>
    <n v="225.928291"/>
    <n v="2.829951771641811E-3"/>
    <s v="0% - 30%"/>
    <n v="0.93101779894649717"/>
    <s v="Aceptable"/>
    <n v="1"/>
    <s v="Candidato"/>
    <n v="0"/>
    <n v="0"/>
  </r>
  <r>
    <n v="15600"/>
    <s v="15600"/>
    <x v="10"/>
    <x v="10"/>
    <s v="RÁQUIRA"/>
    <n v="88.154466666666707"/>
    <n v="91.51"/>
    <n v="93.59"/>
    <n v="90.38"/>
    <n v="54.826427794855789"/>
    <n v="58.216485896772419"/>
    <n v="64.161755000543508"/>
    <n v="57.231000000000002"/>
    <n v="90.908616666666688"/>
    <n v="58.608917173042926"/>
    <n v="74.758766919854807"/>
    <n v="57.270721519459222"/>
    <n v="42.729278480540778"/>
    <n v="0.484563506324867"/>
    <n v="0"/>
    <n v="36.225370227208323"/>
    <n v="3"/>
    <n v="3"/>
    <b v="1"/>
    <x v="3"/>
    <n v="74.561305654187819"/>
    <n v="0.49697317377340933"/>
    <n v="37.054968711650972"/>
    <n v="2"/>
    <n v="0"/>
    <n v="0.19746126566698763"/>
    <n v="-1.2409667448542328E-2"/>
    <n v="-0.8295984844426485"/>
    <n v="2"/>
    <b v="1"/>
    <n v="0"/>
    <n v="0.81759069605862034"/>
    <n v="60.960629788846965"/>
    <n v="0.59192720825580758"/>
    <n v="2"/>
    <n v="0"/>
    <n v="59.192720825580757"/>
    <n v="3"/>
    <n v="-0.33302718973375334"/>
    <b v="0"/>
    <n v="0"/>
    <n v="2"/>
    <n v="0"/>
    <n v="0"/>
    <n v="0"/>
    <n v="0"/>
    <n v="0"/>
    <n v="0"/>
    <s v="Rural"/>
    <n v="6"/>
    <s v="Fuera SC"/>
    <m/>
    <s v="No"/>
    <s v="No"/>
    <n v="31.3"/>
    <n v="14.037250068474391"/>
    <n v="29.208292292791732"/>
    <s v="Medio"/>
    <n v="0"/>
    <s v="Bajo"/>
    <n v="16894.260765999999"/>
    <n v="4544.8503330000003"/>
    <n v="8043"/>
    <n v="2.1004924488374983"/>
    <n v="0.56506904550540848"/>
    <m/>
    <m/>
    <m/>
    <m/>
    <m/>
    <m/>
    <m/>
    <n v="68"/>
    <n v="0"/>
    <n v="7"/>
    <n v="22032.645716999999"/>
    <n v="7255.9306040000001"/>
    <n v="0.32932634133909089"/>
    <s v="31% - 50%"/>
    <n v="2.1110237369964879E-4"/>
    <s v="N.D."/>
    <s v="N.D."/>
    <s v="N.D."/>
    <n v="0.95706235527836836"/>
    <s v="Aceptable"/>
    <n v="2"/>
    <s v="Candidato"/>
    <n v="0"/>
    <n v="0"/>
  </r>
  <r>
    <n v="5310"/>
    <s v="05310"/>
    <x v="1"/>
    <x v="1"/>
    <s v="GÓMEZ PLATA"/>
    <n v="60.135933333333298"/>
    <n v="45.32"/>
    <n v="48.94"/>
    <n v="48.46"/>
    <n v="52.012828461550157"/>
    <n v="68.633826222816495"/>
    <n v="55.560618787005708"/>
    <n v="68.955799999999996"/>
    <n v="50.713983333333324"/>
    <n v="61.290768367843086"/>
    <n v="56.002375850588209"/>
    <n v="55.928532309469659"/>
    <n v="44.071467690530341"/>
    <n v="0.49664320921477312"/>
    <n v="0"/>
    <n v="27.813199666088039"/>
    <n v="4"/>
    <n v="4"/>
    <b v="1"/>
    <x v="5"/>
    <n v="55.506216257311536"/>
    <n v="0.50147126610051163"/>
    <n v="27.834772543002817"/>
    <n v="3"/>
    <n v="-1"/>
    <n v="0.49615959327667269"/>
    <n v="-4.8280568857385076E-3"/>
    <n v="-2.157287691477805E-2"/>
    <n v="3"/>
    <b v="0"/>
    <s v="Cambio en corte"/>
    <n v="0.81759069605862034"/>
    <n v="45.381365985395647"/>
    <n v="0.39704704016661146"/>
    <n v="3"/>
    <n v="-1"/>
    <n v="39.704704016661147"/>
    <n v="4"/>
    <n v="-0.32094748684384722"/>
    <b v="1"/>
    <s v="Efecto ponderador"/>
    <n v="3"/>
    <n v="-1"/>
    <n v="0"/>
    <n v="0"/>
    <n v="0"/>
    <n v="0"/>
    <n v="0"/>
    <s v="Rural"/>
    <n v="6"/>
    <s v="Fuera SC"/>
    <m/>
    <s v="No"/>
    <s v="No"/>
    <n v="34.1"/>
    <n v="10.39941548952752"/>
    <n v="43.082316262759271"/>
    <s v="Alto"/>
    <n v="9.6088471477356023"/>
    <s v="Medio"/>
    <n v="25019.485304999998"/>
    <n v="7315.6607981999996"/>
    <n v="10301"/>
    <n v="2.4288404334530624"/>
    <n v="0.71018937949713612"/>
    <m/>
    <m/>
    <m/>
    <m/>
    <m/>
    <m/>
    <m/>
    <n v="61"/>
    <n v="0"/>
    <n v="7"/>
    <n v="33203.088994999998"/>
    <n v="237.105977"/>
    <n v="7.1410818745118992E-3"/>
    <s v="0% - 30%"/>
    <n v="6.8983066810866554E-6"/>
    <s v="N.D."/>
    <s v="N.D."/>
    <s v="N.D."/>
    <n v="0.85591431598423307"/>
    <s v="Aceptable"/>
    <n v="2"/>
    <s v="Candidato"/>
    <n v="0"/>
    <n v="0"/>
  </r>
  <r>
    <n v="5038"/>
    <s v="05038"/>
    <x v="1"/>
    <x v="1"/>
    <s v="ANGOSTURA"/>
    <n v="70.190100000000001"/>
    <n v="65.55"/>
    <n v="55.82"/>
    <n v="61.07"/>
    <n v="55.197579063617475"/>
    <n v="54.155879287313745"/>
    <n v="62.255829255617755"/>
    <n v="54.126399999999997"/>
    <n v="63.157524999999993"/>
    <n v="56.433921901637241"/>
    <n v="59.795723450818613"/>
    <n v="56.043681571406182"/>
    <n v="43.956318428593818"/>
    <n v="0.49560686585734437"/>
    <n v="0"/>
    <n v="29.635171091132722"/>
    <n v="3"/>
    <n v="3"/>
    <b v="1"/>
    <x v="4"/>
    <n v="61.0907431261721"/>
    <n v="0.50001400467683965"/>
    <n v="30.546227119201426"/>
    <n v="3"/>
    <n v="0"/>
    <n v="-1.2950196753534868"/>
    <n v="-4.4071388194952821E-3"/>
    <n v="-0.91105602806870323"/>
    <n v="3"/>
    <b v="1"/>
    <n v="0"/>
    <n v="0.81759069605862034"/>
    <n v="49.947223195265423"/>
    <n v="0.45416110099492679"/>
    <n v="3"/>
    <n v="0"/>
    <n v="45.416110099492677"/>
    <n v="4"/>
    <n v="-0.32198383020127597"/>
    <b v="0"/>
    <n v="0"/>
    <n v="3"/>
    <n v="0"/>
    <n v="0"/>
    <n v="0"/>
    <n v="0"/>
    <n v="0"/>
    <n v="1"/>
    <s v="Rural disperso"/>
    <n v="6"/>
    <s v="Fuera SC"/>
    <m/>
    <s v="No"/>
    <s v="Si"/>
    <n v="53.8"/>
    <n v="20.523809523809526"/>
    <n v="43.230252698436303"/>
    <s v="Alto"/>
    <n v="15.621991306787763"/>
    <s v="Alto"/>
    <n v="29012.158071000002"/>
    <n v="7132.19798025"/>
    <n v="12413"/>
    <n v="2.3372398349311205"/>
    <n v="0.57457487958188991"/>
    <m/>
    <m/>
    <m/>
    <m/>
    <m/>
    <m/>
    <m/>
    <n v="61"/>
    <n v="0"/>
    <n v="7"/>
    <n v="33835.447371000002"/>
    <n v="152.26983200000001"/>
    <n v="4.5003049710082696E-3"/>
    <s v="0% - 30%"/>
    <n v="4.4301034191708406E-6"/>
    <s v="N.D."/>
    <s v="N.D."/>
    <s v="N.D."/>
    <n v="0.92250024915712592"/>
    <s v="Aceptable"/>
    <n v="2"/>
    <s v="Candidato"/>
    <n v="0"/>
    <n v="0"/>
  </r>
  <r>
    <n v="8549"/>
    <s v="08549"/>
    <x v="2"/>
    <x v="2"/>
    <s v="PIOJÓ"/>
    <n v="58.106833333333299"/>
    <n v="43.02"/>
    <n v="42.6"/>
    <n v="59.87"/>
    <n v="47.296128876261129"/>
    <n v="32.151063542701593"/>
    <n v="35.883213858464991"/>
    <n v="43.577599999999997"/>
    <n v="50.899208333333327"/>
    <n v="39.727001569356922"/>
    <n v="45.313104951345125"/>
    <n v="56.242640906638016"/>
    <n v="43.757359093361984"/>
    <n v="0.49381623184025791"/>
    <n v="0"/>
    <n v="22.376346740055382"/>
    <n v="4"/>
    <n v="4"/>
    <b v="1"/>
    <x v="5"/>
    <n v="46.044291295041596"/>
    <n v="0.49757782031219389"/>
    <n v="22.91061810040652"/>
    <n v="4"/>
    <n v="0"/>
    <n v="-0.7311863436964714"/>
    <n v="-3.7615884719359727E-3"/>
    <n v="-0.53427136035113776"/>
    <n v="4"/>
    <b v="1"/>
    <n v="0"/>
    <n v="0.81759069605862034"/>
    <n v="37.645384169438934"/>
    <n v="0.30027806214246194"/>
    <n v="4"/>
    <n v="0"/>
    <n v="30.027806214246194"/>
    <n v="4"/>
    <n v="-0.32377446421836242"/>
    <b v="1"/>
    <n v="0"/>
    <n v="3"/>
    <n v="-1"/>
    <n v="0"/>
    <n v="0"/>
    <n v="0"/>
    <n v="0"/>
    <n v="0"/>
    <s v="Rural"/>
    <n v="6"/>
    <s v="Fuera SC"/>
    <m/>
    <s v="No"/>
    <s v="No"/>
    <n v="45.2"/>
    <n v="20.511000709723209"/>
    <n v="0"/>
    <s v="Sin riesgo"/>
    <n v="2.3366284214224406"/>
    <s v="Medio Bajo"/>
    <n v="15885.775754"/>
    <n v="5196.2755020000004"/>
    <n v="7724"/>
    <n v="2.0566773373899534"/>
    <n v="0.67274410952874164"/>
    <m/>
    <m/>
    <m/>
    <m/>
    <m/>
    <m/>
    <m/>
    <n v="77"/>
    <n v="0"/>
    <n v="7"/>
    <n v="25278.250983000002"/>
    <n v="4077.1743849999998"/>
    <n v="0.16129179141950761"/>
    <s v="0% - 30%"/>
    <n v="1.1862037244215431E-4"/>
    <s v="N.D."/>
    <s v="N.D."/>
    <s v="N.D."/>
    <n v="0.9218617492394412"/>
    <s v="Aceptable"/>
    <n v="1"/>
    <s v="Candidato"/>
    <n v="0"/>
    <n v="0"/>
  </r>
  <r>
    <n v="19397"/>
    <s v="19397"/>
    <x v="13"/>
    <x v="13"/>
    <s v="LA VEGA"/>
    <n v="63.948533333333302"/>
    <n v="36.770000000000003"/>
    <n v="82.51"/>
    <n v="74.48"/>
    <n v="36.577139231184916"/>
    <n v="41.775853114421892"/>
    <n v="48.435844027257623"/>
    <n v="45.649299999999997"/>
    <n v="64.42713333333333"/>
    <n v="43.109534093216112"/>
    <n v="53.768333713274721"/>
    <n v="56.648710409133493"/>
    <n v="43.351289590866507"/>
    <n v="0.49016160631779859"/>
    <n v="0"/>
    <n v="26.355172821930182"/>
    <n v="4"/>
    <n v="4"/>
    <b v="1"/>
    <x v="5"/>
    <n v="52.779134292811577"/>
    <n v="0.50323513596086933"/>
    <n v="26.560314821740015"/>
    <n v="4"/>
    <n v="0"/>
    <n v="0.98919942046314446"/>
    <n v="-1.3073529643070736E-2"/>
    <n v="-0.2051419998098325"/>
    <n v="4"/>
    <b v="1"/>
    <n v="0"/>
    <n v="0.81759069605862034"/>
    <n v="43.151729143831218"/>
    <n v="0.36915663353740463"/>
    <n v="3"/>
    <n v="-1"/>
    <n v="36.915663353740463"/>
    <n v="4"/>
    <n v="-0.32742908974082174"/>
    <b v="1"/>
    <s v="Efecto ponderador"/>
    <n v="3"/>
    <n v="-1"/>
    <n v="0"/>
    <n v="0"/>
    <n v="0"/>
    <n v="0"/>
    <n v="0"/>
    <s v="Rural"/>
    <n v="6"/>
    <s v="Fuera SC"/>
    <m/>
    <s v="No"/>
    <s v="No"/>
    <n v="56.7"/>
    <n v="16.989432168680789"/>
    <n v="0"/>
    <s v="Sin riesgo"/>
    <n v="2.3294746730892726"/>
    <s v="Medio Bajo"/>
    <n v="43106.761890000002"/>
    <n v="2706.5633200000002"/>
    <n v="24423"/>
    <n v="1.7650068333128608"/>
    <n v="0.1108202645047701"/>
    <m/>
    <m/>
    <m/>
    <m/>
    <m/>
    <m/>
    <m/>
    <n v="26"/>
    <n v="0"/>
    <n v="7"/>
    <n v="51634.694262999998"/>
    <n v="14498.432659"/>
    <n v="0.28078858345035612"/>
    <s v="0% - 30%"/>
    <n v="4.2181406028775337E-4"/>
    <n v="1492.8647000000001"/>
    <n v="2.8912046857412031E-2"/>
    <s v="0% - 30%"/>
    <n v="0.95522678431894481"/>
    <s v="Aceptable"/>
    <n v="2"/>
    <s v="Candidato"/>
    <n v="0"/>
    <n v="0"/>
  </r>
  <r>
    <n v="5647"/>
    <s v="05647"/>
    <x v="1"/>
    <x v="1"/>
    <s v="SAN ANDRÉS DE CUERQUÍA"/>
    <n v="52.169533333333298"/>
    <n v="62.66"/>
    <n v="44.16"/>
    <n v="58.9"/>
    <n v="50.077365341393701"/>
    <n v="53.582096908714547"/>
    <n v="56.522120803855749"/>
    <n v="34.331000000000003"/>
    <n v="54.472383333333326"/>
    <n v="48.628145763491005"/>
    <n v="51.550264548412166"/>
    <n v="56.121240700385854"/>
    <n v="43.878759299614146"/>
    <n v="0.49490883369652727"/>
    <n v="0"/>
    <n v="25.512681304402101"/>
    <n v="4"/>
    <n v="4"/>
    <b v="1"/>
    <x v="5"/>
    <n v="51.245922892140385"/>
    <n v="0.49979782577737453"/>
    <n v="25.612600841446749"/>
    <n v="4"/>
    <n v="0"/>
    <n v="0.30434165627178089"/>
    <n v="-4.8889920808472542E-3"/>
    <n v="-9.9919537044648621E-2"/>
    <n v="4"/>
    <b v="1"/>
    <n v="0"/>
    <n v="0.81759069605862034"/>
    <n v="41.898189767551443"/>
    <n v="0.35347617729519698"/>
    <n v="3"/>
    <n v="-1"/>
    <n v="35.347617729519698"/>
    <n v="4"/>
    <n v="-0.32268186236209306"/>
    <b v="1"/>
    <s v="Efecto ponderador"/>
    <n v="3"/>
    <n v="-1"/>
    <n v="0"/>
    <n v="0"/>
    <n v="0"/>
    <n v="0"/>
    <n v="1"/>
    <s v="Rural"/>
    <n v="6"/>
    <s v="Fuera SC"/>
    <m/>
    <s v="No"/>
    <s v="Si"/>
    <n v="48.5"/>
    <n v="24.543288324066719"/>
    <n v="20.459481631585827"/>
    <s v="Medio"/>
    <n v="12.390466939921073"/>
    <s v="Alto"/>
    <n v="20323.114571999999"/>
    <n v="4711.3018134499998"/>
    <n v="7406"/>
    <n v="2.7441418541722924"/>
    <n v="0.63614661267215766"/>
    <m/>
    <m/>
    <m/>
    <m/>
    <m/>
    <m/>
    <m/>
    <n v="61"/>
    <n v="0"/>
    <n v="7"/>
    <n v="20682.016454000001"/>
    <n v="1977.3501779999999"/>
    <n v="9.5607223908651853E-2"/>
    <s v="0% - 30%"/>
    <n v="5.752857062622798E-5"/>
    <s v="N.D."/>
    <s v="N.D."/>
    <s v="N.D."/>
    <n v="0.96398884448879874"/>
    <s v="Aceptable"/>
    <n v="1"/>
    <s v="Candidato"/>
    <n v="0"/>
    <n v="0"/>
  </r>
  <r>
    <n v="5579"/>
    <s v="05579"/>
    <x v="1"/>
    <x v="1"/>
    <s v="PUERTO BERRÍO"/>
    <n v="57.157166666666697"/>
    <n v="66.819999999999993"/>
    <n v="46.5"/>
    <n v="48.44"/>
    <n v="53.294701979054857"/>
    <n v="53.156480151122373"/>
    <n v="58.566258380331085"/>
    <n v="54.532600000000002"/>
    <n v="54.729291666666668"/>
    <n v="54.887510127627081"/>
    <n v="54.808400897146875"/>
    <n v="57.082477468626578"/>
    <n v="42.917522531373422"/>
    <n v="0.4862577027823608"/>
    <n v="0"/>
    <n v="26.651007113421322"/>
    <n v="4"/>
    <n v="4"/>
    <b v="1"/>
    <x v="5"/>
    <n v="55.099567755400543"/>
    <n v="0.49811916167487247"/>
    <n v="27.446150498967953"/>
    <n v="4"/>
    <n v="0"/>
    <n v="-0.29116685825366773"/>
    <n v="-1.1861458892511667E-2"/>
    <n v="-0.79514338554663055"/>
    <n v="4"/>
    <b v="1"/>
    <n v="0"/>
    <n v="0.81759069605862034"/>
    <n v="45.04889395366704"/>
    <n v="0.3928881655082419"/>
    <n v="3"/>
    <n v="-1"/>
    <n v="39.288816550824194"/>
    <n v="4"/>
    <n v="-0.33133299327625954"/>
    <b v="1"/>
    <s v="Efecto ponderador"/>
    <n v="3"/>
    <n v="-1"/>
    <n v="0"/>
    <n v="0"/>
    <n v="0"/>
    <n v="0"/>
    <n v="1"/>
    <s v="Intermedio"/>
    <n v="6"/>
    <s v="Fuera SC"/>
    <m/>
    <s v="No"/>
    <s v="No"/>
    <n v="32.1"/>
    <n v="13.766030566343494"/>
    <n v="13.622531870849336"/>
    <s v="Bajo"/>
    <n v="10.449976258032695"/>
    <s v="Medio"/>
    <n v="82492.207053000006"/>
    <n v="30360.355804999999"/>
    <n v="39164"/>
    <n v="2.1063274193902566"/>
    <n v="0.77521080086303751"/>
    <m/>
    <m/>
    <m/>
    <m/>
    <m/>
    <m/>
    <m/>
    <n v="29"/>
    <n v="0"/>
    <n v="6"/>
    <n v="121893.16271400001"/>
    <n v="11805.823548"/>
    <n v="9.6853861899540705E-2"/>
    <s v="0% - 30%"/>
    <n v="3.4347591101382724E-4"/>
    <n v="145.61415400000001"/>
    <n v="1.1946047732115785E-3"/>
    <s v="0% - 30%"/>
    <n v="0.86302222077184343"/>
    <s v="Aceptable"/>
    <n v="1"/>
    <s v="Candidato"/>
    <n v="0"/>
    <n v="0"/>
  </r>
  <r>
    <n v="68370"/>
    <s v="68370"/>
    <x v="0"/>
    <x v="0"/>
    <s v="JORDÁN"/>
    <n v="57.234733333333303"/>
    <n v="57.6"/>
    <n v="58.77"/>
    <n v="58.19"/>
    <n v="46.232480551592523"/>
    <n v="35.438973979781451"/>
    <n v="53.726256227044907"/>
    <n v="43.918999999999997"/>
    <n v="57.948683333333328"/>
    <n v="44.82917768960472"/>
    <n v="51.388930511469027"/>
    <n v="55.771505152703135"/>
    <n v="44.228494847296865"/>
    <n v="0.49805645362567186"/>
    <n v="0"/>
    <n v="25.594588486158347"/>
    <n v="4"/>
    <n v="4"/>
    <b v="1"/>
    <x v="5"/>
    <n v="50.339269345387848"/>
    <n v="0.49947962411333469"/>
    <n v="25.143439330774235"/>
    <n v="4"/>
    <n v="0"/>
    <n v="1.0496611660811794"/>
    <n v="-1.4231704876628282E-3"/>
    <n v="0.45114915538411182"/>
    <n v="4"/>
    <b v="1"/>
    <n v="0"/>
    <n v="0.81759069605862034"/>
    <n v="41.156918263178021"/>
    <n v="0.3442036521493026"/>
    <n v="4"/>
    <n v="0"/>
    <n v="34.420365214930257"/>
    <n v="4"/>
    <n v="-0.31953424243294848"/>
    <b v="1"/>
    <n v="0"/>
    <n v="3"/>
    <n v="-1"/>
    <n v="0"/>
    <n v="0"/>
    <n v="0"/>
    <n v="0"/>
    <n v="0"/>
    <s v="Rural disperso"/>
    <n v="6"/>
    <s v="Fuera SC"/>
    <m/>
    <s v="No"/>
    <s v="No"/>
    <n v="53.7"/>
    <n v="24.849527085124677"/>
    <n v="74.405000000000001"/>
    <s v="Alto"/>
    <n v="0"/>
    <s v="Bajo"/>
    <n v="7894.5741509999998"/>
    <n v="2322.1588929"/>
    <n v="1551"/>
    <n v="5.0899897814313348"/>
    <n v="1.4972010914893616"/>
    <m/>
    <m/>
    <m/>
    <m/>
    <m/>
    <m/>
    <m/>
    <n v="4"/>
    <n v="0"/>
    <n v="7"/>
    <n v="3982.3963319999998"/>
    <n v="407.09914199999997"/>
    <n v="0.10222466777824463"/>
    <s v="0% - 30%"/>
    <n v="1.1844048668259615E-5"/>
    <s v="N.D."/>
    <s v="N.D."/>
    <s v="N.D."/>
    <n v="0.9531521035292152"/>
    <s v="Aceptable"/>
    <n v="1"/>
    <s v="Candidato"/>
    <n v="0"/>
    <n v="0"/>
  </r>
  <r>
    <n v="25335"/>
    <s v="25335"/>
    <x v="5"/>
    <x v="5"/>
    <s v="GUAYABETAL"/>
    <n v="62.014400000000002"/>
    <n v="69.959999999999994"/>
    <n v="40.369999999999997"/>
    <n v="69.47"/>
    <n v="52.276602344721063"/>
    <n v="64.797279161120628"/>
    <n v="56.602487234874516"/>
    <n v="53.6982"/>
    <n v="60.453600000000002"/>
    <n v="56.84364218517905"/>
    <n v="58.648621092589522"/>
    <n v="58.755054692528354"/>
    <n v="41.244945307471646"/>
    <n v="0.47120450776724487"/>
    <n v="0"/>
    <n v="27.635494633161301"/>
    <n v="4"/>
    <n v="4"/>
    <b v="1"/>
    <x v="5"/>
    <n v="58.766284080630804"/>
    <n v="0.49642871617204953"/>
    <n v="29.173270960349502"/>
    <n v="3"/>
    <n v="-1"/>
    <n v="-0.11766298804128184"/>
    <n v="-2.522420840480466E-2"/>
    <n v="-1.537776327188201"/>
    <n v="4"/>
    <b v="1"/>
    <s v="Efecto ponderador"/>
    <n v="0.81759069605862034"/>
    <n v="48.046767106261555"/>
    <n v="0.43038839859103251"/>
    <n v="3"/>
    <n v="-1"/>
    <n v="43.038839859103248"/>
    <n v="4"/>
    <n v="-0.34638618829137546"/>
    <b v="1"/>
    <s v="Efecto ponderador"/>
    <n v="2"/>
    <n v="-2"/>
    <n v="0"/>
    <n v="0"/>
    <n v="0"/>
    <n v="0"/>
    <n v="1"/>
    <s v="Rural"/>
    <n v="6"/>
    <s v="Fuera SC"/>
    <m/>
    <s v="No"/>
    <s v="No"/>
    <n v="29.6"/>
    <n v="9.8640041315200548"/>
    <n v="1.5058333333333334"/>
    <s v="Sin riesgo"/>
    <n v="1.1616162586432615"/>
    <s v="Medio Bajo"/>
    <n v="15174.536348"/>
    <n v="5377.4238057499997"/>
    <n v="6989"/>
    <n v="2.1712027969666616"/>
    <n v="0.76941247757189868"/>
    <m/>
    <m/>
    <m/>
    <m/>
    <m/>
    <m/>
    <m/>
    <n v="40"/>
    <n v="0"/>
    <n v="7"/>
    <n v="22250.484634"/>
    <n v="3573.7434490000001"/>
    <n v="0.16061418471484068"/>
    <s v="0% - 30%"/>
    <n v="1.0397366874782059E-4"/>
    <s v="N.D."/>
    <s v="N.D."/>
    <s v="N.D."/>
    <n v="0.93990254259824213"/>
    <s v="Aceptable"/>
    <n v="2"/>
    <s v="Candidato"/>
    <n v="0"/>
    <n v="0"/>
  </r>
  <r>
    <n v="27001"/>
    <s v="27001"/>
    <x v="26"/>
    <x v="26"/>
    <s v="QUIBDÓ"/>
    <n v="65.175566666666697"/>
    <n v="74.180000000000007"/>
    <n v="74.44"/>
    <n v="69.83"/>
    <n v="52.540767449971092"/>
    <n v="52.404762168050141"/>
    <n v="56.749752178011462"/>
    <n v="56.714500000000001"/>
    <n v="70.906391666666678"/>
    <n v="54.602445449008172"/>
    <n v="62.754418557837425"/>
    <n v="56.819844560168839"/>
    <n v="43.180155439831161"/>
    <n v="0.48862139895848045"/>
    <n v="0"/>
    <n v="30.663151786556551"/>
    <n v="3"/>
    <n v="3"/>
    <b v="1"/>
    <x v="4"/>
    <n v="61.578475611445086"/>
    <n v="0.49688745056033268"/>
    <n v="30.597571755962573"/>
    <n v="3"/>
    <n v="0"/>
    <n v="1.1759429463923396"/>
    <n v="-8.2660516018522312E-3"/>
    <n v="6.5580030593977767E-2"/>
    <n v="3"/>
    <b v="1"/>
    <n v="0"/>
    <n v="0.81759069605862034"/>
    <n v="50.345988737390165"/>
    <n v="0.4591492375884052"/>
    <n v="3"/>
    <n v="0"/>
    <n v="45.914923758840523"/>
    <n v="4"/>
    <n v="-0.32896929710013989"/>
    <b v="0"/>
    <n v="0"/>
    <n v="3"/>
    <n v="0"/>
    <n v="1"/>
    <n v="0"/>
    <n v="0"/>
    <n v="0"/>
    <n v="1"/>
    <s v="Ciudades y aglomeraciones"/>
    <n v="3"/>
    <s v="Uninodal"/>
    <m/>
    <s v="Si"/>
    <s v="Si"/>
    <n v="44.4"/>
    <n v="72.809902829738618"/>
    <n v="0"/>
    <s v="Sin riesgo"/>
    <n v="13.880724609101222"/>
    <s v="Alto"/>
    <n v="459693.72049500002"/>
    <n v="60184.951451499997"/>
    <n v="140076"/>
    <n v="3.281745056219481"/>
    <n v="0.4296592667658985"/>
    <m/>
    <m/>
    <m/>
    <m/>
    <m/>
    <m/>
    <m/>
    <n v="51"/>
    <n v="1"/>
    <n v="4"/>
    <n v="350865.59180699999"/>
    <n v="27354.01254"/>
    <n v="7.7961513407808228E-2"/>
    <s v="0% - 30%"/>
    <n v="7.9583134025849607E-4"/>
    <n v="328663.47884400003"/>
    <n v="0.93672188586901206"/>
    <s v="71% - 100%"/>
    <n v="0.90046156153229417"/>
    <s v="Aceptable"/>
    <n v="2"/>
    <s v="Candidato"/>
    <n v="0"/>
    <n v="0"/>
  </r>
  <r>
    <n v="68368"/>
    <s v="68368"/>
    <x v="0"/>
    <x v="0"/>
    <s v="JESÚS MARÍA"/>
    <n v="47.589933333333299"/>
    <n v="57.14"/>
    <n v="61.45"/>
    <n v="68.25"/>
    <n v="51.340423707309959"/>
    <n v="66.806669985131876"/>
    <n v="60.110066407810663"/>
    <n v="56.779299999999999"/>
    <n v="58.60748333333332"/>
    <n v="58.759115025063132"/>
    <n v="58.683299179198229"/>
    <n v="56.972437885173768"/>
    <n v="43.027562114826232"/>
    <n v="0.48724805903343615"/>
    <n v="0"/>
    <n v="28.593323622742773"/>
    <n v="4"/>
    <n v="4"/>
    <b v="1"/>
    <x v="4"/>
    <n v="55.702386877988744"/>
    <n v="0.4961008675422629"/>
    <n v="27.634002454344976"/>
    <n v="4"/>
    <n v="1"/>
    <n v="2.9809123012094858"/>
    <n v="-8.8528085088267483E-3"/>
    <n v="0.95932116839779624"/>
    <n v="3"/>
    <b v="1"/>
    <s v="Efecto ponderador"/>
    <n v="0.81759069605862034"/>
    <n v="45.541753259701373"/>
    <n v="0.39905331590405313"/>
    <n v="3"/>
    <n v="0"/>
    <n v="39.905331590405311"/>
    <n v="4"/>
    <n v="-0.33034263702518418"/>
    <b v="0"/>
    <n v="0"/>
    <n v="3"/>
    <n v="0"/>
    <n v="0"/>
    <n v="0"/>
    <n v="0"/>
    <n v="0"/>
    <n v="0"/>
    <s v="Rural disperso"/>
    <n v="6"/>
    <s v="Fuera SC"/>
    <m/>
    <s v="No"/>
    <s v="No"/>
    <n v="40.799999999999997"/>
    <n v="12.520924004017409"/>
    <n v="17.68"/>
    <s v="Medio"/>
    <n v="2.4904889408312934"/>
    <s v="Medio Bajo"/>
    <n v="13523.420082000001"/>
    <n v="5661.8576211"/>
    <n v="3429"/>
    <n v="3.9438378775153109"/>
    <n v="1.6511687433945756"/>
    <m/>
    <m/>
    <m/>
    <m/>
    <m/>
    <m/>
    <m/>
    <n v="25"/>
    <n v="0"/>
    <n v="7"/>
    <n v="8946.6448130000008"/>
    <n v="205.00043299999999"/>
    <n v="2.2913666216202336E-2"/>
    <s v="0% - 30%"/>
    <n v="5.9642353789738378E-6"/>
    <s v="N.D."/>
    <s v="N.D."/>
    <s v="N.D."/>
    <n v="0.94439935146310261"/>
    <s v="Aceptable"/>
    <n v="2"/>
    <s v="Candidato"/>
    <n v="0"/>
    <n v="0"/>
  </r>
  <r>
    <n v="68322"/>
    <s v="68322"/>
    <x v="0"/>
    <x v="0"/>
    <s v="GUAPOTÁ"/>
    <n v="67.341399999999993"/>
    <n v="59.08"/>
    <n v="53.69"/>
    <n v="53.15"/>
    <n v="64.312195258911956"/>
    <n v="51.137201108311913"/>
    <n v="60.878240568534125"/>
    <n v="61.160600000000002"/>
    <n v="58.315350000000002"/>
    <n v="59.372059233939495"/>
    <n v="58.843704616969745"/>
    <n v="56.482072718680662"/>
    <n v="43.517927281319338"/>
    <n v="0.49166134553187402"/>
    <n v="0"/>
    <n v="28.931174988059492"/>
    <n v="4"/>
    <n v="4"/>
    <b v="1"/>
    <x v="4"/>
    <n v="58.7947063429596"/>
    <n v="0.49597223310345562"/>
    <n v="29.16054179957958"/>
    <n v="3"/>
    <n v="0"/>
    <n v="4.8998274010145337E-2"/>
    <n v="-4.3108875715816009E-3"/>
    <n v="-0.22936681152008731"/>
    <n v="3"/>
    <b v="1"/>
    <n v="0"/>
    <n v="0.81759069605862034"/>
    <n v="48.07000488350252"/>
    <n v="0.43067907868939093"/>
    <n v="3"/>
    <n v="0"/>
    <n v="43.067907868939095"/>
    <n v="4"/>
    <n v="-0.32592935052674632"/>
    <b v="0"/>
    <n v="0"/>
    <n v="3"/>
    <n v="0"/>
    <n v="0"/>
    <n v="0"/>
    <n v="0"/>
    <n v="0"/>
    <n v="0"/>
    <s v="Rural"/>
    <n v="6"/>
    <s v="Fuera SC"/>
    <m/>
    <s v="No"/>
    <s v="Si"/>
    <n v="31.4"/>
    <n v="12.573099415204679"/>
    <n v="13.041999999999998"/>
    <s v="Bajo"/>
    <n v="0"/>
    <s v="Bajo"/>
    <n v="10465.238941"/>
    <n v="2704.3889835"/>
    <n v="2634"/>
    <n v="3.9731355129081245"/>
    <n v="1.0267232283599088"/>
    <m/>
    <m/>
    <m/>
    <m/>
    <m/>
    <m/>
    <m/>
    <n v="45"/>
    <n v="0"/>
    <n v="7"/>
    <n v="6718.3621590000002"/>
    <n v="186.25626500000001"/>
    <n v="2.7723463039349382E-2"/>
    <s v="0% - 30%"/>
    <n v="5.4188968726155164E-6"/>
    <s v="N.D."/>
    <s v="N.D."/>
    <s v="N.D."/>
    <n v="0.93732604225819094"/>
    <s v="Aceptable"/>
    <n v="2"/>
    <s v="Candidato"/>
    <n v="0"/>
    <n v="0"/>
  </r>
  <r>
    <n v="25258"/>
    <s v="25258"/>
    <x v="5"/>
    <x v="5"/>
    <s v="EL PEÑÓN"/>
    <n v="61.770766666666702"/>
    <n v="64.69"/>
    <n v="67.17"/>
    <n v="60.17"/>
    <n v="63.965384349714611"/>
    <n v="47.105861311239664"/>
    <n v="48.220086952743017"/>
    <n v="53.467300000000002"/>
    <n v="63.450191666666683"/>
    <n v="53.189658153424325"/>
    <n v="58.319924910045501"/>
    <n v="57.866115177738244"/>
    <n v="42.133884822261756"/>
    <n v="0.47920496340035579"/>
    <n v="0"/>
    <n v="27.947197482029853"/>
    <n v="4"/>
    <n v="4"/>
    <b v="1"/>
    <x v="5"/>
    <n v="57.91352290479734"/>
    <n v="0.49578959548473034"/>
    <n v="28.712922094065139"/>
    <n v="3"/>
    <n v="-1"/>
    <n v="0.40640200524816095"/>
    <n v="-1.6584632084374551E-2"/>
    <n v="-0.76572461203528519"/>
    <n v="3"/>
    <b v="0"/>
    <s v="Cambio en corte"/>
    <n v="0.81759069605862034"/>
    <n v="47.349557502940108"/>
    <n v="0.42166704138167677"/>
    <n v="3"/>
    <n v="-1"/>
    <n v="42.166704138167674"/>
    <n v="4"/>
    <n v="-0.33838573265826455"/>
    <b v="1"/>
    <s v="Efecto ponderador"/>
    <n v="3"/>
    <n v="-1"/>
    <n v="0"/>
    <n v="0"/>
    <n v="0"/>
    <n v="0"/>
    <n v="1"/>
    <s v="Rural disperso"/>
    <n v="6"/>
    <s v="Fuera SC"/>
    <m/>
    <s v="No"/>
    <s v="Si"/>
    <n v="49.5"/>
    <n v="25.766338924233661"/>
    <n v="0.61579854809437384"/>
    <s v="Sin riesgo"/>
    <n v="1.5975221908805202"/>
    <s v="Medio Bajo"/>
    <n v="13353.97364"/>
    <n v="3702.7827742499999"/>
    <n v="4710"/>
    <n v="2.8352385647558385"/>
    <n v="0.78615345525477709"/>
    <m/>
    <m/>
    <m/>
    <m/>
    <m/>
    <m/>
    <m/>
    <n v="33"/>
    <n v="0"/>
    <n v="7"/>
    <n v="13394.40905"/>
    <n v="4327.5733950000003"/>
    <n v="0.32308804209619091"/>
    <s v="31% - 50%"/>
    <n v="1.2590542356349525E-4"/>
    <s v="N.D."/>
    <s v="N.D."/>
    <s v="N.D."/>
    <n v="0.90444170797115686"/>
    <s v="Aceptable"/>
    <n v="2"/>
    <s v="Candidato"/>
    <n v="0"/>
    <n v="0"/>
  </r>
  <r>
    <n v="25436"/>
    <s v="25436"/>
    <x v="5"/>
    <x v="5"/>
    <s v="MANTA"/>
    <n v="52.438733333333303"/>
    <n v="64.39"/>
    <n v="66.52"/>
    <n v="62.21"/>
    <n v="43.618674621454659"/>
    <n v="49.284769849262062"/>
    <n v="58.418182384931207"/>
    <n v="50.226399999999998"/>
    <n v="61.38968333333333"/>
    <n v="50.387006713911987"/>
    <n v="55.888345023622662"/>
    <n v="58.191084016891558"/>
    <n v="41.808915983108442"/>
    <n v="0.47628024384797596"/>
    <n v="0"/>
    <n v="26.618514596110817"/>
    <n v="4"/>
    <n v="4"/>
    <b v="1"/>
    <x v="5"/>
    <n v="54.231201856719096"/>
    <n v="0.49836379553671861"/>
    <n v="27.026867593832471"/>
    <n v="4"/>
    <n v="0"/>
    <n v="1.6571431669035661"/>
    <n v="-2.2083551688742653E-2"/>
    <n v="-0.40835299772165357"/>
    <n v="4"/>
    <b v="1"/>
    <n v="0"/>
    <n v="0.81759069605862034"/>
    <n v="44.338926074130512"/>
    <n v="0.38400721571192625"/>
    <n v="3"/>
    <n v="-1"/>
    <n v="38.400721571192626"/>
    <n v="4"/>
    <n v="-0.34131045221064438"/>
    <b v="1"/>
    <s v="Efecto ponderador"/>
    <n v="3"/>
    <n v="-1"/>
    <n v="0"/>
    <n v="0"/>
    <n v="0"/>
    <n v="0"/>
    <n v="0"/>
    <s v="Rural"/>
    <n v="6"/>
    <s v="Fuera SC"/>
    <m/>
    <s v="No"/>
    <s v="No"/>
    <n v="35.5"/>
    <n v="7.6021634615384617"/>
    <n v="5.6446153846153839"/>
    <s v="Bajo"/>
    <n v="0"/>
    <s v="Bajo"/>
    <n v="9290.1146989999997"/>
    <n v="2091.6177964000003"/>
    <n v="3502"/>
    <n v="2.6528025982295831"/>
    <n v="0.5972637910908053"/>
    <m/>
    <m/>
    <m/>
    <m/>
    <m/>
    <m/>
    <m/>
    <n v="87"/>
    <n v="0"/>
    <n v="7"/>
    <n v="10773.563292999999"/>
    <n v="4989.5338760000004"/>
    <n v="0.46312754102831449"/>
    <s v="31% - 50%"/>
    <n v="1.4516434932519223E-4"/>
    <s v="N.D."/>
    <s v="N.D."/>
    <s v="N.D."/>
    <n v="0.95546686437332529"/>
    <s v="Aceptable"/>
    <n v="2"/>
    <s v="Candidato"/>
    <n v="0"/>
    <n v="0"/>
  </r>
  <r>
    <n v="15226"/>
    <s v="15226"/>
    <x v="10"/>
    <x v="10"/>
    <s v="CUÍTIVA"/>
    <n v="74.850433333333299"/>
    <n v="40.729999999999997"/>
    <n v="67.69"/>
    <n v="47.86"/>
    <n v="53.282488835371296"/>
    <n v="60.896152940505644"/>
    <n v="62.286424887167811"/>
    <n v="65.174999999999997"/>
    <n v="57.782608333333329"/>
    <n v="60.410016665761191"/>
    <n v="59.09631249954726"/>
    <n v="57.181997097959268"/>
    <n v="42.818002902040732"/>
    <n v="0.48536202611836654"/>
    <n v="0"/>
    <n v="28.683105970904407"/>
    <n v="4"/>
    <n v="4"/>
    <b v="1"/>
    <x v="4"/>
    <n v="60.426257410001185"/>
    <n v="0.49699410471219141"/>
    <n v="30.031493702591959"/>
    <n v="3"/>
    <n v="0"/>
    <n v="-1.3299449104539249"/>
    <n v="-1.1632078593824868E-2"/>
    <n v="-1.3483877316875521"/>
    <n v="3"/>
    <b v="1"/>
    <n v="0"/>
    <n v="0.81759069605862034"/>
    <n v="49.403945856060233"/>
    <n v="0.44736527414976457"/>
    <n v="3"/>
    <n v="0"/>
    <n v="44.736527414976457"/>
    <n v="4"/>
    <n v="-0.3322286699402538"/>
    <b v="0"/>
    <n v="0"/>
    <n v="3"/>
    <n v="0"/>
    <n v="0"/>
    <n v="0"/>
    <n v="0"/>
    <n v="0"/>
    <n v="0"/>
    <s v="Rural disperso"/>
    <n v="6"/>
    <s v="Fuera SC"/>
    <m/>
    <s v="No"/>
    <s v="No"/>
    <n v="40.700000000000003"/>
    <n v="9.5823095823095823"/>
    <n v="12.546002617801047"/>
    <s v="Bajo"/>
    <n v="0"/>
    <s v="Bajo"/>
    <n v="7379.2450360000003"/>
    <n v="1872.0282562999998"/>
    <n v="1837"/>
    <n v="4.0170087294501906"/>
    <n v="1.0190681852476864"/>
    <m/>
    <m/>
    <m/>
    <m/>
    <m/>
    <m/>
    <m/>
    <n v="62"/>
    <n v="0"/>
    <n v="7"/>
    <n v="4403.9840620000004"/>
    <n v="995.72273099999995"/>
    <n v="0.22609589793742532"/>
    <s v="0% - 30%"/>
    <n v="2.8969327786144971E-5"/>
    <s v="N.D."/>
    <s v="N.D."/>
    <s v="N.D."/>
    <n v="0.94606678508613995"/>
    <s v="Aceptable"/>
    <n v="2"/>
    <s v="Candidato"/>
    <n v="0"/>
    <n v="0"/>
  </r>
  <r>
    <n v="5206"/>
    <s v="05206"/>
    <x v="1"/>
    <x v="1"/>
    <s v="CONCEPCIÓN"/>
    <n v="68.377200000000002"/>
    <n v="66.150000000000006"/>
    <n v="71.98"/>
    <n v="70.41"/>
    <n v="58.361678092831937"/>
    <n v="64.825972186263243"/>
    <n v="74.917075920234041"/>
    <n v="60.979199999999999"/>
    <n v="69.229299999999995"/>
    <n v="64.7709815498323"/>
    <n v="67.000140774916147"/>
    <n v="56.208219666605551"/>
    <n v="43.791780333394449"/>
    <n v="0.49412602300055009"/>
    <n v="0"/>
    <n v="33.106513101586309"/>
    <n v="3"/>
    <n v="3"/>
    <b v="1"/>
    <x v="4"/>
    <n v="68.264681923862909"/>
    <n v="0.5005913985565299"/>
    <n v="34.172712596283198"/>
    <n v="3"/>
    <n v="0"/>
    <n v="-1.264541148946762"/>
    <n v="-6.4653755559798132E-3"/>
    <n v="-1.0661994946968889"/>
    <n v="3"/>
    <b v="1"/>
    <n v="0"/>
    <n v="0.81759069605862034"/>
    <n v="55.812568810351394"/>
    <n v="0.52753039198260243"/>
    <n v="2"/>
    <n v="-1"/>
    <n v="52.75303919826024"/>
    <n v="4"/>
    <n v="-0.32346467305807025"/>
    <b v="0"/>
    <s v="Cambio en corte"/>
    <n v="3"/>
    <n v="0"/>
    <n v="0"/>
    <n v="0"/>
    <n v="0"/>
    <n v="0"/>
    <n v="1"/>
    <s v="Rural"/>
    <n v="6"/>
    <s v="Fuera SC"/>
    <m/>
    <s v="No"/>
    <s v="Si"/>
    <n v="33"/>
    <n v="12.483978467059728"/>
    <n v="1.5091176470588237"/>
    <s v="Sin riesgo"/>
    <n v="2.0262596926061986"/>
    <s v="Medio Bajo"/>
    <n v="15890.552016"/>
    <n v="4429.4998022500004"/>
    <n v="5108"/>
    <n v="3.1109146468285043"/>
    <n v="0.86716910772317934"/>
    <m/>
    <m/>
    <m/>
    <m/>
    <m/>
    <m/>
    <m/>
    <n v="22"/>
    <n v="0"/>
    <n v="7"/>
    <n v="20195.259136000001"/>
    <n v="10158.731186000001"/>
    <n v="0.50302554265773602"/>
    <s v="31% - 50%"/>
    <n v="2.9555578521644425E-4"/>
    <s v="N.D."/>
    <s v="N.D."/>
    <s v="N.D."/>
    <n v="0.92097267494741808"/>
    <s v="Aceptable"/>
    <n v="3"/>
    <s v="Candidato"/>
    <n v="0"/>
    <n v="0"/>
  </r>
  <r>
    <n v="68770"/>
    <s v="68770"/>
    <x v="0"/>
    <x v="0"/>
    <s v="SUAITA"/>
    <n v="54.1957666666667"/>
    <n v="67.489999999999995"/>
    <n v="52.53"/>
    <n v="49.86"/>
    <n v="65.287483078071006"/>
    <n v="55.959798747895995"/>
    <n v="56.620120380831047"/>
    <n v="51.307499999999997"/>
    <n v="56.018941666666677"/>
    <n v="57.293725551699517"/>
    <n v="56.656333609183093"/>
    <n v="57.414867384573476"/>
    <n v="42.585132615426524"/>
    <n v="0.48326619353883871"/>
    <n v="0"/>
    <n v="27.380090683176491"/>
    <n v="4"/>
    <n v="4"/>
    <b v="1"/>
    <x v="5"/>
    <n v="56.999664466596485"/>
    <n v="0.49320406367890623"/>
    <n v="28.112466143259542"/>
    <n v="3"/>
    <n v="-1"/>
    <n v="-0.34333085741339175"/>
    <n v="-9.9378701400675284E-3"/>
    <n v="-0.73237546008305188"/>
    <n v="4"/>
    <b v="1"/>
    <s v="Efecto ponderador"/>
    <n v="0.81759069605862034"/>
    <n v="46.602395346352431"/>
    <n v="0.41232083038591483"/>
    <n v="3"/>
    <n v="-1"/>
    <n v="41.232083038591483"/>
    <n v="4"/>
    <n v="-0.33432450251978163"/>
    <b v="1"/>
    <s v="Efecto ponderador"/>
    <n v="3"/>
    <n v="-1"/>
    <n v="0"/>
    <n v="0"/>
    <n v="0"/>
    <n v="0"/>
    <n v="0"/>
    <s v="Rural disperso"/>
    <n v="6"/>
    <s v="Fuera SC"/>
    <m/>
    <s v="No"/>
    <s v="No"/>
    <n v="37.799999999999997"/>
    <n v="14.166380592745165"/>
    <n v="25.274984566457768"/>
    <s v="Medio"/>
    <n v="0.27892295167213704"/>
    <s v="Medio Bajo"/>
    <n v="23139.186478"/>
    <n v="4789.9059215500001"/>
    <n v="10286"/>
    <n v="2.2495806414544042"/>
    <n v="0.46567236258506711"/>
    <m/>
    <m/>
    <m/>
    <m/>
    <m/>
    <m/>
    <m/>
    <n v="20"/>
    <n v="0"/>
    <n v="7"/>
    <n v="28292.678642999999"/>
    <n v="1161.292821"/>
    <n v="4.1045700750123919E-2"/>
    <s v="0% - 30%"/>
    <n v="3.3786385848055903E-5"/>
    <s v="N.D."/>
    <s v="N.D."/>
    <s v="N.D."/>
    <n v="0.93281052067438575"/>
    <s v="Aceptable"/>
    <n v="1"/>
    <s v="Candidato"/>
    <n v="0"/>
    <n v="0"/>
  </r>
  <r>
    <n v="54520"/>
    <s v="54520"/>
    <x v="12"/>
    <x v="12"/>
    <s v="PAMPLONITA"/>
    <n v="84.271533333333295"/>
    <n v="83.06"/>
    <n v="67.97"/>
    <n v="71.349999999999994"/>
    <n v="48.378610798372378"/>
    <n v="62.998721415757892"/>
    <n v="63.32980873416178"/>
    <n v="52.435699999999997"/>
    <n v="76.662883333333326"/>
    <n v="56.785710237073012"/>
    <n v="66.724296785203165"/>
    <n v="56.679478768325289"/>
    <n v="43.320521231674711"/>
    <n v="0.48988469108507249"/>
    <n v="0"/>
    <n v="32.687211518487949"/>
    <n v="3"/>
    <n v="3"/>
    <b v="1"/>
    <x v="4"/>
    <n v="67.792241111971123"/>
    <n v="0.49658563243210718"/>
    <n v="33.664652926578079"/>
    <n v="3"/>
    <n v="0"/>
    <n v="-1.0679443267679574"/>
    <n v="-6.7009413470346946E-3"/>
    <n v="-0.97744140809012947"/>
    <n v="3"/>
    <b v="1"/>
    <n v="0"/>
    <n v="0.81759069605862034"/>
    <n v="55.426305598110289"/>
    <n v="0.52269864635727048"/>
    <n v="2"/>
    <n v="-1"/>
    <n v="52.269864635727046"/>
    <n v="4"/>
    <n v="-0.32770600497354785"/>
    <b v="0"/>
    <s v="Cambio en corte"/>
    <n v="2"/>
    <n v="-1"/>
    <n v="0"/>
    <n v="0"/>
    <n v="0"/>
    <n v="0"/>
    <n v="0"/>
    <s v="Rural disperso"/>
    <n v="6"/>
    <s v="Fuera SC"/>
    <m/>
    <s v="No"/>
    <s v="No"/>
    <n v="41.7"/>
    <n v="16.047879894501929"/>
    <n v="48.932603942939572"/>
    <s v="Alto"/>
    <n v="1.375687150148809"/>
    <s v="Medio Bajo"/>
    <n v="16869.24826"/>
    <n v="4379.6748729999999"/>
    <n v="6204"/>
    <n v="2.7190922404900064"/>
    <n v="0.70594372549967765"/>
    <m/>
    <m/>
    <m/>
    <m/>
    <m/>
    <m/>
    <m/>
    <n v="24"/>
    <n v="0"/>
    <n v="7"/>
    <n v="17054.166133999999"/>
    <n v="4671.1062609999999"/>
    <n v="0.27389825009898666"/>
    <s v="0% - 30%"/>
    <n v="1.3590008963933458E-4"/>
    <s v="N.D."/>
    <s v="N.D."/>
    <s v="N.D."/>
    <n v="0.9543001457692778"/>
    <s v="Aceptable"/>
    <n v="2"/>
    <s v="Candidato"/>
    <n v="1"/>
    <s v="Zona de Fronteras"/>
  </r>
  <r>
    <n v="5490"/>
    <s v="05490"/>
    <x v="1"/>
    <x v="1"/>
    <s v="NECOCLÍ"/>
    <n v="44.947099999999999"/>
    <n v="44.74"/>
    <n v="63.25"/>
    <n v="66.89"/>
    <n v="52.567289018073673"/>
    <n v="55.330890793142508"/>
    <n v="55.824546894645707"/>
    <n v="51.299100000000003"/>
    <n v="54.956774999999993"/>
    <n v="53.755456676465471"/>
    <n v="54.356115838232732"/>
    <n v="57.587849217874322"/>
    <n v="42.412150782125678"/>
    <n v="0.48170935703913109"/>
    <n v="0"/>
    <n v="26.183849611579621"/>
    <n v="4"/>
    <n v="4"/>
    <b v="1"/>
    <x v="5"/>
    <n v="52.181031820245806"/>
    <n v="0.49499946842021791"/>
    <n v="25.82958301264015"/>
    <n v="4"/>
    <n v="0"/>
    <n v="2.1750840179869257"/>
    <n v="-1.3290111381086822E-2"/>
    <n v="0.35426659893947132"/>
    <n v="4"/>
    <b v="1"/>
    <n v="0"/>
    <n v="0.81759069605862034"/>
    <n v="42.662726126971783"/>
    <n v="0.36303972125425948"/>
    <n v="3"/>
    <n v="-1"/>
    <n v="36.30397212542595"/>
    <n v="4"/>
    <n v="-0.33588133901948924"/>
    <b v="1"/>
    <s v="Efecto ponderador"/>
    <n v="3"/>
    <n v="-1"/>
    <n v="0"/>
    <n v="0"/>
    <n v="0"/>
    <n v="1"/>
    <n v="1"/>
    <s v="Rural"/>
    <n v="6"/>
    <s v="Fuera SC"/>
    <m/>
    <s v="No"/>
    <s v="Si"/>
    <n v="62.7"/>
    <n v="57.628839146277983"/>
    <n v="56.535104436635187"/>
    <s v="Alto"/>
    <n v="8.0983231411584615"/>
    <s v="Medio"/>
    <n v="136236.92960900001"/>
    <n v="23026.132521"/>
    <n v="42718"/>
    <n v="3.189216012196264"/>
    <n v="0.5390264647455405"/>
    <m/>
    <m/>
    <m/>
    <m/>
    <m/>
    <m/>
    <m/>
    <n v="35"/>
    <n v="0"/>
    <n v="7"/>
    <n v="125611.451325"/>
    <n v="33204.320943999999"/>
    <n v="0.26434151181080623"/>
    <s v="0% - 30%"/>
    <n v="9.66038865435015E-4"/>
    <n v="2681.9353780000001"/>
    <n v="2.1351042040433969E-2"/>
    <s v="0% - 30%"/>
    <n v="0.89680238434216619"/>
    <s v="Aceptable"/>
    <n v="2"/>
    <s v="Candidato"/>
    <n v="0"/>
    <n v="0"/>
  </r>
  <r>
    <n v="15296"/>
    <s v="15296"/>
    <x v="10"/>
    <x v="10"/>
    <s v="GÁMEZA"/>
    <n v="64.678533333333306"/>
    <n v="83.84"/>
    <n v="35.08"/>
    <n v="30.7"/>
    <n v="57.265800226534068"/>
    <n v="70.453804009922209"/>
    <n v="50.973051547259267"/>
    <n v="49.624299999999998"/>
    <n v="53.574633333333324"/>
    <n v="57.079238945928886"/>
    <n v="55.326936139631101"/>
    <n v="57.812266765565802"/>
    <n v="42.187733234434198"/>
    <n v="0.47968959910990783"/>
    <n v="0"/>
    <n v="26.539755816799115"/>
    <n v="4"/>
    <n v="4"/>
    <b v="1"/>
    <x v="5"/>
    <n v="59.703354131061459"/>
    <n v="0.4957937206658215"/>
    <n v="29.600548080868105"/>
    <n v="3"/>
    <n v="-1"/>
    <n v="-4.3764179914303583"/>
    <n v="-1.6104121555913675E-2"/>
    <n v="-3.06079226406899"/>
    <n v="4"/>
    <b v="1"/>
    <s v="Efecto ponderador"/>
    <n v="0.81759069605862034"/>
    <n v="48.812906861048845"/>
    <n v="0.43997199933599751"/>
    <n v="3"/>
    <n v="-1"/>
    <n v="43.997199933599752"/>
    <n v="4"/>
    <n v="-0.33790109694871251"/>
    <b v="1"/>
    <s v="Efecto ponderador"/>
    <n v="3"/>
    <n v="-1"/>
    <n v="0"/>
    <n v="0"/>
    <n v="0"/>
    <n v="0"/>
    <n v="0"/>
    <s v="Rural"/>
    <n v="6"/>
    <s v="Fuera SC"/>
    <m/>
    <s v="No"/>
    <s v="No"/>
    <n v="43.7"/>
    <n v="14.630261660978384"/>
    <n v="49.909832768635042"/>
    <s v="Alto"/>
    <n v="0.14448121596788308"/>
    <s v="Bajo"/>
    <n v="15447.504611"/>
    <n v="2652.7624177500002"/>
    <n v="4687"/>
    <n v="3.2958192043951358"/>
    <n v="0.56598302064220185"/>
    <m/>
    <m/>
    <m/>
    <m/>
    <m/>
    <m/>
    <m/>
    <n v="62"/>
    <n v="0"/>
    <n v="7"/>
    <n v="12341.894098000001"/>
    <n v="9335.9232119999997"/>
    <n v="0.75644168859890659"/>
    <s v="71% - 100%"/>
    <n v="2.7161719954217595E-4"/>
    <s v="N.D."/>
    <s v="N.D."/>
    <s v="N.D."/>
    <n v="0.98994912521304257"/>
    <s v="Aceptable"/>
    <n v="1"/>
    <s v="Candidato"/>
    <n v="0"/>
    <n v="0"/>
  </r>
  <r>
    <n v="13580"/>
    <s v="13580"/>
    <x v="8"/>
    <x v="8"/>
    <s v="REGIDOR"/>
    <n v="49.881100000000004"/>
    <n v="34.549999999999997"/>
    <n v="34.99"/>
    <n v="22.22"/>
    <n v="56.110809073809961"/>
    <n v="45.090060836550975"/>
    <n v="51.010443915316692"/>
    <n v="60.274700000000003"/>
    <n v="35.410274999999999"/>
    <n v="53.121503456419404"/>
    <n v="44.265889228209701"/>
    <n v="56.586635221560577"/>
    <n v="43.413364778439423"/>
    <n v="0.49072028300595483"/>
    <n v="0"/>
    <n v="21.722169689577314"/>
    <n v="5"/>
    <n v="5"/>
    <b v="1"/>
    <x v="5"/>
    <n v="45.637908270753783"/>
    <n v="0.49438752013553844"/>
    <n v="22.562812294151144"/>
    <n v="4"/>
    <n v="0"/>
    <n v="-1.3720190425440819"/>
    <n v="-3.6672371295836115E-3"/>
    <n v="-0.84064260457383"/>
    <n v="4"/>
    <b v="1"/>
    <n v="0"/>
    <n v="0.81759069605862034"/>
    <n v="37.313129189745055"/>
    <n v="0.29612190257625243"/>
    <n v="4"/>
    <n v="0"/>
    <n v="29.612190257625244"/>
    <n v="4"/>
    <n v="-0.32687041305266551"/>
    <b v="1"/>
    <n v="0"/>
    <n v="4"/>
    <n v="0"/>
    <n v="0"/>
    <n v="0"/>
    <n v="0"/>
    <n v="0"/>
    <n v="0"/>
    <s v="Rural"/>
    <n v="6"/>
    <s v="Fuera SC"/>
    <m/>
    <s v="No"/>
    <s v="No"/>
    <n v="48.9"/>
    <n v="27.010309278350515"/>
    <n v="12.618620689655172"/>
    <s v="Bajo"/>
    <n v="3.4009281719489395"/>
    <s v="Medio Bajo"/>
    <n v="25935.87803"/>
    <n v="2857.1861887499999"/>
    <n v="7810"/>
    <n v="3.320855061459667"/>
    <n v="0.36583689996798974"/>
    <m/>
    <m/>
    <m/>
    <m/>
    <m/>
    <m/>
    <m/>
    <n v="92"/>
    <n v="0"/>
    <n v="7"/>
    <n v="18324.156696999999"/>
    <n v="6616.0584429999999"/>
    <n v="0.36105663973519558"/>
    <s v="31% - 50%"/>
    <n v="1.924860804323236E-4"/>
    <s v="N.D."/>
    <s v="N.D."/>
    <s v="N.D."/>
    <n v="0.83029662710572527"/>
    <s v="Crítico bajo"/>
    <n v="2"/>
    <s v="Candidato"/>
    <n v="0"/>
    <n v="0"/>
  </r>
  <r>
    <n v="27810"/>
    <s v="27810"/>
    <x v="26"/>
    <x v="26"/>
    <s v="UNIÓN PANAMERICANA"/>
    <n v="58.077366666666698"/>
    <n v="82.15"/>
    <n v="81.95"/>
    <n v="75.06"/>
    <n v="47.283644054599677"/>
    <n v="55.611494346753901"/>
    <n v="53.820839178031683"/>
    <n v="42.776899999999998"/>
    <n v="74.309341666666683"/>
    <n v="49.873219394846316"/>
    <n v="62.091280530756499"/>
    <n v="57.105624517749561"/>
    <n v="42.894375482250439"/>
    <n v="0.48604937934025394"/>
    <n v="0"/>
    <n v="30.179428364415791"/>
    <n v="3"/>
    <n v="3"/>
    <b v="1"/>
    <x v="4"/>
    <n v="57.671066483067484"/>
    <n v="0.4951114670268818"/>
    <n v="28.553606331436374"/>
    <n v="3"/>
    <n v="0"/>
    <n v="4.420214047689015"/>
    <n v="-9.0620876866278621E-3"/>
    <n v="1.6258220329794177"/>
    <n v="3"/>
    <b v="1"/>
    <n v="0"/>
    <n v="0.81759069605862034"/>
    <n v="47.151327388334117"/>
    <n v="0.41918739160219243"/>
    <n v="3"/>
    <n v="0"/>
    <n v="41.918739160219246"/>
    <n v="4"/>
    <n v="-0.3315413167183664"/>
    <b v="0"/>
    <n v="0"/>
    <n v="4"/>
    <n v="1"/>
    <n v="0"/>
    <n v="0"/>
    <n v="0"/>
    <n v="0"/>
    <n v="0"/>
    <s v="Rural"/>
    <n v="6"/>
    <s v="Fuera SC"/>
    <m/>
    <s v="No"/>
    <s v="No"/>
    <n v="57.4"/>
    <n v="52.152369154537006"/>
    <n v="96.9"/>
    <s v="Inviable sanitariamente"/>
    <n v="0.62685698671562506"/>
    <s v="Medio Bajo"/>
    <n v="24927.517259"/>
    <n v="6734.9087135"/>
    <n v="7202"/>
    <n v="3.4611937321577342"/>
    <n v="0.93514422570119415"/>
    <m/>
    <m/>
    <m/>
    <m/>
    <m/>
    <m/>
    <m/>
    <n v="27"/>
    <n v="0"/>
    <n v="7"/>
    <n v="17783.774308"/>
    <n v="482.54818899999998"/>
    <n v="2.7134183140354325E-2"/>
    <s v="0% - 30%"/>
    <n v="1.4039145863138515E-5"/>
    <n v="17017.252679000001"/>
    <n v="0.95689769698352611"/>
    <s v="71% - 100%"/>
    <n v="0.91145228099828712"/>
    <s v="Aceptable"/>
    <n v="2"/>
    <s v="Candidato"/>
    <n v="0"/>
    <n v="0"/>
  </r>
  <r>
    <n v="44110"/>
    <s v="44110"/>
    <x v="21"/>
    <x v="21"/>
    <s v="EL MOLINO"/>
    <n v="70.149066666666698"/>
    <n v="61.42"/>
    <n v="67.27"/>
    <n v="69.14"/>
    <n v="57.391616133744954"/>
    <n v="70.664459837024509"/>
    <n v="66.087767692280579"/>
    <n v="69.770499999999998"/>
    <n v="66.994766666666663"/>
    <n v="65.978585915762508"/>
    <n v="66.486676291214593"/>
    <n v="58.199334886538686"/>
    <n v="41.800665113461314"/>
    <n v="0.47620598602115183"/>
    <n v="0"/>
    <n v="31.661353240526982"/>
    <n v="3"/>
    <n v="3"/>
    <b v="1"/>
    <x v="4"/>
    <n v="65.631351230046533"/>
    <n v="0.49525499796097694"/>
    <n v="32.50425471961286"/>
    <n v="3"/>
    <n v="0"/>
    <n v="0.85532506116805962"/>
    <n v="-1.9049011939825111E-2"/>
    <n v="-0.84290147908587798"/>
    <n v="3"/>
    <b v="1"/>
    <n v="0"/>
    <n v="0.81759069605862034"/>
    <n v="53.659582135441532"/>
    <n v="0.50059879814135277"/>
    <n v="2"/>
    <n v="-1"/>
    <n v="50.059879814135279"/>
    <n v="4"/>
    <n v="-0.34138471003746851"/>
    <b v="0"/>
    <s v="Cambio en corte"/>
    <n v="3"/>
    <n v="0"/>
    <n v="0"/>
    <n v="0"/>
    <n v="0"/>
    <n v="0"/>
    <n v="1"/>
    <s v="Rural"/>
    <n v="6"/>
    <s v="Fuera SC"/>
    <m/>
    <s v="No"/>
    <s v="No"/>
    <n v="37"/>
    <n v="26.640815740341807"/>
    <n v="23.952222222222222"/>
    <s v="Medio"/>
    <n v="6.5625042296038549E-2"/>
    <s v="Bajo"/>
    <n v="38844.685659000002"/>
    <n v="4205.5074370000002"/>
    <n v="7527"/>
    <n v="5.1607128549222798"/>
    <n v="0.55872292241264787"/>
    <m/>
    <m/>
    <m/>
    <m/>
    <m/>
    <m/>
    <m/>
    <n v="76"/>
    <n v="0"/>
    <n v="7"/>
    <n v="24127.16532"/>
    <n v="18472.979948"/>
    <n v="0.7656506557231979"/>
    <s v="71% - 100%"/>
    <n v="5.3744862363747255E-4"/>
    <s v="N.D."/>
    <s v="N.D."/>
    <s v="N.D."/>
    <n v="0.89874652112885434"/>
    <s v="Aceptable"/>
    <n v="3"/>
    <s v="No es Candidato"/>
    <n v="1"/>
    <s v="Unidad Especial de Desarrollo Fronterizo"/>
  </r>
  <r>
    <n v="15442"/>
    <s v="15442"/>
    <x v="10"/>
    <x v="10"/>
    <s v="MARIPÍ"/>
    <n v="68.038499999999999"/>
    <n v="62.52"/>
    <n v="43.67"/>
    <n v="66.2"/>
    <n v="45.560457315505026"/>
    <n v="62.276116946903088"/>
    <n v="47.4398554207351"/>
    <n v="51.167999999999999"/>
    <n v="60.107124999999996"/>
    <n v="51.6111074207858"/>
    <n v="55.859116210392898"/>
    <n v="57.588863165740577"/>
    <n v="42.411136834259423"/>
    <n v="0.48170023150833485"/>
    <n v="0"/>
    <n v="26.907349210397239"/>
    <n v="4"/>
    <n v="4"/>
    <b v="1"/>
    <x v="5"/>
    <n v="56.570340830000646"/>
    <n v="0.49257712146712951"/>
    <n v="27.865255646456145"/>
    <n v="3"/>
    <n v="-1"/>
    <n v="-0.71122461960774785"/>
    <n v="-1.0876889958794655E-2"/>
    <n v="-0.9579064360589058"/>
    <n v="4"/>
    <b v="1"/>
    <s v="Efecto ponderador"/>
    <n v="0.81759069605862034"/>
    <n v="46.251384335473617"/>
    <n v="0.40793005264030224"/>
    <n v="3"/>
    <n v="-1"/>
    <n v="40.793005264030228"/>
    <n v="4"/>
    <n v="-0.33589046455028548"/>
    <b v="1"/>
    <s v="Efecto ponderador"/>
    <n v="3"/>
    <n v="-1"/>
    <n v="0"/>
    <n v="0"/>
    <n v="0"/>
    <n v="0"/>
    <n v="0"/>
    <s v="Rural disperso"/>
    <n v="6"/>
    <s v="Fuera SC"/>
    <m/>
    <s v="No"/>
    <s v="No"/>
    <n v="67"/>
    <n v="32.032125513634668"/>
    <n v="6.0233492376878353"/>
    <s v="Bajo"/>
    <n v="20.880753486588816"/>
    <s v="Alto"/>
    <n v="22705.834762999999"/>
    <n v="5208.6963139999998"/>
    <n v="5887"/>
    <n v="3.8569449232206554"/>
    <n v="0.8847793976558519"/>
    <m/>
    <m/>
    <m/>
    <m/>
    <m/>
    <m/>
    <m/>
    <n v="86"/>
    <n v="0"/>
    <n v="7"/>
    <n v="16047.834117"/>
    <n v="0"/>
    <n v="0"/>
    <n v="0"/>
    <n v="0"/>
    <s v="N.D."/>
    <s v="N.D."/>
    <s v="N.D."/>
    <n v="0.91517139183615259"/>
    <s v="Aceptable"/>
    <n v="2"/>
    <s v="Candidato"/>
    <n v="0"/>
    <n v="0"/>
  </r>
  <r>
    <n v="5113"/>
    <s v="05113"/>
    <x v="1"/>
    <x v="1"/>
    <s v="BURITICÁ"/>
    <n v="78.316266666666706"/>
    <n v="81.680000000000007"/>
    <n v="75.44"/>
    <n v="62.57"/>
    <n v="48.619765570297218"/>
    <n v="63.52111709000819"/>
    <n v="72.069263058588731"/>
    <n v="55.500500000000002"/>
    <n v="74.501566666666676"/>
    <n v="59.927661429723528"/>
    <n v="67.214614048195102"/>
    <n v="55.788837614928731"/>
    <n v="44.211162385071269"/>
    <n v="0.49790046146564138"/>
    <n v="0"/>
    <n v="33.466187351831323"/>
    <n v="3"/>
    <n v="3"/>
    <b v="1"/>
    <x v="4"/>
    <n v="69.51555191716389"/>
    <n v="0.49407003686023643"/>
    <n v="34.345551298072841"/>
    <n v="3"/>
    <n v="0"/>
    <n v="-2.3009378689687878"/>
    <n v="3.8304246054049473E-3"/>
    <n v="-0.87936394624151859"/>
    <n v="3"/>
    <b v="1"/>
    <n v="0"/>
    <n v="0.81759069605862034"/>
    <n v="56.835268478853187"/>
    <n v="0.54032328680849551"/>
    <n v="2"/>
    <n v="-1"/>
    <n v="54.032328680849552"/>
    <n v="4"/>
    <n v="-0.31969023459297896"/>
    <b v="0"/>
    <s v="Cambio en corte"/>
    <n v="2"/>
    <n v="-1"/>
    <n v="0"/>
    <n v="0"/>
    <n v="0"/>
    <n v="0"/>
    <n v="0"/>
    <s v="Rural disperso"/>
    <n v="6"/>
    <s v="Fuera SC"/>
    <m/>
    <s v="No"/>
    <s v="Si"/>
    <n v="51.3"/>
    <n v="29.139522258414768"/>
    <n v="0.25357142857142856"/>
    <s v="Sin riesgo"/>
    <n v="22.960961435312971"/>
    <s v="Muy Alto"/>
    <n v="63558.265588000002"/>
    <n v="15851.88298665"/>
    <n v="10848"/>
    <n v="5.8589846596607673"/>
    <n v="1.4612723992118364"/>
    <m/>
    <m/>
    <m/>
    <m/>
    <m/>
    <m/>
    <m/>
    <n v="90"/>
    <n v="0"/>
    <n v="7"/>
    <n v="35519.124244999999"/>
    <n v="6463.067779"/>
    <n v="0.18196022329885572"/>
    <s v="0% - 30%"/>
    <n v="1.8803500529297745E-4"/>
    <s v="N.D."/>
    <s v="N.D."/>
    <s v="N.D."/>
    <n v="0.88931618291811332"/>
    <s v="Aceptable"/>
    <n v="2"/>
    <s v="Candidato"/>
    <n v="0"/>
    <n v="0"/>
  </r>
  <r>
    <n v="66456"/>
    <s v="66456"/>
    <x v="6"/>
    <x v="6"/>
    <s v="MISTRATÓ"/>
    <n v="58.681800000000003"/>
    <n v="60.92"/>
    <n v="57.28"/>
    <n v="73.38"/>
    <n v="65.831418197256554"/>
    <n v="57.029679862254142"/>
    <n v="53.933622363712104"/>
    <n v="59.604500000000002"/>
    <n v="62.565449999999998"/>
    <n v="59.0998051058057"/>
    <n v="60.832627552902849"/>
    <n v="56.923810315839084"/>
    <n v="43.076189684160916"/>
    <n v="0.4876857071574483"/>
    <n v="0"/>
    <n v="29.667202986383099"/>
    <n v="3"/>
    <n v="3"/>
    <b v="1"/>
    <x v="4"/>
    <n v="59.320907672128399"/>
    <n v="0.49421984832089794"/>
    <n v="29.317569991977287"/>
    <n v="3"/>
    <n v="0"/>
    <n v="1.5117198807744501"/>
    <n v="-6.534141163449636E-3"/>
    <n v="0.34963299440581252"/>
    <n v="3"/>
    <b v="1"/>
    <n v="0"/>
    <n v="0.81759069605862034"/>
    <n v="48.500222194484607"/>
    <n v="0.43606064375798531"/>
    <n v="3"/>
    <n v="0"/>
    <n v="43.606064375798532"/>
    <n v="4"/>
    <n v="-0.32990498890117204"/>
    <b v="0"/>
    <n v="0"/>
    <n v="3"/>
    <n v="0"/>
    <n v="0"/>
    <n v="0"/>
    <n v="0"/>
    <n v="0"/>
    <n v="1"/>
    <s v="Rural disperso"/>
    <n v="6"/>
    <s v="Fuera SC"/>
    <m/>
    <s v="No"/>
    <s v="No"/>
    <n v="65.3"/>
    <n v="41.172036932353492"/>
    <n v="30.645524467558413"/>
    <s v="Medio"/>
    <n v="4.3029137038478034"/>
    <s v="Medio Bajo"/>
    <n v="40991.042451000001"/>
    <n v="7459.3571776499994"/>
    <n v="18387"/>
    <n v="2.2293491298743677"/>
    <n v="0.40568647292380483"/>
    <m/>
    <m/>
    <m/>
    <m/>
    <m/>
    <m/>
    <m/>
    <n v="31"/>
    <n v="0"/>
    <n v="7"/>
    <n v="56473.615899999997"/>
    <n v="34163.966464999998"/>
    <n v="0.60495447158006399"/>
    <s v="51% - 70%"/>
    <n v="9.9395857118325594E-4"/>
    <n v="19685.520851000001"/>
    <n v="0.34857907603894017"/>
    <s v="31% - 50%"/>
    <n v="0.95946309691438669"/>
    <s v="Aceptable"/>
    <n v="2"/>
    <s v="Candidato"/>
    <n v="0"/>
    <n v="0"/>
  </r>
  <r>
    <n v="25572"/>
    <s v="25572"/>
    <x v="5"/>
    <x v="5"/>
    <s v="PUERTO SALGAR"/>
    <n v="68.329666666666697"/>
    <n v="88.12"/>
    <n v="61.07"/>
    <n v="63.84"/>
    <n v="60.395593116170161"/>
    <n v="68.628799015667454"/>
    <n v="35.597240396035041"/>
    <n v="60.714199999999998"/>
    <n v="70.339916666666682"/>
    <n v="56.33395813196816"/>
    <n v="63.336937399317421"/>
    <n v="58.724584173350991"/>
    <n v="41.275415826649009"/>
    <n v="0.47147874243984111"/>
    <n v="0"/>
    <n v="29.862019595021117"/>
    <n v="3"/>
    <n v="3"/>
    <b v="1"/>
    <x v="4"/>
    <n v="63.656991906969452"/>
    <n v="0.49354491753632335"/>
    <n v="31.417584821335641"/>
    <n v="3"/>
    <n v="0"/>
    <n v="-0.32005450765203136"/>
    <n v="-2.2066175096482232E-2"/>
    <n v="-1.5555652263145241"/>
    <n v="3"/>
    <b v="1"/>
    <n v="0"/>
    <n v="0.81759069605862034"/>
    <n v="52.045364322217118"/>
    <n v="0.48040663484387669"/>
    <n v="2"/>
    <n v="-1"/>
    <n v="48.040663484387672"/>
    <n v="4"/>
    <n v="-0.34611195361877922"/>
    <b v="0"/>
    <s v="Cambio en corte"/>
    <n v="3"/>
    <n v="0"/>
    <n v="0"/>
    <n v="0"/>
    <n v="0"/>
    <n v="0"/>
    <n v="0"/>
    <s v="Rural"/>
    <n v="6"/>
    <s v="Fuera SC"/>
    <m/>
    <s v="No"/>
    <s v="No"/>
    <n v="31"/>
    <n v="13.763528691035328"/>
    <n v="6.3833333333333337"/>
    <s v="Bajo"/>
    <n v="0.54931943583280274"/>
    <s v="Medio Bajo"/>
    <n v="41398.223676000001"/>
    <n v="22374.097512599998"/>
    <n v="15771"/>
    <n v="2.6249587011603577"/>
    <n v="1.4186860384630016"/>
    <m/>
    <m/>
    <m/>
    <m/>
    <m/>
    <m/>
    <m/>
    <n v="29"/>
    <n v="0"/>
    <n v="7"/>
    <n v="51525.272193999997"/>
    <n v="15374.839913"/>
    <n v="0.29839415219606286"/>
    <s v="0% - 30%"/>
    <n v="4.4731205106856361E-4"/>
    <s v="N.D."/>
    <s v="N.D."/>
    <s v="N.D."/>
    <n v="0.96062662370881879"/>
    <s v="Aceptable"/>
    <n v="3"/>
    <s v="Candidato"/>
    <n v="0"/>
    <n v="0"/>
  </r>
  <r>
    <n v="5660"/>
    <s v="05660"/>
    <x v="1"/>
    <x v="1"/>
    <s v="SAN LUIS"/>
    <n v="57.367699999999999"/>
    <n v="50.91"/>
    <n v="49.06"/>
    <n v="54.59"/>
    <n v="48.094557786180644"/>
    <n v="47.991879361318965"/>
    <n v="62.605817993640663"/>
    <n v="61.2149"/>
    <n v="52.981924999999997"/>
    <n v="54.976788785285066"/>
    <n v="53.979356892642528"/>
    <n v="58.183027857542534"/>
    <n v="41.816972142457466"/>
    <n v="0.47635274928211724"/>
    <n v="0"/>
    <n v="25.713215060290874"/>
    <n v="4"/>
    <n v="4"/>
    <b v="1"/>
    <x v="5"/>
    <n v="52.914538760756955"/>
    <n v="0.4966085831860676"/>
    <n v="26.277814123923768"/>
    <n v="4"/>
    <n v="0"/>
    <n v="1.0648181318855734"/>
    <n v="-2.025583390395036E-2"/>
    <n v="-0.56459906363289392"/>
    <n v="4"/>
    <b v="1"/>
    <n v="0"/>
    <n v="0.81759069605862034"/>
    <n v="43.262434577028124"/>
    <n v="0.37054144181217186"/>
    <n v="3"/>
    <n v="-1"/>
    <n v="37.054144181217183"/>
    <n v="4"/>
    <n v="-0.3412379467765031"/>
    <b v="1"/>
    <s v="Efecto ponderador"/>
    <n v="3"/>
    <n v="-1"/>
    <n v="0"/>
    <n v="0"/>
    <n v="0"/>
    <n v="0"/>
    <n v="1"/>
    <s v="Rural"/>
    <n v="6"/>
    <s v="Fuera SC"/>
    <m/>
    <s v="No"/>
    <s v="Si"/>
    <n v="32.4"/>
    <n v="12.992161455987025"/>
    <n v="16.903259807120588"/>
    <s v="Medio"/>
    <n v="2.3524420187213044"/>
    <s v="Medio Bajo"/>
    <n v="31755.057088000001"/>
    <n v="7356.3237964499995"/>
    <n v="14242"/>
    <n v="2.2296768071900015"/>
    <n v="0.51652322682558627"/>
    <m/>
    <m/>
    <m/>
    <m/>
    <m/>
    <m/>
    <m/>
    <n v="84"/>
    <n v="0"/>
    <n v="7"/>
    <n v="51837.978260000004"/>
    <n v="10996.919110999999"/>
    <n v="0.21214020068150702"/>
    <s v="0% - 30%"/>
    <n v="3.199418316425689E-4"/>
    <s v="N.D."/>
    <s v="N.D."/>
    <s v="N.D."/>
    <n v="0.88932362085342609"/>
    <s v="Aceptable"/>
    <n v="2"/>
    <s v="Candidato"/>
    <n v="0"/>
    <n v="0"/>
  </r>
  <r>
    <n v="68689"/>
    <s v="68689"/>
    <x v="0"/>
    <x v="0"/>
    <s v="SAN VICENTE DE CHUCURÍ"/>
    <n v="63.134066666666698"/>
    <n v="64.7"/>
    <n v="63.84"/>
    <n v="45.65"/>
    <n v="66.323915038301152"/>
    <n v="55.736572105499071"/>
    <n v="58.615675345537994"/>
    <n v="50.1389"/>
    <n v="59.331016666666677"/>
    <n v="57.703765622334558"/>
    <n v="58.517391144500621"/>
    <n v="57.106195577188522"/>
    <n v="42.893804422811478"/>
    <n v="0.48604423980530331"/>
    <n v="0"/>
    <n v="28.442040894218394"/>
    <n v="4"/>
    <n v="4"/>
    <b v="1"/>
    <x v="4"/>
    <n v="61.815858542840708"/>
    <n v="0.49423622010232815"/>
    <n v="30.551636268593803"/>
    <n v="3"/>
    <n v="0"/>
    <n v="-3.2984673983400867"/>
    <n v="-8.1919802970248368E-3"/>
    <n v="-2.1095953743754094"/>
    <n v="3"/>
    <b v="1"/>
    <n v="0"/>
    <n v="0.81759069605862034"/>
    <n v="50.540070813502346"/>
    <n v="0.46157699977877664"/>
    <n v="3"/>
    <n v="0"/>
    <n v="46.157699977877662"/>
    <n v="4"/>
    <n v="-0.33154645625331702"/>
    <b v="0"/>
    <n v="0"/>
    <n v="3"/>
    <n v="0"/>
    <n v="0"/>
    <n v="0"/>
    <n v="0"/>
    <n v="0"/>
    <n v="0"/>
    <s v="Rural"/>
    <n v="6"/>
    <s v="Fuera SC"/>
    <m/>
    <s v="No"/>
    <s v="No"/>
    <n v="34.9"/>
    <n v="22.176634214186372"/>
    <n v="29.692802891232621"/>
    <s v="Medio"/>
    <n v="1.6724097913896345"/>
    <s v="Medio Bajo"/>
    <n v="60579.349762999998"/>
    <n v="17833.0621775"/>
    <n v="35766"/>
    <n v="1.6937692155398982"/>
    <n v="0.49860376272157914"/>
    <m/>
    <m/>
    <m/>
    <m/>
    <m/>
    <m/>
    <m/>
    <n v="95"/>
    <n v="0"/>
    <n v="6"/>
    <n v="111468.35960700001"/>
    <n v="85829.785938000001"/>
    <n v="0.7699923659108916"/>
    <s v="71% - 100%"/>
    <n v="2.4971120224959275E-3"/>
    <s v="N.D."/>
    <s v="N.D."/>
    <s v="N.D."/>
    <n v="0.96024223986344093"/>
    <s v="Aceptable"/>
    <n v="1"/>
    <s v="Candidato"/>
    <n v="0"/>
    <n v="0"/>
  </r>
  <r>
    <n v="86757"/>
    <s v="86757"/>
    <x v="22"/>
    <x v="22"/>
    <s v="SAN MIGUEL"/>
    <n v="46.623633333333302"/>
    <n v="48.65"/>
    <n v="51.21"/>
    <n v="46.37"/>
    <n v="54.882885386138533"/>
    <n v="62.931213170237612"/>
    <n v="63.671317374275276"/>
    <n v="59.328400000000002"/>
    <n v="48.213408333333327"/>
    <n v="60.20345398266285"/>
    <n v="54.208431157998092"/>
    <n v="57.619451725796026"/>
    <n v="42.380548274203974"/>
    <n v="0.48142493446783574"/>
    <n v="0"/>
    <n v="26.097290417843418"/>
    <n v="4"/>
    <n v="4"/>
    <b v="1"/>
    <x v="5"/>
    <n v="52.888553540303171"/>
    <n v="0.49292207452434378"/>
    <n v="26.069935529678066"/>
    <n v="4"/>
    <n v="0"/>
    <n v="1.319877617694921"/>
    <n v="-1.1497140056508037E-2"/>
    <n v="2.7354888165351809E-2"/>
    <n v="4"/>
    <b v="1"/>
    <n v="0"/>
    <n v="0.81759069605862034"/>
    <n v="43.241189302550076"/>
    <n v="0.37027568582308168"/>
    <n v="3"/>
    <n v="-1"/>
    <n v="37.02756858230817"/>
    <n v="4"/>
    <n v="-0.3361657615907846"/>
    <b v="1"/>
    <s v="Efecto ponderador"/>
    <n v="3"/>
    <n v="-1"/>
    <n v="0"/>
    <n v="0"/>
    <n v="0"/>
    <n v="1"/>
    <n v="1"/>
    <s v="Rural"/>
    <n v="6"/>
    <s v="Fuera SC"/>
    <m/>
    <s v="No"/>
    <s v="No"/>
    <n v="48.5"/>
    <n v="23.023807811263755"/>
    <n v="0"/>
    <s v="Sin riesgo"/>
    <n v="21.923750109102173"/>
    <s v="Alto"/>
    <n v="71665.570141000004"/>
    <n v="8551.1571475000001"/>
    <n v="19566"/>
    <n v="3.662760407901462"/>
    <n v="0.43704166142798734"/>
    <m/>
    <m/>
    <m/>
    <m/>
    <m/>
    <m/>
    <m/>
    <n v="11"/>
    <n v="0"/>
    <n v="7"/>
    <n v="37364.269954000003"/>
    <n v="1885.5675369999999"/>
    <n v="5.0464455462969425E-2"/>
    <s v="0% - 30%"/>
    <n v="5.4858267609707739E-5"/>
    <n v="8096.8764030000002"/>
    <n v="0.21670104656047737"/>
    <s v="0% - 30%"/>
    <n v="0.97773557047864168"/>
    <s v="Aceptable"/>
    <n v="1"/>
    <s v="Candidato"/>
    <n v="1"/>
    <s v="Zona de Fronteras"/>
  </r>
  <r>
    <n v="5628"/>
    <s v="05628"/>
    <x v="1"/>
    <x v="1"/>
    <s v="SABANALARGA"/>
    <n v="61.9217333333333"/>
    <n v="59.74"/>
    <n v="28.18"/>
    <n v="59.48"/>
    <n v="55.65555811473272"/>
    <n v="40.270135941345885"/>
    <n v="47.407903874876219"/>
    <n v="40.014200000000002"/>
    <n v="52.330433333333325"/>
    <n v="45.836949482738703"/>
    <n v="49.083691408036017"/>
    <n v="56.753784967639994"/>
    <n v="43.246215032360006"/>
    <n v="0.48921593529124008"/>
    <n v="0"/>
    <n v="24.012523999728945"/>
    <n v="4"/>
    <n v="4"/>
    <b v="1"/>
    <x v="5"/>
    <n v="51.303577873292603"/>
    <n v="0.49206732111855411"/>
    <n v="25.244814127908217"/>
    <n v="4"/>
    <n v="0"/>
    <n v="-2.219886465256586"/>
    <n v="-2.8513858273140347E-3"/>
    <n v="-1.2322901281792724"/>
    <n v="4"/>
    <b v="1"/>
    <n v="0"/>
    <n v="0.81759069605862034"/>
    <n v="41.94532794372293"/>
    <n v="0.35406582619078097"/>
    <n v="3"/>
    <n v="-1"/>
    <n v="35.406582619078094"/>
    <n v="4"/>
    <n v="-0.32837476076738026"/>
    <b v="1"/>
    <s v="Efecto ponderador"/>
    <n v="3"/>
    <n v="-1"/>
    <n v="0"/>
    <n v="0"/>
    <n v="0"/>
    <n v="0"/>
    <n v="0"/>
    <s v="Rural"/>
    <n v="6"/>
    <s v="Fuera SC"/>
    <m/>
    <s v="No"/>
    <s v="Si"/>
    <n v="52.8"/>
    <n v="27.569435556124407"/>
    <n v="3.133142857142857"/>
    <s v="Sin riesgo"/>
    <n v="10.559214619976508"/>
    <s v="Medio"/>
    <n v="34748.044213000001"/>
    <n v="5857.2693146499996"/>
    <n v="9827"/>
    <n v="3.5359768202910349"/>
    <n v="0.59603839571079675"/>
    <m/>
    <m/>
    <m/>
    <m/>
    <m/>
    <m/>
    <m/>
    <n v="99"/>
    <n v="0"/>
    <n v="7"/>
    <n v="26572.701215000001"/>
    <n v="12491.964822"/>
    <n v="0.47010519257817951"/>
    <s v="31% - 50%"/>
    <n v="3.6343834719738873E-4"/>
    <s v="N.D."/>
    <s v="N.D."/>
    <s v="N.D."/>
    <n v="0.93583448546957237"/>
    <s v="Aceptable"/>
    <n v="1"/>
    <s v="Candidato"/>
    <n v="0"/>
    <n v="0"/>
  </r>
  <r>
    <n v="25297"/>
    <s v="25297"/>
    <x v="5"/>
    <x v="5"/>
    <s v="GACHETÁ"/>
    <n v="67.554566666666702"/>
    <n v="84.67"/>
    <n v="79.61"/>
    <n v="90.97"/>
    <n v="53.12298988540627"/>
    <n v="51.250639318805248"/>
    <n v="54.444512968839476"/>
    <n v="55.955399999999997"/>
    <n v="80.701141666666672"/>
    <n v="53.69338554326275"/>
    <n v="67.197263604964718"/>
    <n v="58.152418304658141"/>
    <n v="41.847581695341859"/>
    <n v="0.47662823525807674"/>
    <n v="0"/>
    <n v="32.028113166206118"/>
    <n v="3"/>
    <n v="3"/>
    <b v="1"/>
    <x v="4"/>
    <n v="64.201244514041292"/>
    <n v="0.49168659648669577"/>
    <n v="31.566891405319112"/>
    <n v="3"/>
    <n v="0"/>
    <n v="2.9960190909234257"/>
    <n v="-1.5058361228619033E-2"/>
    <n v="0.46122176088700684"/>
    <n v="3"/>
    <b v="1"/>
    <n v="0"/>
    <n v="0.81759069605862034"/>
    <n v="52.4903401900647"/>
    <n v="0.48597281390187314"/>
    <n v="2"/>
    <n v="-1"/>
    <n v="48.597281390187312"/>
    <n v="4"/>
    <n v="-0.3409624608005436"/>
    <b v="0"/>
    <s v="Cambio en corte"/>
    <n v="3"/>
    <n v="0"/>
    <n v="0"/>
    <n v="0"/>
    <n v="0"/>
    <n v="0"/>
    <n v="0"/>
    <s v="Rural"/>
    <n v="6"/>
    <s v="Fuera SC"/>
    <m/>
    <s v="No"/>
    <s v="No"/>
    <n v="43.2"/>
    <n v="15.995040297582145"/>
    <n v="5.0424999999999995"/>
    <s v="Bajo"/>
    <n v="0"/>
    <s v="Bajo"/>
    <n v="27281.867985000001"/>
    <n v="6701.0494532000002"/>
    <n v="8619"/>
    <n v="3.1653170884093282"/>
    <n v="0.77747412149901385"/>
    <m/>
    <m/>
    <m/>
    <m/>
    <m/>
    <m/>
    <m/>
    <n v="87"/>
    <n v="0"/>
    <n v="6"/>
    <n v="25850.579107000001"/>
    <n v="14090.429122"/>
    <n v="0.54507208769588045"/>
    <s v="51% - 70%"/>
    <n v="4.0994369935967734E-4"/>
    <s v="N.D."/>
    <s v="N.D."/>
    <s v="N.D."/>
    <n v="0.97611280296536607"/>
    <s v="Aceptable"/>
    <n v="2"/>
    <s v="Candidato"/>
    <n v="0"/>
    <n v="0"/>
  </r>
  <r>
    <n v="76246"/>
    <s v="76246"/>
    <x v="3"/>
    <x v="3"/>
    <s v="EL CAIRO"/>
    <n v="75.612533333333303"/>
    <n v="75.98"/>
    <n v="31.77"/>
    <n v="65.5"/>
    <n v="42.648265408900983"/>
    <n v="45.580078972286842"/>
    <n v="49.700514507035535"/>
    <n v="53.601999999999997"/>
    <n v="62.215633333333329"/>
    <n v="47.882714722055844"/>
    <n v="55.04917402769459"/>
    <n v="57.473034053331261"/>
    <n v="42.526965946668739"/>
    <n v="0.48274269352001864"/>
    <n v="0"/>
    <n v="26.574586546181539"/>
    <n v="4"/>
    <n v="4"/>
    <b v="1"/>
    <x v="5"/>
    <n v="54.596213270121829"/>
    <n v="0.49272896176606107"/>
    <n v="26.901135480945573"/>
    <n v="4"/>
    <n v="0"/>
    <n v="0.452960757572761"/>
    <n v="-9.986268246042429E-3"/>
    <n v="-0.32654893476403402"/>
    <n v="4"/>
    <b v="1"/>
    <n v="0"/>
    <n v="0.81759069605862034"/>
    <n v="44.637356009683792"/>
    <n v="0.3877402596308942"/>
    <n v="3"/>
    <n v="-1"/>
    <n v="38.774025963089422"/>
    <n v="4"/>
    <n v="-0.3348480025386017"/>
    <b v="1"/>
    <s v="Efecto ponderador"/>
    <n v="3"/>
    <n v="-1"/>
    <n v="0"/>
    <n v="0"/>
    <n v="0"/>
    <n v="0"/>
    <n v="1"/>
    <s v="Rural"/>
    <n v="6"/>
    <s v="Fuera SC"/>
    <m/>
    <s v="No"/>
    <s v="No"/>
    <n v="35.799999999999997"/>
    <n v="12.299724874575174"/>
    <n v="30.746305555555555"/>
    <s v="Medio"/>
    <n v="9.8258085272893236"/>
    <s v="Medio"/>
    <n v="15993.825036"/>
    <n v="3313.4725122499999"/>
    <n v="7034"/>
    <n v="2.2737880346886552"/>
    <n v="0.47106518513647994"/>
    <m/>
    <m/>
    <m/>
    <m/>
    <m/>
    <m/>
    <m/>
    <n v="91"/>
    <n v="0"/>
    <n v="7"/>
    <n v="21423.703658999999"/>
    <n v="21417.438235000001"/>
    <n v="0.99970754711231424"/>
    <s v="71% - 100%"/>
    <n v="6.2311401482831991E-4"/>
    <n v="112.511236"/>
    <n v="5.2517173403271262E-3"/>
    <s v="0% - 30%"/>
    <n v="0.94401480778472702"/>
    <s v="Aceptable"/>
    <n v="2"/>
    <s v="Candidato"/>
    <n v="0"/>
    <n v="0"/>
  </r>
  <r>
    <n v="5483"/>
    <s v="05483"/>
    <x v="1"/>
    <x v="1"/>
    <s v="NARIÑO"/>
    <n v="54.521366666666701"/>
    <n v="67"/>
    <n v="67.650000000000006"/>
    <n v="66.36"/>
    <n v="53.028533083564469"/>
    <n v="50.703439112300025"/>
    <n v="55.174594623404296"/>
    <n v="49.754800000000003"/>
    <n v="63.882841666666678"/>
    <n v="52.165341704817195"/>
    <n v="58.024091685741936"/>
    <n v="57.109600964174255"/>
    <n v="42.890399035825745"/>
    <n v="0.48601359132243172"/>
    <n v="0"/>
    <n v="28.200497183409489"/>
    <n v="4"/>
    <n v="4"/>
    <b v="1"/>
    <x v="5"/>
    <n v="54.371137213675901"/>
    <n v="0.49269207731762621"/>
    <n v="26.788228539927669"/>
    <n v="4"/>
    <n v="0"/>
    <n v="3.6529544720660354"/>
    <n v="-6.6784859951944942E-3"/>
    <n v="1.4122686434818199"/>
    <n v="3"/>
    <b v="0"/>
    <n v="0"/>
    <n v="0.81759069605862034"/>
    <n v="44.453335920028032"/>
    <n v="0.38543836228475908"/>
    <n v="3"/>
    <n v="-1"/>
    <n v="38.543836228475911"/>
    <n v="4"/>
    <n v="-0.33157710473618862"/>
    <b v="1"/>
    <s v="Efecto ponderador"/>
    <n v="4"/>
    <n v="0"/>
    <n v="0"/>
    <n v="0"/>
    <n v="0"/>
    <n v="0"/>
    <n v="1"/>
    <s v="Rural"/>
    <n v="6"/>
    <s v="Fuera SC"/>
    <m/>
    <s v="No"/>
    <s v="Si"/>
    <n v="51.8"/>
    <n v="15.641353645772764"/>
    <n v="41.054321422617818"/>
    <s v="Alto"/>
    <n v="18.778597953194666"/>
    <s v="Alto"/>
    <n v="24553.860471"/>
    <n v="4475.2253970000002"/>
    <n v="10906"/>
    <n v="2.2514084422336329"/>
    <n v="0.41034525921511095"/>
    <m/>
    <m/>
    <m/>
    <m/>
    <m/>
    <m/>
    <m/>
    <n v="13"/>
    <n v="0"/>
    <n v="7"/>
    <n v="31662.008293999999"/>
    <n v="14281.865186000001"/>
    <n v="0.45107262474902571"/>
    <s v="31% - 50%"/>
    <n v="4.1551329611131109E-4"/>
    <s v="N.D."/>
    <s v="N.D."/>
    <s v="N.D."/>
    <n v="0.97694266753914016"/>
    <s v="Aceptable"/>
    <n v="2"/>
    <s v="Candidato"/>
    <n v="0"/>
    <n v="0"/>
  </r>
  <r>
    <n v="15676"/>
    <s v="15676"/>
    <x v="10"/>
    <x v="10"/>
    <s v="SAN MIGUEL DE SEMA"/>
    <n v="59.181766666666697"/>
    <n v="70.459999999999994"/>
    <n v="70.09"/>
    <n v="65.59"/>
    <n v="56.330743537861011"/>
    <n v="52.137142477343851"/>
    <n v="59.322721508410353"/>
    <n v="55.523699999999998"/>
    <n v="66.330441666666673"/>
    <n v="55.828576880903803"/>
    <n v="61.079509273785234"/>
    <n v="57.836104169752169"/>
    <n v="42.163895830247831"/>
    <n v="0.47947506247223048"/>
    <n v="0"/>
    <n v="29.286101524821355"/>
    <n v="4"/>
    <n v="4"/>
    <b v="1"/>
    <x v="4"/>
    <n v="60.324521906078658"/>
    <n v="0.49038058555327135"/>
    <n v="29.581974375523998"/>
    <n v="3"/>
    <n v="0"/>
    <n v="0.75498736770657615"/>
    <n v="-1.0905523081040869E-2"/>
    <n v="-0.29587285070264358"/>
    <n v="3"/>
    <b v="1"/>
    <n v="0"/>
    <n v="0.81759069605862034"/>
    <n v="49.320767854594344"/>
    <n v="0.44632480502930427"/>
    <n v="3"/>
    <n v="0"/>
    <n v="44.632480502930427"/>
    <n v="4"/>
    <n v="-0.33811563358638985"/>
    <b v="0"/>
    <n v="0"/>
    <n v="3"/>
    <n v="0"/>
    <n v="0"/>
    <n v="0"/>
    <n v="0"/>
    <n v="0"/>
    <n v="0"/>
    <s v="Rural disperso"/>
    <n v="6"/>
    <s v="Fuera SC"/>
    <m/>
    <s v="No"/>
    <s v="No"/>
    <n v="35.6"/>
    <n v="8.8934850051706302"/>
    <n v="19.348830663560602"/>
    <s v="Medio"/>
    <n v="0"/>
    <s v="Bajo"/>
    <n v="8955.3124069999994"/>
    <n v="2858.2493650000001"/>
    <n v="3081"/>
    <n v="2.9066252538136967"/>
    <n v="0.92770183868873746"/>
    <m/>
    <m/>
    <m/>
    <m/>
    <m/>
    <m/>
    <m/>
    <n v="86"/>
    <n v="0"/>
    <n v="7"/>
    <n v="9386.0575320000007"/>
    <n v="2189.089645"/>
    <n v="0.23322781024266151"/>
    <s v="0% - 30%"/>
    <n v="6.3688869908163953E-5"/>
    <s v="N.D."/>
    <s v="N.D."/>
    <s v="N.D."/>
    <n v="0.86910622570949747"/>
    <s v="Aceptable"/>
    <n v="2"/>
    <s v="Candidato"/>
    <n v="0"/>
    <n v="0"/>
  </r>
  <r>
    <n v="52227"/>
    <s v="52227"/>
    <x v="18"/>
    <x v="18"/>
    <s v="CUMBAL"/>
    <n v="58.995266666666701"/>
    <n v="35.46"/>
    <n v="39.090000000000003"/>
    <n v="39.299999999999997"/>
    <n v="55.393886880584475"/>
    <n v="51.273422019669084"/>
    <n v="58.685577321890165"/>
    <n v="56.3125"/>
    <n v="43.211316666666676"/>
    <n v="55.416346555535931"/>
    <n v="49.313831611101307"/>
    <n v="57.010012535142785"/>
    <n v="42.989987464857215"/>
    <n v="0.48690988718371497"/>
    <n v="0"/>
    <n v="24.011392186358055"/>
    <n v="4"/>
    <n v="4"/>
    <b v="1"/>
    <x v="5"/>
    <n v="51.601236434679478"/>
    <n v="0.49198916586534336"/>
    <n v="25.387249271118321"/>
    <n v="4"/>
    <n v="0"/>
    <n v="-2.2874048235781714"/>
    <n v="-5.0792786816283853E-3"/>
    <n v="-1.3758570847602662"/>
    <n v="4"/>
    <b v="1"/>
    <n v="0"/>
    <n v="0.81759069605862034"/>
    <n v="42.188690814115034"/>
    <n v="0.35711003917074069"/>
    <n v="3"/>
    <n v="-1"/>
    <n v="35.711003917074066"/>
    <n v="4"/>
    <n v="-0.33068080887490536"/>
    <b v="1"/>
    <s v="Efecto ponderador"/>
    <n v="3"/>
    <n v="-1"/>
    <n v="0"/>
    <n v="0"/>
    <n v="0"/>
    <n v="0"/>
    <n v="0"/>
    <s v="Rural disperso"/>
    <n v="6"/>
    <s v="Fuera SC"/>
    <m/>
    <s v="No"/>
    <s v="Si"/>
    <n v="28.6"/>
    <n v="15.392384916748286"/>
    <n v="43.559960743541502"/>
    <s v="Alto"/>
    <n v="0.22005134133837359"/>
    <s v="Medio Bajo"/>
    <n v="66761.422477"/>
    <n v="5050.1926999999996"/>
    <n v="40406"/>
    <n v="1.6522650714497846"/>
    <n v="0.12498620749393653"/>
    <m/>
    <m/>
    <m/>
    <m/>
    <m/>
    <m/>
    <m/>
    <n v="28"/>
    <n v="0"/>
    <n v="7"/>
    <n v="91761.720776999995"/>
    <n v="79070.375532999999"/>
    <n v="0.86169237960518852"/>
    <s v="71% - 100%"/>
    <n v="2.3004552931001174E-3"/>
    <n v="8172.8888639999996"/>
    <n v="8.9066429822755977E-2"/>
    <s v="0% - 30%"/>
    <n v="0.94260130306127654"/>
    <s v="Aceptable"/>
    <n v="1"/>
    <s v="Candidato"/>
    <n v="1"/>
    <s v="Unidad Especial de Desarrollo Fronterizo"/>
  </r>
  <r>
    <n v="15248"/>
    <s v="15248"/>
    <x v="10"/>
    <x v="10"/>
    <s v="EL ESPINO"/>
    <n v="53.080566666666698"/>
    <n v="51.87"/>
    <n v="67.44"/>
    <n v="67.23"/>
    <n v="43.373529232002781"/>
    <n v="54.017343719217791"/>
    <n v="48.613344512779562"/>
    <n v="47.642200000000003"/>
    <n v="59.90514166666668"/>
    <n v="48.411604366000034"/>
    <n v="54.158373016333357"/>
    <n v="57.656812210797604"/>
    <n v="42.343187789202396"/>
    <n v="0.48108869010282163"/>
    <n v="0"/>
    <n v="26.054980732527817"/>
    <n v="4"/>
    <n v="4"/>
    <b v="1"/>
    <x v="5"/>
    <n v="51.309623231525521"/>
    <n v="0.49224154213801574"/>
    <n v="25.25672806600668"/>
    <n v="4"/>
    <n v="0"/>
    <n v="2.8487497848078362"/>
    <n v="-1.1152852035194116E-2"/>
    <n v="0.79825266652113669"/>
    <n v="4"/>
    <b v="1"/>
    <n v="0"/>
    <n v="0.81759069605862034"/>
    <n v="41.95027057236851"/>
    <n v="0.35412765326511553"/>
    <n v="3"/>
    <n v="-1"/>
    <n v="35.412765326511554"/>
    <n v="4"/>
    <n v="-0.33650200595579871"/>
    <b v="1"/>
    <s v="Efecto ponderador"/>
    <n v="3"/>
    <n v="-1"/>
    <n v="0"/>
    <n v="0"/>
    <n v="0"/>
    <n v="0"/>
    <n v="0"/>
    <s v="Rural"/>
    <n v="6"/>
    <s v="Fuera SC"/>
    <m/>
    <s v="No"/>
    <s v="No"/>
    <n v="31.3"/>
    <n v="13.130535232961108"/>
    <n v="25.076822660098518"/>
    <s v="Medio"/>
    <n v="0"/>
    <s v="Bajo"/>
    <n v="10447.88126"/>
    <n v="2623.1407611"/>
    <n v="3128"/>
    <n v="3.3401154923273659"/>
    <n v="0.83859998756393861"/>
    <m/>
    <m/>
    <m/>
    <m/>
    <m/>
    <m/>
    <m/>
    <n v="44"/>
    <n v="0"/>
    <n v="7"/>
    <n v="6924.1843040000003"/>
    <n v="5295.6830129999998"/>
    <n v="0.76480965562120595"/>
    <s v="71% - 100%"/>
    <n v="1.5407138180027831E-4"/>
    <s v="N.D."/>
    <s v="N.D."/>
    <s v="N.D."/>
    <n v="0.98629790610207468"/>
    <s v="Aceptable"/>
    <n v="2"/>
    <s v="Candidato"/>
    <n v="0"/>
    <n v="0"/>
  </r>
  <r>
    <n v="17541"/>
    <s v="17541"/>
    <x v="11"/>
    <x v="11"/>
    <s v="PENSILVANIA"/>
    <n v="61.202800000000003"/>
    <n v="70.790000000000006"/>
    <n v="54.62"/>
    <n v="65.55"/>
    <n v="54.802955750936967"/>
    <n v="57.465551236442359"/>
    <n v="63.105461642389798"/>
    <n v="56.5548"/>
    <n v="63.040700000000001"/>
    <n v="57.982192157442284"/>
    <n v="60.511446078721143"/>
    <n v="57.460710803598445"/>
    <n v="42.539289196401555"/>
    <n v="0.48285360276761402"/>
    <n v="0"/>
    <n v="29.218169747788714"/>
    <n v="4"/>
    <n v="4"/>
    <b v="1"/>
    <x v="4"/>
    <n v="59.445959817956734"/>
    <n v="0.49379212548255469"/>
    <n v="29.353946849859394"/>
    <n v="3"/>
    <n v="0"/>
    <n v="1.0654862607644091"/>
    <n v="-1.0938522714940668E-2"/>
    <n v="-0.13577710207067994"/>
    <n v="3"/>
    <b v="1"/>
    <n v="0"/>
    <n v="0.81759069605862034"/>
    <n v="48.602463665436019"/>
    <n v="0.43733957678691854"/>
    <n v="3"/>
    <n v="0"/>
    <n v="43.733957678691851"/>
    <n v="4"/>
    <n v="-0.33473709329100632"/>
    <b v="0"/>
    <n v="0"/>
    <n v="3"/>
    <n v="0"/>
    <n v="0"/>
    <n v="0"/>
    <n v="0"/>
    <n v="0"/>
    <n v="1"/>
    <s v="Rural"/>
    <n v="6"/>
    <s v="Fuera SC"/>
    <m/>
    <s v="No"/>
    <s v="Si"/>
    <n v="37.299999999999997"/>
    <n v="10.703220903723622"/>
    <n v="36.145522561605446"/>
    <s v="Alto"/>
    <n v="1.5257763540491684"/>
    <s v="Medio Bajo"/>
    <n v="36818.526593000002"/>
    <n v="7376.74789375"/>
    <n v="20493"/>
    <n v="1.796639174010638"/>
    <n v="0.35996427530132241"/>
    <m/>
    <m/>
    <m/>
    <m/>
    <m/>
    <m/>
    <m/>
    <n v="13"/>
    <n v="0"/>
    <n v="6"/>
    <n v="49894.378850000001"/>
    <n v="18526.730341999999"/>
    <n v="0.37131898961399734"/>
    <s v="31% - 50%"/>
    <n v="5.3901242521992368E-4"/>
    <s v="N.D."/>
    <s v="N.D."/>
    <s v="N.D."/>
    <n v="0.91015757945086728"/>
    <s v="Aceptable"/>
    <n v="2"/>
    <s v="Candidato"/>
    <n v="0"/>
    <n v="0"/>
  </r>
  <r>
    <n v="73152"/>
    <s v="73152"/>
    <x v="15"/>
    <x v="15"/>
    <s v="CASABIANCA"/>
    <n v="55.659333333333301"/>
    <n v="45.09"/>
    <n v="45.65"/>
    <n v="49.17"/>
    <n v="45.397619821478692"/>
    <n v="42.908674490655386"/>
    <n v="42.050164105067893"/>
    <n v="54.486800000000002"/>
    <n v="48.892333333333326"/>
    <n v="46.210814604300495"/>
    <n v="47.551573968816911"/>
    <n v="57.442623049945041"/>
    <n v="42.557376950054959"/>
    <n v="0.48301639255049467"/>
    <n v="0"/>
    <n v="22.968189718515951"/>
    <n v="4"/>
    <n v="4"/>
    <b v="1"/>
    <x v="5"/>
    <n v="47.460592374047259"/>
    <n v="0.49259786623869473"/>
    <n v="23.378986533880148"/>
    <n v="4"/>
    <n v="0"/>
    <n v="9.0981594769651508E-2"/>
    <n v="-9.5814736882000595E-3"/>
    <n v="-0.41079681536419699"/>
    <n v="4"/>
    <b v="1"/>
    <n v="0"/>
    <n v="0.81759069605862034"/>
    <n v="38.803338754451744"/>
    <n v="0.31476285340178706"/>
    <n v="4"/>
    <n v="0"/>
    <n v="31.476285340178705"/>
    <n v="4"/>
    <n v="-0.33457430350812567"/>
    <b v="1"/>
    <n v="0"/>
    <n v="3"/>
    <n v="-1"/>
    <n v="0"/>
    <n v="0"/>
    <n v="0"/>
    <n v="0"/>
    <n v="1"/>
    <s v="Rural disperso"/>
    <n v="6"/>
    <s v="Fuera SC"/>
    <m/>
    <s v="No"/>
    <s v="No"/>
    <n v="43.8"/>
    <n v="14.901746724890829"/>
    <n v="53.336502399696151"/>
    <s v="Alto"/>
    <n v="7.0103578409533753"/>
    <s v="Medio"/>
    <n v="18490.641060999998"/>
    <n v="3348.1207410000002"/>
    <n v="6590"/>
    <n v="2.8058635904400604"/>
    <n v="0.50806081047040974"/>
    <m/>
    <m/>
    <m/>
    <m/>
    <m/>
    <m/>
    <m/>
    <n v="89"/>
    <n v="0"/>
    <n v="7"/>
    <n v="17483.995692"/>
    <n v="10611.660323"/>
    <n v="0.6069356518919462"/>
    <s v="51% - 70%"/>
    <n v="3.0873320120299236E-4"/>
    <s v="N.D."/>
    <s v="N.D."/>
    <s v="N.D."/>
    <n v="0.93671799846225778"/>
    <s v="Aceptable"/>
    <n v="1"/>
    <s v="Candidato"/>
    <n v="0"/>
    <n v="0"/>
  </r>
  <r>
    <n v="20750"/>
    <s v="20750"/>
    <x v="20"/>
    <x v="20"/>
    <s v="SAN DIEGO"/>
    <n v="72.256733333333301"/>
    <n v="57.77"/>
    <n v="55.35"/>
    <n v="52.17"/>
    <n v="39.820261552394726"/>
    <n v="61.138433359805759"/>
    <n v="55.467883317187429"/>
    <n v="59.343499999999999"/>
    <n v="59.386683333333323"/>
    <n v="53.942519557346984"/>
    <n v="56.664601445340153"/>
    <n v="56.627834258330012"/>
    <n v="43.372165741669988"/>
    <n v="0.49034949167502995"/>
    <n v="0"/>
    <n v="27.78545851469071"/>
    <n v="4"/>
    <n v="4"/>
    <b v="1"/>
    <x v="5"/>
    <n v="58.223730473100026"/>
    <n v="0.49294409785711979"/>
    <n v="28.701044291938388"/>
    <n v="3"/>
    <n v="-1"/>
    <n v="-1.5591290277598731"/>
    <n v="-2.5946061820898425E-3"/>
    <n v="-0.91558577724767787"/>
    <n v="3"/>
    <b v="0"/>
    <s v="Cambio en corte"/>
    <n v="0.81759069605862034"/>
    <n v="47.603180324631353"/>
    <n v="0.4248395955373806"/>
    <n v="3"/>
    <n v="-1"/>
    <n v="42.48395955373806"/>
    <n v="4"/>
    <n v="-0.32724120438359039"/>
    <b v="1"/>
    <s v="Efecto ponderador"/>
    <n v="3"/>
    <n v="-1"/>
    <n v="0"/>
    <n v="0"/>
    <n v="0"/>
    <n v="1"/>
    <n v="1"/>
    <s v="Rural"/>
    <n v="6"/>
    <s v="Fuera SC"/>
    <m/>
    <s v="No"/>
    <s v="Si"/>
    <n v="40.700000000000003"/>
    <n v="22.520237452779277"/>
    <n v="13.912608695652175"/>
    <s v="Bajo"/>
    <n v="2.2455372009819516"/>
    <s v="Medio Bajo"/>
    <n v="49084.436355999998"/>
    <n v="6547.5018810000001"/>
    <n v="23324"/>
    <n v="2.1044604851654949"/>
    <n v="0.28071951127593897"/>
    <m/>
    <m/>
    <m/>
    <m/>
    <m/>
    <m/>
    <m/>
    <n v="47"/>
    <n v="0"/>
    <n v="7"/>
    <n v="64488.180290999997"/>
    <n v="14979.326015000001"/>
    <n v="0.2322801782808333"/>
    <s v="0% - 30%"/>
    <n v="4.3580506082075549E-4"/>
    <s v="N.D."/>
    <s v="N.D."/>
    <s v="N.D."/>
    <n v="0.88409645947859339"/>
    <s v="Aceptable"/>
    <n v="1"/>
    <s v="Candidato"/>
    <n v="1"/>
    <s v="Zona de Fronteras"/>
  </r>
  <r>
    <n v="20032"/>
    <s v="20032"/>
    <x v="20"/>
    <x v="20"/>
    <s v="ASTREA"/>
    <n v="47.772033333333297"/>
    <n v="79.22"/>
    <n v="37.08"/>
    <n v="39.770000000000003"/>
    <n v="40.503399406040117"/>
    <n v="55.644593651951219"/>
    <n v="47.049379496357261"/>
    <n v="51.996899999999997"/>
    <n v="50.96050833333333"/>
    <n v="48.798568138587143"/>
    <n v="49.87953823596024"/>
    <n v="57.616768796213904"/>
    <n v="42.383231203786096"/>
    <n v="0.48144908083407489"/>
    <n v="0"/>
    <n v="24.01445783613115"/>
    <n v="4"/>
    <n v="4"/>
    <b v="1"/>
    <x v="5"/>
    <n v="49.710885237021415"/>
    <n v="0.49133100913083627"/>
    <n v="24.424499408292924"/>
    <n v="4"/>
    <n v="0"/>
    <n v="0.16865299893882479"/>
    <n v="-9.8819282967613775E-3"/>
    <n v="-0.41004157216177362"/>
    <n v="4"/>
    <b v="1"/>
    <n v="0"/>
    <n v="0.81759069605862034"/>
    <n v="40.643157262626531"/>
    <n v="0.33777704358754457"/>
    <n v="4"/>
    <n v="0"/>
    <n v="33.777704358754455"/>
    <n v="4"/>
    <n v="-0.33614161522454544"/>
    <b v="1"/>
    <n v="0"/>
    <n v="4"/>
    <n v="0"/>
    <n v="0"/>
    <n v="0"/>
    <n v="0"/>
    <n v="0"/>
    <n v="0"/>
    <s v="Rural"/>
    <n v="6"/>
    <s v="Fuera SC"/>
    <m/>
    <s v="No"/>
    <s v="Si"/>
    <n v="52.8"/>
    <n v="37.750895085168708"/>
    <n v="59.343210872675243"/>
    <s v="Alto"/>
    <n v="4.793646973436517"/>
    <s v="Medio Bajo"/>
    <n v="42553.708958000003"/>
    <n v="7504.9737930000001"/>
    <n v="22144"/>
    <n v="1.9216812210079481"/>
    <n v="0.33891680784862716"/>
    <m/>
    <m/>
    <m/>
    <m/>
    <m/>
    <m/>
    <m/>
    <n v="47"/>
    <n v="0"/>
    <n v="7"/>
    <n v="63704.714943999999"/>
    <n v="1787.9531959999999"/>
    <n v="2.8066261619280622E-2"/>
    <s v="0% - 30%"/>
    <n v="5.2018298456630797E-5"/>
    <s v="N.D."/>
    <s v="N.D."/>
    <s v="N.D."/>
    <n v="0.87448000430452821"/>
    <s v="Aceptable"/>
    <n v="1"/>
    <s v="Candidato"/>
    <n v="0"/>
    <n v="0"/>
  </r>
  <r>
    <n v="73055"/>
    <s v="73055"/>
    <x v="15"/>
    <x v="15"/>
    <s v="ARMERO"/>
    <n v="55.821033333333297"/>
    <n v="44.02"/>
    <n v="50.32"/>
    <n v="53.13"/>
    <n v="61.057967101452753"/>
    <n v="52.008034743284625"/>
    <n v="51.951173752599814"/>
    <n v="48.297699999999999"/>
    <n v="50.822758333333326"/>
    <n v="53.328718899334298"/>
    <n v="52.075738616333808"/>
    <n v="58.037030030656034"/>
    <n v="41.962969969343966"/>
    <n v="0.47766672972409574"/>
    <n v="0"/>
    <n v="24.874847762830978"/>
    <n v="4"/>
    <n v="4"/>
    <b v="1"/>
    <x v="5"/>
    <n v="53.640440603365597"/>
    <n v="0.48871796734868489"/>
    <n v="26.2150470993647"/>
    <n v="4"/>
    <n v="0"/>
    <n v="-1.5647019870317891"/>
    <n v="-1.105123762458915E-2"/>
    <n v="-1.3401993365337219"/>
    <n v="4"/>
    <b v="1"/>
    <n v="0"/>
    <n v="0.81759069605862034"/>
    <n v="43.855925169796762"/>
    <n v="0.37796538352965442"/>
    <n v="3"/>
    <n v="-1"/>
    <n v="37.796538352965442"/>
    <n v="4"/>
    <n v="-0.3399239663345246"/>
    <b v="1"/>
    <s v="Efecto ponderador"/>
    <n v="3"/>
    <n v="-1"/>
    <n v="0"/>
    <n v="0"/>
    <n v="0"/>
    <n v="0"/>
    <n v="0"/>
    <s v="Rural"/>
    <n v="6"/>
    <s v="Fuera SC"/>
    <m/>
    <s v="No"/>
    <s v="No"/>
    <n v="27.3"/>
    <n v="14.930248984637117"/>
    <n v="2.959616551467307"/>
    <s v="Sin riesgo"/>
    <n v="2.1964103021312682"/>
    <s v="Medio Bajo"/>
    <n v="28388.258193000001"/>
    <n v="9531.9867059999997"/>
    <n v="12831"/>
    <n v="2.212474335047931"/>
    <n v="0.7428872812719195"/>
    <m/>
    <m/>
    <m/>
    <m/>
    <m/>
    <m/>
    <m/>
    <n v="89"/>
    <n v="0"/>
    <n v="7"/>
    <n v="44030.391925999997"/>
    <n v="6911.8483749999996"/>
    <n v="0.15697903363241572"/>
    <s v="0% - 30%"/>
    <n v="2.0109172458322483E-4"/>
    <s v="N.D."/>
    <s v="N.D."/>
    <s v="N.D."/>
    <n v="0.88586695220322842"/>
    <s v="Aceptable"/>
    <n v="1"/>
    <s v="Candidato"/>
    <n v="0"/>
    <n v="0"/>
  </r>
  <r>
    <n v="5658"/>
    <s v="05658"/>
    <x v="1"/>
    <x v="1"/>
    <s v="SAN JOSÉ DE LA MONTAÑA"/>
    <n v="51.300333333333299"/>
    <n v="37.799999999999997"/>
    <n v="45.37"/>
    <n v="35.74"/>
    <n v="31.34850066519698"/>
    <n v="46.876363211482186"/>
    <n v="47.122842846335047"/>
    <n v="40.618400000000001"/>
    <n v="42.552583333333324"/>
    <n v="41.491526680753552"/>
    <n v="42.022055007043434"/>
    <n v="56.757726914125904"/>
    <n v="43.242273085874096"/>
    <n v="0.48918045777286689"/>
    <n v="0"/>
    <n v="20.556368104902102"/>
    <n v="5"/>
    <n v="5"/>
    <b v="1"/>
    <x v="6"/>
    <n v="44.358607716275856"/>
    <n v="0.49388332719598804"/>
    <n v="21.907976768695949"/>
    <n v="4"/>
    <n v="-1"/>
    <n v="-2.3365527092324214"/>
    <n v="-4.7028694231211476E-3"/>
    <n v="-1.3516086637938471"/>
    <n v="4"/>
    <b v="0"/>
    <s v="Cambio en corte"/>
    <n v="0.81759069605862034"/>
    <n v="36.267184958941264"/>
    <n v="0.28303824277803963"/>
    <n v="4"/>
    <n v="-1"/>
    <n v="28.303824277803962"/>
    <n v="4"/>
    <n v="-0.32841023828575344"/>
    <b v="0"/>
    <s v="Cambio en corte"/>
    <n v="4"/>
    <n v="-1"/>
    <n v="0"/>
    <n v="0"/>
    <n v="0"/>
    <n v="0"/>
    <n v="0"/>
    <s v="Rural"/>
    <n v="6"/>
    <s v="Fuera SC"/>
    <m/>
    <s v="No"/>
    <s v="Si"/>
    <n v="34"/>
    <n v="10.230352303523036"/>
    <n v="1.2902499999999999"/>
    <s v="Sin riesgo"/>
    <n v="2.4871690392713353"/>
    <s v="Medio Bajo"/>
    <n v="9229.4404009999998"/>
    <n v="2840.7867652499999"/>
    <n v="3963"/>
    <n v="2.3289024478930105"/>
    <n v="0.71682734424678274"/>
    <m/>
    <m/>
    <m/>
    <m/>
    <m/>
    <m/>
    <m/>
    <n v="61"/>
    <n v="0"/>
    <n v="7"/>
    <n v="12604.753651999999"/>
    <n v="4841.6315450000002"/>
    <n v="0.38411155653421097"/>
    <s v="31% - 50%"/>
    <n v="1.4086131297412805E-4"/>
    <s v="N.D."/>
    <s v="N.D."/>
    <s v="N.D."/>
    <n v="0.92872951518591218"/>
    <s v="Aceptable"/>
    <n v="1"/>
    <s v="Candidato"/>
    <n v="0"/>
    <n v="0"/>
  </r>
  <r>
    <n v="73624"/>
    <s v="73624"/>
    <x v="15"/>
    <x v="15"/>
    <s v="ROVIRA"/>
    <n v="53.529800000000002"/>
    <n v="50.56"/>
    <n v="51.59"/>
    <n v="39.200000000000003"/>
    <n v="44.804408771386193"/>
    <n v="53.593600275322473"/>
    <n v="55.918517784679914"/>
    <n v="57.512700000000002"/>
    <n v="48.719949999999997"/>
    <n v="52.957306707847145"/>
    <n v="50.838628353923568"/>
    <n v="57.566021334479125"/>
    <n v="42.433978665520875"/>
    <n v="0.48190580798968796"/>
    <n v="0"/>
    <n v="24.499430273984999"/>
    <n v="4"/>
    <n v="4"/>
    <b v="1"/>
    <x v="5"/>
    <n v="51.709253805262648"/>
    <n v="0.48967787644089955"/>
    <n v="25.320877595704516"/>
    <n v="4"/>
    <n v="0"/>
    <n v="-0.87062545133908031"/>
    <n v="-7.772068451211589E-3"/>
    <n v="-0.82144732171951773"/>
    <n v="4"/>
    <b v="1"/>
    <n v="0"/>
    <n v="0.81759069605862034"/>
    <n v="42.277004811316552"/>
    <n v="0.35821475418400389"/>
    <n v="3"/>
    <n v="-1"/>
    <n v="35.821475418400389"/>
    <n v="4"/>
    <n v="-0.33568488806893237"/>
    <b v="1"/>
    <s v="Efecto ponderador"/>
    <n v="3"/>
    <n v="-1"/>
    <n v="0"/>
    <n v="0"/>
    <n v="0"/>
    <n v="0"/>
    <n v="1"/>
    <s v="Rural"/>
    <n v="6"/>
    <s v="Fuera SC"/>
    <m/>
    <s v="No"/>
    <s v="Si"/>
    <n v="47"/>
    <n v="20.840751730959447"/>
    <n v="5.9871428571428584"/>
    <s v="Bajo"/>
    <n v="15.40025445406202"/>
    <s v="Alto"/>
    <n v="53832.992554999997"/>
    <n v="7885.3262322500004"/>
    <n v="22305"/>
    <n v="2.4134943983411792"/>
    <n v="0.35352280799148172"/>
    <m/>
    <m/>
    <m/>
    <m/>
    <m/>
    <m/>
    <m/>
    <n v="18"/>
    <n v="0"/>
    <n v="7"/>
    <n v="73918.893605000005"/>
    <n v="41334.603882000003"/>
    <n v="0.55918861695738442"/>
    <s v="51% - 70%"/>
    <n v="1.2025794445463137E-3"/>
    <s v="N.D."/>
    <s v="N.D."/>
    <s v="N.D."/>
    <n v="0.95258796614067143"/>
    <s v="Aceptable"/>
    <n v="1"/>
    <s v="Candidato"/>
    <n v="0"/>
    <n v="0"/>
  </r>
  <r>
    <n v="13212"/>
    <s v="13212"/>
    <x v="8"/>
    <x v="8"/>
    <s v="CÓRDOBA"/>
    <n v="51.545633333333299"/>
    <n v="39.58"/>
    <n v="25.19"/>
    <n v="39.18"/>
    <n v="45.676387619247855"/>
    <n v="53.135205494532414"/>
    <n v="50.134919605079013"/>
    <n v="49.029899999999998"/>
    <n v="38.873908333333326"/>
    <n v="49.49410317971482"/>
    <n v="44.184005756524073"/>
    <n v="57.080715973822628"/>
    <n v="42.919284026177372"/>
    <n v="0.48627355623559643"/>
    <n v="0"/>
    <n v="21.485513607959025"/>
    <n v="5"/>
    <n v="5"/>
    <b v="1"/>
    <x v="5"/>
    <n v="45.855035144383947"/>
    <n v="0.49092698997467554"/>
    <n v="22.511474378615372"/>
    <n v="4"/>
    <n v="0"/>
    <n v="-1.6710293878598748"/>
    <n v="-4.6534337390791158E-3"/>
    <n v="-1.0259607706563472"/>
    <n v="4"/>
    <b v="1"/>
    <n v="0"/>
    <n v="0.81759069605862034"/>
    <n v="37.490650101489372"/>
    <n v="0.29834250205749469"/>
    <n v="4"/>
    <n v="0"/>
    <n v="29.83425020574947"/>
    <n v="4"/>
    <n v="-0.33131713982302391"/>
    <b v="1"/>
    <n v="0"/>
    <n v="4"/>
    <n v="0"/>
    <n v="0"/>
    <n v="0"/>
    <n v="0"/>
    <n v="1"/>
    <n v="1"/>
    <s v="Rural disperso"/>
    <n v="6"/>
    <s v="Fuera SC"/>
    <m/>
    <s v="No"/>
    <s v="No"/>
    <n v="61.9"/>
    <n v="29.949306296691567"/>
    <n v="15.2678125"/>
    <s v="Medio"/>
    <n v="1.8165988588402504"/>
    <s v="Medio Bajo"/>
    <n v="41015.900732000002"/>
    <n v="8037.4616747500004"/>
    <n v="18180"/>
    <n v="2.2561001502750275"/>
    <n v="0.44210460257150719"/>
    <m/>
    <m/>
    <m/>
    <m/>
    <m/>
    <m/>
    <m/>
    <n v="12"/>
    <n v="0"/>
    <n v="7"/>
    <n v="59686.562603999999"/>
    <n v="7642.7067719999995"/>
    <n v="0.1280473600516544"/>
    <s v="0% - 30%"/>
    <n v="2.2235515044343999E-4"/>
    <s v="N.D."/>
    <s v="N.D."/>
    <s v="N.D."/>
    <n v="0.96056810593895792"/>
    <s v="Aceptable"/>
    <n v="1"/>
    <s v="Candidato"/>
    <n v="0"/>
    <n v="0"/>
  </r>
  <r>
    <n v="5756"/>
    <s v="05756"/>
    <x v="1"/>
    <x v="1"/>
    <s v="SONSON"/>
    <n v="60.572133333333298"/>
    <n v="48.35"/>
    <n v="50.25"/>
    <n v="43.07"/>
    <n v="66.287514537700829"/>
    <n v="66.011606486443696"/>
    <n v="69.524259917676858"/>
    <n v="65.2637"/>
    <n v="50.560533333333325"/>
    <n v="66.77177023545535"/>
    <n v="58.666151784394337"/>
    <n v="57.918514691540466"/>
    <n v="42.081485308459534"/>
    <n v="0.47873336777613584"/>
    <n v="0"/>
    <n v="28.085444418209061"/>
    <n v="4"/>
    <n v="4"/>
    <b v="1"/>
    <x v="5"/>
    <n v="60.54418122205648"/>
    <n v="0.49045467047483682"/>
    <n v="29.694176450432515"/>
    <n v="3"/>
    <n v="-1"/>
    <n v="-1.8780294376621427"/>
    <n v="-1.1721302698700975E-2"/>
    <n v="-1.608732032223454"/>
    <n v="3"/>
    <b v="0"/>
    <s v="Cambio en corte"/>
    <n v="0.81759069605862034"/>
    <n v="49.500359267640405"/>
    <n v="0.44857130429931724"/>
    <n v="3"/>
    <n v="-1"/>
    <n v="44.857130429931722"/>
    <n v="4"/>
    <n v="-0.33885732828248449"/>
    <b v="1"/>
    <s v="Efecto ponderador"/>
    <n v="2"/>
    <n v="-2"/>
    <n v="0"/>
    <n v="0"/>
    <n v="0"/>
    <n v="0"/>
    <n v="1"/>
    <s v="Rural"/>
    <n v="5"/>
    <s v="Fuera SC"/>
    <m/>
    <s v="No"/>
    <s v="Si"/>
    <n v="37.9"/>
    <n v="13.235014874359136"/>
    <n v="29.963870955684396"/>
    <s v="Medio"/>
    <n v="7.1619663109586247"/>
    <s v="Medio"/>
    <n v="85335.465679000001"/>
    <n v="30218.448525299998"/>
    <n v="36144"/>
    <n v="2.3609856595562198"/>
    <n v="0.83605711944721106"/>
    <m/>
    <m/>
    <m/>
    <m/>
    <m/>
    <m/>
    <m/>
    <n v="13"/>
    <n v="1"/>
    <n v="5"/>
    <n v="134560.992558"/>
    <n v="56226.931305999999"/>
    <n v="0.41785461177959454"/>
    <s v="31% - 50%"/>
    <n v="1.6358533883993156E-3"/>
    <s v="N.D."/>
    <s v="N.D."/>
    <s v="N.D."/>
    <n v="0.85572219402308169"/>
    <s v="Aceptable"/>
    <n v="2"/>
    <s v="Candidato"/>
    <n v="0"/>
    <n v="0"/>
  </r>
  <r>
    <n v="73030"/>
    <s v="73030"/>
    <x v="15"/>
    <x v="15"/>
    <s v="AMBALEMA"/>
    <n v="62.973133333333301"/>
    <n v="50.63"/>
    <n v="67.3"/>
    <n v="64.88"/>
    <n v="59.117349398184871"/>
    <n v="47.763022960669261"/>
    <n v="54.359363862922613"/>
    <n v="52.584400000000002"/>
    <n v="61.445783333333324"/>
    <n v="53.456034055444192"/>
    <n v="57.450908694388758"/>
    <n v="57.784616417302679"/>
    <n v="42.215383582697321"/>
    <n v="0.47993845224427589"/>
    <n v="0"/>
    <n v="27.572900198812153"/>
    <n v="4"/>
    <n v="4"/>
    <b v="1"/>
    <x v="5"/>
    <n v="56.844756568478076"/>
    <n v="0.48861904034560089"/>
    <n v="27.77543040316905"/>
    <n v="4"/>
    <n v="0"/>
    <n v="0.60615212591068257"/>
    <n v="-8.680588101324993E-3"/>
    <n v="-0.20253020435689706"/>
    <n v="4"/>
    <b v="1"/>
    <n v="0"/>
    <n v="0.81759069605862034"/>
    <n v="46.475744090104818"/>
    <n v="0.41073655667326514"/>
    <n v="3"/>
    <n v="-1"/>
    <n v="41.073655667326513"/>
    <n v="4"/>
    <n v="-0.33765224381434444"/>
    <b v="1"/>
    <s v="Efecto ponderador"/>
    <n v="3"/>
    <n v="-1"/>
    <n v="0"/>
    <n v="0"/>
    <n v="0"/>
    <n v="0"/>
    <n v="0"/>
    <s v="Rural"/>
    <n v="6"/>
    <s v="Fuera SC"/>
    <m/>
    <s v="No"/>
    <s v="No"/>
    <n v="32.9"/>
    <n v="16.477621091354997"/>
    <n v="31.743913043478255"/>
    <s v="Medio"/>
    <n v="5.677258027563262"/>
    <s v="Medio Bajo"/>
    <n v="15230.053245999999"/>
    <n v="4796.8457752499999"/>
    <n v="6761"/>
    <n v="2.2526332267416063"/>
    <n v="0.7094876165138293"/>
    <m/>
    <m/>
    <m/>
    <m/>
    <m/>
    <m/>
    <m/>
    <n v="52"/>
    <n v="0"/>
    <n v="7"/>
    <n v="23783.825438"/>
    <n v="5231.2889830000004"/>
    <n v="0.21995153793223868"/>
    <s v="0% - 30%"/>
    <n v="1.521979167236426E-4"/>
    <s v="N.D."/>
    <s v="N.D."/>
    <s v="N.D."/>
    <n v="0.89218871438558145"/>
    <s v="Aceptable"/>
    <n v="2"/>
    <s v="Candidato"/>
    <n v="0"/>
    <n v="0"/>
  </r>
  <r>
    <n v="15276"/>
    <s v="15276"/>
    <x v="10"/>
    <x v="10"/>
    <s v="FLORESTA"/>
    <n v="49.1021"/>
    <n v="0"/>
    <n v="18.93"/>
    <n v="53.01"/>
    <n v="72.493434925370877"/>
    <n v="56.478280966578595"/>
    <n v="60.284159119134223"/>
    <n v="63.5717"/>
    <n v="30.260525000000001"/>
    <n v="63.206893752770924"/>
    <n v="46.733709376385463"/>
    <n v="57.759858386941318"/>
    <n v="42.240141613058682"/>
    <n v="0.48016127451752821"/>
    <n v="0"/>
    <n v="22.439717457097004"/>
    <n v="4"/>
    <n v="4"/>
    <b v="1"/>
    <x v="5"/>
    <n v="50.273705547504136"/>
    <n v="0.49222449924916867"/>
    <n v="24.745949538520374"/>
    <n v="4"/>
    <n v="0"/>
    <n v="-3.5399961711186734"/>
    <n v="-1.2063224731640454E-2"/>
    <n v="-2.3062320814233708"/>
    <n v="4"/>
    <b v="1"/>
    <n v="0"/>
    <n v="0.81759069605862034"/>
    <n v="41.103313912030032"/>
    <n v="0.34353311822075344"/>
    <n v="4"/>
    <n v="0"/>
    <n v="34.353311822075341"/>
    <n v="4"/>
    <n v="-0.33742942154109212"/>
    <b v="1"/>
    <n v="0"/>
    <n v="3"/>
    <n v="-1"/>
    <n v="0"/>
    <n v="0"/>
    <n v="0"/>
    <n v="0"/>
    <n v="0"/>
    <s v="Rural"/>
    <n v="6"/>
    <s v="Fuera SC"/>
    <m/>
    <s v="No"/>
    <s v="No"/>
    <n v="43.9"/>
    <n v="15.672110552763819"/>
    <n v="25.108806496883641"/>
    <s v="Medio"/>
    <n v="0"/>
    <s v="Bajo"/>
    <n v="15969.197367000001"/>
    <n v="2839.3487536999996"/>
    <n v="3328"/>
    <n v="4.7984367088341351"/>
    <n v="0.85316969762620176"/>
    <m/>
    <m/>
    <m/>
    <m/>
    <m/>
    <m/>
    <m/>
    <n v="21"/>
    <n v="0"/>
    <n v="7"/>
    <n v="8795.7896280000004"/>
    <n v="1036.877743"/>
    <n v="0.11788341773196397"/>
    <s v="0% - 30%"/>
    <n v="3.0166682225842631E-5"/>
    <s v="N.D."/>
    <s v="N.D."/>
    <s v="N.D."/>
    <n v="0.93461867586673397"/>
    <s v="Aceptable"/>
    <n v="2"/>
    <s v="Candidato"/>
    <n v="0"/>
    <n v="0"/>
  </r>
  <r>
    <n v="76126"/>
    <s v="76126"/>
    <x v="3"/>
    <x v="3"/>
    <s v="CALIMA"/>
    <n v="57.749333333333297"/>
    <n v="64"/>
    <n v="64.7"/>
    <n v="63.94"/>
    <n v="51.449055422737914"/>
    <n v="54.623264113867307"/>
    <n v="48.632127697170418"/>
    <n v="50.597099999999998"/>
    <n v="62.597333333333324"/>
    <n v="51.325386808443909"/>
    <n v="56.961360070888617"/>
    <n v="57.969225998890586"/>
    <n v="42.030774001109414"/>
    <n v="0.47827696600998482"/>
    <n v="0"/>
    <n v="27.243306474506902"/>
    <n v="4"/>
    <n v="4"/>
    <b v="1"/>
    <x v="5"/>
    <n v="54.929984680421676"/>
    <n v="0.48773506102493513"/>
    <n v="26.791279430204217"/>
    <n v="4"/>
    <n v="0"/>
    <n v="2.0313753904669412"/>
    <n v="-9.4580950149503185E-3"/>
    <n v="0.45202704430268525"/>
    <n v="4"/>
    <b v="1"/>
    <n v="0"/>
    <n v="0.81759069605862034"/>
    <n v="44.910244409355307"/>
    <n v="0.39115380585929782"/>
    <n v="3"/>
    <n v="-1"/>
    <n v="39.115380585929785"/>
    <n v="4"/>
    <n v="-0.33931373004863552"/>
    <b v="1"/>
    <s v="Efecto ponderador"/>
    <n v="3"/>
    <n v="-1"/>
    <n v="0"/>
    <n v="0"/>
    <n v="0"/>
    <n v="0"/>
    <n v="1"/>
    <s v="Rural"/>
    <n v="6"/>
    <s v="Fuera SC"/>
    <m/>
    <s v="No"/>
    <s v="No"/>
    <n v="25.7"/>
    <n v="8.7350149850149847"/>
    <n v="14.827499908299593"/>
    <s v="Medio"/>
    <n v="3.1553005195789434"/>
    <s v="Medio Bajo"/>
    <n v="40341.183491999996"/>
    <n v="14140.601122600001"/>
    <n v="19194"/>
    <n v="2.1017601069084089"/>
    <n v="0.73671986676044598"/>
    <m/>
    <m/>
    <m/>
    <m/>
    <m/>
    <m/>
    <m/>
    <n v="66"/>
    <n v="0"/>
    <n v="7"/>
    <n v="79384.586439999999"/>
    <n v="67897.451967999994"/>
    <n v="0.85529767191415496"/>
    <s v="71% - 100%"/>
    <n v="1.9753928284128182E-3"/>
    <n v="12888.270678000001"/>
    <n v="0.16235230610845519"/>
    <s v="0% - 30%"/>
    <n v="0.96428541949258917"/>
    <s v="Aceptable"/>
    <n v="2"/>
    <s v="Candidato"/>
    <n v="0"/>
    <n v="0"/>
  </r>
  <r>
    <n v="47058"/>
    <s v="47058"/>
    <x v="17"/>
    <x v="17"/>
    <s v="ARIGUANÍ"/>
    <n v="72.256066666666698"/>
    <n v="80.77"/>
    <n v="83.86"/>
    <n v="83.24"/>
    <n v="53.746282459973571"/>
    <n v="40.474826822451519"/>
    <n v="54.672057578206413"/>
    <n v="60.320099999999996"/>
    <n v="80.031516666666676"/>
    <n v="52.303316715157877"/>
    <n v="66.167416690912276"/>
    <n v="58.038120830391215"/>
    <n v="41.961879169608785"/>
    <n v="0.47765691252647913"/>
    <n v="0"/>
    <n v="31.605323966434181"/>
    <n v="3"/>
    <n v="3"/>
    <b v="1"/>
    <x v="4"/>
    <n v="62.874112574109994"/>
    <n v="0.48978117563923618"/>
    <n v="30.794556773821274"/>
    <n v="3"/>
    <n v="0"/>
    <n v="3.2933041168022825"/>
    <n v="-1.212426311275705E-2"/>
    <n v="0.81076719261290719"/>
    <n v="3"/>
    <b v="1"/>
    <n v="0"/>
    <n v="0.81759069605862034"/>
    <n v="51.405289463534643"/>
    <n v="0.4723999730642568"/>
    <n v="3"/>
    <n v="0"/>
    <n v="47.239997306425678"/>
    <n v="4"/>
    <n v="-0.33993378353214121"/>
    <b v="0"/>
    <n v="0"/>
    <n v="3"/>
    <n v="0"/>
    <n v="0"/>
    <n v="0"/>
    <n v="0"/>
    <n v="0"/>
    <n v="0"/>
    <s v="Rural"/>
    <n v="6"/>
    <s v="Fuera SC"/>
    <m/>
    <s v="No"/>
    <s v="No"/>
    <n v="56.4"/>
    <n v="44.300664686748689"/>
    <n v="64.558431280593254"/>
    <s v="Alto"/>
    <n v="2.3886129562909884"/>
    <s v="Medio Bajo"/>
    <n v="68739.396313000005"/>
    <n v="11297.626900499999"/>
    <n v="31525"/>
    <n v="2.180472523806503"/>
    <n v="0.35837040128469466"/>
    <m/>
    <m/>
    <m/>
    <m/>
    <m/>
    <m/>
    <m/>
    <n v="74"/>
    <n v="0"/>
    <n v="7"/>
    <n v="113033.76147300001"/>
    <n v="647.61770200000001"/>
    <n v="5.7294183044124761E-3"/>
    <s v="0% - 30%"/>
    <n v="1.8841640253111739E-5"/>
    <s v="N.D."/>
    <s v="N.D."/>
    <s v="N.D."/>
    <n v="0.84135561130009939"/>
    <s v="Crítico bajo"/>
    <n v="3"/>
    <s v="Candidato"/>
    <n v="0"/>
    <n v="0"/>
  </r>
  <r>
    <n v="15106"/>
    <s v="15106"/>
    <x v="10"/>
    <x v="10"/>
    <s v="BRICEÑO"/>
    <n v="60.6"/>
    <n v="63.84"/>
    <n v="67.08"/>
    <n v="79.05"/>
    <n v="42.785280068213069"/>
    <n v="44.854457016893946"/>
    <n v="54.752542546477258"/>
    <n v="48.672699999999999"/>
    <n v="67.642499999999998"/>
    <n v="47.766244907896066"/>
    <n v="57.704372453948032"/>
    <n v="58.079062158596969"/>
    <n v="41.920937841403031"/>
    <n v="0.47728844057262731"/>
    <n v="0"/>
    <n v="27.541629942766928"/>
    <n v="4"/>
    <n v="4"/>
    <b v="1"/>
    <x v="5"/>
    <n v="55.170413893699433"/>
    <n v="0.48798502724769288"/>
    <n v="26.922335927183411"/>
    <n v="4"/>
    <n v="0"/>
    <n v="2.5339585602485997"/>
    <n v="-1.0696586675065567E-2"/>
    <n v="0.61929401558351671"/>
    <n v="4"/>
    <b v="1"/>
    <n v="0"/>
    <n v="0.81759069605862034"/>
    <n v="45.1068170971919"/>
    <n v="0.39361272297698952"/>
    <n v="3"/>
    <n v="-1"/>
    <n v="39.361272297698953"/>
    <n v="4"/>
    <n v="-0.34030225548599302"/>
    <b v="1"/>
    <s v="Efecto ponderador"/>
    <n v="3"/>
    <n v="-1"/>
    <n v="0"/>
    <n v="0"/>
    <n v="0"/>
    <n v="0"/>
    <n v="0"/>
    <s v="Rural disperso"/>
    <n v="6"/>
    <s v="Fuera SC"/>
    <m/>
    <s v="No"/>
    <s v="No"/>
    <n v="48.5"/>
    <n v="15.61429270680372"/>
    <n v="57.554118626302476"/>
    <s v="Alto"/>
    <n v="0"/>
    <s v="Bajo"/>
    <n v="11304.666829"/>
    <n v="2179.3618750000001"/>
    <n v="2247"/>
    <n v="5.0310043742768134"/>
    <n v="0.96989847574543842"/>
    <m/>
    <m/>
    <m/>
    <m/>
    <m/>
    <m/>
    <m/>
    <n v="86"/>
    <n v="0"/>
    <n v="7"/>
    <n v="6451.2025780000004"/>
    <n v="168.69486499999999"/>
    <n v="2.6149367185474233E-2"/>
    <s v="0% - 30%"/>
    <n v="4.9079695460165956E-6"/>
    <s v="N.D."/>
    <s v="N.D."/>
    <s v="N.D."/>
    <n v="0.93300457570579032"/>
    <s v="Aceptable"/>
    <n v="2"/>
    <s v="Candidato"/>
    <n v="0"/>
    <n v="0"/>
  </r>
  <r>
    <n v="25662"/>
    <s v="25662"/>
    <x v="5"/>
    <x v="5"/>
    <s v="SAN JUAN DE RIOSECO"/>
    <n v="78.481499999999997"/>
    <n v="72.430000000000007"/>
    <n v="60.81"/>
    <n v="68.319999999999993"/>
    <n v="68.86117842583775"/>
    <n v="65.534449682317643"/>
    <n v="70.045277407775345"/>
    <n v="62.867800000000003"/>
    <n v="70.010374999999996"/>
    <n v="66.827176378982685"/>
    <n v="68.418775689491341"/>
    <n v="58.572002975762452"/>
    <n v="41.427997024237548"/>
    <n v="0.47285197321813799"/>
    <n v="0"/>
    <n v="32.351953089945148"/>
    <n v="3"/>
    <n v="3"/>
    <b v="1"/>
    <x v="4"/>
    <n v="68.316260221453419"/>
    <n v="0.48796338359315117"/>
    <n v="33.335833492090607"/>
    <n v="3"/>
    <n v="0"/>
    <n v="0.10251546803792166"/>
    <n v="-1.5111410375013179E-2"/>
    <n v="-0.98388040214545924"/>
    <n v="3"/>
    <b v="1"/>
    <n v="0"/>
    <n v="0.81759069605862034"/>
    <n v="55.85473874657994"/>
    <n v="0.52805789343351883"/>
    <n v="2"/>
    <n v="-1"/>
    <n v="52.805789343351883"/>
    <n v="4"/>
    <n v="-0.34473872284048235"/>
    <b v="0"/>
    <s v="Cambio en corte"/>
    <n v="3"/>
    <n v="0"/>
    <n v="0"/>
    <n v="0"/>
    <n v="0"/>
    <n v="0"/>
    <n v="0"/>
    <s v="Rural"/>
    <n v="6"/>
    <s v="Fuera SC"/>
    <m/>
    <s v="No"/>
    <s v="No"/>
    <n v="35.6"/>
    <n v="12.970376301040833"/>
    <n v="4.3745991620504459"/>
    <s v="Sin riesgo"/>
    <n v="1.9668405837979686E-2"/>
    <s v="Bajo"/>
    <n v="24415.580903999999"/>
    <n v="4741.1458204999999"/>
    <n v="8423"/>
    <n v="2.8986799126202065"/>
    <n v="0.56288089997625546"/>
    <m/>
    <m/>
    <m/>
    <m/>
    <m/>
    <m/>
    <m/>
    <n v="52"/>
    <n v="0"/>
    <n v="7"/>
    <n v="31381.682187999999"/>
    <n v="17877.475256999998"/>
    <n v="0.56967867910650571"/>
    <s v="51% - 70%"/>
    <n v="5.2012314732295618E-4"/>
    <s v="N.D."/>
    <s v="N.D."/>
    <s v="N.D."/>
    <n v="0.84045917781605028"/>
    <s v="Crítico bajo"/>
    <n v="3"/>
    <s v="Candidato"/>
    <n v="0"/>
    <n v="0"/>
  </r>
  <r>
    <n v="15511"/>
    <s v="15511"/>
    <x v="10"/>
    <x v="10"/>
    <s v="PACHAVITA"/>
    <n v="91.227166666666704"/>
    <n v="87.96"/>
    <n v="75.400000000000006"/>
    <n v="79.489999999999995"/>
    <n v="69.685959382537249"/>
    <n v="56.28043760207504"/>
    <n v="43.408684961060551"/>
    <n v="44.794400000000003"/>
    <n v="83.519291666666675"/>
    <n v="53.542370486418207"/>
    <n v="68.530831076542441"/>
    <n v="58.450311180450299"/>
    <n v="41.549688819549701"/>
    <n v="0.47394719937594731"/>
    <n v="0"/>
    <n v="32.479995459633429"/>
    <n v="3"/>
    <n v="3"/>
    <b v="1"/>
    <x v="4"/>
    <n v="70.891827835492592"/>
    <n v="0.48968630891513676"/>
    <n v="34.714757505009715"/>
    <n v="3"/>
    <n v="0"/>
    <n v="-2.3609967589501508"/>
    <n v="-1.5739109539189444E-2"/>
    <n v="-2.2347620453762858"/>
    <n v="3"/>
    <b v="1"/>
    <n v="0"/>
    <n v="0.81759069605862034"/>
    <n v="57.960498864888265"/>
    <n v="0.55439873283316632"/>
    <n v="2"/>
    <n v="-1"/>
    <n v="55.439873283316629"/>
    <n v="4"/>
    <n v="-0.34364349668267302"/>
    <b v="0"/>
    <s v="Cambio en corte"/>
    <n v="2"/>
    <n v="-1"/>
    <n v="0"/>
    <n v="0"/>
    <n v="0"/>
    <n v="0"/>
    <n v="0"/>
    <s v="Rural disperso"/>
    <n v="6"/>
    <s v="Fuera SC"/>
    <m/>
    <s v="No"/>
    <s v="No"/>
    <n v="37.5"/>
    <n v="8.624502432551969"/>
    <n v="45.30845753177303"/>
    <s v="Alto"/>
    <n v="0"/>
    <s v="Bajo"/>
    <n v="8557.2014049999998"/>
    <n v="1640.4156478499999"/>
    <n v="2301"/>
    <n v="3.7189054345936547"/>
    <n v="0.71291423200782267"/>
    <m/>
    <m/>
    <m/>
    <m/>
    <m/>
    <m/>
    <m/>
    <n v="98"/>
    <n v="0"/>
    <n v="7"/>
    <n v="6657.7430610000001"/>
    <n v="1615.5444680000001"/>
    <n v="0.24265647580538255"/>
    <s v="0% - 30%"/>
    <n v="4.7002278635923994E-5"/>
    <s v="N.D."/>
    <s v="N.D."/>
    <s v="N.D."/>
    <n v="0.9795448558582398"/>
    <s v="Aceptable"/>
    <n v="2"/>
    <s v="Candidato"/>
    <n v="0"/>
    <n v="0"/>
  </r>
  <r>
    <n v="5055"/>
    <s v="05055"/>
    <x v="1"/>
    <x v="1"/>
    <s v="ARGELIA"/>
    <n v="54.783499999999997"/>
    <n v="41.52"/>
    <n v="49"/>
    <n v="53.2"/>
    <n v="48.641547918904003"/>
    <n v="38.35167830067526"/>
    <n v="48.914232179165971"/>
    <n v="45.504100000000001"/>
    <n v="49.625874999999994"/>
    <n v="45.352889599686307"/>
    <n v="47.48938229984315"/>
    <n v="57.461873044255107"/>
    <n v="42.538126955744893"/>
    <n v="0.48284314260170402"/>
    <n v="0"/>
    <n v="22.929922589870007"/>
    <n v="4"/>
    <n v="4"/>
    <b v="1"/>
    <x v="5"/>
    <n v="48.782021676142406"/>
    <n v="0.48884877062473397"/>
    <n v="23.84703132497134"/>
    <n v="4"/>
    <n v="0"/>
    <n v="-1.2926393762992561"/>
    <n v="-6.0056280230299519E-3"/>
    <n v="-0.91710873510133339"/>
    <n v="4"/>
    <b v="1"/>
    <n v="0"/>
    <n v="0.81759069605862034"/>
    <n v="39.883727057343975"/>
    <n v="0.32827737223435194"/>
    <n v="4"/>
    <n v="0"/>
    <n v="32.827737223435193"/>
    <n v="4"/>
    <n v="-0.33474755345691631"/>
    <b v="1"/>
    <n v="0"/>
    <n v="3"/>
    <n v="-1"/>
    <n v="0"/>
    <n v="0"/>
    <n v="0"/>
    <n v="0"/>
    <n v="1"/>
    <s v="Rural"/>
    <n v="6"/>
    <s v="Fuera SC"/>
    <m/>
    <s v="No"/>
    <s v="No"/>
    <n v="48.7"/>
    <n v="17.139462349621269"/>
    <n v="12.362911266201396"/>
    <s v="Bajo"/>
    <n v="11.725915894160742"/>
    <s v="Alto"/>
    <n v="19654.800367"/>
    <n v="3761.5045100000002"/>
    <n v="8170"/>
    <n v="2.4057283190942473"/>
    <n v="0.4604044687882497"/>
    <m/>
    <m/>
    <m/>
    <m/>
    <m/>
    <m/>
    <m/>
    <n v="13"/>
    <n v="0"/>
    <n v="7"/>
    <n v="24519.924075999999"/>
    <n v="9838.9364029999997"/>
    <n v="0.40126292285832604"/>
    <s v="31% - 50%"/>
    <n v="2.862517494597009E-4"/>
    <s v="N.D."/>
    <s v="N.D."/>
    <s v="N.D."/>
    <n v="0.89251411748614484"/>
    <s v="Aceptable"/>
    <n v="1"/>
    <s v="Candidato"/>
    <n v="0"/>
    <n v="0"/>
  </r>
  <r>
    <n v="15522"/>
    <s v="15522"/>
    <x v="10"/>
    <x v="10"/>
    <s v="PANQUEBA"/>
    <n v="56.039099999999998"/>
    <n v="48.46"/>
    <n v="47.98"/>
    <n v="51.24"/>
    <n v="56.926343244610877"/>
    <n v="62.770075348639011"/>
    <n v="70.807701878422193"/>
    <n v="57.137999999999998"/>
    <n v="50.929774999999999"/>
    <n v="61.910530117918022"/>
    <n v="56.42015255895901"/>
    <n v="58.011081672158817"/>
    <n v="41.988918327841183"/>
    <n v="0.4779002649505707"/>
    <n v="0"/>
    <n v="26.96320585647813"/>
    <n v="4"/>
    <n v="4"/>
    <b v="1"/>
    <x v="5"/>
    <n v="57.510595730055442"/>
    <n v="0.48905577956999513"/>
    <n v="28.125889228297098"/>
    <n v="3"/>
    <n v="-1"/>
    <n v="-1.0904431710964317"/>
    <n v="-1.1155514619424434E-2"/>
    <n v="-1.162683371818968"/>
    <n v="4"/>
    <b v="1"/>
    <s v="Efecto ponderador"/>
    <n v="0.81759069605862034"/>
    <n v="47.020127993681946"/>
    <n v="0.41754622547229153"/>
    <n v="3"/>
    <n v="-1"/>
    <n v="41.754622547229154"/>
    <n v="4"/>
    <n v="-0.33969043110804964"/>
    <b v="1"/>
    <s v="Efecto ponderador"/>
    <n v="3"/>
    <n v="-1"/>
    <n v="0"/>
    <n v="0"/>
    <n v="0"/>
    <n v="0"/>
    <n v="0"/>
    <s v="Rural"/>
    <n v="6"/>
    <s v="Fuera SC"/>
    <m/>
    <s v="No"/>
    <s v="No"/>
    <n v="42.7"/>
    <n v="15.194564546016059"/>
    <n v="35.656091510474091"/>
    <s v="Alto"/>
    <n v="4.7435901398107729"/>
    <s v="Medio Bajo"/>
    <n v="11673.102491"/>
    <n v="2472.9726366999998"/>
    <n v="1725"/>
    <n v="6.7670159368115943"/>
    <n v="1.4336073256231883"/>
    <m/>
    <m/>
    <m/>
    <m/>
    <m/>
    <m/>
    <m/>
    <n v="44"/>
    <n v="0"/>
    <n v="7"/>
    <n v="3962.3876570000002"/>
    <n v="3168.64174"/>
    <n v="0.79967989361218628"/>
    <s v="71% - 100%"/>
    <n v="9.2187732935184688E-5"/>
    <s v="N.D."/>
    <s v="N.D."/>
    <s v="N.D."/>
    <n v="0.89938921808368599"/>
    <s v="Aceptable"/>
    <n v="1"/>
    <s v="Candidato"/>
    <n v="0"/>
    <n v="0"/>
  </r>
  <r>
    <n v="68255"/>
    <s v="68255"/>
    <x v="0"/>
    <x v="0"/>
    <s v="EL PLAYÓN"/>
    <n v="50.7809666666667"/>
    <n v="54.27"/>
    <n v="49.26"/>
    <n v="63.14"/>
    <n v="61.295002396966801"/>
    <n v="58.301728255361382"/>
    <n v="53.325528535104894"/>
    <n v="64.368200000000002"/>
    <n v="54.362741666666679"/>
    <n v="59.322614796858268"/>
    <n v="56.842678231762477"/>
    <n v="57.669797440459703"/>
    <n v="42.330202559540297"/>
    <n v="0.48097182303586272"/>
    <n v="0"/>
    <n v="27.339726575371749"/>
    <n v="4"/>
    <n v="4"/>
    <b v="1"/>
    <x v="5"/>
    <n v="53.174253025418423"/>
    <n v="0.48296409790510209"/>
    <n v="25.681255144198854"/>
    <n v="4"/>
    <n v="0"/>
    <n v="3.6684252063440539"/>
    <n v="-1.9922748692393633E-3"/>
    <n v="1.6584714311728952"/>
    <n v="4"/>
    <b v="1"/>
    <n v="0"/>
    <n v="0.81759069605862034"/>
    <n v="43.474774543449044"/>
    <n v="0.3731975909646752"/>
    <n v="3"/>
    <n v="-1"/>
    <n v="37.319759096467521"/>
    <n v="4"/>
    <n v="-0.33661887302275761"/>
    <b v="1"/>
    <s v="Efecto ponderador"/>
    <n v="3"/>
    <n v="-1"/>
    <n v="0"/>
    <n v="0"/>
    <n v="0"/>
    <n v="0"/>
    <n v="1"/>
    <s v="Rural"/>
    <n v="6"/>
    <s v="Fuera SC"/>
    <m/>
    <s v="No"/>
    <s v="No"/>
    <n v="45.7"/>
    <n v="27.313084112149532"/>
    <n v="51.223315041508371"/>
    <s v="Alto"/>
    <n v="0.19633550082259293"/>
    <s v="Bajo"/>
    <n v="37289.356722999997"/>
    <n v="7687.7127025"/>
    <n v="15124"/>
    <n v="2.4655750279687911"/>
    <n v="0.50831213319888913"/>
    <m/>
    <m/>
    <m/>
    <m/>
    <m/>
    <m/>
    <m/>
    <n v="39"/>
    <n v="0"/>
    <n v="7"/>
    <n v="45415.314606"/>
    <n v="18468.304203"/>
    <n v="0.40665366657088131"/>
    <s v="31% - 50%"/>
    <n v="5.3731258858942912E-4"/>
    <s v="N.D."/>
    <s v="N.D."/>
    <s v="N.D."/>
    <n v="0.93201125965696829"/>
    <s v="Aceptable"/>
    <n v="3"/>
    <s v="Candidato"/>
    <n v="0"/>
    <n v="0"/>
  </r>
  <r>
    <n v="47053"/>
    <s v="47053"/>
    <x v="17"/>
    <x v="17"/>
    <s v="ARACATACA"/>
    <n v="54.163766666666703"/>
    <n v="47.97"/>
    <n v="43.46"/>
    <n v="53.88"/>
    <n v="44.307401327795219"/>
    <n v="58.170782320274206"/>
    <n v="38.802867610329159"/>
    <n v="38.396099999999997"/>
    <n v="49.868441666666676"/>
    <n v="44.919287814599642"/>
    <n v="47.393864740633163"/>
    <n v="57.770843385537653"/>
    <n v="42.229156614462347"/>
    <n v="0.4800624095301611"/>
    <n v="0"/>
    <n v="22.752012904334901"/>
    <n v="4"/>
    <n v="4"/>
    <b v="1"/>
    <x v="5"/>
    <n v="48.543945740151926"/>
    <n v="0.48815363926327049"/>
    <n v="23.696903777253901"/>
    <n v="4"/>
    <n v="0"/>
    <n v="-1.1500809995187637"/>
    <n v="-8.0912297331093841E-3"/>
    <n v="-0.9448908729190002"/>
    <n v="4"/>
    <b v="1"/>
    <n v="0"/>
    <n v="0.81759069605862034"/>
    <n v="39.689078387122713"/>
    <n v="0.32584252254892232"/>
    <n v="4"/>
    <n v="0"/>
    <n v="32.584252254892235"/>
    <n v="4"/>
    <n v="-0.33752828652845923"/>
    <b v="1"/>
    <n v="0"/>
    <n v="3"/>
    <n v="-1"/>
    <n v="0"/>
    <n v="0"/>
    <n v="0"/>
    <n v="1"/>
    <n v="1"/>
    <s v="Intermedio"/>
    <n v="6"/>
    <s v="Fuera SC"/>
    <m/>
    <s v="No"/>
    <s v="No"/>
    <n v="50"/>
    <n v="29.415064102564102"/>
    <n v="19.910844192947163"/>
    <s v="Medio"/>
    <n v="5.1874154117142082"/>
    <s v="Medio Bajo"/>
    <n v="56071.897203"/>
    <n v="9204.8673637499996"/>
    <n v="44403"/>
    <n v="1.262795243632187"/>
    <n v="0.20730282556921828"/>
    <m/>
    <m/>
    <m/>
    <m/>
    <m/>
    <m/>
    <m/>
    <n v="42"/>
    <n v="0"/>
    <n v="7"/>
    <n v="173841.352075"/>
    <n v="155901.43175300001"/>
    <n v="0.89680291767254428"/>
    <s v="71% - 100%"/>
    <n v="4.5357603459009188E-3"/>
    <n v="111459.16518500001"/>
    <n v="0.6411545000922072"/>
    <s v="51% - 70%"/>
    <n v="0.91656611961838319"/>
    <s v="Aceptable"/>
    <n v="1"/>
    <s v="Candidato"/>
    <n v="0"/>
    <n v="0"/>
  </r>
  <r>
    <n v="52110"/>
    <s v="52110"/>
    <x v="18"/>
    <x v="18"/>
    <s v="BUESACO"/>
    <n v="49.649366666666701"/>
    <n v="57.4"/>
    <n v="61.29"/>
    <n v="56.82"/>
    <n v="46.186030888787116"/>
    <n v="59.223831337033062"/>
    <n v="64.504088240996765"/>
    <n v="67.0291"/>
    <n v="56.289841666666675"/>
    <n v="59.235762616704235"/>
    <n v="57.762802141685455"/>
    <n v="57.709720717782467"/>
    <n v="42.290279282217533"/>
    <n v="0.48061251353995782"/>
    <n v="0"/>
    <n v="27.761525526426706"/>
    <n v="4"/>
    <n v="4"/>
    <b v="1"/>
    <x v="5"/>
    <n v="55.56308873451917"/>
    <n v="0.4881310219662599"/>
    <n v="27.122067287582826"/>
    <n v="4"/>
    <n v="0"/>
    <n v="2.1997134071662856"/>
    <n v="-7.518508426302084E-3"/>
    <n v="0.6394582388438792"/>
    <n v="4"/>
    <b v="1"/>
    <n v="0"/>
    <n v="0.81759069605862034"/>
    <n v="45.427864393622414"/>
    <n v="0.39762868623958603"/>
    <n v="3"/>
    <n v="-1"/>
    <n v="39.762868623958603"/>
    <n v="4"/>
    <n v="-0.33697818251866252"/>
    <b v="1"/>
    <s v="Efecto ponderador"/>
    <n v="4"/>
    <n v="0"/>
    <n v="0"/>
    <n v="0"/>
    <n v="0"/>
    <n v="0"/>
    <n v="0"/>
    <s v="Rural disperso"/>
    <n v="6"/>
    <s v="Fuera SC"/>
    <m/>
    <s v="No"/>
    <s v="Si"/>
    <n v="39.200000000000003"/>
    <n v="16.775358683656066"/>
    <n v="42.788707776403463"/>
    <s v="Alto"/>
    <n v="1.5224890470760155"/>
    <s v="Medio Bajo"/>
    <n v="44315.583867000001"/>
    <n v="4947.1503329999996"/>
    <n v="25040"/>
    <n v="1.7697916879792333"/>
    <n v="0.19756990147763576"/>
    <m/>
    <m/>
    <m/>
    <m/>
    <m/>
    <m/>
    <m/>
    <n v="69"/>
    <n v="0"/>
    <n v="7"/>
    <n v="63644.797130999999"/>
    <n v="20624.532637"/>
    <n v="0.32405685251142452"/>
    <s v="31% - 50%"/>
    <n v="6.0004540199383872E-4"/>
    <n v="2018.224778"/>
    <n v="3.171075828627265E-2"/>
    <s v="0% - 30%"/>
    <n v="0.95561717653402456"/>
    <s v="Aceptable"/>
    <n v="2"/>
    <s v="Candidato"/>
    <n v="0"/>
    <n v="0"/>
  </r>
  <r>
    <n v="20614"/>
    <s v="20614"/>
    <x v="20"/>
    <x v="20"/>
    <s v="RÍO DE ORO"/>
    <n v="43.768066666666698"/>
    <n v="67.290000000000006"/>
    <n v="75.86"/>
    <n v="82.67"/>
    <n v="54.975933779835117"/>
    <n v="66.247176660138607"/>
    <n v="60.279141633475945"/>
    <n v="64.393699999999995"/>
    <n v="67.397016666666673"/>
    <n v="61.473988018362412"/>
    <n v="64.435502342514539"/>
    <n v="57.22792838911522"/>
    <n v="42.77207161088478"/>
    <n v="0.48494864449796304"/>
    <n v="0"/>
    <n v="31.247909518547747"/>
    <n v="3"/>
    <n v="3"/>
    <b v="1"/>
    <x v="4"/>
    <n v="58.278828125389438"/>
    <n v="0.4877802463732509"/>
    <n v="28.427261141346804"/>
    <n v="3"/>
    <n v="0"/>
    <n v="6.1566742171251008"/>
    <n v="-2.8316018752878591E-3"/>
    <n v="2.8206483772009427"/>
    <n v="3"/>
    <b v="1"/>
    <n v="0"/>
    <n v="0.81759069605862034"/>
    <n v="47.648227652517853"/>
    <n v="0.42540309012488131"/>
    <n v="3"/>
    <n v="0"/>
    <n v="42.54030901248813"/>
    <n v="4"/>
    <n v="-0.33264205156065729"/>
    <b v="0"/>
    <n v="0"/>
    <n v="3"/>
    <n v="0"/>
    <n v="0"/>
    <n v="0"/>
    <n v="0"/>
    <n v="0"/>
    <n v="0"/>
    <s v="Rural"/>
    <n v="6"/>
    <s v="Fuera SC"/>
    <m/>
    <s v="No"/>
    <s v="Si"/>
    <n v="48.3"/>
    <n v="21.675458078845086"/>
    <n v="12.830924750554322"/>
    <s v="Bajo"/>
    <n v="19.87513873431206"/>
    <s v="Alto"/>
    <n v="38182.990321999998"/>
    <n v="7165.0621209999999"/>
    <n v="19390"/>
    <n v="1.9692104343476018"/>
    <n v="0.36952357509025269"/>
    <m/>
    <m/>
    <m/>
    <m/>
    <m/>
    <m/>
    <m/>
    <n v="14"/>
    <n v="0"/>
    <n v="7"/>
    <n v="51775.932241000002"/>
    <n v="5898.6984320000001"/>
    <n v="0.11392742103693067"/>
    <s v="0% - 30%"/>
    <n v="1.7161537350524479E-4"/>
    <s v="N.D."/>
    <s v="N.D."/>
    <s v="N.D."/>
    <n v="0.96453579681806412"/>
    <s v="Aceptable"/>
    <n v="3"/>
    <s v="Candidato"/>
    <n v="0"/>
    <n v="0"/>
  </r>
  <r>
    <n v="47798"/>
    <s v="47798"/>
    <x v="17"/>
    <x v="17"/>
    <s v="TENERIFE"/>
    <n v="44.433633333333297"/>
    <n v="56.53"/>
    <n v="19.25"/>
    <n v="24"/>
    <n v="50.663193354816819"/>
    <n v="46.40272463301239"/>
    <n v="46.540260728077769"/>
    <n v="36.713500000000003"/>
    <n v="36.053408333333323"/>
    <n v="45.079919678976751"/>
    <n v="40.566664006155037"/>
    <n v="57.845664247167264"/>
    <n v="42.154335752832736"/>
    <n v="0.47938902177549469"/>
    <n v="0"/>
    <n v="19.447213374605834"/>
    <n v="5"/>
    <n v="5"/>
    <b v="1"/>
    <x v="6"/>
    <n v="44.246889000264744"/>
    <n v="0.48777501517972244"/>
    <n v="21.582526953759629"/>
    <n v="4"/>
    <n v="-1"/>
    <n v="-3.6802249941097074"/>
    <n v="-8.3859934042277429E-3"/>
    <n v="-2.1353135791537952"/>
    <n v="5"/>
    <b v="1"/>
    <s v="Efecto ponderador"/>
    <n v="0.81759069605862034"/>
    <n v="36.17584477615496"/>
    <n v="0.28189567337301108"/>
    <n v="4"/>
    <n v="-1"/>
    <n v="28.189567337301106"/>
    <n v="4"/>
    <n v="-0.33820167428312564"/>
    <b v="0"/>
    <s v="Cambio en corte"/>
    <n v="4"/>
    <n v="-1"/>
    <n v="0"/>
    <n v="0"/>
    <n v="0"/>
    <n v="0"/>
    <n v="0"/>
    <s v="Rural"/>
    <n v="6"/>
    <s v="Fuera SC"/>
    <m/>
    <s v="No"/>
    <s v="No"/>
    <n v="56.3"/>
    <n v="39.380459398252995"/>
    <n v="8.6245173745173744"/>
    <s v="Bajo"/>
    <n v="3.2132753391886157"/>
    <s v="Medio Bajo"/>
    <n v="32623.783534999999"/>
    <n v="6110.8191550000001"/>
    <n v="14340"/>
    <n v="2.2750197723152024"/>
    <n v="0.42613801638772664"/>
    <m/>
    <m/>
    <m/>
    <m/>
    <m/>
    <m/>
    <m/>
    <n v="74"/>
    <n v="0"/>
    <n v="7"/>
    <n v="49178.018563999998"/>
    <n v="902.92169100000001"/>
    <n v="1.8360269839358061E-2"/>
    <s v="0% - 30%"/>
    <n v="2.6269395703691438E-5"/>
    <n v="350.876081"/>
    <n v="7.1348153350947194E-3"/>
    <s v="0% - 30%"/>
    <n v="0.93376458284443487"/>
    <s v="Aceptable"/>
    <n v="1"/>
    <s v="Candidato"/>
    <n v="0"/>
    <n v="0"/>
  </r>
  <r>
    <n v="20787"/>
    <s v="20787"/>
    <x v="20"/>
    <x v="20"/>
    <s v="TAMALAMEQUE"/>
    <n v="63.073833333333297"/>
    <n v="54.85"/>
    <n v="51.2"/>
    <n v="62.91"/>
    <n v="43.649922240460285"/>
    <n v="51.412949580545693"/>
    <n v="43.529644622746943"/>
    <n v="47.164499999999997"/>
    <n v="58.00845833333333"/>
    <n v="46.439254110938229"/>
    <n v="52.22385622213578"/>
    <n v="58.038270321888518"/>
    <n v="41.961729678111482"/>
    <n v="0.47765556710300339"/>
    <n v="0"/>
    <n v="24.945015660089979"/>
    <n v="4"/>
    <n v="4"/>
    <b v="1"/>
    <x v="5"/>
    <n v="52.336046142366385"/>
    <n v="0.48775674149247616"/>
    <n v="25.527259329000504"/>
    <n v="4"/>
    <n v="0"/>
    <n v="-0.11218992023060537"/>
    <n v="-1.0101174389472778E-2"/>
    <n v="-0.58224366891052526"/>
    <n v="4"/>
    <b v="1"/>
    <n v="0"/>
    <n v="0.81759069605862034"/>
    <n v="42.789464394493407"/>
    <n v="0.36462508338622851"/>
    <n v="3"/>
    <n v="-1"/>
    <n v="36.462508338622854"/>
    <n v="4"/>
    <n v="-0.33993512895561695"/>
    <b v="1"/>
    <s v="Efecto ponderador"/>
    <n v="3"/>
    <n v="-1"/>
    <n v="0"/>
    <n v="0"/>
    <n v="0"/>
    <n v="0"/>
    <n v="0"/>
    <s v="Rural"/>
    <n v="6"/>
    <s v="Fuera SC"/>
    <m/>
    <s v="No"/>
    <s v="Si"/>
    <n v="47.5"/>
    <n v="25.904856716205646"/>
    <n v="7.5524237494916617"/>
    <s v="Bajo"/>
    <n v="9.0061813935669033"/>
    <s v="Medio"/>
    <n v="33521.324621"/>
    <n v="7407.8342057500004"/>
    <n v="16871"/>
    <n v="1.9869198400213384"/>
    <n v="0.43908684759350369"/>
    <m/>
    <m/>
    <m/>
    <m/>
    <m/>
    <m/>
    <m/>
    <n v="92"/>
    <n v="0"/>
    <n v="7"/>
    <n v="51247.036396000003"/>
    <n v="18943.170269999999"/>
    <n v="0.36964420973772788"/>
    <s v="31% - 50%"/>
    <n v="5.5112823256455953E-4"/>
    <s v="N.D."/>
    <s v="N.D."/>
    <s v="N.D."/>
    <n v="0.9192137007950083"/>
    <s v="Aceptable"/>
    <n v="2"/>
    <s v="Candidato"/>
    <n v="0"/>
    <n v="0"/>
  </r>
  <r>
    <n v="73026"/>
    <s v="73026"/>
    <x v="15"/>
    <x v="15"/>
    <s v="ALVARADO"/>
    <n v="59.643633333333298"/>
    <n v="48.35"/>
    <n v="36.04"/>
    <n v="55.09"/>
    <n v="48.541996585509779"/>
    <n v="50.201068608772118"/>
    <n v="55.728480140235014"/>
    <n v="53.1845"/>
    <n v="49.780908333333322"/>
    <n v="51.914011333629233"/>
    <n v="50.847459833481281"/>
    <n v="58.35942913937231"/>
    <n v="41.64057086062769"/>
    <n v="0.47476513774564921"/>
    <n v="0"/>
    <n v="24.140601271859104"/>
    <n v="4"/>
    <n v="4"/>
    <b v="1"/>
    <x v="5"/>
    <n v="51.084979497492597"/>
    <n v="0.4854416566225277"/>
    <n v="24.798777075790667"/>
    <n v="4"/>
    <n v="0"/>
    <n v="-0.23751966401131597"/>
    <n v="-1.0676518876878482E-2"/>
    <n v="-0.65817580393156305"/>
    <n v="4"/>
    <b v="1"/>
    <n v="0"/>
    <n v="0.81759069605862034"/>
    <n v="41.766603945495319"/>
    <n v="0.35183017736580546"/>
    <n v="4"/>
    <n v="0"/>
    <n v="35.183017736580545"/>
    <n v="4"/>
    <n v="-0.34282555831297112"/>
    <b v="1"/>
    <n v="0"/>
    <n v="3"/>
    <n v="-1"/>
    <n v="0"/>
    <n v="0"/>
    <n v="0"/>
    <n v="0"/>
    <n v="1"/>
    <s v="Rural"/>
    <n v="6"/>
    <s v="Fuera SC"/>
    <m/>
    <s v="No"/>
    <s v="Si"/>
    <n v="38.799999999999997"/>
    <n v="14.064362336114423"/>
    <n v="69.648666743584258"/>
    <s v="Alto"/>
    <n v="2.8298319631334223"/>
    <s v="Medio Bajo"/>
    <n v="26915.841106"/>
    <n v="8694.9877012500001"/>
    <n v="8855"/>
    <n v="3.0396206782608695"/>
    <n v="0.98192972346132135"/>
    <m/>
    <m/>
    <m/>
    <m/>
    <m/>
    <m/>
    <m/>
    <n v="18"/>
    <n v="0"/>
    <n v="7"/>
    <n v="34411.186538000002"/>
    <n v="24846.625669000001"/>
    <n v="0.72205082616265115"/>
    <s v="71% - 100%"/>
    <n v="7.2288200417200735E-4"/>
    <s v="N.D."/>
    <s v="N.D."/>
    <s v="N.D."/>
    <n v="0.9638949183399772"/>
    <s v="Aceptable"/>
    <n v="1"/>
    <s v="No es Candidato"/>
    <n v="0"/>
    <n v="0"/>
  </r>
  <r>
    <n v="15681"/>
    <s v="15681"/>
    <x v="10"/>
    <x v="10"/>
    <s v="SAN PABLO DE BORBUR"/>
    <n v="78.303899999999999"/>
    <n v="84.37"/>
    <n v="74.19"/>
    <n v="85.77"/>
    <n v="58.897408556129491"/>
    <n v="64.713312023235986"/>
    <n v="62.762335414420839"/>
    <n v="61.235900000000001"/>
    <n v="80.658474999999996"/>
    <n v="61.902238998446578"/>
    <n v="71.280356999223287"/>
    <n v="58.426541222455711"/>
    <n v="41.573458777544289"/>
    <n v="0.47416112899789864"/>
    <n v="0"/>
    <n v="33.798374550124983"/>
    <n v="3"/>
    <n v="3"/>
    <b v="1"/>
    <x v="4"/>
    <n v="69.728523928672118"/>
    <n v="0.48569987627641431"/>
    <n v="33.867135445093041"/>
    <n v="3"/>
    <n v="0"/>
    <n v="1.5518330705511687"/>
    <n v="-1.1538747278515671E-2"/>
    <n v="-6.8760894968058039E-2"/>
    <n v="3"/>
    <b v="1"/>
    <n v="0"/>
    <n v="0.81759069605862034"/>
    <n v="57.0093924139832"/>
    <n v="0.54250139369304362"/>
    <n v="2"/>
    <n v="-1"/>
    <n v="54.250139369304364"/>
    <n v="4"/>
    <n v="-0.3434295670607217"/>
    <b v="0"/>
    <s v="Cambio en corte"/>
    <n v="3"/>
    <n v="0"/>
    <n v="0"/>
    <n v="0"/>
    <n v="0"/>
    <n v="0"/>
    <n v="0"/>
    <s v="Rural disperso"/>
    <n v="6"/>
    <s v="Fuera SC"/>
    <m/>
    <s v="No"/>
    <s v="No"/>
    <n v="53.7"/>
    <n v="22.5501973571306"/>
    <n v="54.073454430201444"/>
    <s v="Alto"/>
    <n v="2.4220864411044629"/>
    <s v="Medio Bajo"/>
    <n v="26907.128970000002"/>
    <n v="5875.5193159999999"/>
    <n v="6772"/>
    <n v="3.9732913422917902"/>
    <n v="0.86761950915534547"/>
    <m/>
    <m/>
    <m/>
    <m/>
    <m/>
    <m/>
    <m/>
    <n v="86"/>
    <n v="0"/>
    <n v="7"/>
    <n v="19566.468363"/>
    <n v="3.3435579999999998"/>
    <n v="1.7088203849411246E-4"/>
    <n v="0"/>
    <n v="9.7276706314327677E-8"/>
    <s v="N.D."/>
    <s v="N.D."/>
    <s v="N.D."/>
    <n v="0.9679389665424929"/>
    <s v="Aceptable"/>
    <n v="3"/>
    <s v="Candidato"/>
    <n v="0"/>
    <n v="0"/>
  </r>
  <r>
    <n v="73854"/>
    <s v="73854"/>
    <x v="15"/>
    <x v="15"/>
    <s v="VALLE DE SAN JUAN"/>
    <n v="56.015999999999998"/>
    <n v="45.78"/>
    <n v="57.82"/>
    <n v="55.56"/>
    <n v="47.155818327990758"/>
    <n v="52.746305875092979"/>
    <n v="60.564465853881266"/>
    <n v="50.966799999999999"/>
    <n v="53.793999999999997"/>
    <n v="52.858347514241252"/>
    <n v="53.326173757120628"/>
    <n v="57.998677149062857"/>
    <n v="42.001322850937143"/>
    <n v="0.47801190565843432"/>
    <n v="0"/>
    <n v="25.490545939114021"/>
    <n v="4"/>
    <n v="4"/>
    <b v="1"/>
    <x v="5"/>
    <n v="52.850447443242203"/>
    <n v="0.48548878788085426"/>
    <n v="25.658299668180451"/>
    <n v="4"/>
    <n v="0"/>
    <n v="0.47572631387842534"/>
    <n v="-7.4768822224199338E-3"/>
    <n v="-0.16775372906642971"/>
    <n v="4"/>
    <b v="1"/>
    <n v="0"/>
    <n v="0.81759069605862034"/>
    <n v="43.210034112129925"/>
    <n v="0.36988596723159178"/>
    <n v="3"/>
    <n v="-1"/>
    <n v="36.988596723159176"/>
    <n v="4"/>
    <n v="-0.33957879040018601"/>
    <b v="1"/>
    <s v="Efecto ponderador"/>
    <n v="3"/>
    <n v="-1"/>
    <n v="0"/>
    <n v="0"/>
    <n v="0"/>
    <n v="0"/>
    <n v="0"/>
    <s v="Rural"/>
    <n v="6"/>
    <s v="Fuera SC"/>
    <m/>
    <s v="No"/>
    <s v="Si"/>
    <n v="40.4"/>
    <n v="16.459351399378054"/>
    <n v="32.911428571428573"/>
    <s v="Medio"/>
    <n v="3.2594434862263078"/>
    <s v="Medio Bajo"/>
    <n v="21021.771487000002"/>
    <n v="3345.4871945"/>
    <n v="5503"/>
    <n v="3.8200566031255683"/>
    <n v="0.6079387960203525"/>
    <m/>
    <m/>
    <m/>
    <m/>
    <m/>
    <m/>
    <m/>
    <n v="18"/>
    <n v="0"/>
    <n v="7"/>
    <n v="19774.217298"/>
    <n v="12068.322498"/>
    <n v="0.61030595123583531"/>
    <s v="51% - 70%"/>
    <n v="3.511129950024912E-4"/>
    <s v="N.D."/>
    <s v="N.D."/>
    <s v="N.D."/>
    <n v="0.97098264917789179"/>
    <s v="Aceptable"/>
    <n v="1"/>
    <s v="Candidato"/>
    <n v="0"/>
    <n v="0"/>
  </r>
  <r>
    <n v="73200"/>
    <s v="73200"/>
    <x v="15"/>
    <x v="15"/>
    <s v="COELLO"/>
    <n v="60.369266666666697"/>
    <n v="60.38"/>
    <n v="58.48"/>
    <n v="64.84"/>
    <n v="52.70586126109508"/>
    <n v="70.255814243489056"/>
    <n v="66.37940627110882"/>
    <n v="54.754600000000003"/>
    <n v="61.017316666666673"/>
    <n v="61.023920443923238"/>
    <n v="61.020618555294959"/>
    <n v="57.921447093701929"/>
    <n v="42.078552906298071"/>
    <n v="0.47870697615668267"/>
    <n v="0"/>
    <n v="29.210995791815613"/>
    <n v="4"/>
    <n v="4"/>
    <b v="1"/>
    <x v="4"/>
    <n v="60.462083765346861"/>
    <n v="0.48574372410876121"/>
    <n v="29.369077735555457"/>
    <n v="3"/>
    <n v="0"/>
    <n v="0.55853478994809791"/>
    <n v="-7.036747952078537E-3"/>
    <n v="-0.15808194373984463"/>
    <n v="3"/>
    <b v="1"/>
    <n v="0"/>
    <n v="0.81759069605862034"/>
    <n v="49.433237150864549"/>
    <n v="0.4477316773718315"/>
    <n v="3"/>
    <n v="0"/>
    <n v="44.773167737183151"/>
    <n v="4"/>
    <n v="-0.33888371990193766"/>
    <b v="0"/>
    <n v="0"/>
    <n v="3"/>
    <n v="0"/>
    <n v="0"/>
    <n v="0"/>
    <n v="0"/>
    <n v="0"/>
    <n v="0"/>
    <s v="Rural disperso"/>
    <n v="6"/>
    <s v="Fuera SC"/>
    <m/>
    <s v="No"/>
    <s v="No"/>
    <n v="35.799999999999997"/>
    <n v="15.730486991327552"/>
    <n v="50.173333333333325"/>
    <s v="Alto"/>
    <n v="1.0665970455214635"/>
    <s v="Medio Bajo"/>
    <n v="20134.695503999999"/>
    <n v="8380.3110190000007"/>
    <n v="8536"/>
    <n v="2.358797505154639"/>
    <n v="0.98176089725866922"/>
    <m/>
    <m/>
    <m/>
    <m/>
    <m/>
    <m/>
    <m/>
    <n v="55"/>
    <n v="0"/>
    <n v="7"/>
    <n v="34342.282875999997"/>
    <n v="17579.284984999998"/>
    <n v="0.5118845782172865"/>
    <s v="31% - 50%"/>
    <n v="5.1144766823297671E-4"/>
    <s v="N.D."/>
    <s v="N.D."/>
    <s v="N.D."/>
    <n v="0.87181882823156065"/>
    <s v="Aceptable"/>
    <n v="2"/>
    <s v="Candidato"/>
    <n v="0"/>
    <n v="0"/>
  </r>
  <r>
    <n v="41378"/>
    <s v="41378"/>
    <x v="19"/>
    <x v="19"/>
    <s v="LA ARGENTINA"/>
    <n v="64.870666666666693"/>
    <n v="75.17"/>
    <n v="49.53"/>
    <n v="61.87"/>
    <n v="56.508845123119748"/>
    <n v="52.539217903035869"/>
    <n v="67.514069996933927"/>
    <n v="53.195700000000002"/>
    <n v="62.860166666666679"/>
    <n v="57.439458255772379"/>
    <n v="60.149812461219526"/>
    <n v="57.71365025576538"/>
    <n v="42.28634974423462"/>
    <n v="0.48057714769811155"/>
    <n v="0"/>
    <n v="28.906625307189206"/>
    <n v="4"/>
    <n v="4"/>
    <b v="1"/>
    <x v="4"/>
    <n v="60.533980319417196"/>
    <n v="0.48728848964055593"/>
    <n v="29.497511841779943"/>
    <n v="3"/>
    <n v="0"/>
    <n v="-0.38416785819767085"/>
    <n v="-6.7113419424443821E-3"/>
    <n v="-0.59088653459073726"/>
    <n v="3"/>
    <b v="1"/>
    <n v="0"/>
    <n v="0.81759069605862034"/>
    <n v="49.492019104551133"/>
    <n v="0.44846697765043098"/>
    <n v="3"/>
    <n v="0"/>
    <n v="44.846697765043096"/>
    <n v="4"/>
    <n v="-0.33701354836050879"/>
    <b v="0"/>
    <n v="0"/>
    <n v="3"/>
    <n v="0"/>
    <n v="0"/>
    <n v="0"/>
    <n v="0"/>
    <n v="0"/>
    <n v="0"/>
    <s v="Rural"/>
    <n v="6"/>
    <s v="Fuera SC"/>
    <m/>
    <s v="No"/>
    <s v="Si"/>
    <n v="44"/>
    <n v="19.438877755511022"/>
    <n v="0"/>
    <s v="Sin riesgo"/>
    <n v="2.8217833983344534"/>
    <s v="Medio Bajo"/>
    <n v="30347.352244999998"/>
    <n v="5649.3712102"/>
    <n v="13876"/>
    <n v="2.1870389337705389"/>
    <n v="0.40713254613721533"/>
    <m/>
    <m/>
    <m/>
    <m/>
    <m/>
    <m/>
    <m/>
    <n v="54"/>
    <n v="0"/>
    <n v="7"/>
    <n v="35645.750681999998"/>
    <n v="29668.694388"/>
    <n v="0.83232065029792668"/>
    <s v="71% - 100%"/>
    <n v="8.6317416079249051E-4"/>
    <n v="1395.5247240000001"/>
    <n v="3.9149820029030752E-2"/>
    <s v="0% - 30%"/>
    <n v="0.96443444367706532"/>
    <s v="Aceptable"/>
    <n v="2"/>
    <s v="Candidato"/>
    <n v="0"/>
    <n v="0"/>
  </r>
  <r>
    <n v="25326"/>
    <s v="25326"/>
    <x v="5"/>
    <x v="5"/>
    <s v="GUATAVITA"/>
    <n v="64.511200000000002"/>
    <n v="62.68"/>
    <n v="74.099999999999994"/>
    <n v="40.98"/>
    <n v="67.850457012494374"/>
    <n v="65.984599843943982"/>
    <n v="64.21487774089529"/>
    <n v="55.9756"/>
    <n v="60.567799999999998"/>
    <n v="63.506383649333415"/>
    <n v="62.037091824666703"/>
    <n v="59.163874730753093"/>
    <n v="40.836125269246907"/>
    <n v="0.46752512742322216"/>
    <n v="0"/>
    <n v="29.003899260293434"/>
    <n v="4"/>
    <n v="4"/>
    <b v="1"/>
    <x v="4"/>
    <n v="64.004007122295107"/>
    <n v="0.48488283504248886"/>
    <n v="31.034444427538102"/>
    <n v="3"/>
    <n v="0"/>
    <n v="-1.9669152976284039"/>
    <n v="-1.7357707619266693E-2"/>
    <n v="-2.0305451672446679"/>
    <n v="3"/>
    <b v="1"/>
    <n v="0"/>
    <n v="0.81759069605862034"/>
    <n v="52.329080733658152"/>
    <n v="0.48395562808571674"/>
    <n v="2"/>
    <n v="-1"/>
    <n v="48.395562808571675"/>
    <n v="4"/>
    <n v="-0.35006556863539817"/>
    <b v="0"/>
    <s v="Cambio en corte"/>
    <n v="3"/>
    <n v="0"/>
    <n v="0"/>
    <n v="0"/>
    <n v="0"/>
    <n v="0"/>
    <n v="0"/>
    <s v="Rural"/>
    <n v="6"/>
    <s v="En aglomeración"/>
    <m/>
    <s v="No"/>
    <s v="No"/>
    <n v="33.1"/>
    <n v="7.7949552481692432"/>
    <n v="3.9858333333333333"/>
    <s v="Sin riesgo"/>
    <n v="0"/>
    <s v="Bajo"/>
    <n v="15568.406462999999"/>
    <n v="7337.4532490000001"/>
    <n v="6391"/>
    <n v="2.4359891195431076"/>
    <n v="1.148091573932092"/>
    <m/>
    <m/>
    <m/>
    <m/>
    <m/>
    <m/>
    <m/>
    <n v="87"/>
    <n v="0"/>
    <n v="7"/>
    <n v="25199.787784"/>
    <n v="16239.067392999999"/>
    <n v="0.6444128630047673"/>
    <s v="51% - 70%"/>
    <n v="4.7245568631004334E-4"/>
    <s v="N.D."/>
    <s v="N.D."/>
    <s v="N.D."/>
    <n v="0.90752299141202308"/>
    <s v="Aceptable"/>
    <n v="1"/>
    <s v="Candidato"/>
    <n v="0"/>
    <n v="0"/>
  </r>
  <r>
    <n v="50270"/>
    <s v="50270"/>
    <x v="16"/>
    <x v="16"/>
    <s v="EL DORADO"/>
    <n v="57.080100000000002"/>
    <n v="60.98"/>
    <n v="61.37"/>
    <n v="58.17"/>
    <n v="54.562844420234342"/>
    <n v="59.014038144837031"/>
    <n v="54.723163620892791"/>
    <n v="53.213799999999999"/>
    <n v="59.400024999999999"/>
    <n v="55.378461546491039"/>
    <n v="57.389243273245519"/>
    <n v="59.002127640037806"/>
    <n v="40.997872359962194"/>
    <n v="0.46898085123965982"/>
    <n v="0"/>
    <n v="26.914456162286605"/>
    <n v="4"/>
    <n v="4"/>
    <b v="1"/>
    <x v="5"/>
    <n v="59.887558510356939"/>
    <n v="0.48503164143495758"/>
    <n v="29.047360805810488"/>
    <n v="3"/>
    <n v="-1"/>
    <n v="-2.4983152371114201"/>
    <n v="-1.6050790195297759E-2"/>
    <n v="-2.132904643523883"/>
    <n v="4"/>
    <b v="1"/>
    <s v="Efecto ponderador"/>
    <n v="0.81759069605862034"/>
    <n v="48.963510647734083"/>
    <n v="0.44185589395607494"/>
    <n v="3"/>
    <n v="-1"/>
    <n v="44.185589395607494"/>
    <n v="4"/>
    <n v="-0.34860984481896051"/>
    <b v="1"/>
    <s v="Efecto ponderador"/>
    <n v="3"/>
    <n v="-1"/>
    <n v="0"/>
    <n v="0"/>
    <n v="0"/>
    <n v="0"/>
    <n v="1"/>
    <s v="Rural"/>
    <n v="6"/>
    <s v="Fuera SC"/>
    <m/>
    <s v="No"/>
    <s v="No"/>
    <n v="28.9"/>
    <n v="15.491393670183232"/>
    <n v="1.4966666666666668"/>
    <s v="Sin riesgo"/>
    <n v="1.3792492549539066"/>
    <s v="Medio Bajo"/>
    <n v="14497.709814"/>
    <n v="2835.63360625"/>
    <n v="4122"/>
    <n v="3.5171542489082968"/>
    <n v="0.6879266390708394"/>
    <m/>
    <m/>
    <m/>
    <m/>
    <m/>
    <m/>
    <m/>
    <n v="63"/>
    <n v="0"/>
    <n v="7"/>
    <n v="11717.599548"/>
    <n v="361.925254"/>
    <n v="3.0887320608406918E-2"/>
    <s v="0% - 30%"/>
    <n v="1.0529769975904845E-5"/>
    <s v="N.D."/>
    <s v="N.D."/>
    <s v="N.D."/>
    <n v="0.98593998543982453"/>
    <s v="Aceptable"/>
    <n v="1"/>
    <s v="Candidato"/>
    <n v="0"/>
    <n v="0"/>
  </r>
  <r>
    <n v="5842"/>
    <s v="05842"/>
    <x v="1"/>
    <x v="1"/>
    <s v="URAMITA"/>
    <n v="50.117033333333303"/>
    <n v="47.14"/>
    <n v="41.82"/>
    <n v="41.53"/>
    <n v="71.293695189011459"/>
    <n v="41.402882720948035"/>
    <n v="40.158868951058565"/>
    <n v="41.104199999999999"/>
    <n v="45.151758333333326"/>
    <n v="48.489911715254514"/>
    <n v="46.82083502429392"/>
    <n v="57.582596872421554"/>
    <n v="42.417403127578446"/>
    <n v="0.48175662814820608"/>
    <n v="0"/>
    <n v="22.55624760838727"/>
    <n v="4"/>
    <n v="4"/>
    <b v="1"/>
    <x v="5"/>
    <n v="49.599336741427749"/>
    <n v="0.48576778949206811"/>
    <n v="24.093760169156074"/>
    <n v="4"/>
    <n v="0"/>
    <n v="-2.7785017171338282"/>
    <n v="-4.0111613438620353E-3"/>
    <n v="-1.5375125607688034"/>
    <n v="4"/>
    <b v="1"/>
    <n v="0"/>
    <n v="0.81759069605862034"/>
    <n v="40.551956250469814"/>
    <n v="0.33663621506039243"/>
    <n v="4"/>
    <n v="0"/>
    <n v="33.663621506039242"/>
    <n v="4"/>
    <n v="-0.33583406791041426"/>
    <b v="1"/>
    <n v="0"/>
    <n v="4"/>
    <n v="0"/>
    <n v="0"/>
    <n v="0"/>
    <n v="0"/>
    <n v="0"/>
    <n v="1"/>
    <s v="Rural"/>
    <n v="6"/>
    <s v="Fuera SC"/>
    <m/>
    <s v="No"/>
    <s v="No"/>
    <n v="55.6"/>
    <n v="27.104093208646329"/>
    <n v="62.122379659985491"/>
    <s v="Alto"/>
    <n v="1.4618107952984372"/>
    <s v="Medio Bajo"/>
    <n v="20714.161241999998"/>
    <n v="4998.8541699999996"/>
    <n v="7406"/>
    <n v="2.7969431868755059"/>
    <n v="0.67497355792600588"/>
    <m/>
    <m/>
    <m/>
    <m/>
    <m/>
    <m/>
    <m/>
    <n v="99"/>
    <n v="0"/>
    <n v="7"/>
    <n v="26593.702083"/>
    <n v="10155.123321999999"/>
    <n v="0.38186196454729981"/>
    <s v="31% - 50%"/>
    <n v="2.9545081885224474E-4"/>
    <n v="131.26435699999999"/>
    <n v="4.9359189100606875E-3"/>
    <s v="0% - 30%"/>
    <n v="0.94598845808010124"/>
    <s v="Aceptable"/>
    <n v="1"/>
    <s v="Candidato"/>
    <n v="0"/>
    <n v="0"/>
  </r>
  <r>
    <n v="41524"/>
    <s v="41524"/>
    <x v="19"/>
    <x v="19"/>
    <s v="PALERMO"/>
    <n v="68.111266666666694"/>
    <n v="80.38"/>
    <n v="79.58"/>
    <n v="84.23"/>
    <n v="73.267507349953817"/>
    <n v="54.324743468746419"/>
    <n v="61.010131379328399"/>
    <n v="58.768700000000003"/>
    <n v="78.07531666666668"/>
    <n v="61.842770549507158"/>
    <n v="69.959043608086915"/>
    <n v="58.358704837463094"/>
    <n v="41.641295162536906"/>
    <n v="0.47477165646283215"/>
    <n v="0"/>
    <n v="33.214571018366932"/>
    <n v="3"/>
    <n v="3"/>
    <b v="1"/>
    <x v="4"/>
    <n v="67.457192226482846"/>
    <n v="0.48627271655644821"/>
    <n v="32.802592115242334"/>
    <n v="3"/>
    <n v="0"/>
    <n v="2.5018513816040695"/>
    <n v="-1.1501060093616067E-2"/>
    <n v="0.41197890312459862"/>
    <n v="3"/>
    <b v="1"/>
    <n v="0"/>
    <n v="0.81759069605862034"/>
    <n v="55.152372746610261"/>
    <n v="0.51927203513744813"/>
    <n v="2"/>
    <n v="-1"/>
    <n v="51.927203513744814"/>
    <n v="4"/>
    <n v="-0.34281903959578819"/>
    <b v="0"/>
    <s v="Cambio en corte"/>
    <n v="2"/>
    <n v="-1"/>
    <n v="0"/>
    <n v="0"/>
    <n v="0"/>
    <n v="0"/>
    <n v="0"/>
    <s v="Rural"/>
    <n v="6"/>
    <s v="Fuera SC"/>
    <m/>
    <s v="No"/>
    <s v="Si"/>
    <n v="32.6"/>
    <n v="12.594218504100057"/>
    <n v="7.5554079811197159"/>
    <s v="Bajo"/>
    <n v="1.3484155682398471"/>
    <s v="Medio Bajo"/>
    <n v="69344.677137999999"/>
    <n v="31469.974908249998"/>
    <n v="26677"/>
    <n v="2.5994181181542153"/>
    <n v="1.1796669381208531"/>
    <m/>
    <m/>
    <m/>
    <m/>
    <m/>
    <m/>
    <m/>
    <n v="71"/>
    <n v="0"/>
    <n v="6"/>
    <n v="88400.206827999995"/>
    <n v="22301.891213999999"/>
    <n v="0.25228324699955418"/>
    <s v="0% - 30%"/>
    <n v="6.4884608607906989E-4"/>
    <n v="197.81353100000001"/>
    <n v="2.2377043911773328E-3"/>
    <s v="0% - 30%"/>
    <n v="0.89849777502080297"/>
    <s v="Aceptable"/>
    <n v="2"/>
    <s v="Candidato"/>
    <n v="0"/>
    <n v="0"/>
  </r>
  <r>
    <n v="20770"/>
    <s v="20770"/>
    <x v="20"/>
    <x v="20"/>
    <s v="SAN MARTÍN"/>
    <n v="67.713999999999999"/>
    <n v="54.71"/>
    <n v="59.3"/>
    <n v="73.31"/>
    <n v="62.872887450537462"/>
    <n v="70.338135154419774"/>
    <n v="62.911025977375672"/>
    <n v="56.816800000000001"/>
    <n v="63.758499999999998"/>
    <n v="63.234712145583231"/>
    <n v="63.496606072791614"/>
    <n v="57.267790444436386"/>
    <n v="42.732209555563614"/>
    <n v="0.48458988600007258"/>
    <n v="0"/>
    <n v="30.769813098205603"/>
    <n v="3"/>
    <n v="3"/>
    <b v="1"/>
    <x v="4"/>
    <n v="63.41340097574615"/>
    <n v="0.48553240830293398"/>
    <n v="30.789261294433651"/>
    <n v="3"/>
    <n v="0"/>
    <n v="8.3205097045464527E-2"/>
    <n v="-9.4252230286140382E-4"/>
    <n v="-1.9448196228047721E-2"/>
    <n v="3"/>
    <b v="1"/>
    <n v="0"/>
    <n v="0.81759069605862034"/>
    <n v="51.846206643204688"/>
    <n v="0.47791538221141283"/>
    <n v="3"/>
    <n v="0"/>
    <n v="47.79153822114128"/>
    <n v="4"/>
    <n v="-0.33300081005854776"/>
    <b v="0"/>
    <n v="0"/>
    <n v="2"/>
    <n v="-1"/>
    <n v="0"/>
    <n v="0"/>
    <n v="0"/>
    <n v="0"/>
    <n v="0"/>
    <s v="Rural"/>
    <n v="6"/>
    <s v="Fuera SC"/>
    <m/>
    <s v="No"/>
    <s v="Si"/>
    <n v="41.7"/>
    <n v="24.090553491101115"/>
    <n v="1.6304347826086956"/>
    <s v="Sin riesgo"/>
    <n v="1.1496333591028249"/>
    <s v="Medio Bajo"/>
    <n v="52847.115021999998"/>
    <n v="22144.322522999999"/>
    <n v="33351"/>
    <n v="1.5845736266378818"/>
    <n v="0.66397776747323911"/>
    <m/>
    <m/>
    <m/>
    <m/>
    <m/>
    <m/>
    <m/>
    <n v="8"/>
    <n v="0"/>
    <n v="6"/>
    <n v="99173.009865999993"/>
    <n v="27017.027257999998"/>
    <n v="0.27242318544637001"/>
    <s v="0% - 30%"/>
    <n v="7.8602716808341645E-4"/>
    <s v="N.D."/>
    <s v="N.D."/>
    <s v="N.D."/>
    <n v="0.91541804444968755"/>
    <s v="Aceptable"/>
    <n v="2"/>
    <s v="Candidato"/>
    <n v="0"/>
    <n v="0"/>
  </r>
  <r>
    <n v="15293"/>
    <s v="15293"/>
    <x v="10"/>
    <x v="10"/>
    <s v="GACHANTIVÁ"/>
    <n v="58.421566666666699"/>
    <n v="52.06"/>
    <n v="45.97"/>
    <n v="84.81"/>
    <n v="55.867154818254498"/>
    <n v="51.148791825958718"/>
    <n v="54.018457021781678"/>
    <n v="55.061900000000001"/>
    <n v="60.315391666666677"/>
    <n v="54.024075916498724"/>
    <n v="57.169733791582701"/>
    <n v="58.714983679733187"/>
    <n v="41.285016320266813"/>
    <n v="0.47156514688240136"/>
    <n v="0"/>
    <n v="26.95925391265548"/>
    <n v="4"/>
    <n v="4"/>
    <b v="1"/>
    <x v="5"/>
    <n v="53.373402678955102"/>
    <n v="0.48419159733928796"/>
    <n v="25.842953098556301"/>
    <n v="4"/>
    <n v="0"/>
    <n v="3.7963311126275983"/>
    <n v="-1.2626450456886595E-2"/>
    <n v="1.1163008140991799"/>
    <n v="4"/>
    <b v="1"/>
    <n v="0"/>
    <n v="0.81759069605862034"/>
    <n v="43.637597447303932"/>
    <n v="0.37523433386038135"/>
    <n v="3"/>
    <n v="-1"/>
    <n v="37.523433386038135"/>
    <n v="4"/>
    <n v="-0.34602554917621897"/>
    <b v="1"/>
    <s v="Efecto ponderador"/>
    <n v="3"/>
    <n v="-1"/>
    <n v="0"/>
    <n v="0"/>
    <n v="0"/>
    <n v="0"/>
    <n v="0"/>
    <s v="Rural disperso"/>
    <n v="6"/>
    <s v="Fuera SC"/>
    <m/>
    <s v="No"/>
    <s v="No"/>
    <n v="51.2"/>
    <n v="10.459183673469388"/>
    <n v="60.267520525451559"/>
    <s v="Alto"/>
    <n v="8.6866288303714114"/>
    <s v="Medio"/>
    <n v="8715.7997109999997"/>
    <n v="2190.4809746999999"/>
    <n v="2765"/>
    <n v="3.1521879605786616"/>
    <n v="0.79221735070524413"/>
    <m/>
    <m/>
    <m/>
    <m/>
    <m/>
    <m/>
    <m/>
    <n v="68"/>
    <n v="0"/>
    <n v="7"/>
    <n v="8802.5661820000005"/>
    <n v="4959.33673"/>
    <n v="0.56339669903773515"/>
    <s v="51% - 70%"/>
    <n v="1.44285800514921E-4"/>
    <s v="N.D."/>
    <s v="N.D."/>
    <s v="N.D."/>
    <n v="0.91260169139173064"/>
    <s v="Aceptable"/>
    <n v="2"/>
    <s v="Candidato"/>
    <n v="0"/>
    <n v="0"/>
  </r>
  <r>
    <n v="73870"/>
    <s v="73870"/>
    <x v="15"/>
    <x v="15"/>
    <s v="VILLAHERMOSA"/>
    <n v="54.226066666666703"/>
    <n v="43.05"/>
    <n v="54.79"/>
    <n v="59.49"/>
    <n v="48.992301235594269"/>
    <n v="50.841623849512139"/>
    <n v="41.225969727771869"/>
    <n v="64.093299999999999"/>
    <n v="52.889016666666677"/>
    <n v="51.288298703219567"/>
    <n v="52.088657684943122"/>
    <n v="58.136484246488131"/>
    <n v="41.863515753511869"/>
    <n v="0.4767716417816068"/>
    <n v="0"/>
    <n v="24.834394842650443"/>
    <n v="4"/>
    <n v="4"/>
    <b v="1"/>
    <x v="5"/>
    <n v="48.893629454978679"/>
    <n v="0.48567045025622513"/>
    <n v="23.746191032060526"/>
    <n v="4"/>
    <n v="0"/>
    <n v="3.1950282299644428"/>
    <n v="-8.8988084746183249E-3"/>
    <n v="1.088203810589917"/>
    <n v="4"/>
    <b v="1"/>
    <n v="0"/>
    <n v="0.81759069605862034"/>
    <n v="39.974976538928281"/>
    <n v="0.32941880706295162"/>
    <n v="4"/>
    <n v="0"/>
    <n v="32.941880706295166"/>
    <n v="4"/>
    <n v="-0.34081905427701353"/>
    <b v="1"/>
    <n v="0"/>
    <n v="3"/>
    <n v="-1"/>
    <n v="0"/>
    <n v="0"/>
    <n v="0"/>
    <n v="0"/>
    <n v="1"/>
    <s v="Rural"/>
    <n v="6"/>
    <s v="Fuera SC"/>
    <m/>
    <s v="No"/>
    <s v="Si"/>
    <n v="51.3"/>
    <n v="13.908450704225352"/>
    <n v="0.87619047619047608"/>
    <s v="Sin riesgo"/>
    <n v="2.5488863343552599"/>
    <s v="Medio Bajo"/>
    <n v="12060.959709000001"/>
    <n v="3516.5332749999998"/>
    <n v="9556"/>
    <n v="1.2621347539765593"/>
    <n v="0.36799218030556718"/>
    <m/>
    <m/>
    <m/>
    <m/>
    <m/>
    <m/>
    <m/>
    <n v="89"/>
    <n v="0"/>
    <n v="7"/>
    <n v="27906.490292999999"/>
    <n v="18152.239308"/>
    <n v="0.65046658026191373"/>
    <s v="51% - 70%"/>
    <n v="5.2811706933503493E-4"/>
    <s v="N.D."/>
    <s v="N.D."/>
    <s v="N.D."/>
    <n v="0.65290326594830339"/>
    <s v="Crítico Medio"/>
    <n v="1"/>
    <s v="Candidato"/>
    <n v="0"/>
    <n v="0"/>
  </r>
  <r>
    <n v="76100"/>
    <s v="76100"/>
    <x v="3"/>
    <x v="3"/>
    <s v="BOLÍVAR"/>
    <n v="64.009766666666707"/>
    <n v="72.010000000000005"/>
    <n v="44.84"/>
    <n v="64.930000000000007"/>
    <n v="53.087677369707819"/>
    <n v="56.352162874232043"/>
    <n v="52.998586307929266"/>
    <n v="47.866199999999999"/>
    <n v="61.447441666666684"/>
    <n v="52.57615663796728"/>
    <n v="57.011799152316982"/>
    <n v="58.380794442946979"/>
    <n v="41.619205557053021"/>
    <n v="0.47457285001347727"/>
    <n v="0"/>
    <n v="27.056252008111016"/>
    <n v="4"/>
    <n v="4"/>
    <b v="1"/>
    <x v="5"/>
    <n v="58.071826335715777"/>
    <n v="0.48540890675512705"/>
    <n v="28.18858173489339"/>
    <n v="3"/>
    <n v="-1"/>
    <n v="-1.0600271833987946"/>
    <n v="-1.083605674164978E-2"/>
    <n v="-1.1323297267823733"/>
    <n v="4"/>
    <b v="1"/>
    <s v="Efecto ponderador"/>
    <n v="0.81759069605862034"/>
    <n v="47.478984915213182"/>
    <n v="0.42328604187986069"/>
    <n v="3"/>
    <n v="-1"/>
    <n v="42.328604187986066"/>
    <n v="4"/>
    <n v="-0.34301784604514307"/>
    <b v="1"/>
    <s v="Efecto ponderador"/>
    <n v="3"/>
    <n v="-1"/>
    <n v="0"/>
    <n v="0"/>
    <n v="0"/>
    <n v="0"/>
    <n v="1"/>
    <s v="Rural"/>
    <n v="6"/>
    <s v="Fuera SC"/>
    <m/>
    <s v="No"/>
    <s v="No"/>
    <n v="29.7"/>
    <n v="15.706165911216635"/>
    <n v="18.652336447920671"/>
    <s v="Medio"/>
    <n v="8.1927591012771881"/>
    <s v="Medio"/>
    <n v="28007.241986000001"/>
    <n v="5824.6402841499994"/>
    <n v="16071"/>
    <n v="1.7427193071993032"/>
    <n v="0.36243172697094139"/>
    <m/>
    <m/>
    <m/>
    <m/>
    <m/>
    <m/>
    <m/>
    <n v="66"/>
    <n v="0"/>
    <n v="7"/>
    <n v="74377.841918999999"/>
    <n v="61178.094889"/>
    <n v="0.82253119088377191"/>
    <s v="71% - 100%"/>
    <n v="1.7799014012579786E-3"/>
    <n v="6735.0689419999999"/>
    <n v="9.0552088743509382E-2"/>
    <s v="0% - 30%"/>
    <n v="0.96340351480577024"/>
    <s v="Aceptable"/>
    <n v="2"/>
    <s v="Candidato"/>
    <n v="0"/>
    <n v="0"/>
  </r>
  <r>
    <n v="25426"/>
    <s v="25426"/>
    <x v="5"/>
    <x v="5"/>
    <s v="MACHETÁ"/>
    <n v="55.731533333333303"/>
    <n v="57.27"/>
    <n v="52.53"/>
    <n v="57.65"/>
    <n v="49.685950074545907"/>
    <n v="50.565946184967196"/>
    <n v="59.363013522333262"/>
    <n v="61.400100000000002"/>
    <n v="55.795383333333326"/>
    <n v="55.253752445461593"/>
    <n v="55.52456788939746"/>
    <n v="58.949049769426573"/>
    <n v="41.050950230573427"/>
    <n v="0.46945855207516085"/>
    <n v="0"/>
    <n v="26.066483245955503"/>
    <n v="4"/>
    <n v="4"/>
    <b v="1"/>
    <x v="5"/>
    <n v="54.325841984399133"/>
    <n v="0.4852897537314842"/>
    <n v="26.363774477864581"/>
    <n v="4"/>
    <n v="0"/>
    <n v="1.1987259049983265"/>
    <n v="-1.5831201656323346E-2"/>
    <n v="-0.29729123190907814"/>
    <n v="4"/>
    <b v="1"/>
    <n v="0"/>
    <n v="0.81759069605862034"/>
    <n v="44.416302961995505"/>
    <n v="0.38497511901618947"/>
    <n v="3"/>
    <n v="-1"/>
    <n v="38.49751190161895"/>
    <n v="4"/>
    <n v="-0.34813214398345949"/>
    <b v="1"/>
    <s v="Efecto ponderador"/>
    <n v="3"/>
    <n v="-1"/>
    <n v="0"/>
    <n v="0"/>
    <n v="0"/>
    <n v="0"/>
    <n v="0"/>
    <s v="Rural"/>
    <n v="6"/>
    <s v="Fuera SC"/>
    <m/>
    <s v="No"/>
    <s v="No"/>
    <n v="38.200000000000003"/>
    <n v="12.786449684490202"/>
    <n v="16.887469703281951"/>
    <s v="Medio"/>
    <n v="0"/>
    <s v="Bajo"/>
    <n v="15360.579931"/>
    <n v="3856.8816436999996"/>
    <n v="6273"/>
    <n v="2.4486816405228757"/>
    <n v="0.61483845746851584"/>
    <m/>
    <m/>
    <m/>
    <m/>
    <m/>
    <m/>
    <m/>
    <n v="96"/>
    <n v="0"/>
    <n v="7"/>
    <n v="22883.676632999999"/>
    <n v="7317.516087"/>
    <n v="0.31977012279781941"/>
    <s v="31% - 50%"/>
    <n v="2.1289412755677256E-4"/>
    <s v="N.D."/>
    <s v="N.D."/>
    <s v="N.D."/>
    <n v="0.94681464849679187"/>
    <s v="Aceptable"/>
    <n v="2"/>
    <s v="No es Candidato"/>
    <n v="0"/>
    <n v="0"/>
  </r>
  <r>
    <n v="15401"/>
    <s v="15401"/>
    <x v="10"/>
    <x v="10"/>
    <s v="LA VICTORIA"/>
    <n v="66.272833333333296"/>
    <n v="84.58"/>
    <n v="78.61"/>
    <n v="80.239999999999995"/>
    <n v="45.972296544360987"/>
    <n v="35.033727820474986"/>
    <n v="44.542843745826843"/>
    <n v="55.619100000000003"/>
    <n v="77.425708333333333"/>
    <n v="45.291992027665707"/>
    <n v="61.358850180499516"/>
    <n v="58.037326350420273"/>
    <n v="41.962673649579727"/>
    <n v="0.47766406284621754"/>
    <n v="0"/>
    <n v="29.308917668789768"/>
    <n v="4"/>
    <n v="4"/>
    <b v="1"/>
    <x v="4"/>
    <n v="56.723149785878739"/>
    <n v="0.4850256205400143"/>
    <n v="27.512180923880013"/>
    <n v="4"/>
    <n v="1"/>
    <n v="4.6357003946207769"/>
    <n v="-7.3615576937967608E-3"/>
    <n v="1.7967367449097544"/>
    <n v="3"/>
    <b v="1"/>
    <s v="Efecto ponderador"/>
    <n v="0.81759069605862034"/>
    <n v="46.376319516073977"/>
    <n v="0.40949286005551899"/>
    <n v="3"/>
    <n v="0"/>
    <n v="40.949286005551897"/>
    <n v="4"/>
    <n v="-0.3399266332124028"/>
    <b v="0"/>
    <n v="0"/>
    <n v="4"/>
    <n v="1"/>
    <n v="0"/>
    <n v="0"/>
    <n v="0"/>
    <n v="0"/>
    <n v="0"/>
    <s v="Rural"/>
    <n v="6"/>
    <s v="Fuera SC"/>
    <m/>
    <s v="No"/>
    <s v="No"/>
    <n v="38.4"/>
    <n v="16.84100418410042"/>
    <n v="10.807687552213867"/>
    <s v="Bajo"/>
    <n v="0"/>
    <s v="Bajo"/>
    <n v="7090.8527569999997"/>
    <n v="2347.9387019999999"/>
    <n v="1142"/>
    <n v="6.2091530271453585"/>
    <n v="2.0559883555166376"/>
    <m/>
    <m/>
    <m/>
    <m/>
    <m/>
    <m/>
    <m/>
    <n v="33"/>
    <n v="0"/>
    <n v="7"/>
    <n v="2797.3062279999999"/>
    <n v="0"/>
    <n v="0"/>
    <n v="0"/>
    <n v="0"/>
    <s v="N.D."/>
    <s v="N.D."/>
    <s v="N.D."/>
    <n v="0.86845769874952217"/>
    <s v="Aceptable"/>
    <n v="2"/>
    <s v="Candidato"/>
    <n v="0"/>
    <n v="0"/>
  </r>
  <r>
    <n v="25279"/>
    <s v="25279"/>
    <x v="5"/>
    <x v="5"/>
    <s v="FÓMEQUE"/>
    <n v="59.7154666666667"/>
    <n v="46.17"/>
    <n v="53.94"/>
    <n v="55.46"/>
    <n v="56.547908340986886"/>
    <n v="65.146050507655431"/>
    <n v="68.613915109460294"/>
    <n v="51.212499999999999"/>
    <n v="53.821366666666677"/>
    <n v="60.380093489525656"/>
    <n v="57.100730078096163"/>
    <n v="59.166442552447705"/>
    <n v="40.833557447552295"/>
    <n v="0.46750201702797067"/>
    <n v="0"/>
    <n v="26.694706485279671"/>
    <n v="4"/>
    <n v="4"/>
    <b v="1"/>
    <x v="5"/>
    <n v="58.601933103210413"/>
    <n v="0.48454616822902163"/>
    <n v="28.395342135974065"/>
    <n v="3"/>
    <n v="-1"/>
    <n v="-1.5012030251142505"/>
    <n v="-1.7044151201050961E-2"/>
    <n v="-1.7006356506943945"/>
    <n v="4"/>
    <b v="1"/>
    <s v="Efecto ponderador"/>
    <n v="0.81759069605862034"/>
    <n v="47.912395276234506"/>
    <n v="0.42870754863865396"/>
    <n v="3"/>
    <n v="-1"/>
    <n v="42.870754863865393"/>
    <n v="4"/>
    <n v="-0.35008867903064966"/>
    <b v="1"/>
    <s v="Efecto ponderador"/>
    <n v="3"/>
    <n v="-1"/>
    <n v="0"/>
    <n v="0"/>
    <n v="0"/>
    <n v="0"/>
    <n v="0"/>
    <s v="Rural"/>
    <n v="6"/>
    <s v="Fuera SC"/>
    <m/>
    <s v="No"/>
    <s v="No"/>
    <n v="27.4"/>
    <n v="6.5215368871522932"/>
    <n v="2.1908477499653309"/>
    <s v="Sin riesgo"/>
    <n v="0.60964257545816658"/>
    <s v="Medio Bajo"/>
    <n v="17444.23444"/>
    <n v="6191.4718789999997"/>
    <n v="12340"/>
    <n v="1.4136332609400324"/>
    <n v="0.50174002260940032"/>
    <m/>
    <m/>
    <m/>
    <m/>
    <m/>
    <m/>
    <m/>
    <n v="40"/>
    <n v="0"/>
    <n v="7"/>
    <n v="45951.731979999997"/>
    <n v="28822.475023999999"/>
    <n v="0.62723370332471207"/>
    <s v="51% - 70%"/>
    <n v="8.3855444953001947E-4"/>
    <s v="N.D."/>
    <s v="N.D."/>
    <s v="N.D."/>
    <n v="0.96911171204403912"/>
    <s v="Aceptable"/>
    <n v="1"/>
    <s v="Candidato"/>
    <n v="0"/>
    <n v="0"/>
  </r>
  <r>
    <n v="54398"/>
    <s v="54398"/>
    <x v="12"/>
    <x v="12"/>
    <s v="LA PLAYA"/>
    <n v="67.220433333333304"/>
    <n v="65.209999999999994"/>
    <n v="71.03"/>
    <n v="65.7"/>
    <n v="48.100918977355548"/>
    <n v="46.274317195114882"/>
    <n v="50.681985919153639"/>
    <n v="49.341000000000001"/>
    <n v="67.290108333333322"/>
    <n v="48.599555522906023"/>
    <n v="57.944831928119669"/>
    <n v="58.101103880360007"/>
    <n v="41.898896119639993"/>
    <n v="0.47709006507675999"/>
    <n v="0"/>
    <n v="27.644903635448532"/>
    <n v="4"/>
    <n v="4"/>
    <b v="1"/>
    <x v="5"/>
    <n v="57.995083209386706"/>
    <n v="0.48501581097616042"/>
    <n v="28.128532315430597"/>
    <n v="3"/>
    <n v="-1"/>
    <n v="-5.0251281267037484E-2"/>
    <n v="-7.9257458994004271E-3"/>
    <n v="-0.48362867998206482"/>
    <n v="4"/>
    <b v="1"/>
    <s v="Efecto ponderador"/>
    <n v="0.81759069605862034"/>
    <n v="47.416240449140084"/>
    <n v="0.42250117474818766"/>
    <n v="3"/>
    <n v="-1"/>
    <n v="42.250117474818765"/>
    <n v="4"/>
    <n v="-0.34050063098186034"/>
    <b v="1"/>
    <s v="Efecto ponderador"/>
    <n v="4"/>
    <n v="0"/>
    <n v="0"/>
    <n v="0"/>
    <n v="0"/>
    <n v="0"/>
    <n v="1"/>
    <s v="Rural disperso"/>
    <n v="6"/>
    <s v="Fuera SC"/>
    <m/>
    <s v="No"/>
    <s v="Si"/>
    <n v="67.900000000000006"/>
    <n v="24.405261684858662"/>
    <n v="56.688002516874505"/>
    <s v="Alto"/>
    <n v="34.412275299241635"/>
    <s v="Muy Alto"/>
    <n v="22065.732184"/>
    <n v="3650.801712"/>
    <n v="8582"/>
    <n v="2.571164318806805"/>
    <n v="0.42540220368212539"/>
    <m/>
    <m/>
    <m/>
    <m/>
    <m/>
    <m/>
    <m/>
    <n v="14"/>
    <n v="0"/>
    <n v="7"/>
    <n v="24177.236669999998"/>
    <n v="6906.1308250000002"/>
    <n v="0.28564599500195903"/>
    <s v="0% - 30%"/>
    <n v="2.0092537950047542E-4"/>
    <s v="N.D."/>
    <s v="N.D."/>
    <s v="N.D."/>
    <n v="0.92915791673166592"/>
    <s v="Aceptable"/>
    <n v="2"/>
    <s v="Candidato"/>
    <n v="0"/>
    <n v="0"/>
  </r>
  <r>
    <n v="5150"/>
    <s v="05150"/>
    <x v="1"/>
    <x v="1"/>
    <s v="CAROLINA"/>
    <n v="65.709733333333304"/>
    <n v="67.25"/>
    <n v="53.9"/>
    <n v="79.349999999999994"/>
    <n v="49.686145738854314"/>
    <n v="60.354551830586217"/>
    <n v="14.305873790683126"/>
    <n v="56.021099999999997"/>
    <n v="66.552433333333326"/>
    <n v="45.091917840030916"/>
    <n v="55.822175586682121"/>
    <n v="57.915066340481516"/>
    <n v="42.084933659518484"/>
    <n v="0.47876440293566636"/>
    <n v="0"/>
    <n v="26.725670565327796"/>
    <n v="4"/>
    <n v="4"/>
    <b v="1"/>
    <x v="5"/>
    <n v="54.458915498190009"/>
    <n v="0.48754409843332502"/>
    <n v="26.551122858221678"/>
    <n v="4"/>
    <n v="0"/>
    <n v="1.3632600884921118"/>
    <n v="-8.7796954976586683E-3"/>
    <n v="0.17454770710611811"/>
    <n v="4"/>
    <b v="1"/>
    <n v="0"/>
    <n v="0.81759069605862034"/>
    <n v="44.52510262876276"/>
    <n v="0.38633608816178888"/>
    <n v="3"/>
    <n v="-1"/>
    <n v="38.633608816178885"/>
    <n v="4"/>
    <n v="-0.33882629312295398"/>
    <b v="1"/>
    <s v="Efecto ponderador"/>
    <n v="3"/>
    <n v="-1"/>
    <n v="0"/>
    <n v="0"/>
    <n v="0"/>
    <n v="0"/>
    <n v="0"/>
    <s v="Rural"/>
    <n v="6"/>
    <s v="Fuera SC"/>
    <m/>
    <s v="No"/>
    <s v="Si"/>
    <n v="20.399999999999999"/>
    <n v="6.2349397590361448"/>
    <n v="11.102713913249584"/>
    <s v="Bajo"/>
    <n v="0.22118710350617407"/>
    <s v="Medio Bajo"/>
    <n v="18142.421119999999"/>
    <n v="4707.5970061000007"/>
    <n v="3947"/>
    <n v="4.596509024575627"/>
    <n v="1.1927025604509756"/>
    <m/>
    <m/>
    <m/>
    <m/>
    <m/>
    <m/>
    <m/>
    <n v="61"/>
    <n v="0"/>
    <n v="7"/>
    <n v="14951.422484000001"/>
    <n v="938.12535700000001"/>
    <n v="6.2744889859404226E-2"/>
    <s v="0% - 30%"/>
    <n v="2.7293603053667026E-5"/>
    <s v="N.D."/>
    <s v="N.D."/>
    <s v="N.D."/>
    <n v="0.94835255183861311"/>
    <s v="Aceptable"/>
    <n v="2"/>
    <s v="Candidato"/>
    <n v="0"/>
    <n v="0"/>
  </r>
  <r>
    <n v="44090"/>
    <s v="44090"/>
    <x v="21"/>
    <x v="21"/>
    <s v="DIBULLA"/>
    <n v="61.345666666666702"/>
    <n v="76.88"/>
    <n v="73.17"/>
    <n v="84.43"/>
    <n v="66.593994901234566"/>
    <n v="55.851910600306631"/>
    <n v="67.091939779401216"/>
    <n v="60.500300000000003"/>
    <n v="73.956416666666684"/>
    <n v="62.509536320235604"/>
    <n v="68.232976493451147"/>
    <n v="57.535676944194492"/>
    <n v="42.464323055805508"/>
    <n v="0.48217890750224957"/>
    <n v="0"/>
    <n v="32.900502061238953"/>
    <n v="3"/>
    <n v="3"/>
    <b v="1"/>
    <x v="4"/>
    <n v="64.183575632920139"/>
    <n v="0.48541046984656866"/>
    <n v="31.155379604408541"/>
    <n v="3"/>
    <n v="0"/>
    <n v="4.0494008605310086"/>
    <n v="-3.2315623443190944E-3"/>
    <n v="1.745122456830412"/>
    <n v="3"/>
    <b v="1"/>
    <n v="0"/>
    <n v="0.81759069605862034"/>
    <n v="52.475894277250276"/>
    <n v="0.48579211075999212"/>
    <n v="2"/>
    <n v="-1"/>
    <n v="48.579211075999211"/>
    <n v="4"/>
    <n v="-0.33541178855637077"/>
    <b v="0"/>
    <s v="Cambio en corte"/>
    <n v="3"/>
    <n v="0"/>
    <n v="0"/>
    <n v="0"/>
    <n v="0"/>
    <n v="1"/>
    <n v="1"/>
    <s v="Rural disperso"/>
    <n v="6"/>
    <s v="Fuera SC"/>
    <m/>
    <s v="No"/>
    <s v="No"/>
    <n v="65.5"/>
    <n v="55.422905137784767"/>
    <n v="48.859712267180477"/>
    <s v="Alto"/>
    <n v="6.721134189577306"/>
    <s v="Medio"/>
    <n v="116820.84822"/>
    <n v="15887.873523600001"/>
    <n v="48596"/>
    <n v="2.4039190102066015"/>
    <n v="0.32693788631986176"/>
    <m/>
    <m/>
    <m/>
    <m/>
    <m/>
    <m/>
    <m/>
    <n v="76"/>
    <n v="0"/>
    <n v="7"/>
    <n v="174678.683361"/>
    <n v="124431.66740400001"/>
    <n v="0.71234603450063272"/>
    <s v="71% - 100%"/>
    <n v="3.620186270512134E-3"/>
    <n v="125247.583988"/>
    <n v="0.71701699130143348"/>
    <s v="71% - 100%"/>
    <n v="0.82819523877467471"/>
    <s v="Crítico bajo"/>
    <n v="3"/>
    <s v="Candidato"/>
    <n v="0"/>
    <n v="0"/>
  </r>
  <r>
    <n v="15325"/>
    <s v="15325"/>
    <x v="10"/>
    <x v="10"/>
    <s v="GUAYATÁ"/>
    <n v="79.414599999999993"/>
    <n v="76.900000000000006"/>
    <n v="52.46"/>
    <n v="65.95"/>
    <n v="41.96996577437848"/>
    <n v="60.943553309261908"/>
    <n v="54.46638841574871"/>
    <n v="51.354999999999997"/>
    <n v="68.681150000000002"/>
    <n v="52.183726874847274"/>
    <n v="60.432438437423642"/>
    <n v="58.154835854268363"/>
    <n v="41.845164145731637"/>
    <n v="0.47660647731158479"/>
    <n v="0"/>
    <n v="28.802491599009695"/>
    <n v="4"/>
    <n v="4"/>
    <b v="1"/>
    <x v="4"/>
    <n v="62.006149684613405"/>
    <n v="0.48579513844631139"/>
    <n v="30.122286070559475"/>
    <n v="3"/>
    <n v="0"/>
    <n v="-1.5737112471897632"/>
    <n v="-9.1886611347266056E-3"/>
    <n v="-1.3197944715497805"/>
    <n v="3"/>
    <b v="1"/>
    <n v="0"/>
    <n v="0.81759069605862034"/>
    <n v="50.695651080558072"/>
    <n v="0.46352314492258412"/>
    <n v="3"/>
    <n v="0"/>
    <n v="46.352314492258415"/>
    <n v="4"/>
    <n v="-0.34098421874703555"/>
    <b v="0"/>
    <n v="0"/>
    <n v="3"/>
    <n v="0"/>
    <n v="0"/>
    <n v="0"/>
    <n v="0"/>
    <n v="0"/>
    <n v="0"/>
    <s v="Rural"/>
    <n v="6"/>
    <s v="Fuera SC"/>
    <m/>
    <s v="No"/>
    <s v="No"/>
    <n v="36.1"/>
    <n v="9.9384914211719"/>
    <n v="31.748971505528779"/>
    <s v="Medio"/>
    <n v="0"/>
    <s v="Bajo"/>
    <n v="9593.0428840000004"/>
    <n v="2153.0188944499996"/>
    <n v="3455"/>
    <n v="2.7765681285094068"/>
    <n v="0.62316031677279293"/>
    <m/>
    <m/>
    <m/>
    <m/>
    <m/>
    <m/>
    <m/>
    <n v="98"/>
    <n v="0"/>
    <n v="7"/>
    <n v="9980.4203180000004"/>
    <n v="6321.8722209999996"/>
    <n v="0.63342745290980429"/>
    <s v="51% - 70%"/>
    <n v="1.8392709425077222E-4"/>
    <s v="N.D."/>
    <s v="N.D."/>
    <s v="N.D."/>
    <n v="0.96924624418195671"/>
    <s v="Aceptable"/>
    <n v="2"/>
    <s v="Candidato"/>
    <n v="0"/>
    <n v="0"/>
  </r>
  <r>
    <n v="15537"/>
    <s v="15537"/>
    <x v="10"/>
    <x v="10"/>
    <s v="PAZ DE RÍO"/>
    <n v="81.262433333333306"/>
    <n v="85.09"/>
    <n v="68.09"/>
    <n v="47.16"/>
    <n v="57.886553912385317"/>
    <n v="60.646253622453287"/>
    <n v="61.82815396088219"/>
    <n v="67.297799999999995"/>
    <n v="70.400608333333324"/>
    <n v="61.914690373930199"/>
    <n v="66.157649353631768"/>
    <n v="58.442323613606959"/>
    <n v="41.557676386393041"/>
    <n v="0.4740190874775374"/>
    <n v="0"/>
    <n v="31.359988576267423"/>
    <n v="3"/>
    <n v="3"/>
    <b v="1"/>
    <x v="4"/>
    <n v="69.196484130120496"/>
    <n v="0.48506095644698599"/>
    <n v="33.564512774924935"/>
    <n v="3"/>
    <n v="0"/>
    <n v="-3.0388347764887271"/>
    <n v="-1.1041868969448587E-2"/>
    <n v="-2.2045241986575128"/>
    <n v="3"/>
    <b v="1"/>
    <n v="0"/>
    <n v="0.81759069605862034"/>
    <n v="56.574401624754493"/>
    <n v="0.5370601174433044"/>
    <n v="2"/>
    <n v="-1"/>
    <n v="53.706011744330439"/>
    <n v="4"/>
    <n v="-0.34357160858108293"/>
    <b v="0"/>
    <s v="Cambio en corte"/>
    <n v="3"/>
    <n v="0"/>
    <n v="0"/>
    <n v="0"/>
    <n v="0"/>
    <n v="0"/>
    <n v="0"/>
    <s v="Rural"/>
    <n v="6"/>
    <s v="Fuera SC"/>
    <m/>
    <s v="No"/>
    <s v="No"/>
    <n v="21.6"/>
    <n v="7.1039603960396036"/>
    <n v="19.574929494278329"/>
    <s v="Medio"/>
    <n v="0"/>
    <s v="Bajo"/>
    <n v="12980.429969000001"/>
    <n v="3482.0734854000002"/>
    <n v="4373"/>
    <n v="2.9683123642808145"/>
    <n v="0.79626651849988572"/>
    <m/>
    <m/>
    <m/>
    <m/>
    <m/>
    <m/>
    <m/>
    <n v="82"/>
    <n v="0"/>
    <n v="6"/>
    <n v="12243.929774"/>
    <n v="3697.716144"/>
    <n v="0.30200403075261872"/>
    <s v="0% - 30%"/>
    <n v="1.0758050178092804E-4"/>
    <s v="N.D."/>
    <s v="N.D."/>
    <s v="N.D."/>
    <n v="0.87793918233273294"/>
    <s v="Aceptable"/>
    <n v="2"/>
    <s v="Candidato"/>
    <n v="0"/>
    <n v="0"/>
  </r>
  <r>
    <n v="25154"/>
    <s v="25154"/>
    <x v="5"/>
    <x v="5"/>
    <s v="CARMEN DE CARUPA"/>
    <n v="76.153300000000002"/>
    <n v="72.83"/>
    <n v="65.819999999999993"/>
    <n v="60.12"/>
    <n v="67.15295661003789"/>
    <n v="51.840849262188684"/>
    <n v="60.466042092178455"/>
    <n v="53.315399999999997"/>
    <n v="68.730824999999996"/>
    <n v="58.193811991101256"/>
    <n v="63.462318495550626"/>
    <n v="59.498805371499174"/>
    <n v="40.501194628500826"/>
    <n v="0.46451075165650746"/>
    <n v="0"/>
    <n v="29.478929266232896"/>
    <n v="4"/>
    <n v="4"/>
    <b v="1"/>
    <x v="4"/>
    <n v="66.417404120130726"/>
    <n v="0.48203017069740806"/>
    <n v="32.015192645305348"/>
    <n v="3"/>
    <n v="0"/>
    <n v="-2.9550856245801"/>
    <n v="-1.7519419040900597E-2"/>
    <n v="-2.5362633790724516"/>
    <n v="3"/>
    <b v="1"/>
    <n v="0"/>
    <n v="0.81759069605862034"/>
    <n v="54.302251664984361"/>
    <n v="0.50863791651839485"/>
    <n v="2"/>
    <n v="-1"/>
    <n v="50.863791651839485"/>
    <n v="4"/>
    <n v="-0.35307994440211288"/>
    <b v="0"/>
    <s v="Cambio en corte"/>
    <n v="2"/>
    <n v="-1"/>
    <n v="0"/>
    <n v="0"/>
    <n v="0"/>
    <n v="0"/>
    <n v="0"/>
    <s v="Rural"/>
    <n v="6"/>
    <s v="Fuera SC"/>
    <m/>
    <s v="No"/>
    <s v="No"/>
    <n v="31.2"/>
    <n v="13.023890784982935"/>
    <n v="2.769166666666667"/>
    <s v="Sin riesgo"/>
    <n v="0"/>
    <s v="Bajo"/>
    <n v="17546.813986000001"/>
    <n v="4051.2135536000001"/>
    <n v="7764"/>
    <n v="2.2600224093250905"/>
    <n v="0.52179463596084497"/>
    <m/>
    <m/>
    <m/>
    <m/>
    <m/>
    <m/>
    <m/>
    <n v="36"/>
    <n v="0"/>
    <n v="7"/>
    <n v="29814.718514"/>
    <n v="15732.081671"/>
    <n v="0.52766158646149008"/>
    <s v="51% - 70%"/>
    <n v="4.5770556049061647E-4"/>
    <s v="N.D."/>
    <s v="N.D."/>
    <s v="N.D."/>
    <n v="0.91571576662840082"/>
    <s v="Aceptable"/>
    <n v="2"/>
    <s v="Candidato"/>
    <n v="0"/>
    <n v="0"/>
  </r>
  <r>
    <n v="15572"/>
    <s v="15572"/>
    <x v="10"/>
    <x v="10"/>
    <s v="PUERTO BOYACÁ"/>
    <n v="63.215899999999998"/>
    <n v="61.62"/>
    <n v="62.17"/>
    <n v="66.42"/>
    <n v="55.418036364583315"/>
    <n v="66.106335520131523"/>
    <n v="53.214852750221119"/>
    <n v="66.768100000000004"/>
    <n v="63.356475000000003"/>
    <n v="60.376831158733992"/>
    <n v="61.866653079366998"/>
    <n v="58.446850438855392"/>
    <n v="41.553149561144608"/>
    <n v="0.47397834605030154"/>
    <n v="0"/>
    <n v="29.323453902226163"/>
    <n v="4"/>
    <n v="4"/>
    <b v="1"/>
    <x v="4"/>
    <n v="59.341295412318011"/>
    <n v="0.48494646993903245"/>
    <n v="28.777351731812921"/>
    <n v="3"/>
    <n v="0"/>
    <n v="2.5253576670489863"/>
    <n v="-1.0968123888730918E-2"/>
    <n v="0.54610217041324205"/>
    <n v="3"/>
    <b v="1"/>
    <n v="0"/>
    <n v="0.81759069605862034"/>
    <n v="48.516891021177294"/>
    <n v="0.43626915320931131"/>
    <n v="3"/>
    <n v="0"/>
    <n v="43.626915320931133"/>
    <n v="4"/>
    <n v="-0.3436123500083188"/>
    <b v="0"/>
    <n v="0"/>
    <n v="2"/>
    <n v="-1"/>
    <n v="0"/>
    <n v="1"/>
    <n v="0"/>
    <n v="0"/>
    <n v="0"/>
    <s v="Intermedio"/>
    <n v="2"/>
    <s v="Fuera SC"/>
    <m/>
    <s v="No"/>
    <s v="No"/>
    <n v="33.6"/>
    <n v="14.207278337417188"/>
    <n v="21.260690894844881"/>
    <s v="Medio"/>
    <n v="4.3070107128773536"/>
    <s v="Medio Bajo"/>
    <n v="190745.42717000001"/>
    <n v="109556.48589700001"/>
    <n v="47787"/>
    <n v="3.9915756831355811"/>
    <n v="2.2926002029212968"/>
    <m/>
    <m/>
    <m/>
    <m/>
    <m/>
    <m/>
    <m/>
    <n v="29"/>
    <n v="0"/>
    <n v="5"/>
    <n v="151170.14046200001"/>
    <n v="17510.411083999999"/>
    <n v="0.11583247214354234"/>
    <s v="0% - 30%"/>
    <n v="5.0944386682133709E-4"/>
    <n v="58.433098000000001"/>
    <n v="3.8653862344388351E-4"/>
    <n v="0"/>
    <n v="0.86041617944791438"/>
    <s v="Aceptable"/>
    <n v="3"/>
    <s v="Candidato"/>
    <n v="0"/>
    <n v="0"/>
  </r>
  <r>
    <n v="68686"/>
    <s v="68686"/>
    <x v="0"/>
    <x v="0"/>
    <s v="SAN MIGUEL"/>
    <n v="61.625300000000003"/>
    <n v="44"/>
    <n v="40.58"/>
    <n v="39.1"/>
    <n v="45.908280914542416"/>
    <n v="45.068213911796661"/>
    <n v="53.161505808047124"/>
    <n v="36.834899999999998"/>
    <n v="46.326325000000004"/>
    <n v="45.243225158596552"/>
    <n v="45.784775079298278"/>
    <n v="58.364171224706318"/>
    <n v="41.635828775293682"/>
    <n v="0.4747224589776432"/>
    <n v="0"/>
    <n v="21.735061009382797"/>
    <n v="5"/>
    <n v="5"/>
    <b v="1"/>
    <x v="5"/>
    <n v="50.363831736965757"/>
    <n v="0.48445041736211703"/>
    <n v="24.398779304928496"/>
    <n v="4"/>
    <n v="0"/>
    <n v="-4.5790566576674792"/>
    <n v="-9.7279583844738227E-3"/>
    <n v="-2.6637182955456993"/>
    <n v="4"/>
    <b v="1"/>
    <n v="0"/>
    <n v="0.81759069605862034"/>
    <n v="41.177000246005065"/>
    <n v="0.34445485658606373"/>
    <n v="4"/>
    <n v="0"/>
    <n v="34.445485658606373"/>
    <n v="4"/>
    <n v="-0.34286823708097713"/>
    <b v="1"/>
    <n v="0"/>
    <n v="3"/>
    <n v="-1"/>
    <n v="0"/>
    <n v="0"/>
    <n v="0"/>
    <n v="0"/>
    <n v="0"/>
    <s v="Rural disperso"/>
    <n v="6"/>
    <s v="Fuera SC"/>
    <m/>
    <s v="No"/>
    <s v="Si"/>
    <n v="33.6"/>
    <n v="17.879161528976571"/>
    <n v="2.2725"/>
    <s v="Sin riesgo"/>
    <n v="0.69390076665522127"/>
    <s v="Medio Bajo"/>
    <n v="10378.575693999999"/>
    <n v="2112.9692107999999"/>
    <n v="2665"/>
    <n v="3.894399885178236"/>
    <n v="0.79285899091932455"/>
    <m/>
    <m/>
    <m/>
    <m/>
    <m/>
    <m/>
    <m/>
    <n v="58"/>
    <n v="0"/>
    <n v="7"/>
    <n v="7105.5943740000002"/>
    <n v="934.47363800000005"/>
    <n v="0.13151238148624442"/>
    <s v="0% - 30%"/>
    <n v="2.7187360782198895E-5"/>
    <s v="N.D."/>
    <s v="N.D."/>
    <s v="N.D."/>
    <n v="0.94802363046238369"/>
    <s v="Aceptable"/>
    <n v="1"/>
    <s v="Candidato"/>
    <n v="0"/>
    <n v="0"/>
  </r>
  <r>
    <n v="73675"/>
    <s v="73675"/>
    <x v="15"/>
    <x v="15"/>
    <s v="SAN ANTONIO"/>
    <n v="63.446300000000001"/>
    <n v="53.34"/>
    <n v="46.32"/>
    <n v="73.73"/>
    <n v="53.127169157612457"/>
    <n v="63.010127101923146"/>
    <n v="51.873221821737545"/>
    <n v="54.696899999999999"/>
    <n v="59.209074999999999"/>
    <n v="55.676854520318287"/>
    <n v="57.442964760159143"/>
    <n v="58.223863783348271"/>
    <n v="41.776136216651729"/>
    <n v="0.47598522594986559"/>
    <n v="0"/>
    <n v="27.342002560594516"/>
    <n v="4"/>
    <n v="4"/>
    <b v="1"/>
    <x v="5"/>
    <n v="56.369716289162966"/>
    <n v="0.48415832534548486"/>
    <n v="27.291867438761241"/>
    <n v="4"/>
    <n v="0"/>
    <n v="1.0732484709961767"/>
    <n v="-8.1730993956192766E-3"/>
    <n v="5.0135121833275065E-2"/>
    <n v="4"/>
    <b v="1"/>
    <n v="0"/>
    <n v="0.81759069605862034"/>
    <n v="46.087355577483699"/>
    <n v="0.4058782257804569"/>
    <n v="3"/>
    <n v="-1"/>
    <n v="40.587822578045689"/>
    <n v="4"/>
    <n v="-0.34160547010875475"/>
    <b v="1"/>
    <s v="Efecto ponderador"/>
    <n v="3"/>
    <n v="-1"/>
    <n v="0"/>
    <n v="0"/>
    <n v="0"/>
    <n v="0"/>
    <n v="1"/>
    <s v="Rural"/>
    <n v="6"/>
    <s v="Fuera SC"/>
    <m/>
    <s v="No"/>
    <s v="Si"/>
    <n v="53.7"/>
    <n v="26.258930127199861"/>
    <n v="0"/>
    <s v="Sin riesgo"/>
    <n v="24.513545096265986"/>
    <s v="Muy Alto"/>
    <n v="35874.128774999997"/>
    <n v="4500.681286"/>
    <n v="13284"/>
    <n v="2.7005516994128271"/>
    <n v="0.33880467374284856"/>
    <m/>
    <m/>
    <m/>
    <m/>
    <m/>
    <m/>
    <m/>
    <n v="15"/>
    <n v="0"/>
    <n v="7"/>
    <n v="38335.098181000001"/>
    <n v="23954.932500999999"/>
    <n v="0.62488251335359213"/>
    <s v="51% - 70%"/>
    <n v="6.9693928853015858E-4"/>
    <n v="372.64354300000002"/>
    <n v="9.7206883686734129E-3"/>
    <s v="0% - 30%"/>
    <n v="0.9552250695452984"/>
    <s v="Aceptable"/>
    <n v="2"/>
    <s v="Candidato"/>
    <n v="0"/>
    <n v="0"/>
  </r>
  <r>
    <n v="20621"/>
    <s v="20621"/>
    <x v="20"/>
    <x v="20"/>
    <s v="LA PAZ"/>
    <n v="61.4497"/>
    <n v="48.38"/>
    <n v="38.99"/>
    <n v="63.21"/>
    <n v="54.485212163031612"/>
    <n v="61.962615324925991"/>
    <n v="69.204339499854726"/>
    <n v="58.950600000000001"/>
    <n v="53.007425000000005"/>
    <n v="61.150691746953086"/>
    <n v="57.079058373476542"/>
    <n v="57.780828159057997"/>
    <n v="42.219171840942003"/>
    <n v="0.4799725465684781"/>
    <n v="0"/>
    <n v="27.396381003248351"/>
    <n v="4"/>
    <n v="4"/>
    <b v="1"/>
    <x v="5"/>
    <n v="55.245031170706284"/>
    <n v="0.48527479663290363"/>
    <n v="26.809021266342913"/>
    <n v="4"/>
    <n v="0"/>
    <n v="1.8340272027702582"/>
    <n v="-5.3022500644255288E-3"/>
    <n v="0.5873597369054373"/>
    <n v="4"/>
    <b v="1"/>
    <n v="0"/>
    <n v="0.81759069605862034"/>
    <n v="45.167823488637929"/>
    <n v="0.39437584862718122"/>
    <n v="3"/>
    <n v="-1"/>
    <n v="39.437584862718126"/>
    <n v="4"/>
    <n v="-0.33761814949014224"/>
    <b v="1"/>
    <s v="Efecto ponderador"/>
    <n v="3"/>
    <n v="-1"/>
    <n v="0"/>
    <n v="0"/>
    <n v="0"/>
    <n v="1"/>
    <n v="1"/>
    <s v="Rural"/>
    <n v="6"/>
    <s v="Fuera SC"/>
    <m/>
    <s v="No"/>
    <s v="Si"/>
    <n v="41.7"/>
    <n v="28.538594139053821"/>
    <n v="18.267132617882126"/>
    <s v="Medio"/>
    <n v="8.1240682522146148"/>
    <s v="Medio"/>
    <n v="55042.869140000003"/>
    <n v="15246.658279499999"/>
    <n v="32751"/>
    <n v="1.680646976886202"/>
    <n v="0.46553260295868826"/>
    <m/>
    <m/>
    <m/>
    <m/>
    <m/>
    <m/>
    <m/>
    <n v="47"/>
    <n v="0"/>
    <n v="7"/>
    <n v="107094.643472"/>
    <n v="51929.389179999998"/>
    <n v="0.48489249785473154"/>
    <s v="31% - 50%"/>
    <n v="1.5108216876588609E-3"/>
    <n v="358.68988899999999"/>
    <n v="3.3492794538671753E-3"/>
    <s v="0% - 30%"/>
    <n v="0.93995643037922338"/>
    <s v="Aceptable"/>
    <n v="2"/>
    <s v="Candidato"/>
    <n v="1"/>
    <s v="Zona de Fronteras"/>
  </r>
  <r>
    <n v="23079"/>
    <s v="23079"/>
    <x v="14"/>
    <x v="14"/>
    <s v="BUENAVISTA"/>
    <n v="50.932233333333301"/>
    <n v="38.630000000000003"/>
    <n v="45.64"/>
    <n v="52.02"/>
    <n v="68.961386218504842"/>
    <n v="55.137045903057647"/>
    <n v="58.121314068904397"/>
    <n v="62.1633"/>
    <n v="46.80555833333333"/>
    <n v="61.095761547616718"/>
    <n v="53.95065994047502"/>
    <n v="58.10202331721446"/>
    <n v="41.89797668278554"/>
    <n v="0.47708179014506991"/>
    <n v="0"/>
    <n v="25.738877423909734"/>
    <n v="4"/>
    <n v="4"/>
    <b v="1"/>
    <x v="5"/>
    <n v="54.269926678185904"/>
    <n v="0.48407718545021683"/>
    <n v="26.270833360965867"/>
    <n v="4"/>
    <n v="0"/>
    <n v="-0.31926673771088332"/>
    <n v="-6.9953953051469231E-3"/>
    <n v="-0.5319559370561322"/>
    <n v="4"/>
    <b v="1"/>
    <n v="0"/>
    <n v="0.81759069605862034"/>
    <n v="44.370587127868305"/>
    <n v="0.38440326212028963"/>
    <n v="3"/>
    <n v="-1"/>
    <n v="38.440326212028964"/>
    <n v="4"/>
    <n v="-0.34050890591355043"/>
    <b v="1"/>
    <s v="Efecto ponderador"/>
    <n v="3"/>
    <n v="-1"/>
    <n v="0"/>
    <n v="0"/>
    <n v="0"/>
    <n v="0"/>
    <n v="0"/>
    <s v="Rural"/>
    <n v="6"/>
    <s v="Fuera SC"/>
    <m/>
    <s v="No"/>
    <s v="Si"/>
    <n v="58"/>
    <n v="40.934365460095947"/>
    <n v="0"/>
    <s v="Sin riesgo"/>
    <n v="1.9462941470462198"/>
    <s v="Medio Bajo"/>
    <n v="46262.830995999997"/>
    <n v="12479.266514250001"/>
    <n v="22295"/>
    <n v="2.0750316661134782"/>
    <n v="0.55973386473424536"/>
    <m/>
    <m/>
    <m/>
    <m/>
    <m/>
    <m/>
    <m/>
    <n v="67"/>
    <n v="0"/>
    <n v="7"/>
    <n v="83458.344039999996"/>
    <n v="12020.821409"/>
    <n v="0.14403378772095751"/>
    <s v="0% - 30%"/>
    <n v="3.4973100926027776E-4"/>
    <s v="N.D."/>
    <s v="N.D."/>
    <s v="N.D."/>
    <n v="0.97505372201664464"/>
    <s v="Aceptable"/>
    <n v="2"/>
    <s v="Candidato"/>
    <n v="0"/>
    <n v="0"/>
  </r>
  <r>
    <n v="5736"/>
    <s v="05736"/>
    <x v="1"/>
    <x v="1"/>
    <s v="SEGOVIA"/>
    <n v="65.394966666666704"/>
    <n v="63.34"/>
    <n v="44.51"/>
    <n v="48.77"/>
    <n v="51.238520071620329"/>
    <n v="59.584686586492211"/>
    <n v="72.646454917225384"/>
    <n v="46.804600000000001"/>
    <n v="55.503741666666677"/>
    <n v="57.568565393834476"/>
    <n v="56.536153530250573"/>
    <n v="57.514634440774735"/>
    <n v="42.485365559225265"/>
    <n v="0.48236829003302739"/>
    <n v="0"/>
    <n v="27.271247703431673"/>
    <n v="4"/>
    <n v="4"/>
    <b v="1"/>
    <x v="5"/>
    <n v="57.873473783457868"/>
    <n v="0.48505069551668656"/>
    <n v="28.071568710632963"/>
    <n v="3"/>
    <n v="-1"/>
    <n v="-1.3373202532072952"/>
    <n v="-2.6824054836591671E-3"/>
    <n v="-0.80032100720129051"/>
    <n v="4"/>
    <b v="1"/>
    <s v="Efecto ponderador"/>
    <n v="0.81759069605862034"/>
    <n v="47.316813713947631"/>
    <n v="0.42125745109658785"/>
    <n v="3"/>
    <n v="-1"/>
    <n v="42.125745109658787"/>
    <n v="4"/>
    <n v="-0.33522240602559294"/>
    <b v="1"/>
    <s v="Efecto ponderador"/>
    <n v="3"/>
    <n v="-1"/>
    <n v="0"/>
    <n v="1"/>
    <n v="0"/>
    <n v="1"/>
    <n v="1"/>
    <s v="Intermedio"/>
    <n v="2"/>
    <s v="Fuera SC"/>
    <m/>
    <s v="No"/>
    <s v="Si"/>
    <n v="42.8"/>
    <n v="23.149204443110179"/>
    <n v="2.9361702127659574E-2"/>
    <s v="Sin riesgo"/>
    <n v="31.04207361716384"/>
    <s v="Muy Alto"/>
    <n v="139478.08579000001"/>
    <n v="79615.563918999993"/>
    <n v="39116"/>
    <n v="3.5657553377134681"/>
    <n v="2.0353707924890068"/>
    <m/>
    <m/>
    <m/>
    <m/>
    <m/>
    <m/>
    <m/>
    <n v="72"/>
    <n v="1"/>
    <n v="6"/>
    <n v="113280.94016500001"/>
    <n v="45688.616086000002"/>
    <n v="0.40332130029510688"/>
    <s v="31% - 50%"/>
    <n v="1.3292540727290777E-3"/>
    <n v="1886.104388"/>
    <n v="1.6649794619048745E-2"/>
    <s v="0% - 30%"/>
    <n v="0.83049275967498182"/>
    <s v="Crítico bajo"/>
    <n v="1"/>
    <s v="Candidato"/>
    <n v="0"/>
    <n v="0"/>
  </r>
  <r>
    <n v="66572"/>
    <s v="66572"/>
    <x v="6"/>
    <x v="6"/>
    <s v="PUEBLO RICO"/>
    <n v="52.316699999999997"/>
    <n v="66.48"/>
    <n v="38.21"/>
    <n v="67.31"/>
    <n v="56.862845268602285"/>
    <n v="60.163112512037827"/>
    <n v="60.141180562003157"/>
    <n v="55.122100000000003"/>
    <n v="56.079174999999999"/>
    <n v="58.072309585660818"/>
    <n v="57.075742292830412"/>
    <n v="57.795576834530394"/>
    <n v="42.204423165469606"/>
    <n v="0.47983980848922647"/>
    <n v="0"/>
    <n v="27.387213251172188"/>
    <n v="4"/>
    <n v="4"/>
    <b v="1"/>
    <x v="5"/>
    <n v="53.565814815316017"/>
    <n v="0.48343707327043128"/>
    <n v="25.895700741662282"/>
    <n v="4"/>
    <n v="0"/>
    <n v="3.5099274775143954"/>
    <n v="-3.597264781204812E-3"/>
    <n v="1.4915125095099064"/>
    <n v="4"/>
    <b v="1"/>
    <n v="0"/>
    <n v="0.81759069605862034"/>
    <n v="43.794911819801378"/>
    <n v="0.37720217083534524"/>
    <n v="3"/>
    <n v="-1"/>
    <n v="37.720217083534521"/>
    <n v="4"/>
    <n v="-0.33775088756939387"/>
    <b v="1"/>
    <s v="Efecto ponderador"/>
    <n v="3"/>
    <n v="-1"/>
    <n v="0"/>
    <n v="0"/>
    <n v="0"/>
    <n v="0"/>
    <n v="1"/>
    <s v="Rural disperso"/>
    <n v="6"/>
    <s v="Fuera SC"/>
    <m/>
    <s v="No"/>
    <s v="No"/>
    <n v="70.5"/>
    <n v="55.471619654861733"/>
    <n v="50.60604664618841"/>
    <s v="Alto"/>
    <n v="0.31963008572802992"/>
    <s v="Medio Bajo"/>
    <n v="45809.915072999996"/>
    <n v="8694.2134100000003"/>
    <n v="18266"/>
    <n v="2.5079335964633742"/>
    <n v="0.47597795959706563"/>
    <m/>
    <m/>
    <m/>
    <m/>
    <m/>
    <m/>
    <m/>
    <n v="31"/>
    <n v="0"/>
    <n v="7"/>
    <n v="61380.266205"/>
    <n v="40723.159814999999"/>
    <n v="0.66345687845326928"/>
    <s v="51% - 70%"/>
    <n v="1.1847902316978458E-3"/>
    <n v="20546.039472"/>
    <n v="0.33473363252253757"/>
    <s v="31% - 50%"/>
    <n v="0.89839414849723642"/>
    <s v="Aceptable"/>
    <n v="2"/>
    <s v="Candidato"/>
    <n v="0"/>
    <n v="0"/>
  </r>
  <r>
    <n v="41013"/>
    <s v="41013"/>
    <x v="19"/>
    <x v="19"/>
    <s v="AGRADO"/>
    <n v="56.074266666666702"/>
    <n v="63.95"/>
    <n v="65.27"/>
    <n v="64.91"/>
    <n v="51.488163909129675"/>
    <n v="64.391592841081732"/>
    <n v="66.498871558832974"/>
    <n v="56.376300000000001"/>
    <n v="62.551066666666678"/>
    <n v="59.688732077261093"/>
    <n v="61.119899371963882"/>
    <n v="58.342102345570183"/>
    <n v="41.657897654429817"/>
    <n v="0.47492107888986834"/>
    <n v="0"/>
    <n v="29.027128551373274"/>
    <n v="4"/>
    <n v="4"/>
    <b v="1"/>
    <x v="4"/>
    <n v="60.380389473048425"/>
    <n v="0.48322490677549379"/>
    <n v="29.17730807418183"/>
    <n v="3"/>
    <n v="0"/>
    <n v="0.7395098989154576"/>
    <n v="-8.3038278856254477E-3"/>
    <n v="-0.15017952280855695"/>
    <n v="3"/>
    <b v="1"/>
    <n v="0"/>
    <n v="0.81759069605862034"/>
    <n v="49.366444657560251"/>
    <n v="0.44689617368651907"/>
    <n v="3"/>
    <n v="0"/>
    <n v="44.689617368651909"/>
    <n v="4"/>
    <n v="-0.34266961716875199"/>
    <b v="0"/>
    <n v="0"/>
    <n v="3"/>
    <n v="0"/>
    <n v="0"/>
    <n v="0"/>
    <n v="0"/>
    <n v="0"/>
    <n v="0"/>
    <s v="Rural"/>
    <n v="6"/>
    <s v="Fuera SC"/>
    <m/>
    <s v="No"/>
    <s v="Si"/>
    <n v="50"/>
    <n v="18.325950104919563"/>
    <n v="46.933889605942475"/>
    <s v="Alto"/>
    <n v="2.2212572593311117"/>
    <s v="Medio Bajo"/>
    <n v="26485.563631000001"/>
    <n v="5002.8099436499997"/>
    <n v="9282"/>
    <n v="2.8534328410902825"/>
    <n v="0.53897973967356172"/>
    <m/>
    <m/>
    <m/>
    <m/>
    <m/>
    <m/>
    <m/>
    <n v="30"/>
    <n v="0"/>
    <n v="7"/>
    <n v="27368.701991000002"/>
    <n v="8302.4855920000009"/>
    <n v="0.30335693650105194"/>
    <s v="0% - 30%"/>
    <n v="2.4155060346251541E-4"/>
    <s v="N.D."/>
    <s v="N.D."/>
    <s v="N.D."/>
    <n v="0.85306201929137337"/>
    <s v="Aceptable"/>
    <n v="2"/>
    <s v="No es Candidato"/>
    <n v="0"/>
    <n v="0"/>
  </r>
  <r>
    <n v="15097"/>
    <s v="15097"/>
    <x v="10"/>
    <x v="10"/>
    <s v="BOAVITA"/>
    <n v="84.8596"/>
    <n v="81.09"/>
    <n v="81.569999999999993"/>
    <n v="82.28"/>
    <n v="58.690001417951279"/>
    <n v="61.557775743672892"/>
    <n v="58.102631602521114"/>
    <n v="53.531100000000002"/>
    <n v="82.4499"/>
    <n v="57.970377191036327"/>
    <n v="70.21013859551816"/>
    <n v="58.666922750843753"/>
    <n v="41.333077249156247"/>
    <n v="0.4719976952424062"/>
    <n v="0"/>
    <n v="33.139023599734479"/>
    <n v="3"/>
    <n v="3"/>
    <b v="1"/>
    <x v="4"/>
    <n v="70.220374392022634"/>
    <n v="0.48350135732458188"/>
    <n v="33.951646330383255"/>
    <n v="3"/>
    <n v="0"/>
    <n v="-1.0235796504474592E-2"/>
    <n v="-1.1503662082175681E-2"/>
    <n v="-0.81262273064877633"/>
    <n v="3"/>
    <b v="1"/>
    <n v="0"/>
    <n v="0.81759069605862034"/>
    <n v="57.411524776670703"/>
    <n v="0.54753164566279877"/>
    <n v="2"/>
    <n v="-1"/>
    <n v="54.753164566279878"/>
    <n v="4"/>
    <n v="-0.34559300081621414"/>
    <b v="0"/>
    <s v="Cambio en corte"/>
    <n v="3"/>
    <n v="0"/>
    <n v="0"/>
    <n v="0"/>
    <n v="0"/>
    <n v="0"/>
    <n v="0"/>
    <s v="Rural"/>
    <n v="6"/>
    <s v="Fuera SC"/>
    <m/>
    <s v="No"/>
    <s v="No"/>
    <n v="48.1"/>
    <n v="19.748580697485806"/>
    <n v="35.93017859338498"/>
    <s v="Alto"/>
    <n v="1.6197182758620501"/>
    <s v="Medio Bajo"/>
    <n v="21305.628771"/>
    <n v="4527.9361601000001"/>
    <n v="5145"/>
    <n v="4.1410357183673465"/>
    <n v="0.88006533724003888"/>
    <m/>
    <m/>
    <m/>
    <m/>
    <m/>
    <m/>
    <m/>
    <n v="44"/>
    <n v="0"/>
    <n v="7"/>
    <n v="14498.587831999999"/>
    <n v="2.8880870000000001"/>
    <n v="1.9919781384678515E-4"/>
    <n v="0"/>
    <n v="8.4025337951136994E-8"/>
    <s v="N.D."/>
    <s v="N.D."/>
    <s v="N.D."/>
    <n v="0.93598970274671278"/>
    <s v="Aceptable"/>
    <n v="2"/>
    <s v="Candidato"/>
    <n v="0"/>
    <n v="0"/>
  </r>
  <r>
    <n v="54480"/>
    <s v="54480"/>
    <x v="12"/>
    <x v="12"/>
    <s v="MUTISCUA"/>
    <n v="46.9241666666667"/>
    <n v="63.31"/>
    <n v="50.37"/>
    <n v="69.069999999999993"/>
    <n v="46.725765381871867"/>
    <n v="48.422314275041501"/>
    <n v="53.232982593462893"/>
    <n v="49.183500000000002"/>
    <n v="57.418541666666677"/>
    <n v="49.391140562594067"/>
    <n v="53.404841114630372"/>
    <n v="58.281325777773439"/>
    <n v="41.718674222226561"/>
    <n v="0.47546806800003905"/>
    <n v="0"/>
    <n v="25.392296626622354"/>
    <n v="4"/>
    <n v="4"/>
    <b v="1"/>
    <x v="5"/>
    <n v="49.350192791735637"/>
    <n v="0.48431027337168753"/>
    <n v="23.900805361910969"/>
    <n v="4"/>
    <n v="0"/>
    <n v="4.0546483228947352"/>
    <n v="-8.8422053716484816E-3"/>
    <n v="1.4914912647113852"/>
    <n v="4"/>
    <b v="1"/>
    <n v="0"/>
    <n v="0.81759069605862034"/>
    <n v="40.348258475222245"/>
    <n v="0.33408817060973955"/>
    <n v="4"/>
    <n v="0"/>
    <n v="33.408817060973952"/>
    <n v="4"/>
    <n v="-0.34212262805858129"/>
    <b v="1"/>
    <n v="0"/>
    <n v="4"/>
    <n v="0"/>
    <n v="0"/>
    <n v="0"/>
    <n v="0"/>
    <n v="0"/>
    <n v="0"/>
    <s v="Rural disperso"/>
    <n v="6"/>
    <s v="Fuera SC"/>
    <m/>
    <s v="No"/>
    <s v="No"/>
    <n v="42.2"/>
    <n v="14.85479311231046"/>
    <n v="46.655822148805839"/>
    <s v="Alto"/>
    <n v="0"/>
    <s v="Bajo"/>
    <n v="12207.169517"/>
    <n v="2495.5452384999999"/>
    <n v="4636"/>
    <n v="2.6331254350733393"/>
    <n v="0.53829707474115618"/>
    <m/>
    <m/>
    <m/>
    <m/>
    <m/>
    <m/>
    <m/>
    <n v="24"/>
    <n v="0"/>
    <n v="7"/>
    <n v="15850.838615000001"/>
    <n v="13898.939668999999"/>
    <n v="0.87685831687461158"/>
    <s v="71% - 100%"/>
    <n v="4.0437254932077497E-4"/>
    <s v="N.D."/>
    <s v="N.D."/>
    <s v="N.D."/>
    <n v="0.94006222699369535"/>
    <s v="Aceptable"/>
    <n v="2"/>
    <s v="Candidato"/>
    <n v="0"/>
    <n v="0"/>
  </r>
  <r>
    <n v="5250"/>
    <s v="05250"/>
    <x v="1"/>
    <x v="1"/>
    <s v="EL BAGRE"/>
    <n v="68.685500000000005"/>
    <n v="57.24"/>
    <n v="66.44"/>
    <n v="61"/>
    <n v="61.289372264448929"/>
    <n v="63.203148349708428"/>
    <n v="63.633900249015554"/>
    <n v="62.408999999999999"/>
    <n v="63.341374999999999"/>
    <n v="62.633855215793226"/>
    <n v="62.987615107896616"/>
    <n v="58.005747657526264"/>
    <n v="41.994252342473736"/>
    <n v="0.47794827108226368"/>
    <n v="0"/>
    <n v="30.104821740414259"/>
    <n v="3"/>
    <n v="3"/>
    <b v="1"/>
    <x v="4"/>
    <n v="63.852157202553158"/>
    <n v="0.48334992940472288"/>
    <n v="30.862935676193338"/>
    <n v="3"/>
    <n v="0"/>
    <n v="-0.8645420946565423"/>
    <n v="-5.4016583224592019E-3"/>
    <n v="-0.75811393577907893"/>
    <n v="3"/>
    <b v="1"/>
    <n v="0"/>
    <n v="0.81759069605862034"/>
    <n v="52.204929652079883"/>
    <n v="0.48240262892274804"/>
    <n v="2"/>
    <n v="-1"/>
    <n v="48.240262892274806"/>
    <n v="4"/>
    <n v="-0.33964242497635666"/>
    <b v="0"/>
    <s v="Cambio en corte"/>
    <n v="3"/>
    <n v="0"/>
    <n v="0"/>
    <n v="0"/>
    <n v="0"/>
    <n v="1"/>
    <n v="1"/>
    <s v="Intermedio"/>
    <n v="4"/>
    <s v="Fuera SC"/>
    <m/>
    <s v="No"/>
    <s v="Si"/>
    <n v="53.7"/>
    <n v="35.617994069275902"/>
    <n v="32.551462130514615"/>
    <s v="Medio"/>
    <n v="14.890401712423323"/>
    <s v="Alto"/>
    <n v="132914.43661400001"/>
    <n v="43079.710607000001"/>
    <n v="55742"/>
    <n v="2.3844576192816906"/>
    <n v="0.77284113607333793"/>
    <m/>
    <m/>
    <m/>
    <m/>
    <m/>
    <m/>
    <m/>
    <n v="67"/>
    <n v="0"/>
    <n v="6"/>
    <n v="155862.05491800001"/>
    <n v="11217.500142999999"/>
    <n v="7.1970693244751555E-2"/>
    <s v="0% - 30%"/>
    <n v="3.2635936538009502E-4"/>
    <n v="11466.629102000001"/>
    <n v="7.3569087152306992E-2"/>
    <s v="0% - 30%"/>
    <n v="0.95181021988041137"/>
    <s v="Aceptable"/>
    <n v="3"/>
    <s v="Candidato"/>
    <n v="0"/>
    <n v="0"/>
  </r>
  <r>
    <n v="68669"/>
    <s v="68669"/>
    <x v="0"/>
    <x v="0"/>
    <s v="SAN ANDRÉS"/>
    <n v="70.181899999999999"/>
    <n v="71.02"/>
    <n v="66.8"/>
    <n v="71.39"/>
    <n v="55.584279374522325"/>
    <n v="43.318635957916356"/>
    <n v="51.251645868565674"/>
    <n v="52.473799999999997"/>
    <n v="69.847974999999991"/>
    <n v="50.657090300251085"/>
    <n v="60.252532650125538"/>
    <n v="58.511571706552616"/>
    <n v="41.488428293447384"/>
    <n v="0.4733958546410264"/>
    <n v="0"/>
    <n v="28.523299188192528"/>
    <n v="4"/>
    <n v="4"/>
    <b v="1"/>
    <x v="4"/>
    <n v="59.771761392147909"/>
    <n v="0.48339102293940461"/>
    <n v="28.893132882240387"/>
    <n v="3"/>
    <n v="0"/>
    <n v="0.48077125797762932"/>
    <n v="-9.9951682983782097E-3"/>
    <n v="-0.36983369404785904"/>
    <n v="3"/>
    <b v="1"/>
    <n v="0"/>
    <n v="0.81759069605862034"/>
    <n v="48.868836001255978"/>
    <n v="0.44067161392511794"/>
    <n v="3"/>
    <n v="0"/>
    <n v="44.067161392511792"/>
    <n v="4"/>
    <n v="-0.34419484141759393"/>
    <b v="0"/>
    <n v="0"/>
    <n v="3"/>
    <n v="0"/>
    <n v="0"/>
    <n v="0"/>
    <n v="0"/>
    <n v="0"/>
    <n v="0"/>
    <s v="Rural"/>
    <n v="6"/>
    <s v="Fuera SC"/>
    <m/>
    <s v="No"/>
    <s v="No"/>
    <n v="42.4"/>
    <n v="13.487789605510331"/>
    <n v="5.6449999999999996"/>
    <s v="Bajo"/>
    <n v="0.99790176074440162"/>
    <s v="Medio Bajo"/>
    <n v="19799.254148"/>
    <n v="3709.8118132"/>
    <n v="8900"/>
    <n v="2.2246352975280899"/>
    <n v="0.41683278800000001"/>
    <m/>
    <m/>
    <m/>
    <m/>
    <m/>
    <m/>
    <m/>
    <n v="58"/>
    <n v="0"/>
    <n v="7"/>
    <n v="28097.616193000002"/>
    <n v="11470.713887"/>
    <n v="0.40824509126356828"/>
    <s v="31% - 50%"/>
    <n v="3.3372630772410082E-4"/>
    <s v="N.D."/>
    <s v="N.D."/>
    <s v="N.D."/>
    <n v="0.87611391226546131"/>
    <s v="Aceptable"/>
    <n v="2"/>
    <s v="Candidato"/>
    <n v="0"/>
    <n v="0"/>
  </r>
  <r>
    <n v="19355"/>
    <s v="19355"/>
    <x v="13"/>
    <x v="13"/>
    <s v="INZÁ"/>
    <n v="56.5578"/>
    <n v="64.56"/>
    <n v="52.1"/>
    <n v="40.99"/>
    <n v="56.659280474008895"/>
    <n v="55.245812782832751"/>
    <n v="58.179424276965278"/>
    <n v="44.777200000000001"/>
    <n v="53.551950000000005"/>
    <n v="53.715429383451728"/>
    <n v="53.633689691725863"/>
    <n v="58.680374088366364"/>
    <n v="41.319625911633636"/>
    <n v="0.47187663320470274"/>
    <n v="0"/>
    <n v="25.308484918077372"/>
    <n v="4"/>
    <n v="4"/>
    <b v="1"/>
    <x v="5"/>
    <n v="55.628739942333297"/>
    <n v="0.4829396374931908"/>
    <n v="26.865323501953426"/>
    <n v="4"/>
    <n v="0"/>
    <n v="-1.9950502506074344"/>
    <n v="-1.1063004288488054E-2"/>
    <n v="-1.5568385838760541"/>
    <n v="4"/>
    <b v="1"/>
    <n v="0"/>
    <n v="0.81759069605862034"/>
    <n v="45.481540210316254"/>
    <n v="0.39830011412678201"/>
    <n v="3"/>
    <n v="-1"/>
    <n v="39.830011412678203"/>
    <n v="4"/>
    <n v="-0.34571406285391759"/>
    <b v="1"/>
    <s v="Efecto ponderador"/>
    <n v="3"/>
    <n v="-1"/>
    <n v="0"/>
    <n v="0"/>
    <n v="0"/>
    <n v="0"/>
    <n v="0"/>
    <s v="Rural disperso"/>
    <n v="6"/>
    <s v="Fuera SC"/>
    <m/>
    <s v="No"/>
    <s v="No"/>
    <n v="59"/>
    <n v="19.003397508493773"/>
    <n v="24.137128822716015"/>
    <s v="Medio"/>
    <n v="2.9358333758168813"/>
    <s v="Medio Bajo"/>
    <n v="53185.446240999998"/>
    <n v="5340.2184557"/>
    <n v="29139"/>
    <n v="1.8252323772607157"/>
    <n v="0.18326704607913794"/>
    <m/>
    <m/>
    <m/>
    <m/>
    <m/>
    <m/>
    <m/>
    <n v="30"/>
    <n v="0"/>
    <n v="7"/>
    <n v="86641.159547999996"/>
    <n v="49590.012608999998"/>
    <n v="0.57236090638337633"/>
    <s v="51% - 70%"/>
    <n v="1.4427604045419578E-3"/>
    <n v="5755.0117520000003"/>
    <n v="6.6423531056410565E-2"/>
    <s v="0% - 30%"/>
    <n v="0.92542443541001851"/>
    <s v="Aceptable"/>
    <n v="1"/>
    <s v="Candidato"/>
    <n v="0"/>
    <n v="0"/>
  </r>
  <r>
    <n v="47541"/>
    <s v="47541"/>
    <x v="17"/>
    <x v="17"/>
    <s v="PEDRAZA"/>
    <n v="42.741433333333298"/>
    <n v="17.16"/>
    <n v="7.55"/>
    <n v="23.87"/>
    <n v="36.696504069594987"/>
    <n v="31.610650389174097"/>
    <n v="40.033115645813361"/>
    <n v="50.817700000000002"/>
    <n v="22.830358333333326"/>
    <n v="39.789492526145608"/>
    <n v="31.309925429739465"/>
    <n v="57.854967186335529"/>
    <n v="42.145032813664471"/>
    <n v="0.47930529532298027"/>
    <n v="0"/>
    <n v="15.007013054641764"/>
    <n v="5"/>
    <n v="5"/>
    <b v="1"/>
    <x v="6"/>
    <n v="33.839432211988466"/>
    <n v="0.48240618840204552"/>
    <n v="16.324351511074756"/>
    <n v="5"/>
    <n v="0"/>
    <n v="-2.5295067822490012"/>
    <n v="-3.1008930790652478E-3"/>
    <n v="-1.3173384564329922"/>
    <n v="5"/>
    <b v="1"/>
    <n v="0"/>
    <n v="0.81759069605862034"/>
    <n v="27.66680493642815"/>
    <n v="0.17545655435146448"/>
    <n v="5"/>
    <n v="0"/>
    <n v="17.545655435146447"/>
    <n v="5"/>
    <n v="-0.33828540073564006"/>
    <b v="1"/>
    <n v="0"/>
    <n v="4"/>
    <n v="-1"/>
    <n v="0"/>
    <n v="0"/>
    <n v="0"/>
    <n v="0"/>
    <n v="0"/>
    <s v="Rural disperso"/>
    <n v="6"/>
    <s v="Fuera SC"/>
    <m/>
    <s v="No"/>
    <s v="No"/>
    <n v="56.2"/>
    <n v="35.050865371911748"/>
    <n v="2.8846153846153846"/>
    <s v="Sin riesgo"/>
    <n v="0"/>
    <s v="Bajo"/>
    <n v="23518.760854"/>
    <n v="3245.2161759999999"/>
    <n v="10248"/>
    <n v="2.2949610513270882"/>
    <n v="0.31666824512099923"/>
    <m/>
    <m/>
    <m/>
    <m/>
    <m/>
    <m/>
    <m/>
    <n v="74"/>
    <n v="0"/>
    <n v="7"/>
    <n v="30546.358616000001"/>
    <n v="30023.118121"/>
    <n v="0.98287060983020313"/>
    <s v="71% - 100%"/>
    <n v="8.7348568324428246E-4"/>
    <s v="N.D."/>
    <s v="N.D."/>
    <s v="N.D."/>
    <n v="0.90555371809071794"/>
    <s v="Aceptable"/>
    <n v="1"/>
    <s v="Candidato"/>
    <n v="0"/>
    <n v="0"/>
  </r>
  <r>
    <n v="15455"/>
    <s v="15455"/>
    <x v="10"/>
    <x v="10"/>
    <s v="MIRAFLORES"/>
    <n v="66.989699999999999"/>
    <n v="73.260000000000005"/>
    <n v="41.78"/>
    <n v="57.29"/>
    <n v="67.486588035119112"/>
    <n v="63.460385970319166"/>
    <n v="65.940284662646036"/>
    <n v="70.405100000000004"/>
    <n v="59.829925000000003"/>
    <n v="66.82308966702108"/>
    <n v="63.326507333510541"/>
    <n v="58.76955666057615"/>
    <n v="41.23044333942385"/>
    <n v="0.47107399005481465"/>
    <n v="0"/>
    <n v="29.831470485832291"/>
    <n v="3"/>
    <n v="3"/>
    <b v="1"/>
    <x v="4"/>
    <n v="62.989355658962985"/>
    <n v="0.48127095715421153"/>
    <n v="30.314947488516168"/>
    <n v="3"/>
    <n v="0"/>
    <n v="0.33715167454755601"/>
    <n v="-1.0196967099396881E-2"/>
    <n v="-0.48347700268387683"/>
    <n v="3"/>
    <b v="1"/>
    <n v="0"/>
    <n v="0.81759069605862034"/>
    <n v="51.499511137495546"/>
    <n v="0.47357858688650162"/>
    <n v="3"/>
    <n v="0"/>
    <n v="47.357858688650161"/>
    <n v="4"/>
    <n v="-0.34651670600380569"/>
    <b v="0"/>
    <n v="0"/>
    <n v="2"/>
    <n v="-1"/>
    <n v="0"/>
    <n v="0"/>
    <n v="0"/>
    <n v="0"/>
    <n v="0"/>
    <s v="Rural"/>
    <n v="6"/>
    <s v="Fuera SC"/>
    <m/>
    <s v="No"/>
    <s v="No"/>
    <n v="21.1"/>
    <n v="7.6838638858397363"/>
    <n v="8.4561773371304003"/>
    <s v="Bajo"/>
    <n v="0"/>
    <s v="Bajo"/>
    <n v="27810.124952999999"/>
    <n v="11928.4397918"/>
    <n v="9038"/>
    <n v="3.0770220129453416"/>
    <n v="1.3198096693737551"/>
    <m/>
    <m/>
    <m/>
    <m/>
    <m/>
    <m/>
    <m/>
    <n v="17"/>
    <n v="1"/>
    <n v="6"/>
    <n v="25823.948504"/>
    <n v="4795.2479599999997"/>
    <n v="0.18568995981606917"/>
    <s v="0% - 30%"/>
    <n v="1.3951183963589053E-4"/>
    <s v="N.D."/>
    <s v="N.D."/>
    <s v="N.D."/>
    <n v="0.93124342150862471"/>
    <s v="Aceptable"/>
    <n v="2"/>
    <s v="Candidato"/>
    <n v="0"/>
    <n v="0"/>
  </r>
  <r>
    <n v="68320"/>
    <s v="68320"/>
    <x v="0"/>
    <x v="0"/>
    <s v="GUADALUPE"/>
    <n v="58.858333333333299"/>
    <n v="58.33"/>
    <n v="55.01"/>
    <n v="61.23"/>
    <n v="58.510518779041632"/>
    <n v="60.804872620889796"/>
    <n v="63.323092238448275"/>
    <n v="52.831699999999998"/>
    <n v="58.357083333333321"/>
    <n v="58.867545909594924"/>
    <n v="58.612314621464122"/>
    <n v="58.813584259845641"/>
    <n v="41.186415740154359"/>
    <n v="0.4706777416613892"/>
    <n v="0"/>
    <n v="27.587511879577555"/>
    <n v="4"/>
    <n v="4"/>
    <b v="1"/>
    <x v="5"/>
    <n v="59.062552986833843"/>
    <n v="0.48028274944271565"/>
    <n v="28.366725337622636"/>
    <n v="3"/>
    <n v="-1"/>
    <n v="-0.45023836536972084"/>
    <n v="-9.6050077813264467E-3"/>
    <n v="-0.77921345804508135"/>
    <n v="4"/>
    <b v="1"/>
    <s v="Efecto ponderador"/>
    <n v="0.81759069605862034"/>
    <n v="48.288993807504625"/>
    <n v="0.43341839929257292"/>
    <n v="3"/>
    <n v="-1"/>
    <n v="43.34183992925729"/>
    <n v="4"/>
    <n v="-0.34691295439723113"/>
    <b v="1"/>
    <s v="Efecto ponderador"/>
    <n v="3"/>
    <n v="-1"/>
    <n v="0"/>
    <n v="0"/>
    <n v="0"/>
    <n v="0"/>
    <n v="0"/>
    <s v="Rural"/>
    <n v="6"/>
    <s v="Fuera SC"/>
    <m/>
    <s v="No"/>
    <s v="No"/>
    <n v="39.1"/>
    <n v="13.986380303823992"/>
    <n v="21.277999999999999"/>
    <s v="Medio"/>
    <n v="0"/>
    <s v="Bajo"/>
    <n v="14509.910733000001"/>
    <n v="3401.609477"/>
    <n v="4608"/>
    <n v="3.1488521555989584"/>
    <n v="0.7381965010850694"/>
    <m/>
    <m/>
    <m/>
    <m/>
    <m/>
    <m/>
    <m/>
    <n v="20"/>
    <n v="0"/>
    <n v="7"/>
    <n v="14608.436947"/>
    <n v="290.88116400000001"/>
    <n v="1.991186086884782E-2"/>
    <s v="0% - 30%"/>
    <n v="8.4628295853691748E-6"/>
    <s v="N.D."/>
    <s v="N.D."/>
    <s v="N.D."/>
    <n v="0.92241865644366394"/>
    <s v="Aceptable"/>
    <n v="2"/>
    <s v="Candidato"/>
    <n v="0"/>
    <n v="0"/>
  </r>
  <r>
    <n v="68167"/>
    <s v="68167"/>
    <x v="0"/>
    <x v="0"/>
    <s v="CHARALÁ"/>
    <n v="61.517166666666697"/>
    <n v="78.25"/>
    <n v="82.14"/>
    <n v="76.23"/>
    <n v="60.20272074747654"/>
    <n v="58.304634487477735"/>
    <n v="53.406441338322956"/>
    <n v="58.7834"/>
    <n v="74.534291666666675"/>
    <n v="57.67429914331931"/>
    <n v="66.104295404992996"/>
    <n v="57.735982040367695"/>
    <n v="42.264017959632305"/>
    <n v="0.48037616163669072"/>
    <n v="0"/>
    <n v="31.754927694348467"/>
    <n v="3"/>
    <n v="3"/>
    <b v="1"/>
    <x v="4"/>
    <n v="64.194826814922109"/>
    <n v="0.48348799229298034"/>
    <n v="31.037427932342268"/>
    <n v="3"/>
    <n v="0"/>
    <n v="1.9094685900708868"/>
    <n v="-3.1118306562896159E-3"/>
    <n v="0.71749976200619869"/>
    <n v="3"/>
    <b v="1"/>
    <n v="0"/>
    <n v="0.81759069605862034"/>
    <n v="52.485093138974754"/>
    <n v="0.48590717882365109"/>
    <n v="2"/>
    <n v="-1"/>
    <n v="48.590717882365112"/>
    <n v="4"/>
    <n v="-0.33721453442192961"/>
    <b v="0"/>
    <s v="Cambio en corte"/>
    <n v="3"/>
    <n v="0"/>
    <n v="0"/>
    <n v="0"/>
    <n v="0"/>
    <n v="0"/>
    <n v="0"/>
    <s v="Rural"/>
    <n v="6"/>
    <s v="Fuera SC"/>
    <m/>
    <s v="No"/>
    <s v="No"/>
    <n v="26.9"/>
    <n v="8.43241265776477"/>
    <n v="1.9593824669034547"/>
    <s v="Sin riesgo"/>
    <n v="8.7001881894277835E-2"/>
    <s v="Bajo"/>
    <n v="24367.281215999999"/>
    <n v="6576.9855825000004"/>
    <n v="13688"/>
    <n v="1.780192958503799"/>
    <n v="0.4804928099430158"/>
    <m/>
    <m/>
    <m/>
    <m/>
    <m/>
    <m/>
    <m/>
    <n v="75"/>
    <n v="1"/>
    <n v="6"/>
    <n v="41846.749125000002"/>
    <n v="29858.386342000002"/>
    <n v="0.71351746470939281"/>
    <s v="71% - 100%"/>
    <n v="8.6869301480951345E-4"/>
    <s v="N.D."/>
    <s v="N.D."/>
    <s v="N.D."/>
    <n v="0.9398771339196017"/>
    <s v="Aceptable"/>
    <n v="2"/>
    <s v="Candidato"/>
    <n v="0"/>
    <n v="0"/>
  </r>
  <r>
    <n v="47460"/>
    <s v="47460"/>
    <x v="17"/>
    <x v="17"/>
    <s v="NUEVA GRANADA"/>
    <n v="43.679366666666702"/>
    <n v="34.979999999999997"/>
    <n v="57.14"/>
    <n v="64.349999999999994"/>
    <n v="52.314538561870798"/>
    <n v="54.300302017662894"/>
    <n v="61.757508798939014"/>
    <n v="52.998899999999999"/>
    <n v="50.03734166666667"/>
    <n v="55.342812344618174"/>
    <n v="52.690077005642422"/>
    <n v="58.225117344722378"/>
    <n v="41.774882655277622"/>
    <n v="0.47597394389749859"/>
    <n v="0"/>
    <n v="25.079103756638528"/>
    <n v="4"/>
    <n v="4"/>
    <b v="1"/>
    <x v="5"/>
    <n v="48.970004387858424"/>
    <n v="0.4818958952909751"/>
    <n v="23.598444106890014"/>
    <n v="4"/>
    <n v="0"/>
    <n v="3.7200726177839982"/>
    <n v="-5.92195139347651E-3"/>
    <n v="1.4806596497485138"/>
    <n v="4"/>
    <b v="1"/>
    <n v="0"/>
    <n v="0.81759069605862034"/>
    <n v="40.03741997346286"/>
    <n v="0.3301999086073949"/>
    <n v="4"/>
    <n v="0"/>
    <n v="33.01999086073949"/>
    <n v="4"/>
    <n v="-0.34161675216112175"/>
    <b v="1"/>
    <n v="0"/>
    <n v="3"/>
    <n v="-1"/>
    <n v="0"/>
    <n v="0"/>
    <n v="0"/>
    <n v="0"/>
    <n v="0"/>
    <s v="Rural"/>
    <n v="6"/>
    <s v="Fuera SC"/>
    <m/>
    <s v="No"/>
    <s v="No"/>
    <n v="66.400000000000006"/>
    <n v="68.545381572157567"/>
    <n v="10.799979864870911"/>
    <s v="Bajo"/>
    <n v="4.7035142268329659"/>
    <s v="Medio Bajo"/>
    <n v="57408.638701000003"/>
    <n v="11665.655321"/>
    <n v="22650"/>
    <n v="2.5345977351434881"/>
    <n v="0.51503997002207502"/>
    <m/>
    <m/>
    <m/>
    <m/>
    <m/>
    <m/>
    <m/>
    <n v="74"/>
    <n v="0"/>
    <n v="7"/>
    <n v="84112.438196000003"/>
    <n v="491.02025700000002"/>
    <n v="5.8376652434663423E-3"/>
    <s v="0% - 30%"/>
    <n v="1.4285630258118659E-5"/>
    <s v="N.D."/>
    <s v="N.D."/>
    <s v="N.D."/>
    <n v="0.80110089707167154"/>
    <s v="Crítico bajo"/>
    <n v="2"/>
    <s v="Candidato"/>
    <n v="0"/>
    <n v="0"/>
  </r>
  <r>
    <n v="15022"/>
    <s v="15022"/>
    <x v="10"/>
    <x v="10"/>
    <s v="ALMEIDA"/>
    <n v="59.381100000000004"/>
    <n v="54.04"/>
    <n v="23.45"/>
    <n v="22.55"/>
    <n v="59.095261996217452"/>
    <n v="48.210133188523997"/>
    <n v="42.383996595778981"/>
    <n v="44.829700000000003"/>
    <n v="39.855274999999999"/>
    <n v="48.629772945130114"/>
    <n v="44.242523972565053"/>
    <n v="59.255939476324706"/>
    <n v="40.744060523675294"/>
    <n v="0.46669654471307764"/>
    <n v="0"/>
    <n v="20.647833067381615"/>
    <n v="5"/>
    <n v="5"/>
    <b v="1"/>
    <x v="6"/>
    <n v="49.381581335448686"/>
    <n v="0.48174302193787388"/>
    <n v="23.789232220609961"/>
    <n v="4"/>
    <n v="-1"/>
    <n v="-5.1390573628836336"/>
    <n v="-1.504647722479624E-2"/>
    <n v="-3.1413991532283454"/>
    <n v="4"/>
    <b v="0"/>
    <s v="Cambio en corte"/>
    <n v="0.81759069605862034"/>
    <n v="40.373921456524869"/>
    <n v="0.33440918745450321"/>
    <n v="4"/>
    <n v="-1"/>
    <n v="33.440918745450318"/>
    <n v="4"/>
    <n v="-0.35089415134554269"/>
    <b v="0"/>
    <s v="Cambio en corte"/>
    <n v="3"/>
    <n v="-2"/>
    <n v="0"/>
    <n v="0"/>
    <n v="0"/>
    <n v="0"/>
    <n v="0"/>
    <s v="Rural disperso"/>
    <n v="6"/>
    <s v="Fuera SC"/>
    <m/>
    <s v="No"/>
    <s v="No"/>
    <n v="37.5"/>
    <n v="7.4589127686472816"/>
    <n v="26.1264140625"/>
    <s v="Medio"/>
    <n v="0"/>
    <s v="Bajo"/>
    <n v="7101.6979879999999"/>
    <n v="1559.8164162"/>
    <n v="1825"/>
    <n v="3.8913413632876712"/>
    <n v="0.85469392668493149"/>
    <m/>
    <m/>
    <m/>
    <m/>
    <m/>
    <m/>
    <m/>
    <n v="98"/>
    <n v="0"/>
    <n v="7"/>
    <n v="5757.4196190000002"/>
    <n v="3000.7678810000002"/>
    <n v="0.52120013470916682"/>
    <s v="51% - 70%"/>
    <n v="8.7303649548625879E-5"/>
    <s v="N.D."/>
    <s v="N.D."/>
    <s v="N.D."/>
    <n v="0.86594851933398065"/>
    <s v="Aceptable"/>
    <n v="1"/>
    <s v="Candidato"/>
    <n v="0"/>
    <n v="0"/>
  </r>
  <r>
    <n v="68271"/>
    <s v="68271"/>
    <x v="0"/>
    <x v="0"/>
    <s v="FLORIÁN"/>
    <n v="69.564966666666706"/>
    <n v="74.28"/>
    <n v="54.15"/>
    <n v="79.73"/>
    <n v="61.749826864565257"/>
    <n v="62.559035906239771"/>
    <n v="70.94253314025184"/>
    <n v="70.406700000000001"/>
    <n v="69.431241666666679"/>
    <n v="66.414523977764219"/>
    <n v="67.922882822215456"/>
    <n v="59.061803992832395"/>
    <n v="40.938196007167605"/>
    <n v="0.46844376406450849"/>
    <n v="0"/>
    <n v="31.818050895351153"/>
    <n v="3"/>
    <n v="3"/>
    <b v="1"/>
    <x v="4"/>
    <n v="64.421688935235579"/>
    <n v="0.48051011265724775"/>
    <n v="30.955273007840219"/>
    <n v="3"/>
    <n v="0"/>
    <n v="3.5011938869798769"/>
    <n v="-1.2066348592739251E-2"/>
    <n v="0.86277788751093354"/>
    <n v="3"/>
    <b v="1"/>
    <n v="0"/>
    <n v="0.81759069605862034"/>
    <n v="52.670573497831178"/>
    <n v="0.48822734259821765"/>
    <n v="2"/>
    <n v="-1"/>
    <n v="48.822734259821765"/>
    <n v="4"/>
    <n v="-0.34914693199411184"/>
    <b v="0"/>
    <s v="Cambio en corte"/>
    <n v="2"/>
    <n v="-1"/>
    <n v="0"/>
    <n v="0"/>
    <n v="0"/>
    <n v="0"/>
    <n v="0"/>
    <s v="Rural disperso"/>
    <n v="6"/>
    <s v="Fuera SC"/>
    <m/>
    <s v="No"/>
    <s v="Si"/>
    <n v="56"/>
    <n v="31.266318537859007"/>
    <n v="0"/>
    <s v="Sin riesgo"/>
    <n v="0"/>
    <s v="Bajo"/>
    <n v="27050.303884000001"/>
    <n v="12041.35695485"/>
    <n v="5703"/>
    <n v="4.7431709423110648"/>
    <n v="2.1114074969051377"/>
    <m/>
    <m/>
    <m/>
    <m/>
    <m/>
    <m/>
    <m/>
    <n v="25"/>
    <n v="0"/>
    <n v="7"/>
    <n v="17636.525725"/>
    <n v="691.31811600000003"/>
    <n v="3.9198089622609053E-2"/>
    <s v="0% - 30%"/>
    <n v="2.011305003230281E-5"/>
    <s v="N.D."/>
    <s v="N.D."/>
    <s v="N.D."/>
    <n v="0.96872465636911032"/>
    <s v="Aceptable"/>
    <n v="3"/>
    <s v="Candidato"/>
    <n v="0"/>
    <n v="0"/>
  </r>
  <r>
    <n v="41676"/>
    <s v="41676"/>
    <x v="19"/>
    <x v="19"/>
    <s v="SANTA MARÍA"/>
    <n v="52.9003333333333"/>
    <n v="68.38"/>
    <n v="29.08"/>
    <n v="79.52"/>
    <n v="48.554919379832441"/>
    <n v="50.052834819109385"/>
    <n v="14.205305862344076"/>
    <n v="56.722700000000003"/>
    <n v="57.470083333333321"/>
    <n v="42.383940015321471"/>
    <n v="49.927011674327396"/>
    <n v="58.766848804575368"/>
    <n v="41.233151195424632"/>
    <n v="0.47109836075882172"/>
    <n v="0"/>
    <n v="23.52053335736219"/>
    <n v="4"/>
    <n v="4"/>
    <b v="1"/>
    <x v="5"/>
    <n v="44.795681204888751"/>
    <n v="0.48110752724865569"/>
    <n v="21.551539415903108"/>
    <n v="4"/>
    <n v="0"/>
    <n v="5.1313304694386446"/>
    <n v="-1.0009166489833965E-2"/>
    <n v="1.9689939414590825"/>
    <n v="4"/>
    <b v="1"/>
    <n v="0"/>
    <n v="0.81759069605862034"/>
    <n v="36.624532176725047"/>
    <n v="0.28750827979304178"/>
    <n v="4"/>
    <n v="0"/>
    <n v="28.750827979304177"/>
    <n v="4"/>
    <n v="-0.34649233529979862"/>
    <b v="1"/>
    <n v="0"/>
    <n v="3"/>
    <n v="-1"/>
    <n v="0"/>
    <n v="0"/>
    <n v="0"/>
    <n v="0"/>
    <n v="0"/>
    <s v="Rural disperso"/>
    <n v="6"/>
    <s v="Fuera SC"/>
    <m/>
    <s v="No"/>
    <s v="Si"/>
    <n v="51.5"/>
    <n v="20.959373470386687"/>
    <n v="0"/>
    <s v="Sin riesgo"/>
    <n v="3.7723289710093484"/>
    <s v="Medio Bajo"/>
    <n v="28086.986280000001"/>
    <n v="4125.90744275"/>
    <n v="10740"/>
    <n v="2.6151756312849161"/>
    <n v="0.38416270416666665"/>
    <m/>
    <m/>
    <m/>
    <m/>
    <m/>
    <m/>
    <m/>
    <n v="71"/>
    <n v="0"/>
    <n v="7"/>
    <n v="33930.524805000001"/>
    <n v="10525.020263"/>
    <n v="0.31019326472218411"/>
    <s v="31% - 50%"/>
    <n v="3.0621251525357086E-4"/>
    <s v="N.D."/>
    <s v="N.D."/>
    <s v="N.D."/>
    <n v="0.90053295051988203"/>
    <s v="Aceptable"/>
    <n v="2"/>
    <s v="Candidato"/>
    <n v="0"/>
    <n v="0"/>
  </r>
  <r>
    <n v="25299"/>
    <s v="25299"/>
    <x v="5"/>
    <x v="5"/>
    <s v="GAMA"/>
    <n v="52.306966666666703"/>
    <n v="90.36"/>
    <n v="77.36"/>
    <n v="89.05"/>
    <n v="56.266962935755146"/>
    <n v="47.329559114005733"/>
    <n v="73.934168015114054"/>
    <n v="49.608400000000003"/>
    <n v="77.269241666666673"/>
    <n v="56.784772516218737"/>
    <n v="67.027007091442698"/>
    <n v="59.452885244791631"/>
    <n v="40.547114755208369"/>
    <n v="0.46492403279687533"/>
    <n v="0"/>
    <n v="31.1624664432583"/>
    <n v="3"/>
    <n v="3"/>
    <b v="1"/>
    <x v="4"/>
    <n v="62.242611267530975"/>
    <n v="0.47964943240794133"/>
    <n v="29.854633166059365"/>
    <n v="3"/>
    <n v="0"/>
    <n v="4.7843958239117228"/>
    <n v="-1.4725399611066003E-2"/>
    <n v="1.3078332771989345"/>
    <n v="3"/>
    <b v="1"/>
    <n v="0"/>
    <n v="0.81759069605862034"/>
    <n v="50.888979870726779"/>
    <n v="0.46594148429984095"/>
    <n v="3"/>
    <n v="0"/>
    <n v="46.594148429984095"/>
    <n v="4"/>
    <n v="-0.35266666326174501"/>
    <b v="0"/>
    <n v="0"/>
    <n v="3"/>
    <n v="0"/>
    <n v="0"/>
    <n v="0"/>
    <n v="0"/>
    <n v="0"/>
    <n v="0"/>
    <s v="Rural"/>
    <n v="6"/>
    <s v="Fuera SC"/>
    <m/>
    <s v="No"/>
    <s v="No"/>
    <n v="42.9"/>
    <n v="8.7401055408970976"/>
    <n v="10.36153846153846"/>
    <s v="Bajo"/>
    <n v="0"/>
    <s v="Bajo"/>
    <n v="12544.494871999999"/>
    <n v="2523.3526216999999"/>
    <n v="3193"/>
    <n v="3.9287487854682115"/>
    <n v="0.79027642395865949"/>
    <m/>
    <m/>
    <m/>
    <m/>
    <m/>
    <m/>
    <m/>
    <n v="87"/>
    <n v="0"/>
    <n v="7"/>
    <n v="10751.893093999999"/>
    <n v="2814.3694289999999"/>
    <n v="0.26175571170536788"/>
    <s v="0% - 30%"/>
    <n v="8.1880615920182961E-5"/>
    <s v="N.D."/>
    <s v="N.D."/>
    <s v="N.D."/>
    <n v="0.9938543826357229"/>
    <s v="Aceptable"/>
    <n v="2"/>
    <s v="Candidato"/>
    <n v="0"/>
    <n v="0"/>
  </r>
  <r>
    <n v="19450"/>
    <s v="19450"/>
    <x v="13"/>
    <x v="13"/>
    <s v="MERCADERES"/>
    <n v="60.007833333333302"/>
    <n v="51.93"/>
    <n v="37.270000000000003"/>
    <n v="53.7"/>
    <n v="40.635697697031382"/>
    <n v="45.073468747355719"/>
    <n v="46.152220643033488"/>
    <n v="54.194200000000002"/>
    <n v="50.726958333333329"/>
    <n v="46.513896771855151"/>
    <n v="48.620427552594236"/>
    <n v="58.211018160963356"/>
    <n v="41.788981839036644"/>
    <n v="0.47610083655132984"/>
    <n v="0"/>
    <n v="23.148226231273444"/>
    <n v="4"/>
    <n v="4"/>
    <b v="1"/>
    <x v="5"/>
    <n v="48.939665202932815"/>
    <n v="0.48080075146942725"/>
    <n v="23.530227806232276"/>
    <n v="4"/>
    <n v="0"/>
    <n v="-0.31923765033857876"/>
    <n v="-4.6999149180974031E-3"/>
    <n v="-0.38200157495883147"/>
    <n v="4"/>
    <b v="1"/>
    <n v="0"/>
    <n v="0.81759069605862034"/>
    <n v="40.012614938141681"/>
    <n v="0.32988962376249875"/>
    <n v="4"/>
    <n v="0"/>
    <n v="32.988962376249873"/>
    <n v="4"/>
    <n v="-0.34148985950729049"/>
    <b v="1"/>
    <n v="0"/>
    <n v="4"/>
    <n v="0"/>
    <n v="0"/>
    <n v="0"/>
    <n v="0"/>
    <n v="1"/>
    <n v="1"/>
    <s v="Rural disperso"/>
    <n v="6"/>
    <s v="Fuera SC"/>
    <m/>
    <s v="No"/>
    <s v="No"/>
    <n v="46.6"/>
    <n v="25.503174388761312"/>
    <n v="0"/>
    <s v="Sin riesgo"/>
    <n v="12.810951682998187"/>
    <s v="Alto"/>
    <n v="51085.180490999999"/>
    <n v="3879.6343870000001"/>
    <n v="25765"/>
    <n v="1.9827355129439161"/>
    <n v="0.1505776979235397"/>
    <m/>
    <m/>
    <m/>
    <m/>
    <m/>
    <m/>
    <m/>
    <n v="26"/>
    <n v="0"/>
    <n v="7"/>
    <n v="69855.523673999996"/>
    <n v="4351.3175810000002"/>
    <n v="6.2290243521852612E-2"/>
    <s v="0% - 30%"/>
    <n v="1.2659623144186755E-4"/>
    <n v="1317.0258080000001"/>
    <n v="1.8853567173102347E-2"/>
    <s v="0% - 30%"/>
    <n v="0.89083609308175959"/>
    <s v="Aceptable"/>
    <n v="1"/>
    <s v="Candidato"/>
    <n v="0"/>
    <n v="0"/>
  </r>
  <r>
    <n v="13248"/>
    <s v="13248"/>
    <x v="8"/>
    <x v="8"/>
    <s v="EL GUAMO"/>
    <n v="49.157400000000003"/>
    <n v="54.44"/>
    <n v="48.28"/>
    <n v="22.19"/>
    <n v="48.615229006019646"/>
    <n v="52.378346915562382"/>
    <n v="49.437093875317544"/>
    <n v="49.651000000000003"/>
    <n v="43.516849999999998"/>
    <n v="50.020417449224894"/>
    <n v="46.768633724612442"/>
    <n v="58.33738618868172"/>
    <n v="41.66261381131828"/>
    <n v="0.47496352430186461"/>
    <n v="0"/>
    <n v="22.213395100624968"/>
    <n v="4"/>
    <n v="4"/>
    <b v="1"/>
    <x v="5"/>
    <n v="49.945209668671865"/>
    <n v="0.48051482699908021"/>
    <n v="23.999413783374649"/>
    <n v="4"/>
    <n v="0"/>
    <n v="-3.1765759440594223"/>
    <n v="-5.5513026972155988E-3"/>
    <n v="-1.7860186827496811"/>
    <n v="4"/>
    <b v="1"/>
    <n v="0"/>
    <n v="0.81759069605862034"/>
    <n v="40.834738737803164"/>
    <n v="0.34017352589609418"/>
    <n v="4"/>
    <n v="0"/>
    <n v="34.017352589609416"/>
    <n v="4"/>
    <n v="-0.34262717175675572"/>
    <b v="1"/>
    <n v="0"/>
    <n v="4"/>
    <n v="0"/>
    <n v="0"/>
    <n v="0"/>
    <n v="0"/>
    <n v="1"/>
    <n v="1"/>
    <s v="Rural"/>
    <n v="6"/>
    <s v="Fuera SC"/>
    <m/>
    <s v="No"/>
    <s v="No"/>
    <n v="59.5"/>
    <n v="29.398295382266888"/>
    <n v="21.419929642566867"/>
    <s v="Medio"/>
    <n v="0.31415907104543506"/>
    <s v="Medio Bajo"/>
    <n v="24902.805584000002"/>
    <n v="4063.0152950000002"/>
    <n v="9616"/>
    <n v="2.5897260382695508"/>
    <n v="0.42252654898086522"/>
    <m/>
    <m/>
    <m/>
    <m/>
    <m/>
    <m/>
    <m/>
    <n v="12"/>
    <n v="0"/>
    <n v="7"/>
    <n v="38297.617825000001"/>
    <n v="2974.7447750000001"/>
    <n v="7.767440754652212E-2"/>
    <s v="0% - 30%"/>
    <n v="8.6546539296688085E-5"/>
    <s v="N.D."/>
    <s v="N.D."/>
    <s v="N.D."/>
    <n v="0.92015352938756934"/>
    <s v="Aceptable"/>
    <n v="1"/>
    <s v="Candidato"/>
    <n v="0"/>
    <n v="0"/>
  </r>
  <r>
    <n v="68121"/>
    <s v="68121"/>
    <x v="0"/>
    <x v="0"/>
    <s v="CABRERA"/>
    <n v="62.6869333333333"/>
    <n v="56.19"/>
    <n v="57.67"/>
    <n v="54.05"/>
    <n v="46.242274514159703"/>
    <n v="53.45889421037068"/>
    <n v="64.181485501506117"/>
    <n v="55.105800000000002"/>
    <n v="57.649233333333328"/>
    <n v="54.74711355650912"/>
    <n v="56.198173444921224"/>
    <n v="58.031518530412399"/>
    <n v="41.968481469587601"/>
    <n v="0.47771633322628848"/>
    <n v="0"/>
    <n v="26.846785352122744"/>
    <n v="4"/>
    <n v="4"/>
    <b v="1"/>
    <x v="5"/>
    <n v="57.603693978445946"/>
    <n v="0.48259638267689786"/>
    <n v="27.799334342825016"/>
    <n v="3"/>
    <n v="-1"/>
    <n v="-1.4055205335247223"/>
    <n v="-4.8800494506093806E-3"/>
    <n v="-0.95254899070227239"/>
    <n v="4"/>
    <b v="1"/>
    <s v="Efecto ponderador"/>
    <n v="0.81759069605862034"/>
    <n v="47.096244255385379"/>
    <n v="0.41849835967209881"/>
    <n v="3"/>
    <n v="-1"/>
    <n v="41.849835967209884"/>
    <n v="4"/>
    <n v="-0.33987436283233186"/>
    <b v="1"/>
    <s v="Efecto ponderador"/>
    <n v="3"/>
    <n v="-1"/>
    <n v="0"/>
    <n v="0"/>
    <n v="0"/>
    <n v="0"/>
    <n v="0"/>
    <s v="Rural disperso"/>
    <n v="6"/>
    <s v="Fuera SC"/>
    <m/>
    <s v="No"/>
    <s v="Si"/>
    <n v="34"/>
    <n v="12.834890965732088"/>
    <n v="13.089999999999998"/>
    <s v="Bajo"/>
    <n v="0"/>
    <s v="Bajo"/>
    <n v="9585.3697560000001"/>
    <n v="1884.9223818"/>
    <n v="2117"/>
    <n v="4.5278081039206421"/>
    <n v="0.89037429466225793"/>
    <m/>
    <m/>
    <m/>
    <m/>
    <m/>
    <m/>
    <m/>
    <n v="4"/>
    <n v="0"/>
    <n v="7"/>
    <n v="6545.7118529999998"/>
    <n v="793.22449400000005"/>
    <n v="0.1211823116895152"/>
    <s v="0% - 30%"/>
    <n v="2.3077890721252387E-5"/>
    <s v="N.D."/>
    <s v="N.D."/>
    <s v="N.D."/>
    <n v="0.92914888869568457"/>
    <s v="Aceptable"/>
    <n v="1"/>
    <s v="Candidato"/>
    <n v="0"/>
    <n v="0"/>
  </r>
  <r>
    <n v="15763"/>
    <s v="15763"/>
    <x v="10"/>
    <x v="10"/>
    <s v="SOTAQUIRÁ"/>
    <n v="94.142366666666703"/>
    <n v="84.3"/>
    <n v="73.150000000000006"/>
    <n v="87.28"/>
    <n v="45.284036032693081"/>
    <n v="70.660750574101073"/>
    <n v="63.169690273382699"/>
    <n v="64.642600000000002"/>
    <n v="84.71809166666668"/>
    <n v="60.93926922004421"/>
    <n v="72.828680443355438"/>
    <n v="59.62831488340219"/>
    <n v="40.37168511659781"/>
    <n v="0.46334516604938036"/>
    <n v="0"/>
    <n v="33.744817033183786"/>
    <n v="3"/>
    <n v="3"/>
    <b v="1"/>
    <x v="4"/>
    <n v="72.873803342895329"/>
    <n v="0.47924244648255654"/>
    <n v="34.924219798537862"/>
    <n v="3"/>
    <n v="0"/>
    <n v="-4.5122899539890682E-2"/>
    <n v="-1.5897280433176175E-2"/>
    <n v="-1.1794027653540766"/>
    <n v="3"/>
    <b v="1"/>
    <n v="0"/>
    <n v="0.81759069605862034"/>
    <n v="59.580943599556804"/>
    <n v="0.57466878835411461"/>
    <n v="2"/>
    <n v="-1"/>
    <n v="57.466878835411464"/>
    <n v="4"/>
    <n v="-0.35424553000923997"/>
    <b v="0"/>
    <s v="Cambio en corte"/>
    <n v="2"/>
    <n v="-1"/>
    <n v="0"/>
    <n v="0"/>
    <n v="0"/>
    <n v="0"/>
    <n v="0"/>
    <s v="Rural disperso"/>
    <n v="6"/>
    <s v="Fuera SC"/>
    <m/>
    <s v="No"/>
    <s v="No"/>
    <n v="35.4"/>
    <n v="18.35785238274865"/>
    <n v="17.607534372274674"/>
    <s v="Medio"/>
    <n v="0"/>
    <s v="Bajo"/>
    <n v="23123.549384000002"/>
    <n v="6845.9364015500005"/>
    <n v="8132"/>
    <n v="2.843525502213478"/>
    <n v="0.841851500436547"/>
    <m/>
    <m/>
    <m/>
    <m/>
    <m/>
    <m/>
    <m/>
    <n v="21"/>
    <n v="0"/>
    <n v="7"/>
    <n v="29155.711317000001"/>
    <n v="11432.900023"/>
    <n v="0.39213243328876524"/>
    <s v="31% - 50%"/>
    <n v="3.3262615987473263E-4"/>
    <s v="N.D."/>
    <s v="N.D."/>
    <s v="N.D."/>
    <n v="0.9066186729782848"/>
    <s v="Aceptable"/>
    <n v="3"/>
    <s v="Candidato"/>
    <n v="0"/>
    <n v="0"/>
  </r>
  <r>
    <n v="25168"/>
    <s v="25168"/>
    <x v="5"/>
    <x v="5"/>
    <s v="CHAGUANÍ"/>
    <n v="69.486033333333296"/>
    <n v="69.17"/>
    <n v="71.5"/>
    <n v="66.75"/>
    <n v="52.611358863282121"/>
    <n v="64.549467313742426"/>
    <n v="44.506194002502134"/>
    <n v="56.015500000000003"/>
    <n v="69.226508333333328"/>
    <n v="54.420630044881669"/>
    <n v="61.823569189107502"/>
    <n v="59.631977045768622"/>
    <n v="40.368022954231378"/>
    <n v="0.46331220658808248"/>
    <n v="0"/>
    <n v="28.643614260156387"/>
    <n v="4"/>
    <n v="4"/>
    <b v="1"/>
    <x v="4"/>
    <n v="63.8344222974969"/>
    <n v="0.47722499384305184"/>
    <n v="30.463381787897728"/>
    <n v="3"/>
    <n v="0"/>
    <n v="-2.0108531083893979"/>
    <n v="-1.3912787254969361E-2"/>
    <n v="-1.819767527741341"/>
    <n v="3"/>
    <b v="1"/>
    <n v="0"/>
    <n v="0.81759069605862034"/>
    <n v="52.190429758710408"/>
    <n v="0.48222125054102422"/>
    <n v="2"/>
    <n v="-1"/>
    <n v="48.22212505410242"/>
    <n v="4"/>
    <n v="-0.35427848947053786"/>
    <b v="0"/>
    <s v="Cambio en corte"/>
    <n v="3"/>
    <n v="0"/>
    <n v="0"/>
    <n v="0"/>
    <n v="0"/>
    <n v="0"/>
    <n v="1"/>
    <s v="Rural"/>
    <n v="6"/>
    <s v="Fuera SC"/>
    <m/>
    <s v="No"/>
    <s v="No"/>
    <n v="58.7"/>
    <n v="14.775804995486007"/>
    <n v="19.438333333333336"/>
    <s v="Medio"/>
    <n v="0.11516444532658346"/>
    <s v="Bajo"/>
    <n v="14096.043607"/>
    <n v="3593.9005212500001"/>
    <n v="4366"/>
    <n v="3.228594504580852"/>
    <n v="0.82315632644296843"/>
    <m/>
    <m/>
    <m/>
    <m/>
    <m/>
    <m/>
    <m/>
    <n v="52"/>
    <n v="0"/>
    <n v="7"/>
    <n v="17187.468249000001"/>
    <n v="6383.8253000000004"/>
    <n v="0.37142324905073926"/>
    <s v="31% - 50%"/>
    <n v="1.8572954286124986E-4"/>
    <s v="N.D."/>
    <s v="N.D."/>
    <s v="N.D."/>
    <n v="0.83990125003349037"/>
    <s v="Crítico bajo"/>
    <n v="2"/>
    <s v="Candidato"/>
    <n v="0"/>
    <n v="0"/>
  </r>
  <r>
    <n v="15531"/>
    <s v="15531"/>
    <x v="10"/>
    <x v="10"/>
    <s v="PAUNA"/>
    <n v="74.137266666666704"/>
    <n v="73.900000000000006"/>
    <n v="52.1"/>
    <n v="54.16"/>
    <n v="42.020142336787877"/>
    <n v="47.167018430292273"/>
    <n v="52.081172489240217"/>
    <n v="51.303199999999997"/>
    <n v="63.574316666666675"/>
    <n v="48.142883314080095"/>
    <n v="55.858599990373385"/>
    <n v="59.361906198339362"/>
    <n v="40.638093801660638"/>
    <n v="0.46574284421494572"/>
    <n v="0"/>
    <n v="26.015743233381439"/>
    <n v="4"/>
    <n v="4"/>
    <b v="1"/>
    <x v="5"/>
    <n v="58.513470919706101"/>
    <n v="0.47643948512073864"/>
    <n v="27.878127957612087"/>
    <n v="3"/>
    <n v="-1"/>
    <n v="-2.6548709293327164"/>
    <n v="-1.069664090579292E-2"/>
    <n v="-1.8623847242306475"/>
    <n v="4"/>
    <b v="1"/>
    <s v="Efecto ponderador"/>
    <n v="0.81759069605862034"/>
    <n v="47.840069418048351"/>
    <n v="0.42780282839138589"/>
    <n v="3"/>
    <n v="-1"/>
    <n v="42.780282839138586"/>
    <n v="4"/>
    <n v="-0.35184785184367462"/>
    <b v="1"/>
    <s v="Efecto ponderador"/>
    <n v="3"/>
    <n v="-1"/>
    <n v="0"/>
    <n v="0"/>
    <n v="0"/>
    <n v="0"/>
    <n v="0"/>
    <s v="Rural"/>
    <n v="6"/>
    <s v="Fuera SC"/>
    <m/>
    <s v="No"/>
    <s v="Si"/>
    <n v="47.4"/>
    <n v="25.948072383949647"/>
    <n v="41.566009309033696"/>
    <s v="Alto"/>
    <n v="2.328908349279343"/>
    <s v="Medio Bajo"/>
    <n v="25107.919558000001"/>
    <n v="4231.3993119999996"/>
    <n v="7346"/>
    <n v="3.4179035608494419"/>
    <n v="0.57601406370814046"/>
    <m/>
    <m/>
    <m/>
    <m/>
    <m/>
    <m/>
    <m/>
    <n v="86"/>
    <n v="0"/>
    <n v="7"/>
    <n v="25230.162514"/>
    <n v="1522.970057"/>
    <n v="6.0363069645505335E-2"/>
    <s v="0% - 30%"/>
    <n v="4.4308940045395919E-5"/>
    <s v="N.D."/>
    <s v="N.D."/>
    <s v="N.D."/>
    <n v="0.91488907356441229"/>
    <s v="Aceptable"/>
    <n v="1"/>
    <s v="Candidato"/>
    <n v="0"/>
    <n v="0"/>
  </r>
  <r>
    <n v="68895"/>
    <s v="68895"/>
    <x v="0"/>
    <x v="0"/>
    <s v="ZAPATOCA"/>
    <n v="60.0788333333333"/>
    <n v="50.96"/>
    <n v="64.19"/>
    <n v="71.42"/>
    <n v="50.350319050364547"/>
    <n v="50.874178460500673"/>
    <n v="51.931700100191129"/>
    <n v="50.036799999999999"/>
    <n v="61.662208333333325"/>
    <n v="50.798249402764085"/>
    <n v="56.230228868048705"/>
    <n v="58.411727641381553"/>
    <n v="41.588272358618447"/>
    <n v="0.47429445122756597"/>
    <n v="0"/>
    <n v="26.6696855433716"/>
    <n v="4"/>
    <n v="4"/>
    <b v="1"/>
    <x v="5"/>
    <n v="55.00009793367056"/>
    <n v="0.47872888005706016"/>
    <n v="26.330135286814734"/>
    <n v="4"/>
    <n v="0"/>
    <n v="1.2301309343781455"/>
    <n v="-4.4344288294941858E-3"/>
    <n v="0.33955025655686555"/>
    <n v="4"/>
    <b v="1"/>
    <n v="0"/>
    <n v="0.81759069605862034"/>
    <n v="44.967568352881997"/>
    <n v="0.39187086796768467"/>
    <n v="3"/>
    <n v="-1"/>
    <n v="39.187086796768469"/>
    <n v="4"/>
    <n v="-0.34329624483105436"/>
    <b v="1"/>
    <s v="Efecto ponderador"/>
    <n v="3"/>
    <n v="-1"/>
    <n v="0"/>
    <n v="0"/>
    <n v="0"/>
    <n v="0"/>
    <n v="0"/>
    <s v="Rural"/>
    <n v="6"/>
    <s v="Fuera SC"/>
    <m/>
    <s v="No"/>
    <s v="No"/>
    <n v="26.9"/>
    <n v="6.6328257191201354"/>
    <n v="23.470352112676057"/>
    <s v="Medio"/>
    <n v="0"/>
    <s v="Bajo"/>
    <n v="21456.348287000001"/>
    <n v="7777.3225076999997"/>
    <n v="10231"/>
    <n v="2.0971897455771673"/>
    <n v="0.76017227130290288"/>
    <m/>
    <m/>
    <m/>
    <m/>
    <m/>
    <m/>
    <m/>
    <n v="95"/>
    <n v="0"/>
    <n v="7"/>
    <n v="36377.435035000002"/>
    <n v="36344.718087000001"/>
    <n v="0.99910062520987186"/>
    <s v="71% - 100%"/>
    <n v="1.0574048565707946E-3"/>
    <s v="N.D."/>
    <s v="N.D."/>
    <s v="N.D."/>
    <n v="0.9354182962307358"/>
    <s v="Aceptable"/>
    <n v="2"/>
    <s v="Candidato"/>
    <n v="0"/>
    <n v="0"/>
  </r>
  <r>
    <n v="13030"/>
    <s v="13030"/>
    <x v="8"/>
    <x v="8"/>
    <s v="ALTOS DEL ROSARIO"/>
    <n v="82.711233333333297"/>
    <n v="0"/>
    <n v="81.14"/>
    <n v="70.430000000000007"/>
    <n v="35.92481694594769"/>
    <n v="43.30154947155161"/>
    <n v="62.730094701870911"/>
    <n v="55.983600000000003"/>
    <n v="58.57030833333333"/>
    <n v="49.48501527984255"/>
    <n v="54.027661806587943"/>
    <n v="59.183558923181259"/>
    <n v="40.816441076818741"/>
    <n v="0.46734796969136871"/>
    <n v="0"/>
    <n v="25.24971805248078"/>
    <n v="4"/>
    <n v="4"/>
    <b v="1"/>
    <x v="5"/>
    <n v="65.092539885643404"/>
    <n v="0.47766137293381705"/>
    <n v="31.092191969525675"/>
    <n v="3"/>
    <n v="-1"/>
    <n v="-11.064878079055461"/>
    <n v="-1.0313403242448338E-2"/>
    <n v="-5.8424739170448952"/>
    <n v="4"/>
    <b v="1"/>
    <s v="Efecto ponderador"/>
    <n v="0.81759069605862034"/>
    <n v="53.219054993326701"/>
    <n v="0.49508826795287414"/>
    <n v="2"/>
    <n v="-2"/>
    <n v="49.508826795287412"/>
    <n v="4"/>
    <n v="-0.35024272636725162"/>
    <b v="1"/>
    <s v="Efecto ponderador"/>
    <n v="4"/>
    <n v="0"/>
    <n v="0"/>
    <n v="0"/>
    <n v="0"/>
    <n v="0"/>
    <n v="0"/>
    <s v="Rural"/>
    <n v="6"/>
    <s v="Fuera SC"/>
    <m/>
    <s v="No"/>
    <s v="Si"/>
    <n v="70.7"/>
    <n v="58.452658452658454"/>
    <n v="64.578571428571436"/>
    <s v="Alto"/>
    <n v="3.0153250346324891"/>
    <s v="Medio Bajo"/>
    <n v="29598.243279999999"/>
    <n v="5668.1929827499998"/>
    <n v="11401"/>
    <n v="2.596109400929743"/>
    <n v="0.4971662996886238"/>
    <m/>
    <m/>
    <m/>
    <m/>
    <m/>
    <m/>
    <m/>
    <n v="92"/>
    <n v="0"/>
    <n v="7"/>
    <n v="30339.090838"/>
    <n v="1352.460098"/>
    <n v="4.4578135357504878E-2"/>
    <s v="0% - 30%"/>
    <n v="3.934816257262259E-5"/>
    <n v="36.954016000000003"/>
    <n v="1.2180330715024178E-3"/>
    <s v="0% - 30%"/>
    <n v="0.89275093478364398"/>
    <s v="Aceptable"/>
    <n v="2"/>
    <s v="Candidato"/>
    <n v="0"/>
    <n v="0"/>
  </r>
  <r>
    <n v="47707"/>
    <s v="47707"/>
    <x v="17"/>
    <x v="17"/>
    <s v="SANTA ANA"/>
    <n v="55.714633333333303"/>
    <n v="56.9"/>
    <n v="51.97"/>
    <n v="64.45"/>
    <n v="51.112974488972995"/>
    <n v="56.241381260184703"/>
    <n v="58.803693489817519"/>
    <n v="46.774000000000001"/>
    <n v="57.258658333333329"/>
    <n v="53.233012309743799"/>
    <n v="55.245835321538564"/>
    <n v="58.658574861841885"/>
    <n v="41.341425138158115"/>
    <n v="0.47207282624342306"/>
    <n v="0"/>
    <n v="26.080057618417438"/>
    <n v="4"/>
    <n v="4"/>
    <b v="1"/>
    <x v="5"/>
    <n v="53.862818981139839"/>
    <n v="0.47777604144347174"/>
    <n v="25.734364433795285"/>
    <n v="4"/>
    <n v="0"/>
    <n v="1.3830163403987257"/>
    <n v="-5.7032152000486835E-3"/>
    <n v="0.34569318462215293"/>
    <n v="4"/>
    <b v="1"/>
    <n v="0"/>
    <n v="0.81759069605862034"/>
    <n v="44.03773966246959"/>
    <n v="0.38023969118245143"/>
    <n v="3"/>
    <n v="-1"/>
    <n v="38.023969118245141"/>
    <n v="4"/>
    <n v="-0.34551786981519728"/>
    <b v="1"/>
    <s v="Efecto ponderador"/>
    <n v="4"/>
    <n v="0"/>
    <n v="0"/>
    <n v="0"/>
    <n v="0"/>
    <n v="0"/>
    <n v="0"/>
    <s v="Rural"/>
    <n v="6"/>
    <s v="Fuera SC"/>
    <m/>
    <s v="No"/>
    <s v="No"/>
    <n v="47.3"/>
    <n v="30.640828011451223"/>
    <n v="1.5"/>
    <s v="Sin riesgo"/>
    <n v="1.3323243325204883"/>
    <s v="Medio Bajo"/>
    <n v="43104.315428000002"/>
    <n v="5819.5916129999996"/>
    <n v="28187"/>
    <n v="1.5292267863908895"/>
    <n v="0.20646367520488168"/>
    <m/>
    <m/>
    <m/>
    <m/>
    <m/>
    <m/>
    <m/>
    <n v="60"/>
    <n v="0"/>
    <n v="7"/>
    <n v="111922.242361"/>
    <n v="379.22693900000002"/>
    <n v="3.3883071943539259E-3"/>
    <s v="0% - 30%"/>
    <n v="1.1033141214115162E-5"/>
    <s v="N.D."/>
    <s v="N.D."/>
    <s v="N.D."/>
    <n v="0.83864478261251652"/>
    <s v="Crítico bajo"/>
    <n v="2"/>
    <s v="Candidato"/>
    <n v="0"/>
    <n v="0"/>
  </r>
  <r>
    <n v="5890"/>
    <s v="05890"/>
    <x v="1"/>
    <x v="1"/>
    <s v="YOLOMBÓ"/>
    <n v="62.844433333333299"/>
    <n v="55.15"/>
    <n v="56.41"/>
    <n v="41.83"/>
    <n v="62.043213529093045"/>
    <n v="59.52485636885207"/>
    <n v="71.035469066963202"/>
    <n v="55.383499999999998"/>
    <n v="54.058608333333325"/>
    <n v="61.996759741227081"/>
    <n v="58.027684037280203"/>
    <n v="57.281667523893333"/>
    <n v="42.718332476106667"/>
    <n v="0.48446499228495998"/>
    <n v="0"/>
    <n v="28.112381499435049"/>
    <n v="4"/>
    <n v="4"/>
    <b v="1"/>
    <x v="5"/>
    <n v="61.186045469257593"/>
    <n v="0.48086372009669953"/>
    <n v="29.422149442353014"/>
    <n v="3"/>
    <n v="-1"/>
    <n v="-3.1583614319773901"/>
    <n v="3.6012721882604515E-3"/>
    <n v="-1.3097679429179649"/>
    <n v="3"/>
    <b v="0"/>
    <s v="Cambio en corte"/>
    <n v="0.81759069605862034"/>
    <n v="50.025141504284711"/>
    <n v="0.45513577690711854"/>
    <n v="3"/>
    <n v="-1"/>
    <n v="45.513577690711855"/>
    <n v="4"/>
    <n v="-0.33312570377366035"/>
    <b v="1"/>
    <s v="Efecto ponderador"/>
    <n v="3"/>
    <n v="-1"/>
    <n v="0"/>
    <n v="0"/>
    <n v="0"/>
    <n v="0"/>
    <n v="1"/>
    <s v="Rural"/>
    <n v="6"/>
    <s v="Fuera SC"/>
    <m/>
    <s v="No"/>
    <s v="Si"/>
    <n v="45"/>
    <n v="16.119481892677769"/>
    <n v="35.486534325322488"/>
    <s v="Alto"/>
    <n v="14.933799947144436"/>
    <s v="Alto"/>
    <n v="50427.826417999997"/>
    <n v="12600.073907350001"/>
    <n v="24828"/>
    <n v="2.0310869348316416"/>
    <n v="0.50749451858184313"/>
    <m/>
    <m/>
    <m/>
    <m/>
    <m/>
    <m/>
    <m/>
    <n v="72"/>
    <n v="0"/>
    <n v="6"/>
    <n v="94339.805808999998"/>
    <n v="2643.2156799999998"/>
    <n v="2.8018031808878682E-2"/>
    <s v="0% - 30%"/>
    <n v="7.6901108169436842E-5"/>
    <n v="504.52983599999999"/>
    <n v="5.3480058780433484E-3"/>
    <s v="0% - 30%"/>
    <n v="0.93714152801618855"/>
    <s v="Aceptable"/>
    <n v="1"/>
    <s v="Candidato"/>
    <n v="0"/>
    <n v="0"/>
  </r>
  <r>
    <n v="68615"/>
    <s v="68615"/>
    <x v="0"/>
    <x v="0"/>
    <s v="RIONEGRO"/>
    <n v="57.361933333333297"/>
    <n v="71.739999999999995"/>
    <n v="69.23"/>
    <n v="70.459999999999994"/>
    <n v="53.616953718743105"/>
    <n v="54.405553027750067"/>
    <n v="61.589119707942771"/>
    <n v="69.636300000000006"/>
    <n v="67.197983333333326"/>
    <n v="59.811981613608992"/>
    <n v="63.504982473471159"/>
    <n v="59.911526479853435"/>
    <n v="40.088473520146565"/>
    <n v="0.46079626168131915"/>
    <n v="0"/>
    <n v="29.262858521913202"/>
    <n v="4"/>
    <n v="4"/>
    <b v="1"/>
    <x v="4"/>
    <n v="58.621858232359017"/>
    <n v="0.46617102714496761"/>
    <n v="27.327811865325479"/>
    <n v="4"/>
    <n v="1"/>
    <n v="4.8831242411121423"/>
    <n v="-5.3747654636484565E-3"/>
    <n v="1.9350466565877227"/>
    <n v="3"/>
    <b v="1"/>
    <s v="Efecto ponderador"/>
    <n v="0.6523467210059386"/>
    <n v="38.241776997154396"/>
    <n v="0.30773830775988531"/>
    <n v="4"/>
    <n v="1"/>
    <n v="30.773830775988532"/>
    <n v="4"/>
    <n v="-0.19155045932461945"/>
    <b v="0"/>
    <s v="Cambio en corte"/>
    <n v="3"/>
    <n v="0"/>
    <n v="0"/>
    <n v="0"/>
    <n v="0"/>
    <n v="0"/>
    <n v="1"/>
    <s v="Rural disperso"/>
    <n v="6"/>
    <s v="Fuera SC"/>
    <m/>
    <s v="No"/>
    <s v="Si"/>
    <n v="37.799999999999997"/>
    <n v="16.272341774660166"/>
    <n v="51.6117908246054"/>
    <s v="Alto"/>
    <n v="2.2867569431295096"/>
    <s v="Medio Bajo"/>
    <n v="48844.523430000001"/>
    <n v="9746.7194543999994"/>
    <n v="27251"/>
    <n v="1.7923937994935966"/>
    <n v="0.35766465283475835"/>
    <m/>
    <m/>
    <m/>
    <m/>
    <m/>
    <m/>
    <m/>
    <n v="39"/>
    <n v="0"/>
    <n v="7"/>
    <n v="116648.05364100001"/>
    <n v="15068.079625"/>
    <n v="0.12917557691424525"/>
    <s v="0% - 30%"/>
    <n v="4.3838723790705288E-4"/>
    <s v="N.D."/>
    <s v="N.D."/>
    <s v="N.D."/>
    <n v="0.91168631110818232"/>
    <s v="Aceptable"/>
    <n v="3"/>
    <s v="Candidato"/>
    <n v="0"/>
    <n v="0"/>
  </r>
  <r>
    <n v="63302"/>
    <s v="63302"/>
    <x v="7"/>
    <x v="7"/>
    <s v="GÉNOVA"/>
    <n v="76.498633333333302"/>
    <n v="75.42"/>
    <n v="74.38"/>
    <n v="74.819999999999993"/>
    <n v="41.141962371322748"/>
    <n v="43.466563933893987"/>
    <n v="50.391825625081438"/>
    <n v="46.662100000000002"/>
    <n v="75.279658333333316"/>
    <n v="45.415612982574544"/>
    <n v="60.34763565795393"/>
    <n v="58.816282245060947"/>
    <n v="41.183717754939053"/>
    <n v="0.4706534597944515"/>
    <n v="0"/>
    <n v="28.402823512831027"/>
    <n v="4"/>
    <n v="4"/>
    <b v="1"/>
    <x v="4"/>
    <n v="60.619135165238291"/>
    <n v="0.47638888343549868"/>
    <n v="28.878282116193443"/>
    <n v="3"/>
    <n v="0"/>
    <n v="-0.27149950728436067"/>
    <n v="-5.7354236410471771E-3"/>
    <n v="-0.47545860336241574"/>
    <n v="3"/>
    <b v="1"/>
    <n v="0"/>
    <n v="0.81759069605862034"/>
    <n v="49.561640914218763"/>
    <n v="0.44933787310106815"/>
    <n v="3"/>
    <n v="0"/>
    <n v="44.933787310106815"/>
    <n v="4"/>
    <n v="-0.34693723626416884"/>
    <b v="0"/>
    <n v="0"/>
    <n v="3"/>
    <n v="0"/>
    <n v="0"/>
    <n v="0"/>
    <n v="0"/>
    <n v="0"/>
    <n v="1"/>
    <s v="Rural"/>
    <n v="6"/>
    <s v="Fuera SC"/>
    <m/>
    <s v="No"/>
    <s v="No"/>
    <n v="33.1"/>
    <n v="11.390070921985815"/>
    <n v="0"/>
    <s v="Sin riesgo"/>
    <n v="4.788293392103725"/>
    <s v="Medio Bajo"/>
    <n v="17282.505282999999"/>
    <n v="3507.1542579499996"/>
    <n v="7723"/>
    <n v="2.2377968772497732"/>
    <n v="0.45411812222581893"/>
    <m/>
    <m/>
    <m/>
    <m/>
    <m/>
    <m/>
    <m/>
    <n v="16"/>
    <n v="0"/>
    <n v="7"/>
    <n v="29569.690316"/>
    <n v="25189.307904000001"/>
    <n v="0.8518624184024749"/>
    <s v="71% - 100%"/>
    <n v="7.3285192218546262E-4"/>
    <n v="158.40275199999999"/>
    <n v="5.3569296907478641E-3"/>
    <s v="0% - 30%"/>
    <n v="0.9080364025932538"/>
    <s v="Aceptable"/>
    <n v="2"/>
    <s v="Candidato"/>
    <n v="0"/>
    <n v="0"/>
  </r>
  <r>
    <n v="54670"/>
    <s v="54670"/>
    <x v="12"/>
    <x v="12"/>
    <s v="SAN CALIXTO"/>
    <n v="69.740399999999994"/>
    <n v="63.85"/>
    <n v="56.7"/>
    <n v="72.67"/>
    <n v="52.373994746346469"/>
    <n v="56.837838634874487"/>
    <n v="62.740000406420627"/>
    <n v="57.891800000000003"/>
    <n v="65.740099999999998"/>
    <n v="57.460908446910395"/>
    <n v="61.600504223455196"/>
    <n v="59.269194099183387"/>
    <n v="40.730805900816613"/>
    <n v="0.46657725310734954"/>
    <n v="0"/>
    <n v="28.741394050607411"/>
    <n v="4"/>
    <n v="4"/>
    <b v="1"/>
    <x v="4"/>
    <n v="60.609222513638073"/>
    <n v="0.47744128926391316"/>
    <n v="28.937345338194753"/>
    <n v="3"/>
    <n v="0"/>
    <n v="0.99128170981712316"/>
    <n v="-1.0864036156563617E-2"/>
    <n v="-0.19595128758734148"/>
    <n v="3"/>
    <b v="1"/>
    <n v="0"/>
    <n v="0.81759069605862034"/>
    <n v="49.553536422497153"/>
    <n v="0.4492364944525703"/>
    <n v="3"/>
    <n v="0"/>
    <n v="44.923649445257027"/>
    <n v="4"/>
    <n v="-0.35101344295127079"/>
    <b v="0"/>
    <n v="0"/>
    <n v="3"/>
    <n v="0"/>
    <n v="0"/>
    <n v="0"/>
    <n v="0"/>
    <n v="1"/>
    <n v="1"/>
    <s v="Rural disperso"/>
    <n v="6"/>
    <s v="Fuera SC"/>
    <m/>
    <s v="No"/>
    <s v="No"/>
    <n v="73.5"/>
    <n v="38.517397881996978"/>
    <n v="5.7466666666666661"/>
    <s v="Bajo"/>
    <n v="39.464837009468148"/>
    <s v="Muy Alto"/>
    <n v="35925.372804999999"/>
    <n v="6164.2795249999999"/>
    <n v="13579"/>
    <n v="2.6456567350320346"/>
    <n v="0.45395681014802269"/>
    <m/>
    <m/>
    <m/>
    <m/>
    <m/>
    <m/>
    <m/>
    <n v="14"/>
    <n v="0"/>
    <n v="7"/>
    <n v="39728.757353000001"/>
    <n v="16796.773022000001"/>
    <n v="0.42278626720580381"/>
    <s v="31% - 50%"/>
    <n v="4.8868144542117003E-4"/>
    <s v="N.D."/>
    <s v="N.D."/>
    <s v="N.D."/>
    <n v="0.97731270576031548"/>
    <s v="Aceptable"/>
    <n v="2"/>
    <s v="Candidato"/>
    <n v="0"/>
    <n v="0"/>
  </r>
  <r>
    <n v="41797"/>
    <s v="41797"/>
    <x v="19"/>
    <x v="19"/>
    <s v="TESALIA"/>
    <n v="67.204266666666697"/>
    <n v="80.16"/>
    <n v="83.76"/>
    <n v="69.88"/>
    <n v="40.863063475142475"/>
    <n v="47.927973059481694"/>
    <n v="63.162490515122954"/>
    <n v="56.555599999999998"/>
    <n v="75.251066666666674"/>
    <n v="52.12728176243678"/>
    <n v="63.689174214551727"/>
    <n v="58.411945309389147"/>
    <n v="41.588054690610853"/>
    <n v="0.47429249221549774"/>
    <n v="0"/>
    <n v="30.207297165366754"/>
    <n v="3"/>
    <n v="3"/>
    <b v="1"/>
    <x v="4"/>
    <n v="63.200227901364315"/>
    <n v="0.47730155383383721"/>
    <n v="30.165566979973821"/>
    <n v="3"/>
    <n v="0"/>
    <n v="0.48894631318741233"/>
    <n v="-3.0090616183394703E-3"/>
    <n v="4.1730185392932384E-2"/>
    <n v="3"/>
    <b v="1"/>
    <n v="0"/>
    <n v="0.81759069605862034"/>
    <n v="51.671918320939888"/>
    <n v="0.47573521901708887"/>
    <n v="3"/>
    <n v="0"/>
    <n v="47.573521901708887"/>
    <n v="4"/>
    <n v="-0.3432982038431226"/>
    <b v="0"/>
    <n v="0"/>
    <n v="3"/>
    <n v="0"/>
    <n v="0"/>
    <n v="0"/>
    <n v="0"/>
    <n v="0"/>
    <n v="0"/>
    <s v="Rural"/>
    <n v="6"/>
    <s v="Fuera SC"/>
    <m/>
    <s v="No"/>
    <s v="Si"/>
    <n v="36.1"/>
    <n v="10.730009214702569"/>
    <n v="4.3000000000000007"/>
    <s v="Sin riesgo"/>
    <n v="11.783900362847925"/>
    <s v="Alto"/>
    <n v="24742.926072999999"/>
    <n v="6691.9016682000001"/>
    <n v="12047"/>
    <n v="2.0538661968124843"/>
    <n v="0.55548283126089482"/>
    <m/>
    <m/>
    <m/>
    <m/>
    <m/>
    <m/>
    <m/>
    <n v="30"/>
    <n v="0"/>
    <n v="7"/>
    <n v="36695.732061000002"/>
    <n v="133.89252999999999"/>
    <n v="3.6487221396054432E-3"/>
    <s v="0% - 30%"/>
    <n v="3.8954384277145212E-6"/>
    <n v="131.14398700000001"/>
    <n v="3.5738212493484777E-3"/>
    <s v="0% - 30%"/>
    <n v="0.90695975524650296"/>
    <s v="Aceptable"/>
    <n v="2"/>
    <s v="Candidato"/>
    <n v="0"/>
    <n v="0"/>
  </r>
  <r>
    <n v="50150"/>
    <s v="50150"/>
    <x v="16"/>
    <x v="16"/>
    <s v="CASTILLA LA NUEVA"/>
    <n v="77.393666666666704"/>
    <n v="62.02"/>
    <n v="63.96"/>
    <n v="69.75"/>
    <n v="52.250833167809333"/>
    <n v="73.694188821522587"/>
    <n v="57.815562729552511"/>
    <n v="63.623100000000001"/>
    <n v="68.280916666666684"/>
    <n v="61.84592117972111"/>
    <n v="65.063418923193893"/>
    <n v="59.033093210306539"/>
    <n v="40.966906789693461"/>
    <n v="0.46870216110724117"/>
    <n v="0"/>
    <n v="30.495365058326747"/>
    <n v="3"/>
    <n v="3"/>
    <b v="1"/>
    <x v="4"/>
    <n v="66.05331653589991"/>
    <n v="0.47567251404840838"/>
    <n v="31.419747137866814"/>
    <n v="3"/>
    <n v="0"/>
    <n v="-0.98989761270601662"/>
    <n v="-6.9703529411672127E-3"/>
    <n v="-0.92438207954006657"/>
    <n v="3"/>
    <b v="1"/>
    <n v="0"/>
    <n v="0.6523467210059386"/>
    <n v="43.08966445376165"/>
    <n v="0.36838026968698434"/>
    <n v="3"/>
    <n v="0"/>
    <n v="36.838026968698436"/>
    <n v="4"/>
    <n v="-0.18364455989869743"/>
    <b v="0"/>
    <n v="0"/>
    <n v="2"/>
    <n v="-1"/>
    <n v="0"/>
    <n v="0"/>
    <n v="0"/>
    <n v="0"/>
    <n v="0"/>
    <s v="Rural"/>
    <n v="6"/>
    <s v="Fuera SC"/>
    <m/>
    <s v="No"/>
    <s v="Si"/>
    <n v="23.1"/>
    <n v="9.8549866824504289"/>
    <n v="11.98209722571716"/>
    <s v="Bajo"/>
    <n v="0.61326804022586634"/>
    <s v="Medio Bajo"/>
    <n v="110813.05979699999"/>
    <n v="25699.748455000001"/>
    <n v="17240"/>
    <n v="6.4276716819605566"/>
    <n v="1.490704666763341"/>
    <m/>
    <m/>
    <m/>
    <m/>
    <m/>
    <m/>
    <m/>
    <n v="88"/>
    <n v="0"/>
    <n v="7"/>
    <n v="51386.550218999997"/>
    <n v="285.19860199999999"/>
    <n v="5.5500632127382784E-3"/>
    <s v="0% - 30%"/>
    <n v="8.297502435432801E-6"/>
    <s v="N.D."/>
    <s v="N.D."/>
    <s v="N.D."/>
    <n v="0.86195762333353554"/>
    <s v="Aceptable"/>
    <n v="3"/>
    <s v="Candidato"/>
    <n v="0"/>
    <n v="0"/>
  </r>
  <r>
    <n v="5086"/>
    <s v="05086"/>
    <x v="1"/>
    <x v="1"/>
    <s v="BELMIRA"/>
    <n v="58.011666666666699"/>
    <n v="66.290000000000006"/>
    <n v="67.58"/>
    <n v="66.180000000000007"/>
    <n v="50.739235322726444"/>
    <n v="50.883353798761689"/>
    <n v="59.16725442129686"/>
    <n v="47.954599999999999"/>
    <n v="64.515416666666681"/>
    <n v="52.186110885696245"/>
    <n v="58.350763776181466"/>
    <n v="58.696237059569533"/>
    <n v="41.303762940430467"/>
    <n v="0.47173386646387416"/>
    <n v="0"/>
    <n v="27.526031407258255"/>
    <n v="4"/>
    <n v="4"/>
    <b v="1"/>
    <x v="5"/>
    <n v="56.973744215092495"/>
    <n v="0.47719457448268587"/>
    <n v="27.187561627406449"/>
    <n v="4"/>
    <n v="0"/>
    <n v="1.3770195610889715"/>
    <n v="-5.4607080188117108E-3"/>
    <n v="0.33846977985180615"/>
    <n v="4"/>
    <b v="1"/>
    <n v="0"/>
    <n v="0.81759069605862034"/>
    <n v="46.581203189883269"/>
    <n v="0.41205573884712415"/>
    <n v="3"/>
    <n v="-1"/>
    <n v="41.205573884712415"/>
    <n v="4"/>
    <n v="-0.34585682959474617"/>
    <b v="1"/>
    <s v="Efecto ponderador"/>
    <n v="3"/>
    <n v="-1"/>
    <n v="0"/>
    <n v="0"/>
    <n v="0"/>
    <n v="0"/>
    <n v="0"/>
    <s v="Rural"/>
    <n v="6"/>
    <s v="Fuera SC"/>
    <m/>
    <s v="No"/>
    <s v="Si"/>
    <n v="40.799999999999997"/>
    <n v="13.385679566274069"/>
    <n v="27.329303862701245"/>
    <s v="Medio"/>
    <n v="6.9268690223659943"/>
    <s v="Medio"/>
    <n v="17275.996288999999"/>
    <n v="6032.5811773000005"/>
    <n v="6193"/>
    <n v="2.7896005633780074"/>
    <n v="0.97409675073470059"/>
    <m/>
    <m/>
    <m/>
    <m/>
    <m/>
    <m/>
    <m/>
    <n v="61"/>
    <n v="0"/>
    <n v="7"/>
    <n v="29585.879758999999"/>
    <n v="19033.973215000002"/>
    <n v="0.64334653456468138"/>
    <s v="51% - 70%"/>
    <n v="5.5377003253131388E-4"/>
    <s v="N.D."/>
    <s v="N.D."/>
    <s v="N.D."/>
    <n v="0.97404906885217535"/>
    <s v="Aceptable"/>
    <n v="2"/>
    <s v="Candidato"/>
    <n v="0"/>
    <n v="0"/>
  </r>
  <r>
    <n v="86865"/>
    <s v="86865"/>
    <x v="22"/>
    <x v="22"/>
    <s v="VALLE DEL GUAMUEZ"/>
    <n v="62.857866666666702"/>
    <n v="60.99"/>
    <n v="51.1"/>
    <n v="55.3"/>
    <n v="53.939455962924697"/>
    <n v="69.111591302621903"/>
    <n v="70.274434156229404"/>
    <n v="64.552700000000002"/>
    <n v="57.561966666666677"/>
    <n v="64.469545355443998"/>
    <n v="61.015756011055338"/>
    <n v="59.158220146622199"/>
    <n v="40.841779853377801"/>
    <n v="0.46757601868040022"/>
    <n v="0"/>
    <n v="28.529504272423953"/>
    <n v="4"/>
    <n v="4"/>
    <b v="1"/>
    <x v="4"/>
    <n v="61.080827192304881"/>
    <n v="0.47662650344578905"/>
    <n v="29.112741092244747"/>
    <n v="3"/>
    <n v="0"/>
    <n v="-6.5071181249543031E-2"/>
    <n v="-9.0504847653888332E-3"/>
    <n v="-0.58323681982079378"/>
    <n v="3"/>
    <b v="1"/>
    <n v="0"/>
    <n v="0.81759069605862034"/>
    <n v="49.939116019992852"/>
    <n v="0.45405968877803515"/>
    <n v="3"/>
    <n v="0"/>
    <n v="45.405968877803517"/>
    <n v="4"/>
    <n v="-0.35001467737822012"/>
    <b v="0"/>
    <n v="0"/>
    <n v="3"/>
    <n v="0"/>
    <n v="0"/>
    <n v="0"/>
    <n v="0"/>
    <n v="1"/>
    <n v="1"/>
    <s v="Rural"/>
    <n v="6"/>
    <s v="Fuera SC"/>
    <m/>
    <s v="No"/>
    <s v="No"/>
    <n v="41"/>
    <n v="16.847145488029465"/>
    <n v="13.793333333333333"/>
    <s v="Bajo"/>
    <n v="38.83563671706402"/>
    <s v="Muy Alto"/>
    <n v="119846.599243"/>
    <n v="11634.74309025"/>
    <n v="34604"/>
    <n v="3.463374154519709"/>
    <n v="0.33622538117703155"/>
    <m/>
    <m/>
    <m/>
    <m/>
    <m/>
    <m/>
    <m/>
    <n v="11"/>
    <n v="0"/>
    <n v="6"/>
    <n v="81451.542119999998"/>
    <n v="5781.2715829999997"/>
    <n v="7.0978049433154181E-2"/>
    <s v="0% - 30%"/>
    <n v="1.6819898380792536E-4"/>
    <n v="7119.1104109999997"/>
    <n v="8.7403015654530375E-2"/>
    <s v="0% - 30%"/>
    <n v="0.898521321942364"/>
    <s v="Aceptable"/>
    <n v="2"/>
    <s v="Candidato"/>
    <n v="1"/>
    <s v="Unidad Especial de Desarrollo Fronterizo"/>
  </r>
  <r>
    <n v="47960"/>
    <s v="47960"/>
    <x v="17"/>
    <x v="17"/>
    <s v="ZAPAYÁN"/>
    <n v="58.5172666666667"/>
    <n v="75.36"/>
    <n v="72.59"/>
    <n v="73.28"/>
    <n v="30.48497122918058"/>
    <n v="38.498139411263338"/>
    <n v="11.899436562194225"/>
    <n v="65.256200000000007"/>
    <n v="69.936816666666672"/>
    <n v="36.534686800659543"/>
    <n v="53.235751733663108"/>
    <n v="59.208468926772618"/>
    <n v="40.791531073227382"/>
    <n v="0.4671237796590465"/>
    <n v="0"/>
    <n v="24.867685562819347"/>
    <n v="4"/>
    <n v="4"/>
    <b v="1"/>
    <x v="5"/>
    <n v="48.465612299116657"/>
    <n v="0.47657953200927672"/>
    <n v="23.097718828056063"/>
    <n v="4"/>
    <n v="0"/>
    <n v="4.7701394345464507"/>
    <n v="-9.4557523502302177E-3"/>
    <n v="1.7699667347632833"/>
    <n v="4"/>
    <b v="1"/>
    <n v="0"/>
    <n v="0.81759069605862034"/>
    <n v="39.625033694542019"/>
    <n v="0.3250413909542072"/>
    <n v="4"/>
    <n v="0"/>
    <n v="32.504139095420719"/>
    <n v="4"/>
    <n v="-0.35046691639957384"/>
    <b v="1"/>
    <n v="0"/>
    <n v="4"/>
    <n v="0"/>
    <n v="0"/>
    <n v="0"/>
    <n v="0"/>
    <n v="0"/>
    <n v="0"/>
    <s v="Rural"/>
    <n v="6"/>
    <s v="Fuera SC"/>
    <m/>
    <s v="No"/>
    <s v="No"/>
    <n v="70.400000000000006"/>
    <n v="50.139437601673251"/>
    <n v="17.877920786371739"/>
    <s v="Medio"/>
    <n v="2.5276154683178724"/>
    <s v="Medio Bajo"/>
    <n v="29081.626798000001"/>
    <n v="5144.5124040000001"/>
    <n v="11061"/>
    <n v="2.6292041224120788"/>
    <n v="0.46510373420124762"/>
    <m/>
    <m/>
    <m/>
    <m/>
    <m/>
    <m/>
    <m/>
    <n v="74"/>
    <n v="0"/>
    <n v="7"/>
    <n v="37260.620360000001"/>
    <n v="5616.4810740000003"/>
    <n v="0.15073503929176127"/>
    <s v="0% - 30%"/>
    <n v="1.6340460669606383E-4"/>
    <s v="N.D."/>
    <s v="N.D."/>
    <s v="N.D."/>
    <n v="0.93583032426812462"/>
    <s v="Aceptable"/>
    <n v="3"/>
    <s v="Candidato"/>
    <n v="0"/>
    <n v="0"/>
  </r>
  <r>
    <n v="25871"/>
    <s v="25871"/>
    <x v="5"/>
    <x v="5"/>
    <s v="VILLAGÓMEZ"/>
    <n v="67.192033333333299"/>
    <n v="85.8"/>
    <n v="64.28"/>
    <n v="49.8"/>
    <n v="73.751466832552055"/>
    <n v="63.279870491815373"/>
    <n v="61.298500709742029"/>
    <n v="52.2806"/>
    <n v="66.768008333333327"/>
    <n v="62.652609508527362"/>
    <n v="64.710308920930345"/>
    <n v="60.665443290616892"/>
    <n v="39.334556709383108"/>
    <n v="0.45401101038444802"/>
    <n v="0"/>
    <n v="29.379192735481347"/>
    <n v="4"/>
    <n v="4"/>
    <b v="1"/>
    <x v="4"/>
    <n v="65.36294656334114"/>
    <n v="0.47577008314910363"/>
    <n v="31.097734521311232"/>
    <n v="3"/>
    <n v="0"/>
    <n v="-0.65263764241079514"/>
    <n v="-2.1759072764655607E-2"/>
    <n v="-1.7185417858298848"/>
    <n v="3"/>
    <b v="1"/>
    <n v="0"/>
    <n v="0.6523467210059386"/>
    <n v="42.639303865881978"/>
    <n v="0.36274673345741637"/>
    <n v="3"/>
    <n v="0"/>
    <n v="36.27467334574164"/>
    <n v="4"/>
    <n v="-0.19833571062149058"/>
    <b v="0"/>
    <n v="0"/>
    <n v="3"/>
    <n v="0"/>
    <n v="0"/>
    <n v="0"/>
    <n v="0"/>
    <n v="0"/>
    <n v="0"/>
    <s v="Rural"/>
    <n v="6"/>
    <s v="Fuera SC"/>
    <m/>
    <s v="No"/>
    <s v="No"/>
    <n v="38.200000000000003"/>
    <n v="10.265486725663717"/>
    <n v="7.1958333333333329"/>
    <s v="Bajo"/>
    <n v="0"/>
    <s v="Bajo"/>
    <n v="7756.4167889999999"/>
    <n v="1514.6318879999999"/>
    <n v="1645"/>
    <n v="4.7151469841945284"/>
    <n v="0.92074886808510636"/>
    <m/>
    <m/>
    <m/>
    <m/>
    <m/>
    <m/>
    <m/>
    <n v="33"/>
    <n v="0"/>
    <n v="7"/>
    <n v="6289.506273"/>
    <n v="549.69534199999998"/>
    <n v="8.7398806542219029E-2"/>
    <s v="0% - 30%"/>
    <n v="1.5992709666196283E-5"/>
    <s v="N.D."/>
    <s v="N.D."/>
    <s v="N.D."/>
    <n v="0.86191845541525702"/>
    <s v="Aceptable"/>
    <n v="1"/>
    <s v="Candidato"/>
    <n v="0"/>
    <n v="0"/>
  </r>
  <r>
    <n v="54239"/>
    <s v="54239"/>
    <x v="12"/>
    <x v="12"/>
    <s v="DURANIA"/>
    <n v="57.363766666666699"/>
    <n v="61.54"/>
    <n v="58.35"/>
    <n v="57.69"/>
    <n v="45.84072653071452"/>
    <n v="53.208576184697762"/>
    <n v="51.929671320071392"/>
    <n v="54.202300000000001"/>
    <n v="58.735941666666676"/>
    <n v="51.29531850887092"/>
    <n v="55.015630087768798"/>
    <n v="59.050475972170844"/>
    <n v="40.949524027829156"/>
    <n v="0.46854571625046237"/>
    <n v="0"/>
    <n v="25.777337804444119"/>
    <n v="4"/>
    <n v="4"/>
    <b v="1"/>
    <x v="5"/>
    <n v="54.927366940317143"/>
    <n v="0.47753551485259715"/>
    <n v="26.229768451341872"/>
    <n v="4"/>
    <n v="0"/>
    <n v="8.8263147451655755E-2"/>
    <n v="-8.9897986021347798E-3"/>
    <n v="-0.45243064689775281"/>
    <n v="4"/>
    <b v="1"/>
    <n v="0"/>
    <n v="0.81759069605862034"/>
    <n v="44.908104169401142"/>
    <n v="0.39112703371349677"/>
    <n v="3"/>
    <n v="-1"/>
    <n v="39.112703371349674"/>
    <n v="4"/>
    <n v="-0.34904497980815796"/>
    <b v="1"/>
    <s v="Efecto ponderador"/>
    <n v="3"/>
    <n v="-1"/>
    <n v="0"/>
    <n v="0"/>
    <n v="0"/>
    <n v="0"/>
    <n v="0"/>
    <s v="Rural"/>
    <n v="6"/>
    <s v="Fuera SC"/>
    <m/>
    <s v="No"/>
    <s v="No"/>
    <n v="44.5"/>
    <n v="24.021067094114954"/>
    <n v="31.959168751202615"/>
    <s v="Medio"/>
    <n v="2.1589917546055433"/>
    <s v="Medio Bajo"/>
    <n v="15780.204043"/>
    <n v="4074.5666000000001"/>
    <n v="5044"/>
    <n v="3.1285099212926251"/>
    <n v="0.8078046391752578"/>
    <m/>
    <m/>
    <m/>
    <m/>
    <m/>
    <m/>
    <m/>
    <n v="1"/>
    <n v="0"/>
    <n v="7"/>
    <n v="17457.788157999999"/>
    <n v="13116.594875000001"/>
    <n v="0.7513319990075229"/>
    <s v="71% - 100%"/>
    <n v="3.8161119008534944E-4"/>
    <s v="N.D."/>
    <s v="N.D."/>
    <s v="N.D."/>
    <n v="0.96931359650360061"/>
    <s v="Aceptable"/>
    <n v="1"/>
    <s v="Candidato"/>
    <n v="1"/>
    <s v="Zona de Fronteras"/>
  </r>
  <r>
    <n v="25823"/>
    <s v="25823"/>
    <x v="5"/>
    <x v="5"/>
    <s v="TOPAIPÍ"/>
    <n v="58.919433333333302"/>
    <n v="47.14"/>
    <n v="37.04"/>
    <n v="57.36"/>
    <n v="51.882820850774493"/>
    <n v="51.180801292019012"/>
    <n v="52.403581996306443"/>
    <n v="54.479199999999999"/>
    <n v="50.114858333333331"/>
    <n v="52.486601034774985"/>
    <n v="51.300729684054161"/>
    <n v="60.335468511702118"/>
    <n v="39.664531488297882"/>
    <n v="0.45698078339468096"/>
    <n v="0"/>
    <n v="23.443447639737833"/>
    <n v="4"/>
    <n v="4"/>
    <b v="1"/>
    <x v="5"/>
    <n v="52.147343382151803"/>
    <n v="0.47555507736536229"/>
    <n v="24.798933916497315"/>
    <n v="4"/>
    <n v="0"/>
    <n v="-0.84661369809764153"/>
    <n v="-1.8574293970681333E-2"/>
    <n v="-1.355486276759482"/>
    <n v="4"/>
    <b v="1"/>
    <n v="0"/>
    <n v="0.6523467210059386"/>
    <n v="34.018148464517459"/>
    <n v="0.25490516694072368"/>
    <n v="4"/>
    <n v="0"/>
    <n v="25.490516694072369"/>
    <n v="4"/>
    <n v="-0.19536593761125765"/>
    <b v="1"/>
    <n v="0"/>
    <n v="4"/>
    <n v="0"/>
    <n v="0"/>
    <n v="0"/>
    <n v="0"/>
    <n v="0"/>
    <n v="1"/>
    <s v="Rural disperso"/>
    <n v="6"/>
    <s v="Fuera SC"/>
    <m/>
    <s v="No"/>
    <s v="No"/>
    <n v="47.1"/>
    <n v="27.419812659665059"/>
    <n v="13.862"/>
    <s v="Bajo"/>
    <n v="0.11775956250443501"/>
    <s v="Bajo"/>
    <n v="14990.297154"/>
    <n v="5280.462117"/>
    <n v="3994"/>
    <n v="3.7532040946419629"/>
    <n v="1.3220986772658989"/>
    <m/>
    <m/>
    <m/>
    <m/>
    <m/>
    <m/>
    <m/>
    <n v="33"/>
    <n v="0"/>
    <n v="7"/>
    <n v="14355.160098"/>
    <n v="3830.345487"/>
    <n v="0.26682708244637787"/>
    <s v="0% - 30%"/>
    <n v="1.1143918933702046E-4"/>
    <s v="N.D."/>
    <s v="N.D."/>
    <s v="N.D."/>
    <n v="0.83401808033833236"/>
    <s v="Crítico bajo"/>
    <n v="1"/>
    <s v="Candidato"/>
    <n v="0"/>
    <n v="0"/>
  </r>
  <r>
    <n v="68655"/>
    <s v="68655"/>
    <x v="0"/>
    <x v="0"/>
    <s v="SABANA DE TORRES"/>
    <n v="61.696766666666697"/>
    <n v="55.6"/>
    <n v="37.869999999999997"/>
    <n v="51"/>
    <n v="56.10472956560416"/>
    <n v="59.093205955783233"/>
    <n v="63.833450515636869"/>
    <n v="63.385100000000001"/>
    <n v="51.541691666666672"/>
    <n v="60.604121509256068"/>
    <n v="56.07290658796137"/>
    <n v="58.492928796187527"/>
    <n v="41.507071203812473"/>
    <n v="0.47356364083431224"/>
    <n v="0"/>
    <n v="26.554089795957278"/>
    <n v="4"/>
    <n v="4"/>
    <b v="1"/>
    <x v="5"/>
    <n v="55.642169658093977"/>
    <n v="0.47593968273107834"/>
    <n v="26.482316573542082"/>
    <n v="4"/>
    <n v="0"/>
    <n v="0.43073692986739331"/>
    <n v="-2.3760418967661012E-3"/>
    <n v="7.1773222415195903E-2"/>
    <n v="4"/>
    <b v="1"/>
    <n v="0"/>
    <n v="0.6523467210059386"/>
    <n v="36.297986926113737"/>
    <n v="0.28342354291903343"/>
    <n v="4"/>
    <n v="0"/>
    <n v="28.342354291903344"/>
    <n v="4"/>
    <n v="-0.17878308017162636"/>
    <b v="1"/>
    <n v="0"/>
    <n v="3"/>
    <n v="-1"/>
    <n v="0"/>
    <n v="0"/>
    <n v="0"/>
    <n v="0"/>
    <n v="1"/>
    <s v="Rural"/>
    <n v="6"/>
    <s v="Fuera SC"/>
    <m/>
    <s v="No"/>
    <s v="No"/>
    <n v="36.6"/>
    <n v="21.065733458402484"/>
    <n v="3.940729697247181"/>
    <s v="Sin riesgo"/>
    <n v="3.8921779024527368"/>
    <s v="Medio Bajo"/>
    <n v="84500.818658000004"/>
    <n v="22554.383567749999"/>
    <n v="37531"/>
    <n v="2.251493929231835"/>
    <n v="0.60095344029602193"/>
    <m/>
    <m/>
    <m/>
    <m/>
    <m/>
    <m/>
    <m/>
    <n v="95"/>
    <n v="0"/>
    <n v="6"/>
    <n v="142670.87224500001"/>
    <n v="9456.3739530000003"/>
    <n v="6.628104114174857E-2"/>
    <s v="0% - 30%"/>
    <n v="2.751215656568359E-4"/>
    <s v="N.D."/>
    <s v="N.D."/>
    <s v="N.D."/>
    <n v="0.95724856483481657"/>
    <s v="Aceptable"/>
    <n v="2"/>
    <s v="Candidato"/>
    <n v="0"/>
    <n v="0"/>
  </r>
  <r>
    <n v="13074"/>
    <s v="13074"/>
    <x v="8"/>
    <x v="8"/>
    <s v="BARRANCO DE LOBA"/>
    <n v="74.683633333333304"/>
    <n v="78.05"/>
    <n v="91.78"/>
    <n v="94.03"/>
    <n v="46.8736796518006"/>
    <n v="52.127086000342302"/>
    <n v="49.437718917963423"/>
    <n v="47.5672"/>
    <n v="84.635908333333333"/>
    <n v="49.001421142526581"/>
    <n v="66.818664737929964"/>
    <n v="58.533591401792272"/>
    <n v="41.466408598207728"/>
    <n v="0.47319767738386953"/>
    <n v="0"/>
    <n v="31.618436959879922"/>
    <n v="3"/>
    <n v="3"/>
    <b v="1"/>
    <x v="4"/>
    <n v="65.496074825052176"/>
    <n v="0.47513898130963006"/>
    <n v="31.119738272154599"/>
    <n v="3"/>
    <n v="0"/>
    <n v="1.3225899128777883"/>
    <n v="-1.9413039257605291E-3"/>
    <n v="0.498698687725323"/>
    <n v="3"/>
    <b v="1"/>
    <n v="0"/>
    <n v="0.6523467210059386"/>
    <n v="42.726149650882391"/>
    <n v="0.3638330826836853"/>
    <n v="3"/>
    <n v="0"/>
    <n v="36.38330826836853"/>
    <n v="4"/>
    <n v="-0.17914904362206907"/>
    <b v="0"/>
    <n v="0"/>
    <n v="4"/>
    <n v="1"/>
    <n v="0"/>
    <n v="0"/>
    <n v="0"/>
    <n v="0"/>
    <n v="0"/>
    <s v="Rural"/>
    <n v="6"/>
    <s v="Fuera SC"/>
    <m/>
    <s v="No"/>
    <s v="Si"/>
    <n v="68.900000000000006"/>
    <n v="47.010737790093522"/>
    <n v="35.605351166064757"/>
    <s v="Alto"/>
    <n v="7.6510696877515185"/>
    <s v="Medio"/>
    <n v="40277.776561999999"/>
    <n v="5653.3514789999999"/>
    <n v="17222"/>
    <n v="2.3387397841133435"/>
    <n v="0.32826335379166183"/>
    <m/>
    <m/>
    <m/>
    <m/>
    <m/>
    <m/>
    <m/>
    <n v="92"/>
    <n v="0"/>
    <n v="7"/>
    <n v="43020.967940000002"/>
    <n v="1229.414364"/>
    <n v="2.8577096770919373E-2"/>
    <s v="0% - 30%"/>
    <n v="3.5768298329337776E-5"/>
    <n v="30.486512999999999"/>
    <n v="7.0864312124540262E-4"/>
    <n v="0"/>
    <n v="0.8694981096579788"/>
    <s v="Aceptable"/>
    <n v="2"/>
    <s v="Candidato"/>
    <n v="0"/>
    <n v="0"/>
  </r>
  <r>
    <n v="20178"/>
    <s v="20178"/>
    <x v="20"/>
    <x v="20"/>
    <s v="CHIRIGUANÁ"/>
    <n v="53.664933333333302"/>
    <n v="52.67"/>
    <n v="43.25"/>
    <n v="39.58"/>
    <n v="55.829612175610023"/>
    <n v="50.646295143646597"/>
    <n v="60.371538966378587"/>
    <n v="49.999699999999997"/>
    <n v="47.291233333333324"/>
    <n v="54.211786571408801"/>
    <n v="50.751509952371066"/>
    <n v="58.920593836415179"/>
    <n v="41.079406163584821"/>
    <n v="0.46971465547226343"/>
    <n v="0"/>
    <n v="23.838728011975125"/>
    <n v="4"/>
    <n v="4"/>
    <b v="1"/>
    <x v="5"/>
    <n v="53.500280552091823"/>
    <n v="0.47538202451690104"/>
    <n v="25.433071681075599"/>
    <n v="4"/>
    <n v="0"/>
    <n v="-2.748770599720757"/>
    <n v="-5.6673690446376046E-3"/>
    <n v="-1.5943436691004749"/>
    <n v="4"/>
    <b v="1"/>
    <n v="0"/>
    <n v="0.6523467210059386"/>
    <n v="34.90073259105489"/>
    <n v="0.26594536403234542"/>
    <n v="4"/>
    <n v="0"/>
    <n v="26.594536403234542"/>
    <n v="4"/>
    <n v="-0.18263206553367517"/>
    <b v="1"/>
    <n v="0"/>
    <n v="3"/>
    <n v="-1"/>
    <n v="0"/>
    <n v="0"/>
    <n v="0"/>
    <n v="0"/>
    <n v="1"/>
    <s v="Rural"/>
    <n v="6"/>
    <s v="Fuera SC"/>
    <m/>
    <s v="No"/>
    <s v="No"/>
    <n v="41.3"/>
    <n v="25.459667852906286"/>
    <n v="47.67421052631579"/>
    <s v="Alto"/>
    <n v="3.9649979141274967"/>
    <s v="Medio Bajo"/>
    <n v="53683.023187999999"/>
    <n v="11331.91231675"/>
    <n v="32424"/>
    <n v="1.6556570191216382"/>
    <n v="0.34949149755582287"/>
    <m/>
    <m/>
    <m/>
    <m/>
    <m/>
    <m/>
    <m/>
    <n v="92"/>
    <n v="0"/>
    <n v="6"/>
    <n v="111267.927347"/>
    <n v="41376.851346000003"/>
    <n v="0.37186682930618642"/>
    <s v="31% - 50%"/>
    <n v="1.2038085825328696E-3"/>
    <s v="N.D."/>
    <s v="N.D."/>
    <s v="N.D."/>
    <n v="0.89944664342867164"/>
    <s v="Aceptable"/>
    <n v="1"/>
    <s v="Candidato"/>
    <n v="1"/>
    <s v="Municipio Limítrofe"/>
  </r>
  <r>
    <n v="5854"/>
    <s v="05854"/>
    <x v="1"/>
    <x v="1"/>
    <s v="VALDIVIA"/>
    <n v="45.372"/>
    <n v="78.08"/>
    <n v="58.89"/>
    <n v="75.48"/>
    <n v="51.276454359771193"/>
    <n v="62.194062808846908"/>
    <n v="60.693239388865649"/>
    <n v="54.054200000000002"/>
    <n v="64.455500000000001"/>
    <n v="57.054489139370936"/>
    <n v="60.754994569685465"/>
    <n v="58.500229730992196"/>
    <n v="41.499770269007804"/>
    <n v="0.47349793242107019"/>
    <n v="0"/>
    <n v="28.767364312999415"/>
    <n v="4"/>
    <n v="4"/>
    <b v="1"/>
    <x v="4"/>
    <n v="57.971002333979762"/>
    <n v="0.47789240233173824"/>
    <n v="27.703901570964394"/>
    <n v="4"/>
    <n v="1"/>
    <n v="2.7839922357057034"/>
    <n v="-4.3944699106680529E-3"/>
    <n v="1.0634627420350213"/>
    <n v="3"/>
    <b v="1"/>
    <s v="Efecto ponderador"/>
    <n v="0.81759069605862034"/>
    <n v="47.396552149454415"/>
    <n v="0.42225489487254397"/>
    <n v="3"/>
    <n v="0"/>
    <n v="42.2254894872544"/>
    <n v="4"/>
    <n v="-0.34409276363755015"/>
    <b v="0"/>
    <n v="0"/>
    <n v="4"/>
    <n v="1"/>
    <n v="0"/>
    <n v="0"/>
    <n v="0"/>
    <n v="1"/>
    <n v="1"/>
    <s v="Rural"/>
    <n v="6"/>
    <s v="Fuera SC"/>
    <m/>
    <s v="No"/>
    <s v="Si"/>
    <n v="59.3"/>
    <n v="26.974198592650509"/>
    <n v="57.875022084295615"/>
    <s v="Alto"/>
    <n v="37.349576069731413"/>
    <s v="Muy Alto"/>
    <n v="37451.501184000001"/>
    <n v="7457.6988069999998"/>
    <n v="14927"/>
    <n v="2.5089771008240103"/>
    <n v="0.49961136243049509"/>
    <m/>
    <m/>
    <m/>
    <m/>
    <m/>
    <m/>
    <m/>
    <n v="99"/>
    <n v="0"/>
    <n v="7"/>
    <n v="56748.166169999997"/>
    <n v="7257.3707590000004"/>
    <n v="0.12788731775506465"/>
    <s v="0% - 30%"/>
    <n v="2.1114427323750101E-4"/>
    <s v="N.D."/>
    <s v="N.D."/>
    <s v="N.D."/>
    <n v="0.94408430772248686"/>
    <s v="Aceptable"/>
    <n v="2"/>
    <s v="Candidato"/>
    <n v="0"/>
    <n v="0"/>
  </r>
  <r>
    <n v="19760"/>
    <s v="19760"/>
    <x v="13"/>
    <x v="13"/>
    <s v="SOTARÁ PAISPAMBA"/>
    <n v="59.6696666666667"/>
    <n v="60.62"/>
    <n v="57.42"/>
    <n v="68.16"/>
    <n v="48.952202973623528"/>
    <n v="52.779680637256213"/>
    <n v="51.804763592221455"/>
    <n v="54.199300000000001"/>
    <n v="61.467416666666672"/>
    <n v="51.933986800775301"/>
    <n v="56.70070173372099"/>
    <n v="59.4067071571002"/>
    <n v="40.5932928428998"/>
    <n v="0.46533963558609814"/>
    <n v="0"/>
    <n v="26.38508388224577"/>
    <n v="4"/>
    <n v="4"/>
    <b v="1"/>
    <x v="5"/>
    <n v="54.66560841554071"/>
    <n v="0.47452637462655201"/>
    <n v="25.940272978181266"/>
    <n v="4"/>
    <n v="0"/>
    <n v="2.0350933181802802"/>
    <n v="-9.1867390404538618E-3"/>
    <n v="0.44481090406450363"/>
    <n v="4"/>
    <b v="1"/>
    <n v="0"/>
    <n v="0.6523467210059386"/>
    <n v="35.660930401672623"/>
    <n v="0.27545463731914882"/>
    <n v="4"/>
    <n v="0"/>
    <n v="27.545463731914882"/>
    <n v="4"/>
    <n v="-0.18700708541984046"/>
    <b v="1"/>
    <n v="0"/>
    <n v="3"/>
    <n v="-1"/>
    <n v="0"/>
    <n v="0"/>
    <n v="0"/>
    <n v="0"/>
    <n v="0"/>
    <s v="Rural disperso"/>
    <n v="6"/>
    <s v="Fuera SC"/>
    <m/>
    <s v="No"/>
    <s v="No"/>
    <n v="32.299999999999997"/>
    <n v="18.5554903112155"/>
    <n v="3.105"/>
    <s v="Sin riesgo"/>
    <n v="3.1873199648817616"/>
    <s v="Medio Bajo"/>
    <n v="29279.489399999999"/>
    <n v="5222.7674914999998"/>
    <n v="14596"/>
    <n v="2.0059940668676348"/>
    <n v="0.357821834166895"/>
    <m/>
    <m/>
    <m/>
    <m/>
    <m/>
    <m/>
    <m/>
    <n v="46"/>
    <n v="0"/>
    <n v="7"/>
    <n v="51616.559353999997"/>
    <n v="27594.456595"/>
    <n v="0.53460472647450075"/>
    <s v="51% - 70%"/>
    <n v="8.0282676421203933E-4"/>
    <n v="828.66378099999997"/>
    <n v="1.6054223516077562E-2"/>
    <s v="0% - 30%"/>
    <n v="0.87885901018123946"/>
    <s v="Aceptable"/>
    <n v="2"/>
    <s v="Candidato"/>
    <n v="0"/>
    <n v="0"/>
  </r>
  <r>
    <n v="44847"/>
    <s v="44847"/>
    <x v="21"/>
    <x v="21"/>
    <s v="URIBIA"/>
    <n v="55.309033333333304"/>
    <n v="62.68"/>
    <n v="64.7"/>
    <n v="66.23"/>
    <n v="39.356977454101369"/>
    <n v="42.312110890319147"/>
    <n v="46.488154726697289"/>
    <n v="45.569800000000001"/>
    <n v="62.229758333333336"/>
    <n v="43.431760767779451"/>
    <n v="52.830759550556394"/>
    <n v="60.009184033614396"/>
    <n v="39.990815966385604"/>
    <n v="0.4599173436974705"/>
    <n v="0"/>
    <n v="24.297782598011668"/>
    <n v="4"/>
    <n v="4"/>
    <b v="1"/>
    <x v="5"/>
    <n v="53.118832356661748"/>
    <n v="0.47388509205227414"/>
    <n v="25.172222761045969"/>
    <n v="4"/>
    <n v="0"/>
    <n v="-0.28807280610535457"/>
    <n v="-1.3967748354803633E-2"/>
    <n v="-0.87444016303430061"/>
    <n v="4"/>
    <b v="1"/>
    <n v="0"/>
    <n v="0.6523467210059386"/>
    <n v="34.651896111532444"/>
    <n v="0.26283268197189302"/>
    <n v="4"/>
    <n v="0"/>
    <n v="26.283268197189301"/>
    <n v="4"/>
    <n v="-0.1924293773084681"/>
    <b v="1"/>
    <n v="0"/>
    <n v="3"/>
    <n v="-1"/>
    <n v="0"/>
    <n v="1"/>
    <n v="0"/>
    <n v="0"/>
    <n v="0"/>
    <s v="Rural disperso"/>
    <n v="4"/>
    <s v="Fuera SC"/>
    <m/>
    <s v="Si"/>
    <s v="No"/>
    <n v="92.2"/>
    <n v="88.7491622725491"/>
    <n v="37.205917631366205"/>
    <s v="Alto"/>
    <n v="0.92337087377224647"/>
    <s v="Medio Bajo"/>
    <n v="513863.56802000001"/>
    <n v="34026.20867575"/>
    <n v="200665"/>
    <n v="2.560803169561209"/>
    <n v="0.1695672323312486"/>
    <m/>
    <m/>
    <m/>
    <m/>
    <m/>
    <m/>
    <m/>
    <n v="76"/>
    <n v="0"/>
    <n v="6"/>
    <n v="786372.73192499997"/>
    <n v="33144.148129000001"/>
    <n v="4.2148140167404882E-2"/>
    <s v="0% - 30%"/>
    <n v="9.6428821141529672E-4"/>
    <n v="768355.61733899999"/>
    <n v="0.97708832738656259"/>
    <s v="71% - 100%"/>
    <n v="0.89895308820616981"/>
    <s v="Aceptable"/>
    <n v="2"/>
    <s v="Candidato"/>
    <n v="1"/>
    <s v="Zona de Fronteras"/>
  </r>
  <r>
    <n v="13667"/>
    <s v="13667"/>
    <x v="8"/>
    <x v="8"/>
    <s v="SAN MARTÍN DE LOBA"/>
    <n v="51.088299999999997"/>
    <n v="74.05"/>
    <n v="85.14"/>
    <n v="84.65"/>
    <n v="47.733536828272655"/>
    <n v="45.330452331095131"/>
    <n v="42.864692742341383"/>
    <n v="42.505800000000001"/>
    <n v="73.732075000000009"/>
    <n v="44.608620475427294"/>
    <n v="59.170347737713655"/>
    <n v="59.326803358985394"/>
    <n v="40.673196641014606"/>
    <n v="0.46605876976913152"/>
    <n v="0"/>
    <n v="27.57685947345054"/>
    <n v="4"/>
    <n v="4"/>
    <b v="1"/>
    <x v="5"/>
    <n v="54.025600505204814"/>
    <n v="0.47259467338011307"/>
    <n v="25.53221102492174"/>
    <n v="4"/>
    <n v="0"/>
    <n v="5.1447472325088413"/>
    <n v="-6.5359036109815527E-3"/>
    <n v="2.0446484485288003"/>
    <n v="4"/>
    <b v="1"/>
    <n v="0"/>
    <n v="0.6523467210059386"/>
    <n v="35.243423339947142"/>
    <n v="0.27023206407088896"/>
    <n v="4"/>
    <n v="0"/>
    <n v="27.023206407088896"/>
    <n v="4"/>
    <n v="-0.18628795123680708"/>
    <b v="1"/>
    <n v="0"/>
    <n v="4"/>
    <n v="0"/>
    <n v="0"/>
    <n v="0"/>
    <n v="0"/>
    <n v="0"/>
    <n v="0"/>
    <s v="Rural"/>
    <n v="6"/>
    <s v="Fuera SC"/>
    <m/>
    <s v="No"/>
    <s v="Si"/>
    <n v="60.6"/>
    <n v="45.589959313150814"/>
    <n v="32.561818181818182"/>
    <s v="Medio"/>
    <n v="4.8167304077677091"/>
    <s v="Medio Bajo"/>
    <n v="39492.879839000001"/>
    <n v="5046.7366662499999"/>
    <n v="15853"/>
    <n v="2.4911928240080741"/>
    <n v="0.31834584408313882"/>
    <m/>
    <m/>
    <m/>
    <m/>
    <m/>
    <m/>
    <m/>
    <n v="92"/>
    <n v="0"/>
    <n v="7"/>
    <n v="44954.598210999997"/>
    <n v="2538.4009729999998"/>
    <n v="5.6465880555437269E-2"/>
    <s v="0% - 30%"/>
    <n v="7.3851653226450573E-5"/>
    <s v="N.D."/>
    <s v="N.D."/>
    <s v="N.D."/>
    <n v="0.91365672186001612"/>
    <s v="Aceptable"/>
    <n v="2"/>
    <s v="Candidato"/>
    <n v="0"/>
    <n v="0"/>
  </r>
  <r>
    <n v="20175"/>
    <s v="20175"/>
    <x v="20"/>
    <x v="20"/>
    <s v="CHIMICHAGUA"/>
    <n v="88.4667666666667"/>
    <n v="72.239999999999995"/>
    <n v="70.56"/>
    <n v="38.57"/>
    <n v="37.599147485501838"/>
    <n v="58.309975766227552"/>
    <n v="52.506757550371233"/>
    <n v="55.681399999999996"/>
    <n v="67.459191666666669"/>
    <n v="51.024320200525153"/>
    <n v="59.241755933595911"/>
    <n v="59.611917952141425"/>
    <n v="40.388082047858575"/>
    <n v="0.46349273843072725"/>
    <n v="0"/>
    <n v="27.458123687107154"/>
    <n v="4"/>
    <n v="4"/>
    <b v="1"/>
    <x v="5"/>
    <n v="64.95402326341636"/>
    <n v="0.47291448272234204"/>
    <n v="30.717698312353519"/>
    <n v="3"/>
    <n v="-1"/>
    <n v="-5.7122673298204489"/>
    <n v="-9.4217442916147975E-3"/>
    <n v="-3.2595746252463655"/>
    <n v="4"/>
    <b v="1"/>
    <s v="Efecto ponderador"/>
    <n v="0.6523467210059386"/>
    <n v="42.372544092033117"/>
    <n v="0.35940984987787361"/>
    <n v="3"/>
    <n v="-1"/>
    <n v="35.94098498778736"/>
    <n v="4"/>
    <n v="-0.18885398257521135"/>
    <b v="1"/>
    <s v="Efecto ponderador"/>
    <n v="3"/>
    <n v="-1"/>
    <n v="0"/>
    <n v="0"/>
    <n v="0"/>
    <n v="0"/>
    <n v="0"/>
    <s v="Rural"/>
    <n v="6"/>
    <s v="Fuera SC"/>
    <m/>
    <s v="No"/>
    <s v="Si"/>
    <n v="52.5"/>
    <n v="30.371300211416489"/>
    <n v="68.110500000000016"/>
    <s v="Alto"/>
    <n v="1.3877004527222636"/>
    <s v="Medio Bajo"/>
    <n v="59036.567575000001"/>
    <n v="8182.617722"/>
    <n v="37732"/>
    <n v="1.5646286328580516"/>
    <n v="0.21686148950492951"/>
    <m/>
    <m/>
    <m/>
    <m/>
    <m/>
    <m/>
    <m/>
    <n v="92"/>
    <n v="0"/>
    <n v="7"/>
    <n v="137436.713808"/>
    <n v="80340.053350999995"/>
    <n v="0.58456034872338103"/>
    <s v="51% - 70%"/>
    <n v="2.3373950070860574E-3"/>
    <s v="N.D."/>
    <s v="N.D."/>
    <s v="N.D."/>
    <n v="0.92272384623109427"/>
    <s v="Aceptable"/>
    <n v="1"/>
    <s v="Candidato"/>
    <n v="1"/>
    <s v="Municipio Limítrofe"/>
  </r>
  <r>
    <n v="63548"/>
    <s v="63548"/>
    <x v="7"/>
    <x v="7"/>
    <s v="PIJAO"/>
    <n v="71.435666666666705"/>
    <n v="62.08"/>
    <n v="62.81"/>
    <n v="53.18"/>
    <n v="49.557920014002789"/>
    <n v="45.227767544109838"/>
    <n v="53.532537661434624"/>
    <n v="52.722900000000003"/>
    <n v="62.376416666666678"/>
    <n v="50.260281304886817"/>
    <n v="56.318348985776751"/>
    <n v="59.778101158910459"/>
    <n v="40.221898841089541"/>
    <n v="0.4619970895698059"/>
    <n v="0"/>
    <n v="26.018913320805488"/>
    <n v="4"/>
    <n v="4"/>
    <b v="1"/>
    <x v="5"/>
    <n v="59.617140272331113"/>
    <n v="0.47064587903562738"/>
    <n v="28.05856138906158"/>
    <n v="3"/>
    <n v="-1"/>
    <n v="-3.298791286554362"/>
    <n v="-8.6487894658214826E-3"/>
    <n v="-2.039648068256092"/>
    <n v="4"/>
    <b v="1"/>
    <s v="Efecto ponderador"/>
    <n v="0.6523467210059386"/>
    <n v="38.891045972406289"/>
    <n v="0.31585997824627621"/>
    <n v="4"/>
    <n v="0"/>
    <n v="31.585997824627622"/>
    <n v="4"/>
    <n v="-0.1903496314361327"/>
    <b v="1"/>
    <n v="0"/>
    <n v="3"/>
    <n v="-1"/>
    <n v="0"/>
    <n v="0"/>
    <n v="0"/>
    <n v="0"/>
    <n v="1"/>
    <s v="Rural"/>
    <n v="6"/>
    <s v="Fuera SC"/>
    <m/>
    <s v="No"/>
    <s v="No"/>
    <n v="28.8"/>
    <n v="8.5290482076637826"/>
    <n v="0"/>
    <s v="Sin riesgo"/>
    <n v="7.8231299051484893"/>
    <s v="Medio"/>
    <n v="12682.859581999999"/>
    <n v="2865.2311115000002"/>
    <n v="5361"/>
    <n v="2.3657637720574516"/>
    <n v="0.53445833081514649"/>
    <m/>
    <m/>
    <m/>
    <m/>
    <m/>
    <m/>
    <m/>
    <n v="16"/>
    <n v="0"/>
    <n v="7"/>
    <n v="24795.786548"/>
    <n v="23677.122957"/>
    <n v="0.95488493221078197"/>
    <s v="71% - 100%"/>
    <n v="6.8885676164622087E-4"/>
    <n v="53.827269000000001"/>
    <n v="2.1708232120727644E-3"/>
    <s v="0% - 30%"/>
    <n v="0.95853276455512582"/>
    <s v="Aceptable"/>
    <n v="1"/>
    <s v="Candidato"/>
    <n v="0"/>
    <n v="0"/>
  </r>
  <r>
    <n v="23682"/>
    <s v="23682"/>
    <x v="14"/>
    <x v="14"/>
    <s v="SAN JOSÉ DE URÉ"/>
    <n v="82.157033333333302"/>
    <n v="72.239999999999995"/>
    <n v="59.29"/>
    <n v="55.3"/>
    <n v="65.605805280723089"/>
    <n v="73.631048783345562"/>
    <n v="69.502673505388188"/>
    <n v="66.815100000000001"/>
    <n v="67.246758333333318"/>
    <n v="68.888656892364224"/>
    <n v="68.067707612848778"/>
    <n v="59.017834152759995"/>
    <n v="40.982165847240005"/>
    <n v="0.46883949262516"/>
    <n v="0"/>
    <n v="31.912829501365763"/>
    <n v="3"/>
    <n v="3"/>
    <b v="1"/>
    <x v="4"/>
    <n v="69.047656749786753"/>
    <n v="0.47221577640859391"/>
    <n v="32.605392841294645"/>
    <n v="3"/>
    <n v="0"/>
    <n v="-0.97994913693797514"/>
    <n v="-3.3762837834339088E-3"/>
    <n v="-0.69256333992888131"/>
    <n v="3"/>
    <b v="1"/>
    <n v="0"/>
    <n v="0.6523467210059386"/>
    <n v="45.043012473866952"/>
    <n v="0.3928145943956069"/>
    <n v="3"/>
    <n v="0"/>
    <n v="39.281459439560692"/>
    <n v="4"/>
    <n v="-0.1835072283807786"/>
    <b v="0"/>
    <n v="0"/>
    <n v="3"/>
    <n v="0"/>
    <n v="0"/>
    <n v="0"/>
    <n v="0"/>
    <n v="1"/>
    <n v="1"/>
    <s v="Rural"/>
    <n v="6"/>
    <s v="Fuera SC"/>
    <m/>
    <s v="No"/>
    <s v="No"/>
    <n v="61.3"/>
    <n v="52.825752780540739"/>
    <s v="Sin Información"/>
    <s v="Sin Información"/>
    <n v="5.7195097484693518"/>
    <s v="Medio Bajo"/>
    <n v="72136.519748000006"/>
    <n v="6650.1814324999996"/>
    <n v="15244"/>
    <n v="4.7321254098661774"/>
    <n v="0.43624910997769611"/>
    <m/>
    <m/>
    <m/>
    <m/>
    <m/>
    <m/>
    <m/>
    <n v="67"/>
    <n v="0"/>
    <n v="7"/>
    <n v="52545.901820999999"/>
    <n v="31059.056855999999"/>
    <n v="0.59108428592212736"/>
    <s v="51% - 70%"/>
    <n v="9.036250461876593E-4"/>
    <n v="625.51018499999998"/>
    <n v="1.1904071741519041E-2"/>
    <s v="0% - 30%"/>
    <n v="0.9538435001365646"/>
    <s v="Aceptable"/>
    <n v="2"/>
    <s v="Candidato"/>
    <n v="0"/>
    <n v="0"/>
  </r>
  <r>
    <n v="47605"/>
    <s v="47605"/>
    <x v="17"/>
    <x v="17"/>
    <s v="REMOLINO"/>
    <n v="47.808033333333299"/>
    <n v="0"/>
    <n v="2.67"/>
    <n v="18.77"/>
    <n v="43.756131144183968"/>
    <n v="46.072123157286384"/>
    <n v="49.273278929023633"/>
    <n v="44.8521"/>
    <n v="17.312008333333324"/>
    <n v="45.988408307623502"/>
    <n v="31.650208320478413"/>
    <n v="58.74774774139955"/>
    <n v="41.25225225860045"/>
    <n v="0.47127027032740409"/>
    <n v="0"/>
    <n v="14.915802231110517"/>
    <n v="5"/>
    <n v="5"/>
    <b v="1"/>
    <x v="6"/>
    <n v="41.364140058692726"/>
    <n v="0.47018952612865972"/>
    <n v="19.448985412916244"/>
    <n v="5"/>
    <n v="0"/>
    <n v="-9.7139317382143133"/>
    <n v="1.0807441987443767E-3"/>
    <n v="-4.5331831818057271"/>
    <n v="5"/>
    <b v="1"/>
    <n v="0"/>
    <n v="0.6523467210059386"/>
    <n v="26.983761134518591"/>
    <n v="0.16691239638560929"/>
    <n v="5"/>
    <n v="0"/>
    <n v="16.69123963856093"/>
    <n v="5"/>
    <n v="-0.18107645067853451"/>
    <b v="1"/>
    <n v="0"/>
    <n v="4"/>
    <n v="-1"/>
    <n v="0"/>
    <n v="0"/>
    <n v="0"/>
    <n v="0"/>
    <n v="0"/>
    <s v="Rural"/>
    <n v="6"/>
    <s v="Fuera SC"/>
    <m/>
    <s v="No"/>
    <s v="No"/>
    <n v="50.6"/>
    <n v="21.161695447409734"/>
    <n v="10.294117647058824"/>
    <s v="Bajo"/>
    <n v="0.88357399505913026"/>
    <s v="Medio Bajo"/>
    <n v="21530.951541999999"/>
    <n v="5518.5776589999996"/>
    <n v="13533"/>
    <n v="1.5909961975910736"/>
    <n v="0.40778671831818514"/>
    <m/>
    <m/>
    <m/>
    <m/>
    <m/>
    <m/>
    <m/>
    <n v="42"/>
    <n v="0"/>
    <n v="7"/>
    <n v="59437.514014"/>
    <n v="59422.016181999999"/>
    <n v="0.99973925840847999"/>
    <s v="71% - 100%"/>
    <n v="1.7288104518425106E-3"/>
    <s v="N.D."/>
    <s v="N.D."/>
    <s v="N.D."/>
    <n v="0.95953677431866857"/>
    <s v="Aceptable"/>
    <n v="1"/>
    <s v="Candidato"/>
    <n v="0"/>
    <n v="0"/>
  </r>
  <r>
    <n v="5649"/>
    <s v="05649"/>
    <x v="1"/>
    <x v="1"/>
    <s v="SAN CARLOS"/>
    <n v="56.444499999999998"/>
    <n v="48.76"/>
    <n v="42.94"/>
    <n v="61.75"/>
    <n v="59.929843130477146"/>
    <n v="54.560324890153318"/>
    <n v="59.695215843853575"/>
    <n v="64.9328"/>
    <n v="52.473624999999998"/>
    <n v="59.779545966121006"/>
    <n v="56.126585483060502"/>
    <n v="59.380956632256598"/>
    <n v="40.619043367743402"/>
    <n v="0.46557139030969064"/>
    <n v="0"/>
    <n v="26.130932436684176"/>
    <n v="4"/>
    <n v="4"/>
    <b v="1"/>
    <x v="5"/>
    <n v="55.234302918916697"/>
    <n v="0.47356431681023881"/>
    <n v="26.156994926286565"/>
    <n v="4"/>
    <n v="0"/>
    <n v="0.89228256414380525"/>
    <n v="-7.9929265005481698E-3"/>
    <n v="-2.6062489602388439E-2"/>
    <n v="4"/>
    <b v="1"/>
    <n v="0"/>
    <n v="0.6523467210059386"/>
    <n v="36.031916396204053"/>
    <n v="0.28009528105463816"/>
    <n v="4"/>
    <n v="0"/>
    <n v="28.009528105463815"/>
    <n v="4"/>
    <n v="-0.18677533069624797"/>
    <b v="1"/>
    <n v="0"/>
    <n v="4"/>
    <n v="0"/>
    <n v="0"/>
    <n v="0"/>
    <n v="0"/>
    <n v="0"/>
    <n v="1"/>
    <s v="Rural"/>
    <n v="6"/>
    <s v="Fuera SC"/>
    <m/>
    <s v="No"/>
    <s v="Si"/>
    <n v="30.5"/>
    <n v="12.071244694914075"/>
    <n v="47.295914524299441"/>
    <s v="Alto"/>
    <n v="7.1778967863843386"/>
    <s v="Medio"/>
    <n v="50734.181094"/>
    <n v="12665.677486299999"/>
    <n v="16912"/>
    <n v="2.9998924487937559"/>
    <n v="0.74891659687204348"/>
    <m/>
    <m/>
    <m/>
    <m/>
    <m/>
    <m/>
    <m/>
    <n v="84"/>
    <n v="1"/>
    <n v="7"/>
    <n v="71641.256357999999"/>
    <n v="14859.929803000001"/>
    <n v="0.2074214015558736"/>
    <s v="0% - 30%"/>
    <n v="4.3233137492992683E-4"/>
    <s v="N.D."/>
    <s v="N.D."/>
    <s v="N.D."/>
    <n v="0.87783843380970628"/>
    <s v="Aceptable"/>
    <n v="3"/>
    <s v="Candidato"/>
    <n v="0"/>
    <n v="0"/>
  </r>
  <r>
    <n v="54377"/>
    <s v="54377"/>
    <x v="12"/>
    <x v="12"/>
    <s v="LABATECA"/>
    <n v="53.474166666666697"/>
    <n v="69.56"/>
    <n v="73.709999999999994"/>
    <n v="67.92"/>
    <n v="62.771134343073776"/>
    <n v="60.244686555096877"/>
    <n v="67.67601544895588"/>
    <n v="58.872"/>
    <n v="66.166041666666672"/>
    <n v="62.390959086781635"/>
    <n v="64.278500376724153"/>
    <n v="59.543266816868176"/>
    <n v="40.456733183131824"/>
    <n v="0.46411059864818649"/>
    <n v="0"/>
    <n v="29.832333290049128"/>
    <n v="3"/>
    <n v="3"/>
    <b v="1"/>
    <x v="4"/>
    <n v="61.562582921655256"/>
    <n v="0.47154565254932979"/>
    <n v="29.029568336414155"/>
    <n v="3"/>
    <n v="0"/>
    <n v="2.7159174550688974"/>
    <n v="-7.4350539011432959E-3"/>
    <n v="0.80276495363497347"/>
    <n v="3"/>
    <b v="1"/>
    <n v="0"/>
    <n v="0.6523467210059386"/>
    <n v="40.160149105598002"/>
    <n v="0.33173512068170607"/>
    <n v="4"/>
    <n v="1"/>
    <n v="33.173512068170609"/>
    <n v="4"/>
    <n v="-0.18823612235775211"/>
    <b v="0"/>
    <s v="Cambio en corte"/>
    <n v="4"/>
    <n v="1"/>
    <n v="0"/>
    <n v="0"/>
    <n v="0"/>
    <n v="0"/>
    <n v="0"/>
    <s v="Rural disperso"/>
    <n v="6"/>
    <s v="Fuera SC"/>
    <m/>
    <s v="No"/>
    <s v="No"/>
    <n v="41.3"/>
    <n v="16.106897797038641"/>
    <n v="3.1599999999999997"/>
    <s v="Sin riesgo"/>
    <n v="0.15553586466962288"/>
    <s v="Bajo"/>
    <n v="16272.753373"/>
    <n v="3694.1258619999999"/>
    <n v="6999"/>
    <n v="2.3250111977425347"/>
    <n v="0.52780766709529936"/>
    <m/>
    <m/>
    <m/>
    <m/>
    <m/>
    <m/>
    <m/>
    <n v="24"/>
    <n v="0"/>
    <n v="7"/>
    <n v="25546.142908000002"/>
    <n v="4975.2021370000002"/>
    <n v="0.19475355457445481"/>
    <s v="0% - 30%"/>
    <n v="1.4474738501182407E-4"/>
    <s v="N.D."/>
    <s v="N.D."/>
    <s v="N.D."/>
    <n v="0.94706906678369929"/>
    <s v="Aceptable"/>
    <n v="2"/>
    <s v="Candidato"/>
    <n v="0"/>
    <n v="0"/>
  </r>
  <r>
    <n v="5425"/>
    <s v="05425"/>
    <x v="1"/>
    <x v="1"/>
    <s v="MACEO"/>
    <n v="41.682566666666702"/>
    <n v="35.65"/>
    <n v="23.06"/>
    <n v="33.43"/>
    <n v="46.698456779865602"/>
    <n v="48.024611211770235"/>
    <n v="68.301718871728383"/>
    <n v="53.869700000000002"/>
    <n v="33.455641666666679"/>
    <n v="54.223621715841055"/>
    <n v="43.839631691253871"/>
    <n v="60.196068548020762"/>
    <n v="39.803931451979238"/>
    <n v="0.4582353830678132"/>
    <n v="0"/>
    <n v="20.088870421593562"/>
    <n v="5"/>
    <n v="5"/>
    <b v="1"/>
    <x v="6"/>
    <n v="43.399093515183161"/>
    <n v="0.47074618212337316"/>
    <n v="20.429957579887716"/>
    <n v="4"/>
    <n v="-1"/>
    <n v="0.44053817607071011"/>
    <n v="-1.2510799055559962E-2"/>
    <n v="-0.34108715829415459"/>
    <n v="5"/>
    <b v="1"/>
    <s v="Efecto ponderador"/>
    <n v="0.6523467210059386"/>
    <n v="28.311256349259828"/>
    <n v="0.183517962210168"/>
    <n v="5"/>
    <n v="0"/>
    <n v="18.351796221016802"/>
    <n v="4"/>
    <n v="-0.19411133793812541"/>
    <b v="0"/>
    <n v="0"/>
    <n v="4"/>
    <n v="-1"/>
    <n v="0"/>
    <n v="0"/>
    <n v="0"/>
    <n v="0"/>
    <n v="0"/>
    <s v="Rural"/>
    <n v="6"/>
    <s v="Fuera SC"/>
    <m/>
    <s v="No"/>
    <s v="Si"/>
    <n v="36"/>
    <n v="13.178826110806364"/>
    <n v="29.225530283620905"/>
    <s v="Medio"/>
    <n v="18.57677423127538"/>
    <s v="Alto"/>
    <n v="25166.524858000001"/>
    <n v="9575.5010321000009"/>
    <n v="8808"/>
    <n v="2.8572348839691188"/>
    <n v="1.0871368110921891"/>
    <m/>
    <m/>
    <m/>
    <m/>
    <m/>
    <m/>
    <m/>
    <n v="72"/>
    <n v="0"/>
    <n v="7"/>
    <n v="45528.664718"/>
    <n v="3996.6054079999999"/>
    <n v="8.7782179265624732E-2"/>
    <s v="0% - 30%"/>
    <n v="1.1627631718315333E-4"/>
    <s v="N.D."/>
    <s v="N.D."/>
    <s v="N.D."/>
    <n v="0.98279982792902976"/>
    <s v="Aceptable"/>
    <n v="1"/>
    <s v="Candidato"/>
    <n v="0"/>
    <n v="0"/>
  </r>
  <r>
    <n v="17662"/>
    <s v="17662"/>
    <x v="11"/>
    <x v="11"/>
    <s v="SAMANÁ"/>
    <n v="66.455866666666694"/>
    <n v="53.75"/>
    <n v="47.63"/>
    <n v="50.08"/>
    <n v="65.6065718821243"/>
    <n v="66.079962991270861"/>
    <n v="59.434749717417269"/>
    <n v="63.9009"/>
    <n v="54.478966666666679"/>
    <n v="63.755546147703107"/>
    <n v="59.117256407184897"/>
    <n v="60.423334630848245"/>
    <n v="39.576665369151755"/>
    <n v="0.45618998832236579"/>
    <n v="0"/>
    <n v="26.968700510043984"/>
    <n v="4"/>
    <n v="4"/>
    <b v="1"/>
    <x v="5"/>
    <n v="59.573085046479505"/>
    <n v="0.46825804096594392"/>
    <n v="27.89557609816206"/>
    <n v="3"/>
    <n v="-1"/>
    <n v="-0.45582863929460871"/>
    <n v="-1.2068052643578131E-2"/>
    <n v="-0.92687558811807591"/>
    <n v="4"/>
    <b v="1"/>
    <s v="Efecto ponderador"/>
    <n v="0.6523467210059386"/>
    <n v="38.862306690278821"/>
    <n v="0.31550048012092047"/>
    <n v="4"/>
    <n v="0"/>
    <n v="31.550048012092049"/>
    <n v="4"/>
    <n v="-0.19615673268357281"/>
    <b v="1"/>
    <n v="0"/>
    <n v="4"/>
    <n v="0"/>
    <n v="0"/>
    <n v="0"/>
    <n v="0"/>
    <n v="0"/>
    <n v="1"/>
    <s v="Rural"/>
    <n v="6"/>
    <s v="Fuera SC"/>
    <m/>
    <s v="No"/>
    <s v="No"/>
    <n v="39.9"/>
    <n v="13.53305785123967"/>
    <n v="46.60691958684744"/>
    <s v="Alto"/>
    <n v="1.232967834021641"/>
    <s v="Medio Bajo"/>
    <n v="42723.503413999999"/>
    <n v="7091.3921068999998"/>
    <n v="21128"/>
    <n v="2.0221271968004544"/>
    <n v="0.33563953554051495"/>
    <m/>
    <m/>
    <m/>
    <m/>
    <m/>
    <m/>
    <m/>
    <n v="13"/>
    <n v="0"/>
    <n v="7"/>
    <n v="75768.425166000001"/>
    <n v="8774.1383509999996"/>
    <n v="0.11580204196902417"/>
    <s v="0% - 30%"/>
    <n v="2.5527276019483028E-4"/>
    <s v="N.D."/>
    <s v="N.D."/>
    <s v="N.D."/>
    <n v="0.94416975717172558"/>
    <s v="Aceptable"/>
    <n v="2"/>
    <s v="Candidato"/>
    <n v="0"/>
    <n v="0"/>
  </r>
  <r>
    <n v="68820"/>
    <s v="68820"/>
    <x v="0"/>
    <x v="0"/>
    <s v="TONA"/>
    <n v="50.311233333333298"/>
    <n v="46.3"/>
    <n v="52"/>
    <n v="51.43"/>
    <n v="47.744690401151082"/>
    <n v="56.301118016578954"/>
    <n v="63.11598178317054"/>
    <n v="60.871200000000002"/>
    <n v="50.010308333333327"/>
    <n v="57.008247550225136"/>
    <n v="53.509277941779231"/>
    <n v="59.647298504140942"/>
    <n v="40.352701495859058"/>
    <n v="0.46317431346273152"/>
    <n v="0"/>
    <n v="24.784123074570079"/>
    <n v="4"/>
    <n v="4"/>
    <b v="1"/>
    <x v="5"/>
    <n v="50.268084195698741"/>
    <n v="0.4622230107633768"/>
    <n v="23.235065222242792"/>
    <n v="4"/>
    <n v="0"/>
    <n v="3.2411937460804907"/>
    <n v="9.51302699354728E-4"/>
    <n v="1.5490578523272873"/>
    <n v="4"/>
    <b v="1"/>
    <n v="0"/>
    <n v="0.6523467210059386"/>
    <n v="32.792219896314521"/>
    <n v="0.23957009280302213"/>
    <n v="4"/>
    <n v="0"/>
    <n v="23.957009280302213"/>
    <n v="4"/>
    <n v="-0.18917240754320708"/>
    <b v="1"/>
    <n v="0"/>
    <n v="4"/>
    <n v="0"/>
    <n v="0"/>
    <n v="0"/>
    <n v="0"/>
    <n v="0"/>
    <n v="0"/>
    <s v="Rural disperso"/>
    <n v="6"/>
    <s v="Fuera SC"/>
    <m/>
    <s v="No"/>
    <s v="Si"/>
    <n v="45.8"/>
    <n v="13.45808383233533"/>
    <n v="46.492192615813309"/>
    <s v="Alto"/>
    <n v="0"/>
    <s v="Bajo"/>
    <n v="15575.704815999999"/>
    <n v="4621.1625045000001"/>
    <n v="8362"/>
    <n v="1.8626769691461371"/>
    <n v="0.55263842436020094"/>
    <m/>
    <m/>
    <m/>
    <m/>
    <m/>
    <m/>
    <m/>
    <n v="39"/>
    <n v="0"/>
    <n v="7"/>
    <n v="33012.091904000001"/>
    <n v="26845.75864"/>
    <n v="0.81320986013452723"/>
    <s v="71% - 100%"/>
    <n v="7.8104431836044266E-4"/>
    <s v="N.D."/>
    <s v="N.D."/>
    <s v="N.D."/>
    <n v="0.88851488324891759"/>
    <s v="Aceptable"/>
    <n v="2"/>
    <s v="Candidato"/>
    <n v="0"/>
    <n v="0"/>
  </r>
  <r>
    <n v="68211"/>
    <s v="68211"/>
    <x v="0"/>
    <x v="0"/>
    <s v="CONTRATACIÓN"/>
    <n v="56.634300000000003"/>
    <n v="54.11"/>
    <n v="45.04"/>
    <n v="75.180000000000007"/>
    <n v="53.397224469400307"/>
    <n v="55.793553066712455"/>
    <n v="52.735455243461843"/>
    <n v="44.130299999999998"/>
    <n v="57.741075000000002"/>
    <n v="51.514133194893653"/>
    <n v="54.627604097446827"/>
    <n v="59.196573794840056"/>
    <n v="40.803426205159944"/>
    <n v="0.46723083584643954"/>
    <n v="0"/>
    <n v="25.523701122738466"/>
    <n v="4"/>
    <n v="4"/>
    <b v="1"/>
    <x v="5"/>
    <n v="52.691009848282562"/>
    <n v="0.4691149179837879"/>
    <n v="24.718138763460036"/>
    <n v="4"/>
    <n v="0"/>
    <n v="1.9365942491642656"/>
    <n v="-1.884082137348364E-3"/>
    <n v="0.80556235927842934"/>
    <n v="4"/>
    <b v="1"/>
    <n v="0"/>
    <n v="0.6523467210059386"/>
    <n v="34.372807501018748"/>
    <n v="0.25934157764149196"/>
    <n v="4"/>
    <n v="0"/>
    <n v="25.934157764149194"/>
    <n v="4"/>
    <n v="-0.18511588515949906"/>
    <b v="1"/>
    <n v="0"/>
    <n v="4"/>
    <n v="0"/>
    <n v="0"/>
    <n v="0"/>
    <n v="0"/>
    <n v="0"/>
    <n v="0"/>
    <s v="Rural"/>
    <n v="6"/>
    <s v="Fuera SC"/>
    <m/>
    <s v="No"/>
    <s v="No"/>
    <n v="29.2"/>
    <n v="8.7134318968229003"/>
    <n v="27.89833333333333"/>
    <s v="Medio"/>
    <n v="0"/>
    <s v="Bajo"/>
    <n v="9117.1265669999993"/>
    <n v="2058.9475548999999"/>
    <n v="4144"/>
    <n v="2.2000788047779922"/>
    <n v="0.49685027869208492"/>
    <m/>
    <m/>
    <m/>
    <m/>
    <m/>
    <m/>
    <m/>
    <n v="45"/>
    <n v="0"/>
    <n v="7"/>
    <n v="13694.941263000001"/>
    <n v="13678.431975"/>
    <n v="0.99879449734884185"/>
    <s v="71% - 100%"/>
    <n v="3.9795714926212859E-4"/>
    <s v="N.D."/>
    <s v="N.D."/>
    <s v="N.D."/>
    <n v="0.95455278022954537"/>
    <s v="Aceptable"/>
    <n v="2"/>
    <s v="Candidato"/>
    <n v="0"/>
    <n v="0"/>
  </r>
  <r>
    <n v="73168"/>
    <s v="73168"/>
    <x v="15"/>
    <x v="15"/>
    <s v="CHAPARRAL"/>
    <n v="80.652299999999997"/>
    <n v="52.52"/>
    <n v="55.66"/>
    <n v="59.49"/>
    <n v="51.032925766764023"/>
    <n v="62.010949766566839"/>
    <n v="71.538929329697964"/>
    <n v="58.023400000000002"/>
    <n v="62.080575000000003"/>
    <n v="60.651551215757209"/>
    <n v="61.366063107878603"/>
    <n v="59.994779386656852"/>
    <n v="40.005220613343148"/>
    <n v="0.46004698552008838"/>
    <n v="0"/>
    <n v="28.231272346015057"/>
    <n v="4"/>
    <n v="4"/>
    <b v="1"/>
    <x v="5"/>
    <n v="64.689195625069431"/>
    <n v="0.46889468580275073"/>
    <n v="30.332420057449607"/>
    <n v="3"/>
    <n v="-1"/>
    <n v="-3.3231325171908281"/>
    <n v="-8.8477002826623519E-3"/>
    <n v="-2.1011477114345496"/>
    <n v="3"/>
    <b v="0"/>
    <s v="Cambio en corte"/>
    <n v="0.6523467210059386"/>
    <n v="42.19978465052575"/>
    <n v="0.3572488113702329"/>
    <n v="3"/>
    <n v="-1"/>
    <n v="35.724881137023289"/>
    <n v="4"/>
    <n v="-0.19229973548585022"/>
    <b v="1"/>
    <s v="Efecto ponderador"/>
    <n v="3"/>
    <n v="-1"/>
    <n v="0"/>
    <n v="0"/>
    <n v="0"/>
    <n v="1"/>
    <n v="1"/>
    <s v="Intermedio"/>
    <n v="6"/>
    <s v="Fuera SC"/>
    <m/>
    <s v="No"/>
    <s v="Si"/>
    <n v="39.700000000000003"/>
    <n v="21.12399065269198"/>
    <n v="5.833333333333333"/>
    <s v="Bajo"/>
    <n v="6.3592209658426544"/>
    <s v="Medio"/>
    <n v="98218.181223000007"/>
    <n v="18389.57691725"/>
    <n v="52842"/>
    <n v="1.8587143034517999"/>
    <n v="0.34801061498902391"/>
    <m/>
    <m/>
    <m/>
    <m/>
    <m/>
    <m/>
    <m/>
    <n v="15"/>
    <n v="1"/>
    <n v="6"/>
    <n v="210153.586255"/>
    <n v="84313.015721000003"/>
    <n v="0.40119713026783532"/>
    <s v="31% - 50%"/>
    <n v="2.4529834591674529E-3"/>
    <n v="11.065644000000001"/>
    <n v="5.2655032908041678E-5"/>
    <n v="0"/>
    <n v="0.96602809774300979"/>
    <s v="Aceptable"/>
    <n v="1"/>
    <s v="Candidato"/>
    <n v="0"/>
    <n v="0"/>
  </r>
  <r>
    <n v="47551"/>
    <s v="47551"/>
    <x v="17"/>
    <x v="17"/>
    <s v="PIVIJAY"/>
    <n v="62.337200000000003"/>
    <n v="66.69"/>
    <n v="63.6"/>
    <n v="61.49"/>
    <n v="43.086266074951041"/>
    <n v="33.430929676140821"/>
    <n v="46.078605203284454"/>
    <n v="47.581200000000003"/>
    <n v="63.529299999999999"/>
    <n v="42.544250238594081"/>
    <n v="53.03677511929704"/>
    <n v="59.880349992405236"/>
    <n v="40.119650007594764"/>
    <n v="0.46107685006835286"/>
    <n v="0"/>
    <n v="24.45402920978907"/>
    <n v="4"/>
    <n v="4"/>
    <b v="1"/>
    <x v="5"/>
    <n v="53.038136452060961"/>
    <n v="0.46860931281123352"/>
    <n v="24.854164675588724"/>
    <n v="4"/>
    <n v="0"/>
    <n v="-1.3613327639205863E-3"/>
    <n v="-7.5324627428806634E-3"/>
    <n v="-0.40013546579965364"/>
    <n v="4"/>
    <b v="1"/>
    <n v="0"/>
    <n v="0.6523467210059386"/>
    <n v="34.599254402767514"/>
    <n v="0.26217418968483519"/>
    <n v="4"/>
    <n v="0"/>
    <n v="26.217418968483518"/>
    <n v="4"/>
    <n v="-0.19126987093758574"/>
    <b v="1"/>
    <n v="0"/>
    <n v="4"/>
    <n v="0"/>
    <n v="0"/>
    <n v="0"/>
    <n v="0"/>
    <n v="0"/>
    <n v="0"/>
    <s v="Rural"/>
    <n v="6"/>
    <s v="Fuera SC"/>
    <m/>
    <s v="No"/>
    <s v="No"/>
    <n v="52.4"/>
    <n v="25.04654951704876"/>
    <n v="9.134615384615385"/>
    <s v="Bajo"/>
    <n v="3.0313456872356777"/>
    <s v="Medio Bajo"/>
    <n v="69862.617689000006"/>
    <n v="9189.5573590000004"/>
    <n v="40406"/>
    <n v="1.7290159305301194"/>
    <n v="0.22743051425530864"/>
    <m/>
    <m/>
    <m/>
    <m/>
    <m/>
    <m/>
    <m/>
    <n v="42"/>
    <n v="0"/>
    <n v="6"/>
    <n v="163866.126701"/>
    <n v="73586.129094999997"/>
    <n v="0.44906247908861407"/>
    <s v="31% - 50%"/>
    <n v="2.1408978904456028E-3"/>
    <s v="N.D."/>
    <s v="N.D."/>
    <s v="N.D."/>
    <n v="0.92687890218408331"/>
    <s v="Aceptable"/>
    <n v="2"/>
    <s v="Candidato"/>
    <n v="0"/>
    <n v="0"/>
  </r>
  <r>
    <n v="15317"/>
    <s v="15317"/>
    <x v="10"/>
    <x v="10"/>
    <s v="GUACAMAYAS"/>
    <n v="64.689566666666707"/>
    <n v="55"/>
    <n v="54.86"/>
    <n v="58.75"/>
    <n v="54.031520204660275"/>
    <n v="48.564977885712878"/>
    <n v="58.884615230226828"/>
    <n v="53.554000000000002"/>
    <n v="58.324891666666673"/>
    <n v="53.758778330150001"/>
    <n v="56.041834998408333"/>
    <n v="60.441404036368496"/>
    <n v="39.558595963631504"/>
    <n v="0.45602736367268359"/>
    <n v="0"/>
    <n v="25.556610269703686"/>
    <n v="4"/>
    <n v="4"/>
    <b v="1"/>
    <x v="5"/>
    <n v="58.707442283639011"/>
    <n v="0.46902304539818962"/>
    <n v="27.535143367410818"/>
    <n v="4"/>
    <n v="0"/>
    <n v="-2.6656072852306778"/>
    <n v="-1.2995681725506025E-2"/>
    <n v="-1.9785330977071318"/>
    <n v="4"/>
    <b v="1"/>
    <n v="0"/>
    <n v="0.6523467210059386"/>
    <n v="38.297607472377301"/>
    <n v="0.30843668815405573"/>
    <n v="4"/>
    <n v="0"/>
    <n v="30.843668815405572"/>
    <n v="4"/>
    <n v="-0.19631935733325501"/>
    <b v="1"/>
    <n v="0"/>
    <n v="4"/>
    <n v="0"/>
    <n v="0"/>
    <n v="0"/>
    <n v="0"/>
    <n v="0"/>
    <n v="0"/>
    <s v="Rural"/>
    <n v="6"/>
    <s v="Fuera SC"/>
    <m/>
    <s v="No"/>
    <s v="No"/>
    <n v="30.4"/>
    <n v="11.678004535147393"/>
    <n v="39.502985611801058"/>
    <s v="Alto"/>
    <n v="0"/>
    <s v="Bajo"/>
    <n v="9383.8277300000009"/>
    <n v="2330.2397399000001"/>
    <n v="1811"/>
    <n v="5.1815724627277753"/>
    <n v="1.2867143787410271"/>
    <m/>
    <m/>
    <m/>
    <m/>
    <m/>
    <m/>
    <m/>
    <n v="44"/>
    <n v="0"/>
    <n v="7"/>
    <n v="5752.1730820000002"/>
    <n v="4094.6053000000002"/>
    <n v="0.71183624721117178"/>
    <s v="71% - 100%"/>
    <n v="1.1912750346821848E-4"/>
    <s v="N.D."/>
    <s v="N.D."/>
    <s v="N.D."/>
    <n v="0.96286694173666043"/>
    <s v="Aceptable"/>
    <n v="1"/>
    <s v="Candidato"/>
    <n v="0"/>
    <n v="0"/>
  </r>
  <r>
    <n v="50318"/>
    <s v="50318"/>
    <x v="16"/>
    <x v="16"/>
    <s v="GUAMAL"/>
    <n v="67.545900000000003"/>
    <n v="69.290000000000006"/>
    <n v="71.5"/>
    <n v="75.739999999999995"/>
    <n v="56.506044313721979"/>
    <n v="62.076070143729154"/>
    <n v="64.93019911647329"/>
    <n v="59.935000000000002"/>
    <n v="71.018974999999998"/>
    <n v="60.861828393481105"/>
    <n v="65.940401696740551"/>
    <n v="60.360083765408731"/>
    <n v="39.639916234591269"/>
    <n v="0.45675924611132146"/>
    <n v="0"/>
    <n v="30.118888167280918"/>
    <n v="3"/>
    <n v="3"/>
    <b v="1"/>
    <x v="4"/>
    <n v="64.317972826696746"/>
    <n v="0.46694553918339077"/>
    <n v="30.032990500744589"/>
    <n v="3"/>
    <n v="0"/>
    <n v="1.6224288700438052"/>
    <n v="-1.0186293072069308E-2"/>
    <n v="8.5897666536329353E-2"/>
    <n v="3"/>
    <b v="1"/>
    <n v="0"/>
    <n v="0.6523467210059386"/>
    <n v="41.957618675244682"/>
    <n v="0.35421957028646589"/>
    <n v="3"/>
    <n v="0"/>
    <n v="35.421957028646588"/>
    <n v="4"/>
    <n v="-0.19558747489461714"/>
    <b v="0"/>
    <n v="0"/>
    <n v="4"/>
    <n v="1"/>
    <n v="0"/>
    <n v="0"/>
    <n v="0"/>
    <n v="0"/>
    <n v="0"/>
    <s v="Rural"/>
    <n v="6"/>
    <s v="Fuera SC"/>
    <m/>
    <s v="No"/>
    <s v="No"/>
    <n v="22.6"/>
    <n v="8.7145024929546935"/>
    <n v="0.27132891798767517"/>
    <s v="Sin riesgo"/>
    <n v="2.3842888327178873"/>
    <s v="Medio Bajo"/>
    <n v="46121.360279"/>
    <n v="22996.498412000001"/>
    <n v="16202"/>
    <n v="2.8466461102950253"/>
    <n v="1.4193617091717072"/>
    <m/>
    <m/>
    <m/>
    <m/>
    <m/>
    <m/>
    <m/>
    <n v="88"/>
    <n v="0"/>
    <n v="7"/>
    <n v="59491.977362999998"/>
    <n v="40431.343099999998"/>
    <n v="0.67961000612404543"/>
    <s v="51% - 70%"/>
    <n v="1.1763001834071726E-3"/>
    <s v="N.D."/>
    <s v="N.D."/>
    <s v="N.D."/>
    <n v="0.926521304600191"/>
    <s v="Aceptable"/>
    <n v="2"/>
    <s v="Candidato"/>
    <n v="0"/>
    <n v="0"/>
  </r>
  <r>
    <n v="15790"/>
    <s v="15790"/>
    <x v="10"/>
    <x v="10"/>
    <s v="TASCO"/>
    <n v="80.210599999999999"/>
    <n v="84.36"/>
    <n v="66.16"/>
    <n v="66.14"/>
    <n v="66.562423088451425"/>
    <n v="60.355008047766503"/>
    <n v="52.286950141313824"/>
    <n v="56.85"/>
    <n v="74.217650000000006"/>
    <n v="59.013595319382937"/>
    <n v="66.615622659691468"/>
    <n v="60.11623358379682"/>
    <n v="39.88376641620318"/>
    <n v="0.45895389774582862"/>
    <n v="0"/>
    <n v="30.573499670430742"/>
    <n v="3"/>
    <n v="3"/>
    <b v="1"/>
    <x v="4"/>
    <n v="67.615328617834265"/>
    <n v="0.4697294097702468"/>
    <n v="31.760908403076566"/>
    <n v="3"/>
    <n v="0"/>
    <n v="-0.99970595814279761"/>
    <n v="-1.0775512024418177E-2"/>
    <n v="-1.1874087326458245"/>
    <n v="3"/>
    <b v="1"/>
    <n v="0"/>
    <n v="0.6523467210059386"/>
    <n v="44.108637913583188"/>
    <n v="0.38112655357008152"/>
    <n v="3"/>
    <n v="0"/>
    <n v="38.112655357008151"/>
    <n v="4"/>
    <n v="-0.19339282326010998"/>
    <b v="0"/>
    <n v="0"/>
    <n v="3"/>
    <n v="0"/>
    <n v="0"/>
    <n v="0"/>
    <n v="0"/>
    <n v="0"/>
    <n v="0"/>
    <s v="Rural"/>
    <n v="6"/>
    <s v="Fuera SC"/>
    <m/>
    <s v="No"/>
    <s v="No"/>
    <n v="31.4"/>
    <n v="10.75875486381323"/>
    <n v="20.65901241577712"/>
    <s v="Medio"/>
    <n v="0"/>
    <s v="Bajo"/>
    <n v="15953.158047000001"/>
    <n v="4293.9206328999999"/>
    <n v="6012"/>
    <n v="2.6535525693612776"/>
    <n v="0.71422498883898866"/>
    <m/>
    <m/>
    <m/>
    <m/>
    <m/>
    <m/>
    <m/>
    <n v="82"/>
    <n v="0"/>
    <n v="7"/>
    <n v="20925.278039000001"/>
    <n v="14779.933258999999"/>
    <n v="0.70631956390034756"/>
    <s v="71% - 100%"/>
    <n v="4.3000397390477658E-4"/>
    <s v="N.D."/>
    <s v="N.D."/>
    <s v="N.D."/>
    <n v="0.93823221668417123"/>
    <s v="Aceptable"/>
    <n v="2"/>
    <s v="Candidato"/>
    <n v="0"/>
    <n v="0"/>
  </r>
  <r>
    <n v="41357"/>
    <s v="41357"/>
    <x v="19"/>
    <x v="19"/>
    <s v="ÍQUIRA"/>
    <n v="63.531866666666701"/>
    <n v="73.53"/>
    <n v="32.799999999999997"/>
    <n v="67.38"/>
    <n v="47.186665620906091"/>
    <n v="42.934110405193337"/>
    <n v="54.282974906152312"/>
    <n v="64.200400000000002"/>
    <n v="59.31046666666667"/>
    <n v="52.151037733062935"/>
    <n v="55.730752199864803"/>
    <n v="59.971522339590365"/>
    <n v="40.028477660409635"/>
    <n v="0.46025629894368669"/>
    <n v="0"/>
    <n v="25.650429744857501"/>
    <n v="4"/>
    <n v="4"/>
    <b v="1"/>
    <x v="5"/>
    <n v="52.777572873031147"/>
    <n v="0.46852673085608565"/>
    <n v="24.727703680720111"/>
    <n v="4"/>
    <n v="0"/>
    <n v="2.9531793268336557"/>
    <n v="-8.2704319123989567E-3"/>
    <n v="0.92272606413738956"/>
    <n v="4"/>
    <b v="1"/>
    <n v="0"/>
    <n v="0.6523467210059386"/>
    <n v="34.42927660637384"/>
    <n v="0.26004794662543645"/>
    <n v="4"/>
    <n v="0"/>
    <n v="26.004794662543645"/>
    <n v="4"/>
    <n v="-0.19209042206225191"/>
    <b v="1"/>
    <n v="0"/>
    <n v="4"/>
    <n v="0"/>
    <n v="0"/>
    <n v="0"/>
    <n v="0"/>
    <n v="0"/>
    <n v="0"/>
    <s v="Rural disperso"/>
    <n v="6"/>
    <s v="Fuera SC"/>
    <m/>
    <s v="No"/>
    <s v="Si"/>
    <n v="49.6"/>
    <n v="24.060150375939848"/>
    <n v="13.708749999999998"/>
    <s v="Bajo"/>
    <n v="9.3376057849879697"/>
    <s v="Medio"/>
    <n v="23649.289397"/>
    <n v="3917.1098345999999"/>
    <n v="9715"/>
    <n v="2.4343066800823467"/>
    <n v="0.40320224751415334"/>
    <m/>
    <m/>
    <m/>
    <m/>
    <m/>
    <m/>
    <m/>
    <n v="71"/>
    <n v="0"/>
    <n v="7"/>
    <n v="35644.847520000003"/>
    <n v="13463.755004000001"/>
    <n v="0.37771952864844238"/>
    <s v="31% - 50%"/>
    <n v="3.9171138691542596E-4"/>
    <n v="1008.3109920000001"/>
    <n v="2.828770669966384E-2"/>
    <s v="0% - 30%"/>
    <n v="0.9285465581600465"/>
    <s v="Aceptable"/>
    <n v="3"/>
    <s v="Candidato"/>
    <n v="0"/>
    <n v="0"/>
  </r>
  <r>
    <n v="5790"/>
    <s v="05790"/>
    <x v="1"/>
    <x v="1"/>
    <s v="TARAZÁ"/>
    <n v="45.618766666666701"/>
    <n v="27.42"/>
    <n v="39.42"/>
    <n v="41.01"/>
    <n v="57.527526402492285"/>
    <n v="52.467866748670545"/>
    <n v="46.359290521418423"/>
    <n v="49.151800000000001"/>
    <n v="38.367191666666677"/>
    <n v="51.376620918145314"/>
    <n v="44.871906292405995"/>
    <n v="59.690218230238891"/>
    <n v="40.309781769761109"/>
    <n v="0.46278803592785001"/>
    <n v="0"/>
    <n v="20.766181381401104"/>
    <n v="5"/>
    <n v="5"/>
    <b v="1"/>
    <x v="6"/>
    <n v="46.490289481517884"/>
    <n v="0.46958440592880346"/>
    <n v="21.831114967636676"/>
    <n v="4"/>
    <n v="-1"/>
    <n v="-1.6183831891118885"/>
    <n v="-6.7963700009534556E-3"/>
    <n v="-1.064933586235572"/>
    <n v="4"/>
    <b v="0"/>
    <s v="Cambio en corte"/>
    <n v="0.6523467210059386"/>
    <n v="30.32778790188507"/>
    <n v="0.20874264630889389"/>
    <n v="4"/>
    <n v="-1"/>
    <n v="20.874264630889389"/>
    <n v="4"/>
    <n v="-0.1895586850780886"/>
    <b v="0"/>
    <s v="Cambio en corte"/>
    <n v="4"/>
    <n v="-1"/>
    <n v="0"/>
    <n v="0"/>
    <n v="0"/>
    <n v="1"/>
    <n v="1"/>
    <s v="Rural"/>
    <n v="6"/>
    <s v="Fuera SC"/>
    <m/>
    <s v="No"/>
    <s v="No"/>
    <n v="53.5"/>
    <n v="32.416736328039072"/>
    <n v="49.558737830336725"/>
    <s v="Alto"/>
    <n v="45.009351337022643"/>
    <s v="Muy Alto"/>
    <n v="52906.945669000001"/>
    <n v="7110.4260897499998"/>
    <n v="29027"/>
    <n v="1.8226804585041514"/>
    <n v="0.24495904122885589"/>
    <m/>
    <m/>
    <m/>
    <m/>
    <m/>
    <m/>
    <m/>
    <n v="99"/>
    <n v="0"/>
    <n v="7"/>
    <n v="114869.450792"/>
    <n v="1098.8559250000001"/>
    <n v="9.5661284825828471E-3"/>
    <s v="0% - 30%"/>
    <n v="3.1969861177220164E-5"/>
    <n v="3251.711292"/>
    <n v="2.8307885774504486E-2"/>
    <s v="0% - 30%"/>
    <n v="0.90312021572275136"/>
    <s v="Aceptable"/>
    <n v="1"/>
    <s v="Candidato"/>
    <n v="0"/>
    <n v="0"/>
  </r>
  <r>
    <n v="68169"/>
    <s v="68169"/>
    <x v="0"/>
    <x v="0"/>
    <s v="CHARTA"/>
    <n v="50.464433333333297"/>
    <n v="54.71"/>
    <n v="58.32"/>
    <n v="88.05"/>
    <n v="52.973961518417767"/>
    <n v="45.937907778630091"/>
    <n v="43.966913660255379"/>
    <n v="45.613399999999999"/>
    <n v="62.886108333333326"/>
    <n v="47.123045739325804"/>
    <n v="55.004577036329565"/>
    <n v="59.180385969344648"/>
    <n v="40.819614030655352"/>
    <n v="0.46737652627589821"/>
    <n v="0"/>
    <n v="25.707848144514752"/>
    <n v="4"/>
    <n v="4"/>
    <b v="1"/>
    <x v="5"/>
    <n v="53.536803463640652"/>
    <n v="0.46827082796767072"/>
    <n v="25.069723284661471"/>
    <n v="4"/>
    <n v="0"/>
    <n v="1.4677735726889125"/>
    <n v="-8.943016917725144E-4"/>
    <n v="0.63812485985328138"/>
    <n v="4"/>
    <b v="1"/>
    <n v="0"/>
    <n v="0.6523467210059386"/>
    <n v="34.924558192645357"/>
    <n v="0.26624339719369078"/>
    <n v="4"/>
    <n v="0"/>
    <n v="26.624339719369079"/>
    <n v="4"/>
    <n v="-0.18497019473004039"/>
    <b v="1"/>
    <n v="0"/>
    <n v="4"/>
    <n v="0"/>
    <n v="0"/>
    <n v="0"/>
    <n v="0"/>
    <n v="0"/>
    <n v="1"/>
    <s v="Rural disperso"/>
    <n v="6"/>
    <s v="Fuera SC"/>
    <m/>
    <s v="No"/>
    <s v="No"/>
    <n v="35.1"/>
    <n v="9.9857853589196868"/>
    <n v="25.853333333333335"/>
    <s v="Medio"/>
    <n v="0"/>
    <s v="Bajo"/>
    <n v="5923.6900740000001"/>
    <n v="2089.7411645500001"/>
    <n v="3252"/>
    <n v="1.8215529132841328"/>
    <n v="0.64260183411746619"/>
    <m/>
    <m/>
    <m/>
    <m/>
    <m/>
    <m/>
    <m/>
    <n v="39"/>
    <n v="0"/>
    <n v="7"/>
    <n v="12645.830042"/>
    <n v="9970.1417089999995"/>
    <n v="0.78841338811977046"/>
    <s v="71% - 100%"/>
    <n v="2.9006900641132053E-4"/>
    <s v="N.D."/>
    <s v="N.D."/>
    <s v="N.D."/>
    <n v="0.93652980168470235"/>
    <s v="Aceptable"/>
    <n v="2"/>
    <s v="Candidato"/>
    <n v="0"/>
    <n v="0"/>
  </r>
  <r>
    <n v="5495"/>
    <s v="05495"/>
    <x v="1"/>
    <x v="1"/>
    <s v="NECHÍ"/>
    <n v="42.126933333333298"/>
    <n v="47.65"/>
    <n v="39.799999999999997"/>
    <n v="50.54"/>
    <n v="49.926535256071041"/>
    <n v="60.259863813420104"/>
    <n v="58.092316470090751"/>
    <n v="55.835799999999999"/>
    <n v="45.029233333333316"/>
    <n v="56.028628884895475"/>
    <n v="50.528931109114396"/>
    <n v="59.522882131809872"/>
    <n v="40.477117868190128"/>
    <n v="0.46429406081371116"/>
    <n v="0"/>
    <n v="23.46028261322698"/>
    <n v="4"/>
    <n v="4"/>
    <b v="1"/>
    <x v="5"/>
    <n v="48.039239393282656"/>
    <n v="0.46827662830719441"/>
    <n v="22.495653049528553"/>
    <n v="4"/>
    <n v="0"/>
    <n v="2.4896917158317393"/>
    <n v="-3.9825674934832467E-3"/>
    <n v="0.96462956369842701"/>
    <n v="4"/>
    <b v="1"/>
    <n v="0"/>
    <n v="0.6523467210059386"/>
    <n v="31.338240297827255"/>
    <n v="0.22138234066490839"/>
    <n v="4"/>
    <n v="0"/>
    <n v="22.138234066490838"/>
    <n v="4"/>
    <n v="-0.18805266019222744"/>
    <b v="1"/>
    <n v="0"/>
    <n v="4"/>
    <n v="0"/>
    <n v="0"/>
    <n v="0"/>
    <n v="0"/>
    <n v="1"/>
    <n v="1"/>
    <s v="Rural"/>
    <n v="6"/>
    <s v="Fuera SC"/>
    <m/>
    <s v="No"/>
    <s v="No"/>
    <n v="61.5"/>
    <n v="54.344569288389515"/>
    <n v="0.96750000000000003"/>
    <s v="Sin riesgo"/>
    <n v="5.8880833887484458"/>
    <s v="Medio"/>
    <n v="63720.252432000001"/>
    <n v="9200.4627272500002"/>
    <n v="28955"/>
    <n v="2.2006649087204284"/>
    <n v="0.31775039638231739"/>
    <m/>
    <m/>
    <m/>
    <m/>
    <m/>
    <m/>
    <m/>
    <n v="67"/>
    <n v="0"/>
    <n v="7"/>
    <n v="93658.107923000003"/>
    <n v="26707.958291999999"/>
    <n v="0.28516440150550187"/>
    <s v="0% - 30%"/>
    <n v="7.7703518677594251E-4"/>
    <n v="0.60181899999999999"/>
    <n v="6.4257010241417531E-6"/>
    <n v="0"/>
    <n v="0.92358036656487508"/>
    <s v="Aceptable"/>
    <n v="1"/>
    <s v="Candidato"/>
    <n v="0"/>
    <n v="0"/>
  </r>
  <r>
    <n v="54250"/>
    <s v="54250"/>
    <x v="12"/>
    <x v="12"/>
    <s v="EL TARRA"/>
    <n v="62.080633333333303"/>
    <n v="62.69"/>
    <n v="67.17"/>
    <n v="79.61"/>
    <n v="55.748909063009307"/>
    <n v="55.78904264211323"/>
    <n v="67.187067439235506"/>
    <n v="65.262900000000002"/>
    <n v="67.887658333333334"/>
    <n v="60.996979786089511"/>
    <n v="64.442319059711423"/>
    <n v="58.849957843770099"/>
    <n v="41.150042156229901"/>
    <n v="0.47035037940606905"/>
    <n v="0"/>
    <n v="30.310469219542224"/>
    <n v="3"/>
    <n v="3"/>
    <b v="1"/>
    <x v="4"/>
    <n v="60.95732850299197"/>
    <n v="0.46741988371289234"/>
    <n v="28.492667400317085"/>
    <n v="3"/>
    <n v="0"/>
    <n v="3.4849905567194526"/>
    <n v="2.9304956931767157E-3"/>
    <n v="1.8178018192251386"/>
    <n v="3"/>
    <b v="1"/>
    <n v="0"/>
    <n v="0.6523467210059386"/>
    <n v="39.765313370208652"/>
    <n v="0.3267961418280807"/>
    <n v="4"/>
    <n v="1"/>
    <n v="32.679614182808066"/>
    <n v="4"/>
    <n v="-0.18199634159986955"/>
    <b v="0"/>
    <s v="Cambio en corte"/>
    <n v="4"/>
    <n v="1"/>
    <n v="0"/>
    <n v="0"/>
    <n v="0"/>
    <n v="1"/>
    <n v="1"/>
    <s v="Rural"/>
    <n v="6"/>
    <s v="Fuera SC"/>
    <m/>
    <s v="No"/>
    <s v="No"/>
    <n v="71.2"/>
    <n v="50.595175392394395"/>
    <n v="42.434640291046904"/>
    <s v="Alto"/>
    <n v="45.252023471411533"/>
    <s v="Muy Alto"/>
    <n v="57284.655989999999"/>
    <n v="9136.4478459999991"/>
    <n v="26769"/>
    <n v="2.1399624935559789"/>
    <n v="0.34130702850311923"/>
    <m/>
    <m/>
    <m/>
    <m/>
    <m/>
    <m/>
    <m/>
    <n v="73"/>
    <n v="0"/>
    <n v="7"/>
    <n v="70274.404737999997"/>
    <n v="17843.362206000002"/>
    <n v="0.25390983064921541"/>
    <s v="0% - 30%"/>
    <n v="5.1913067007458417E-4"/>
    <n v="4406.8177900000001"/>
    <n v="6.2708717440292577E-2"/>
    <s v="0% - 30%"/>
    <n v="0.89078034995367128"/>
    <s v="Aceptable"/>
    <n v="3"/>
    <s v="Candidato"/>
    <n v="0"/>
    <n v="0"/>
  </r>
  <r>
    <n v="73770"/>
    <s v="73770"/>
    <x v="15"/>
    <x v="15"/>
    <s v="SUÁREZ"/>
    <n v="50.2648333333333"/>
    <n v="49.32"/>
    <n v="51.49"/>
    <n v="48.5"/>
    <n v="49.859483886372587"/>
    <n v="53.675759473699848"/>
    <n v="53.800163245589935"/>
    <n v="53.072200000000002"/>
    <n v="49.893708333333329"/>
    <n v="52.601901651415595"/>
    <n v="51.247804992374462"/>
    <n v="59.863822058195005"/>
    <n v="40.136177941804995"/>
    <n v="0.46122560147624503"/>
    <n v="0"/>
    <n v="23.636799681945224"/>
    <n v="4"/>
    <n v="4"/>
    <b v="1"/>
    <x v="5"/>
    <n v="50.674387066097637"/>
    <n v="0.46800572863687151"/>
    <n v="23.715903442095883"/>
    <n v="4"/>
    <n v="0"/>
    <n v="0.57341792627682509"/>
    <n v="-6.7801271606264812E-3"/>
    <n v="-7.9103760150658786E-2"/>
    <n v="4"/>
    <b v="1"/>
    <n v="0"/>
    <n v="0.6523467210059386"/>
    <n v="33.057270241554541"/>
    <n v="0.24288559323257594"/>
    <n v="4"/>
    <n v="0"/>
    <n v="24.288559323257594"/>
    <n v="4"/>
    <n v="-0.19112111952969357"/>
    <b v="1"/>
    <n v="0"/>
    <n v="4"/>
    <n v="0"/>
    <n v="0"/>
    <n v="0"/>
    <n v="0"/>
    <n v="0"/>
    <n v="0"/>
    <s v="Rural"/>
    <n v="6"/>
    <s v="Fuera SC"/>
    <m/>
    <s v="No"/>
    <s v="No"/>
    <n v="34.299999999999997"/>
    <n v="18.862449216482879"/>
    <n v="76.079090909090908"/>
    <s v="Alto"/>
    <n v="2.7368626279418158"/>
    <s v="Medio Bajo"/>
    <n v="14727.079145"/>
    <n v="4353.8992310000003"/>
    <n v="3916"/>
    <n v="3.7607454405005107"/>
    <n v="1.1118230926966293"/>
    <m/>
    <m/>
    <m/>
    <m/>
    <m/>
    <m/>
    <m/>
    <n v="6"/>
    <n v="0"/>
    <n v="7"/>
    <n v="19000.863915000002"/>
    <n v="3139.6142180000002"/>
    <n v="0.16523534045846566"/>
    <s v="0% - 30%"/>
    <n v="9.1343212896164385E-5"/>
    <s v="N.D."/>
    <s v="N.D."/>
    <s v="N.D."/>
    <n v="0.91377360576219147"/>
    <s v="Aceptable"/>
    <n v="1"/>
    <s v="Candidato"/>
    <n v="0"/>
    <n v="0"/>
  </r>
  <r>
    <n v="52405"/>
    <s v="52405"/>
    <x v="18"/>
    <x v="18"/>
    <s v="LEIVA"/>
    <n v="54.056633333333302"/>
    <n v="44.13"/>
    <n v="35.31"/>
    <n v="32.590000000000003"/>
    <n v="57.12875940393883"/>
    <n v="60.015297451519373"/>
    <n v="54.266514305329231"/>
    <n v="56.013800000000003"/>
    <n v="41.521658333333328"/>
    <n v="56.856092790196861"/>
    <n v="49.188875561765094"/>
    <n v="60.265782603361004"/>
    <n v="39.734217396638996"/>
    <n v="0.45760795656975095"/>
    <n v="0"/>
    <n v="22.509220831783086"/>
    <n v="4"/>
    <n v="4"/>
    <b v="1"/>
    <x v="5"/>
    <n v="50.873200497714897"/>
    <n v="0.46728562618361413"/>
    <n v="23.772315350539255"/>
    <n v="4"/>
    <n v="0"/>
    <n v="-1.6843249359498031"/>
    <n v="-9.6776696138631824E-3"/>
    <n v="-1.2630945187561693"/>
    <n v="4"/>
    <b v="1"/>
    <n v="0"/>
    <n v="0.6523467210059386"/>
    <n v="33.186965531761999"/>
    <n v="0.24450794460134903"/>
    <n v="4"/>
    <n v="0"/>
    <n v="24.450794460134905"/>
    <n v="4"/>
    <n v="-0.19473876443618765"/>
    <b v="1"/>
    <n v="0"/>
    <n v="4"/>
    <n v="0"/>
    <n v="0"/>
    <n v="0"/>
    <n v="0"/>
    <n v="1"/>
    <n v="1"/>
    <s v="Rural"/>
    <n v="6"/>
    <s v="Fuera SC"/>
    <m/>
    <s v="No"/>
    <s v="No"/>
    <n v="55.3"/>
    <n v="27.033288623338617"/>
    <n v="61.877804774501158"/>
    <s v="Alto"/>
    <n v="16.260252059400528"/>
    <s v="Alto"/>
    <n v="27194.735513"/>
    <n v="5371.1280072500003"/>
    <n v="9779"/>
    <n v="2.7809321518560179"/>
    <n v="0.54925125342570813"/>
    <m/>
    <m/>
    <m/>
    <m/>
    <m/>
    <m/>
    <m/>
    <n v="26"/>
    <n v="0"/>
    <n v="7"/>
    <n v="31069.641997999999"/>
    <n v="11342.826166000001"/>
    <n v="0.36507746586620327"/>
    <s v="31% - 50%"/>
    <n v="3.3000557182631603E-4"/>
    <n v="1587.905528"/>
    <n v="5.1107944150184152E-2"/>
    <s v="0% - 30%"/>
    <n v="0.93089560320371301"/>
    <s v="Aceptable"/>
    <n v="1"/>
    <s v="Candidato"/>
    <n v="0"/>
    <n v="0"/>
  </r>
  <r>
    <n v="23580"/>
    <s v="23580"/>
    <x v="14"/>
    <x v="14"/>
    <s v="PUERTO LIBERTADOR"/>
    <n v="47.274133333333303"/>
    <n v="32.79"/>
    <n v="39.78"/>
    <n v="30.96"/>
    <n v="70.481844691597757"/>
    <n v="67.491650128901156"/>
    <n v="61.629706063464099"/>
    <n v="66.971000000000004"/>
    <n v="37.701033333333328"/>
    <n v="66.643550220990747"/>
    <n v="52.172291777162037"/>
    <n v="59.822275180248973"/>
    <n v="40.177724819751027"/>
    <n v="0.46159952337775922"/>
    <n v="0"/>
    <n v="24.082705017863383"/>
    <n v="4"/>
    <n v="4"/>
    <b v="1"/>
    <x v="5"/>
    <n v="54.171809505824427"/>
    <n v="0.46763043181417585"/>
    <n v="25.332386671363953"/>
    <n v="4"/>
    <n v="0"/>
    <n v="-1.99951772866239"/>
    <n v="-6.0309084364166266E-3"/>
    <n v="-1.2496816535005699"/>
    <n v="4"/>
    <b v="1"/>
    <n v="0"/>
    <n v="0.6523467210059386"/>
    <n v="35.338802302082904"/>
    <n v="0.27142515434830455"/>
    <n v="4"/>
    <n v="0"/>
    <n v="27.142515434830454"/>
    <n v="4"/>
    <n v="-0.19074719762817938"/>
    <b v="1"/>
    <n v="0"/>
    <n v="4"/>
    <n v="0"/>
    <n v="0"/>
    <n v="0"/>
    <n v="0"/>
    <n v="1"/>
    <n v="1"/>
    <s v="Rural disperso"/>
    <n v="6"/>
    <s v="Fuera SC"/>
    <m/>
    <s v="No"/>
    <s v="No"/>
    <n v="58.9"/>
    <n v="55.553352406311078"/>
    <n v="0"/>
    <s v="Sin riesgo"/>
    <n v="19.903410206768196"/>
    <s v="Alto"/>
    <n v="102568.96474"/>
    <n v="17494.323719700002"/>
    <n v="45697"/>
    <n v="2.2445448221983937"/>
    <n v="0.38283309013064321"/>
    <m/>
    <m/>
    <m/>
    <m/>
    <m/>
    <m/>
    <m/>
    <n v="67"/>
    <n v="0"/>
    <n v="7"/>
    <n v="164724.75641199999"/>
    <n v="89368.678696000003"/>
    <n v="0.54253337896870979"/>
    <s v="51% - 70%"/>
    <n v="2.6000717532671199E-3"/>
    <n v="3126.4440399999999"/>
    <n v="1.8979806727898993E-2"/>
    <s v="0% - 30%"/>
    <n v="0.95726015531568498"/>
    <s v="Aceptable"/>
    <n v="2"/>
    <s v="Candidato"/>
    <n v="0"/>
    <n v="0"/>
  </r>
  <r>
    <n v="19050"/>
    <s v="19050"/>
    <x v="13"/>
    <x v="13"/>
    <s v="ARGELIA"/>
    <n v="51.095133333333301"/>
    <n v="70.31"/>
    <n v="65.58"/>
    <n v="67.099999999999994"/>
    <n v="47.422344718010436"/>
    <n v="54.012939429223778"/>
    <n v="60.743829313577194"/>
    <n v="58.089599999999997"/>
    <n v="63.521283333333322"/>
    <n v="55.067178365202849"/>
    <n v="59.294230849268089"/>
    <n v="60.126635691173604"/>
    <n v="39.873364308826396"/>
    <n v="0.45886027877943758"/>
    <n v="0"/>
    <n v="27.207767297507484"/>
    <n v="4"/>
    <n v="4"/>
    <b v="1"/>
    <x v="5"/>
    <n v="55.62059882899397"/>
    <n v="0.46682070560713051"/>
    <n v="25.964847191642104"/>
    <n v="4"/>
    <n v="0"/>
    <n v="3.6736320202741197"/>
    <n v="-7.9604268276929346E-3"/>
    <n v="1.2429201058653803"/>
    <n v="4"/>
    <b v="1"/>
    <n v="0"/>
    <n v="0.6523467210059386"/>
    <n v="36.283915266480967"/>
    <n v="0.2832475212899549"/>
    <n v="4"/>
    <n v="0"/>
    <n v="28.324752128995488"/>
    <n v="4"/>
    <n v="-0.19348644222650102"/>
    <b v="1"/>
    <n v="0"/>
    <n v="4"/>
    <n v="0"/>
    <n v="0"/>
    <n v="0"/>
    <n v="0"/>
    <n v="1"/>
    <n v="1"/>
    <s v="Rural disperso"/>
    <n v="6"/>
    <s v="Fuera SC"/>
    <m/>
    <s v="No"/>
    <s v="No"/>
    <n v="50.1"/>
    <n v="23.397741530740277"/>
    <n v="14.453333333333333"/>
    <s v="Medio"/>
    <n v="100"/>
    <s v="Muy Alto"/>
    <n v="53666.756771"/>
    <n v="6642.9163500000004"/>
    <n v="27464"/>
    <n v="1.9540764918074571"/>
    <n v="0.24187723383338189"/>
    <m/>
    <m/>
    <m/>
    <m/>
    <m/>
    <m/>
    <m/>
    <n v="26"/>
    <n v="1"/>
    <n v="7"/>
    <n v="77645.549083999998"/>
    <n v="52891.353229"/>
    <n v="0.68118976364994288"/>
    <s v="51% - 70%"/>
    <n v="1.5388088481266963E-3"/>
    <n v="15302.742025"/>
    <n v="0.19708460054091309"/>
    <s v="0% - 30%"/>
    <n v="0.95148360378612495"/>
    <s v="Aceptable"/>
    <n v="2"/>
    <s v="Candidato"/>
    <n v="0"/>
    <n v="0"/>
  </r>
  <r>
    <n v="68444"/>
    <s v="68444"/>
    <x v="0"/>
    <x v="0"/>
    <s v="MATANZA"/>
    <n v="56.179600000000001"/>
    <n v="43.2"/>
    <n v="39.659999999999997"/>
    <n v="43.16"/>
    <n v="42.352198072728889"/>
    <n v="51.487759487253108"/>
    <n v="50.471970489927429"/>
    <n v="47.835099999999997"/>
    <n v="45.549900000000001"/>
    <n v="48.036757012477352"/>
    <n v="46.79332850623868"/>
    <n v="59.481442031328058"/>
    <n v="40.518557968671942"/>
    <n v="0.46466702171804752"/>
    <n v="0"/>
    <n v="21.74331659326814"/>
    <n v="5"/>
    <n v="5"/>
    <b v="1"/>
    <x v="5"/>
    <n v="48.546109766061939"/>
    <n v="0.46710603620403424"/>
    <n v="22.676180905951149"/>
    <n v="4"/>
    <n v="0"/>
    <n v="-1.7527812598232586"/>
    <n v="-2.4390144859867124E-3"/>
    <n v="-0.93286431268300873"/>
    <n v="4"/>
    <b v="1"/>
    <n v="0"/>
    <n v="0.6523467210059386"/>
    <n v="31.668895523484878"/>
    <n v="0.225518488994424"/>
    <n v="4"/>
    <n v="0"/>
    <n v="22.551848899442401"/>
    <n v="4"/>
    <n v="-0.18767969928789108"/>
    <b v="1"/>
    <n v="0"/>
    <n v="4"/>
    <n v="0"/>
    <n v="0"/>
    <n v="0"/>
    <n v="0"/>
    <n v="0"/>
    <n v="1"/>
    <s v="Rural"/>
    <n v="6"/>
    <s v="Fuera SC"/>
    <m/>
    <s v="No"/>
    <s v="No"/>
    <n v="38.200000000000003"/>
    <n v="13.937360178970918"/>
    <n v="52.314298409728728"/>
    <s v="Alto"/>
    <n v="0.10441865825087028"/>
    <s v="Bajo"/>
    <n v="13986.020188"/>
    <n v="2418.93888135"/>
    <n v="5607"/>
    <n v="2.494385622971286"/>
    <n v="0.43141410403959335"/>
    <m/>
    <m/>
    <m/>
    <m/>
    <m/>
    <m/>
    <m/>
    <n v="39"/>
    <n v="0"/>
    <n v="7"/>
    <n v="23529.742144"/>
    <n v="7178.4227739999997"/>
    <n v="0.30507868424858503"/>
    <s v="0% - 30%"/>
    <n v="2.0884737874637718E-4"/>
    <s v="N.D."/>
    <s v="N.D."/>
    <s v="N.D."/>
    <n v="0.93400928197297484"/>
    <s v="Aceptable"/>
    <n v="1"/>
    <s v="Candidato"/>
    <n v="0"/>
    <n v="0"/>
  </r>
  <r>
    <n v="68575"/>
    <s v="68575"/>
    <x v="0"/>
    <x v="0"/>
    <s v="PUERTO WILCHES"/>
    <n v="44.027900000000002"/>
    <n v="54.9"/>
    <n v="43.96"/>
    <n v="56.1"/>
    <n v="57.129400685816229"/>
    <n v="60.556555361000697"/>
    <n v="65.073329573767481"/>
    <n v="65.004199999999997"/>
    <n v="49.746974999999999"/>
    <n v="61.940871405146105"/>
    <n v="55.843923202573052"/>
    <n v="59.689688651158512"/>
    <n v="40.310311348841488"/>
    <n v="0.46279280213957341"/>
    <n v="0"/>
    <n v="25.844165701385922"/>
    <n v="4"/>
    <n v="4"/>
    <b v="1"/>
    <x v="5"/>
    <n v="52.017738571267529"/>
    <n v="0.46708025555318322"/>
    <n v="24.296458625166313"/>
    <n v="4"/>
    <n v="0"/>
    <n v="3.826184631305523"/>
    <n v="-4.2874534136098097E-3"/>
    <n v="1.5477070762196092"/>
    <n v="4"/>
    <b v="1"/>
    <n v="0"/>
    <n v="0.6523467210059386"/>
    <n v="33.933601191110512"/>
    <n v="0.25384756967162941"/>
    <n v="4"/>
    <n v="0"/>
    <n v="25.384756967162943"/>
    <n v="4"/>
    <n v="-0.18955391886636519"/>
    <b v="1"/>
    <n v="0"/>
    <n v="4"/>
    <n v="0"/>
    <n v="0"/>
    <n v="0"/>
    <n v="0"/>
    <n v="0"/>
    <n v="0"/>
    <s v="Rural"/>
    <n v="6"/>
    <s v="Fuera SC"/>
    <m/>
    <s v="No"/>
    <s v="No"/>
    <n v="40.299999999999997"/>
    <n v="32.099817023156035"/>
    <n v="22.214996866983661"/>
    <s v="Medio"/>
    <n v="5.5429118777302593"/>
    <s v="Medio Bajo"/>
    <n v="79987.296843999997"/>
    <n v="20829.6399375"/>
    <n v="36099"/>
    <n v="2.2157759728524336"/>
    <n v="0.57701431999501374"/>
    <m/>
    <m/>
    <m/>
    <m/>
    <m/>
    <m/>
    <m/>
    <n v="95"/>
    <n v="0"/>
    <n v="7"/>
    <n v="148048.890701"/>
    <n v="10282.997135"/>
    <n v="6.9456765844788215E-2"/>
    <s v="0% - 30%"/>
    <n v="2.9917115011388106E-4"/>
    <s v="N.D."/>
    <s v="N.D."/>
    <s v="N.D."/>
    <n v="0.87557709968264286"/>
    <s v="Aceptable"/>
    <n v="2"/>
    <s v="Candidato"/>
    <n v="0"/>
    <n v="0"/>
  </r>
  <r>
    <n v="68867"/>
    <s v="68867"/>
    <x v="0"/>
    <x v="0"/>
    <s v="VETAS"/>
    <n v="53.948966666666699"/>
    <n v="35.119999999999997"/>
    <n v="42.75"/>
    <n v="68.5"/>
    <n v="47.900495343255344"/>
    <n v="55.896785793211791"/>
    <n v="46.865619457414766"/>
    <n v="55.1755"/>
    <n v="50.079741666666678"/>
    <n v="51.459600148470471"/>
    <n v="50.769670907568575"/>
    <n v="60.326096455778213"/>
    <n v="39.673903544221787"/>
    <n v="0.45706513189799614"/>
    <n v="0"/>
    <n v="23.205046329785688"/>
    <n v="4"/>
    <n v="4"/>
    <b v="1"/>
    <x v="5"/>
    <n v="48.568724586244073"/>
    <n v="0.46789789929178149"/>
    <n v="22.725204205184703"/>
    <n v="4"/>
    <n v="0"/>
    <n v="2.2009463213245013"/>
    <n v="-1.0832767393785359E-2"/>
    <n v="0.47984212460098519"/>
    <n v="4"/>
    <b v="1"/>
    <n v="0"/>
    <n v="0.6523467210059386"/>
    <n v="31.683648227276834"/>
    <n v="0.22570302976804577"/>
    <n v="4"/>
    <n v="0"/>
    <n v="22.570302976804577"/>
    <n v="4"/>
    <n v="-0.19528158910794247"/>
    <b v="1"/>
    <n v="0"/>
    <n v="4"/>
    <n v="0"/>
    <n v="0"/>
    <n v="0"/>
    <n v="0"/>
    <n v="0"/>
    <n v="0"/>
    <s v="Rural"/>
    <n v="6"/>
    <s v="Fuera SC"/>
    <m/>
    <s v="No"/>
    <s v="Si"/>
    <n v="31.9"/>
    <n v="8.6833144154370032"/>
    <n v="33.842500000000001"/>
    <s v="Medio"/>
    <n v="0"/>
    <s v="Bajo"/>
    <n v="6082.6872700000004"/>
    <n v="1541.42281925"/>
    <n v="2162"/>
    <n v="2.8134538714153563"/>
    <n v="0.71296152601757634"/>
    <m/>
    <m/>
    <m/>
    <m/>
    <m/>
    <m/>
    <m/>
    <n v="39"/>
    <n v="0"/>
    <n v="7"/>
    <n v="9223.5157309999995"/>
    <n v="7927.6110280000003"/>
    <n v="0.85949991946731363"/>
    <s v="71% - 100%"/>
    <n v="2.3064408924414694E-4"/>
    <s v="N.D."/>
    <s v="N.D."/>
    <s v="N.D."/>
    <n v="0.9825709835261538"/>
    <s v="Aceptable"/>
    <n v="2"/>
    <s v="Candidato"/>
    <n v="0"/>
    <n v="0"/>
  </r>
  <r>
    <n v="15542"/>
    <s v="15542"/>
    <x v="10"/>
    <x v="10"/>
    <s v="PESCA"/>
    <n v="62.208399999999997"/>
    <n v="44.24"/>
    <n v="64.790000000000006"/>
    <n v="62.35"/>
    <n v="63.924968941123794"/>
    <n v="59.929657231148241"/>
    <n v="67.174637912435969"/>
    <n v="63.901600000000002"/>
    <n v="58.397100000000002"/>
    <n v="63.732716021177005"/>
    <n v="61.064908010588503"/>
    <n v="60.321881017837029"/>
    <n v="39.678118982162971"/>
    <n v="0.45710307083946677"/>
    <n v="0"/>
    <n v="27.91295697216956"/>
    <n v="4"/>
    <n v="4"/>
    <b v="1"/>
    <x v="5"/>
    <n v="60.10756811117507"/>
    <n v="0.46553241402872447"/>
    <n v="27.982021284191308"/>
    <n v="3"/>
    <n v="-1"/>
    <n v="0.95733989941343367"/>
    <n v="-8.4293431892576987E-3"/>
    <n v="-6.9064312021748009E-2"/>
    <n v="3"/>
    <b v="0"/>
    <s v="Cambio en corte"/>
    <n v="0.6523467210059386"/>
    <n v="39.210974964966177"/>
    <n v="0.31986195270625462"/>
    <n v="4"/>
    <n v="0"/>
    <n v="31.986195270625462"/>
    <n v="4"/>
    <n v="-0.19524365016647183"/>
    <b v="1"/>
    <n v="0"/>
    <n v="4"/>
    <n v="0"/>
    <n v="0"/>
    <n v="0"/>
    <n v="0"/>
    <n v="0"/>
    <n v="0"/>
    <s v="Rural"/>
    <n v="6"/>
    <s v="Fuera SC"/>
    <m/>
    <s v="No"/>
    <s v="No"/>
    <n v="39.299999999999997"/>
    <n v="12.855844942459116"/>
    <n v="49.49700435668877"/>
    <s v="Alto"/>
    <n v="1.1958966709978265"/>
    <s v="Medio Bajo"/>
    <n v="18264.105158999999"/>
    <n v="4026.7892320000001"/>
    <n v="7014"/>
    <n v="2.6039499798973478"/>
    <n v="0.57410738979184495"/>
    <m/>
    <m/>
    <m/>
    <m/>
    <m/>
    <m/>
    <m/>
    <n v="62"/>
    <n v="0"/>
    <n v="7"/>
    <n v="26259.265780000002"/>
    <n v="15886.925684"/>
    <n v="0.60500266142627845"/>
    <s v="51% - 70%"/>
    <n v="4.6221055653887787E-4"/>
    <s v="N.D."/>
    <s v="N.D."/>
    <s v="N.D."/>
    <n v="0.89005109478297406"/>
    <s v="Aceptable"/>
    <n v="3"/>
    <s v="Candidato"/>
    <n v="0"/>
    <n v="0"/>
  </r>
  <r>
    <n v="68013"/>
    <s v="68013"/>
    <x v="0"/>
    <x v="0"/>
    <s v="AGUADA"/>
    <n v="46.255899999999997"/>
    <n v="83"/>
    <n v="44.83"/>
    <n v="29.87"/>
    <n v="59.920920872293806"/>
    <n v="58.939547385695825"/>
    <n v="61.780046813177009"/>
    <n v="52.801900000000003"/>
    <n v="50.988974999999996"/>
    <n v="58.360603767791659"/>
    <n v="54.674789383895828"/>
    <n v="60.713053196311662"/>
    <n v="39.286946803688338"/>
    <n v="0.45358252123319509"/>
    <n v="0"/>
    <n v="24.799528816641399"/>
    <n v="4"/>
    <n v="4"/>
    <b v="1"/>
    <x v="5"/>
    <n v="58.124592233400747"/>
    <n v="0.46270813198746508"/>
    <n v="26.894721494849982"/>
    <n v="4"/>
    <n v="0"/>
    <n v="-3.4498028495049198"/>
    <n v="-9.125610754269986E-3"/>
    <n v="-2.0951926782085835"/>
    <n v="4"/>
    <b v="1"/>
    <n v="0"/>
    <n v="0.6523467210059386"/>
    <n v="37.917387153266226"/>
    <n v="0.3036805327519706"/>
    <n v="4"/>
    <n v="0"/>
    <n v="30.36805327519706"/>
    <n v="4"/>
    <n v="-0.19876419977274351"/>
    <b v="1"/>
    <n v="0"/>
    <n v="4"/>
    <n v="0"/>
    <n v="0"/>
    <n v="0"/>
    <n v="0"/>
    <n v="0"/>
    <n v="0"/>
    <s v="Rural disperso"/>
    <n v="6"/>
    <s v="Fuera SC"/>
    <m/>
    <s v="No"/>
    <s v="Si"/>
    <n v="41.8"/>
    <n v="16.555488174651305"/>
    <n v="34.585000000000001"/>
    <s v="Medio"/>
    <n v="0"/>
    <s v="Bajo"/>
    <n v="8862.7010740000005"/>
    <n v="2664.9490836999998"/>
    <n v="1891"/>
    <n v="4.6867800497091485"/>
    <n v="1.4092803192490744"/>
    <m/>
    <m/>
    <m/>
    <m/>
    <m/>
    <m/>
    <m/>
    <n v="25"/>
    <n v="0"/>
    <n v="7"/>
    <n v="7511.0515999999998"/>
    <n v="2039.047028"/>
    <n v="0.27147290906642152"/>
    <s v="0% - 30%"/>
    <n v="5.9323564569198054E-5"/>
    <s v="N.D."/>
    <s v="N.D."/>
    <s v="N.D."/>
    <n v="0.97065879078558048"/>
    <s v="Aceptable"/>
    <n v="1"/>
    <s v="Candidato"/>
    <n v="0"/>
    <n v="0"/>
  </r>
  <r>
    <n v="27787"/>
    <s v="27787"/>
    <x v="26"/>
    <x v="26"/>
    <s v="TADÓ"/>
    <n v="66.807100000000005"/>
    <n v="58.68"/>
    <n v="68.510000000000005"/>
    <n v="83.68"/>
    <n v="47.542026160753828"/>
    <n v="46.988583194522889"/>
    <n v="48.484373602930226"/>
    <n v="61.706400000000002"/>
    <n v="69.419274999999999"/>
    <n v="51.180345739551733"/>
    <n v="60.299810369775869"/>
    <n v="60.321076802974396"/>
    <n v="39.678923197025604"/>
    <n v="0.45711030877323044"/>
    <n v="0"/>
    <n v="27.563664937095492"/>
    <n v="4"/>
    <n v="4"/>
    <b v="1"/>
    <x v="5"/>
    <n v="55.940968097762067"/>
    <n v="0.46602981586935732"/>
    <n v="26.07015906215365"/>
    <n v="4"/>
    <n v="0"/>
    <n v="4.3588422720138027"/>
    <n v="-8.9195070961268774E-3"/>
    <n v="1.4935058749418424"/>
    <n v="4"/>
    <b v="1"/>
    <n v="0"/>
    <n v="0.6523467210059386"/>
    <n v="36.492907108472906"/>
    <n v="0.2858617889351075"/>
    <n v="4"/>
    <n v="0"/>
    <n v="28.586178893510748"/>
    <n v="4"/>
    <n v="-0.19523641223270816"/>
    <b v="1"/>
    <n v="0"/>
    <n v="4"/>
    <n v="0"/>
    <n v="0"/>
    <n v="0"/>
    <n v="0"/>
    <n v="0"/>
    <n v="1"/>
    <s v="Rural"/>
    <n v="6"/>
    <s v="Fuera SC"/>
    <m/>
    <s v="No"/>
    <s v="No"/>
    <n v="59.9"/>
    <n v="54.76541752729419"/>
    <n v="93.58"/>
    <s v="Inviable sanitariamente"/>
    <n v="9.0670068977908471"/>
    <s v="Medio"/>
    <n v="54616.240349"/>
    <n v="10786.719149500001"/>
    <n v="19134"/>
    <n v="2.8544078785930802"/>
    <n v="0.5637461664837462"/>
    <m/>
    <m/>
    <m/>
    <m/>
    <m/>
    <m/>
    <m/>
    <n v="27"/>
    <n v="0"/>
    <n v="7"/>
    <n v="71499.591927000001"/>
    <n v="4783.9342880000004"/>
    <n v="6.6908553728311129E-2"/>
    <s v="0% - 30%"/>
    <n v="1.3918268226865464E-4"/>
    <n v="67815.952353000001"/>
    <n v="0.94848027135929758"/>
    <s v="71% - 100%"/>
    <n v="0.94318321469085031"/>
    <s v="Aceptable"/>
    <n v="3"/>
    <s v="Candidato"/>
    <n v="0"/>
    <n v="0"/>
  </r>
  <r>
    <n v="15822"/>
    <s v="15822"/>
    <x v="10"/>
    <x v="10"/>
    <s v="TOTA"/>
    <n v="68.955233333333297"/>
    <n v="50.73"/>
    <n v="81.02"/>
    <n v="68.400000000000006"/>
    <n v="55.202763855655462"/>
    <n v="47.036841253770923"/>
    <n v="56.259424225871605"/>
    <n v="59.748899999999999"/>
    <n v="67.276308333333333"/>
    <n v="54.561982333824496"/>
    <n v="60.919145333578911"/>
    <n v="60.73008077596279"/>
    <n v="39.26991922403721"/>
    <n v="0.45342927301633484"/>
    <n v="0"/>
    <n v="27.622523781381133"/>
    <n v="4"/>
    <n v="4"/>
    <b v="1"/>
    <x v="5"/>
    <n v="60.260363445936264"/>
    <n v="0.46530279549724807"/>
    <n v="28.039315569074326"/>
    <n v="3"/>
    <n v="-1"/>
    <n v="0.65878188764264678"/>
    <n v="-1.1873522480913223E-2"/>
    <n v="-0.41679178769319236"/>
    <n v="4"/>
    <b v="1"/>
    <s v="Efecto ponderador"/>
    <n v="0.6523467210059386"/>
    <n v="39.310650500582646"/>
    <n v="0.32110878858889852"/>
    <n v="4"/>
    <n v="0"/>
    <n v="32.110878858889855"/>
    <n v="4"/>
    <n v="-0.19891744798960376"/>
    <b v="1"/>
    <n v="0"/>
    <n v="3"/>
    <n v="-1"/>
    <n v="0"/>
    <n v="0"/>
    <n v="0"/>
    <n v="0"/>
    <n v="0"/>
    <s v="Rural disperso"/>
    <n v="6"/>
    <s v="Fuera SC"/>
    <m/>
    <s v="No"/>
    <s v="No"/>
    <n v="47.9"/>
    <n v="16.710816777041941"/>
    <n v="51.823117584991131"/>
    <s v="Alto"/>
    <n v="0"/>
    <s v="Bajo"/>
    <n v="14634.282004999999"/>
    <n v="3524.6965571000001"/>
    <n v="5161"/>
    <n v="2.8355516382484014"/>
    <n v="0.68294837378415041"/>
    <m/>
    <m/>
    <m/>
    <m/>
    <m/>
    <m/>
    <m/>
    <n v="62"/>
    <n v="0"/>
    <n v="7"/>
    <n v="19566.418143999999"/>
    <n v="12136.758629"/>
    <n v="0.62028515079658109"/>
    <s v="51% - 70%"/>
    <n v="3.5310406003458453E-4"/>
    <s v="N.D."/>
    <s v="N.D."/>
    <s v="N.D."/>
    <n v="0.9572502005930954"/>
    <s v="Aceptable"/>
    <n v="2"/>
    <s v="Candidato"/>
    <n v="0"/>
    <n v="0"/>
  </r>
  <r>
    <n v="85010"/>
    <s v="85010"/>
    <x v="23"/>
    <x v="23"/>
    <s v="AGUAZUL"/>
    <n v="77.8386"/>
    <n v="84.1"/>
    <n v="83.73"/>
    <n v="90.51"/>
    <n v="63.291532648241905"/>
    <n v="63.498654503532357"/>
    <n v="71.252815196853007"/>
    <n v="59.148800000000001"/>
    <n v="84.044650000000004"/>
    <n v="64.297950587156819"/>
    <n v="74.171300293578412"/>
    <n v="60.603290738526752"/>
    <n v="39.396709261473248"/>
    <n v="0.45457038335325928"/>
    <n v="0"/>
    <n v="33.71607640826165"/>
    <n v="3"/>
    <n v="3"/>
    <b v="1"/>
    <x v="4"/>
    <n v="70.410353380612037"/>
    <n v="0.46495937283025313"/>
    <n v="32.737953748605868"/>
    <n v="3"/>
    <n v="0"/>
    <n v="3.7609469129663751"/>
    <n v="-1.0388989476993848E-2"/>
    <n v="0.97812265965578149"/>
    <n v="3"/>
    <b v="1"/>
    <n v="0"/>
    <n v="0.6523467210059386"/>
    <n v="45.931963152711667"/>
    <n v="0.40393443034561405"/>
    <n v="3"/>
    <n v="0"/>
    <n v="40.393443034561408"/>
    <n v="4"/>
    <n v="-0.19777633765267932"/>
    <b v="0"/>
    <n v="0"/>
    <n v="3"/>
    <n v="0"/>
    <n v="0"/>
    <n v="1"/>
    <n v="0"/>
    <n v="0"/>
    <n v="1"/>
    <s v="Intermedio"/>
    <n v="4"/>
    <s v="Fuera SC"/>
    <m/>
    <s v="No"/>
    <s v="No"/>
    <n v="27"/>
    <n v="14.035560344827585"/>
    <n v="3.3750000000000002E-2"/>
    <s v="Sin riesgo"/>
    <n v="2.5034282965667356"/>
    <s v="Medio Bajo"/>
    <n v="135321.62456299999"/>
    <n v="56151.945300250001"/>
    <n v="39218"/>
    <n v="3.4504978469835277"/>
    <n v="1.4317901295387323"/>
    <m/>
    <m/>
    <m/>
    <m/>
    <m/>
    <m/>
    <m/>
    <n v="41"/>
    <n v="0"/>
    <n v="6"/>
    <n v="143926.51903600001"/>
    <n v="21219.520318999999"/>
    <n v="0.1474330127701651"/>
    <s v="0% - 30%"/>
    <n v="6.1735583656759416E-4"/>
    <s v="N.D."/>
    <s v="N.D."/>
    <s v="N.D."/>
    <n v="0.9087882208429634"/>
    <s v="Aceptable"/>
    <n v="2"/>
    <s v="No es Candidato"/>
    <n v="0"/>
    <n v="0"/>
  </r>
  <r>
    <n v="15580"/>
    <s v="15580"/>
    <x v="10"/>
    <x v="10"/>
    <s v="QUÍPAMA"/>
    <n v="65.241399999999999"/>
    <n v="61.19"/>
    <n v="58.35"/>
    <n v="69.010000000000005"/>
    <n v="53.750481182353049"/>
    <n v="51.025870420039645"/>
    <n v="52.468452649376715"/>
    <n v="48.012599999999999"/>
    <n v="63.447850000000003"/>
    <n v="51.31435106294235"/>
    <n v="57.381100531471176"/>
    <n v="60.698137731737447"/>
    <n v="39.301862268262553"/>
    <n v="0.45371676041436304"/>
    <n v="0"/>
    <n v="26.034767042149987"/>
    <n v="4"/>
    <n v="4"/>
    <b v="1"/>
    <x v="5"/>
    <n v="58.776688962275799"/>
    <n v="0.46472381126841522"/>
    <n v="27.314926908287003"/>
    <n v="4"/>
    <n v="0"/>
    <n v="-1.3955884308046222"/>
    <n v="-1.1007050854052181E-2"/>
    <n v="-1.2801598661370157"/>
    <n v="4"/>
    <b v="1"/>
    <n v="0"/>
    <n v="0.6523467210059386"/>
    <n v="38.342780316126564"/>
    <n v="0.30900175281269338"/>
    <n v="4"/>
    <n v="0"/>
    <n v="30.900175281269338"/>
    <n v="4"/>
    <n v="-0.19862996059157556"/>
    <b v="1"/>
    <n v="0"/>
    <n v="4"/>
    <n v="0"/>
    <n v="0"/>
    <n v="0"/>
    <n v="0"/>
    <n v="0"/>
    <n v="0"/>
    <s v="Rural"/>
    <n v="6"/>
    <s v="Fuera SC"/>
    <m/>
    <s v="No"/>
    <s v="No"/>
    <n v="64.599999999999994"/>
    <n v="40.462565569861709"/>
    <n v="6.5344556145675252"/>
    <s v="Bajo"/>
    <n v="3.338317414024758"/>
    <s v="Medio Bajo"/>
    <n v="21213.675689"/>
    <n v="5846.3449140000002"/>
    <n v="5005"/>
    <n v="4.2384966411588412"/>
    <n v="1.168100881918082"/>
    <m/>
    <m/>
    <m/>
    <m/>
    <m/>
    <m/>
    <m/>
    <n v="86"/>
    <n v="0"/>
    <n v="7"/>
    <n v="16712.896530999999"/>
    <n v="14.545343000000001"/>
    <n v="8.7030653082908159E-4"/>
    <n v="0"/>
    <n v="4.2317885894372466E-7"/>
    <s v="N.D."/>
    <s v="N.D."/>
    <s v="N.D."/>
    <n v="0.96211536455326652"/>
    <s v="Aceptable"/>
    <n v="2"/>
    <s v="Candidato"/>
    <n v="0"/>
    <n v="0"/>
  </r>
  <r>
    <n v="41016"/>
    <s v="41016"/>
    <x v="19"/>
    <x v="19"/>
    <s v="AIPE"/>
    <n v="60.5581666666667"/>
    <n v="59.21"/>
    <n v="59.88"/>
    <n v="74.17"/>
    <n v="65.524787613300902"/>
    <n v="67.265582887829524"/>
    <n v="69.122624152355712"/>
    <n v="55.755699999999997"/>
    <n v="63.454541666666671"/>
    <n v="64.417173663371543"/>
    <n v="63.935857665019107"/>
    <n v="60.249181435230646"/>
    <n v="39.750818564769354"/>
    <n v="0.45775736708292414"/>
    <n v="0"/>
    <n v="29.26710986692774"/>
    <n v="4"/>
    <n v="4"/>
    <b v="1"/>
    <x v="4"/>
    <n v="62.018348355876178"/>
    <n v="0.46496321217010017"/>
    <n v="28.836250465032439"/>
    <n v="3"/>
    <n v="0"/>
    <n v="1.9175093091429289"/>
    <n v="-7.2058450871760327E-3"/>
    <n v="0.43085940189530092"/>
    <n v="3"/>
    <b v="1"/>
    <n v="0"/>
    <n v="0.6523467210059386"/>
    <n v="40.45746619215987"/>
    <n v="0.33545424403284485"/>
    <n v="4"/>
    <n v="1"/>
    <n v="33.545424403284485"/>
    <n v="4"/>
    <n v="-0.19458935392301446"/>
    <b v="0"/>
    <s v="Cambio en corte"/>
    <n v="4"/>
    <n v="1"/>
    <n v="0"/>
    <n v="0"/>
    <n v="0"/>
    <n v="0"/>
    <n v="0"/>
    <s v="Rural"/>
    <n v="6"/>
    <s v="Fuera SC"/>
    <m/>
    <s v="No"/>
    <s v="Si"/>
    <n v="35.4"/>
    <n v="15.238485718190516"/>
    <n v="5.5285714285714294"/>
    <s v="Bajo"/>
    <n v="1.3663141211113858"/>
    <s v="Medio Bajo"/>
    <n v="67100.617213000005"/>
    <n v="12937.97861"/>
    <n v="17200"/>
    <n v="3.901198675174419"/>
    <n v="0.75220805872093022"/>
    <m/>
    <m/>
    <m/>
    <m/>
    <m/>
    <m/>
    <m/>
    <n v="71"/>
    <n v="0"/>
    <n v="7"/>
    <n v="79529.855762000007"/>
    <n v="13000.591947999999"/>
    <n v="0.16346806898412339"/>
    <s v="0% - 30%"/>
    <n v="3.7823622764671919E-4"/>
    <s v="N.D."/>
    <s v="N.D."/>
    <s v="N.D."/>
    <n v="0.92131292357588812"/>
    <s v="Aceptable"/>
    <n v="2"/>
    <s v="Candidato"/>
    <n v="0"/>
    <n v="0"/>
  </r>
  <r>
    <n v="68235"/>
    <s v="68235"/>
    <x v="0"/>
    <x v="0"/>
    <s v="EL CARMEN DE CHUCURÍ"/>
    <n v="59.206699999999998"/>
    <n v="61.29"/>
    <n v="67.3"/>
    <n v="79.62"/>
    <n v="58.468577820885017"/>
    <n v="56.560890265562605"/>
    <n v="60.089206483128365"/>
    <n v="61.4771"/>
    <n v="66.854174999999998"/>
    <n v="59.148943642394002"/>
    <n v="63.001559321197"/>
    <n v="59.575065111426021"/>
    <n v="40.424934888573979"/>
    <n v="0.46382441399716579"/>
    <n v="0"/>
    <n v="29.221661333061878"/>
    <n v="4"/>
    <n v="4"/>
    <b v="1"/>
    <x v="4"/>
    <n v="59.806033261595999"/>
    <n v="0.46485766720665211"/>
    <n v="27.801293106868961"/>
    <n v="3"/>
    <n v="0"/>
    <n v="3.1955260596010007"/>
    <n v="-1.0332532094863289E-3"/>
    <n v="1.4203682261929167"/>
    <n v="3"/>
    <b v="1"/>
    <n v="0"/>
    <n v="0.6523467210059386"/>
    <n v="39.014269694574253"/>
    <n v="0.317401377120551"/>
    <n v="4"/>
    <n v="1"/>
    <n v="31.740137712055098"/>
    <n v="4"/>
    <n v="-0.18852230700877282"/>
    <b v="0"/>
    <s v="Cambio en corte"/>
    <n v="4"/>
    <n v="1"/>
    <n v="0"/>
    <n v="0"/>
    <n v="0"/>
    <n v="0"/>
    <n v="0"/>
    <s v="Rural disperso"/>
    <n v="6"/>
    <s v="Fuera SC"/>
    <m/>
    <s v="No"/>
    <s v="Si"/>
    <n v="58.9"/>
    <n v="43.069391472647581"/>
    <n v="38.848801668436892"/>
    <s v="Alto"/>
    <n v="0.45371442334105599"/>
    <s v="Medio Bajo"/>
    <n v="39648.912098000001"/>
    <n v="9906.5678430999997"/>
    <n v="24214"/>
    <n v="1.6374375195341537"/>
    <n v="0.4091256233212191"/>
    <m/>
    <m/>
    <m/>
    <m/>
    <m/>
    <m/>
    <m/>
    <n v="95"/>
    <n v="0"/>
    <n v="7"/>
    <n v="92257.030790000004"/>
    <n v="71282.031791000001"/>
    <n v="0.77264606481055809"/>
    <s v="71% - 100%"/>
    <n v="2.0738630141967558E-3"/>
    <s v="N.D."/>
    <s v="N.D."/>
    <s v="N.D."/>
    <n v="0.95396172216419517"/>
    <s v="Aceptable"/>
    <n v="3"/>
    <s v="Candidato"/>
    <n v="0"/>
    <n v="0"/>
  </r>
  <r>
    <n v="5858"/>
    <s v="05858"/>
    <x v="1"/>
    <x v="1"/>
    <s v="VEGACHÍ"/>
    <n v="61.972499999999997"/>
    <n v="57.57"/>
    <n v="67.87"/>
    <n v="76.31"/>
    <n v="60.074897420676294"/>
    <n v="57.892091132825101"/>
    <n v="63.980068203469088"/>
    <n v="57.936700000000002"/>
    <n v="65.930624999999992"/>
    <n v="59.970939189242621"/>
    <n v="62.950782094621303"/>
    <n v="59.79553304442512"/>
    <n v="40.20446695557488"/>
    <n v="0.46184020260017389"/>
    <n v="0"/>
    <n v="29.0732019564193"/>
    <n v="4"/>
    <n v="4"/>
    <b v="1"/>
    <x v="4"/>
    <n v="61.150544625347877"/>
    <n v="0.46636769955657609"/>
    <n v="28.518638823555236"/>
    <n v="3"/>
    <n v="0"/>
    <n v="1.8002374692734264"/>
    <n v="-4.5274969564021994E-3"/>
    <n v="0.55456313286406456"/>
    <n v="3"/>
    <b v="1"/>
    <n v="0"/>
    <n v="0.6523467210059386"/>
    <n v="39.891357274073009"/>
    <n v="0.32837281820262559"/>
    <n v="4"/>
    <n v="1"/>
    <n v="32.837281820262561"/>
    <n v="4"/>
    <n v="-0.19050651840576471"/>
    <b v="0"/>
    <s v="Cambio en corte"/>
    <n v="4"/>
    <n v="1"/>
    <n v="0"/>
    <n v="0"/>
    <n v="0"/>
    <n v="0"/>
    <n v="1"/>
    <s v="Rural"/>
    <n v="6"/>
    <s v="Fuera SC"/>
    <m/>
    <s v="No"/>
    <s v="Si"/>
    <n v="41"/>
    <n v="22.031614873360876"/>
    <n v="12.682022041255179"/>
    <s v="Bajo"/>
    <n v="7.7423015815236269"/>
    <s v="Medio"/>
    <n v="36801.059664"/>
    <n v="10317.540092249999"/>
    <n v="12126"/>
    <n v="3.0348886412666998"/>
    <n v="0.8508609675284512"/>
    <m/>
    <m/>
    <m/>
    <m/>
    <m/>
    <m/>
    <m/>
    <n v="72"/>
    <n v="0"/>
    <n v="7"/>
    <n v="54029.881958999998"/>
    <n v="2779.5067779999999"/>
    <n v="5.1443880260726819E-2"/>
    <s v="0% - 30%"/>
    <n v="8.0866329982069753E-5"/>
    <s v="N.D."/>
    <s v="N.D."/>
    <s v="N.D."/>
    <n v="0.95427749875054757"/>
    <s v="Aceptable"/>
    <n v="2"/>
    <s v="Candidato"/>
    <n v="0"/>
    <n v="0"/>
  </r>
  <r>
    <n v="15368"/>
    <s v="15368"/>
    <x v="10"/>
    <x v="10"/>
    <s v="JERICÓ"/>
    <n v="78.557333333333304"/>
    <n v="80.16"/>
    <n v="76.13"/>
    <n v="62.41"/>
    <n v="65.910365493501288"/>
    <n v="61.393429358285843"/>
    <n v="55.138477651350847"/>
    <n v="47.355200000000004"/>
    <n v="74.314333333333323"/>
    <n v="57.449368125784495"/>
    <n v="65.881850729558906"/>
    <n v="60.514548384563128"/>
    <n v="39.485451615436872"/>
    <n v="0.45536906453893189"/>
    <n v="0"/>
    <n v="30.000556736812786"/>
    <n v="3"/>
    <n v="3"/>
    <b v="1"/>
    <x v="4"/>
    <n v="68.485880634578407"/>
    <n v="0.46476302545987491"/>
    <n v="31.82970508501052"/>
    <n v="3"/>
    <n v="0"/>
    <n v="-2.6040299050195017"/>
    <n v="-9.393960920943023E-3"/>
    <n v="-1.8291483481977338"/>
    <n v="3"/>
    <b v="1"/>
    <n v="0"/>
    <n v="0.6523467210059386"/>
    <n v="44.676539667171333"/>
    <n v="0.38823040588259511"/>
    <n v="3"/>
    <n v="0"/>
    <n v="38.823040588259509"/>
    <n v="4"/>
    <n v="-0.19697765646700671"/>
    <b v="0"/>
    <n v="0"/>
    <n v="4"/>
    <n v="1"/>
    <n v="0"/>
    <n v="0"/>
    <n v="0"/>
    <n v="0"/>
    <n v="0"/>
    <s v="Rural"/>
    <n v="6"/>
    <s v="Fuera SC"/>
    <m/>
    <s v="No"/>
    <s v="No"/>
    <n v="64.7"/>
    <n v="36.073446327683612"/>
    <n v="41.188976967370444"/>
    <s v="Alto"/>
    <n v="0"/>
    <s v="Bajo"/>
    <n v="18077.063129999999"/>
    <n v="4571.5110798999995"/>
    <n v="4024"/>
    <n v="4.4923119110337968"/>
    <n v="1.1360614015656063"/>
    <m/>
    <m/>
    <m/>
    <m/>
    <m/>
    <m/>
    <m/>
    <n v="44"/>
    <n v="0"/>
    <n v="7"/>
    <n v="13136.450919999999"/>
    <n v="2729.324435"/>
    <n v="0.20776726161589465"/>
    <s v="0% - 30%"/>
    <n v="7.9406336453566334E-5"/>
    <s v="N.D."/>
    <s v="N.D."/>
    <s v="N.D."/>
    <n v="0.87043541107909905"/>
    <s v="Aceptable"/>
    <n v="2"/>
    <s v="Candidato"/>
    <n v="0"/>
    <n v="0"/>
  </r>
  <r>
    <n v="27205"/>
    <s v="27205"/>
    <x v="26"/>
    <x v="26"/>
    <s v="CONDOTO"/>
    <n v="70.790133333333301"/>
    <n v="82.46"/>
    <n v="66.38"/>
    <n v="80.03"/>
    <n v="51.270518170642731"/>
    <n v="56.745000125775242"/>
    <n v="65.88485406577621"/>
    <n v="63.081200000000003"/>
    <n v="74.915033333333326"/>
    <n v="59.245393090548546"/>
    <n v="67.080213211940929"/>
    <n v="60.802446801262654"/>
    <n v="39.197553198737346"/>
    <n v="0.45277797878863613"/>
    <n v="0"/>
    <n v="30.372443354813377"/>
    <n v="3"/>
    <n v="3"/>
    <b v="1"/>
    <x v="4"/>
    <n v="64.221218861869232"/>
    <n v="0.46451437838598397"/>
    <n v="29.831679558811416"/>
    <n v="3"/>
    <n v="0"/>
    <n v="2.858994350071697"/>
    <n v="-1.1736399597347846E-2"/>
    <n v="0.54076379600196134"/>
    <n v="3"/>
    <b v="1"/>
    <n v="0"/>
    <n v="0.6523467210059386"/>
    <n v="41.894501543545132"/>
    <n v="0.35343004150063256"/>
    <n v="3"/>
    <n v="0"/>
    <n v="35.343004150063258"/>
    <n v="4"/>
    <n v="-0.19956874221730247"/>
    <b v="0"/>
    <n v="0"/>
    <n v="4"/>
    <n v="1"/>
    <n v="0"/>
    <n v="0"/>
    <n v="0"/>
    <n v="1"/>
    <n v="1"/>
    <s v="Rural"/>
    <n v="6"/>
    <s v="Fuera SC"/>
    <m/>
    <s v="No"/>
    <s v="No"/>
    <n v="53.2"/>
    <n v="66.49771092217135"/>
    <n v="38.76"/>
    <s v="Alto"/>
    <n v="4.848608176356187"/>
    <s v="Medio Bajo"/>
    <n v="37379.905433"/>
    <n v="9788.3800585000008"/>
    <n v="12664"/>
    <n v="2.9516665692514215"/>
    <n v="0.77292956873815544"/>
    <m/>
    <m/>
    <m/>
    <m/>
    <m/>
    <m/>
    <m/>
    <n v="27"/>
    <n v="0"/>
    <n v="7"/>
    <n v="46788.642400999997"/>
    <n v="520.18498399999999"/>
    <n v="1.1117761860704945E-2"/>
    <s v="0% - 30%"/>
    <n v="1.5134142107805889E-5"/>
    <n v="44763.789896000002"/>
    <n v="0.95672341831066421"/>
    <s v="71% - 100%"/>
    <n v="0.9621592419908348"/>
    <s v="Aceptable"/>
    <n v="3"/>
    <s v="Candidato"/>
    <n v="0"/>
    <n v="0"/>
  </r>
  <r>
    <n v="17495"/>
    <s v="17495"/>
    <x v="11"/>
    <x v="11"/>
    <s v="NORCASIA"/>
    <n v="55.028833333333303"/>
    <n v="59.88"/>
    <n v="42.97"/>
    <n v="58.96"/>
    <n v="54.958695150963528"/>
    <n v="61.267681226752323"/>
    <n v="67.94820612469529"/>
    <n v="56.211199999999998"/>
    <n v="54.209708333333332"/>
    <n v="60.096445625602783"/>
    <n v="57.153076979468054"/>
    <n v="60.677723891043478"/>
    <n v="39.322276108956522"/>
    <n v="0.45390048498060875"/>
    <n v="0"/>
    <n v="25.941809359114615"/>
    <n v="4"/>
    <n v="4"/>
    <b v="1"/>
    <x v="5"/>
    <n v="57.797016778423526"/>
    <n v="0.46346014693485194"/>
    <n v="26.786613888524268"/>
    <n v="4"/>
    <n v="0"/>
    <n v="-0.64393979895547204"/>
    <n v="-9.5596619542431815E-3"/>
    <n v="-0.84480452940965378"/>
    <n v="4"/>
    <b v="1"/>
    <n v="0"/>
    <n v="0.6523467210059386"/>
    <n v="37.703694379329804"/>
    <n v="0.30100746140344187"/>
    <n v="4"/>
    <n v="0"/>
    <n v="30.100746140344185"/>
    <n v="4"/>
    <n v="-0.19844623602532985"/>
    <b v="1"/>
    <n v="0"/>
    <n v="4"/>
    <n v="0"/>
    <n v="0"/>
    <n v="0"/>
    <n v="0"/>
    <n v="0"/>
    <n v="1"/>
    <s v="Rural"/>
    <n v="6"/>
    <s v="Fuera SC"/>
    <m/>
    <s v="No"/>
    <s v="No"/>
    <n v="41.4"/>
    <n v="18.012108980827445"/>
    <n v="25.9298477433728"/>
    <s v="Medio"/>
    <n v="4.1996813859984545"/>
    <s v="Medio Bajo"/>
    <n v="19120.494713"/>
    <n v="5238.6586305000001"/>
    <n v="6171"/>
    <n v="3.0984434796629396"/>
    <n v="0.84891567501215359"/>
    <m/>
    <m/>
    <m/>
    <m/>
    <m/>
    <m/>
    <m/>
    <n v="13"/>
    <n v="0"/>
    <n v="7"/>
    <n v="22737.856761999999"/>
    <n v="813.84426099999996"/>
    <n v="3.5792479015001724E-2"/>
    <s v="0% - 30%"/>
    <n v="2.3677797472901036E-5"/>
    <s v="N.D."/>
    <s v="N.D."/>
    <s v="N.D."/>
    <n v="0.985589846582414"/>
    <s v="Aceptable"/>
    <n v="1"/>
    <s v="Candidato"/>
    <n v="0"/>
    <n v="0"/>
  </r>
  <r>
    <n v="23068"/>
    <s v="23068"/>
    <x v="14"/>
    <x v="14"/>
    <s v="AYAPEL"/>
    <n v="43.726100000000002"/>
    <n v="36.58"/>
    <n v="28.12"/>
    <n v="29.18"/>
    <n v="68.686186418285217"/>
    <n v="62.865922275400351"/>
    <n v="60.264777045073963"/>
    <n v="66.865600000000001"/>
    <n v="34.401524999999999"/>
    <n v="64.670621434689878"/>
    <n v="49.536073217344935"/>
    <n v="60.086549391779464"/>
    <n v="39.913450608220536"/>
    <n v="0.45922105547398484"/>
    <n v="0"/>
    <n v="22.748007826905734"/>
    <n v="4"/>
    <n v="4"/>
    <b v="1"/>
    <x v="5"/>
    <n v="50.736186431767777"/>
    <n v="0.46467601355843569"/>
    <n v="23.575888854271444"/>
    <n v="4"/>
    <n v="0"/>
    <n v="-1.2001132144228421"/>
    <n v="-5.454958084450845E-3"/>
    <n v="-0.82788102736570934"/>
    <n v="4"/>
    <b v="1"/>
    <n v="0"/>
    <n v="0.6523467210059386"/>
    <n v="33.097584855109702"/>
    <n v="0.24338988655254271"/>
    <n v="4"/>
    <n v="0"/>
    <n v="24.338988655254269"/>
    <n v="4"/>
    <n v="-0.19312566553195376"/>
    <b v="1"/>
    <n v="0"/>
    <n v="4"/>
    <n v="0"/>
    <n v="0"/>
    <n v="0"/>
    <n v="0"/>
    <n v="0"/>
    <n v="0"/>
    <s v="Intermedio"/>
    <n v="6"/>
    <s v="Fuera SC"/>
    <m/>
    <s v="No"/>
    <s v="No"/>
    <n v="62.4"/>
    <n v="47.616962077493817"/>
    <n v="21.74"/>
    <s v="Medio"/>
    <n v="3.1557072558719894"/>
    <s v="Medio Bajo"/>
    <n v="112513.285928"/>
    <n v="15634.304463"/>
    <n v="49883"/>
    <n v="2.2555436907964639"/>
    <n v="0.31341949086863263"/>
    <m/>
    <m/>
    <m/>
    <m/>
    <m/>
    <m/>
    <m/>
    <n v="64"/>
    <n v="0"/>
    <n v="6"/>
    <n v="196372.97945399999"/>
    <n v="147000.08787600001"/>
    <n v="0.74857594097071034"/>
    <s v="71% - 100%"/>
    <n v="4.2767866974325001E-3"/>
    <n v="10.922582"/>
    <n v="5.5621613678059996E-5"/>
    <n v="0"/>
    <n v="0.96657578511486664"/>
    <s v="Aceptable"/>
    <n v="2"/>
    <s v="Candidato"/>
    <n v="0"/>
    <n v="0"/>
  </r>
  <r>
    <n v="70678"/>
    <s v="70678"/>
    <x v="9"/>
    <x v="9"/>
    <s v="SAN BENITO ABAD"/>
    <n v="39.667833333333299"/>
    <n v="0"/>
    <n v="36.630000000000003"/>
    <n v="69.75"/>
    <n v="53.443469600931621"/>
    <n v="47.731686218546102"/>
    <n v="52.731724839810653"/>
    <n v="47.7532"/>
    <n v="36.511958333333325"/>
    <n v="50.415020164822096"/>
    <n v="43.46348924907771"/>
    <n v="60.043616394092759"/>
    <n v="39.956383605907241"/>
    <n v="0.45960745245316514"/>
    <n v="0"/>
    <n v="19.976143568494138"/>
    <n v="5"/>
    <n v="5"/>
    <b v="1"/>
    <x v="6"/>
    <n v="44.859588270598692"/>
    <n v="0.46399831052468021"/>
    <n v="20.814773168390555"/>
    <n v="4"/>
    <n v="-1"/>
    <n v="-1.3960990215209819"/>
    <n v="-4.3908580715150691E-3"/>
    <n v="-0.83862959989641794"/>
    <n v="5"/>
    <b v="1"/>
    <s v="Efecto ponderador"/>
    <n v="0.6523467210059386"/>
    <n v="29.264005314001523"/>
    <n v="0.19543584746701412"/>
    <n v="4"/>
    <n v="-1"/>
    <n v="19.543584746701413"/>
    <n v="4"/>
    <n v="-0.19273926855277346"/>
    <b v="0"/>
    <s v="Cambio en corte"/>
    <n v="4"/>
    <n v="-1"/>
    <n v="0"/>
    <n v="0"/>
    <n v="0"/>
    <n v="0"/>
    <n v="0"/>
    <s v="Rural disperso"/>
    <n v="6"/>
    <s v="Fuera SC"/>
    <m/>
    <s v="No"/>
    <s v="No"/>
    <n v="63"/>
    <n v="36.227509701697308"/>
    <n v="4.4117647058823533"/>
    <s v="Sin riesgo"/>
    <n v="3.2247757894267863"/>
    <s v="Medio Bajo"/>
    <n v="51805.012346000003"/>
    <n v="8069.2597489999998"/>
    <n v="31892"/>
    <n v="1.6243889485137339"/>
    <n v="0.25301830393202057"/>
    <m/>
    <m/>
    <m/>
    <m/>
    <m/>
    <m/>
    <m/>
    <n v="64"/>
    <n v="0"/>
    <n v="7"/>
    <n v="149313.820756"/>
    <n v="10701.634840000001"/>
    <n v="7.1672098308220189E-2"/>
    <s v="0% - 30%"/>
    <n v="3.1135089907633043E-4"/>
    <s v="N.D."/>
    <s v="N.D."/>
    <s v="N.D."/>
    <n v="0.90405880991873"/>
    <s v="Aceptable"/>
    <n v="2"/>
    <s v="Candidato"/>
    <n v="0"/>
    <n v="0"/>
  </r>
  <r>
    <n v="15090"/>
    <s v="15090"/>
    <x v="10"/>
    <x v="10"/>
    <s v="BERBEO"/>
    <n v="76.837866666666699"/>
    <n v="78.34"/>
    <n v="46.8"/>
    <n v="55.47"/>
    <n v="44.217014805367334"/>
    <n v="47.356724164302619"/>
    <n v="48.8744530500976"/>
    <n v="63.564799999999998"/>
    <n v="64.361966666666689"/>
    <n v="51.003248004941888"/>
    <n v="57.682607335804292"/>
    <n v="60.525264851328188"/>
    <n v="39.474735148671812"/>
    <n v="0.45527261633804639"/>
    <n v="0"/>
    <n v="26.261311558971808"/>
    <n v="4"/>
    <n v="4"/>
    <b v="1"/>
    <x v="5"/>
    <n v="57.717619828787804"/>
    <n v="0.46285853351287121"/>
    <n v="26.715092871806139"/>
    <n v="4"/>
    <n v="0"/>
    <n v="-3.5012492983511834E-2"/>
    <n v="-7.5859171748248189E-3"/>
    <n v="-0.45378131283433021"/>
    <n v="4"/>
    <b v="1"/>
    <n v="0"/>
    <n v="0.6523467210059386"/>
    <n v="37.651900039577065"/>
    <n v="0.30035956880951542"/>
    <n v="4"/>
    <n v="0"/>
    <n v="30.035956880951542"/>
    <n v="4"/>
    <n v="-0.19707410466789221"/>
    <b v="1"/>
    <n v="0"/>
    <n v="4"/>
    <n v="0"/>
    <n v="0"/>
    <n v="0"/>
    <n v="0"/>
    <n v="0"/>
    <n v="0"/>
    <s v="Rural"/>
    <n v="6"/>
    <s v="Fuera SC"/>
    <m/>
    <s v="No"/>
    <s v="No"/>
    <n v="40.5"/>
    <n v="15.048543689320388"/>
    <n v="66.844765882352931"/>
    <s v="Alto"/>
    <n v="0"/>
    <s v="Bajo"/>
    <n v="18494.297278999999"/>
    <n v="3381.010976"/>
    <n v="1645"/>
    <n v="11.242733908206686"/>
    <n v="2.0553258212765959"/>
    <m/>
    <m/>
    <m/>
    <m/>
    <m/>
    <m/>
    <m/>
    <n v="17"/>
    <n v="0"/>
    <n v="7"/>
    <n v="5790.3619479999998"/>
    <n v="25.968185999999999"/>
    <n v="4.4847258657067981E-3"/>
    <s v="0% - 30%"/>
    <n v="7.5551242210777728E-7"/>
    <s v="N.D."/>
    <s v="N.D."/>
    <s v="N.D."/>
    <n v="0.9239914058966836"/>
    <s v="Aceptable"/>
    <n v="2"/>
    <s v="Candidato"/>
    <n v="0"/>
    <n v="0"/>
  </r>
  <r>
    <n v="73547"/>
    <s v="73547"/>
    <x v="15"/>
    <x v="15"/>
    <s v="PIEDRAS"/>
    <n v="61.986600000000003"/>
    <n v="52.6"/>
    <n v="63.82"/>
    <n v="65"/>
    <n v="53.903686769438153"/>
    <n v="64.04110940377123"/>
    <n v="14.352278955035272"/>
    <n v="63.087000000000003"/>
    <n v="60.851649999999999"/>
    <n v="48.846018782061165"/>
    <n v="54.848834391030579"/>
    <n v="60.110156546088511"/>
    <n v="39.889843453911489"/>
    <n v="0.45900859108520342"/>
    <n v="0"/>
    <n v="25.176086196492598"/>
    <n v="4"/>
    <n v="4"/>
    <b v="1"/>
    <x v="5"/>
    <n v="53.604802543008255"/>
    <n v="0.46215260654169177"/>
    <n v="24.773599218403973"/>
    <n v="4"/>
    <n v="0"/>
    <n v="1.244031848022324"/>
    <n v="-3.1440154564883471E-3"/>
    <n v="0.40248697808862488"/>
    <n v="4"/>
    <b v="1"/>
    <n v="0"/>
    <n v="0.6523467210059386"/>
    <n v="34.968917169102234"/>
    <n v="0.26679828123039773"/>
    <n v="4"/>
    <n v="0"/>
    <n v="26.679828123039773"/>
    <n v="4"/>
    <n v="-0.19333812992073518"/>
    <b v="1"/>
    <n v="0"/>
    <n v="4"/>
    <n v="0"/>
    <n v="0"/>
    <n v="0"/>
    <n v="0"/>
    <n v="0"/>
    <n v="0"/>
    <s v="Rural"/>
    <n v="6"/>
    <s v="Fuera SC"/>
    <m/>
    <s v="No"/>
    <s v="No"/>
    <n v="27.2"/>
    <n v="12.341428053642623"/>
    <n v="32.031984014823188"/>
    <s v="Medio"/>
    <n v="0"/>
    <s v="Bajo"/>
    <n v="24294.795394000001"/>
    <n v="6175.1445960000001"/>
    <n v="7393"/>
    <n v="3.2861890158257814"/>
    <n v="0.83526911889625322"/>
    <m/>
    <m/>
    <m/>
    <m/>
    <m/>
    <m/>
    <m/>
    <n v="18"/>
    <n v="0"/>
    <n v="7"/>
    <n v="35416.431664999996"/>
    <n v="25017.163468999999"/>
    <n v="0.70637165555340264"/>
    <s v="71% - 100%"/>
    <n v="7.2784359164442198E-4"/>
    <s v="N.D."/>
    <s v="N.D."/>
    <s v="N.D."/>
    <n v="0.96643139025568736"/>
    <s v="Aceptable"/>
    <n v="3"/>
    <s v="Candidato"/>
    <n v="0"/>
    <n v="0"/>
  </r>
  <r>
    <n v="68020"/>
    <s v="68020"/>
    <x v="0"/>
    <x v="0"/>
    <s v="ALBANIA"/>
    <n v="86.341833333333298"/>
    <n v="73.62"/>
    <n v="63.96"/>
    <n v="70.44"/>
    <n v="61.498008239982504"/>
    <n v="56.005303230372398"/>
    <n v="62.79899732348008"/>
    <n v="55.654400000000003"/>
    <n v="73.590458333333316"/>
    <n v="58.989177198458748"/>
    <n v="66.289817765896032"/>
    <n v="60.675536415412282"/>
    <n v="39.324463584587718"/>
    <n v="0.45392017226128956"/>
    <n v="0"/>
    <n v="30.090285499465018"/>
    <n v="3"/>
    <n v="3"/>
    <b v="1"/>
    <x v="4"/>
    <n v="67.857890607654184"/>
    <n v="0.46279018272285055"/>
    <n v="31.403965593503486"/>
    <n v="3"/>
    <n v="0"/>
    <n v="-1.568072841758152"/>
    <n v="-8.8700104615609954E-3"/>
    <n v="-1.3136800940384674"/>
    <n v="3"/>
    <b v="1"/>
    <n v="0"/>
    <n v="0.6523467210059386"/>
    <n v="44.266872432282888"/>
    <n v="0.38310590060411015"/>
    <n v="3"/>
    <n v="0"/>
    <n v="38.310590060411016"/>
    <n v="4"/>
    <n v="-0.19842654874464905"/>
    <b v="0"/>
    <n v="0"/>
    <n v="3"/>
    <n v="0"/>
    <n v="0"/>
    <n v="0"/>
    <n v="0"/>
    <n v="0"/>
    <n v="0"/>
    <s v="Rural disperso"/>
    <n v="6"/>
    <s v="Fuera SC"/>
    <m/>
    <s v="No"/>
    <s v="Si"/>
    <n v="48.1"/>
    <n v="15.482310250982763"/>
    <n v="0"/>
    <s v="Sin riesgo"/>
    <n v="1.9962469413137527"/>
    <s v="Medio Bajo"/>
    <n v="14973.753731000001"/>
    <n v="4759.9680554500001"/>
    <n v="4223"/>
    <n v="3.5457621906227801"/>
    <n v="1.1271532217499409"/>
    <m/>
    <m/>
    <m/>
    <m/>
    <m/>
    <m/>
    <m/>
    <n v="25"/>
    <n v="0"/>
    <n v="7"/>
    <n v="16598.258952"/>
    <n v="554.40354600000001"/>
    <n v="3.3401307185486305E-2"/>
    <s v="0% - 30%"/>
    <n v="1.6129689068909185E-5"/>
    <s v="N.D."/>
    <s v="N.D."/>
    <s v="N.D."/>
    <n v="0.97852333930703805"/>
    <s v="Aceptable"/>
    <n v="2"/>
    <s v="Candidato"/>
    <n v="0"/>
    <n v="0"/>
  </r>
  <r>
    <n v="41885"/>
    <s v="41885"/>
    <x v="19"/>
    <x v="19"/>
    <s v="YAGUARÁ"/>
    <n v="64.338300000000004"/>
    <n v="73.66"/>
    <n v="59.88"/>
    <n v="78.319999999999993"/>
    <n v="75.688342910374999"/>
    <n v="54.035169871333821"/>
    <n v="75.725468041387828"/>
    <n v="65.786699999999996"/>
    <n v="69.049575000000004"/>
    <n v="67.808920205774157"/>
    <n v="68.429247602887074"/>
    <n v="60.572481082786254"/>
    <n v="39.427518917213746"/>
    <n v="0.45484767025492367"/>
    <n v="0"/>
    <n v="31.124883849470507"/>
    <n v="3"/>
    <n v="3"/>
    <b v="1"/>
    <x v="4"/>
    <n v="65.326627212665215"/>
    <n v="0.46337802001910766"/>
    <n v="30.270923172331166"/>
    <n v="3"/>
    <n v="0"/>
    <n v="3.1026203902218583"/>
    <n v="-8.5303497641839865E-3"/>
    <n v="0.85396067713934087"/>
    <n v="3"/>
    <b v="1"/>
    <n v="0"/>
    <n v="0.6523467210059386"/>
    <n v="42.615611056559473"/>
    <n v="0.36245036138736697"/>
    <n v="3"/>
    <n v="0"/>
    <n v="36.245036138736694"/>
    <n v="4"/>
    <n v="-0.19749905075101493"/>
    <b v="0"/>
    <n v="0"/>
    <n v="4"/>
    <n v="1"/>
    <n v="0"/>
    <n v="0"/>
    <n v="0"/>
    <n v="0"/>
    <n v="0"/>
    <s v="Rural"/>
    <n v="6"/>
    <s v="Fuera SC"/>
    <m/>
    <s v="No"/>
    <s v="Si"/>
    <n v="23.8"/>
    <n v="9.2378752886836022"/>
    <n v="1.9350000000000001"/>
    <s v="Sin riesgo"/>
    <n v="0.76393256220935124"/>
    <s v="Medio Bajo"/>
    <n v="53633.747359000001"/>
    <n v="9405.4994929000004"/>
    <n v="8003"/>
    <n v="6.7017052803948518"/>
    <n v="1.1752467190928402"/>
    <m/>
    <m/>
    <m/>
    <m/>
    <m/>
    <m/>
    <m/>
    <n v="71"/>
    <n v="0"/>
    <n v="7"/>
    <n v="33281.663001000001"/>
    <n v="2140.4767310000002"/>
    <n v="6.4313995695938819E-2"/>
    <s v="0% - 30%"/>
    <n v="6.2274536985492456E-5"/>
    <s v="N.D."/>
    <s v="N.D."/>
    <s v="N.D."/>
    <n v="0.91752204021492145"/>
    <s v="Aceptable"/>
    <n v="3"/>
    <s v="Candidato"/>
    <n v="0"/>
    <n v="0"/>
  </r>
  <r>
    <n v="54003"/>
    <s v="54003"/>
    <x v="12"/>
    <x v="12"/>
    <s v="ÁBREGO"/>
    <n v="78.857366666666707"/>
    <n v="82.53"/>
    <n v="54.68"/>
    <n v="79.3"/>
    <n v="44.870308438966411"/>
    <n v="38.200965534955479"/>
    <n v="46.271249180715913"/>
    <n v="52.856400000000001"/>
    <n v="73.841841666666681"/>
    <n v="45.549730788659453"/>
    <n v="59.695786227663064"/>
    <n v="60.346908468481018"/>
    <n v="39.653091531518982"/>
    <n v="0.45687782378367081"/>
    <n v="0"/>
    <n v="27.273680900749927"/>
    <n v="4"/>
    <n v="4"/>
    <b v="1"/>
    <x v="5"/>
    <n v="58.126862128030631"/>
    <n v="0.46287667986695924"/>
    <n v="26.905568952907313"/>
    <n v="4"/>
    <n v="0"/>
    <n v="1.568924099632433"/>
    <n v="-5.9988560832884286E-3"/>
    <n v="0.36811194784261403"/>
    <n v="4"/>
    <b v="1"/>
    <n v="0"/>
    <n v="0.6523467210059386"/>
    <n v="37.918867911585053"/>
    <n v="0.30369905547767273"/>
    <n v="4"/>
    <n v="0"/>
    <n v="30.369905547767274"/>
    <n v="4"/>
    <n v="-0.19546889722226779"/>
    <b v="1"/>
    <n v="0"/>
    <n v="4"/>
    <n v="0"/>
    <n v="0"/>
    <n v="0"/>
    <n v="0"/>
    <n v="0"/>
    <n v="0"/>
    <s v="Rural"/>
    <n v="6"/>
    <s v="Fuera SC"/>
    <m/>
    <s v="No"/>
    <s v="No"/>
    <n v="55.8"/>
    <n v="27.890298160568431"/>
    <n v="6.9542857142857155"/>
    <s v="Bajo"/>
    <n v="17.968688115282486"/>
    <s v="Alto"/>
    <n v="61109.371383999998"/>
    <n v="11893.964996000001"/>
    <n v="35875"/>
    <n v="1.7033971117491289"/>
    <n v="0.33153909396515679"/>
    <m/>
    <m/>
    <m/>
    <m/>
    <m/>
    <m/>
    <m/>
    <n v="14"/>
    <n v="0"/>
    <n v="7"/>
    <n v="137989.869075"/>
    <n v="28029.858168999999"/>
    <n v="0.20312982653650655"/>
    <s v="0% - 30%"/>
    <n v="8.1549423731787265E-4"/>
    <s v="N.D."/>
    <s v="N.D."/>
    <s v="N.D."/>
    <n v="0.94949003170467128"/>
    <s v="Aceptable"/>
    <n v="2"/>
    <s v="Candidato"/>
    <n v="0"/>
    <n v="0"/>
  </r>
  <r>
    <n v="52560"/>
    <s v="52560"/>
    <x v="18"/>
    <x v="18"/>
    <s v="POTOSÍ"/>
    <n v="58.918999999999997"/>
    <n v="63.89"/>
    <n v="69.650000000000006"/>
    <n v="58.08"/>
    <n v="58.157566998451117"/>
    <n v="59.734638748479021"/>
    <n v="57.540063535189262"/>
    <n v="59.578099999999999"/>
    <n v="62.634749999999997"/>
    <n v="58.75259232052985"/>
    <n v="60.693671160264927"/>
    <n v="60.728369903160825"/>
    <n v="39.271630096839175"/>
    <n v="0.4534446708715526"/>
    <n v="0"/>
    <n v="27.521221743252575"/>
    <n v="4"/>
    <n v="4"/>
    <b v="1"/>
    <x v="5"/>
    <n v="60.477156651466871"/>
    <n v="0.46272053680064362"/>
    <n v="27.984022389943366"/>
    <n v="3"/>
    <n v="-1"/>
    <n v="0.21651450879805623"/>
    <n v="-9.2758659290910206E-3"/>
    <n v="-0.46280064669079124"/>
    <n v="4"/>
    <b v="1"/>
    <s v="Efecto ponderador"/>
    <n v="0.6523467210059386"/>
    <n v="39.452074837346906"/>
    <n v="0.32287785796651675"/>
    <n v="4"/>
    <n v="0"/>
    <n v="32.287785796651676"/>
    <n v="4"/>
    <n v="-0.198902050134386"/>
    <b v="1"/>
    <n v="0"/>
    <n v="4"/>
    <n v="0"/>
    <n v="0"/>
    <n v="0"/>
    <n v="0"/>
    <n v="0"/>
    <n v="0"/>
    <s v="Rural disperso"/>
    <n v="6"/>
    <s v="Fuera SC"/>
    <m/>
    <s v="No"/>
    <s v="Si"/>
    <n v="27.5"/>
    <n v="12.260536398467433"/>
    <n v="59.633893455269735"/>
    <s v="Alto"/>
    <n v="2.5642757248783044"/>
    <s v="Medio Bajo"/>
    <n v="25845.324002000001"/>
    <n v="2731.6001057499998"/>
    <n v="10402"/>
    <n v="2.4846494906748702"/>
    <n v="0.26260335567679288"/>
    <m/>
    <m/>
    <m/>
    <m/>
    <m/>
    <m/>
    <m/>
    <n v="28"/>
    <n v="0"/>
    <n v="7"/>
    <n v="38867.633129000002"/>
    <n v="14111.225692"/>
    <n v="0.3630585285490745"/>
    <s v="31% - 50%"/>
    <n v="4.1054874997708413E-4"/>
    <n v="5405.7648959999997"/>
    <n v="0.13908140169118346"/>
    <s v="0% - 30%"/>
    <n v="0.88459497178430624"/>
    <s v="Aceptable"/>
    <n v="1"/>
    <s v="Candidato"/>
    <n v="0"/>
    <n v="0"/>
  </r>
  <r>
    <n v="44420"/>
    <s v="44420"/>
    <x v="21"/>
    <x v="21"/>
    <s v="LA JAGUA DEL PILAR"/>
    <n v="69.963800000000006"/>
    <n v="67.52"/>
    <n v="78.83"/>
    <n v="87.81"/>
    <n v="63.135775608406277"/>
    <n v="51.408767695871077"/>
    <n v="59.223133992667059"/>
    <n v="57.852499999999999"/>
    <n v="76.030950000000004"/>
    <n v="57.905044324236101"/>
    <n v="66.967997162118053"/>
    <n v="60.282369927625403"/>
    <n v="39.717630072374597"/>
    <n v="0.45745867065137136"/>
    <n v="0"/>
    <n v="30.635090957967336"/>
    <n v="3"/>
    <n v="3"/>
    <b v="1"/>
    <x v="4"/>
    <n v="64.686959571247542"/>
    <n v="0.46332207907472167"/>
    <n v="29.970896597572878"/>
    <n v="3"/>
    <n v="0"/>
    <n v="2.2810375908705112"/>
    <n v="-5.8634084233503136E-3"/>
    <n v="0.66419436039445756"/>
    <n v="3"/>
    <b v="1"/>
    <n v="0"/>
    <n v="0.6523467210059386"/>
    <n v="42.198325968147053"/>
    <n v="0.35723056479127158"/>
    <n v="3"/>
    <n v="0"/>
    <n v="35.723056479127159"/>
    <n v="4"/>
    <n v="-0.19488805035456724"/>
    <b v="0"/>
    <n v="0"/>
    <n v="4"/>
    <n v="1"/>
    <n v="0"/>
    <n v="0"/>
    <n v="0"/>
    <n v="0"/>
    <n v="1"/>
    <s v="Rural"/>
    <n v="6"/>
    <s v="Fuera SC"/>
    <m/>
    <s v="No"/>
    <s v="No"/>
    <n v="43"/>
    <n v="27.777777777777779"/>
    <n v="39.463000000000001"/>
    <s v="Alto"/>
    <n v="31.438856556338095"/>
    <s v="Muy Alto"/>
    <n v="35982.224767"/>
    <n v="3539.4949280000001"/>
    <n v="4149"/>
    <n v="8.6725053668353826"/>
    <n v="0.85309590937575319"/>
    <m/>
    <m/>
    <m/>
    <m/>
    <m/>
    <m/>
    <m/>
    <n v="47"/>
    <n v="0"/>
    <n v="7"/>
    <n v="17911.241323999999"/>
    <n v="8398.9619579999999"/>
    <n v="0.46892126604010914"/>
    <s v="31% - 50%"/>
    <n v="2.4435746463305757E-4"/>
    <s v="N.D."/>
    <s v="N.D."/>
    <s v="N.D."/>
    <n v="0.89463835909822476"/>
    <s v="Aceptable"/>
    <n v="2"/>
    <s v="No es Candidato"/>
    <n v="1"/>
    <s v="Municipio Limítrofe"/>
  </r>
  <r>
    <n v="15218"/>
    <s v="15218"/>
    <x v="10"/>
    <x v="10"/>
    <s v="COVARACHÍA"/>
    <n v="51.573866666666703"/>
    <n v="41.39"/>
    <n v="77.97"/>
    <n v="81.78"/>
    <n v="47.379215328762307"/>
    <n v="50.285265355715907"/>
    <n v="65.330339041066182"/>
    <n v="47.718000000000004"/>
    <n v="63.178466666666672"/>
    <n v="52.678204931386105"/>
    <n v="57.928335799026385"/>
    <n v="60.57273503640306"/>
    <n v="39.42726496359694"/>
    <n v="0.45484538467237245"/>
    <n v="0"/>
    <n v="26.34843617993852"/>
    <n v="4"/>
    <n v="4"/>
    <b v="1"/>
    <x v="5"/>
    <n v="54.390440411403063"/>
    <n v="0.46285757779572978"/>
    <n v="25.175027504065"/>
    <n v="4"/>
    <n v="0"/>
    <n v="3.5378953876233226"/>
    <n v="-8.0121931233573251E-3"/>
    <n v="1.1734086758735209"/>
    <n v="4"/>
    <b v="1"/>
    <n v="0"/>
    <n v="0.6523467210059386"/>
    <n v="35.481425456447681"/>
    <n v="0.27320921967043238"/>
    <n v="4"/>
    <n v="0"/>
    <n v="27.320921967043237"/>
    <n v="4"/>
    <n v="-0.19750133633356615"/>
    <b v="1"/>
    <n v="0"/>
    <n v="4"/>
    <n v="0"/>
    <n v="0"/>
    <n v="0"/>
    <n v="0"/>
    <n v="0"/>
    <n v="0"/>
    <s v="Rural disperso"/>
    <n v="6"/>
    <s v="Fuera SC"/>
    <m/>
    <s v="No"/>
    <s v="No"/>
    <n v="55.6"/>
    <n v="26.831148804934465"/>
    <n v="23.595266308835676"/>
    <s v="Medio"/>
    <n v="0"/>
    <s v="Bajo"/>
    <n v="15486.184707"/>
    <n v="3254.5699872"/>
    <n v="2873"/>
    <n v="5.3902487667942918"/>
    <n v="1.1328123867734077"/>
    <m/>
    <m/>
    <m/>
    <m/>
    <m/>
    <m/>
    <m/>
    <n v="75"/>
    <n v="0"/>
    <n v="7"/>
    <n v="10208.774778000001"/>
    <n v="0.12934399999999999"/>
    <n v="1.266988476214966E-5"/>
    <n v="0"/>
    <n v="3.7631045435791451E-9"/>
    <s v="N.D."/>
    <s v="N.D."/>
    <s v="N.D."/>
    <n v="0.96434555464079108"/>
    <s v="Aceptable"/>
    <n v="2"/>
    <s v="Candidato"/>
    <n v="0"/>
    <n v="0"/>
  </r>
  <r>
    <n v="73347"/>
    <s v="73347"/>
    <x v="15"/>
    <x v="15"/>
    <s v="HERVEO"/>
    <n v="70.587733333333304"/>
    <n v="35.67"/>
    <n v="51.8"/>
    <n v="67.099999999999994"/>
    <n v="44.128823517917318"/>
    <n v="59.543029479350807"/>
    <n v="48.710960284458785"/>
    <n v="41.080599999999997"/>
    <n v="56.289433333333328"/>
    <n v="48.365853320431732"/>
    <n v="52.32764332688253"/>
    <n v="61.247507341100814"/>
    <n v="38.752492658899186"/>
    <n v="0.4487724339300927"/>
    <n v="0"/>
    <n v="23.483203857630848"/>
    <n v="4"/>
    <n v="4"/>
    <b v="1"/>
    <x v="5"/>
    <n v="53.843456323140565"/>
    <n v="0.46429252728533676"/>
    <n v="24.999114414048577"/>
    <n v="4"/>
    <n v="0"/>
    <n v="-1.5158129962580347"/>
    <n v="-1.5520093355244069E-2"/>
    <n v="-1.5159105564177295"/>
    <n v="4"/>
    <b v="1"/>
    <n v="0"/>
    <n v="0.6523467210059386"/>
    <n v="35.124602180027217"/>
    <n v="0.26874573660959911"/>
    <n v="4"/>
    <n v="0"/>
    <n v="26.874573660959911"/>
    <n v="4"/>
    <n v="-0.20357428707584591"/>
    <b v="1"/>
    <n v="0"/>
    <n v="4"/>
    <n v="0"/>
    <n v="0"/>
    <n v="0"/>
    <n v="0"/>
    <n v="0"/>
    <n v="1"/>
    <s v="Rural"/>
    <n v="6"/>
    <s v="Fuera SC"/>
    <m/>
    <s v="No"/>
    <s v="No"/>
    <n v="54"/>
    <n v="15.673636220720013"/>
    <n v="14.454285714285716"/>
    <s v="Medio"/>
    <n v="4.7832128456810068"/>
    <s v="Medio Bajo"/>
    <n v="18838.858198999998"/>
    <n v="5589.6349419999997"/>
    <n v="7598"/>
    <n v="2.4794496181889971"/>
    <n v="0.73567187970518555"/>
    <m/>
    <m/>
    <m/>
    <m/>
    <m/>
    <m/>
    <m/>
    <n v="89"/>
    <n v="0"/>
    <n v="7"/>
    <n v="32253.847441000002"/>
    <n v="20750.759314999999"/>
    <n v="0.64335764447816957"/>
    <s v="51% - 70%"/>
    <n v="6.0371781188917745E-4"/>
    <s v="N.D."/>
    <s v="N.D."/>
    <s v="N.D."/>
    <n v="0.88884510445619536"/>
    <s v="Aceptable"/>
    <n v="2"/>
    <s v="Candidato"/>
    <n v="0"/>
    <n v="0"/>
  </r>
  <r>
    <n v="5031"/>
    <s v="05031"/>
    <x v="1"/>
    <x v="1"/>
    <s v="AMALFI"/>
    <n v="66.778866666666701"/>
    <n v="66.45"/>
    <n v="65.510000000000005"/>
    <n v="70.040000000000006"/>
    <n v="48.900737281168695"/>
    <n v="52.719981991008041"/>
    <n v="60.461409168991551"/>
    <n v="47.802100000000003"/>
    <n v="67.194716666666679"/>
    <n v="52.471057110292065"/>
    <n v="59.832886888479372"/>
    <n v="59.740053941729862"/>
    <n v="40.259946058270138"/>
    <n v="0.46233951452443123"/>
    <n v="0"/>
    <n v="27.66310787661476"/>
    <n v="4"/>
    <n v="4"/>
    <b v="1"/>
    <x v="5"/>
    <n v="58.673568310030106"/>
    <n v="0.4644131956261196"/>
    <n v="27.248779357648502"/>
    <n v="4"/>
    <n v="0"/>
    <n v="1.1593185784492661"/>
    <n v="-2.0736811016883738E-3"/>
    <n v="0.41432851896625777"/>
    <n v="4"/>
    <b v="1"/>
    <n v="0"/>
    <n v="0.6523467210059386"/>
    <n v="38.275509896766089"/>
    <n v="0.30816027077619973"/>
    <n v="4"/>
    <n v="0"/>
    <n v="30.816027077619975"/>
    <n v="4"/>
    <n v="-0.19000720648150737"/>
    <b v="1"/>
    <n v="0"/>
    <n v="4"/>
    <n v="0"/>
    <n v="0"/>
    <n v="0"/>
    <n v="0"/>
    <n v="1"/>
    <n v="1"/>
    <s v="Rural"/>
    <n v="6"/>
    <s v="Fuera SC"/>
    <m/>
    <s v="No"/>
    <s v="Si"/>
    <n v="43.3"/>
    <n v="22.377240454793704"/>
    <n v="35.51966645119586"/>
    <s v="Alto"/>
    <n v="8.8160731117068103"/>
    <s v="Medio"/>
    <n v="53304.726361000001"/>
    <n v="12778.640186250001"/>
    <n v="28716"/>
    <n v="1.8562726828597298"/>
    <n v="0.44500070296176347"/>
    <m/>
    <m/>
    <m/>
    <m/>
    <m/>
    <m/>
    <m/>
    <n v="72"/>
    <n v="0"/>
    <n v="6"/>
    <n v="120834.621581"/>
    <n v="2056.0796340000002"/>
    <n v="1.7015650043822352E-2"/>
    <s v="0% - 30%"/>
    <n v="5.9819107284960624E-5"/>
    <n v="2.7417E-2"/>
    <n v="2.2689689131538639E-7"/>
    <n v="0"/>
    <n v="0.91423817321419443"/>
    <s v="Aceptable"/>
    <n v="2"/>
    <s v="Candidato"/>
    <n v="0"/>
    <n v="0"/>
  </r>
  <r>
    <n v="73563"/>
    <s v="73563"/>
    <x v="15"/>
    <x v="15"/>
    <s v="PRADO"/>
    <n v="57.491966666666698"/>
    <n v="57.6"/>
    <n v="55.94"/>
    <n v="61.56"/>
    <n v="55.819891576876664"/>
    <n v="57.67170116588801"/>
    <n v="65.699644776250977"/>
    <n v="52.450800000000001"/>
    <n v="58.147991666666677"/>
    <n v="57.910509379753918"/>
    <n v="58.029250523210294"/>
    <n v="60.595732262494863"/>
    <n v="39.404267737505137"/>
    <n v="0.45463840963754631"/>
    <n v="0"/>
    <n v="26.38232617033108"/>
    <n v="4"/>
    <n v="4"/>
    <b v="1"/>
    <x v="5"/>
    <n v="56.694176205574323"/>
    <n v="0.46239602839245209"/>
    <n v="26.215161910439427"/>
    <n v="4"/>
    <n v="0"/>
    <n v="1.3350743176359714"/>
    <n v="-7.7576187549057707E-3"/>
    <n v="0.16716425989165273"/>
    <n v="4"/>
    <b v="1"/>
    <n v="0"/>
    <n v="0.6523467210059386"/>
    <n v="36.984259947839313"/>
    <n v="0.2920080950208685"/>
    <n v="4"/>
    <n v="0"/>
    <n v="29.200809502086848"/>
    <n v="4"/>
    <n v="-0.19770831136839229"/>
    <b v="1"/>
    <n v="0"/>
    <n v="4"/>
    <n v="0"/>
    <n v="0"/>
    <n v="0"/>
    <n v="0"/>
    <n v="0"/>
    <n v="1"/>
    <s v="Rural"/>
    <n v="6"/>
    <s v="Fuera SC"/>
    <m/>
    <s v="No"/>
    <s v="Si"/>
    <n v="36.6"/>
    <n v="17.711896617255796"/>
    <n v="4.4298636162872596"/>
    <s v="Sin riesgo"/>
    <n v="1.0326924567439217"/>
    <s v="Medio Bajo"/>
    <n v="21442.978421"/>
    <n v="6087.7979296000003"/>
    <n v="8623"/>
    <n v="2.4867190561289574"/>
    <n v="0.70599535307897487"/>
    <m/>
    <m/>
    <m/>
    <m/>
    <m/>
    <m/>
    <m/>
    <n v="23"/>
    <n v="0"/>
    <n v="7"/>
    <n v="42270.726897"/>
    <n v="2972.533379"/>
    <n v="7.0321321567123646E-2"/>
    <s v="0% - 30%"/>
    <n v="8.6482201450825466E-5"/>
    <n v="520.62005199999999"/>
    <n v="1.231632598295699E-2"/>
    <s v="0% - 30%"/>
    <n v="0.91117926963014662"/>
    <s v="Aceptable"/>
    <n v="2"/>
    <s v="Candidato"/>
    <n v="0"/>
    <n v="0"/>
  </r>
  <r>
    <n v="15425"/>
    <s v="15425"/>
    <x v="10"/>
    <x v="10"/>
    <s v="MACANAL"/>
    <n v="73.093866666666699"/>
    <n v="75.03"/>
    <n v="75.44"/>
    <n v="75.52"/>
    <n v="60.108153325333305"/>
    <n v="82.908132551957024"/>
    <n v="68.322765351800811"/>
    <n v="63.445900000000002"/>
    <n v="74.770966666666666"/>
    <n v="68.69623780727278"/>
    <n v="71.733602236969716"/>
    <n v="60.606360513380622"/>
    <n v="39.393639486619378"/>
    <n v="0.45454275537957445"/>
    <n v="0"/>
    <n v="32.60598921409462"/>
    <n v="3"/>
    <n v="3"/>
    <b v="1"/>
    <x v="4"/>
    <n v="69.60557261662882"/>
    <n v="0.46118764210148666"/>
    <n v="32.101229912186852"/>
    <n v="3"/>
    <n v="0"/>
    <n v="2.1280296203408966"/>
    <n v="-6.6448867219122132E-3"/>
    <n v="0.50475930190776808"/>
    <n v="3"/>
    <b v="1"/>
    <n v="0"/>
    <n v="0.6523467210059386"/>
    <n v="45.406967060198561"/>
    <n v="0.39736728262631937"/>
    <n v="3"/>
    <n v="0"/>
    <n v="39.736728262631935"/>
    <n v="4"/>
    <n v="-0.19780396562636415"/>
    <b v="0"/>
    <n v="0"/>
    <n v="3"/>
    <n v="0"/>
    <n v="0"/>
    <n v="0"/>
    <n v="0"/>
    <n v="0"/>
    <n v="0"/>
    <s v="Rural disperso"/>
    <n v="6"/>
    <s v="Fuera SC"/>
    <m/>
    <s v="No"/>
    <s v="No"/>
    <n v="28.9"/>
    <n v="7.8782707622298069"/>
    <n v="52.407226890756313"/>
    <s v="Alto"/>
    <n v="0"/>
    <s v="Bajo"/>
    <n v="21532.173698999999"/>
    <n v="5615.6819816499992"/>
    <n v="5314"/>
    <n v="4.0519709633044787"/>
    <n v="1.0567711670398945"/>
    <m/>
    <m/>
    <m/>
    <m/>
    <m/>
    <m/>
    <m/>
    <n v="98"/>
    <n v="0"/>
    <n v="7"/>
    <n v="19961.414895000002"/>
    <n v="7238.3324929999999"/>
    <n v="0.36261620386504168"/>
    <s v="31% - 50%"/>
    <n v="2.1059037831167168E-4"/>
    <s v="N.D."/>
    <s v="N.D."/>
    <s v="N.D."/>
    <n v="0.88376281302493176"/>
    <s v="Aceptable"/>
    <n v="3"/>
    <s v="Candidato"/>
    <n v="0"/>
    <n v="0"/>
  </r>
  <r>
    <n v="41518"/>
    <s v="41518"/>
    <x v="19"/>
    <x v="19"/>
    <s v="PAICOL"/>
    <n v="61.004466666666701"/>
    <n v="77.11"/>
    <n v="74.150000000000006"/>
    <n v="83.04"/>
    <n v="45.031404750927855"/>
    <n v="45.305920161528647"/>
    <n v="58.904969086921398"/>
    <n v="58.086599999999997"/>
    <n v="73.826116666666678"/>
    <n v="51.832223499844474"/>
    <n v="62.829170083255576"/>
    <n v="59.933547709869636"/>
    <n v="40.066452290130364"/>
    <n v="0.4605980706111733"/>
    <n v="0"/>
    <n v="28.938994518448769"/>
    <n v="4"/>
    <n v="4"/>
    <b v="1"/>
    <x v="4"/>
    <n v="59.421814940799592"/>
    <n v="0.46187754136696224"/>
    <n v="27.44560178841914"/>
    <n v="4"/>
    <n v="1"/>
    <n v="3.4073551424559838"/>
    <n v="-1.2794707557889362E-3"/>
    <n v="1.4933927300296297"/>
    <n v="3"/>
    <b v="1"/>
    <s v="Efecto ponderador"/>
    <n v="0.6523467210059386"/>
    <n v="38.763626132852309"/>
    <n v="0.31426609036662706"/>
    <n v="4"/>
    <n v="1"/>
    <n v="31.426609036662708"/>
    <n v="4"/>
    <n v="-0.1917486503947653"/>
    <b v="0"/>
    <s v="Cambio en corte"/>
    <n v="4"/>
    <n v="1"/>
    <n v="0"/>
    <n v="0"/>
    <n v="0"/>
    <n v="0"/>
    <n v="0"/>
    <s v="Rural"/>
    <n v="6"/>
    <s v="Fuera SC"/>
    <m/>
    <s v="No"/>
    <s v="Si"/>
    <n v="39.1"/>
    <n v="11.369670466968609"/>
    <n v="2.129"/>
    <s v="Sin riesgo"/>
    <n v="3.18725787536729"/>
    <s v="Medio Bajo"/>
    <n v="14734.809148"/>
    <n v="3694.0613284000001"/>
    <n v="7546"/>
    <n v="1.9526648751656508"/>
    <n v="0.48953900455870664"/>
    <m/>
    <m/>
    <m/>
    <m/>
    <m/>
    <m/>
    <m/>
    <n v="30"/>
    <n v="0"/>
    <n v="7"/>
    <n v="27826.747841"/>
    <n v="61.975983999999997"/>
    <n v="2.2272090275919495E-3"/>
    <s v="0% - 30%"/>
    <n v="1.8031150032718055E-6"/>
    <n v="37.530963999999997"/>
    <n v="1.348736985523755E-3"/>
    <s v="0% - 30%"/>
    <n v="0.87863805687122165"/>
    <s v="Aceptable"/>
    <n v="2"/>
    <s v="Candidato"/>
    <n v="0"/>
    <n v="0"/>
  </r>
  <r>
    <n v="41026"/>
    <s v="41026"/>
    <x v="19"/>
    <x v="19"/>
    <s v="ALTAMIRA"/>
    <n v="61.396366666666701"/>
    <n v="57.47"/>
    <n v="67.5"/>
    <n v="68.17"/>
    <n v="48.28446644220751"/>
    <n v="56.330665449690635"/>
    <n v="56.296758665363782"/>
    <n v="48.464500000000001"/>
    <n v="63.634091666666677"/>
    <n v="52.344097639315478"/>
    <n v="57.989094652991078"/>
    <n v="60.291065170051795"/>
    <n v="39.708934829948205"/>
    <n v="0.45738041346953384"/>
    <n v="0"/>
    <n v="26.523076089108994"/>
    <n v="4"/>
    <n v="4"/>
    <b v="1"/>
    <x v="5"/>
    <n v="57.273892569520399"/>
    <n v="0.46164644527377696"/>
    <n v="26.440288911711281"/>
    <n v="4"/>
    <n v="0"/>
    <n v="0.71520208347067893"/>
    <n v="-4.26603180424312E-3"/>
    <n v="8.2787177397712242E-2"/>
    <n v="4"/>
    <b v="1"/>
    <n v="0"/>
    <n v="0.6523467210059386"/>
    <n v="37.362436016973021"/>
    <n v="0.29673867901057932"/>
    <n v="4"/>
    <n v="0"/>
    <n v="29.673867901057932"/>
    <n v="4"/>
    <n v="-0.19496630753640476"/>
    <b v="1"/>
    <n v="0"/>
    <n v="4"/>
    <n v="0"/>
    <n v="0"/>
    <n v="0"/>
    <n v="0"/>
    <n v="0"/>
    <n v="0"/>
    <s v="Rural"/>
    <n v="6"/>
    <s v="Fuera SC"/>
    <m/>
    <s v="No"/>
    <s v="No"/>
    <n v="30.4"/>
    <n v="8.8976377952755907"/>
    <n v="7.3936533805177875"/>
    <s v="Bajo"/>
    <n v="8.8094471421958609"/>
    <s v="Medio"/>
    <n v="12536.829693"/>
    <n v="4804.2872618000001"/>
    <n v="4710"/>
    <n v="2.6617472808917197"/>
    <n v="1.0200185269214437"/>
    <m/>
    <m/>
    <m/>
    <m/>
    <m/>
    <m/>
    <m/>
    <n v="30"/>
    <n v="0"/>
    <n v="7"/>
    <n v="18097.547244000001"/>
    <n v="783.95599400000003"/>
    <n v="4.3318355986605321E-2"/>
    <s v="0% - 30%"/>
    <n v="2.2808235117110228E-5"/>
    <s v="N.D."/>
    <s v="N.D."/>
    <s v="N.D."/>
    <n v="0.88834138377930671"/>
    <s v="Aceptable"/>
    <n v="2"/>
    <s v="No es Candidato"/>
    <n v="0"/>
    <n v="0"/>
  </r>
  <r>
    <n v="15212"/>
    <s v="15212"/>
    <x v="10"/>
    <x v="10"/>
    <s v="COPER"/>
    <n v="54.164066666666699"/>
    <n v="64.59"/>
    <n v="51.02"/>
    <n v="64.97"/>
    <n v="56.891685071118765"/>
    <n v="45.982948037810679"/>
    <n v="54.659766021391434"/>
    <n v="47.177599999999998"/>
    <n v="58.686016666666674"/>
    <n v="51.177999782580216"/>
    <n v="54.932008224623445"/>
    <n v="61.513597283186193"/>
    <n v="38.486402716813807"/>
    <n v="0.44637762445132423"/>
    <n v="0"/>
    <n v="24.520419337648018"/>
    <n v="4"/>
    <n v="4"/>
    <b v="1"/>
    <x v="5"/>
    <n v="53.731921850186851"/>
    <n v="0.4598640741414366"/>
    <n v="24.709380493476203"/>
    <n v="4"/>
    <n v="0"/>
    <n v="1.2000863744365944"/>
    <n v="-1.3486449690112368E-2"/>
    <n v="-0.18896115582818496"/>
    <n v="4"/>
    <b v="1"/>
    <n v="0"/>
    <n v="0.6523467210059386"/>
    <n v="35.051843032316739"/>
    <n v="0.26783559636711196"/>
    <n v="4"/>
    <n v="0"/>
    <n v="26.783559636711196"/>
    <n v="4"/>
    <n v="-0.20596909655461437"/>
    <b v="1"/>
    <n v="0"/>
    <n v="4"/>
    <n v="0"/>
    <n v="0"/>
    <n v="0"/>
    <n v="0"/>
    <n v="0"/>
    <n v="0"/>
    <s v="Rural disperso"/>
    <n v="6"/>
    <s v="Fuera SC"/>
    <m/>
    <s v="No"/>
    <s v="No"/>
    <n v="38.799999999999997"/>
    <n v="13.845644253063929"/>
    <n v="31.882288100208768"/>
    <s v="Medio"/>
    <n v="0"/>
    <s v="Bajo"/>
    <n v="11763.302559"/>
    <n v="2556.7853270000001"/>
    <n v="3513"/>
    <n v="3.3485062792485056"/>
    <n v="0.72780681098775979"/>
    <m/>
    <m/>
    <m/>
    <m/>
    <m/>
    <m/>
    <m/>
    <n v="86"/>
    <n v="0"/>
    <n v="7"/>
    <n v="14967.79969"/>
    <n v="0"/>
    <n v="0"/>
    <n v="0"/>
    <n v="0"/>
    <s v="N.D."/>
    <s v="N.D."/>
    <s v="N.D."/>
    <n v="0.78023459942937889"/>
    <s v="Crítico bajo"/>
    <n v="2"/>
    <s v="Candidato"/>
    <n v="0"/>
    <n v="0"/>
  </r>
  <r>
    <n v="13006"/>
    <s v="13006"/>
    <x v="8"/>
    <x v="8"/>
    <s v="ACHÍ"/>
    <n v="44.635266666666702"/>
    <n v="25.97"/>
    <n v="34.72"/>
    <n v="38.26"/>
    <n v="40.452223338638532"/>
    <n v="32.747502163795836"/>
    <n v="48.36279363837636"/>
    <n v="44.3309"/>
    <n v="35.896316666666671"/>
    <n v="41.473354785202687"/>
    <n v="38.684835725934676"/>
    <n v="60.364740423859509"/>
    <n v="39.635259576140491"/>
    <n v="0.45671733618526444"/>
    <n v="0"/>
    <n v="17.668035123513437"/>
    <n v="5"/>
    <n v="5"/>
    <b v="1"/>
    <x v="6"/>
    <n v="40.353667973735924"/>
    <n v="0.46133156431249578"/>
    <n v="18.616420772070654"/>
    <n v="5"/>
    <n v="0"/>
    <n v="-1.6688322478012481"/>
    <n v="-4.6142281272313346E-3"/>
    <n v="-0.94838564855721685"/>
    <n v="5"/>
    <b v="1"/>
    <n v="0"/>
    <n v="0.6523467210059386"/>
    <n v="26.324582983228989"/>
    <n v="0.15866677255224271"/>
    <n v="5"/>
    <n v="0"/>
    <n v="15.866677255224271"/>
    <n v="5"/>
    <n v="-0.19562938482067416"/>
    <b v="1"/>
    <n v="0"/>
    <n v="4"/>
    <n v="-1"/>
    <n v="0"/>
    <n v="0"/>
    <n v="0"/>
    <n v="0"/>
    <n v="0"/>
    <s v="Rural disperso"/>
    <n v="6"/>
    <s v="Fuera SC"/>
    <m/>
    <s v="No"/>
    <s v="Si"/>
    <n v="62.4"/>
    <n v="55.916030534351144"/>
    <n v="22.838124999999998"/>
    <s v="Medio"/>
    <n v="7.6760397006395156"/>
    <s v="Medio"/>
    <n v="56604.626719"/>
    <n v="5010.13724275"/>
    <n v="27507"/>
    <n v="2.0578262521903516"/>
    <n v="0.18214044580470426"/>
    <m/>
    <m/>
    <m/>
    <m/>
    <m/>
    <m/>
    <m/>
    <n v="64"/>
    <n v="0"/>
    <n v="7"/>
    <n v="95075.656554000001"/>
    <n v="38691.268408000004"/>
    <n v="0.40695241884577016"/>
    <s v="31% - 50%"/>
    <n v="1.1256748511178334E-3"/>
    <s v="N.D."/>
    <s v="N.D."/>
    <s v="N.D."/>
    <n v="0.89884305981053458"/>
    <s v="Aceptable"/>
    <n v="1"/>
    <s v="Candidato"/>
    <n v="0"/>
    <n v="0"/>
  </r>
  <r>
    <n v="41799"/>
    <s v="41799"/>
    <x v="19"/>
    <x v="19"/>
    <s v="TELLO"/>
    <n v="80.901066666666694"/>
    <n v="75.37"/>
    <n v="66.16"/>
    <n v="78.260000000000005"/>
    <n v="58.620162260772183"/>
    <n v="47.081515760119444"/>
    <n v="54.584966994197828"/>
    <n v="48.2607"/>
    <n v="75.172766666666675"/>
    <n v="52.136836253772358"/>
    <n v="63.654801460219517"/>
    <n v="60.614995365205779"/>
    <n v="39.385004634794221"/>
    <n v="0.45446504171314794"/>
    <n v="0"/>
    <n v="28.928882000860813"/>
    <n v="4"/>
    <n v="4"/>
    <b v="1"/>
    <x v="4"/>
    <n v="64.330994997789347"/>
    <n v="0.46145192150404435"/>
    <n v="29.685661253996958"/>
    <n v="3"/>
    <n v="0"/>
    <n v="-0.67619353756983003"/>
    <n v="-6.9868797908964053E-3"/>
    <n v="-0.7567792531361448"/>
    <n v="3"/>
    <b v="1"/>
    <n v="0"/>
    <n v="0.6523467210059386"/>
    <n v="41.96611364585732"/>
    <n v="0.35432583341428692"/>
    <n v="3"/>
    <n v="0"/>
    <n v="35.432583341428689"/>
    <n v="4"/>
    <n v="-0.19788167929279066"/>
    <b v="0"/>
    <n v="0"/>
    <n v="3"/>
    <n v="0"/>
    <n v="0"/>
    <n v="0"/>
    <n v="0"/>
    <n v="0"/>
    <n v="1"/>
    <s v="Rural"/>
    <n v="6"/>
    <s v="Fuera SC"/>
    <m/>
    <s v="No"/>
    <s v="Si"/>
    <n v="44.5"/>
    <n v="16.847772883015175"/>
    <n v="2.1500000000000004"/>
    <s v="Sin riesgo"/>
    <n v="28.702399483158196"/>
    <s v="Muy Alto"/>
    <n v="30887.474428000001"/>
    <n v="5543.4339410000002"/>
    <n v="12495"/>
    <n v="2.4719867489395759"/>
    <n v="0.44365217615046021"/>
    <m/>
    <m/>
    <m/>
    <m/>
    <m/>
    <m/>
    <m/>
    <n v="23"/>
    <n v="1"/>
    <n v="7"/>
    <n v="53011.522318000003"/>
    <n v="22818.490929"/>
    <n v="0.43044398521737992"/>
    <s v="31% - 50%"/>
    <n v="6.6387591919640191E-4"/>
    <s v="N.D."/>
    <s v="N.D."/>
    <s v="N.D."/>
    <n v="0.88869989872951538"/>
    <s v="Aceptable"/>
    <n v="2"/>
    <s v="Candidato"/>
    <n v="0"/>
    <n v="0"/>
  </r>
  <r>
    <n v="19517"/>
    <s v="19517"/>
    <x v="13"/>
    <x v="13"/>
    <s v="PÁEZ"/>
    <n v="62.5779"/>
    <n v="45.06"/>
    <n v="51.12"/>
    <n v="43.92"/>
    <n v="41.870055943868635"/>
    <n v="56.658684748043605"/>
    <n v="62.897317382241617"/>
    <n v="54.953499999999998"/>
    <n v="50.669475000000006"/>
    <n v="54.094889518538466"/>
    <n v="52.382182259269236"/>
    <n v="60.031264070687861"/>
    <n v="39.968735929312139"/>
    <n v="0.45971862336380931"/>
    <n v="0"/>
    <n v="24.081064717023409"/>
    <n v="4"/>
    <n v="4"/>
    <b v="1"/>
    <x v="5"/>
    <n v="54.42258579255504"/>
    <n v="0.46134078295189784"/>
    <n v="25.107358339804176"/>
    <n v="4"/>
    <n v="0"/>
    <n v="-2.0404035332858044"/>
    <n v="-1.6221595880885342E-3"/>
    <n v="-1.0262936227807664"/>
    <n v="4"/>
    <b v="1"/>
    <n v="0"/>
    <n v="0.6523467210059386"/>
    <n v="35.502395390437663"/>
    <n v="0.2734715314402531"/>
    <n v="4"/>
    <n v="0"/>
    <n v="27.34715314402531"/>
    <n v="4"/>
    <n v="-0.19262809764212929"/>
    <b v="1"/>
    <n v="0"/>
    <n v="4"/>
    <n v="0"/>
    <n v="0"/>
    <n v="0"/>
    <n v="0"/>
    <n v="0"/>
    <n v="0"/>
    <s v="Rural disperso"/>
    <n v="6"/>
    <s v="Fuera SC"/>
    <m/>
    <s v="No"/>
    <s v="No"/>
    <n v="56.3"/>
    <n v="21.657490890715177"/>
    <n v="3.3872727272727272"/>
    <s v="Sin riesgo"/>
    <n v="7.4364395988231244"/>
    <s v="Medio"/>
    <n v="66865.154983"/>
    <n v="5064.9897524999997"/>
    <n v="52403"/>
    <n v="1.2759795237486404"/>
    <n v="9.6654576121596086E-2"/>
    <m/>
    <m/>
    <m/>
    <m/>
    <m/>
    <m/>
    <m/>
    <n v="30"/>
    <n v="0"/>
    <n v="7"/>
    <n v="179318.373876"/>
    <n v="60007.416491000004"/>
    <n v="0.33464176143207491"/>
    <s v="31% - 50%"/>
    <n v="1.7458419535945095E-3"/>
    <n v="2304.1453080000001"/>
    <n v="1.2849465775288225E-2"/>
    <s v="0% - 30%"/>
    <n v="0.93988888256045544"/>
    <s v="Aceptable"/>
    <n v="1"/>
    <s v="Candidato"/>
    <n v="0"/>
    <n v="0"/>
  </r>
  <r>
    <n v="47720"/>
    <s v="47720"/>
    <x v="17"/>
    <x v="17"/>
    <s v="SANTA BÁRBARA DE PINTO"/>
    <n v="49.8173666666667"/>
    <n v="46.76"/>
    <n v="77.040000000000006"/>
    <n v="78.86"/>
    <n v="53.364670921617858"/>
    <n v="48.212657691495778"/>
    <n v="52.07023258455775"/>
    <n v="50.5565"/>
    <n v="63.119341666666685"/>
    <n v="51.051015299417848"/>
    <n v="57.08517848304227"/>
    <n v="60.994793278985917"/>
    <n v="39.005206721014083"/>
    <n v="0.45104686048912679"/>
    <n v="0"/>
    <n v="25.748090535237669"/>
    <n v="4"/>
    <n v="4"/>
    <b v="1"/>
    <x v="5"/>
    <n v="53.468006377537428"/>
    <n v="0.46105930729402278"/>
    <n v="24.6519219828198"/>
    <n v="4"/>
    <n v="0"/>
    <n v="3.6171721055048422"/>
    <n v="-1.0012446804895991E-2"/>
    <n v="1.0961685524178684"/>
    <n v="4"/>
    <b v="1"/>
    <n v="0"/>
    <n v="0.6523467210059386"/>
    <n v="34.879678639111155"/>
    <n v="0.2656820012864865"/>
    <n v="4"/>
    <n v="0"/>
    <n v="26.568200128648652"/>
    <n v="4"/>
    <n v="-0.20129986051681181"/>
    <b v="1"/>
    <n v="0"/>
    <n v="4"/>
    <n v="0"/>
    <n v="0"/>
    <n v="0"/>
    <n v="0"/>
    <n v="0"/>
    <n v="0"/>
    <s v="Rural"/>
    <n v="6"/>
    <s v="Fuera SC"/>
    <m/>
    <s v="No"/>
    <s v="No"/>
    <n v="57.8"/>
    <n v="38.426966292134829"/>
    <n v="53.645833333333336"/>
    <s v="Alto"/>
    <n v="0.52501730158792848"/>
    <s v="Medio Bajo"/>
    <n v="23819.637364999999"/>
    <n v="4406.674062"/>
    <n v="11045"/>
    <n v="2.1565991276595744"/>
    <n v="0.39897456423721139"/>
    <m/>
    <m/>
    <m/>
    <m/>
    <m/>
    <m/>
    <m/>
    <n v="9"/>
    <n v="0"/>
    <n v="7"/>
    <n v="49424.944035"/>
    <n v="23329.728417999999"/>
    <n v="0.47202336539782785"/>
    <s v="31% - 50%"/>
    <n v="6.7874974494559705E-4"/>
    <s v="N.D."/>
    <s v="N.D."/>
    <s v="N.D."/>
    <n v="0.90741131244995499"/>
    <s v="Aceptable"/>
    <n v="2"/>
    <s v="Candidato"/>
    <n v="0"/>
    <n v="0"/>
  </r>
  <r>
    <n v="47545"/>
    <s v="47545"/>
    <x v="17"/>
    <x v="17"/>
    <s v="PIJIÑO DEL CARMEN"/>
    <n v="47.448500000000003"/>
    <n v="41.51"/>
    <n v="35.729999999999997"/>
    <n v="29.79"/>
    <n v="46.73028166598634"/>
    <n v="55.47146256273637"/>
    <n v="56.628353495504129"/>
    <n v="57.545499999999997"/>
    <n v="38.619624999999999"/>
    <n v="54.093899431056713"/>
    <n v="46.356762215528356"/>
    <n v="60.370261599844888"/>
    <n v="39.629738400155112"/>
    <n v="0.45666764560139605"/>
    <n v="0"/>
    <n v="21.16963345866909"/>
    <n v="5"/>
    <n v="5"/>
    <b v="1"/>
    <x v="5"/>
    <n v="47.70503331239513"/>
    <n v="0.46066481010908311"/>
    <n v="21.976030112101988"/>
    <n v="4"/>
    <n v="0"/>
    <n v="-1.3482710968667746"/>
    <n v="-3.9971645076870566E-3"/>
    <n v="-0.80639665343289835"/>
    <n v="4"/>
    <b v="1"/>
    <n v="0"/>
    <n v="0.6523467210059386"/>
    <n v="31.120222056820033"/>
    <n v="0.218655162282796"/>
    <n v="4"/>
    <n v="0"/>
    <n v="21.865516228279599"/>
    <n v="4"/>
    <n v="-0.19567907540454255"/>
    <b v="1"/>
    <n v="0"/>
    <n v="4"/>
    <n v="0"/>
    <n v="0"/>
    <n v="0"/>
    <n v="0"/>
    <n v="0"/>
    <n v="0"/>
    <s v="Rural"/>
    <n v="6"/>
    <s v="Fuera SC"/>
    <m/>
    <s v="No"/>
    <s v="No"/>
    <n v="60.8"/>
    <n v="48.938668593622978"/>
    <n v="32.5"/>
    <s v="Medio"/>
    <n v="1.6986742650662019"/>
    <s v="Medio Bajo"/>
    <n v="35537.453723999999"/>
    <n v="7680.3897790000001"/>
    <n v="14019"/>
    <n v="2.5349492634282047"/>
    <n v="0.54785575140880238"/>
    <m/>
    <m/>
    <m/>
    <m/>
    <m/>
    <m/>
    <m/>
    <n v="60"/>
    <n v="0"/>
    <n v="7"/>
    <n v="66076.317666000003"/>
    <n v="247.63057900000001"/>
    <n v="3.7476449618714137E-3"/>
    <s v="0% - 30%"/>
    <n v="7.2045070274928448E-6"/>
    <s v="N.D."/>
    <s v="N.D."/>
    <s v="N.D."/>
    <n v="0.95941661827944835"/>
    <s v="Aceptable"/>
    <n v="1"/>
    <s v="Candidato"/>
    <n v="0"/>
    <n v="0"/>
  </r>
  <r>
    <n v="25148"/>
    <s v="25148"/>
    <x v="5"/>
    <x v="5"/>
    <s v="CAPARRAPÍ"/>
    <n v="71.045633333333299"/>
    <n v="69.510000000000005"/>
    <n v="66.959999999999994"/>
    <n v="64.62"/>
    <n v="42.915941101131494"/>
    <n v="47.656741481611455"/>
    <n v="51.858943889507451"/>
    <n v="60.409500000000001"/>
    <n v="68.033908333333329"/>
    <n v="50.710281618062602"/>
    <n v="59.372094975697962"/>
    <n v="62.599864712750716"/>
    <n v="37.400135287249284"/>
    <n v="0.43660121758524362"/>
    <n v="0"/>
    <n v="25.921928956976455"/>
    <n v="4"/>
    <n v="4"/>
    <b v="1"/>
    <x v="5"/>
    <n v="58.252924902704045"/>
    <n v="0.45966681743468452"/>
    <n v="26.776936596287648"/>
    <n v="4"/>
    <n v="0"/>
    <n v="1.1191700729939171"/>
    <n v="-2.3065599849440899E-2"/>
    <n v="-0.85500763931119295"/>
    <n v="4"/>
    <b v="1"/>
    <n v="0"/>
    <n v="0.6523467210059386"/>
    <n v="38.001104549284172"/>
    <n v="0.30472774912970169"/>
    <n v="4"/>
    <n v="0"/>
    <n v="30.47277491297017"/>
    <n v="4"/>
    <n v="-0.21574550342069498"/>
    <b v="1"/>
    <n v="0"/>
    <n v="4"/>
    <n v="0"/>
    <n v="0"/>
    <n v="0"/>
    <n v="0"/>
    <n v="0"/>
    <n v="0"/>
    <s v="Rural"/>
    <n v="6"/>
    <s v="Fuera SC"/>
    <m/>
    <s v="No"/>
    <s v="No"/>
    <n v="41.2"/>
    <n v="29.183713228131698"/>
    <n v="17.239999999999998"/>
    <s v="Medio"/>
    <n v="1.2491810353436255"/>
    <s v="Medio Bajo"/>
    <n v="27884.871345"/>
    <n v="6443.7808370000002"/>
    <n v="11509"/>
    <n v="2.4228752580589106"/>
    <n v="0.55989059318793988"/>
    <m/>
    <m/>
    <m/>
    <m/>
    <m/>
    <m/>
    <m/>
    <n v="52"/>
    <n v="0"/>
    <n v="7"/>
    <n v="61508.045725000004"/>
    <n v="12515.990471999999"/>
    <n v="0.20348541925650651"/>
    <s v="0% - 30%"/>
    <n v="3.6413734392454607E-4"/>
    <s v="N.D."/>
    <s v="N.D."/>
    <s v="N.D."/>
    <n v="0.93099424895551808"/>
    <s v="Aceptable"/>
    <n v="3"/>
    <s v="Candidato"/>
    <n v="0"/>
    <n v="0"/>
  </r>
  <r>
    <n v="20383"/>
    <s v="20383"/>
    <x v="20"/>
    <x v="20"/>
    <s v="LA GLORIA"/>
    <n v="81.700433333333294"/>
    <n v="89.04"/>
    <n v="88.24"/>
    <n v="96.31"/>
    <n v="59.206423047463417"/>
    <n v="61.150292848821351"/>
    <n v="69.71062769401567"/>
    <n v="60.658900000000003"/>
    <n v="88.822608333333321"/>
    <n v="62.68156089757511"/>
    <n v="75.752084615454208"/>
    <n v="60.761288590174445"/>
    <n v="39.238711409825555"/>
    <n v="0.45314840268843004"/>
    <n v="0"/>
    <n v="34.326936143811871"/>
    <n v="3"/>
    <n v="3"/>
    <b v="1"/>
    <x v="4"/>
    <n v="72.922159071453692"/>
    <n v="0.45953860678774772"/>
    <n v="33.510547383650348"/>
    <n v="3"/>
    <n v="0"/>
    <n v="2.8299255440005169"/>
    <n v="-6.3902040993176756E-3"/>
    <n v="0.81638876016152295"/>
    <n v="3"/>
    <b v="1"/>
    <n v="0"/>
    <n v="0.6523467210059386"/>
    <n v="47.570531358936279"/>
    <n v="0.42443119139178903"/>
    <n v="3"/>
    <n v="0"/>
    <n v="42.443119139178904"/>
    <n v="4"/>
    <n v="-0.19919831831750856"/>
    <b v="0"/>
    <n v="0"/>
    <n v="3"/>
    <n v="0"/>
    <n v="0"/>
    <n v="0"/>
    <n v="0"/>
    <n v="0"/>
    <n v="1"/>
    <s v="Rural"/>
    <n v="6"/>
    <s v="Fuera SC"/>
    <m/>
    <s v="No"/>
    <s v="Si"/>
    <n v="44.4"/>
    <n v="24.555111983219433"/>
    <n v="8.68"/>
    <s v="Bajo"/>
    <n v="10.615498542322655"/>
    <s v="Medio"/>
    <n v="45674.911094000003"/>
    <n v="17938.225191500002"/>
    <n v="19514"/>
    <n v="2.340622685969048"/>
    <n v="0.91924901053090102"/>
    <m/>
    <m/>
    <m/>
    <m/>
    <m/>
    <m/>
    <m/>
    <n v="8"/>
    <n v="0"/>
    <n v="7"/>
    <n v="80157.807922000007"/>
    <n v="10705.898684"/>
    <n v="0.1335602726863202"/>
    <s v="0% - 30%"/>
    <n v="3.1147495037155484E-4"/>
    <s v="N.D."/>
    <s v="N.D."/>
    <s v="N.D."/>
    <n v="0.81182961197858072"/>
    <s v="Crítico bajo"/>
    <n v="3"/>
    <s v="Candidato"/>
    <n v="0"/>
    <n v="0"/>
  </r>
  <r>
    <n v="41668"/>
    <s v="41668"/>
    <x v="19"/>
    <x v="19"/>
    <s v="SAN AGUSTÍN"/>
    <n v="67.633566666666695"/>
    <n v="57.87"/>
    <n v="67.27"/>
    <n v="72.7"/>
    <n v="56.630357023359664"/>
    <n v="59.583139222750347"/>
    <n v="60.944588210888639"/>
    <n v="59.294400000000003"/>
    <n v="66.368391666666668"/>
    <n v="59.113121114249665"/>
    <n v="62.740756390458166"/>
    <n v="60.747320449468504"/>
    <n v="39.252679550531496"/>
    <n v="0.45327411595478351"/>
    <n v="0"/>
    <n v="28.43876088721936"/>
    <n v="4"/>
    <n v="4"/>
    <b v="1"/>
    <x v="4"/>
    <n v="62.338930214597255"/>
    <n v="0.45941480073241947"/>
    <n v="28.639427202411401"/>
    <n v="3"/>
    <n v="0"/>
    <n v="0.40182617586091141"/>
    <n v="-6.140684777635963E-3"/>
    <n v="-0.20066631519204137"/>
    <n v="3"/>
    <b v="1"/>
    <n v="0"/>
    <n v="0.6523467210059386"/>
    <n v="40.666596716510554"/>
    <n v="0.33807024644812039"/>
    <n v="4"/>
    <n v="1"/>
    <n v="33.807024644812039"/>
    <n v="4"/>
    <n v="-0.19907260505115509"/>
    <b v="0"/>
    <s v="Cambio en corte"/>
    <n v="3"/>
    <n v="0"/>
    <n v="0"/>
    <n v="0"/>
    <n v="0"/>
    <n v="0"/>
    <n v="0"/>
    <s v="Rural"/>
    <n v="6"/>
    <s v="Fuera SC"/>
    <m/>
    <s v="No"/>
    <s v="Si"/>
    <n v="36.299999999999997"/>
    <n v="15.234712785670167"/>
    <n v="3.1650000000000005"/>
    <s v="Sin riesgo"/>
    <n v="1.2120310984422753"/>
    <s v="Medio Bajo"/>
    <n v="71146.052301000003"/>
    <n v="8383.2121403000001"/>
    <n v="35620"/>
    <n v="1.99736250143178"/>
    <n v="0.23535126727400338"/>
    <m/>
    <m/>
    <m/>
    <m/>
    <m/>
    <m/>
    <m/>
    <n v="54"/>
    <n v="0"/>
    <n v="7"/>
    <n v="139085.04859200001"/>
    <n v="90791.375902"/>
    <n v="0.65277595845929193"/>
    <s v="51% - 70%"/>
    <n v="2.6414633780818464E-3"/>
    <n v="854.58705399999997"/>
    <n v="6.1443488185915244E-3"/>
    <s v="0% - 30%"/>
    <n v="0.92971591337151516"/>
    <s v="Aceptable"/>
    <n v="2"/>
    <s v="Candidato"/>
    <n v="0"/>
    <n v="0"/>
  </r>
  <r>
    <n v="15673"/>
    <s v="15673"/>
    <x v="10"/>
    <x v="10"/>
    <s v="SAN MATEO"/>
    <n v="63.478999999999999"/>
    <n v="56.92"/>
    <n v="53.4"/>
    <n v="49.81"/>
    <n v="58.720087140049415"/>
    <n v="57.082779307913583"/>
    <n v="57.363767180300592"/>
    <n v="61.351900000000001"/>
    <n v="55.902250000000002"/>
    <n v="58.629633407065896"/>
    <n v="57.265941703532945"/>
    <n v="61.099878421836408"/>
    <n v="38.900121578163592"/>
    <n v="0.45010109420347233"/>
    <n v="0"/>
    <n v="25.775463021352436"/>
    <n v="4"/>
    <n v="4"/>
    <b v="1"/>
    <x v="5"/>
    <n v="56.294698649144692"/>
    <n v="0.46028452172776646"/>
    <n v="25.911578443530306"/>
    <n v="4"/>
    <n v="0"/>
    <n v="0.97124305438825331"/>
    <n v="-1.0183427524294131E-2"/>
    <n v="-0.13611542217786976"/>
    <n v="4"/>
    <b v="1"/>
    <n v="0"/>
    <n v="0.6523467210059386"/>
    <n v="36.723662073786983"/>
    <n v="0.28874829031252569"/>
    <n v="4"/>
    <n v="0"/>
    <n v="28.87482903125257"/>
    <n v="4"/>
    <n v="-0.20224562680246627"/>
    <b v="1"/>
    <n v="0"/>
    <n v="4"/>
    <n v="0"/>
    <n v="0"/>
    <n v="0"/>
    <n v="0"/>
    <n v="0"/>
    <n v="0"/>
    <s v="Rural"/>
    <n v="6"/>
    <s v="Fuera SC"/>
    <m/>
    <s v="No"/>
    <s v="No"/>
    <n v="45.8"/>
    <n v="20.471726640459632"/>
    <n v="32.950613789237664"/>
    <s v="Medio"/>
    <n v="0"/>
    <s v="Bajo"/>
    <n v="18371.372702000001"/>
    <n v="2802.0899716999998"/>
    <n v="3397"/>
    <n v="5.4081167801000882"/>
    <n v="0.8248719375036796"/>
    <m/>
    <m/>
    <m/>
    <m/>
    <m/>
    <m/>
    <m/>
    <n v="44"/>
    <n v="0"/>
    <n v="7"/>
    <n v="12360.233333"/>
    <n v="2236.2593910000001"/>
    <n v="0.18092371970272739"/>
    <s v="0% - 30%"/>
    <n v="6.506121563345523E-5"/>
    <s v="N.D."/>
    <s v="N.D."/>
    <s v="N.D."/>
    <n v="0.93933387212772046"/>
    <s v="Aceptable"/>
    <n v="2"/>
    <s v="Candidato"/>
    <n v="0"/>
    <n v="0"/>
  </r>
  <r>
    <n v="13549"/>
    <s v="13549"/>
    <x v="8"/>
    <x v="8"/>
    <s v="PINILLOS"/>
    <n v="67.127399999999994"/>
    <n v="13.66"/>
    <n v="24.54"/>
    <n v="35.76"/>
    <n v="53.363440129797361"/>
    <n v="51.822108927837512"/>
    <n v="50.333958401243244"/>
    <n v="32.333399999999997"/>
    <n v="35.271849999999993"/>
    <n v="46.96322686471953"/>
    <n v="41.117538432359765"/>
    <n v="60.905416743466681"/>
    <n v="39.094583256533319"/>
    <n v="0.45185124930879994"/>
    <n v="0"/>
    <n v="18.579011109164355"/>
    <n v="5"/>
    <n v="5"/>
    <b v="1"/>
    <x v="6"/>
    <n v="47.580919480077611"/>
    <n v="0.45983944467573057"/>
    <n v="21.879583590879541"/>
    <n v="4"/>
    <n v="-1"/>
    <n v="-6.4633810477178457"/>
    <n v="-7.9881953669306283E-3"/>
    <n v="-3.3005724817151858"/>
    <n v="5"/>
    <b v="1"/>
    <s v="Efecto ponderador"/>
    <n v="0.6523467210059386"/>
    <n v="31.039256805276217"/>
    <n v="0.21764237233140257"/>
    <n v="4"/>
    <n v="-1"/>
    <n v="21.764237233140257"/>
    <n v="4"/>
    <n v="-0.20049547169713866"/>
    <b v="0"/>
    <s v="Cambio en corte"/>
    <n v="4"/>
    <n v="-1"/>
    <n v="0"/>
    <n v="0"/>
    <n v="0"/>
    <n v="0"/>
    <n v="0"/>
    <s v="Rural disperso"/>
    <n v="6"/>
    <s v="Fuera SC"/>
    <m/>
    <s v="No"/>
    <s v="Si"/>
    <n v="67.5"/>
    <n v="62.366696646537328"/>
    <n v="8.8024137931034492"/>
    <s v="Bajo"/>
    <n v="1.2011849073260064"/>
    <s v="Medio Bajo"/>
    <n v="37083.893583999998"/>
    <n v="4380.7742429999998"/>
    <n v="25747"/>
    <n v="1.4403190113022875"/>
    <n v="0.17014697801685633"/>
    <m/>
    <m/>
    <m/>
    <m/>
    <m/>
    <m/>
    <m/>
    <n v="9"/>
    <n v="0"/>
    <n v="7"/>
    <n v="77481.728728999995"/>
    <n v="3579.4968439999998"/>
    <n v="4.6197947602842522E-2"/>
    <s v="0% - 30%"/>
    <n v="1.0414105669674365E-4"/>
    <s v="N.D."/>
    <s v="N.D."/>
    <s v="N.D."/>
    <n v="0.91244968386531555"/>
    <s v="Aceptable"/>
    <n v="1"/>
    <s v="Candidato"/>
    <n v="0"/>
    <n v="0"/>
  </r>
  <r>
    <n v="15172"/>
    <s v="15172"/>
    <x v="10"/>
    <x v="10"/>
    <s v="CHINAVITA"/>
    <n v="45.896833333333298"/>
    <n v="53.03"/>
    <n v="0"/>
    <n v="49.24"/>
    <n v="48.450053542033018"/>
    <n v="58.572502654734905"/>
    <n v="50.912894550918537"/>
    <n v="45.338999999999999"/>
    <n v="37.041708333333325"/>
    <n v="50.818612686921611"/>
    <n v="43.930160510127465"/>
    <n v="61.498732821597237"/>
    <n v="38.501267178402763"/>
    <n v="0.44651140460562488"/>
    <n v="0"/>
    <n v="19.615317673927567"/>
    <n v="5"/>
    <n v="5"/>
    <b v="1"/>
    <x v="6"/>
    <n v="49.862786444518434"/>
    <n v="0.459652597731385"/>
    <n v="22.919559319348188"/>
    <n v="4"/>
    <n v="-1"/>
    <n v="-5.9326259343909697"/>
    <n v="-1.314119312576012E-2"/>
    <n v="-3.3042416454206212"/>
    <n v="5"/>
    <b v="1"/>
    <s v="Efecto ponderador"/>
    <n v="0.6523467210059386"/>
    <n v="32.527825237300966"/>
    <n v="0.23626279431700301"/>
    <n v="4"/>
    <n v="-1"/>
    <n v="23.626279431700301"/>
    <n v="4"/>
    <n v="-0.20583531640031372"/>
    <b v="0"/>
    <s v="Cambio en corte"/>
    <n v="4"/>
    <n v="-1"/>
    <n v="0"/>
    <n v="0"/>
    <n v="0"/>
    <n v="0"/>
    <n v="0"/>
    <s v="Rural"/>
    <n v="6"/>
    <s v="Fuera SC"/>
    <m/>
    <s v="No"/>
    <s v="No"/>
    <n v="41.1"/>
    <n v="13.359319631467045"/>
    <n v="50.519105363423215"/>
    <s v="Alto"/>
    <n v="0"/>
    <s v="Bajo"/>
    <n v="10414.361133"/>
    <n v="2684.3074778"/>
    <n v="3093"/>
    <n v="3.3670744044616878"/>
    <n v="0.86786533391529264"/>
    <m/>
    <m/>
    <m/>
    <m/>
    <m/>
    <m/>
    <m/>
    <n v="98"/>
    <n v="0"/>
    <n v="7"/>
    <n v="13613.765641"/>
    <n v="6634.7468520000002"/>
    <n v="0.48735574175145302"/>
    <s v="31% - 50%"/>
    <n v="1.9302979669917917E-4"/>
    <s v="N.D."/>
    <s v="N.D."/>
    <s v="N.D."/>
    <n v="0.94375053525423791"/>
    <s v="Aceptable"/>
    <n v="1"/>
    <s v="Candidato"/>
    <n v="0"/>
    <n v="0"/>
  </r>
  <r>
    <n v="54109"/>
    <s v="54109"/>
    <x v="12"/>
    <x v="12"/>
    <s v="BUCARASICA"/>
    <n v="70.960666666666697"/>
    <n v="88.24"/>
    <n v="78.39"/>
    <n v="83.45"/>
    <n v="55.418454055979169"/>
    <n v="55.741765858972478"/>
    <n v="56.394895322798405"/>
    <n v="48.922699999999999"/>
    <n v="80.260166666666663"/>
    <n v="54.119453809437509"/>
    <n v="67.18981023805209"/>
    <n v="60.43058099568109"/>
    <n v="39.56941900431891"/>
    <n v="0.45612477103887017"/>
    <n v="0"/>
    <n v="30.646936810976644"/>
    <n v="3"/>
    <n v="3"/>
    <b v="1"/>
    <x v="4"/>
    <n v="65.358168012603983"/>
    <n v="0.45961967365762146"/>
    <n v="30.039899852813036"/>
    <n v="3"/>
    <n v="0"/>
    <n v="1.8316422254481068"/>
    <n v="-3.4949026187512944E-3"/>
    <n v="0.60703695816360792"/>
    <n v="3"/>
    <b v="1"/>
    <n v="0"/>
    <n v="0.6523467210059386"/>
    <n v="42.636186593977428"/>
    <n v="0.36270773967180475"/>
    <n v="3"/>
    <n v="0"/>
    <n v="36.270773967180475"/>
    <n v="4"/>
    <n v="-0.19622194996706843"/>
    <b v="0"/>
    <n v="0"/>
    <n v="4"/>
    <n v="1"/>
    <n v="0"/>
    <n v="0"/>
    <n v="0"/>
    <n v="0"/>
    <n v="1"/>
    <s v="Rural disperso"/>
    <n v="6"/>
    <s v="Fuera SC"/>
    <m/>
    <s v="No"/>
    <s v="No"/>
    <n v="67.900000000000006"/>
    <n v="36.675180928054495"/>
    <n v="71.768500619578688"/>
    <s v="Alto"/>
    <n v="5.757179261766356"/>
    <s v="Medio"/>
    <n v="18430.978052999999"/>
    <n v="4461.3854067499997"/>
    <n v="7559"/>
    <n v="2.4382825840719669"/>
    <n v="0.59020841470432595"/>
    <m/>
    <m/>
    <m/>
    <m/>
    <m/>
    <m/>
    <m/>
    <n v="73"/>
    <n v="0"/>
    <n v="7"/>
    <n v="27025.103608000001"/>
    <n v="1193.379678"/>
    <n v="4.4158190670052951E-2"/>
    <s v="0% - 30%"/>
    <n v="3.4719913474894987E-5"/>
    <s v="N.D."/>
    <s v="N.D."/>
    <s v="N.D."/>
    <n v="0.96962756985135212"/>
    <s v="Aceptable"/>
    <n v="2"/>
    <s v="Candidato"/>
    <n v="0"/>
    <n v="0"/>
  </r>
  <r>
    <n v="73043"/>
    <s v="73043"/>
    <x v="15"/>
    <x v="15"/>
    <s v="ANZOÁTEGUI"/>
    <n v="63.785899999999998"/>
    <n v="48.3"/>
    <n v="61.42"/>
    <n v="61.99"/>
    <n v="43.626770677772171"/>
    <n v="50.44643624610508"/>
    <n v="51.421201260663537"/>
    <n v="49.410800000000002"/>
    <n v="58.873975000000002"/>
    <n v="48.726302046135196"/>
    <n v="53.800138523067602"/>
    <n v="60.883944736484686"/>
    <n v="39.116055263515314"/>
    <n v="0.45204449737163788"/>
    <n v="0"/>
    <n v="24.320056577184587"/>
    <n v="4"/>
    <n v="4"/>
    <b v="1"/>
    <x v="5"/>
    <n v="54.001217784937495"/>
    <n v="0.45784769427331451"/>
    <n v="24.724333050784736"/>
    <n v="4"/>
    <n v="0"/>
    <n v="-0.20107926186989289"/>
    <n v="-5.8031969016766327E-3"/>
    <n v="-0.40427647360014873"/>
    <n v="4"/>
    <b v="1"/>
    <n v="0"/>
    <n v="0.6523467210059386"/>
    <n v="35.227517352331553"/>
    <n v="0.27003309693230926"/>
    <n v="4"/>
    <n v="0"/>
    <n v="27.003309693230925"/>
    <n v="4"/>
    <n v="-0.20030222363430072"/>
    <b v="1"/>
    <n v="0"/>
    <n v="4"/>
    <n v="0"/>
    <n v="0"/>
    <n v="0"/>
    <n v="0"/>
    <n v="0"/>
    <n v="1"/>
    <s v="Rural disperso"/>
    <n v="6"/>
    <s v="Fuera SC"/>
    <m/>
    <s v="No"/>
    <s v="Si"/>
    <n v="55.8"/>
    <n v="20.906336451060465"/>
    <n v="3.0666666666666664"/>
    <s v="Sin riesgo"/>
    <n v="7.8626243057830196"/>
    <s v="Medio"/>
    <n v="30095.955428000001"/>
    <n v="5164.4813142499997"/>
    <n v="10590"/>
    <n v="2.8419221367327667"/>
    <n v="0.48767528935316334"/>
    <m/>
    <m/>
    <m/>
    <m/>
    <m/>
    <m/>
    <m/>
    <n v="18"/>
    <n v="0"/>
    <n v="7"/>
    <n v="46946.925976999999"/>
    <n v="40576.502737000003"/>
    <n v="0.86430584947945344"/>
    <s v="71% - 100%"/>
    <n v="1.1805234244507386E-3"/>
    <s v="N.D."/>
    <s v="N.D."/>
    <s v="N.D."/>
    <n v="0.94535945856005332"/>
    <s v="Aceptable"/>
    <n v="2"/>
    <s v="Candidato"/>
    <n v="0"/>
    <n v="0"/>
  </r>
  <r>
    <n v="54743"/>
    <s v="54743"/>
    <x v="12"/>
    <x v="12"/>
    <s v="SILOS"/>
    <n v="62.198066666666698"/>
    <n v="72.16"/>
    <n v="61.58"/>
    <n v="55.03"/>
    <n v="53.608138404065656"/>
    <n v="61.933453273528023"/>
    <n v="53.505172019989672"/>
    <n v="61.692599999999999"/>
    <n v="62.742016666666679"/>
    <n v="57.684840924395836"/>
    <n v="60.213428795531257"/>
    <n v="62.097899551237433"/>
    <n v="37.902100448762567"/>
    <n v="0.44111890403886311"/>
    <n v="0"/>
    <n v="26.561281718706869"/>
    <n v="4"/>
    <n v="4"/>
    <b v="1"/>
    <x v="5"/>
    <n v="59.277221617063319"/>
    <n v="0.46047527780171116"/>
    <n v="27.295695091430829"/>
    <n v="4"/>
    <n v="0"/>
    <n v="0.93620717846793866"/>
    <n v="-1.9356373762848045E-2"/>
    <n v="-0.73441337272396012"/>
    <n v="4"/>
    <b v="1"/>
    <n v="0"/>
    <n v="0.6523467210059386"/>
    <n v="38.669301152233601"/>
    <n v="0.31308618428698859"/>
    <n v="4"/>
    <n v="0"/>
    <n v="31.30861842869886"/>
    <n v="4"/>
    <n v="-0.21122781696707549"/>
    <b v="1"/>
    <n v="0"/>
    <n v="4"/>
    <n v="0"/>
    <n v="0"/>
    <n v="0"/>
    <n v="0"/>
    <n v="0"/>
    <n v="0"/>
    <s v="Rural disperso"/>
    <n v="6"/>
    <s v="Fuera SC"/>
    <m/>
    <s v="No"/>
    <s v="No"/>
    <n v="46.6"/>
    <n v="14.773323997899528"/>
    <n v="27.166666666666668"/>
    <s v="Medio"/>
    <n v="0.10482372637351965"/>
    <s v="Bajo"/>
    <n v="15534.925119"/>
    <n v="4209.8982720000004"/>
    <n v="7166"/>
    <n v="2.1678656320122802"/>
    <n v="0.58748231537817475"/>
    <m/>
    <m/>
    <m/>
    <m/>
    <m/>
    <m/>
    <m/>
    <n v="24"/>
    <n v="0"/>
    <n v="7"/>
    <n v="39148.988310000001"/>
    <n v="26189.360414999999"/>
    <n v="0.66896646747600208"/>
    <s v="51% - 70%"/>
    <n v="7.6194721959362867E-4"/>
    <s v="N.D."/>
    <s v="N.D."/>
    <s v="N.D."/>
    <n v="0.92470425577199833"/>
    <s v="Aceptable"/>
    <n v="2"/>
    <s v="Candidato"/>
    <n v="0"/>
    <n v="0"/>
  </r>
  <r>
    <n v="54125"/>
    <s v="54125"/>
    <x v="12"/>
    <x v="12"/>
    <s v="CÁCOTA"/>
    <n v="68.935866666666698"/>
    <n v="74.25"/>
    <n v="79.930000000000007"/>
    <n v="83.86"/>
    <n v="46.595762407104345"/>
    <n v="53.788967092936851"/>
    <n v="48.040270282723377"/>
    <n v="46.4497"/>
    <n v="76.74396666666668"/>
    <n v="48.718674945691149"/>
    <n v="62.731320806178914"/>
    <n v="60.772044622928192"/>
    <n v="39.227955377071808"/>
    <n v="0.45305159839364628"/>
    <n v="0"/>
    <n v="28.420525160583956"/>
    <n v="4"/>
    <n v="4"/>
    <b v="1"/>
    <x v="4"/>
    <n v="60.815962339357384"/>
    <n v="0.45952556886069662"/>
    <n v="27.946489689803904"/>
    <n v="3"/>
    <n v="0"/>
    <n v="1.9153584668215302"/>
    <n v="-6.4739704670503384E-3"/>
    <n v="0.47403547078005204"/>
    <n v="3"/>
    <b v="1"/>
    <n v="0"/>
    <n v="0.6523467210059386"/>
    <n v="39.673093616900438"/>
    <n v="0.32564256992297774"/>
    <n v="4"/>
    <n v="1"/>
    <n v="32.564256992297771"/>
    <n v="4"/>
    <n v="-0.19929512261229232"/>
    <b v="0"/>
    <s v="Cambio en corte"/>
    <n v="4"/>
    <n v="1"/>
    <n v="0"/>
    <n v="0"/>
    <n v="0"/>
    <n v="0"/>
    <n v="0"/>
    <s v="Rural"/>
    <n v="6"/>
    <s v="Fuera SC"/>
    <m/>
    <s v="No"/>
    <s v="No"/>
    <n v="48.9"/>
    <n v="23.797282409107602"/>
    <n v="12.028571428571428"/>
    <s v="Bajo"/>
    <n v="0"/>
    <s v="Bajo"/>
    <n v="11929.785562999999"/>
    <n v="3226.4781200000002"/>
    <n v="3121"/>
    <n v="3.8224240829862222"/>
    <n v="1.0337962576097406"/>
    <m/>
    <m/>
    <m/>
    <m/>
    <m/>
    <m/>
    <m/>
    <n v="24"/>
    <n v="0"/>
    <n v="7"/>
    <n v="13862.005660999999"/>
    <n v="4758.7463660000003"/>
    <n v="0.3432942160302585"/>
    <s v="31% - 50%"/>
    <n v="1.3844987066764092E-4"/>
    <s v="N.D."/>
    <s v="N.D."/>
    <s v="N.D."/>
    <n v="0.93693091564937525"/>
    <s v="Aceptable"/>
    <n v="2"/>
    <s v="Candidato"/>
    <n v="0"/>
    <n v="0"/>
  </r>
  <r>
    <n v="54344"/>
    <s v="54344"/>
    <x v="12"/>
    <x v="12"/>
    <s v="HACARÍ"/>
    <n v="56.250633333333298"/>
    <n v="59.12"/>
    <n v="61.06"/>
    <n v="56.92"/>
    <n v="48.329989079647717"/>
    <n v="51.634289131544193"/>
    <n v="53.008849405083332"/>
    <n v="54.443399999999997"/>
    <n v="58.337658333333323"/>
    <n v="51.854131904068808"/>
    <n v="55.095895118701065"/>
    <n v="61.390438132885613"/>
    <n v="38.609561867114387"/>
    <n v="0.44748605680402953"/>
    <n v="0"/>
    <n v="24.654644852755919"/>
    <n v="4"/>
    <n v="4"/>
    <b v="1"/>
    <x v="5"/>
    <n v="55.924929802468441"/>
    <n v="0.45808205386037204"/>
    <n v="25.618206705911874"/>
    <n v="4"/>
    <n v="0"/>
    <n v="-0.82903468376737521"/>
    <n v="-1.059599705634251E-2"/>
    <n v="-0.96356185315595511"/>
    <n v="4"/>
    <b v="1"/>
    <n v="0"/>
    <n v="0.6523467210059386"/>
    <n v="36.482444579127581"/>
    <n v="0.28573091372154291"/>
    <n v="4"/>
    <n v="0"/>
    <n v="28.573091372154291"/>
    <n v="4"/>
    <n v="-0.20486066420190907"/>
    <b v="1"/>
    <n v="0"/>
    <n v="4"/>
    <n v="0"/>
    <n v="0"/>
    <n v="0"/>
    <n v="0"/>
    <n v="1"/>
    <n v="1"/>
    <s v="Rural disperso"/>
    <n v="6"/>
    <s v="Fuera SC"/>
    <m/>
    <s v="No"/>
    <s v="No"/>
    <n v="73.400000000000006"/>
    <n v="42.350862606526711"/>
    <n v="50.779840816679638"/>
    <s v="Alto"/>
    <n v="34.144444491700035"/>
    <s v="Muy Alto"/>
    <n v="32489.182742000001"/>
    <n v="4473.2535809999999"/>
    <n v="10775"/>
    <n v="3.0152373774477961"/>
    <n v="0.41515114440835266"/>
    <m/>
    <m/>
    <m/>
    <m/>
    <m/>
    <m/>
    <m/>
    <n v="14"/>
    <n v="0"/>
    <n v="7"/>
    <n v="41821.019383999999"/>
    <n v="13670.773934999999"/>
    <n v="0.32688763058296472"/>
    <s v="31% - 50%"/>
    <n v="3.9773434801028146E-4"/>
    <s v="N.D."/>
    <s v="N.D."/>
    <s v="N.D."/>
    <n v="0.95651483742708376"/>
    <s v="Aceptable"/>
    <n v="1"/>
    <s v="Candidato"/>
    <n v="0"/>
    <n v="0"/>
  </r>
  <r>
    <n v="68160"/>
    <s v="68160"/>
    <x v="0"/>
    <x v="0"/>
    <s v="CEPITÁ"/>
    <n v="52.629933333333298"/>
    <n v="58.73"/>
    <n v="47.6"/>
    <n v="43.03"/>
    <n v="47.778824306521081"/>
    <n v="49.615441578723917"/>
    <n v="59.485177151951518"/>
    <n v="42.929499999999997"/>
    <n v="50.497483333333321"/>
    <n v="49.952235759299128"/>
    <n v="50.224859546316225"/>
    <n v="60.583589337416356"/>
    <n v="39.416410662583644"/>
    <n v="0.45474769596325282"/>
    <n v="0"/>
    <n v="22.839639158765287"/>
    <n v="4"/>
    <n v="4"/>
    <b v="1"/>
    <x v="5"/>
    <n v="51.748779403740123"/>
    <n v="0.46008754846020194"/>
    <n v="23.808969051674584"/>
    <n v="4"/>
    <n v="0"/>
    <n v="-1.5239198574238983"/>
    <n v="-5.3398524969491268E-3"/>
    <n v="-0.96932989290929683"/>
    <n v="4"/>
    <b v="1"/>
    <n v="0"/>
    <n v="0.6523467210059386"/>
    <n v="33.758146560089521"/>
    <n v="0.25165281718417082"/>
    <n v="4"/>
    <n v="0"/>
    <n v="25.165281718417081"/>
    <n v="4"/>
    <n v="-0.19759902504268578"/>
    <b v="1"/>
    <n v="0"/>
    <n v="4"/>
    <n v="0"/>
    <n v="0"/>
    <n v="0"/>
    <n v="0"/>
    <n v="0"/>
    <n v="0"/>
    <s v="Rural"/>
    <n v="6"/>
    <s v="Fuera SC"/>
    <m/>
    <s v="No"/>
    <s v="No"/>
    <n v="32"/>
    <n v="12.680577849117174"/>
    <n v="0.5"/>
    <s v="Sin riesgo"/>
    <n v="0"/>
    <s v="Bajo"/>
    <n v="6624.069477"/>
    <n v="1707.0453345000001"/>
    <n v="2167"/>
    <n v="3.0567925597600367"/>
    <n v="0.78774588578680205"/>
    <m/>
    <m/>
    <m/>
    <m/>
    <m/>
    <m/>
    <m/>
    <n v="58"/>
    <n v="0"/>
    <n v="7"/>
    <n v="10775.16423"/>
    <n v="954.61308299999996"/>
    <n v="8.8593831390725811E-2"/>
    <s v="0% - 30%"/>
    <n v="2.7773293156214402E-5"/>
    <s v="N.D."/>
    <s v="N.D."/>
    <s v="N.D."/>
    <n v="0.91729135008613072"/>
    <s v="Aceptable"/>
    <n v="1"/>
    <s v="Candidato"/>
    <n v="0"/>
    <n v="0"/>
  </r>
  <r>
    <n v="5107"/>
    <s v="05107"/>
    <x v="1"/>
    <x v="1"/>
    <s v="BRICEÑO"/>
    <n v="54.394199999999998"/>
    <n v="46.55"/>
    <n v="65.14"/>
    <n v="62.97"/>
    <n v="64.333484494487607"/>
    <n v="68.256752855489992"/>
    <n v="59.308561029942382"/>
    <n v="55.4313"/>
    <n v="57.263550000000002"/>
    <n v="61.832524594979994"/>
    <n v="59.548037297489998"/>
    <n v="61.079954284401538"/>
    <n v="38.920045715598462"/>
    <n v="0.45028041144038622"/>
    <n v="0"/>
    <n v="26.813314734781262"/>
    <n v="4"/>
    <n v="4"/>
    <b v="1"/>
    <x v="5"/>
    <n v="58.965416382159191"/>
    <n v="0.45980089440735739"/>
    <n v="27.112351191619041"/>
    <n v="4"/>
    <n v="0"/>
    <n v="0.58262091533080707"/>
    <n v="-9.5204829669711666E-3"/>
    <n v="-0.29903645683777924"/>
    <n v="4"/>
    <b v="1"/>
    <n v="0"/>
    <n v="0.6523467210059386"/>
    <n v="38.465896029651404"/>
    <n v="0.31054180061269449"/>
    <n v="4"/>
    <n v="0"/>
    <n v="31.054180061269449"/>
    <n v="4"/>
    <n v="-0.20206630956555238"/>
    <b v="1"/>
    <n v="0"/>
    <n v="3"/>
    <n v="-1"/>
    <n v="0"/>
    <n v="0"/>
    <n v="0"/>
    <n v="1"/>
    <n v="1"/>
    <s v="Rural"/>
    <n v="6"/>
    <s v="Fuera SC"/>
    <m/>
    <s v="No"/>
    <s v="Si"/>
    <n v="55.4"/>
    <n v="25.664312142616886"/>
    <n v="58.307032661621484"/>
    <s v="Alto"/>
    <n v="96.130438562664423"/>
    <s v="Muy Alto"/>
    <n v="28050.598424"/>
    <n v="10419.253685600001"/>
    <n v="8023"/>
    <n v="3.4962730180730399"/>
    <n v="1.298673025750966"/>
    <m/>
    <m/>
    <m/>
    <m/>
    <m/>
    <m/>
    <m/>
    <n v="99"/>
    <n v="0"/>
    <n v="7"/>
    <n v="37624.010756000003"/>
    <n v="806.89948500000003"/>
    <n v="2.1446397361326544E-2"/>
    <s v="0% - 30%"/>
    <n v="2.3475747759580443E-5"/>
    <s v="N.D."/>
    <s v="N.D."/>
    <s v="N.D."/>
    <n v="0.87585160374164706"/>
    <s v="Aceptable"/>
    <n v="2"/>
    <s v="Candidato"/>
    <n v="0"/>
    <n v="0"/>
  </r>
  <r>
    <n v="68245"/>
    <s v="68245"/>
    <x v="0"/>
    <x v="0"/>
    <s v="EL GUACAMAYO"/>
    <n v="83.891166666666706"/>
    <n v="52.55"/>
    <n v="58.56"/>
    <n v="71.34"/>
    <n v="40.46213394002767"/>
    <n v="57.896143589006059"/>
    <n v="63.645365420261861"/>
    <n v="59.905500000000004"/>
    <n v="66.585291666666677"/>
    <n v="55.477285737323896"/>
    <n v="61.031288701995287"/>
    <n v="61.234449517470189"/>
    <n v="38.765550482529811"/>
    <n v="0.44888995434276835"/>
    <n v="0"/>
    <n v="27.396332398918979"/>
    <n v="4"/>
    <n v="4"/>
    <b v="1"/>
    <x v="5"/>
    <n v="61.720971391768913"/>
    <n v="0.45787373029826506"/>
    <n v="28.260411408781732"/>
    <n v="3"/>
    <n v="-1"/>
    <n v="-0.68968268977362612"/>
    <n v="-8.9837759554967089E-3"/>
    <n v="-0.86407900986275266"/>
    <n v="4"/>
    <b v="1"/>
    <s v="Efecto ponderador"/>
    <n v="0.6523467210059386"/>
    <n v="40.263473304721792"/>
    <n v="0.3330275974987727"/>
    <n v="4"/>
    <n v="0"/>
    <n v="33.302759749877268"/>
    <n v="4"/>
    <n v="-0.20345676666317025"/>
    <b v="1"/>
    <n v="0"/>
    <n v="3"/>
    <n v="-1"/>
    <n v="0"/>
    <n v="0"/>
    <n v="0"/>
    <n v="0"/>
    <n v="0"/>
    <s v="Rural"/>
    <n v="6"/>
    <s v="Fuera SC"/>
    <m/>
    <s v="No"/>
    <s v="Si"/>
    <n v="33"/>
    <n v="9.8051157125456765"/>
    <n v="47.432500000000005"/>
    <s v="Alto"/>
    <n v="0"/>
    <s v="Bajo"/>
    <n v="10364.778850000001"/>
    <n v="2064.21120015"/>
    <n v="2201"/>
    <n v="4.7091226033621085"/>
    <n v="0.93785152210358924"/>
    <m/>
    <m/>
    <m/>
    <m/>
    <m/>
    <m/>
    <m/>
    <n v="45"/>
    <n v="0"/>
    <n v="7"/>
    <n v="9281.8768209999998"/>
    <n v="9281.8768209999998"/>
    <n v="1"/>
    <s v="71% - 100%"/>
    <n v="2.7004478629118515E-4"/>
    <s v="N.D."/>
    <s v="N.D."/>
    <s v="N.D."/>
    <n v="0.9420862292664316"/>
    <s v="Aceptable"/>
    <n v="2"/>
    <s v="No es Candidato"/>
    <n v="0"/>
    <n v="0"/>
  </r>
  <r>
    <n v="25518"/>
    <s v="25518"/>
    <x v="5"/>
    <x v="5"/>
    <s v="PAIME"/>
    <n v="79.073866666666703"/>
    <n v="46.55"/>
    <n v="74.06"/>
    <n v="50.4"/>
    <n v="51.120445053859264"/>
    <n v="48.981425350083427"/>
    <n v="75.022623944787739"/>
    <n v="47.2089"/>
    <n v="62.520966666666673"/>
    <n v="55.583348587182606"/>
    <n v="59.05215762692464"/>
    <n v="62.717343389996216"/>
    <n v="37.282656610003784"/>
    <n v="0.43554390949003408"/>
    <n v="0"/>
    <n v="25.71980759665249"/>
    <n v="4"/>
    <n v="4"/>
    <b v="1"/>
    <x v="5"/>
    <n v="62.392483290543879"/>
    <n v="0.4565956936287513"/>
    <n v="28.488139185266157"/>
    <n v="3"/>
    <n v="-1"/>
    <n v="-3.3403256636192395"/>
    <n v="-2.1051784138717222E-2"/>
    <n v="-2.7683315886136661"/>
    <n v="4"/>
    <b v="1"/>
    <s v="Efecto ponderador"/>
    <n v="0.6523467210059386"/>
    <n v="40.701531890004112"/>
    <n v="0.33850724864338083"/>
    <n v="4"/>
    <n v="0"/>
    <n v="33.850724864338083"/>
    <n v="4"/>
    <n v="-0.21680281151590453"/>
    <b v="1"/>
    <n v="0"/>
    <n v="4"/>
    <n v="0"/>
    <n v="0"/>
    <n v="0"/>
    <n v="0"/>
    <n v="0"/>
    <n v="0"/>
    <s v="Rural disperso"/>
    <n v="6"/>
    <s v="Fuera SC"/>
    <m/>
    <s v="No"/>
    <s v="No"/>
    <n v="55"/>
    <n v="35.469641930461854"/>
    <n v="4.5908333333333333"/>
    <s v="Sin riesgo"/>
    <n v="3.6281418000101233"/>
    <s v="Medio Bajo"/>
    <n v="16504.174049000001"/>
    <n v="4809.9177680000003"/>
    <n v="3853"/>
    <n v="4.2834606927069823"/>
    <n v="1.2483565450298468"/>
    <m/>
    <m/>
    <m/>
    <m/>
    <m/>
    <m/>
    <m/>
    <n v="33"/>
    <n v="0"/>
    <n v="7"/>
    <n v="17342.898409000001"/>
    <n v="0.43459100000000001"/>
    <n v="2.5058729501319767E-5"/>
    <n v="0"/>
    <n v="1.2643890452580749E-8"/>
    <s v="N.D."/>
    <s v="N.D."/>
    <s v="N.D."/>
    <n v="0.95832588899736271"/>
    <s v="Aceptable"/>
    <n v="1"/>
    <s v="Candidato"/>
    <n v="0"/>
    <n v="0"/>
  </r>
  <r>
    <n v="85162"/>
    <s v="85162"/>
    <x v="23"/>
    <x v="23"/>
    <s v="MONTERREY"/>
    <n v="93.511933333333303"/>
    <n v="79.819999999999993"/>
    <n v="80.150000000000006"/>
    <n v="81.62"/>
    <n v="61.581452055465732"/>
    <n v="65.480018134066967"/>
    <n v="65.51875518615276"/>
    <n v="58.2742"/>
    <n v="83.775483333333327"/>
    <n v="62.71360634392137"/>
    <n v="73.244544838627348"/>
    <n v="61.486239759558472"/>
    <n v="38.513760240441528"/>
    <n v="0.44662384216397377"/>
    <n v="0"/>
    <n v="32.712760033379197"/>
    <n v="3"/>
    <n v="3"/>
    <b v="1"/>
    <x v="4"/>
    <n v="75.221206993542864"/>
    <n v="0.45584803144116903"/>
    <n v="34.289439130635209"/>
    <n v="3"/>
    <n v="0"/>
    <n v="-1.9766621549155161"/>
    <n v="-9.2241892771952605E-3"/>
    <n v="-1.5766790972560116"/>
    <n v="3"/>
    <b v="1"/>
    <n v="0"/>
    <n v="0.6523467210059386"/>
    <n v="49.070307732346663"/>
    <n v="0.44319181290983994"/>
    <n v="3"/>
    <n v="0"/>
    <n v="44.319181290983991"/>
    <n v="4"/>
    <n v="-0.20572287884196483"/>
    <b v="0"/>
    <n v="0"/>
    <n v="2"/>
    <n v="-1"/>
    <n v="0"/>
    <n v="0"/>
    <n v="0"/>
    <n v="0"/>
    <n v="1"/>
    <s v="Rural"/>
    <n v="6"/>
    <s v="Fuera SC"/>
    <m/>
    <s v="No"/>
    <s v="No"/>
    <n v="27.5"/>
    <n v="8.2956157535634674"/>
    <n v="3.0495833333333331"/>
    <s v="Sin riesgo"/>
    <n v="8.456828226178418"/>
    <s v="Medio"/>
    <n v="60088.908044000003"/>
    <n v="37163.636776599997"/>
    <n v="18836"/>
    <n v="3.1901097921002339"/>
    <n v="1.973011083913782"/>
    <m/>
    <m/>
    <m/>
    <m/>
    <m/>
    <m/>
    <m/>
    <n v="41"/>
    <n v="0"/>
    <n v="6"/>
    <n v="77757.342581000004"/>
    <n v="2371.7868370000001"/>
    <n v="3.050241634131599E-2"/>
    <s v="0% - 30%"/>
    <n v="6.9004219930695744E-5"/>
    <s v="N.D."/>
    <s v="N.D."/>
    <s v="N.D."/>
    <n v="0.93100775295454907"/>
    <s v="Aceptable"/>
    <n v="2"/>
    <s v="Candidato"/>
    <n v="0"/>
    <n v="0"/>
  </r>
  <r>
    <n v="52573"/>
    <s v="52573"/>
    <x v="18"/>
    <x v="18"/>
    <s v="PUERRES"/>
    <n v="62.812966666666703"/>
    <n v="63.28"/>
    <n v="64.680000000000007"/>
    <n v="61.31"/>
    <n v="63.478948254756929"/>
    <n v="64.522481696721101"/>
    <n v="57.078678903027779"/>
    <n v="46.746600000000001"/>
    <n v="63.02074166666668"/>
    <n v="57.956677213626449"/>
    <n v="60.488709440146565"/>
    <n v="61.504732686902884"/>
    <n v="38.495267313097116"/>
    <n v="0.44645740581787408"/>
    <n v="0"/>
    <n v="27.005632297918986"/>
    <n v="4"/>
    <n v="4"/>
    <b v="1"/>
    <x v="5"/>
    <n v="61.685400548379576"/>
    <n v="0.45597001487329158"/>
    <n v="28.126693005509583"/>
    <n v="3"/>
    <n v="-1"/>
    <n v="-1.1966911082330114"/>
    <n v="-9.5126090554175091E-3"/>
    <n v="-1.1210607075905976"/>
    <n v="4"/>
    <b v="1"/>
    <s v="Efecto ponderador"/>
    <n v="0.6523467210059386"/>
    <n v="40.240268781673343"/>
    <n v="0.33273733337530947"/>
    <n v="4"/>
    <n v="0"/>
    <n v="33.273733337530949"/>
    <n v="4"/>
    <n v="-0.20588931518806453"/>
    <b v="1"/>
    <n v="0"/>
    <n v="4"/>
    <n v="0"/>
    <n v="0"/>
    <n v="0"/>
    <n v="0"/>
    <n v="0"/>
    <n v="1"/>
    <s v="Rural"/>
    <n v="6"/>
    <s v="Fuera SC"/>
    <m/>
    <s v="No"/>
    <s v="Si"/>
    <n v="32.700000000000003"/>
    <n v="13.987424368252462"/>
    <n v="30.960951121360097"/>
    <s v="Medio"/>
    <n v="3.6146311163519211"/>
    <s v="Medio Bajo"/>
    <n v="18619.344492"/>
    <n v="2958.8208770000001"/>
    <n v="8534"/>
    <n v="2.1817839807827513"/>
    <n v="0.34670973482540429"/>
    <m/>
    <m/>
    <m/>
    <m/>
    <m/>
    <m/>
    <m/>
    <n v="28"/>
    <n v="0"/>
    <n v="7"/>
    <n v="35046.037993999998"/>
    <n v="8465.8024229999992"/>
    <n v="0.24156232508934031"/>
    <s v="0% - 30%"/>
    <n v="2.4630210572608419E-4"/>
    <n v="10211.764698999999"/>
    <n v="0.29138143092660829"/>
    <s v="0% - 30%"/>
    <n v="0.90058376009494889"/>
    <s v="Aceptable"/>
    <n v="2"/>
    <s v="Candidato"/>
    <n v="0"/>
    <n v="0"/>
  </r>
  <r>
    <n v="54223"/>
    <s v="54223"/>
    <x v="12"/>
    <x v="12"/>
    <s v="CUCUTILLA"/>
    <n v="92.440600000000003"/>
    <n v="84.66"/>
    <n v="79.099999999999994"/>
    <n v="67.17"/>
    <n v="56.959806123706571"/>
    <n v="62.687901321171644"/>
    <n v="65.896607922563518"/>
    <n v="61.0976"/>
    <n v="80.842650000000006"/>
    <n v="61.660478841860439"/>
    <n v="71.251564420930222"/>
    <n v="61.443834412136169"/>
    <n v="38.556165587863831"/>
    <n v="0.44700549029077452"/>
    <n v="0"/>
    <n v="31.84984048796262"/>
    <n v="3"/>
    <n v="3"/>
    <b v="1"/>
    <x v="4"/>
    <n v="73.027758195043532"/>
    <n v="0.4576927820591381"/>
    <n v="33.424277815831495"/>
    <n v="3"/>
    <n v="0"/>
    <n v="-1.7761937741133096"/>
    <n v="-1.0687291768363583E-2"/>
    <n v="-1.5744373278688748"/>
    <n v="3"/>
    <b v="1"/>
    <n v="0"/>
    <n v="0.6523467210059386"/>
    <n v="47.63941860095121"/>
    <n v="0.42529289817539817"/>
    <n v="3"/>
    <n v="0"/>
    <n v="42.529289817539819"/>
    <n v="4"/>
    <n v="-0.20534123071516408"/>
    <b v="0"/>
    <n v="0"/>
    <n v="3"/>
    <n v="0"/>
    <n v="0"/>
    <n v="0"/>
    <n v="0"/>
    <n v="0"/>
    <n v="0"/>
    <s v="Rural disperso"/>
    <n v="6"/>
    <s v="Fuera SC"/>
    <m/>
    <s v="No"/>
    <s v="No"/>
    <n v="71.099999999999994"/>
    <n v="36.179393305439334"/>
    <n v="58.071671517695108"/>
    <s v="Alto"/>
    <n v="8.0020365766827348E-2"/>
    <s v="Bajo"/>
    <n v="26056.175683000001"/>
    <n v="5170.8253747500003"/>
    <n v="8603"/>
    <n v="3.0287313359293271"/>
    <n v="0.60104909621643621"/>
    <m/>
    <m/>
    <m/>
    <m/>
    <m/>
    <m/>
    <m/>
    <n v="1"/>
    <n v="0"/>
    <n v="7"/>
    <n v="37413.064734"/>
    <n v="26313.841080999999"/>
    <n v="0.70333294714257077"/>
    <s v="51% - 70%"/>
    <n v="7.6556883141800671E-4"/>
    <s v="N.D."/>
    <s v="N.D."/>
    <s v="N.D."/>
    <n v="0.96943347151466619"/>
    <s v="Aceptable"/>
    <n v="3"/>
    <s v="Candidato"/>
    <n v="0"/>
    <n v="0"/>
  </r>
  <r>
    <n v="68464"/>
    <s v="68464"/>
    <x v="0"/>
    <x v="0"/>
    <s v="MOGOTES"/>
    <n v="57.972433333333299"/>
    <n v="64.790000000000006"/>
    <n v="69.89"/>
    <n v="70.849999999999994"/>
    <n v="64.998838624743016"/>
    <n v="58.599003229982976"/>
    <n v="68.816275951517625"/>
    <n v="58.107700000000001"/>
    <n v="65.875608333333332"/>
    <n v="62.630454451560901"/>
    <n v="64.253031392447113"/>
    <n v="60.381279918589691"/>
    <n v="39.618720081410309"/>
    <n v="0.45656848073269274"/>
    <n v="0"/>
    <n v="29.33590892531959"/>
    <n v="4"/>
    <n v="4"/>
    <b v="1"/>
    <x v="4"/>
    <n v="61.424961462687612"/>
    <n v="0.45852980511267305"/>
    <n v="28.165175608539602"/>
    <n v="3"/>
    <n v="0"/>
    <n v="2.8280699297595007"/>
    <n v="-1.9613243799803115E-3"/>
    <n v="1.1707333167799874"/>
    <n v="3"/>
    <b v="1"/>
    <n v="0"/>
    <n v="0.6523467210059386"/>
    <n v="40.070372198100408"/>
    <n v="0.33061210620269177"/>
    <n v="4"/>
    <n v="1"/>
    <n v="33.061210620269179"/>
    <n v="4"/>
    <n v="-0.19577824027324586"/>
    <b v="0"/>
    <s v="Cambio en corte"/>
    <n v="4"/>
    <n v="1"/>
    <n v="0"/>
    <n v="0"/>
    <n v="0"/>
    <n v="0"/>
    <n v="0"/>
    <s v="Rural"/>
    <n v="6"/>
    <s v="Fuera SC"/>
    <m/>
    <s v="No"/>
    <s v="No"/>
    <n v="49.4"/>
    <n v="20.973005043013941"/>
    <n v="0"/>
    <s v="Sin riesgo"/>
    <n v="11.644291154553056"/>
    <s v="Alto"/>
    <n v="26549.757034999999"/>
    <n v="5407.2389978500005"/>
    <n v="11185"/>
    <n v="2.3736930742065265"/>
    <n v="0.4834366560438087"/>
    <m/>
    <m/>
    <m/>
    <m/>
    <m/>
    <m/>
    <m/>
    <n v="75"/>
    <n v="0"/>
    <n v="7"/>
    <n v="48301.315081000001"/>
    <n v="23496.767129"/>
    <n v="0.48646226483888805"/>
    <s v="31% - 50%"/>
    <n v="6.836095307286075E-4"/>
    <s v="N.D."/>
    <s v="N.D."/>
    <s v="N.D."/>
    <n v="0.92924552233834268"/>
    <s v="Aceptable"/>
    <n v="2"/>
    <s v="Candidato"/>
    <n v="0"/>
    <n v="0"/>
  </r>
  <r>
    <n v="52385"/>
    <s v="52385"/>
    <x v="18"/>
    <x v="18"/>
    <s v="LA LLANADA"/>
    <n v="66.866366666666707"/>
    <n v="49.19"/>
    <n v="49.61"/>
    <n v="55.42"/>
    <n v="49.817977684768259"/>
    <n v="56.739967356246474"/>
    <n v="35.163571629020225"/>
    <n v="44.510899999999999"/>
    <n v="55.27159166666668"/>
    <n v="46.558104167508738"/>
    <n v="50.914847917087712"/>
    <n v="61.397042553776302"/>
    <n v="38.602957446223698"/>
    <n v="0.44742661701601327"/>
    <n v="0"/>
    <n v="22.780658159427364"/>
    <n v="4"/>
    <n v="4"/>
    <b v="1"/>
    <x v="5"/>
    <n v="53.961397270607023"/>
    <n v="0.45503183484289822"/>
    <n v="24.554153610730875"/>
    <n v="4"/>
    <n v="0"/>
    <n v="-3.0465493535193104"/>
    <n v="-7.6052178268849469E-3"/>
    <n v="-1.7734954513035106"/>
    <n v="4"/>
    <b v="1"/>
    <n v="0"/>
    <n v="0.6523467210059386"/>
    <n v="35.201540570379294"/>
    <n v="0.26970815477219567"/>
    <n v="4"/>
    <n v="0"/>
    <n v="26.970815477219567"/>
    <n v="4"/>
    <n v="-0.20492010398992533"/>
    <b v="1"/>
    <n v="0"/>
    <n v="4"/>
    <n v="0"/>
    <n v="0"/>
    <n v="0"/>
    <n v="0"/>
    <n v="0"/>
    <n v="1"/>
    <s v="Rural"/>
    <n v="6"/>
    <s v="Fuera SC"/>
    <m/>
    <s v="No"/>
    <s v="Si"/>
    <n v="33.6"/>
    <n v="18.925014095094905"/>
    <n v="47.578135935775137"/>
    <s v="Alto"/>
    <n v="53.751477900878228"/>
    <s v="Muy Alto"/>
    <n v="13934.380513"/>
    <n v="2440.4292230000001"/>
    <n v="6565"/>
    <n v="2.1225255922315309"/>
    <n v="0.37173331652703734"/>
    <m/>
    <m/>
    <m/>
    <m/>
    <m/>
    <m/>
    <m/>
    <n v="70"/>
    <n v="0"/>
    <n v="7"/>
    <n v="24528.1299"/>
    <n v="20749.882269000002"/>
    <n v="0.84596267035425321"/>
    <s v="71% - 100%"/>
    <n v="6.0369229531486769E-4"/>
    <n v="4355.0264569999999"/>
    <n v="0.17755232358745784"/>
    <s v="0% - 30%"/>
    <n v="0.9399645875464453"/>
    <s v="Aceptable"/>
    <n v="1"/>
    <s v="Candidato"/>
    <n v="0"/>
    <n v="0"/>
  </r>
  <r>
    <n v="68468"/>
    <s v="68468"/>
    <x v="0"/>
    <x v="0"/>
    <s v="MOLAGAVITA"/>
    <n v="64.868099999999998"/>
    <n v="75.67"/>
    <n v="72.540000000000006"/>
    <n v="72.37"/>
    <n v="47.439602784444183"/>
    <n v="46.423625022058943"/>
    <n v="47.235021601561314"/>
    <n v="42.905700000000003"/>
    <n v="71.362025000000003"/>
    <n v="46.000987352016104"/>
    <n v="58.681506176008057"/>
    <n v="60.766482339724618"/>
    <n v="39.233517660275382"/>
    <n v="0.45310165894247845"/>
    <n v="0"/>
    <n v="26.588687797592545"/>
    <n v="4"/>
    <n v="4"/>
    <b v="1"/>
    <x v="5"/>
    <n v="57.64016257742481"/>
    <n v="0.45541502770655207"/>
    <n v="26.250196237208087"/>
    <n v="4"/>
    <n v="0"/>
    <n v="1.0413435985832464"/>
    <n v="-2.31336876407362E-3"/>
    <n v="0.33849156038445827"/>
    <n v="4"/>
    <b v="1"/>
    <n v="0"/>
    <n v="0.6523467210059386"/>
    <n v="37.601371055632285"/>
    <n v="0.29972750448293578"/>
    <n v="4"/>
    <n v="0"/>
    <n v="29.972750448293578"/>
    <n v="4"/>
    <n v="-0.19924506206346015"/>
    <b v="1"/>
    <n v="0"/>
    <n v="4"/>
    <n v="0"/>
    <n v="0"/>
    <n v="0"/>
    <n v="0"/>
    <n v="0"/>
    <n v="0"/>
    <s v="Rural disperso"/>
    <n v="6"/>
    <s v="Fuera SC"/>
    <m/>
    <s v="No"/>
    <s v="Si"/>
    <n v="51.9"/>
    <n v="26.845466155810982"/>
    <n v="17.580000000000002"/>
    <s v="Medio"/>
    <n v="0"/>
    <s v="Bajo"/>
    <n v="14555.66898"/>
    <n v="3606.1429139499996"/>
    <n v="4660"/>
    <n v="3.1235341158798282"/>
    <n v="0.77385041071888405"/>
    <m/>
    <m/>
    <m/>
    <m/>
    <m/>
    <m/>
    <m/>
    <n v="58"/>
    <n v="0"/>
    <n v="7"/>
    <n v="18009.854330999999"/>
    <n v="2225.3828389999999"/>
    <n v="0.12356473284570066"/>
    <s v="0% - 30%"/>
    <n v="6.4744775734815362E-5"/>
    <s v="N.D."/>
    <s v="N.D."/>
    <s v="N.D."/>
    <n v="0.96613928024542906"/>
    <s v="Aceptable"/>
    <n v="2"/>
    <s v="Candidato"/>
    <n v="0"/>
    <n v="0"/>
  </r>
  <r>
    <n v="41660"/>
    <s v="41660"/>
    <x v="19"/>
    <x v="19"/>
    <s v="SALADOBLANCO"/>
    <n v="70.160166666666697"/>
    <n v="78.81"/>
    <n v="77.17"/>
    <n v="89.28"/>
    <n v="43.49702134056777"/>
    <n v="55.414625030654811"/>
    <n v="50.944110778351742"/>
    <n v="50.5002"/>
    <n v="78.855041666666665"/>
    <n v="50.088989287393588"/>
    <n v="64.472015477030126"/>
    <n v="61.710042068660954"/>
    <n v="38.289957931339046"/>
    <n v="0.4446096213820514"/>
    <n v="0"/>
    <n v="28.664878390980121"/>
    <n v="4"/>
    <n v="4"/>
    <b v="1"/>
    <x v="4"/>
    <n v="61.972498436387902"/>
    <n v="0.45403582241033025"/>
    <n v="28.137734294388288"/>
    <n v="3"/>
    <n v="0"/>
    <n v="2.4995170406422247"/>
    <n v="-9.4262010282788466E-3"/>
    <n v="0.52714409659183303"/>
    <n v="3"/>
    <b v="1"/>
    <n v="0"/>
    <n v="0.6523467210059386"/>
    <n v="40.427556147523305"/>
    <n v="0.33508010090260032"/>
    <n v="4"/>
    <n v="1"/>
    <n v="33.508010090260029"/>
    <n v="4"/>
    <n v="-0.2077370996238872"/>
    <b v="0"/>
    <s v="Cambio en corte"/>
    <n v="4"/>
    <n v="1"/>
    <n v="0"/>
    <n v="0"/>
    <n v="0"/>
    <n v="0"/>
    <n v="0"/>
    <s v="Rural disperso"/>
    <n v="6"/>
    <s v="Fuera SC"/>
    <m/>
    <s v="No"/>
    <s v="Si"/>
    <n v="57.8"/>
    <n v="20.615996025832093"/>
    <n v="0"/>
    <s v="Sin riesgo"/>
    <n v="1.0162550935136412"/>
    <s v="Medio Bajo"/>
    <n v="29976.674739999999"/>
    <n v="3717.6406825999998"/>
    <n v="10768"/>
    <n v="2.7838665248885586"/>
    <n v="0.34524894897845465"/>
    <m/>
    <m/>
    <m/>
    <m/>
    <m/>
    <m/>
    <m/>
    <n v="54"/>
    <n v="0"/>
    <n v="7"/>
    <n v="46672.644800000002"/>
    <n v="31468.290899"/>
    <n v="0.67423414794355085"/>
    <s v="51% - 70%"/>
    <n v="9.1553120717387097E-4"/>
    <s v="N.D."/>
    <s v="N.D."/>
    <s v="N.D."/>
    <n v="0.92705889907376293"/>
    <s v="Aceptable"/>
    <n v="2"/>
    <s v="Candidato"/>
    <n v="0"/>
    <n v="0"/>
  </r>
  <r>
    <n v="73686"/>
    <s v="73686"/>
    <x v="15"/>
    <x v="15"/>
    <s v="SANTA ISABEL"/>
    <n v="52.187666666666701"/>
    <n v="67.17"/>
    <n v="31.01"/>
    <n v="51.3"/>
    <n v="43.200966037258425"/>
    <n v="59.959327057574797"/>
    <n v="10.362871559642876"/>
    <n v="52.032200000000003"/>
    <n v="50.41691666666668"/>
    <n v="41.38884116361902"/>
    <n v="45.90287891514285"/>
    <n v="61.211137741640933"/>
    <n v="38.788862258359067"/>
    <n v="0.44909976032523169"/>
    <n v="0"/>
    <n v="20.614971919028786"/>
    <n v="5"/>
    <n v="5"/>
    <b v="1"/>
    <x v="6"/>
    <n v="44.989769370972482"/>
    <n v="0.45378257870169303"/>
    <n v="20.415573560354339"/>
    <n v="4"/>
    <n v="-1"/>
    <n v="0.91310954417036783"/>
    <n v="-4.6828183764613396E-3"/>
    <n v="0.199398358674447"/>
    <n v="4"/>
    <b v="0"/>
    <s v="Cambio en corte"/>
    <n v="0.6523467210059386"/>
    <n v="29.348928527967306"/>
    <n v="0.1964981473562207"/>
    <n v="4"/>
    <n v="-1"/>
    <n v="19.649814735622069"/>
    <n v="4"/>
    <n v="-0.20324696068070691"/>
    <b v="0"/>
    <s v="Cambio en corte"/>
    <n v="4"/>
    <n v="-1"/>
    <n v="0"/>
    <n v="0"/>
    <n v="0"/>
    <n v="0"/>
    <n v="1"/>
    <s v="Rural"/>
    <n v="6"/>
    <s v="Fuera SC"/>
    <m/>
    <s v="No"/>
    <s v="Si"/>
    <n v="50.9"/>
    <n v="12.315957023477916"/>
    <n v="4.3704761904761904"/>
    <s v="Sin riesgo"/>
    <n v="2.2055466066702065"/>
    <s v="Medio Bajo"/>
    <n v="14077.620435999999"/>
    <n v="2746.772238"/>
    <n v="5933"/>
    <n v="2.3727659592111916"/>
    <n v="0.46296515051407383"/>
    <m/>
    <m/>
    <m/>
    <m/>
    <m/>
    <m/>
    <m/>
    <n v="18"/>
    <n v="0"/>
    <n v="7"/>
    <n v="27005.215758999999"/>
    <n v="26356.284032"/>
    <n v="0.97597013359229579"/>
    <s v="71% - 100%"/>
    <n v="7.6680365685831333E-4"/>
    <s v="N.D."/>
    <s v="N.D."/>
    <s v="N.D."/>
    <n v="0.93686591020707777"/>
    <s v="Aceptable"/>
    <n v="1"/>
    <s v="Candidato"/>
    <n v="0"/>
    <n v="0"/>
  </r>
  <r>
    <n v="54385"/>
    <s v="54385"/>
    <x v="12"/>
    <x v="12"/>
    <s v="LA ESPERANZA"/>
    <n v="51.019033333333297"/>
    <n v="48.64"/>
    <n v="50.93"/>
    <n v="43.78"/>
    <n v="70.351662164921663"/>
    <n v="64.591605245680171"/>
    <n v="57.313466043219826"/>
    <n v="48.279600000000002"/>
    <n v="48.592258333333326"/>
    <n v="60.134083363455417"/>
    <n v="54.363170848394375"/>
    <n v="61.896333393099432"/>
    <n v="38.103666606900568"/>
    <n v="0.44293299946210507"/>
    <n v="0"/>
    <n v="24.079242324150194"/>
    <n v="4"/>
    <n v="4"/>
    <b v="1"/>
    <x v="5"/>
    <n v="57.662850196321905"/>
    <n v="0.45173226077227213"/>
    <n v="26.048169681757351"/>
    <n v="4"/>
    <n v="0"/>
    <n v="-3.2996793479275297"/>
    <n v="-8.7992613101670614E-3"/>
    <n v="-1.9689273576071571"/>
    <n v="4"/>
    <b v="1"/>
    <n v="0"/>
    <n v="0.6523467210059386"/>
    <n v="37.616171249427239"/>
    <n v="0.29991263930643586"/>
    <n v="4"/>
    <n v="0"/>
    <n v="29.991263930643587"/>
    <n v="4"/>
    <n v="-0.20941372154383353"/>
    <b v="1"/>
    <n v="0"/>
    <n v="4"/>
    <n v="0"/>
    <n v="0"/>
    <n v="0"/>
    <n v="0"/>
    <n v="0"/>
    <n v="0"/>
    <s v="Rural disperso"/>
    <n v="6"/>
    <s v="Fuera SC"/>
    <m/>
    <s v="No"/>
    <s v="No"/>
    <n v="57.1"/>
    <n v="30.724637681159422"/>
    <n v="14.139999999999997"/>
    <s v="Medio"/>
    <n v="6.3635400211604685"/>
    <s v="Medio"/>
    <n v="29527.513643999999"/>
    <n v="6089.9413477500002"/>
    <n v="12516"/>
    <n v="2.359181339405561"/>
    <n v="0.48657249502636629"/>
    <m/>
    <m/>
    <m/>
    <m/>
    <m/>
    <m/>
    <m/>
    <n v="8"/>
    <n v="0"/>
    <n v="7"/>
    <n v="66875.090718000007"/>
    <n v="2827.570127"/>
    <n v="4.2281365103837308E-2"/>
    <s v="0% - 30%"/>
    <n v="8.2264673987215184E-5"/>
    <s v="N.D."/>
    <s v="N.D."/>
    <s v="N.D."/>
    <n v="0.82152864781175605"/>
    <s v="Crítico bajo"/>
    <n v="1"/>
    <s v="Candidato"/>
    <n v="0"/>
    <n v="0"/>
  </r>
  <r>
    <n v="54680"/>
    <s v="54680"/>
    <x v="12"/>
    <x v="12"/>
    <s v="SANTIAGO"/>
    <n v="55.549833333333297"/>
    <n v="60.44"/>
    <n v="53"/>
    <n v="43.4"/>
    <n v="59.032264235806451"/>
    <n v="53.479564288524308"/>
    <n v="54.177726666505741"/>
    <n v="45.22"/>
    <n v="53.097458333333329"/>
    <n v="52.977388797709125"/>
    <n v="53.037423565521223"/>
    <n v="60.870860375964305"/>
    <n v="39.129139624035695"/>
    <n v="0.45216225661632126"/>
    <n v="0"/>
    <n v="23.981521124501732"/>
    <n v="4"/>
    <n v="4"/>
    <b v="1"/>
    <x v="5"/>
    <n v="55.311618318544802"/>
    <n v="0.45546098450881112"/>
    <n v="25.192284134140007"/>
    <n v="4"/>
    <n v="0"/>
    <n v="-2.2741947530235791"/>
    <n v="-3.2987278924898611E-3"/>
    <n v="-1.2107630096382742"/>
    <n v="4"/>
    <b v="1"/>
    <n v="0"/>
    <n v="0.6523467210059386"/>
    <n v="36.082352843634709"/>
    <n v="0.28072618784696879"/>
    <n v="4"/>
    <n v="0"/>
    <n v="28.072618784696878"/>
    <n v="4"/>
    <n v="-0.20018446438961734"/>
    <b v="1"/>
    <n v="0"/>
    <n v="4"/>
    <n v="0"/>
    <n v="0"/>
    <n v="0"/>
    <n v="0"/>
    <n v="0"/>
    <n v="1"/>
    <s v="Rural"/>
    <n v="6"/>
    <s v="Fuera SC"/>
    <m/>
    <s v="No"/>
    <s v="No"/>
    <n v="48.1"/>
    <n v="19.909061383566094"/>
    <n v="32.319207027540358"/>
    <s v="Medio"/>
    <n v="49.659144680201969"/>
    <s v="Muy Alto"/>
    <n v="12466.449477"/>
    <n v="4140.8394065000002"/>
    <n v="4040"/>
    <n v="3.085754821039604"/>
    <n v="1.0249602491336633"/>
    <m/>
    <m/>
    <m/>
    <m/>
    <m/>
    <m/>
    <m/>
    <n v="1"/>
    <n v="0"/>
    <n v="7"/>
    <n v="17217.061658999999"/>
    <n v="9902.350735"/>
    <n v="0.57514754440248361"/>
    <s v="51% - 70%"/>
    <n v="2.8809671142838316E-4"/>
    <s v="N.D."/>
    <s v="N.D."/>
    <s v="N.D."/>
    <n v="0.9442304085589821"/>
    <s v="Aceptable"/>
    <n v="1"/>
    <s v="Candidato"/>
    <n v="0"/>
    <n v="0"/>
  </r>
  <r>
    <n v="73483"/>
    <s v="73483"/>
    <x v="15"/>
    <x v="15"/>
    <s v="NATAGAIMA"/>
    <n v="55.879966666666697"/>
    <n v="31.1"/>
    <n v="8.1"/>
    <n v="28.34"/>
    <n v="50.791442623506896"/>
    <n v="49.841408091289615"/>
    <n v="55.143685346454774"/>
    <n v="53.216000000000001"/>
    <n v="30.854991666666674"/>
    <n v="52.248134015312829"/>
    <n v="41.551562840989753"/>
    <n v="60.986504816804569"/>
    <n v="39.013495183195431"/>
    <n v="0.45112145664875891"/>
    <n v="0"/>
    <n v="18.744801554859741"/>
    <n v="5"/>
    <n v="5"/>
    <b v="1"/>
    <x v="6"/>
    <n v="44.109420754637441"/>
    <n v="0.45348251135210205"/>
    <n v="20.002850898099521"/>
    <n v="5"/>
    <n v="0"/>
    <n v="-2.5578579136476876"/>
    <n v="-2.3610547033431351E-3"/>
    <n v="-1.2580493432397795"/>
    <n v="5"/>
    <b v="1"/>
    <n v="0"/>
    <n v="0.6523467210059386"/>
    <n v="28.774635994759027"/>
    <n v="0.18931435312717593"/>
    <n v="4"/>
    <n v="-1"/>
    <n v="18.931435312717593"/>
    <n v="4"/>
    <n v="-0.20122526435717969"/>
    <b v="0"/>
    <s v="Cambio en corte"/>
    <n v="4"/>
    <n v="-1"/>
    <n v="0"/>
    <n v="0"/>
    <n v="0"/>
    <n v="0"/>
    <n v="0"/>
    <s v="Rural"/>
    <n v="6"/>
    <s v="Fuera SC"/>
    <m/>
    <s v="No"/>
    <s v="No"/>
    <n v="42.1"/>
    <n v="20.65994115174443"/>
    <n v="46.534995197569742"/>
    <s v="Alto"/>
    <n v="1.5675841793278258"/>
    <s v="Medio Bajo"/>
    <n v="41142.547922999998"/>
    <n v="6023.9657710000001"/>
    <n v="15717"/>
    <n v="2.6177099906470698"/>
    <n v="0.38327707393268434"/>
    <m/>
    <m/>
    <m/>
    <m/>
    <m/>
    <m/>
    <m/>
    <n v="23"/>
    <n v="0"/>
    <n v="7"/>
    <n v="85935.024130000005"/>
    <n v="11523.919453"/>
    <n v="0.13410038071982094"/>
    <s v="0% - 30%"/>
    <n v="3.3527425820621291E-4"/>
    <n v="9326.3653890000005"/>
    <n v="0.10852810578014555"/>
    <s v="0% - 30%"/>
    <n v="0.84853664419415709"/>
    <s v="Crítico bajo"/>
    <n v="1"/>
    <s v="Candidato"/>
    <n v="0"/>
    <n v="0"/>
  </r>
  <r>
    <n v="54051"/>
    <s v="54051"/>
    <x v="12"/>
    <x v="12"/>
    <s v="ARBOLEDAS"/>
    <n v="54.189300000000003"/>
    <n v="34.1"/>
    <n v="49.6"/>
    <n v="74.099999999999994"/>
    <n v="57.67244071266488"/>
    <n v="48.477159620953124"/>
    <n v="59.023754137121742"/>
    <n v="52.513599999999997"/>
    <n v="52.997324999999996"/>
    <n v="54.421738617684937"/>
    <n v="53.70953180884247"/>
    <n v="61.435576321608934"/>
    <n v="38.564423678391066"/>
    <n v="0.44707981310551959"/>
    <n v="0"/>
    <n v="24.012447443082252"/>
    <n v="4"/>
    <n v="4"/>
    <b v="1"/>
    <x v="5"/>
    <n v="51.328834126809141"/>
    <n v="0.45508945654253896"/>
    <n v="23.359211227731699"/>
    <n v="4"/>
    <n v="0"/>
    <n v="2.380697682033329"/>
    <n v="-8.0096434370193759E-3"/>
    <n v="0.6532362153505531"/>
    <n v="4"/>
    <b v="1"/>
    <n v="0"/>
    <n v="0.6523467210059386"/>
    <n v="33.484196635681663"/>
    <n v="0.24822599240026808"/>
    <n v="4"/>
    <n v="0"/>
    <n v="24.822599240026808"/>
    <n v="4"/>
    <n v="-0.20526690790041902"/>
    <b v="1"/>
    <n v="0"/>
    <n v="4"/>
    <n v="0"/>
    <n v="0"/>
    <n v="0"/>
    <n v="0"/>
    <n v="0"/>
    <n v="0"/>
    <s v="Rural disperso"/>
    <n v="6"/>
    <s v="Fuera SC"/>
    <m/>
    <s v="No"/>
    <s v="No"/>
    <n v="53.5"/>
    <n v="29.967909158232533"/>
    <n v="0"/>
    <s v="Sin riesgo"/>
    <n v="0.10151016712861752"/>
    <s v="Bajo"/>
    <n v="28905.164537000001"/>
    <n v="6447.5951942499996"/>
    <n v="10559"/>
    <n v="2.7374907223221898"/>
    <n v="0.61062555111753003"/>
    <m/>
    <m/>
    <m/>
    <m/>
    <m/>
    <m/>
    <m/>
    <n v="1"/>
    <n v="0"/>
    <n v="7"/>
    <n v="45521.921240999996"/>
    <n v="38111.013454"/>
    <n v="0.83720133981679901"/>
    <s v="71% - 100%"/>
    <n v="1.1087930471390503E-3"/>
    <s v="N.D."/>
    <s v="N.D."/>
    <s v="N.D."/>
    <n v="0.94810271502717913"/>
    <s v="Aceptable"/>
    <n v="2"/>
    <s v="Candidato"/>
    <n v="0"/>
    <n v="0"/>
  </r>
  <r>
    <n v="25580"/>
    <s v="25580"/>
    <x v="5"/>
    <x v="5"/>
    <s v="PULÍ"/>
    <n v="51.275100000000002"/>
    <n v="51.94"/>
    <n v="0"/>
    <n v="64.92"/>
    <n v="53.274298312500797"/>
    <n v="54.641377425224931"/>
    <n v="54.898281115161844"/>
    <n v="54.106900000000003"/>
    <n v="42.033775000000006"/>
    <n v="54.230214213221892"/>
    <n v="48.131994606610945"/>
    <n v="62.006959431416263"/>
    <n v="37.993040568583737"/>
    <n v="0.44193736511725368"/>
    <n v="0"/>
    <n v="21.271326874283506"/>
    <n v="5"/>
    <n v="5"/>
    <b v="1"/>
    <x v="5"/>
    <n v="51.830215877963553"/>
    <n v="0.45149775765312672"/>
    <n v="23.40122624757803"/>
    <n v="4"/>
    <n v="0"/>
    <n v="-3.6982212713526081"/>
    <n v="-9.5603925358730413E-3"/>
    <n v="-2.1298993732945242"/>
    <n v="4"/>
    <b v="1"/>
    <n v="0"/>
    <n v="0.6523467210059386"/>
    <n v="33.811271377019459"/>
    <n v="0.25231735264512889"/>
    <n v="4"/>
    <n v="0"/>
    <n v="25.231735264512889"/>
    <n v="4"/>
    <n v="-0.21040935588868492"/>
    <b v="1"/>
    <n v="0"/>
    <n v="4"/>
    <n v="0"/>
    <n v="0"/>
    <n v="0"/>
    <n v="0"/>
    <n v="0"/>
    <n v="1"/>
    <s v="Rural disperso"/>
    <n v="6"/>
    <s v="Fuera SC"/>
    <m/>
    <s v="No"/>
    <s v="No"/>
    <n v="46"/>
    <n v="10.380348652931854"/>
    <n v="10.566363636363635"/>
    <s v="Bajo"/>
    <n v="2.2219323004753342"/>
    <s v="Medio Bajo"/>
    <n v="8703.3668660000003"/>
    <n v="2372.833337"/>
    <n v="3652"/>
    <n v="2.383178221796276"/>
    <n v="0.64973530585980288"/>
    <m/>
    <m/>
    <m/>
    <m/>
    <m/>
    <m/>
    <m/>
    <n v="52"/>
    <n v="0"/>
    <n v="7"/>
    <n v="19751.970944000001"/>
    <n v="14317.380146"/>
    <n v="0.72485830333550327"/>
    <s v="71% - 100%"/>
    <n v="4.1654656017722081E-4"/>
    <s v="N.D."/>
    <s v="N.D."/>
    <s v="N.D."/>
    <n v="0.97529016129598622"/>
    <s v="Aceptable"/>
    <n v="2"/>
    <s v="Candidato"/>
    <n v="0"/>
    <n v="0"/>
  </r>
  <r>
    <n v="52520"/>
    <s v="52520"/>
    <x v="18"/>
    <x v="18"/>
    <s v="FRANCISCO PIZARRO"/>
    <n v="60.897133333333301"/>
    <n v="44.66"/>
    <n v="39.049999999999997"/>
    <n v="35.39"/>
    <n v="58.744206396193348"/>
    <n v="57.288083866036644"/>
    <n v="64.368594712033158"/>
    <n v="54.5351"/>
    <n v="44.999283333333324"/>
    <n v="58.733996243565784"/>
    <n v="51.866639788449554"/>
    <n v="61.150804825709727"/>
    <n v="38.849195174290273"/>
    <n v="0.44964275656861252"/>
    <n v="0"/>
    <n v="23.321458888429735"/>
    <n v="4"/>
    <n v="4"/>
    <b v="1"/>
    <x v="5"/>
    <n v="55.146466125281663"/>
    <n v="0.45269788576372494"/>
    <n v="24.964688622255885"/>
    <n v="4"/>
    <n v="0"/>
    <n v="-3.2798263368321088"/>
    <n v="-3.055129195112416E-3"/>
    <n v="-1.6432297338261499"/>
    <n v="4"/>
    <b v="1"/>
    <n v="0"/>
    <n v="0.6523467210059386"/>
    <n v="35.974616351892564"/>
    <n v="0.27937851790024137"/>
    <n v="4"/>
    <n v="0"/>
    <n v="27.937851790024137"/>
    <n v="4"/>
    <n v="-0.20270396443732608"/>
    <b v="1"/>
    <n v="0"/>
    <n v="4"/>
    <n v="0"/>
    <n v="0"/>
    <n v="0"/>
    <n v="0"/>
    <n v="1"/>
    <n v="1"/>
    <s v="Rural"/>
    <n v="6"/>
    <s v="Fuera SC"/>
    <m/>
    <s v="No"/>
    <s v="No"/>
    <n v="69.5"/>
    <n v="49.959623149394346"/>
    <n v="67.847598229109011"/>
    <s v="Alto"/>
    <n v="8.2330153721747923"/>
    <s v="Medio"/>
    <n v="25265.049171999999"/>
    <n v="6717.1064280000001"/>
    <n v="15667"/>
    <n v="1.61262840186379"/>
    <n v="0.42874235194995852"/>
    <m/>
    <m/>
    <m/>
    <m/>
    <m/>
    <m/>
    <m/>
    <n v="97"/>
    <n v="0"/>
    <n v="7"/>
    <n v="52608.278047"/>
    <n v="13506.271054999999"/>
    <n v="0.25673281005193815"/>
    <s v="0% - 30%"/>
    <n v="3.9294833911029497E-4"/>
    <n v="43253.523519000002"/>
    <n v="0.82218094042837708"/>
    <s v="71% - 100%"/>
    <n v="0.95526833570693626"/>
    <s v="Aceptable"/>
    <n v="1"/>
    <s v="Candidato"/>
    <n v="0"/>
    <n v="0"/>
  </r>
  <r>
    <n v="19585"/>
    <s v="19585"/>
    <x v="13"/>
    <x v="13"/>
    <s v="PURACÉ"/>
    <n v="68.245566666666704"/>
    <n v="65.19"/>
    <n v="83.04"/>
    <n v="80.19"/>
    <n v="44.850372226959095"/>
    <n v="38.562353781893137"/>
    <n v="48.985606072414917"/>
    <n v="49.086599999999997"/>
    <n v="74.166391666666684"/>
    <n v="45.371233020316787"/>
    <n v="59.768812343491732"/>
    <n v="57.661660252656013"/>
    <n v="42.338339747343987"/>
    <n v="0.48104505772609596"/>
    <n v="0"/>
    <n v="28.751491783995178"/>
    <n v="4"/>
    <n v="4"/>
    <b v="1"/>
    <x v="4"/>
    <n v="57.176182194950357"/>
    <n v="0.4538248136696349"/>
    <n v="25.947970230964444"/>
    <n v="4"/>
    <n v="1"/>
    <n v="2.5926301485413745"/>
    <n v="2.7220244056461063E-2"/>
    <n v="2.803521553030734"/>
    <n v="3"/>
    <b v="1"/>
    <s v="Efecto ponderador"/>
    <n v="0.6523467210059386"/>
    <n v="37.298694974513992"/>
    <n v="0.29594134575880887"/>
    <n v="4"/>
    <n v="1"/>
    <n v="29.594134575880886"/>
    <n v="4"/>
    <n v="-0.17130166327984264"/>
    <b v="0"/>
    <s v="Cambio en corte"/>
    <n v="3"/>
    <n v="0"/>
    <n v="0"/>
    <n v="0"/>
    <n v="0"/>
    <n v="0"/>
    <n v="0"/>
    <s v="Rural disperso"/>
    <n v="6"/>
    <s v="Fuera SC"/>
    <m/>
    <s v="No"/>
    <s v="No"/>
    <n v="39.5"/>
    <n v="20.75041876046901"/>
    <n v="11.307483842669672"/>
    <s v="Bajo"/>
    <n v="1.1631913550741981"/>
    <s v="Medio Bajo"/>
    <n v="33618.324173000001"/>
    <n v="5001.8979676999998"/>
    <n v="18062"/>
    <n v="1.8612736226885174"/>
    <n v="0.27692935265751301"/>
    <m/>
    <m/>
    <m/>
    <m/>
    <m/>
    <m/>
    <m/>
    <n v="46"/>
    <n v="0"/>
    <n v="7"/>
    <n v="50645.343327000002"/>
    <n v="34944.113482000001"/>
    <n v="0.68997683076956506"/>
    <s v="51% - 70%"/>
    <n v="1.016655988800868E-3"/>
    <n v="17516.360905000001"/>
    <n v="0.34586320783537255"/>
    <s v="31% - 50%"/>
    <n v="0.92453056116648713"/>
    <s v="Aceptable"/>
    <n v="2"/>
    <s v="Candidato"/>
    <n v="0"/>
    <n v="0"/>
  </r>
  <r>
    <n v="5585"/>
    <s v="05585"/>
    <x v="1"/>
    <x v="1"/>
    <s v="PUERTO NARE"/>
    <n v="66.461100000000002"/>
    <n v="58.84"/>
    <n v="60.14"/>
    <n v="60.94"/>
    <n v="56.733734823933148"/>
    <n v="56.485419380136079"/>
    <n v="54.338219668656151"/>
    <n v="54.0642"/>
    <n v="61.595275000000001"/>
    <n v="55.405393468181344"/>
    <n v="58.500334234090673"/>
    <n v="60.115464819285677"/>
    <n v="39.884535180714323"/>
    <n v="0.45896081662642896"/>
    <n v="0"/>
    <n v="26.849361172997295"/>
    <n v="4"/>
    <n v="4"/>
    <b v="1"/>
    <x v="5"/>
    <n v="58.894898811493476"/>
    <n v="0.45337232306269282"/>
    <n v="26.701317090709022"/>
    <n v="4"/>
    <n v="0"/>
    <n v="-0.39456457740280371"/>
    <n v="5.588493563736141E-3"/>
    <n v="0.1480440822882727"/>
    <n v="4"/>
    <b v="1"/>
    <n v="0"/>
    <n v="0.6523467210059386"/>
    <n v="38.419894123654316"/>
    <n v="0.30996636525925053"/>
    <n v="4"/>
    <n v="0"/>
    <n v="30.996636525925052"/>
    <n v="4"/>
    <n v="-0.19338590437950964"/>
    <b v="1"/>
    <n v="0"/>
    <n v="4"/>
    <n v="0"/>
    <n v="0"/>
    <n v="0"/>
    <n v="0"/>
    <n v="0"/>
    <n v="0"/>
    <s v="Rural"/>
    <n v="6"/>
    <s v="Fuera SC"/>
    <m/>
    <s v="No"/>
    <s v="Si"/>
    <n v="33.1"/>
    <n v="13.75443225859652"/>
    <n v="23.935330022207399"/>
    <s v="Medio"/>
    <n v="2.164191675398889"/>
    <s v="Medio Bajo"/>
    <n v="37823.671490000001"/>
    <n v="12619.610353"/>
    <n v="15465"/>
    <n v="2.4457595531846104"/>
    <n v="0.81601101538958942"/>
    <m/>
    <m/>
    <m/>
    <m/>
    <m/>
    <m/>
    <m/>
    <n v="29"/>
    <n v="0"/>
    <n v="7"/>
    <n v="57906.711637"/>
    <n v="813.07220199999995"/>
    <n v="1.4041070180204817E-2"/>
    <s v="0% - 30%"/>
    <n v="2.3655335366187071E-5"/>
    <s v="N.D."/>
    <s v="N.D."/>
    <s v="N.D."/>
    <n v="0.87117994061562687"/>
    <s v="Aceptable"/>
    <n v="2"/>
    <s v="Candidato"/>
    <n v="0"/>
    <n v="0"/>
  </r>
  <r>
    <n v="54660"/>
    <s v="54660"/>
    <x v="12"/>
    <x v="12"/>
    <s v="SALAZAR"/>
    <n v="45.8872"/>
    <n v="64.400000000000006"/>
    <n v="38.46"/>
    <n v="65.55"/>
    <n v="53.982511356635833"/>
    <n v="45.245245524591851"/>
    <n v="54.003660436014982"/>
    <n v="42.797899999999998"/>
    <n v="53.574300000000008"/>
    <n v="49.007329329310672"/>
    <n v="51.290814664655343"/>
    <n v="61.457684014857314"/>
    <n v="38.542315985142686"/>
    <n v="0.44688084386628413"/>
    <n v="0"/>
    <n v="22.920882539930361"/>
    <n v="4"/>
    <n v="4"/>
    <b v="1"/>
    <x v="5"/>
    <n v="48.788981989789903"/>
    <n v="0.45334978469598897"/>
    <n v="22.118474480607738"/>
    <n v="4"/>
    <n v="0"/>
    <n v="2.5018326748654403"/>
    <n v="-6.468940829704839E-3"/>
    <n v="0.80240805932262305"/>
    <n v="4"/>
    <b v="1"/>
    <n v="0"/>
    <n v="0.6523467210059386"/>
    <n v="31.827332422257236"/>
    <n v="0.22750036758983286"/>
    <n v="4"/>
    <n v="0"/>
    <n v="22.750036758983285"/>
    <n v="4"/>
    <n v="-0.20546587713965447"/>
    <b v="1"/>
    <n v="0"/>
    <n v="4"/>
    <n v="0"/>
    <n v="0"/>
    <n v="0"/>
    <n v="0"/>
    <n v="0"/>
    <n v="0"/>
    <s v="Rural"/>
    <n v="6"/>
    <s v="Fuera SC"/>
    <m/>
    <s v="No"/>
    <s v="No"/>
    <n v="48.8"/>
    <n v="18.982118294360387"/>
    <n v="48.108617112482854"/>
    <s v="Alto"/>
    <n v="4.0588033009541942"/>
    <s v="Medio Bajo"/>
    <n v="23769.714253999999"/>
    <n v="4072.9081630000001"/>
    <n v="11438"/>
    <n v="2.078135535408288"/>
    <n v="0.35608569356530861"/>
    <m/>
    <m/>
    <m/>
    <m/>
    <m/>
    <m/>
    <m/>
    <n v="1"/>
    <n v="1"/>
    <n v="7"/>
    <n v="49290.551081999998"/>
    <n v="39301.297927"/>
    <n v="0.79733938988870645"/>
    <s v="71% - 100%"/>
    <n v="1.1434229094326087E-3"/>
    <s v="N.D."/>
    <s v="N.D."/>
    <s v="N.D."/>
    <n v="0.93390874721335493"/>
    <s v="Aceptable"/>
    <n v="2"/>
    <s v="Candidato"/>
    <n v="0"/>
    <n v="0"/>
  </r>
  <r>
    <n v="68318"/>
    <s v="68318"/>
    <x v="0"/>
    <x v="0"/>
    <s v="GUACA"/>
    <n v="48.172800000000002"/>
    <n v="53.01"/>
    <n v="59.85"/>
    <n v="62.49"/>
    <n v="51.809863350553847"/>
    <n v="42.452103240555061"/>
    <n v="47.735500201232462"/>
    <n v="48.705199999999998"/>
    <n v="55.880700000000004"/>
    <n v="47.675666698085344"/>
    <n v="51.778183349042678"/>
    <n v="60.150717607764847"/>
    <n v="39.849282392235153"/>
    <n v="0.45864354153011644"/>
    <n v="0"/>
    <n v="23.747729385200639"/>
    <n v="4"/>
    <n v="4"/>
    <b v="1"/>
    <x v="5"/>
    <n v="49.709092067595094"/>
    <n v="0.45237482636541593"/>
    <n v="22.487141892860805"/>
    <n v="4"/>
    <n v="0"/>
    <n v="2.0690912814475837"/>
    <n v="6.2687151647005113E-3"/>
    <n v="1.2605874923398339"/>
    <n v="4"/>
    <b v="1"/>
    <n v="0"/>
    <n v="0.6523467210059386"/>
    <n v="32.427563214477971"/>
    <n v="0.23500862209762127"/>
    <n v="4"/>
    <n v="0"/>
    <n v="23.500862209762126"/>
    <n v="4"/>
    <n v="-0.19370317947582216"/>
    <b v="1"/>
    <n v="0"/>
    <n v="4"/>
    <n v="0"/>
    <n v="0"/>
    <n v="0"/>
    <n v="0"/>
    <n v="0"/>
    <n v="0"/>
    <s v="Rural"/>
    <n v="6"/>
    <s v="Fuera SC"/>
    <m/>
    <s v="No"/>
    <s v="No"/>
    <n v="60.3"/>
    <n v="18.582375478927204"/>
    <n v="11.154"/>
    <s v="Bajo"/>
    <n v="0"/>
    <s v="Bajo"/>
    <n v="14237.008136"/>
    <n v="3270.7916908000002"/>
    <n v="6668"/>
    <n v="2.1351241955608877"/>
    <n v="0.49052064949010199"/>
    <m/>
    <m/>
    <m/>
    <m/>
    <m/>
    <m/>
    <m/>
    <n v="58"/>
    <n v="0"/>
    <n v="7"/>
    <n v="26898.355744"/>
    <n v="21829.556754000001"/>
    <n v="0.8115572922656934"/>
    <s v="71% - 100%"/>
    <n v="6.3510409609488048E-4"/>
    <s v="N.D."/>
    <s v="N.D."/>
    <s v="N.D."/>
    <n v="0.96141375743047175"/>
    <s v="Aceptable"/>
    <n v="2"/>
    <s v="Candidato"/>
    <n v="0"/>
    <n v="0"/>
  </r>
  <r>
    <n v="23807"/>
    <s v="23807"/>
    <x v="14"/>
    <x v="14"/>
    <s v="TIERRALTA"/>
    <n v="54.210700000000003"/>
    <n v="57.45"/>
    <n v="48.11"/>
    <n v="63.87"/>
    <n v="60.204383693461921"/>
    <n v="61.458289376091258"/>
    <n v="61.152323035191479"/>
    <n v="62.234000000000002"/>
    <n v="55.910175000000002"/>
    <n v="61.262249026186169"/>
    <n v="58.586212013093089"/>
    <n v="60.917758525174115"/>
    <n v="39.082241474825885"/>
    <n v="0.45174017327343297"/>
    <n v="0"/>
    <n v="26.465745566228751"/>
    <n v="4"/>
    <n v="4"/>
    <b v="1"/>
    <x v="5"/>
    <n v="56.133757599104356"/>
    <n v="0.45118090998245497"/>
    <n v="25.32647983429845"/>
    <n v="4"/>
    <n v="0"/>
    <n v="2.4524544139887325"/>
    <n v="5.5926329097799599E-4"/>
    <n v="1.1392657319303012"/>
    <n v="4"/>
    <b v="1"/>
    <n v="0"/>
    <n v="0.6523467210059386"/>
    <n v="36.618672707517916"/>
    <n v="0.28743498400972328"/>
    <n v="4"/>
    <n v="0"/>
    <n v="28.743498400972328"/>
    <n v="4"/>
    <n v="-0.20060654773250564"/>
    <b v="1"/>
    <n v="0"/>
    <n v="4"/>
    <n v="0"/>
    <n v="0"/>
    <n v="0"/>
    <n v="0"/>
    <n v="1"/>
    <n v="1"/>
    <s v="Intermedio"/>
    <n v="6"/>
    <s v="Fuera SC"/>
    <m/>
    <s v="No"/>
    <s v="Si"/>
    <n v="63.8"/>
    <n v="56.012492279724519"/>
    <n v="54.895000000000003"/>
    <s v="Alto"/>
    <n v="16.805040724033116"/>
    <s v="Alto"/>
    <n v="191962.30257900001"/>
    <n v="23468.990665000001"/>
    <n v="100490"/>
    <n v="1.9102627383719775"/>
    <n v="0.2335455335356752"/>
    <m/>
    <m/>
    <m/>
    <m/>
    <m/>
    <m/>
    <m/>
    <n v="56"/>
    <n v="0"/>
    <n v="7"/>
    <n v="493833.11881299998"/>
    <n v="339767.00630800001"/>
    <n v="0.6880198864034871"/>
    <s v="51% - 70%"/>
    <n v="9.8851030213687446E-3"/>
    <n v="113737.503577"/>
    <n v="0.23031566584757357"/>
    <s v="0% - 30%"/>
    <n v="0.72454500430416791"/>
    <s v="Crítico Medio"/>
    <n v="2"/>
    <s v="Candidato"/>
    <n v="0"/>
    <n v="0"/>
  </r>
  <r>
    <n v="13490"/>
    <s v="13490"/>
    <x v="8"/>
    <x v="8"/>
    <s v="NOROSÍ"/>
    <n v="49.478266666666698"/>
    <n v="38.76"/>
    <n v="0"/>
    <n v="35.1"/>
    <n v="53.589642737970529"/>
    <n v="40.554688626545349"/>
    <n v="65.722693872706188"/>
    <n v="60.954999999999998"/>
    <n v="30.834566666666674"/>
    <n v="55.20550630930552"/>
    <n v="43.020036487986097"/>
    <n v="60.417477889878135"/>
    <n v="39.582522110121865"/>
    <n v="0.45624269899109682"/>
    <n v="0"/>
    <n v="19.627577557974242"/>
    <n v="5"/>
    <n v="5"/>
    <b v="1"/>
    <x v="6"/>
    <n v="47.419389079618981"/>
    <n v="0.4509467424289586"/>
    <n v="21.383619033425514"/>
    <n v="4"/>
    <n v="-1"/>
    <n v="-4.3993525916328835"/>
    <n v="5.2959565621382154E-3"/>
    <n v="-1.7560414754512728"/>
    <n v="5"/>
    <b v="1"/>
    <s v="Efecto ponderador"/>
    <n v="0.6523467210059386"/>
    <n v="30.933882978194255"/>
    <n v="0.21632425682909073"/>
    <n v="4"/>
    <n v="-1"/>
    <n v="21.632425682909073"/>
    <n v="4"/>
    <n v="-0.19610402201484178"/>
    <b v="0"/>
    <s v="Cambio en corte"/>
    <n v="5"/>
    <n v="0"/>
    <n v="0"/>
    <n v="0"/>
    <n v="0"/>
    <n v="0"/>
    <n v="0"/>
    <s v="Rural disperso"/>
    <n v="6"/>
    <s v="Fuera SC"/>
    <m/>
    <s v="No"/>
    <s v="No"/>
    <n v="66.2"/>
    <n v="66.328600405679509"/>
    <n v="14.035625"/>
    <s v="Medio"/>
    <n v="18.407777409252351"/>
    <s v="Alto"/>
    <n v="26816.691767"/>
    <n v="5620.498028"/>
    <n v="12515"/>
    <n v="2.1427640245305635"/>
    <n v="0.44910092113463845"/>
    <m/>
    <m/>
    <m/>
    <m/>
    <m/>
    <m/>
    <m/>
    <n v="8"/>
    <n v="0"/>
    <n v="7"/>
    <n v="41585.261745000003"/>
    <n v="18275.044327"/>
    <n v="0.43945964411772148"/>
    <s v="31% - 50%"/>
    <n v="5.3168993027155479E-4"/>
    <s v="N.D."/>
    <s v="N.D."/>
    <s v="N.D."/>
    <n v="0.85419665753177121"/>
    <s v="Aceptable"/>
    <n v="2"/>
    <s v="Candidato"/>
    <n v="0"/>
    <n v="0"/>
  </r>
  <r>
    <n v="73226"/>
    <s v="73226"/>
    <x v="15"/>
    <x v="15"/>
    <s v="CUNDAY"/>
    <n v="54.293900000000001"/>
    <n v="54.8"/>
    <n v="55.56"/>
    <n v="63.71"/>
    <n v="47.949253559948275"/>
    <n v="39.464447152152665"/>
    <n v="40.028243458982274"/>
    <n v="43.000799999999998"/>
    <n v="57.090975"/>
    <n v="42.610686042770801"/>
    <n v="49.850830521385404"/>
    <n v="61.442662833031612"/>
    <n v="38.557337166968388"/>
    <n v="0.44701603450271554"/>
    <n v="0"/>
    <n v="22.284120576336644"/>
    <n v="4"/>
    <n v="4"/>
    <b v="1"/>
    <x v="5"/>
    <n v="49.52272916792127"/>
    <n v="0.45146902421100676"/>
    <n v="22.35797821370738"/>
    <n v="4"/>
    <n v="0"/>
    <n v="0.3281013534641346"/>
    <n v="-4.4529897082912218E-3"/>
    <n v="-7.3857637370736029E-2"/>
    <n v="4"/>
    <b v="1"/>
    <n v="0"/>
    <n v="0.6523467210059386"/>
    <n v="32.305989987958597"/>
    <n v="0.23348786918412398"/>
    <n v="4"/>
    <n v="0"/>
    <n v="23.348786918412397"/>
    <n v="4"/>
    <n v="-0.20533068650322306"/>
    <b v="1"/>
    <n v="0"/>
    <n v="4"/>
    <n v="0"/>
    <n v="0"/>
    <n v="0"/>
    <n v="0"/>
    <n v="0"/>
    <n v="0"/>
    <s v="Rural disperso"/>
    <n v="6"/>
    <s v="Fuera SC"/>
    <m/>
    <s v="No"/>
    <s v="No"/>
    <n v="40.799999999999997"/>
    <n v="19.028600876062871"/>
    <n v="11.496363636363638"/>
    <s v="Bajo"/>
    <n v="4.3696511875647177"/>
    <s v="Medio Bajo"/>
    <n v="16884.35139"/>
    <n v="2836.4364599"/>
    <n v="9022"/>
    <n v="1.871464352693416"/>
    <n v="0.31439109508978053"/>
    <m/>
    <m/>
    <m/>
    <m/>
    <m/>
    <m/>
    <m/>
    <n v="6"/>
    <n v="0"/>
    <n v="7"/>
    <n v="50702.544562000003"/>
    <n v="1156.3323350000001"/>
    <n v="2.280619927439767E-2"/>
    <s v="0% - 30%"/>
    <n v="3.3642066610944321E-5"/>
    <s v="N.D."/>
    <s v="N.D."/>
    <s v="N.D."/>
    <n v="0.69747188238749569"/>
    <s v="Crítico Medio"/>
    <n v="1"/>
    <s v="Candidato"/>
    <n v="0"/>
    <n v="0"/>
  </r>
  <r>
    <n v="5652"/>
    <s v="05652"/>
    <x v="1"/>
    <x v="1"/>
    <s v="SAN FRANCISCO"/>
    <n v="54.890833333333298"/>
    <n v="62.33"/>
    <n v="63.3"/>
    <n v="62.75"/>
    <n v="58.992181217803683"/>
    <n v="53.599832897921651"/>
    <n v="56.91935692324175"/>
    <n v="52.051000000000002"/>
    <n v="60.817708333333329"/>
    <n v="55.390592759741764"/>
    <n v="58.104150546537547"/>
    <n v="61.352140918024965"/>
    <n v="38.647859081975035"/>
    <n v="0.44783073173777532"/>
    <n v="0"/>
    <n v="26.020824256257768"/>
    <n v="4"/>
    <n v="4"/>
    <b v="1"/>
    <x v="5"/>
    <n v="56.254538213401972"/>
    <n v="0.45449758816236485"/>
    <n v="25.567551941178785"/>
    <n v="4"/>
    <n v="0"/>
    <n v="1.8496123331355747"/>
    <n v="-6.666856424589529E-3"/>
    <n v="0.45327231507898347"/>
    <n v="4"/>
    <b v="1"/>
    <n v="0"/>
    <n v="0.6523467210059386"/>
    <n v="36.697463545216046"/>
    <n v="0.28842057433595542"/>
    <n v="4"/>
    <n v="0"/>
    <n v="28.842057433595542"/>
    <n v="4"/>
    <n v="-0.20451598926816328"/>
    <b v="1"/>
    <n v="0"/>
    <n v="4"/>
    <n v="0"/>
    <n v="0"/>
    <n v="0"/>
    <n v="0"/>
    <n v="0"/>
    <n v="1"/>
    <s v="Rural"/>
    <n v="6"/>
    <s v="Fuera SC"/>
    <m/>
    <s v="No"/>
    <s v="Si"/>
    <n v="46.4"/>
    <n v="19.797051502967644"/>
    <n v="25.794795363133336"/>
    <s v="Medio"/>
    <n v="4.2909546933829548"/>
    <s v="Medio Bajo"/>
    <n v="20734.160852000001"/>
    <n v="3726.839148"/>
    <n v="6013"/>
    <n v="3.4482223269582573"/>
    <n v="0.61979696457675038"/>
    <m/>
    <m/>
    <m/>
    <m/>
    <m/>
    <m/>
    <m/>
    <n v="84"/>
    <n v="0"/>
    <n v="7"/>
    <n v="35420.157132"/>
    <n v="12944.673769999999"/>
    <n v="0.36546065342847556"/>
    <s v="31% - 50%"/>
    <n v="3.7660935705588803E-4"/>
    <s v="N.D."/>
    <s v="N.D."/>
    <s v="N.D."/>
    <n v="0.92200054353529881"/>
    <s v="Aceptable"/>
    <n v="2"/>
    <s v="Candidato"/>
    <n v="0"/>
    <n v="0"/>
  </r>
  <r>
    <n v="15236"/>
    <s v="15236"/>
    <x v="10"/>
    <x v="10"/>
    <s v="CHIVOR"/>
    <n v="49.425033333333303"/>
    <n v="62.04"/>
    <n v="60.31"/>
    <n v="51.15"/>
    <n v="53.830567570890622"/>
    <n v="54.492794987241581"/>
    <n v="58.27367563966569"/>
    <n v="60.0379"/>
    <n v="55.731258333333329"/>
    <n v="56.658734549449477"/>
    <n v="56.194996441391403"/>
    <n v="61.564958979799741"/>
    <n v="38.435041020200259"/>
    <n v="0.44591536918180241"/>
    <n v="0"/>
    <n v="25.05821258433312"/>
    <n v="4"/>
    <n v="4"/>
    <b v="1"/>
    <x v="5"/>
    <n v="55.207213216589594"/>
    <n v="0.45072142498816525"/>
    <n v="24.883073810606732"/>
    <n v="4"/>
    <n v="0"/>
    <n v="0.98778322480180947"/>
    <n v="-4.8060558063628411E-3"/>
    <n v="0.17513877372638831"/>
    <n v="4"/>
    <b v="1"/>
    <n v="0"/>
    <n v="0.6523467210059386"/>
    <n v="36.014244517717941"/>
    <n v="0.27987422448269267"/>
    <n v="4"/>
    <n v="0"/>
    <n v="27.987422448269268"/>
    <n v="4"/>
    <n v="-0.20643135182413619"/>
    <b v="1"/>
    <n v="0"/>
    <n v="4"/>
    <n v="0"/>
    <n v="0"/>
    <n v="0"/>
    <n v="0"/>
    <n v="0"/>
    <n v="1"/>
    <s v="Rural"/>
    <n v="6"/>
    <s v="Fuera SC"/>
    <m/>
    <s v="No"/>
    <s v="No"/>
    <n v="45.8"/>
    <n v="16.836428999400837"/>
    <n v="55.532896771771767"/>
    <s v="Alto"/>
    <n v="0"/>
    <s v="Bajo"/>
    <n v="10150.220160999999"/>
    <n v="2847.2540233499999"/>
    <n v="2702"/>
    <n v="3.7565581646928199"/>
    <n v="1.0537579657105847"/>
    <m/>
    <m/>
    <m/>
    <m/>
    <m/>
    <m/>
    <m/>
    <n v="98"/>
    <n v="0"/>
    <n v="7"/>
    <n v="10849.320333"/>
    <n v="5928.9776609999999"/>
    <n v="0.54648378691207367"/>
    <s v="51% - 70%"/>
    <n v="1.7249631041941143E-4"/>
    <s v="N.D."/>
    <s v="N.D."/>
    <s v="N.D."/>
    <n v="0.92467770291678675"/>
    <s v="Aceptable"/>
    <n v="2"/>
    <s v="Candidato"/>
    <n v="0"/>
    <n v="0"/>
  </r>
  <r>
    <n v="19693"/>
    <s v="19693"/>
    <x v="13"/>
    <x v="13"/>
    <s v="SAN SEBASTIÁN"/>
    <n v="56.264233333333301"/>
    <n v="76.28"/>
    <n v="53.58"/>
    <n v="60.76"/>
    <n v="35.142182042981702"/>
    <n v="45.505117234534104"/>
    <n v="51.23832648399484"/>
    <n v="48.5276"/>
    <n v="61.721058333333318"/>
    <n v="45.103306440377665"/>
    <n v="53.412182386855491"/>
    <n v="62.093217681734657"/>
    <n v="37.906782318265343"/>
    <n v="0.44116104086438812"/>
    <n v="0"/>
    <n v="23.563373976623708"/>
    <n v="4"/>
    <n v="4"/>
    <b v="1"/>
    <x v="5"/>
    <n v="51.141258420618144"/>
    <n v="0.4528497598352712"/>
    <n v="23.159306593450466"/>
    <n v="4"/>
    <n v="0"/>
    <n v="2.2709239662373477"/>
    <n v="-1.1688718970883083E-2"/>
    <n v="0.40406738317324198"/>
    <n v="4"/>
    <b v="1"/>
    <n v="0"/>
    <n v="0.6523467210059386"/>
    <n v="33.361832238807594"/>
    <n v="0.24669534277960573"/>
    <n v="4"/>
    <n v="0"/>
    <n v="24.669534277960572"/>
    <n v="4"/>
    <n v="-0.21118568014155048"/>
    <b v="1"/>
    <n v="0"/>
    <n v="4"/>
    <n v="0"/>
    <n v="0"/>
    <n v="0"/>
    <n v="0"/>
    <n v="0"/>
    <n v="0"/>
    <s v="Rural disperso"/>
    <n v="6"/>
    <s v="Fuera SC"/>
    <m/>
    <s v="No"/>
    <s v="No"/>
    <n v="46.4"/>
    <n v="15.835807145050671"/>
    <n v="0"/>
    <s v="Sin riesgo"/>
    <n v="2.0846229613488485"/>
    <s v="Medio Bajo"/>
    <n v="25155.377197999998"/>
    <n v="2994.5969030000001"/>
    <n v="10813"/>
    <n v="2.3264012945528529"/>
    <n v="0.27694413234070103"/>
    <m/>
    <m/>
    <m/>
    <m/>
    <m/>
    <m/>
    <m/>
    <n v="26"/>
    <n v="0"/>
    <n v="7"/>
    <n v="41924.426819"/>
    <n v="20015.730600999999"/>
    <n v="0.47742407278252741"/>
    <s v="31% - 50%"/>
    <n v="5.8233305578673329E-4"/>
    <n v="220.82007999999999"/>
    <n v="5.2670983661468954E-3"/>
    <s v="0% - 30%"/>
    <n v="0.84692281411627501"/>
    <s v="Crítico bajo"/>
    <n v="2"/>
    <s v="Candidato"/>
    <n v="0"/>
    <n v="0"/>
  </r>
  <r>
    <n v="5895"/>
    <s v="05895"/>
    <x v="1"/>
    <x v="1"/>
    <s v="ZARAGOZA"/>
    <n v="55.251066666666702"/>
    <n v="47.72"/>
    <n v="37.450000000000003"/>
    <n v="62.29"/>
    <n v="61.834402408303575"/>
    <n v="59.967640437844572"/>
    <n v="66.925260066504833"/>
    <n v="58.143500000000003"/>
    <n v="50.677766666666678"/>
    <n v="61.717700728163251"/>
    <n v="56.197733697414961"/>
    <n v="61.318255170472661"/>
    <n v="38.681744829527339"/>
    <n v="0.44813570346574605"/>
    <n v="0"/>
    <n v="25.184210923671714"/>
    <n v="4"/>
    <n v="4"/>
    <b v="1"/>
    <x v="5"/>
    <n v="55.437890705738326"/>
    <n v="0.45074829502586711"/>
    <n v="24.988534715441915"/>
    <n v="4"/>
    <n v="0"/>
    <n v="0.75984299167663494"/>
    <n v="-2.6125915601210581E-3"/>
    <n v="0.19567620822979848"/>
    <n v="4"/>
    <b v="1"/>
    <n v="0"/>
    <n v="0.6523467210059386"/>
    <n v="36.164726221373996"/>
    <n v="0.28175659197276265"/>
    <n v="4"/>
    <n v="0"/>
    <n v="28.175659197276264"/>
    <n v="4"/>
    <n v="-0.20421101754019255"/>
    <b v="1"/>
    <n v="0"/>
    <n v="4"/>
    <n v="0"/>
    <n v="0"/>
    <n v="0"/>
    <n v="0"/>
    <n v="1"/>
    <n v="1"/>
    <s v="Rural"/>
    <n v="6"/>
    <s v="Fuera SC"/>
    <m/>
    <s v="No"/>
    <s v="No"/>
    <n v="58"/>
    <n v="45.771661400299351"/>
    <n v="96.489655172413805"/>
    <s v="Inviable sanitariamente"/>
    <n v="10.977935472972893"/>
    <s v="Medio"/>
    <n v="77483.053180999996"/>
    <n v="20563.240177750002"/>
    <n v="26532"/>
    <n v="2.9203623240238201"/>
    <n v="0.77503543561548327"/>
    <m/>
    <m/>
    <m/>
    <m/>
    <m/>
    <m/>
    <m/>
    <n v="67"/>
    <n v="0"/>
    <n v="7"/>
    <n v="116673.534676"/>
    <n v="1966.992236"/>
    <n v="1.6858940988308077E-2"/>
    <s v="0% - 30%"/>
    <n v="5.7227219047474196E-5"/>
    <n v="5180.5290839999998"/>
    <n v="4.4401921124496847E-2"/>
    <s v="0% - 30%"/>
    <n v="0.909339132424271"/>
    <s v="Aceptable"/>
    <n v="2"/>
    <s v="Candidato"/>
    <n v="0"/>
    <n v="0"/>
  </r>
  <r>
    <n v="54206"/>
    <s v="54206"/>
    <x v="12"/>
    <x v="12"/>
    <s v="CONVENCIÓN"/>
    <n v="49.909100000000002"/>
    <n v="48.79"/>
    <n v="71.22"/>
    <n v="65.22"/>
    <n v="45.459690179457304"/>
    <n v="44.296670885942795"/>
    <n v="46.886896120395626"/>
    <n v="50.6404"/>
    <n v="58.784775000000003"/>
    <n v="46.820914296448933"/>
    <n v="52.802844648224465"/>
    <n v="61.758210404230397"/>
    <n v="38.241789595769603"/>
    <n v="0.4441761063619265"/>
    <n v="0"/>
    <n v="23.453761940682032"/>
    <n v="4"/>
    <n v="4"/>
    <b v="1"/>
    <x v="5"/>
    <n v="49.053414397229005"/>
    <n v="0.45017391905464221"/>
    <n v="22.08256780221199"/>
    <n v="4"/>
    <n v="0"/>
    <n v="3.7494302509954593"/>
    <n v="-5.9978126927157094E-3"/>
    <n v="1.3711941384700417"/>
    <n v="4"/>
    <b v="1"/>
    <n v="0"/>
    <n v="0.6523467210059386"/>
    <n v="31.999834036177841"/>
    <n v="0.22965818094613905"/>
    <n v="4"/>
    <n v="0"/>
    <n v="22.965818094613905"/>
    <n v="4"/>
    <n v="-0.2081706146440121"/>
    <b v="1"/>
    <n v="0"/>
    <n v="4"/>
    <n v="0"/>
    <n v="0"/>
    <n v="0"/>
    <n v="0"/>
    <n v="1"/>
    <n v="1"/>
    <s v="Rural"/>
    <n v="6"/>
    <s v="Fuera SC"/>
    <m/>
    <s v="No"/>
    <s v="No"/>
    <n v="64"/>
    <n v="31.243358129649309"/>
    <n v="42.799400472255016"/>
    <s v="Alto"/>
    <n v="48.045002547965474"/>
    <s v="Muy Alto"/>
    <n v="45911.613522"/>
    <n v="6196.0701310000004"/>
    <n v="20973"/>
    <n v="2.1890818443713345"/>
    <n v="0.29543079821675489"/>
    <m/>
    <m/>
    <m/>
    <m/>
    <m/>
    <m/>
    <m/>
    <n v="14"/>
    <n v="0"/>
    <n v="7"/>
    <n v="92841.495750999995"/>
    <n v="72036.023545000004"/>
    <n v="0.77590330662271889"/>
    <s v="71% - 100%"/>
    <n v="2.0957994766171127E-3"/>
    <n v="52303.979984999998"/>
    <n v="0.5633685623213005"/>
    <s v="51% - 70%"/>
    <n v="0.9688544836876597"/>
    <s v="Aceptable"/>
    <n v="2"/>
    <s v="Candidato"/>
    <n v="1"/>
    <s v="Zona de Fronteras"/>
  </r>
  <r>
    <n v="19256"/>
    <s v="19256"/>
    <x v="13"/>
    <x v="13"/>
    <s v="EL TAMBO"/>
    <n v="64.421866666666702"/>
    <n v="74.180000000000007"/>
    <n v="75.39"/>
    <n v="81.53"/>
    <n v="40.258889042780282"/>
    <n v="49.360807945446965"/>
    <n v="49.168986873884492"/>
    <n v="52.461599999999997"/>
    <n v="73.880466666666678"/>
    <n v="47.812570965527932"/>
    <n v="60.846518816097301"/>
    <n v="61.893542871887853"/>
    <n v="38.106457128112147"/>
    <n v="0.44295811415300934"/>
    <n v="0"/>
    <n v="26.952459227554058"/>
    <n v="4"/>
    <n v="4"/>
    <b v="1"/>
    <x v="5"/>
    <n v="58.931466710186164"/>
    <n v="0.44954839323950901"/>
    <n v="26.492546170811803"/>
    <n v="4"/>
    <n v="0"/>
    <n v="1.9150521059111369"/>
    <n v="-6.590279086499673E-3"/>
    <n v="0.45991305674225558"/>
    <n v="4"/>
    <b v="1"/>
    <n v="0"/>
    <n v="0.6523467210059386"/>
    <n v="38.443749072460569"/>
    <n v="0.31026476552333054"/>
    <n v="4"/>
    <n v="0"/>
    <n v="31.026476552333055"/>
    <n v="4"/>
    <n v="-0.20938860685292926"/>
    <b v="1"/>
    <n v="0"/>
    <n v="4"/>
    <n v="0"/>
    <n v="0"/>
    <n v="0"/>
    <n v="0"/>
    <n v="1"/>
    <n v="1"/>
    <s v="Rural disperso"/>
    <n v="6"/>
    <s v="Fuera SC"/>
    <m/>
    <s v="No"/>
    <s v="No"/>
    <n v="46"/>
    <n v="23.404918330779818"/>
    <n v="0"/>
    <s v="Sin riesgo"/>
    <n v="31.144156611821227"/>
    <s v="Muy Alto"/>
    <n v="93851.575200000007"/>
    <n v="8680.0967022999994"/>
    <n v="57546"/>
    <n v="1.6308965905536441"/>
    <n v="0.1508375334914677"/>
    <m/>
    <m/>
    <m/>
    <m/>
    <m/>
    <m/>
    <m/>
    <n v="46"/>
    <n v="0"/>
    <n v="7"/>
    <n v="274148.858825"/>
    <n v="124418.597112"/>
    <n v="0.45383591106400079"/>
    <s v="31% - 50%"/>
    <n v="3.6198060064472288E-3"/>
    <n v="31721.500263999998"/>
    <n v="0.11570903632412739"/>
    <s v="0% - 30%"/>
    <n v="0.9499686577099169"/>
    <s v="Aceptable"/>
    <n v="2"/>
    <s v="Candidato"/>
    <n v="0"/>
    <n v="0"/>
  </r>
  <r>
    <n v="5142"/>
    <s v="05142"/>
    <x v="1"/>
    <x v="1"/>
    <s v="CARACOLÍ"/>
    <n v="61.208599999999997"/>
    <n v="45.01"/>
    <n v="40.4"/>
    <n v="71.84"/>
    <n v="45.887540745077047"/>
    <n v="30.052089419719188"/>
    <n v="43.154331334329029"/>
    <n v="36.501300000000001"/>
    <n v="54.614649999999997"/>
    <n v="38.898815374781314"/>
    <n v="46.756732687390652"/>
    <n v="61.686190508566284"/>
    <n v="38.313809491433716"/>
    <n v="0.44482428542290342"/>
    <n v="0"/>
    <n v="20.798530206378256"/>
    <n v="5"/>
    <n v="5"/>
    <b v="1"/>
    <x v="6"/>
    <n v="47.313864157195994"/>
    <n v="0.45122054960858871"/>
    <n v="21.34898778911608"/>
    <n v="4"/>
    <n v="-1"/>
    <n v="-0.55713146980534134"/>
    <n v="-6.3962641856852853E-3"/>
    <n v="-0.55045758273782397"/>
    <n v="4"/>
    <b v="0"/>
    <s v="Cambio en corte"/>
    <n v="0.6523467210059386"/>
    <n v="30.865044141067212"/>
    <n v="0.21546315553960543"/>
    <n v="4"/>
    <n v="-1"/>
    <n v="21.546315553960543"/>
    <n v="4"/>
    <n v="-0.20752243558303518"/>
    <b v="0"/>
    <s v="Cambio en corte"/>
    <n v="4"/>
    <n v="-1"/>
    <n v="0"/>
    <n v="0"/>
    <n v="0"/>
    <n v="0"/>
    <n v="0"/>
    <s v="Rural"/>
    <n v="6"/>
    <s v="Fuera SC"/>
    <m/>
    <s v="No"/>
    <s v="Si"/>
    <n v="35.9"/>
    <n v="12.13653603034134"/>
    <n v="0.59153846153846168"/>
    <s v="Sin riesgo"/>
    <n v="0.2703469897612803"/>
    <s v="Medio Bajo"/>
    <n v="13878.992891"/>
    <n v="4092.4443596999999"/>
    <n v="4538"/>
    <n v="3.0583942025121198"/>
    <n v="0.90181673858527989"/>
    <m/>
    <m/>
    <m/>
    <m/>
    <m/>
    <m/>
    <m/>
    <n v="29"/>
    <n v="0"/>
    <n v="7"/>
    <n v="26258.365721999999"/>
    <n v="62.604666000000002"/>
    <n v="2.3841798329264662E-3"/>
    <s v="0% - 30%"/>
    <n v="1.82140573257248E-6"/>
    <n v="0.25353599999999998"/>
    <n v="9.6554371541706558E-6"/>
    <n v="0"/>
    <n v="0.8735676564704542"/>
    <s v="Aceptable"/>
    <n v="2"/>
    <s v="Candidato"/>
    <n v="0"/>
    <n v="0"/>
  </r>
  <r>
    <n v="50287"/>
    <s v="50287"/>
    <x v="16"/>
    <x v="16"/>
    <s v="FUENTE DE ORO"/>
    <n v="59.814100000000003"/>
    <n v="55.45"/>
    <n v="46.34"/>
    <n v="54.98"/>
    <n v="44.792826964937461"/>
    <n v="50.557718348493324"/>
    <n v="54.410303887085504"/>
    <n v="59.9681"/>
    <n v="54.146025000000002"/>
    <n v="52.432237300129074"/>
    <n v="53.289131150064534"/>
    <n v="62.724192993493368"/>
    <n v="37.275807006506632"/>
    <n v="0.43548226305855975"/>
    <n v="0"/>
    <n v="23.206471429654496"/>
    <n v="4"/>
    <n v="4"/>
    <b v="1"/>
    <x v="5"/>
    <n v="52.219847276222026"/>
    <n v="0.44879786810345013"/>
    <n v="23.436156130256201"/>
    <n v="4"/>
    <n v="0"/>
    <n v="1.0692838738425081"/>
    <n v="-1.3315605044890377E-2"/>
    <n v="-0.22968470060170532"/>
    <n v="4"/>
    <b v="1"/>
    <n v="0"/>
    <n v="0.6523467210059386"/>
    <n v="34.065446142074336"/>
    <n v="0.25549681103050864"/>
    <n v="4"/>
    <n v="0"/>
    <n v="25.549681103050865"/>
    <n v="4"/>
    <n v="-0.21686445794737885"/>
    <b v="1"/>
    <n v="0"/>
    <n v="4"/>
    <n v="0"/>
    <n v="0"/>
    <n v="0"/>
    <n v="0"/>
    <n v="0"/>
    <n v="1"/>
    <s v="Rural"/>
    <n v="6"/>
    <s v="Fuera SC"/>
    <m/>
    <s v="No"/>
    <s v="Si"/>
    <n v="32"/>
    <n v="17.683772538141469"/>
    <n v="16.140714285714289"/>
    <s v="Medio"/>
    <n v="2.14994355713484"/>
    <s v="Medio Bajo"/>
    <n v="31240.264137999999"/>
    <n v="7620.5335260000002"/>
    <n v="12853"/>
    <n v="2.4305815092196372"/>
    <n v="0.59289920843382871"/>
    <m/>
    <m/>
    <m/>
    <m/>
    <m/>
    <m/>
    <m/>
    <n v="63"/>
    <n v="0"/>
    <n v="7"/>
    <n v="57008.418333000001"/>
    <n v="1230.276374"/>
    <n v="2.1580608793839134E-2"/>
    <s v="0% - 30%"/>
    <n v="3.5793377449726897E-5"/>
    <s v="N.D."/>
    <s v="N.D."/>
    <s v="N.D."/>
    <n v="0.82725221853461428"/>
    <s v="Crítico bajo"/>
    <n v="1"/>
    <s v="Candidato"/>
    <n v="0"/>
    <n v="0"/>
  </r>
  <r>
    <n v="70771"/>
    <s v="70771"/>
    <x v="9"/>
    <x v="9"/>
    <s v="SUCRE"/>
    <n v="53.813299999999998"/>
    <n v="0"/>
    <n v="30.1"/>
    <n v="39.590000000000003"/>
    <n v="23.310820796998161"/>
    <n v="29.056797733347679"/>
    <n v="44.211693564128353"/>
    <n v="45.920900000000003"/>
    <n v="30.875824999999999"/>
    <n v="35.625053023618548"/>
    <n v="33.250439011809277"/>
    <n v="61.574254566467445"/>
    <n v="38.425745433532555"/>
    <n v="0.44583170890179302"/>
    <n v="0"/>
    <n v="14.824100046369777"/>
    <n v="5"/>
    <n v="5"/>
    <b v="1"/>
    <x v="6"/>
    <n v="37.808458790672766"/>
    <n v="0.44969725674922056"/>
    <n v="17.002360200081498"/>
    <n v="5"/>
    <n v="0"/>
    <n v="-4.5580197788634891"/>
    <n v="-3.8655478474275418E-3"/>
    <n v="-2.1782601537117205"/>
    <n v="5"/>
    <b v="1"/>
    <n v="0"/>
    <n v="0.6523467210059386"/>
    <n v="24.664224118383533"/>
    <n v="0.13789743333624024"/>
    <n v="5"/>
    <n v="0"/>
    <n v="13.789743333624024"/>
    <n v="5"/>
    <n v="-0.20651501210414558"/>
    <b v="1"/>
    <n v="0"/>
    <n v="5"/>
    <n v="0"/>
    <n v="0"/>
    <n v="0"/>
    <n v="0"/>
    <n v="0"/>
    <n v="0"/>
    <s v="Rural disperso"/>
    <n v="6"/>
    <s v="Fuera SC"/>
    <m/>
    <s v="No"/>
    <s v="No"/>
    <n v="63.4"/>
    <n v="48.304200909432232"/>
    <n v="17.708333333333332"/>
    <s v="Medio"/>
    <n v="1.8088180417744459"/>
    <s v="Medio Bajo"/>
    <n v="53370.142455000001"/>
    <n v="5054.1706100000001"/>
    <n v="33442"/>
    <n v="1.59590163432211"/>
    <n v="0.15113242658931883"/>
    <m/>
    <m/>
    <m/>
    <m/>
    <m/>
    <m/>
    <m/>
    <n v="64"/>
    <n v="0"/>
    <n v="7"/>
    <n v="113033.009723"/>
    <n v="4570.4359009999998"/>
    <n v="4.0434523615715118E-2"/>
    <s v="0% - 30%"/>
    <n v="1.3297120937337908E-4"/>
    <s v="N.D."/>
    <s v="N.D."/>
    <s v="N.D."/>
    <n v="0.89437438083348142"/>
    <s v="Aceptable"/>
    <n v="1"/>
    <s v="Candidato"/>
    <n v="0"/>
    <n v="0"/>
  </r>
  <r>
    <n v="13268"/>
    <s v="13268"/>
    <x v="8"/>
    <x v="8"/>
    <s v="EL PEÑÓN"/>
    <n v="51.552799999999998"/>
    <n v="37.47"/>
    <n v="40.82"/>
    <n v="51.11"/>
    <n v="54.055939872786638"/>
    <n v="52.019456490861984"/>
    <n v="43.581788927786384"/>
    <n v="52.9863"/>
    <n v="45.238199999999992"/>
    <n v="50.660871322858753"/>
    <n v="47.949535661429373"/>
    <n v="61.853986085481694"/>
    <n v="38.146013914518306"/>
    <n v="0.44331412523066482"/>
    <n v="0"/>
    <n v="21.25670645696313"/>
    <n v="5"/>
    <n v="5"/>
    <b v="1"/>
    <x v="5"/>
    <n v="47.430972999147073"/>
    <n v="0.44908644265072117"/>
    <n v="21.300606935649366"/>
    <n v="4"/>
    <n v="0"/>
    <n v="0.51856266228229941"/>
    <n v="-5.7723174200563498E-3"/>
    <n v="-4.3900478686236255E-2"/>
    <n v="4"/>
    <b v="1"/>
    <n v="0"/>
    <n v="0.6523467210059386"/>
    <n v="30.941439710114803"/>
    <n v="0.21641878357987049"/>
    <n v="4"/>
    <n v="0"/>
    <n v="21.64187835798705"/>
    <n v="4"/>
    <n v="-0.20903259577527378"/>
    <b v="1"/>
    <n v="0"/>
    <n v="4"/>
    <n v="0"/>
    <n v="0"/>
    <n v="0"/>
    <n v="0"/>
    <n v="0"/>
    <n v="0"/>
    <s v="Rural"/>
    <n v="6"/>
    <s v="Fuera SC"/>
    <m/>
    <s v="No"/>
    <s v="Si"/>
    <n v="67.7"/>
    <n v="47.871163948023224"/>
    <n v="8.75"/>
    <s v="Bajo"/>
    <n v="9.163622531362535E-2"/>
    <s v="Bajo"/>
    <n v="24254.468507000001"/>
    <n v="4707.8176540000004"/>
    <n v="8018"/>
    <n v="3.0250023081815915"/>
    <n v="0.58715610551259667"/>
    <m/>
    <m/>
    <m/>
    <m/>
    <m/>
    <m/>
    <m/>
    <n v="92"/>
    <n v="0"/>
    <n v="7"/>
    <n v="31855.216778999998"/>
    <n v="8426.8702090000006"/>
    <n v="0.26453658336286284"/>
    <s v="0% - 30%"/>
    <n v="2.451694208594109E-4"/>
    <s v="N.D."/>
    <s v="N.D."/>
    <s v="N.D."/>
    <n v="0.77403816531022551"/>
    <s v="Crítico bajo"/>
    <n v="1"/>
    <s v="Candidato"/>
    <n v="0"/>
    <n v="0"/>
  </r>
  <r>
    <n v="20045"/>
    <s v="20045"/>
    <x v="20"/>
    <x v="20"/>
    <s v="BECERRIL"/>
    <n v="71.402799999999999"/>
    <n v="70.33"/>
    <n v="73"/>
    <n v="75.67"/>
    <n v="60.31652606159696"/>
    <n v="70.565960199874581"/>
    <n v="68.444318827794575"/>
    <n v="73.296099999999996"/>
    <n v="72.600700000000003"/>
    <n v="68.155726272316528"/>
    <n v="70.378213136158266"/>
    <n v="61.198384685306749"/>
    <n v="38.801615314693251"/>
    <n v="0.4492145378322393"/>
    <n v="0"/>
    <n v="31.614916487418167"/>
    <n v="3"/>
    <n v="3"/>
    <b v="1"/>
    <x v="4"/>
    <n v="67.4378800813802"/>
    <n v="0.44974702341747463"/>
    <n v="30.329985832185347"/>
    <n v="3"/>
    <n v="0"/>
    <n v="2.9403330547780655"/>
    <n v="-5.3248558523533163E-4"/>
    <n v="1.2849306552328201"/>
    <n v="3"/>
    <b v="1"/>
    <n v="0"/>
    <n v="0.6523467210059386"/>
    <n v="43.992879942680077"/>
    <n v="0.37967854337448648"/>
    <n v="3"/>
    <n v="0"/>
    <n v="37.967854337448649"/>
    <n v="4"/>
    <n v="-0.2031321831736993"/>
    <b v="0"/>
    <n v="0"/>
    <n v="3"/>
    <n v="0"/>
    <n v="0"/>
    <n v="0"/>
    <n v="0"/>
    <n v="1"/>
    <n v="1"/>
    <s v="Rural"/>
    <n v="6"/>
    <s v="Fuera SC"/>
    <m/>
    <s v="No"/>
    <s v="Si"/>
    <n v="48.6"/>
    <n v="35.523102471427173"/>
    <n v="35.365915865852195"/>
    <s v="Alto"/>
    <n v="1.1629394296925497"/>
    <s v="Medio Bajo"/>
    <n v="67090.241125"/>
    <n v="35579.720653999997"/>
    <n v="26931"/>
    <n v="2.4911901201217925"/>
    <n v="1.3211436877204707"/>
    <m/>
    <m/>
    <m/>
    <m/>
    <m/>
    <m/>
    <m/>
    <n v="47"/>
    <n v="0"/>
    <n v="7"/>
    <n v="122438.407701"/>
    <n v="37056.975326"/>
    <n v="0.30265809578718772"/>
    <s v="0% - 30%"/>
    <n v="1.0781271046246511E-3"/>
    <n v="31654.585573"/>
    <n v="0.25853476999065439"/>
    <s v="0% - 30%"/>
    <n v="0.73966642604710242"/>
    <s v="Crítico Medio"/>
    <n v="2"/>
    <s v="Candidato"/>
    <n v="1"/>
    <s v="Zona de Fronteras"/>
  </r>
  <r>
    <n v="5885"/>
    <s v="05885"/>
    <x v="1"/>
    <x v="1"/>
    <s v="YALÍ"/>
    <n v="73.038333333333298"/>
    <n v="68.05"/>
    <n v="61.62"/>
    <n v="40.92"/>
    <n v="45.532463026102377"/>
    <n v="48.457477056984025"/>
    <n v="60.752942827716168"/>
    <n v="51.849899999999998"/>
    <n v="60.907083333333333"/>
    <n v="51.648195727700639"/>
    <n v="56.277639530516986"/>
    <n v="61.665870518255595"/>
    <n v="38.334129481744405"/>
    <n v="0.44500716533569962"/>
    <n v="0"/>
    <n v="25.043952839259678"/>
    <n v="4"/>
    <n v="4"/>
    <b v="1"/>
    <x v="5"/>
    <n v="59.837570041821387"/>
    <n v="0.45145939311078376"/>
    <n v="27.0142330563047"/>
    <n v="4"/>
    <n v="0"/>
    <n v="-3.5599305113044011"/>
    <n v="-6.4522277750841406E-3"/>
    <n v="-1.9702802170450227"/>
    <n v="4"/>
    <b v="1"/>
    <n v="0"/>
    <n v="0.6523467210059386"/>
    <n v="39.034842609745368"/>
    <n v="0.31765872260344497"/>
    <n v="4"/>
    <n v="0"/>
    <n v="31.765872260344498"/>
    <n v="4"/>
    <n v="-0.20733955567023898"/>
    <b v="1"/>
    <n v="0"/>
    <n v="4"/>
    <n v="0"/>
    <n v="0"/>
    <n v="0"/>
    <n v="0"/>
    <n v="0"/>
    <n v="1"/>
    <s v="Rural"/>
    <n v="6"/>
    <s v="Fuera SC"/>
    <m/>
    <s v="No"/>
    <s v="Si"/>
    <n v="44"/>
    <n v="21.783766442091753"/>
    <n v="43.867182953000537"/>
    <s v="Alto"/>
    <n v="9.1965536661528908"/>
    <s v="Medio"/>
    <n v="18992.071077000001"/>
    <n v="4745.6929840000003"/>
    <n v="7746"/>
    <n v="2.4518552900852053"/>
    <n v="0.61266369532662024"/>
    <m/>
    <m/>
    <m/>
    <m/>
    <m/>
    <m/>
    <m/>
    <n v="72"/>
    <n v="0"/>
    <n v="7"/>
    <n v="44055.524410999999"/>
    <n v="1909.03071"/>
    <n v="4.3332379662318669E-2"/>
    <s v="0% - 30%"/>
    <n v="5.5540899760585123E-5"/>
    <s v="N.D."/>
    <s v="N.D."/>
    <s v="N.D."/>
    <n v="0.74166807325021322"/>
    <s v="Crítico Medio"/>
    <n v="0"/>
    <s v="Candidato"/>
    <n v="0"/>
    <n v="0"/>
  </r>
  <r>
    <n v="73067"/>
    <s v="73067"/>
    <x v="15"/>
    <x v="15"/>
    <s v="ATACO"/>
    <n v="78.712266666666693"/>
    <n v="62.62"/>
    <n v="60.19"/>
    <n v="69.650000000000006"/>
    <n v="37.660331861590748"/>
    <n v="48.376727823058552"/>
    <n v="43.581119564246322"/>
    <n v="47.969299999999997"/>
    <n v="67.793066666666675"/>
    <n v="44.396869812223905"/>
    <n v="56.094968239445294"/>
    <n v="61.758877378099683"/>
    <n v="38.241122621900317"/>
    <n v="0.44417010359710285"/>
    <n v="0"/>
    <n v="24.915707854190611"/>
    <n v="4"/>
    <n v="4"/>
    <b v="1"/>
    <x v="5"/>
    <n v="56.269089449092242"/>
    <n v="0.44932205997945895"/>
    <n v="25.282943184434565"/>
    <n v="4"/>
    <n v="0"/>
    <n v="-0.17412120964694822"/>
    <n v="-5.1519563823561043E-3"/>
    <n v="-0.36723533024395394"/>
    <n v="4"/>
    <b v="1"/>
    <n v="0"/>
    <n v="0.6523467210059386"/>
    <n v="36.706955996105179"/>
    <n v="0.28853931489059209"/>
    <n v="4"/>
    <n v="0"/>
    <n v="28.85393148905921"/>
    <n v="4"/>
    <n v="-0.20817661740883575"/>
    <b v="1"/>
    <n v="0"/>
    <n v="4"/>
    <n v="0"/>
    <n v="0"/>
    <n v="0"/>
    <n v="0"/>
    <n v="1"/>
    <n v="1"/>
    <s v="Rural disperso"/>
    <n v="6"/>
    <s v="Fuera SC"/>
    <m/>
    <s v="No"/>
    <s v="No"/>
    <n v="64"/>
    <n v="34.773301130749807"/>
    <n v="64.593333333333334"/>
    <s v="Alto"/>
    <n v="2.736451748764559"/>
    <s v="Medio Bajo"/>
    <n v="48566.511330000001"/>
    <n v="9720.161908"/>
    <n v="20279"/>
    <n v="2.3949164815819319"/>
    <n v="0.4793215596429804"/>
    <m/>
    <m/>
    <m/>
    <m/>
    <m/>
    <m/>
    <m/>
    <n v="15"/>
    <n v="0"/>
    <n v="7"/>
    <n v="101732.428608"/>
    <n v="5461.9059010000001"/>
    <n v="5.3688936514491983E-2"/>
    <s v="0% - 30%"/>
    <n v="1.5890743221683918E-4"/>
    <n v="289.77720799999997"/>
    <n v="2.8484251478609894E-3"/>
    <s v="0% - 30%"/>
    <n v="0.930619348650225"/>
    <s v="Aceptable"/>
    <n v="2"/>
    <s v="Candidato"/>
    <n v="0"/>
    <n v="0"/>
  </r>
  <r>
    <n v="27495"/>
    <s v="27495"/>
    <x v="26"/>
    <x v="26"/>
    <s v="NUQUÍ"/>
    <n v="82.396466666666697"/>
    <n v="80.52"/>
    <n v="72.959999999999994"/>
    <n v="77.83"/>
    <n v="53.621058069835293"/>
    <n v="66.076773715792044"/>
    <n v="64.44719013938527"/>
    <n v="56.630499999999998"/>
    <n v="78.426616666666661"/>
    <n v="60.193880481253146"/>
    <n v="69.31024857395991"/>
    <n v="61.634289331936017"/>
    <n v="38.365710668063983"/>
    <n v="0.44529139601257584"/>
    <n v="0"/>
    <n v="30.863257345477251"/>
    <n v="3"/>
    <n v="3"/>
    <b v="1"/>
    <x v="4"/>
    <n v="68.65550512485818"/>
    <n v="0.44900195752950045"/>
    <n v="30.826456196237974"/>
    <n v="3"/>
    <n v="0"/>
    <n v="0.65474344910172988"/>
    <n v="-3.7105615169246153E-3"/>
    <n v="3.6801149239277464E-2"/>
    <n v="3"/>
    <b v="1"/>
    <n v="0"/>
    <n v="0.6523467210059386"/>
    <n v="44.787193647207644"/>
    <n v="0.38961457053255999"/>
    <n v="3"/>
    <n v="0"/>
    <n v="38.961457053255998"/>
    <n v="4"/>
    <n v="-0.20705532499336277"/>
    <b v="0"/>
    <n v="0"/>
    <n v="4"/>
    <n v="1"/>
    <n v="0"/>
    <n v="0"/>
    <n v="0"/>
    <n v="0"/>
    <n v="0"/>
    <s v="Rural disperso"/>
    <n v="6"/>
    <s v="Fuera SC"/>
    <m/>
    <s v="No"/>
    <s v="No"/>
    <n v="72.900000000000006"/>
    <n v="50.925925925925924"/>
    <n v="20.41"/>
    <s v="Medio"/>
    <n v="3.5097104776580847"/>
    <s v="Medio Bajo"/>
    <n v="38678.777871999999"/>
    <n v="9317.3829339999993"/>
    <n v="18555"/>
    <n v="2.0845474466181622"/>
    <n v="0.50214944403125839"/>
    <m/>
    <m/>
    <m/>
    <m/>
    <m/>
    <m/>
    <m/>
    <n v="38"/>
    <n v="0"/>
    <n v="7"/>
    <n v="70458.336555999995"/>
    <n v="11850.193338999999"/>
    <n v="0.16818724253561557"/>
    <s v="0% - 30%"/>
    <n v="3.4476679549327546E-4"/>
    <n v="68529.434273999999"/>
    <n v="0.97262350523323937"/>
    <s v="71% - 100%"/>
    <n v="0.96133501460247439"/>
    <s v="Aceptable"/>
    <n v="2"/>
    <s v="Candidato"/>
    <n v="0"/>
    <n v="0"/>
  </r>
  <r>
    <n v="13810"/>
    <s v="13810"/>
    <x v="8"/>
    <x v="8"/>
    <s v="TIQUISIO"/>
    <n v="69.195333333333295"/>
    <n v="57.89"/>
    <n v="44.51"/>
    <n v="45.46"/>
    <n v="49.269712728392989"/>
    <n v="47.992285578235091"/>
    <n v="43.674435658622031"/>
    <n v="36.0227"/>
    <n v="54.263833333333324"/>
    <n v="44.239783491312522"/>
    <n v="49.251808412322923"/>
    <n v="62.285851609665677"/>
    <n v="37.714148390334323"/>
    <n v="0.43942733551300894"/>
    <n v="0"/>
    <n v="21.642590939824263"/>
    <n v="5"/>
    <n v="5"/>
    <b v="1"/>
    <x v="5"/>
    <n v="55.291899839598358"/>
    <n v="0.44851028222154454"/>
    <n v="24.798985601623635"/>
    <n v="4"/>
    <n v="0"/>
    <n v="-6.0400914272754349"/>
    <n v="-9.0829467085355997E-3"/>
    <n v="-3.1563946617993714"/>
    <n v="4"/>
    <b v="1"/>
    <n v="0"/>
    <n v="0.6523467210059386"/>
    <n v="36.069489558550771"/>
    <n v="0.28056528170974931"/>
    <n v="4"/>
    <n v="0"/>
    <n v="28.056528170974932"/>
    <n v="4"/>
    <n v="-0.21291938549292966"/>
    <b v="1"/>
    <n v="0"/>
    <n v="4"/>
    <n v="0"/>
    <n v="0"/>
    <n v="0"/>
    <n v="0"/>
    <n v="0"/>
    <n v="1"/>
    <s v="Rural"/>
    <n v="6"/>
    <s v="Fuera SC"/>
    <m/>
    <s v="No"/>
    <s v="No"/>
    <n v="73"/>
    <n v="60.313651077129144"/>
    <n v="56.640625"/>
    <s v="Alto"/>
    <n v="6.5993650022439052"/>
    <s v="Medio"/>
    <n v="33690.023457000003"/>
    <n v="5562.0186004999996"/>
    <n v="18535"/>
    <n v="1.8176435639061237"/>
    <n v="0.30008193150795792"/>
    <m/>
    <m/>
    <m/>
    <m/>
    <m/>
    <m/>
    <m/>
    <n v="64"/>
    <n v="0"/>
    <n v="7"/>
    <n v="76196.26225"/>
    <n v="62220.163356999998"/>
    <n v="0.81657763149661577"/>
    <s v="71% - 100%"/>
    <n v="1.8102191012413667E-3"/>
    <s v="N.D."/>
    <s v="N.D."/>
    <s v="N.D."/>
    <n v="0.79935179417291402"/>
    <s v="Crítico bajo"/>
    <n v="1"/>
    <s v="Candidato"/>
    <n v="0"/>
    <n v="0"/>
  </r>
  <r>
    <n v="52256"/>
    <s v="52256"/>
    <x v="18"/>
    <x v="18"/>
    <s v="EL ROSARIO"/>
    <n v="51.248066666666702"/>
    <n v="51.16"/>
    <n v="47.12"/>
    <n v="37.51"/>
    <n v="53.243077949899877"/>
    <n v="57.965431621886083"/>
    <n v="58.606226677217627"/>
    <n v="63.082500000000003"/>
    <n v="46.75951666666667"/>
    <n v="58.224309062250896"/>
    <n v="52.491912864458783"/>
    <n v="61.935800289071722"/>
    <n v="38.064199710928278"/>
    <n v="0.44257779739835446"/>
    <n v="0"/>
    <n v="23.231755176778517"/>
    <n v="4"/>
    <n v="4"/>
    <b v="1"/>
    <x v="5"/>
    <n v="52.879052190381415"/>
    <n v="0.44898024342117515"/>
    <n v="23.741649724318474"/>
    <n v="4"/>
    <n v="0"/>
    <n v="-0.38713932592263234"/>
    <n v="-6.4024460228206959E-3"/>
    <n v="-0.50989454753995744"/>
    <n v="4"/>
    <b v="1"/>
    <n v="0"/>
    <n v="0.6523467210059386"/>
    <n v="34.495476306297213"/>
    <n v="0.26087603509041662"/>
    <n v="4"/>
    <n v="0"/>
    <n v="26.087603509041664"/>
    <n v="4"/>
    <n v="-0.20976892360758415"/>
    <b v="1"/>
    <n v="0"/>
    <n v="4"/>
    <n v="0"/>
    <n v="0"/>
    <n v="0"/>
    <n v="0"/>
    <n v="1"/>
    <n v="1"/>
    <s v="Rural disperso"/>
    <n v="6"/>
    <s v="Fuera SC"/>
    <m/>
    <s v="No"/>
    <s v="Si"/>
    <n v="52.1"/>
    <n v="20.221606648199447"/>
    <n v="53.741259762013534"/>
    <s v="Alto"/>
    <n v="12.141991200815314"/>
    <s v="Alto"/>
    <n v="26471.486154999999"/>
    <n v="4027.8476647500001"/>
    <n v="12872"/>
    <n v="2.0565169480267245"/>
    <n v="0.31291544940568677"/>
    <m/>
    <m/>
    <m/>
    <m/>
    <m/>
    <m/>
    <m/>
    <n v="26"/>
    <n v="0"/>
    <n v="7"/>
    <n v="52079.198066999998"/>
    <n v="17738.358003000001"/>
    <n v="0.34060351659369958"/>
    <s v="31% - 50%"/>
    <n v="5.1607570197862134E-4"/>
    <n v="26468.341716999999"/>
    <n v="0.50823251316098261"/>
    <s v="31% - 50%"/>
    <n v="0.83415172296471574"/>
    <s v="Crítico bajo"/>
    <n v="2"/>
    <s v="Candidato"/>
    <n v="0"/>
    <n v="0"/>
  </r>
  <r>
    <n v="17867"/>
    <s v="17867"/>
    <x v="11"/>
    <x v="11"/>
    <s v="VICTORIA"/>
    <n v="60.478866666666697"/>
    <n v="64"/>
    <n v="55.29"/>
    <n v="43.98"/>
    <n v="47.461420392060376"/>
    <n v="57.208722608738647"/>
    <n v="58.673526083388971"/>
    <n v="56.748899999999999"/>
    <n v="55.937216666666671"/>
    <n v="55.023142271046993"/>
    <n v="55.480179468856832"/>
    <n v="62.437591803199908"/>
    <n v="37.562408196800092"/>
    <n v="0.43806167377120087"/>
    <n v="0"/>
    <n v="24.303740279254036"/>
    <n v="4"/>
    <n v="4"/>
    <b v="1"/>
    <x v="5"/>
    <n v="56.962708501813992"/>
    <n v="0.44595912897175061"/>
    <n v="25.403039867340702"/>
    <n v="4"/>
    <n v="0"/>
    <n v="-1.4825290329571601"/>
    <n v="-7.8974552005497411E-3"/>
    <n v="-1.0992995880866658"/>
    <n v="4"/>
    <b v="1"/>
    <n v="0"/>
    <n v="0.6523467210059386"/>
    <n v="37.159436110775459"/>
    <n v="0.29419936416611875"/>
    <n v="4"/>
    <n v="0"/>
    <n v="29.419936416611876"/>
    <n v="4"/>
    <n v="-0.21428504723473774"/>
    <b v="1"/>
    <n v="0"/>
    <n v="4"/>
    <n v="0"/>
    <n v="0"/>
    <n v="0"/>
    <n v="0"/>
    <n v="0"/>
    <n v="0"/>
    <s v="Rural"/>
    <n v="6"/>
    <s v="Fuera SC"/>
    <m/>
    <s v="No"/>
    <s v="No"/>
    <n v="34.9"/>
    <n v="13.549337260677467"/>
    <n v="18.740381095912852"/>
    <s v="Medio"/>
    <n v="1.6444894299032706"/>
    <s v="Medio Bajo"/>
    <n v="22178.128249000001"/>
    <n v="5758.4319144999999"/>
    <n v="10927"/>
    <n v="2.0296630593026448"/>
    <n v="0.52699111508190721"/>
    <m/>
    <m/>
    <m/>
    <m/>
    <m/>
    <m/>
    <m/>
    <n v="13"/>
    <n v="0"/>
    <n v="7"/>
    <n v="55846.585304"/>
    <n v="4338.5413429999999"/>
    <n v="7.7686779225322716E-2"/>
    <s v="0% - 30%"/>
    <n v="1.2622452251630741E-4"/>
    <s v="N.D."/>
    <s v="N.D."/>
    <s v="N.D."/>
    <n v="0.83807230505784136"/>
    <s v="Crítico bajo"/>
    <n v="1"/>
    <s v="Candidato"/>
    <n v="0"/>
    <n v="0"/>
  </r>
  <r>
    <n v="25653"/>
    <s v="25653"/>
    <x v="5"/>
    <x v="5"/>
    <s v="SAN CAYETANO"/>
    <n v="73.893133333333296"/>
    <n v="82.45"/>
    <n v="76.180000000000007"/>
    <n v="71.959999999999994"/>
    <n v="63.882764307214259"/>
    <n v="48.31321099128354"/>
    <n v="59.41739627043836"/>
    <n v="51.432400000000001"/>
    <n v="76.120783333333321"/>
    <n v="55.761442892234037"/>
    <n v="65.941113112783682"/>
    <n v="63.428173264302323"/>
    <n v="36.571826735697677"/>
    <n v="0.42914644062127916"/>
    <n v="0"/>
    <n v="28.298393982956274"/>
    <n v="4"/>
    <n v="4"/>
    <b v="1"/>
    <x v="5"/>
    <n v="68.193140662351695"/>
    <n v="0.4447321142629963"/>
    <n v="30.327679625001572"/>
    <n v="3"/>
    <n v="-1"/>
    <n v="-2.2520275495680124"/>
    <n v="-1.5585673641717146E-2"/>
    <n v="-2.0292856420452985"/>
    <n v="3"/>
    <b v="0"/>
    <s v="Cambio en corte"/>
    <n v="0.6523467210059386"/>
    <n v="44.485571706181865"/>
    <n v="0.38584159798982204"/>
    <n v="3"/>
    <n v="-1"/>
    <n v="38.584159798982206"/>
    <n v="4"/>
    <n v="-0.22320028038465944"/>
    <b v="1"/>
    <s v="Efecto ponderador"/>
    <n v="4"/>
    <n v="0"/>
    <n v="0"/>
    <n v="0"/>
    <n v="0"/>
    <n v="0"/>
    <n v="0"/>
    <s v="Rural disperso"/>
    <n v="6"/>
    <s v="Fuera SC"/>
    <m/>
    <s v="No"/>
    <s v="No"/>
    <n v="36.9"/>
    <n v="8.0385852090032159"/>
    <n v="2.1266666666666665"/>
    <s v="Sin riesgo"/>
    <n v="0"/>
    <s v="Bajo"/>
    <n v="11775.456980999999"/>
    <n v="2276.6584849999999"/>
    <n v="4839"/>
    <n v="2.4334484358338497"/>
    <n v="0.47048119136185163"/>
    <m/>
    <m/>
    <m/>
    <m/>
    <m/>
    <m/>
    <m/>
    <n v="33"/>
    <n v="0"/>
    <n v="7"/>
    <n v="28744.813072000001"/>
    <n v="1756.701182"/>
    <n v="6.111367562557514E-2"/>
    <s v="0% - 30%"/>
    <n v="5.1109059559740347E-5"/>
    <s v="N.D."/>
    <s v="N.D."/>
    <s v="N.D."/>
    <n v="0.94879686962476839"/>
    <s v="Aceptable"/>
    <n v="2"/>
    <s v="Candidato"/>
    <n v="0"/>
    <n v="0"/>
  </r>
  <r>
    <n v="86760"/>
    <s v="86760"/>
    <x v="22"/>
    <x v="22"/>
    <s v="SANTIAGO"/>
    <n v="56.455166666666699"/>
    <n v="51.46"/>
    <n v="47.28"/>
    <n v="55.14"/>
    <n v="57.896449312574816"/>
    <n v="58.173038210228071"/>
    <n v="56.396226335675429"/>
    <n v="72.309700000000007"/>
    <n v="52.58379166666667"/>
    <n v="61.193853464619579"/>
    <n v="56.888822565643125"/>
    <n v="62.843718296304218"/>
    <n v="37.156281703695782"/>
    <n v="0.43440653533326201"/>
    <n v="0"/>
    <n v="24.712876309929722"/>
    <n v="4"/>
    <n v="4"/>
    <b v="1"/>
    <x v="5"/>
    <n v="54.726332355635904"/>
    <n v="0.44507161028810305"/>
    <n v="24.357136866684787"/>
    <n v="4"/>
    <n v="0"/>
    <n v="2.1624902100072205"/>
    <n v="-1.0665074954841036E-2"/>
    <n v="0.35573944324493567"/>
    <n v="4"/>
    <b v="1"/>
    <n v="0"/>
    <n v="0.6523467210059386"/>
    <n v="35.700543464880283"/>
    <n v="0.27595015498377212"/>
    <n v="4"/>
    <n v="0"/>
    <n v="27.595015498377212"/>
    <n v="4"/>
    <n v="-0.21794018567267659"/>
    <b v="1"/>
    <n v="0"/>
    <n v="4"/>
    <n v="0"/>
    <n v="0"/>
    <n v="0"/>
    <n v="0"/>
    <n v="0"/>
    <n v="0"/>
    <s v="Rural"/>
    <n v="6"/>
    <s v="Fuera SC"/>
    <m/>
    <s v="No"/>
    <s v="No"/>
    <n v="37.200000000000003"/>
    <n v="23.669159700835898"/>
    <n v="18.391111111111112"/>
    <s v="Medio"/>
    <n v="1.5977799026140289"/>
    <s v="Medio Bajo"/>
    <n v="26599.286760999999"/>
    <n v="4721.3465294999996"/>
    <n v="7308"/>
    <n v="3.6397491462780516"/>
    <n v="0.64605179659277501"/>
    <m/>
    <m/>
    <m/>
    <m/>
    <m/>
    <m/>
    <m/>
    <n v="80"/>
    <n v="0"/>
    <n v="7"/>
    <n v="34216.073781999999"/>
    <n v="17450.769371999999"/>
    <n v="0.51001670978335045"/>
    <s v="31% - 50%"/>
    <n v="5.0770866458996926E-4"/>
    <n v="19981.691112"/>
    <n v="0.58398550457042031"/>
    <s v="51% - 70%"/>
    <n v="0.9658076661388606"/>
    <s v="Aceptable"/>
    <n v="2"/>
    <s v="Candidato"/>
    <n v="0"/>
    <n v="0"/>
  </r>
  <r>
    <n v="54128"/>
    <s v="54128"/>
    <x v="12"/>
    <x v="12"/>
    <s v="CÁCHIRA"/>
    <n v="53.7057"/>
    <n v="46.01"/>
    <n v="51.41"/>
    <n v="51.58"/>
    <n v="52.535762841234444"/>
    <n v="49.735288506179785"/>
    <n v="52.890884166442575"/>
    <n v="49.531300000000002"/>
    <n v="50.676424999999995"/>
    <n v="51.173308878464198"/>
    <n v="50.924866939232096"/>
    <n v="62.830348949146163"/>
    <n v="37.169651050853837"/>
    <n v="0.43452685945768454"/>
    <n v="0"/>
    <n v="22.128222499404991"/>
    <n v="4"/>
    <n v="4"/>
    <b v="1"/>
    <x v="5"/>
    <n v="51.569325473637676"/>
    <n v="0.44154144895182612"/>
    <n v="22.769994691098297"/>
    <n v="4"/>
    <n v="0"/>
    <n v="-0.64445853440557954"/>
    <n v="-7.0145894941415765E-3"/>
    <n v="-0.64177219169330613"/>
    <n v="4"/>
    <b v="1"/>
    <n v="0"/>
    <n v="0.6523467210059386"/>
    <n v="33.641080377215559"/>
    <n v="0.25018844263580581"/>
    <n v="4"/>
    <n v="0"/>
    <n v="25.018844263580579"/>
    <n v="4"/>
    <n v="-0.21781986154825406"/>
    <b v="1"/>
    <n v="0"/>
    <n v="4"/>
    <n v="0"/>
    <n v="0"/>
    <n v="0"/>
    <n v="0"/>
    <n v="0"/>
    <n v="0"/>
    <s v="Rural disperso"/>
    <n v="6"/>
    <s v="Fuera SC"/>
    <m/>
    <s v="No"/>
    <s v="No"/>
    <n v="56.4"/>
    <n v="25.040499884286046"/>
    <n v="39.032782559999994"/>
    <s v="Alto"/>
    <n v="3.8953722059096161"/>
    <s v="Medio Bajo"/>
    <n v="22676.343568"/>
    <n v="4276.7622992500001"/>
    <n v="12099"/>
    <n v="1.8742328761054632"/>
    <n v="0.35348064296636084"/>
    <m/>
    <m/>
    <m/>
    <m/>
    <m/>
    <m/>
    <m/>
    <n v="1"/>
    <n v="0"/>
    <n v="7"/>
    <n v="61467.165612999997"/>
    <n v="15223.171582999999"/>
    <n v="0.24766347091463048"/>
    <s v="0% - 30%"/>
    <n v="4.4289944761003391E-4"/>
    <s v="N.D."/>
    <s v="N.D."/>
    <s v="N.D."/>
    <n v="0.95261342007125616"/>
    <s v="Aceptable"/>
    <n v="1"/>
    <s v="Candidato"/>
    <n v="0"/>
    <n v="0"/>
  </r>
  <r>
    <n v="86568"/>
    <s v="86568"/>
    <x v="22"/>
    <x v="22"/>
    <s v="PUERTO ASÍS"/>
    <n v="50.946433333333303"/>
    <n v="62.89"/>
    <n v="57.6"/>
    <n v="49.69"/>
    <n v="52.047231823544919"/>
    <n v="59.722144240489207"/>
    <n v="60.501907360810534"/>
    <n v="49.074100000000001"/>
    <n v="55.281608333333324"/>
    <n v="55.336345856211167"/>
    <n v="55.308977094772246"/>
    <n v="62.446498208228277"/>
    <n v="37.553501791771723"/>
    <n v="0.43798151612594549"/>
    <n v="0"/>
    <n v="24.224309643343542"/>
    <n v="4"/>
    <n v="4"/>
    <b v="1"/>
    <x v="5"/>
    <n v="55.177650679734455"/>
    <n v="0.44396358956594661"/>
    <n v="24.496867859590804"/>
    <n v="4"/>
    <n v="0"/>
    <n v="0.13132641503779041"/>
    <n v="-5.9820734400011233E-3"/>
    <n v="-0.27255821624726195"/>
    <n v="4"/>
    <b v="1"/>
    <n v="0"/>
    <n v="0.6523467210059386"/>
    <n v="35.99495949373587"/>
    <n v="0.27963298916100837"/>
    <n v="4"/>
    <n v="0"/>
    <n v="27.963298916100836"/>
    <n v="4"/>
    <n v="-0.21436520487999311"/>
    <b v="1"/>
    <n v="0"/>
    <n v="4"/>
    <n v="0"/>
    <n v="0"/>
    <n v="1"/>
    <n v="0"/>
    <n v="1"/>
    <n v="1"/>
    <s v="Ciudades y aglomeraciones"/>
    <n v="6"/>
    <s v="Uninodal"/>
    <m/>
    <s v="No"/>
    <s v="No"/>
    <n v="44.1"/>
    <n v="19.342262916003506"/>
    <n v="17.931333333333335"/>
    <s v="Medio"/>
    <n v="49.216271029533587"/>
    <s v="Muy Alto"/>
    <n v="129907.444112"/>
    <n v="23853.123826750001"/>
    <n v="71540"/>
    <n v="1.8158714580933744"/>
    <n v="0.33342359276977918"/>
    <m/>
    <m/>
    <m/>
    <m/>
    <m/>
    <m/>
    <m/>
    <n v="11"/>
    <n v="1"/>
    <n v="5"/>
    <n v="280238.60161700001"/>
    <n v="9100.6044430000002"/>
    <n v="3.2474485636485327E-2"/>
    <s v="0% - 30%"/>
    <n v="2.6477088947898515E-4"/>
    <n v="33900.352776"/>
    <n v="0.12096960440279159"/>
    <s v="0% - 30%"/>
    <n v="0.91322569450002455"/>
    <s v="Aceptable"/>
    <n v="1"/>
    <s v="Candidato"/>
    <n v="1"/>
    <s v="Unidad Especial de Desarrollo Fronterizo"/>
  </r>
  <r>
    <n v="25372"/>
    <s v="25372"/>
    <x v="5"/>
    <x v="5"/>
    <s v="JUNÍN"/>
    <n v="52.495466666666701"/>
    <n v="49.35"/>
    <n v="27.38"/>
    <n v="46.77"/>
    <n v="62.115697028636603"/>
    <n v="54.109047232311305"/>
    <n v="50.996824414552883"/>
    <n v="52.701999999999998"/>
    <n v="43.998866666666679"/>
    <n v="54.980892168875201"/>
    <n v="49.489879417770936"/>
    <n v="64.602749781702315"/>
    <n v="35.397250218297685"/>
    <n v="0.41857525196467915"/>
    <n v="0"/>
    <n v="20.715238746995059"/>
    <n v="5"/>
    <n v="5"/>
    <b v="1"/>
    <x v="6"/>
    <n v="49.817333673135863"/>
    <n v="0.44278143578547235"/>
    <n v="22.058190530795056"/>
    <n v="4"/>
    <n v="-1"/>
    <n v="-0.32745425536492689"/>
    <n v="-2.4206183820793203E-2"/>
    <n v="-1.3429517837999967"/>
    <n v="4"/>
    <b v="0"/>
    <s v="Cambio en corte"/>
    <n v="0.6523467210059386"/>
    <n v="32.498174270928914"/>
    <n v="0.23589189198275326"/>
    <n v="4"/>
    <n v="-1"/>
    <n v="23.589189198275324"/>
    <n v="4"/>
    <n v="-0.23377146904125945"/>
    <b v="0"/>
    <s v="Cambio en corte"/>
    <n v="4"/>
    <n v="-1"/>
    <n v="0"/>
    <n v="0"/>
    <n v="0"/>
    <n v="0"/>
    <n v="0"/>
    <s v="Rural disperso"/>
    <n v="6"/>
    <s v="Fuera SC"/>
    <m/>
    <s v="No"/>
    <s v="Si"/>
    <n v="57.8"/>
    <n v="16.201654800846644"/>
    <n v="1.1771778721742103"/>
    <s v="Sin riesgo"/>
    <n v="2.8622127879562624"/>
    <s v="Medio Bajo"/>
    <n v="18803.087910999999"/>
    <n v="3786.8261560000001"/>
    <n v="5105"/>
    <n v="3.6832689345739467"/>
    <n v="0.74178768971596476"/>
    <m/>
    <m/>
    <m/>
    <m/>
    <m/>
    <m/>
    <m/>
    <n v="87"/>
    <n v="0"/>
    <n v="7"/>
    <n v="34326.591296999999"/>
    <n v="12555.930981"/>
    <n v="0.3657785555333406"/>
    <s v="31% - 50%"/>
    <n v="3.6529936389370404E-4"/>
    <s v="N.D."/>
    <s v="N.D."/>
    <s v="N.D."/>
    <n v="0.91997416514605246"/>
    <s v="Aceptable"/>
    <n v="1"/>
    <s v="Candidato"/>
    <n v="0"/>
    <n v="0"/>
  </r>
  <r>
    <n v="15723"/>
    <s v="15723"/>
    <x v="10"/>
    <x v="10"/>
    <s v="SATIVASUR"/>
    <n v="67.543899999999994"/>
    <n v="52.65"/>
    <n v="53.11"/>
    <n v="62.42"/>
    <n v="45.669547817958147"/>
    <n v="52.047763208754041"/>
    <n v="56.393776500448304"/>
    <n v="59.856400000000001"/>
    <n v="58.930975000000004"/>
    <n v="53.491871881790125"/>
    <n v="56.211423440895061"/>
    <n v="63.180071614420129"/>
    <n v="36.819928385579871"/>
    <n v="0.43137935547021888"/>
    <n v="0"/>
    <n v="24.248447613996866"/>
    <n v="4"/>
    <n v="4"/>
    <b v="1"/>
    <x v="5"/>
    <n v="54.294645504867155"/>
    <n v="0.44451360793359429"/>
    <n v="24.134708764844007"/>
    <n v="4"/>
    <n v="0"/>
    <n v="1.9167779360279056"/>
    <n v="-1.3134252463375407E-2"/>
    <n v="0.1137388491528597"/>
    <n v="4"/>
    <b v="1"/>
    <n v="0"/>
    <n v="0.6523467210059386"/>
    <n v="35.418933963279912"/>
    <n v="0.27242751696314643"/>
    <n v="4"/>
    <n v="0"/>
    <n v="27.242751696314642"/>
    <n v="4"/>
    <n v="-0.22096736553571972"/>
    <b v="1"/>
    <n v="0"/>
    <n v="4"/>
    <n v="0"/>
    <n v="0"/>
    <n v="0"/>
    <n v="0"/>
    <n v="0"/>
    <n v="0"/>
    <s v="Rural"/>
    <n v="6"/>
    <s v="Fuera SC"/>
    <m/>
    <s v="No"/>
    <s v="No"/>
    <n v="29.7"/>
    <n v="7.6628352490421454"/>
    <n v="7.567622159439872"/>
    <s v="Bajo"/>
    <n v="7.4000006181048059"/>
    <s v="Medio"/>
    <n v="5206.8676779999996"/>
    <n v="1534.1554247000001"/>
    <n v="1055"/>
    <n v="4.9354195999999995"/>
    <n v="1.4541757580094787"/>
    <m/>
    <m/>
    <m/>
    <m/>
    <m/>
    <m/>
    <m/>
    <n v="82"/>
    <n v="0"/>
    <n v="7"/>
    <n v="5462.5831710000002"/>
    <n v="2516.8807109999998"/>
    <n v="0.46074917895286721"/>
    <s v="31% - 50%"/>
    <n v="7.3225547680687224E-5"/>
    <s v="N.D."/>
    <s v="N.D."/>
    <s v="N.D."/>
    <n v="0.77728971782405765"/>
    <s v="Crítico bajo"/>
    <n v="2"/>
    <s v="Candidato"/>
    <n v="0"/>
    <n v="0"/>
  </r>
  <r>
    <n v="68385"/>
    <s v="68385"/>
    <x v="0"/>
    <x v="0"/>
    <s v="LANDÁZURI"/>
    <n v="64.668433333333297"/>
    <n v="53.54"/>
    <n v="48.59"/>
    <n v="57.99"/>
    <n v="48.614664375636259"/>
    <n v="67.835673787814969"/>
    <n v="56.490336808998634"/>
    <n v="54.5565"/>
    <n v="56.197108333333325"/>
    <n v="56.874293743112467"/>
    <n v="56.535701038222896"/>
    <n v="62.656605922483458"/>
    <n v="37.343394077516542"/>
    <n v="0.43609054669764891"/>
    <n v="0"/>
    <n v="24.654684773693461"/>
    <n v="4"/>
    <n v="4"/>
    <b v="1"/>
    <x v="5"/>
    <n v="56.395738707271462"/>
    <n v="0.44173343469025872"/>
    <n v="24.911883361057395"/>
    <n v="4"/>
    <n v="0"/>
    <n v="0.13996233095143396"/>
    <n v="-5.642887992609813E-3"/>
    <n v="-0.25719858736393419"/>
    <n v="4"/>
    <b v="1"/>
    <n v="0"/>
    <n v="0.6523467210059386"/>
    <n v="36.789575224396231"/>
    <n v="0.28957279434763761"/>
    <n v="4"/>
    <n v="0"/>
    <n v="28.957279434763763"/>
    <n v="4"/>
    <n v="-0.21625617430828969"/>
    <b v="1"/>
    <n v="0"/>
    <n v="4"/>
    <n v="0"/>
    <n v="0"/>
    <n v="0"/>
    <n v="0"/>
    <n v="0"/>
    <n v="1"/>
    <s v="Rural"/>
    <n v="6"/>
    <s v="Fuera SC"/>
    <m/>
    <s v="No"/>
    <s v="No"/>
    <n v="49.1"/>
    <n v="17.538728198461705"/>
    <n v="9.0033333333333339"/>
    <s v="Bajo"/>
    <n v="5.1710835033009408"/>
    <s v="Medio Bajo"/>
    <n v="27451.792412999999"/>
    <n v="4865.0756270000002"/>
    <n v="10619"/>
    <n v="2.5851579633675486"/>
    <n v="0.45814818975421417"/>
    <m/>
    <m/>
    <m/>
    <m/>
    <m/>
    <m/>
    <m/>
    <n v="25"/>
    <n v="0"/>
    <n v="7"/>
    <n v="58937.461751000003"/>
    <n v="51728.675602000003"/>
    <n v="0.87768753633375318"/>
    <s v="71% - 100%"/>
    <n v="1.5049821730518454E-3"/>
    <s v="N.D."/>
    <s v="N.D."/>
    <s v="N.D."/>
    <n v="0.97149903097994672"/>
    <s v="Aceptable"/>
    <n v="1"/>
    <s v="Candidato"/>
    <n v="0"/>
    <n v="0"/>
  </r>
  <r>
    <n v="5284"/>
    <s v="05284"/>
    <x v="1"/>
    <x v="1"/>
    <s v="FRONTINO"/>
    <n v="51.505366666666703"/>
    <n v="33.909999999999997"/>
    <n v="34.69"/>
    <n v="53.01"/>
    <n v="56.209368007865542"/>
    <n v="53.74900776351393"/>
    <n v="50.77034083222955"/>
    <n v="44.106099999999998"/>
    <n v="43.278841666666672"/>
    <n v="51.208704150902257"/>
    <n v="47.243772908784464"/>
    <n v="62.500105194944553"/>
    <n v="37.499894805055447"/>
    <n v="0.43749905324549898"/>
    <n v="0"/>
    <n v="20.669105919338556"/>
    <n v="5"/>
    <n v="5"/>
    <b v="1"/>
    <x v="6"/>
    <n v="48.58611113502279"/>
    <n v="0.44152702569476343"/>
    <n v="21.452081139521837"/>
    <n v="4"/>
    <n v="-1"/>
    <n v="-1.3423382262383257"/>
    <n v="-4.0279724492644498E-3"/>
    <n v="-0.78297522018328181"/>
    <n v="4"/>
    <b v="0"/>
    <s v="Cambio en corte"/>
    <n v="0.6523467210059386"/>
    <n v="31.694990285362238"/>
    <n v="0.22584490695903803"/>
    <n v="4"/>
    <n v="-1"/>
    <n v="22.584490695903803"/>
    <n v="4"/>
    <n v="-0.21484766776043962"/>
    <b v="0"/>
    <s v="Cambio en corte"/>
    <n v="4"/>
    <n v="-1"/>
    <n v="0"/>
    <n v="0"/>
    <n v="0"/>
    <n v="0"/>
    <n v="1"/>
    <s v="Rural"/>
    <n v="6"/>
    <s v="Fuera SC"/>
    <m/>
    <s v="No"/>
    <s v="Si"/>
    <n v="51.3"/>
    <n v="34.09576848490876"/>
    <n v="40.11776007500653"/>
    <s v="Alto"/>
    <n v="3.4185621991672606"/>
    <s v="Medio Bajo"/>
    <n v="52577.255405999997"/>
    <n v="9317.4723945000005"/>
    <n v="21716"/>
    <n v="2.4211298308159881"/>
    <n v="0.42906025025326949"/>
    <m/>
    <m/>
    <m/>
    <m/>
    <m/>
    <m/>
    <m/>
    <n v="99"/>
    <n v="0"/>
    <n v="6"/>
    <n v="138445.59633599999"/>
    <n v="90818.880267"/>
    <n v="0.65598966431974826"/>
    <s v="51% - 70%"/>
    <n v="2.6422635837419447E-3"/>
    <n v="48004.949516000001"/>
    <n v="0.34674233624227802"/>
    <s v="31% - 50%"/>
    <n v="0.94282110472726099"/>
    <s v="Aceptable"/>
    <n v="1"/>
    <s v="Candidato"/>
    <n v="0"/>
    <n v="0"/>
  </r>
  <r>
    <n v="15897"/>
    <s v="15897"/>
    <x v="10"/>
    <x v="10"/>
    <s v="ZETAQUIRA"/>
    <n v="63.787199999999999"/>
    <n v="59.75"/>
    <n v="55.32"/>
    <n v="50.18"/>
    <n v="66.714505267474308"/>
    <n v="66.500648260525125"/>
    <n v="56.982608843952583"/>
    <n v="67.528499999999994"/>
    <n v="57.259300000000003"/>
    <n v="64.431565592988008"/>
    <n v="60.845432796494009"/>
    <n v="63.195705502900744"/>
    <n v="36.804294497099256"/>
    <n v="0.43123865047389331"/>
    <n v="0"/>
    <n v="26.238902326660046"/>
    <n v="4"/>
    <n v="4"/>
    <b v="1"/>
    <x v="5"/>
    <n v="61.779672693106157"/>
    <n v="0.44011615277549998"/>
    <n v="27.190231865419495"/>
    <n v="4"/>
    <n v="0"/>
    <n v="-0.9342398966121479"/>
    <n v="-8.8775023016066656E-3"/>
    <n v="-0.95132953875944892"/>
    <n v="4"/>
    <b v="1"/>
    <n v="0"/>
    <n v="0.6523467210059386"/>
    <n v="40.301766906167927"/>
    <n v="0.33350661008760313"/>
    <n v="4"/>
    <n v="0"/>
    <n v="33.350661008760312"/>
    <n v="4"/>
    <n v="-0.22110807053204529"/>
    <b v="1"/>
    <n v="0"/>
    <n v="3"/>
    <n v="-1"/>
    <n v="0"/>
    <n v="0"/>
    <n v="0"/>
    <n v="0"/>
    <n v="0"/>
    <s v="Rural disperso"/>
    <n v="6"/>
    <s v="Fuera SC"/>
    <m/>
    <s v="No"/>
    <s v="No"/>
    <n v="50.7"/>
    <n v="19.405430711610485"/>
    <n v="59.244517102800316"/>
    <s v="Alto"/>
    <n v="0"/>
    <s v="Bajo"/>
    <n v="21018.105350999998"/>
    <n v="8569.4731287499999"/>
    <n v="4740"/>
    <n v="4.4341994411392402"/>
    <n v="1.8079057233649789"/>
    <m/>
    <m/>
    <m/>
    <m/>
    <m/>
    <m/>
    <m/>
    <n v="17"/>
    <n v="0"/>
    <n v="7"/>
    <n v="25104.174046"/>
    <n v="2920.80152"/>
    <n v="0.11634724626462623"/>
    <s v="0% - 30%"/>
    <n v="8.4977126660725456E-5"/>
    <s v="N.D."/>
    <s v="N.D."/>
    <s v="N.D."/>
    <n v="0.93621961090273853"/>
    <s v="Aceptable"/>
    <n v="2"/>
    <s v="Candidato"/>
    <n v="0"/>
    <n v="0"/>
  </r>
  <r>
    <n v="68425"/>
    <s v="68425"/>
    <x v="0"/>
    <x v="0"/>
    <s v="MACARAVITA"/>
    <n v="57.122866666666702"/>
    <n v="80.14"/>
    <n v="40.57"/>
    <n v="36.020000000000003"/>
    <n v="48.830092784882574"/>
    <n v="35.87505431946272"/>
    <n v="44.86932826040448"/>
    <n v="59.6432"/>
    <n v="53.463216666666675"/>
    <n v="47.304418841187442"/>
    <n v="50.383817753927062"/>
    <n v="62.344497882364358"/>
    <n v="37.655502117635642"/>
    <n v="0.43889951905872082"/>
    <n v="0"/>
    <n v="22.113433380540826"/>
    <n v="4"/>
    <n v="4"/>
    <b v="1"/>
    <x v="5"/>
    <n v="51.326231043698328"/>
    <n v="0.44145596282231292"/>
    <n v="22.658270743436333"/>
    <n v="4"/>
    <n v="0"/>
    <n v="-0.9424132897712667"/>
    <n v="-2.5564437635920978E-3"/>
    <n v="-0.54483736289550677"/>
    <n v="4"/>
    <b v="1"/>
    <n v="0"/>
    <n v="0.6523467210059386"/>
    <n v="33.482498522949818"/>
    <n v="0.24820475079997226"/>
    <n v="4"/>
    <n v="0"/>
    <n v="24.820475079997227"/>
    <n v="4"/>
    <n v="-0.21344720194721778"/>
    <b v="1"/>
    <n v="0"/>
    <n v="4"/>
    <n v="0"/>
    <n v="0"/>
    <n v="0"/>
    <n v="0"/>
    <n v="0"/>
    <n v="0"/>
    <s v="Rural disperso"/>
    <n v="6"/>
    <s v="Fuera SC"/>
    <m/>
    <s v="No"/>
    <s v="No"/>
    <n v="50.3"/>
    <n v="24.272300469483568"/>
    <n v="29.63"/>
    <s v="Medio"/>
    <n v="0"/>
    <s v="Bajo"/>
    <n v="12744.104273999999"/>
    <n v="2613.4786279999998"/>
    <n v="2430"/>
    <n v="5.2444873555555551"/>
    <n v="1.0755056082304526"/>
    <m/>
    <m/>
    <m/>
    <m/>
    <m/>
    <m/>
    <m/>
    <n v="58"/>
    <n v="0"/>
    <n v="7"/>
    <n v="10268.901567999999"/>
    <n v="4733.0563240000001"/>
    <n v="0.4609116459689489"/>
    <s v="31% - 50%"/>
    <n v="1.3770245050300289E-4"/>
    <s v="N.D."/>
    <s v="N.D."/>
    <s v="N.D."/>
    <n v="0.9312198163218619"/>
    <s v="Aceptable"/>
    <n v="1"/>
    <s v="Candidato"/>
    <n v="0"/>
    <n v="0"/>
  </r>
  <r>
    <n v="54720"/>
    <s v="54720"/>
    <x v="12"/>
    <x v="12"/>
    <s v="SARDINATA"/>
    <n v="68.728066666666706"/>
    <n v="76.63"/>
    <n v="31.73"/>
    <n v="48.01"/>
    <n v="59.402878949038524"/>
    <n v="54.060128109592227"/>
    <n v="59.853475447779694"/>
    <n v="64.116100000000003"/>
    <n v="56.274516666666671"/>
    <n v="59.358145626602607"/>
    <n v="57.816331146634639"/>
    <n v="62.879155414609464"/>
    <n v="37.120844585390536"/>
    <n v="0.43408760126851487"/>
    <n v="0"/>
    <n v="25.097352501588755"/>
    <n v="4"/>
    <n v="4"/>
    <b v="1"/>
    <x v="5"/>
    <n v="60.103599863275861"/>
    <n v="0.44091665514438239"/>
    <n v="26.500678213851952"/>
    <n v="4"/>
    <n v="0"/>
    <n v="-2.287268716641222"/>
    <n v="-6.829053875867519E-3"/>
    <n v="-1.4033257122631966"/>
    <n v="4"/>
    <b v="1"/>
    <n v="0"/>
    <n v="0.6523467210059386"/>
    <n v="39.20838629146099"/>
    <n v="0.31982957112942384"/>
    <n v="4"/>
    <n v="0"/>
    <n v="31.982957112942383"/>
    <n v="4"/>
    <n v="-0.21825911973742373"/>
    <b v="1"/>
    <n v="0"/>
    <n v="4"/>
    <n v="0"/>
    <n v="0"/>
    <n v="0"/>
    <n v="0"/>
    <n v="1"/>
    <n v="1"/>
    <s v="Rural"/>
    <n v="6"/>
    <s v="Fuera SC"/>
    <m/>
    <s v="No"/>
    <s v="No"/>
    <n v="53.8"/>
    <n v="37.175669927690343"/>
    <n v="39.549707130290805"/>
    <s v="Alto"/>
    <n v="23.999414404601563"/>
    <s v="Muy Alto"/>
    <n v="65381.216414000002"/>
    <n v="8009.4615544999997"/>
    <n v="28494"/>
    <n v="2.2945608343510915"/>
    <n v="0.28109291621043025"/>
    <m/>
    <m/>
    <m/>
    <m/>
    <m/>
    <m/>
    <m/>
    <n v="73"/>
    <n v="0"/>
    <n v="7"/>
    <n v="146466.49722700001"/>
    <n v="11085.93607"/>
    <n v="7.5689227774857912E-2"/>
    <s v="0% - 30%"/>
    <n v="3.225316705440139E-4"/>
    <s v="N.D."/>
    <s v="N.D."/>
    <s v="N.D."/>
    <n v="0.95587763743871057"/>
    <s v="Aceptable"/>
    <n v="2"/>
    <s v="Candidato"/>
    <n v="0"/>
    <n v="0"/>
  </r>
  <r>
    <n v="54810"/>
    <s v="54810"/>
    <x v="12"/>
    <x v="12"/>
    <s v="TIBÚ"/>
    <n v="58.865200000000002"/>
    <n v="41.75"/>
    <n v="49.56"/>
    <n v="62.75"/>
    <n v="58.865252057154549"/>
    <n v="59.21564759897403"/>
    <n v="67.181192424703312"/>
    <n v="65.170599999999993"/>
    <n v="53.231300000000005"/>
    <n v="62.608173020207971"/>
    <n v="57.919736510103988"/>
    <n v="62.182174192061822"/>
    <n v="37.817825807938178"/>
    <n v="0.44036043227144361"/>
    <n v="0"/>
    <n v="25.505560206637508"/>
    <n v="4"/>
    <n v="4"/>
    <b v="1"/>
    <x v="5"/>
    <n v="56.427593592104756"/>
    <n v="0.44055387344431296"/>
    <n v="24.859394926143242"/>
    <n v="4"/>
    <n v="0"/>
    <n v="1.4921429179992316"/>
    <n v="-1.9344117286934637E-4"/>
    <n v="0.64616528049426591"/>
    <n v="4"/>
    <b v="1"/>
    <n v="0"/>
    <n v="0.6523467210059386"/>
    <n v="36.810355654065248"/>
    <n v="0.28983273561815942"/>
    <n v="4"/>
    <n v="0"/>
    <n v="28.983273561815942"/>
    <n v="4"/>
    <n v="-0.21198628873449499"/>
    <b v="1"/>
    <n v="0"/>
    <n v="4"/>
    <n v="0"/>
    <n v="0"/>
    <n v="0"/>
    <n v="0"/>
    <n v="1"/>
    <n v="1"/>
    <s v="Rural"/>
    <n v="6"/>
    <s v="Fuera SC"/>
    <m/>
    <s v="No"/>
    <s v="No"/>
    <n v="57.6"/>
    <n v="46.171593930861881"/>
    <n v="56.319557391330328"/>
    <s v="Alto"/>
    <n v="87.485853315839051"/>
    <s v="Muy Alto"/>
    <n v="115859.574052"/>
    <n v="20317.766931999999"/>
    <n v="67062"/>
    <n v="1.7276486542602367"/>
    <n v="0.30296989251737194"/>
    <m/>
    <m/>
    <m/>
    <m/>
    <m/>
    <m/>
    <m/>
    <n v="73"/>
    <n v="0"/>
    <n v="7"/>
    <n v="267468.27381699998"/>
    <n v="30234.301872"/>
    <n v="0.11303883425323973"/>
    <s v="0% - 30%"/>
    <n v="8.7962981465291516E-4"/>
    <n v="61.602311999999998"/>
    <n v="2.3031633292757515E-4"/>
    <n v="0"/>
    <n v="0.94309797241457138"/>
    <s v="Aceptable"/>
    <n v="3"/>
    <s v="Candidato"/>
    <n v="1"/>
    <s v="Zona de Fronteras"/>
  </r>
  <r>
    <n v="68397"/>
    <s v="68397"/>
    <x v="0"/>
    <x v="0"/>
    <s v="LA PAZ"/>
    <n v="59.646433333333299"/>
    <n v="49.55"/>
    <n v="67.61"/>
    <n v="76.53"/>
    <n v="51.269224637091888"/>
    <n v="52.339460291878325"/>
    <n v="43.471172780536683"/>
    <n v="48.479199999999999"/>
    <n v="63.334108333333326"/>
    <n v="48.889764427376718"/>
    <n v="56.111936380355019"/>
    <n v="63.384056062885044"/>
    <n v="36.615943937114956"/>
    <n v="0.42954349543403469"/>
    <n v="0"/>
    <n v="24.102517288389873"/>
    <n v="4"/>
    <n v="4"/>
    <b v="1"/>
    <x v="5"/>
    <n v="53.923468455299712"/>
    <n v="0.43762414926184945"/>
    <n v="23.598212007998711"/>
    <n v="4"/>
    <n v="0"/>
    <n v="2.1884679250553063"/>
    <n v="-8.0806538278147544E-3"/>
    <n v="0.5043052803911614"/>
    <n v="4"/>
    <b v="1"/>
    <n v="0"/>
    <n v="0.6523467210059386"/>
    <n v="35.176797832081931"/>
    <n v="0.26939864919740025"/>
    <n v="4"/>
    <n v="0"/>
    <n v="26.939864919740025"/>
    <n v="4"/>
    <n v="-0.22280322557190391"/>
    <b v="1"/>
    <n v="0"/>
    <n v="4"/>
    <n v="0"/>
    <n v="0"/>
    <n v="0"/>
    <n v="0"/>
    <n v="0"/>
    <n v="0"/>
    <s v="Rural disperso"/>
    <n v="6"/>
    <s v="Fuera SC"/>
    <m/>
    <s v="No"/>
    <s v="Si"/>
    <n v="36.1"/>
    <n v="8.1786251881585557"/>
    <n v="0"/>
    <s v="Sin riesgo"/>
    <n v="1.8836528956320537"/>
    <s v="Medio Bajo"/>
    <n v="12848.224464000001"/>
    <n v="2262.0881229000001"/>
    <n v="5075"/>
    <n v="2.5316698451231527"/>
    <n v="0.44573164983251234"/>
    <m/>
    <m/>
    <m/>
    <m/>
    <m/>
    <m/>
    <m/>
    <n v="25"/>
    <n v="0"/>
    <n v="7"/>
    <n v="28390.908078"/>
    <n v="8778.2966570000008"/>
    <n v="0.3091939374705055"/>
    <s v="31% - 50%"/>
    <n v="2.5539374099179188E-4"/>
    <s v="N.D."/>
    <s v="N.D."/>
    <s v="N.D."/>
    <n v="0.92825907133958718"/>
    <s v="Aceptable"/>
    <n v="2"/>
    <s v="Candidato"/>
    <n v="0"/>
    <n v="0"/>
  </r>
  <r>
    <n v="27006"/>
    <s v="27006"/>
    <x v="26"/>
    <x v="26"/>
    <s v="ACANDÍ"/>
    <n v="69.811733333333294"/>
    <n v="47.52"/>
    <n v="31.71"/>
    <n v="48.78"/>
    <n v="41.437556671564977"/>
    <n v="57.596984219497088"/>
    <n v="51.901503518536884"/>
    <n v="56.694800000000001"/>
    <n v="49.455433333333325"/>
    <n v="51.90771110239973"/>
    <n v="50.681572217866531"/>
    <n v="62.828007652397623"/>
    <n v="37.171992347602377"/>
    <n v="0.43454793112842138"/>
    <n v="0"/>
    <n v="22.02357235360958"/>
    <n v="4"/>
    <n v="4"/>
    <b v="1"/>
    <x v="5"/>
    <n v="51.934608764511943"/>
    <n v="0.43996350241995918"/>
    <n v="22.849332368844983"/>
    <n v="4"/>
    <n v="0"/>
    <n v="-1.2530365466454114"/>
    <n v="-5.4155712915378018E-3"/>
    <n v="-0.82576001523540299"/>
    <n v="4"/>
    <b v="1"/>
    <n v="0"/>
    <n v="0.6523467210059386"/>
    <n v="33.879371734255649"/>
    <n v="0.25316921632961076"/>
    <n v="4"/>
    <n v="0"/>
    <n v="25.316921632961076"/>
    <n v="4"/>
    <n v="-0.21779878987751722"/>
    <b v="1"/>
    <n v="0"/>
    <n v="4"/>
    <n v="0"/>
    <n v="0"/>
    <n v="0"/>
    <n v="0"/>
    <n v="1"/>
    <n v="1"/>
    <s v="Rural"/>
    <n v="6"/>
    <s v="Fuera SC"/>
    <m/>
    <s v="No"/>
    <s v="No"/>
    <n v="51.4"/>
    <n v="36.444811905746178"/>
    <n v="90.034999999999997"/>
    <s v="Inviable sanitariamente"/>
    <n v="3.7690096675919755"/>
    <s v="Medio Bajo"/>
    <n v="33790.994721000003"/>
    <n v="8242.5613439999997"/>
    <n v="15963"/>
    <n v="2.1168323448599891"/>
    <n v="0.51635415297876341"/>
    <m/>
    <m/>
    <m/>
    <m/>
    <m/>
    <m/>
    <m/>
    <n v="35"/>
    <n v="0"/>
    <n v="7"/>
    <n v="79852.829436999993"/>
    <n v="52815.689278999998"/>
    <n v="0.66141287229739321"/>
    <s v="51% - 70%"/>
    <n v="1.5366074985934349E-3"/>
    <n v="34642.068211999998"/>
    <n v="0.4338239290485118"/>
    <s v="31% - 50%"/>
    <n v="0.94934735709071738"/>
    <s v="Aceptable"/>
    <n v="1"/>
    <s v="Candidato"/>
    <n v="1"/>
    <s v="Unidad Especial de Desarrollo Fronterizo"/>
  </r>
  <r>
    <n v="54800"/>
    <s v="54800"/>
    <x v="12"/>
    <x v="12"/>
    <s v="TEORAMA"/>
    <n v="70.199399999999997"/>
    <n v="62.11"/>
    <n v="52.3"/>
    <n v="54.96"/>
    <n v="58.242147381898889"/>
    <n v="51.790325848289648"/>
    <n v="59.279642966726385"/>
    <n v="52.152500000000003"/>
    <n v="59.89235"/>
    <n v="55.366154049228733"/>
    <n v="57.629252024614367"/>
    <n v="63.001867343528318"/>
    <n v="36.998132656471682"/>
    <n v="0.43298319390824513"/>
    <n v="0"/>
    <n v="24.95249760416073"/>
    <n v="4"/>
    <n v="4"/>
    <b v="1"/>
    <x v="5"/>
    <n v="58.438454271487707"/>
    <n v="0.43978580688398528"/>
    <n v="25.700402764839097"/>
    <n v="4"/>
    <n v="0"/>
    <n v="-0.80920224687334041"/>
    <n v="-6.802612975740141E-3"/>
    <n v="-0.74790516067836776"/>
    <n v="4"/>
    <b v="1"/>
    <n v="0"/>
    <n v="0.6523467210059386"/>
    <n v="38.12213402466049"/>
    <n v="0.3062417002895671"/>
    <n v="4"/>
    <n v="0"/>
    <n v="30.624170028956708"/>
    <n v="4"/>
    <n v="-0.21936352709769347"/>
    <b v="1"/>
    <n v="0"/>
    <n v="4"/>
    <n v="0"/>
    <n v="0"/>
    <n v="0"/>
    <n v="0"/>
    <n v="1"/>
    <n v="1"/>
    <s v="Rural disperso"/>
    <n v="6"/>
    <s v="Fuera SC"/>
    <m/>
    <s v="No"/>
    <s v="No"/>
    <n v="67.099999999999994"/>
    <n v="38.245476003147125"/>
    <n v="2.1924999999999999"/>
    <s v="Sin riesgo"/>
    <n v="47.155138061776377"/>
    <s v="Muy Alto"/>
    <n v="45671.397583999998"/>
    <n v="7475.4427882500004"/>
    <n v="18309"/>
    <n v="2.494477993555082"/>
    <n v="0.40829334143044405"/>
    <m/>
    <m/>
    <m/>
    <m/>
    <m/>
    <m/>
    <m/>
    <n v="14"/>
    <n v="0"/>
    <n v="7"/>
    <n v="92483.888317000004"/>
    <n v="67928.338134000005"/>
    <n v="0.73448834570154742"/>
    <s v="71% - 100%"/>
    <n v="1.9762914234122647E-3"/>
    <n v="20472.271896999999"/>
    <n v="0.22136041498199932"/>
    <s v="0% - 30%"/>
    <n v="0.96783533430092539"/>
    <s v="Aceptable"/>
    <n v="1"/>
    <s v="Candidato"/>
    <n v="1"/>
    <s v="Zona de Fronteras"/>
  </r>
  <r>
    <n v="15092"/>
    <s v="15092"/>
    <x v="10"/>
    <x v="10"/>
    <s v="BETÉITIVA"/>
    <n v="54.629666666666701"/>
    <n v="56.61"/>
    <n v="59.66"/>
    <n v="62.52"/>
    <n v="59.289703972416042"/>
    <n v="43.43414144016694"/>
    <n v="47.608745692858392"/>
    <n v="48.2804"/>
    <n v="58.354916666666675"/>
    <n v="49.653247776360345"/>
    <n v="54.004082221513514"/>
    <n v="63.913065748305954"/>
    <n v="36.086934251694046"/>
    <n v="0.42478240826524649"/>
    <n v="0"/>
    <n v="22.939984102208893"/>
    <n v="4"/>
    <n v="4"/>
    <b v="1"/>
    <x v="5"/>
    <n v="53.000441057415443"/>
    <n v="0.44067108891207141"/>
    <n v="23.355762073591322"/>
    <n v="4"/>
    <n v="0"/>
    <n v="1.0036411640980702"/>
    <n v="-1.5888680646824915E-2"/>
    <n v="-0.415777971382429"/>
    <n v="4"/>
    <b v="1"/>
    <n v="0"/>
    <n v="0.6523467210059386"/>
    <n v="34.574663935673485"/>
    <n v="0.26186658886228448"/>
    <n v="4"/>
    <n v="0"/>
    <n v="26.186658886228447"/>
    <n v="4"/>
    <n v="-0.22756431274069211"/>
    <b v="1"/>
    <n v="0"/>
    <n v="4"/>
    <n v="0"/>
    <n v="0"/>
    <n v="0"/>
    <n v="0"/>
    <n v="0"/>
    <n v="0"/>
    <s v="Rural disperso"/>
    <n v="6"/>
    <s v="Fuera SC"/>
    <m/>
    <s v="No"/>
    <s v="No"/>
    <n v="43.3"/>
    <n v="11.134564643799472"/>
    <n v="42.127718014223582"/>
    <s v="Alto"/>
    <n v="0"/>
    <s v="Bajo"/>
    <n v="6804.4069030000001"/>
    <n v="1662.6342823"/>
    <n v="1825"/>
    <n v="3.728442138630137"/>
    <n v="0.91103248345205479"/>
    <m/>
    <m/>
    <m/>
    <m/>
    <m/>
    <m/>
    <m/>
    <n v="82"/>
    <n v="0"/>
    <n v="7"/>
    <n v="10166.571223999999"/>
    <n v="2223.3848170000001"/>
    <n v="0.2186956416290386"/>
    <s v="0% - 30%"/>
    <n v="6.4686645742961311E-5"/>
    <s v="N.D."/>
    <s v="N.D."/>
    <s v="N.D."/>
    <n v="0.77018615009740721"/>
    <s v="Crítico bajo"/>
    <n v="2"/>
    <s v="Candidato"/>
    <n v="0"/>
    <n v="0"/>
  </r>
  <r>
    <n v="41801"/>
    <s v="41801"/>
    <x v="19"/>
    <x v="19"/>
    <s v="TERUEL"/>
    <n v="72.595233333333297"/>
    <n v="75.34"/>
    <n v="72.64"/>
    <n v="70.75"/>
    <n v="53.858352565842338"/>
    <n v="58.545574914722735"/>
    <n v="47.087265523427575"/>
    <n v="51.181899999999999"/>
    <n v="72.831308333333325"/>
    <n v="52.668273250998155"/>
    <n v="62.74979079216574"/>
    <n v="63.286704249626389"/>
    <n v="36.713295750373611"/>
    <n v="0.43041966175336255"/>
    <n v="0"/>
    <n v="27.008743727858242"/>
    <n v="4"/>
    <n v="4"/>
    <b v="1"/>
    <x v="5"/>
    <n v="62.298429806431464"/>
    <n v="0.43932312775958215"/>
    <n v="27.36914103707225"/>
    <n v="4"/>
    <n v="0"/>
    <n v="0.45136098573427574"/>
    <n v="-8.9034660062196069E-3"/>
    <n v="-0.36039730921400803"/>
    <n v="4"/>
    <b v="1"/>
    <n v="0"/>
    <n v="0.6523467210059386"/>
    <n v="40.640176408044198"/>
    <n v="0.33773975623883645"/>
    <n v="4"/>
    <n v="0"/>
    <n v="33.773975623883643"/>
    <n v="4"/>
    <n v="-0.22192705925257605"/>
    <b v="1"/>
    <n v="0"/>
    <n v="4"/>
    <n v="0"/>
    <n v="0"/>
    <n v="0"/>
    <n v="0"/>
    <n v="0"/>
    <n v="0"/>
    <s v="Rural"/>
    <n v="6"/>
    <s v="Fuera SC"/>
    <m/>
    <s v="No"/>
    <s v="Si"/>
    <n v="39.9"/>
    <n v="11.07482993197279"/>
    <n v="5.8050000000000006"/>
    <s v="Bajo"/>
    <n v="8.2745805459827757"/>
    <s v="Medio"/>
    <n v="16363.744805"/>
    <n v="2979.6248177500001"/>
    <n v="8237"/>
    <n v="1.9866146418599004"/>
    <n v="0.36173665384848852"/>
    <m/>
    <m/>
    <m/>
    <m/>
    <m/>
    <m/>
    <m/>
    <n v="71"/>
    <n v="0"/>
    <n v="7"/>
    <n v="47165.019785999997"/>
    <n v="41744.797059999997"/>
    <n v="0.88507960453333923"/>
    <s v="71% - 100%"/>
    <n v="1.214513510385293E-3"/>
    <s v="N.D."/>
    <s v="N.D."/>
    <s v="N.D."/>
    <n v="0.94309209494986934"/>
    <s v="Aceptable"/>
    <n v="2"/>
    <s v="Candidato"/>
    <n v="0"/>
    <n v="0"/>
  </r>
  <r>
    <n v="68377"/>
    <s v="68377"/>
    <x v="0"/>
    <x v="0"/>
    <s v="LA BELLEZA"/>
    <n v="62.262033333333299"/>
    <n v="76.5"/>
    <n v="70.010000000000005"/>
    <n v="69.760000000000005"/>
    <n v="67.196250534453156"/>
    <n v="59.792950083026348"/>
    <n v="62.616367129436597"/>
    <n v="57.976700000000001"/>
    <n v="69.633008333333322"/>
    <n v="61.895566936729026"/>
    <n v="65.764287635031167"/>
    <n v="63.498506767982143"/>
    <n v="36.501493232017857"/>
    <n v="0.42851343908816075"/>
    <n v="0"/>
    <n v="28.18088106367021"/>
    <n v="4"/>
    <n v="4"/>
    <b v="1"/>
    <x v="5"/>
    <n v="63.691770608654934"/>
    <n v="0.43836853439931467"/>
    <n v="27.920468135013408"/>
    <n v="3"/>
    <n v="-1"/>
    <n v="2.0725170263762323"/>
    <n v="-9.8550953111539163E-3"/>
    <n v="0.26041292865680177"/>
    <n v="3"/>
    <b v="0"/>
    <s v="Cambio en corte"/>
    <n v="0.6523467210059386"/>
    <n v="41.549117711618457"/>
    <n v="0.34910965383210552"/>
    <n v="4"/>
    <n v="0"/>
    <n v="34.910965383210552"/>
    <n v="4"/>
    <n v="-0.22383328191777785"/>
    <b v="1"/>
    <n v="0"/>
    <n v="4"/>
    <n v="0"/>
    <n v="0"/>
    <n v="0"/>
    <n v="0"/>
    <n v="0"/>
    <n v="1"/>
    <s v="Rural"/>
    <n v="6"/>
    <s v="Fuera SC"/>
    <m/>
    <s v="No"/>
    <s v="Si"/>
    <n v="36.1"/>
    <n v="11.363636363636363"/>
    <n v="0"/>
    <s v="Sin riesgo"/>
    <n v="1.9787709603466382E-2"/>
    <s v="Bajo"/>
    <n v="18064.818571"/>
    <n v="4983.4445050000004"/>
    <n v="6336"/>
    <n v="2.8511392946654039"/>
    <n v="0.78652848879419202"/>
    <m/>
    <m/>
    <m/>
    <m/>
    <m/>
    <m/>
    <m/>
    <n v="25"/>
    <n v="0"/>
    <n v="7"/>
    <n v="33477.752541000002"/>
    <n v="12055.789836"/>
    <n v="0.36011347599380655"/>
    <s v="31% - 50%"/>
    <n v="3.5074837262097104E-4"/>
    <s v="N.D."/>
    <s v="N.D."/>
    <s v="N.D."/>
    <n v="0.97197789750971397"/>
    <s v="Aceptable"/>
    <n v="2"/>
    <s v="Candidato"/>
    <n v="0"/>
    <n v="0"/>
  </r>
  <r>
    <n v="52540"/>
    <s v="52540"/>
    <x v="18"/>
    <x v="18"/>
    <s v="POLICARPA"/>
    <n v="70.517133333333305"/>
    <n v="52.45"/>
    <n v="50.74"/>
    <n v="49.11"/>
    <n v="50.918963759997666"/>
    <n v="59.267628734270843"/>
    <n v="63.181345171465338"/>
    <n v="58.319499999999998"/>
    <n v="55.704283333333322"/>
    <n v="57.921859416433463"/>
    <n v="56.813071374883393"/>
    <n v="63.40749558727299"/>
    <n v="36.59250441272701"/>
    <n v="0.4293325397145431"/>
    <n v="0"/>
    <n v="24.391700222362296"/>
    <n v="4"/>
    <n v="4"/>
    <b v="1"/>
    <x v="5"/>
    <n v="59.996501266923467"/>
    <n v="0.43822647211000876"/>
    <n v="26.292055089147542"/>
    <n v="4"/>
    <n v="0"/>
    <n v="-3.1834298920400741"/>
    <n v="-8.8939323954656535E-3"/>
    <n v="-1.9003548667852463"/>
    <n v="4"/>
    <b v="1"/>
    <n v="0"/>
    <n v="0.6523467210059386"/>
    <n v="39.138520873306163"/>
    <n v="0.31895562839339942"/>
    <n v="4"/>
    <n v="0"/>
    <n v="31.895562839339942"/>
    <n v="4"/>
    <n v="-0.2230141812913955"/>
    <b v="1"/>
    <n v="0"/>
    <n v="4"/>
    <n v="0"/>
    <n v="0"/>
    <n v="0"/>
    <n v="0"/>
    <n v="1"/>
    <n v="1"/>
    <s v="Rural disperso"/>
    <n v="6"/>
    <s v="Fuera SC"/>
    <m/>
    <s v="No"/>
    <s v="No"/>
    <n v="38.700000000000003"/>
    <n v="16.664621425941835"/>
    <n v="55.438691408045827"/>
    <s v="Alto"/>
    <n v="46.704625240554279"/>
    <s v="Muy Alto"/>
    <n v="31143.955430000002"/>
    <n v="4912.0445280000004"/>
    <n v="9905"/>
    <n v="3.1442660706713781"/>
    <n v="0.49591565148914696"/>
    <m/>
    <m/>
    <m/>
    <m/>
    <m/>
    <m/>
    <m/>
    <n v="26"/>
    <n v="0"/>
    <n v="7"/>
    <n v="43466.529853"/>
    <n v="23509.356781999999"/>
    <n v="0.54086113755817611"/>
    <s v="51% - 70%"/>
    <n v="6.8397581119315461E-4"/>
    <n v="12116.087685"/>
    <n v="0.27874522594685036"/>
    <s v="0% - 30%"/>
    <n v="0.87428375201018826"/>
    <s v="Aceptable"/>
    <n v="1"/>
    <s v="Candidato"/>
    <n v="0"/>
    <n v="0"/>
  </r>
  <r>
    <n v="68176"/>
    <s v="68176"/>
    <x v="0"/>
    <x v="0"/>
    <s v="CHIMA"/>
    <n v="63.865066666666699"/>
    <n v="51.57"/>
    <n v="45.99"/>
    <n v="53.65"/>
    <n v="50.73803941267991"/>
    <n v="52.207334155636822"/>
    <n v="47.487110103958983"/>
    <n v="53.263100000000001"/>
    <n v="53.768766666666679"/>
    <n v="50.923895918068936"/>
    <n v="52.346331292367807"/>
    <n v="62.365916879484608"/>
    <n v="37.634083120515392"/>
    <n v="0.43870674808463861"/>
    <n v="0"/>
    <n v="22.964688775435839"/>
    <n v="4"/>
    <n v="4"/>
    <b v="1"/>
    <x v="5"/>
    <n v="54.526436318125619"/>
    <n v="0.439330991669728"/>
    <n v="23.955153339858402"/>
    <n v="4"/>
    <n v="0"/>
    <n v="-2.1801050257578112"/>
    <n v="-6.2424358508939015E-4"/>
    <n v="-0.99046456442256314"/>
    <n v="4"/>
    <b v="1"/>
    <n v="0"/>
    <n v="0.6523467210059386"/>
    <n v="35.570141940268371"/>
    <n v="0.27431896936704053"/>
    <n v="4"/>
    <n v="0"/>
    <n v="27.431896936704053"/>
    <n v="4"/>
    <n v="-0.21363997292129999"/>
    <b v="1"/>
    <n v="0"/>
    <n v="4"/>
    <n v="0"/>
    <n v="0"/>
    <n v="0"/>
    <n v="0"/>
    <n v="0"/>
    <n v="0"/>
    <s v="Rural"/>
    <n v="6"/>
    <s v="Fuera SC"/>
    <m/>
    <s v="No"/>
    <s v="No"/>
    <n v="45.2"/>
    <n v="19.458544839255499"/>
    <n v="0.308"/>
    <s v="Sin riesgo"/>
    <n v="0"/>
    <s v="Bajo"/>
    <n v="13830.756370999999"/>
    <n v="3312.6778451499999"/>
    <n v="3243"/>
    <n v="4.2648030746222636"/>
    <n v="1.021485613675609"/>
    <m/>
    <m/>
    <m/>
    <m/>
    <m/>
    <m/>
    <m/>
    <n v="45"/>
    <n v="0"/>
    <n v="7"/>
    <n v="17292.79869"/>
    <n v="17289.309944000001"/>
    <n v="0.99979825440274073"/>
    <s v="71% - 100%"/>
    <n v="5.0301120118145803E-4"/>
    <s v="N.D."/>
    <s v="N.D."/>
    <s v="N.D."/>
    <n v="0.9254438173404087"/>
    <s v="Aceptable"/>
    <n v="1"/>
    <s v="Candidato"/>
    <n v="0"/>
    <n v="0"/>
  </r>
  <r>
    <n v="52699"/>
    <s v="52699"/>
    <x v="18"/>
    <x v="18"/>
    <s v="SANTACRUZ"/>
    <n v="67.4148"/>
    <n v="62.4"/>
    <n v="51.89"/>
    <n v="44.01"/>
    <n v="46.768344382682834"/>
    <n v="49.954630581983508"/>
    <n v="56.690128864161082"/>
    <n v="45.091099999999997"/>
    <n v="56.428699999999992"/>
    <n v="49.626050957206857"/>
    <n v="53.027375478603425"/>
    <n v="63.661970416138217"/>
    <n v="36.338029583861783"/>
    <n v="0.42704226625475605"/>
    <n v="0"/>
    <n v="22.644930597924684"/>
    <n v="4"/>
    <n v="4"/>
    <b v="1"/>
    <x v="5"/>
    <n v="56.941429624072299"/>
    <n v="0.43729725769440242"/>
    <n v="24.900331023805624"/>
    <n v="4"/>
    <n v="0"/>
    <n v="-3.9140541454688744"/>
    <n v="-1.0254991439646366E-2"/>
    <n v="-2.2554004258809393"/>
    <n v="4"/>
    <b v="1"/>
    <n v="0"/>
    <n v="0.6523467210059386"/>
    <n v="37.145554904653977"/>
    <n v="0.29402572490970946"/>
    <n v="4"/>
    <n v="0"/>
    <n v="29.402572490970947"/>
    <n v="4"/>
    <n v="-0.22530445475118255"/>
    <b v="1"/>
    <n v="0"/>
    <n v="4"/>
    <n v="0"/>
    <n v="0"/>
    <n v="0"/>
    <n v="0"/>
    <n v="0"/>
    <n v="0"/>
    <s v="Rural disperso"/>
    <n v="6"/>
    <s v="Fuera SC"/>
    <m/>
    <s v="No"/>
    <s v="Si"/>
    <n v="65.099999999999994"/>
    <n v="41.138919850035464"/>
    <n v="53.890625660676541"/>
    <s v="Alto"/>
    <n v="84.472705038815604"/>
    <s v="Muy Alto"/>
    <n v="28201.562845"/>
    <n v="5386.4955620000001"/>
    <n v="10666"/>
    <n v="2.6440617705794112"/>
    <n v="0.50501552240765046"/>
    <m/>
    <m/>
    <m/>
    <m/>
    <m/>
    <m/>
    <m/>
    <n v="70"/>
    <n v="0"/>
    <n v="7"/>
    <n v="54127.497492000002"/>
    <n v="37933.899885999999"/>
    <n v="0.70082493452808525"/>
    <s v="51% - 70%"/>
    <n v="1.1036401457870718E-3"/>
    <n v="9011.7974510000004"/>
    <n v="0.16649203950971384"/>
    <s v="0% - 30%"/>
    <n v="0.93723887059701583"/>
    <s v="Aceptable"/>
    <n v="1"/>
    <s v="Candidato"/>
    <n v="0"/>
    <n v="0"/>
  </r>
  <r>
    <n v="5120"/>
    <s v="05120"/>
    <x v="1"/>
    <x v="1"/>
    <s v="CÁCERES"/>
    <n v="55.881900000000002"/>
    <n v="70.7"/>
    <n v="64.59"/>
    <n v="59.36"/>
    <n v="45.662159666383012"/>
    <n v="51.516075742836563"/>
    <n v="56.994062878585879"/>
    <n v="44.633400000000002"/>
    <n v="62.632975000000002"/>
    <n v="49.701424571951364"/>
    <n v="56.167199785975683"/>
    <n v="63.49038469009691"/>
    <n v="36.50961530990309"/>
    <n v="0.42858653778912781"/>
    <n v="0"/>
    <n v="24.072505693581558"/>
    <n v="4"/>
    <n v="4"/>
    <b v="1"/>
    <x v="5"/>
    <n v="55.478152178892792"/>
    <n v="0.43852578193044967"/>
    <n v="24.328600064305441"/>
    <n v="4"/>
    <n v="0"/>
    <n v="0.68904760708289103"/>
    <n v="-9.9392441413218569E-3"/>
    <n v="-0.25609437072388275"/>
    <n v="4"/>
    <b v="1"/>
    <n v="0"/>
    <n v="0.6523467210059386"/>
    <n v="36.190990661369177"/>
    <n v="0.28208513243177302"/>
    <n v="4"/>
    <n v="0"/>
    <n v="28.2085132431773"/>
    <n v="4"/>
    <n v="-0.22376018321681079"/>
    <b v="1"/>
    <n v="0"/>
    <n v="4"/>
    <n v="0"/>
    <n v="0"/>
    <n v="0"/>
    <n v="0"/>
    <n v="1"/>
    <n v="1"/>
    <s v="Rural disperso"/>
    <n v="6"/>
    <s v="Fuera SC"/>
    <m/>
    <s v="No"/>
    <s v="No"/>
    <n v="66.400000000000006"/>
    <n v="49.831546707503826"/>
    <n v="33.354608472400514"/>
    <s v="Medio"/>
    <n v="46.473826969155191"/>
    <s v="Muy Alto"/>
    <n v="55201.231109"/>
    <n v="9383.3501465000008"/>
    <n v="29159"/>
    <n v="1.8931112558386776"/>
    <n v="0.32179944944956962"/>
    <m/>
    <m/>
    <m/>
    <m/>
    <m/>
    <m/>
    <m/>
    <n v="67"/>
    <n v="0"/>
    <n v="7"/>
    <n v="187269.676011"/>
    <n v="42931.58253"/>
    <n v="0.22925004968491669"/>
    <s v="0% - 30%"/>
    <n v="1.2490415734915114E-3"/>
    <n v="1888.1835530000001"/>
    <n v="1.0082697814295841E-2"/>
    <s v="0% - 30%"/>
    <n v="0.94215148188159659"/>
    <s v="Aceptable"/>
    <n v="1"/>
    <s v="Candidato"/>
    <n v="0"/>
    <n v="0"/>
  </r>
  <r>
    <n v="52287"/>
    <s v="52287"/>
    <x v="18"/>
    <x v="18"/>
    <s v="FUNES"/>
    <n v="76.641400000000004"/>
    <n v="53.01"/>
    <n v="80.83"/>
    <n v="84.69"/>
    <n v="49.304038144326299"/>
    <n v="48.777802763900041"/>
    <n v="28.454171415400161"/>
    <n v="48.950200000000002"/>
    <n v="73.792850000000001"/>
    <n v="43.871553080906622"/>
    <n v="58.832201540453312"/>
    <n v="63.395632310499153"/>
    <n v="36.604367689500847"/>
    <n v="0.42943930920550766"/>
    <n v="0"/>
    <n v="25.264859988571473"/>
    <n v="4"/>
    <n v="4"/>
    <b v="1"/>
    <x v="5"/>
    <n v="59.522783385207688"/>
    <n v="0.43616145466743017"/>
    <n v="25.961543787146528"/>
    <n v="4"/>
    <n v="0"/>
    <n v="-0.69058184475437656"/>
    <n v="-6.7221454619225129E-3"/>
    <n v="-0.69668379857505514"/>
    <n v="4"/>
    <b v="1"/>
    <n v="0"/>
    <n v="0.6523467210059386"/>
    <n v="38.829492566486998"/>
    <n v="0.31509001002163156"/>
    <n v="4"/>
    <n v="0"/>
    <n v="31.509001002163156"/>
    <n v="4"/>
    <n v="-0.22290741180043094"/>
    <b v="1"/>
    <n v="0"/>
    <n v="4"/>
    <n v="0"/>
    <n v="0"/>
    <n v="0"/>
    <n v="0"/>
    <n v="0"/>
    <n v="0"/>
    <s v="Rural"/>
    <n v="6"/>
    <s v="Fuera SC"/>
    <m/>
    <s v="No"/>
    <s v="Si"/>
    <n v="41.1"/>
    <n v="23.358136525396311"/>
    <n v="34.092258849452158"/>
    <s v="Medio"/>
    <n v="0"/>
    <s v="Bajo"/>
    <n v="23570.353209000001"/>
    <n v="4131.1290040000004"/>
    <n v="7441"/>
    <n v="3.1676324699637148"/>
    <n v="0.55518465313801912"/>
    <m/>
    <m/>
    <m/>
    <m/>
    <m/>
    <m/>
    <m/>
    <n v="28"/>
    <n v="0"/>
    <n v="7"/>
    <n v="39511.901130999999"/>
    <n v="17281.427620999999"/>
    <n v="0.43737271875894235"/>
    <s v="31% - 50%"/>
    <n v="5.0278187469166903E-4"/>
    <n v="11603.790515999999"/>
    <n v="0.29367836484324389"/>
    <s v="0% - 30%"/>
    <n v="0.90172932838408926"/>
    <s v="Aceptable"/>
    <n v="2"/>
    <s v="Candidato"/>
    <n v="0"/>
    <n v="0"/>
  </r>
  <r>
    <n v="15403"/>
    <s v="15403"/>
    <x v="10"/>
    <x v="10"/>
    <s v="LA UVITA"/>
    <n v="66.520533333333304"/>
    <n v="73.98"/>
    <n v="78.63"/>
    <n v="77.459999999999994"/>
    <n v="46.856277420153781"/>
    <n v="58.791184469544859"/>
    <n v="65.336954029060195"/>
    <n v="50.427100000000003"/>
    <n v="74.147633333333317"/>
    <n v="55.352878979689706"/>
    <n v="64.750256156511512"/>
    <n v="64.170120541699575"/>
    <n v="35.829879458300425"/>
    <n v="0.42246891512470386"/>
    <n v="0"/>
    <n v="27.354970472488095"/>
    <n v="4"/>
    <n v="4"/>
    <b v="1"/>
    <x v="5"/>
    <n v="63.48472312261999"/>
    <n v="0.43702136280451021"/>
    <n v="27.744180216314387"/>
    <n v="4"/>
    <n v="0"/>
    <n v="1.2655330338915221"/>
    <n v="-1.4552447679806346E-2"/>
    <n v="-0.38920974382629225"/>
    <n v="4"/>
    <b v="1"/>
    <n v="0"/>
    <n v="0.6523467210059386"/>
    <n v="41.414050963011043"/>
    <n v="0.3474201111807998"/>
    <n v="4"/>
    <n v="0"/>
    <n v="34.742011118079979"/>
    <n v="4"/>
    <n v="-0.22987780588123474"/>
    <b v="1"/>
    <n v="0"/>
    <n v="4"/>
    <n v="0"/>
    <n v="0"/>
    <n v="0"/>
    <n v="0"/>
    <n v="0"/>
    <n v="0"/>
    <s v="Rural"/>
    <n v="6"/>
    <s v="Fuera SC"/>
    <m/>
    <s v="No"/>
    <s v="No"/>
    <n v="41.9"/>
    <n v="13.121845710165825"/>
    <n v="39.12691032608695"/>
    <s v="Alto"/>
    <n v="0"/>
    <s v="Bajo"/>
    <n v="9704.2054380000009"/>
    <n v="2928.9666874"/>
    <n v="2854"/>
    <n v="3.4002121366503157"/>
    <n v="1.0262672345480028"/>
    <m/>
    <m/>
    <m/>
    <m/>
    <m/>
    <m/>
    <m/>
    <n v="44"/>
    <n v="0"/>
    <n v="7"/>
    <n v="16120.129728"/>
    <n v="5657.7491719999998"/>
    <n v="0.35097417126691749"/>
    <s v="31% - 50%"/>
    <n v="1.6460525123379783E-4"/>
    <s v="N.D."/>
    <s v="N.D."/>
    <s v="N.D."/>
    <n v="0.97703349137791839"/>
    <s v="Aceptable"/>
    <n v="2"/>
    <s v="Candidato"/>
    <n v="0"/>
    <n v="0"/>
  </r>
  <r>
    <n v="13655"/>
    <s v="13655"/>
    <x v="8"/>
    <x v="8"/>
    <s v="SAN JACINTO DEL CAUCA"/>
    <n v="58.493299999999998"/>
    <n v="34.880000000000003"/>
    <n v="27.69"/>
    <n v="0"/>
    <n v="55.017275313447016"/>
    <n v="50.443939425776009"/>
    <n v="51.089517479840708"/>
    <n v="54.822400000000002"/>
    <n v="30.265825"/>
    <n v="52.843283054765934"/>
    <n v="41.554554027382963"/>
    <n v="63.527547495808356"/>
    <n v="36.472452504191644"/>
    <n v="0.42825207253772479"/>
    <n v="0"/>
    <n v="17.795823885607614"/>
    <n v="5"/>
    <n v="5"/>
    <b v="1"/>
    <x v="6"/>
    <n v="49.698378479533069"/>
    <n v="0.43613017900161721"/>
    <n v="21.674962702368877"/>
    <n v="4"/>
    <n v="-1"/>
    <n v="-8.1438244521501062"/>
    <n v="-7.8781064638924203E-3"/>
    <n v="-3.8791388167612624"/>
    <n v="5"/>
    <b v="1"/>
    <s v="Efecto ponderador"/>
    <n v="0.6523467210059386"/>
    <n v="32.420574240435499"/>
    <n v="0.23492119739942302"/>
    <n v="4"/>
    <n v="-1"/>
    <n v="23.492119739942304"/>
    <n v="5"/>
    <n v="-0.22409464846821381"/>
    <b v="1"/>
    <s v="Efecto ponderador"/>
    <n v="4"/>
    <n v="-1"/>
    <n v="0"/>
    <n v="0"/>
    <n v="0"/>
    <n v="0"/>
    <n v="0"/>
    <s v="Rural disperso"/>
    <n v="6"/>
    <s v="Fuera SC"/>
    <m/>
    <s v="No"/>
    <s v="Si"/>
    <n v="66.7"/>
    <n v="65.045178858769646"/>
    <n v="37.737241379310348"/>
    <s v="Alto"/>
    <n v="4.5694876674540623"/>
    <s v="Medio Bajo"/>
    <n v="30703.142887000002"/>
    <n v="6807.6632617499999"/>
    <n v="10708"/>
    <n v="2.8673088239633922"/>
    <n v="0.63575488062663432"/>
    <m/>
    <m/>
    <m/>
    <m/>
    <m/>
    <m/>
    <m/>
    <n v="64"/>
    <n v="0"/>
    <n v="7"/>
    <n v="56945.673473000003"/>
    <n v="29348.775619"/>
    <n v="0.51538200936222689"/>
    <s v="31% - 50%"/>
    <n v="8.5386651781562144E-4"/>
    <s v="N.D."/>
    <s v="N.D."/>
    <s v="N.D."/>
    <n v="0.9584855232464875"/>
    <s v="Aceptable"/>
    <n v="1"/>
    <s v="Candidato"/>
    <n v="0"/>
    <n v="0"/>
  </r>
  <r>
    <n v="50110"/>
    <s v="50110"/>
    <x v="16"/>
    <x v="16"/>
    <s v="BARRANCA DE UPÍA"/>
    <n v="48.336033333333297"/>
    <n v="61.12"/>
    <n v="53.45"/>
    <n v="38.6"/>
    <n v="59.997589261761981"/>
    <n v="61.622663659913741"/>
    <n v="70.872116166348519"/>
    <n v="62.311300000000003"/>
    <n v="50.376508333333327"/>
    <n v="63.700917272006066"/>
    <n v="57.038712802669693"/>
    <n v="63.35188559581664"/>
    <n v="36.64811440418336"/>
    <n v="0.42983302963765024"/>
    <n v="0"/>
    <n v="24.517122730603344"/>
    <n v="4"/>
    <n v="4"/>
    <b v="1"/>
    <x v="5"/>
    <n v="58.275564668475859"/>
    <n v="0.4344945566824342"/>
    <n v="25.320415636047944"/>
    <n v="4"/>
    <n v="0"/>
    <n v="-1.236851865806166"/>
    <n v="-4.661527044783953E-3"/>
    <n v="-0.80329290544460008"/>
    <n v="4"/>
    <b v="1"/>
    <n v="0"/>
    <n v="0.6523467210059386"/>
    <n v="38.015873526249756"/>
    <n v="0.30491249346357202"/>
    <n v="4"/>
    <n v="0"/>
    <n v="30.491249346357201"/>
    <n v="4"/>
    <n v="-0.22251369136828836"/>
    <b v="1"/>
    <n v="0"/>
    <n v="3"/>
    <n v="-1"/>
    <n v="0"/>
    <n v="0"/>
    <n v="0"/>
    <n v="0"/>
    <n v="1"/>
    <s v="Rural"/>
    <n v="6"/>
    <s v="Fuera SC"/>
    <m/>
    <s v="No"/>
    <s v="No"/>
    <n v="36.5"/>
    <n v="16.229648671808054"/>
    <n v="5.830000000000001"/>
    <s v="Bajo"/>
    <n v="3.8411958014584218"/>
    <s v="Medio Bajo"/>
    <n v="26728.915782"/>
    <n v="16510.493419999999"/>
    <n v="7750"/>
    <n v="3.448892358967742"/>
    <n v="2.1303862477419355"/>
    <m/>
    <m/>
    <m/>
    <m/>
    <m/>
    <m/>
    <m/>
    <n v="88"/>
    <n v="0"/>
    <n v="7"/>
    <n v="40301.385928000003"/>
    <n v="258.23743100000002"/>
    <n v="6.4076563387013849E-3"/>
    <s v="0% - 30%"/>
    <n v="7.5131003364539991E-6"/>
    <s v="N.D."/>
    <s v="N.D."/>
    <s v="N.D."/>
    <n v="0.89617867759217584"/>
    <s v="Aceptable"/>
    <n v="2"/>
    <s v="Candidato"/>
    <n v="0"/>
    <n v="0"/>
  </r>
  <r>
    <n v="68207"/>
    <s v="68207"/>
    <x v="0"/>
    <x v="0"/>
    <s v="CONCEPCIÓN"/>
    <n v="63.361833333333301"/>
    <n v="65.87"/>
    <n v="61.13"/>
    <n v="60.98"/>
    <n v="49.847173141647438"/>
    <n v="55.203365758786688"/>
    <n v="63.537857583008694"/>
    <n v="59.427100000000003"/>
    <n v="62.835458333333321"/>
    <n v="57.003874120860708"/>
    <n v="59.919666227097011"/>
    <n v="63.35610590776276"/>
    <n v="36.64389409223724"/>
    <n v="0.42979504683013514"/>
    <n v="0"/>
    <n v="25.753175752121226"/>
    <n v="4"/>
    <n v="4"/>
    <b v="1"/>
    <x v="5"/>
    <n v="58.864212793574566"/>
    <n v="0.43589373707744405"/>
    <n v="25.658541694713112"/>
    <n v="4"/>
    <n v="0"/>
    <n v="1.0554534335224446"/>
    <n v="-6.0986902473089133E-3"/>
    <n v="9.4634057408114813E-2"/>
    <n v="4"/>
    <b v="1"/>
    <n v="0"/>
    <n v="0.6523467210059386"/>
    <n v="38.399876200484186"/>
    <n v="0.30971596214127217"/>
    <n v="4"/>
    <n v="0"/>
    <n v="30.971596214127217"/>
    <n v="4"/>
    <n v="-0.22255167417580346"/>
    <b v="1"/>
    <n v="0"/>
    <n v="4"/>
    <n v="0"/>
    <n v="0"/>
    <n v="0"/>
    <n v="0"/>
    <n v="0"/>
    <n v="0"/>
    <s v="Rural"/>
    <n v="6"/>
    <s v="Fuera SC"/>
    <m/>
    <s v="No"/>
    <s v="Si"/>
    <n v="36.200000000000003"/>
    <n v="16.641509433962263"/>
    <n v="4.4533333333333331"/>
    <s v="Sin riesgo"/>
    <n v="0"/>
    <s v="Bajo"/>
    <n v="17297.362963"/>
    <n v="3167.5004387499998"/>
    <n v="6125"/>
    <n v="2.8240592592653062"/>
    <n v="0.51714292877551016"/>
    <m/>
    <m/>
    <m/>
    <m/>
    <m/>
    <m/>
    <m/>
    <n v="58"/>
    <n v="0"/>
    <n v="7"/>
    <n v="33637.615732999999"/>
    <n v="27242.409597999998"/>
    <n v="0.80987932718649802"/>
    <s v="71% - 100%"/>
    <n v="7.9258438996998636E-4"/>
    <s v="N.D."/>
    <s v="N.D."/>
    <s v="N.D."/>
    <n v="0.90133393522440786"/>
    <s v="Aceptable"/>
    <n v="2"/>
    <s v="Candidato"/>
    <n v="0"/>
    <n v="0"/>
  </r>
  <r>
    <n v="52490"/>
    <s v="52490"/>
    <x v="18"/>
    <x v="18"/>
    <s v="OLAYA HERRERA"/>
    <n v="63.472099999999998"/>
    <n v="68.48"/>
    <n v="41.35"/>
    <n v="0"/>
    <n v="53.473909427550808"/>
    <n v="68.823557883427512"/>
    <n v="66.412831418401282"/>
    <n v="62.924700000000001"/>
    <n v="43.325524999999999"/>
    <n v="62.908749682344897"/>
    <n v="53.117137341172452"/>
    <n v="63.232418286324346"/>
    <n v="36.767581713675654"/>
    <n v="0.43090823542308088"/>
    <n v="0"/>
    <n v="22.88861192241006"/>
    <n v="4"/>
    <n v="4"/>
    <b v="1"/>
    <x v="5"/>
    <n v="60.87513666808816"/>
    <n v="0.43552964959641305"/>
    <n v="26.512926942186191"/>
    <n v="4"/>
    <n v="0"/>
    <n v="-7.7579993269157086"/>
    <n v="-4.6214141733321723E-3"/>
    <n v="-3.6243150197761302"/>
    <n v="4"/>
    <b v="1"/>
    <n v="0"/>
    <n v="0.6523467210059386"/>
    <n v="39.711695796215693"/>
    <n v="0.3261254424956791"/>
    <n v="4"/>
    <n v="0"/>
    <n v="32.612544249567911"/>
    <n v="4"/>
    <n v="-0.22143848558285772"/>
    <b v="1"/>
    <n v="0"/>
    <n v="4"/>
    <n v="0"/>
    <n v="0"/>
    <n v="0"/>
    <n v="0"/>
    <n v="1"/>
    <n v="1"/>
    <s v="Rural"/>
    <n v="6"/>
    <s v="Fuera SC"/>
    <m/>
    <s v="No"/>
    <s v="No"/>
    <n v="75.900000000000006"/>
    <n v="77.458325529125304"/>
    <n v="20.384373040160192"/>
    <s v="Medio"/>
    <n v="39.034562264621741"/>
    <s v="Muy Alto"/>
    <n v="52816.859922000003"/>
    <n v="6729.2923149999997"/>
    <n v="26822"/>
    <n v="1.9691618791290733"/>
    <n v="0.25088704477667584"/>
    <m/>
    <m/>
    <m/>
    <m/>
    <m/>
    <m/>
    <m/>
    <n v="97"/>
    <n v="0"/>
    <n v="7"/>
    <n v="100466.718157"/>
    <n v="41307.174072000002"/>
    <n v="0.41115281587529329"/>
    <s v="31% - 50%"/>
    <n v="1.2017814079722127E-3"/>
    <n v="74756.543025000006"/>
    <n v="0.74409261491131296"/>
    <s v="71% - 100%"/>
    <n v="0.8693838767090134"/>
    <s v="Aceptable"/>
    <n v="2"/>
    <s v="Candidato"/>
    <n v="0"/>
    <n v="0"/>
  </r>
  <r>
    <n v="52612"/>
    <s v="52612"/>
    <x v="18"/>
    <x v="18"/>
    <s v="RICAURTE"/>
    <n v="68.662733333333307"/>
    <n v="59.98"/>
    <n v="49.8"/>
    <n v="51.43"/>
    <n v="47.475115013307125"/>
    <n v="58.290818553897786"/>
    <n v="59.239651658153143"/>
    <n v="59.313299999999998"/>
    <n v="57.468183333333329"/>
    <n v="56.079721306339515"/>
    <n v="56.773952319836425"/>
    <n v="62.725197964119296"/>
    <n v="37.274802035880704"/>
    <n v="0.4354732183229264"/>
    <n v="0"/>
    <n v="24.723535733631543"/>
    <n v="4"/>
    <n v="4"/>
    <b v="1"/>
    <x v="5"/>
    <n v="58.948915186532858"/>
    <n v="0.43534145962232462"/>
    <n v="25.662906780457831"/>
    <n v="4"/>
    <n v="0"/>
    <n v="-2.1749628666964327"/>
    <n v="1.3175870060178063E-4"/>
    <n v="-0.93937104682628814"/>
    <n v="4"/>
    <b v="1"/>
    <n v="0"/>
    <n v="0.6523467210059386"/>
    <n v="38.455131528791888"/>
    <n v="0.31040714805379543"/>
    <n v="4"/>
    <n v="0"/>
    <n v="31.040714805379544"/>
    <n v="4"/>
    <n v="-0.2168735026830122"/>
    <b v="1"/>
    <n v="0"/>
    <n v="4"/>
    <n v="0"/>
    <n v="0"/>
    <n v="0"/>
    <n v="0"/>
    <n v="1"/>
    <n v="1"/>
    <s v="Rural disperso"/>
    <n v="6"/>
    <s v="Fuera SC"/>
    <m/>
    <s v="No"/>
    <s v="Si"/>
    <n v="71.900000000000006"/>
    <n v="62.345713178723642"/>
    <n v="43.01082576559353"/>
    <s v="Alto"/>
    <n v="95.810391806776096"/>
    <s v="Muy Alto"/>
    <n v="51556.405734"/>
    <n v="10481.320395500001"/>
    <n v="22530"/>
    <n v="2.2883446841544606"/>
    <n v="0.46521617379050156"/>
    <m/>
    <m/>
    <m/>
    <m/>
    <m/>
    <m/>
    <m/>
    <n v="97"/>
    <n v="0"/>
    <n v="7"/>
    <n v="105643.71919600001"/>
    <n v="25836.862838000001"/>
    <n v="0.24456600955202137"/>
    <s v="0% - 30%"/>
    <n v="7.5169173628084009E-4"/>
    <n v="87248.239509000006"/>
    <n v="0.82587247186109569"/>
    <s v="71% - 100%"/>
    <n v="0.89244209794763674"/>
    <s v="Aceptable"/>
    <n v="1"/>
    <s v="Candidato"/>
    <n v="1"/>
    <s v="Zona de Fronteras"/>
  </r>
  <r>
    <n v="5543"/>
    <s v="05543"/>
    <x v="1"/>
    <x v="1"/>
    <s v="PEQUE"/>
    <n v="73.570433333333298"/>
    <n v="64.040000000000006"/>
    <n v="48.18"/>
    <n v="19.18"/>
    <n v="57.676223987974062"/>
    <n v="49.593737394750441"/>
    <n v="55.623365111399359"/>
    <n v="60.629899999999999"/>
    <n v="51.24260833333333"/>
    <n v="55.880806623530965"/>
    <n v="53.561707478432147"/>
    <n v="63.310242305850117"/>
    <n v="36.689757694149883"/>
    <n v="0.43020781924734897"/>
    <n v="0"/>
    <n v="23.042665369460718"/>
    <n v="4"/>
    <n v="4"/>
    <b v="1"/>
    <x v="5"/>
    <n v="59.916494338888626"/>
    <n v="0.43399164971879001"/>
    <n v="26.003258223500819"/>
    <n v="4"/>
    <n v="0"/>
    <n v="-6.3547868604564783"/>
    <n v="-3.7838304714410409E-3"/>
    <n v="-2.960592854040101"/>
    <n v="4"/>
    <b v="1"/>
    <n v="0"/>
    <n v="0.6523467210059386"/>
    <n v="39.086328616144876"/>
    <n v="0.31830275827213644"/>
    <n v="4"/>
    <n v="0"/>
    <n v="31.830275827213644"/>
    <n v="4"/>
    <n v="-0.22213890175858964"/>
    <b v="1"/>
    <n v="0"/>
    <n v="3"/>
    <n v="-1"/>
    <n v="0"/>
    <n v="0"/>
    <n v="0"/>
    <n v="0"/>
    <n v="0"/>
    <s v="Rural"/>
    <n v="6"/>
    <s v="Fuera SC"/>
    <m/>
    <s v="No"/>
    <s v="Si"/>
    <n v="53.5"/>
    <n v="27.363114409746533"/>
    <n v="65.725539680703378"/>
    <s v="Alto"/>
    <n v="4.9740445632042292"/>
    <s v="Medio Bajo"/>
    <n v="27545.536712000001"/>
    <n v="5385.5132940000003"/>
    <n v="8733"/>
    <n v="3.1541894780716824"/>
    <n v="0.61668536516660943"/>
    <m/>
    <m/>
    <m/>
    <m/>
    <m/>
    <m/>
    <m/>
    <n v="99"/>
    <n v="0"/>
    <n v="7"/>
    <n v="43403.883129000002"/>
    <n v="31519.873702000001"/>
    <n v="0.72619939576190173"/>
    <s v="71% - 100%"/>
    <n v="9.1703194536303981E-4"/>
    <s v="N.D."/>
    <s v="N.D."/>
    <s v="N.D."/>
    <n v="0.90464636002054688"/>
    <s v="Aceptable"/>
    <n v="2"/>
    <s v="Candidato"/>
    <n v="0"/>
    <n v="0"/>
  </r>
  <r>
    <n v="15507"/>
    <s v="15507"/>
    <x v="10"/>
    <x v="10"/>
    <s v="OTANCHE"/>
    <n v="58.751100000000001"/>
    <n v="50.14"/>
    <n v="42.28"/>
    <n v="73.69"/>
    <n v="58.592931334030084"/>
    <n v="61.929830098818869"/>
    <n v="59.432964200530094"/>
    <n v="68.273099999999999"/>
    <n v="56.215274999999998"/>
    <n v="62.057206408344761"/>
    <n v="59.13624070417238"/>
    <n v="64.07083460419733"/>
    <n v="35.92916539580267"/>
    <n v="0.42336248856222403"/>
    <n v="0"/>
    <n v="25.036066028733106"/>
    <n v="4"/>
    <n v="4"/>
    <b v="1"/>
    <x v="5"/>
    <n v="56.613198070204703"/>
    <n v="0.43338126526807397"/>
    <n v="24.535099410537399"/>
    <n v="4"/>
    <n v="0"/>
    <n v="2.5230426339676768"/>
    <n v="-1.0018776705849941E-2"/>
    <n v="0.50096661819570798"/>
    <n v="4"/>
    <b v="1"/>
    <n v="0"/>
    <n v="0.6523467210059386"/>
    <n v="36.931434126757772"/>
    <n v="0.29134729968280254"/>
    <n v="4"/>
    <n v="0"/>
    <n v="29.134729968280254"/>
    <n v="4"/>
    <n v="-0.22898423244371457"/>
    <b v="1"/>
    <n v="0"/>
    <n v="3"/>
    <n v="-1"/>
    <n v="0"/>
    <n v="0"/>
    <n v="0"/>
    <n v="0"/>
    <n v="0"/>
    <s v="Rural"/>
    <n v="6"/>
    <s v="Fuera SC"/>
    <m/>
    <s v="No"/>
    <s v="No"/>
    <n v="44.7"/>
    <n v="27.571898697953927"/>
    <n v="41.61133190138937"/>
    <s v="Alto"/>
    <n v="0.99637053164975242"/>
    <s v="Medio Bajo"/>
    <n v="34543.402633999998"/>
    <n v="15331.825833000001"/>
    <n v="8190"/>
    <n v="4.2177536793650789"/>
    <n v="1.8720178062271062"/>
    <m/>
    <m/>
    <m/>
    <m/>
    <m/>
    <m/>
    <m/>
    <n v="86"/>
    <n v="0"/>
    <n v="7"/>
    <n v="47448.466372000003"/>
    <n v="6144.2174999999997"/>
    <n v="0.12949243610591779"/>
    <s v="0% - 30%"/>
    <n v="1.7875844871805802E-4"/>
    <s v="N.D."/>
    <s v="N.D."/>
    <s v="N.D."/>
    <n v="0.91260797017448758"/>
    <s v="Aceptable"/>
    <n v="3"/>
    <s v="Candidato"/>
    <n v="0"/>
    <n v="0"/>
  </r>
  <r>
    <n v="27580"/>
    <s v="27580"/>
    <x v="26"/>
    <x v="26"/>
    <s v="RÍO IRÓ"/>
    <n v="53.493466666666698"/>
    <n v="33.119999999999997"/>
    <n v="23.65"/>
    <n v="86.13"/>
    <n v="66.560583228781383"/>
    <n v="65.371184545492312"/>
    <n v="58.984287178086369"/>
    <n v="66.139499999999998"/>
    <n v="49.098366666666671"/>
    <n v="64.263888738090003"/>
    <n v="56.681127702378333"/>
    <n v="63.5379458310153"/>
    <n v="36.4620541689847"/>
    <n v="0.42815848752086227"/>
    <n v="0"/>
    <n v="24.268505908027155"/>
    <n v="4"/>
    <n v="4"/>
    <b v="1"/>
    <x v="5"/>
    <n v="53.036448989292211"/>
    <n v="0.43406073606553919"/>
    <n v="23.021040086594599"/>
    <n v="4"/>
    <n v="0"/>
    <n v="3.6446787130861225"/>
    <n v="-5.9022485446769135E-3"/>
    <n v="1.2474658214325558"/>
    <n v="4"/>
    <b v="1"/>
    <n v="0"/>
    <n v="0.6523467210059386"/>
    <n v="34.598153591963502"/>
    <n v="0.26216041970204096"/>
    <n v="4"/>
    <n v="0"/>
    <n v="26.216041970204095"/>
    <n v="4"/>
    <n v="-0.22418823348507633"/>
    <b v="1"/>
    <n v="0"/>
    <n v="4"/>
    <n v="0"/>
    <n v="0"/>
    <n v="0"/>
    <n v="0"/>
    <n v="0"/>
    <n v="0"/>
    <s v="Rural disperso"/>
    <n v="6"/>
    <s v="Fuera SC"/>
    <m/>
    <s v="No"/>
    <s v="No"/>
    <n v="75.099999999999994"/>
    <n v="43.093922651933703"/>
    <s v="Sin Información"/>
    <s v="Sin Información"/>
    <n v="37.877471855521399"/>
    <s v="Muy Alto"/>
    <n v="19150.230528"/>
    <n v="5077.0955697500003"/>
    <n v="5747"/>
    <n v="3.3322134205672524"/>
    <n v="0.88343406468592311"/>
    <m/>
    <m/>
    <m/>
    <m/>
    <m/>
    <m/>
    <m/>
    <n v="27"/>
    <n v="0"/>
    <n v="7"/>
    <n v="32521.630700999998"/>
    <n v="482.296739"/>
    <n v="1.4830029386723526E-2"/>
    <s v="0% - 30%"/>
    <n v="1.4031830234756195E-5"/>
    <n v="32022.122657"/>
    <n v="0.98464074422981995"/>
    <s v="71% - 100%"/>
    <n v="0.87804357282965673"/>
    <s v="Aceptable"/>
    <n v="3"/>
    <s v="Candidato"/>
    <n v="0"/>
    <n v="0"/>
  </r>
  <r>
    <n v="15839"/>
    <s v="15839"/>
    <x v="10"/>
    <x v="10"/>
    <s v="TUTAZÁ"/>
    <n v="70.453599999999994"/>
    <n v="58.78"/>
    <n v="57.8"/>
    <n v="76.290000000000006"/>
    <n v="53.529970874073285"/>
    <n v="52.160313723930201"/>
    <n v="13.331006043422997"/>
    <n v="45.817900000000002"/>
    <n v="65.8309"/>
    <n v="41.209797660356621"/>
    <n v="53.520348830178307"/>
    <n v="64.178194028075026"/>
    <n v="35.821805971924974"/>
    <n v="0.42239625374732481"/>
    <n v="0"/>
    <n v="22.606794845117335"/>
    <n v="4"/>
    <n v="4"/>
    <b v="1"/>
    <x v="5"/>
    <n v="50.911081773571084"/>
    <n v="0.43416715997287236"/>
    <n v="22.103919784778022"/>
    <n v="4"/>
    <n v="0"/>
    <n v="2.6092670566072229"/>
    <n v="-1.1770906225547551E-2"/>
    <n v="0.50287506033931351"/>
    <n v="4"/>
    <b v="1"/>
    <n v="0"/>
    <n v="0.6523467210059386"/>
    <n v="33.211677257854305"/>
    <n v="0.24481706224614916"/>
    <n v="4"/>
    <n v="0"/>
    <n v="24.481706224614914"/>
    <n v="4"/>
    <n v="-0.22995046725861379"/>
    <b v="1"/>
    <n v="0"/>
    <n v="4"/>
    <n v="0"/>
    <n v="0"/>
    <n v="0"/>
    <n v="0"/>
    <n v="0"/>
    <n v="0"/>
    <s v="Rural disperso"/>
    <n v="6"/>
    <s v="Fuera SC"/>
    <m/>
    <s v="No"/>
    <s v="No"/>
    <n v="36.4"/>
    <n v="15.997770345596432"/>
    <n v="48.627327557379544"/>
    <s v="Alto"/>
    <n v="0.17240615686923888"/>
    <s v="Bajo"/>
    <n v="7324.3975799999998"/>
    <n v="1964.5896957999998"/>
    <n v="2021"/>
    <n v="3.6241452647204353"/>
    <n v="0.97208792469074712"/>
    <m/>
    <m/>
    <m/>
    <m/>
    <m/>
    <m/>
    <m/>
    <n v="21"/>
    <n v="0"/>
    <n v="7"/>
    <n v="12176.009910999999"/>
    <n v="9390.4855169999992"/>
    <n v="0.77122847185895327"/>
    <s v="71% - 100%"/>
    <n v="2.7320462267624984E-4"/>
    <s v="N.D."/>
    <s v="N.D."/>
    <s v="N.D."/>
    <n v="0.99172093161051145"/>
    <s v="Aceptable"/>
    <n v="2"/>
    <s v="Candidato"/>
    <n v="0"/>
    <n v="0"/>
  </r>
  <r>
    <n v="86885"/>
    <s v="86885"/>
    <x v="22"/>
    <x v="22"/>
    <s v="VILLAGARZÓN"/>
    <n v="53.487166666666702"/>
    <n v="34.72"/>
    <n v="49.98"/>
    <n v="42.57"/>
    <n v="46.735025945579117"/>
    <n v="53.800785039395251"/>
    <n v="58.475721224539235"/>
    <n v="53.294600000000003"/>
    <n v="45.189291666666669"/>
    <n v="53.076533052378402"/>
    <n v="49.132912359522535"/>
    <n v="64.105891285662395"/>
    <n v="35.894108714337605"/>
    <n v="0.42304697842903849"/>
    <n v="0"/>
    <n v="20.785530115114767"/>
    <n v="5"/>
    <n v="5"/>
    <b v="1"/>
    <x v="6"/>
    <n v="49.315367222799125"/>
    <n v="0.43173806552266192"/>
    <n v="21.291321245310982"/>
    <n v="4"/>
    <n v="-1"/>
    <n v="-0.18245486327658966"/>
    <n v="-8.6910870936234286E-3"/>
    <n v="-0.50579113019621502"/>
    <n v="4"/>
    <b v="0"/>
    <s v="Cambio en corte"/>
    <n v="0.6523467210059386"/>
    <n v="32.170718102996751"/>
    <n v="0.23179576049325845"/>
    <n v="4"/>
    <n v="-1"/>
    <n v="23.179576049325846"/>
    <n v="4"/>
    <n v="-0.22929974257690011"/>
    <b v="0"/>
    <s v="Cambio en corte"/>
    <n v="4"/>
    <n v="-1"/>
    <n v="0"/>
    <n v="0"/>
    <n v="0"/>
    <n v="1"/>
    <n v="1"/>
    <s v="Rural"/>
    <n v="6"/>
    <s v="Fuera SC"/>
    <m/>
    <s v="No"/>
    <s v="No"/>
    <n v="37.1"/>
    <n v="14.651681303180597"/>
    <n v="0"/>
    <s v="Sin riesgo"/>
    <n v="14.944607280011098"/>
    <s v="Alto"/>
    <n v="59404.634678000002"/>
    <n v="13988.64345025"/>
    <n v="25576"/>
    <n v="2.322671046215202"/>
    <n v="0.54694414491124488"/>
    <m/>
    <m/>
    <m/>
    <m/>
    <m/>
    <m/>
    <m/>
    <n v="81"/>
    <n v="0"/>
    <n v="6"/>
    <n v="139769.206374"/>
    <n v="5243.515813"/>
    <n v="3.7515529700935642E-2"/>
    <s v="0% - 30%"/>
    <n v="1.5255364129939847E-4"/>
    <n v="38155.142838"/>
    <n v="0.27298676030185753"/>
    <s v="0% - 30%"/>
    <n v="0.9480842706570568"/>
    <s v="Aceptable"/>
    <n v="1"/>
    <s v="Candidato"/>
    <n v="0"/>
    <n v="0"/>
  </r>
  <r>
    <n v="68092"/>
    <s v="68092"/>
    <x v="0"/>
    <x v="0"/>
    <s v="BETULIA"/>
    <n v="52.111033333333303"/>
    <n v="58.1"/>
    <n v="60.34"/>
    <n v="61.04"/>
    <n v="64.408818202374874"/>
    <n v="68.166577492901595"/>
    <n v="63.361538257208245"/>
    <n v="71.628299999999996"/>
    <n v="57.897758333333321"/>
    <n v="66.891308488121183"/>
    <n v="62.394533410727249"/>
    <n v="63.137884830667666"/>
    <n v="36.862115169332334"/>
    <n v="0.43175903652399106"/>
    <n v="0"/>
    <n v="26.939403629779566"/>
    <n v="4"/>
    <n v="4"/>
    <b v="1"/>
    <x v="5"/>
    <n v="59.569538656447776"/>
    <n v="0.43136884495084094"/>
    <n v="25.696443084486347"/>
    <n v="4"/>
    <n v="0"/>
    <n v="2.8249947542794729"/>
    <n v="3.9019157315012265E-4"/>
    <n v="1.2429605452932186"/>
    <n v="4"/>
    <b v="1"/>
    <n v="0"/>
    <n v="0.6523467210059386"/>
    <n v="38.859993214370213"/>
    <n v="0.31547154097593727"/>
    <n v="4"/>
    <n v="0"/>
    <n v="31.547154097593726"/>
    <n v="4"/>
    <n v="-0.22058768448194754"/>
    <b v="1"/>
    <n v="0"/>
    <n v="4"/>
    <n v="0"/>
    <n v="0"/>
    <n v="0"/>
    <n v="0"/>
    <n v="0"/>
    <n v="0"/>
    <s v="Rural disperso"/>
    <n v="6"/>
    <s v="Fuera SC"/>
    <m/>
    <s v="No"/>
    <s v="Si"/>
    <n v="43.9"/>
    <n v="21.581485053037607"/>
    <n v="0"/>
    <s v="Sin riesgo"/>
    <n v="0.1479306152915833"/>
    <s v="Bajo"/>
    <n v="25122.542696"/>
    <n v="9955.1247635499985"/>
    <n v="6747"/>
    <n v="3.7235130718838003"/>
    <n v="1.4754890712242477"/>
    <m/>
    <m/>
    <m/>
    <m/>
    <m/>
    <m/>
    <m/>
    <n v="95"/>
    <n v="0"/>
    <n v="7"/>
    <n v="43051.655965999998"/>
    <n v="42935.193708999999"/>
    <n v="0.9972948251493049"/>
    <s v="71% - 100%"/>
    <n v="1.2491466363015573E-3"/>
    <s v="N.D."/>
    <s v="N.D."/>
    <s v="N.D."/>
    <n v="0.92090671400131674"/>
    <s v="Aceptable"/>
    <n v="3"/>
    <s v="Candidato"/>
    <n v="0"/>
    <n v="0"/>
  </r>
  <r>
    <n v="68162"/>
    <s v="68162"/>
    <x v="0"/>
    <x v="0"/>
    <s v="CERRITO"/>
    <n v="60.0636333333333"/>
    <n v="43.06"/>
    <n v="47.17"/>
    <n v="65.47"/>
    <n v="55.999041132204482"/>
    <n v="56.757117351652788"/>
    <n v="64.218517885636089"/>
    <n v="52.976199999999999"/>
    <n v="53.940908333333326"/>
    <n v="57.487719092373339"/>
    <n v="55.714313712853333"/>
    <n v="63.531538445371652"/>
    <n v="36.468461554628348"/>
    <n v="0.42821615399165514"/>
    <n v="0"/>
    <n v="23.857769140402585"/>
    <n v="4"/>
    <n v="4"/>
    <b v="1"/>
    <x v="5"/>
    <n v="55.043814216607771"/>
    <n v="0.43122985730693897"/>
    <n v="23.736536150257429"/>
    <n v="4"/>
    <n v="0"/>
    <n v="0.67049949624556149"/>
    <n v="-3.0137033152838333E-3"/>
    <n v="0.12123299014515609"/>
    <n v="4"/>
    <b v="1"/>
    <n v="0"/>
    <n v="0.6523467210059386"/>
    <n v="35.907651715864148"/>
    <n v="0.27854086089090579"/>
    <n v="4"/>
    <n v="0"/>
    <n v="27.854086089090579"/>
    <n v="4"/>
    <n v="-0.22413056701428347"/>
    <b v="1"/>
    <n v="0"/>
    <n v="4"/>
    <n v="0"/>
    <n v="0"/>
    <n v="0"/>
    <n v="0"/>
    <n v="0"/>
    <n v="0"/>
    <s v="Rural"/>
    <n v="6"/>
    <s v="Fuera SC"/>
    <m/>
    <s v="No"/>
    <s v="Si"/>
    <n v="41.9"/>
    <n v="16.05263157894737"/>
    <n v="10.35"/>
    <s v="Bajo"/>
    <n v="0.15687934919877167"/>
    <s v="Bajo"/>
    <n v="16319.288042"/>
    <n v="3214.0101957500001"/>
    <n v="7482"/>
    <n v="2.1811398078053998"/>
    <n v="0.42956565032745259"/>
    <m/>
    <m/>
    <m/>
    <m/>
    <m/>
    <m/>
    <m/>
    <n v="58"/>
    <n v="0"/>
    <n v="7"/>
    <n v="42006.462991"/>
    <n v="37493.724891999998"/>
    <n v="0.8925703861339892"/>
    <s v="71% - 100%"/>
    <n v="1.090833795899243E-3"/>
    <s v="N.D."/>
    <s v="N.D."/>
    <s v="N.D."/>
    <n v="0.93362689994408732"/>
    <s v="Aceptable"/>
    <n v="2"/>
    <s v="Candidato"/>
    <n v="0"/>
    <n v="0"/>
  </r>
  <r>
    <n v="5480"/>
    <s v="05480"/>
    <x v="1"/>
    <x v="1"/>
    <s v="MUTATÁ"/>
    <n v="56.657533333333298"/>
    <n v="44.09"/>
    <n v="37.18"/>
    <n v="43.32"/>
    <n v="62.383118996516146"/>
    <n v="57.879293544746133"/>
    <n v="55.82494631056953"/>
    <n v="57.946199999999997"/>
    <n v="45.311883333333327"/>
    <n v="58.508389712957957"/>
    <n v="51.910136523145638"/>
    <n v="64.30846307649918"/>
    <n v="35.69153692350082"/>
    <n v="0.4212238323115074"/>
    <n v="0"/>
    <n v="21.865786642092953"/>
    <n v="4"/>
    <n v="4"/>
    <b v="1"/>
    <x v="5"/>
    <n v="52.574415639601142"/>
    <n v="0.43039838638748618"/>
    <n v="22.627943656549348"/>
    <n v="4"/>
    <n v="0"/>
    <n v="-0.66427911645550353"/>
    <n v="-9.1745540759787803E-3"/>
    <n v="-0.76215701445639539"/>
    <n v="4"/>
    <b v="1"/>
    <n v="0"/>
    <n v="0.6523467210059386"/>
    <n v="34.296747651297139"/>
    <n v="0.25839014909611346"/>
    <n v="4"/>
    <n v="0"/>
    <n v="25.839014909611347"/>
    <n v="4"/>
    <n v="-0.23112288869443121"/>
    <b v="1"/>
    <n v="0"/>
    <n v="4"/>
    <n v="0"/>
    <n v="0"/>
    <n v="0"/>
    <n v="0"/>
    <n v="1"/>
    <n v="1"/>
    <s v="Rural"/>
    <n v="6"/>
    <s v="Fuera SC"/>
    <m/>
    <s v="No"/>
    <s v="Si"/>
    <n v="57.8"/>
    <n v="43.366132359942867"/>
    <n v="27.828357362233223"/>
    <s v="Medio"/>
    <n v="28.3147603670024"/>
    <s v="Muy Alto"/>
    <n v="56249.950336000002"/>
    <n v="11218.877377999999"/>
    <n v="13872"/>
    <n v="4.0549272156862743"/>
    <n v="0.80874260222029981"/>
    <m/>
    <m/>
    <m/>
    <m/>
    <m/>
    <m/>
    <m/>
    <n v="35"/>
    <n v="0"/>
    <n v="7"/>
    <n v="107502.160766"/>
    <n v="13919.991464999999"/>
    <n v="0.1294856900160328"/>
    <s v="0% - 30%"/>
    <n v="4.0498502542463832E-4"/>
    <n v="40371.003438"/>
    <n v="0.37553666968495247"/>
    <s v="31% - 50%"/>
    <n v="0.91427586687538343"/>
    <s v="Aceptable"/>
    <n v="1"/>
    <s v="Candidato"/>
    <n v="0"/>
    <n v="0"/>
  </r>
  <r>
    <n v="25839"/>
    <s v="25839"/>
    <x v="5"/>
    <x v="5"/>
    <s v="UBALÁ"/>
    <n v="53.346533333333298"/>
    <n v="69.03"/>
    <n v="43.54"/>
    <n v="56.29"/>
    <n v="54.437670246614289"/>
    <n v="61.211672995248584"/>
    <n v="56.948972835779074"/>
    <n v="63.120199999999997"/>
    <n v="55.551633333333321"/>
    <n v="58.929629019410484"/>
    <n v="57.240631176371906"/>
    <n v="64.827610869123504"/>
    <n v="35.172389130876496"/>
    <n v="0.4165515021778885"/>
    <n v="0"/>
    <n v="23.843670902128196"/>
    <n v="4"/>
    <n v="4"/>
    <b v="1"/>
    <x v="5"/>
    <n v="54.430299685884449"/>
    <n v="0.42907719317351478"/>
    <n v="23.354800212812542"/>
    <n v="4"/>
    <n v="0"/>
    <n v="2.8103314904874566"/>
    <n v="-1.2525690995626282E-2"/>
    <n v="0.48887068931565381"/>
    <n v="4"/>
    <b v="1"/>
    <n v="0"/>
    <n v="0.6523467210059386"/>
    <n v="35.507427523457288"/>
    <n v="0.2735344781199604"/>
    <n v="4"/>
    <n v="0"/>
    <n v="27.353447811996041"/>
    <n v="4"/>
    <n v="-0.2357952188280501"/>
    <b v="1"/>
    <n v="0"/>
    <n v="4"/>
    <n v="0"/>
    <n v="0"/>
    <n v="0"/>
    <n v="0"/>
    <n v="0"/>
    <n v="0"/>
    <s v="Rural disperso"/>
    <n v="6"/>
    <s v="Fuera SC"/>
    <m/>
    <s v="No"/>
    <s v="No"/>
    <n v="47"/>
    <n v="21.133018605942794"/>
    <n v="9.4791666666666661"/>
    <s v="Bajo"/>
    <n v="0.33880182386597135"/>
    <s v="Medio Bajo"/>
    <n v="30416.949071999999"/>
    <n v="7054.7422993"/>
    <n v="7889"/>
    <n v="3.8556152962352641"/>
    <n v="0.89425051328431993"/>
    <m/>
    <m/>
    <m/>
    <m/>
    <m/>
    <m/>
    <m/>
    <n v="87"/>
    <n v="0"/>
    <n v="7"/>
    <n v="52157.832968000002"/>
    <n v="3732.3883259999998"/>
    <n v="7.1559497655700216E-2"/>
    <s v="0% - 30%"/>
    <n v="1.0858924625782687E-4"/>
    <s v="N.D."/>
    <s v="N.D."/>
    <s v="N.D."/>
    <n v="0.93720600726412884"/>
    <s v="Aceptable"/>
    <n v="2"/>
    <s v="Candidato"/>
    <n v="0"/>
    <n v="0"/>
  </r>
  <r>
    <n v="27361"/>
    <s v="27361"/>
    <x v="26"/>
    <x v="26"/>
    <s v="ISTMINA"/>
    <n v="51.776333333333298"/>
    <n v="45.24"/>
    <n v="83.62"/>
    <n v="86.01"/>
    <n v="46.487329658011042"/>
    <n v="42.496867556671603"/>
    <n v="54.315217364738047"/>
    <n v="59.780500000000004"/>
    <n v="66.661583333333326"/>
    <n v="50.769978644855172"/>
    <n v="58.715780989094249"/>
    <n v="63.442732904879939"/>
    <n v="36.557267095120061"/>
    <n v="0.42901540385608061"/>
    <n v="0"/>
    <n v="25.189974493761451"/>
    <n v="4"/>
    <n v="4"/>
    <b v="1"/>
    <x v="5"/>
    <n v="52.505201730304989"/>
    <n v="0.43018847344034428"/>
    <n v="22.587132580037228"/>
    <n v="4"/>
    <n v="0"/>
    <n v="6.2105792587892594"/>
    <n v="-1.173069584263664E-3"/>
    <n v="2.6028419137242231"/>
    <n v="4"/>
    <b v="1"/>
    <n v="0"/>
    <n v="0.6523467210059386"/>
    <n v="34.251596184519791"/>
    <n v="0.25782535184086097"/>
    <n v="4"/>
    <n v="0"/>
    <n v="25.782535184086097"/>
    <n v="4"/>
    <n v="-0.22333131714985799"/>
    <b v="1"/>
    <n v="0"/>
    <n v="4"/>
    <n v="0"/>
    <n v="0"/>
    <n v="1"/>
    <n v="0"/>
    <n v="1"/>
    <n v="1"/>
    <s v="Rural"/>
    <n v="6"/>
    <s v="Fuera SC"/>
    <m/>
    <s v="No"/>
    <s v="No"/>
    <n v="55.1"/>
    <n v="83.959194120443158"/>
    <s v="Sin Información"/>
    <s v="Sin Información"/>
    <n v="13.061328711429713"/>
    <s v="Alto"/>
    <n v="129946.71309400001"/>
    <n v="15947.035526"/>
    <n v="35215"/>
    <n v="3.690095501746415"/>
    <n v="0.45284780707085048"/>
    <m/>
    <m/>
    <m/>
    <m/>
    <m/>
    <m/>
    <m/>
    <n v="27"/>
    <n v="1"/>
    <n v="6"/>
    <n v="188108.165087"/>
    <n v="2239.9040690000002"/>
    <n v="1.1907532392142811E-2"/>
    <s v="0% - 30%"/>
    <n v="6.5167253055691156E-5"/>
    <n v="185567.45533699999"/>
    <n v="0.98649335743174715"/>
    <s v="71% - 100%"/>
    <n v="0.9348655604008953"/>
    <s v="Aceptable"/>
    <n v="2"/>
    <s v="Candidato"/>
    <n v="0"/>
    <n v="0"/>
  </r>
  <r>
    <n v="41872"/>
    <s v="41872"/>
    <x v="19"/>
    <x v="19"/>
    <s v="VILLAVIEJA"/>
    <n v="46.896333333333303"/>
    <n v="75.25"/>
    <n v="83.39"/>
    <n v="80.09"/>
    <n v="56.681814284040982"/>
    <n v="53.849680634896686"/>
    <n v="53.501614513949306"/>
    <n v="51.270699999999998"/>
    <n v="71.406583333333316"/>
    <n v="53.825952358221748"/>
    <n v="62.616267845777529"/>
    <n v="64.327828404576167"/>
    <n v="35.672171595423833"/>
    <n v="0.42104954435881448"/>
    <n v="0"/>
    <n v="26.364551045914116"/>
    <n v="4"/>
    <n v="4"/>
    <b v="1"/>
    <x v="5"/>
    <n v="57.549369203064188"/>
    <n v="0.42993317972839762"/>
    <n v="24.742383292836905"/>
    <n v="4"/>
    <n v="0"/>
    <n v="5.0668986427133405"/>
    <n v="-8.8836353695831427E-3"/>
    <n v="1.6221677530772105"/>
    <n v="4"/>
    <b v="1"/>
    <n v="0"/>
    <n v="0.6523467210059386"/>
    <n v="37.542142295579069"/>
    <n v="0.298986615127668"/>
    <n v="4"/>
    <n v="0"/>
    <n v="29.8986615127668"/>
    <n v="4"/>
    <n v="-0.23129717664712413"/>
    <b v="1"/>
    <n v="0"/>
    <n v="4"/>
    <n v="0"/>
    <n v="0"/>
    <n v="0"/>
    <n v="0"/>
    <n v="0"/>
    <n v="0"/>
    <s v="Rural"/>
    <n v="6"/>
    <s v="Fuera SC"/>
    <m/>
    <s v="No"/>
    <s v="Si"/>
    <n v="37.9"/>
    <n v="14.518219789716261"/>
    <n v="4.8174999999999999"/>
    <s v="Sin riesgo"/>
    <n v="5.0385657511535369"/>
    <s v="Medio Bajo"/>
    <n v="19509.924574000001"/>
    <n v="4947.3984524999996"/>
    <n v="7418"/>
    <n v="2.6300788047991372"/>
    <n v="0.6669450596521973"/>
    <m/>
    <m/>
    <m/>
    <m/>
    <m/>
    <m/>
    <m/>
    <n v="23"/>
    <n v="0"/>
    <n v="7"/>
    <n v="54362.984821999999"/>
    <n v="34242.434556"/>
    <n v="0.62988510781958629"/>
    <s v="51% - 70%"/>
    <n v="9.9624150374887999E-4"/>
    <n v="289.43271099999998"/>
    <n v="5.3240768870157825E-3"/>
    <s v="0% - 30%"/>
    <n v="0.88547769350263961"/>
    <s v="Aceptable"/>
    <n v="2"/>
    <s v="Candidato"/>
    <n v="0"/>
    <n v="0"/>
  </r>
  <r>
    <n v="52079"/>
    <s v="52079"/>
    <x v="18"/>
    <x v="18"/>
    <s v="BARBACOAS"/>
    <n v="70.439166666666694"/>
    <n v="53.75"/>
    <n v="22.14"/>
    <n v="85.33"/>
    <n v="56.949927822124948"/>
    <n v="56.162380326896184"/>
    <n v="61.277707500048479"/>
    <n v="61.570900000000002"/>
    <n v="57.914791666666673"/>
    <n v="58.990228912267398"/>
    <n v="58.452510289467035"/>
    <n v="63.354789011954317"/>
    <n v="36.645210988045683"/>
    <n v="0.42980689889241119"/>
    <n v="0"/>
    <n v="25.123292179992582"/>
    <n v="4"/>
    <n v="4"/>
    <b v="1"/>
    <x v="5"/>
    <n v="56.373368448871844"/>
    <n v="0.42958183143383399"/>
    <n v="24.216974862360679"/>
    <n v="4"/>
    <n v="0"/>
    <n v="2.0791418405951916"/>
    <n v="2.2506745857719945E-4"/>
    <n v="0.9063173176319026"/>
    <n v="4"/>
    <b v="1"/>
    <n v="0"/>
    <n v="0.6523467210059386"/>
    <n v="36.774982059681186"/>
    <n v="0.28939024923969797"/>
    <n v="4"/>
    <n v="0"/>
    <n v="28.939024923969797"/>
    <n v="4"/>
    <n v="-0.22253982211352741"/>
    <b v="1"/>
    <n v="0"/>
    <n v="4"/>
    <n v="0"/>
    <n v="0"/>
    <n v="0"/>
    <n v="0"/>
    <n v="1"/>
    <n v="1"/>
    <s v="Rural disperso"/>
    <n v="6"/>
    <s v="Fuera SC"/>
    <m/>
    <s v="No"/>
    <s v="No"/>
    <n v="76.099999999999994"/>
    <n v="72.195598154064612"/>
    <n v="65.45029223699801"/>
    <s v="Alto"/>
    <n v="43.611243471003711"/>
    <s v="Muy Alto"/>
    <n v="86578.262361000001"/>
    <n v="11161.372069999999"/>
    <n v="63548"/>
    <n v="1.3624073513092465"/>
    <n v="0.17563687401649147"/>
    <m/>
    <m/>
    <m/>
    <m/>
    <m/>
    <m/>
    <m/>
    <n v="97"/>
    <n v="0"/>
    <n v="6"/>
    <n v="273590.39493100002"/>
    <n v="111195.45589300001"/>
    <n v="0.40643040820582788"/>
    <s v="31% - 50%"/>
    <n v="3.2350949815708714E-3"/>
    <n v="246263.99076300001"/>
    <n v="0.90011928534665198"/>
    <s v="71% - 100%"/>
    <n v="0.8990945953886782"/>
    <s v="Aceptable"/>
    <n v="3"/>
    <s v="Candidato"/>
    <n v="1"/>
    <s v="Municipio Limítrofe"/>
  </r>
  <r>
    <n v="27135"/>
    <s v="27135"/>
    <x v="26"/>
    <x v="26"/>
    <s v="EL CANTÓN DEL SAN PABLO"/>
    <n v="53.264466666666699"/>
    <n v="37.75"/>
    <n v="56.52"/>
    <n v="75.400000000000006"/>
    <n v="53.046415233246321"/>
    <n v="57.704205329271204"/>
    <n v="65.036595939492287"/>
    <n v="64.528000000000006"/>
    <n v="55.733616666666677"/>
    <n v="60.078804125502458"/>
    <n v="57.906210396084568"/>
    <n v="64.342784257707393"/>
    <n v="35.657215742292607"/>
    <n v="0.42091494168063348"/>
    <n v="0"/>
    <n v="24.373589171814427"/>
    <n v="4"/>
    <n v="4"/>
    <b v="1"/>
    <x v="5"/>
    <n v="54.432268460476948"/>
    <n v="0.42933507644577529"/>
    <n v="23.369682140595835"/>
    <n v="4"/>
    <n v="0"/>
    <n v="3.4739419356076198"/>
    <n v="-8.4201347651418068E-3"/>
    <n v="1.003907031218592"/>
    <n v="4"/>
    <b v="1"/>
    <n v="0"/>
    <n v="0.6523467210059386"/>
    <n v="35.508711847107108"/>
    <n v="0.27355054365501491"/>
    <n v="4"/>
    <n v="0"/>
    <n v="27.355054365501491"/>
    <n v="4"/>
    <n v="-0.23143177932530512"/>
    <b v="1"/>
    <n v="0"/>
    <n v="4"/>
    <n v="0"/>
    <n v="0"/>
    <n v="0"/>
    <n v="0"/>
    <n v="0"/>
    <n v="0"/>
    <s v="Rural"/>
    <n v="6"/>
    <s v="Fuera SC"/>
    <m/>
    <s v="No"/>
    <s v="No"/>
    <n v="60.2"/>
    <n v="43.515901060070668"/>
    <n v="78.62"/>
    <s v="Alto"/>
    <n v="3.5954930270033554"/>
    <s v="Medio Bajo"/>
    <n v="29610.278329000001"/>
    <n v="7460.9678599999997"/>
    <n v="6486"/>
    <n v="4.5652603035769355"/>
    <n v="1.150318818994758"/>
    <m/>
    <m/>
    <m/>
    <m/>
    <m/>
    <m/>
    <m/>
    <n v="27"/>
    <n v="0"/>
    <n v="7"/>
    <n v="38069.333423999997"/>
    <n v="1084.420701"/>
    <n v="2.8485413414576631E-2"/>
    <s v="0% - 30%"/>
    <n v="3.1549886095098201E-5"/>
    <n v="37618.930447999999"/>
    <n v="0.98816887674434428"/>
    <s v="71% - 100%"/>
    <n v="0.981188673775784"/>
    <s v="Aceptable"/>
    <n v="3"/>
    <s v="Candidato"/>
    <n v="0"/>
    <n v="0"/>
  </r>
  <r>
    <n v="68682"/>
    <s v="68682"/>
    <x v="0"/>
    <x v="0"/>
    <s v="SAN JOAQUÍN"/>
    <n v="66.819166666666703"/>
    <n v="54.22"/>
    <n v="54.48"/>
    <n v="58.91"/>
    <n v="46.233399218655677"/>
    <n v="51.057499223439933"/>
    <n v="51.500919006031765"/>
    <n v="49.724200000000003"/>
    <n v="58.607291666666676"/>
    <n v="49.629004362031843"/>
    <n v="54.118148014349259"/>
    <n v="63.317800851687466"/>
    <n v="36.682199148312534"/>
    <n v="0.43013979233481281"/>
    <n v="0"/>
    <n v="23.278368948436853"/>
    <n v="4"/>
    <n v="4"/>
    <b v="1"/>
    <x v="5"/>
    <n v="55.182515964891635"/>
    <n v="0.42790113713311673"/>
    <n v="23.612661331243498"/>
    <n v="4"/>
    <n v="0"/>
    <n v="-1.0643679505423762"/>
    <n v="2.2386552016960826E-3"/>
    <n v="-0.33429238280664464"/>
    <n v="4"/>
    <b v="1"/>
    <n v="0"/>
    <n v="0.6523467210059386"/>
    <n v="35.998133346554916"/>
    <n v="0.27967269071421841"/>
    <n v="4"/>
    <n v="0"/>
    <n v="27.967269071421839"/>
    <n v="4"/>
    <n v="-0.22220692867112579"/>
    <b v="1"/>
    <n v="0"/>
    <n v="4"/>
    <n v="0"/>
    <n v="0"/>
    <n v="0"/>
    <n v="0"/>
    <n v="0"/>
    <n v="0"/>
    <s v="Rural"/>
    <n v="6"/>
    <s v="Fuera SC"/>
    <m/>
    <s v="No"/>
    <s v="No"/>
    <n v="41.4"/>
    <n v="12.874942316566681"/>
    <n v="6.0475000000000003"/>
    <s v="Bajo"/>
    <n v="3.6983923123948408"/>
    <s v="Medio Bajo"/>
    <n v="7806.3717200000001"/>
    <n v="1833.8179822500001"/>
    <n v="2525"/>
    <n v="3.0916323643564358"/>
    <n v="0.72626454742574265"/>
    <m/>
    <m/>
    <m/>
    <m/>
    <m/>
    <m/>
    <m/>
    <n v="75"/>
    <n v="0"/>
    <n v="7"/>
    <n v="14284.073612"/>
    <n v="3406.6158679999999"/>
    <n v="0.23849050071669428"/>
    <s v="0% - 30%"/>
    <n v="9.9111297401499986E-5"/>
    <s v="N.D."/>
    <s v="N.D."/>
    <s v="N.D."/>
    <n v="0.94519891303918047"/>
    <s v="Aceptable"/>
    <n v="1"/>
    <s v="Candidato"/>
    <n v="0"/>
    <n v="0"/>
  </r>
  <r>
    <n v="15047"/>
    <s v="15047"/>
    <x v="10"/>
    <x v="10"/>
    <s v="AQUITANIA"/>
    <n v="58.902099999999997"/>
    <n v="70.099999999999994"/>
    <n v="58.39"/>
    <n v="55.92"/>
    <n v="46.701659443040668"/>
    <n v="51.114534470391277"/>
    <n v="54.977491480565028"/>
    <n v="55.215400000000002"/>
    <n v="60.828024999999997"/>
    <n v="52.002271348499249"/>
    <n v="56.415148174249623"/>
    <n v="64.61372659930349"/>
    <n v="35.38627340069651"/>
    <n v="0.41847646060626864"/>
    <n v="0"/>
    <n v="23.608411532538181"/>
    <n v="4"/>
    <n v="4"/>
    <b v="1"/>
    <x v="5"/>
    <n v="55.477478773044041"/>
    <n v="0.4296540599699884"/>
    <n v="23.836123991737225"/>
    <n v="4"/>
    <n v="0"/>
    <n v="0.93766940120558218"/>
    <n v="-1.1177599363719759E-2"/>
    <n v="-0.22771245919904359"/>
    <n v="4"/>
    <b v="1"/>
    <n v="0"/>
    <n v="0.6523467210059386"/>
    <n v="36.190551367271844"/>
    <n v="0.28207963732567504"/>
    <n v="4"/>
    <n v="0"/>
    <n v="28.207963732567503"/>
    <n v="4"/>
    <n v="-0.23387026039966996"/>
    <b v="1"/>
    <n v="0"/>
    <n v="4"/>
    <n v="0"/>
    <n v="0"/>
    <n v="0"/>
    <n v="0"/>
    <n v="0"/>
    <n v="0"/>
    <s v="Rural"/>
    <n v="6"/>
    <s v="Fuera SC"/>
    <m/>
    <s v="No"/>
    <s v="No"/>
    <n v="33.5"/>
    <n v="13.001443001443002"/>
    <n v="31.95288603590156"/>
    <s v="Medio"/>
    <n v="0.5214780752999908"/>
    <s v="Medio Bajo"/>
    <n v="37001.534784000003"/>
    <n v="7602.4667085000001"/>
    <n v="15405"/>
    <n v="2.4019172206426487"/>
    <n v="0.49350644001947419"/>
    <m/>
    <m/>
    <m/>
    <m/>
    <m/>
    <m/>
    <m/>
    <n v="62"/>
    <n v="0"/>
    <n v="7"/>
    <n v="94035.437550999995"/>
    <n v="60949.261149999998"/>
    <n v="0.64815204498776591"/>
    <s v="51% - 70%"/>
    <n v="1.7732437651638798E-3"/>
    <s v="N.D."/>
    <s v="N.D."/>
    <s v="N.D."/>
    <n v="0.98585547289249031"/>
    <s v="Aceptable"/>
    <n v="1"/>
    <s v="Candidato"/>
    <n v="0"/>
    <n v="0"/>
  </r>
  <r>
    <n v="68152"/>
    <s v="68152"/>
    <x v="0"/>
    <x v="0"/>
    <s v="CARCASÍ"/>
    <n v="54.102066666666701"/>
    <n v="53.85"/>
    <n v="42.58"/>
    <n v="64.92"/>
    <n v="46.312132629738173"/>
    <n v="50.366014081351267"/>
    <n v="59.968417737099053"/>
    <n v="44.621499999999997"/>
    <n v="53.863016666666681"/>
    <n v="50.317016112047121"/>
    <n v="52.090016389356904"/>
    <n v="63.706595308570243"/>
    <n v="36.293404691429757"/>
    <n v="0.42664064222286779"/>
    <n v="0"/>
    <n v="22.223718045754939"/>
    <n v="4"/>
    <n v="4"/>
    <b v="1"/>
    <x v="5"/>
    <n v="51.143813119402431"/>
    <n v="0.42815727200239462"/>
    <n v="21.897595505003626"/>
    <n v="4"/>
    <n v="0"/>
    <n v="0.94620326995447357"/>
    <n v="-1.5166297795268235E-3"/>
    <n v="0.32612254075131375"/>
    <n v="4"/>
    <b v="1"/>
    <n v="0"/>
    <n v="0.6523467210059386"/>
    <n v="33.363498788182682"/>
    <n v="0.24671618955557945"/>
    <n v="4"/>
    <n v="0"/>
    <n v="24.671618955557946"/>
    <n v="4"/>
    <n v="-0.22570607878307081"/>
    <b v="1"/>
    <n v="0"/>
    <n v="4"/>
    <n v="0"/>
    <n v="0"/>
    <n v="0"/>
    <n v="0"/>
    <n v="0"/>
    <n v="0"/>
    <s v="Rural disperso"/>
    <n v="6"/>
    <s v="Fuera SC"/>
    <m/>
    <s v="No"/>
    <s v="No"/>
    <n v="60.8"/>
    <n v="28.184019370460049"/>
    <n v="34.387999999999998"/>
    <s v="Medio"/>
    <n v="0"/>
    <s v="Bajo"/>
    <n v="15041.167090000001"/>
    <n v="3526.4527745"/>
    <n v="4852"/>
    <n v="3.0999932172300082"/>
    <n v="0.72680395187551528"/>
    <m/>
    <m/>
    <m/>
    <m/>
    <m/>
    <m/>
    <m/>
    <n v="58"/>
    <n v="0"/>
    <n v="7"/>
    <n v="25836.871983000001"/>
    <n v="16626.520055000001"/>
    <n v="0.64351907870038694"/>
    <s v="51% - 70%"/>
    <n v="4.8372814481445047E-4"/>
    <s v="N.D."/>
    <s v="N.D."/>
    <s v="N.D."/>
    <n v="0.97560962995500478"/>
    <s v="Aceptable"/>
    <n v="2"/>
    <s v="Candidato"/>
    <n v="0"/>
    <n v="0"/>
  </r>
  <r>
    <n v="27450"/>
    <s v="27450"/>
    <x v="26"/>
    <x v="26"/>
    <s v="MEDIO SAN JUAN"/>
    <n v="71.059233333333296"/>
    <n v="73.31"/>
    <n v="78.86"/>
    <n v="85.61"/>
    <n v="53.347626936403657"/>
    <n v="60.102836287977382"/>
    <n v="60.649018631303129"/>
    <n v="58.8414"/>
    <n v="77.209808333333328"/>
    <n v="58.235220463921038"/>
    <n v="67.722514398627183"/>
    <n v="64.487062302902459"/>
    <n v="35.512937697097541"/>
    <n v="0.41961643927387793"/>
    <n v="0"/>
    <n v="28.417480350625866"/>
    <n v="4"/>
    <n v="4"/>
    <b v="1"/>
    <x v="4"/>
    <n v="65.430942957861333"/>
    <n v="0.42803738762721655"/>
    <n v="28.006889893668387"/>
    <n v="3"/>
    <n v="0"/>
    <n v="2.2915714407658498"/>
    <n v="-8.4209483533386198E-3"/>
    <n v="0.41059045695747898"/>
    <n v="3"/>
    <b v="1"/>
    <n v="0"/>
    <n v="0.6523467210059386"/>
    <n v="42.683661090887448"/>
    <n v="0.36330159558531239"/>
    <n v="3"/>
    <n v="0"/>
    <n v="36.330159558531236"/>
    <n v="4"/>
    <n v="-0.23273028173206067"/>
    <b v="0"/>
    <n v="0"/>
    <n v="4"/>
    <n v="1"/>
    <n v="0"/>
    <n v="0"/>
    <n v="0"/>
    <n v="1"/>
    <n v="1"/>
    <s v="Rural disperso"/>
    <n v="6"/>
    <s v="Fuera SC"/>
    <m/>
    <s v="No"/>
    <s v="No"/>
    <n v="69.7"/>
    <n v="64.092365484476858"/>
    <n v="62.02"/>
    <s v="Alto"/>
    <n v="14.136339041660184"/>
    <s v="Alto"/>
    <n v="33985.194580000003"/>
    <n v="9008.1938607499997"/>
    <n v="11112"/>
    <n v="3.0584228383729304"/>
    <n v="0.81067259366000721"/>
    <m/>
    <m/>
    <m/>
    <m/>
    <m/>
    <m/>
    <m/>
    <n v="27"/>
    <n v="0"/>
    <n v="7"/>
    <n v="66377.404699000006"/>
    <n v="786.15826500000003"/>
    <n v="1.1843763228842294E-2"/>
    <s v="0% - 30%"/>
    <n v="2.2872307482324637E-5"/>
    <n v="66101.573782000007"/>
    <n v="0.99584450584877782"/>
    <s v="71% - 100%"/>
    <n v="0.88533625294972906"/>
    <s v="Aceptable"/>
    <n v="2"/>
    <s v="Candidato"/>
    <n v="0"/>
    <n v="0"/>
  </r>
  <r>
    <n v="81300"/>
    <s v="81300"/>
    <x v="25"/>
    <x v="25"/>
    <s v="FORTUL"/>
    <n v="71.018433333333306"/>
    <n v="70.56"/>
    <n v="67.31"/>
    <n v="75.55"/>
    <n v="63.934312157144198"/>
    <n v="52.830901328946105"/>
    <n v="66.112287535171319"/>
    <n v="63.075499999999998"/>
    <n v="71.109608333333327"/>
    <n v="61.488250255315407"/>
    <n v="66.298929294324367"/>
    <n v="65.587059548668876"/>
    <n v="34.412940451331124"/>
    <n v="0.40971646406198015"/>
    <n v="0"/>
    <n v="27.163762881565813"/>
    <n v="4"/>
    <n v="4"/>
    <b v="1"/>
    <x v="5"/>
    <n v="66.024907717595823"/>
    <n v="0.42782057070592905"/>
    <n v="28.246813700548145"/>
    <n v="3"/>
    <n v="-1"/>
    <n v="0.27402157672854344"/>
    <n v="-1.8104106643948903E-2"/>
    <n v="-1.0830508189823327"/>
    <n v="4"/>
    <b v="1"/>
    <s v="Efecto ponderador"/>
    <n v="0.6523467210059386"/>
    <n v="43.071132054293322"/>
    <n v="0.36814844890462595"/>
    <n v="3"/>
    <n v="-1"/>
    <n v="36.814844890462595"/>
    <n v="4"/>
    <n v="-0.24263025694395846"/>
    <b v="1"/>
    <s v="Efecto ponderador"/>
    <n v="4"/>
    <n v="0"/>
    <n v="0"/>
    <n v="0"/>
    <n v="0"/>
    <n v="1"/>
    <n v="1"/>
    <s v="Rural"/>
    <n v="6"/>
    <s v="Fuera SC"/>
    <m/>
    <s v="No"/>
    <s v="No"/>
    <n v="48.3"/>
    <n v="34.448660457629067"/>
    <n v="34.787242935178718"/>
    <s v="Medio"/>
    <n v="28.328474636773443"/>
    <s v="Muy Alto"/>
    <n v="54575.990141000002"/>
    <n v="10445.970463"/>
    <n v="20073"/>
    <n v="2.718875611069596"/>
    <n v="0.52039906655706669"/>
    <m/>
    <m/>
    <m/>
    <m/>
    <m/>
    <m/>
    <m/>
    <n v="53"/>
    <n v="0"/>
    <n v="7"/>
    <n v="115552.52545"/>
    <n v="38271.822240000001"/>
    <n v="0.3312071466283994"/>
    <s v="31% - 50%"/>
    <n v="1.1134715809190793E-3"/>
    <n v="52489.599757000004"/>
    <n v="0.45424883231749397"/>
    <s v="31% - 50%"/>
    <n v="0.98697497927738098"/>
    <s v="Aceptable"/>
    <n v="3"/>
    <s v="Candidato"/>
    <n v="1"/>
    <s v="Zona de Fronteras"/>
  </r>
  <r>
    <n v="47660"/>
    <s v="47660"/>
    <x v="17"/>
    <x v="17"/>
    <s v="SABANAS DE SAN ÁNGEL"/>
    <n v="61.820466666666697"/>
    <n v="44.38"/>
    <n v="42.36"/>
    <n v="51.46"/>
    <n v="52.683284115816626"/>
    <n v="53.588514975204518"/>
    <n v="60.079852105829175"/>
    <n v="63.157600000000002"/>
    <n v="50.005116666666673"/>
    <n v="57.377312799212575"/>
    <n v="53.691214732939628"/>
    <n v="64.57757980787467"/>
    <n v="35.42242019212533"/>
    <n v="0.41880178172912796"/>
    <n v="0"/>
    <n v="22.485976393356321"/>
    <n v="4"/>
    <n v="4"/>
    <b v="1"/>
    <x v="5"/>
    <n v="54.495113012246655"/>
    <n v="0.42717908438025476"/>
    <n v="23.279172479770033"/>
    <n v="4"/>
    <n v="0"/>
    <n v="-0.80389827930702751"/>
    <n v="-8.3773026511267945E-3"/>
    <n v="-0.79319608641371175"/>
    <n v="4"/>
    <b v="1"/>
    <n v="0"/>
    <n v="0.6523467210059386"/>
    <n v="35.549708284387165"/>
    <n v="0.27406336587107022"/>
    <n v="4"/>
    <n v="0"/>
    <n v="27.40633658710702"/>
    <n v="4"/>
    <n v="-0.23354493927681064"/>
    <b v="1"/>
    <n v="0"/>
    <n v="4"/>
    <n v="0"/>
    <n v="0"/>
    <n v="0"/>
    <n v="0"/>
    <n v="0"/>
    <n v="0"/>
    <s v="Rural disperso"/>
    <n v="6"/>
    <s v="Fuera SC"/>
    <m/>
    <s v="No"/>
    <s v="No"/>
    <n v="69.400000000000006"/>
    <n v="58.873780878479394"/>
    <n v="0"/>
    <s v="Sin riesgo"/>
    <n v="0.25383937771605664"/>
    <s v="Medio Bajo"/>
    <n v="44731.809749"/>
    <n v="7449.6739440000001"/>
    <n v="16704"/>
    <n v="2.6779100663912834"/>
    <n v="0.44598143821839081"/>
    <m/>
    <m/>
    <m/>
    <m/>
    <m/>
    <m/>
    <m/>
    <n v="74"/>
    <n v="0"/>
    <n v="7"/>
    <n v="123752.338841"/>
    <n v="842.39312600000005"/>
    <n v="6.8070885276950372E-3"/>
    <s v="0% - 30%"/>
    <n v="2.4508391575414705E-5"/>
    <n v="2339.4753209999999"/>
    <n v="1.8904493789049227E-2"/>
    <s v="0% - 30%"/>
    <n v="0.87201513311512746"/>
    <s v="Aceptable"/>
    <n v="2"/>
    <s v="Candidato"/>
    <n v="0"/>
    <n v="0"/>
  </r>
  <r>
    <n v="5234"/>
    <s v="05234"/>
    <x v="1"/>
    <x v="1"/>
    <s v="DABEIBA"/>
    <n v="57.815899999999999"/>
    <n v="69.08"/>
    <n v="48.6"/>
    <n v="71.650000000000006"/>
    <n v="59.318023052662653"/>
    <n v="64.478991183227549"/>
    <n v="63.628220686715387"/>
    <n v="48.346699999999998"/>
    <n v="61.786475000000003"/>
    <n v="58.942983730651399"/>
    <n v="60.364729365325701"/>
    <n v="64.01371324464823"/>
    <n v="35.98628675535177"/>
    <n v="0.42387658079816593"/>
    <n v="0"/>
    <n v="25.587195084180898"/>
    <n v="4"/>
    <n v="4"/>
    <b v="1"/>
    <x v="5"/>
    <n v="59.321723799403998"/>
    <n v="0.42666778151719564"/>
    <n v="25.310668289267529"/>
    <n v="4"/>
    <n v="0"/>
    <n v="1.0430055659217032"/>
    <n v="-2.7912007190297183E-3"/>
    <n v="0.2765267949133694"/>
    <n v="4"/>
    <b v="1"/>
    <n v="0"/>
    <n v="0.6523467210059386"/>
    <n v="38.698332004961145"/>
    <n v="0.31344932965320693"/>
    <n v="4"/>
    <n v="0"/>
    <n v="31.344932965320695"/>
    <n v="4"/>
    <n v="-0.22847014020777268"/>
    <b v="1"/>
    <n v="0"/>
    <n v="4"/>
    <n v="0"/>
    <n v="0"/>
    <n v="0"/>
    <n v="0"/>
    <n v="1"/>
    <n v="1"/>
    <s v="Rural"/>
    <n v="6"/>
    <s v="Fuera SC"/>
    <m/>
    <s v="No"/>
    <s v="Si"/>
    <n v="60.5"/>
    <n v="47.261663286004058"/>
    <n v="54.542950459611177"/>
    <s v="Alto"/>
    <n v="27.189390102032856"/>
    <s v="Muy Alto"/>
    <n v="69418.715733999998"/>
    <n v="14717.257418749999"/>
    <n v="24651"/>
    <n v="2.8160608386678025"/>
    <n v="0.59702476243357261"/>
    <m/>
    <m/>
    <m/>
    <m/>
    <m/>
    <m/>
    <m/>
    <n v="99"/>
    <n v="0"/>
    <n v="6"/>
    <n v="195769.913031"/>
    <n v="61570.387276000001"/>
    <n v="0.31450382912644181"/>
    <s v="31% - 50%"/>
    <n v="1.7913146656067789E-3"/>
    <n v="79146.757532999996"/>
    <n v="0.40428458238354109"/>
    <s v="31% - 50%"/>
    <n v="0.94205890677000304"/>
    <s v="Aceptable"/>
    <n v="2"/>
    <s v="Candidato"/>
    <n v="0"/>
    <n v="0"/>
  </r>
  <r>
    <n v="27050"/>
    <s v="27050"/>
    <x v="26"/>
    <x v="26"/>
    <s v="ATRATO"/>
    <n v="80.556700000000006"/>
    <n v="66.81"/>
    <n v="33.24"/>
    <n v="48.65"/>
    <n v="62.182169179495375"/>
    <n v="48.124118977177012"/>
    <n v="56.509020221570495"/>
    <n v="52.073599999999999"/>
    <n v="57.314175000000006"/>
    <n v="54.722227094560722"/>
    <n v="56.018201047280364"/>
    <n v="64.640873055361695"/>
    <n v="35.359126944638305"/>
    <n v="0.41823214250174479"/>
    <n v="0"/>
    <n v="23.42861224309755"/>
    <n v="4"/>
    <n v="4"/>
    <b v="1"/>
    <x v="5"/>
    <n v="59.887311334170278"/>
    <n v="0.42647168073269037"/>
    <n v="25.540242319245497"/>
    <n v="4"/>
    <n v="0"/>
    <n v="-3.8691102868899137"/>
    <n v="-8.2395382309455867E-3"/>
    <n v="-2.1116300761479465"/>
    <n v="4"/>
    <b v="1"/>
    <n v="0"/>
    <n v="0.6523467210059386"/>
    <n v="39.067291178707762"/>
    <n v="0.3180646199971488"/>
    <n v="4"/>
    <n v="0"/>
    <n v="31.80646199971488"/>
    <n v="4"/>
    <n v="-0.23411457850419382"/>
    <b v="1"/>
    <n v="0"/>
    <n v="3"/>
    <n v="-1"/>
    <n v="0"/>
    <n v="0"/>
    <n v="0"/>
    <n v="0"/>
    <n v="0"/>
    <s v="Rural"/>
    <n v="6"/>
    <s v="Fuera SC"/>
    <m/>
    <s v="No"/>
    <s v="No"/>
    <n v="61.5"/>
    <n v="42.500910083727703"/>
    <n v="50.31"/>
    <s v="Alto"/>
    <n v="3.0787759685559184"/>
    <s v="Medio Bajo"/>
    <n v="24293.058142000002"/>
    <n v="6315.9028507499997"/>
    <n v="6409"/>
    <n v="3.7904600003120614"/>
    <n v="0.98547399762053356"/>
    <m/>
    <m/>
    <m/>
    <m/>
    <m/>
    <m/>
    <m/>
    <n v="51"/>
    <n v="0"/>
    <n v="7"/>
    <n v="42173.941593000003"/>
    <n v="17150.075288"/>
    <n v="0.40665099443412128"/>
    <s v="31% - 50%"/>
    <n v="4.9896034017037679E-4"/>
    <n v="41472.979101999998"/>
    <n v="0.98337925115549663"/>
    <s v="71% - 100%"/>
    <n v="0.89585012449714863"/>
    <s v="Aceptable"/>
    <n v="1"/>
    <s v="Candidato"/>
    <n v="0"/>
    <n v="0"/>
  </r>
  <r>
    <n v="86320"/>
    <s v="86320"/>
    <x v="22"/>
    <x v="22"/>
    <s v="ORITO"/>
    <n v="49.640999999999998"/>
    <n v="43.89"/>
    <n v="40.19"/>
    <n v="47.13"/>
    <n v="57.00183734685082"/>
    <n v="57.704431867374147"/>
    <n v="57.118303867240122"/>
    <n v="57.668799999999997"/>
    <n v="45.21275"/>
    <n v="57.37334327036627"/>
    <n v="51.293046635183131"/>
    <n v="64.687157959621587"/>
    <n v="35.312842040378413"/>
    <n v="0.41781557836340577"/>
    <n v="0"/>
    <n v="21.431033945900186"/>
    <n v="5"/>
    <n v="5"/>
    <b v="1"/>
    <x v="5"/>
    <n v="52.559293840644074"/>
    <n v="0.42597769813402964"/>
    <n v="22.389087005787644"/>
    <n v="4"/>
    <n v="0"/>
    <n v="-1.2662472054609424"/>
    <n v="-8.1621197706238657E-3"/>
    <n v="-0.95805305988745815"/>
    <n v="4"/>
    <b v="1"/>
    <n v="0"/>
    <n v="0.6523467210059386"/>
    <n v="34.286882995331787"/>
    <n v="0.25826675264831439"/>
    <n v="4"/>
    <n v="0"/>
    <n v="25.82667526483144"/>
    <n v="4"/>
    <n v="-0.23453114264253283"/>
    <b v="1"/>
    <n v="0"/>
    <n v="4"/>
    <n v="0"/>
    <n v="0"/>
    <n v="0"/>
    <n v="0"/>
    <n v="1"/>
    <n v="1"/>
    <s v="Rural"/>
    <n v="6"/>
    <s v="Fuera SC"/>
    <m/>
    <s v="No"/>
    <s v="No"/>
    <n v="39.799999999999997"/>
    <n v="22.742310991300087"/>
    <n v="29.884444444444448"/>
    <s v="Medio"/>
    <n v="41.872138218294573"/>
    <s v="Muy Alto"/>
    <n v="83668.366110000003"/>
    <n v="11566.704366"/>
    <n v="38938"/>
    <n v="2.1487586961323131"/>
    <n v="0.29705440356464125"/>
    <m/>
    <m/>
    <m/>
    <m/>
    <m/>
    <m/>
    <m/>
    <n v="11"/>
    <n v="0"/>
    <n v="6"/>
    <n v="194066.19583700001"/>
    <n v="13422.660217000001"/>
    <n v="6.9165369883758404E-2"/>
    <s v="0% - 30%"/>
    <n v="3.9051578464800637E-4"/>
    <n v="44789.425121"/>
    <n v="0.23079457464410502"/>
    <s v="0% - 30%"/>
    <n v="0.93856782539008687"/>
    <s v="Aceptable"/>
    <n v="1"/>
    <s v="Candidato"/>
    <n v="0"/>
    <n v="0"/>
  </r>
  <r>
    <n v="15774"/>
    <s v="15774"/>
    <x v="10"/>
    <x v="10"/>
    <s v="SUSACÓN"/>
    <n v="65.1542666666667"/>
    <n v="37.950000000000003"/>
    <n v="35.32"/>
    <n v="42.18"/>
    <n v="54.300590073338668"/>
    <n v="52.332854963103145"/>
    <n v="40.83762486663273"/>
    <n v="45.064100000000003"/>
    <n v="45.151066666666679"/>
    <n v="48.133792475768637"/>
    <n v="46.642429571217662"/>
    <n v="64.560989046852285"/>
    <n v="35.439010953147715"/>
    <n v="0.41895109857832946"/>
    <n v="0"/>
    <n v="19.540897109223998"/>
    <n v="5"/>
    <n v="5"/>
    <b v="1"/>
    <x v="6"/>
    <n v="48.914626012186552"/>
    <n v="0.42666108014981519"/>
    <n v="20.869967169483761"/>
    <n v="4"/>
    <n v="-1"/>
    <n v="-2.2721964409688908"/>
    <n v="-7.7099815714857245E-3"/>
    <n v="-1.3290700602597632"/>
    <n v="5"/>
    <b v="1"/>
    <s v="Efecto ponderador"/>
    <n v="0.6523467210059386"/>
    <n v="31.909295888281687"/>
    <n v="0.22852564415216176"/>
    <n v="4"/>
    <n v="-1"/>
    <n v="22.852564415216175"/>
    <n v="4"/>
    <n v="-0.23339562242760914"/>
    <b v="0"/>
    <s v="Cambio en corte"/>
    <n v="4"/>
    <n v="-1"/>
    <n v="0"/>
    <n v="0"/>
    <n v="0"/>
    <n v="0"/>
    <n v="0"/>
    <s v="Rural disperso"/>
    <n v="6"/>
    <s v="Fuera SC"/>
    <m/>
    <s v="No"/>
    <s v="No"/>
    <n v="37.1"/>
    <n v="14.990215264187867"/>
    <n v="31.954997966062297"/>
    <s v="Medio"/>
    <n v="0"/>
    <s v="Bajo"/>
    <n v="9121.1061659999996"/>
    <n v="2368.7908753500001"/>
    <n v="2795"/>
    <n v="3.2633653545617172"/>
    <n v="0.84751015218246872"/>
    <m/>
    <m/>
    <m/>
    <m/>
    <m/>
    <m/>
    <m/>
    <n v="82"/>
    <n v="0"/>
    <n v="7"/>
    <n v="18231.291118000001"/>
    <n v="10605.862496"/>
    <n v="0.58173951736905172"/>
    <s v="51% - 70%"/>
    <n v="3.085645205596955E-4"/>
    <s v="N.D."/>
    <s v="N.D."/>
    <s v="N.D."/>
    <n v="0.87834275802833928"/>
    <s v="Aceptable"/>
    <n v="1"/>
    <s v="Candidato"/>
    <n v="0"/>
    <n v="0"/>
  </r>
  <r>
    <n v="68773"/>
    <s v="68773"/>
    <x v="0"/>
    <x v="0"/>
    <s v="SUCRE"/>
    <n v="59.226766666666698"/>
    <n v="49.13"/>
    <n v="59.69"/>
    <n v="58.08"/>
    <n v="44.689972110330643"/>
    <n v="49.86029021725048"/>
    <n v="48.959954864631243"/>
    <n v="58.586399999999998"/>
    <n v="56.531691666666674"/>
    <n v="50.524154298053091"/>
    <n v="53.527922982359883"/>
    <n v="64.812163913548687"/>
    <n v="35.187836086451313"/>
    <n v="0.41669052477806179"/>
    <n v="0"/>
    <n v="22.304578317799212"/>
    <n v="4"/>
    <n v="4"/>
    <b v="1"/>
    <x v="5"/>
    <n v="53.065449942753204"/>
    <n v="0.42493271052529358"/>
    <n v="22.549245479418403"/>
    <n v="4"/>
    <n v="0"/>
    <n v="0.46247303960667807"/>
    <n v="-8.2421857472317894E-3"/>
    <n v="-0.24466716161919067"/>
    <n v="4"/>
    <b v="1"/>
    <n v="0"/>
    <n v="0.6523467210059386"/>
    <n v="34.617072268859822"/>
    <n v="0.26239707240784876"/>
    <n v="4"/>
    <n v="0"/>
    <n v="26.239707240784877"/>
    <n v="4"/>
    <n v="-0.23565619622787681"/>
    <b v="1"/>
    <n v="0"/>
    <n v="4"/>
    <n v="0"/>
    <n v="0"/>
    <n v="0"/>
    <n v="0"/>
    <n v="0"/>
    <n v="1"/>
    <s v="Rural disperso"/>
    <n v="6"/>
    <s v="Fuera SC"/>
    <m/>
    <s v="No"/>
    <s v="Si"/>
    <n v="47.1"/>
    <n v="15.319642265650877"/>
    <n v="52.406666666666666"/>
    <s v="Alto"/>
    <n v="2.4459795205584799E-2"/>
    <s v="Bajo"/>
    <n v="16374.063769"/>
    <n v="2772.8223760999999"/>
    <n v="7377"/>
    <n v="2.2196101083096109"/>
    <n v="0.37587398347566758"/>
    <m/>
    <m/>
    <m/>
    <m/>
    <m/>
    <m/>
    <m/>
    <n v="25"/>
    <n v="0"/>
    <n v="7"/>
    <n v="52184.692053999999"/>
    <n v="20555.068007000002"/>
    <n v="0.39389075987513544"/>
    <s v="31% - 50%"/>
    <n v="5.980244140487385E-4"/>
    <s v="N.D."/>
    <s v="N.D."/>
    <s v="N.D."/>
    <n v="0.96010327122868699"/>
    <s v="Aceptable"/>
    <n v="1"/>
    <s v="Candidato"/>
    <n v="0"/>
    <n v="0"/>
  </r>
  <r>
    <n v="50680"/>
    <s v="50680"/>
    <x v="16"/>
    <x v="16"/>
    <s v="SAN CARLOS DE GUAROA"/>
    <n v="67.522933333333299"/>
    <n v="74.97"/>
    <n v="47.87"/>
    <n v="65.22"/>
    <n v="59.70434176063003"/>
    <n v="55.642271280518287"/>
    <n v="61.848394800735278"/>
    <n v="51.068300000000001"/>
    <n v="63.895733333333325"/>
    <n v="57.065826960470893"/>
    <n v="60.480780146902106"/>
    <n v="64.728140119619638"/>
    <n v="35.271859880380362"/>
    <n v="0.41744673892342332"/>
    <n v="0"/>
    <n v="25.247504439868809"/>
    <n v="4"/>
    <n v="4"/>
    <b v="1"/>
    <x v="5"/>
    <n v="61.108735694219966"/>
    <n v="0.42412375254948809"/>
    <n v="25.91766629618742"/>
    <n v="4"/>
    <n v="0"/>
    <n v="-0.62795554731786041"/>
    <n v="-6.677013626064765E-3"/>
    <n v="-0.67016185631861092"/>
    <n v="4"/>
    <b v="1"/>
    <n v="0"/>
    <n v="0.6523467210059386"/>
    <n v="39.864083354942956"/>
    <n v="0.32803165022372927"/>
    <n v="4"/>
    <n v="0"/>
    <n v="32.803165022372923"/>
    <n v="4"/>
    <n v="-0.23489998208251528"/>
    <b v="1"/>
    <n v="0"/>
    <n v="4"/>
    <n v="0"/>
    <n v="0"/>
    <n v="0"/>
    <n v="0"/>
    <n v="0"/>
    <n v="0"/>
    <s v="Rural"/>
    <n v="6"/>
    <s v="Fuera SC"/>
    <m/>
    <s v="No"/>
    <s v="Si"/>
    <n v="31.9"/>
    <n v="16.291986247024596"/>
    <n v="11.167999999999999"/>
    <s v="Bajo"/>
    <n v="18.584179366821825"/>
    <s v="Alto"/>
    <n v="33051.789510000002"/>
    <n v="17395.003701000001"/>
    <n v="14424"/>
    <n v="2.2914440869384363"/>
    <n v="1.2059764074459236"/>
    <m/>
    <m/>
    <m/>
    <m/>
    <m/>
    <m/>
    <m/>
    <n v="88"/>
    <n v="0"/>
    <n v="7"/>
    <n v="80656.564887"/>
    <n v="532.061554"/>
    <n v="6.5966304757141495E-3"/>
    <s v="0% - 30%"/>
    <n v="1.5479676299798836E-5"/>
    <s v="N.D."/>
    <s v="N.D."/>
    <s v="N.D."/>
    <n v="0.93626596587198574"/>
    <s v="Aceptable"/>
    <n v="2"/>
    <s v="Candidato"/>
    <n v="0"/>
    <n v="0"/>
  </r>
  <r>
    <n v="52435"/>
    <s v="52435"/>
    <x v="18"/>
    <x v="18"/>
    <s v="MALLAMA"/>
    <n v="52.042833333333299"/>
    <n v="40.299999999999997"/>
    <n v="64.540000000000006"/>
    <n v="39.9"/>
    <n v="56.318703241549727"/>
    <n v="47.861319288889931"/>
    <n v="46.134800900254021"/>
    <n v="48.978000000000002"/>
    <n v="49.195708333333322"/>
    <n v="49.823205857673422"/>
    <n v="49.509457095503372"/>
    <n v="64.952043150566709"/>
    <n v="35.047956849433291"/>
    <n v="0.41543161164489961"/>
    <n v="0"/>
    <n v="20.567793552848975"/>
    <n v="5"/>
    <n v="5"/>
    <b v="1"/>
    <x v="6"/>
    <n v="50.839881247795162"/>
    <n v="0.42484819691750841"/>
    <n v="21.599231879626021"/>
    <n v="4"/>
    <n v="-1"/>
    <n v="-1.3304241522917906"/>
    <n v="-9.4165852726088017E-3"/>
    <n v="-1.0314383267770459"/>
    <n v="4"/>
    <b v="0"/>
    <s v="Cambio en corte"/>
    <n v="0.6523467210059386"/>
    <n v="33.165229828330482"/>
    <n v="0.24423605386301178"/>
    <n v="4"/>
    <n v="-1"/>
    <n v="24.42360538630118"/>
    <n v="4"/>
    <n v="-0.23691510936103899"/>
    <b v="0"/>
    <s v="Cambio en corte"/>
    <n v="5"/>
    <n v="0"/>
    <n v="0"/>
    <n v="0"/>
    <n v="0"/>
    <n v="0"/>
    <n v="1"/>
    <s v="Rural disperso"/>
    <n v="6"/>
    <s v="Fuera SC"/>
    <m/>
    <s v="No"/>
    <s v="Si"/>
    <n v="39"/>
    <n v="11.803813346713497"/>
    <n v="49.545270833333333"/>
    <s v="Alto"/>
    <n v="24.191467095926932"/>
    <s v="Muy Alto"/>
    <n v="17460.109374"/>
    <n v="2556.8079524999998"/>
    <n v="8934"/>
    <n v="1.9543440087306918"/>
    <n v="0.28618848807924779"/>
    <m/>
    <m/>
    <m/>
    <m/>
    <m/>
    <m/>
    <m/>
    <n v="70"/>
    <n v="0"/>
    <n v="7"/>
    <n v="56981.370401"/>
    <n v="54916.492846000001"/>
    <n v="0.96376223420973106"/>
    <s v="71% - 100%"/>
    <n v="1.5977277936836207E-3"/>
    <n v="1774.9933140000001"/>
    <n v="3.1150414626897945E-2"/>
    <s v="0% - 30%"/>
    <n v="0.97440184938515362"/>
    <s v="Aceptable"/>
    <n v="1"/>
    <s v="Candidato"/>
    <n v="0"/>
    <n v="0"/>
  </r>
  <r>
    <n v="68344"/>
    <s v="68344"/>
    <x v="0"/>
    <x v="0"/>
    <s v="HATO"/>
    <n v="60.661499999999997"/>
    <n v="45.79"/>
    <n v="56.51"/>
    <n v="49.86"/>
    <n v="52.878797353280731"/>
    <n v="64.294886231753722"/>
    <n v="54.852472505443643"/>
    <n v="52.500900000000001"/>
    <n v="53.205375000000004"/>
    <n v="56.131764022619521"/>
    <n v="54.668569511309762"/>
    <n v="63.677894296189031"/>
    <n v="36.322105703810969"/>
    <n v="0.42689895133429878"/>
    <n v="0"/>
    <n v="23.337954995324356"/>
    <n v="4"/>
    <n v="4"/>
    <b v="1"/>
    <x v="5"/>
    <n v="57.0090923630597"/>
    <n v="0.42748305784065155"/>
    <n v="24.370421128080896"/>
    <n v="4"/>
    <n v="0"/>
    <n v="-2.3405228517499381"/>
    <n v="-5.8410650635276617E-4"/>
    <n v="-1.0324661327565394"/>
    <n v="4"/>
    <b v="1"/>
    <n v="0"/>
    <n v="0.6523467210059386"/>
    <n v="37.189694470566693"/>
    <n v="0.2945778643517894"/>
    <n v="4"/>
    <n v="0"/>
    <n v="29.457786435178939"/>
    <n v="4"/>
    <n v="-0.22544776967163982"/>
    <b v="1"/>
    <n v="0"/>
    <n v="4"/>
    <n v="0"/>
    <n v="0"/>
    <n v="0"/>
    <n v="0"/>
    <n v="0"/>
    <n v="0"/>
    <s v="Rural"/>
    <n v="6"/>
    <s v="Fuera SC"/>
    <m/>
    <s v="No"/>
    <s v="No"/>
    <n v="46.9"/>
    <n v="19.90566037735849"/>
    <n v="11.186000000000002"/>
    <s v="Bajo"/>
    <n v="0"/>
    <s v="Bajo"/>
    <n v="10282.513916"/>
    <n v="3272.4063866500001"/>
    <n v="2618"/>
    <n v="3.9276218166539341"/>
    <n v="1.2499642424178763"/>
    <m/>
    <m/>
    <m/>
    <m/>
    <m/>
    <m/>
    <m/>
    <n v="45"/>
    <n v="0"/>
    <n v="7"/>
    <n v="16872.778997000001"/>
    <n v="16847.339362999999"/>
    <n v="0.9984922676931568"/>
    <s v="71% - 100%"/>
    <n v="4.9015261089903729E-4"/>
    <s v="N.D."/>
    <s v="N.D."/>
    <s v="N.D."/>
    <n v="0.94090315781574851"/>
    <s v="Aceptable"/>
    <n v="1"/>
    <s v="Candidato"/>
    <n v="0"/>
    <n v="0"/>
  </r>
  <r>
    <n v="25086"/>
    <s v="25086"/>
    <x v="5"/>
    <x v="5"/>
    <s v="BELTRÁN"/>
    <n v="59.0884"/>
    <n v="42.35"/>
    <n v="41.72"/>
    <n v="60.52"/>
    <n v="59.872895693245177"/>
    <n v="62.809122857092099"/>
    <n v="54.194402956093008"/>
    <n v="64.099599999999995"/>
    <n v="50.919600000000003"/>
    <n v="60.244005376607575"/>
    <n v="55.581802688303789"/>
    <n v="65.830623317309772"/>
    <n v="34.169376682690228"/>
    <n v="0.40752439014421205"/>
    <n v="0"/>
    <n v="22.650940243666927"/>
    <n v="4"/>
    <n v="4"/>
    <b v="1"/>
    <x v="5"/>
    <n v="54.711217471357237"/>
    <n v="0.4226757664194859"/>
    <n v="23.125105776449086"/>
    <n v="4"/>
    <n v="0"/>
    <n v="0.87058521694655155"/>
    <n v="-1.5151376275273853E-2"/>
    <n v="-0.474165532782159"/>
    <n v="4"/>
    <b v="1"/>
    <n v="0"/>
    <n v="0.6523467210059386"/>
    <n v="35.690683319682712"/>
    <n v="0.27582681496092326"/>
    <n v="4"/>
    <n v="0"/>
    <n v="27.582681496092327"/>
    <n v="4"/>
    <n v="-0.24482233086172656"/>
    <b v="1"/>
    <n v="0"/>
    <n v="4"/>
    <n v="0"/>
    <n v="0"/>
    <n v="0"/>
    <n v="0"/>
    <n v="0"/>
    <n v="0"/>
    <s v="Rural disperso"/>
    <n v="6"/>
    <s v="Fuera SC"/>
    <m/>
    <s v="No"/>
    <s v="No"/>
    <n v="38.299999999999997"/>
    <n v="9.5986038394415356"/>
    <n v="10.698700058357174"/>
    <s v="Bajo"/>
    <n v="0"/>
    <s v="Bajo"/>
    <n v="7965.6529780000001"/>
    <n v="2269.1892667500001"/>
    <n v="1805"/>
    <n v="4.4131041429362883"/>
    <n v="1.2571685688365652"/>
    <m/>
    <m/>
    <m/>
    <m/>
    <m/>
    <m/>
    <m/>
    <n v="52"/>
    <n v="0"/>
    <n v="7"/>
    <n v="17672.663670000002"/>
    <n v="16230.298607000001"/>
    <n v="0.91838439920924486"/>
    <s v="71% - 100%"/>
    <n v="4.722005692699157E-4"/>
    <s v="N.D."/>
    <s v="N.D."/>
    <s v="N.D."/>
    <n v="0.91101711629949789"/>
    <s v="Aceptable"/>
    <n v="3"/>
    <s v="Candidato"/>
    <n v="0"/>
    <n v="0"/>
  </r>
  <r>
    <n v="13042"/>
    <s v="13042"/>
    <x v="8"/>
    <x v="8"/>
    <s v="ARENAL"/>
    <n v="58.702566666666698"/>
    <n v="51.08"/>
    <n v="55.1"/>
    <n v="50.1"/>
    <n v="45.39951943899856"/>
    <n v="48.355781441102529"/>
    <n v="59.547923555344155"/>
    <n v="64.746399999999994"/>
    <n v="53.745641666666671"/>
    <n v="54.512406108861313"/>
    <n v="54.129023887763992"/>
    <n v="63.923525771641351"/>
    <n v="36.076474228358649"/>
    <n v="0.42468826805522786"/>
    <n v="0"/>
    <n v="22.987961406414545"/>
    <n v="4"/>
    <n v="4"/>
    <b v="1"/>
    <x v="5"/>
    <n v="53.75320020640109"/>
    <n v="0.42393927490798577"/>
    <n v="22.788092719485469"/>
    <n v="4"/>
    <n v="0"/>
    <n v="0.37582368136290256"/>
    <n v="7.4899314724208299E-4"/>
    <n v="0.19986868692907578"/>
    <n v="4"/>
    <b v="1"/>
    <n v="0"/>
    <n v="0.6523467210059386"/>
    <n v="35.065723898221492"/>
    <n v="0.26800923136776855"/>
    <n v="4"/>
    <n v="0"/>
    <n v="26.800923136776856"/>
    <n v="4"/>
    <n v="-0.22765845295071074"/>
    <b v="1"/>
    <n v="0"/>
    <n v="4"/>
    <n v="0"/>
    <n v="0"/>
    <n v="0"/>
    <n v="0"/>
    <n v="1"/>
    <n v="1"/>
    <s v="Rural"/>
    <n v="6"/>
    <s v="Fuera SC"/>
    <m/>
    <s v="No"/>
    <s v="Si"/>
    <n v="62"/>
    <n v="36.267261821732461"/>
    <n v="13.836000000000002"/>
    <s v="Bajo"/>
    <n v="77.350270082374806"/>
    <s v="Muy Alto"/>
    <n v="38311.006110000002"/>
    <n v="4038.0110407500001"/>
    <n v="8533"/>
    <n v="4.4897464092347361"/>
    <n v="0.47322290410758233"/>
    <m/>
    <m/>
    <m/>
    <m/>
    <m/>
    <m/>
    <m/>
    <n v="8"/>
    <n v="0"/>
    <n v="7"/>
    <n v="46136.296977999998"/>
    <n v="22830.322563999998"/>
    <n v="0.49484514491673642"/>
    <s v="31% - 50%"/>
    <n v="6.6422014605985495E-4"/>
    <s v="N.D."/>
    <s v="N.D."/>
    <s v="N.D."/>
    <n v="0.88028144070536207"/>
    <s v="Aceptable"/>
    <n v="2"/>
    <s v="Candidato"/>
    <n v="0"/>
    <n v="0"/>
  </r>
  <r>
    <n v="68296"/>
    <s v="68296"/>
    <x v="0"/>
    <x v="0"/>
    <s v="GALÁN"/>
    <n v="72.0315333333333"/>
    <n v="73.930000000000007"/>
    <n v="73.260000000000005"/>
    <n v="64.650000000000006"/>
    <n v="51.250779218060671"/>
    <n v="65.021950363295502"/>
    <n v="61.716770333719396"/>
    <n v="61.922199999999997"/>
    <n v="70.967883333333333"/>
    <n v="59.97792497876889"/>
    <n v="65.472904156051115"/>
    <n v="64.285896168533"/>
    <n v="35.714103831467"/>
    <n v="0.42142693448320301"/>
    <n v="0"/>
    <n v="27.592045290197184"/>
    <n v="4"/>
    <n v="4"/>
    <b v="1"/>
    <x v="5"/>
    <n v="65.380754350269569"/>
    <n v="0.42616448741922819"/>
    <n v="27.862955664765103"/>
    <n v="3"/>
    <n v="-1"/>
    <n v="9.2149805781545524E-2"/>
    <n v="-4.73755293602518E-3"/>
    <n v="-0.27091037456791867"/>
    <n v="4"/>
    <b v="1"/>
    <s v="Efecto ponderador"/>
    <n v="0.6523467210059386"/>
    <n v="42.650920717293111"/>
    <n v="0.36289204802325403"/>
    <n v="3"/>
    <n v="-1"/>
    <n v="36.289204802325401"/>
    <n v="4"/>
    <n v="-0.23091978652273559"/>
    <b v="1"/>
    <s v="Efecto ponderador"/>
    <n v="4"/>
    <n v="0"/>
    <n v="0"/>
    <n v="0"/>
    <n v="0"/>
    <n v="0"/>
    <n v="0"/>
    <s v="Rural"/>
    <n v="6"/>
    <s v="Fuera SC"/>
    <m/>
    <s v="No"/>
    <s v="No"/>
    <n v="41.9"/>
    <n v="17.704426106526633"/>
    <n v="4.9185714285714282"/>
    <s v="Sin riesgo"/>
    <n v="0"/>
    <s v="Bajo"/>
    <n v="15100.868353"/>
    <n v="3135.2367009"/>
    <n v="3063"/>
    <n v="4.9300908759386219"/>
    <n v="1.0235836437806072"/>
    <m/>
    <m/>
    <m/>
    <m/>
    <m/>
    <m/>
    <m/>
    <n v="45"/>
    <n v="0"/>
    <n v="7"/>
    <n v="20138.080288000001"/>
    <n v="20110.536695999999"/>
    <n v="0.9986322632740513"/>
    <s v="71% - 100%"/>
    <n v="5.8509132247752291E-4"/>
    <s v="N.D."/>
    <s v="N.D."/>
    <s v="N.D."/>
    <n v="0.93722747563240949"/>
    <s v="Aceptable"/>
    <n v="3"/>
    <s v="Candidato"/>
    <n v="0"/>
    <n v="0"/>
  </r>
  <r>
    <n v="25368"/>
    <s v="25368"/>
    <x v="5"/>
    <x v="5"/>
    <s v="JERUSALÉN"/>
    <n v="72.198866666666703"/>
    <n v="52.42"/>
    <n v="60.04"/>
    <n v="58.77"/>
    <n v="56.981738830517017"/>
    <n v="64.668631018837942"/>
    <n v="70.555520137851886"/>
    <n v="54.612200000000001"/>
    <n v="60.85721666666668"/>
    <n v="61.704522496801708"/>
    <n v="61.280869581734194"/>
    <n v="66.071411815059562"/>
    <n v="33.928588184940438"/>
    <n v="0.40535729366446394"/>
    <n v="0"/>
    <n v="24.840647447056742"/>
    <n v="4"/>
    <n v="4"/>
    <b v="1"/>
    <x v="5"/>
    <n v="63.742817348860882"/>
    <n v="0.42297367620595039"/>
    <n v="26.961533785772119"/>
    <n v="4"/>
    <n v="0"/>
    <n v="-2.4619477671266878"/>
    <n v="-1.7616382541486453E-2"/>
    <n v="-2.1208863387153762"/>
    <n v="4"/>
    <b v="1"/>
    <n v="0"/>
    <n v="0.6523467210059386"/>
    <n v="41.58241788520985"/>
    <n v="0.3495262039020422"/>
    <n v="4"/>
    <n v="0"/>
    <n v="34.952620390204217"/>
    <n v="4"/>
    <n v="-0.24698942734147467"/>
    <b v="1"/>
    <n v="0"/>
    <n v="4"/>
    <n v="0"/>
    <n v="0"/>
    <n v="0"/>
    <n v="0"/>
    <n v="0"/>
    <n v="0"/>
    <s v="Rural"/>
    <n v="6"/>
    <s v="Fuera SC"/>
    <m/>
    <s v="No"/>
    <s v="No"/>
    <n v="34.9"/>
    <n v="14.525691699604742"/>
    <n v="3.4155300358078136"/>
    <s v="Sin riesgo"/>
    <n v="0"/>
    <s v="Bajo"/>
    <n v="13833.355158"/>
    <n v="3496.1726920000001"/>
    <n v="2169"/>
    <n v="6.3777571037344396"/>
    <n v="1.6118822923005993"/>
    <m/>
    <m/>
    <m/>
    <m/>
    <m/>
    <m/>
    <m/>
    <n v="55"/>
    <n v="0"/>
    <n v="7"/>
    <n v="22167.275308"/>
    <n v="14104.871913999999"/>
    <n v="0.63629254015308134"/>
    <s v="51% - 70%"/>
    <n v="4.1036389462344814E-4"/>
    <s v="N.D."/>
    <s v="N.D."/>
    <s v="N.D."/>
    <n v="0.94102506958385956"/>
    <s v="Aceptable"/>
    <n v="1"/>
    <s v="Candidato"/>
    <n v="0"/>
    <n v="0"/>
  </r>
  <r>
    <n v="86569"/>
    <s v="86569"/>
    <x v="22"/>
    <x v="22"/>
    <s v="PUERTO CAICEDO"/>
    <n v="54.7490666666667"/>
    <n v="38.47"/>
    <n v="34.619999999999997"/>
    <n v="50.61"/>
    <n v="58.136011360600634"/>
    <n v="62.178000737232793"/>
    <n v="57.882121469961717"/>
    <n v="58.102600000000002"/>
    <n v="44.61226666666667"/>
    <n v="59.074683391948781"/>
    <n v="51.843475029307726"/>
    <n v="64.506498406849801"/>
    <n v="35.493501593150199"/>
    <n v="0.41944151433835186"/>
    <n v="0"/>
    <n v="21.745305674855363"/>
    <n v="5"/>
    <n v="5"/>
    <b v="1"/>
    <x v="5"/>
    <n v="52.619571760963282"/>
    <n v="0.42262734018050407"/>
    <n v="22.238469654773073"/>
    <n v="4"/>
    <n v="0"/>
    <n v="-0.77609673165555648"/>
    <n v="-3.1858258421522123E-3"/>
    <n v="-0.49316397991771055"/>
    <n v="4"/>
    <b v="1"/>
    <n v="0"/>
    <n v="0.6523467210059386"/>
    <n v="34.326205099001079"/>
    <n v="0.25875863071581301"/>
    <n v="4"/>
    <n v="0"/>
    <n v="25.8758630715813"/>
    <n v="4"/>
    <n v="-0.23290520666758674"/>
    <b v="1"/>
    <n v="0"/>
    <n v="4"/>
    <n v="0"/>
    <n v="0"/>
    <n v="0"/>
    <n v="0"/>
    <n v="1"/>
    <n v="1"/>
    <s v="Rural"/>
    <n v="6"/>
    <s v="Fuera SC"/>
    <m/>
    <s v="No"/>
    <s v="No"/>
    <n v="38.9"/>
    <n v="19.662515791373398"/>
    <n v="0"/>
    <s v="Sin riesgo"/>
    <n v="36.676485923564236"/>
    <s v="Muy Alto"/>
    <n v="67857.376120999994"/>
    <n v="5673.4453772500001"/>
    <n v="17329"/>
    <n v="3.9158275792601995"/>
    <n v="0.32739600538115299"/>
    <m/>
    <m/>
    <m/>
    <m/>
    <m/>
    <m/>
    <m/>
    <n v="11"/>
    <n v="0"/>
    <n v="7"/>
    <n v="92678.971416999993"/>
    <n v="2330.5010940000002"/>
    <n v="2.5145953373976689E-2"/>
    <s v="0% - 30%"/>
    <n v="6.7803062033395986E-5"/>
    <n v="5958.5554789999997"/>
    <n v="6.4292421332451569E-2"/>
    <s v="0% - 30%"/>
    <n v="0.89814529668452847"/>
    <s v="Aceptable"/>
    <n v="1"/>
    <s v="Candidato"/>
    <n v="0"/>
    <n v="0"/>
  </r>
  <r>
    <n v="5604"/>
    <s v="05604"/>
    <x v="1"/>
    <x v="1"/>
    <s v="REMEDIOS"/>
    <n v="60.937800000000003"/>
    <n v="65.33"/>
    <n v="46.05"/>
    <n v="58.35"/>
    <n v="56.27896923668942"/>
    <n v="56.800906130225229"/>
    <n v="47.994258586640264"/>
    <n v="68.103099999999998"/>
    <n v="57.666949999999993"/>
    <n v="57.294308488388722"/>
    <n v="57.480629244194361"/>
    <n v="62.951921760945105"/>
    <n v="37.048078239054895"/>
    <n v="0.43343270415149404"/>
    <n v="0"/>
    <n v="24.913984569640611"/>
    <n v="4"/>
    <n v="4"/>
    <b v="1"/>
    <x v="5"/>
    <n v="55.680963840360519"/>
    <n v="0.42425698267570588"/>
    <n v="23.623037711386438"/>
    <n v="4"/>
    <n v="0"/>
    <n v="1.799665403833842"/>
    <n v="9.1757214757881567E-3"/>
    <n v="1.2909468582541734"/>
    <n v="4"/>
    <b v="1"/>
    <n v="0"/>
    <n v="0.6523467210059386"/>
    <n v="36.323294183709422"/>
    <n v="0.28374011003519145"/>
    <n v="4"/>
    <n v="0"/>
    <n v="28.374011003519144"/>
    <n v="4"/>
    <n v="-0.21891401685444456"/>
    <b v="1"/>
    <n v="0"/>
    <n v="4"/>
    <n v="0"/>
    <n v="0"/>
    <n v="0"/>
    <n v="0"/>
    <n v="1"/>
    <n v="1"/>
    <s v="Rural"/>
    <n v="5"/>
    <s v="Fuera SC"/>
    <m/>
    <s v="No"/>
    <s v="Si"/>
    <n v="42.1"/>
    <n v="22.203472623118255"/>
    <n v="0"/>
    <s v="Sin riesgo"/>
    <n v="12.41326983102476"/>
    <s v="Alto"/>
    <n v="86796.619999000002"/>
    <n v="27513.840074"/>
    <n v="32457"/>
    <n v="2.6742034075546108"/>
    <n v="0.84770126857072436"/>
    <m/>
    <m/>
    <m/>
    <m/>
    <m/>
    <m/>
    <m/>
    <n v="72"/>
    <n v="0"/>
    <n v="7"/>
    <n v="196499.78461500001"/>
    <n v="4771.1643640000002"/>
    <n v="2.428076129115405E-2"/>
    <s v="0% - 30%"/>
    <n v="1.3881115704115617E-4"/>
    <n v="75.033018999999996"/>
    <n v="3.8184784348243135E-4"/>
    <n v="0"/>
    <n v="0.9476437528544952"/>
    <s v="Aceptable"/>
    <n v="2"/>
    <s v="Candidato"/>
    <n v="0"/>
    <n v="0"/>
  </r>
  <r>
    <n v="15244"/>
    <s v="15244"/>
    <x v="10"/>
    <x v="10"/>
    <s v="EL COCUY"/>
    <n v="69.820033333333299"/>
    <n v="57.92"/>
    <n v="57.02"/>
    <n v="47.56"/>
    <n v="54.779650042341508"/>
    <n v="54.617734450338006"/>
    <n v="60.271299237739804"/>
    <n v="50.432600000000001"/>
    <n v="58.080008333333325"/>
    <n v="55.025320932604835"/>
    <n v="56.552664632969083"/>
    <n v="64.963150291962037"/>
    <n v="35.036849708037963"/>
    <n v="0.41533164737234174"/>
    <n v="0"/>
    <n v="23.488111365306619"/>
    <n v="4"/>
    <n v="4"/>
    <b v="1"/>
    <x v="5"/>
    <n v="58.2263799896904"/>
    <n v="0.42258989256095303"/>
    <n v="24.605879664056491"/>
    <n v="4"/>
    <n v="0"/>
    <n v="-1.673715356721317"/>
    <n v="-7.2582451886112898E-3"/>
    <n v="-1.1177682987498727"/>
    <n v="4"/>
    <b v="1"/>
    <n v="0"/>
    <n v="0.6523467210059386"/>
    <n v="37.983788062320329"/>
    <n v="0.30451113813108183"/>
    <n v="4"/>
    <n v="0"/>
    <n v="30.451113813108183"/>
    <n v="4"/>
    <n v="-0.23701507363359686"/>
    <b v="1"/>
    <n v="0"/>
    <n v="4"/>
    <n v="0"/>
    <n v="0"/>
    <n v="0"/>
    <n v="0"/>
    <n v="0"/>
    <n v="0"/>
    <s v="Rural"/>
    <n v="6"/>
    <s v="Fuera SC"/>
    <m/>
    <s v="No"/>
    <s v="No"/>
    <n v="49.4"/>
    <n v="30.895748987854251"/>
    <n v="19.437170812603647"/>
    <s v="Medio"/>
    <n v="0"/>
    <s v="Bajo"/>
    <n v="15947.395140000001"/>
    <n v="4046.632153"/>
    <n v="4305"/>
    <n v="3.7043891149825785"/>
    <n v="0.93998423995354241"/>
    <m/>
    <m/>
    <m/>
    <m/>
    <m/>
    <m/>
    <m/>
    <n v="44"/>
    <n v="0"/>
    <n v="6"/>
    <n v="23778.957096999999"/>
    <n v="23324.441637"/>
    <n v="0.98088581184843715"/>
    <s v="71% - 100%"/>
    <n v="6.785959325569126E-4"/>
    <n v="0.11493299999999999"/>
    <n v="4.8333911168248912E-6"/>
    <n v="0"/>
    <n v="0.89963056851082635"/>
    <s v="Aceptable"/>
    <n v="1"/>
    <s v="Candidato"/>
    <n v="0"/>
    <n v="0"/>
  </r>
  <r>
    <n v="81065"/>
    <s v="81065"/>
    <x v="25"/>
    <x v="25"/>
    <s v="ARAUQUITA"/>
    <n v="59.450533333333297"/>
    <n v="62.72"/>
    <n v="65.31"/>
    <n v="64.25"/>
    <n v="70.62415942110546"/>
    <n v="63.114912485051377"/>
    <n v="68.450951674801146"/>
    <n v="68.263000000000005"/>
    <n v="62.932633333333328"/>
    <n v="67.61325589523949"/>
    <n v="65.272944614286416"/>
    <n v="65.952344985391974"/>
    <n v="34.047655014608026"/>
    <n v="0.40642889513147229"/>
    <n v="0"/>
    <n v="26.528810761562212"/>
    <n v="4"/>
    <n v="4"/>
    <b v="1"/>
    <x v="5"/>
    <n v="63.942847430169259"/>
    <n v="0.42217969321306392"/>
    <n v="26.995371711238612"/>
    <n v="4"/>
    <n v="0"/>
    <n v="1.3300971841171574"/>
    <n v="-1.5750798081591633E-2"/>
    <n v="-0.46656094967639916"/>
    <n v="4"/>
    <b v="1"/>
    <n v="0"/>
    <n v="0.6523467210059386"/>
    <n v="41.712906852853926"/>
    <n v="0.35115848333893251"/>
    <n v="4"/>
    <n v="0"/>
    <n v="35.115848333893254"/>
    <n v="4"/>
    <n v="-0.24591782587446631"/>
    <b v="1"/>
    <n v="0"/>
    <n v="4"/>
    <n v="0"/>
    <n v="0"/>
    <n v="1"/>
    <n v="0"/>
    <n v="1"/>
    <n v="1"/>
    <s v="Rural disperso"/>
    <n v="6"/>
    <s v="Fuera SC"/>
    <m/>
    <s v="No"/>
    <s v="No"/>
    <n v="49.2"/>
    <n v="41.56453017212511"/>
    <n v="19.958011350737795"/>
    <s v="Medio"/>
    <n v="28.08571096340166"/>
    <s v="Muy Alto"/>
    <n v="122799.555742"/>
    <n v="19971.755415599997"/>
    <n v="53319"/>
    <n v="2.3031106311446199"/>
    <n v="0.37457108002025541"/>
    <m/>
    <m/>
    <m/>
    <m/>
    <m/>
    <m/>
    <m/>
    <n v="53"/>
    <n v="0"/>
    <n v="7"/>
    <n v="301167.57936799998"/>
    <n v="11823.403074"/>
    <n v="3.9258551995574709E-2"/>
    <s v="0% - 30%"/>
    <n v="3.4398736569409509E-4"/>
    <n v="5715.898725"/>
    <n v="1.8979130280207486E-2"/>
    <s v="0% - 30%"/>
    <n v="0.95764907983930048"/>
    <s v="Aceptable"/>
    <n v="3"/>
    <s v="Candidato"/>
    <n v="1"/>
    <s v="Unidad Especial de Desarrollo Fronterizo"/>
  </r>
  <r>
    <n v="73236"/>
    <s v="73236"/>
    <x v="15"/>
    <x v="15"/>
    <s v="DOLORES"/>
    <n v="52.070300000000003"/>
    <n v="57.87"/>
    <n v="35.479999999999997"/>
    <n v="70.39"/>
    <n v="38.776492746243306"/>
    <n v="52.261787023324445"/>
    <n v="48.62654597897582"/>
    <n v="49.014099999999999"/>
    <n v="53.952574999999996"/>
    <n v="47.169731437135894"/>
    <n v="50.561153218567945"/>
    <n v="64.772190076894574"/>
    <n v="35.227809923105426"/>
    <n v="0.41705028930794885"/>
    <n v="0"/>
    <n v="21.086543577547292"/>
    <n v="5"/>
    <n v="5"/>
    <b v="1"/>
    <x v="5"/>
    <n v="47.42824135347378"/>
    <n v="0.42227646211356229"/>
    <n v="20.027829963013058"/>
    <n v="5"/>
    <n v="1"/>
    <n v="3.1329118650941652"/>
    <n v="-5.2261728056134382E-3"/>
    <n v="1.0587136145342342"/>
    <n v="4"/>
    <b v="1"/>
    <s v="Efecto ponderador"/>
    <n v="0.6523467210059386"/>
    <n v="30.939657730016879"/>
    <n v="0.21639649288722954"/>
    <n v="4"/>
    <n v="0"/>
    <n v="21.639649288722953"/>
    <n v="4"/>
    <n v="-0.23529643169798975"/>
    <b v="1"/>
    <n v="0"/>
    <n v="4"/>
    <n v="0"/>
    <n v="0"/>
    <n v="0"/>
    <n v="0"/>
    <n v="0"/>
    <n v="1"/>
    <s v="Rural"/>
    <n v="6"/>
    <s v="Fuera SC"/>
    <m/>
    <s v="No"/>
    <s v="No"/>
    <n v="32.799999999999997"/>
    <n v="17.956485816579455"/>
    <n v="57.366099290780141"/>
    <s v="Alto"/>
    <n v="1.5466909778063378"/>
    <s v="Medio Bajo"/>
    <n v="20485.974591999999"/>
    <n v="3533.9100173000002"/>
    <n v="8594"/>
    <n v="2.3837531524319293"/>
    <n v="0.41120665781940891"/>
    <m/>
    <m/>
    <m/>
    <m/>
    <m/>
    <m/>
    <m/>
    <n v="23"/>
    <n v="0"/>
    <n v="7"/>
    <n v="65144.951764999998"/>
    <n v="14906.722680999999"/>
    <n v="0.22882391155608833"/>
    <s v="0% - 30%"/>
    <n v="4.3369275614443185E-4"/>
    <n v="0.94856399999999996"/>
    <n v="1.4560821280853703E-5"/>
    <n v="0"/>
    <n v="0.90521502785223906"/>
    <s v="Aceptable"/>
    <n v="2"/>
    <s v="Candidato"/>
    <n v="0"/>
    <n v="0"/>
  </r>
  <r>
    <n v="13473"/>
    <s v="13473"/>
    <x v="8"/>
    <x v="8"/>
    <s v="MORALES"/>
    <n v="55.4080333333333"/>
    <n v="53.22"/>
    <n v="51.08"/>
    <n v="37.42"/>
    <n v="44.474857008506596"/>
    <n v="63.204888086508689"/>
    <n v="63.450996079262005"/>
    <n v="52.192500000000003"/>
    <n v="49.282008333333323"/>
    <n v="55.830810293569321"/>
    <n v="52.556409313451326"/>
    <n v="70.685171060198684"/>
    <n v="29.314828939801316"/>
    <n v="0.36383346045821185"/>
    <n v="0"/>
    <n v="19.12178026977119"/>
    <n v="5"/>
    <n v="5"/>
    <b v="1"/>
    <x v="6"/>
    <n v="51.571254218103363"/>
    <n v="0.4210446689078865"/>
    <n v="21.713801657425776"/>
    <n v="4"/>
    <n v="-1"/>
    <n v="0.98515509534796308"/>
    <n v="-5.7211208449674644E-2"/>
    <n v="-2.5920213876545866"/>
    <n v="5"/>
    <b v="1"/>
    <s v="Efecto ponderador"/>
    <n v="0.6523467210059386"/>
    <n v="33.64233858734341"/>
    <n v="0.25020418151822676"/>
    <n v="4"/>
    <n v="-1"/>
    <n v="25.020418151822675"/>
    <n v="4"/>
    <n v="-0.28851326054772675"/>
    <b v="0"/>
    <s v="Cambio en corte"/>
    <n v="4"/>
    <n v="-1"/>
    <n v="0"/>
    <n v="0"/>
    <n v="0"/>
    <n v="1"/>
    <n v="1"/>
    <s v="Rural"/>
    <n v="6"/>
    <s v="Fuera SC"/>
    <m/>
    <s v="No"/>
    <s v="Si"/>
    <n v="57.6"/>
    <n v="58.689367169932538"/>
    <n v="5.4499999999999993"/>
    <s v="Bajo"/>
    <n v="55.986300061078168"/>
    <s v="Muy Alto"/>
    <n v="64987.691332000002"/>
    <n v="18117.751907000002"/>
    <n v="25591"/>
    <n v="2.5394744766519479"/>
    <n v="0.70797358082919781"/>
    <m/>
    <m/>
    <m/>
    <m/>
    <m/>
    <m/>
    <m/>
    <n v="8"/>
    <n v="0"/>
    <n v="7"/>
    <n v="134574.855129"/>
    <n v="43576.243784999999"/>
    <n v="0.3238067300405334"/>
    <s v="31% - 50%"/>
    <n v="1.2677971995565776E-3"/>
    <s v="N.D."/>
    <s v="N.D."/>
    <s v="N.D."/>
    <n v="0.90935306301177365"/>
    <s v="Aceptable"/>
    <n v="1"/>
    <s v="Candidato"/>
    <n v="0"/>
    <n v="0"/>
  </r>
  <r>
    <n v="18205"/>
    <s v="18205"/>
    <x v="24"/>
    <x v="24"/>
    <s v="CURILLO"/>
    <n v="51.921066666666697"/>
    <n v="45.78"/>
    <n v="45.53"/>
    <n v="49.28"/>
    <n v="52.095826708246534"/>
    <n v="55.379872819088732"/>
    <n v="57.232725057777621"/>
    <n v="56.498800000000003"/>
    <n v="48.127766666666673"/>
    <n v="55.301806146278224"/>
    <n v="51.714786406472449"/>
    <n v="64.849774595630279"/>
    <n v="35.150225404369721"/>
    <n v="0.41635202863932752"/>
    <n v="0"/>
    <n v="21.531556230984322"/>
    <n v="5"/>
    <n v="5"/>
    <b v="1"/>
    <x v="5"/>
    <n v="48.727525169478319"/>
    <n v="0.42147117222919883"/>
    <n v="20.537247153007819"/>
    <n v="4"/>
    <n v="0"/>
    <n v="2.9872612369941294"/>
    <n v="-5.1191435898713111E-3"/>
    <n v="0.99430907797650292"/>
    <n v="4"/>
    <b v="1"/>
    <n v="0"/>
    <n v="0.6523467210059386"/>
    <n v="31.787241267043523"/>
    <n v="0.22699886949817027"/>
    <n v="4"/>
    <n v="0"/>
    <n v="22.699886949817028"/>
    <n v="4"/>
    <n v="-0.23599469236661108"/>
    <b v="1"/>
    <n v="0"/>
    <n v="4"/>
    <n v="0"/>
    <n v="0"/>
    <n v="0"/>
    <n v="0"/>
    <n v="1"/>
    <n v="1"/>
    <s v="Rural"/>
    <n v="6"/>
    <s v="Fuera SC"/>
    <m/>
    <s v="No"/>
    <s v="No"/>
    <n v="55.4"/>
    <n v="22.970592221168179"/>
    <n v="2.1233333333333331"/>
    <s v="Sin riesgo"/>
    <n v="13.919497757545651"/>
    <s v="Alto"/>
    <n v="21248.641315000001"/>
    <n v="4162.4482504999996"/>
    <n v="7783"/>
    <n v="2.7301350783759477"/>
    <n v="0.53481282930746499"/>
    <m/>
    <m/>
    <m/>
    <m/>
    <m/>
    <m/>
    <m/>
    <n v="81"/>
    <n v="0"/>
    <n v="7"/>
    <n v="39927.721913000001"/>
    <n v="1231.0133699999999"/>
    <n v="3.0831044472867768E-2"/>
    <s v="0% - 30%"/>
    <n v="3.5814819441595091E-5"/>
    <s v="N.D."/>
    <s v="N.D."/>
    <s v="N.D."/>
    <n v="0.94085439919235403"/>
    <s v="Aceptable"/>
    <n v="1"/>
    <s v="Candidato"/>
    <n v="0"/>
    <n v="0"/>
  </r>
  <r>
    <n v="13670"/>
    <s v="13670"/>
    <x v="8"/>
    <x v="8"/>
    <s v="SAN PABLO"/>
    <n v="39.8547333333333"/>
    <n v="56.76"/>
    <n v="37.83"/>
    <n v="69.260000000000005"/>
    <n v="47.491763301291812"/>
    <n v="55.105331131029175"/>
    <n v="50.91298136748275"/>
    <n v="54.783900000000003"/>
    <n v="50.926183333333327"/>
    <n v="52.07349394995093"/>
    <n v="51.499838641642128"/>
    <n v="64.988073962260771"/>
    <n v="35.011926037739229"/>
    <n v="0.41510733433965308"/>
    <n v="0"/>
    <n v="21.377960737454323"/>
    <n v="5"/>
    <n v="5"/>
    <b v="1"/>
    <x v="5"/>
    <n v="45.318760554167397"/>
    <n v="0.42119371336770706"/>
    <n v="19.087977043031731"/>
    <n v="5"/>
    <n v="1"/>
    <n v="6.1810780874747309"/>
    <n v="-6.0863790280539787E-3"/>
    <n v="2.2899836944225918"/>
    <n v="4"/>
    <b v="1"/>
    <s v="Efecto ponderador"/>
    <n v="0.6523467210059386"/>
    <n v="29.563544847564376"/>
    <n v="0.19918277128745526"/>
    <n v="4"/>
    <n v="0"/>
    <n v="19.918277128745526"/>
    <n v="4"/>
    <n v="-0.23723938666628552"/>
    <b v="1"/>
    <n v="0"/>
    <n v="5"/>
    <n v="1"/>
    <n v="0"/>
    <n v="0"/>
    <n v="0"/>
    <n v="1"/>
    <n v="1"/>
    <s v="Rural"/>
    <n v="6"/>
    <s v="Fuera SC"/>
    <m/>
    <s v="No"/>
    <s v="Si"/>
    <n v="54"/>
    <n v="39.074225122349105"/>
    <n v="1.7834482758620689"/>
    <s v="Sin riesgo"/>
    <n v="27.898789469236725"/>
    <s v="Muy Alto"/>
    <n v="68431.358261999994"/>
    <n v="7646.4186579999996"/>
    <n v="29026"/>
    <n v="2.3575883091710876"/>
    <n v="0.26343342720319712"/>
    <m/>
    <m/>
    <m/>
    <m/>
    <m/>
    <m/>
    <m/>
    <n v="95"/>
    <n v="0"/>
    <n v="7"/>
    <n v="201855.75007899999"/>
    <n v="22587.960031999999"/>
    <n v="0.11190149412716646"/>
    <s v="0% - 30%"/>
    <n v="6.5716890637836567E-4"/>
    <s v="N.D."/>
    <s v="N.D."/>
    <s v="N.D."/>
    <n v="0.93133177968902636"/>
    <s v="Aceptable"/>
    <n v="2"/>
    <s v="Candidato"/>
    <n v="0"/>
    <n v="0"/>
  </r>
  <r>
    <n v="15660"/>
    <s v="15660"/>
    <x v="10"/>
    <x v="10"/>
    <s v="SAN EDUARDO"/>
    <n v="66.467866666666694"/>
    <n v="59.8"/>
    <n v="35.64"/>
    <n v="71.97"/>
    <n v="56.383324960921442"/>
    <n v="58.731436462130347"/>
    <n v="58.796482430544344"/>
    <n v="61.386699999999998"/>
    <n v="58.469466666666669"/>
    <n v="58.824485963399034"/>
    <n v="58.646976315032852"/>
    <n v="65.512053174798467"/>
    <n v="34.487946825201533"/>
    <n v="0.41039152142681379"/>
    <n v="0"/>
    <n v="24.068221837008647"/>
    <n v="4"/>
    <n v="4"/>
    <b v="1"/>
    <x v="5"/>
    <n v="56.768027624056025"/>
    <n v="0.41904791182543344"/>
    <n v="23.788523434309198"/>
    <n v="4"/>
    <n v="0"/>
    <n v="1.8789486909768272"/>
    <n v="-8.6563903986196511E-3"/>
    <n v="0.27969840269944868"/>
    <n v="4"/>
    <b v="1"/>
    <n v="0"/>
    <n v="0.6523467210059386"/>
    <n v="37.032436678527489"/>
    <n v="0.29261073513871666"/>
    <n v="4"/>
    <n v="0"/>
    <n v="29.261073513871665"/>
    <n v="4"/>
    <n v="-0.24195519957912481"/>
    <b v="1"/>
    <n v="0"/>
    <n v="4"/>
    <n v="0"/>
    <n v="0"/>
    <n v="0"/>
    <n v="0"/>
    <n v="0"/>
    <n v="0"/>
    <s v="Rural"/>
    <n v="6"/>
    <s v="Fuera SC"/>
    <m/>
    <s v="No"/>
    <s v="No"/>
    <n v="35.9"/>
    <n v="12.066752246469832"/>
    <n v="41.727645727221272"/>
    <s v="Alto"/>
    <n v="0"/>
    <s v="Bajo"/>
    <n v="8081.6222209999996"/>
    <n v="1827.6760770000001"/>
    <n v="1672"/>
    <n v="4.8335061130382773"/>
    <n v="1.0931077015550239"/>
    <m/>
    <m/>
    <m/>
    <m/>
    <m/>
    <m/>
    <m/>
    <n v="17"/>
    <n v="0"/>
    <n v="7"/>
    <n v="10925.946072000001"/>
    <n v="187.97044700000001"/>
    <n v="1.7204043088013512E-2"/>
    <s v="0% - 30%"/>
    <n v="5.4687688888877954E-6"/>
    <s v="N.D."/>
    <s v="N.D."/>
    <s v="N.D."/>
    <n v="0.92371552662770373"/>
    <s v="Aceptable"/>
    <n v="3"/>
    <s v="Candidato"/>
    <n v="0"/>
    <n v="0"/>
  </r>
  <r>
    <n v="18247"/>
    <s v="18247"/>
    <x v="24"/>
    <x v="24"/>
    <s v="EL DONCELLO"/>
    <n v="51.9099"/>
    <n v="47.77"/>
    <n v="43.3"/>
    <n v="65.709999999999994"/>
    <n v="58.085295616194969"/>
    <n v="54.266419983014615"/>
    <n v="50.202949555142453"/>
    <n v="50.368400000000001"/>
    <n v="52.172474999999991"/>
    <n v="53.230766288588015"/>
    <n v="52.701620644294003"/>
    <n v="64.847647793847713"/>
    <n v="35.152352206152287"/>
    <n v="0.41637116985537059"/>
    <n v="0"/>
    <n v="21.943435440938643"/>
    <n v="4"/>
    <n v="4"/>
    <b v="1"/>
    <x v="5"/>
    <n v="51.718975036828027"/>
    <n v="0.41991840354427212"/>
    <n v="21.717749430410887"/>
    <n v="4"/>
    <n v="0"/>
    <n v="0.98264560746597596"/>
    <n v="-3.5472336889015299E-3"/>
    <n v="0.22568601052775605"/>
    <n v="4"/>
    <b v="1"/>
    <n v="0"/>
    <n v="0.6523467210059386"/>
    <n v="33.738703779062753"/>
    <n v="0.25140960848814897"/>
    <n v="4"/>
    <n v="0"/>
    <n v="25.140960848814899"/>
    <n v="4"/>
    <n v="-0.23597555115056801"/>
    <b v="1"/>
    <n v="0"/>
    <n v="4"/>
    <n v="0"/>
    <n v="0"/>
    <n v="0"/>
    <n v="0"/>
    <n v="1"/>
    <n v="1"/>
    <s v="Rural"/>
    <n v="6"/>
    <s v="Fuera SC"/>
    <m/>
    <s v="No"/>
    <s v="No"/>
    <n v="44.3"/>
    <n v="20.413157295697701"/>
    <n v="4.3000000000000007"/>
    <s v="Sin riesgo"/>
    <n v="7.8757591438823011"/>
    <s v="Medio"/>
    <n v="41070.463752000003"/>
    <n v="7949.3321162499997"/>
    <n v="19817"/>
    <n v="2.0724864385123887"/>
    <n v="0.40113700944895797"/>
    <m/>
    <m/>
    <m/>
    <m/>
    <m/>
    <m/>
    <m/>
    <n v="3"/>
    <n v="0"/>
    <n v="7"/>
    <n v="110549.811277"/>
    <n v="35071.922832999997"/>
    <n v="0.31724995662924976"/>
    <s v="31% - 50%"/>
    <n v="1.0203744446199241E-3"/>
    <s v="N.D."/>
    <s v="N.D."/>
    <s v="N.D."/>
    <n v="0.92465885551637905"/>
    <s v="Aceptable"/>
    <n v="2"/>
    <s v="Candidato"/>
    <n v="0"/>
    <n v="0"/>
  </r>
  <r>
    <n v="73555"/>
    <s v="73555"/>
    <x v="15"/>
    <x v="15"/>
    <s v="PLANADAS"/>
    <n v="53.003233333333299"/>
    <n v="39.28"/>
    <n v="38.94"/>
    <n v="57.38"/>
    <n v="51.601979322626107"/>
    <n v="54.54994278619489"/>
    <n v="52.941254820274466"/>
    <n v="55.182099999999998"/>
    <n v="47.150808333333323"/>
    <n v="53.568819232273867"/>
    <n v="50.359813782803599"/>
    <n v="65.22085376950352"/>
    <n v="34.77914623049648"/>
    <n v="0.41301231607446831"/>
    <n v="0"/>
    <n v="20.799223327514646"/>
    <n v="5"/>
    <n v="5"/>
    <b v="1"/>
    <x v="6"/>
    <n v="49.635088805598272"/>
    <n v="0.4187017146373011"/>
    <n v="20.782296789078707"/>
    <n v="4"/>
    <n v="-1"/>
    <n v="0.72472497720532658"/>
    <n v="-5.6893985628327925E-3"/>
    <n v="1.6926538435939165E-2"/>
    <n v="4"/>
    <b v="0"/>
    <s v="Cambio en corte"/>
    <n v="0.6523467210059386"/>
    <n v="32.379287429170603"/>
    <n v="0.23440474291090041"/>
    <n v="4"/>
    <n v="-1"/>
    <n v="23.440474291090041"/>
    <n v="4"/>
    <n v="-0.23933440493147029"/>
    <b v="0"/>
    <s v="Cambio en corte"/>
    <n v="4"/>
    <n v="-1"/>
    <n v="0"/>
    <n v="0"/>
    <n v="0"/>
    <n v="1"/>
    <n v="1"/>
    <s v="Rural disperso"/>
    <n v="6"/>
    <s v="Fuera SC"/>
    <m/>
    <s v="No"/>
    <s v="Si"/>
    <n v="55.4"/>
    <n v="30.460865925684789"/>
    <n v="30.767777777777773"/>
    <s v="Medio"/>
    <n v="6.1150707307106558"/>
    <s v="Medio"/>
    <n v="62349.915947000001"/>
    <n v="9289.3178532500006"/>
    <n v="27075"/>
    <n v="2.3028593147553096"/>
    <n v="0.34309576558633426"/>
    <m/>
    <m/>
    <m/>
    <m/>
    <m/>
    <m/>
    <m/>
    <n v="15"/>
    <n v="0"/>
    <n v="7"/>
    <n v="175393.489443"/>
    <n v="92647.408871000007"/>
    <n v="0.52822604285496522"/>
    <s v="51% - 70%"/>
    <n v="2.6954623737730004E-3"/>
    <n v="4907.7625829999997"/>
    <n v="2.7981441036298797E-2"/>
    <s v="0% - 30%"/>
    <n v="0.93043475912620632"/>
    <s v="Aceptable"/>
    <n v="1"/>
    <s v="Candidato"/>
    <n v="0"/>
    <n v="0"/>
  </r>
  <r>
    <n v="25120"/>
    <s v="25120"/>
    <x v="5"/>
    <x v="5"/>
    <s v="CABRERA"/>
    <n v="80.168866666666702"/>
    <n v="61.53"/>
    <n v="59.93"/>
    <n v="54.9"/>
    <n v="50.180911693847833"/>
    <n v="42.570821453830497"/>
    <n v="61.700949308297659"/>
    <n v="47.762900000000002"/>
    <n v="64.132216666666679"/>
    <n v="50.553895613993994"/>
    <n v="57.343056140330333"/>
    <n v="66.126487987699022"/>
    <n v="33.873512012300978"/>
    <n v="0.40486160811070881"/>
    <n v="0"/>
    <n v="23.216001922956796"/>
    <n v="4"/>
    <n v="4"/>
    <b v="1"/>
    <x v="5"/>
    <n v="60.204110491993355"/>
    <n v="0.41825652404026947"/>
    <n v="25.180761987317457"/>
    <n v="4"/>
    <n v="0"/>
    <n v="-2.8610543516630216"/>
    <n v="-1.3394915929560658E-2"/>
    <n v="-1.9647600643606609"/>
    <n v="4"/>
    <b v="1"/>
    <n v="0"/>
    <n v="0.6523467210059386"/>
    <n v="39.27395407053109"/>
    <n v="0.32064975493063691"/>
    <n v="4"/>
    <n v="0"/>
    <n v="32.064975493063692"/>
    <n v="4"/>
    <n v="-0.24748511289522979"/>
    <b v="1"/>
    <n v="0"/>
    <n v="3"/>
    <n v="-1"/>
    <n v="0"/>
    <n v="0"/>
    <n v="0"/>
    <n v="0"/>
    <n v="1"/>
    <s v="Rural"/>
    <n v="6"/>
    <s v="Fuera SC"/>
    <m/>
    <s v="No"/>
    <s v="No"/>
    <n v="39.5"/>
    <n v="10.304449648711945"/>
    <n v="15.465136785253023"/>
    <s v="Medio"/>
    <n v="1.140624599606912"/>
    <s v="Medio Bajo"/>
    <n v="11984.202249"/>
    <n v="2637.110248"/>
    <n v="4887"/>
    <n v="2.4522615610804173"/>
    <n v="0.53961740290566806"/>
    <m/>
    <m/>
    <m/>
    <m/>
    <m/>
    <m/>
    <m/>
    <n v="78"/>
    <n v="0"/>
    <n v="7"/>
    <n v="42141.640169999999"/>
    <n v="19691.255607999999"/>
    <n v="0.46726362639340052"/>
    <s v="31% - 50%"/>
    <n v="5.7289285507826511E-4"/>
    <s v="N.D."/>
    <s v="N.D."/>
    <s v="N.D."/>
    <n v="0.9231703638368558"/>
    <s v="Aceptable"/>
    <n v="1"/>
    <s v="Candidato"/>
    <n v="0"/>
    <n v="0"/>
  </r>
  <r>
    <n v="27160"/>
    <s v="27160"/>
    <x v="26"/>
    <x v="26"/>
    <s v="CÉRTEGUI"/>
    <n v="65.583500000000001"/>
    <n v="82.06"/>
    <n v="81.25"/>
    <n v="76.260000000000005"/>
    <n v="40.808384398088727"/>
    <n v="62.302042078381334"/>
    <n v="48.411848724110413"/>
    <n v="56.103400000000001"/>
    <n v="76.288375000000002"/>
    <n v="51.906418800145111"/>
    <n v="64.097396900072553"/>
    <n v="65.298289356650344"/>
    <n v="34.701710643349656"/>
    <n v="0.41231539579014698"/>
    <n v="0"/>
    <n v="26.428343571971556"/>
    <n v="4"/>
    <n v="4"/>
    <b v="1"/>
    <x v="5"/>
    <n v="62.996759532205267"/>
    <n v="0.41839059463355965"/>
    <n v="26.357251680666728"/>
    <n v="4"/>
    <n v="0"/>
    <n v="1.1006373678672858"/>
    <n v="-6.0751988434126769E-3"/>
    <n v="7.1091891304828181E-2"/>
    <n v="4"/>
    <b v="1"/>
    <n v="0"/>
    <n v="0.6523467210059386"/>
    <n v="41.095729514833714"/>
    <n v="0.34343824540653572"/>
    <n v="4"/>
    <n v="0"/>
    <n v="34.343824540653571"/>
    <n v="4"/>
    <n v="-0.24003132521579162"/>
    <b v="1"/>
    <n v="0"/>
    <n v="4"/>
    <n v="0"/>
    <n v="0"/>
    <n v="0"/>
    <n v="0"/>
    <n v="0"/>
    <n v="0"/>
    <s v="Rural"/>
    <n v="6"/>
    <s v="Fuera SC"/>
    <m/>
    <s v="No"/>
    <s v="No"/>
    <n v="55.9"/>
    <n v="51.740337390561606"/>
    <n v="89.94"/>
    <s v="Inviable sanitariamente"/>
    <n v="17.176300410725364"/>
    <s v="Alto"/>
    <n v="18447.294814000001"/>
    <n v="6037.9767899999997"/>
    <n v="5986"/>
    <n v="3.0817398620113599"/>
    <n v="1.0086830588038758"/>
    <m/>
    <m/>
    <m/>
    <m/>
    <m/>
    <m/>
    <m/>
    <n v="27"/>
    <n v="0"/>
    <n v="7"/>
    <n v="42351.400064000001"/>
    <n v="174.131564"/>
    <n v="4.111589315509246E-3"/>
    <s v="0% - 30%"/>
    <n v="5.0661436144617665E-6"/>
    <n v="42146.862672000003"/>
    <n v="0.99517046917714858"/>
    <s v="71% - 100%"/>
    <n v="0.9278673560588595"/>
    <s v="Aceptable"/>
    <n v="2"/>
    <s v="Candidato"/>
    <n v="0"/>
    <n v="0"/>
  </r>
  <r>
    <n v="68705"/>
    <s v="68705"/>
    <x v="0"/>
    <x v="0"/>
    <s v="SANTA BÁRBARA"/>
    <n v="67.148166666666697"/>
    <n v="66.81"/>
    <n v="75.209999999999994"/>
    <n v="63.17"/>
    <n v="64.261418614546471"/>
    <n v="64.737322300412572"/>
    <n v="71.22210121576623"/>
    <n v="48.778199999999998"/>
    <n v="68.084541666666681"/>
    <n v="62.249760532681321"/>
    <n v="65.167151099674001"/>
    <n v="63.221952663402959"/>
    <n v="36.778047336597041"/>
    <n v="0.43100242602937344"/>
    <n v="0"/>
    <n v="28.087200221382247"/>
    <n v="4"/>
    <n v="4"/>
    <b v="1"/>
    <x v="5"/>
    <n v="66.015639648402299"/>
    <n v="0.41795385228209481"/>
    <n v="27.591490901916334"/>
    <n v="4"/>
    <n v="0"/>
    <n v="-0.84848854872829804"/>
    <n v="1.3048573747278636E-2"/>
    <n v="0.49570931946591301"/>
    <n v="3"/>
    <b v="0"/>
    <n v="0"/>
    <n v="0.6523467210059386"/>
    <n v="43.065086059744871"/>
    <n v="0.36807281988590379"/>
    <n v="3"/>
    <n v="-1"/>
    <n v="36.807281988590375"/>
    <n v="4"/>
    <n v="-0.22134429497656516"/>
    <b v="1"/>
    <s v="Efecto ponderador"/>
    <n v="4"/>
    <n v="0"/>
    <n v="0"/>
    <n v="0"/>
    <n v="0"/>
    <n v="0"/>
    <n v="0"/>
    <s v="Rural disperso"/>
    <n v="6"/>
    <s v="Fuera SC"/>
    <m/>
    <s v="No"/>
    <s v="No"/>
    <n v="53.8"/>
    <n v="16.748548459133541"/>
    <n v="0"/>
    <s v="Sin riesgo"/>
    <n v="0"/>
    <s v="Bajo"/>
    <n v="9461.1126989999993"/>
    <n v="2496.3289116999999"/>
    <n v="2624"/>
    <n v="3.6056069737042682"/>
    <n v="0.95134485964176829"/>
    <m/>
    <m/>
    <m/>
    <m/>
    <m/>
    <m/>
    <m/>
    <n v="39"/>
    <n v="0"/>
    <n v="7"/>
    <n v="17827.661854000002"/>
    <n v="3931.182499"/>
    <n v="0.22051026832315415"/>
    <s v="0% - 30%"/>
    <n v="1.1437291813787821E-4"/>
    <s v="N.D."/>
    <s v="N.D."/>
    <s v="N.D."/>
    <n v="0.90857473458443927"/>
    <s v="Aceptable"/>
    <n v="2"/>
    <s v="Candidato"/>
    <n v="0"/>
    <n v="0"/>
  </r>
  <r>
    <n v="25885"/>
    <s v="25885"/>
    <x v="5"/>
    <x v="5"/>
    <s v="YACOPÍ"/>
    <n v="54.462333333333298"/>
    <n v="85.43"/>
    <n v="83.73"/>
    <n v="92.02"/>
    <n v="66.853306664837149"/>
    <n v="58.285438743215195"/>
    <n v="61.994305238778679"/>
    <n v="53.269199999999998"/>
    <n v="78.910583333333321"/>
    <n v="60.100562661707755"/>
    <n v="69.505572997520545"/>
    <n v="67.196240578996154"/>
    <n v="32.803759421003846"/>
    <n v="0.39523383478903462"/>
    <n v="0"/>
    <n v="27.470954155019221"/>
    <n v="4"/>
    <n v="4"/>
    <b v="1"/>
    <x v="5"/>
    <n v="65.478125392897283"/>
    <n v="0.41645256891740878"/>
    <n v="27.268533527768291"/>
    <n v="4"/>
    <n v="0"/>
    <n v="4.0274476046232621"/>
    <n v="-2.1218734128374162E-2"/>
    <n v="0.20242062725093035"/>
    <n v="4"/>
    <b v="1"/>
    <n v="0"/>
    <n v="0.6523467210059386"/>
    <n v="42.714440397672227"/>
    <n v="0.36368661226874244"/>
    <n v="3"/>
    <n v="-1"/>
    <n v="36.368661226874245"/>
    <n v="4"/>
    <n v="-0.25711288621690398"/>
    <b v="1"/>
    <s v="Efecto ponderador"/>
    <n v="4"/>
    <n v="0"/>
    <n v="0"/>
    <n v="0"/>
    <n v="0"/>
    <n v="0"/>
    <n v="0"/>
    <s v="Rural"/>
    <n v="6"/>
    <s v="Fuera SC"/>
    <m/>
    <s v="No"/>
    <s v="No"/>
    <n v="55.5"/>
    <n v="40.6172499311105"/>
    <n v="47.776071622629445"/>
    <s v="Alto"/>
    <n v="0.67404327837479916"/>
    <s v="Medio Bajo"/>
    <n v="33958.004713000002"/>
    <n v="6082.6541374999997"/>
    <n v="11191"/>
    <n v="3.0344030661245647"/>
    <n v="0.54353088530962379"/>
    <m/>
    <m/>
    <m/>
    <m/>
    <m/>
    <m/>
    <m/>
    <n v="33"/>
    <n v="0"/>
    <n v="7"/>
    <n v="95576.564425000004"/>
    <n v="38239.815580000002"/>
    <n v="0.40009615129038473"/>
    <s v="31% - 50%"/>
    <n v="1.1125403865252861E-3"/>
    <s v="N.D."/>
    <s v="N.D."/>
    <s v="N.D."/>
    <n v="0.90701381818316418"/>
    <s v="Aceptable"/>
    <n v="2"/>
    <s v="Candidato"/>
    <n v="0"/>
    <n v="0"/>
  </r>
  <r>
    <n v="50251"/>
    <s v="50251"/>
    <x v="16"/>
    <x v="16"/>
    <s v="EL CASTILLO"/>
    <n v="70.7417333333333"/>
    <n v="48.15"/>
    <n v="51.34"/>
    <n v="62.88"/>
    <n v="48.237863431638608"/>
    <n v="51.417086235862094"/>
    <n v="61.894586409263873"/>
    <n v="53.830199999999998"/>
    <n v="58.277933333333323"/>
    <n v="53.844934019191143"/>
    <n v="56.061433676262233"/>
    <n v="66.098047223455282"/>
    <n v="33.901952776544718"/>
    <n v="0.40511757498890244"/>
    <n v="0"/>
    <n v="22.711472061328546"/>
    <n v="4"/>
    <n v="4"/>
    <b v="1"/>
    <x v="5"/>
    <n v="57.057542343935431"/>
    <n v="0.41592832928891665"/>
    <n v="23.731848260444682"/>
    <n v="4"/>
    <n v="0"/>
    <n v="-0.99610866767319806"/>
    <n v="-1.0810754300014214E-2"/>
    <n v="-1.0203761991161358"/>
    <n v="4"/>
    <b v="1"/>
    <n v="0"/>
    <n v="0.6523467210059386"/>
    <n v="37.221300656723777"/>
    <n v="0.29497322442455398"/>
    <n v="4"/>
    <n v="0"/>
    <n v="29.497322442455399"/>
    <n v="4"/>
    <n v="-0.24722914601703616"/>
    <b v="1"/>
    <n v="0"/>
    <n v="4"/>
    <n v="0"/>
    <n v="0"/>
    <n v="0"/>
    <n v="0"/>
    <n v="0"/>
    <n v="1"/>
    <s v="Rural"/>
    <n v="6"/>
    <s v="Fuera SC"/>
    <m/>
    <s v="No"/>
    <s v="No"/>
    <n v="42.2"/>
    <n v="26.540741762029505"/>
    <n v="4.2376064627813044"/>
    <s v="Sin riesgo"/>
    <n v="2.2705157946750423"/>
    <s v="Medio Bajo"/>
    <n v="26314.056531999999"/>
    <n v="5873.3442880000002"/>
    <n v="8473"/>
    <n v="3.1056363191313583"/>
    <n v="0.69318355812581145"/>
    <m/>
    <m/>
    <m/>
    <m/>
    <m/>
    <m/>
    <m/>
    <n v="63"/>
    <n v="0"/>
    <n v="7"/>
    <n v="56743.971314000002"/>
    <n v="12006.791418999999"/>
    <n v="0.2115958954046217"/>
    <s v="0% - 30%"/>
    <n v="3.4932282396281226E-4"/>
    <s v="N.D."/>
    <s v="N.D."/>
    <s v="N.D."/>
    <n v="0.97406512166299497"/>
    <s v="Aceptable"/>
    <n v="2"/>
    <s v="Candidato"/>
    <n v="0"/>
    <n v="0"/>
  </r>
  <r>
    <n v="5040"/>
    <s v="05040"/>
    <x v="1"/>
    <x v="1"/>
    <s v="ANORÍ"/>
    <n v="65.896600000000007"/>
    <n v="72.97"/>
    <n v="51.39"/>
    <n v="57.71"/>
    <n v="60.874753917062023"/>
    <n v="62.238053962954012"/>
    <n v="54.663181716474476"/>
    <n v="49.569000000000003"/>
    <n v="61.99165"/>
    <n v="56.836247399122627"/>
    <n v="59.413948699561317"/>
    <n v="64.576971415060726"/>
    <n v="35.423028584939274"/>
    <n v="0.41880725726445345"/>
    <n v="0"/>
    <n v="24.882992898114217"/>
    <n v="4"/>
    <n v="4"/>
    <b v="1"/>
    <x v="5"/>
    <n v="61.269319978022423"/>
    <n v="0.41846410177238491"/>
    <n v="25.639010950807993"/>
    <n v="4"/>
    <n v="0"/>
    <n v="-1.8553712784611065"/>
    <n v="3.4315549206853646E-4"/>
    <n v="-0.75601805269377564"/>
    <n v="4"/>
    <b v="1"/>
    <n v="0"/>
    <n v="0.6523467210059386"/>
    <n v="39.968839985926572"/>
    <n v="0.3293420452534368"/>
    <n v="4"/>
    <n v="0"/>
    <n v="32.934204525343681"/>
    <n v="4"/>
    <n v="-0.23353946374148515"/>
    <b v="1"/>
    <n v="0"/>
    <n v="4"/>
    <n v="0"/>
    <n v="0"/>
    <n v="0"/>
    <n v="0"/>
    <n v="1"/>
    <n v="1"/>
    <s v="Rural"/>
    <n v="6"/>
    <s v="Fuera SC"/>
    <m/>
    <s v="No"/>
    <s v="Si"/>
    <n v="53.3"/>
    <n v="27.996131795261448"/>
    <n v="2.1048955264426237"/>
    <s v="Sin riesgo"/>
    <n v="48.852717741349863"/>
    <s v="Muy Alto"/>
    <n v="65454.204449999997"/>
    <n v="8738.9204687500005"/>
    <n v="20688"/>
    <n v="3.1638729915893271"/>
    <n v="0.4224149491855182"/>
    <m/>
    <m/>
    <m/>
    <m/>
    <m/>
    <m/>
    <m/>
    <n v="72"/>
    <n v="0"/>
    <n v="7"/>
    <n v="141295.73709000001"/>
    <n v="43466.461397999999"/>
    <n v="0.30762754979871415"/>
    <s v="31% - 50%"/>
    <n v="1.2646032160759009E-3"/>
    <n v="3514.392859"/>
    <n v="2.4872603599933561E-2"/>
    <s v="0% - 30%"/>
    <n v="0.94062649874304349"/>
    <s v="Aceptable"/>
    <n v="1"/>
    <s v="Candidato"/>
    <n v="0"/>
    <n v="0"/>
  </r>
  <r>
    <n v="5847"/>
    <s v="05847"/>
    <x v="1"/>
    <x v="1"/>
    <s v="URRAO"/>
    <n v="43.774000000000001"/>
    <n v="35.65"/>
    <n v="32.979999999999997"/>
    <n v="43.74"/>
    <n v="42.826641356605947"/>
    <n v="54.242667703149436"/>
    <n v="52.406674909170647"/>
    <n v="41.790900000000001"/>
    <n v="39.036000000000001"/>
    <n v="47.816720992231502"/>
    <n v="43.426360496115748"/>
    <n v="65.124436511120464"/>
    <n v="34.875563488879536"/>
    <n v="0.41388007139991578"/>
    <n v="0"/>
    <n v="17.973305182770869"/>
    <n v="5"/>
    <n v="5"/>
    <b v="1"/>
    <x v="6"/>
    <n v="44.910035631000326"/>
    <n v="0.4160407644058276"/>
    <n v="18.684405553414329"/>
    <n v="5"/>
    <n v="0"/>
    <n v="-1.483675134884578"/>
    <n v="-2.1606930059118179E-3"/>
    <n v="-0.71110037064346088"/>
    <n v="5"/>
    <b v="1"/>
    <n v="0"/>
    <n v="0.6523467210059386"/>
    <n v="29.296914484142931"/>
    <n v="0.19584750649594801"/>
    <n v="4"/>
    <n v="-1"/>
    <n v="19.584750649594802"/>
    <n v="5"/>
    <n v="-0.23846664960602282"/>
    <b v="1"/>
    <s v="Efecto ponderador"/>
    <n v="4"/>
    <n v="-1"/>
    <n v="0"/>
    <n v="0"/>
    <n v="0"/>
    <n v="0"/>
    <n v="1"/>
    <s v="Rural"/>
    <n v="6"/>
    <s v="Fuera SC"/>
    <m/>
    <s v="No"/>
    <s v="Si"/>
    <n v="46.1"/>
    <n v="24.452529452529454"/>
    <n v="38.746189040221779"/>
    <s v="Alto"/>
    <n v="11.236423612152064"/>
    <s v="Medio"/>
    <n v="59999.519951000002"/>
    <n v="13296.283325"/>
    <n v="31776"/>
    <n v="1.8882024153763848"/>
    <n v="0.41843791934164148"/>
    <m/>
    <m/>
    <m/>
    <m/>
    <m/>
    <m/>
    <m/>
    <n v="83"/>
    <n v="0"/>
    <n v="5"/>
    <n v="256384.97193599999"/>
    <n v="209102.07934600001"/>
    <n v="0.81557853319966445"/>
    <s v="71% - 100%"/>
    <n v="6.0835677330125836E-3"/>
    <n v="54887.370929999997"/>
    <n v="0.21408185712110006"/>
    <s v="0% - 30%"/>
    <n v="0.9215640057178216"/>
    <s v="Aceptable"/>
    <n v="1"/>
    <s v="Candidato"/>
    <n v="0"/>
    <n v="0"/>
  </r>
  <r>
    <n v="15720"/>
    <s v="15720"/>
    <x v="10"/>
    <x v="10"/>
    <s v="SATIVANORTE"/>
    <n v="53.050066666666702"/>
    <n v="85.99"/>
    <n v="84.47"/>
    <n v="64.739999999999995"/>
    <n v="44.359799100025846"/>
    <n v="43.610457308408371"/>
    <n v="55.478171304777305"/>
    <n v="51.139400000000002"/>
    <n v="72.062516666666667"/>
    <n v="48.646956928302878"/>
    <n v="60.354736797484776"/>
    <n v="66.281914314939257"/>
    <n v="33.718085685060743"/>
    <n v="0.40346277116554674"/>
    <n v="0"/>
    <n v="24.350889361280405"/>
    <n v="4"/>
    <n v="4"/>
    <b v="1"/>
    <x v="5"/>
    <n v="57.858035423846388"/>
    <n v="0.41666128051020512"/>
    <n v="24.107203127504643"/>
    <n v="4"/>
    <n v="0"/>
    <n v="2.4967013736383876"/>
    <n v="-1.3198509344658382E-2"/>
    <n v="0.24368623377576171"/>
    <n v="4"/>
    <b v="1"/>
    <n v="0"/>
    <n v="0.6523467210059386"/>
    <n v="37.743499692591634"/>
    <n v="0.30150538391359222"/>
    <n v="4"/>
    <n v="0"/>
    <n v="30.150538391359223"/>
    <n v="4"/>
    <n v="-0.24888394984039186"/>
    <b v="1"/>
    <n v="0"/>
    <n v="4"/>
    <n v="0"/>
    <n v="0"/>
    <n v="0"/>
    <n v="0"/>
    <n v="0"/>
    <n v="0"/>
    <s v="Rural"/>
    <n v="6"/>
    <s v="Fuera SC"/>
    <m/>
    <s v="No"/>
    <s v="No"/>
    <n v="51.6"/>
    <n v="21.16076014381099"/>
    <n v="22.293504743423888"/>
    <s v="Medio"/>
    <n v="3.7112955563979622"/>
    <s v="Medio Bajo"/>
    <n v="15362.063354"/>
    <n v="3341.3064763000002"/>
    <n v="2080"/>
    <n v="7.385607381730769"/>
    <n v="1.6063973443750001"/>
    <m/>
    <m/>
    <m/>
    <m/>
    <m/>
    <m/>
    <m/>
    <n v="82"/>
    <n v="0"/>
    <n v="7"/>
    <n v="16107.007156"/>
    <n v="8875.968003"/>
    <n v="0.55106252310154502"/>
    <s v="51% - 70%"/>
    <n v="2.5823536863520856E-4"/>
    <s v="N.D."/>
    <s v="N.D."/>
    <s v="N.D."/>
    <n v="0.92383429622608459"/>
    <s v="Aceptable"/>
    <n v="2"/>
    <s v="Candidato"/>
    <n v="0"/>
    <n v="0"/>
  </r>
  <r>
    <n v="5893"/>
    <s v="05893"/>
    <x v="1"/>
    <x v="1"/>
    <s v="YONDÓ"/>
    <n v="55.667533333333303"/>
    <n v="73.81"/>
    <n v="67.37"/>
    <n v="66.8"/>
    <n v="60.520033817034417"/>
    <n v="66.461948351476295"/>
    <n v="67.040655939524953"/>
    <n v="64.482100000000003"/>
    <n v="65.911883333333321"/>
    <n v="64.626184527008917"/>
    <n v="65.269033930171119"/>
    <n v="64.965843220813923"/>
    <n v="35.034156779186077"/>
    <n v="0.41530741101267465"/>
    <n v="0"/>
    <n v="27.106713500837785"/>
    <n v="4"/>
    <n v="4"/>
    <b v="1"/>
    <x v="5"/>
    <n v="63.119613644562563"/>
    <n v="0.41674103557729925"/>
    <n v="26.304533155474029"/>
    <n v="4"/>
    <n v="0"/>
    <n v="2.1494202856085565"/>
    <n v="-1.4336245646245915E-3"/>
    <n v="0.80218034536375526"/>
    <n v="4"/>
    <b v="1"/>
    <n v="0"/>
    <n v="0.6523467210059386"/>
    <n v="41.17587299219209"/>
    <n v="0.34444075582910094"/>
    <n v="4"/>
    <n v="0"/>
    <n v="34.444075582910095"/>
    <n v="4"/>
    <n v="-0.23703930999326395"/>
    <b v="1"/>
    <n v="0"/>
    <n v="4"/>
    <n v="0"/>
    <n v="0"/>
    <n v="0"/>
    <n v="0"/>
    <n v="1"/>
    <n v="1"/>
    <s v="Rural"/>
    <n v="5"/>
    <s v="Fuera SC"/>
    <m/>
    <s v="No"/>
    <s v="Si"/>
    <n v="46.3"/>
    <n v="26.010404161664667"/>
    <n v="10.62676177296238"/>
    <s v="Bajo"/>
    <n v="12.659385762888123"/>
    <s v="Alto"/>
    <n v="69725.323680999994"/>
    <n v="23192.215151500001"/>
    <n v="21677"/>
    <n v="3.2165578115514135"/>
    <n v="1.0698996702265073"/>
    <m/>
    <m/>
    <m/>
    <m/>
    <m/>
    <m/>
    <m/>
    <n v="95"/>
    <n v="0"/>
    <n v="7"/>
    <n v="189295.35422499999"/>
    <n v="47805.712766999997"/>
    <n v="0.2525456209040251"/>
    <s v="0% - 30%"/>
    <n v="1.3908483959251085E-3"/>
    <n v="2178.7478059999999"/>
    <n v="1.1509779597708982E-2"/>
    <s v="0% - 30%"/>
    <n v="0.93618233405332996"/>
    <s v="Aceptable"/>
    <n v="3"/>
    <s v="Candidato"/>
    <n v="0"/>
    <n v="0"/>
  </r>
  <r>
    <n v="85263"/>
    <s v="85263"/>
    <x v="23"/>
    <x v="23"/>
    <s v="PORE"/>
    <n v="64.682833333333306"/>
    <n v="59.73"/>
    <n v="63.2"/>
    <n v="65.08"/>
    <n v="53.851214595410198"/>
    <n v="62.470006230907209"/>
    <n v="75.729729644861862"/>
    <n v="65.346900000000005"/>
    <n v="63.173208333333321"/>
    <n v="64.349462617794813"/>
    <n v="63.761335475564067"/>
    <n v="65.14094707322981"/>
    <n v="34.85905292677019"/>
    <n v="0.41373147634093177"/>
    <n v="0"/>
    <n v="26.380071459774548"/>
    <n v="4"/>
    <n v="4"/>
    <b v="1"/>
    <x v="5"/>
    <n v="63.03334081053255"/>
    <n v="0.4158924521834505"/>
    <n v="26.215090679007549"/>
    <n v="4"/>
    <n v="0"/>
    <n v="0.72799466503151677"/>
    <n v="-2.1609758425187309E-3"/>
    <n v="0.1649807807669994"/>
    <n v="4"/>
    <b v="1"/>
    <n v="0"/>
    <n v="0.6523467210059386"/>
    <n v="41.119593191800725"/>
    <n v="0.34373675485070643"/>
    <n v="4"/>
    <n v="0"/>
    <n v="34.373675485070642"/>
    <n v="4"/>
    <n v="-0.23861524466500683"/>
    <b v="1"/>
    <n v="0"/>
    <n v="4"/>
    <n v="0"/>
    <n v="0"/>
    <n v="0"/>
    <n v="0"/>
    <n v="0"/>
    <n v="1"/>
    <s v="Rural"/>
    <n v="6"/>
    <s v="Fuera SC"/>
    <m/>
    <s v="No"/>
    <s v="No"/>
    <n v="45.2"/>
    <n v="27.072599531615925"/>
    <n v="2.6166666666666667"/>
    <s v="Sin riesgo"/>
    <n v="1.5023356482704484"/>
    <s v="Medio Bajo"/>
    <n v="48896.922274999997"/>
    <n v="15294.989036999999"/>
    <n v="13407"/>
    <n v="3.6471188390393077"/>
    <n v="1.1408211409711344"/>
    <m/>
    <m/>
    <m/>
    <m/>
    <m/>
    <m/>
    <m/>
    <n v="50"/>
    <n v="0"/>
    <n v="6"/>
    <n v="77944.547435999993"/>
    <n v="5507.1548670000002"/>
    <n v="7.0654780201551706E-2"/>
    <s v="0% - 30%"/>
    <n v="1.6022389521123286E-4"/>
    <s v="N.D."/>
    <s v="N.D."/>
    <s v="N.D."/>
    <n v="0.94089338740561068"/>
    <s v="Aceptable"/>
    <n v="3"/>
    <s v="Candidato"/>
    <n v="0"/>
    <n v="0"/>
  </r>
  <r>
    <n v="68250"/>
    <s v="68250"/>
    <x v="0"/>
    <x v="0"/>
    <s v="EL PEÑÓN"/>
    <n v="71.628966666666699"/>
    <n v="50.67"/>
    <n v="59.26"/>
    <n v="81.73"/>
    <n v="66.310816762905688"/>
    <n v="46.646435242547597"/>
    <n v="64.460025324302563"/>
    <n v="57.200899999999997"/>
    <n v="65.82224166666667"/>
    <n v="58.654544332438959"/>
    <n v="62.238392999552815"/>
    <n v="65.725445040430159"/>
    <n v="34.274554959569841"/>
    <n v="0.40847099463612857"/>
    <n v="0"/>
    <n v="25.4225782930816"/>
    <n v="4"/>
    <n v="4"/>
    <b v="1"/>
    <x v="5"/>
    <n v="60.498833772670736"/>
    <n v="0.41445125657579229"/>
    <n v="25.073817678453366"/>
    <n v="4"/>
    <n v="0"/>
    <n v="1.7395592268820792"/>
    <n v="-5.9802619396637224E-3"/>
    <n v="0.34876061462823316"/>
    <n v="4"/>
    <b v="1"/>
    <n v="0"/>
    <n v="0.6523467210059386"/>
    <n v="39.466215836285095"/>
    <n v="0.32305474695721559"/>
    <n v="4"/>
    <n v="0"/>
    <n v="32.305474695721557"/>
    <n v="4"/>
    <n v="-0.24387572636981003"/>
    <b v="1"/>
    <n v="0"/>
    <n v="4"/>
    <n v="0"/>
    <n v="0"/>
    <n v="0"/>
    <n v="0"/>
    <n v="0"/>
    <n v="0"/>
    <s v="Rural disperso"/>
    <n v="6"/>
    <s v="Fuera SC"/>
    <m/>
    <s v="No"/>
    <s v="Si"/>
    <n v="57.8"/>
    <n v="31.941391941391942"/>
    <n v="33.994999999999997"/>
    <s v="Medio"/>
    <n v="3.5954701588270099"/>
    <s v="Medio Bajo"/>
    <n v="16115.358324999999"/>
    <n v="4109.7210864999997"/>
    <n v="5351"/>
    <n v="3.0116535834423472"/>
    <n v="0.76802860895159775"/>
    <m/>
    <m/>
    <m/>
    <m/>
    <m/>
    <m/>
    <m/>
    <n v="25"/>
    <n v="0"/>
    <n v="7"/>
    <n v="39767.677644000003"/>
    <n v="19398.883022999999"/>
    <n v="0.48780527735762386"/>
    <s v="31% - 50%"/>
    <n v="5.6438663443384807E-4"/>
    <s v="N.D."/>
    <s v="N.D."/>
    <s v="N.D."/>
    <n v="0.95111758369232291"/>
    <s v="Aceptable"/>
    <n v="2"/>
    <s v="Candidato"/>
    <n v="0"/>
    <n v="0"/>
  </r>
  <r>
    <n v="27245"/>
    <s v="27245"/>
    <x v="26"/>
    <x v="26"/>
    <s v="EL CARMEN DE ATRATO"/>
    <n v="62.169766666666703"/>
    <n v="68.510000000000005"/>
    <n v="60.11"/>
    <n v="58.56"/>
    <n v="56.231368148312413"/>
    <n v="47.367372055481717"/>
    <n v="41.623065013024984"/>
    <n v="64.532399999999996"/>
    <n v="62.337441666666678"/>
    <n v="52.438551304204779"/>
    <n v="57.387996485435728"/>
    <n v="65.845785568397858"/>
    <n v="34.154214431602142"/>
    <n v="0.4073879298844193"/>
    <n v="0"/>
    <n v="23.379177088415993"/>
    <n v="4"/>
    <n v="4"/>
    <b v="1"/>
    <x v="5"/>
    <n v="56.096468787451769"/>
    <n v="0.41469488989730707"/>
    <n v="23.262918947440035"/>
    <n v="4"/>
    <n v="0"/>
    <n v="1.2915276979839589"/>
    <n v="-7.3069600128877754E-3"/>
    <n v="0.11625814097595821"/>
    <n v="4"/>
    <b v="1"/>
    <n v="0"/>
    <n v="0.6523467210059386"/>
    <n v="36.59434747350614"/>
    <n v="0.28713070097344956"/>
    <n v="4"/>
    <n v="0"/>
    <n v="28.713070097344957"/>
    <n v="4"/>
    <n v="-0.2449587911215193"/>
    <b v="1"/>
    <n v="0"/>
    <n v="4"/>
    <n v="0"/>
    <n v="0"/>
    <n v="0"/>
    <n v="0"/>
    <n v="0"/>
    <n v="1"/>
    <s v="Rural disperso"/>
    <n v="6"/>
    <s v="Fuera SC"/>
    <m/>
    <s v="No"/>
    <s v="No"/>
    <n v="54"/>
    <n v="36.477589263104583"/>
    <n v="43.11"/>
    <s v="Alto"/>
    <n v="2.7347421529919362"/>
    <s v="Medio Bajo"/>
    <n v="26214.600343999999"/>
    <n v="5797.6504857500004"/>
    <n v="8622"/>
    <n v="3.0404314943168638"/>
    <n v="0.6724252477093482"/>
    <m/>
    <m/>
    <m/>
    <m/>
    <m/>
    <m/>
    <m/>
    <n v="51"/>
    <n v="0"/>
    <n v="7"/>
    <n v="83029.380883999998"/>
    <n v="69529.833773999999"/>
    <n v="0.83741240791786509"/>
    <s v="71% - 100%"/>
    <n v="2.0228849686822902E-3"/>
    <n v="16793.814535000001"/>
    <n v="0.2022635163143342"/>
    <s v="0% - 30%"/>
    <n v="0.89013130626459636"/>
    <s v="Aceptable"/>
    <n v="2"/>
    <s v="Candidato"/>
    <n v="0"/>
    <n v="0"/>
  </r>
  <r>
    <n v="73873"/>
    <s v="73873"/>
    <x v="15"/>
    <x v="15"/>
    <s v="VILLARRICA"/>
    <n v="54.501233333333303"/>
    <n v="38.58"/>
    <n v="31.93"/>
    <n v="39.89"/>
    <n v="44.515399530518501"/>
    <n v="38.890800990210352"/>
    <n v="36.306933874055019"/>
    <n v="38.493099999999998"/>
    <n v="41.225308333333331"/>
    <n v="39.551558598695962"/>
    <n v="40.388433466014646"/>
    <n v="65.469475048145526"/>
    <n v="34.530524951854474"/>
    <n v="0.41077472456669029"/>
    <n v="0"/>
    <n v="16.590547632682263"/>
    <n v="5"/>
    <n v="5"/>
    <b v="1"/>
    <x v="6"/>
    <n v="43.426715921011613"/>
    <n v="0.4147809847832804"/>
    <n v="18.01257599562096"/>
    <n v="5"/>
    <n v="0"/>
    <n v="-3.0382824549969669"/>
    <n v="-4.0062602165901184E-3"/>
    <n v="-1.4220283629386969"/>
    <n v="5"/>
    <b v="1"/>
    <n v="0"/>
    <n v="0.6523467210059386"/>
    <n v="28.329275735128316"/>
    <n v="0.18374336573315969"/>
    <n v="5"/>
    <n v="0"/>
    <n v="18.374336573315968"/>
    <n v="5"/>
    <n v="-0.24157199643924832"/>
    <b v="1"/>
    <n v="0"/>
    <n v="4"/>
    <n v="-1"/>
    <n v="0"/>
    <n v="0"/>
    <n v="0"/>
    <n v="0"/>
    <n v="1"/>
    <s v="Rural"/>
    <n v="6"/>
    <s v="Fuera SC"/>
    <m/>
    <s v="No"/>
    <s v="No"/>
    <n v="38.4"/>
    <n v="17.842157842157842"/>
    <n v="54.634986738077011"/>
    <s v="Alto"/>
    <n v="0.85353001852213084"/>
    <s v="Medio Bajo"/>
    <n v="15919.765689"/>
    <n v="3451.7786173000004"/>
    <n v="5280"/>
    <n v="3.0151071380681818"/>
    <n v="0.65374595024621218"/>
    <m/>
    <m/>
    <m/>
    <m/>
    <m/>
    <m/>
    <m/>
    <n v="6"/>
    <n v="0"/>
    <n v="7"/>
    <n v="43008.013946999999"/>
    <n v="20385.702806000001"/>
    <n v="0.47399777239474211"/>
    <s v="31% - 50%"/>
    <n v="5.9309694190153961E-4"/>
    <s v="N.D."/>
    <s v="N.D."/>
    <s v="N.D."/>
    <n v="0.98299585358965769"/>
    <s v="Aceptable"/>
    <n v="1"/>
    <s v="Candidato"/>
    <n v="0"/>
    <n v="0"/>
  </r>
  <r>
    <n v="27073"/>
    <s v="27073"/>
    <x v="26"/>
    <x v="26"/>
    <s v="BAGADÓ"/>
    <n v="64.856633333333306"/>
    <n v="73.25"/>
    <n v="72.44"/>
    <n v="69.11"/>
    <n v="59.948495857687561"/>
    <n v="66.990712871261238"/>
    <n v="37.060733340706022"/>
    <n v="52.276400000000002"/>
    <n v="69.914158333333333"/>
    <n v="54.069085517413704"/>
    <n v="61.991621925373522"/>
    <n v="65.056424593967293"/>
    <n v="34.943575406032707"/>
    <n v="0.41449217865429433"/>
    <n v="0"/>
    <n v="25.69504243016139"/>
    <n v="4"/>
    <n v="4"/>
    <b v="1"/>
    <x v="5"/>
    <n v="58.957229653722692"/>
    <n v="0.41481835779534215"/>
    <n v="24.456541185120095"/>
    <n v="4"/>
    <n v="0"/>
    <n v="3.0343922716508303"/>
    <n v="-3.2617914104782209E-4"/>
    <n v="1.2385012450412951"/>
    <n v="4"/>
    <b v="1"/>
    <n v="0"/>
    <n v="0.6523467210059386"/>
    <n v="38.460555444200089"/>
    <n v="0.31047499551820629"/>
    <n v="4"/>
    <n v="0"/>
    <n v="31.047499551820628"/>
    <n v="4"/>
    <n v="-0.23785454235164427"/>
    <b v="1"/>
    <n v="0"/>
    <n v="4"/>
    <n v="0"/>
    <n v="0"/>
    <n v="0"/>
    <n v="0"/>
    <n v="0"/>
    <n v="1"/>
    <s v="Rural disperso"/>
    <n v="6"/>
    <s v="Fuera SC"/>
    <m/>
    <s v="No"/>
    <s v="No"/>
    <n v="81"/>
    <n v="70.520231213872833"/>
    <n v="20.63"/>
    <s v="Medio"/>
    <n v="0.93080764237955427"/>
    <s v="Medio Bajo"/>
    <n v="35546.488010000001"/>
    <n v="9469.4589692499994"/>
    <n v="12471"/>
    <n v="2.8503318106005935"/>
    <n v="0.75931833607970489"/>
    <m/>
    <m/>
    <m/>
    <m/>
    <m/>
    <m/>
    <m/>
    <n v="51"/>
    <n v="0"/>
    <n v="7"/>
    <n v="80756.872134000005"/>
    <n v="2379.3220249999999"/>
    <n v="2.9462780839901614E-2"/>
    <s v="0% - 30%"/>
    <n v="6.9223446954751921E-5"/>
    <n v="72396.969255000004"/>
    <n v="0.89648060086913217"/>
    <s v="71% - 100%"/>
    <n v="0.69089080187486296"/>
    <s v="Crítico Medio"/>
    <n v="1"/>
    <s v="Candidato"/>
    <n v="0"/>
    <n v="0"/>
  </r>
  <r>
    <n v="68780"/>
    <s v="68780"/>
    <x v="0"/>
    <x v="0"/>
    <s v="SURATÁ"/>
    <n v="63.354233333333298"/>
    <n v="32.67"/>
    <n v="32.9"/>
    <n v="33.96"/>
    <n v="55.661888183980814"/>
    <n v="55.024869661600036"/>
    <n v="50.482242401128012"/>
    <n v="47.883499999999998"/>
    <n v="40.721058333333325"/>
    <n v="52.263125061677215"/>
    <n v="46.492091697505273"/>
    <n v="64.917894689403127"/>
    <n v="35.082105310596873"/>
    <n v="0.4157389477953719"/>
    <n v="0"/>
    <n v="19.32857328312679"/>
    <n v="5"/>
    <n v="5"/>
    <b v="1"/>
    <x v="6"/>
    <n v="50.839894333674685"/>
    <n v="0.41470317083494057"/>
    <n v="21.083465385088221"/>
    <n v="4"/>
    <n v="-1"/>
    <n v="-4.347802636169412"/>
    <n v="1.0357769604313338E-3"/>
    <n v="-1.7548921019614312"/>
    <n v="5"/>
    <b v="1"/>
    <s v="Efecto ponderador"/>
    <n v="0.6523467210059386"/>
    <n v="33.165238364861082"/>
    <n v="0.24423616064601125"/>
    <n v="4"/>
    <n v="-1"/>
    <n v="24.423616064601124"/>
    <n v="4"/>
    <n v="-0.2366077732105667"/>
    <b v="0"/>
    <s v="Cambio en corte"/>
    <n v="4"/>
    <n v="-1"/>
    <n v="0"/>
    <n v="0"/>
    <n v="0"/>
    <n v="0"/>
    <n v="1"/>
    <s v="Rural disperso"/>
    <n v="6"/>
    <s v="Fuera SC"/>
    <m/>
    <s v="No"/>
    <s v="No"/>
    <n v="44.2"/>
    <n v="17.869318181818183"/>
    <n v="5.2233333333333336"/>
    <s v="Bajo"/>
    <n v="0.49418903505510914"/>
    <s v="Medio Bajo"/>
    <n v="7832.8249269999997"/>
    <n v="2289.8740495000002"/>
    <n v="4451"/>
    <n v="1.7597899184452932"/>
    <n v="0.51446282846551339"/>
    <m/>
    <m/>
    <m/>
    <m/>
    <m/>
    <m/>
    <m/>
    <n v="39"/>
    <n v="0"/>
    <n v="7"/>
    <n v="36229.847182999998"/>
    <n v="14820.419809999999"/>
    <n v="0.40906658355860059"/>
    <s v="31% - 50%"/>
    <n v="4.3118188029411006E-4"/>
    <s v="N.D."/>
    <s v="N.D."/>
    <s v="N.D."/>
    <n v="0.90438606753967465"/>
    <s v="Aceptable"/>
    <n v="1"/>
    <s v="Candidato"/>
    <n v="0"/>
    <n v="0"/>
  </r>
  <r>
    <n v="27800"/>
    <s v="27800"/>
    <x v="26"/>
    <x v="26"/>
    <s v="UNGUÍA"/>
    <n v="76.833266666666702"/>
    <n v="53.98"/>
    <n v="50.15"/>
    <n v="0"/>
    <n v="45.789168265425573"/>
    <n v="46.160973069489586"/>
    <n v="5.9835292062067129"/>
    <n v="44.674999999999997"/>
    <n v="45.240816666666674"/>
    <n v="35.652167635280463"/>
    <n v="40.446492150973569"/>
    <n v="66.696799999173237"/>
    <n v="33.303200000826763"/>
    <n v="0.39972880000744082"/>
    <n v="0"/>
    <n v="16.167627772019038"/>
    <n v="5"/>
    <n v="5"/>
    <b v="1"/>
    <x v="6"/>
    <n v="48.894721216819022"/>
    <n v="0.4139226905212734"/>
    <n v="20.238634558353318"/>
    <n v="4"/>
    <n v="-1"/>
    <n v="-8.4482290658454531"/>
    <n v="-1.4193890513832574E-2"/>
    <n v="-4.07100678633428"/>
    <n v="5"/>
    <b v="1"/>
    <s v="Efecto ponderador"/>
    <n v="0.6523467210059386"/>
    <n v="31.896311060291385"/>
    <n v="0.22836321764130194"/>
    <n v="4"/>
    <n v="-1"/>
    <n v="22.836321764130194"/>
    <n v="5"/>
    <n v="-0.25261792099849778"/>
    <b v="1"/>
    <s v="Efecto ponderador"/>
    <n v="4"/>
    <n v="-1"/>
    <n v="0"/>
    <n v="0"/>
    <n v="0"/>
    <n v="1"/>
    <n v="1"/>
    <s v="Rural disperso"/>
    <n v="6"/>
    <s v="Fuera SC"/>
    <m/>
    <s v="No"/>
    <s v="No"/>
    <n v="63.4"/>
    <n v="48.589238845144358"/>
    <n v="90.37"/>
    <s v="Inviable sanitariamente"/>
    <n v="21.828833917374514"/>
    <s v="Alto"/>
    <n v="29468.429661999999"/>
    <n v="6673.1336385000004"/>
    <n v="12703"/>
    <n v="2.3198008078406676"/>
    <n v="0.52531950236164693"/>
    <m/>
    <m/>
    <m/>
    <m/>
    <m/>
    <m/>
    <m/>
    <n v="35"/>
    <n v="0"/>
    <n v="7"/>
    <n v="119123.066643"/>
    <n v="55753.674912000002"/>
    <n v="0.46803424796885251"/>
    <s v="31% - 50%"/>
    <n v="1.6220845758796838E-3"/>
    <n v="40320.437684999997"/>
    <n v="0.33847716333425454"/>
    <s v="31% - 50%"/>
    <n v="0.94080516472946452"/>
    <s v="Aceptable"/>
    <n v="1"/>
    <s v="Candidato"/>
    <n v="1"/>
    <s v="Zona de Fronteras"/>
  </r>
  <r>
    <n v="86755"/>
    <s v="86755"/>
    <x v="22"/>
    <x v="22"/>
    <s v="SAN FRANCISCO"/>
    <n v="53.1678"/>
    <n v="34.119999999999997"/>
    <n v="35.090000000000003"/>
    <n v="20.03"/>
    <n v="44.663131658469638"/>
    <n v="52.895973835605545"/>
    <n v="51.091151913418685"/>
    <n v="53.595199999999998"/>
    <n v="35.601950000000002"/>
    <n v="50.561364351873472"/>
    <n v="43.081657175936741"/>
    <n v="66.458750294355468"/>
    <n v="33.541249705644532"/>
    <n v="0.40187124735080082"/>
    <n v="0"/>
    <n v="17.313279307233277"/>
    <n v="5"/>
    <n v="5"/>
    <b v="1"/>
    <x v="6"/>
    <n v="47.540422396883059"/>
    <n v="0.4140404732878622"/>
    <n v="19.683658989510345"/>
    <n v="5"/>
    <n v="0"/>
    <n v="-4.4587652209463187"/>
    <n v="-1.2169225937061379E-2"/>
    <n v="-2.3703796822770684"/>
    <n v="5"/>
    <b v="1"/>
    <n v="0"/>
    <n v="0.6523467210059386"/>
    <n v="31.012838665843947"/>
    <n v="0.21731190925444865"/>
    <n v="4"/>
    <n v="-1"/>
    <n v="21.731190925444864"/>
    <n v="5"/>
    <n v="-0.25047547365513778"/>
    <b v="1"/>
    <s v="Efecto ponderador"/>
    <n v="4"/>
    <n v="-1"/>
    <n v="0"/>
    <n v="0"/>
    <n v="0"/>
    <n v="0"/>
    <n v="0"/>
    <s v="Rural"/>
    <n v="6"/>
    <s v="Fuera SC"/>
    <m/>
    <s v="No"/>
    <s v="No"/>
    <n v="23.5"/>
    <n v="7.5899280575539567"/>
    <n v="31.417777777777776"/>
    <s v="Medio"/>
    <n v="0.50272243723866539"/>
    <s v="Medio Bajo"/>
    <n v="24591.021109000001"/>
    <n v="2622.27213575"/>
    <n v="5670"/>
    <n v="4.3370407599647267"/>
    <n v="0.46248185815696646"/>
    <m/>
    <m/>
    <m/>
    <m/>
    <m/>
    <m/>
    <m/>
    <n v="80"/>
    <n v="0"/>
    <n v="7"/>
    <n v="40759.611105999997"/>
    <n v="14086.167255"/>
    <n v="0.34559130651093117"/>
    <s v="31% - 50%"/>
    <n v="4.0981970558283555E-4"/>
    <n v="23292.827464000002"/>
    <n v="0.57146834407777736"/>
    <s v="51% - 70%"/>
    <n v="0.81891107489358728"/>
    <s v="Crítico bajo"/>
    <n v="1"/>
    <s v="Candidato"/>
    <n v="0"/>
    <n v="0"/>
  </r>
  <r>
    <n v="15464"/>
    <s v="15464"/>
    <x v="10"/>
    <x v="10"/>
    <s v="MONGUA"/>
    <n v="54.524466666666697"/>
    <n v="41.93"/>
    <n v="42.03"/>
    <n v="78.69"/>
    <n v="54.025497339902692"/>
    <n v="62.312144982117495"/>
    <n v="64.112185241700629"/>
    <n v="57.914700000000003"/>
    <n v="54.293616666666672"/>
    <n v="59.591131890930207"/>
    <n v="56.942374278798439"/>
    <n v="66.507613065758164"/>
    <n v="33.492386934241836"/>
    <n v="0.4014314824081765"/>
    <n v="0"/>
    <n v="22.858461718579278"/>
    <n v="4"/>
    <n v="4"/>
    <b v="1"/>
    <x v="5"/>
    <n v="54.619364666050856"/>
    <n v="0.41403097257856936"/>
    <n v="22.614108674308582"/>
    <n v="4"/>
    <n v="0"/>
    <n v="2.3230096127475832"/>
    <n v="-1.2599490170392857E-2"/>
    <n v="0.24435304427069582"/>
    <n v="4"/>
    <b v="1"/>
    <n v="0"/>
    <n v="0.6523467210059386"/>
    <n v="35.630763443325897"/>
    <n v="0.27507728046920271"/>
    <n v="4"/>
    <n v="0"/>
    <n v="27.507728046920271"/>
    <n v="4"/>
    <n v="-0.2509152385977621"/>
    <b v="1"/>
    <n v="0"/>
    <n v="4"/>
    <n v="0"/>
    <n v="0"/>
    <n v="0"/>
    <n v="0"/>
    <n v="0"/>
    <n v="0"/>
    <s v="Rural"/>
    <n v="6"/>
    <s v="Fuera SC"/>
    <m/>
    <s v="No"/>
    <s v="No"/>
    <n v="50.7"/>
    <n v="20.813953488372093"/>
    <n v="59.103986852750815"/>
    <s v="Alto"/>
    <n v="0.11337310315613228"/>
    <s v="Bajo"/>
    <n v="14058.397299"/>
    <n v="4033.4623658"/>
    <n v="4526"/>
    <n v="3.1061416922227134"/>
    <n v="0.8911759535572249"/>
    <m/>
    <m/>
    <m/>
    <m/>
    <m/>
    <m/>
    <m/>
    <n v="62"/>
    <n v="0"/>
    <n v="7"/>
    <n v="36004.045098000002"/>
    <n v="25552.503094"/>
    <n v="0.7097120066494812"/>
    <s v="71% - 100%"/>
    <n v="7.4341863938684103E-4"/>
    <s v="N.D."/>
    <s v="N.D."/>
    <s v="N.D."/>
    <n v="0.94657276012345526"/>
    <s v="Aceptable"/>
    <n v="2"/>
    <s v="Candidato"/>
    <n v="0"/>
    <n v="0"/>
  </r>
  <r>
    <n v="68745"/>
    <s v="68745"/>
    <x v="0"/>
    <x v="0"/>
    <s v="SIMACOTA"/>
    <n v="82.577666666666701"/>
    <n v="82.3"/>
    <n v="88.92"/>
    <n v="77.599999999999994"/>
    <n v="49.817084196815308"/>
    <n v="54.044176489705208"/>
    <n v="68.309212810863045"/>
    <n v="59.431199999999997"/>
    <n v="82.849416666666684"/>
    <n v="57.90041837434589"/>
    <n v="70.374917520506287"/>
    <n v="64.963052599031883"/>
    <n v="35.036947400968117"/>
    <n v="0.415332526608713"/>
    <n v="0"/>
    <n v="29.22899230367166"/>
    <n v="4"/>
    <n v="4"/>
    <b v="1"/>
    <x v="4"/>
    <n v="70.138524080856968"/>
    <n v="0.41636437940185544"/>
    <n v="29.203183051088104"/>
    <n v="3"/>
    <n v="0"/>
    <n v="0.23639343964931925"/>
    <n v="-1.0318527931424404E-3"/>
    <n v="2.5809252583556486E-2"/>
    <n v="3"/>
    <b v="1"/>
    <n v="0"/>
    <n v="0.6523467210059386"/>
    <n v="45.754636200343107"/>
    <n v="0.4017162570917101"/>
    <n v="3"/>
    <n v="0"/>
    <n v="40.17162570917101"/>
    <n v="4"/>
    <n v="-0.2370141943972256"/>
    <b v="0"/>
    <n v="0"/>
    <n v="3"/>
    <n v="0"/>
    <n v="0"/>
    <n v="0"/>
    <n v="0"/>
    <n v="0"/>
    <n v="0"/>
    <s v="Rural disperso"/>
    <n v="6"/>
    <s v="Fuera SC"/>
    <m/>
    <s v="No"/>
    <s v="Si"/>
    <n v="44.5"/>
    <n v="24.797009923959273"/>
    <n v="0"/>
    <s v="Sin riesgo"/>
    <n v="8.6235285824282928E-2"/>
    <s v="Bajo"/>
    <n v="24041.828052000001"/>
    <n v="7387.3556731999997"/>
    <n v="11483"/>
    <n v="2.0936887618218236"/>
    <n v="0.64332976340677517"/>
    <m/>
    <m/>
    <m/>
    <m/>
    <m/>
    <m/>
    <m/>
    <n v="45"/>
    <n v="0"/>
    <n v="7"/>
    <n v="90335.872199000005"/>
    <n v="42822.389411999997"/>
    <n v="0.47403526826715059"/>
    <s v="31% - 50%"/>
    <n v="1.2458647340673915E-3"/>
    <s v="N.D."/>
    <s v="N.D."/>
    <s v="N.D."/>
    <n v="0.96003309554909944"/>
    <s v="Aceptable"/>
    <n v="2"/>
    <s v="Candidato"/>
    <n v="0"/>
    <n v="0"/>
  </r>
  <r>
    <n v="52473"/>
    <s v="52473"/>
    <x v="18"/>
    <x v="18"/>
    <s v="MOSQUERA"/>
    <n v="52.471633333333301"/>
    <n v="0"/>
    <n v="24"/>
    <n v="0"/>
    <n v="45.907806076611784"/>
    <n v="49.293109651372248"/>
    <n v="56.334068539381775"/>
    <n v="52.131900000000002"/>
    <n v="19.117908333333325"/>
    <n v="50.916721066841454"/>
    <n v="35.01731470008739"/>
    <n v="66.119205967024243"/>
    <n v="33.880794032975757"/>
    <n v="0.40492714629678184"/>
    <n v="0"/>
    <n v="14.179461312482736"/>
    <n v="5"/>
    <n v="5"/>
    <b v="1"/>
    <x v="6"/>
    <n v="46.089544900975227"/>
    <n v="0.4129516516379248"/>
    <n v="19.032753690098016"/>
    <n v="5"/>
    <n v="0"/>
    <n v="-11.072230200887837"/>
    <n v="-8.0245053411429623E-3"/>
    <n v="-4.8532923776152792"/>
    <n v="5"/>
    <b v="1"/>
    <n v="0"/>
    <n v="0.6523467210059386"/>
    <n v="30.066363488807166"/>
    <n v="0.20547250246859541"/>
    <n v="4"/>
    <n v="-1"/>
    <n v="20.547250246859541"/>
    <n v="5"/>
    <n v="-0.24741957470915676"/>
    <b v="1"/>
    <s v="Efecto ponderador"/>
    <n v="4"/>
    <n v="-1"/>
    <n v="0"/>
    <n v="0"/>
    <n v="0"/>
    <n v="1"/>
    <n v="1"/>
    <s v="Rural"/>
    <n v="6"/>
    <s v="Fuera SC"/>
    <m/>
    <s v="No"/>
    <s v="No"/>
    <n v="70.2"/>
    <n v="79.180552832777892"/>
    <n v="28.866666666666664"/>
    <s v="Medio"/>
    <n v="20.708956603679486"/>
    <s v="Alto"/>
    <n v="31570.222889000001"/>
    <n v="7516.2639550000004"/>
    <n v="12081"/>
    <n v="2.6132127215462297"/>
    <n v="0.62215577808128464"/>
    <m/>
    <m/>
    <m/>
    <m/>
    <m/>
    <m/>
    <m/>
    <n v="97"/>
    <n v="0"/>
    <n v="7"/>
    <n v="76930.849046999996"/>
    <n v="50362.576706"/>
    <n v="0.65464735317338796"/>
    <s v="51% - 70%"/>
    <n v="1.4652372064317002E-3"/>
    <n v="39535.861104000003"/>
    <n v="0.51391426968193255"/>
    <s v="31% - 50%"/>
    <n v="0.87675840672909044"/>
    <s v="Aceptable"/>
    <n v="1"/>
    <s v="Candidato"/>
    <n v="0"/>
    <n v="0"/>
  </r>
  <r>
    <n v="13600"/>
    <s v="13600"/>
    <x v="8"/>
    <x v="8"/>
    <s v="RÍO VIEJO"/>
    <n v="34.700733333333297"/>
    <n v="31.9"/>
    <n v="33.68"/>
    <n v="32.32"/>
    <n v="50.00116281314606"/>
    <n v="48.668572002120769"/>
    <n v="48.400610488903197"/>
    <n v="41.863500000000002"/>
    <n v="33.150183333333324"/>
    <n v="47.233461326042502"/>
    <n v="40.191822329687909"/>
    <n v="65.251902043600978"/>
    <n v="34.748097956399022"/>
    <n v="0.41273288160759125"/>
    <n v="0"/>
    <n v="16.588486647192422"/>
    <n v="5"/>
    <n v="5"/>
    <b v="1"/>
    <x v="6"/>
    <n v="40.832406306757996"/>
    <n v="0.41153547758589559"/>
    <n v="16.803983830432987"/>
    <n v="5"/>
    <n v="0"/>
    <n v="-0.64058397707008652"/>
    <n v="1.1974040216956583E-3"/>
    <n v="-0.21549718324056499"/>
    <n v="5"/>
    <b v="1"/>
    <n v="0"/>
    <n v="0.6523467210059386"/>
    <n v="26.636886364995785"/>
    <n v="0.16257335865935099"/>
    <n v="5"/>
    <n v="0"/>
    <n v="16.257335865935101"/>
    <n v="5"/>
    <n v="-0.23961383939834735"/>
    <b v="1"/>
    <n v="0"/>
    <n v="5"/>
    <n v="0"/>
    <n v="0"/>
    <n v="0"/>
    <n v="0"/>
    <n v="0"/>
    <n v="1"/>
    <s v="Rural"/>
    <n v="6"/>
    <s v="Fuera SC"/>
    <m/>
    <s v="No"/>
    <s v="Si"/>
    <n v="57.3"/>
    <n v="43.53230769230769"/>
    <n v="8.1109090909090913"/>
    <s v="Bajo"/>
    <n v="15.844242641118136"/>
    <s v="Alto"/>
    <n v="23896.239440000001"/>
    <n v="4854.9560380000003"/>
    <n v="12277"/>
    <n v="1.9464233477233852"/>
    <n v="0.39545133485379169"/>
    <m/>
    <m/>
    <m/>
    <m/>
    <m/>
    <m/>
    <m/>
    <n v="8"/>
    <n v="0"/>
    <n v="7"/>
    <n v="84425.962604999993"/>
    <n v="21549.976119999999"/>
    <n v="0.25525295128496095"/>
    <s v="0% - 30%"/>
    <n v="6.2697004152642631E-4"/>
    <s v="N.D."/>
    <s v="N.D."/>
    <s v="N.D."/>
    <n v="0.84065304309773192"/>
    <s v="Crítico bajo"/>
    <n v="1"/>
    <s v="Candidato"/>
    <n v="0"/>
    <n v="0"/>
  </r>
  <r>
    <n v="68190"/>
    <s v="68190"/>
    <x v="0"/>
    <x v="0"/>
    <s v="CIMITARRA"/>
    <n v="58.824433333333303"/>
    <n v="51.13"/>
    <n v="59.76"/>
    <n v="55.13"/>
    <n v="70.349070131076289"/>
    <n v="72.670959580505297"/>
    <n v="14.801287158351293"/>
    <n v="75.500200000000007"/>
    <n v="56.211108333333321"/>
    <n v="58.33037921748322"/>
    <n v="57.27074377540827"/>
    <n v="66.183286106245816"/>
    <n v="33.816713893754184"/>
    <n v="0.40435042504378771"/>
    <n v="0"/>
    <n v="23.157449588160194"/>
    <n v="4"/>
    <n v="4"/>
    <b v="1"/>
    <x v="5"/>
    <n v="57.103051844708801"/>
    <n v="0.41224023089362871"/>
    <n v="23.540175277193608"/>
    <n v="4"/>
    <n v="0"/>
    <n v="0.16769193069946908"/>
    <n v="-7.8898058498410029E-3"/>
    <n v="-0.38272568903341408"/>
    <n v="4"/>
    <b v="1"/>
    <n v="0"/>
    <n v="0.6523467210059386"/>
    <n v="37.250988630327903"/>
    <n v="0.29534458968026767"/>
    <n v="4"/>
    <n v="0"/>
    <n v="29.534458968026765"/>
    <n v="4"/>
    <n v="-0.24799629596215089"/>
    <b v="1"/>
    <n v="0"/>
    <n v="4"/>
    <n v="0"/>
    <n v="0"/>
    <n v="0"/>
    <n v="0"/>
    <n v="0"/>
    <n v="0"/>
    <s v="Rural"/>
    <n v="6"/>
    <s v="Fuera SC"/>
    <m/>
    <s v="No"/>
    <s v="No"/>
    <n v="36"/>
    <n v="17.892364046210201"/>
    <n v="0.88351360487127129"/>
    <s v="Sin riesgo"/>
    <n v="1.8293511724659344"/>
    <s v="Medio Bajo"/>
    <n v="63710.381197000002"/>
    <n v="24439.240503000001"/>
    <n v="33782"/>
    <n v="1.8859268603694275"/>
    <n v="0.7234397165058315"/>
    <m/>
    <m/>
    <m/>
    <m/>
    <m/>
    <m/>
    <m/>
    <n v="29"/>
    <n v="0"/>
    <n v="6"/>
    <n v="317054.22870099999"/>
    <n v="32721.785096"/>
    <n v="0.10320564160290222"/>
    <s v="0% - 30%"/>
    <n v="9.5200007861808789E-4"/>
    <s v="N.D."/>
    <s v="N.D."/>
    <s v="N.D."/>
    <n v="0.91663615611994631"/>
    <s v="Aceptable"/>
    <n v="2"/>
    <s v="Candidato"/>
    <n v="0"/>
    <n v="0"/>
  </r>
  <r>
    <n v="50400"/>
    <s v="50400"/>
    <x v="16"/>
    <x v="16"/>
    <s v="LEJANÍAS"/>
    <n v="64.662466666666703"/>
    <n v="78.349999999999994"/>
    <n v="63.45"/>
    <n v="71.099999999999994"/>
    <n v="61.871584249456006"/>
    <n v="53.299925619919826"/>
    <n v="55.661842560962292"/>
    <n v="56.384599999999999"/>
    <n v="69.390616666666659"/>
    <n v="56.804488107584532"/>
    <n v="63.097552387125596"/>
    <n v="66.647467282974532"/>
    <n v="33.352532717025468"/>
    <n v="0.40017279445322917"/>
    <n v="0"/>
    <n v="25.249923861915072"/>
    <n v="4"/>
    <n v="4"/>
    <b v="1"/>
    <x v="5"/>
    <n v="62.321587997015087"/>
    <n v="0.41076827877878919"/>
    <n v="25.599731432294735"/>
    <n v="4"/>
    <n v="0"/>
    <n v="0.77596439011050933"/>
    <n v="-1.0595484325560012E-2"/>
    <n v="-0.3498075703796637"/>
    <n v="4"/>
    <b v="1"/>
    <n v="0"/>
    <n v="0.6523467210059386"/>
    <n v="40.655283577735851"/>
    <n v="0.33792873100722115"/>
    <n v="4"/>
    <n v="0"/>
    <n v="33.792873100722112"/>
    <n v="4"/>
    <n v="-0.25217392655270943"/>
    <b v="1"/>
    <n v="0"/>
    <n v="4"/>
    <n v="0"/>
    <n v="0"/>
    <n v="0"/>
    <n v="0"/>
    <n v="0"/>
    <n v="1"/>
    <s v="Rural"/>
    <n v="6"/>
    <s v="Fuera SC"/>
    <m/>
    <s v="No"/>
    <s v="No"/>
    <n v="39.9"/>
    <n v="20.458015267175572"/>
    <n v="21.618333333333336"/>
    <s v="Medio"/>
    <n v="1.851063680995553"/>
    <s v="Medio Bajo"/>
    <n v="27440.121725000001"/>
    <n v="5966.4955275000002"/>
    <n v="12161"/>
    <n v="2.2564033981580462"/>
    <n v="0.49062540313296604"/>
    <m/>
    <m/>
    <m/>
    <m/>
    <m/>
    <m/>
    <m/>
    <n v="63"/>
    <n v="0"/>
    <n v="7"/>
    <n v="81442.101242000004"/>
    <n v="27595.327757999999"/>
    <n v="0.33883369089412668"/>
    <s v="31% - 50%"/>
    <n v="8.0285210962770216E-4"/>
    <n v="144.59636"/>
    <n v="1.7754497710016242E-3"/>
    <s v="0% - 30%"/>
    <n v="0.97816983790482892"/>
    <s v="Aceptable"/>
    <n v="2"/>
    <s v="Candidato"/>
    <n v="0"/>
    <n v="0"/>
  </r>
  <r>
    <n v="54871"/>
    <s v="54871"/>
    <x v="12"/>
    <x v="12"/>
    <s v="VILLA CARO"/>
    <n v="55.9621"/>
    <n v="59.67"/>
    <n v="54.69"/>
    <n v="53.43"/>
    <n v="57.54538938420383"/>
    <n v="47.885209026886315"/>
    <n v="49.587450038551104"/>
    <n v="55.683"/>
    <n v="55.938025000000003"/>
    <n v="52.675262112410309"/>
    <n v="54.306643556205159"/>
    <n v="66.406080697830234"/>
    <n v="33.593919302169766"/>
    <n v="0.40234527371952788"/>
    <n v="0"/>
    <n v="21.8500213664102"/>
    <n v="4"/>
    <n v="4"/>
    <b v="1"/>
    <x v="5"/>
    <n v="52.42643906983934"/>
    <n v="0.41075168343640245"/>
    <n v="21.534248104512489"/>
    <n v="4"/>
    <n v="0"/>
    <n v="1.8802044863658196"/>
    <n v="-8.4064097168745633E-3"/>
    <n v="0.31577326189771071"/>
    <n v="4"/>
    <b v="1"/>
    <n v="0"/>
    <n v="0.6523467210059386"/>
    <n v="34.200215621227322"/>
    <n v="0.25718263515429102"/>
    <n v="4"/>
    <n v="0"/>
    <n v="25.718263515429101"/>
    <n v="4"/>
    <n v="-0.25000144728641072"/>
    <b v="1"/>
    <n v="0"/>
    <n v="4"/>
    <n v="0"/>
    <n v="0"/>
    <n v="0"/>
    <n v="0"/>
    <n v="0"/>
    <n v="0"/>
    <s v="Rural"/>
    <n v="6"/>
    <s v="Fuera SC"/>
    <m/>
    <s v="No"/>
    <s v="No"/>
    <n v="64.8"/>
    <n v="31.35593220338983"/>
    <n v="0"/>
    <s v="Sin riesgo"/>
    <n v="0"/>
    <s v="Bajo"/>
    <n v="16057.255266"/>
    <n v="3763.11744"/>
    <n v="5381"/>
    <n v="2.984065278944434"/>
    <n v="0.69933422040512916"/>
    <m/>
    <m/>
    <m/>
    <m/>
    <m/>
    <m/>
    <m/>
    <n v="1"/>
    <n v="0"/>
    <n v="7"/>
    <n v="40027.398825999997"/>
    <n v="9667.2713949999998"/>
    <n v="0.24151635326152085"/>
    <s v="0% - 30%"/>
    <n v="2.8125736725736952E-4"/>
    <s v="N.D."/>
    <s v="N.D."/>
    <s v="N.D."/>
    <n v="0.93883118960732836"/>
    <s v="Aceptable"/>
    <n v="1"/>
    <s v="Candidato"/>
    <n v="0"/>
    <n v="0"/>
  </r>
  <r>
    <n v="27025"/>
    <s v="27025"/>
    <x v="26"/>
    <x v="26"/>
    <s v="ALTO BAUDÓ"/>
    <n v="66.472899999999996"/>
    <n v="68.17"/>
    <n v="27.02"/>
    <n v="25.74"/>
    <n v="48.612460129131051"/>
    <n v="45.083843795451727"/>
    <n v="59.16940148032873"/>
    <n v="50.751199999999997"/>
    <n v="46.850725000000004"/>
    <n v="50.904226351227877"/>
    <n v="48.877475675613937"/>
    <n v="66.480236348278893"/>
    <n v="33.519763651721107"/>
    <n v="0.40167787286548995"/>
    <n v="0"/>
    <n v="19.633000460415332"/>
    <n v="5"/>
    <n v="5"/>
    <b v="1"/>
    <x v="6"/>
    <n v="52.575292795567208"/>
    <n v="0.41060999317403513"/>
    <n v="21.58794061591075"/>
    <n v="4"/>
    <n v="-1"/>
    <n v="-3.697817119953271"/>
    <n v="-8.9321203085451772E-3"/>
    <n v="-1.954940155495418"/>
    <n v="5"/>
    <b v="1"/>
    <s v="Efecto ponderador"/>
    <n v="0.6523467210059386"/>
    <n v="34.297319861115412"/>
    <n v="0.25839730683777401"/>
    <n v="4"/>
    <n v="-1"/>
    <n v="25.8397306837774"/>
    <n v="4"/>
    <n v="-0.25066884814044865"/>
    <b v="0"/>
    <s v="Cambio en corte"/>
    <n v="4"/>
    <n v="-1"/>
    <n v="0"/>
    <n v="0"/>
    <n v="0"/>
    <n v="0"/>
    <n v="0"/>
    <s v="Rural disperso"/>
    <n v="6"/>
    <s v="Fuera SC"/>
    <m/>
    <s v="No"/>
    <s v="No"/>
    <n v="90.6"/>
    <n v="77.84921098772648"/>
    <s v="Sin Información"/>
    <s v="Sin Información"/>
    <n v="11.145847100912404"/>
    <s v="Medio"/>
    <n v="80277.931677999994"/>
    <n v="10505.31997475"/>
    <n v="28940"/>
    <n v="2.7739437345542499"/>
    <n v="0.36300345455252248"/>
    <m/>
    <m/>
    <m/>
    <m/>
    <m/>
    <m/>
    <m/>
    <n v="38"/>
    <n v="0"/>
    <n v="7"/>
    <n v="205187.78937300001"/>
    <n v="24249.291022000001"/>
    <n v="0.1181809653298545"/>
    <s v="0% - 30%"/>
    <n v="7.0550328753912967E-4"/>
    <n v="201446.28522200001"/>
    <n v="0.98176546390780339"/>
    <s v="71% - 100%"/>
    <n v="0.87455421885539431"/>
    <s v="Aceptable"/>
    <n v="1"/>
    <s v="Candidato"/>
    <n v="0"/>
    <n v="0"/>
  </r>
  <r>
    <n v="13744"/>
    <s v="13744"/>
    <x v="8"/>
    <x v="8"/>
    <s v="SIMITÍ"/>
    <n v="59.451733333333301"/>
    <n v="41"/>
    <n v="49.78"/>
    <n v="42.83"/>
    <n v="39.426516472914287"/>
    <n v="53.121705888832345"/>
    <n v="51.362446437023024"/>
    <n v="63.857799999999997"/>
    <n v="48.26543333333332"/>
    <n v="51.942117199692419"/>
    <n v="50.103775266512869"/>
    <n v="66.571053666508703"/>
    <n v="33.428946333491297"/>
    <n v="0.40086051700142167"/>
    <n v="0"/>
    <n v="20.084625257057393"/>
    <n v="5"/>
    <n v="5"/>
    <b v="1"/>
    <x v="6"/>
    <n v="51.500474960659076"/>
    <n v="0.41041428780234712"/>
    <n v="21.136530752461507"/>
    <n v="4"/>
    <n v="-1"/>
    <n v="-1.3966996941462071"/>
    <n v="-9.5537708009254541E-3"/>
    <n v="-1.0519054954041138"/>
    <n v="5"/>
    <b v="1"/>
    <s v="Efecto ponderador"/>
    <n v="0.6523467210059386"/>
    <n v="33.596165970834392"/>
    <n v="0.24962661075622436"/>
    <n v="4"/>
    <n v="-1"/>
    <n v="24.962661075622435"/>
    <n v="4"/>
    <n v="-0.25148620400451693"/>
    <b v="0"/>
    <s v="Cambio en corte"/>
    <n v="4"/>
    <n v="-1"/>
    <n v="0"/>
    <n v="0"/>
    <n v="0"/>
    <n v="1"/>
    <n v="1"/>
    <s v="Rural"/>
    <n v="6"/>
    <s v="Fuera SC"/>
    <m/>
    <s v="No"/>
    <s v="Si"/>
    <n v="54.8"/>
    <n v="34.591194968553459"/>
    <n v="0.22225806451612906"/>
    <s v="Sin riesgo"/>
    <n v="18.156357099704088"/>
    <s v="Alto"/>
    <n v="40497.272886999999"/>
    <n v="8179.9095790000001"/>
    <n v="18510"/>
    <n v="2.1878591511075096"/>
    <n v="0.44191839972987573"/>
    <m/>
    <m/>
    <m/>
    <m/>
    <m/>
    <m/>
    <m/>
    <n v="8"/>
    <n v="0"/>
    <n v="6"/>
    <n v="135283.547674"/>
    <n v="19346.110422000002"/>
    <n v="0.14300416240280273"/>
    <s v="0% - 30%"/>
    <n v="5.6285128053571918E-4"/>
    <s v="N.D."/>
    <s v="N.D."/>
    <s v="N.D."/>
    <n v="0.8951614942227526"/>
    <s v="Aceptable"/>
    <n v="2"/>
    <s v="Candidato"/>
    <n v="0"/>
    <n v="0"/>
  </r>
  <r>
    <n v="52390"/>
    <s v="52390"/>
    <x v="18"/>
    <x v="18"/>
    <s v="LA TOLA"/>
    <n v="50.885100000000001"/>
    <n v="53.1"/>
    <n v="47.8"/>
    <n v="0"/>
    <n v="40.396620282562353"/>
    <n v="59.622003358889629"/>
    <n v="61.184071282459271"/>
    <n v="57.549399999999999"/>
    <n v="37.946275"/>
    <n v="54.688023730977811"/>
    <n v="46.317149365488902"/>
    <n v="65.948252646001961"/>
    <n v="34.051747353998039"/>
    <n v="0.40646572618598242"/>
    <n v="0"/>
    <n v="18.826333751708063"/>
    <n v="5"/>
    <n v="5"/>
    <b v="1"/>
    <x v="6"/>
    <n v="53.295159005854167"/>
    <n v="0.4100416833687579"/>
    <n v="21.853236714166062"/>
    <n v="4"/>
    <n v="-1"/>
    <n v="-6.9780096403652649"/>
    <n v="-3.5759571827754799E-3"/>
    <n v="-3.0269029624579993"/>
    <n v="5"/>
    <b v="1"/>
    <s v="Efecto ponderador"/>
    <n v="0.6523467210059386"/>
    <n v="34.766922222959082"/>
    <n v="0.26427153737689002"/>
    <n v="4"/>
    <n v="-1"/>
    <n v="26.427153737689004"/>
    <n v="4"/>
    <n v="-0.24588099481995618"/>
    <b v="0"/>
    <s v="Cambio en corte"/>
    <n v="4"/>
    <n v="-1"/>
    <n v="0"/>
    <n v="0"/>
    <n v="0"/>
    <n v="1"/>
    <n v="1"/>
    <s v="Rural"/>
    <n v="6"/>
    <s v="Fuera SC"/>
    <m/>
    <s v="No"/>
    <s v="No"/>
    <n v="73.900000000000006"/>
    <n v="82.298614674191896"/>
    <n v="21.275643403813724"/>
    <s v="Medio"/>
    <n v="20.522909523143024"/>
    <s v="Alto"/>
    <n v="32027.786158999999"/>
    <n v="7281.7077797499996"/>
    <n v="7838"/>
    <n v="4.0862192088542999"/>
    <n v="0.92902625411456996"/>
    <m/>
    <m/>
    <m/>
    <m/>
    <m/>
    <m/>
    <m/>
    <n v="97"/>
    <n v="0"/>
    <n v="7"/>
    <n v="41653.210279999999"/>
    <n v="22741.741170000001"/>
    <n v="0.54597811350256387"/>
    <s v="51% - 70%"/>
    <n v="6.6164297938619426E-4"/>
    <n v="21754.837538"/>
    <n v="0.52228477449301658"/>
    <s v="51% - 70%"/>
    <n v="0.90592027074812942"/>
    <s v="Aceptable"/>
    <n v="1"/>
    <s v="Candidato"/>
    <n v="0"/>
    <n v="0"/>
  </r>
  <r>
    <n v="18256"/>
    <s v="18256"/>
    <x v="24"/>
    <x v="24"/>
    <s v="EL PAUJÍL"/>
    <n v="55.621866666666698"/>
    <n v="56.99"/>
    <n v="52.56"/>
    <n v="69.64"/>
    <n v="50.469509979317898"/>
    <n v="59.921384726868979"/>
    <n v="55.473450242639714"/>
    <n v="55.532400000000003"/>
    <n v="58.702966666666669"/>
    <n v="55.349186237206652"/>
    <n v="57.02607645193666"/>
    <n v="65.915901514160012"/>
    <n v="34.084098485839988"/>
    <n v="0.40675688637255991"/>
    <n v="0"/>
    <n v="23.195749299633313"/>
    <n v="4"/>
    <n v="4"/>
    <b v="1"/>
    <x v="5"/>
    <n v="54.231857391385901"/>
    <n v="0.40988263955148718"/>
    <n v="22.228696855361083"/>
    <n v="4"/>
    <n v="0"/>
    <n v="2.7942190605507591"/>
    <n v="-3.1257531789272708E-3"/>
    <n v="0.96705244427223036"/>
    <n v="4"/>
    <b v="1"/>
    <n v="0"/>
    <n v="0.6523467210059386"/>
    <n v="35.377974343332269"/>
    <n v="0.27191515529311056"/>
    <n v="4"/>
    <n v="0"/>
    <n v="27.191515529311054"/>
    <n v="4"/>
    <n v="-0.24558983463337869"/>
    <b v="1"/>
    <n v="0"/>
    <n v="4"/>
    <n v="0"/>
    <n v="0"/>
    <n v="0"/>
    <n v="0"/>
    <n v="1"/>
    <n v="1"/>
    <s v="Rural"/>
    <n v="6"/>
    <s v="Fuera SC"/>
    <m/>
    <s v="No"/>
    <s v="No"/>
    <n v="45.5"/>
    <n v="24.286382779597567"/>
    <n v="2.1500000000000004"/>
    <s v="Sin riesgo"/>
    <n v="7.0533584602694255"/>
    <s v="Medio"/>
    <n v="37801.355753000003"/>
    <n v="6913.5262942500003"/>
    <n v="18838"/>
    <n v="2.0066544088013591"/>
    <n v="0.36699895393619281"/>
    <m/>
    <m/>
    <m/>
    <m/>
    <m/>
    <m/>
    <m/>
    <n v="3"/>
    <n v="0"/>
    <n v="7"/>
    <n v="123415.379541"/>
    <n v="32665.305796000001"/>
    <n v="0.26467775667414456"/>
    <s v="0% - 30%"/>
    <n v="9.5035688287303463E-4"/>
    <s v="N.D."/>
    <s v="N.D."/>
    <s v="N.D."/>
    <n v="0.94474701631269475"/>
    <s v="Aceptable"/>
    <n v="2"/>
    <s v="Candidato"/>
    <n v="0"/>
    <n v="0"/>
  </r>
  <r>
    <n v="13688"/>
    <s v="13688"/>
    <x v="8"/>
    <x v="8"/>
    <s v="SANTA ROSA DEL SUR"/>
    <n v="72.755633333333293"/>
    <n v="75.87"/>
    <n v="80.28"/>
    <n v="81.87"/>
    <n v="56.310307850653196"/>
    <n v="55.79546218902027"/>
    <n v="56.568744192193243"/>
    <n v="62.528799999999997"/>
    <n v="77.693908333333326"/>
    <n v="57.800828557966675"/>
    <n v="67.747368445649997"/>
    <n v="66.56034292871567"/>
    <n v="33.43965707128433"/>
    <n v="0.40095691364155894"/>
    <n v="0"/>
    <n v="27.163775759305363"/>
    <n v="4"/>
    <n v="4"/>
    <b v="1"/>
    <x v="5"/>
    <n v="64.583695810639853"/>
    <n v="0.40991316700065061"/>
    <n v="26.473707286346034"/>
    <n v="4"/>
    <n v="0"/>
    <n v="3.1636726350101441"/>
    <n v="-8.9562533590916704E-3"/>
    <n v="0.69006847295932872"/>
    <n v="4"/>
    <b v="1"/>
    <n v="0"/>
    <n v="0.6523467210059386"/>
    <n v="42.130962192515881"/>
    <n v="0.35638791496623828"/>
    <n v="3"/>
    <n v="-1"/>
    <n v="35.638791496623831"/>
    <n v="4"/>
    <n v="-0.25138980736437966"/>
    <b v="1"/>
    <s v="Efecto ponderador"/>
    <n v="3"/>
    <n v="-1"/>
    <n v="0"/>
    <n v="0"/>
    <n v="0"/>
    <n v="1"/>
    <n v="1"/>
    <s v="Rural"/>
    <n v="6"/>
    <s v="Fuera SC"/>
    <m/>
    <s v="No"/>
    <s v="Si"/>
    <n v="43.6"/>
    <n v="28.056736548893124"/>
    <n v="0"/>
    <s v="Sin riesgo"/>
    <n v="48.755592525505769"/>
    <s v="Muy Alto"/>
    <n v="117899.090031"/>
    <n v="12155.298574750001"/>
    <n v="33643"/>
    <n v="3.5044166700650954"/>
    <n v="0.36130245741313205"/>
    <m/>
    <m/>
    <m/>
    <m/>
    <m/>
    <m/>
    <m/>
    <n v="8"/>
    <n v="0"/>
    <n v="7"/>
    <n v="238012.020926"/>
    <n v="166469.28359400001"/>
    <n v="0.69941544526340016"/>
    <s v="51% - 70%"/>
    <n v="4.8432189932192194E-3"/>
    <s v="N.D."/>
    <s v="N.D."/>
    <s v="N.D."/>
    <n v="0.92931098850663107"/>
    <s v="Aceptable"/>
    <n v="3"/>
    <s v="Candidato"/>
    <n v="0"/>
    <n v="0"/>
  </r>
  <r>
    <n v="15621"/>
    <s v="15621"/>
    <x v="10"/>
    <x v="10"/>
    <s v="RONDÓN"/>
    <n v="71.711799999999997"/>
    <n v="63.43"/>
    <n v="33.81"/>
    <n v="41.69"/>
    <n v="67.034285667300708"/>
    <n v="39.886262636356676"/>
    <n v="61.372457782077312"/>
    <n v="55.162199999999999"/>
    <n v="52.660449999999997"/>
    <n v="55.863801521433672"/>
    <n v="54.262125760716835"/>
    <n v="66.526277563071886"/>
    <n v="33.473722436928114"/>
    <n v="0.40126350193235305"/>
    <n v="0"/>
    <n v="21.773410605038983"/>
    <n v="5"/>
    <n v="5"/>
    <b v="1"/>
    <x v="5"/>
    <n v="57.907063208329554"/>
    <n v="0.40806526564186507"/>
    <n v="23.629861130647271"/>
    <n v="4"/>
    <n v="0"/>
    <n v="-3.644937447612719"/>
    <n v="-6.8017637095120209E-3"/>
    <n v="-1.8564505256082882"/>
    <n v="4"/>
    <b v="1"/>
    <n v="0"/>
    <n v="0.6523467210059386"/>
    <n v="37.775482807037413"/>
    <n v="0.3019054589619285"/>
    <n v="4"/>
    <n v="0"/>
    <n v="30.190545896192848"/>
    <n v="4"/>
    <n v="-0.25108321907358555"/>
    <b v="1"/>
    <n v="0"/>
    <n v="4"/>
    <n v="0"/>
    <n v="0"/>
    <n v="0"/>
    <n v="0"/>
    <n v="0"/>
    <n v="0"/>
    <s v="Rural disperso"/>
    <n v="6"/>
    <s v="Fuera SC"/>
    <m/>
    <s v="No"/>
    <s v="No"/>
    <n v="46.9"/>
    <n v="7.9113924050632916"/>
    <n v="50.541576026014802"/>
    <s v="Alto"/>
    <n v="0"/>
    <s v="Bajo"/>
    <n v="8822.5795610000005"/>
    <n v="1987.8875190000001"/>
    <n v="2467"/>
    <n v="3.5762381682205109"/>
    <n v="0.80579145480340497"/>
    <m/>
    <m/>
    <m/>
    <m/>
    <m/>
    <m/>
    <m/>
    <n v="0"/>
    <n v="0"/>
    <n v="7"/>
    <n v="20598.719502"/>
    <n v="6026.9299389999996"/>
    <n v="0.29258760178829679"/>
    <s v="0% - 30%"/>
    <n v="1.7534611143372772E-4"/>
    <s v="N.D."/>
    <s v="N.D."/>
    <s v="N.D."/>
    <n v="0.93457179892358533"/>
    <s v="Aceptable"/>
    <n v="1"/>
    <s v="Candidato"/>
    <n v="0"/>
    <n v="0"/>
  </r>
  <r>
    <n v="52233"/>
    <s v="52233"/>
    <x v="18"/>
    <x v="18"/>
    <s v="CUMBITARA"/>
    <n v="58.199666666666701"/>
    <n v="61.64"/>
    <n v="61.42"/>
    <n v="62.36"/>
    <n v="57.146612448411922"/>
    <n v="65.290073740710866"/>
    <n v="62.800582245239958"/>
    <n v="68.757800000000003"/>
    <n v="60.904916666666679"/>
    <n v="63.498767108590684"/>
    <n v="62.201841887628682"/>
    <n v="66.436023457386923"/>
    <n v="33.563976542613077"/>
    <n v="0.40207578888351769"/>
    <n v="0"/>
    <n v="25.009854646976137"/>
    <n v="4"/>
    <n v="4"/>
    <b v="1"/>
    <x v="5"/>
    <n v="59.518084863745344"/>
    <n v="0.40941674508234871"/>
    <n v="24.367700578449625"/>
    <n v="4"/>
    <n v="0"/>
    <n v="2.6837570238833379"/>
    <n v="-7.3409561988310168E-3"/>
    <n v="0.64215406852651213"/>
    <n v="4"/>
    <b v="1"/>
    <n v="0"/>
    <n v="0.6523467210059386"/>
    <n v="38.826427501417463"/>
    <n v="0.31505166928849482"/>
    <n v="4"/>
    <n v="0"/>
    <n v="31.505166928849484"/>
    <n v="4"/>
    <n v="-0.25027093212242091"/>
    <b v="1"/>
    <n v="0"/>
    <n v="4"/>
    <n v="0"/>
    <n v="0"/>
    <n v="0"/>
    <n v="0"/>
    <n v="1"/>
    <n v="1"/>
    <s v="Rural disperso"/>
    <n v="6"/>
    <s v="Fuera SC"/>
    <m/>
    <s v="No"/>
    <s v="No"/>
    <n v="39.4"/>
    <n v="20.451422963689893"/>
    <n v="45.878401822267364"/>
    <s v="Alto"/>
    <n v="79.900393814299719"/>
    <s v="Muy Alto"/>
    <n v="24189.112953"/>
    <n v="4040.5106730000002"/>
    <n v="5948"/>
    <n v="4.0667641144922664"/>
    <n v="0.67930576210490923"/>
    <m/>
    <m/>
    <m/>
    <m/>
    <m/>
    <m/>
    <m/>
    <n v="26"/>
    <n v="0"/>
    <n v="7"/>
    <n v="35555.104449999999"/>
    <n v="34099.377919999999"/>
    <n v="0.95905717188801565"/>
    <s v="71% - 100%"/>
    <n v="9.9207944693201363E-4"/>
    <n v="1493.7650470000001"/>
    <n v="4.2012674976124285E-2"/>
    <s v="0% - 30%"/>
    <n v="0.95365967556952635"/>
    <s v="Aceptable"/>
    <n v="3"/>
    <s v="Candidato"/>
    <n v="0"/>
    <n v="0"/>
  </r>
  <r>
    <n v="68101"/>
    <s v="68101"/>
    <x v="0"/>
    <x v="0"/>
    <s v="BOLÍVAR"/>
    <n v="71.346800000000002"/>
    <n v="61.36"/>
    <n v="62.09"/>
    <n v="66.14"/>
    <n v="54.227864596734648"/>
    <n v="42.205660877601439"/>
    <n v="60.34050124130659"/>
    <n v="52.015599999999999"/>
    <n v="65.234200000000001"/>
    <n v="52.197406678910667"/>
    <n v="58.715803339455334"/>
    <n v="66.519583679534875"/>
    <n v="33.480416320465125"/>
    <n v="0.40132374688418615"/>
    <n v="0"/>
    <n v="23.564046197505224"/>
    <n v="4"/>
    <n v="4"/>
    <b v="1"/>
    <x v="5"/>
    <n v="58.725210852579465"/>
    <n v="0.40884762454159596"/>
    <n v="24.009662957781465"/>
    <n v="4"/>
    <n v="0"/>
    <n v="-9.4075131241311283E-3"/>
    <n v="-7.5238776574098054E-3"/>
    <n v="-0.44561676027624131"/>
    <n v="4"/>
    <b v="1"/>
    <n v="0"/>
    <n v="0.6523467210059386"/>
    <n v="38.309198740062577"/>
    <n v="0.30858168269445069"/>
    <n v="4"/>
    <n v="0"/>
    <n v="30.85816826944507"/>
    <n v="4"/>
    <n v="-0.25102297412175245"/>
    <b v="1"/>
    <n v="0"/>
    <n v="4"/>
    <n v="0"/>
    <n v="0"/>
    <n v="0"/>
    <n v="0"/>
    <n v="0"/>
    <n v="1"/>
    <s v="Rural disperso"/>
    <n v="6"/>
    <s v="Fuera SC"/>
    <m/>
    <s v="No"/>
    <s v="No"/>
    <n v="45.5"/>
    <n v="25.675532478541911"/>
    <n v="0.49666666666666665"/>
    <s v="Sin riesgo"/>
    <n v="6.148942657920016E-2"/>
    <s v="Bajo"/>
    <n v="23706.711336"/>
    <n v="5520.8844040000004"/>
    <n v="11558"/>
    <n v="2.0511084388302474"/>
    <n v="0.47766779754282751"/>
    <m/>
    <m/>
    <m/>
    <m/>
    <m/>
    <m/>
    <m/>
    <n v="25"/>
    <n v="0"/>
    <n v="7"/>
    <n v="100885.600032"/>
    <n v="54594.703595999999"/>
    <n v="0.54115457090687924"/>
    <s v="51% - 70%"/>
    <n v="1.5883657313633744E-3"/>
    <s v="N.D."/>
    <s v="N.D."/>
    <s v="N.D."/>
    <n v="0.7960134004315752"/>
    <s v="Crítico bajo"/>
    <n v="2"/>
    <s v="Candidato"/>
    <n v="0"/>
    <n v="0"/>
  </r>
  <r>
    <n v="68573"/>
    <s v="68573"/>
    <x v="0"/>
    <x v="0"/>
    <s v="PUERTO PARRA"/>
    <n v="65.792299999999997"/>
    <n v="66.89"/>
    <n v="65.44"/>
    <n v="0"/>
    <n v="69.427385122162761"/>
    <n v="72.076423887720154"/>
    <n v="63.398090689502908"/>
    <n v="66.561199999999999"/>
    <n v="49.530574999999999"/>
    <n v="67.865774924846448"/>
    <n v="58.698174962423224"/>
    <n v="65.280692562235245"/>
    <n v="34.719307437764755"/>
    <n v="0.4124737669398828"/>
    <n v="0"/>
    <n v="24.211457339247019"/>
    <n v="4"/>
    <n v="4"/>
    <b v="1"/>
    <x v="5"/>
    <n v="65.668660753260198"/>
    <n v="0.40867915351620088"/>
    <n v="26.837412689184941"/>
    <n v="4"/>
    <n v="0"/>
    <n v="-6.9704857908369746"/>
    <n v="3.7946134236819251E-3"/>
    <n v="-2.6259553499379216"/>
    <n v="4"/>
    <b v="1"/>
    <n v="0"/>
    <n v="0.6523467210059386"/>
    <n v="42.838735515240657"/>
    <n v="0.36524141317011982"/>
    <n v="3"/>
    <n v="-1"/>
    <n v="36.524141317011981"/>
    <n v="4"/>
    <n v="-0.2398729540660558"/>
    <b v="1"/>
    <s v="Efecto ponderador"/>
    <n v="4"/>
    <n v="0"/>
    <n v="0"/>
    <n v="0"/>
    <n v="0"/>
    <n v="0"/>
    <n v="0"/>
    <s v="Rural"/>
    <n v="6"/>
    <s v="Fuera SC"/>
    <m/>
    <s v="No"/>
    <s v="No"/>
    <n v="36.1"/>
    <n v="18.452120682116309"/>
    <n v="10.998838916070756"/>
    <s v="Bajo"/>
    <n v="0.48996548826712694"/>
    <s v="Medio Bajo"/>
    <n v="23340.387788"/>
    <n v="9166.9544289999994"/>
    <n v="8892"/>
    <n v="2.624874919928025"/>
    <n v="1.030921550719748"/>
    <m/>
    <m/>
    <m/>
    <m/>
    <m/>
    <m/>
    <m/>
    <n v="29"/>
    <n v="0"/>
    <n v="7"/>
    <n v="76133.382119999995"/>
    <n v="4961.2616690000004"/>
    <n v="6.5165391722387347E-2"/>
    <s v="0% - 30%"/>
    <n v="1.4434180424680661E-4"/>
    <s v="N.D."/>
    <s v="N.D."/>
    <s v="N.D."/>
    <n v="0.86835544034184486"/>
    <s v="Aceptable"/>
    <n v="2"/>
    <s v="Candidato"/>
    <n v="0"/>
    <n v="0"/>
  </r>
  <r>
    <n v="54820"/>
    <s v="54820"/>
    <x v="12"/>
    <x v="12"/>
    <s v="TOLEDO"/>
    <n v="56.272133333333301"/>
    <n v="54.63"/>
    <n v="44.02"/>
    <n v="44.47"/>
    <n v="49.361154582155542"/>
    <n v="62.713600077400848"/>
    <n v="67.108423329516512"/>
    <n v="60.1783"/>
    <n v="49.848033333333326"/>
    <n v="59.840369497268227"/>
    <n v="54.844201415300773"/>
    <n v="66.29068710994342"/>
    <n v="33.70931289005658"/>
    <n v="0.40338381601050921"/>
    <n v="0"/>
    <n v="22.123263252952995"/>
    <n v="4"/>
    <n v="4"/>
    <b v="1"/>
    <x v="5"/>
    <n v="56.248882613074286"/>
    <n v="0.40885967880856855"/>
    <n v="22.997900078522427"/>
    <n v="4"/>
    <n v="0"/>
    <n v="-1.4046811977735132"/>
    <n v="-5.4758627980593388E-3"/>
    <n v="-0.87463682556943212"/>
    <n v="4"/>
    <b v="1"/>
    <n v="0"/>
    <n v="0.6523467210059386"/>
    <n v="36.693774132886965"/>
    <n v="0.28837442367672578"/>
    <n v="4"/>
    <n v="0"/>
    <n v="28.837442367672576"/>
    <n v="4"/>
    <n v="-0.24896290499542939"/>
    <b v="1"/>
    <n v="0"/>
    <n v="4"/>
    <n v="0"/>
    <n v="0"/>
    <n v="0"/>
    <n v="0"/>
    <n v="0"/>
    <n v="0"/>
    <s v="Rural"/>
    <n v="6"/>
    <s v="Fuera SC"/>
    <m/>
    <s v="No"/>
    <s v="No"/>
    <n v="50.1"/>
    <n v="33.116575221838382"/>
    <n v="51.78338634494105"/>
    <s v="Alto"/>
    <n v="7.8164807577682653"/>
    <s v="Medio"/>
    <n v="44826.828690000002"/>
    <n v="15019.713013000001"/>
    <n v="17424"/>
    <n v="2.572705962465565"/>
    <n v="0.86201291396923785"/>
    <m/>
    <m/>
    <m/>
    <m/>
    <m/>
    <m/>
    <m/>
    <n v="24"/>
    <n v="0"/>
    <n v="7"/>
    <n v="149927.71403999999"/>
    <n v="114095.97977799999"/>
    <n v="0.76100659913723312"/>
    <s v="71% - 100%"/>
    <n v="3.319482155389551E-3"/>
    <n v="10419.744446000001"/>
    <n v="6.9498454723454686E-2"/>
    <s v="0% - 30%"/>
    <n v="0.97864487085970575"/>
    <s v="Aceptable"/>
    <n v="2"/>
    <s v="Candidato"/>
    <n v="1"/>
    <s v="Zona de Fronteras"/>
  </r>
  <r>
    <n v="73461"/>
    <s v="73461"/>
    <x v="15"/>
    <x v="15"/>
    <s v="MURILLO"/>
    <n v="69.733933333333297"/>
    <n v="47.77"/>
    <n v="53.47"/>
    <n v="41.1"/>
    <n v="53.71426170349411"/>
    <n v="54.451609758701338"/>
    <n v="64.04153016031583"/>
    <n v="57.372300000000003"/>
    <n v="53.018483333333322"/>
    <n v="57.394925405627816"/>
    <n v="55.206704369480569"/>
    <n v="66.718921593369842"/>
    <n v="33.281078406630158"/>
    <n v="0.3995297056596715"/>
    <n v="0"/>
    <n v="22.056718347179071"/>
    <n v="4"/>
    <n v="4"/>
    <b v="1"/>
    <x v="5"/>
    <n v="60.101317050408682"/>
    <n v="0.40835539280798472"/>
    <n v="24.542696932396865"/>
    <n v="4"/>
    <n v="0"/>
    <n v="-4.8946126809281125"/>
    <n v="-8.8256871483132215E-3"/>
    <n v="-2.4859785852177936"/>
    <n v="4"/>
    <b v="1"/>
    <n v="0"/>
    <n v="0.6523467210059386"/>
    <n v="39.206897105972416"/>
    <n v="0.31981094298871121"/>
    <n v="4"/>
    <n v="0"/>
    <n v="31.98109429887112"/>
    <n v="4"/>
    <n v="-0.2528170153462671"/>
    <b v="1"/>
    <n v="0"/>
    <n v="4"/>
    <n v="0"/>
    <n v="0"/>
    <n v="0"/>
    <n v="0"/>
    <n v="0"/>
    <n v="1"/>
    <s v="Rural"/>
    <n v="6"/>
    <s v="Fuera SC"/>
    <m/>
    <s v="No"/>
    <s v="Si"/>
    <n v="50.4"/>
    <n v="14.486260454002389"/>
    <n v="13.028571428571427"/>
    <s v="Bajo"/>
    <n v="3.8653445103680095"/>
    <s v="Medio Bajo"/>
    <n v="9649.6862710000005"/>
    <n v="2720.3724259999999"/>
    <n v="4251"/>
    <n v="2.2699803036932487"/>
    <n v="0.63993705622206543"/>
    <m/>
    <m/>
    <m/>
    <m/>
    <m/>
    <m/>
    <m/>
    <n v="89"/>
    <n v="0"/>
    <n v="7"/>
    <n v="42372.151345999999"/>
    <n v="37120.616525999998"/>
    <n v="0.87606164300893463"/>
    <s v="71% - 100%"/>
    <n v="1.0799786670386698E-3"/>
    <s v="N.D."/>
    <s v="N.D."/>
    <s v="N.D."/>
    <n v="0.9511242351949678"/>
    <s v="Aceptable"/>
    <n v="1"/>
    <s v="Candidato"/>
    <n v="0"/>
    <n v="0"/>
  </r>
  <r>
    <n v="25293"/>
    <s v="25293"/>
    <x v="5"/>
    <x v="5"/>
    <s v="GACHALÁ"/>
    <n v="57.106400000000001"/>
    <n v="67.349999999999994"/>
    <n v="59.67"/>
    <n v="64.64"/>
    <n v="56.865322154154811"/>
    <n v="48.328169959739462"/>
    <n v="66.065220564274867"/>
    <n v="53.2866"/>
    <n v="62.191599999999994"/>
    <n v="56.136328169542288"/>
    <n v="59.163964084771138"/>
    <n v="67.186416645888599"/>
    <n v="32.813583354111401"/>
    <n v="0.39532225018700262"/>
    <n v="0"/>
    <n v="23.388831411974735"/>
    <n v="4"/>
    <n v="4"/>
    <b v="1"/>
    <x v="5"/>
    <n v="57.153475183220472"/>
    <n v="0.40647846811935651"/>
    <n v="23.231657040173115"/>
    <n v="4"/>
    <n v="0"/>
    <n v="2.0104889015506657"/>
    <n v="-1.1156217932353885E-2"/>
    <n v="0.15717437180162008"/>
    <n v="4"/>
    <b v="1"/>
    <n v="0"/>
    <n v="0.6523467210059386"/>
    <n v="37.283882129868161"/>
    <n v="0.29575605268649957"/>
    <n v="4"/>
    <n v="0"/>
    <n v="29.575605268649959"/>
    <n v="4"/>
    <n v="-0.25702447081893598"/>
    <b v="1"/>
    <n v="0"/>
    <n v="4"/>
    <n v="0"/>
    <n v="0"/>
    <n v="0"/>
    <n v="0"/>
    <n v="0"/>
    <n v="0"/>
    <s v="Rural"/>
    <n v="6"/>
    <s v="Fuera SC"/>
    <m/>
    <s v="No"/>
    <s v="No"/>
    <n v="51.5"/>
    <n v="17.545475477780336"/>
    <n v="0"/>
    <s v="Sin riesgo"/>
    <n v="0"/>
    <s v="Bajo"/>
    <n v="21601.993060000001"/>
    <n v="5773.9864916000006"/>
    <n v="4548"/>
    <n v="4.7497785971855766"/>
    <n v="1.269566071152155"/>
    <m/>
    <m/>
    <m/>
    <m/>
    <m/>
    <m/>
    <m/>
    <n v="87"/>
    <n v="0"/>
    <n v="7"/>
    <n v="38437.423110000003"/>
    <n v="7063.6006420000003"/>
    <n v="0.18376883959638574"/>
    <s v="0% - 30%"/>
    <n v="2.0550677008549889E-4"/>
    <s v="N.D."/>
    <s v="N.D."/>
    <s v="N.D."/>
    <n v="0.92148902624329532"/>
    <s v="Aceptable"/>
    <n v="2"/>
    <s v="No es Candidato"/>
    <n v="0"/>
    <n v="0"/>
  </r>
  <r>
    <n v="15667"/>
    <s v="15667"/>
    <x v="10"/>
    <x v="10"/>
    <s v="SAN LUIS DE GACENO"/>
    <n v="50.167366666666702"/>
    <n v="54.25"/>
    <n v="50.94"/>
    <n v="52.09"/>
    <n v="46.603527038199402"/>
    <n v="48.130819806777318"/>
    <n v="51.320309990908044"/>
    <n v="57.551099999999998"/>
    <n v="51.861841666666677"/>
    <n v="50.90143920897119"/>
    <n v="51.38164043781893"/>
    <n v="67.312145408713988"/>
    <n v="32.687854591286012"/>
    <n v="0.39419069132157414"/>
    <n v="0"/>
    <n v="20.254164365420394"/>
    <n v="5"/>
    <n v="5"/>
    <b v="1"/>
    <x v="6"/>
    <n v="49.982138549152147"/>
    <n v="0.40533751422719699"/>
    <n v="20.25963579527269"/>
    <n v="4"/>
    <n v="-1"/>
    <n v="1.3995018886667836"/>
    <n v="-1.1146822905622855E-2"/>
    <n v="-5.4714298522959837E-3"/>
    <n v="4"/>
    <b v="0"/>
    <s v="Cambio en corte"/>
    <n v="0.6523467210059386"/>
    <n v="32.605684191403924"/>
    <n v="0.23723672776175744"/>
    <n v="4"/>
    <n v="-1"/>
    <n v="23.723672776175743"/>
    <n v="4"/>
    <n v="-0.25815602968436446"/>
    <b v="0"/>
    <s v="Cambio en corte"/>
    <n v="4"/>
    <n v="-1"/>
    <n v="0"/>
    <n v="0"/>
    <n v="0"/>
    <n v="0"/>
    <n v="0"/>
    <s v="Rural"/>
    <n v="6"/>
    <s v="Fuera SC"/>
    <m/>
    <s v="No"/>
    <s v="No"/>
    <n v="31.4"/>
    <n v="15.284516982796648"/>
    <n v="19.300808802677103"/>
    <s v="Medio"/>
    <n v="0"/>
    <s v="Bajo"/>
    <n v="16561.154482999998"/>
    <n v="5422.5879594999997"/>
    <n v="5304"/>
    <n v="3.1223896084087479"/>
    <n v="1.0223582125754147"/>
    <m/>
    <m/>
    <m/>
    <m/>
    <m/>
    <m/>
    <m/>
    <n v="17"/>
    <n v="0"/>
    <n v="7"/>
    <n v="46896.632053000001"/>
    <n v="24.865068999999998"/>
    <n v="5.3021012195286993E-4"/>
    <n v="0"/>
    <n v="7.2341859019598089E-7"/>
    <s v="N.D."/>
    <s v="N.D."/>
    <s v="N.D."/>
    <n v="0.95927808526425173"/>
    <s v="Aceptable"/>
    <n v="1"/>
    <s v="Candidato"/>
    <n v="0"/>
    <n v="0"/>
  </r>
  <r>
    <n v="25530"/>
    <s v="25530"/>
    <x v="5"/>
    <x v="5"/>
    <s v="PARATEBUENO"/>
    <n v="56.3583"/>
    <n v="58.75"/>
    <n v="56.97"/>
    <n v="44.36"/>
    <n v="62.813058646805217"/>
    <n v="71.830255474707741"/>
    <n v="68.62131443682101"/>
    <n v="61.979599999999998"/>
    <n v="54.109575000000007"/>
    <n v="66.311057139583497"/>
    <n v="60.210316069791752"/>
    <n v="68.408760836799303"/>
    <n v="31.591239163200697"/>
    <n v="0.38432115246880627"/>
    <n v="0"/>
    <n v="23.14009806245345"/>
    <n v="4"/>
    <n v="4"/>
    <b v="1"/>
    <x v="5"/>
    <n v="60.273168977248929"/>
    <n v="0.40453251150210179"/>
    <n v="24.382456422557077"/>
    <n v="4"/>
    <n v="0"/>
    <n v="-6.2852907457177309E-2"/>
    <n v="-2.0211359033295517E-2"/>
    <n v="-1.2423583601036263"/>
    <n v="4"/>
    <b v="1"/>
    <n v="0"/>
    <n v="0.6523467210059386"/>
    <n v="39.319004146945204"/>
    <n v="0.32121328389932086"/>
    <n v="4"/>
    <n v="0"/>
    <n v="32.121328389932088"/>
    <n v="4"/>
    <n v="-0.26802556853713233"/>
    <b v="1"/>
    <n v="0"/>
    <n v="4"/>
    <n v="0"/>
    <n v="0"/>
    <n v="0"/>
    <n v="0"/>
    <n v="0"/>
    <n v="1"/>
    <s v="Rural"/>
    <n v="6"/>
    <s v="Fuera SC"/>
    <m/>
    <s v="No"/>
    <s v="No"/>
    <n v="37.4"/>
    <n v="15.573053368328958"/>
    <n v="9.1933333333333334"/>
    <s v="Bajo"/>
    <n v="7.9435417057605653"/>
    <s v="Medio"/>
    <n v="23705.079368999999"/>
    <n v="10569.478126"/>
    <n v="8841"/>
    <n v="2.6812667536477774"/>
    <n v="1.1955070835878294"/>
    <m/>
    <m/>
    <m/>
    <m/>
    <m/>
    <m/>
    <m/>
    <n v="88"/>
    <n v="0"/>
    <n v="7"/>
    <n v="88390.653760999994"/>
    <n v="965.72936200000004"/>
    <n v="1.0925695431682645E-2"/>
    <s v="0% - 30%"/>
    <n v="2.8096707616974808E-5"/>
    <s v="N.D."/>
    <s v="N.D."/>
    <s v="N.D."/>
    <n v="0.89934529351261072"/>
    <s v="Aceptable"/>
    <n v="2"/>
    <s v="Candidato"/>
    <n v="0"/>
    <n v="0"/>
  </r>
  <r>
    <n v="54174"/>
    <s v="54174"/>
    <x v="12"/>
    <x v="12"/>
    <s v="CHITAGÁ"/>
    <n v="59.760966666666697"/>
    <n v="47.3"/>
    <n v="42.07"/>
    <n v="52.75"/>
    <n v="59.168726571013735"/>
    <n v="51.367140469710492"/>
    <n v="60.443449452704648"/>
    <n v="59.401899999999998"/>
    <n v="50.470241666666674"/>
    <n v="57.595304123357224"/>
    <n v="54.032772895011945"/>
    <n v="66.505830214389391"/>
    <n v="33.494169785610609"/>
    <n v="0.40144752807049555"/>
    <n v="0"/>
    <n v="21.69132311349702"/>
    <n v="5"/>
    <n v="5"/>
    <b v="1"/>
    <x v="5"/>
    <n v="53.881986889411237"/>
    <n v="0.40654661855730589"/>
    <n v="21.905539571039228"/>
    <n v="4"/>
    <n v="0"/>
    <n v="0.15078600560070754"/>
    <n v="-5.0990904868103426E-3"/>
    <n v="-0.21421645754220719"/>
    <n v="4"/>
    <b v="1"/>
    <n v="0"/>
    <n v="0.6523467210059386"/>
    <n v="35.149737468592392"/>
    <n v="0.26906015257445792"/>
    <n v="4"/>
    <n v="0"/>
    <n v="26.906015257445791"/>
    <n v="4"/>
    <n v="-0.25089919293544305"/>
    <b v="1"/>
    <n v="0"/>
    <n v="4"/>
    <n v="0"/>
    <n v="0"/>
    <n v="0"/>
    <n v="0"/>
    <n v="0"/>
    <n v="0"/>
    <s v="Rural"/>
    <n v="6"/>
    <s v="Fuera SC"/>
    <m/>
    <s v="No"/>
    <s v="No"/>
    <n v="54.8"/>
    <n v="31.8173204472238"/>
    <n v="9.3559999999999999"/>
    <s v="Bajo"/>
    <n v="1.6665760572424131"/>
    <s v="Medio Bajo"/>
    <n v="31258.903306"/>
    <n v="7355.4172040000003"/>
    <n v="13208"/>
    <n v="2.3666643932465172"/>
    <n v="0.55689106632344032"/>
    <m/>
    <m/>
    <m/>
    <m/>
    <m/>
    <m/>
    <m/>
    <n v="24"/>
    <n v="0"/>
    <n v="7"/>
    <n v="118250.538184"/>
    <n v="52644.090402000002"/>
    <n v="0.44519112733410848"/>
    <s v="31% - 50%"/>
    <n v="1.5316150403911855E-3"/>
    <n v="33928.263680999997"/>
    <n v="0.28691847159466621"/>
    <s v="0% - 30%"/>
    <n v="0.97315565297251738"/>
    <s v="Aceptable"/>
    <n v="1"/>
    <s v="Candidato"/>
    <n v="0"/>
    <n v="0"/>
  </r>
  <r>
    <n v="41078"/>
    <s v="41078"/>
    <x v="19"/>
    <x v="19"/>
    <s v="BARAYA"/>
    <n v="71.364599999999996"/>
    <n v="75.98"/>
    <n v="73.959999999999994"/>
    <n v="75.78"/>
    <n v="62.216054397843045"/>
    <n v="48.151479977425637"/>
    <n v="53.649388540969923"/>
    <n v="54.743699999999997"/>
    <n v="74.271150000000006"/>
    <n v="54.690155729059654"/>
    <n v="64.48065286452983"/>
    <n v="67.178383220168669"/>
    <n v="32.821616779831331"/>
    <n v="0.39539455101848198"/>
    <n v="0"/>
    <n v="25.495298788749366"/>
    <n v="4"/>
    <n v="4"/>
    <b v="1"/>
    <x v="5"/>
    <n v="64.418709922783393"/>
    <n v="0.40535410773314395"/>
    <n v="26.11238868207009"/>
    <n v="4"/>
    <n v="0"/>
    <n v="6.1942941746437441E-2"/>
    <n v="-9.9595567146619768E-3"/>
    <n v="-0.61708989332072406"/>
    <n v="4"/>
    <b v="1"/>
    <n v="0"/>
    <n v="0.6523467210059386"/>
    <n v="42.023334189560465"/>
    <n v="0.3550416020998749"/>
    <n v="3"/>
    <n v="-1"/>
    <n v="35.504160209987489"/>
    <n v="4"/>
    <n v="-0.25695216998745662"/>
    <b v="1"/>
    <s v="Efecto ponderador"/>
    <n v="4"/>
    <n v="0"/>
    <n v="0"/>
    <n v="0"/>
    <n v="0"/>
    <n v="0"/>
    <n v="1"/>
    <s v="Rural"/>
    <n v="6"/>
    <s v="Fuera SC"/>
    <m/>
    <s v="No"/>
    <s v="Si"/>
    <n v="49.4"/>
    <n v="20.790995779271533"/>
    <n v="4.6512500000000001"/>
    <s v="Sin riesgo"/>
    <n v="4.9799064358897542"/>
    <s v="Medio Bajo"/>
    <n v="16055.660662"/>
    <n v="3996.5788299999999"/>
    <n v="8221"/>
    <n v="1.9530057975915338"/>
    <n v="0.48614266269310302"/>
    <m/>
    <m/>
    <m/>
    <m/>
    <m/>
    <m/>
    <m/>
    <n v="23"/>
    <n v="0"/>
    <n v="7"/>
    <n v="78547.923049000005"/>
    <n v="35277.665173000001"/>
    <n v="0.44912282595929343"/>
    <s v="31% - 50%"/>
    <n v="1.026360264870269E-3"/>
    <s v="N.D."/>
    <s v="N.D."/>
    <s v="N.D."/>
    <n v="0.96383502780073549"/>
    <s v="Aceptable"/>
    <n v="2"/>
    <s v="Candidato"/>
    <n v="0"/>
    <n v="0"/>
  </r>
  <r>
    <n v="27413"/>
    <s v="27413"/>
    <x v="26"/>
    <x v="26"/>
    <s v="LLORÓ"/>
    <n v="67.212400000000002"/>
    <n v="60.22"/>
    <n v="34.49"/>
    <n v="34.979999999999997"/>
    <n v="49.17394860891644"/>
    <n v="47.434311011115"/>
    <n v="6.2446130505055546"/>
    <n v="32.754600000000003"/>
    <n v="49.2256"/>
    <n v="33.901868167634248"/>
    <n v="41.563734083817124"/>
    <n v="66.658187729221879"/>
    <n v="33.341812270778121"/>
    <n v="0.40007631043700309"/>
    <n v="0"/>
    <n v="16.628665380238267"/>
    <n v="5"/>
    <n v="5"/>
    <b v="1"/>
    <x v="6"/>
    <n v="47.108336941486513"/>
    <n v="0.40520623401733069"/>
    <n v="19.088591802879247"/>
    <n v="5"/>
    <n v="0"/>
    <n v="-5.5446028576693891"/>
    <n v="-5.1299235803276E-3"/>
    <n v="-2.4599264226409794"/>
    <n v="5"/>
    <b v="1"/>
    <n v="0"/>
    <n v="0.6523467210059386"/>
    <n v="30.730969135821653"/>
    <n v="0.21378601855236054"/>
    <n v="4"/>
    <n v="-1"/>
    <n v="21.378601855236052"/>
    <n v="5"/>
    <n v="-0.25227041056893551"/>
    <b v="1"/>
    <s v="Efecto ponderador"/>
    <n v="4"/>
    <n v="-1"/>
    <n v="0"/>
    <n v="0"/>
    <n v="0"/>
    <n v="0"/>
    <n v="0"/>
    <s v="Rural"/>
    <n v="6"/>
    <s v="Fuera SC"/>
    <m/>
    <s v="No"/>
    <s v="No"/>
    <n v="74.400000000000006"/>
    <n v="76.624103942652326"/>
    <n v="68.150000000000006"/>
    <s v="Alto"/>
    <n v="3.0092321454745243"/>
    <s v="Medio Bajo"/>
    <n v="36371.676076999996"/>
    <n v="8234.2700270000005"/>
    <n v="10316"/>
    <n v="3.525753787999224"/>
    <n v="0.79820376376502522"/>
    <m/>
    <m/>
    <m/>
    <m/>
    <m/>
    <m/>
    <m/>
    <n v="51"/>
    <n v="0"/>
    <n v="7"/>
    <n v="84312.259021000005"/>
    <n v="11159.803113"/>
    <n v="0.13236275771261663"/>
    <s v="0% - 30%"/>
    <n v="3.2468074127890733E-4"/>
    <n v="69381.076585999996"/>
    <n v="0.82290615139038037"/>
    <s v="71% - 100%"/>
    <n v="0.92677721978149075"/>
    <s v="Aceptable"/>
    <n v="1"/>
    <s v="Candidato"/>
    <n v="0"/>
    <n v="0"/>
  </r>
  <r>
    <n v="15690"/>
    <s v="15690"/>
    <x v="10"/>
    <x v="10"/>
    <s v="SANTA MARÍA"/>
    <n v="68.151133333333306"/>
    <n v="61.05"/>
    <n v="59.12"/>
    <n v="79.91"/>
    <n v="62.335658056689518"/>
    <n v="58.78769347494692"/>
    <n v="62.084324019781619"/>
    <n v="58.459299999999999"/>
    <n v="67.057783333333333"/>
    <n v="60.416743887854508"/>
    <n v="63.737263610593921"/>
    <n v="66.982838281696743"/>
    <n v="33.017161718303257"/>
    <n v="0.39715445546472927"/>
    <n v="0"/>
    <n v="25.313538222077334"/>
    <n v="4"/>
    <n v="4"/>
    <b v="1"/>
    <x v="5"/>
    <n v="62.039169816554114"/>
    <n v="0.40275023393455445"/>
    <n v="24.98629015672272"/>
    <n v="4"/>
    <n v="0"/>
    <n v="1.6980937940398064"/>
    <n v="-5.5957784698251745E-3"/>
    <n v="0.32724806535461326"/>
    <n v="4"/>
    <b v="1"/>
    <n v="0"/>
    <n v="0.6523467210059386"/>
    <n v="40.471049003759674"/>
    <n v="0.33562415068832541"/>
    <n v="4"/>
    <n v="0"/>
    <n v="33.562415068832543"/>
    <n v="4"/>
    <n v="-0.25519226554120933"/>
    <b v="1"/>
    <n v="0"/>
    <n v="3"/>
    <n v="-1"/>
    <n v="0"/>
    <n v="0"/>
    <n v="0"/>
    <n v="0"/>
    <n v="0"/>
    <s v="Rural"/>
    <n v="6"/>
    <s v="Fuera SC"/>
    <m/>
    <s v="No"/>
    <s v="No"/>
    <n v="29"/>
    <n v="10.830908503071452"/>
    <n v="4.0877417065815154"/>
    <s v="Sin riesgo"/>
    <n v="0"/>
    <s v="Bajo"/>
    <n v="16788.185225000001"/>
    <n v="7262.7546073999993"/>
    <n v="3640"/>
    <n v="4.6121387980769235"/>
    <n v="1.9952622547802197"/>
    <m/>
    <m/>
    <m/>
    <m/>
    <m/>
    <m/>
    <m/>
    <n v="17"/>
    <n v="0"/>
    <n v="7"/>
    <n v="30910.660693999998"/>
    <n v="10842.160221"/>
    <n v="0.35075795785576813"/>
    <s v="31% - 50%"/>
    <n v="3.1543931214326272E-4"/>
    <s v="N.D."/>
    <s v="N.D."/>
    <s v="N.D."/>
    <n v="0.71506579371812262"/>
    <s v="Crítico Medio"/>
    <n v="1"/>
    <s v="Candidato"/>
    <n v="0"/>
    <n v="0"/>
  </r>
  <r>
    <n v="81001"/>
    <s v="81001"/>
    <x v="25"/>
    <x v="25"/>
    <s v="ARAUCA"/>
    <n v="64.3733"/>
    <n v="60.44"/>
    <n v="59.61"/>
    <n v="55.75"/>
    <n v="59.402578103156785"/>
    <n v="56.833486539936757"/>
    <n v="56.58912477560331"/>
    <n v="53.568199999999997"/>
    <n v="60.043324999999996"/>
    <n v="56.59834735467421"/>
    <n v="58.3208361773371"/>
    <n v="67.546621220254281"/>
    <n v="32.453378779745719"/>
    <n v="0.39208040901771146"/>
    <n v="0"/>
    <n v="22.866457302665275"/>
    <n v="4"/>
    <n v="4"/>
    <b v="1"/>
    <x v="5"/>
    <n v="58.362330043754305"/>
    <n v="0.40242958807851215"/>
    <n v="23.486728438810218"/>
    <n v="4"/>
    <n v="0"/>
    <n v="-4.1493866417205538E-2"/>
    <n v="-1.0349179060800684E-2"/>
    <n v="-0.62027113614494311"/>
    <n v="4"/>
    <b v="1"/>
    <n v="0"/>
    <n v="0.6523467210059386"/>
    <n v="38.072474634309501"/>
    <n v="0.30562051366220772"/>
    <n v="4"/>
    <n v="0"/>
    <n v="30.562051366220771"/>
    <n v="4"/>
    <n v="-0.26026631198822714"/>
    <b v="1"/>
    <n v="0"/>
    <n v="3"/>
    <n v="-1"/>
    <n v="1"/>
    <n v="0"/>
    <n v="0"/>
    <n v="0"/>
    <n v="1"/>
    <s v="Intermedio"/>
    <n v="4"/>
    <s v="Uninodal"/>
    <m/>
    <s v="No"/>
    <s v="No"/>
    <n v="38.6"/>
    <n v="31.560754049600064"/>
    <n v="6.5643441018874524"/>
    <s v="Bajo"/>
    <n v="9.76793800894648"/>
    <s v="Medio"/>
    <n v="177890.81426300001"/>
    <n v="42808.910381099995"/>
    <n v="90619"/>
    <n v="1.9630630912170737"/>
    <n v="0.47240546001500783"/>
    <m/>
    <m/>
    <m/>
    <m/>
    <m/>
    <m/>
    <m/>
    <n v="53"/>
    <n v="1"/>
    <n v="4"/>
    <n v="575597.51622800005"/>
    <n v="132119.172154"/>
    <n v="0.22953395111883396"/>
    <s v="0% - 30%"/>
    <n v="3.8438447630089736E-3"/>
    <n v="414.55091199999998"/>
    <n v="7.2020969568567799E-4"/>
    <n v="0"/>
    <n v="0.87210635228643163"/>
    <s v="Aceptable"/>
    <n v="1"/>
    <s v="Candidato"/>
    <n v="1"/>
    <s v="Unidad Especial de Desarrollo Fronterizo"/>
  </r>
  <r>
    <n v="5004"/>
    <s v="05004"/>
    <x v="1"/>
    <x v="1"/>
    <s v="ABRIAQUÍ"/>
    <n v="39.360599999999998"/>
    <n v="18.27"/>
    <n v="19.55"/>
    <n v="22.85"/>
    <n v="53.762177420239396"/>
    <n v="51.505645987747215"/>
    <n v="63.304394940857613"/>
    <n v="55.817399999999999"/>
    <n v="25.007649999999998"/>
    <n v="56.097404587211052"/>
    <n v="40.552527293605522"/>
    <n v="66.680195047431241"/>
    <n v="33.319804952568759"/>
    <n v="0.39987824457311882"/>
    <n v="0"/>
    <n v="16.216073427170464"/>
    <n v="5"/>
    <n v="5"/>
    <b v="1"/>
    <x v="6"/>
    <n v="41.364716964384122"/>
    <n v="0.40156259357577984"/>
    <n v="16.610523026746147"/>
    <n v="5"/>
    <n v="0"/>
    <n v="-0.81218967077860071"/>
    <n v="-1.684349002661012E-3"/>
    <n v="-0.39444959957568315"/>
    <n v="5"/>
    <b v="1"/>
    <n v="0"/>
    <n v="0.6523467210059386"/>
    <n v="26.984137477054706"/>
    <n v="0.16691710403403365"/>
    <n v="5"/>
    <n v="0"/>
    <n v="16.691710403403366"/>
    <n v="5"/>
    <n v="-0.25246847643281978"/>
    <b v="1"/>
    <n v="0"/>
    <n v="4"/>
    <n v="-1"/>
    <n v="0"/>
    <n v="0"/>
    <n v="0"/>
    <n v="0"/>
    <n v="1"/>
    <s v="Rural disperso"/>
    <n v="6"/>
    <s v="Fuera SC"/>
    <m/>
    <s v="No"/>
    <s v="Si"/>
    <n v="34.799999999999997"/>
    <n v="11.630079402148528"/>
    <n v="65.798687390542909"/>
    <s v="Alto"/>
    <n v="0"/>
    <s v="Bajo"/>
    <n v="9199.6478260000004"/>
    <n v="2526.0658796500002"/>
    <n v="2810"/>
    <n v="3.2738960234875445"/>
    <n v="0.8989558290569396"/>
    <m/>
    <m/>
    <m/>
    <m/>
    <m/>
    <m/>
    <m/>
    <n v="99"/>
    <n v="0"/>
    <n v="7"/>
    <n v="29697.419204999998"/>
    <n v="29520.605855999998"/>
    <n v="0.99404617122520089"/>
    <s v="71% - 100%"/>
    <n v="8.5886570715242082E-4"/>
    <s v="N.D."/>
    <s v="N.D."/>
    <s v="N.D."/>
    <n v="0.87881731439489652"/>
    <s v="Aceptable"/>
    <n v="1"/>
    <s v="Candidato"/>
    <n v="0"/>
    <n v="0"/>
  </r>
  <r>
    <n v="27600"/>
    <s v="27600"/>
    <x v="26"/>
    <x v="26"/>
    <s v="RÍO QUITO"/>
    <n v="67.010933333333298"/>
    <n v="84.43"/>
    <n v="86.98"/>
    <n v="91.86"/>
    <n v="63.204253326973699"/>
    <n v="70.113066731669818"/>
    <n v="50.598529691963904"/>
    <n v="51.750900000000001"/>
    <n v="82.570233333333334"/>
    <n v="58.916687437651859"/>
    <n v="70.743460385492597"/>
    <n v="67.493726086520894"/>
    <n v="32.506273913479106"/>
    <n v="0.39255646522131193"/>
    <n v="0"/>
    <n v="27.770802746452883"/>
    <n v="4"/>
    <n v="4"/>
    <b v="1"/>
    <x v="5"/>
    <n v="67.635914894756695"/>
    <n v="0.40142865771271108"/>
    <n v="27.150994529373342"/>
    <n v="4"/>
    <n v="0"/>
    <n v="3.1075454907359017"/>
    <n v="-8.8721924913991446E-3"/>
    <n v="0.61980821707954092"/>
    <n v="4"/>
    <b v="1"/>
    <n v="0"/>
    <n v="0.6523467210059386"/>
    <n v="44.122067303831251"/>
    <n v="0.38129454108617317"/>
    <n v="3"/>
    <n v="-1"/>
    <n v="38.129454108617317"/>
    <n v="4"/>
    <n v="-0.25979025578462667"/>
    <b v="1"/>
    <s v="Efecto ponderador"/>
    <n v="4"/>
    <n v="0"/>
    <n v="0"/>
    <n v="0"/>
    <n v="0"/>
    <n v="0"/>
    <n v="0"/>
    <s v="Rural disperso"/>
    <n v="6"/>
    <s v="Fuera SC"/>
    <m/>
    <s v="No"/>
    <s v="No"/>
    <n v="66.8"/>
    <n v="58.339603712064211"/>
    <s v="Sin Información"/>
    <s v="Sin Información"/>
    <n v="30.812435323228303"/>
    <s v="Muy Alto"/>
    <n v="37387.334481999998"/>
    <n v="8266.2849827499995"/>
    <n v="8434"/>
    <n v="4.4329303393407633"/>
    <n v="0.98011441578728953"/>
    <m/>
    <m/>
    <m/>
    <m/>
    <m/>
    <m/>
    <m/>
    <n v="51"/>
    <n v="0"/>
    <n v="7"/>
    <n v="69936.305498999995"/>
    <n v="7054.6979009999995"/>
    <n v="0.10087318525999166"/>
    <s v="0% - 30%"/>
    <n v="2.0524775578945569E-4"/>
    <n v="64289.040386000001"/>
    <n v="0.9192513091346991"/>
    <s v="71% - 100%"/>
    <n v="0.85442091914408547"/>
    <s v="Aceptable"/>
    <n v="2"/>
    <s v="Candidato"/>
    <n v="0"/>
    <n v="0"/>
  </r>
  <r>
    <n v="15755"/>
    <s v="15755"/>
    <x v="10"/>
    <x v="10"/>
    <s v="SOCOTÁ"/>
    <n v="68.150633333333303"/>
    <n v="48.37"/>
    <n v="42.48"/>
    <n v="70.599999999999994"/>
    <n v="60.645843543125935"/>
    <n v="60.846969759930744"/>
    <n v="67.875974354375572"/>
    <n v="61.991399999999999"/>
    <n v="57.400158333333323"/>
    <n v="62.840046914358062"/>
    <n v="60.120102623845696"/>
    <n v="67.342506458955469"/>
    <n v="32.657493541044531"/>
    <n v="0.39391744186940081"/>
    <n v="0"/>
    <n v="23.682357030511149"/>
    <n v="4"/>
    <n v="4"/>
    <b v="1"/>
    <x v="5"/>
    <n v="58.543829005375159"/>
    <n v="0.40171774886671341"/>
    <n v="23.518095198077109"/>
    <n v="4"/>
    <n v="0"/>
    <n v="1.5762736184705375"/>
    <n v="-7.8003069973126005E-3"/>
    <n v="0.16426183243403969"/>
    <n v="4"/>
    <b v="1"/>
    <n v="0"/>
    <n v="0.6523467210059386"/>
    <n v="38.190874886788848"/>
    <n v="0.30710157601509419"/>
    <n v="4"/>
    <n v="0"/>
    <n v="30.710157601509419"/>
    <n v="4"/>
    <n v="-0.25842927913653779"/>
    <b v="1"/>
    <n v="0"/>
    <n v="4"/>
    <n v="0"/>
    <n v="0"/>
    <n v="0"/>
    <n v="0"/>
    <n v="0"/>
    <n v="0"/>
    <s v="Rural disperso"/>
    <n v="6"/>
    <s v="Fuera SC"/>
    <m/>
    <s v="No"/>
    <s v="No"/>
    <n v="52.9"/>
    <n v="27.309744453805109"/>
    <n v="64.737170427939645"/>
    <s v="Alto"/>
    <n v="13.613574003470333"/>
    <s v="Alto"/>
    <n v="23965.151132999999"/>
    <n v="5064.8065361999998"/>
    <n v="7460"/>
    <n v="3.2124867470509382"/>
    <n v="0.67892849010723855"/>
    <m/>
    <m/>
    <m/>
    <m/>
    <m/>
    <m/>
    <m/>
    <n v="82"/>
    <n v="0"/>
    <n v="7"/>
    <n v="60230.379151000001"/>
    <n v="43690.974031999998"/>
    <n v="0.72539762571417588"/>
    <s v="71% - 100%"/>
    <n v="1.2711351349364304E-3"/>
    <s v="N.D."/>
    <s v="N.D."/>
    <s v="N.D."/>
    <n v="0.98602022767852726"/>
    <s v="Aceptable"/>
    <n v="3"/>
    <s v="Candidato"/>
    <n v="0"/>
    <n v="0"/>
  </r>
  <r>
    <n v="73616"/>
    <s v="73616"/>
    <x v="15"/>
    <x v="15"/>
    <s v="RIOBLANCO"/>
    <n v="60.613633333333297"/>
    <n v="59.36"/>
    <n v="61.01"/>
    <n v="64.819999999999993"/>
    <n v="46.130721053090909"/>
    <n v="55.407142666508818"/>
    <n v="65.344820233309946"/>
    <n v="59.146000000000001"/>
    <n v="61.450908333333324"/>
    <n v="56.507170988227415"/>
    <n v="58.979039660780373"/>
    <n v="67.141371461214177"/>
    <n v="32.858628538785823"/>
    <n v="0.39572765684907241"/>
    <n v="0"/>
    <n v="23.339637168169126"/>
    <n v="4"/>
    <n v="4"/>
    <b v="1"/>
    <x v="5"/>
    <n v="54.958909546377939"/>
    <n v="0.39842502242359912"/>
    <n v="21.897004768392186"/>
    <n v="4"/>
    <n v="0"/>
    <n v="4.0201301144024342"/>
    <n v="-2.6973655745267111E-3"/>
    <n v="1.4426323997769401"/>
    <n v="4"/>
    <b v="1"/>
    <n v="0"/>
    <n v="0.6523467210059386"/>
    <n v="35.852264432641626"/>
    <n v="0.27784802436149175"/>
    <n v="4"/>
    <n v="0"/>
    <n v="27.784802436149175"/>
    <n v="4"/>
    <n v="-0.25661906415686619"/>
    <b v="1"/>
    <n v="0"/>
    <n v="4"/>
    <n v="0"/>
    <n v="0"/>
    <n v="0"/>
    <n v="0"/>
    <n v="1"/>
    <n v="1"/>
    <s v="Rural disperso"/>
    <n v="6"/>
    <s v="Fuera SC"/>
    <m/>
    <s v="No"/>
    <s v="No"/>
    <n v="60.5"/>
    <n v="34.078153684762654"/>
    <n v="0"/>
    <s v="Sin riesgo"/>
    <n v="5.4839318137342135"/>
    <s v="Medio Bajo"/>
    <n v="51848.482326999998"/>
    <n v="8680.8971084999994"/>
    <n v="23853"/>
    <n v="2.1736671415335596"/>
    <n v="0.36393313664947802"/>
    <m/>
    <m/>
    <m/>
    <m/>
    <m/>
    <m/>
    <m/>
    <n v="15"/>
    <n v="0"/>
    <n v="7"/>
    <n v="204608.21722600001"/>
    <n v="106696.24159400001"/>
    <n v="0.52146606348731672"/>
    <s v="51% - 70%"/>
    <n v="3.1041958770812689E-3"/>
    <n v="419.50141000000002"/>
    <n v="2.050266678862852E-3"/>
    <s v="0% - 30%"/>
    <n v="0.95221312762935595"/>
    <s v="Aceptable"/>
    <n v="2"/>
    <s v="Candidato"/>
    <n v="0"/>
    <n v="0"/>
  </r>
  <r>
    <n v="27075"/>
    <s v="27075"/>
    <x v="26"/>
    <x v="26"/>
    <s v="BAHÍA SOLANO"/>
    <n v="49.575000000000003"/>
    <n v="81.819999999999993"/>
    <n v="93.75"/>
    <n v="93.59"/>
    <n v="56.23077824126058"/>
    <n v="38.809690482313684"/>
    <n v="50.190436284314401"/>
    <n v="54.412100000000002"/>
    <n v="79.683750000000003"/>
    <n v="49.910751251972172"/>
    <n v="64.797250625986095"/>
    <n v="67.734462641465299"/>
    <n v="32.265537358534701"/>
    <n v="0.39038983622681234"/>
    <n v="0"/>
    <n v="25.296188059826424"/>
    <n v="4"/>
    <n v="4"/>
    <b v="1"/>
    <x v="5"/>
    <n v="57.19938238040163"/>
    <n v="0.39805988192215114"/>
    <n v="22.768779396362646"/>
    <n v="4"/>
    <n v="0"/>
    <n v="7.5978682455844648"/>
    <n v="-7.6700456953388008E-3"/>
    <n v="2.5274086634637776"/>
    <n v="4"/>
    <b v="1"/>
    <n v="0"/>
    <n v="0.6523467210059386"/>
    <n v="37.313829539419864"/>
    <n v="0.29613066321244613"/>
    <n v="4"/>
    <n v="0"/>
    <n v="29.613066321244613"/>
    <n v="4"/>
    <n v="-0.26195688477912626"/>
    <b v="1"/>
    <n v="0"/>
    <n v="4"/>
    <n v="0"/>
    <n v="0"/>
    <n v="0"/>
    <n v="0"/>
    <n v="0"/>
    <n v="0"/>
    <s v="Rural"/>
    <n v="6"/>
    <s v="Fuera SC"/>
    <m/>
    <s v="No"/>
    <s v="No"/>
    <n v="46.6"/>
    <n v="24.608648056923919"/>
    <n v="74.83"/>
    <s v="Alto"/>
    <n v="9.1559701988215156"/>
    <s v="Medio"/>
    <n v="28980.575045000001"/>
    <n v="8687.0900029999993"/>
    <n v="10756"/>
    <n v="2.6943636151915213"/>
    <n v="0.80765061388992188"/>
    <m/>
    <m/>
    <m/>
    <m/>
    <m/>
    <m/>
    <m/>
    <n v="38"/>
    <n v="0"/>
    <n v="6"/>
    <n v="89606.565780000004"/>
    <n v="10429.077192999999"/>
    <n v="0.11638742208473017"/>
    <s v="0% - 30%"/>
    <n v="3.0342116967401611E-4"/>
    <n v="81336.554720999993"/>
    <n v="0.90770753251157565"/>
    <s v="71% - 100%"/>
    <n v="0.72150871082257861"/>
    <s v="Crítico Medio"/>
    <n v="1"/>
    <s v="Candidato"/>
    <n v="0"/>
    <n v="0"/>
  </r>
  <r>
    <n v="85410"/>
    <s v="85410"/>
    <x v="23"/>
    <x v="23"/>
    <s v="TAURAMENA"/>
    <n v="80.257900000000006"/>
    <n v="77.430000000000007"/>
    <n v="82.18"/>
    <n v="81.510000000000005"/>
    <n v="48.581049136765664"/>
    <n v="64.187893723326653"/>
    <n v="58.95489636397631"/>
    <n v="62.245399999999997"/>
    <n v="80.344475000000003"/>
    <n v="58.492309806017154"/>
    <n v="69.418392403008582"/>
    <n v="67.820216216667347"/>
    <n v="32.179783783332653"/>
    <n v="0.38961805404999394"/>
    <n v="0"/>
    <n v="27.046658963339087"/>
    <n v="4"/>
    <n v="4"/>
    <b v="1"/>
    <x v="5"/>
    <n v="69.860025683723507"/>
    <n v="0.39671160353227641"/>
    <n v="27.714282811795968"/>
    <n v="4"/>
    <n v="0"/>
    <n v="-0.44163328071492458"/>
    <n v="-7.0935494822824685E-3"/>
    <n v="-0.66762384845688061"/>
    <n v="4"/>
    <b v="1"/>
    <n v="0"/>
    <n v="0.6523467210059386"/>
    <n v="45.572958684167681"/>
    <n v="0.39944366287050875"/>
    <n v="3"/>
    <n v="-1"/>
    <n v="39.944366287050876"/>
    <n v="4"/>
    <n v="-0.26272866695594466"/>
    <b v="1"/>
    <s v="Efecto ponderador"/>
    <n v="3"/>
    <n v="-1"/>
    <n v="0"/>
    <n v="0"/>
    <n v="0"/>
    <n v="0"/>
    <n v="1"/>
    <s v="Rural"/>
    <n v="5"/>
    <s v="Fuera SC"/>
    <m/>
    <s v="No"/>
    <s v="No"/>
    <n v="27.2"/>
    <n v="14.613866967305524"/>
    <n v="9.639122202643966"/>
    <s v="Bajo"/>
    <n v="0.77114769393754057"/>
    <s v="Medio Bajo"/>
    <n v="150045.931102"/>
    <n v="46316.980054749998"/>
    <n v="25904"/>
    <n v="5.7923846163526873"/>
    <n v="1.7880242454736719"/>
    <m/>
    <m/>
    <m/>
    <m/>
    <m/>
    <m/>
    <m/>
    <n v="41"/>
    <n v="0"/>
    <n v="6"/>
    <n v="238017.36971200001"/>
    <n v="40359.036016999999"/>
    <n v="0.16956340651034946"/>
    <s v="0% - 30%"/>
    <n v="1.1741964977892061E-3"/>
    <s v="N.D."/>
    <s v="N.D."/>
    <s v="N.D."/>
    <n v="0.75171144567111825"/>
    <s v="Crítico bajo"/>
    <n v="3"/>
    <s v="Candidato"/>
    <n v="0"/>
    <n v="0"/>
  </r>
  <r>
    <n v="15183"/>
    <s v="15183"/>
    <x v="10"/>
    <x v="10"/>
    <s v="CHITA"/>
    <n v="74.557333333333304"/>
    <n v="67.930000000000007"/>
    <n v="30.79"/>
    <n v="58.87"/>
    <n v="56.329083281596887"/>
    <n v="55.547854856810417"/>
    <n v="62.395616885732252"/>
    <n v="62.274500000000003"/>
    <n v="58.036833333333327"/>
    <n v="59.136763756034881"/>
    <n v="58.5867985446841"/>
    <n v="67.79438893169457"/>
    <n v="32.20561106830543"/>
    <n v="0.38985049961474882"/>
    <n v="0"/>
    <n v="22.840092683473735"/>
    <n v="4"/>
    <n v="4"/>
    <b v="1"/>
    <x v="5"/>
    <n v="59.007603446142582"/>
    <n v="0.39560911249637454"/>
    <n v="23.343945629866479"/>
    <n v="4"/>
    <n v="0"/>
    <n v="-0.4208049014584816"/>
    <n v="-5.7586128816257132E-3"/>
    <n v="-0.50385294639274392"/>
    <n v="4"/>
    <b v="1"/>
    <n v="0"/>
    <n v="0.6523467210059386"/>
    <n v="38.493416622509834"/>
    <n v="0.31088605421991417"/>
    <n v="4"/>
    <n v="0"/>
    <n v="31.088605421991417"/>
    <n v="4"/>
    <n v="-0.26249622139118978"/>
    <b v="1"/>
    <n v="0"/>
    <n v="4"/>
    <n v="0"/>
    <n v="0"/>
    <n v="0"/>
    <n v="0"/>
    <n v="0"/>
    <n v="0"/>
    <s v="Rural disperso"/>
    <n v="6"/>
    <s v="Fuera SC"/>
    <m/>
    <s v="No"/>
    <s v="No"/>
    <n v="69.099999999999994"/>
    <n v="42.727860374919196"/>
    <n v="22.352128062300576"/>
    <s v="Medio"/>
    <n v="11.99377853430499"/>
    <s v="Alto"/>
    <n v="26594.431920999999"/>
    <n v="5764.1633056000001"/>
    <n v="8239"/>
    <n v="3.2278713340211191"/>
    <n v="0.69961928700084963"/>
    <m/>
    <m/>
    <m/>
    <m/>
    <m/>
    <m/>
    <m/>
    <n v="44"/>
    <n v="1"/>
    <n v="7"/>
    <n v="67580.77893"/>
    <n v="45251.651593000002"/>
    <n v="0.66959351918496746"/>
    <s v="51% - 70%"/>
    <n v="1.316541128417853E-3"/>
    <s v="N.D."/>
    <s v="N.D."/>
    <s v="N.D."/>
    <n v="0.89661712761346324"/>
    <s v="Aceptable"/>
    <n v="2"/>
    <s v="Candidato"/>
    <n v="0"/>
    <n v="0"/>
  </r>
  <r>
    <n v="27430"/>
    <s v="27430"/>
    <x v="26"/>
    <x v="26"/>
    <s v="MEDIO BAUDÓ"/>
    <n v="77.949033333333304"/>
    <n v="74.510000000000005"/>
    <n v="26.15"/>
    <n v="85.83"/>
    <n v="67.796631017515779"/>
    <n v="70.700717585467487"/>
    <n v="15.172141142098745"/>
    <n v="49.592500000000001"/>
    <n v="66.109758333333332"/>
    <n v="50.815497436270505"/>
    <n v="58.462627884801918"/>
    <n v="67.662547320522819"/>
    <n v="32.337452679477181"/>
    <n v="0.39103707411529465"/>
    <n v="0"/>
    <n v="22.861054953164178"/>
    <n v="4"/>
    <n v="4"/>
    <b v="1"/>
    <x v="5"/>
    <n v="60.842421029889309"/>
    <n v="0.39360862773081207"/>
    <n v="23.948101849395034"/>
    <n v="4"/>
    <n v="0"/>
    <n v="-2.3797931450873904"/>
    <n v="-2.571553615517419E-3"/>
    <n v="-1.0870468962308557"/>
    <n v="4"/>
    <b v="1"/>
    <n v="0"/>
    <n v="0.6523467210059386"/>
    <n v="39.690353856911052"/>
    <n v="0.32585847733150258"/>
    <n v="4"/>
    <n v="0"/>
    <n v="32.58584773315026"/>
    <n v="4"/>
    <n v="-0.26130964689064395"/>
    <b v="1"/>
    <n v="0"/>
    <n v="3"/>
    <n v="-1"/>
    <n v="0"/>
    <n v="0"/>
    <n v="0"/>
    <n v="0"/>
    <n v="0"/>
    <s v="Rural disperso"/>
    <n v="6"/>
    <s v="Fuera SC"/>
    <m/>
    <s v="No"/>
    <s v="No"/>
    <n v="80.2"/>
    <n v="63.212396632645458"/>
    <s v="Sin Información"/>
    <s v="Sin Información"/>
    <n v="18.552989321021528"/>
    <s v="Alto"/>
    <n v="39470.317933999999"/>
    <n v="7821.7045369999996"/>
    <n v="17004"/>
    <n v="2.3212372344154315"/>
    <n v="0.45999203346271461"/>
    <m/>
    <m/>
    <m/>
    <m/>
    <m/>
    <m/>
    <m/>
    <n v="38"/>
    <n v="0"/>
    <n v="7"/>
    <n v="137294.29948399999"/>
    <n v="5312.7981399999999"/>
    <n v="3.8696421919681694E-2"/>
    <s v="0% - 30%"/>
    <n v="1.5456932536300741E-4"/>
    <n v="130908.686135"/>
    <n v="0.95348959590456883"/>
    <s v="71% - 100%"/>
    <n v="0.90387500028810863"/>
    <s v="Aceptable"/>
    <n v="2"/>
    <s v="Candidato"/>
    <n v="0"/>
    <n v="0"/>
  </r>
  <r>
    <n v="73024"/>
    <s v="73024"/>
    <x v="15"/>
    <x v="15"/>
    <s v="ALPUJARRA"/>
    <n v="62.8960333333333"/>
    <n v="56.13"/>
    <n v="54.19"/>
    <n v="70.92"/>
    <n v="44.390842660867499"/>
    <n v="54.662888670130094"/>
    <n v="12.9032166493445"/>
    <n v="49.862900000000003"/>
    <n v="61.034008333333333"/>
    <n v="40.454961995085526"/>
    <n v="50.744485164209429"/>
    <n v="67.670982002398929"/>
    <n v="32.329017997601071"/>
    <n v="0.39096116197840969"/>
    <n v="0"/>
    <n v="19.83912288379549"/>
    <n v="5"/>
    <n v="5"/>
    <b v="1"/>
    <x v="6"/>
    <n v="49.407453349426305"/>
    <n v="0.3934358749675021"/>
    <n v="19.43866463844758"/>
    <n v="5"/>
    <n v="0"/>
    <n v="1.3370318147831242"/>
    <n v="-2.4747129890924091E-3"/>
    <n v="0.40045824534790952"/>
    <n v="5"/>
    <b v="1"/>
    <n v="0"/>
    <n v="0.6523467210059386"/>
    <n v="32.230790185752127"/>
    <n v="0.23254719892658432"/>
    <n v="4"/>
    <n v="-1"/>
    <n v="23.254719892658432"/>
    <n v="4"/>
    <n v="-0.26138555902752891"/>
    <b v="0"/>
    <s v="Cambio en corte"/>
    <n v="4"/>
    <n v="-1"/>
    <n v="0"/>
    <n v="0"/>
    <n v="0"/>
    <n v="0"/>
    <n v="0"/>
    <s v="Rural disperso"/>
    <n v="6"/>
    <s v="Fuera SC"/>
    <m/>
    <s v="No"/>
    <s v="Si"/>
    <n v="30.9"/>
    <n v="12.475442043222005"/>
    <n v="42.735886966307945"/>
    <s v="Alto"/>
    <n v="0.59017790541323589"/>
    <s v="Medio Bajo"/>
    <n v="14878.129645000001"/>
    <n v="3430.0239799999999"/>
    <n v="4807"/>
    <n v="3.0950966600790517"/>
    <n v="0.71354773871437482"/>
    <m/>
    <m/>
    <m/>
    <m/>
    <m/>
    <m/>
    <m/>
    <n v="23"/>
    <n v="0"/>
    <n v="7"/>
    <n v="50117.177628999998"/>
    <n v="7168.9113109999998"/>
    <n v="0.1430429974343119"/>
    <s v="0% - 30%"/>
    <n v="2.0857065443267587E-4"/>
    <n v="113.937583"/>
    <n v="2.2734237718540383E-3"/>
    <s v="0% - 30%"/>
    <n v="0.9417840298946889"/>
    <s v="Aceptable"/>
    <n v="2"/>
    <s v="Candidato"/>
    <n v="0"/>
    <n v="0"/>
  </r>
  <r>
    <n v="52427"/>
    <s v="52427"/>
    <x v="18"/>
    <x v="18"/>
    <s v="MAGÜÍ"/>
    <n v="66.952399999999997"/>
    <n v="59.43"/>
    <n v="45.34"/>
    <n v="0"/>
    <n v="61.869856751717784"/>
    <n v="60.199733318025793"/>
    <n v="61.73664692420239"/>
    <n v="56.125399999999999"/>
    <n v="42.930599999999998"/>
    <n v="59.982909248486493"/>
    <n v="51.456754624243246"/>
    <n v="67.472231363514851"/>
    <n v="32.527768636485149"/>
    <n v="0.39274991772836632"/>
    <n v="0"/>
    <n v="20.209636145240268"/>
    <n v="5"/>
    <n v="5"/>
    <b v="1"/>
    <x v="6"/>
    <n v="60.073300548051492"/>
    <n v="0.39215544317744078"/>
    <n v="23.558071799552728"/>
    <n v="4"/>
    <n v="-1"/>
    <n v="-8.6165459238082462"/>
    <n v="5.9447455092553891E-4"/>
    <n v="-3.3484356543124605"/>
    <n v="4"/>
    <b v="0"/>
    <s v="Cambio en corte"/>
    <n v="0.6523467210059386"/>
    <n v="39.188620632525648"/>
    <n v="0.3195823235711111"/>
    <n v="4"/>
    <n v="-1"/>
    <n v="31.958232357111111"/>
    <n v="4"/>
    <n v="-0.25959680327757229"/>
    <b v="0"/>
    <s v="Cambio en corte"/>
    <n v="5"/>
    <n v="0"/>
    <n v="0"/>
    <n v="0"/>
    <n v="0"/>
    <n v="1"/>
    <n v="1"/>
    <s v="Rural disperso"/>
    <n v="6"/>
    <s v="Fuera SC"/>
    <m/>
    <s v="No"/>
    <s v="No"/>
    <n v="85.3"/>
    <n v="82.508901670775131"/>
    <n v="34.648195692919714"/>
    <s v="Medio"/>
    <n v="45.826702162784535"/>
    <s v="Muy Alto"/>
    <n v="47576.839849000004"/>
    <n v="6473.8339059999998"/>
    <n v="27970"/>
    <n v="1.7009953467643906"/>
    <n v="0.23145634272434751"/>
    <m/>
    <m/>
    <m/>
    <m/>
    <m/>
    <m/>
    <m/>
    <n v="97"/>
    <n v="0"/>
    <n v="7"/>
    <n v="181061.067041"/>
    <n v="24566.745226999999"/>
    <n v="0.13568209681122134"/>
    <s v="0% - 30%"/>
    <n v="7.147392270586574E-4"/>
    <n v="168072.31303799999"/>
    <n v="0.92826313124478166"/>
    <s v="71% - 100%"/>
    <n v="0.94435294031578221"/>
    <s v="Aceptable"/>
    <n v="1"/>
    <s v="Candidato"/>
    <n v="0"/>
    <n v="0"/>
  </r>
  <r>
    <n v="13160"/>
    <s v="13160"/>
    <x v="8"/>
    <x v="8"/>
    <s v="CANTAGALLO"/>
    <n v="59.067466666666697"/>
    <n v="83.1"/>
    <n v="80.05"/>
    <n v="91.03"/>
    <n v="62.576769567795125"/>
    <n v="50.993422762052106"/>
    <n v="53.24775754765718"/>
    <n v="63.996400000000001"/>
    <n v="78.311866666666674"/>
    <n v="57.703587469376103"/>
    <n v="68.007727068021381"/>
    <n v="68.119327269522628"/>
    <n v="31.880672730477372"/>
    <n v="0.38692605457429641"/>
    <n v="0"/>
    <n v="26.313961514995096"/>
    <n v="4"/>
    <n v="4"/>
    <b v="1"/>
    <x v="5"/>
    <n v="63.147597194751995"/>
    <n v="0.39223135764484851"/>
    <n v="24.768467779707603"/>
    <n v="4"/>
    <n v="0"/>
    <n v="4.8601298732693863"/>
    <n v="-5.3053030705521032E-3"/>
    <n v="1.5454937352874936"/>
    <n v="4"/>
    <b v="1"/>
    <n v="0"/>
    <n v="0.6523467210059386"/>
    <n v="41.19412796940027"/>
    <n v="0.34466910635141551"/>
    <n v="4"/>
    <n v="0"/>
    <n v="34.466910635141552"/>
    <n v="4"/>
    <n v="-0.26542066643164219"/>
    <b v="1"/>
    <n v="0"/>
    <n v="4"/>
    <n v="0"/>
    <n v="0"/>
    <n v="0"/>
    <n v="0"/>
    <n v="1"/>
    <n v="1"/>
    <s v="Rural"/>
    <n v="6"/>
    <s v="Fuera SC"/>
    <m/>
    <s v="No"/>
    <s v="No"/>
    <n v="50.6"/>
    <n v="39.351178353215012"/>
    <n v="0"/>
    <s v="Sin riesgo"/>
    <n v="25.473051147611532"/>
    <s v="Muy Alto"/>
    <n v="28094.990862999999"/>
    <n v="10998.881277"/>
    <n v="8825"/>
    <n v="3.1835683697450423"/>
    <n v="1.2463321560339944"/>
    <m/>
    <m/>
    <m/>
    <m/>
    <m/>
    <m/>
    <m/>
    <n v="95"/>
    <n v="0"/>
    <n v="7"/>
    <n v="87958.754767999999"/>
    <n v="3770.8365699999999"/>
    <n v="4.2870508796378007E-2"/>
    <s v="0% - 30%"/>
    <n v="1.0970785061279534E-4"/>
    <s v="N.D."/>
    <s v="N.D."/>
    <s v="N.D."/>
    <n v="0.8261746586037253"/>
    <s v="Crítico bajo"/>
    <n v="3"/>
    <s v="Candidato"/>
    <n v="0"/>
    <n v="0"/>
  </r>
  <r>
    <n v="5361"/>
    <s v="05361"/>
    <x v="1"/>
    <x v="1"/>
    <s v="ITUANGO"/>
    <n v="52.381466666666697"/>
    <n v="49.27"/>
    <n v="46"/>
    <n v="81.5"/>
    <n v="57.286715460255152"/>
    <n v="47.784090998759709"/>
    <n v="61.846637839438401"/>
    <n v="57.116700000000002"/>
    <n v="57.287866666666673"/>
    <n v="56.008536074613318"/>
    <n v="56.648201370639995"/>
    <n v="67.645453563761009"/>
    <n v="32.354546436238991"/>
    <n v="0.39119091792615091"/>
    <n v="0"/>
    <n v="22.160261893046101"/>
    <n v="4"/>
    <n v="4"/>
    <b v="1"/>
    <x v="5"/>
    <n v="51.101803780970236"/>
    <n v="0.39298706040218523"/>
    <n v="20.082347649132767"/>
    <n v="5"/>
    <n v="1"/>
    <n v="5.546397589669759"/>
    <n v="-1.7961424760343236E-3"/>
    <n v="2.0779142439133338"/>
    <n v="4"/>
    <b v="1"/>
    <s v="Efecto ponderador"/>
    <n v="0.6523467210059386"/>
    <n v="33.33609413400481"/>
    <n v="0.24637338621904264"/>
    <n v="4"/>
    <n v="0"/>
    <n v="24.637338621904263"/>
    <n v="4"/>
    <n v="-0.2611558030797877"/>
    <b v="1"/>
    <n v="0"/>
    <n v="4"/>
    <n v="0"/>
    <n v="0"/>
    <n v="0"/>
    <n v="0"/>
    <n v="1"/>
    <n v="1"/>
    <s v="Rural"/>
    <n v="6"/>
    <s v="Fuera SC"/>
    <m/>
    <s v="No"/>
    <s v="Si"/>
    <n v="57.6"/>
    <n v="35.710025483923438"/>
    <n v="61.31695261010173"/>
    <s v="Alto"/>
    <n v="40.522294685045033"/>
    <s v="Muy Alto"/>
    <n v="65263.823079000002"/>
    <n v="9343.2791084"/>
    <n v="29342"/>
    <n v="2.2242458959511962"/>
    <n v="0.31842679805057594"/>
    <m/>
    <m/>
    <m/>
    <m/>
    <m/>
    <m/>
    <m/>
    <n v="99"/>
    <n v="1"/>
    <n v="6"/>
    <n v="284092.64165399998"/>
    <n v="151173.26573000001"/>
    <n v="0.53212665013026228"/>
    <s v="51% - 70%"/>
    <n v="4.398200172688803E-3"/>
    <n v="10164.131345"/>
    <n v="3.5777524140801306E-2"/>
    <s v="0% - 30%"/>
    <n v="0.90834497954550319"/>
    <s v="Aceptable"/>
    <n v="2"/>
    <s v="Candidato"/>
    <n v="0"/>
    <n v="0"/>
  </r>
  <r>
    <n v="85300"/>
    <s v="85300"/>
    <x v="23"/>
    <x v="23"/>
    <s v="SABANALARGA"/>
    <n v="86.469433333333299"/>
    <n v="68.14"/>
    <n v="79.790000000000006"/>
    <n v="79.64"/>
    <n v="62.843964910831168"/>
    <n v="62.064837128559979"/>
    <n v="65.411120093209249"/>
    <n v="61.536900000000003"/>
    <n v="78.509858333333327"/>
    <n v="62.9642055331501"/>
    <n v="70.73703193324171"/>
    <n v="68.759731295569537"/>
    <n v="31.240268704430463"/>
    <n v="0.38116241833987419"/>
    <n v="0"/>
    <n v="26.962298157859315"/>
    <n v="4"/>
    <n v="4"/>
    <b v="1"/>
    <x v="5"/>
    <n v="71.036793927843888"/>
    <n v="0.38839308005216511"/>
    <n v="27.590199190666226"/>
    <n v="4"/>
    <n v="0"/>
    <n v="-0.29976199460217856"/>
    <n v="-7.23066171229092E-3"/>
    <n v="-0.62790103280691056"/>
    <n v="4"/>
    <b v="1"/>
    <n v="0"/>
    <n v="0.6523467210059386"/>
    <n v="46.340619589603527"/>
    <n v="0.40904629160664324"/>
    <n v="3"/>
    <n v="-1"/>
    <n v="40.904629160664321"/>
    <n v="4"/>
    <n v="-0.27118430266606441"/>
    <b v="1"/>
    <s v="Efecto ponderador"/>
    <n v="3"/>
    <n v="-1"/>
    <n v="0"/>
    <n v="0"/>
    <n v="0"/>
    <n v="0"/>
    <n v="1"/>
    <s v="Rural"/>
    <n v="6"/>
    <s v="Fuera SC"/>
    <m/>
    <s v="No"/>
    <s v="No"/>
    <n v="34.200000000000003"/>
    <n v="11.78036605657238"/>
    <n v="1.7658333333333334"/>
    <s v="Sin riesgo"/>
    <n v="0"/>
    <s v="Bajo"/>
    <n v="27111.817053999999"/>
    <n v="13164.263872"/>
    <n v="3836"/>
    <n v="7.0677312445255476"/>
    <n v="3.4317684754953075"/>
    <m/>
    <m/>
    <m/>
    <m/>
    <m/>
    <m/>
    <m/>
    <n v="41"/>
    <n v="0"/>
    <n v="7"/>
    <n v="40015.819687000003"/>
    <n v="163.83066700000001"/>
    <n v="4.0941474717116422E-3"/>
    <s v="0% - 30%"/>
    <n v="4.7664516897985373E-6"/>
    <s v="N.D."/>
    <s v="N.D."/>
    <s v="N.D."/>
    <n v="0.90799223314483357"/>
    <s v="Aceptable"/>
    <n v="3"/>
    <s v="Candidato"/>
    <n v="0"/>
    <n v="0"/>
  </r>
  <r>
    <n v="18785"/>
    <s v="18785"/>
    <x v="24"/>
    <x v="24"/>
    <s v="SOLITA"/>
    <n v="52.433333333333302"/>
    <n v="53.39"/>
    <n v="51.35"/>
    <n v="68.709999999999994"/>
    <n v="25.806935640544477"/>
    <n v="46.229873459241489"/>
    <n v="48.313059388336299"/>
    <n v="59.379899999999999"/>
    <n v="56.470833333333317"/>
    <n v="44.932442122030565"/>
    <n v="50.701637727681941"/>
    <n v="68.063563103172115"/>
    <n v="31.936436896827885"/>
    <n v="0.38742793207145099"/>
    <n v="0"/>
    <n v="19.643230657471676"/>
    <n v="5"/>
    <n v="5"/>
    <b v="1"/>
    <x v="6"/>
    <n v="46.300042027560465"/>
    <n v="0.38922420445222483"/>
    <n v="18.021097024281797"/>
    <n v="5"/>
    <n v="0"/>
    <n v="4.4015957001214758"/>
    <n v="-1.7962723807738445E-3"/>
    <n v="1.622133633189879"/>
    <n v="5"/>
    <b v="1"/>
    <n v="0"/>
    <n v="0.6523467210059386"/>
    <n v="30.203680599116218"/>
    <n v="0.2071901947726838"/>
    <n v="4"/>
    <n v="-1"/>
    <n v="20.719019477268379"/>
    <n v="4"/>
    <n v="-0.26491878893448761"/>
    <b v="0"/>
    <s v="Cambio en corte"/>
    <n v="4"/>
    <n v="-1"/>
    <n v="0"/>
    <n v="0"/>
    <n v="0"/>
    <n v="1"/>
    <n v="1"/>
    <s v="Rural"/>
    <n v="6"/>
    <s v="Fuera SC"/>
    <m/>
    <s v="No"/>
    <s v="No"/>
    <n v="58.1"/>
    <n v="27.279664250286149"/>
    <n v="10.457142857142857"/>
    <s v="Bajo"/>
    <n v="67.719090452010249"/>
    <s v="Muy Alto"/>
    <n v="30118.940231"/>
    <n v="4802.9043030000003"/>
    <n v="6398"/>
    <n v="4.7075555221944354"/>
    <n v="0.7506883874648328"/>
    <m/>
    <m/>
    <m/>
    <m/>
    <m/>
    <m/>
    <m/>
    <n v="81"/>
    <n v="0"/>
    <n v="7"/>
    <n v="47683.005818999998"/>
    <n v="1716.5944059999999"/>
    <n v="3.6000129952294187E-2"/>
    <s v="0% - 30%"/>
    <n v="4.9942202256781483E-5"/>
    <n v="330.13518800000003"/>
    <n v="6.923539788015058E-3"/>
    <s v="0% - 30%"/>
    <n v="0.93414897669345986"/>
    <s v="Aceptable"/>
    <n v="2"/>
    <s v="Candidato"/>
    <n v="0"/>
    <n v="0"/>
  </r>
  <r>
    <n v="15135"/>
    <s v="15135"/>
    <x v="10"/>
    <x v="10"/>
    <s v="CAMPOHERMOSO"/>
    <n v="59.122633333333297"/>
    <n v="26.94"/>
    <n v="18.38"/>
    <n v="38.25"/>
    <n v="73.086492652283212"/>
    <n v="61.007520164554165"/>
    <n v="71.918137861970649"/>
    <n v="68.574200000000005"/>
    <n v="35.673158333333319"/>
    <n v="68.646587669702015"/>
    <n v="52.159873001517667"/>
    <n v="68.637966791287468"/>
    <n v="31.362033208712532"/>
    <n v="0.38225829887841278"/>
    <n v="0"/>
    <n v="19.938544323274193"/>
    <n v="5"/>
    <n v="5"/>
    <b v="1"/>
    <x v="6"/>
    <n v="53.289621050314977"/>
    <n v="0.38805338823663582"/>
    <n v="20.679218006421078"/>
    <n v="4"/>
    <n v="-1"/>
    <n v="-1.1297480487973104"/>
    <n v="-5.7950893582230378E-3"/>
    <n v="-0.74067368314688409"/>
    <n v="5"/>
    <b v="1"/>
    <s v="Efecto ponderador"/>
    <n v="0.6523467210059386"/>
    <n v="34.763309555822019"/>
    <n v="0.26422634671911549"/>
    <n v="4"/>
    <n v="-1"/>
    <n v="26.422634671911549"/>
    <n v="4"/>
    <n v="-0.27008842212752582"/>
    <b v="0"/>
    <s v="Cambio en corte"/>
    <n v="3"/>
    <n v="-2"/>
    <n v="0"/>
    <n v="0"/>
    <n v="0"/>
    <n v="0"/>
    <n v="0"/>
    <s v="Rural disperso"/>
    <n v="6"/>
    <s v="Fuera SC"/>
    <m/>
    <s v="No"/>
    <s v="No"/>
    <n v="52.3"/>
    <n v="20.739371534195932"/>
    <n v="10.969347276952611"/>
    <s v="Bajo"/>
    <n v="0"/>
    <s v="Bajo"/>
    <n v="18770.076932"/>
    <n v="6766.9030750000002"/>
    <n v="3186"/>
    <n v="5.8914240213433775"/>
    <n v="2.1239494899560576"/>
    <m/>
    <m/>
    <m/>
    <m/>
    <m/>
    <m/>
    <m/>
    <n v="17"/>
    <n v="0"/>
    <n v="7"/>
    <n v="29817.353908000001"/>
    <n v="9563.3564349999997"/>
    <n v="0.32073122465887727"/>
    <s v="31% - 50%"/>
    <n v="2.782340893463582E-4"/>
    <s v="N.D."/>
    <s v="N.D."/>
    <s v="N.D."/>
    <n v="0.9292554718792374"/>
    <s v="Aceptable"/>
    <n v="2"/>
    <s v="Candidato"/>
    <n v="0"/>
    <n v="0"/>
  </r>
  <r>
    <n v="68217"/>
    <s v="68217"/>
    <x v="0"/>
    <x v="0"/>
    <s v="COROMORO"/>
    <n v="72.136933333333303"/>
    <n v="72.760000000000005"/>
    <n v="73.819999999999993"/>
    <n v="69.77"/>
    <n v="46.204918149147176"/>
    <n v="54.659619514828663"/>
    <n v="59.638624315486936"/>
    <n v="56.970700000000001"/>
    <n v="72.121733333333324"/>
    <n v="54.368465494865696"/>
    <n v="63.245099414099514"/>
    <n v="67.756630829592865"/>
    <n v="32.243369170407135"/>
    <n v="0.39019032253366426"/>
    <n v="0"/>
    <n v="24.677625739061149"/>
    <n v="4"/>
    <n v="4"/>
    <b v="1"/>
    <x v="5"/>
    <n v="62.667955761096096"/>
    <n v="0.38969294663436338"/>
    <n v="24.421260340093465"/>
    <n v="4"/>
    <n v="0"/>
    <n v="0.57714365300341797"/>
    <n v="4.9737589930087811E-4"/>
    <n v="0.2563653989676844"/>
    <n v="4"/>
    <b v="1"/>
    <n v="0"/>
    <n v="0.6523467210059386"/>
    <n v="40.881235452896256"/>
    <n v="0.34075515078975122"/>
    <n v="4"/>
    <n v="0"/>
    <n v="34.075515078975123"/>
    <n v="4"/>
    <n v="-0.26215639847227434"/>
    <b v="1"/>
    <n v="0"/>
    <n v="4"/>
    <n v="0"/>
    <n v="0"/>
    <n v="0"/>
    <n v="0"/>
    <n v="0"/>
    <n v="0"/>
    <s v="Rural disperso"/>
    <n v="6"/>
    <s v="Fuera SC"/>
    <m/>
    <s v="No"/>
    <s v="Si"/>
    <n v="53.6"/>
    <n v="21.549738219895289"/>
    <n v="0"/>
    <s v="Sin riesgo"/>
    <n v="2.0781736443639875"/>
    <s v="Medio Bajo"/>
    <n v="26143.281434"/>
    <n v="4223.7032410000002"/>
    <n v="5662"/>
    <n v="4.6173227541504769"/>
    <n v="0.74597372677499119"/>
    <m/>
    <m/>
    <m/>
    <m/>
    <m/>
    <m/>
    <m/>
    <n v="75"/>
    <n v="0"/>
    <n v="7"/>
    <n v="57636.242976000001"/>
    <n v="52836.617948999999"/>
    <n v="0.91672557440986246"/>
    <s v="71% - 100%"/>
    <n v="1.5372163924978145E-3"/>
    <s v="N.D."/>
    <s v="N.D."/>
    <s v="N.D."/>
    <n v="0.95001205666356836"/>
    <s v="Aceptable"/>
    <n v="2"/>
    <s v="Candidato"/>
    <n v="0"/>
    <n v="0"/>
  </r>
  <r>
    <n v="25339"/>
    <s v="25339"/>
    <x v="5"/>
    <x v="5"/>
    <s v="GUTIÉRREZ"/>
    <n v="72.247033333333306"/>
    <n v="92.81"/>
    <n v="94.06"/>
    <n v="93.47"/>
    <n v="65.844125512312289"/>
    <n v="57.493785010601343"/>
    <n v="63.651489315106147"/>
    <n v="66.299499999999995"/>
    <n v="88.146758333333338"/>
    <n v="63.322224959504943"/>
    <n v="75.734491646419144"/>
    <n v="69.39566970200471"/>
    <n v="30.60433029799529"/>
    <n v="0.37543897268195758"/>
    <n v="0"/>
    <n v="28.433679740321903"/>
    <n v="4"/>
    <n v="4"/>
    <b v="1"/>
    <x v="4"/>
    <n v="70.396855751601933"/>
    <n v="0.38756195136974703"/>
    <n v="27.283142785385444"/>
    <n v="4"/>
    <n v="1"/>
    <n v="5.3376358948172111"/>
    <n v="-1.2122978687789443E-2"/>
    <n v="1.1505369549364595"/>
    <n v="3"/>
    <b v="1"/>
    <s v="Efecto ponderador"/>
    <n v="0.6523467210059386"/>
    <n v="45.923158018685569"/>
    <n v="0.40382428740043369"/>
    <n v="3"/>
    <n v="0"/>
    <n v="40.382428740043366"/>
    <n v="4"/>
    <n v="-0.27690774832398102"/>
    <b v="0"/>
    <n v="0"/>
    <n v="4"/>
    <n v="1"/>
    <n v="0"/>
    <n v="0"/>
    <n v="0"/>
    <n v="0"/>
    <n v="0"/>
    <s v="Rural disperso"/>
    <n v="6"/>
    <s v="Fuera SC"/>
    <m/>
    <s v="No"/>
    <s v="No"/>
    <n v="37.6"/>
    <n v="11.295681063122924"/>
    <n v="9.2008333333333336"/>
    <s v="Bajo"/>
    <n v="0.18784027874562992"/>
    <s v="Bajo"/>
    <n v="10760.806589"/>
    <n v="3364.2170959999999"/>
    <n v="3512"/>
    <n v="3.064010987756264"/>
    <n v="0.95792058542141223"/>
    <m/>
    <m/>
    <m/>
    <m/>
    <m/>
    <m/>
    <m/>
    <n v="40"/>
    <n v="0"/>
    <n v="7"/>
    <n v="45264.521918999999"/>
    <n v="19307.925629000001"/>
    <n v="0.42655759545082939"/>
    <s v="31% - 50%"/>
    <n v="5.6174034096346278E-4"/>
    <s v="N.D."/>
    <s v="N.D."/>
    <s v="N.D."/>
    <n v="0.96876882277696486"/>
    <s v="Aceptable"/>
    <n v="3"/>
    <s v="Candidato"/>
    <n v="0"/>
    <n v="0"/>
  </r>
  <r>
    <n v="27491"/>
    <s v="27491"/>
    <x v="26"/>
    <x v="26"/>
    <s v="NÓVITA"/>
    <n v="58.834699999999998"/>
    <n v="56.95"/>
    <n v="73.7"/>
    <n v="73.3"/>
    <n v="57.963997440581622"/>
    <n v="50.811697088082596"/>
    <n v="61.697603237864676"/>
    <n v="61.984200000000001"/>
    <n v="65.696174999999997"/>
    <n v="58.114374441632222"/>
    <n v="61.905274720816109"/>
    <n v="68.68062441310839"/>
    <n v="31.31937558689161"/>
    <n v="0.38187438028202447"/>
    <n v="0"/>
    <n v="23.640038420200128"/>
    <n v="4"/>
    <n v="4"/>
    <b v="1"/>
    <x v="5"/>
    <n v="58.495669782345971"/>
    <n v="0.38826885655469456"/>
    <n v="22.712046819792469"/>
    <n v="4"/>
    <n v="0"/>
    <n v="3.4096049384701388"/>
    <n v="-6.394476272670091E-3"/>
    <n v="0.92799160040765827"/>
    <n v="4"/>
    <b v="1"/>
    <n v="0"/>
    <n v="0.6523467210059386"/>
    <n v="38.159458375559559"/>
    <n v="0.30670858857574013"/>
    <n v="4"/>
    <n v="0"/>
    <n v="30.670858857574011"/>
    <n v="4"/>
    <n v="-0.27047234072391413"/>
    <b v="1"/>
    <n v="0"/>
    <n v="4"/>
    <n v="0"/>
    <n v="0"/>
    <n v="0"/>
    <n v="0"/>
    <n v="1"/>
    <n v="1"/>
    <s v="Rural"/>
    <n v="6"/>
    <s v="Fuera SC"/>
    <m/>
    <s v="No"/>
    <s v="No"/>
    <n v="60.1"/>
    <n v="50.012248897599214"/>
    <n v="95.24"/>
    <s v="Inviable sanitariamente"/>
    <n v="62.027549969117466"/>
    <s v="Muy Alto"/>
    <n v="36654.911511999999"/>
    <n v="7239.2419440000003"/>
    <n v="9825"/>
    <n v="3.7307797976590331"/>
    <n v="0.7368185184732825"/>
    <m/>
    <m/>
    <m/>
    <m/>
    <m/>
    <m/>
    <m/>
    <n v="27"/>
    <n v="0"/>
    <n v="7"/>
    <n v="94567.601723"/>
    <n v="1524.504981"/>
    <n v="1.6120795634275049E-2"/>
    <s v="0% - 30%"/>
    <n v="4.4353596770705552E-5"/>
    <n v="94259.130892999994"/>
    <n v="0.99673809185831364"/>
    <s v="71% - 100%"/>
    <n v="0.9141942743181467"/>
    <s v="Aceptable"/>
    <n v="3"/>
    <s v="Candidato"/>
    <n v="0"/>
    <n v="0"/>
  </r>
  <r>
    <n v="18029"/>
    <s v="18029"/>
    <x v="24"/>
    <x v="24"/>
    <s v="ALBANIA"/>
    <n v="59.882066666666702"/>
    <n v="60.38"/>
    <n v="58.18"/>
    <n v="49.49"/>
    <n v="51.932030555524399"/>
    <n v="54.072307074198335"/>
    <n v="55.197644529739819"/>
    <n v="53.838900000000002"/>
    <n v="56.983016666666678"/>
    <n v="53.760220539865635"/>
    <n v="55.371618603266157"/>
    <n v="68.1479162806734"/>
    <n v="31.8520837193266"/>
    <n v="0.38666875347393947"/>
    <n v="0"/>
    <n v="21.410474743159323"/>
    <n v="5"/>
    <n v="5"/>
    <b v="1"/>
    <x v="5"/>
    <n v="58.014500145242238"/>
    <n v="0.38759799537974737"/>
    <n v="22.486303959253956"/>
    <n v="4"/>
    <n v="0"/>
    <n v="-2.6428815419760809"/>
    <n v="-9.2924190580789823E-4"/>
    <n v="-1.0758292160946326"/>
    <n v="4"/>
    <b v="1"/>
    <n v="0"/>
    <n v="0.6523467210059386"/>
    <n v="37.845568940547324"/>
    <n v="0.30278216261438912"/>
    <n v="4"/>
    <n v="0"/>
    <n v="30.27821626143891"/>
    <n v="4"/>
    <n v="-0.26567796753199913"/>
    <b v="1"/>
    <n v="0"/>
    <n v="4"/>
    <n v="0"/>
    <n v="0"/>
    <n v="0"/>
    <n v="0"/>
    <n v="1"/>
    <n v="1"/>
    <s v="Rural"/>
    <n v="6"/>
    <s v="Fuera SC"/>
    <m/>
    <s v="No"/>
    <s v="No"/>
    <n v="38.799999999999997"/>
    <n v="20.169608067843228"/>
    <n v="4.3011111111111111"/>
    <s v="Sin riesgo"/>
    <n v="1.7079147452608558"/>
    <s v="Medio Bajo"/>
    <n v="13997.934397000001"/>
    <n v="3500.90185625"/>
    <n v="4833"/>
    <n v="2.896324104489965"/>
    <n v="0.72437447884336847"/>
    <m/>
    <m/>
    <m/>
    <m/>
    <m/>
    <m/>
    <m/>
    <n v="3"/>
    <n v="0"/>
    <n v="7"/>
    <n v="41282.769348000002"/>
    <n v="4565.3679320000001"/>
    <n v="0.11058773440113642"/>
    <s v="0% - 30%"/>
    <n v="1.3282376305062259E-4"/>
    <n v="117.91862500000001"/>
    <n v="2.8563642135047982E-3"/>
    <s v="0% - 30%"/>
    <n v="0.93598516163639534"/>
    <s v="Aceptable"/>
    <n v="1"/>
    <s v="Candidato"/>
    <n v="0"/>
    <n v="0"/>
  </r>
  <r>
    <n v="15514"/>
    <s v="15514"/>
    <x v="10"/>
    <x v="10"/>
    <s v="PÁEZ"/>
    <n v="57.750599999999999"/>
    <n v="48.37"/>
    <n v="59.81"/>
    <n v="68.069999999999993"/>
    <n v="65.601987998157227"/>
    <n v="59.81359985714451"/>
    <n v="54.097773932326675"/>
    <n v="65.317999999999998"/>
    <n v="58.500149999999998"/>
    <n v="61.207840446907099"/>
    <n v="59.853995223453552"/>
    <n v="68.837409437479707"/>
    <n v="31.162590562520293"/>
    <n v="0.38046331506268261"/>
    <n v="0"/>
    <n v="22.77224944246111"/>
    <n v="4"/>
    <n v="4"/>
    <b v="1"/>
    <x v="5"/>
    <n v="58.183918605733808"/>
    <n v="0.38578819964225608"/>
    <n v="22.446669207037612"/>
    <n v="4"/>
    <n v="0"/>
    <n v="1.6700766177197437"/>
    <n v="-5.3248845795734745E-3"/>
    <n v="0.32558023542349801"/>
    <n v="4"/>
    <b v="1"/>
    <n v="0"/>
    <n v="0.6523467210059386"/>
    <n v="37.956088517726876"/>
    <n v="0.3041646460262899"/>
    <n v="4"/>
    <n v="0"/>
    <n v="30.416464602628992"/>
    <n v="4"/>
    <n v="-0.271883405943256"/>
    <b v="1"/>
    <n v="0"/>
    <n v="3"/>
    <n v="-1"/>
    <n v="0"/>
    <n v="0"/>
    <n v="0"/>
    <n v="0"/>
    <n v="0"/>
    <s v="Rural"/>
    <n v="6"/>
    <s v="Fuera SC"/>
    <m/>
    <s v="No"/>
    <s v="No"/>
    <n v="36.5"/>
    <n v="13.23076923076923"/>
    <n v="37.611175625179641"/>
    <s v="Alto"/>
    <n v="5.3785899798122261E-2"/>
    <s v="Bajo"/>
    <n v="18907.418149000001"/>
    <n v="8849.2088079000005"/>
    <n v="3376"/>
    <n v="5.6005385512440764"/>
    <n v="2.6212111397808058"/>
    <m/>
    <m/>
    <m/>
    <m/>
    <m/>
    <m/>
    <m/>
    <n v="17"/>
    <n v="0"/>
    <n v="7"/>
    <n v="33840.819422"/>
    <n v="199.145465"/>
    <n v="5.8847707709623323E-3"/>
    <s v="0% - 30%"/>
    <n v="5.7938922885845625E-6"/>
    <s v="N.D."/>
    <s v="N.D."/>
    <s v="N.D."/>
    <n v="0.93999783867584696"/>
    <s v="Aceptable"/>
    <n v="3"/>
    <s v="Candidato"/>
    <n v="0"/>
    <n v="0"/>
  </r>
  <r>
    <n v="19809"/>
    <s v="19809"/>
    <x v="13"/>
    <x v="13"/>
    <s v="TIMBIQUÍ"/>
    <n v="39.479633333333297"/>
    <n v="79.040000000000006"/>
    <n v="80.05"/>
    <n v="88.79"/>
    <n v="56.466144790737481"/>
    <n v="62.82751722187713"/>
    <n v="67.82740777656241"/>
    <n v="54.478299999999997"/>
    <n v="71.839908333333327"/>
    <n v="60.399842447294255"/>
    <n v="66.119875390313794"/>
    <n v="68.406838707602162"/>
    <n v="31.593161292397838"/>
    <n v="0.38433845163158054"/>
    <n v="0"/>
    <n v="25.41241052958625"/>
    <n v="4"/>
    <n v="4"/>
    <b v="1"/>
    <x v="5"/>
    <n v="56.834914982409558"/>
    <n v="0.38564105481906608"/>
    <n v="21.917876564368363"/>
    <n v="4"/>
    <n v="0"/>
    <n v="9.2849604079042365"/>
    <n v="-1.3026031874855404E-3"/>
    <n v="3.4945339652178866"/>
    <n v="4"/>
    <b v="1"/>
    <n v="0"/>
    <n v="0.6523467210059386"/>
    <n v="37.076070427426167"/>
    <n v="0.2931565473431324"/>
    <n v="4"/>
    <n v="0"/>
    <n v="29.315654734313242"/>
    <n v="4"/>
    <n v="-0.26800826937435807"/>
    <b v="1"/>
    <n v="0"/>
    <n v="4"/>
    <n v="0"/>
    <n v="0"/>
    <n v="0"/>
    <n v="0"/>
    <n v="1"/>
    <n v="1"/>
    <s v="Rural disperso"/>
    <n v="6"/>
    <s v="Fuera SC"/>
    <m/>
    <s v="No"/>
    <s v="No"/>
    <n v="72.400000000000006"/>
    <n v="64.125104099194971"/>
    <n v="18.633333333333336"/>
    <s v="Medio"/>
    <n v="11.913539423930091"/>
    <s v="Alto"/>
    <n v="66292.247537999996"/>
    <n v="10211.409539"/>
    <n v="29010"/>
    <n v="2.2851515869700103"/>
    <n v="0.3519961923129955"/>
    <m/>
    <m/>
    <m/>
    <m/>
    <m/>
    <m/>
    <m/>
    <n v="38"/>
    <n v="0"/>
    <n v="7"/>
    <n v="205978.54676600001"/>
    <n v="21644.819993000001"/>
    <n v="0.10508288524624554"/>
    <s v="0% - 30%"/>
    <n v="6.2972940732164634E-4"/>
    <n v="200110.33422700001"/>
    <n v="0.9715105644197668"/>
    <s v="71% - 100%"/>
    <n v="0.91557569717401965"/>
    <s v="Aceptable"/>
    <n v="2"/>
    <s v="Candidato"/>
    <n v="0"/>
    <n v="0"/>
  </r>
  <r>
    <n v="68720"/>
    <s v="68720"/>
    <x v="0"/>
    <x v="0"/>
    <s v="SANTA HELENA DEL OPÓN"/>
    <n v="46.0276"/>
    <n v="31.77"/>
    <n v="30.18"/>
    <n v="67.23"/>
    <n v="52.728679405703552"/>
    <n v="49.487621052772042"/>
    <n v="52.316259958600206"/>
    <n v="47.5441"/>
    <n v="43.801900000000003"/>
    <n v="50.51916510426895"/>
    <n v="47.160532552134477"/>
    <n v="68.822718612445954"/>
    <n v="31.177281387554046"/>
    <n v="0.38059553248798639"/>
    <n v="0"/>
    <n v="17.949087999096637"/>
    <n v="5"/>
    <n v="5"/>
    <b v="1"/>
    <x v="6"/>
    <n v="46.622030944503628"/>
    <n v="0.38485083530506703"/>
    <n v="17.942527552610905"/>
    <n v="5"/>
    <n v="0"/>
    <n v="0.53850160763084887"/>
    <n v="-4.2553028170806417E-3"/>
    <n v="6.5604464857322853E-3"/>
    <n v="5"/>
    <b v="1"/>
    <n v="0"/>
    <n v="0.6523467210059386"/>
    <n v="30.413729013284343"/>
    <n v="0.20981767902202839"/>
    <n v="4"/>
    <n v="-1"/>
    <n v="20.98176790220284"/>
    <n v="5"/>
    <n v="-0.27175118851795221"/>
    <b v="1"/>
    <s v="Efecto ponderador"/>
    <n v="4"/>
    <n v="-1"/>
    <n v="0"/>
    <n v="0"/>
    <n v="0"/>
    <n v="0"/>
    <n v="0"/>
    <s v="Rural disperso"/>
    <n v="6"/>
    <s v="Fuera SC"/>
    <m/>
    <s v="No"/>
    <s v="Si"/>
    <n v="47.9"/>
    <n v="22.658227848101266"/>
    <n v="46.476666666666667"/>
    <s v="Alto"/>
    <n v="5.2042557499141842E-2"/>
    <s v="Bajo"/>
    <n v="13616.127145"/>
    <n v="2867.7204957499998"/>
    <n v="3472"/>
    <n v="3.921695606278802"/>
    <n v="0.82595636398329486"/>
    <m/>
    <m/>
    <m/>
    <m/>
    <m/>
    <m/>
    <m/>
    <n v="45"/>
    <n v="0"/>
    <n v="7"/>
    <n v="37326.689286000001"/>
    <n v="37216.860566000003"/>
    <n v="0.9970576356462133"/>
    <s v="71% - 100%"/>
    <n v="1.0827787689700809E-3"/>
    <s v="N.D."/>
    <s v="N.D."/>
    <s v="N.D."/>
    <n v="0.92939144003965923"/>
    <s v="Aceptable"/>
    <n v="2"/>
    <s v="Candidato"/>
    <n v="0"/>
    <n v="0"/>
  </r>
  <r>
    <n v="68502"/>
    <s v="68502"/>
    <x v="0"/>
    <x v="0"/>
    <s v="ONZAGA"/>
    <n v="69.046000000000006"/>
    <n v="51.35"/>
    <n v="46.11"/>
    <n v="63.61"/>
    <n v="49.466003015074492"/>
    <n v="48.388017144046337"/>
    <n v="50.223196650267177"/>
    <n v="49.097799999999999"/>
    <n v="57.529000000000011"/>
    <n v="49.293754202347003"/>
    <n v="53.411377101173507"/>
    <n v="67.984713935699276"/>
    <n v="32.015286064300724"/>
    <n v="0.38813757457870657"/>
    <n v="0"/>
    <n v="20.730962362958152"/>
    <n v="5"/>
    <n v="5"/>
    <b v="1"/>
    <x v="6"/>
    <n v="54.039036134897998"/>
    <n v="0.38527145320775835"/>
    <n v="20.819697981638718"/>
    <n v="4"/>
    <n v="-1"/>
    <n v="-0.62765903372449117"/>
    <n v="2.8661213709482158E-3"/>
    <n v="-8.873561868056612E-2"/>
    <n v="4"/>
    <b v="0"/>
    <s v="Cambio en corte"/>
    <n v="0.6523467210059386"/>
    <n v="35.252188028922141"/>
    <n v="0.27034170109111316"/>
    <n v="4"/>
    <n v="-1"/>
    <n v="27.034170109111315"/>
    <n v="4"/>
    <n v="-0.26420914642723203"/>
    <b v="0"/>
    <s v="Cambio en corte"/>
    <n v="4"/>
    <n v="-1"/>
    <n v="0"/>
    <n v="0"/>
    <n v="0"/>
    <n v="0"/>
    <n v="0"/>
    <s v="Rural disperso"/>
    <n v="6"/>
    <s v="Fuera SC"/>
    <m/>
    <s v="No"/>
    <s v="Si"/>
    <n v="55.1"/>
    <n v="26.043788187372709"/>
    <n v="0"/>
    <s v="Sin riesgo"/>
    <n v="1.9957787783350209"/>
    <s v="Medio Bajo"/>
    <n v="14107.256033"/>
    <n v="3132.9702309999998"/>
    <n v="4721"/>
    <n v="2.9881923391230671"/>
    <n v="0.66362428108451599"/>
    <m/>
    <m/>
    <m/>
    <m/>
    <m/>
    <m/>
    <m/>
    <n v="75"/>
    <n v="0"/>
    <n v="7"/>
    <n v="48821.431624999997"/>
    <n v="25430.641599999999"/>
    <n v="0.52089094386527013"/>
    <s v="51% - 70%"/>
    <n v="7.3987322914934451E-4"/>
    <s v="N.D."/>
    <s v="N.D."/>
    <s v="N.D."/>
    <n v="0.97146092513381799"/>
    <s v="Aceptable"/>
    <n v="2"/>
    <s v="Candidato"/>
    <n v="0"/>
    <n v="0"/>
  </r>
  <r>
    <n v="52418"/>
    <s v="52418"/>
    <x v="18"/>
    <x v="18"/>
    <s v="LOS ANDES"/>
    <n v="63.540700000000001"/>
    <n v="30.08"/>
    <n v="37.67"/>
    <n v="60.74"/>
    <n v="57.410636894364735"/>
    <n v="65.926108108431961"/>
    <n v="70.131247201226927"/>
    <n v="68.802000000000007"/>
    <n v="48.007675000000006"/>
    <n v="65.567498051005913"/>
    <n v="56.787586525502959"/>
    <n v="69.072292156350784"/>
    <n v="30.927707843649216"/>
    <n v="0.3783493705928429"/>
    <n v="0"/>
    <n v="21.485547619410653"/>
    <n v="5"/>
    <n v="5"/>
    <b v="1"/>
    <x v="5"/>
    <n v="55.297398756086082"/>
    <n v="0.38442032629358203"/>
    <n v="21.257444073000929"/>
    <n v="4"/>
    <n v="0"/>
    <n v="1.4901877694168775"/>
    <n v="-6.0709557007391224E-3"/>
    <n v="0.22810354640972363"/>
    <n v="4"/>
    <b v="1"/>
    <n v="0"/>
    <n v="0.6523467210059386"/>
    <n v="36.073076758690625"/>
    <n v="0.28061015380223353"/>
    <n v="4"/>
    <n v="0"/>
    <n v="28.061015380223353"/>
    <n v="4"/>
    <n v="-0.2739973504130957"/>
    <b v="1"/>
    <n v="0"/>
    <n v="4"/>
    <n v="0"/>
    <n v="0"/>
    <n v="0"/>
    <n v="0"/>
    <n v="1"/>
    <n v="1"/>
    <s v="Rural"/>
    <n v="6"/>
    <s v="Fuera SC"/>
    <m/>
    <s v="No"/>
    <s v="Si"/>
    <n v="44.9"/>
    <n v="23.701485661637683"/>
    <n v="38.924068128527601"/>
    <s v="Alto"/>
    <n v="72.613668202209965"/>
    <s v="Muy Alto"/>
    <n v="25170.178512999999"/>
    <n v="5025.6576077500004"/>
    <n v="9553"/>
    <n v="2.6347931030042919"/>
    <n v="0.52608160868313625"/>
    <m/>
    <m/>
    <m/>
    <m/>
    <m/>
    <m/>
    <m/>
    <n v="70"/>
    <n v="0"/>
    <n v="7"/>
    <n v="95796.688473999995"/>
    <n v="82135.357373999999"/>
    <n v="0.85739244938818748"/>
    <s v="71% - 100%"/>
    <n v="2.3896271688102753E-3"/>
    <n v="55112.022356000001"/>
    <n v="0.57530195702910814"/>
    <s v="51% - 70%"/>
    <n v="0.85829350057651055"/>
    <s v="Aceptable"/>
    <n v="3"/>
    <s v="Candidato"/>
    <n v="0"/>
    <n v="0"/>
  </r>
  <r>
    <n v="18610"/>
    <s v="18610"/>
    <x v="24"/>
    <x v="24"/>
    <s v="SAN JOSÉ DEL FRAGUA"/>
    <n v="60.578299999999999"/>
    <n v="57.81"/>
    <n v="48.68"/>
    <n v="62.83"/>
    <n v="58.07232143493529"/>
    <n v="46.847114953080599"/>
    <n v="61.915969587205964"/>
    <n v="58.572200000000002"/>
    <n v="57.474575000000002"/>
    <n v="56.351901493805471"/>
    <n v="56.913238246902736"/>
    <n v="69.079346441951827"/>
    <n v="30.920653558048173"/>
    <n v="0.37828588202243352"/>
    <n v="0"/>
    <n v="21.529474528982501"/>
    <n v="5"/>
    <n v="5"/>
    <b v="1"/>
    <x v="5"/>
    <n v="56.071464321062834"/>
    <n v="0.38275002136189584"/>
    <n v="21.46135416667958"/>
    <n v="4"/>
    <n v="0"/>
    <n v="0.8417739258399024"/>
    <n v="-4.4641393394623252E-3"/>
    <n v="6.8120362302920512E-2"/>
    <n v="4"/>
    <b v="1"/>
    <n v="0"/>
    <n v="0.6523467210059386"/>
    <n v="36.578035891846817"/>
    <n v="0.28692666028091918"/>
    <n v="4"/>
    <n v="0"/>
    <n v="28.692666028091917"/>
    <n v="4"/>
    <n v="-0.27406083898350508"/>
    <b v="1"/>
    <n v="0"/>
    <n v="4"/>
    <n v="0"/>
    <n v="0"/>
    <n v="0"/>
    <n v="0"/>
    <n v="1"/>
    <n v="1"/>
    <s v="Rural"/>
    <n v="6"/>
    <s v="Fuera SC"/>
    <m/>
    <s v="No"/>
    <s v="No"/>
    <n v="48.7"/>
    <n v="26.72138622891017"/>
    <n v="5.1611111111111114"/>
    <s v="Bajo"/>
    <n v="18.699411262881366"/>
    <s v="Alto"/>
    <n v="30275.120149999999"/>
    <n v="6397.2927502499997"/>
    <n v="13229"/>
    <n v="2.2885418512359208"/>
    <n v="0.48358097741703832"/>
    <m/>
    <m/>
    <m/>
    <m/>
    <m/>
    <m/>
    <m/>
    <n v="3"/>
    <n v="0"/>
    <n v="7"/>
    <n v="131024.886417"/>
    <n v="63443.890757000001"/>
    <n v="0.48421252245991941"/>
    <s v="31% - 50%"/>
    <n v="1.8458219443499941E-3"/>
    <n v="2834.5356879999999"/>
    <n v="2.1633567221564325E-2"/>
    <s v="0% - 30%"/>
    <n v="0.94455899087031292"/>
    <s v="Aceptable"/>
    <n v="2"/>
    <s v="Candidato"/>
    <n v="0"/>
    <n v="0"/>
  </r>
  <r>
    <n v="54245"/>
    <s v="54245"/>
    <x v="12"/>
    <x v="12"/>
    <s v="EL CARMEN"/>
    <n v="70.041166666666697"/>
    <n v="74.13"/>
    <n v="77.89"/>
    <n v="93.47"/>
    <n v="45.506334548201423"/>
    <n v="55.234122179078909"/>
    <n v="55.391430604406636"/>
    <n v="57.7712"/>
    <n v="78.882791666666662"/>
    <n v="53.475771832921744"/>
    <n v="66.1792817497942"/>
    <n v="69.315834827227562"/>
    <n v="30.684165172772438"/>
    <n v="0.37615748655495196"/>
    <n v="0"/>
    <n v="24.893832285014589"/>
    <n v="4"/>
    <n v="4"/>
    <b v="1"/>
    <x v="5"/>
    <n v="59.743367146064948"/>
    <n v="0.38074154658472648"/>
    <n v="22.746782005371905"/>
    <n v="4"/>
    <n v="0"/>
    <n v="6.4359146037292518"/>
    <n v="-4.5840600297745171E-3"/>
    <n v="2.1470502796426842"/>
    <n v="4"/>
    <b v="1"/>
    <n v="0"/>
    <n v="0.6523467210059386"/>
    <n v="38.973389659589387"/>
    <n v="0.31689001097450897"/>
    <n v="4"/>
    <n v="0"/>
    <n v="31.689001097450898"/>
    <n v="4"/>
    <n v="-0.27618923445098664"/>
    <b v="1"/>
    <n v="0"/>
    <n v="4"/>
    <n v="0"/>
    <n v="0"/>
    <n v="0"/>
    <n v="0"/>
    <n v="1"/>
    <n v="1"/>
    <s v="Rural disperso"/>
    <n v="6"/>
    <s v="Fuera SC"/>
    <m/>
    <s v="No"/>
    <s v="No"/>
    <n v="68.900000000000006"/>
    <n v="48.716447863533737"/>
    <n v="65.201283819628642"/>
    <s v="Alto"/>
    <n v="20.382028804776784"/>
    <s v="Alto"/>
    <n v="38560.300695999998"/>
    <n v="8863.8993129999999"/>
    <n v="14851"/>
    <n v="2.5964783984916839"/>
    <n v="0.5968553843512221"/>
    <m/>
    <m/>
    <m/>
    <m/>
    <m/>
    <m/>
    <m/>
    <n v="14"/>
    <n v="0"/>
    <n v="7"/>
    <n v="173345.063138"/>
    <n v="119508.36367599999"/>
    <n v="0.68942467418791953"/>
    <s v="51% - 70%"/>
    <n v="3.4769488058577474E-3"/>
    <n v="48314.437964999997"/>
    <n v="0.27871828069621385"/>
    <s v="0% - 30%"/>
    <n v="0.97222028037130781"/>
    <s v="Aceptable"/>
    <n v="2"/>
    <s v="Candidato"/>
    <n v="1"/>
    <s v="Zona de Fronteras"/>
  </r>
  <r>
    <n v="18094"/>
    <s v="18094"/>
    <x v="24"/>
    <x v="24"/>
    <s v="BELÉN DE LOS ANDAQUÍES"/>
    <n v="48.456866666666699"/>
    <n v="39.869999999999997"/>
    <n v="40.6"/>
    <n v="45.89"/>
    <n v="45.593522906005624"/>
    <n v="51.995273542159055"/>
    <n v="54.004158456538811"/>
    <n v="57.329099999999997"/>
    <n v="43.704216666666667"/>
    <n v="52.230513726175872"/>
    <n v="47.96736519642127"/>
    <n v="69.40486915122051"/>
    <n v="30.59513084877949"/>
    <n v="0.37535617763901541"/>
    <n v="0"/>
    <n v="18.004846851543427"/>
    <n v="5"/>
    <n v="5"/>
    <b v="1"/>
    <x v="6"/>
    <n v="47.908857384516509"/>
    <n v="0.37758839594991545"/>
    <n v="18.089828611612852"/>
    <n v="5"/>
    <n v="0"/>
    <n v="5.8507811904760842E-2"/>
    <n v="-2.232218310900036E-3"/>
    <n v="-8.498176006942515E-2"/>
    <n v="5"/>
    <b v="1"/>
    <n v="0"/>
    <n v="0.6523467210059386"/>
    <n v="31.253186021930492"/>
    <n v="0.2203184013290975"/>
    <n v="4"/>
    <n v="-1"/>
    <n v="22.03184013290975"/>
    <n v="5"/>
    <n v="-0.27699054336692319"/>
    <b v="1"/>
    <s v="Efecto ponderador"/>
    <n v="4"/>
    <n v="-1"/>
    <n v="0"/>
    <n v="0"/>
    <n v="0"/>
    <n v="1"/>
    <n v="1"/>
    <s v="Rural disperso"/>
    <n v="6"/>
    <s v="Fuera SC"/>
    <m/>
    <s v="No"/>
    <s v="No"/>
    <n v="50"/>
    <n v="28.491236109519992"/>
    <n v="2.4187500000000002"/>
    <s v="Sin riesgo"/>
    <n v="23.291771442603714"/>
    <s v="Muy Alto"/>
    <n v="33780.272073"/>
    <n v="5733.7980799999996"/>
    <n v="11371"/>
    <n v="2.9707389036144578"/>
    <n v="0.50424747867381936"/>
    <m/>
    <m/>
    <m/>
    <m/>
    <m/>
    <m/>
    <m/>
    <n v="3"/>
    <n v="0"/>
    <n v="6"/>
    <n v="119155.051036"/>
    <n v="43432.296047999997"/>
    <n v="0.36450234942099025"/>
    <s v="31% - 50%"/>
    <n v="1.263609217252469E-3"/>
    <n v="1324.812054"/>
    <n v="1.1118387701413832E-2"/>
    <s v="0% - 30%"/>
    <n v="0.93252567664146424"/>
    <s v="Aceptable"/>
    <n v="1"/>
    <s v="Candidato"/>
    <n v="0"/>
    <n v="0"/>
  </r>
  <r>
    <n v="19318"/>
    <s v="19318"/>
    <x v="13"/>
    <x v="13"/>
    <s v="GUAPI"/>
    <n v="53.941033333333301"/>
    <n v="48.77"/>
    <n v="51.36"/>
    <n v="85.84"/>
    <n v="26.750571350287327"/>
    <n v="51.22527370732216"/>
    <n v="55.752225118132223"/>
    <n v="48.056899999999999"/>
    <n v="59.977758333333327"/>
    <n v="45.446242543935426"/>
    <n v="52.712000438634377"/>
    <n v="69.681524706690368"/>
    <n v="30.318475293309632"/>
    <n v="0.37286627763978675"/>
    <n v="0"/>
    <n v="19.654527390500405"/>
    <n v="5"/>
    <n v="5"/>
    <b v="1"/>
    <x v="6"/>
    <n v="54.417204724687466"/>
    <n v="0.37664644566164096"/>
    <n v="20.496046742395389"/>
    <n v="4"/>
    <n v="-1"/>
    <n v="-1.7052042860530889"/>
    <n v="-3.7801680218542133E-3"/>
    <n v="-0.84151935189498417"/>
    <n v="5"/>
    <b v="1"/>
    <s v="Efecto ponderador"/>
    <n v="0.6523467210059386"/>
    <n v="35.49888506845874"/>
    <n v="0.27342762101252494"/>
    <n v="4"/>
    <n v="-1"/>
    <n v="27.342762101252493"/>
    <n v="4"/>
    <n v="-0.27948044336615185"/>
    <b v="0"/>
    <s v="Cambio en corte"/>
    <n v="5"/>
    <n v="0"/>
    <n v="0"/>
    <n v="0"/>
    <n v="0"/>
    <n v="1"/>
    <n v="1"/>
    <s v="Rural"/>
    <n v="6"/>
    <s v="Fuera SC"/>
    <m/>
    <s v="No"/>
    <s v="No"/>
    <n v="68.900000000000006"/>
    <n v="70.683491062039963"/>
    <n v="9.2159847664184156"/>
    <s v="Bajo"/>
    <n v="18.208601955578878"/>
    <s v="Alto"/>
    <n v="62418.241402"/>
    <n v="15368.949242999999"/>
    <n v="29275"/>
    <n v="2.1321346337147737"/>
    <n v="0.52498545663535434"/>
    <m/>
    <m/>
    <m/>
    <m/>
    <m/>
    <m/>
    <m/>
    <n v="38"/>
    <n v="0"/>
    <n v="6"/>
    <n v="257088.669112"/>
    <n v="17435.388598000001"/>
    <n v="6.781858048518008E-2"/>
    <s v="0% - 30%"/>
    <n v="5.0726117989394041E-4"/>
    <n v="248101.332054"/>
    <n v="0.96504187800635932"/>
    <s v="71% - 100%"/>
    <n v="0.96618293748633621"/>
    <s v="Aceptable"/>
    <n v="2"/>
    <s v="Candidato"/>
    <n v="0"/>
    <n v="0"/>
  </r>
  <r>
    <n v="27077"/>
    <s v="27077"/>
    <x v="26"/>
    <x v="26"/>
    <s v="BAJO BAUDÓ"/>
    <n v="59.176466666666698"/>
    <n v="48.5"/>
    <n v="42.75"/>
    <n v="61.67"/>
    <n v="58.38337040259124"/>
    <n v="58.152144654815586"/>
    <n v="64.461748290296825"/>
    <n v="58.8598"/>
    <n v="53.024116666666671"/>
    <n v="59.964265836925918"/>
    <n v="56.494191251796295"/>
    <n v="69.466664798295426"/>
    <n v="30.533335201704574"/>
    <n v="0.37480001681534114"/>
    <n v="0"/>
    <n v="21.17402383114235"/>
    <n v="5"/>
    <n v="5"/>
    <b v="1"/>
    <x v="5"/>
    <n v="56.658392363660539"/>
    <n v="0.37664602936217961"/>
    <n v="21.34015851381718"/>
    <n v="4"/>
    <n v="0"/>
    <n v="-0.16420111186424435"/>
    <n v="-1.8460125468384714E-3"/>
    <n v="-0.16613468267483"/>
    <n v="4"/>
    <b v="1"/>
    <n v="0"/>
    <n v="0.6523467210059386"/>
    <n v="36.960916475901861"/>
    <n v="0.29171609279326977"/>
    <n v="4"/>
    <n v="0"/>
    <n v="29.171609279326976"/>
    <n v="4"/>
    <n v="-0.27754670419059746"/>
    <b v="1"/>
    <n v="0"/>
    <n v="4"/>
    <n v="0"/>
    <n v="0"/>
    <n v="0"/>
    <n v="0"/>
    <n v="0"/>
    <n v="1"/>
    <s v="Rural disperso"/>
    <n v="6"/>
    <s v="Fuera SC"/>
    <m/>
    <s v="No"/>
    <s v="No"/>
    <n v="80.400000000000006"/>
    <n v="65.866348707387132"/>
    <s v="Sin Información"/>
    <s v="Sin Información"/>
    <n v="5.4399309489002903"/>
    <s v="Medio Bajo"/>
    <n v="68690.103801999998"/>
    <n v="17900.739432999999"/>
    <n v="34197"/>
    <n v="2.0086587654472612"/>
    <n v="0.52345935120039766"/>
    <m/>
    <m/>
    <m/>
    <m/>
    <m/>
    <m/>
    <m/>
    <n v="38"/>
    <n v="0"/>
    <n v="7"/>
    <n v="348219.82303999999"/>
    <n v="111660.432147"/>
    <n v="0.32066075725440124"/>
    <s v="31% - 50%"/>
    <n v="3.2486228936045472E-3"/>
    <n v="340643.653651"/>
    <n v="0.97824314157976666"/>
    <s v="71% - 100%"/>
    <n v="0.96028665920753808"/>
    <s v="Aceptable"/>
    <n v="2"/>
    <s v="Candidato"/>
    <n v="0"/>
    <n v="0"/>
  </r>
  <r>
    <n v="85279"/>
    <s v="85279"/>
    <x v="23"/>
    <x v="23"/>
    <s v="RECETOR"/>
    <n v="46.1721"/>
    <n v="72.69"/>
    <n v="52.79"/>
    <n v="53.06"/>
    <n v="54.372744202329194"/>
    <n v="73.086231219869106"/>
    <n v="66.539595254966144"/>
    <n v="54.4131"/>
    <n v="56.178024999999998"/>
    <n v="62.102917669291116"/>
    <n v="59.140471334645554"/>
    <n v="69.124289406140946"/>
    <n v="30.875710593859054"/>
    <n v="0.37788139534473153"/>
    <n v="0"/>
    <n v="22.348083829280959"/>
    <n v="4"/>
    <n v="4"/>
    <b v="1"/>
    <x v="5"/>
    <n v="56.509863941292032"/>
    <n v="0.37604205184105799"/>
    <n v="21.250085185742471"/>
    <n v="4"/>
    <n v="0"/>
    <n v="2.6306073933535217"/>
    <n v="1.8393435036735406E-3"/>
    <n v="1.0979986435384887"/>
    <n v="4"/>
    <b v="1"/>
    <n v="0"/>
    <n v="0.6523467210059386"/>
    <n v="36.864024446593582"/>
    <n v="0.29050407564044911"/>
    <n v="4"/>
    <n v="0"/>
    <n v="29.05040756404491"/>
    <n v="4"/>
    <n v="-0.27446532566120707"/>
    <b v="1"/>
    <n v="0"/>
    <n v="4"/>
    <n v="0"/>
    <n v="0"/>
    <n v="0"/>
    <n v="0"/>
    <n v="0"/>
    <n v="1"/>
    <s v="Rural disperso"/>
    <n v="6"/>
    <s v="Fuera SC"/>
    <m/>
    <s v="No"/>
    <s v="No"/>
    <n v="39.299999999999997"/>
    <n v="28.130081300813007"/>
    <n v="6.7972727272727278"/>
    <s v="Bajo"/>
    <n v="0"/>
    <s v="Bajo"/>
    <n v="15162.594743"/>
    <n v="3638.0823989999999"/>
    <n v="1728"/>
    <n v="8.7746497355324067"/>
    <n v="2.1053717586805556"/>
    <m/>
    <m/>
    <m/>
    <m/>
    <m/>
    <m/>
    <m/>
    <n v="41"/>
    <n v="0"/>
    <n v="7"/>
    <n v="18084.587339999998"/>
    <n v="151.33895699999999"/>
    <n v="8.3683942660535155E-3"/>
    <s v="0% - 30%"/>
    <n v="4.4030207563337212E-6"/>
    <s v="N.D."/>
    <s v="N.D."/>
    <s v="N.D."/>
    <n v="0.86038035315799655"/>
    <s v="Aceptable"/>
    <n v="1"/>
    <s v="Candidato"/>
    <n v="0"/>
    <n v="0"/>
  </r>
  <r>
    <n v="52696"/>
    <s v="52696"/>
    <x v="18"/>
    <x v="18"/>
    <s v="SANTA BÁRBARA"/>
    <n v="58.5535"/>
    <n v="0"/>
    <n v="37.79"/>
    <n v="36.99"/>
    <n v="54.026801783099671"/>
    <n v="59.083555789353753"/>
    <n v="57.398274104836105"/>
    <n v="59.938200000000002"/>
    <n v="33.333375000000004"/>
    <n v="57.611707919322384"/>
    <n v="45.472541459661194"/>
    <n v="69.710328006630888"/>
    <n v="30.289671993369112"/>
    <n v="0.37260704794032196"/>
    <n v="0"/>
    <n v="16.943389435628255"/>
    <n v="5"/>
    <n v="5"/>
    <b v="1"/>
    <x v="6"/>
    <n v="53.037033083148501"/>
    <n v="0.37612552727651427"/>
    <n v="19.948582033581161"/>
    <n v="5"/>
    <n v="0"/>
    <n v="-7.5644916234873065"/>
    <n v="-3.518479336192315E-3"/>
    <n v="-3.0051925979529059"/>
    <n v="5"/>
    <b v="1"/>
    <n v="0"/>
    <n v="0.6523467210059386"/>
    <n v="34.598534623675413"/>
    <n v="0.26216518600711169"/>
    <n v="4"/>
    <n v="-1"/>
    <n v="26.216518600711169"/>
    <n v="5"/>
    <n v="-0.27973967306561665"/>
    <b v="1"/>
    <s v="Efecto ponderador"/>
    <n v="4"/>
    <n v="-1"/>
    <n v="0"/>
    <n v="0"/>
    <n v="0"/>
    <n v="1"/>
    <n v="1"/>
    <s v="Rural disperso"/>
    <n v="6"/>
    <s v="Fuera SC"/>
    <m/>
    <s v="No"/>
    <s v="No"/>
    <n v="75.099999999999994"/>
    <n v="74.268550450550677"/>
    <n v="47.774645550527893"/>
    <s v="Alto"/>
    <n v="18.491394946127286"/>
    <s v="Alto"/>
    <n v="30355.105017999998"/>
    <n v="7994.2909259999997"/>
    <n v="14142"/>
    <n v="2.146450644746146"/>
    <n v="0.56528715358506576"/>
    <m/>
    <m/>
    <m/>
    <m/>
    <m/>
    <m/>
    <m/>
    <n v="97"/>
    <n v="0"/>
    <n v="7"/>
    <n v="122612.581315"/>
    <n v="24163.669097000002"/>
    <n v="0.19707332508498376"/>
    <s v="0% - 30%"/>
    <n v="7.0301222297488631E-4"/>
    <n v="106050.565881"/>
    <n v="0.86492401304682542"/>
    <s v="71% - 100%"/>
    <n v="0.86805628463772133"/>
    <s v="Aceptable"/>
    <n v="1"/>
    <s v="Candidato"/>
    <n v="0"/>
    <n v="0"/>
  </r>
  <r>
    <n v="25438"/>
    <s v="25438"/>
    <x v="5"/>
    <x v="5"/>
    <s v="MEDINA"/>
    <n v="55.5657"/>
    <n v="43.06"/>
    <n v="36.6"/>
    <n v="62.4"/>
    <n v="48.349730559189119"/>
    <n v="51.982377037316795"/>
    <n v="66.975380944780582"/>
    <n v="51.6402"/>
    <n v="49.406424999999999"/>
    <n v="54.73692213532162"/>
    <n v="52.07167356766081"/>
    <n v="71.013237183563831"/>
    <n v="28.986762816436169"/>
    <n v="0.36088086534792552"/>
    <n v="0"/>
    <n v="18.791670617212134"/>
    <n v="5"/>
    <n v="5"/>
    <b v="1"/>
    <x v="6"/>
    <n v="51.050055596240313"/>
    <n v="0.37388277253011459"/>
    <n v="19.086736324138819"/>
    <n v="5"/>
    <n v="0"/>
    <n v="1.0216179714204969"/>
    <n v="-1.3001907182189076E-2"/>
    <n v="-0.29506570692668532"/>
    <n v="5"/>
    <b v="1"/>
    <n v="0"/>
    <n v="0.6523467210059386"/>
    <n v="33.302336375378232"/>
    <n v="0.24595111224265587"/>
    <n v="4"/>
    <n v="-1"/>
    <n v="24.595111224265587"/>
    <n v="4"/>
    <n v="-0.29146585565801308"/>
    <b v="0"/>
    <s v="Cambio en corte"/>
    <n v="4"/>
    <n v="-1"/>
    <n v="0"/>
    <n v="0"/>
    <n v="0"/>
    <n v="0"/>
    <n v="1"/>
    <s v="Rural disperso"/>
    <n v="6"/>
    <s v="Fuera SC"/>
    <m/>
    <s v="No"/>
    <s v="No"/>
    <n v="38.5"/>
    <n v="21.24088595405145"/>
    <n v="25.62166666666667"/>
    <s v="Medio"/>
    <n v="0"/>
    <s v="Bajo"/>
    <n v="26330.424863"/>
    <n v="4964.7481159999998"/>
    <n v="8472"/>
    <n v="3.1079349460576013"/>
    <n v="0.58601842728989606"/>
    <m/>
    <m/>
    <m/>
    <m/>
    <m/>
    <m/>
    <m/>
    <n v="88"/>
    <n v="0"/>
    <n v="7"/>
    <n v="119492.912499"/>
    <n v="20202.425157000001"/>
    <n v="0.16906797846415425"/>
    <s v="0% - 30%"/>
    <n v="5.8776470419674926E-4"/>
    <s v="N.D."/>
    <s v="N.D."/>
    <s v="N.D."/>
    <n v="0.96237395252644498"/>
    <s v="Aceptable"/>
    <n v="2"/>
    <s v="Candidato"/>
    <n v="0"/>
    <n v="0"/>
  </r>
  <r>
    <n v="18410"/>
    <s v="18410"/>
    <x v="24"/>
    <x v="24"/>
    <s v="LA MONTAÑITA"/>
    <n v="49.705966666666697"/>
    <n v="44.73"/>
    <n v="54.77"/>
    <n v="49.59"/>
    <n v="41.024176599704461"/>
    <n v="45.538015210809888"/>
    <n v="61.189121868624184"/>
    <n v="57.363599999999998"/>
    <n v="49.698991666666679"/>
    <n v="51.278728419784635"/>
    <n v="50.488860043225657"/>
    <n v="69.705230580643885"/>
    <n v="30.294769419356115"/>
    <n v="0.37265292477420509"/>
    <n v="0"/>
    <n v="18.81482136362354"/>
    <n v="5"/>
    <n v="5"/>
    <b v="1"/>
    <x v="6"/>
    <n v="49.870350788759595"/>
    <n v="0.37424028861499137"/>
    <n v="18.663494472516252"/>
    <n v="5"/>
    <n v="0"/>
    <n v="0.61850925446606198"/>
    <n v="-1.5873638407862822E-3"/>
    <n v="0.15132689110728847"/>
    <n v="5"/>
    <b v="1"/>
    <n v="0"/>
    <n v="0.6523467210059386"/>
    <n v="32.532759812463247"/>
    <n v="0.23632452065075063"/>
    <n v="4"/>
    <n v="-1"/>
    <n v="23.632452065075064"/>
    <n v="4"/>
    <n v="-0.27969379623173352"/>
    <b v="0"/>
    <s v="Cambio en corte"/>
    <n v="4"/>
    <n v="-1"/>
    <n v="0"/>
    <n v="0"/>
    <n v="0"/>
    <n v="1"/>
    <n v="1"/>
    <s v="Rural disperso"/>
    <n v="6"/>
    <s v="Fuera SC"/>
    <m/>
    <s v="No"/>
    <s v="No"/>
    <n v="56.2"/>
    <n v="32.853175980562305"/>
    <n v="4.3000000000000007"/>
    <s v="Sin riesgo"/>
    <n v="36.68514643945165"/>
    <s v="Muy Alto"/>
    <n v="40173.821800999998"/>
    <n v="7144.4355395000002"/>
    <n v="15382"/>
    <n v="2.6117424132752567"/>
    <n v="0.46446726950331557"/>
    <m/>
    <m/>
    <m/>
    <m/>
    <m/>
    <m/>
    <m/>
    <n v="3"/>
    <n v="0"/>
    <n v="7"/>
    <n v="170023.55642899999"/>
    <n v="10488.727532000001"/>
    <n v="6.1689849055592369E-2"/>
    <s v="0% - 30%"/>
    <n v="3.0515662289733484E-4"/>
    <n v="424.96158800000001"/>
    <n v="2.4994277082861717E-3"/>
    <s v="0% - 30%"/>
    <n v="0.97231499034999902"/>
    <s v="Aceptable"/>
    <n v="1"/>
    <s v="Candidato"/>
    <n v="0"/>
    <n v="0"/>
  </r>
  <r>
    <n v="81794"/>
    <s v="81794"/>
    <x v="25"/>
    <x v="25"/>
    <s v="TAME"/>
    <n v="55.690066666666702"/>
    <n v="55.34"/>
    <n v="62.32"/>
    <n v="75.94"/>
    <n v="63.429725096539698"/>
    <n v="57.696422973411543"/>
    <n v="67.117618495846457"/>
    <n v="63.99"/>
    <n v="62.322516666666672"/>
    <n v="63.058441641449427"/>
    <n v="62.690479154058053"/>
    <n v="71.156542574789711"/>
    <n v="28.843457425210289"/>
    <n v="0.3595911168268926"/>
    <n v="0"/>
    <n v="22.542939413420765"/>
    <n v="4"/>
    <n v="4"/>
    <b v="1"/>
    <x v="5"/>
    <n v="59.763725550025825"/>
    <n v="0.37412375058660474"/>
    <n v="22.359029151804158"/>
    <n v="4"/>
    <n v="0"/>
    <n v="2.9267536040322284"/>
    <n v="-1.4532633759712144E-2"/>
    <n v="0.18391026161660662"/>
    <n v="4"/>
    <b v="1"/>
    <n v="0"/>
    <n v="0.6523467210059386"/>
    <n v="38.98667039765818"/>
    <n v="0.31705613900853208"/>
    <n v="4"/>
    <n v="0"/>
    <n v="31.705613900853209"/>
    <n v="4"/>
    <n v="-0.292755604179046"/>
    <b v="1"/>
    <n v="0"/>
    <n v="4"/>
    <n v="0"/>
    <n v="0"/>
    <n v="0"/>
    <n v="0"/>
    <n v="1"/>
    <n v="1"/>
    <s v="Intermedio"/>
    <n v="6"/>
    <s v="Fuera SC"/>
    <m/>
    <s v="No"/>
    <s v="No"/>
    <n v="41.9"/>
    <n v="30.124200225818594"/>
    <n v="21.016784846846289"/>
    <s v="Medio"/>
    <n v="48.415923271850723"/>
    <s v="Muy Alto"/>
    <n v="141714.49328699999"/>
    <n v="20754.116248750001"/>
    <n v="46068"/>
    <n v="3.0762024243943733"/>
    <n v="0.45051046819375706"/>
    <m/>
    <m/>
    <m/>
    <m/>
    <m/>
    <m/>
    <m/>
    <n v="53"/>
    <n v="0"/>
    <n v="6"/>
    <n v="540388.16032699996"/>
    <n v="174882.60929299999"/>
    <n v="0.32362405791269544"/>
    <s v="31% - 50%"/>
    <n v="5.0879943532244612E-3"/>
    <n v="60145.164678000001"/>
    <n v="0.11129993048257188"/>
    <s v="0% - 30%"/>
    <n v="0.8205432056576053"/>
    <s v="Crítico bajo"/>
    <n v="3"/>
    <s v="Candidato"/>
    <n v="0"/>
    <n v="0"/>
  </r>
  <r>
    <n v="50683"/>
    <s v="50683"/>
    <x v="16"/>
    <x v="16"/>
    <s v="SAN JUAN DE ARAMA"/>
    <n v="68.093833333333293"/>
    <n v="63.34"/>
    <n v="65.099999999999994"/>
    <n v="73.48"/>
    <n v="61.81053877817746"/>
    <n v="56.565497374977653"/>
    <n v="55.713555419061095"/>
    <n v="50.228200000000001"/>
    <n v="67.503458333333327"/>
    <n v="56.079447893054052"/>
    <n v="61.79145311319369"/>
    <n v="71.00474951025771"/>
    <n v="28.99525048974229"/>
    <n v="0.36095725440768067"/>
    <n v="0"/>
    <n v="22.304073261599328"/>
    <n v="4"/>
    <n v="4"/>
    <b v="1"/>
    <x v="5"/>
    <n v="61.704000052429492"/>
    <n v="0.37240090194794095"/>
    <n v="22.978625273320539"/>
    <n v="4"/>
    <n v="0"/>
    <n v="8.7453060764197232E-2"/>
    <n v="-1.1443647540260282E-2"/>
    <n v="-0.67455201172121093"/>
    <n v="4"/>
    <b v="1"/>
    <n v="0"/>
    <n v="0.6523467210059386"/>
    <n v="40.252402107152641"/>
    <n v="0.33288910848732489"/>
    <n v="4"/>
    <n v="0"/>
    <n v="33.288910848732492"/>
    <n v="4"/>
    <n v="-0.29138946659825793"/>
    <b v="1"/>
    <n v="0"/>
    <n v="4"/>
    <n v="0"/>
    <n v="0"/>
    <n v="0"/>
    <n v="0"/>
    <n v="0"/>
    <n v="1"/>
    <s v="Rural disperso"/>
    <n v="6"/>
    <s v="Fuera SC"/>
    <m/>
    <s v="No"/>
    <s v="No"/>
    <n v="37.9"/>
    <n v="22.831050228310502"/>
    <n v="19.945"/>
    <s v="Medio"/>
    <n v="47.639960826248085"/>
    <s v="Muy Alto"/>
    <n v="21256.521012000001"/>
    <n v="5721.5155640000003"/>
    <n v="9444"/>
    <n v="2.2507963799237611"/>
    <n v="0.60583604023718762"/>
    <m/>
    <m/>
    <m/>
    <m/>
    <m/>
    <m/>
    <m/>
    <n v="63"/>
    <n v="0"/>
    <n v="7"/>
    <n v="116536.000711"/>
    <n v="15181.357486999999"/>
    <n v="0.13027182496719239"/>
    <s v="0% - 30%"/>
    <n v="4.4168291793225022E-4"/>
    <s v="N.D."/>
    <s v="N.D."/>
    <s v="N.D."/>
    <n v="0.97110011096353133"/>
    <s v="Aceptable"/>
    <n v="2"/>
    <s v="Candidato"/>
    <n v="0"/>
    <n v="0"/>
  </r>
  <r>
    <n v="15223"/>
    <s v="15223"/>
    <x v="10"/>
    <x v="10"/>
    <s v="CUBARÁ"/>
    <n v="65.732633333333297"/>
    <n v="55.04"/>
    <n v="56.22"/>
    <n v="83.3"/>
    <n v="61.703493265014792"/>
    <n v="64.162912175789685"/>
    <n v="68.922522793039946"/>
    <n v="64.399199999999993"/>
    <n v="65.073158333333325"/>
    <n v="64.797032058461099"/>
    <n v="64.935095195897219"/>
    <n v="68.58019140463"/>
    <n v="31.41980859537"/>
    <n v="0.38277827735833003"/>
    <n v="0"/>
    <n v="24.855743879184711"/>
    <n v="4"/>
    <n v="4"/>
    <b v="1"/>
    <x v="5"/>
    <n v="61.730533304923931"/>
    <n v="0.37348874008888699"/>
    <n v="23.055659109071115"/>
    <n v="4"/>
    <n v="0"/>
    <n v="3.204561890973288"/>
    <n v="9.2895372694430378E-3"/>
    <n v="1.800084770113596"/>
    <n v="4"/>
    <b v="1"/>
    <n v="0"/>
    <n v="0.6523467210059386"/>
    <n v="40.26971098741501"/>
    <n v="0.33310562433412755"/>
    <n v="4"/>
    <n v="0"/>
    <n v="33.310562433412755"/>
    <n v="4"/>
    <n v="-0.26956844364760857"/>
    <b v="1"/>
    <n v="0"/>
    <n v="4"/>
    <n v="0"/>
    <n v="0"/>
    <n v="0"/>
    <n v="0"/>
    <n v="0"/>
    <n v="0"/>
    <s v="Rural disperso"/>
    <n v="6"/>
    <s v="Fuera SC"/>
    <m/>
    <s v="No"/>
    <s v="No"/>
    <n v="69.7"/>
    <n v="61.104405552202778"/>
    <n v="40.400924007672998"/>
    <s v="Alto"/>
    <n v="6.4485592821587447"/>
    <s v="Medio"/>
    <n v="40402.306458999999"/>
    <n v="10526.236736250001"/>
    <n v="12974"/>
    <n v="3.1140979234623094"/>
    <n v="0.8113331845421613"/>
    <m/>
    <m/>
    <m/>
    <m/>
    <m/>
    <m/>
    <m/>
    <n v="53"/>
    <n v="0"/>
    <n v="7"/>
    <n v="113821.02992099999"/>
    <n v="31791.414912"/>
    <n v="0.27931055389382381"/>
    <s v="0% - 30%"/>
    <n v="9.2493210278139684E-4"/>
    <n v="93351.768599999996"/>
    <n v="0.82016274729540628"/>
    <s v="71% - 100%"/>
    <n v="0.97712003339730624"/>
    <s v="Aceptable"/>
    <n v="3"/>
    <s v="Candidato"/>
    <n v="1"/>
    <s v="Unidad Especial de Desarrollo Fronterizo"/>
  </r>
  <r>
    <n v="15518"/>
    <s v="15518"/>
    <x v="10"/>
    <x v="10"/>
    <s v="PAJARITO"/>
    <n v="62.754166666666698"/>
    <n v="41.94"/>
    <n v="19.43"/>
    <n v="52.04"/>
    <n v="52.933279272917893"/>
    <n v="56.574355938858311"/>
    <n v="61.480464566824779"/>
    <n v="58.425400000000003"/>
    <n v="44.041041666666672"/>
    <n v="57.353374944650248"/>
    <n v="50.697208305658464"/>
    <n v="71.237124480721093"/>
    <n v="28.762875519278907"/>
    <n v="0.35886587967351014"/>
    <n v="0"/>
    <n v="18.193498255601309"/>
    <n v="5"/>
    <n v="5"/>
    <b v="1"/>
    <x v="6"/>
    <n v="51.419664844281627"/>
    <n v="0.37290975019514128"/>
    <n v="19.174894372198949"/>
    <n v="5"/>
    <n v="0"/>
    <n v="-0.72245653862316317"/>
    <n v="-1.4043870521631141E-2"/>
    <n v="-0.98139611659764014"/>
    <n v="5"/>
    <b v="1"/>
    <n v="0"/>
    <n v="0.6523467210059386"/>
    <n v="33.543449756391453"/>
    <n v="0.24896718648167104"/>
    <n v="4"/>
    <n v="-1"/>
    <n v="24.896718648167106"/>
    <n v="5"/>
    <n v="-0.29348084133242847"/>
    <b v="1"/>
    <s v="Efecto ponderador"/>
    <n v="4"/>
    <n v="-1"/>
    <n v="0"/>
    <n v="0"/>
    <n v="0"/>
    <n v="0"/>
    <n v="1"/>
    <s v="Rural disperso"/>
    <n v="6"/>
    <s v="Fuera SC"/>
    <m/>
    <s v="No"/>
    <s v="No"/>
    <n v="27.8"/>
    <n v="11.347150259067357"/>
    <n v="11.089681734800838"/>
    <s v="Bajo"/>
    <n v="7.3069645432114805E-2"/>
    <s v="Bajo"/>
    <n v="10994.951429999999"/>
    <n v="2253.5696572500001"/>
    <n v="2205"/>
    <n v="4.9863725306122442"/>
    <n v="1.0220270554421769"/>
    <m/>
    <m/>
    <m/>
    <m/>
    <m/>
    <m/>
    <m/>
    <n v="41"/>
    <n v="0"/>
    <n v="7"/>
    <n v="31300.817619000001"/>
    <n v="6173.3679689999999"/>
    <n v="0.19722705151486797"/>
    <s v="0% - 30%"/>
    <n v="1.7960654574877737E-4"/>
    <s v="N.D."/>
    <s v="N.D."/>
    <s v="N.D."/>
    <n v="0.92380037855548403"/>
    <s v="Aceptable"/>
    <n v="1"/>
    <s v="Candidato"/>
    <n v="0"/>
    <n v="0"/>
  </r>
  <r>
    <n v="85225"/>
    <s v="85225"/>
    <x v="23"/>
    <x v="23"/>
    <s v="NUNCHÍA"/>
    <n v="51.913233333333302"/>
    <n v="51.23"/>
    <n v="36.700000000000003"/>
    <n v="41.61"/>
    <n v="62.940237585740341"/>
    <n v="59.350646924093375"/>
    <n v="64.695144519485893"/>
    <n v="56.6708"/>
    <n v="45.363308333333322"/>
    <n v="60.914207257329906"/>
    <n v="53.138757795331614"/>
    <n v="70.637612969135759"/>
    <n v="29.362387030864241"/>
    <n v="0.36426148327777819"/>
    <n v="0"/>
    <n v="19.356402734066091"/>
    <n v="5"/>
    <n v="5"/>
    <b v="1"/>
    <x v="6"/>
    <n v="53.547973227942357"/>
    <n v="0.37205968178921145"/>
    <n v="19.923041879645446"/>
    <n v="5"/>
    <n v="0"/>
    <n v="-0.40921543261074333"/>
    <n v="-7.798198511433263E-3"/>
    <n v="-0.56663914557935513"/>
    <n v="5"/>
    <b v="1"/>
    <n v="0"/>
    <n v="0.6523467210059386"/>
    <n v="34.931844751761986"/>
    <n v="0.26633454436748255"/>
    <n v="4"/>
    <n v="-1"/>
    <n v="26.633454436748256"/>
    <n v="4"/>
    <n v="-0.28808523772816041"/>
    <b v="0"/>
    <s v="Cambio en corte"/>
    <n v="4"/>
    <n v="-1"/>
    <n v="0"/>
    <n v="0"/>
    <n v="0"/>
    <n v="0"/>
    <n v="0"/>
    <s v="Rural disperso"/>
    <n v="6"/>
    <s v="Fuera SC"/>
    <m/>
    <s v="No"/>
    <s v="No"/>
    <n v="56.4"/>
    <n v="34.039514401333015"/>
    <n v="1.8166666666666667"/>
    <s v="Sin riesgo"/>
    <n v="2.2057474025705894"/>
    <s v="Medio Bajo"/>
    <n v="29252.988187999999"/>
    <n v="8709.3184259999998"/>
    <n v="9365"/>
    <n v="3.1236506340630004"/>
    <n v="0.92998595045381738"/>
    <m/>
    <m/>
    <m/>
    <m/>
    <m/>
    <m/>
    <m/>
    <n v="50"/>
    <n v="0"/>
    <n v="7"/>
    <n v="109912.873731"/>
    <n v="16459.718518999998"/>
    <n v="0.14975241716710455"/>
    <s v="0% - 30%"/>
    <n v="4.7887525934626031E-4"/>
    <s v="N.D."/>
    <s v="N.D."/>
    <s v="N.D."/>
    <n v="0.95424232849493751"/>
    <s v="Aceptable"/>
    <n v="1"/>
    <s v="Candidato"/>
    <n v="0"/>
    <n v="0"/>
  </r>
  <r>
    <n v="68298"/>
    <s v="68298"/>
    <x v="0"/>
    <x v="0"/>
    <s v="GÁMBITA"/>
    <n v="71.050533333333306"/>
    <n v="61.74"/>
    <n v="54.14"/>
    <n v="47.94"/>
    <n v="42.964139596733723"/>
    <n v="43.569309839835462"/>
    <n v="48.504257473300449"/>
    <n v="44.101999999999997"/>
    <n v="58.717633333333325"/>
    <n v="44.784926727467408"/>
    <n v="51.751280030400366"/>
    <n v="70.672518538943024"/>
    <n v="29.327481461056976"/>
    <n v="0.36394733314951278"/>
    <n v="0"/>
    <n v="18.83474035413785"/>
    <n v="5"/>
    <n v="5"/>
    <b v="1"/>
    <x v="6"/>
    <n v="54.346434647555164"/>
    <n v="0.36941744426714929"/>
    <n v="20.076520992531481"/>
    <n v="5"/>
    <n v="0"/>
    <n v="-2.5951546171547974"/>
    <n v="-5.4701111176365114E-3"/>
    <n v="-1.2417806383936316"/>
    <n v="5"/>
    <b v="1"/>
    <n v="0"/>
    <n v="0.6523467210059386"/>
    <n v="35.452718440696145"/>
    <n v="0.27285012516342755"/>
    <n v="4"/>
    <n v="-1"/>
    <n v="27.285012516342753"/>
    <n v="4"/>
    <n v="-0.28839938785642583"/>
    <b v="0"/>
    <s v="Cambio en corte"/>
    <n v="4"/>
    <n v="-1"/>
    <n v="0"/>
    <n v="0"/>
    <n v="0"/>
    <n v="0"/>
    <n v="0"/>
    <s v="Rural disperso"/>
    <n v="6"/>
    <s v="Fuera SC"/>
    <m/>
    <s v="No"/>
    <s v="No"/>
    <n v="51.1"/>
    <n v="23.859749144811857"/>
    <n v="22.851999999999997"/>
    <s v="Medio"/>
    <n v="2.0310264226301977"/>
    <s v="Medio Bajo"/>
    <n v="12583.345762000001"/>
    <n v="3204.98113165"/>
    <n v="4110"/>
    <n v="3.0616413046228712"/>
    <n v="0.77980076195863746"/>
    <m/>
    <m/>
    <m/>
    <m/>
    <m/>
    <m/>
    <m/>
    <n v="20"/>
    <n v="0"/>
    <n v="7"/>
    <n v="60717.315348999997"/>
    <n v="20627.973585"/>
    <n v="0.33973790617110577"/>
    <s v="31% - 50%"/>
    <n v="6.0014551214238076E-4"/>
    <s v="N.D."/>
    <s v="N.D."/>
    <s v="N.D."/>
    <n v="0.93911602647924686"/>
    <s v="Aceptable"/>
    <n v="1"/>
    <s v="Candidato"/>
    <n v="0"/>
    <n v="0"/>
  </r>
  <r>
    <n v="17446"/>
    <s v="17446"/>
    <x v="11"/>
    <x v="11"/>
    <s v="MARULANDA"/>
    <n v="54.620533333333299"/>
    <n v="32.54"/>
    <n v="39.74"/>
    <n v="72.45"/>
    <n v="52.947328122175023"/>
    <n v="38.929424508696528"/>
    <n v="52.826075730068979"/>
    <n v="52.959000000000003"/>
    <n v="49.837633333333329"/>
    <n v="49.415457090235137"/>
    <n v="49.626545211784233"/>
    <n v="70.336174246136835"/>
    <n v="29.663825753863165"/>
    <n v="0.36697443178476852"/>
    <n v="0"/>
    <n v="18.211673230535645"/>
    <n v="5"/>
    <n v="5"/>
    <b v="1"/>
    <x v="6"/>
    <n v="46.324665767000411"/>
    <n v="0.37174855697353826"/>
    <n v="17.221127651163869"/>
    <n v="5"/>
    <n v="0"/>
    <n v="3.3018794447838218"/>
    <n v="-4.77412518876974E-3"/>
    <n v="0.99054557937177634"/>
    <n v="5"/>
    <b v="1"/>
    <n v="0"/>
    <n v="0.6523467210059386"/>
    <n v="30.219743814798772"/>
    <n v="0.20739112866864717"/>
    <n v="4"/>
    <n v="-1"/>
    <n v="20.739112866864716"/>
    <n v="5"/>
    <n v="-0.28537228922117008"/>
    <b v="1"/>
    <s v="Efecto ponderador"/>
    <n v="4"/>
    <n v="-1"/>
    <n v="0"/>
    <n v="0"/>
    <n v="0"/>
    <n v="0"/>
    <n v="1"/>
    <s v="Rural disperso"/>
    <n v="6"/>
    <s v="Fuera SC"/>
    <m/>
    <s v="No"/>
    <s v="No"/>
    <n v="34.6"/>
    <n v="7.8808265257087937"/>
    <n v="37.592566397652234"/>
    <s v="Alto"/>
    <n v="9.4555563453561398"/>
    <s v="Medio"/>
    <n v="6887.7606450000003"/>
    <n v="1482.0938172000001"/>
    <n v="2685"/>
    <n v="2.5652739832402234"/>
    <n v="0.55199024849162015"/>
    <m/>
    <m/>
    <m/>
    <m/>
    <m/>
    <m/>
    <m/>
    <n v="13"/>
    <n v="0"/>
    <n v="7"/>
    <n v="37609.138028000001"/>
    <n v="26421.623083999999"/>
    <n v="0.70253200337452837"/>
    <s v="51% - 70%"/>
    <n v="7.6870461618734555E-4"/>
    <s v="N.D."/>
    <s v="N.D."/>
    <s v="N.D."/>
    <n v="0.98655603309387463"/>
    <s v="Aceptable"/>
    <n v="2"/>
    <s v="Candidato"/>
    <n v="0"/>
    <n v="0"/>
  </r>
  <r>
    <n v="73622"/>
    <s v="73622"/>
    <x v="15"/>
    <x v="15"/>
    <s v="RONCESVALLES"/>
    <n v="68.778733333333307"/>
    <n v="68.12"/>
    <n v="39.049999999999997"/>
    <n v="35.99"/>
    <n v="54.766358452202745"/>
    <n v="47.409702066643625"/>
    <n v="56.249528375038203"/>
    <n v="57.994700000000002"/>
    <n v="52.984683333333336"/>
    <n v="54.10507222347114"/>
    <n v="53.544877778402238"/>
    <n v="70.347130433904454"/>
    <n v="29.652869566095546"/>
    <n v="0.36687582609485991"/>
    <n v="0"/>
    <n v="19.644321268099628"/>
    <n v="5"/>
    <n v="5"/>
    <b v="1"/>
    <x v="6"/>
    <n v="57.057773894478153"/>
    <n v="0.37064456152898473"/>
    <n v="21.148153586938808"/>
    <n v="4"/>
    <n v="-1"/>
    <n v="-3.5128961160759147"/>
    <n v="-3.7687354341248147E-3"/>
    <n v="-1.50383231883918"/>
    <n v="5"/>
    <b v="1"/>
    <s v="Efecto ponderador"/>
    <n v="0.6523467210059386"/>
    <n v="37.221451707961066"/>
    <n v="0.29497511391630948"/>
    <n v="4"/>
    <n v="-1"/>
    <n v="29.497511391630947"/>
    <n v="4"/>
    <n v="-0.28547089491107869"/>
    <b v="0"/>
    <s v="Cambio en corte"/>
    <n v="4"/>
    <n v="-1"/>
    <n v="0"/>
    <n v="0"/>
    <n v="0"/>
    <n v="0"/>
    <n v="1"/>
    <s v="Rural disperso"/>
    <n v="6"/>
    <s v="Fuera SC"/>
    <m/>
    <s v="No"/>
    <s v="Si"/>
    <n v="42"/>
    <n v="16.709208717848028"/>
    <n v="65.773333333333341"/>
    <s v="Alto"/>
    <n v="1.4443498197877309"/>
    <s v="Medio Bajo"/>
    <n v="16125.850845000001"/>
    <n v="3265.3901350000001"/>
    <n v="5609"/>
    <n v="2.8749956935282581"/>
    <n v="0.58216975129256554"/>
    <m/>
    <m/>
    <m/>
    <m/>
    <m/>
    <m/>
    <m/>
    <n v="15"/>
    <n v="0"/>
    <n v="7"/>
    <n v="77565.671187999993"/>
    <n v="62121.125720999997"/>
    <n v="0.80088426709328353"/>
    <s v="71% - 100%"/>
    <n v="1.8073377230713942E-3"/>
    <s v="N.D."/>
    <s v="N.D."/>
    <s v="N.D."/>
    <n v="0.96492290430585381"/>
    <s v="Aceptable"/>
    <n v="1"/>
    <s v="Candidato"/>
    <n v="0"/>
    <n v="0"/>
  </r>
  <r>
    <n v="18479"/>
    <s v="18479"/>
    <x v="24"/>
    <x v="24"/>
    <s v="MORELIA"/>
    <n v="59.6475333333333"/>
    <n v="57.41"/>
    <n v="60"/>
    <n v="52.06"/>
    <n v="45.963652519654843"/>
    <n v="65.98954818552923"/>
    <n v="51.35627919711267"/>
    <n v="51.695799999999998"/>
    <n v="57.279383333333328"/>
    <n v="53.751319975574184"/>
    <n v="55.515351654453752"/>
    <n v="70.31682448170767"/>
    <n v="29.68317551829233"/>
    <n v="0.36714857966463099"/>
    <n v="0"/>
    <n v="20.382382509515217"/>
    <n v="5"/>
    <n v="5"/>
    <b v="1"/>
    <x v="6"/>
    <n v="58.241752473790811"/>
    <n v="0.36977064385961955"/>
    <n v="21.536090311746218"/>
    <n v="4"/>
    <n v="-1"/>
    <n v="-2.7264008193370586"/>
    <n v="-2.6220641949885604E-3"/>
    <n v="-1.1537078022310006"/>
    <n v="4"/>
    <b v="0"/>
    <s v="Cambio en corte"/>
    <n v="0.6523467210059386"/>
    <n v="37.993816251916947"/>
    <n v="0.30463658021222728"/>
    <n v="4"/>
    <n v="-1"/>
    <n v="30.463658021222727"/>
    <n v="4"/>
    <n v="-0.28519814134130761"/>
    <b v="0"/>
    <s v="Cambio en corte"/>
    <n v="4"/>
    <n v="-1"/>
    <n v="0"/>
    <n v="0"/>
    <n v="0"/>
    <n v="1"/>
    <n v="1"/>
    <s v="Rural disperso"/>
    <n v="6"/>
    <s v="Fuera SC"/>
    <m/>
    <s v="No"/>
    <s v="No"/>
    <n v="42.4"/>
    <n v="21.223880597014926"/>
    <n v="58.784444444444439"/>
    <s v="Alto"/>
    <n v="4.3070718159112582"/>
    <s v="Medio Bajo"/>
    <n v="13268.653337"/>
    <n v="3837.9503787499998"/>
    <n v="3807"/>
    <n v="3.4853305324402415"/>
    <n v="1.008129860454426"/>
    <m/>
    <m/>
    <m/>
    <m/>
    <m/>
    <m/>
    <m/>
    <n v="3"/>
    <n v="0"/>
    <n v="7"/>
    <n v="46239.668387999998"/>
    <n v="7343.2943859999996"/>
    <n v="0.15880940850141809"/>
    <s v="0% - 30%"/>
    <n v="2.1364411545023989E-4"/>
    <n v="5.8009599999999999"/>
    <n v="1.2545418689692529E-4"/>
    <n v="0"/>
    <n v="0.94397823602613529"/>
    <s v="Aceptable"/>
    <n v="1"/>
    <s v="Candidato"/>
    <n v="0"/>
    <n v="0"/>
  </r>
  <r>
    <n v="27615"/>
    <s v="27615"/>
    <x v="26"/>
    <x v="26"/>
    <s v="RIOSUCIO"/>
    <n v="51.196466666666701"/>
    <n v="39.25"/>
    <n v="32.53"/>
    <n v="82.33"/>
    <n v="60.12358458930197"/>
    <n v="61.07550124891489"/>
    <n v="60.368841342941515"/>
    <n v="56.5563"/>
    <n v="51.326616666666681"/>
    <n v="59.531056795289594"/>
    <n v="55.428836730978134"/>
    <n v="76.190908517540961"/>
    <n v="23.809091482459039"/>
    <n v="0.31428182334213139"/>
    <n v="0"/>
    <n v="17.420275873545112"/>
    <n v="5"/>
    <n v="5"/>
    <b v="1"/>
    <x v="6"/>
    <n v="53.33493822799565"/>
    <n v="0.36775408577747681"/>
    <n v="19.61414144803474"/>
    <n v="5"/>
    <n v="0"/>
    <n v="2.0938985029824835"/>
    <n v="-5.3472262435345419E-2"/>
    <n v="-2.193865574489628"/>
    <n v="5"/>
    <b v="1"/>
    <n v="0"/>
    <n v="0.6523467210059386"/>
    <n v="34.792872068087249"/>
    <n v="0.26459614258572828"/>
    <n v="4"/>
    <n v="-1"/>
    <n v="26.459614258572827"/>
    <n v="5"/>
    <n v="-0.33806489766380721"/>
    <b v="1"/>
    <s v="Efecto ponderador"/>
    <n v="4"/>
    <n v="-1"/>
    <n v="0"/>
    <n v="0"/>
    <n v="0"/>
    <n v="1"/>
    <n v="1"/>
    <s v="Rural disperso"/>
    <n v="5"/>
    <s v="Fuera SC"/>
    <m/>
    <s v="No"/>
    <s v="No"/>
    <n v="70.900000000000006"/>
    <n v="75.152919563265897"/>
    <s v="Sin Información"/>
    <s v="Sin Información"/>
    <n v="12.87162071174739"/>
    <s v="Alto"/>
    <n v="71457.424828999996"/>
    <n v="18976.961852749999"/>
    <n v="30082"/>
    <n v="2.375421342630144"/>
    <n v="0.63084109609567174"/>
    <m/>
    <m/>
    <m/>
    <m/>
    <m/>
    <m/>
    <m/>
    <n v="35"/>
    <n v="0"/>
    <n v="6"/>
    <n v="761567.10415000003"/>
    <n v="122962.26367099999"/>
    <n v="0.16145952602330504"/>
    <s v="0% - 30%"/>
    <n v="3.5774357767590068E-3"/>
    <n v="657388.31417799997"/>
    <n v="0.86320471380092489"/>
    <s v="71% - 100%"/>
    <n v="0.82727250911499839"/>
    <s v="Crítico bajo"/>
    <n v="2"/>
    <s v="Candidato"/>
    <n v="1"/>
    <s v="Municipio Limítrofe"/>
  </r>
  <r>
    <n v="27425"/>
    <s v="27425"/>
    <x v="26"/>
    <x v="26"/>
    <s v="MEDIO ATRATO"/>
    <n v="59.130400000000002"/>
    <n v="69.59"/>
    <n v="63.75"/>
    <n v="87.62"/>
    <n v="49.455528034975949"/>
    <n v="59.593036991870811"/>
    <n v="75.239831380705141"/>
    <n v="49.037199999999999"/>
    <n v="70.022600000000011"/>
    <n v="58.331399101887968"/>
    <n v="64.176999550943989"/>
    <n v="71.580549917205602"/>
    <n v="28.419450082794398"/>
    <n v="0.35577505074514959"/>
    <n v="0"/>
    <n v="22.832575271908539"/>
    <n v="4"/>
    <n v="4"/>
    <b v="1"/>
    <x v="5"/>
    <n v="61.295327050027481"/>
    <n v="0.36719452961385446"/>
    <n v="22.507308783662211"/>
    <n v="4"/>
    <n v="0"/>
    <n v="2.8816725009165083"/>
    <n v="-1.1419478868704869E-2"/>
    <n v="0.32526648824632787"/>
    <n v="4"/>
    <b v="1"/>
    <n v="0"/>
    <n v="0.6523467210059386"/>
    <n v="39.985805614072042"/>
    <n v="0.32955426737807891"/>
    <n v="4"/>
    <n v="0"/>
    <n v="32.95542673780789"/>
    <n v="4"/>
    <n v="-0.29657167026078901"/>
    <b v="1"/>
    <n v="0"/>
    <n v="4"/>
    <n v="0"/>
    <n v="0"/>
    <n v="0"/>
    <n v="0"/>
    <n v="1"/>
    <n v="1"/>
    <s v="Rural disperso"/>
    <n v="6"/>
    <s v="Fuera SC"/>
    <m/>
    <s v="No"/>
    <s v="No"/>
    <n v="76.599999999999994"/>
    <n v="51.637080867850102"/>
    <s v="Sin Información"/>
    <s v="Sin Información"/>
    <n v="5.0432475470797389"/>
    <s v="Medio Bajo"/>
    <n v="28421.317135000001"/>
    <n v="8223.5508399999999"/>
    <n v="11179"/>
    <n v="2.5423845724125593"/>
    <n v="0.73562490741569009"/>
    <m/>
    <m/>
    <m/>
    <m/>
    <m/>
    <m/>
    <m/>
    <n v="51"/>
    <n v="0"/>
    <n v="7"/>
    <n v="181374.92092400001"/>
    <n v="409.77710200000001"/>
    <n v="2.2592820435836632E-3"/>
    <s v="0% - 30%"/>
    <n v="1.1921960619672307E-5"/>
    <n v="181329.322835"/>
    <n v="0.99974859760782964"/>
    <s v="71% - 100%"/>
    <n v="0.71476670181147828"/>
    <s v="Crítico Medio"/>
    <n v="1"/>
    <s v="Candidato"/>
    <n v="0"/>
    <n v="0"/>
  </r>
  <r>
    <n v="19533"/>
    <s v="19533"/>
    <x v="13"/>
    <x v="13"/>
    <s v="PIAMONTE"/>
    <n v="62.1619666666667"/>
    <n v="42.21"/>
    <n v="50.13"/>
    <n v="60.22"/>
    <n v="53.536658599748279"/>
    <n v="50.875003682785554"/>
    <n v="54.90051043731912"/>
    <n v="61.494500000000002"/>
    <n v="53.680491666666676"/>
    <n v="55.201668179963235"/>
    <n v="54.441079923314959"/>
    <n v="70.631690866484746"/>
    <n v="29.368309133515254"/>
    <n v="0.36431478220163727"/>
    <n v="0"/>
    <n v="19.833690175084417"/>
    <n v="5"/>
    <n v="5"/>
    <b v="1"/>
    <x v="6"/>
    <n v="52.948404616026906"/>
    <n v="0.36664330262474332"/>
    <n v="19.413177937131309"/>
    <n v="5"/>
    <n v="0"/>
    <n v="1.492675307288053"/>
    <n v="-2.3285204231060508E-3"/>
    <n v="0.42051223795310833"/>
    <n v="5"/>
    <b v="1"/>
    <n v="0"/>
    <n v="0.6523467210059386"/>
    <n v="34.540718133760855"/>
    <n v="0.2614419626626055"/>
    <n v="4"/>
    <n v="-1"/>
    <n v="26.14419626626055"/>
    <n v="4"/>
    <n v="-0.28803193880430134"/>
    <b v="0"/>
    <s v="Cambio en corte"/>
    <n v="4"/>
    <n v="-1"/>
    <n v="0"/>
    <n v="0"/>
    <n v="0"/>
    <n v="0"/>
    <n v="1"/>
    <s v="Rural disperso"/>
    <n v="6"/>
    <s v="Fuera SC"/>
    <m/>
    <s v="No"/>
    <s v="No"/>
    <n v="44"/>
    <n v="21.673217293655249"/>
    <n v="12.422499999999999"/>
    <s v="Bajo"/>
    <n v="30.90595003915525"/>
    <s v="Muy Alto"/>
    <n v="24030.046301999999"/>
    <n v="5738.9095289999996"/>
    <n v="9705"/>
    <n v="2.4760480476043276"/>
    <n v="0.59133534559505407"/>
    <m/>
    <m/>
    <m/>
    <m/>
    <m/>
    <m/>
    <m/>
    <n v="81"/>
    <n v="0"/>
    <n v="7"/>
    <n v="110495.71941600001"/>
    <n v="44360.239382"/>
    <n v="0.40146568225860652"/>
    <s v="31% - 50%"/>
    <n v="1.2906065868742481E-3"/>
    <n v="17441.343700000001"/>
    <n v="0.15784632918073438"/>
    <s v="0% - 30%"/>
    <n v="0.89314449184338174"/>
    <s v="Aceptable"/>
    <n v="3"/>
    <s v="Candidato"/>
    <n v="0"/>
    <n v="0"/>
  </r>
  <r>
    <n v="85015"/>
    <s v="85015"/>
    <x v="23"/>
    <x v="23"/>
    <s v="CHÁMEZA"/>
    <n v="56.596533333333298"/>
    <n v="55.53"/>
    <n v="52.92"/>
    <n v="52.27"/>
    <n v="56.182696326865369"/>
    <n v="54.539530187185903"/>
    <n v="53.843933825949975"/>
    <n v="39.661700000000003"/>
    <n v="54.329133333333324"/>
    <n v="51.056965085000314"/>
    <n v="52.693049209166816"/>
    <n v="70.12067614305667"/>
    <n v="29.87932385694333"/>
    <n v="0.36891391471249002"/>
    <n v="0"/>
    <n v="19.439199061891607"/>
    <n v="5"/>
    <n v="5"/>
    <b v="1"/>
    <x v="6"/>
    <n v="54.966359994468966"/>
    <n v="0.36654131440319127"/>
    <n v="20.147441840331645"/>
    <n v="5"/>
    <n v="0"/>
    <n v="-2.2733107853021508"/>
    <n v="2.3726003092987558E-3"/>
    <n v="-0.70824277844003802"/>
    <n v="5"/>
    <b v="1"/>
    <n v="0"/>
    <n v="0.6523467210059386"/>
    <n v="35.857124708023832"/>
    <n v="0.27790882128330996"/>
    <n v="4"/>
    <n v="-1"/>
    <n v="27.790882128330995"/>
    <n v="4"/>
    <n v="-0.28343280629344858"/>
    <b v="0"/>
    <s v="Cambio en corte"/>
    <n v="4"/>
    <n v="-1"/>
    <n v="0"/>
    <n v="0"/>
    <n v="0"/>
    <n v="0"/>
    <n v="1"/>
    <s v="Rural disperso"/>
    <n v="6"/>
    <s v="Fuera SC"/>
    <m/>
    <s v="No"/>
    <s v="No"/>
    <n v="36"/>
    <n v="17.424629535002556"/>
    <n v="3.1575000000000002"/>
    <s v="Sin riesgo"/>
    <n v="0"/>
    <s v="Bajo"/>
    <n v="10591.155718"/>
    <n v="2897.836577"/>
    <n v="2691"/>
    <n v="3.9357694975845412"/>
    <n v="1.0768623474544778"/>
    <m/>
    <m/>
    <m/>
    <m/>
    <m/>
    <m/>
    <m/>
    <n v="41"/>
    <n v="0"/>
    <n v="7"/>
    <n v="30916.338244999999"/>
    <n v="1547.486568"/>
    <n v="5.0054005611426838E-2"/>
    <s v="0% - 30%"/>
    <n v="4.5022217769424933E-5"/>
    <s v="N.D."/>
    <s v="N.D."/>
    <s v="N.D."/>
    <n v="0.90671850802621168"/>
    <s v="Aceptable"/>
    <n v="1"/>
    <s v="Candidato"/>
    <n v="0"/>
    <n v="0"/>
  </r>
  <r>
    <n v="13458"/>
    <s v="13458"/>
    <x v="8"/>
    <x v="8"/>
    <s v="MONTECRISTO"/>
    <n v="42.328366666666703"/>
    <n v="50.57"/>
    <n v="36.799999999999997"/>
    <n v="55.03"/>
    <n v="43.60658490143426"/>
    <n v="42.799702120444202"/>
    <n v="50.858967392495458"/>
    <n v="49.2102"/>
    <n v="46.182091666666672"/>
    <n v="46.618863603593482"/>
    <n v="46.400477635130073"/>
    <n v="71.508805881608311"/>
    <n v="28.491194118391689"/>
    <n v="0.35642074706552518"/>
    <n v="0"/>
    <n v="16.538092902910254"/>
    <n v="5"/>
    <n v="5"/>
    <b v="1"/>
    <x v="6"/>
    <n v="44.704073784409943"/>
    <n v="0.36595950661020882"/>
    <n v="16.359880785609032"/>
    <n v="5"/>
    <n v="0"/>
    <n v="1.6964038507201309"/>
    <n v="-9.5387595446836393E-3"/>
    <n v="0.17821211730122144"/>
    <n v="5"/>
    <b v="1"/>
    <n v="0"/>
    <n v="0.6523467210059386"/>
    <n v="29.162555948867368"/>
    <n v="0.19416682284689654"/>
    <n v="4"/>
    <n v="-1"/>
    <n v="19.416682284689653"/>
    <n v="5"/>
    <n v="-0.29592597394041342"/>
    <b v="1"/>
    <s v="Efecto ponderador"/>
    <n v="5"/>
    <n v="0"/>
    <n v="0"/>
    <n v="0"/>
    <n v="0"/>
    <n v="0"/>
    <n v="1"/>
    <s v="Rural disperso"/>
    <n v="6"/>
    <s v="Fuera SC"/>
    <m/>
    <s v="No"/>
    <s v="No"/>
    <n v="70.099999999999994"/>
    <n v="63.110616184112843"/>
    <n v="12.200381299231422"/>
    <s v="Bajo"/>
    <n v="79.063654582067429"/>
    <s v="Muy Alto"/>
    <n v="41477.454661000003"/>
    <n v="9373.2370709999996"/>
    <n v="16510"/>
    <n v="2.5122625476075107"/>
    <n v="0.56773089466989701"/>
    <m/>
    <m/>
    <m/>
    <m/>
    <m/>
    <m/>
    <m/>
    <n v="64"/>
    <n v="0"/>
    <n v="7"/>
    <n v="209071.74660700001"/>
    <n v="199372.885481"/>
    <n v="0.95360989094221649"/>
    <s v="71% - 100%"/>
    <n v="5.8005088076759316E-3"/>
    <s v="N.D."/>
    <s v="N.D."/>
    <s v="N.D."/>
    <n v="0.90784625641885763"/>
    <s v="Aceptable"/>
    <n v="1"/>
    <s v="Candidato"/>
    <n v="0"/>
    <n v="0"/>
  </r>
  <r>
    <n v="68264"/>
    <s v="68264"/>
    <x v="0"/>
    <x v="0"/>
    <s v="ENCINO"/>
    <n v="66.670466666666698"/>
    <n v="57.39"/>
    <n v="61.2"/>
    <n v="75.7"/>
    <n v="64.996552838910418"/>
    <n v="63.260015848762571"/>
    <n v="58.866919573635407"/>
    <n v="57.963799999999999"/>
    <n v="65.24011666666668"/>
    <n v="61.2718220653271"/>
    <n v="63.25596936599689"/>
    <n v="70.321318940787194"/>
    <n v="29.678681059212806"/>
    <n v="0.36710812953291527"/>
    <n v="0"/>
    <n v="23.221780595742505"/>
    <n v="4"/>
    <n v="4"/>
    <b v="1"/>
    <x v="5"/>
    <n v="60.325653266540044"/>
    <n v="0.36654829217145035"/>
    <n v="22.112265178977328"/>
    <n v="4"/>
    <n v="0"/>
    <n v="2.9303160994568458"/>
    <n v="5.5983736146492102E-4"/>
    <n v="1.1095154167651771"/>
    <n v="4"/>
    <b v="1"/>
    <n v="0"/>
    <n v="0.6523467210059386"/>
    <n v="39.353242100968586"/>
    <n v="0.32164156461394799"/>
    <n v="4"/>
    <n v="0"/>
    <n v="32.164156461394796"/>
    <n v="4"/>
    <n v="-0.28523859147302333"/>
    <b v="1"/>
    <n v="0"/>
    <n v="4"/>
    <n v="0"/>
    <n v="0"/>
    <n v="0"/>
    <n v="0"/>
    <n v="0"/>
    <n v="0"/>
    <s v="Rural disperso"/>
    <n v="6"/>
    <s v="Fuera SC"/>
    <m/>
    <s v="No"/>
    <s v="Si"/>
    <n v="32"/>
    <n v="9.8797250859106533"/>
    <n v="4.5883333333333338"/>
    <s v="Sin riesgo"/>
    <n v="0"/>
    <s v="Bajo"/>
    <n v="8276.9891279999993"/>
    <n v="1901.5330922999999"/>
    <n v="2898"/>
    <n v="2.8561039089026914"/>
    <n v="0.65615358602484464"/>
    <m/>
    <m/>
    <m/>
    <m/>
    <m/>
    <m/>
    <m/>
    <n v="75"/>
    <n v="0"/>
    <n v="7"/>
    <n v="39966.773633999997"/>
    <n v="37516.261212999998"/>
    <n v="0.93868625865473088"/>
    <s v="71% - 100%"/>
    <n v="1.0914894624315186E-3"/>
    <s v="N.D."/>
    <s v="N.D."/>
    <s v="N.D."/>
    <n v="0.98434187261174888"/>
    <s v="Aceptable"/>
    <n v="2"/>
    <s v="Candidato"/>
    <n v="0"/>
    <n v="0"/>
  </r>
  <r>
    <n v="86571"/>
    <s v="86571"/>
    <x v="22"/>
    <x v="22"/>
    <s v="PUERTO GUZMÁN"/>
    <n v="70.129400000000004"/>
    <n v="92.45"/>
    <n v="39.35"/>
    <n v="51.03"/>
    <n v="48.188877272773453"/>
    <n v="61.056473677965606"/>
    <n v="14.315809487601157"/>
    <n v="59.5505"/>
    <n v="63.239850000000004"/>
    <n v="45.777915109585052"/>
    <n v="54.508882554792528"/>
    <n v="70.299371556704955"/>
    <n v="29.700628443295045"/>
    <n v="0.36730565598965548"/>
    <n v="0"/>
    <n v="20.021420864051159"/>
    <n v="5"/>
    <n v="5"/>
    <b v="1"/>
    <x v="6"/>
    <n v="54.184965798589857"/>
    <n v="0.36526048905816133"/>
    <n v="19.791627107192678"/>
    <n v="5"/>
    <n v="0"/>
    <n v="0.3239167562026708"/>
    <n v="2.0451669314941467E-3"/>
    <n v="0.22979375685848069"/>
    <n v="5"/>
    <b v="1"/>
    <n v="0"/>
    <n v="0.6523467210059386"/>
    <n v="35.347384766529025"/>
    <n v="0.27153251193175526"/>
    <n v="4"/>
    <n v="-1"/>
    <n v="27.153251193175524"/>
    <n v="4"/>
    <n v="-0.28504106501628312"/>
    <b v="0"/>
    <s v="Cambio en corte"/>
    <n v="4"/>
    <n v="-1"/>
    <n v="0"/>
    <n v="0"/>
    <n v="0"/>
    <n v="1"/>
    <n v="1"/>
    <s v="Rural disperso"/>
    <n v="6"/>
    <s v="Fuera SC"/>
    <m/>
    <s v="No"/>
    <s v="No"/>
    <n v="62.2"/>
    <n v="36.165279429250894"/>
    <n v="21.368575292852331"/>
    <s v="Medio"/>
    <n v="35.342216088770726"/>
    <s v="Muy Alto"/>
    <n v="60792.106660999998"/>
    <n v="6706.1506312499996"/>
    <n v="41134"/>
    <n v="1.4779040856955317"/>
    <n v="0.16303181385836532"/>
    <m/>
    <m/>
    <m/>
    <m/>
    <m/>
    <m/>
    <m/>
    <n v="81"/>
    <n v="0"/>
    <n v="7"/>
    <n v="457640.23664199997"/>
    <n v="9869.2127349999992"/>
    <n v="2.1565439279152429E-2"/>
    <s v="0% - 30%"/>
    <n v="2.8713260208921681E-4"/>
    <n v="78386.023176000002"/>
    <n v="0.17128306669703813"/>
    <s v="0% - 30%"/>
    <n v="0.92625103099496586"/>
    <s v="Aceptable"/>
    <n v="1"/>
    <s v="Candidato"/>
    <n v="0"/>
    <n v="0"/>
  </r>
  <r>
    <n v="50223"/>
    <s v="50223"/>
    <x v="16"/>
    <x v="16"/>
    <s v="CUBARRAL"/>
    <n v="65.408666666666704"/>
    <n v="57.43"/>
    <n v="53.34"/>
    <n v="52.87"/>
    <n v="63.679567883304173"/>
    <n v="52.532940229808254"/>
    <n v="59.179116742687057"/>
    <n v="54.373800000000003"/>
    <n v="57.26216666666668"/>
    <n v="57.441356213949874"/>
    <n v="57.35176144030828"/>
    <n v="71.981147058085469"/>
    <n v="28.018852941914531"/>
    <n v="0.35216967647723074"/>
    <n v="0"/>
    <n v="20.197551271832683"/>
    <n v="5"/>
    <n v="5"/>
    <b v="1"/>
    <x v="6"/>
    <n v="59.954070212098053"/>
    <n v="0.36405836583114959"/>
    <n v="21.826780826342421"/>
    <n v="4"/>
    <n v="-1"/>
    <n v="-2.6023087717897724"/>
    <n v="-1.1888689353918847E-2"/>
    <n v="-1.6292295545097382"/>
    <n v="4"/>
    <b v="0"/>
    <s v="Cambio en corte"/>
    <n v="0.6523467210059386"/>
    <n v="39.110841113821984"/>
    <n v="0.31860938377946901"/>
    <n v="4"/>
    <n v="-1"/>
    <n v="31.860938377946901"/>
    <n v="4"/>
    <n v="-0.30017704452870786"/>
    <b v="0"/>
    <s v="Cambio en corte"/>
    <n v="4"/>
    <n v="-1"/>
    <n v="0"/>
    <n v="0"/>
    <n v="0"/>
    <n v="0"/>
    <n v="1"/>
    <s v="Rural disperso"/>
    <n v="6"/>
    <s v="Fuera SC"/>
    <m/>
    <s v="No"/>
    <s v="No"/>
    <n v="21.8"/>
    <n v="7.5366475462077753"/>
    <n v="64.810909090909092"/>
    <s v="Alto"/>
    <n v="1.1070639665435844"/>
    <s v="Medio Bajo"/>
    <n v="17449.904599000001"/>
    <n v="4155.4774644999998"/>
    <n v="7436"/>
    <n v="2.3466789401559982"/>
    <n v="0.55883236477945131"/>
    <m/>
    <m/>
    <m/>
    <m/>
    <m/>
    <m/>
    <m/>
    <n v="63"/>
    <n v="0"/>
    <n v="7"/>
    <n v="115641.771718"/>
    <n v="82804.611722999995"/>
    <n v="0.71604412914845716"/>
    <s v="71% - 100%"/>
    <n v="2.4090983006875327E-3"/>
    <s v="N.D."/>
    <s v="N.D."/>
    <s v="N.D."/>
    <n v="0.84107610067672955"/>
    <s v="Crítico bajo"/>
    <n v="1"/>
    <s v="Candidato"/>
    <n v="0"/>
    <n v="0"/>
  </r>
  <r>
    <n v="50124"/>
    <s v="50124"/>
    <x v="16"/>
    <x v="16"/>
    <s v="CABUYARO"/>
    <n v="62.634433333333298"/>
    <n v="81.96"/>
    <n v="74.25"/>
    <n v="56.1"/>
    <n v="56.956829845607388"/>
    <n v="61.875659541759546"/>
    <n v="61.819012659326717"/>
    <n v="64.355400000000003"/>
    <n v="68.73610833333332"/>
    <n v="61.251725511673413"/>
    <n v="64.99391692250336"/>
    <n v="71.545806085146864"/>
    <n v="28.454193914853136"/>
    <n v="0.35608774523367825"/>
    <n v="0"/>
    <n v="23.143537330839226"/>
    <n v="4"/>
    <n v="4"/>
    <b v="1"/>
    <x v="5"/>
    <n v="64.466817612245762"/>
    <n v="0.36069856183443505"/>
    <n v="23.253088398779873"/>
    <n v="4"/>
    <n v="0"/>
    <n v="0.52709931025759715"/>
    <n v="-4.6108166007567952E-3"/>
    <n v="-0.10955106794064662"/>
    <n v="4"/>
    <b v="1"/>
    <n v="0"/>
    <n v="0.6523467210059386"/>
    <n v="42.054717083036415"/>
    <n v="0.35543416901657116"/>
    <n v="3"/>
    <n v="-1"/>
    <n v="35.543416901657118"/>
    <n v="4"/>
    <n v="-0.29625897577226035"/>
    <b v="1"/>
    <s v="Efecto ponderador"/>
    <n v="4"/>
    <n v="0"/>
    <n v="0"/>
    <n v="0"/>
    <n v="0"/>
    <n v="0"/>
    <n v="0"/>
    <s v="Rural disperso"/>
    <n v="6"/>
    <s v="Fuera SC"/>
    <m/>
    <s v="No"/>
    <s v="No"/>
    <n v="32.200000000000003"/>
    <n v="17.631993695823482"/>
    <n v="0"/>
    <s v="Sin riesgo"/>
    <n v="0.64798304274640672"/>
    <s v="Medio Bajo"/>
    <n v="68391.127697999997"/>
    <n v="29369.474031000002"/>
    <n v="6865"/>
    <n v="9.9622909975236702"/>
    <n v="4.2781462536052439"/>
    <m/>
    <m/>
    <m/>
    <m/>
    <m/>
    <m/>
    <m/>
    <n v="88"/>
    <n v="0"/>
    <n v="7"/>
    <n v="91184.372055999993"/>
    <n v="1273.1982089999999"/>
    <n v="1.3962899346590637E-2"/>
    <s v="0% - 30%"/>
    <n v="3.7042135430825783E-5"/>
    <s v="N.D."/>
    <s v="N.D."/>
    <s v="N.D."/>
    <n v="0.95149999740568036"/>
    <s v="Aceptable"/>
    <n v="2"/>
    <s v="Candidato"/>
    <n v="0"/>
    <n v="0"/>
  </r>
  <r>
    <n v="50245"/>
    <s v="50245"/>
    <x v="16"/>
    <x v="16"/>
    <s v="EL CALVARIO"/>
    <n v="46.557533333333303"/>
    <n v="34.299999999999997"/>
    <n v="24.15"/>
    <n v="26.42"/>
    <n v="53.054002811771142"/>
    <n v="52.65056776728148"/>
    <n v="56.698548839892389"/>
    <n v="49.912399999999998"/>
    <n v="32.856883333333329"/>
    <n v="53.07887985473625"/>
    <n v="42.967881594034793"/>
    <n v="70.983603167797355"/>
    <n v="29.016396832202645"/>
    <n v="0.36114757148982379"/>
    <n v="0"/>
    <n v="15.517746089747964"/>
    <n v="5"/>
    <n v="5"/>
    <b v="1"/>
    <x v="6"/>
    <n v="45.535530040214887"/>
    <n v="0.36075494917323092"/>
    <n v="16.427167825233852"/>
    <n v="5"/>
    <n v="0"/>
    <n v="-2.5676484461800939"/>
    <n v="3.9262231659287217E-4"/>
    <n v="-0.90942173548588734"/>
    <n v="5"/>
    <b v="1"/>
    <n v="0"/>
    <n v="0.6523467210059386"/>
    <n v="29.704953711001597"/>
    <n v="0.20095164711006264"/>
    <n v="4"/>
    <n v="-1"/>
    <n v="20.095164711006262"/>
    <n v="5"/>
    <n v="-0.29119914951611481"/>
    <b v="1"/>
    <s v="Efecto ponderador"/>
    <n v="4"/>
    <n v="-1"/>
    <n v="0"/>
    <n v="0"/>
    <n v="0"/>
    <n v="0"/>
    <n v="1"/>
    <s v="Rural disperso"/>
    <n v="6"/>
    <s v="Fuera SC"/>
    <m/>
    <s v="No"/>
    <s v="No"/>
    <n v="29.7"/>
    <n v="4.3979812545061288"/>
    <n v="17.633636363636359"/>
    <s v="Medio"/>
    <n v="0.4937085401255461"/>
    <s v="Medio Bajo"/>
    <n v="6719.7835189999996"/>
    <n v="1219.275157"/>
    <n v="1896"/>
    <n v="3.5441896197257381"/>
    <n v="0.64307761445147682"/>
    <m/>
    <m/>
    <m/>
    <m/>
    <m/>
    <m/>
    <m/>
    <n v="88"/>
    <n v="0"/>
    <n v="7"/>
    <n v="26990.593195000001"/>
    <n v="7920.6612269999996"/>
    <n v="0.29346006476313014"/>
    <s v="0% - 30%"/>
    <n v="2.3044189333463374E-4"/>
    <s v="N.D."/>
    <s v="N.D."/>
    <s v="N.D."/>
    <n v="0.93170875213777826"/>
    <s v="Aceptable"/>
    <n v="1"/>
    <s v="Candidato"/>
    <n v="0"/>
    <n v="0"/>
  </r>
  <r>
    <n v="52250"/>
    <s v="52250"/>
    <x v="18"/>
    <x v="18"/>
    <s v="EL CHARCO"/>
    <n v="49.428066666666702"/>
    <n v="42.11"/>
    <n v="42.28"/>
    <n v="45.77"/>
    <n v="48.124675333592407"/>
    <n v="64.006261198757798"/>
    <n v="51.725848152891089"/>
    <n v="51.769199999999998"/>
    <n v="44.89701666666668"/>
    <n v="53.906496171310323"/>
    <n v="49.401756418988498"/>
    <n v="71.691098676363836"/>
    <n v="28.308901323636164"/>
    <n v="0.35478011191272552"/>
    <n v="0"/>
    <n v="17.526760671013946"/>
    <n v="5"/>
    <n v="5"/>
    <b v="1"/>
    <x v="6"/>
    <n v="48.328482944828039"/>
    <n v="0.36039240503571812"/>
    <n v="17.417218200214261"/>
    <n v="5"/>
    <n v="0"/>
    <n v="1.0732734741604588"/>
    <n v="-5.6122931229926065E-3"/>
    <n v="0.10954247079968482"/>
    <n v="5"/>
    <b v="1"/>
    <n v="0"/>
    <n v="0.6523467210059386"/>
    <n v="31.526927380249997"/>
    <n v="0.22374261717108432"/>
    <n v="4"/>
    <n v="-1"/>
    <n v="22.374261717108432"/>
    <n v="5"/>
    <n v="-0.29756660909321309"/>
    <b v="1"/>
    <s v="Efecto ponderador"/>
    <n v="4"/>
    <n v="-1"/>
    <n v="0"/>
    <n v="0"/>
    <n v="0"/>
    <n v="1"/>
    <n v="1"/>
    <s v="Rural disperso"/>
    <n v="6"/>
    <s v="Fuera SC"/>
    <m/>
    <s v="No"/>
    <s v="No"/>
    <n v="75.900000000000006"/>
    <n v="58.155759100185087"/>
    <n v="19.988366668100419"/>
    <s v="Medio"/>
    <n v="42.819448332970147"/>
    <s v="Muy Alto"/>
    <n v="49176.807004000002"/>
    <n v="7703.1922985000001"/>
    <n v="22396"/>
    <n v="2.1957852743347028"/>
    <n v="0.34395393367119131"/>
    <m/>
    <m/>
    <m/>
    <m/>
    <m/>
    <m/>
    <m/>
    <n v="97"/>
    <n v="0"/>
    <n v="7"/>
    <n v="249369.84237500001"/>
    <n v="53465.805977999997"/>
    <n v="0.21440365630739994"/>
    <s v="0% - 30%"/>
    <n v="1.5555218440896587E-3"/>
    <n v="209522.015274"/>
    <n v="0.84020590973836673"/>
    <s v="71% - 100%"/>
    <n v="0.92810639660087579"/>
    <s v="Aceptable"/>
    <n v="1"/>
    <s v="Candidato"/>
    <n v="0"/>
    <n v="0"/>
  </r>
  <r>
    <n v="52621"/>
    <s v="52621"/>
    <x v="18"/>
    <x v="18"/>
    <s v="ROBERTO PAYÁN"/>
    <n v="87.886899999999997"/>
    <n v="0"/>
    <n v="32.57"/>
    <n v="54.48"/>
    <n v="52.886816368102942"/>
    <n v="65.186101439509528"/>
    <n v="68.743556770016824"/>
    <n v="53.942100000000003"/>
    <n v="43.734224999999995"/>
    <n v="60.189643644407326"/>
    <n v="51.96193432220366"/>
    <n v="72.091504197536068"/>
    <n v="27.908495802463932"/>
    <n v="0.35117646222217547"/>
    <n v="0"/>
    <n v="18.247808265492516"/>
    <n v="5"/>
    <n v="5"/>
    <b v="1"/>
    <x v="6"/>
    <n v="64.066298454350857"/>
    <n v="0.35908750643910226"/>
    <n v="23.005407358756159"/>
    <n v="4"/>
    <n v="-1"/>
    <n v="-12.104364132147197"/>
    <n v="-7.9110442169267881E-3"/>
    <n v="-4.7575990932636429"/>
    <n v="5"/>
    <b v="1"/>
    <s v="Efecto ponderador"/>
    <n v="0.6523467210059386"/>
    <n v="41.793439723683612"/>
    <n v="0.35216586466336441"/>
    <n v="4"/>
    <n v="-1"/>
    <n v="35.216586466336445"/>
    <n v="5"/>
    <n v="-0.30117025878376313"/>
    <b v="1"/>
    <s v="Efecto ponderador"/>
    <n v="4"/>
    <n v="-1"/>
    <n v="0"/>
    <n v="0"/>
    <n v="0"/>
    <n v="1"/>
    <n v="1"/>
    <s v="Rural disperso"/>
    <n v="6"/>
    <s v="Fuera SC"/>
    <m/>
    <s v="No"/>
    <s v="Si"/>
    <n v="81"/>
    <n v="44.418982144562207"/>
    <n v="76.566116446578633"/>
    <s v="Alto"/>
    <n v="63.589947721553422"/>
    <s v="Muy Alto"/>
    <n v="30212.558025999999"/>
    <n v="6212.1920377500001"/>
    <n v="12427"/>
    <n v="2.4312028668222418"/>
    <n v="0.49989474835036612"/>
    <m/>
    <m/>
    <m/>
    <m/>
    <m/>
    <m/>
    <m/>
    <n v="97"/>
    <n v="0"/>
    <n v="7"/>
    <n v="146003.84956100001"/>
    <n v="14418.991867000001"/>
    <n v="9.8757614339310865E-2"/>
    <s v="0% - 30%"/>
    <n v="4.1950282818328214E-4"/>
    <n v="142952.37126700001"/>
    <n v="0.97910001480662945"/>
    <s v="71% - 100%"/>
    <n v="0.95254318886729683"/>
    <s v="Aceptable"/>
    <n v="1"/>
    <s v="Candidato"/>
    <n v="0"/>
    <n v="0"/>
  </r>
  <r>
    <n v="27150"/>
    <s v="27150"/>
    <x v="26"/>
    <x v="26"/>
    <s v="CARMEN DEL DARIÉN"/>
    <n v="62.423633333333299"/>
    <n v="62.07"/>
    <n v="58.3"/>
    <n v="60.99"/>
    <n v="53.803773688135735"/>
    <n v="59.472230608047006"/>
    <n v="58.347739028897337"/>
    <n v="59.922600000000003"/>
    <n v="60.945908333333321"/>
    <n v="57.886585831270025"/>
    <n v="59.416247082301673"/>
    <n v="71.740874918042408"/>
    <n v="28.259125081957592"/>
    <n v="0.3543321257376183"/>
    <n v="0"/>
    <n v="21.053085132023512"/>
    <n v="5"/>
    <n v="5"/>
    <b v="1"/>
    <x v="5"/>
    <n v="58.426520871084826"/>
    <n v="0.3585855499355991"/>
    <n v="20.950906117381709"/>
    <n v="4"/>
    <n v="0"/>
    <n v="0.98972621121684767"/>
    <n v="-4.2534241979808041E-3"/>
    <n v="0.10217901464180201"/>
    <n v="4"/>
    <b v="1"/>
    <n v="0"/>
    <n v="0.6523467210059386"/>
    <n v="38.11434931003722"/>
    <n v="0.30614432171549266"/>
    <n v="4"/>
    <n v="0"/>
    <n v="30.614432171549268"/>
    <n v="4"/>
    <n v="-0.2980145952683203"/>
    <b v="1"/>
    <n v="0"/>
    <n v="4"/>
    <n v="0"/>
    <n v="0"/>
    <n v="0"/>
    <n v="0"/>
    <n v="1"/>
    <n v="1"/>
    <s v="Rural disperso"/>
    <n v="6"/>
    <s v="Fuera SC"/>
    <m/>
    <s v="No"/>
    <s v="No"/>
    <n v="77.8"/>
    <n v="75.676912516207764"/>
    <s v="Sin Información"/>
    <s v="Sin Información"/>
    <n v="3.6034279021061759"/>
    <s v="Medio Bajo"/>
    <n v="33235.565856000001"/>
    <n v="12797.2716595"/>
    <n v="21234"/>
    <n v="1.5652051359141002"/>
    <n v="0.60267833001318638"/>
    <m/>
    <m/>
    <m/>
    <m/>
    <m/>
    <m/>
    <m/>
    <n v="51"/>
    <n v="0"/>
    <n v="7"/>
    <n v="318268.74901600002"/>
    <n v="5191.0216200000004"/>
    <n v="1.6310183252516059E-2"/>
    <s v="0% - 30%"/>
    <n v="1.510263873394945E-4"/>
    <n v="314836.65831000003"/>
    <n v="0.98921637541665319"/>
    <s v="71% - 100%"/>
    <n v="0.91322829102093861"/>
    <s v="Aceptable"/>
    <n v="2"/>
    <s v="Candidato"/>
    <n v="0"/>
    <n v="0"/>
  </r>
  <r>
    <n v="18460"/>
    <s v="18460"/>
    <x v="24"/>
    <x v="24"/>
    <s v="MILÁN"/>
    <n v="58.013266666666702"/>
    <n v="60.46"/>
    <n v="58.4"/>
    <n v="69.36"/>
    <n v="52.265357779435107"/>
    <n v="49.921739241750352"/>
    <n v="51.164375828105207"/>
    <n v="54.1325"/>
    <n v="61.55831666666667"/>
    <n v="51.870993212322659"/>
    <n v="56.714654939494665"/>
    <n v="71.467374624421936"/>
    <n v="28.532625375578064"/>
    <n v="0.35679362838020257"/>
    <n v="0"/>
    <n v="20.235427518193479"/>
    <n v="5"/>
    <n v="5"/>
    <b v="1"/>
    <x v="6"/>
    <n v="57.369947069446859"/>
    <n v="0.35838361311231259"/>
    <n v="20.560448914810493"/>
    <n v="4"/>
    <n v="-1"/>
    <n v="-0.6552921299521941"/>
    <n v="-1.589984732110028E-3"/>
    <n v="-0.32502139661701435"/>
    <n v="4"/>
    <b v="0"/>
    <s v="Cambio en corte"/>
    <n v="0.6523467210059386"/>
    <n v="37.425096855037914"/>
    <n v="0.29752250004402198"/>
    <n v="4"/>
    <n v="-1"/>
    <n v="29.752250004402196"/>
    <n v="4"/>
    <n v="-0.29555309262573604"/>
    <b v="0"/>
    <s v="Cambio en corte"/>
    <n v="4"/>
    <n v="-1"/>
    <n v="0"/>
    <n v="0"/>
    <n v="0"/>
    <n v="1"/>
    <n v="1"/>
    <s v="Rural disperso"/>
    <n v="6"/>
    <s v="Fuera SC"/>
    <m/>
    <s v="No"/>
    <s v="No"/>
    <n v="64.599999999999994"/>
    <n v="47.106017191977074"/>
    <n v="0"/>
    <s v="Sin riesgo"/>
    <n v="5.4064511106239914"/>
    <s v="Medio Bajo"/>
    <n v="31151.676217"/>
    <n v="6510.5982599999998"/>
    <n v="10177"/>
    <n v="3.0609881317677115"/>
    <n v="0.63973649012479117"/>
    <m/>
    <m/>
    <m/>
    <m/>
    <m/>
    <m/>
    <m/>
    <n v="3"/>
    <n v="0"/>
    <n v="7"/>
    <n v="122012.056931"/>
    <n v="9548.2684819999995"/>
    <n v="7.8256761849361464E-2"/>
    <s v="0% - 30%"/>
    <n v="2.7779512391705642E-4"/>
    <n v="8134.808207"/>
    <n v="6.6672166764636873E-2"/>
    <s v="0% - 30%"/>
    <n v="0.96226742410195176"/>
    <s v="Aceptable"/>
    <n v="2"/>
    <s v="Candidato"/>
    <n v="0"/>
    <n v="0"/>
  </r>
  <r>
    <n v="85315"/>
    <s v="85315"/>
    <x v="23"/>
    <x v="23"/>
    <s v="SÁCAMA"/>
    <n v="54.397766666666698"/>
    <n v="63.91"/>
    <n v="51.86"/>
    <n v="79.78"/>
    <n v="52.830933505286993"/>
    <n v="59.620216663645515"/>
    <n v="67.957552984820751"/>
    <n v="62.2226"/>
    <n v="62.486941666666674"/>
    <n v="60.657825788438316"/>
    <n v="61.572383727552491"/>
    <n v="73.038229360171997"/>
    <n v="26.961770639828003"/>
    <n v="0.34265593575845205"/>
    <n v="0"/>
    <n v="21.098142763042986"/>
    <n v="5"/>
    <n v="5"/>
    <b v="1"/>
    <x v="5"/>
    <n v="59.329268948626599"/>
    <n v="0.35269149324212457"/>
    <n v="20.92492845845473"/>
    <n v="4"/>
    <n v="0"/>
    <n v="2.2431147789258929"/>
    <n v="-1.0035557483672519E-2"/>
    <n v="0.1732143045882566"/>
    <n v="4"/>
    <b v="1"/>
    <n v="0"/>
    <n v="0.35881802248113021"/>
    <n v="21.288410959397318"/>
    <n v="9.5669569159807732E-2"/>
    <n v="5"/>
    <n v="1"/>
    <n v="9.5669569159807732"/>
    <n v="4"/>
    <n v="-1.6162086722678159E-2"/>
    <b v="1"/>
    <s v="Efecto ponderador"/>
    <n v="4"/>
    <n v="0"/>
    <n v="0"/>
    <n v="0"/>
    <n v="0"/>
    <n v="0"/>
    <n v="1"/>
    <s v="Rural disperso"/>
    <n v="6"/>
    <s v="Fuera SC"/>
    <m/>
    <s v="No"/>
    <s v="No"/>
    <n v="32.5"/>
    <n v="30.567164179104477"/>
    <n v="1.5149999999999999"/>
    <s v="Sin riesgo"/>
    <n v="1.0288945229705981"/>
    <s v="Medio Bajo"/>
    <n v="9865.5432849999997"/>
    <n v="3277.9802095"/>
    <n v="2125"/>
    <n v="4.6426086047058819"/>
    <n v="1.5425789221176471"/>
    <m/>
    <m/>
    <m/>
    <m/>
    <m/>
    <m/>
    <m/>
    <n v="53"/>
    <n v="0"/>
    <n v="7"/>
    <n v="31146.707542"/>
    <n v="2131.72388"/>
    <n v="6.8441387492577235E-2"/>
    <s v="0% - 30%"/>
    <n v="6.2019883554584399E-5"/>
    <n v="4975.0515160000004"/>
    <n v="0.1597296121681997"/>
    <s v="0% - 30%"/>
    <n v="0.8508008024009035"/>
    <s v="Aceptable"/>
    <n v="3"/>
    <s v="Candidato"/>
    <n v="0"/>
    <n v="0"/>
  </r>
  <r>
    <n v="15377"/>
    <s v="15377"/>
    <x v="10"/>
    <x v="10"/>
    <s v="LABRANZAGRANDE"/>
    <n v="72.0649333333333"/>
    <n v="75.34"/>
    <n v="71.64"/>
    <n v="71"/>
    <n v="59.295374465304342"/>
    <n v="59.023186863710464"/>
    <n v="62.485400245161181"/>
    <n v="59.984900000000003"/>
    <n v="72.511233333333323"/>
    <n v="60.197215393543999"/>
    <n v="66.354224363438661"/>
    <n v="72.368235804047103"/>
    <n v="27.631764195952897"/>
    <n v="0.34868587776357607"/>
    <n v="0"/>
    <n v="23.136780965486874"/>
    <n v="4"/>
    <n v="4"/>
    <b v="1"/>
    <x v="5"/>
    <n v="66.021232481593643"/>
    <n v="0.351257682089682"/>
    <n v="23.190465090188606"/>
    <n v="4"/>
    <n v="0"/>
    <n v="0.33299188184501816"/>
    <n v="-2.5718043261059309E-3"/>
    <n v="-5.3684124701732117E-2"/>
    <n v="4"/>
    <b v="1"/>
    <n v="0"/>
    <n v="0.35881802248113021"/>
    <n v="23.689608080812391"/>
    <n v="0.12570601404836518"/>
    <n v="5"/>
    <n v="1"/>
    <n v="12.570601404836518"/>
    <n v="4"/>
    <n v="-1.0132144717554137E-2"/>
    <b v="1"/>
    <s v="Efecto ponderador"/>
    <n v="4"/>
    <n v="0"/>
    <n v="0"/>
    <n v="0"/>
    <n v="0"/>
    <n v="0"/>
    <n v="1"/>
    <s v="Rural disperso"/>
    <n v="6"/>
    <s v="Fuera SC"/>
    <m/>
    <s v="No"/>
    <s v="No"/>
    <n v="57.4"/>
    <n v="37.008130081300813"/>
    <n v="43.075842091152815"/>
    <s v="Alto"/>
    <n v="57.084536007455419"/>
    <s v="Muy Alto"/>
    <n v="15194.185694"/>
    <n v="4392.1203079999996"/>
    <n v="3741"/>
    <n v="4.0615305249933176"/>
    <n v="1.1740498016573107"/>
    <m/>
    <m/>
    <m/>
    <m/>
    <m/>
    <m/>
    <m/>
    <n v="41"/>
    <n v="0"/>
    <n v="7"/>
    <n v="57998.715089999998"/>
    <n v="3045.2230009999998"/>
    <n v="5.2505008020859584E-2"/>
    <s v="0% - 30%"/>
    <n v="8.8597016570345891E-5"/>
    <s v="N.D."/>
    <s v="N.D."/>
    <s v="N.D."/>
    <n v="0.89814602776996666"/>
    <s v="Aceptable"/>
    <n v="2"/>
    <s v="Candidato"/>
    <n v="0"/>
    <n v="0"/>
  </r>
  <r>
    <n v="50686"/>
    <s v="50686"/>
    <x v="16"/>
    <x v="16"/>
    <s v="SAN JUANITO"/>
    <n v="43.696366666666698"/>
    <n v="38"/>
    <n v="24.41"/>
    <n v="24.79"/>
    <n v="49.365173147054392"/>
    <n v="68.211370918876725"/>
    <n v="46.996274388913648"/>
    <n v="46.848399999999998"/>
    <n v="32.724091666666673"/>
    <n v="52.855304613711191"/>
    <n v="42.789698140188932"/>
    <n v="72.885346033466135"/>
    <n v="27.114653966533865"/>
    <n v="0.34403188569880477"/>
    <n v="0"/>
    <n v="14.721020539651837"/>
    <n v="5"/>
    <n v="5"/>
    <b v="1"/>
    <x v="6"/>
    <n v="44.964692211126298"/>
    <n v="0.34820870110280178"/>
    <n v="15.657097070323557"/>
    <n v="5"/>
    <n v="0"/>
    <n v="-2.1749940709373661"/>
    <n v="-4.1768154039970029E-3"/>
    <n v="-0.93607653067171981"/>
    <n v="5"/>
    <b v="1"/>
    <n v="0"/>
    <n v="0.35881802248113021"/>
    <n v="16.134141940669018"/>
    <n v="3.1195096847182482E-2"/>
    <n v="5"/>
    <n v="0"/>
    <n v="3.1195096847182482"/>
    <n v="5"/>
    <n v="-1.4786136782325432E-2"/>
    <b v="1"/>
    <n v="0"/>
    <n v="5"/>
    <n v="0"/>
    <n v="0"/>
    <n v="0"/>
    <n v="0"/>
    <n v="0"/>
    <n v="1"/>
    <s v="Rural disperso"/>
    <n v="6"/>
    <s v="Fuera SC"/>
    <m/>
    <s v="No"/>
    <s v="No"/>
    <n v="43.2"/>
    <n v="10.126582278481013"/>
    <n v="28.335454545454546"/>
    <s v="Medio"/>
    <n v="0"/>
    <s v="Bajo"/>
    <n v="5961.0341449999996"/>
    <n v="1259.5042355"/>
    <n v="1395"/>
    <n v="4.2731427562724011"/>
    <n v="0.90287041971326165"/>
    <m/>
    <m/>
    <m/>
    <m/>
    <m/>
    <m/>
    <m/>
    <n v="40"/>
    <n v="0"/>
    <n v="7"/>
    <n v="24452.350766"/>
    <n v="13119.409485"/>
    <n v="0.53652957993887462"/>
    <s v="51% - 70%"/>
    <n v="3.8169307770038682E-4"/>
    <s v="N.D."/>
    <s v="N.D."/>
    <s v="N.D."/>
    <n v="0.96276835618201262"/>
    <s v="Aceptable"/>
    <n v="1"/>
    <s v="Candidato"/>
    <n v="0"/>
    <n v="0"/>
  </r>
  <r>
    <n v="85136"/>
    <s v="85136"/>
    <x v="23"/>
    <x v="23"/>
    <s v="LA SALINA"/>
    <n v="62.3295666666667"/>
    <n v="51.98"/>
    <n v="43.5"/>
    <n v="49.56"/>
    <n v="60.476548820500291"/>
    <n v="67.741532691302226"/>
    <n v="63.073326129320947"/>
    <n v="68.754000000000005"/>
    <n v="51.842391666666671"/>
    <n v="65.011351910280865"/>
    <n v="58.426871788473768"/>
    <n v="72.238775074225785"/>
    <n v="27.761224925774215"/>
    <n v="0.34985102433196791"/>
    <n v="0"/>
    <n v="20.440700943710105"/>
    <n v="5"/>
    <n v="5"/>
    <b v="1"/>
    <x v="6"/>
    <n v="58.558891612737057"/>
    <n v="0.34805158540240089"/>
    <n v="20.381515065220487"/>
    <n v="4"/>
    <n v="-1"/>
    <n v="-0.1320198242632884"/>
    <n v="1.799438929567021E-3"/>
    <n v="5.9185878489618204E-2"/>
    <n v="4"/>
    <b v="0"/>
    <s v="Cambio en corte"/>
    <n v="0.35881802248113021"/>
    <n v="21.011985687169151"/>
    <n v="9.2211780383935474E-2"/>
    <n v="5"/>
    <n v="0"/>
    <n v="9.221178038393548"/>
    <n v="4"/>
    <n v="-8.9669981491622974E-3"/>
    <b v="0"/>
    <n v="0"/>
    <n v="4"/>
    <n v="-1"/>
    <n v="0"/>
    <n v="0"/>
    <n v="0"/>
    <n v="0"/>
    <n v="1"/>
    <s v="Rural disperso"/>
    <n v="6"/>
    <s v="Fuera SC"/>
    <m/>
    <s v="No"/>
    <s v="No"/>
    <n v="48.1"/>
    <n v="24.190800681431003"/>
    <n v="1.5149999999999999"/>
    <s v="Sin riesgo"/>
    <n v="1.4405084638840402"/>
    <s v="Medio Bajo"/>
    <n v="10536.634441"/>
    <n v="2559.98488275"/>
    <n v="1518"/>
    <n v="6.9411294077733858"/>
    <n v="1.686419553853755"/>
    <m/>
    <m/>
    <m/>
    <m/>
    <m/>
    <m/>
    <m/>
    <n v="53"/>
    <n v="0"/>
    <n v="7"/>
    <n v="19941.924371000001"/>
    <n v="8294.0287950000002"/>
    <n v="0.41590914902181481"/>
    <s v="31% - 50%"/>
    <n v="2.4130456335849182E-4"/>
    <n v="9.8595670000000002"/>
    <n v="4.9441402026065284E-4"/>
    <n v="0"/>
    <n v="0.95362062988976937"/>
    <s v="Aceptable"/>
    <n v="2"/>
    <s v="Candidato"/>
    <n v="0"/>
    <n v="0"/>
  </r>
  <r>
    <n v="50450"/>
    <s v="50450"/>
    <x v="16"/>
    <x v="16"/>
    <s v="PUERTO CONCORDIA"/>
    <n v="53.388566666666698"/>
    <n v="65.64"/>
    <n v="63.17"/>
    <n v="73.930000000000007"/>
    <n v="51.940411155945512"/>
    <n v="59.951489588691196"/>
    <n v="57.746924551312532"/>
    <n v="55.135100000000001"/>
    <n v="64.032141666666675"/>
    <n v="56.193481323987307"/>
    <n v="60.112811495326994"/>
    <n v="73.844143357942386"/>
    <n v="26.155856642057614"/>
    <n v="0.33540270977851849"/>
    <n v="0"/>
    <n v="20.161999867937951"/>
    <n v="5"/>
    <n v="5"/>
    <b v="1"/>
    <x v="6"/>
    <n v="56.34854343272481"/>
    <n v="0.34474753467404629"/>
    <n v="19.426021430905301"/>
    <n v="5"/>
    <n v="0"/>
    <n v="3.7642680626021843"/>
    <n v="-9.3448248955277924E-3"/>
    <n v="0.73597843703264942"/>
    <n v="4"/>
    <b v="0"/>
    <n v="0"/>
    <n v="0.35881802248113021"/>
    <n v="20.218872924222392"/>
    <n v="8.2290775739126104E-2"/>
    <n v="5"/>
    <n v="0"/>
    <n v="8.2290775739126101"/>
    <n v="4"/>
    <n v="-2.3415312702611712E-2"/>
    <b v="0"/>
    <n v="0"/>
    <n v="4"/>
    <n v="-1"/>
    <n v="0"/>
    <n v="0"/>
    <n v="0"/>
    <n v="1"/>
    <n v="1"/>
    <s v="Rural disperso"/>
    <n v="6"/>
    <s v="Fuera SC"/>
    <m/>
    <s v="No"/>
    <s v="No"/>
    <n v="53"/>
    <n v="46.259367458402131"/>
    <n v="3.8041666666666658"/>
    <s v="Sin riesgo"/>
    <n v="11.872555493914799"/>
    <s v="Alto"/>
    <n v="31950.333018000001"/>
    <n v="6852.6701089999997"/>
    <n v="8692"/>
    <n v="3.67583214657156"/>
    <n v="0.78838818557294055"/>
    <m/>
    <m/>
    <m/>
    <m/>
    <m/>
    <m/>
    <m/>
    <n v="7"/>
    <n v="0"/>
    <n v="7"/>
    <n v="125629.517322"/>
    <n v="7602.2976170000002"/>
    <n v="6.051362593007989E-2"/>
    <s v="0% - 30%"/>
    <n v="2.2117949579550353E-4"/>
    <n v="3704.6076950000001"/>
    <n v="2.9488354122262129E-2"/>
    <s v="0% - 30%"/>
    <n v="0.97575331567770196"/>
    <s v="Aceptable"/>
    <n v="2"/>
    <s v="Candidato"/>
    <n v="0"/>
    <n v="0"/>
  </r>
  <r>
    <n v="15180"/>
    <s v="15180"/>
    <x v="10"/>
    <x v="10"/>
    <s v="CHISCAS"/>
    <n v="50.535833333333301"/>
    <n v="37.54"/>
    <n v="23.32"/>
    <n v="48.35"/>
    <n v="47.426337328466879"/>
    <n v="58.848786043547307"/>
    <n v="44.365703206952674"/>
    <n v="45.3902"/>
    <n v="39.93645833333332"/>
    <n v="49.007756644741711"/>
    <n v="44.472107489037512"/>
    <n v="73.335299936875529"/>
    <n v="26.664700063124471"/>
    <n v="0.33998230056812023"/>
    <n v="0"/>
    <n v="15.119729415235701"/>
    <n v="5"/>
    <n v="5"/>
    <b v="1"/>
    <x v="6"/>
    <n v="46.219408903818902"/>
    <n v="0.34529176547007145"/>
    <n v="15.959181299382768"/>
    <n v="5"/>
    <n v="0"/>
    <n v="-1.7473014147813899"/>
    <n v="-5.3094649019512219E-3"/>
    <n v="-0.83945188414706706"/>
    <n v="5"/>
    <b v="1"/>
    <n v="0"/>
    <n v="0.35881802248113021"/>
    <n v="16.58435690311504"/>
    <n v="3.6826811456079155E-2"/>
    <n v="5"/>
    <n v="0"/>
    <n v="3.6826811456079156"/>
    <n v="5"/>
    <n v="-1.8835721913009973E-2"/>
    <b v="1"/>
    <n v="0"/>
    <n v="4"/>
    <n v="-1"/>
    <n v="0"/>
    <n v="0"/>
    <n v="0"/>
    <n v="0"/>
    <n v="0"/>
    <s v="Rural disperso"/>
    <n v="6"/>
    <s v="Fuera SC"/>
    <m/>
    <s v="No"/>
    <s v="No"/>
    <n v="60.1"/>
    <n v="28.826317256760525"/>
    <n v="30.125769308700836"/>
    <s v="Medio"/>
    <n v="0"/>
    <s v="Bajo"/>
    <n v="14902.253273"/>
    <n v="3139.5418719499999"/>
    <n v="4078"/>
    <n v="3.6543043827856794"/>
    <n v="0.76987294554928887"/>
    <m/>
    <m/>
    <m/>
    <m/>
    <m/>
    <m/>
    <m/>
    <n v="44"/>
    <n v="0"/>
    <n v="7"/>
    <n v="65728.074588999996"/>
    <n v="62220.440874"/>
    <n v="0.94663416299757208"/>
    <s v="71% - 100%"/>
    <n v="1.810227175257043E-3"/>
    <n v="6700.8073530000001"/>
    <n v="0.10194741584780002"/>
    <s v="0% - 30%"/>
    <n v="0.9401371626297268"/>
    <s v="Aceptable"/>
    <n v="1"/>
    <s v="Candidato"/>
    <n v="0"/>
    <n v="0"/>
  </r>
  <r>
    <n v="5873"/>
    <s v="05873"/>
    <x v="1"/>
    <x v="1"/>
    <s v="VIGÍA DEL FUERTE"/>
    <n v="34.722666666666697"/>
    <n v="39.380000000000003"/>
    <n v="44.04"/>
    <n v="44.37"/>
    <n v="49.206115814080036"/>
    <n v="48.968216223950961"/>
    <n v="64.582181697613251"/>
    <n v="46.5503"/>
    <n v="40.628166666666672"/>
    <n v="52.326703433911064"/>
    <n v="46.477435050288868"/>
    <n v="71.931715271586114"/>
    <n v="28.068284728413886"/>
    <n v="0.35261456255572499"/>
    <n v="0"/>
    <n v="16.38862042896973"/>
    <n v="5"/>
    <n v="5"/>
    <b v="1"/>
    <x v="6"/>
    <n v="45.172273274778732"/>
    <n v="0.3448267610064798"/>
    <n v="15.57660868064152"/>
    <n v="5"/>
    <n v="0"/>
    <n v="1.3051617755101361"/>
    <n v="7.787801549245188E-3"/>
    <n v="0.8120117483282101"/>
    <n v="5"/>
    <b v="1"/>
    <n v="0"/>
    <n v="0.35881802248113021"/>
    <n v="16.208625767433311"/>
    <n v="3.2126811006649783E-2"/>
    <n v="5"/>
    <n v="0"/>
    <n v="3.2126811006649785"/>
    <n v="5"/>
    <n v="-6.2034599254052192E-3"/>
    <b v="1"/>
    <n v="0"/>
    <n v="4"/>
    <n v="-1"/>
    <n v="0"/>
    <n v="0"/>
    <n v="0"/>
    <n v="1"/>
    <n v="1"/>
    <s v="Rural disperso"/>
    <n v="6"/>
    <s v="Fuera SC"/>
    <m/>
    <s v="No"/>
    <s v="No"/>
    <n v="76.099999999999994"/>
    <n v="78.254984001968992"/>
    <n v="35.234999999999999"/>
    <s v="Alto"/>
    <n v="1.3558140368558456"/>
    <s v="Medio Bajo"/>
    <n v="33548.277657999999"/>
    <n v="12026.212348749999"/>
    <n v="11150"/>
    <n v="3.0088141397309416"/>
    <n v="1.0785840671524662"/>
    <m/>
    <m/>
    <m/>
    <m/>
    <m/>
    <m/>
    <m/>
    <n v="51"/>
    <n v="0"/>
    <n v="7"/>
    <n v="166272.99152400001"/>
    <n v="17351.282945999999"/>
    <n v="0.10435418757408654"/>
    <s v="0% - 30%"/>
    <n v="5.0481422942710863E-4"/>
    <n v="162859.329597"/>
    <n v="0.97946953443423623"/>
    <s v="71% - 100%"/>
    <n v="0.90226009567184218"/>
    <s v="Aceptable"/>
    <n v="1"/>
    <s v="Candidato"/>
    <n v="0"/>
    <n v="0"/>
  </r>
  <r>
    <n v="50689"/>
    <s v="50689"/>
    <x v="16"/>
    <x v="16"/>
    <s v="SAN MARTÍN"/>
    <n v="57.349600000000002"/>
    <n v="46.98"/>
    <n v="48.65"/>
    <n v="61.65"/>
    <n v="55.320275079321597"/>
    <n v="59.68796582806597"/>
    <n v="56.972721334108385"/>
    <n v="53.333599999999997"/>
    <n v="53.657400000000003"/>
    <n v="56.328640560373984"/>
    <n v="54.993020280186997"/>
    <n v="74.226281725595328"/>
    <n v="25.773718274404672"/>
    <n v="0.33196346446964209"/>
    <n v="0"/>
    <n v="18.255673533860161"/>
    <n v="5"/>
    <n v="5"/>
    <b v="1"/>
    <x v="6"/>
    <n v="54.257402206742867"/>
    <n v="0.34347650452099893"/>
    <n v="18.636142854361974"/>
    <n v="5"/>
    <n v="0"/>
    <n v="0.73561807344412955"/>
    <n v="-1.1513040051356838E-2"/>
    <n v="-0.38046932050181326"/>
    <n v="5"/>
    <b v="1"/>
    <n v="0"/>
    <n v="0.35881802248113021"/>
    <n v="19.468533764786784"/>
    <n v="7.2904823786613199E-2"/>
    <n v="5"/>
    <n v="0"/>
    <n v="7.29048237866132"/>
    <n v="5"/>
    <n v="-2.6854558011488117E-2"/>
    <b v="1"/>
    <n v="0"/>
    <n v="4"/>
    <n v="-1"/>
    <n v="0"/>
    <n v="0"/>
    <n v="0"/>
    <n v="0"/>
    <n v="1"/>
    <s v="Rural disperso"/>
    <n v="6"/>
    <s v="Fuera SC"/>
    <m/>
    <s v="No"/>
    <s v="Si"/>
    <n v="25.5"/>
    <n v="16.469450711358718"/>
    <n v="10.605"/>
    <s v="Bajo"/>
    <n v="6.8718131099924014"/>
    <s v="Medio"/>
    <n v="49874.834322000002"/>
    <n v="17796.300012"/>
    <n v="28332"/>
    <n v="1.7603711111817029"/>
    <n v="0.62813426556543839"/>
    <m/>
    <m/>
    <m/>
    <m/>
    <m/>
    <m/>
    <m/>
    <n v="63"/>
    <n v="0"/>
    <n v="6"/>
    <n v="592203.56377100002"/>
    <n v="78691.669259000002"/>
    <n v="0.13287942537513905"/>
    <s v="0% - 30%"/>
    <n v="2.2894372999935852E-3"/>
    <s v="N.D."/>
    <s v="N.D."/>
    <s v="N.D."/>
    <n v="0.96965207224752237"/>
    <s v="Aceptable"/>
    <n v="2"/>
    <s v="Candidato"/>
    <n v="0"/>
    <n v="0"/>
  </r>
  <r>
    <n v="27372"/>
    <s v="27372"/>
    <x v="26"/>
    <x v="26"/>
    <s v="JURADÓ"/>
    <n v="64.810166666666703"/>
    <n v="79.53"/>
    <n v="37.32"/>
    <n v="71.650000000000006"/>
    <n v="51.676004757330475"/>
    <n v="57.703136779040591"/>
    <n v="47.655409594223514"/>
    <n v="57.179200000000002"/>
    <n v="63.327541666666676"/>
    <n v="53.553437782648651"/>
    <n v="58.440489724657667"/>
    <n v="72.475696597278798"/>
    <n v="27.524303402721202"/>
    <n v="0.34771873062449082"/>
    <n v="0"/>
    <n v="20.320852904131563"/>
    <n v="5"/>
    <n v="5"/>
    <b v="1"/>
    <x v="6"/>
    <n v="55.290541560587329"/>
    <n v="0.34453795864152947"/>
    <n v="19.049690321469402"/>
    <n v="5"/>
    <n v="0"/>
    <n v="3.149948164070338"/>
    <n v="3.1807719829613501E-3"/>
    <n v="1.2711625826621606"/>
    <n v="4"/>
    <b v="0"/>
    <n v="0"/>
    <n v="0.35881802248113021"/>
    <n v="19.839242784680689"/>
    <n v="7.7542002861345924E-2"/>
    <n v="5"/>
    <n v="0"/>
    <n v="7.7542002861345924"/>
    <n v="4"/>
    <n v="-1.1099291856639382E-2"/>
    <b v="0"/>
    <n v="0"/>
    <n v="4"/>
    <n v="-1"/>
    <n v="0"/>
    <n v="0"/>
    <n v="0"/>
    <n v="0"/>
    <n v="0"/>
    <s v="Rural disperso"/>
    <n v="6"/>
    <s v="Fuera SC"/>
    <m/>
    <s v="No"/>
    <s v="No"/>
    <n v="71.8"/>
    <n v="56.110029211295036"/>
    <s v="Sin Información"/>
    <s v="Sin Información"/>
    <n v="16.486616896746739"/>
    <s v="Alto"/>
    <n v="30260.108326000001"/>
    <n v="8977.7537069999998"/>
    <n v="8260"/>
    <n v="3.6634513711864409"/>
    <n v="1.0868951219128329"/>
    <m/>
    <m/>
    <m/>
    <m/>
    <m/>
    <m/>
    <m/>
    <n v="38"/>
    <n v="0"/>
    <n v="7"/>
    <n v="129805.369953"/>
    <n v="3637.1134699999998"/>
    <n v="2.8019745803404959E-2"/>
    <s v="0% - 30%"/>
    <n v="1.0581734154247519E-4"/>
    <n v="117083.56761699999"/>
    <n v="0.90199325081384285"/>
    <s v="71% - 100%"/>
    <n v="0.92588294982113795"/>
    <s v="Aceptable"/>
    <n v="2"/>
    <s v="Candidato"/>
    <n v="1"/>
    <s v="Unidad Especial de Desarrollo Fronterizo"/>
  </r>
  <r>
    <n v="27250"/>
    <s v="27250"/>
    <x v="26"/>
    <x v="26"/>
    <s v="EL LITORAL DEL SAN JUAN"/>
    <n v="66.567566666666707"/>
    <n v="76.72"/>
    <n v="50.82"/>
    <n v="61.47"/>
    <n v="76.873831328677127"/>
    <n v="70.593105517747787"/>
    <n v="77.639844676109206"/>
    <n v="67.242000000000004"/>
    <n v="63.894391666666671"/>
    <n v="73.087195380633531"/>
    <n v="68.490793523650098"/>
    <n v="72.862576385094073"/>
    <n v="27.137423614905927"/>
    <n v="0.34423681253415334"/>
    <n v="0"/>
    <n v="23.577052450516142"/>
    <n v="4"/>
    <n v="4"/>
    <b v="1"/>
    <x v="5"/>
    <n v="68.482064413487336"/>
    <n v="0.34397257709836582"/>
    <n v="23.555952181323526"/>
    <n v="4"/>
    <n v="0"/>
    <n v="8.7291101627613443E-3"/>
    <n v="2.6423543578751874E-4"/>
    <n v="2.1100269192615428E-2"/>
    <n v="4"/>
    <b v="1"/>
    <n v="0"/>
    <n v="0.35881802248113021"/>
    <n v="24.572598928272907"/>
    <n v="0.13675129879001041"/>
    <n v="5"/>
    <n v="1"/>
    <n v="13.675129879001041"/>
    <n v="4"/>
    <n v="-1.458120994697687E-2"/>
    <b v="1"/>
    <s v="Efecto ponderador"/>
    <n v="4"/>
    <n v="0"/>
    <n v="0"/>
    <n v="0"/>
    <n v="0"/>
    <n v="1"/>
    <n v="1"/>
    <s v="Rural disperso"/>
    <n v="6"/>
    <s v="Fuera SC"/>
    <m/>
    <s v="No"/>
    <s v="No"/>
    <n v="83.1"/>
    <n v="70.22195353657483"/>
    <s v="Sin Información"/>
    <s v="Sin Información"/>
    <n v="15.356733907210918"/>
    <s v="Alto"/>
    <n v="48779.529439999998"/>
    <n v="17791.633056999999"/>
    <n v="26236"/>
    <n v="1.8592593932001829"/>
    <n v="0.67813817110077756"/>
    <m/>
    <m/>
    <m/>
    <m/>
    <m/>
    <m/>
    <m/>
    <n v="38"/>
    <n v="0"/>
    <n v="7"/>
    <n v="413615.27175900002"/>
    <n v="53699.522793999997"/>
    <n v="0.12982964232831551"/>
    <s v="0% - 30%"/>
    <n v="1.5623215473012531E-3"/>
    <n v="404352.57437500003"/>
    <n v="0.97760552374043608"/>
    <s v="71% - 100%"/>
    <n v="0.97749136252447655"/>
    <s v="Aceptable"/>
    <n v="3"/>
    <s v="Candidato"/>
    <n v="0"/>
    <n v="0"/>
  </r>
  <r>
    <n v="85400"/>
    <s v="85400"/>
    <x v="23"/>
    <x v="23"/>
    <s v="TÁMARA"/>
    <n v="63.589433333333297"/>
    <n v="55.78"/>
    <n v="55.36"/>
    <n v="59.76"/>
    <n v="51.627893328239651"/>
    <n v="55.242770036959868"/>
    <n v="57.030903536276426"/>
    <n v="49.581299999999999"/>
    <n v="58.622358333333324"/>
    <n v="53.370716725368986"/>
    <n v="55.996537529351158"/>
    <n v="72.993979093945271"/>
    <n v="27.006020906054729"/>
    <n v="0.34305418815449257"/>
    <n v="0"/>
    <n v="19.209846721594136"/>
    <n v="5"/>
    <n v="5"/>
    <b v="1"/>
    <x v="6"/>
    <n v="56.237733094709462"/>
    <n v="0.34346309625650434"/>
    <n v="19.315585935155795"/>
    <n v="5"/>
    <n v="0"/>
    <n v="-0.24119556535830355"/>
    <n v="-4.0890810201177352E-4"/>
    <n v="-0.10573921356165883"/>
    <n v="5"/>
    <b v="1"/>
    <n v="0"/>
    <n v="0.35881802248113021"/>
    <n v="20.17911217786526"/>
    <n v="8.1793410713975612E-2"/>
    <n v="5"/>
    <n v="0"/>
    <n v="8.1793410713975607"/>
    <n v="4"/>
    <n v="-1.5763834326637638E-2"/>
    <b v="0"/>
    <n v="0"/>
    <n v="4"/>
    <n v="-1"/>
    <n v="0"/>
    <n v="0"/>
    <n v="0"/>
    <n v="0"/>
    <n v="1"/>
    <s v="Rural disperso"/>
    <n v="6"/>
    <s v="Fuera SC"/>
    <m/>
    <s v="No"/>
    <s v="No"/>
    <n v="55"/>
    <n v="37.555373256767844"/>
    <n v="6.43"/>
    <s v="Bajo"/>
    <n v="0.1056332917659928"/>
    <s v="Bajo"/>
    <n v="19354.65177"/>
    <n v="4314.268806"/>
    <n v="7293"/>
    <n v="2.6538669642122583"/>
    <n v="0.59156297902097899"/>
    <m/>
    <m/>
    <m/>
    <m/>
    <m/>
    <m/>
    <m/>
    <n v="50"/>
    <n v="0"/>
    <n v="7"/>
    <n v="108844.81875799999"/>
    <n v="3818.2377430000001"/>
    <n v="3.5079646294319942E-2"/>
    <s v="0% - 30%"/>
    <n v="1.1108692942191893E-4"/>
    <n v="3564.7396309999999"/>
    <n v="3.2750659807938676E-2"/>
    <s v="0% - 30%"/>
    <n v="0.96934534243034931"/>
    <s v="Aceptable"/>
    <n v="1"/>
    <s v="Candidato"/>
    <n v="0"/>
    <n v="0"/>
  </r>
  <r>
    <n v="18592"/>
    <s v="18592"/>
    <x v="24"/>
    <x v="24"/>
    <s v="PUERTO RICO"/>
    <n v="46.259133333333303"/>
    <n v="50.45"/>
    <n v="49.02"/>
    <n v="64.89"/>
    <n v="53.607172780361878"/>
    <n v="44.392185330476096"/>
    <n v="59.727787754091658"/>
    <n v="59.910400000000003"/>
    <n v="52.654783333333327"/>
    <n v="54.409386466232412"/>
    <n v="53.532084899782873"/>
    <n v="72.978624654095086"/>
    <n v="27.021375345904914"/>
    <n v="0.34319237811314424"/>
    <n v="0"/>
    <n v="18.371803522111222"/>
    <n v="5"/>
    <n v="5"/>
    <b v="1"/>
    <x v="6"/>
    <n v="49.564289116847107"/>
    <n v="0.34338661342209692"/>
    <n v="17.019713386507824"/>
    <n v="5"/>
    <n v="0"/>
    <n v="3.9677957829357666"/>
    <n v="-1.9423530895268382E-4"/>
    <n v="1.3520901356033974"/>
    <n v="5"/>
    <b v="1"/>
    <n v="0"/>
    <n v="0.35881802248113021"/>
    <n v="17.784560206590083"/>
    <n v="5.1840089649019767E-2"/>
    <n v="5"/>
    <n v="0"/>
    <n v="5.1840089649019765"/>
    <n v="5"/>
    <n v="-1.5625644367985969E-2"/>
    <b v="1"/>
    <n v="0"/>
    <n v="4"/>
    <n v="-1"/>
    <n v="0"/>
    <n v="0"/>
    <n v="0"/>
    <n v="1"/>
    <n v="1"/>
    <s v="Rural disperso"/>
    <n v="6"/>
    <s v="Fuera SC"/>
    <m/>
    <s v="No"/>
    <s v="No"/>
    <n v="54.3"/>
    <n v="32.041836043360433"/>
    <n v="7.855882352941177"/>
    <s v="Bajo"/>
    <n v="24.795208547125405"/>
    <s v="Muy Alto"/>
    <n v="71123.156766"/>
    <n v="9312.0838039999999"/>
    <n v="27339"/>
    <n v="2.6015273699111159"/>
    <n v="0.34061537744613923"/>
    <m/>
    <m/>
    <m/>
    <m/>
    <m/>
    <m/>
    <m/>
    <n v="3"/>
    <n v="0"/>
    <n v="6"/>
    <n v="414396.13218399999"/>
    <n v="155631.979655"/>
    <n v="0.37556330179717112"/>
    <s v="31% - 50%"/>
    <n v="4.5279209686258943E-3"/>
    <n v="1820.7662829999999"/>
    <n v="4.3937820399142721E-3"/>
    <s v="0% - 30%"/>
    <n v="0.89026269969733951"/>
    <s v="Aceptable"/>
    <n v="2"/>
    <s v="Candidato"/>
    <n v="0"/>
    <n v="0"/>
  </r>
  <r>
    <n v="15533"/>
    <s v="15533"/>
    <x v="10"/>
    <x v="10"/>
    <s v="PAYA"/>
    <n v="80.447199999999995"/>
    <n v="70.78"/>
    <n v="49.17"/>
    <n v="71.790000000000006"/>
    <n v="71.752604756569113"/>
    <n v="59.095138849561664"/>
    <n v="69.545746252726758"/>
    <n v="58.235500000000002"/>
    <n v="68.046800000000005"/>
    <n v="64.657247464714388"/>
    <n v="66.352023732357196"/>
    <n v="73.463662552156336"/>
    <n v="26.536337447843664"/>
    <n v="0.33882703703059303"/>
    <n v="0"/>
    <n v="22.481859602218179"/>
    <n v="4"/>
    <n v="4"/>
    <b v="1"/>
    <x v="5"/>
    <n v="67.891731905036309"/>
    <n v="0.34268349353794558"/>
    <n v="23.265375871559446"/>
    <n v="4"/>
    <n v="0"/>
    <n v="-1.5397081726791129"/>
    <n v="-3.856456507352557E-3"/>
    <n v="-0.78351626934126628"/>
    <n v="4"/>
    <b v="1"/>
    <n v="0"/>
    <n v="0.35881802248113021"/>
    <n v="24.360776984984184"/>
    <n v="0.13410162956084304"/>
    <n v="5"/>
    <n v="1"/>
    <n v="13.410162956084303"/>
    <n v="4"/>
    <n v="-1.999098545053718E-2"/>
    <b v="1"/>
    <s v="Efecto ponderador"/>
    <n v="3"/>
    <n v="-1"/>
    <n v="0"/>
    <n v="0"/>
    <n v="0"/>
    <n v="0"/>
    <n v="1"/>
    <s v="Rural disperso"/>
    <n v="6"/>
    <s v="Fuera SC"/>
    <m/>
    <s v="No"/>
    <s v="No"/>
    <n v="68.2"/>
    <n v="59.340126152353228"/>
    <n v="8.1442483005366721"/>
    <s v="Bajo"/>
    <n v="0"/>
    <s v="Bajo"/>
    <n v="21827.195497000001"/>
    <n v="6628.8634579999998"/>
    <n v="2735"/>
    <n v="7.9806930519195616"/>
    <n v="2.423716072394881"/>
    <m/>
    <m/>
    <m/>
    <m/>
    <m/>
    <m/>
    <m/>
    <n v="41"/>
    <n v="0"/>
    <n v="7"/>
    <n v="44276.158335"/>
    <n v="9177.2101189999994"/>
    <n v="0.20727205033381313"/>
    <s v="0% - 30%"/>
    <n v="2.6699963737157817E-4"/>
    <s v="N.D."/>
    <s v="N.D."/>
    <s v="N.D."/>
    <n v="0.96498574177395413"/>
    <s v="Aceptable"/>
    <n v="2"/>
    <s v="Candidato"/>
    <n v="0"/>
    <n v="0"/>
  </r>
  <r>
    <n v="50573"/>
    <s v="50573"/>
    <x v="16"/>
    <x v="16"/>
    <s v="PUERTO LÓPEZ"/>
    <n v="74.961299999999994"/>
    <n v="70.91"/>
    <n v="69.48"/>
    <n v="74.14"/>
    <n v="60.438932830597217"/>
    <n v="58.800317405338106"/>
    <n v="63.056989343963423"/>
    <n v="57.559600000000003"/>
    <n v="72.372824999999992"/>
    <n v="59.963959894974678"/>
    <n v="66.168392447487335"/>
    <n v="74.938941839849051"/>
    <n v="25.061058160150949"/>
    <n v="0.32554952344135857"/>
    <n v="0"/>
    <n v="21.541088628160292"/>
    <n v="5"/>
    <n v="5"/>
    <b v="1"/>
    <x v="5"/>
    <n v="66.368407729611249"/>
    <n v="0.33710948697020104"/>
    <n v="22.373419880758373"/>
    <n v="4"/>
    <n v="0"/>
    <n v="-0.20001528212391406"/>
    <n v="-1.1559963528842476E-2"/>
    <n v="-0.83233125259808105"/>
    <n v="4"/>
    <b v="1"/>
    <n v="0"/>
    <n v="0.35881802248113021"/>
    <n v="23.814180816760466"/>
    <n v="0.12726428766303455"/>
    <n v="5"/>
    <n v="1"/>
    <n v="12.726428766303455"/>
    <n v="4"/>
    <n v="-3.3268499039771637E-2"/>
    <b v="1"/>
    <s v="Efecto ponderador"/>
    <n v="3"/>
    <n v="-1"/>
    <n v="0"/>
    <n v="0"/>
    <n v="0"/>
    <n v="0"/>
    <n v="0"/>
    <s v="Rural disperso"/>
    <n v="5"/>
    <s v="Fuera SC"/>
    <m/>
    <s v="No"/>
    <s v="Si"/>
    <n v="32.700000000000003"/>
    <n v="19.189102220315348"/>
    <n v="56.554545454545455"/>
    <s v="Alto"/>
    <n v="3.6955933032015573"/>
    <s v="Medio Bajo"/>
    <n v="117948.102115"/>
    <n v="64552.917237000001"/>
    <n v="32222"/>
    <n v="3.6604835862143879"/>
    <n v="2.00338021342561"/>
    <m/>
    <m/>
    <m/>
    <m/>
    <m/>
    <m/>
    <m/>
    <n v="88"/>
    <n v="0"/>
    <n v="4"/>
    <n v="689819.676553"/>
    <n v="26172.611713999999"/>
    <n v="3.7941236824068927E-2"/>
    <s v="0% - 30%"/>
    <n v="7.6145993674454297E-4"/>
    <n v="4106.9111899999998"/>
    <n v="5.9536011070633168E-3"/>
    <s v="0% - 30%"/>
    <n v="0.96321526076540909"/>
    <s v="Aceptable"/>
    <n v="2"/>
    <s v="Candidato"/>
    <n v="0"/>
    <n v="0"/>
  </r>
  <r>
    <n v="50330"/>
    <s v="50330"/>
    <x v="16"/>
    <x v="16"/>
    <s v="MESETAS"/>
    <n v="67.035433333333302"/>
    <n v="63.98"/>
    <n v="68.599999999999994"/>
    <n v="72.63"/>
    <n v="61.676852612400687"/>
    <n v="62.440531971581763"/>
    <n v="57.151152290527619"/>
    <n v="60.341200000000001"/>
    <n v="68.061358333333317"/>
    <n v="60.402434218627519"/>
    <n v="64.231896275980418"/>
    <n v="74.741176011382578"/>
    <n v="25.258823988617422"/>
    <n v="0.32732941589755682"/>
    <n v="0"/>
    <n v="21.024989090009125"/>
    <n v="5"/>
    <n v="5"/>
    <b v="1"/>
    <x v="5"/>
    <n v="63.478796206820597"/>
    <n v="0.33669151952972826"/>
    <n v="21.372772352792378"/>
    <n v="4"/>
    <n v="0"/>
    <n v="0.75310006915982086"/>
    <n v="-9.3621036321714368E-3"/>
    <n v="-0.34778326278325267"/>
    <n v="4"/>
    <b v="1"/>
    <n v="0"/>
    <n v="0.35881802248113021"/>
    <n v="22.777336124414035"/>
    <n v="0.11429445349910568"/>
    <n v="5"/>
    <n v="1"/>
    <n v="11.429445349910567"/>
    <n v="4"/>
    <n v="-3.1488606583573386E-2"/>
    <b v="1"/>
    <s v="Efecto ponderador"/>
    <n v="4"/>
    <n v="0"/>
    <n v="0"/>
    <n v="0"/>
    <n v="0"/>
    <n v="1"/>
    <n v="1"/>
    <s v="Rural disperso"/>
    <n v="6"/>
    <s v="Fuera SC"/>
    <m/>
    <s v="No"/>
    <s v="No"/>
    <n v="45.1"/>
    <n v="29.992730293903833"/>
    <n v="5.1655555555555557"/>
    <s v="Bajo"/>
    <n v="61.980135943908486"/>
    <s v="Muy Alto"/>
    <n v="45155.217496999998"/>
    <n v="11070.696082"/>
    <n v="11781"/>
    <n v="3.8328849416008826"/>
    <n v="0.93970767184449544"/>
    <m/>
    <m/>
    <m/>
    <m/>
    <m/>
    <m/>
    <m/>
    <n v="63"/>
    <n v="0"/>
    <n v="7"/>
    <n v="227786.175364"/>
    <n v="81985.172722000003"/>
    <n v="0.35992163523966514"/>
    <s v="31% - 50%"/>
    <n v="2.385257731137735E-3"/>
    <n v="26994.010907"/>
    <n v="0.11850592277544432"/>
    <s v="0% - 30%"/>
    <n v="0.95963473737530269"/>
    <s v="Aceptable"/>
    <n v="3"/>
    <s v="Candidato"/>
    <n v="0"/>
    <n v="0"/>
  </r>
  <r>
    <n v="41206"/>
    <s v="41206"/>
    <x v="19"/>
    <x v="19"/>
    <s v="COLOMBIA"/>
    <n v="55.265099999999997"/>
    <n v="57.22"/>
    <n v="58.21"/>
    <n v="56.69"/>
    <n v="52.931562684523144"/>
    <n v="48.516420074162568"/>
    <n v="50.784672786117063"/>
    <n v="47.2836"/>
    <n v="56.846274999999999"/>
    <n v="49.879063886200697"/>
    <n v="53.362669443100344"/>
    <n v="74.000236342441397"/>
    <n v="25.999763657558603"/>
    <n v="0.33399787291802746"/>
    <n v="0"/>
    <n v="17.823018087223335"/>
    <n v="5"/>
    <n v="5"/>
    <b v="1"/>
    <x v="6"/>
    <n v="53.464434841024541"/>
    <n v="0.3363944277415632"/>
    <n v="17.985137962872543"/>
    <n v="5"/>
    <n v="0"/>
    <n v="-0.10176539792419703"/>
    <n v="-2.3965548235357348E-3"/>
    <n v="-0.16211987564920705"/>
    <n v="5"/>
    <b v="1"/>
    <n v="0"/>
    <n v="0.35881802248113021"/>
    <n v="19.184002782727664"/>
    <n v="6.9345641124979249E-2"/>
    <n v="5"/>
    <n v="0"/>
    <n v="6.9345641124979247"/>
    <n v="5"/>
    <n v="-2.4820149563102745E-2"/>
    <b v="1"/>
    <n v="0"/>
    <n v="5"/>
    <n v="0"/>
    <n v="0"/>
    <n v="0"/>
    <n v="0"/>
    <n v="0"/>
    <n v="1"/>
    <s v="Rural disperso"/>
    <n v="6"/>
    <s v="Fuera SC"/>
    <m/>
    <s v="No"/>
    <s v="Si"/>
    <n v="61.7"/>
    <n v="26.360373295046664"/>
    <n v="2.1062500000000002"/>
    <s v="Sin riesgo"/>
    <n v="8.3657171079285657"/>
    <s v="Medio"/>
    <n v="20476.437543"/>
    <n v="4202.8246267499999"/>
    <n v="7666"/>
    <n v="2.6710719466475346"/>
    <n v="0.54824218976650141"/>
    <m/>
    <m/>
    <m/>
    <m/>
    <m/>
    <m/>
    <m/>
    <n v="23"/>
    <n v="0"/>
    <n v="7"/>
    <n v="158362.30327800001"/>
    <n v="114639.49600299999"/>
    <n v="0.72390647035332634"/>
    <s v="71% - 100%"/>
    <n v="3.3352950912490147E-3"/>
    <s v="N.D."/>
    <s v="N.D."/>
    <s v="N.D."/>
    <n v="0.91410113026835216"/>
    <s v="Aceptable"/>
    <n v="1"/>
    <s v="Candidato"/>
    <n v="0"/>
    <n v="0"/>
  </r>
  <r>
    <n v="18860"/>
    <s v="18860"/>
    <x v="24"/>
    <x v="24"/>
    <s v="VALPARAÍSO"/>
    <n v="50.366033333333299"/>
    <n v="37.15"/>
    <n v="80.83"/>
    <n v="92.64"/>
    <n v="43.407447579620246"/>
    <n v="53.5236414523768"/>
    <n v="12.444307610582028"/>
    <n v="57.543100000000003"/>
    <n v="65.246508333333324"/>
    <n v="41.729624160644768"/>
    <n v="53.48806624698905"/>
    <n v="74.537339913961461"/>
    <n v="25.462660086038539"/>
    <n v="0.32916394077434685"/>
    <n v="0"/>
    <n v="17.606342670258243"/>
    <n v="5"/>
    <n v="5"/>
    <b v="1"/>
    <x v="6"/>
    <n v="47.445010064181851"/>
    <n v="0.33067206156424239"/>
    <n v="15.688739288859241"/>
    <n v="5"/>
    <n v="0"/>
    <n v="6.0430561828071987"/>
    <n v="-1.5081207898955395E-3"/>
    <n v="1.9176033813990028"/>
    <n v="5"/>
    <b v="1"/>
    <n v="0"/>
    <n v="0.35881802248113021"/>
    <n v="17.024124687827051"/>
    <n v="4.232784288388669E-2"/>
    <n v="5"/>
    <n v="0"/>
    <n v="4.232784288388669"/>
    <n v="5"/>
    <n v="-2.9654081706783353E-2"/>
    <b v="1"/>
    <n v="0"/>
    <n v="5"/>
    <n v="0"/>
    <n v="0"/>
    <n v="0"/>
    <n v="0"/>
    <n v="1"/>
    <n v="1"/>
    <s v="Rural disperso"/>
    <n v="6"/>
    <s v="Fuera SC"/>
    <m/>
    <s v="No"/>
    <s v="No"/>
    <n v="50"/>
    <n v="27.650581190560057"/>
    <n v="3.7271428571428578"/>
    <s v="Sin riesgo"/>
    <n v="13.226651067264131"/>
    <s v="Alto"/>
    <n v="21353.858239000001"/>
    <n v="4770.85761"/>
    <n v="7156"/>
    <n v="2.9840495023756288"/>
    <n v="0.66669334963666849"/>
    <m/>
    <m/>
    <m/>
    <m/>
    <m/>
    <m/>
    <m/>
    <n v="81"/>
    <n v="0"/>
    <n v="7"/>
    <n v="132992.15575100001"/>
    <n v="8684.5479990000003"/>
    <n v="6.5301204796318957E-2"/>
    <s v="0% - 30%"/>
    <n v="2.5266623912951569E-4"/>
    <n v="381.48888299999999"/>
    <n v="2.8685066487248926E-3"/>
    <s v="0% - 30%"/>
    <n v="0.96033149107870641"/>
    <s v="Aceptable"/>
    <n v="2"/>
    <s v="Candidato"/>
    <n v="0"/>
    <n v="0"/>
  </r>
  <r>
    <n v="85139"/>
    <s v="85139"/>
    <x v="23"/>
    <x v="23"/>
    <s v="MANÍ"/>
    <n v="57.548833333333299"/>
    <n v="52.46"/>
    <n v="75.48"/>
    <n v="73.3"/>
    <n v="70.737746041755457"/>
    <n v="65.513686738470298"/>
    <n v="72.760440856418725"/>
    <n v="52.507599999999996"/>
    <n v="64.697208333333322"/>
    <n v="65.379868409161105"/>
    <n v="65.038538371247213"/>
    <n v="74.282484811427338"/>
    <n v="25.717515188572662"/>
    <n v="0.33145763669715395"/>
    <n v="0"/>
    <n v="21.557520222770766"/>
    <n v="5"/>
    <n v="5"/>
    <b v="1"/>
    <x v="5"/>
    <n v="62.989744351952126"/>
    <n v="0.32888025468262361"/>
    <n v="20.716083164863367"/>
    <n v="4"/>
    <n v="0"/>
    <n v="2.0487940192950873"/>
    <n v="2.5773820145303383E-3"/>
    <n v="0.84143705790739887"/>
    <n v="4"/>
    <b v="1"/>
    <n v="0"/>
    <n v="0.35881802248113021"/>
    <n v="22.601855504959403"/>
    <n v="0.11209937592373662"/>
    <n v="5"/>
    <n v="1"/>
    <n v="11.209937592373661"/>
    <n v="4"/>
    <n v="-2.736038578397626E-2"/>
    <b v="1"/>
    <s v="Efecto ponderador"/>
    <n v="5"/>
    <n v="1"/>
    <n v="0"/>
    <n v="0"/>
    <n v="0"/>
    <n v="0"/>
    <n v="1"/>
    <s v="Rural disperso"/>
    <n v="6"/>
    <s v="Fuera SC"/>
    <m/>
    <s v="No"/>
    <s v="No"/>
    <n v="30.3"/>
    <n v="15.736633201027317"/>
    <n v="6.1013043478260878"/>
    <s v="Bajo"/>
    <n v="8.2165962652256219"/>
    <s v="Medio"/>
    <n v="40811.519081999999"/>
    <n v="18058.0482065"/>
    <n v="19474"/>
    <n v="2.0956926713566806"/>
    <n v="0.92729014103419938"/>
    <m/>
    <m/>
    <m/>
    <m/>
    <m/>
    <m/>
    <m/>
    <n v="41"/>
    <n v="0"/>
    <n v="7"/>
    <n v="374528.13260100002"/>
    <n v="36675.336433999997"/>
    <n v="9.7924116352219981E-2"/>
    <s v="0% - 30%"/>
    <n v="1.0670237906055106E-3"/>
    <n v="14.235327"/>
    <n v="3.8008698842298902E-5"/>
    <n v="0"/>
    <n v="0.95657628577682807"/>
    <s v="Aceptable"/>
    <n v="2"/>
    <s v="Candidato"/>
    <n v="0"/>
    <n v="0"/>
  </r>
  <r>
    <n v="27660"/>
    <s v="27660"/>
    <x v="26"/>
    <x v="26"/>
    <s v="SAN JOSÉ DEL PALMAR"/>
    <n v="63.932099999999998"/>
    <n v="53.59"/>
    <n v="49.76"/>
    <n v="57.08"/>
    <n v="56.396389752297431"/>
    <n v="59.981189909228263"/>
    <n v="58.05390226502125"/>
    <n v="58.539400000000001"/>
    <n v="56.090525"/>
    <n v="58.242720481636738"/>
    <n v="57.166622740818369"/>
    <n v="75.797052555484726"/>
    <n v="24.202947444515274"/>
    <n v="0.31782652700063752"/>
    <n v="0"/>
    <n v="18.169069166069967"/>
    <n v="5"/>
    <n v="5"/>
    <b v="1"/>
    <x v="6"/>
    <n v="58.144958312830738"/>
    <n v="0.32765037523530532"/>
    <n v="19.051217409240177"/>
    <n v="5"/>
    <n v="0"/>
    <n v="-0.97833557201236943"/>
    <n v="-9.8238482346678091E-3"/>
    <n v="-0.88214824317021012"/>
    <n v="5"/>
    <b v="1"/>
    <n v="0"/>
    <n v="0.35881802248113021"/>
    <n v="20.863458959057677"/>
    <n v="9.0353867577189745E-2"/>
    <n v="5"/>
    <n v="0"/>
    <n v="9.0353867577189746"/>
    <n v="5"/>
    <n v="-4.099149548049269E-2"/>
    <b v="1"/>
    <n v="0"/>
    <n v="5"/>
    <n v="0"/>
    <n v="0"/>
    <n v="0"/>
    <n v="0"/>
    <n v="0"/>
    <n v="1"/>
    <s v="Rural disperso"/>
    <n v="6"/>
    <s v="Fuera SC"/>
    <m/>
    <s v="No"/>
    <s v="No"/>
    <n v="59.1"/>
    <n v="29.464096589705569"/>
    <s v="Sin Información"/>
    <s v="Sin Información"/>
    <n v="14.161189423718005"/>
    <s v="Alto"/>
    <n v="16284.651835999999"/>
    <n v="4597.0521822500004"/>
    <n v="5164"/>
    <n v="3.153495707978311"/>
    <n v="0.89021149927381882"/>
    <m/>
    <m/>
    <m/>
    <m/>
    <m/>
    <m/>
    <m/>
    <n v="91"/>
    <n v="0"/>
    <n v="7"/>
    <n v="158252.43638200001"/>
    <n v="34002.849973999997"/>
    <n v="0.21486462231723061"/>
    <s v="0% - 30%"/>
    <n v="9.8927108510483215E-4"/>
    <n v="83132.843896000006"/>
    <n v="0.52531794010000921"/>
    <s v="51% - 70%"/>
    <n v="0.90573070337142758"/>
    <s v="Aceptable"/>
    <n v="1"/>
    <s v="Candidato"/>
    <n v="0"/>
    <n v="0"/>
  </r>
  <r>
    <n v="50577"/>
    <s v="50577"/>
    <x v="16"/>
    <x v="16"/>
    <s v="PUERTO LLERAS"/>
    <n v="63.302233333333298"/>
    <n v="53.2"/>
    <n v="50.12"/>
    <n v="40.729999999999997"/>
    <n v="53.319654693365749"/>
    <n v="64.641386419557733"/>
    <n v="65.255603064007701"/>
    <n v="64.742000000000004"/>
    <n v="51.838058333333322"/>
    <n v="61.989661044232804"/>
    <n v="56.913859688783063"/>
    <n v="76.297560189524333"/>
    <n v="23.702439810475667"/>
    <n v="0.313321958294281"/>
    <n v="0"/>
    <n v="17.832361971775448"/>
    <n v="5"/>
    <n v="5"/>
    <b v="1"/>
    <x v="6"/>
    <n v="57.890780719745266"/>
    <n v="0.32358409003723698"/>
    <n v="18.732535600743994"/>
    <n v="5"/>
    <n v="0"/>
    <n v="-0.97692103096220251"/>
    <n v="-1.0262131742955982E-2"/>
    <n v="-0.90017362896854536"/>
    <n v="5"/>
    <b v="1"/>
    <n v="0"/>
    <n v="0.35881802248113021"/>
    <n v="20.772255457747736"/>
    <n v="8.9213007913354597E-2"/>
    <n v="5"/>
    <n v="0"/>
    <n v="8.9213007913354598"/>
    <n v="5"/>
    <n v="-4.5496064186849206E-2"/>
    <b v="1"/>
    <n v="0"/>
    <n v="5"/>
    <n v="0"/>
    <n v="0"/>
    <n v="0"/>
    <n v="0"/>
    <n v="1"/>
    <n v="1"/>
    <s v="Rural disperso"/>
    <n v="6"/>
    <s v="Fuera SC"/>
    <m/>
    <s v="No"/>
    <s v="No"/>
    <n v="43.5"/>
    <n v="32.984353428439945"/>
    <n v="5.2609090909090908"/>
    <s v="Bajo"/>
    <n v="14.587653971171733"/>
    <s v="Alto"/>
    <n v="26690.407330999999"/>
    <n v="7938.5671679999996"/>
    <n v="10704"/>
    <n v="2.4934984427316889"/>
    <n v="0.74164491479820627"/>
    <m/>
    <m/>
    <m/>
    <m/>
    <m/>
    <m/>
    <m/>
    <n v="63"/>
    <n v="0"/>
    <n v="7"/>
    <n v="253122.57684299999"/>
    <n v="8103.4580999999998"/>
    <n v="3.2013968098255387E-2"/>
    <s v="0% - 30%"/>
    <n v="2.3576014345321952E-4"/>
    <s v="N.D."/>
    <s v="N.D."/>
    <s v="N.D."/>
    <n v="0.97239182289385107"/>
    <s v="Aceptable"/>
    <n v="2"/>
    <s v="Candidato"/>
    <n v="0"/>
    <n v="0"/>
  </r>
  <r>
    <n v="15332"/>
    <s v="15332"/>
    <x v="10"/>
    <x v="10"/>
    <s v="GÜICÁN DE LA SIERRA"/>
    <n v="59.6976333333333"/>
    <n v="55.64"/>
    <n v="0"/>
    <n v="24.83"/>
    <n v="48.371717863549598"/>
    <n v="46.76136103199444"/>
    <n v="46.475183325916696"/>
    <n v="50.826900000000002"/>
    <n v="35.041908333333325"/>
    <n v="48.108790555365182"/>
    <n v="41.575349444349257"/>
    <n v="75.635597041883955"/>
    <n v="24.364402958116045"/>
    <n v="0.31927962662304443"/>
    <n v="0"/>
    <n v="13.274162047314428"/>
    <n v="5"/>
    <n v="5"/>
    <b v="1"/>
    <x v="6"/>
    <n v="53.623887599085407"/>
    <n v="0.32368631121409241"/>
    <n v="17.35731836990707"/>
    <n v="5"/>
    <n v="0"/>
    <n v="-12.04853815473615"/>
    <n v="-4.4066845910479824E-3"/>
    <n v="-4.0831563225926413"/>
    <n v="5"/>
    <b v="1"/>
    <n v="0"/>
    <n v="0.35881802248113021"/>
    <n v="19.241217306054228"/>
    <n v="7.0061334502002234E-2"/>
    <n v="5"/>
    <n v="0"/>
    <n v="7.006133450200223"/>
    <n v="5"/>
    <n v="-3.9538395858085773E-2"/>
    <b v="1"/>
    <n v="0"/>
    <n v="5"/>
    <n v="0"/>
    <n v="0"/>
    <n v="0"/>
    <n v="0"/>
    <n v="0"/>
    <n v="0"/>
    <s v="Rural disperso"/>
    <n v="6"/>
    <s v="Fuera SC"/>
    <m/>
    <s v="No"/>
    <s v="No"/>
    <n v="48.1"/>
    <n v="29.744897959183675"/>
    <n v="45.001674611905628"/>
    <s v="Alto"/>
    <n v="1.8944792321506077"/>
    <s v="Medio Bajo"/>
    <n v="15129.656482"/>
    <n v="3350.47564375"/>
    <n v="4383"/>
    <n v="3.4518951590235001"/>
    <n v="0.76442519820898924"/>
    <m/>
    <m/>
    <m/>
    <m/>
    <m/>
    <m/>
    <m/>
    <n v="44"/>
    <n v="0"/>
    <n v="7"/>
    <n v="94989.977100000004"/>
    <n v="89756.471722000002"/>
    <n v="0.94490465691458725"/>
    <s v="71% - 100%"/>
    <n v="2.6113541142433454E-3"/>
    <n v="71421.380164999995"/>
    <n v="0.75188332859383322"/>
    <s v="71% - 100%"/>
    <n v="0.69582801829581364"/>
    <s v="Crítico Medio"/>
    <n v="0"/>
    <s v="Candidato"/>
    <n v="0"/>
    <n v="0"/>
  </r>
  <r>
    <n v="5475"/>
    <s v="05475"/>
    <x v="1"/>
    <x v="1"/>
    <s v="MURINDÓ"/>
    <n v="37.798699999999997"/>
    <n v="43.4"/>
    <n v="44.89"/>
    <n v="46.02"/>
    <n v="54.285690249655687"/>
    <n v="50.540999238154193"/>
    <n v="46.691224349657119"/>
    <n v="44.273299999999999"/>
    <n v="43.027175"/>
    <n v="48.947803459366753"/>
    <n v="45.987489229683376"/>
    <n v="74.628326789294761"/>
    <n v="25.371673210705239"/>
    <n v="0.32834505889634713"/>
    <n v="0"/>
    <n v="15.099764859615517"/>
    <n v="5"/>
    <n v="5"/>
    <b v="1"/>
    <x v="6"/>
    <n v="45.889110903966667"/>
    <n v="0.32302259911277653"/>
    <n v="14.823219875173766"/>
    <n v="5"/>
    <n v="0"/>
    <n v="9.8378325716709014E-2"/>
    <n v="5.3224597835705989E-3"/>
    <n v="0.27654498444175069"/>
    <n v="5"/>
    <b v="1"/>
    <n v="0"/>
    <n v="0.35881802248113021"/>
    <n v="16.46584002797859"/>
    <n v="3.5344290276684204E-2"/>
    <n v="5"/>
    <n v="0"/>
    <n v="3.5344290276684203"/>
    <n v="5"/>
    <n v="-3.0472963584783075E-2"/>
    <b v="1"/>
    <n v="0"/>
    <n v="5"/>
    <n v="0"/>
    <n v="0"/>
    <n v="0"/>
    <n v="0"/>
    <n v="1"/>
    <n v="1"/>
    <s v="Rural disperso"/>
    <n v="6"/>
    <s v="Fuera SC"/>
    <m/>
    <s v="No"/>
    <s v="No"/>
    <n v="81.5"/>
    <n v="81.732012063765623"/>
    <s v="Sin Información"/>
    <s v="Sin Información"/>
    <n v="2.1637416504949054"/>
    <s v="Medio Bajo"/>
    <n v="29932.169298000001"/>
    <n v="8811.5269009999993"/>
    <n v="5769"/>
    <n v="5.1884502163286532"/>
    <n v="1.5273924252036748"/>
    <m/>
    <m/>
    <m/>
    <m/>
    <m/>
    <m/>
    <m/>
    <n v="51"/>
    <n v="0"/>
    <n v="7"/>
    <n v="126683.9875"/>
    <n v="6492.9068980000002"/>
    <n v="5.1252782819138844E-2"/>
    <s v="0% - 30%"/>
    <n v="1.8890313774817677E-4"/>
    <n v="121367.11070200001"/>
    <n v="0.95803039592513617"/>
    <s v="71% - 100%"/>
    <n v="0.88235514594736864"/>
    <s v="Aceptable"/>
    <n v="1"/>
    <s v="Candidato"/>
    <n v="0"/>
    <n v="0"/>
  </r>
  <r>
    <n v="19418"/>
    <s v="19418"/>
    <x v="13"/>
    <x v="13"/>
    <s v="LÓPEZ DE MICAY"/>
    <n v="85.9279333333333"/>
    <n v="80.88"/>
    <n v="79.16"/>
    <n v="90.7"/>
    <n v="39.750431203786192"/>
    <n v="42.711950308220011"/>
    <n v="69.455965322378205"/>
    <n v="50.947600000000001"/>
    <n v="84.16698333333332"/>
    <n v="50.716486708596101"/>
    <n v="67.441735020964714"/>
    <n v="75.626518376639922"/>
    <n v="24.373481623360078"/>
    <n v="0.31936133461024074"/>
    <n v="0"/>
    <n v="21.538282504725505"/>
    <n v="5"/>
    <n v="5"/>
    <b v="1"/>
    <x v="5"/>
    <n v="65.845836073815406"/>
    <n v="0.32231130589812917"/>
    <n v="21.222857412905586"/>
    <n v="4"/>
    <n v="0"/>
    <n v="1.5958989471493084"/>
    <n v="-2.949971287888431E-3"/>
    <n v="0.31542509181991818"/>
    <n v="4"/>
    <b v="1"/>
    <n v="0"/>
    <n v="0.35881802248113021"/>
    <n v="23.62667268862311"/>
    <n v="0.1249187586322338"/>
    <n v="5"/>
    <n v="1"/>
    <n v="12.491875863223379"/>
    <n v="4"/>
    <n v="-3.9456687870889462E-2"/>
    <b v="1"/>
    <s v="Efecto ponderador"/>
    <n v="5"/>
    <n v="1"/>
    <n v="0"/>
    <n v="0"/>
    <n v="0"/>
    <n v="1"/>
    <n v="1"/>
    <s v="Rural disperso"/>
    <n v="6"/>
    <s v="Fuera SC"/>
    <m/>
    <s v="No"/>
    <s v="No"/>
    <n v="81.2"/>
    <n v="42.773036978236419"/>
    <s v="Sin Información"/>
    <s v="Sin Información"/>
    <n v="17.928889195250338"/>
    <s v="Alto"/>
    <n v="40412.242106999998"/>
    <n v="11157.69939"/>
    <n v="19491"/>
    <n v="2.0733796165922733"/>
    <n v="0.57245392181006616"/>
    <m/>
    <m/>
    <m/>
    <m/>
    <m/>
    <m/>
    <m/>
    <n v="38"/>
    <n v="0"/>
    <n v="7"/>
    <n v="337042.70033600001"/>
    <n v="35945.657476"/>
    <n v="0.10665015868958309"/>
    <s v="0% - 30%"/>
    <n v="1.0457946790718958E-3"/>
    <n v="325027.34151400003"/>
    <n v="0.96435063328764636"/>
    <s v="71% - 100%"/>
    <n v="0.9811144853720537"/>
    <s v="Aceptable"/>
    <n v="2"/>
    <s v="Candidato"/>
    <n v="0"/>
    <n v="0"/>
  </r>
  <r>
    <n v="85430"/>
    <s v="85430"/>
    <x v="23"/>
    <x v="23"/>
    <s v="TRINIDAD"/>
    <n v="77.393799999999999"/>
    <n v="53.97"/>
    <n v="55.4"/>
    <n v="73.900000000000006"/>
    <n v="56.256324882649842"/>
    <n v="64.939169503788946"/>
    <n v="65.066808141593938"/>
    <n v="59.3735"/>
    <n v="65.165950000000009"/>
    <n v="61.408950632008178"/>
    <n v="63.287450316004097"/>
    <n v="76.072712776323499"/>
    <n v="23.927287223676501"/>
    <n v="0.31534558501308851"/>
    <n v="0"/>
    <n v="19.957418043887085"/>
    <n v="5"/>
    <n v="5"/>
    <b v="1"/>
    <x v="6"/>
    <n v="62.903888407970186"/>
    <n v="0.32202882603050703"/>
    <n v="20.256865336772659"/>
    <n v="4"/>
    <n v="-1"/>
    <n v="0.38356190803391144"/>
    <n v="-6.6832410174185175E-3"/>
    <n v="-0.29944729288557426"/>
    <n v="5"/>
    <b v="1"/>
    <s v="Efecto ponderador"/>
    <n v="0.35881802248113021"/>
    <n v="22.571048844921553"/>
    <n v="0.11171401707994369"/>
    <n v="5"/>
    <n v="0"/>
    <n v="11.171401707994368"/>
    <n v="4"/>
    <n v="-4.3472437468041691E-2"/>
    <b v="0"/>
    <n v="0"/>
    <n v="5"/>
    <n v="0"/>
    <n v="0"/>
    <n v="0"/>
    <n v="0"/>
    <n v="0"/>
    <n v="0"/>
    <s v="Rural disperso"/>
    <n v="6"/>
    <s v="Fuera SC"/>
    <m/>
    <s v="No"/>
    <s v="No"/>
    <n v="38.700000000000003"/>
    <n v="21.5660882327549"/>
    <n v="18.165000000000003"/>
    <s v="Medio"/>
    <n v="0.19814566761309627"/>
    <s v="Bajo"/>
    <n v="29878.948658000001"/>
    <n v="8638.5117379999992"/>
    <n v="14036"/>
    <n v="2.1287367239954404"/>
    <n v="0.61545395682530635"/>
    <m/>
    <m/>
    <m/>
    <m/>
    <m/>
    <m/>
    <m/>
    <n v="50"/>
    <n v="0"/>
    <n v="7"/>
    <n v="295993.14314499998"/>
    <n v="51865.523701999999"/>
    <n v="0.17522542296391075"/>
    <s v="0% - 30%"/>
    <n v="1.5089636001523693E-3"/>
    <s v="N.D."/>
    <s v="N.D."/>
    <s v="N.D."/>
    <n v="0.90227712875198074"/>
    <s v="Aceptable"/>
    <n v="2"/>
    <s v="Candidato"/>
    <n v="0"/>
    <n v="0"/>
  </r>
  <r>
    <n v="50711"/>
    <s v="50711"/>
    <x v="16"/>
    <x v="16"/>
    <s v="VISTAHERMOSA"/>
    <n v="67.378533333333294"/>
    <n v="57.12"/>
    <n v="41.73"/>
    <n v="64.38"/>
    <n v="54.249557473867242"/>
    <n v="57.848791532356671"/>
    <n v="61.658503267956227"/>
    <n v="56.684100000000001"/>
    <n v="57.652133333333317"/>
    <n v="57.610238068545037"/>
    <n v="57.631185700939177"/>
    <n v="77.266663917270208"/>
    <n v="22.733336082729792"/>
    <n v="0.30460002474456815"/>
    <n v="0"/>
    <n v="17.554460590564876"/>
    <n v="5"/>
    <n v="5"/>
    <b v="1"/>
    <x v="6"/>
    <n v="56.810497943640634"/>
    <n v="0.3131287286799283"/>
    <n v="17.788998996765873"/>
    <n v="5"/>
    <n v="0"/>
    <n v="0.82068775729854337"/>
    <n v="-8.528703935360149E-3"/>
    <n v="-0.23453840620099697"/>
    <n v="5"/>
    <b v="1"/>
    <n v="0"/>
    <n v="0.35881802248113021"/>
    <n v="20.384630528305447"/>
    <n v="8.4364228641221006E-2"/>
    <n v="5"/>
    <n v="0"/>
    <n v="8.4364228641221004"/>
    <n v="5"/>
    <n v="-5.4217997736562051E-2"/>
    <b v="1"/>
    <n v="0"/>
    <n v="5"/>
    <n v="0"/>
    <n v="0"/>
    <n v="0"/>
    <n v="0"/>
    <n v="1"/>
    <n v="1"/>
    <s v="Rural disperso"/>
    <n v="6"/>
    <s v="Fuera SC"/>
    <m/>
    <s v="No"/>
    <s v="No"/>
    <n v="48.5"/>
    <n v="35.583728229429504"/>
    <n v="33.913333333333334"/>
    <s v="Medio"/>
    <n v="33.327537286669681"/>
    <s v="Muy Alto"/>
    <n v="49998.476561000003"/>
    <n v="11139.823403"/>
    <n v="18421"/>
    <n v="2.7142107681993379"/>
    <n v="0.60473499826285215"/>
    <m/>
    <m/>
    <m/>
    <m/>
    <m/>
    <m/>
    <m/>
    <n v="63"/>
    <n v="0"/>
    <n v="7"/>
    <n v="481398.94598900003"/>
    <n v="252549.78201200001"/>
    <n v="0.52461640000717991"/>
    <s v="51% - 70%"/>
    <n v="7.3476251868604646E-3"/>
    <s v="N.D."/>
    <s v="N.D."/>
    <s v="N.D."/>
    <n v="0.98382186344835931"/>
    <s v="Aceptable"/>
    <n v="2"/>
    <s v="Candidato"/>
    <n v="0"/>
    <n v="0"/>
  </r>
  <r>
    <n v="27099"/>
    <s v="27099"/>
    <x v="26"/>
    <x v="26"/>
    <s v="BOJAYÁ"/>
    <n v="61.736933333333297"/>
    <n v="74.81"/>
    <n v="62.41"/>
    <n v="50.61"/>
    <n v="56.035941600256336"/>
    <n v="54.225272577493257"/>
    <n v="65.404862617002451"/>
    <n v="62.741300000000003"/>
    <n v="62.39173333333332"/>
    <n v="59.601844198688006"/>
    <n v="60.996788766010667"/>
    <n v="76.800771791199182"/>
    <n v="23.199228208800818"/>
    <n v="0.30879305387920736"/>
    <n v="0"/>
    <n v="18.835384679881361"/>
    <n v="5"/>
    <n v="5"/>
    <b v="1"/>
    <x v="6"/>
    <n v="61.068193206208214"/>
    <n v="0.31219861185759634"/>
    <n v="19.065405147629701"/>
    <n v="5"/>
    <n v="0"/>
    <n v="-7.1404440197547103E-2"/>
    <n v="-3.4055579783889844E-3"/>
    <n v="-0.23002046774833929"/>
    <n v="5"/>
    <b v="1"/>
    <n v="0"/>
    <n v="0.35881802248113021"/>
    <n v="21.912368322747223"/>
    <n v="0.10347461806225866"/>
    <n v="5"/>
    <n v="0"/>
    <n v="10.347461806225866"/>
    <n v="4"/>
    <n v="-5.0024968601922848E-2"/>
    <b v="0"/>
    <n v="0"/>
    <n v="5"/>
    <n v="0"/>
    <n v="0"/>
    <n v="0"/>
    <n v="0"/>
    <n v="1"/>
    <n v="1"/>
    <s v="Rural disperso"/>
    <n v="6"/>
    <s v="Fuera SC"/>
    <m/>
    <s v="No"/>
    <s v="No"/>
    <n v="77.099999999999994"/>
    <n v="67.560771165129921"/>
    <s v="Sin Información"/>
    <s v="Sin Información"/>
    <n v="10.101700209499514"/>
    <s v="Medio"/>
    <n v="42484.748296999998"/>
    <n v="9337.8756415000007"/>
    <n v="13019"/>
    <n v="3.2632881401797373"/>
    <n v="0.71724983804439668"/>
    <m/>
    <m/>
    <m/>
    <m/>
    <m/>
    <m/>
    <m/>
    <n v="51"/>
    <n v="0"/>
    <n v="7"/>
    <n v="363317.80635099998"/>
    <n v="16559.616346999999"/>
    <n v="4.5578873530359852E-2"/>
    <s v="0% - 30%"/>
    <n v="4.8178166374414881E-4"/>
    <n v="358493.54590600001"/>
    <n v="0.98672165151096591"/>
    <s v="71% - 100%"/>
    <n v="0.90023377451003672"/>
    <s v="Aceptable"/>
    <n v="2"/>
    <s v="Candidato"/>
    <n v="0"/>
    <n v="0"/>
  </r>
  <r>
    <n v="15550"/>
    <s v="15550"/>
    <x v="10"/>
    <x v="10"/>
    <s v="PISBA"/>
    <n v="47.566566666666702"/>
    <n v="34.700000000000003"/>
    <n v="33.46"/>
    <n v="44.29"/>
    <n v="52.92476703531139"/>
    <n v="51.008230942658805"/>
    <n v="58.392437537701419"/>
    <n v="58.0852"/>
    <n v="40.004141666666676"/>
    <n v="55.102658878917907"/>
    <n v="47.553400272792288"/>
    <n v="76.416762218262562"/>
    <n v="23.583237781737438"/>
    <n v="0.31224914003563697"/>
    <n v="0"/>
    <n v="14.848508340949817"/>
    <n v="5"/>
    <n v="5"/>
    <b v="1"/>
    <x v="6"/>
    <n v="45.392973007271294"/>
    <n v="0.31093869350007663"/>
    <n v="14.114431720965181"/>
    <n v="5"/>
    <n v="0"/>
    <n v="2.160427265520994"/>
    <n v="1.310446535560339E-3"/>
    <n v="0.73407661998463603"/>
    <n v="5"/>
    <b v="1"/>
    <n v="0"/>
    <n v="0.35881802248113021"/>
    <n v="16.287816809008408"/>
    <n v="3.311740746152813E-2"/>
    <n v="5"/>
    <n v="0"/>
    <n v="3.3117407461528128"/>
    <n v="5"/>
    <n v="-4.6568882445493232E-2"/>
    <b v="1"/>
    <n v="0"/>
    <n v="5"/>
    <n v="0"/>
    <n v="0"/>
    <n v="0"/>
    <n v="0"/>
    <n v="0"/>
    <n v="1"/>
    <s v="Rural disperso"/>
    <n v="6"/>
    <s v="Fuera SC"/>
    <m/>
    <s v="No"/>
    <s v="No"/>
    <n v="57.9"/>
    <n v="34.007585335018966"/>
    <n v="14.945669333333331"/>
    <s v="Medio"/>
    <n v="0.39730391394718556"/>
    <s v="Medio Bajo"/>
    <n v="12356.838610000001"/>
    <n v="4061.8603159999998"/>
    <n v="1951"/>
    <n v="6.3335923167606358"/>
    <n v="2.0819376299333672"/>
    <m/>
    <m/>
    <m/>
    <m/>
    <m/>
    <m/>
    <m/>
    <n v="41"/>
    <n v="0"/>
    <n v="7"/>
    <n v="46387.513337999997"/>
    <n v="3025.2151920000001"/>
    <n v="6.5216153535908261E-2"/>
    <s v="0% - 30%"/>
    <n v="8.8014913983794045E-5"/>
    <s v="N.D."/>
    <s v="N.D."/>
    <s v="N.D."/>
    <n v="0.90316873632703421"/>
    <s v="Aceptable"/>
    <n v="1"/>
    <s v="Candidato"/>
    <n v="0"/>
    <n v="0"/>
  </r>
  <r>
    <n v="50590"/>
    <s v="50590"/>
    <x v="16"/>
    <x v="16"/>
    <s v="PUERTO RICO"/>
    <n v="53.627499999999998"/>
    <n v="57.83"/>
    <n v="50.68"/>
    <n v="52.09"/>
    <n v="44.139837300860243"/>
    <n v="47.749013927236625"/>
    <n v="42.233599837468468"/>
    <n v="41.489800000000002"/>
    <n v="53.556874999999998"/>
    <n v="43.903062766391336"/>
    <n v="48.729968883195667"/>
    <n v="77.638058894802313"/>
    <n v="22.361941105197687"/>
    <n v="0.30125746994677916"/>
    <n v="0"/>
    <n v="14.680267136336802"/>
    <n v="5"/>
    <n v="5"/>
    <b v="1"/>
    <x v="6"/>
    <n v="50.654760259485307"/>
    <n v="0.30676406143066837"/>
    <n v="15.539059987996529"/>
    <n v="5"/>
    <n v="0"/>
    <n v="-1.9247913762896403"/>
    <n v="-5.5065914838892116E-3"/>
    <n v="-0.85879285165972696"/>
    <n v="5"/>
    <b v="1"/>
    <n v="0"/>
    <n v="0.35881802248113021"/>
    <n v="18.175840905564261"/>
    <n v="5.6734598744452983E-2"/>
    <n v="5"/>
    <n v="0"/>
    <n v="5.6734598744452986"/>
    <n v="5"/>
    <n v="-5.756055253435105E-2"/>
    <b v="1"/>
    <n v="0"/>
    <n v="5"/>
    <n v="0"/>
    <n v="0"/>
    <n v="0"/>
    <n v="0"/>
    <n v="1"/>
    <n v="1"/>
    <s v="Rural disperso"/>
    <n v="6"/>
    <s v="Fuera SC"/>
    <m/>
    <s v="No"/>
    <s v="Si"/>
    <n v="47.1"/>
    <n v="37.143116106226778"/>
    <n v="2.5209090909090914"/>
    <s v="Sin riesgo"/>
    <n v="54.340659869291599"/>
    <s v="Muy Alto"/>
    <n v="39844.159727999999"/>
    <n v="10391.760985999999"/>
    <n v="13492"/>
    <n v="2.9531692653424249"/>
    <n v="0.77021649762822408"/>
    <m/>
    <m/>
    <m/>
    <m/>
    <m/>
    <m/>
    <m/>
    <n v="63"/>
    <n v="0"/>
    <n v="7"/>
    <n v="340572.43061400001"/>
    <n v="140974.400486"/>
    <n v="0.41393368286400845"/>
    <s v="31% - 50%"/>
    <n v="4.1014767364331755E-3"/>
    <s v="N.D."/>
    <s v="N.D."/>
    <s v="N.D."/>
    <n v="0.95522762864795041"/>
    <s v="Aceptable"/>
    <n v="1"/>
    <s v="Candidato"/>
    <n v="0"/>
    <n v="0"/>
  </r>
  <r>
    <n v="85250"/>
    <s v="85250"/>
    <x v="23"/>
    <x v="23"/>
    <s v="PAZ DE ARIPORO"/>
    <n v="64.579700000000003"/>
    <n v="56.16"/>
    <n v="52.17"/>
    <n v="56.32"/>
    <n v="73.612503691909723"/>
    <n v="54.514390546383559"/>
    <n v="54.037117904747198"/>
    <n v="65.953699999999998"/>
    <n v="57.307424999999995"/>
    <n v="62.02942803576012"/>
    <n v="59.668426517880057"/>
    <n v="78.358927216255296"/>
    <n v="21.641072783744704"/>
    <n v="0.29476965505370234"/>
    <n v="0"/>
    <n v="17.588441502272691"/>
    <n v="5"/>
    <n v="5"/>
    <b v="1"/>
    <x v="6"/>
    <n v="58.671835538260339"/>
    <n v="0.30001850978738648"/>
    <n v="17.602636664679491"/>
    <n v="5"/>
    <n v="0"/>
    <n v="0.9965909796197181"/>
    <n v="-5.2488547336841385E-3"/>
    <n v="-1.4195162406799966E-2"/>
    <n v="5"/>
    <b v="1"/>
    <n v="0"/>
    <n v="0.35881802248113021"/>
    <n v="21.052512003176673"/>
    <n v="9.2718721878425878E-2"/>
    <n v="5"/>
    <n v="0"/>
    <n v="9.2718721878425878"/>
    <n v="5"/>
    <n v="-6.4048367427427866E-2"/>
    <b v="1"/>
    <n v="0"/>
    <n v="5"/>
    <n v="0"/>
    <n v="0"/>
    <n v="0"/>
    <n v="0"/>
    <n v="0"/>
    <n v="1"/>
    <s v="Rural"/>
    <n v="6"/>
    <s v="Fuera SC"/>
    <m/>
    <s v="No"/>
    <s v="No"/>
    <n v="37.799999999999997"/>
    <n v="22.467310637295324"/>
    <n v="2.9773333333333332"/>
    <s v="Sin riesgo"/>
    <n v="5.7645160334260925"/>
    <s v="Medio"/>
    <n v="78414.179810999995"/>
    <n v="20532.645356000001"/>
    <n v="38468"/>
    <n v="2.0384262194811269"/>
    <n v="0.53375910772590207"/>
    <m/>
    <m/>
    <m/>
    <m/>
    <m/>
    <m/>
    <m/>
    <n v="50"/>
    <n v="1"/>
    <n v="6"/>
    <n v="1207455.971383"/>
    <n v="29581.724372000001"/>
    <n v="2.4499215766946421E-2"/>
    <s v="0% - 30%"/>
    <n v="8.6064387517920538E-4"/>
    <n v="74969.491345999995"/>
    <n v="6.2088799196654089E-2"/>
    <s v="0% - 30%"/>
    <n v="0.86392508645338317"/>
    <s v="Aceptable"/>
    <n v="2"/>
    <s v="Candidato"/>
    <n v="0"/>
    <n v="0"/>
  </r>
  <r>
    <n v="95001"/>
    <s v="95001"/>
    <x v="27"/>
    <x v="27"/>
    <s v="SAN JOSÉ DEL GUAVIARE"/>
    <n v="60.440366666666698"/>
    <n v="72.64"/>
    <n v="60.25"/>
    <n v="56.33"/>
    <n v="68.850254779196746"/>
    <n v="53.997224953734602"/>
    <n v="59.972247629069599"/>
    <n v="62.812399999999997"/>
    <n v="62.415091666666669"/>
    <n v="61.408031840500236"/>
    <n v="61.911561753583456"/>
    <n v="79.903160404472246"/>
    <n v="20.096839595527754"/>
    <n v="0.28087155635974981"/>
    <n v="0"/>
    <n v="17.389196706391747"/>
    <n v="5"/>
    <n v="5"/>
    <b v="1"/>
    <x v="6"/>
    <n v="60.309971917540032"/>
    <n v="0.29285170529535426"/>
    <n v="17.661878122366524"/>
    <n v="5"/>
    <n v="0"/>
    <n v="1.6015898360434235"/>
    <n v="-1.1980148935604451E-2"/>
    <n v="-0.2726814159747768"/>
    <n v="5"/>
    <b v="1"/>
    <n v="0"/>
    <n v="0.35881802248113021"/>
    <n v="21.640304859344212"/>
    <n v="0.10007139091700921"/>
    <n v="5"/>
    <n v="0"/>
    <n v="10.007139091700921"/>
    <n v="5"/>
    <n v="-7.7946466121380398E-2"/>
    <b v="1"/>
    <n v="0"/>
    <n v="5"/>
    <n v="0"/>
    <n v="1"/>
    <n v="0"/>
    <n v="0"/>
    <n v="1"/>
    <n v="1"/>
    <s v="Rural"/>
    <n v="6"/>
    <s v="Uninodal"/>
    <m/>
    <s v="No"/>
    <s v="No"/>
    <n v="42.1"/>
    <n v="23.781936028057093"/>
    <n v="1.9081081081081079"/>
    <s v="Sin riesgo"/>
    <n v="18.980641035371065"/>
    <s v="Alto"/>
    <n v="105619.281543"/>
    <n v="22313.549560250001"/>
    <n v="54315"/>
    <n v="1.9445693002485502"/>
    <n v="0.41081744564577005"/>
    <m/>
    <m/>
    <m/>
    <m/>
    <m/>
    <m/>
    <m/>
    <n v="7"/>
    <n v="1"/>
    <n v="6"/>
    <n v="1671222.065926"/>
    <n v="270352.56542499998"/>
    <n v="0.16176938477365158"/>
    <s v="0% - 30%"/>
    <n v="7.8655752668782136E-3"/>
    <n v="972130.02318699996"/>
    <n v="0.5816881209310486"/>
    <s v="51% - 70%"/>
    <n v="0.91837571265799389"/>
    <s v="Aceptable"/>
    <n v="2"/>
    <s v="Candidato"/>
    <n v="0"/>
    <n v="0"/>
  </r>
  <r>
    <n v="18753"/>
    <s v="18753"/>
    <x v="24"/>
    <x v="24"/>
    <s v="SAN VICENTE DEL CAGUÁN"/>
    <n v="76.594800000000006"/>
    <n v="50.86"/>
    <n v="45.26"/>
    <n v="43.42"/>
    <n v="43.661698879381248"/>
    <n v="50.457007982949875"/>
    <n v="56.048844728035412"/>
    <n v="59.839599999999997"/>
    <n v="54.033699999999996"/>
    <n v="52.501787897591633"/>
    <n v="53.267743948795811"/>
    <n v="80.394615740974245"/>
    <n v="19.605384259025755"/>
    <n v="0.27644845833123177"/>
    <n v="0"/>
    <n v="14.725785693427403"/>
    <n v="5"/>
    <n v="5"/>
    <b v="1"/>
    <x v="6"/>
    <n v="57.670673020408444"/>
    <n v="0.28785170536957083"/>
    <n v="16.600601578735468"/>
    <n v="5"/>
    <n v="0"/>
    <n v="-4.4029290716126326"/>
    <n v="-1.1403247038339059E-2"/>
    <n v="-1.874815885308065"/>
    <n v="5"/>
    <b v="1"/>
    <n v="0"/>
    <n v="0.35881802248113021"/>
    <n v="20.693276848338826"/>
    <n v="8.822506876095064E-2"/>
    <n v="5"/>
    <n v="0"/>
    <n v="8.8225068760950638"/>
    <n v="5"/>
    <n v="-8.2369564149898433E-2"/>
    <b v="1"/>
    <n v="0"/>
    <n v="5"/>
    <n v="0"/>
    <n v="0"/>
    <n v="1"/>
    <n v="0"/>
    <n v="1"/>
    <n v="1"/>
    <s v="Rural"/>
    <n v="6"/>
    <s v="Fuera SC"/>
    <m/>
    <s v="No"/>
    <s v="No"/>
    <n v="56.3"/>
    <n v="30.465264499681325"/>
    <n v="4.8386206896551718"/>
    <s v="Sin riesgo"/>
    <n v="15.812329373826273"/>
    <s v="Alto"/>
    <n v="124089.965536"/>
    <n v="18399.278541250002"/>
    <n v="52473"/>
    <n v="2.3648345918091209"/>
    <n v="0.35064277897680712"/>
    <m/>
    <m/>
    <m/>
    <m/>
    <m/>
    <m/>
    <m/>
    <n v="3"/>
    <n v="0"/>
    <n v="7"/>
    <n v="2017029.528804"/>
    <n v="1204071.3888310001"/>
    <n v="0.59695278211665825"/>
    <s v="51% - 70%"/>
    <n v="3.503097564713932E-2"/>
    <n v="20406.044215000002"/>
    <n v="1.0116879264082857E-2"/>
    <s v="0% - 30%"/>
    <n v="0.95399826697010992"/>
    <s v="Aceptable"/>
    <n v="1"/>
    <s v="Candidato"/>
    <n v="0"/>
    <n v="0"/>
  </r>
  <r>
    <n v="27745"/>
    <s v="27745"/>
    <x v="26"/>
    <x v="26"/>
    <s v="SIPÍ"/>
    <n v="44.394766666666698"/>
    <n v="39.380000000000003"/>
    <n v="73.849999999999994"/>
    <n v="87.55"/>
    <n v="57.11506931173912"/>
    <n v="53.540584436809539"/>
    <n v="63.775322678773492"/>
    <n v="74.180300000000003"/>
    <n v="61.293691666666675"/>
    <n v="62.152819106830535"/>
    <n v="61.723255386748605"/>
    <n v="79.992836427574105"/>
    <n v="20.007163572425895"/>
    <n v="0.28006447215183305"/>
    <n v="0"/>
    <n v="17.286490939382535"/>
    <n v="5"/>
    <n v="5"/>
    <b v="1"/>
    <x v="6"/>
    <n v="54.350636680373384"/>
    <n v="0.28649467614836099"/>
    <n v="15.571168054200802"/>
    <n v="5"/>
    <n v="0"/>
    <n v="7.3726187063752207"/>
    <n v="-6.4302039965279389E-3"/>
    <n v="1.7153228851817328"/>
    <n v="5"/>
    <b v="1"/>
    <n v="0"/>
    <n v="0.35881802248113021"/>
    <n v="19.501987974241956"/>
    <n v="7.3323300682836684E-2"/>
    <n v="5"/>
    <n v="0"/>
    <n v="7.3323300682836683"/>
    <n v="5"/>
    <n v="-7.8753550329297151E-2"/>
    <b v="1"/>
    <n v="0"/>
    <n v="5"/>
    <n v="0"/>
    <n v="0"/>
    <n v="0"/>
    <n v="0"/>
    <n v="1"/>
    <n v="1"/>
    <s v="Rural disperso"/>
    <n v="6"/>
    <s v="Fuera SC"/>
    <m/>
    <s v="No"/>
    <s v="No"/>
    <n v="69.7"/>
    <n v="49.096820809248555"/>
    <s v="Sin Información"/>
    <s v="Sin Información"/>
    <n v="100"/>
    <s v="Muy Alto"/>
    <n v="27089.349869000001"/>
    <n v="10401.079657"/>
    <n v="3325"/>
    <n v="8.1471728929323319"/>
    <n v="3.1281442577443608"/>
    <m/>
    <m/>
    <m/>
    <m/>
    <m/>
    <m/>
    <m/>
    <n v="27"/>
    <n v="0"/>
    <n v="7"/>
    <n v="157745.31270000001"/>
    <n v="2240.7340709999999"/>
    <n v="1.420475849739781E-2"/>
    <s v="0% - 30%"/>
    <n v="6.5191400942700813E-5"/>
    <n v="156735.268087"/>
    <n v="0.99359699127846091"/>
    <s v="71% - 100%"/>
    <n v="0.94181728524685981"/>
    <s v="Aceptable"/>
    <n v="3"/>
    <s v="Candidato"/>
    <n v="0"/>
    <n v="0"/>
  </r>
  <r>
    <n v="85325"/>
    <s v="85325"/>
    <x v="23"/>
    <x v="23"/>
    <s v="SAN LUIS DE PALENQUE"/>
    <n v="57.889566666666703"/>
    <n v="59.03"/>
    <n v="58.06"/>
    <n v="65.209999999999994"/>
    <n v="54.479305612012212"/>
    <n v="62.040470666104689"/>
    <n v="64.947174029387497"/>
    <n v="61.46"/>
    <n v="60.04739166666667"/>
    <n v="60.7317375768761"/>
    <n v="60.389564621771385"/>
    <n v="79.516651424492494"/>
    <n v="20.483348575507506"/>
    <n v="0.28435013717956759"/>
    <n v="0"/>
    <n v="17.171780984415054"/>
    <n v="5"/>
    <n v="5"/>
    <b v="1"/>
    <x v="6"/>
    <n v="59.665089280468742"/>
    <n v="0.28481842453804662"/>
    <n v="16.993716728785"/>
    <n v="5"/>
    <n v="0"/>
    <n v="0.72447534130264302"/>
    <n v="-4.6828735847903591E-4"/>
    <n v="0.1780642556300549"/>
    <n v="5"/>
    <b v="1"/>
    <n v="0"/>
    <n v="0.35881802248113021"/>
    <n v="21.408909346777875"/>
    <n v="9.7176876968665685E-2"/>
    <n v="5"/>
    <n v="0"/>
    <n v="9.7176876968665677"/>
    <n v="5"/>
    <n v="-7.446788530156262E-2"/>
    <b v="1"/>
    <n v="0"/>
    <n v="5"/>
    <n v="0"/>
    <n v="0"/>
    <n v="0"/>
    <n v="0"/>
    <n v="0"/>
    <n v="0"/>
    <s v="Rural disperso"/>
    <n v="6"/>
    <s v="Fuera SC"/>
    <m/>
    <s v="No"/>
    <s v="No"/>
    <n v="37"/>
    <n v="18.302850995158689"/>
    <n v="6.7816421215812195"/>
    <s v="Bajo"/>
    <n v="10.945950000418751"/>
    <s v="Medio"/>
    <n v="32307.367099999999"/>
    <n v="7732.2190604999996"/>
    <n v="8976"/>
    <n v="3.599305603832442"/>
    <n v="0.86143260477941175"/>
    <m/>
    <m/>
    <m/>
    <m/>
    <m/>
    <m/>
    <m/>
    <n v="50"/>
    <n v="0"/>
    <n v="7"/>
    <n v="298101.21594600001"/>
    <n v="62818.151831000003"/>
    <n v="0.21072759341706038"/>
    <s v="0% - 30%"/>
    <n v="1.8276168401663835E-3"/>
    <n v="25.332249000000001"/>
    <n v="8.4978683899729042E-5"/>
    <n v="0"/>
    <n v="0.95534877441484078"/>
    <s v="Aceptable"/>
    <n v="3"/>
    <s v="Candidato"/>
    <n v="0"/>
    <n v="0"/>
  </r>
  <r>
    <n v="50568"/>
    <s v="50568"/>
    <x v="16"/>
    <x v="16"/>
    <s v="PUERTO GAITÁN"/>
    <n v="66.537233333333305"/>
    <n v="61.24"/>
    <n v="66.22"/>
    <n v="71.58"/>
    <n v="56.80850852195573"/>
    <n v="54.528737070680862"/>
    <n v="58.060238448272443"/>
    <n v="58.646599999999999"/>
    <n v="66.394308333333328"/>
    <n v="57.01102101022726"/>
    <n v="61.702664671780298"/>
    <n v="79.338808018963334"/>
    <n v="20.661191981036666"/>
    <n v="0.28595072782933001"/>
    <n v="0"/>
    <n v="17.643921871904663"/>
    <n v="5"/>
    <n v="5"/>
    <b v="1"/>
    <x v="6"/>
    <n v="60.869659430044642"/>
    <n v="0.28017993638279121"/>
    <n v="17.054457306752074"/>
    <n v="5"/>
    <n v="0"/>
    <n v="0.83300524173565549"/>
    <n v="5.7707914465388033E-3"/>
    <n v="0.58946456515258916"/>
    <n v="5"/>
    <b v="1"/>
    <n v="0"/>
    <n v="0.35881802248113021"/>
    <n v="21.841130825788497"/>
    <n v="0.10258351206670484"/>
    <n v="5"/>
    <n v="0"/>
    <n v="10.258351206670485"/>
    <n v="5"/>
    <n v="-7.2867294651800196E-2"/>
    <b v="1"/>
    <n v="0"/>
    <n v="5"/>
    <n v="0"/>
    <n v="0"/>
    <n v="1"/>
    <n v="0"/>
    <n v="0"/>
    <n v="1"/>
    <s v="Rural disperso"/>
    <n v="2"/>
    <s v="Fuera SC"/>
    <m/>
    <s v="No"/>
    <s v="No"/>
    <n v="51.8"/>
    <n v="44.841934338052468"/>
    <n v="0.52145833333333325"/>
    <s v="Sin riesgo"/>
    <n v="18.136631502117645"/>
    <s v="Alto"/>
    <n v="531350.71285300003"/>
    <n v="121121.2155104"/>
    <n v="53006"/>
    <n v="10.024350316058561"/>
    <n v="2.285047268429989"/>
    <m/>
    <m/>
    <m/>
    <m/>
    <m/>
    <m/>
    <m/>
    <n v="88"/>
    <n v="0"/>
    <n v="6"/>
    <n v="1719925.4178559999"/>
    <n v="29730.070083999999"/>
    <n v="1.7285674003853311E-2"/>
    <s v="0% - 30%"/>
    <n v="8.6495981115495744E-4"/>
    <n v="368203.21000100003"/>
    <n v="0.21408091663648388"/>
    <s v="0% - 30%"/>
    <n v="0.92711118461867237"/>
    <s v="Aceptable"/>
    <n v="2"/>
    <s v="Candidato"/>
    <n v="0"/>
    <n v="0"/>
  </r>
  <r>
    <n v="85125"/>
    <s v="85125"/>
    <x v="23"/>
    <x v="23"/>
    <s v="HATO COROZAL"/>
    <n v="55.985700000000001"/>
    <n v="72.489999999999995"/>
    <n v="42.49"/>
    <n v="35.51"/>
    <n v="48.876127471157659"/>
    <n v="56.164697898821018"/>
    <n v="57.729335007364952"/>
    <n v="50.263100000000001"/>
    <n v="51.618924999999997"/>
    <n v="53.258315094335913"/>
    <n v="52.438620047167959"/>
    <n v="80.820906334574033"/>
    <n v="19.179093665425967"/>
    <n v="0.27261184298883367"/>
    <n v="0"/>
    <n v="14.295388854849657"/>
    <n v="5"/>
    <n v="5"/>
    <b v="1"/>
    <x v="6"/>
    <n v="55.293865954485774"/>
    <n v="0.27639302742304256"/>
    <n v="15.282839009084226"/>
    <n v="5"/>
    <n v="0"/>
    <n v="-2.8552459073178156"/>
    <n v="-3.7811844342088841E-3"/>
    <n v="-0.98745015423456906"/>
    <n v="5"/>
    <b v="1"/>
    <n v="0"/>
    <n v="0.35881802248113021"/>
    <n v="19.840435637125278"/>
    <n v="7.7556924188042733E-2"/>
    <n v="5"/>
    <n v="0"/>
    <n v="7.7556924188042737"/>
    <n v="5"/>
    <n v="-8.6206179492296531E-2"/>
    <b v="1"/>
    <n v="0"/>
    <n v="5"/>
    <n v="0"/>
    <n v="0"/>
    <n v="0"/>
    <n v="0"/>
    <n v="0"/>
    <n v="1"/>
    <s v="Rural disperso"/>
    <n v="6"/>
    <s v="Fuera SC"/>
    <m/>
    <s v="No"/>
    <s v="No"/>
    <n v="56.1"/>
    <n v="33.035958124715521"/>
    <n v="0"/>
    <s v="Sin riesgo"/>
    <n v="9.7332985976042483"/>
    <s v="Medio"/>
    <n v="33789.128149999997"/>
    <n v="6676.396146"/>
    <n v="13104"/>
    <n v="2.5785354204822952"/>
    <n v="0.50949299038461537"/>
    <m/>
    <m/>
    <m/>
    <m/>
    <m/>
    <m/>
    <m/>
    <n v="53"/>
    <n v="0"/>
    <n v="7"/>
    <n v="549226.014646"/>
    <n v="24475.423552"/>
    <n v="4.4563481880543244E-2"/>
    <s v="0% - 30%"/>
    <n v="7.1208233528076469E-4"/>
    <n v="30536.177433000001"/>
    <n v="5.5598563466957941E-2"/>
    <s v="0% - 30%"/>
    <n v="0.8842784277061404"/>
    <s v="Aceptable"/>
    <n v="1"/>
    <s v="Candidato"/>
    <n v="0"/>
    <n v="0"/>
  </r>
  <r>
    <n v="85230"/>
    <s v="85230"/>
    <x v="23"/>
    <x v="23"/>
    <s v="OROCUÉ"/>
    <n v="63.799666666666702"/>
    <n v="58.72"/>
    <n v="56.1"/>
    <n v="60.99"/>
    <n v="51.480752271160938"/>
    <n v="74.663416314468392"/>
    <n v="79.145500868466058"/>
    <n v="63.7744"/>
    <n v="59.902416666666674"/>
    <n v="67.266017363523844"/>
    <n v="63.584217015095263"/>
    <n v="80.558043420596434"/>
    <n v="19.441956579403566"/>
    <n v="0.2749776092146321"/>
    <n v="0"/>
    <n v="17.484235978595226"/>
    <n v="5"/>
    <n v="5"/>
    <b v="1"/>
    <x v="6"/>
    <n v="62.491913305453423"/>
    <n v="0.27373014926474648"/>
    <n v="17.105920756941362"/>
    <n v="5"/>
    <n v="0"/>
    <n v="1.0923037096418398"/>
    <n v="1.2474599498856209E-3"/>
    <n v="0.37831522165386389"/>
    <n v="5"/>
    <b v="1"/>
    <n v="0"/>
    <n v="0.35881802248113021"/>
    <n v="22.423224753325027"/>
    <n v="0.10986489351535127"/>
    <n v="5"/>
    <n v="0"/>
    <n v="10.986489351535127"/>
    <n v="5"/>
    <n v="-8.3840413266498104E-2"/>
    <b v="1"/>
    <n v="0"/>
    <n v="5"/>
    <n v="0"/>
    <n v="0"/>
    <n v="0"/>
    <n v="0"/>
    <n v="0"/>
    <n v="0"/>
    <s v="Rural disperso"/>
    <n v="6"/>
    <s v="Fuera SC"/>
    <m/>
    <s v="No"/>
    <s v="No"/>
    <n v="45.8"/>
    <n v="29.919375157470395"/>
    <n v="2.4899999999999998"/>
    <s v="Sin riesgo"/>
    <n v="1.4561543137647561"/>
    <s v="Medio Bajo"/>
    <n v="84841.619372000001"/>
    <n v="22034.316541"/>
    <n v="14229"/>
    <n v="5.9625848177665333"/>
    <n v="1.5485499009768782"/>
    <m/>
    <m/>
    <m/>
    <m/>
    <m/>
    <m/>
    <m/>
    <n v="50"/>
    <n v="0"/>
    <n v="6"/>
    <n v="473987.72114699997"/>
    <n v="31152.862631"/>
    <n v="6.5725041474942389E-2"/>
    <s v="0% - 30%"/>
    <n v="9.0635420979877747E-4"/>
    <n v="37043.517763999997"/>
    <n v="7.8152905890385968E-2"/>
    <s v="0% - 30%"/>
    <n v="0.85109911681810835"/>
    <s v="Aceptable"/>
    <n v="3"/>
    <s v="Candidato"/>
    <n v="0"/>
    <n v="0"/>
  </r>
  <r>
    <n v="86573"/>
    <s v="86573"/>
    <x v="22"/>
    <x v="22"/>
    <s v="PUERTO LEGUÍZAMO"/>
    <n v="39.407533333333298"/>
    <n v="45.46"/>
    <n v="34.409999999999997"/>
    <n v="38.96"/>
    <n v="59.762827945879344"/>
    <n v="42.306396974605086"/>
    <n v="56.449032310219501"/>
    <n v="40.951999999999998"/>
    <n v="39.559383333333322"/>
    <n v="49.867564307675984"/>
    <n v="44.713473820504653"/>
    <n v="79.704499355071917"/>
    <n v="20.295500644928083"/>
    <n v="0.28265950580435273"/>
    <n v="0"/>
    <n v="12.638688412899709"/>
    <n v="5"/>
    <n v="5"/>
    <b v="1"/>
    <x v="6"/>
    <n v="43.916427808977765"/>
    <n v="0.27167898694696246"/>
    <n v="11.931170617472489"/>
    <n v="5"/>
    <n v="0"/>
    <n v="0.79704601152688781"/>
    <n v="1.0980518857390265E-2"/>
    <n v="0.70751779542722026"/>
    <n v="5"/>
    <b v="1"/>
    <n v="0"/>
    <n v="0.35881802248113021"/>
    <n v="15.758005780852715"/>
    <n v="2.6490029972765269E-2"/>
    <n v="5"/>
    <n v="0"/>
    <n v="2.649002997276527"/>
    <n v="5"/>
    <n v="-7.6158516676777477E-2"/>
    <b v="1"/>
    <n v="0"/>
    <n v="5"/>
    <n v="0"/>
    <n v="0"/>
    <n v="0"/>
    <n v="0"/>
    <n v="1"/>
    <n v="1"/>
    <s v="Rural disperso"/>
    <n v="6"/>
    <s v="Fuera SC"/>
    <m/>
    <s v="No"/>
    <s v="No"/>
    <n v="53.6"/>
    <n v="34.113640049737796"/>
    <n v="0"/>
    <s v="Sin riesgo"/>
    <n v="24.262449983936367"/>
    <s v="Muy Alto"/>
    <n v="42913.743434999997"/>
    <n v="8640.3506744999995"/>
    <n v="36170"/>
    <n v="1.186445768178048"/>
    <n v="0.23888168854022671"/>
    <m/>
    <m/>
    <m/>
    <m/>
    <m/>
    <m/>
    <m/>
    <n v="11"/>
    <n v="0"/>
    <n v="7"/>
    <n v="1065121.2682670001"/>
    <n v="467089.82029499998"/>
    <n v="0.43853205659387123"/>
    <s v="31% - 50%"/>
    <n v="1.3589403644635088E-2"/>
    <n v="441238.06121700001"/>
    <n v="0.41426086809337126"/>
    <s v="31% - 50%"/>
    <n v="0.57271484096019654"/>
    <s v="Crítico Medio"/>
    <n v="0"/>
    <s v="Candidato"/>
    <n v="1"/>
    <s v="Unidad Especial de Desarrollo Fronterizo"/>
  </r>
  <r>
    <n v="18150"/>
    <s v="18150"/>
    <x v="24"/>
    <x v="24"/>
    <s v="CARTAGENA DEL CHAIRÁ"/>
    <n v="55.155733333333302"/>
    <n v="47.82"/>
    <n v="51.79"/>
    <n v="61.63"/>
    <n v="35.065050908519183"/>
    <n v="52.747436786632498"/>
    <n v="59.11595914999937"/>
    <n v="60.711100000000002"/>
    <n v="54.098933333333321"/>
    <n v="51.909886711287754"/>
    <n v="53.004410022310537"/>
    <n v="81.099237284683284"/>
    <n v="18.900762715316716"/>
    <n v="0.27010686443785048"/>
    <n v="0"/>
    <n v="14.316854992504476"/>
    <n v="5"/>
    <n v="5"/>
    <b v="1"/>
    <x v="6"/>
    <n v="50.848483027738375"/>
    <n v="0.26866367887347453"/>
    <n v="13.661140515367622"/>
    <n v="5"/>
    <n v="0"/>
    <n v="2.1559269945721624"/>
    <n v="1.4431855643759484E-3"/>
    <n v="0.65571447713685416"/>
    <n v="5"/>
    <b v="1"/>
    <n v="0"/>
    <n v="0.35881802248113021"/>
    <n v="18.245352126178396"/>
    <n v="5.7604110842602765E-2"/>
    <n v="5"/>
    <n v="0"/>
    <n v="5.7604110842602765"/>
    <n v="5"/>
    <n v="-8.8711158043279725E-2"/>
    <b v="1"/>
    <n v="0"/>
    <n v="5"/>
    <n v="0"/>
    <n v="0"/>
    <n v="0"/>
    <n v="0"/>
    <n v="1"/>
    <n v="1"/>
    <s v="Rural disperso"/>
    <n v="6"/>
    <s v="Fuera SC"/>
    <m/>
    <s v="No"/>
    <s v="No"/>
    <n v="63.3"/>
    <n v="38.14501045219496"/>
    <n v="1.3578571428571429"/>
    <s v="Sin riesgo"/>
    <n v="16.556227563323063"/>
    <s v="Alto"/>
    <n v="79895.998074000003"/>
    <n v="12561.534868000001"/>
    <n v="32224"/>
    <n v="2.4793941805486597"/>
    <n v="0.38981923001489577"/>
    <m/>
    <m/>
    <m/>
    <m/>
    <m/>
    <m/>
    <m/>
    <n v="3"/>
    <n v="0"/>
    <n v="7"/>
    <n v="1277138.6671730001"/>
    <n v="766126.13409599999"/>
    <n v="0.59987701710719654"/>
    <s v="51% - 70%"/>
    <n v="2.228949727989998E-2"/>
    <n v="52012.167520000003"/>
    <n v="4.0725544419644828E-2"/>
    <s v="0% - 30%"/>
    <n v="0.90405671873313997"/>
    <s v="Aceptable"/>
    <n v="3"/>
    <s v="Candidato"/>
    <n v="0"/>
    <n v="0"/>
  </r>
  <r>
    <n v="50350"/>
    <s v="50350"/>
    <x v="16"/>
    <x v="16"/>
    <s v="LA MACARENA"/>
    <n v="56.169600000000003"/>
    <n v="69.099999999999994"/>
    <n v="50"/>
    <n v="54.03"/>
    <n v="44.017517072258755"/>
    <n v="72.331239977604739"/>
    <n v="59.153645299829201"/>
    <n v="57.9345"/>
    <n v="57.3249"/>
    <n v="58.359225587423168"/>
    <n v="57.842062793711584"/>
    <n v="79.529330769650969"/>
    <n v="20.470669230349031"/>
    <n v="0.28423602307314133"/>
    <n v="0"/>
    <n v="16.440797894831494"/>
    <n v="5"/>
    <n v="5"/>
    <b v="1"/>
    <x v="6"/>
    <n v="56.103407452968561"/>
    <n v="0.26203539811148602"/>
    <n v="14.701078707349529"/>
    <n v="5"/>
    <n v="0"/>
    <n v="1.7386553407430227"/>
    <n v="2.2200624961655313E-2"/>
    <n v="1.7397191874819651"/>
    <n v="5"/>
    <b v="1"/>
    <n v="0"/>
    <n v="0.35881802248113021"/>
    <n v="20.130913716727282"/>
    <n v="8.1190498771106456E-2"/>
    <n v="5"/>
    <n v="0"/>
    <n v="8.1190498771106459"/>
    <n v="5"/>
    <n v="-7.4581999407988875E-2"/>
    <b v="1"/>
    <n v="0"/>
    <n v="5"/>
    <n v="0"/>
    <n v="0"/>
    <n v="0"/>
    <n v="0"/>
    <n v="1"/>
    <n v="1"/>
    <s v="Rural disperso"/>
    <n v="6"/>
    <s v="Fuera SC"/>
    <m/>
    <s v="No"/>
    <s v="No"/>
    <n v="67.900000000000006"/>
    <n v="41.84657984683944"/>
    <n v="13.061818181818182"/>
    <s v="Bajo"/>
    <n v="10.035949557345326"/>
    <s v="Medio"/>
    <n v="49125.050395999999"/>
    <n v="10543.675901000001"/>
    <n v="29571"/>
    <n v="1.661257664468567"/>
    <n v="0.35655459406174972"/>
    <m/>
    <m/>
    <m/>
    <m/>
    <m/>
    <m/>
    <m/>
    <n v="3"/>
    <n v="0"/>
    <n v="7"/>
    <n v="810829.62718299998"/>
    <n v="294981.80080999999"/>
    <n v="0.36380244495361064"/>
    <s v="31% - 50%"/>
    <n v="8.5821325682000661E-3"/>
    <n v="41999.244151999999"/>
    <n v="5.1797865721698637E-2"/>
    <s v="0% - 30%"/>
    <n v="0.95350631740005265"/>
    <s v="Aceptable"/>
    <n v="1"/>
    <s v="Candidato"/>
    <n v="0"/>
    <n v="0"/>
  </r>
  <r>
    <n v="81591"/>
    <s v="81591"/>
    <x v="25"/>
    <x v="25"/>
    <s v="PUERTO RONDÓN"/>
    <n v="63.630266666666699"/>
    <n v="42.02"/>
    <n v="44.9"/>
    <n v="45.87"/>
    <n v="58.987992636363273"/>
    <n v="53.735871141756533"/>
    <n v="48.615880316573701"/>
    <n v="47.9375"/>
    <n v="49.10506666666668"/>
    <n v="52.319311023673379"/>
    <n v="50.712188845170033"/>
    <n v="83.288491346296212"/>
    <n v="16.711508653703788"/>
    <n v="0.25040357788333412"/>
    <n v="0"/>
    <n v="12.698513529125881"/>
    <n v="5"/>
    <n v="5"/>
    <b v="1"/>
    <x v="6"/>
    <n v="53.903137590554195"/>
    <n v="0.25768358906915884"/>
    <n v="13.889953956422696"/>
    <n v="5"/>
    <n v="0"/>
    <n v="-3.1909487453841621"/>
    <n v="-7.2800111858247196E-3"/>
    <n v="-1.1914404272968149"/>
    <n v="5"/>
    <b v="1"/>
    <n v="0"/>
    <n v="0.35881802248113021"/>
    <n v="19.34141723577093"/>
    <n v="7.1314730002076554E-2"/>
    <n v="5"/>
    <n v="0"/>
    <n v="7.1314730002076558"/>
    <n v="5"/>
    <n v="-0.10841444459779609"/>
    <b v="1"/>
    <n v="0"/>
    <n v="5"/>
    <n v="0"/>
    <n v="0"/>
    <n v="0"/>
    <n v="0"/>
    <n v="0"/>
    <n v="1"/>
    <s v="Rural disperso"/>
    <n v="6"/>
    <s v="Fuera SC"/>
    <m/>
    <s v="No"/>
    <s v="No"/>
    <n v="45"/>
    <n v="23.088057901085644"/>
    <n v="0"/>
    <s v="Sin riesgo"/>
    <n v="100"/>
    <s v="Muy Alto"/>
    <n v="14657.937862999999"/>
    <n v="3925.4938892499999"/>
    <n v="4673"/>
    <n v="3.136729694628718"/>
    <n v="0.84003721148084742"/>
    <m/>
    <m/>
    <m/>
    <m/>
    <m/>
    <m/>
    <m/>
    <n v="53"/>
    <n v="0"/>
    <n v="7"/>
    <n v="227395.745237"/>
    <n v="8082.1962620000004"/>
    <n v="3.5542425182918204E-2"/>
    <s v="0% - 30%"/>
    <n v="2.3514155643578817E-4"/>
    <n v="379.53303099999999"/>
    <n v="1.6690419189876974E-3"/>
    <s v="0% - 30%"/>
    <n v="0.95361556577294093"/>
    <s v="Aceptable"/>
    <n v="1"/>
    <s v="Candidato"/>
    <n v="0"/>
    <n v="0"/>
  </r>
  <r>
    <n v="50370"/>
    <s v="50370"/>
    <x v="16"/>
    <x v="16"/>
    <s v="URIBE"/>
    <n v="64.592866666666694"/>
    <n v="51.31"/>
    <n v="35.64"/>
    <n v="54.69"/>
    <n v="44.063742542005265"/>
    <n v="67.458046950930239"/>
    <n v="55.553907489720046"/>
    <n v="52.549100000000003"/>
    <n v="51.558216666666674"/>
    <n v="54.906199245663892"/>
    <n v="53.232207956165283"/>
    <n v="85.1138033577801"/>
    <n v="14.8861966422199"/>
    <n v="0.23397576977997911"/>
    <n v="0"/>
    <n v="12.4550468336317"/>
    <n v="5"/>
    <n v="5"/>
    <b v="1"/>
    <x v="6"/>
    <n v="54.726704266402237"/>
    <n v="0.23775824605382648"/>
    <n v="13.011725218686259"/>
    <n v="5"/>
    <n v="0"/>
    <n v="-1.4944963102369542"/>
    <n v="-3.7824762738473683E-3"/>
    <n v="-0.55667838505455869"/>
    <n v="5"/>
    <b v="1"/>
    <n v="0"/>
    <n v="0.35881802248113021"/>
    <n v="19.636927801780082"/>
    <n v="7.5011255685353009E-2"/>
    <n v="5"/>
    <n v="0"/>
    <n v="7.5011255685353007"/>
    <n v="5"/>
    <n v="-0.1248422527011511"/>
    <b v="1"/>
    <n v="0"/>
    <n v="5"/>
    <n v="0"/>
    <n v="0"/>
    <n v="0"/>
    <n v="0"/>
    <n v="1"/>
    <n v="1"/>
    <s v="Rural disperso"/>
    <n v="6"/>
    <s v="Fuera SC"/>
    <m/>
    <s v="No"/>
    <s v="No"/>
    <n v="60.4"/>
    <n v="53.147933565083044"/>
    <n v="10.619090909090909"/>
    <s v="Bajo"/>
    <n v="29.706865419305146"/>
    <s v="Muy Alto"/>
    <n v="33834.136821"/>
    <n v="8749.8025130000005"/>
    <n v="9695"/>
    <n v="3.4898542363073748"/>
    <n v="0.90250670582774628"/>
    <m/>
    <m/>
    <m/>
    <m/>
    <m/>
    <m/>
    <m/>
    <n v="63"/>
    <n v="0"/>
    <n v="7"/>
    <n v="645445.53817800002"/>
    <n v="304709.77666899998"/>
    <n v="0.47209215750278777"/>
    <s v="31% - 50%"/>
    <n v="8.8651560571507033E-3"/>
    <n v="4380.5640219999996"/>
    <n v="6.7868840403881355E-3"/>
    <s v="0% - 30%"/>
    <n v="0.95749300313203345"/>
    <s v="Aceptable"/>
    <n v="1"/>
    <s v="Candidato"/>
    <n v="0"/>
    <n v="0"/>
  </r>
  <r>
    <n v="19701"/>
    <s v="19701"/>
    <x v="13"/>
    <x v="13"/>
    <s v="SANTA ROSA"/>
    <n v="59.042266666666698"/>
    <n v="59.61"/>
    <n v="0"/>
    <n v="39.4"/>
    <n v="46.975055584791534"/>
    <n v="41.543406920352901"/>
    <n v="61.200823659019157"/>
    <n v="53.667000000000002"/>
    <n v="39.513066666666674"/>
    <n v="50.846571541040902"/>
    <n v="45.179819103853788"/>
    <n v="85.309112322499487"/>
    <n v="14.690887677500513"/>
    <n v="0.23221798909750463"/>
    <n v="0"/>
    <n v="10.49156674008595"/>
    <n v="5"/>
    <n v="5"/>
    <b v="1"/>
    <x v="6"/>
    <n v="54.952417582603474"/>
    <n v="0.2357427947056227"/>
    <n v="12.954636496753341"/>
    <n v="5"/>
    <n v="0"/>
    <n v="-9.7725984787496856"/>
    <n v="-3.5248056081180756E-3"/>
    <n v="-2.4630697566673909"/>
    <n v="5"/>
    <b v="1"/>
    <n v="0"/>
    <n v="0.35881802248113021"/>
    <n v="19.717917807547067"/>
    <n v="7.6024355285984876E-2"/>
    <n v="5"/>
    <n v="0"/>
    <n v="7.6024355285984875"/>
    <n v="5"/>
    <n v="-0.12660003338362558"/>
    <b v="1"/>
    <n v="0"/>
    <n v="5"/>
    <n v="0"/>
    <n v="0"/>
    <n v="0"/>
    <n v="0"/>
    <n v="0"/>
    <n v="1"/>
    <s v="Rural disperso"/>
    <n v="6"/>
    <s v="Fuera SC"/>
    <m/>
    <s v="No"/>
    <s v="No"/>
    <n v="66.099999999999994"/>
    <n v="35.618090452261306"/>
    <n v="0.30875000000000002"/>
    <s v="Sin riesgo"/>
    <n v="4.3805141689279106"/>
    <s v="Medio Bajo"/>
    <n v="19697.788562000002"/>
    <n v="3476.4910439999999"/>
    <n v="5328"/>
    <n v="3.6970323877627629"/>
    <n v="0.65249456531531524"/>
    <m/>
    <m/>
    <m/>
    <m/>
    <m/>
    <m/>
    <m/>
    <n v="81"/>
    <n v="0"/>
    <n v="7"/>
    <n v="362075.58326699998"/>
    <n v="146179.13071900001"/>
    <n v="0.40372545809366361"/>
    <s v="31% - 50%"/>
    <n v="4.2529019590017226E-3"/>
    <n v="110892.244288"/>
    <n v="0.30626821971098339"/>
    <s v="31% - 50%"/>
    <n v="0.95490190624738691"/>
    <s v="Aceptable"/>
    <n v="1"/>
    <s v="Candidato"/>
    <n v="0"/>
    <n v="0"/>
  </r>
  <r>
    <n v="97001"/>
    <s v="97001"/>
    <x v="28"/>
    <x v="28"/>
    <s v="MITÚ"/>
    <n v="59.121766666666701"/>
    <n v="54.95"/>
    <n v="56.33"/>
    <n v="48.69"/>
    <n v="58.820362434844739"/>
    <n v="65.098843384870278"/>
    <n v="56.309378961082295"/>
    <n v="48.8889"/>
    <n v="54.772941666666675"/>
    <n v="57.279371195199332"/>
    <n v="56.026156430933"/>
    <n v="86.598820614131682"/>
    <n v="13.401179385868318"/>
    <n v="0.22061061447281488"/>
    <n v="0"/>
    <n v="12.359964796778177"/>
    <n v="5"/>
    <n v="5"/>
    <b v="1"/>
    <x v="6"/>
    <n v="58.105882651216199"/>
    <n v="0.22436117291414609"/>
    <n v="13.036703984838599"/>
    <n v="5"/>
    <n v="0"/>
    <n v="-2.0797262202831988"/>
    <n v="-3.7505584413312087E-3"/>
    <n v="-0.67673918806042188"/>
    <n v="5"/>
    <b v="1"/>
    <n v="0"/>
    <n v="0.35881802248113021"/>
    <n v="20.849437907430008"/>
    <n v="9.017847900090914E-2"/>
    <n v="5"/>
    <n v="0"/>
    <n v="9.0178479000909135"/>
    <n v="5"/>
    <n v="-0.13820740800831532"/>
    <b v="1"/>
    <n v="0"/>
    <n v="5"/>
    <n v="0"/>
    <n v="1"/>
    <n v="0"/>
    <n v="0"/>
    <n v="0"/>
    <n v="0"/>
    <s v="Rural disperso"/>
    <n v="6"/>
    <s v="Uninodal"/>
    <m/>
    <s v="No"/>
    <s v="No"/>
    <n v="74.8"/>
    <n v="66.74059698733943"/>
    <s v="Sin Información"/>
    <s v="Sin Información"/>
    <n v="1.7756472438400035"/>
    <s v="Medio Bajo"/>
    <n v="60421.707387000002"/>
    <n v="11049.671582749999"/>
    <n v="31810"/>
    <n v="1.8994563780886515"/>
    <n v="0.34736471495598864"/>
    <m/>
    <m/>
    <m/>
    <m/>
    <m/>
    <m/>
    <m/>
    <n v="7"/>
    <n v="0"/>
    <n v="5"/>
    <n v="1615396.329873"/>
    <n v="11150.259679000001"/>
    <n v="6.9024916503782185E-3"/>
    <s v="0% - 30%"/>
    <n v="3.2440308680829608E-4"/>
    <n v="1599606.1043"/>
    <n v="0.99022516934018201"/>
    <s v="71% - 100%"/>
    <n v="0.89934674049130958"/>
    <s v="Aceptable"/>
    <n v="1"/>
    <s v="Candidato"/>
    <n v="1"/>
    <s v="Unidad Especial de Desarrollo Fronterizo"/>
  </r>
  <r>
    <n v="95025"/>
    <s v="95025"/>
    <x v="27"/>
    <x v="27"/>
    <s v="EL RETORNO"/>
    <n v="65.640233333333299"/>
    <n v="61.76"/>
    <n v="59.27"/>
    <n v="72.17"/>
    <n v="46.725202975163157"/>
    <n v="50.718432390491955"/>
    <n v="54.236648718572468"/>
    <n v="47.761099999999999"/>
    <n v="64.710058333333322"/>
    <n v="49.860346021056898"/>
    <n v="57.28520217719511"/>
    <n v="88.723116862327814"/>
    <n v="11.276883137672186"/>
    <n v="0.2014919482390497"/>
    <n v="0"/>
    <n v="11.542506991950894"/>
    <n v="5"/>
    <n v="5"/>
    <b v="1"/>
    <x v="6"/>
    <n v="56.965843468046188"/>
    <n v="0.21813304884199647"/>
    <n v="12.426133115540845"/>
    <n v="5"/>
    <n v="0"/>
    <n v="0.31935870914892206"/>
    <n v="-1.6641100602946768E-2"/>
    <n v="-0.8836261235899503"/>
    <n v="5"/>
    <b v="1"/>
    <n v="0"/>
    <n v="0.35881802248113021"/>
    <n v="20.44037130217394"/>
    <n v="8.5061486966001867E-2"/>
    <n v="5"/>
    <n v="0"/>
    <n v="8.5061486966001869"/>
    <n v="5"/>
    <n v="-0.1573260742420805"/>
    <b v="1"/>
    <n v="0"/>
    <n v="5"/>
    <n v="0"/>
    <n v="0"/>
    <n v="0"/>
    <n v="0"/>
    <n v="1"/>
    <n v="1"/>
    <s v="Rural disperso"/>
    <n v="6"/>
    <s v="Fuera SC"/>
    <m/>
    <s v="No"/>
    <s v="No"/>
    <n v="51.5"/>
    <n v="31.881030538147815"/>
    <n v="11.196291901027225"/>
    <s v="Bajo"/>
    <n v="14.78577809260559"/>
    <s v="Alto"/>
    <n v="35265.310973"/>
    <n v="7853.37014"/>
    <n v="13324"/>
    <n v="2.6467510487090964"/>
    <n v="0.58941535124587208"/>
    <m/>
    <m/>
    <m/>
    <m/>
    <m/>
    <m/>
    <m/>
    <n v="7"/>
    <n v="0"/>
    <n v="7"/>
    <n v="1240590.945145"/>
    <n v="746168.82008700003"/>
    <n v="0.60146241031913061"/>
    <s v="51% - 70%"/>
    <n v="2.1708863782985525E-2"/>
    <n v="709697.52292000002"/>
    <n v="0.57206408421516464"/>
    <s v="51% - 70%"/>
    <n v="0.89078055689457925"/>
    <s v="Aceptable"/>
    <n v="2"/>
    <s v="Candidato"/>
    <n v="0"/>
    <n v="0"/>
  </r>
  <r>
    <n v="99001"/>
    <s v="99001"/>
    <x v="29"/>
    <x v="29"/>
    <s v="PUERTO CARREÑO"/>
    <n v="76.047066666666694"/>
    <n v="56.5"/>
    <n v="68.55"/>
    <n v="73.430000000000007"/>
    <n v="53.908088509066907"/>
    <n v="46.215426012731911"/>
    <n v="51.444704162146543"/>
    <n v="50.965299999999999"/>
    <n v="68.631766666666678"/>
    <n v="50.633379670986344"/>
    <n v="59.632573168826511"/>
    <n v="88.093962940608222"/>
    <n v="11.906037059391778"/>
    <n v="0.207154333534526"/>
    <n v="0"/>
    <n v="12.353145951737114"/>
    <n v="5"/>
    <n v="5"/>
    <b v="1"/>
    <x v="6"/>
    <n v="58.482538947293129"/>
    <n v="0.19764499769748867"/>
    <n v="11.558781275581042"/>
    <n v="5"/>
    <n v="0"/>
    <n v="1.1500342215333816"/>
    <n v="9.509335837037336E-3"/>
    <n v="0.79436467615607143"/>
    <n v="5"/>
    <b v="1"/>
    <n v="0"/>
    <n v="0.35881802248113021"/>
    <n v="20.984588974743399"/>
    <n v="9.1869076390346319E-2"/>
    <n v="5"/>
    <n v="0"/>
    <n v="9.1869076390346311"/>
    <n v="5"/>
    <n v="-0.1516636889466042"/>
    <b v="1"/>
    <n v="0"/>
    <n v="5"/>
    <n v="0"/>
    <n v="1"/>
    <n v="0"/>
    <n v="0"/>
    <n v="0"/>
    <n v="0"/>
    <s v="Rural disperso"/>
    <n v="6"/>
    <s v="Uninodal"/>
    <m/>
    <s v="No"/>
    <s v="No"/>
    <n v="55.7"/>
    <n v="41.984692531010822"/>
    <n v="2.4113333333333342"/>
    <s v="Sin riesgo"/>
    <n v="4.2775437398316463"/>
    <s v="Medio Bajo"/>
    <n v="68446.918565999993"/>
    <n v="19090.268671000002"/>
    <n v="23959"/>
    <n v="2.8568353673358651"/>
    <n v="0.79678904257272853"/>
    <m/>
    <m/>
    <m/>
    <m/>
    <m/>
    <m/>
    <m/>
    <n v="50"/>
    <n v="0"/>
    <n v="6"/>
    <n v="1186092.978049"/>
    <n v="14327.051148"/>
    <n v="1.2079197342156527E-2"/>
    <s v="0% - 30%"/>
    <n v="4.1682792608184076E-4"/>
    <n v="162517.19386500001"/>
    <n v="0.13701893264078163"/>
    <s v="0% - 30%"/>
    <n v="0.89196883118945403"/>
    <s v="Aceptable"/>
    <n v="2"/>
    <s v="Candidato"/>
    <n v="1"/>
    <s v="Unidad Especial de Desarrollo Fronterizo"/>
  </r>
  <r>
    <n v="99624"/>
    <s v="99624"/>
    <x v="29"/>
    <x v="29"/>
    <s v="SANTA ROSALÍA"/>
    <n v="39.365966666666701"/>
    <n v="0"/>
    <n v="19.52"/>
    <n v="32.96"/>
    <n v="59.700333040836668"/>
    <n v="44.796275032673478"/>
    <n v="64.966509031804804"/>
    <n v="41.828299999999999"/>
    <n v="22.961491666666674"/>
    <n v="52.822854276328741"/>
    <n v="37.892172971497708"/>
    <n v="89.172361631650759"/>
    <n v="10.827638368349241"/>
    <n v="0.19744874531514317"/>
    <n v="0"/>
    <n v="7.4817620104866025"/>
    <n v="5"/>
    <n v="5"/>
    <b v="1"/>
    <x v="6"/>
    <n v="43.579197820645433"/>
    <n v="0.19763290398623484"/>
    <n v="8.6126834186847532"/>
    <n v="5"/>
    <n v="0"/>
    <n v="-5.6870248491477255"/>
    <n v="-1.8415867109167205E-4"/>
    <n v="-1.1309214081981507"/>
    <n v="5"/>
    <b v="1"/>
    <n v="0"/>
    <n v="0.35881802248113021"/>
    <n v="15.637001583317973"/>
    <n v="2.4976395012052642E-2"/>
    <n v="5"/>
    <n v="0"/>
    <n v="2.4976395012052643"/>
    <n v="5"/>
    <n v="-0.16136927716598704"/>
    <b v="1"/>
    <n v="0"/>
    <n v="5"/>
    <n v="0"/>
    <n v="0"/>
    <n v="0"/>
    <n v="0"/>
    <n v="0"/>
    <n v="0"/>
    <s v="Rural disperso"/>
    <n v="6"/>
    <s v="Fuera SC"/>
    <m/>
    <s v="No"/>
    <s v="No"/>
    <n v="56.8"/>
    <n v="36.962513781697908"/>
    <n v="25.326428571428572"/>
    <s v="Medio"/>
    <n v="2.2331116700072702"/>
    <s v="Medio Bajo"/>
    <n v="22604.482650000002"/>
    <n v="4440.5806210000001"/>
    <n v="4170"/>
    <n v="5.4207392446043166"/>
    <n v="1.0648874390887291"/>
    <m/>
    <m/>
    <m/>
    <m/>
    <m/>
    <m/>
    <m/>
    <n v="50"/>
    <n v="0"/>
    <n v="7"/>
    <n v="367802.47904200002"/>
    <n v="9900.9281219999993"/>
    <n v="2.691914461204432E-2"/>
    <s v="0% - 30%"/>
    <n v="2.8805532225343835E-4"/>
    <n v="15753.379702"/>
    <n v="4.2831086247793054E-2"/>
    <s v="0% - 30%"/>
    <n v="0.95287892680583353"/>
    <s v="Aceptable"/>
    <n v="1"/>
    <s v="Candidato"/>
    <n v="0"/>
    <n v="0"/>
  </r>
  <r>
    <n v="99773"/>
    <s v="99773"/>
    <x v="29"/>
    <x v="29"/>
    <s v="CUMARIBO"/>
    <n v="60.416699999999999"/>
    <n v="64.19"/>
    <n v="60.89"/>
    <n v="61.21"/>
    <n v="51.749126803011471"/>
    <n v="46.254515408637424"/>
    <n v="56.366147310167584"/>
    <n v="45.789900000000003"/>
    <n v="61.676674999999996"/>
    <n v="50.039922380454115"/>
    <n v="55.858298690227059"/>
    <n v="87.281835049628469"/>
    <n v="12.718164950371531"/>
    <n v="0.2144634845533438"/>
    <n v="0"/>
    <n v="11.979565378327575"/>
    <n v="5"/>
    <n v="5"/>
    <b v="1"/>
    <x v="6"/>
    <n v="54.397223242500907"/>
    <n v="0.18385458968060381"/>
    <n v="10.001179159014209"/>
    <n v="5"/>
    <n v="0"/>
    <n v="1.4610754477261523"/>
    <n v="3.0608894872739989E-2"/>
    <n v="1.9783862193133661"/>
    <n v="5"/>
    <b v="1"/>
    <n v="0"/>
    <n v="0.35881802248113021"/>
    <n v="19.51870407233875"/>
    <n v="7.3532401449599286E-2"/>
    <n v="5"/>
    <n v="0"/>
    <n v="7.3532401449599289"/>
    <n v="5"/>
    <n v="-0.14435453792778641"/>
    <b v="1"/>
    <n v="0"/>
    <n v="5"/>
    <n v="0"/>
    <n v="0"/>
    <n v="1"/>
    <n v="0"/>
    <n v="0"/>
    <n v="1"/>
    <s v="Rural disperso"/>
    <n v="4"/>
    <s v="Fuera SC"/>
    <m/>
    <s v="No"/>
    <s v="No"/>
    <n v="91.4"/>
    <n v="87.485608449717176"/>
    <n v="17.647241379310348"/>
    <s v="Medio"/>
    <n v="1.7444045712066758"/>
    <s v="Medio Bajo"/>
    <n v="121799.42507"/>
    <n v="16245.129692"/>
    <n v="104385"/>
    <n v="1.1668288074914979"/>
    <n v="0.15562705074483882"/>
    <m/>
    <m/>
    <m/>
    <m/>
    <m/>
    <m/>
    <m/>
    <n v="34"/>
    <n v="0"/>
    <n v="7"/>
    <n v="6518750.5245519998"/>
    <n v="615935.61737700005"/>
    <n v="9.4486760163187883E-2"/>
    <s v="0% - 30%"/>
    <n v="1.7919888980575945E-2"/>
    <n v="3653157.8841800001"/>
    <n v="0.56040768402178776"/>
    <s v="51% - 70%"/>
    <n v="0.91595182379844853"/>
    <s v="Aceptable"/>
    <n v="2"/>
    <s v="Candidato"/>
    <n v="1"/>
    <s v="Zona de Fronteras"/>
  </r>
  <r>
    <n v="95015"/>
    <s v="95015"/>
    <x v="27"/>
    <x v="27"/>
    <s v="CALAMAR"/>
    <n v="68.450366666666696"/>
    <n v="65.52"/>
    <n v="66.52"/>
    <n v="64.010000000000005"/>
    <n v="57.425513950281555"/>
    <n v="53.499756634122456"/>
    <n v="53.015028548692371"/>
    <n v="57.037799999999997"/>
    <n v="66.125091666666663"/>
    <n v="55.244524783274102"/>
    <n v="60.684808224970382"/>
    <n v="92.209480666036185"/>
    <n v="7.7905193339638146"/>
    <n v="0.17011467400567434"/>
    <n v="0"/>
    <n v="10.323376368287702"/>
    <n v="5"/>
    <n v="5"/>
    <b v="1"/>
    <x v="6"/>
    <n v="60.468541798917272"/>
    <n v="0.17757372535081289"/>
    <n v="10.737624233765086"/>
    <n v="5"/>
    <n v="0"/>
    <n v="0.21626642605311019"/>
    <n v="-7.4590513451385509E-3"/>
    <n v="-0.41424786547738357"/>
    <n v="5"/>
    <b v="1"/>
    <n v="0"/>
    <n v="0.35881802248113021"/>
    <n v="21.697202590605059"/>
    <n v="0.1007831215592204"/>
    <n v="5"/>
    <n v="0"/>
    <n v="10.07831215592204"/>
    <n v="5"/>
    <n v="-0.18870334847545586"/>
    <b v="1"/>
    <n v="0"/>
    <n v="5"/>
    <n v="0"/>
    <n v="0"/>
    <n v="0"/>
    <n v="0"/>
    <n v="1"/>
    <n v="1"/>
    <s v="Rural disperso"/>
    <n v="6"/>
    <s v="Fuera SC"/>
    <m/>
    <s v="No"/>
    <s v="No"/>
    <n v="58"/>
    <n v="40.177215189873415"/>
    <n v="20.57416666666667"/>
    <s v="Medio"/>
    <n v="31.746387362980936"/>
    <s v="Muy Alto"/>
    <n v="37246.313199999997"/>
    <n v="7578.5426542499999"/>
    <n v="9862"/>
    <n v="3.7767504765767588"/>
    <n v="0.76845899961975261"/>
    <m/>
    <m/>
    <m/>
    <m/>
    <m/>
    <m/>
    <m/>
    <n v="7"/>
    <n v="0"/>
    <n v="7"/>
    <n v="1351030.7599830001"/>
    <n v="1096318.4673649999"/>
    <n v="0.81146817662300652"/>
    <s v="71% - 100%"/>
    <n v="3.1896036969252195E-2"/>
    <n v="117013.61167300001"/>
    <n v="8.6610619934717387E-2"/>
    <s v="0% - 30%"/>
    <n v="0.91187244892454977"/>
    <s v="Aceptable"/>
    <n v="2"/>
    <s v="Candidato"/>
    <n v="0"/>
    <n v="0"/>
  </r>
  <r>
    <n v="81220"/>
    <s v="81220"/>
    <x v="25"/>
    <x v="25"/>
    <s v="CRAVO NORTE"/>
    <n v="40.476799999999997"/>
    <n v="37.950000000000003"/>
    <n v="52.09"/>
    <n v="61.92"/>
    <n v="22.957512306312751"/>
    <n v="52.029521847592733"/>
    <n v="63.407883003524368"/>
    <n v="43.332500000000003"/>
    <n v="48.109200000000001"/>
    <n v="45.431854289357467"/>
    <n v="46.770527144678738"/>
    <n v="91.685177562303238"/>
    <n v="8.3148224376967619"/>
    <n v="0.17483340193927088"/>
    <n v="0"/>
    <n v="8.1770503711971969"/>
    <n v="5"/>
    <n v="5"/>
    <b v="1"/>
    <x v="6"/>
    <n v="43.773077825359621"/>
    <n v="0.1776256037960583"/>
    <n v="7.7752193787413528"/>
    <n v="5"/>
    <n v="0"/>
    <n v="2.9974493193191165"/>
    <n v="-2.792201856787413E-3"/>
    <n v="0.40183099245584408"/>
    <n v="5"/>
    <b v="1"/>
    <n v="0"/>
    <n v="0.35881802248113021"/>
    <n v="15.706569223208151"/>
    <n v="2.5846612855874185E-2"/>
    <n v="5"/>
    <n v="0"/>
    <n v="2.5846612855874187"/>
    <n v="5"/>
    <n v="-0.18398462054185932"/>
    <b v="1"/>
    <n v="0"/>
    <n v="5"/>
    <n v="0"/>
    <n v="0"/>
    <n v="0"/>
    <n v="0"/>
    <n v="0"/>
    <n v="1"/>
    <s v="Rural disperso"/>
    <n v="6"/>
    <s v="Fuera SC"/>
    <m/>
    <s v="No"/>
    <s v="No"/>
    <n v="48.8"/>
    <n v="29.829857299670692"/>
    <n v="0.96714285714285708"/>
    <s v="Sin riesgo"/>
    <n v="3.5209848081148678"/>
    <s v="Medio Bajo"/>
    <n v="17369.928142000001"/>
    <n v="3810.6580482499999"/>
    <n v="4135"/>
    <n v="4.2007081359129383"/>
    <n v="0.92156180126964926"/>
    <m/>
    <m/>
    <m/>
    <m/>
    <m/>
    <m/>
    <m/>
    <n v="53"/>
    <n v="0"/>
    <n v="7"/>
    <n v="518913.96787300002"/>
    <n v="206810.71764799999"/>
    <n v="0.39854528968589115"/>
    <s v="31% - 50%"/>
    <n v="6.0169033835512468E-3"/>
    <n v="1971.412499"/>
    <n v="3.7991124175761003E-3"/>
    <s v="0% - 30%"/>
    <n v="0.87524177595576336"/>
    <s v="Aceptable"/>
    <n v="2"/>
    <s v="Candidato"/>
    <n v="1"/>
    <s v="Municipio Limítrofe"/>
  </r>
  <r>
    <n v="94343"/>
    <s v="94343"/>
    <x v="30"/>
    <x v="30"/>
    <s v="BARRANCOMINAS"/>
    <s v="N.D."/>
    <s v="N.D."/>
    <n v="33.6"/>
    <n v="37.94"/>
    <s v="N.D."/>
    <n v="37.541107949222791"/>
    <n v="47.317240268506097"/>
    <n v="40.499000000000002"/>
    <n v="35.769999999999996"/>
    <n v="41.785782739242961"/>
    <n v="38.777891369621479"/>
    <n v="94.201902313855726"/>
    <n v="5.7980976861442741"/>
    <n v="0.15218287917529846"/>
    <n v="0"/>
    <n v="5.9013311569759548"/>
    <n v="5"/>
    <n v="5"/>
    <b v="1"/>
    <x v="6"/>
    <n v="38.014587054432226"/>
    <n v="0.17254658869228745"/>
    <n v="6.5592873167882724"/>
    <n v="5"/>
    <n v="0"/>
    <n v="0.76330431518925224"/>
    <n v="-2.0363709516988987E-2"/>
    <n v="-0.65795615981231759"/>
    <n v="5"/>
    <b v="1"/>
    <n v="0"/>
    <n v="0.35881802248113021"/>
    <n v="13.640318952308144"/>
    <n v="0"/>
    <n v="5"/>
    <n v="0"/>
    <n v="0"/>
    <n v="5"/>
    <n v="-0.20663514330583174"/>
    <b v="1"/>
    <n v="0"/>
    <n v="5"/>
    <n v="0"/>
    <n v="0"/>
    <n v="0"/>
    <n v="0"/>
    <n v="0"/>
    <n v="0"/>
    <s v="Rural disperso"/>
    <n v="6"/>
    <s v="Fuera SC"/>
    <m/>
    <s v="No"/>
    <s v="No"/>
    <n v="86.5"/>
    <n v="76.260667183863461"/>
    <s v="Sin Información"/>
    <s v="Sin Información"/>
    <n v="3.9361180229749313"/>
    <s v="Medio Bajo"/>
    <n v="24421.997298999999"/>
    <n v="6646.4904070000002"/>
    <n v="11359"/>
    <n v="2.1500129676027817"/>
    <n v="0.58512988881063477"/>
    <m/>
    <m/>
    <m/>
    <m/>
    <m/>
    <m/>
    <m/>
    <n v="34"/>
    <n v="0"/>
    <n v="7"/>
    <n v="1434308.4278220001"/>
    <n v="491129.89686899999"/>
    <n v="0.34241582029520778"/>
    <s v="31% - 50%"/>
    <n v="1.428882009521347E-2"/>
    <n v="894454.85800999997"/>
    <n v="0.6236140293536665"/>
    <s v="51% - 70%"/>
    <n v="0.94699853793794153"/>
    <s v="Aceptable"/>
    <n v="1"/>
    <s v="Candidato"/>
    <n v="0"/>
    <n v="0"/>
  </r>
  <r>
    <n v="50325"/>
    <s v="50325"/>
    <x v="16"/>
    <x v="16"/>
    <s v="MAPIRIPÁN"/>
    <n v="55.433199999999999"/>
    <n v="43.81"/>
    <n v="40.42"/>
    <n v="44.68"/>
    <n v="51.474242508585519"/>
    <n v="48.284295413091932"/>
    <n v="54.322783369003602"/>
    <n v="49.997700000000002"/>
    <n v="46.085800000000006"/>
    <n v="51.019755322670264"/>
    <n v="48.552777661335135"/>
    <n v="94.051198230338002"/>
    <n v="5.9488017696619977"/>
    <n v="0.15353921592695799"/>
    <n v="0"/>
    <n v="7.4547554131973177"/>
    <n v="5"/>
    <n v="5"/>
    <b v="1"/>
    <x v="6"/>
    <n v="49.901336886953878"/>
    <n v="0.15350740159998302"/>
    <n v="7.6602245618816758"/>
    <n v="5"/>
    <n v="0"/>
    <n v="-1.3485592256187431"/>
    <n v="3.1814326974966001E-5"/>
    <n v="-0.20546914868435806"/>
    <n v="5"/>
    <b v="1"/>
    <n v="0"/>
    <n v="0.35881802248113021"/>
    <n v="17.90549902094147"/>
    <n v="5.3352906735029001E-2"/>
    <n v="5"/>
    <n v="0"/>
    <n v="5.3352906735029002"/>
    <n v="5"/>
    <n v="-0.20527880655417222"/>
    <b v="1"/>
    <n v="0"/>
    <n v="5"/>
    <n v="0"/>
    <n v="0"/>
    <n v="0"/>
    <n v="0"/>
    <n v="1"/>
    <n v="1"/>
    <s v="Rural disperso"/>
    <n v="6"/>
    <s v="Fuera SC"/>
    <m/>
    <s v="No"/>
    <s v="No"/>
    <n v="64.2"/>
    <n v="52.549427679500518"/>
    <n v="26.01"/>
    <s v="Medio"/>
    <n v="43.876309032001231"/>
    <s v="Muy Alto"/>
    <n v="32704.053543999999"/>
    <n v="7970.7351230000004"/>
    <n v="7280"/>
    <n v="4.4923150472527471"/>
    <n v="1.0948811982142859"/>
    <m/>
    <m/>
    <m/>
    <m/>
    <m/>
    <m/>
    <m/>
    <n v="7"/>
    <n v="0"/>
    <n v="7"/>
    <n v="1191742.6013480001"/>
    <n v="12946.714884999999"/>
    <n v="1.0863683878008349E-2"/>
    <s v="0% - 30%"/>
    <n v="3.7666874078555825E-4"/>
    <n v="38790.738138000001"/>
    <n v="3.2549594261481588E-2"/>
    <s v="0% - 30%"/>
    <n v="0.96100327792572204"/>
    <s v="Aceptable"/>
    <n v="1"/>
    <s v="Candidato"/>
    <n v="0"/>
    <n v="0"/>
  </r>
  <r>
    <n v="95200"/>
    <s v="95200"/>
    <x v="27"/>
    <x v="27"/>
    <s v="MIRAFLORES"/>
    <n v="50.5300333333333"/>
    <n v="76.87"/>
    <n v="59.88"/>
    <n v="62.5"/>
    <n v="35.870180651265812"/>
    <n v="39.060214451831484"/>
    <n v="46.229803745271475"/>
    <n v="40.946300000000001"/>
    <n v="62.445008333333327"/>
    <n v="40.526624712092193"/>
    <n v="51.48581652271276"/>
    <n v="96.347955607288668"/>
    <n v="3.652044392711332"/>
    <n v="0.13286839953440199"/>
    <n v="0"/>
    <n v="6.8408380400947149"/>
    <n v="5"/>
    <n v="5"/>
    <b v="1"/>
    <x v="6"/>
    <n v="51.230828337195305"/>
    <n v="0.13740568253456856"/>
    <n v="7.0394069344836367"/>
    <n v="5"/>
    <n v="0"/>
    <n v="0.25498818551745472"/>
    <n v="-4.5372830001665643E-3"/>
    <n v="-0.19856889438892189"/>
    <n v="5"/>
    <b v="1"/>
    <n v="0"/>
    <n v="0.35881802248113021"/>
    <n v="18.382544514022669"/>
    <n v="5.9320243000126609E-2"/>
    <n v="5"/>
    <n v="0"/>
    <n v="5.9320243000126611"/>
    <n v="5"/>
    <n v="-0.22594962294672821"/>
    <b v="1"/>
    <n v="0"/>
    <n v="5"/>
    <n v="0"/>
    <n v="0"/>
    <n v="0"/>
    <n v="0"/>
    <n v="1"/>
    <n v="1"/>
    <s v="Rural disperso"/>
    <n v="6"/>
    <s v="Fuera SC"/>
    <m/>
    <s v="No"/>
    <s v="No"/>
    <n v="66.7"/>
    <n v="40.069599801143426"/>
    <n v="14.588461538461541"/>
    <s v="Medio"/>
    <n v="54.868442268708762"/>
    <s v="Muy Alto"/>
    <n v="27726.830729000001"/>
    <n v="5975.0735135000004"/>
    <n v="7049"/>
    <n v="3.9334417263441623"/>
    <n v="0.84764839175769624"/>
    <m/>
    <m/>
    <m/>
    <m/>
    <m/>
    <m/>
    <m/>
    <n v="7"/>
    <n v="0"/>
    <n v="7"/>
    <n v="1277476.329557"/>
    <n v="1020593.039731"/>
    <n v="0.79891346408345476"/>
    <s v="71% - 100%"/>
    <n v="2.9692898819867773E-2"/>
    <n v="211499.58185700001"/>
    <n v="0.16556047025179974"/>
    <s v="0% - 30%"/>
    <n v="0.84563998806150642"/>
    <s v="Crítico bajo"/>
    <n v="2"/>
    <s v="Candidato"/>
    <n v="0"/>
    <n v="0"/>
  </r>
  <r>
    <n v="99524"/>
    <s v="99524"/>
    <x v="29"/>
    <x v="29"/>
    <s v="LA PRIMAVERA"/>
    <n v="50.487933333333302"/>
    <n v="43.5"/>
    <n v="35.6"/>
    <n v="44.03"/>
    <n v="49.258960551380866"/>
    <n v="49.811077651407814"/>
    <n v="49.539222252504132"/>
    <n v="46.2898"/>
    <n v="43.404483333333324"/>
    <n v="48.72476511382321"/>
    <n v="46.064624223578264"/>
    <n v="95.861097384120427"/>
    <n v="4.138902615879573"/>
    <n v="0.13725012354291616"/>
    <n v="0"/>
    <n v="6.3223753656441248"/>
    <n v="5"/>
    <n v="5"/>
    <b v="1"/>
    <x v="6"/>
    <n v="45.309744352755303"/>
    <n v="0.13557165279940425"/>
    <n v="6.1427169298215096"/>
    <n v="5"/>
    <n v="0"/>
    <n v="0.75487987082296115"/>
    <n v="1.6784707435119062E-3"/>
    <n v="0.1796584358226152"/>
    <n v="5"/>
    <b v="1"/>
    <n v="0"/>
    <n v="0.35881802248113021"/>
    <n v="16.257952867781214"/>
    <n v="3.2743841036337214E-2"/>
    <n v="5"/>
    <n v="0"/>
    <n v="3.2743841036337216"/>
    <n v="5"/>
    <n v="-0.22156789893821405"/>
    <b v="1"/>
    <n v="0"/>
    <n v="5"/>
    <n v="0"/>
    <n v="0"/>
    <n v="0"/>
    <n v="0"/>
    <n v="0"/>
    <n v="0"/>
    <s v="Rural disperso"/>
    <n v="6"/>
    <s v="Fuera SC"/>
    <m/>
    <s v="No"/>
    <s v="No"/>
    <n v="63.2"/>
    <n v="46.575805361567923"/>
    <n v="2.3346874999999998"/>
    <s v="Sin riesgo"/>
    <n v="1.8156945359581238"/>
    <s v="Medio Bajo"/>
    <n v="28572.780159000002"/>
    <n v="7591.2694380000003"/>
    <n v="10603"/>
    <n v="2.6947826236914083"/>
    <n v="0.7159548654154485"/>
    <m/>
    <m/>
    <m/>
    <m/>
    <m/>
    <m/>
    <m/>
    <n v="50"/>
    <n v="0"/>
    <n v="7"/>
    <n v="1836827.064054"/>
    <n v="71754.569722"/>
    <n v="3.9064412282576497E-2"/>
    <s v="0% - 30%"/>
    <n v="2.0876109239193526E-3"/>
    <n v="136169.55469799999"/>
    <n v="7.4133029375919965E-2"/>
    <s v="0% - 30%"/>
    <n v="0.9304335462312483"/>
    <s v="Aceptable"/>
    <n v="1"/>
    <s v="Candidato"/>
    <n v="1"/>
    <s v="Municipio Limítrofe"/>
  </r>
  <r>
    <n v="97161"/>
    <s v="97161"/>
    <x v="28"/>
    <x v="28"/>
    <s v="CARURÚ"/>
    <n v="56.323500000000003"/>
    <n v="44.48"/>
    <n v="31.24"/>
    <n v="35.94"/>
    <n v="43.468489158987111"/>
    <n v="48.199412801429268"/>
    <n v="15.03987130238017"/>
    <n v="43.957999999999998"/>
    <n v="41.995874999999998"/>
    <n v="37.666443315699134"/>
    <n v="39.831159157849569"/>
    <n v="97.61622100667303"/>
    <n v="2.3837789933269704"/>
    <n v="0.12145401093994274"/>
    <n v="0"/>
    <n v="4.8376540401080623"/>
    <n v="5"/>
    <n v="5"/>
    <b v="1"/>
    <x v="6"/>
    <n v="41.861185714440055"/>
    <n v="0.12733921002765966"/>
    <n v="5.3305703196979479"/>
    <n v="5"/>
    <n v="0"/>
    <n v="-2.0300265565904851"/>
    <n v="-5.8851990877169247E-3"/>
    <n v="-0.4929162795898856"/>
    <n v="5"/>
    <b v="1"/>
    <n v="0"/>
    <n v="0.35881802248113021"/>
    <n v="15.020547876770719"/>
    <n v="1.7265208946603057E-2"/>
    <n v="5"/>
    <n v="0"/>
    <n v="1.7265208946603057"/>
    <n v="5"/>
    <n v="-0.23736401154118747"/>
    <b v="1"/>
    <n v="0"/>
    <n v="5"/>
    <n v="0"/>
    <n v="0"/>
    <n v="0"/>
    <n v="0"/>
    <n v="0"/>
    <n v="1"/>
    <s v="Rural disperso"/>
    <n v="6"/>
    <s v="Fuera SC"/>
    <m/>
    <s v="No"/>
    <s v="No"/>
    <n v="81.099999999999994"/>
    <n v="44.351669941060905"/>
    <s v="Sin Información"/>
    <s v="Sin Información"/>
    <n v="0.6606437472331399"/>
    <s v="Medio Bajo"/>
    <n v="15351.986181"/>
    <n v="4818.750736"/>
    <n v="3025"/>
    <n v="5.0750367540495871"/>
    <n v="1.5929754499173554"/>
    <m/>
    <m/>
    <m/>
    <m/>
    <m/>
    <m/>
    <m/>
    <n v="7"/>
    <n v="0"/>
    <n v="7"/>
    <n v="634902.55186999997"/>
    <n v="339779.12264700001"/>
    <n v="0.53516736016611854"/>
    <s v="51% - 70%"/>
    <n v="9.8854555313447976E-3"/>
    <n v="294858.85500099999"/>
    <n v="0.4644159235658169"/>
    <s v="31% - 50%"/>
    <n v="0.92298506275616643"/>
    <s v="Aceptable"/>
    <n v="1"/>
    <s v="Candidato"/>
    <n v="0"/>
    <n v="0"/>
  </r>
  <r>
    <n v="97666"/>
    <s v="97666"/>
    <x v="28"/>
    <x v="28"/>
    <s v="TARAIRA"/>
    <n v="54.3243333333333"/>
    <n v="39.119999999999997"/>
    <n v="50.94"/>
    <n v="46.46"/>
    <n v="44.270879644326683"/>
    <n v="44.62123314833083"/>
    <n v="53.1202907569064"/>
    <n v="47.290700000000001"/>
    <n v="47.711083333333328"/>
    <n v="47.325775887390975"/>
    <n v="47.518429610362148"/>
    <n v="98.306726599962403"/>
    <n v="1.6932734000375973"/>
    <n v="0.11523946060033838"/>
    <n v="0"/>
    <n v="5.4759981968732809"/>
    <n v="5"/>
    <n v="5"/>
    <b v="1"/>
    <x v="6"/>
    <n v="46.251666735179711"/>
    <n v="0.10269691949535961"/>
    <n v="4.7499036952289533"/>
    <n v="5"/>
    <n v="0"/>
    <n v="1.2667628751824367"/>
    <n v="1.2542541104978766E-2"/>
    <n v="0.72609450164432765"/>
    <n v="5"/>
    <b v="1"/>
    <n v="0"/>
    <n v="0.35881802248113021"/>
    <n v="16.595931594373457"/>
    <n v="3.6971598642847325E-2"/>
    <n v="5"/>
    <n v="0"/>
    <n v="3.6971598642847328"/>
    <n v="5"/>
    <n v="-0.24357856188079183"/>
    <b v="1"/>
    <n v="0"/>
    <n v="5"/>
    <n v="0"/>
    <n v="0"/>
    <n v="0"/>
    <n v="0"/>
    <n v="0"/>
    <n v="0"/>
    <s v="Rural disperso"/>
    <n v="6"/>
    <s v="Fuera SC"/>
    <m/>
    <s v="No"/>
    <s v="No"/>
    <n v="85.6"/>
    <n v="78.937381404174573"/>
    <s v="Sin Información"/>
    <s v="Sin Información"/>
    <n v="7.1221566650342654"/>
    <s v="Medio"/>
    <n v="24499.463602"/>
    <n v="9637.4900710000002"/>
    <n v="2831"/>
    <n v="8.6539963270928997"/>
    <n v="3.4042706008477572"/>
    <m/>
    <m/>
    <m/>
    <m/>
    <m/>
    <m/>
    <m/>
    <n v="57"/>
    <n v="0"/>
    <n v="7"/>
    <n v="649449.659613"/>
    <n v="630358.89992300002"/>
    <n v="0.97060471214754973"/>
    <s v="71% - 100%"/>
    <n v="1.8339516640785758E-2"/>
    <n v="584957.55182599998"/>
    <n v="0.90069729526776543"/>
    <s v="71% - 100%"/>
    <n v="0.9356764668962918"/>
    <s v="Aceptable"/>
    <n v="1"/>
    <s v="Candidato"/>
    <n v="1"/>
    <s v="Zona de Fronteras"/>
  </r>
  <r>
    <n v="18756"/>
    <s v="18756"/>
    <x v="24"/>
    <x v="24"/>
    <s v="SOLANO"/>
    <n v="54.251533333333299"/>
    <n v="47.02"/>
    <n v="47.13"/>
    <n v="53.61"/>
    <n v="52.277856554950041"/>
    <n v="50.922027221954146"/>
    <n v="42.653462419491554"/>
    <n v="50.953000000000003"/>
    <n v="50.50288333333333"/>
    <n v="49.201586549098934"/>
    <n v="49.852234941216132"/>
    <n v="100"/>
    <n v="0"/>
    <n v="0.1"/>
    <n v="0"/>
    <n v="4.9852234941216134"/>
    <n v="5"/>
    <n v="5"/>
    <b v="1"/>
    <x v="6"/>
    <n v="50.494433340057384"/>
    <n v="0.10000009"/>
    <n v="5.049447878504739"/>
    <n v="5"/>
    <n v="0"/>
    <n v="-0.64219839884125207"/>
    <n v="-8.9999999994261337E-8"/>
    <n v="-6.422438438312561E-2"/>
    <n v="5"/>
    <b v="1"/>
    <n v="0"/>
    <n v="0.35881802248113021"/>
    <n v="18.11831271738464"/>
    <n v="5.6014981750752181E-2"/>
    <n v="5"/>
    <n v="0"/>
    <n v="5.6014981750752177"/>
    <n v="5"/>
    <n v="-0.25881802248113017"/>
    <b v="1"/>
    <n v="0"/>
    <n v="5"/>
    <n v="0"/>
    <n v="0"/>
    <n v="0"/>
    <n v="0"/>
    <n v="1"/>
    <n v="1"/>
    <s v="Rural disperso"/>
    <n v="6"/>
    <s v="Fuera SC"/>
    <m/>
    <s v="No"/>
    <s v="No"/>
    <n v="71.900000000000006"/>
    <n v="44.716804005424009"/>
    <n v="13.752857142857144"/>
    <s v="Bajo"/>
    <n v="9.4222598013576615"/>
    <s v="Medio"/>
    <n v="28105.743226999999"/>
    <n v="5504.6892909999997"/>
    <n v="10830"/>
    <n v="2.5951748132040628"/>
    <n v="0.5082815596491228"/>
    <m/>
    <m/>
    <m/>
    <m/>
    <m/>
    <m/>
    <m/>
    <n v="81"/>
    <n v="0"/>
    <n v="7"/>
    <n v="4223342.854793"/>
    <n v="3413627.469724"/>
    <n v="0.80827618952364522"/>
    <s v="71% - 100%"/>
    <n v="9.9315291327042352E-2"/>
    <n v="1429483.5799"/>
    <n v="0.33847206562396498"/>
    <s v="31% - 50%"/>
    <n v="0.936705386436396"/>
    <s v="Aceptable"/>
    <n v="1"/>
    <s v="Candidato"/>
    <n v="0"/>
    <n v="0"/>
  </r>
  <r>
    <n v="27493"/>
    <s v="27493"/>
    <x v="26"/>
    <x v="26"/>
    <s v="NUEVO BELÉN DE BAJIRÁ"/>
    <s v="N.D."/>
    <s v="N.D."/>
    <s v="N.D."/>
    <s v="N.D."/>
    <s v="N.D."/>
    <s v="N.D."/>
    <s v="N.D."/>
    <n v="54.026200000000003"/>
    <s v="N.D."/>
    <n v="54.026200000000003"/>
    <n v="54.026200000000003"/>
    <n v="63.089765813667675"/>
    <n v="36.910234186332325"/>
    <n v="0.4321921076769909"/>
    <n v="0"/>
    <n v="23.349697247778646"/>
    <n v="4"/>
    <n v="4"/>
    <b v="1"/>
    <x v="5"/>
    <s v="N.D."/>
    <n v="0.42988415387001222"/>
    <s v="N.D."/>
    <s v="N.D."/>
    <n v="0"/>
    <s v="N.D."/>
    <n v="2.3079538069786798E-3"/>
    <n v="0"/>
    <n v="4"/>
    <b v="1"/>
    <n v="0"/>
    <n v="0.6523467210059386"/>
    <s v="N.D."/>
    <s v="N.D."/>
    <s v="N.D."/>
    <n v="0"/>
    <s v="N.D"/>
    <n v="4"/>
    <n v="-0.2201546133289477"/>
    <b v="1"/>
    <n v="0"/>
    <s v="N.D."/>
    <n v="0"/>
    <n v="0"/>
    <n v="0"/>
    <n v="0"/>
    <n v="0"/>
    <n v="0"/>
    <s v="N.D."/>
    <s v="N.D."/>
    <s v="N.D."/>
    <m/>
    <s v="No"/>
    <s v="No"/>
    <s v="N.D."/>
    <s v="N.D."/>
    <s v="Sin Información"/>
    <s v="Sin Información"/>
    <s v="N.D."/>
    <s v="N.D."/>
    <n v="22856.309518999999"/>
    <n v="4344.9283814999999"/>
    <n v="29812"/>
    <n v="0.76668152150140878"/>
    <n v="0.14574427685160338"/>
    <m/>
    <m/>
    <m/>
    <m/>
    <m/>
    <m/>
    <m/>
    <s v="N.D."/>
    <s v="N.D."/>
    <s v="N.D."/>
    <s v="N.D."/>
    <s v="N.D."/>
    <s v="N.D."/>
    <s v="N.D."/>
    <s v="N.D."/>
    <s v="N.D."/>
    <s v="N.D."/>
    <s v="N.D."/>
    <n v="0.86048249495318174"/>
    <s v="Aceptable"/>
    <n v="2"/>
    <s v="Candidato"/>
    <n v="0"/>
    <n v="0"/>
  </r>
  <r>
    <n v="88564"/>
    <s v="88564"/>
    <x v="31"/>
    <x v="31"/>
    <s v="PROVIDENCIA"/>
    <n v="57.8547333333333"/>
    <n v="58.91"/>
    <n v="37.06"/>
    <n v="31.03"/>
    <n v="45.66876363703534"/>
    <n v="61.300066395141712"/>
    <n v="25.13632215892062"/>
    <n v="55.231299999999997"/>
    <n v="46.213683333333329"/>
    <n v="46.834113047774416"/>
    <n v="46.523898190553872"/>
    <n v="49.818423983427657"/>
    <n v="50.181576016572343"/>
    <n v="0.55163418414915111"/>
    <n v="0"/>
    <n v="25.664172621784353"/>
    <n v="4"/>
    <n v="4"/>
    <b v="1"/>
    <x v="5"/>
    <n v="50.005319126844341"/>
    <n v="0.55839371054370079"/>
    <n v="27.922655694160504"/>
    <n v="3"/>
    <n v="-1"/>
    <n v="-3.4814209362904691"/>
    <n v="-6.7595263945496864E-3"/>
    <n v="-2.2584830723761513"/>
    <n v="4"/>
    <b v="1"/>
    <s v="Efecto ponderador"/>
    <n v="0.81759069605862034"/>
    <n v="40.883883671550109"/>
    <n v="0.34078827721362531"/>
    <n v="4"/>
    <n v="0"/>
    <n v="34.078827721362529"/>
    <n v="4"/>
    <n v="-0.26595651190946923"/>
    <b v="1"/>
    <n v="0"/>
    <n v="3"/>
    <n v="-1"/>
    <n v="0"/>
    <n v="0"/>
    <n v="0"/>
    <n v="0"/>
    <n v="0"/>
    <s v="Intermedio"/>
    <n v="5"/>
    <s v="Fuera SC"/>
    <m/>
    <s v="No"/>
    <s v="No"/>
    <n v="13.7"/>
    <n v="8.5368536853685377"/>
    <n v="0.20333333333333334"/>
    <s v="Sin riesgo"/>
    <n v="0"/>
    <s v="Bajo"/>
    <n v="81987.578221999996"/>
    <n v="75693.906583000004"/>
    <n v="6285"/>
    <n v="13.04496073540175"/>
    <n v="12.043580999681783"/>
    <m/>
    <m/>
    <m/>
    <m/>
    <m/>
    <m/>
    <m/>
    <n v="100"/>
    <n v="0"/>
    <n v="7"/>
    <n v="2248.9786600000002"/>
    <n v="876.51407400000005"/>
    <n v="0.38973872433275997"/>
    <s v="31% - 50%"/>
    <n v="2.55010985772859E-5"/>
    <s v="N.D."/>
    <s v="N.D."/>
    <s v="N.D."/>
    <n v="0.8312607512150334"/>
    <s v="Crítico bajo"/>
    <n v="1"/>
    <s v="Candidato"/>
    <n v="1"/>
    <s v="Unidad Especial de Desarrollo Fronterizo"/>
  </r>
  <r>
    <n v="91001"/>
    <s v="91001"/>
    <x v="32"/>
    <x v="32"/>
    <s v="LETICIA"/>
    <n v="50.219066666666698"/>
    <n v="44.8"/>
    <n v="37.979999999999997"/>
    <n v="47.67"/>
    <n v="56.994926873910025"/>
    <n v="55.390677669811353"/>
    <n v="60.207440992802653"/>
    <n v="50.196300000000001"/>
    <n v="45.167266666666677"/>
    <n v="55.697336384131006"/>
    <n v="50.432301525398842"/>
    <n v="76.64309165746559"/>
    <n v="23.35690834253441"/>
    <n v="0.31021217508280974"/>
    <n v="0"/>
    <n v="15.644713950626079"/>
    <n v="5"/>
    <n v="5"/>
    <b v="1"/>
    <x v="6"/>
    <n v="51.357746741222812"/>
    <n v="0.31125979176155089"/>
    <n v="15.985601556015482"/>
    <n v="5"/>
    <n v="0"/>
    <n v="-0.9254452158239701"/>
    <n v="-1.0476166787411478E-3"/>
    <n v="-0.34088760538940299"/>
    <n v="5"/>
    <b v="1"/>
    <n v="0"/>
    <n v="0.35881802248113021"/>
    <n v="18.428085124772277"/>
    <n v="5.9889908036275634E-2"/>
    <n v="5"/>
    <n v="0"/>
    <n v="5.988990803627563"/>
    <n v="5"/>
    <n v="-4.8605847398320468E-2"/>
    <b v="1"/>
    <n v="0"/>
    <n v="5"/>
    <n v="0"/>
    <n v="1"/>
    <n v="0"/>
    <n v="0"/>
    <n v="0"/>
    <n v="0"/>
    <s v="Rural"/>
    <n v="5"/>
    <s v="Uninodal"/>
    <m/>
    <s v="No"/>
    <s v="No"/>
    <n v="48.4"/>
    <n v="27.357347166335387"/>
    <n v="4.9490909090909092"/>
    <s v="Sin riesgo"/>
    <n v="3.4116148539817583"/>
    <s v="Medio Bajo"/>
    <n v="76352.479344000007"/>
    <n v="35800.885495000002"/>
    <n v="53059"/>
    <n v="1.4390109000169624"/>
    <n v="0.67473728293032287"/>
    <m/>
    <m/>
    <m/>
    <m/>
    <m/>
    <m/>
    <m/>
    <n v="57"/>
    <n v="1"/>
    <n v="6"/>
    <n v="601030.24725000001"/>
    <n v="385653.69250100001"/>
    <n v="0.64165438306233269"/>
    <s v="51% - 70%"/>
    <n v="1.1220119700168448E-2"/>
    <n v="584593.32305999997"/>
    <n v="0.97265208487391974"/>
    <s v="71% - 100%"/>
    <n v="0.87980317610362069"/>
    <s v="Aceptable"/>
    <n v="1"/>
    <s v="Candidato"/>
    <n v="1"/>
    <s v="Unidad Especial de Desarrollo Fronterizo"/>
  </r>
  <r>
    <n v="91540"/>
    <s v="91540"/>
    <x v="32"/>
    <x v="32"/>
    <s v="PUERTO NARIÑO"/>
    <n v="60.758600000000001"/>
    <n v="35.799999999999997"/>
    <n v="45.56"/>
    <n v="32.799999999999997"/>
    <n v="37.499201827671726"/>
    <n v="36.134049249467793"/>
    <n v="46.996226868925959"/>
    <n v="37.734099999999998"/>
    <n v="43.729650000000007"/>
    <n v="39.590894486516369"/>
    <n v="41.660272243258191"/>
    <n v="77.721163017988687"/>
    <n v="22.278836982011313"/>
    <n v="0.30050953283810183"/>
    <n v="0"/>
    <n v="12.519308949729659"/>
    <n v="5"/>
    <n v="5"/>
    <b v="1"/>
    <x v="6"/>
    <n v="45.720679216165031"/>
    <n v="0.29650362777272499"/>
    <n v="13.55634725182596"/>
    <n v="5"/>
    <n v="0"/>
    <n v="-4.0604069729068399"/>
    <n v="4.0059050653768469E-3"/>
    <n v="-1.0370383020963008"/>
    <n v="5"/>
    <b v="1"/>
    <n v="0"/>
    <n v="0.35881802248113021"/>
    <n v="16.405403702838449"/>
    <n v="3.458829555507259E-2"/>
    <n v="5"/>
    <n v="0"/>
    <n v="3.458829555507259"/>
    <n v="5"/>
    <n v="-5.8308489643028372E-2"/>
    <b v="1"/>
    <n v="0"/>
    <n v="5"/>
    <n v="0"/>
    <n v="0"/>
    <n v="0"/>
    <n v="0"/>
    <n v="0"/>
    <n v="0"/>
    <s v="Rural disperso"/>
    <n v="6"/>
    <s v="Fuera SC"/>
    <m/>
    <s v="No"/>
    <s v="No"/>
    <n v="70.400000000000006"/>
    <n v="41.741460147354317"/>
    <n v="8.8740339418618817"/>
    <s v="Bajo"/>
    <n v="0.27426215225689499"/>
    <s v="Medio Bajo"/>
    <n v="22848.380063000001"/>
    <n v="5302.8932679999998"/>
    <n v="11184"/>
    <n v="2.0429524376788271"/>
    <n v="0.47414997031473533"/>
    <m/>
    <m/>
    <m/>
    <m/>
    <m/>
    <m/>
    <m/>
    <n v="57"/>
    <n v="0"/>
    <n v="7"/>
    <n v="145558.351673"/>
    <n v="7572.0835440000001"/>
    <n v="5.2020948691496934E-2"/>
    <s v="0% - 30%"/>
    <n v="2.2030045451499318E-4"/>
    <n v="140545.48905500001"/>
    <n v="0.96556114739976251"/>
    <s v="71% - 100%"/>
    <n v="0.88078795106472785"/>
    <s v="Aceptable"/>
    <n v="1"/>
    <s v="Candidato"/>
    <n v="1"/>
    <s v="Unidad Especial de Desarrollo Fronterizo"/>
  </r>
  <r>
    <n v="94001"/>
    <s v="94001"/>
    <x v="30"/>
    <x v="30"/>
    <s v="INÍRIDA"/>
    <n v="65.897433333333296"/>
    <n v="58"/>
    <n v="61.64"/>
    <n v="62.14"/>
    <n v="49.650212162510009"/>
    <n v="53.16260981601647"/>
    <n v="61.513702826537234"/>
    <n v="53.1877"/>
    <n v="61.919358333333321"/>
    <n v="54.37855620126593"/>
    <n v="58.148957267299622"/>
    <n v="86.63418649063847"/>
    <n v="13.36581350936153"/>
    <n v="0.22029232158425377"/>
    <n v="0"/>
    <n v="12.809768794116998"/>
    <n v="5"/>
    <n v="5"/>
    <b v="1"/>
    <x v="6"/>
    <n v="59.317549910421889"/>
    <n v="0.21512137931324304"/>
    <n v="12.760473154212093"/>
    <n v="5"/>
    <n v="0"/>
    <n v="-1.1685926431222668"/>
    <n v="5.1709422710107256E-3"/>
    <n v="4.9295639904904931E-2"/>
    <n v="5"/>
    <b v="1"/>
    <n v="0"/>
    <n v="0.35881802248113021"/>
    <n v="21.284205957283323"/>
    <n v="9.5616969015851691E-2"/>
    <n v="5"/>
    <n v="0"/>
    <n v="9.5616969015851687"/>
    <n v="5"/>
    <n v="-0.13852570089687644"/>
    <b v="1"/>
    <n v="0"/>
    <n v="5"/>
    <n v="0"/>
    <n v="1"/>
    <n v="0"/>
    <n v="0"/>
    <n v="0"/>
    <n v="0"/>
    <s v="Rural"/>
    <n v="6"/>
    <s v="Uninodal"/>
    <m/>
    <s v="No"/>
    <s v="No"/>
    <n v="67.2"/>
    <n v="50.799940745129987"/>
    <n v="32.76"/>
    <s v="Medio"/>
    <n v="1.2210277977343658"/>
    <s v="Medio Bajo"/>
    <n v="75006.030503999995"/>
    <n v="15631.507653999999"/>
    <n v="38710"/>
    <n v="1.9376396410229912"/>
    <n v="0.40381058264014463"/>
    <m/>
    <m/>
    <m/>
    <m/>
    <m/>
    <m/>
    <m/>
    <n v="34"/>
    <n v="1"/>
    <n v="5"/>
    <n v="1587886.8989530001"/>
    <n v="413299.23490099999"/>
    <n v="0.26028253975362842"/>
    <s v="0% - 30%"/>
    <n v="1.2024432743024319E-2"/>
    <n v="1533574.0993300001"/>
    <n v="0.96579554900363995"/>
    <s v="71% - 100%"/>
    <n v="0.97003574770155465"/>
    <s v="Aceptable"/>
    <n v="2"/>
    <s v="No es Candidato"/>
    <n v="1"/>
    <s v="Unidad Especial de Desarrollo Fronteriz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E9215-0FF1-4E64-B52A-5104D4A2F0E6}" name="TablaDinámica1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15:I250" firstHeaderRow="1" firstDataRow="2" firstDataCol="1"/>
  <pivotFields count="94">
    <pivotField showAll="0"/>
    <pivotField showAll="0"/>
    <pivotField showAll="0">
      <items count="34">
        <item x="1"/>
        <item x="2"/>
        <item x="4"/>
        <item x="8"/>
        <item x="10"/>
        <item x="11"/>
        <item x="24"/>
        <item x="13"/>
        <item x="20"/>
        <item x="14"/>
        <item x="5"/>
        <item x="26"/>
        <item x="19"/>
        <item x="21"/>
        <item x="17"/>
        <item x="16"/>
        <item x="18"/>
        <item x="12"/>
        <item x="7"/>
        <item x="6"/>
        <item x="0"/>
        <item x="9"/>
        <item x="15"/>
        <item x="3"/>
        <item x="25"/>
        <item x="23"/>
        <item x="22"/>
        <item x="31"/>
        <item x="32"/>
        <item x="30"/>
        <item x="27"/>
        <item x="28"/>
        <item x="29"/>
        <item t="default"/>
      </items>
    </pivotField>
    <pivotField axis="axisRow" showAll="0">
      <items count="34">
        <item x="32"/>
        <item x="1"/>
        <item x="25"/>
        <item x="31"/>
        <item x="2"/>
        <item x="4"/>
        <item x="8"/>
        <item x="10"/>
        <item x="11"/>
        <item x="24"/>
        <item x="23"/>
        <item x="13"/>
        <item x="20"/>
        <item x="26"/>
        <item x="14"/>
        <item x="5"/>
        <item x="30"/>
        <item x="27"/>
        <item x="19"/>
        <item x="21"/>
        <item x="17"/>
        <item x="16"/>
        <item x="18"/>
        <item x="12"/>
        <item x="22"/>
        <item x="7"/>
        <item x="6"/>
        <item x="0"/>
        <item x="9"/>
        <item x="15"/>
        <item x="3"/>
        <item x="28"/>
        <item x="29"/>
        <item t="default"/>
      </items>
    </pivotField>
    <pivotField showAll="0"/>
    <pivotField showAll="0"/>
    <pivotField showAll="0"/>
    <pivotField showAll="0"/>
    <pivotField showAll="0"/>
    <pivotField showAll="0"/>
    <pivotField showAll="0"/>
    <pivotField showAll="0"/>
    <pivotField numFmtId="2" showAll="0"/>
    <pivotField showAll="0"/>
    <pivotField numFmtId="2" showAll="0"/>
    <pivotField numFmtId="2" showAll="0"/>
    <pivotField numFmtId="2" showAll="0"/>
    <pivotField numFmtId="1" showAll="0"/>
    <pivotField showAll="0"/>
    <pivotField showAll="0"/>
    <pivotField showAll="0"/>
    <pivotField showAll="0"/>
    <pivotField showAll="0"/>
    <pivotField showAll="0"/>
    <pivotField axis="axisCol" dataField="1" showAll="0">
      <items count="8">
        <item x="0"/>
        <item x="3"/>
        <item x="4"/>
        <item x="5"/>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4"/>
  </colFields>
  <colItems count="8">
    <i>
      <x/>
    </i>
    <i>
      <x v="1"/>
    </i>
    <i>
      <x v="2"/>
    </i>
    <i>
      <x v="3"/>
    </i>
    <i>
      <x v="4"/>
    </i>
    <i>
      <x v="5"/>
    </i>
    <i>
      <x v="6"/>
    </i>
    <i t="grand">
      <x/>
    </i>
  </colItems>
  <dataFields count="1">
    <dataField name="Cuenta de Tipología_2026_CortesArcMap"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7FD4C-E9EF-4033-94C4-2DBC482060BB}"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6:C22" firstHeaderRow="0" firstDataRow="1" firstDataCol="1" rowPageCount="1" colPageCount="1"/>
  <pivotFields count="53">
    <pivotField showAll="0"/>
    <pivotField showAll="0"/>
    <pivotField showAll="0"/>
    <pivotField showAll="0"/>
    <pivotField showAll="0"/>
    <pivotField showAll="0"/>
    <pivotField axis="axisPage" multipleItemSelectionAllowed="1" showAll="0">
      <items count="10">
        <item x="0"/>
        <item x="4"/>
        <item x="5"/>
        <item x="6"/>
        <item x="7"/>
        <item h="1" x="2"/>
        <item h="1" x="1"/>
        <item h="1" x="8"/>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axis="axisRow" numFmtId="1" showAll="0">
      <items count="6">
        <item x="0"/>
        <item x="1"/>
        <item x="2"/>
        <item x="3"/>
        <item x="4"/>
        <item t="default"/>
      </items>
    </pivotField>
    <pivotField dataField="1" numFmtId="1"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s>
  <rowFields count="1">
    <field x="26"/>
  </rowFields>
  <rowItems count="6">
    <i>
      <x/>
    </i>
    <i>
      <x v="1"/>
    </i>
    <i>
      <x v="2"/>
    </i>
    <i>
      <x v="3"/>
    </i>
    <i>
      <x v="4"/>
    </i>
    <i t="grand">
      <x/>
    </i>
  </rowItems>
  <colFields count="1">
    <field x="-2"/>
  </colFields>
  <colItems count="2">
    <i>
      <x/>
    </i>
    <i i="1">
      <x v="1"/>
    </i>
  </colItems>
  <pageFields count="1">
    <pageField fld="6" hier="-1"/>
  </pageFields>
  <dataFields count="2">
    <dataField name="Promedio de IDDr" fld="27" subtotal="average" baseField="25" baseItem="0"/>
    <dataField name="Promedio de IC" fld="24" subtotal="average" baseField="25" baseItem="0"/>
  </dataFields>
  <formats count="2">
    <format dxfId="8">
      <pivotArea field="26" type="button" dataOnly="0" labelOnly="1" outline="0" axis="axisRow" fieldPosition="0"/>
    </format>
    <format dxfId="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D5FFD-F4E4-427C-B2D2-FD8CCB7569A2}"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2:C16" firstHeaderRow="0" firstDataRow="1" firstDataCol="1"/>
  <pivotFields count="65">
    <pivotField showAll="0"/>
    <pivotField showAll="0"/>
    <pivotField showAll="0"/>
    <pivotField showAll="0"/>
    <pivotField showAll="0"/>
    <pivotField numFmtId="2" showAll="0"/>
    <pivotField numFmtId="2" showAll="0"/>
    <pivotField numFmtId="2" showAll="0"/>
    <pivotField showAll="0"/>
    <pivotField numFmtId="164" showAll="0"/>
    <pivotField numFmtId="164" showAll="0"/>
    <pivotField showAll="0"/>
    <pivotField showAll="0"/>
    <pivotField numFmtId="2" showAll="0"/>
    <pivotField numFmtId="2" showAll="0"/>
    <pivotField numFmtId="2" showAll="0"/>
    <pivotField showAll="0"/>
    <pivotField showAll="0"/>
    <pivotField showAll="0"/>
    <pivotField showAll="0"/>
    <pivotField showAll="0"/>
    <pivotField numFmtId="164" showAll="0"/>
    <pivotField numFmtId="2" showAll="0"/>
    <pivotField dataField="1" numFmtId="2" showAll="0"/>
    <pivotField numFmtId="2" showAll="0"/>
    <pivotField numFmtId="2" showAll="0"/>
    <pivotField numFmtId="2" showAll="0"/>
    <pivotField showAll="0"/>
    <pivotField showAll="0"/>
    <pivotField numFmtId="2" showAll="0"/>
    <pivotField numFmtId="2" showAll="0"/>
    <pivotField showAll="0"/>
    <pivotField showAll="0"/>
    <pivotField showAll="0"/>
    <pivotField showAll="0"/>
    <pivotField showAll="0"/>
    <pivotField showAll="0"/>
    <pivotField showAll="0"/>
    <pivotField numFmtId="2" showAll="0"/>
    <pivotField numFmtId="2" showAll="0">
      <items count="4">
        <item x="0"/>
        <item x="1"/>
        <item x="2"/>
        <item t="default"/>
      </items>
    </pivotField>
    <pivotField showAll="0"/>
    <pivotField dataField="1" numFmtId="2" showAll="0"/>
    <pivotField axis="axisRow" numFmtId="1" showAll="0">
      <items count="4">
        <item x="0"/>
        <item x="1"/>
        <item x="2"/>
        <item t="default"/>
      </items>
    </pivotField>
    <pivotField showAll="0"/>
    <pivotField showAll="0"/>
    <pivotField numFmtId="2" showAll="0"/>
    <pivotField showAll="0"/>
    <pivotField showAll="0"/>
    <pivotField showAll="0"/>
    <pivotField showAll="0"/>
    <pivotField numFmtId="2" showAll="0"/>
    <pivotField showAll="0"/>
    <pivotField showAll="0"/>
    <pivotField showAll="0"/>
    <pivotField showAll="0"/>
    <pivotField showAll="0"/>
    <pivotField numFmtId="2" showAll="0"/>
    <pivotField numFmtId="164" showAll="0"/>
    <pivotField showAll="0"/>
    <pivotField numFmtId="4" showAll="0"/>
    <pivotField numFmtId="10" showAll="0"/>
    <pivotField showAll="0"/>
    <pivotField numFmtId="4" showAll="0"/>
    <pivotField numFmtId="10" showAll="0"/>
    <pivotField showAll="0"/>
  </pivotFields>
  <rowFields count="1">
    <field x="42"/>
  </rowFields>
  <rowItems count="4">
    <i>
      <x/>
    </i>
    <i>
      <x v="1"/>
    </i>
    <i>
      <x v="2"/>
    </i>
    <i t="grand">
      <x/>
    </i>
  </rowItems>
  <colFields count="1">
    <field x="-2"/>
  </colFields>
  <colItems count="2">
    <i>
      <x/>
    </i>
    <i i="1">
      <x v="1"/>
    </i>
  </colItems>
  <dataFields count="2">
    <dataField name="Promedio de IDDr_2025" fld="41" subtotal="average" baseField="40" baseItem="0"/>
    <dataField name="Promedio de IC 2025" fld="23" subtotal="average" baseField="26" baseItem="0"/>
  </dataFields>
  <formats count="6">
    <format dxfId="6">
      <pivotArea type="all" dataOnly="0" outline="0" fieldPosition="0"/>
    </format>
    <format dxfId="5">
      <pivotArea outline="0" collapsedLevelsAreSubtotals="1" fieldPosition="0"/>
    </format>
    <format dxfId="4">
      <pivotArea field="42" type="button" dataOnly="0" labelOnly="1" outline="0" axis="axisRow" fieldPosition="0"/>
    </format>
    <format dxfId="3">
      <pivotArea dataOnly="0" labelOnly="1" fieldPosition="0">
        <references count="1">
          <reference field="42"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63DDF5-C14D-4314-B6EC-9A67E541D388}" name="Tabla1" displayName="Tabla1" ref="A55:E112" totalsRowShown="0" headerRowDxfId="16" dataDxfId="15">
  <autoFilter ref="A55:E112" xr:uid="{C663DDF5-C14D-4314-B6EC-9A67E541D388}"/>
  <tableColumns count="5">
    <tableColumn id="1" xr3:uid="{17BC3805-91DF-4696-9FCC-D624CE077C9D}" name="Nombre de la variable" dataDxfId="14"/>
    <tableColumn id="2" xr3:uid="{711A9AA3-396A-446D-9393-CF71C5AE3A8B}" name="Descripción" dataDxfId="13"/>
    <tableColumn id="3" xr3:uid="{ED7C40EB-057D-43AF-9FDA-C3B897FE307B}" name="Tipo" dataDxfId="12"/>
    <tableColumn id="5" xr3:uid="{F2C87CD4-FAE9-4578-8CD9-A09CB0EDC16D}" name="Fuente" dataDxfId="11"/>
    <tableColumn id="4" xr3:uid="{BC510D55-6476-4C2D-A910-8B841D93EE4F}" name="Vigencia" dataDxfId="1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N2" dT="2025-10-29T17:15:48.31" personId="{FBA18817-0309-45C9-ADEC-72FD8D391F7D}" id="{5CD5AED5-9C59-44B6-815B-CC602664786A}">
    <text>Millones de pesos</text>
  </threadedComment>
  <threadedComment ref="BO2" dT="2025-10-29T17:16:00.47" personId="{FBA18817-0309-45C9-ADEC-72FD8D391F7D}" id="{56681BC9-0EA6-4B32-8688-EA1330051905}">
    <text>Millones de pesos</text>
  </threadedComment>
  <threadedComment ref="R1100" dT="2025-02-18T20:29:05.87" personId="{A3265705-E4EB-4E58-929F-AC7C79AE65B1}" id="{1EEBBCD6-A29B-4ACF-AD5A-5F834FA935E4}">
    <text>Se ajusta manualmente, para el calculo de la raiz en el escenario de media geométrica</text>
  </threadedComment>
</ThreadedComments>
</file>

<file path=xl/threadedComments/threadedComment2.xml><?xml version="1.0" encoding="utf-8"?>
<ThreadedComments xmlns="http://schemas.microsoft.com/office/spreadsheetml/2018/threadedcomments" xmlns:x="http://schemas.openxmlformats.org/spreadsheetml/2006/main">
  <threadedComment ref="BB3" dT="2024-09-09T20:21:00.80" personId="{FBA18817-0309-45C9-ADEC-72FD8D391F7D}" id="{B86DAA53-F90D-4FFC-8B63-2808A44CA23F}">
    <text>Es la ultima actualización disponible</text>
  </threadedComment>
  <threadedComment ref="BC3" dT="2024-09-09T20:21:00.80" personId="{FBA18817-0309-45C9-ADEC-72FD8D391F7D}" id="{1DD1EB7B-AA01-49B7-8392-A337B5C84E9B}">
    <text>Es la ultima actualización disponible</text>
  </threadedComment>
  <threadedComment ref="BD3" dT="2024-09-16T22:14:18.86" personId="{FBA18817-0309-45C9-ADEC-72FD8D391F7D}" id="{BAE51F3E-FE6A-420E-9CAA-327C70C1EAA9}">
    <text>Millones de pesos</text>
  </threadedComment>
  <threadedComment ref="BT3" dT="2024-09-12T21:21:24.78" personId="{FBA18817-0309-45C9-ADEC-72FD8D391F7D}" id="{55DB86E8-FDC8-4E20-A736-783F4595B484}">
    <text xml:space="preserve">Calculada geográficamente con la capa de Municipios MAGNA- DANE. </text>
  </threadedComment>
</ThreadedComments>
</file>

<file path=xl/threadedComments/threadedComment3.xml><?xml version="1.0" encoding="utf-8"?>
<ThreadedComments xmlns="http://schemas.microsoft.com/office/spreadsheetml/2018/threadedcomments" xmlns:x="http://schemas.openxmlformats.org/spreadsheetml/2006/main">
  <threadedComment ref="D67" dT="2025-09-26T17:58:46.69" personId="{FBA18817-0309-45C9-ADEC-72FD8D391F7D}" id="{0B527DEF-CF76-48CA-97E9-8791D41451E8}">
    <text>IC sube, Ponderador baja (aprox &lt;-0.01), IC ponderado baja</text>
  </threadedComment>
</ThreadedComments>
</file>

<file path=xl/threadedComments/threadedComment4.xml><?xml version="1.0" encoding="utf-8"?>
<ThreadedComments xmlns="http://schemas.microsoft.com/office/spreadsheetml/2018/threadedcomments" xmlns:x="http://schemas.openxmlformats.org/spreadsheetml/2006/main">
  <threadedComment ref="E9" dT="2024-10-24T22:48:46.35" personId="{A3265705-E4EB-4E58-929F-AC7C79AE65B1}" id="{0915D9D6-800A-452B-8986-5CEB7B47604B}">
    <text>Promedio municipal</text>
  </threadedComment>
</ThreadedComments>
</file>

<file path=xl/threadedComments/threadedComment5.xml><?xml version="1.0" encoding="utf-8"?>
<ThreadedComments xmlns="http://schemas.microsoft.com/office/spreadsheetml/2018/threadedcomments" xmlns:x="http://schemas.openxmlformats.org/spreadsheetml/2006/main">
  <threadedComment ref="AX1" dT="2024-09-09T20:21:00.80" personId="{FBA18817-0309-45C9-ADEC-72FD8D391F7D}" id="{10A188C4-EDCF-4E4B-9785-B73B06B5D7BE}">
    <text>Es la ultima actualización disponible</text>
  </threadedComment>
  <threadedComment ref="AY1" dT="2024-09-09T20:21:00.80" personId="{FBA18817-0309-45C9-ADEC-72FD8D391F7D}" id="{1E6E9250-8550-4234-B0F4-E3A60918BF51}">
    <text>Es la ultima actualización disponible</text>
  </threadedComment>
  <threadedComment ref="AZ1" dT="2024-09-16T22:14:18.86" personId="{FBA18817-0309-45C9-ADEC-72FD8D391F7D}" id="{93A84BBC-3E47-4752-B9D5-F0132A1CABE4}">
    <text>Millones de pesos</text>
  </threadedComment>
  <threadedComment ref="BP1" dT="2024-09-12T21:21:24.78" personId="{FBA18817-0309-45C9-ADEC-72FD8D391F7D}" id="{B54946F7-E42E-4578-A550-A445AA07C796}">
    <text xml:space="preserve">Calculada geográficamente con la capa de Municipios MAGNA- DANE. </text>
  </threadedComment>
  <threadedComment ref="AL10" dT="2024-09-09T20:21:00.80" personId="{FBA18817-0309-45C9-ADEC-72FD8D391F7D}" id="{CC95493D-B353-4268-8929-335A3C1A0E1C}">
    <text>Es la ultima actualización disponible</text>
  </threadedComment>
  <threadedComment ref="BN22" dT="2025-10-29T17:15:48.31" personId="{FBA18817-0309-45C9-ADEC-72FD8D391F7D}" id="{5F65DC3C-0AC7-4B2F-B330-00D54379F7BA}">
    <text>Millones de pesos</text>
  </threadedComment>
  <threadedComment ref="BO22" dT="2025-10-29T17:16:00.47" personId="{FBA18817-0309-45C9-ADEC-72FD8D391F7D}" id="{7C17B18D-F2BA-46C1-B482-2623911195D1}">
    <text>Millones de pesos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262CDF-40F1-4E27-96F7-D911DE2DEF1C}">
  <we:reference id="wa104100404" version="3.0.0.1" store="es-ES" storeType="OMEX"/>
  <we:alternateReferences>
    <we:reference id="wa104100404" version="3.0.0.1" store="wa104100404" storeType="OMEX"/>
  </we:alternateReferences>
  <we:properties>
    <we:property name="UniqueID" value="&quot;20251271740681592264&quot;"/>
    <we:property name="CgAuCwMCQz0FIzEHPEY6GCM=" value="&quot;&quot;"/>
  </we:properties>
  <we:bindings>
    <we:binding id="refEdit" type="matrix" appref="{15F99052-6690-470C-87AB-8F937AB2EFC7}"/>
    <we:binding id="Worker" type="matrix" appref="{3BD6034F-CD0A-4424-AE17-F9FEA09AB3D6}"/>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https://colaboracion.dnp.gov.co/CDT/Desarrollo%20Territorial/Gu%C3%ADa%20de%20orientaciones%202022%20PROCESO%20MDET.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8.x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1367-3A71-4385-B1B1-F0F39B31916F}">
  <sheetPr>
    <tabColor rgb="FFFFC000"/>
  </sheetPr>
  <dimension ref="A1:U132"/>
  <sheetViews>
    <sheetView showGridLines="0" topLeftCell="A12" zoomScale="115" zoomScaleNormal="115" workbookViewId="0">
      <selection activeCell="C13" sqref="C13"/>
    </sheetView>
  </sheetViews>
  <sheetFormatPr baseColWidth="10" defaultColWidth="11.4140625" defaultRowHeight="14"/>
  <cols>
    <col min="1" max="1" width="63.4140625" customWidth="1"/>
    <col min="2" max="2" width="25.1640625" customWidth="1"/>
    <col min="3" max="3" width="53" customWidth="1"/>
    <col min="4" max="4" width="1.83203125" customWidth="1"/>
    <col min="5" max="5" width="2.4140625" customWidth="1"/>
    <col min="6" max="6" width="11.4140625" customWidth="1"/>
    <col min="7" max="7" width="34.4140625" customWidth="1"/>
    <col min="8" max="8" width="54.83203125" customWidth="1"/>
    <col min="9" max="9" width="50" customWidth="1"/>
    <col min="10" max="10" width="32.83203125" customWidth="1"/>
    <col min="11" max="11" width="31.4140625" customWidth="1"/>
    <col min="14" max="14" width="61" customWidth="1"/>
    <col min="15" max="15" width="24.1640625" customWidth="1"/>
    <col min="18" max="18" width="13.4140625" customWidth="1"/>
    <col min="19" max="19" width="23.4140625" customWidth="1"/>
    <col min="20" max="20" width="53.4140625" customWidth="1"/>
    <col min="21" max="21" width="92.4140625" customWidth="1"/>
  </cols>
  <sheetData>
    <row r="1" spans="1:21">
      <c r="A1" s="360" t="s">
        <v>0</v>
      </c>
      <c r="B1" s="360"/>
      <c r="C1" s="360"/>
      <c r="D1" s="3"/>
      <c r="E1" s="360" t="s">
        <v>1</v>
      </c>
      <c r="F1" s="360"/>
      <c r="G1" s="360"/>
      <c r="H1" s="360"/>
      <c r="I1" s="360"/>
      <c r="M1" s="12" t="s">
        <v>2</v>
      </c>
      <c r="S1" t="s">
        <v>3</v>
      </c>
    </row>
    <row r="2" spans="1:21" ht="15" customHeight="1">
      <c r="A2" s="4" t="s">
        <v>4</v>
      </c>
      <c r="B2" s="5" t="s">
        <v>5</v>
      </c>
      <c r="C2" s="5" t="s">
        <v>6</v>
      </c>
      <c r="D2" s="3"/>
      <c r="E2" s="356" t="s">
        <v>7</v>
      </c>
      <c r="F2" s="356"/>
      <c r="G2" s="356"/>
      <c r="H2" s="356"/>
      <c r="I2" s="356"/>
      <c r="M2" s="168" t="s">
        <v>8</v>
      </c>
      <c r="N2" s="168" t="s">
        <v>9</v>
      </c>
      <c r="O2" s="168" t="s">
        <v>10</v>
      </c>
    </row>
    <row r="3" spans="1:21" ht="15.5">
      <c r="A3" s="351" t="s">
        <v>11</v>
      </c>
      <c r="B3" s="352"/>
      <c r="C3" s="353"/>
      <c r="D3" s="3"/>
      <c r="E3" s="356"/>
      <c r="F3" s="356"/>
      <c r="G3" s="356"/>
      <c r="H3" s="356"/>
      <c r="I3" s="356"/>
      <c r="M3" s="349" t="s">
        <v>12</v>
      </c>
      <c r="N3" s="349"/>
      <c r="O3" s="349"/>
      <c r="Q3" s="178" t="s">
        <v>13</v>
      </c>
      <c r="R3" s="178" t="s">
        <v>14</v>
      </c>
      <c r="S3" s="176" t="s">
        <v>15</v>
      </c>
      <c r="T3" s="176" t="s">
        <v>16</v>
      </c>
      <c r="U3" s="176" t="s">
        <v>17</v>
      </c>
    </row>
    <row r="4" spans="1:21" ht="130">
      <c r="A4" s="6" t="s">
        <v>18</v>
      </c>
      <c r="B4" s="6" t="s">
        <v>19</v>
      </c>
      <c r="C4" s="361" t="s">
        <v>20</v>
      </c>
      <c r="D4" s="3"/>
      <c r="E4" s="356"/>
      <c r="F4" s="356"/>
      <c r="G4" s="356"/>
      <c r="H4" s="356"/>
      <c r="I4" s="356"/>
      <c r="M4" s="164">
        <v>1</v>
      </c>
      <c r="N4" s="166" t="s">
        <v>21</v>
      </c>
      <c r="O4" s="166" t="s">
        <v>22</v>
      </c>
      <c r="Q4" s="180" t="s">
        <v>23</v>
      </c>
      <c r="R4" s="1" t="s">
        <v>24</v>
      </c>
      <c r="S4" s="29" t="s">
        <v>25</v>
      </c>
      <c r="T4" s="1" t="s">
        <v>26</v>
      </c>
      <c r="U4" s="177" t="s">
        <v>27</v>
      </c>
    </row>
    <row r="5" spans="1:21" ht="28">
      <c r="A5" s="7" t="s">
        <v>28</v>
      </c>
      <c r="B5" s="6" t="s">
        <v>29</v>
      </c>
      <c r="C5" s="362"/>
      <c r="D5" s="3"/>
      <c r="E5" s="356"/>
      <c r="F5" s="356"/>
      <c r="G5" s="356"/>
      <c r="H5" s="356"/>
      <c r="I5" s="356"/>
      <c r="J5" t="s">
        <v>30</v>
      </c>
      <c r="M5" s="350" t="s">
        <v>31</v>
      </c>
      <c r="N5" s="350"/>
      <c r="O5" s="350"/>
      <c r="Q5" s="347" t="s">
        <v>32</v>
      </c>
      <c r="R5" s="347" t="s">
        <v>33</v>
      </c>
      <c r="S5" s="348" t="s">
        <v>34</v>
      </c>
      <c r="T5" s="347" t="s">
        <v>35</v>
      </c>
      <c r="U5" s="346" t="s">
        <v>36</v>
      </c>
    </row>
    <row r="6" spans="1:21" ht="42">
      <c r="A6" s="6" t="s">
        <v>37</v>
      </c>
      <c r="B6" s="6" t="s">
        <v>38</v>
      </c>
      <c r="C6" s="8"/>
      <c r="D6" s="3"/>
      <c r="E6" s="356"/>
      <c r="F6" s="356"/>
      <c r="G6" s="356"/>
      <c r="H6" s="356"/>
      <c r="I6" s="356"/>
      <c r="M6" s="164">
        <v>1</v>
      </c>
      <c r="N6" s="166" t="s">
        <v>39</v>
      </c>
      <c r="O6" s="166" t="s">
        <v>22</v>
      </c>
      <c r="Q6" s="347"/>
      <c r="R6" s="347"/>
      <c r="S6" s="348"/>
      <c r="T6" s="347"/>
      <c r="U6" s="346"/>
    </row>
    <row r="7" spans="1:21" ht="23.25" customHeight="1">
      <c r="A7" s="357" t="s">
        <v>40</v>
      </c>
      <c r="B7" s="358"/>
      <c r="C7" s="359"/>
      <c r="D7" s="3"/>
      <c r="E7" s="356"/>
      <c r="F7" s="356"/>
      <c r="G7" s="356"/>
      <c r="H7" s="356"/>
      <c r="I7" s="356"/>
      <c r="M7" s="354">
        <v>2</v>
      </c>
      <c r="N7" s="355" t="s">
        <v>41</v>
      </c>
      <c r="O7" s="355" t="s">
        <v>22</v>
      </c>
      <c r="Q7" s="1" t="s">
        <v>32</v>
      </c>
      <c r="R7" s="1" t="s">
        <v>33</v>
      </c>
      <c r="S7" s="29" t="s">
        <v>42</v>
      </c>
      <c r="T7" s="1" t="s">
        <v>43</v>
      </c>
      <c r="U7" s="179" t="s">
        <v>44</v>
      </c>
    </row>
    <row r="8" spans="1:21" ht="100">
      <c r="A8" s="6" t="s">
        <v>45</v>
      </c>
      <c r="B8" s="6" t="s">
        <v>46</v>
      </c>
      <c r="C8" s="356" t="s">
        <v>47</v>
      </c>
      <c r="D8" s="3"/>
      <c r="E8" s="356"/>
      <c r="F8" s="356"/>
      <c r="G8" s="356"/>
      <c r="H8" s="356"/>
      <c r="I8" s="356"/>
      <c r="J8" s="10"/>
      <c r="M8" s="354"/>
      <c r="N8" s="355"/>
      <c r="O8" s="355"/>
      <c r="Q8" s="1" t="s">
        <v>32</v>
      </c>
      <c r="R8" s="1" t="s">
        <v>33</v>
      </c>
      <c r="S8" s="29" t="s">
        <v>48</v>
      </c>
      <c r="T8" s="1" t="s">
        <v>49</v>
      </c>
      <c r="U8" s="179" t="s">
        <v>50</v>
      </c>
    </row>
    <row r="9" spans="1:21" ht="42">
      <c r="A9" s="6" t="s">
        <v>51</v>
      </c>
      <c r="B9" s="6" t="s">
        <v>46</v>
      </c>
      <c r="C9" s="356"/>
      <c r="D9" s="3"/>
      <c r="E9" s="356"/>
      <c r="F9" s="356"/>
      <c r="G9" s="356"/>
      <c r="H9" s="356"/>
      <c r="I9" s="356"/>
      <c r="M9" s="349" t="s">
        <v>52</v>
      </c>
      <c r="N9" s="349"/>
      <c r="O9" s="349"/>
      <c r="S9" s="345" t="s">
        <v>53</v>
      </c>
      <c r="T9" s="345"/>
      <c r="U9" s="345"/>
    </row>
    <row r="10" spans="1:21" ht="60">
      <c r="A10" s="6" t="s">
        <v>54</v>
      </c>
      <c r="B10" s="6" t="s">
        <v>46</v>
      </c>
      <c r="C10" s="356"/>
      <c r="D10" s="3"/>
      <c r="E10" s="356"/>
      <c r="F10" s="356"/>
      <c r="G10" s="356"/>
      <c r="H10" s="356"/>
      <c r="I10" s="356"/>
      <c r="M10" s="164">
        <v>1</v>
      </c>
      <c r="N10" s="166" t="s">
        <v>55</v>
      </c>
      <c r="O10" s="166" t="s">
        <v>56</v>
      </c>
      <c r="Q10" s="29" t="s">
        <v>57</v>
      </c>
      <c r="R10" s="29" t="s">
        <v>58</v>
      </c>
      <c r="S10" s="29" t="s">
        <v>59</v>
      </c>
      <c r="T10" s="1" t="s">
        <v>60</v>
      </c>
      <c r="U10" s="179" t="s">
        <v>61</v>
      </c>
    </row>
    <row r="11" spans="1:21" ht="28">
      <c r="A11" s="173" t="s">
        <v>62</v>
      </c>
      <c r="B11" s="6" t="s">
        <v>46</v>
      </c>
      <c r="C11" s="9" t="s">
        <v>63</v>
      </c>
      <c r="D11" s="3"/>
      <c r="E11" s="356"/>
      <c r="F11" s="356"/>
      <c r="G11" s="356"/>
      <c r="H11" s="356"/>
      <c r="I11" s="356"/>
      <c r="M11" s="349" t="s">
        <v>64</v>
      </c>
      <c r="N11" s="349"/>
      <c r="O11" s="349"/>
      <c r="S11" s="345" t="s">
        <v>65</v>
      </c>
      <c r="T11" s="345"/>
      <c r="U11" s="345"/>
    </row>
    <row r="12" spans="1:21">
      <c r="A12" s="357" t="s">
        <v>66</v>
      </c>
      <c r="B12" s="358"/>
      <c r="C12" s="359"/>
      <c r="D12" s="3"/>
      <c r="E12" s="356"/>
      <c r="F12" s="356"/>
      <c r="G12" s="356"/>
      <c r="H12" s="356"/>
      <c r="I12" s="356"/>
      <c r="M12" s="164"/>
      <c r="N12" s="167" t="s">
        <v>67</v>
      </c>
      <c r="O12" s="165"/>
    </row>
    <row r="13" spans="1:21" ht="182">
      <c r="A13" s="6" t="s">
        <v>68</v>
      </c>
      <c r="B13" s="6" t="s">
        <v>69</v>
      </c>
      <c r="C13" s="6" t="s">
        <v>70</v>
      </c>
      <c r="D13" s="3"/>
      <c r="E13" s="356"/>
      <c r="F13" s="356"/>
      <c r="G13" s="356"/>
      <c r="H13" s="356"/>
      <c r="I13" s="356"/>
      <c r="J13" s="175" t="s">
        <v>71</v>
      </c>
      <c r="M13" s="164">
        <v>1</v>
      </c>
      <c r="N13" s="166" t="s">
        <v>72</v>
      </c>
      <c r="O13" s="166" t="s">
        <v>22</v>
      </c>
      <c r="Q13" s="347" t="s">
        <v>73</v>
      </c>
      <c r="R13" s="347" t="s">
        <v>74</v>
      </c>
      <c r="S13" s="348" t="s">
        <v>75</v>
      </c>
      <c r="T13" s="347" t="s">
        <v>76</v>
      </c>
      <c r="U13" s="346" t="s">
        <v>77</v>
      </c>
    </row>
    <row r="14" spans="1:21" ht="112">
      <c r="A14" s="6" t="s">
        <v>78</v>
      </c>
      <c r="B14" s="6" t="s">
        <v>79</v>
      </c>
      <c r="C14" s="6" t="s">
        <v>80</v>
      </c>
      <c r="D14" s="3"/>
      <c r="E14" s="356"/>
      <c r="F14" s="356"/>
      <c r="G14" s="356"/>
      <c r="H14" s="356"/>
      <c r="I14" s="356"/>
      <c r="M14" s="164">
        <v>2</v>
      </c>
      <c r="N14" s="166" t="s">
        <v>81</v>
      </c>
      <c r="O14" s="166" t="s">
        <v>22</v>
      </c>
      <c r="Q14" s="347"/>
      <c r="R14" s="347"/>
      <c r="S14" s="348"/>
      <c r="T14" s="347"/>
      <c r="U14" s="346"/>
    </row>
    <row r="15" spans="1:21" ht="70">
      <c r="A15" s="6" t="s">
        <v>82</v>
      </c>
      <c r="B15" s="6" t="s">
        <v>79</v>
      </c>
      <c r="C15" s="6" t="s">
        <v>83</v>
      </c>
      <c r="D15" s="3"/>
      <c r="E15" s="356"/>
      <c r="F15" s="356"/>
      <c r="G15" s="356"/>
      <c r="H15" s="356"/>
      <c r="I15" s="356"/>
      <c r="M15" s="164">
        <v>3</v>
      </c>
      <c r="N15" s="166" t="s">
        <v>84</v>
      </c>
      <c r="O15" s="166" t="s">
        <v>85</v>
      </c>
      <c r="Q15" s="347"/>
      <c r="R15" s="347"/>
      <c r="S15" s="348"/>
      <c r="T15" s="347"/>
      <c r="U15" s="346"/>
    </row>
    <row r="16" spans="1:21">
      <c r="A16" s="351" t="s">
        <v>86</v>
      </c>
      <c r="B16" s="352"/>
      <c r="C16" s="353"/>
      <c r="D16" s="3"/>
      <c r="E16" s="356"/>
      <c r="F16" s="356"/>
      <c r="G16" s="356"/>
      <c r="H16" s="356"/>
      <c r="I16" s="356"/>
    </row>
    <row r="17" spans="1:9">
      <c r="A17" s="9" t="s">
        <v>87</v>
      </c>
      <c r="B17" s="6" t="s">
        <v>88</v>
      </c>
      <c r="C17" s="8"/>
      <c r="D17" s="3"/>
      <c r="E17" s="356"/>
      <c r="F17" s="356"/>
      <c r="G17" s="356"/>
      <c r="H17" s="356"/>
      <c r="I17" s="356"/>
    </row>
    <row r="18" spans="1:9">
      <c r="A18" s="8" t="s">
        <v>89</v>
      </c>
      <c r="B18" s="6" t="s">
        <v>90</v>
      </c>
      <c r="C18" s="8"/>
      <c r="D18" s="3"/>
      <c r="E18" s="356"/>
      <c r="F18" s="356"/>
      <c r="G18" s="356"/>
      <c r="H18" s="356"/>
      <c r="I18" s="356"/>
    </row>
    <row r="19" spans="1:9">
      <c r="B19" s="1"/>
      <c r="E19" s="2"/>
      <c r="F19" s="2"/>
      <c r="G19" s="2"/>
      <c r="H19" s="2"/>
      <c r="I19" s="2"/>
    </row>
    <row r="20" spans="1:9">
      <c r="A20" s="11" t="s">
        <v>91</v>
      </c>
      <c r="B20" s="1"/>
      <c r="E20" s="2"/>
      <c r="F20" s="2"/>
      <c r="G20" s="2"/>
      <c r="H20" s="2"/>
      <c r="I20" s="2"/>
    </row>
    <row r="21" spans="1:9">
      <c r="E21" s="2"/>
      <c r="F21" s="2"/>
      <c r="G21" s="2"/>
      <c r="H21" s="2"/>
      <c r="I21" s="2"/>
    </row>
    <row r="22" spans="1:9">
      <c r="A22" s="11"/>
    </row>
    <row r="24" spans="1:9">
      <c r="A24" t="s">
        <v>92</v>
      </c>
      <c r="C24" t="s">
        <v>93</v>
      </c>
    </row>
    <row r="54" spans="1:5">
      <c r="A54" t="s">
        <v>94</v>
      </c>
    </row>
    <row r="55" spans="1:5">
      <c r="A55" s="18" t="s">
        <v>95</v>
      </c>
      <c r="B55" s="18" t="s">
        <v>96</v>
      </c>
      <c r="C55" s="18" t="s">
        <v>97</v>
      </c>
      <c r="D55" s="18" t="s">
        <v>5</v>
      </c>
      <c r="E55" s="18" t="s">
        <v>98</v>
      </c>
    </row>
    <row r="56" spans="1:5">
      <c r="A56" s="9" t="s">
        <v>99</v>
      </c>
      <c r="B56" s="9" t="s">
        <v>100</v>
      </c>
      <c r="C56" s="9" t="s">
        <v>101</v>
      </c>
      <c r="D56" s="9" t="s">
        <v>102</v>
      </c>
      <c r="E56" s="18" t="s">
        <v>102</v>
      </c>
    </row>
    <row r="57" spans="1:5">
      <c r="A57" s="9" t="s">
        <v>103</v>
      </c>
      <c r="B57" s="9" t="s">
        <v>104</v>
      </c>
      <c r="C57" s="9" t="s">
        <v>101</v>
      </c>
      <c r="D57" s="9" t="s">
        <v>102</v>
      </c>
      <c r="E57" s="18" t="s">
        <v>102</v>
      </c>
    </row>
    <row r="58" spans="1:5">
      <c r="A58" s="9" t="s">
        <v>105</v>
      </c>
      <c r="B58" s="9" t="s">
        <v>106</v>
      </c>
      <c r="C58" s="9" t="s">
        <v>101</v>
      </c>
      <c r="D58" s="9" t="s">
        <v>107</v>
      </c>
      <c r="E58" s="18" t="s">
        <v>102</v>
      </c>
    </row>
    <row r="59" spans="1:5">
      <c r="A59" s="9" t="s">
        <v>108</v>
      </c>
      <c r="B59" s="9" t="s">
        <v>109</v>
      </c>
      <c r="C59" s="9" t="s">
        <v>110</v>
      </c>
      <c r="D59" s="9" t="s">
        <v>107</v>
      </c>
      <c r="E59" s="18" t="s">
        <v>102</v>
      </c>
    </row>
    <row r="60" spans="1:5">
      <c r="A60" s="9" t="s">
        <v>111</v>
      </c>
      <c r="B60" s="9" t="s">
        <v>112</v>
      </c>
      <c r="C60" s="9" t="s">
        <v>113</v>
      </c>
      <c r="D60" s="9" t="s">
        <v>114</v>
      </c>
      <c r="E60" s="18" t="s">
        <v>115</v>
      </c>
    </row>
    <row r="61" spans="1:5">
      <c r="A61" s="9" t="s">
        <v>116</v>
      </c>
      <c r="B61" s="9" t="s">
        <v>117</v>
      </c>
      <c r="C61" s="9" t="s">
        <v>118</v>
      </c>
      <c r="D61" s="9" t="s">
        <v>119</v>
      </c>
      <c r="E61" s="18" t="s">
        <v>115</v>
      </c>
    </row>
    <row r="62" spans="1:5">
      <c r="A62" s="9" t="s">
        <v>120</v>
      </c>
      <c r="B62" s="9" t="s">
        <v>121</v>
      </c>
      <c r="C62" s="9" t="s">
        <v>118</v>
      </c>
      <c r="D62" s="9" t="s">
        <v>119</v>
      </c>
      <c r="E62" s="18" t="s">
        <v>115</v>
      </c>
    </row>
    <row r="63" spans="1:5">
      <c r="A63" s="9" t="s">
        <v>122</v>
      </c>
      <c r="B63" s="9" t="s">
        <v>123</v>
      </c>
      <c r="C63" s="9" t="s">
        <v>118</v>
      </c>
      <c r="D63" s="9" t="s">
        <v>124</v>
      </c>
      <c r="E63" s="18" t="s">
        <v>115</v>
      </c>
    </row>
    <row r="64" spans="1:5">
      <c r="A64" s="9" t="s">
        <v>125</v>
      </c>
      <c r="B64" s="9" t="s">
        <v>126</v>
      </c>
      <c r="C64" s="9" t="s">
        <v>118</v>
      </c>
      <c r="D64" s="9" t="s">
        <v>124</v>
      </c>
      <c r="E64" s="18" t="s">
        <v>115</v>
      </c>
    </row>
    <row r="65" spans="1:5">
      <c r="A65" s="9" t="s">
        <v>127</v>
      </c>
      <c r="B65" s="9" t="s">
        <v>128</v>
      </c>
      <c r="C65" s="9" t="s">
        <v>118</v>
      </c>
      <c r="D65" s="9" t="s">
        <v>124</v>
      </c>
      <c r="E65" s="18" t="s">
        <v>115</v>
      </c>
    </row>
    <row r="66" spans="1:5">
      <c r="A66" s="9" t="s">
        <v>129</v>
      </c>
      <c r="B66" s="9" t="s">
        <v>130</v>
      </c>
      <c r="C66" s="9" t="s">
        <v>101</v>
      </c>
      <c r="D66" s="9" t="s">
        <v>131</v>
      </c>
      <c r="E66" s="18" t="s">
        <v>115</v>
      </c>
    </row>
    <row r="67" spans="1:5">
      <c r="A67" s="9" t="s">
        <v>132</v>
      </c>
      <c r="B67" s="9" t="s">
        <v>133</v>
      </c>
      <c r="C67" s="9" t="s">
        <v>101</v>
      </c>
      <c r="D67" s="9" t="s">
        <v>134</v>
      </c>
      <c r="E67" s="18" t="s">
        <v>115</v>
      </c>
    </row>
    <row r="68" spans="1:5">
      <c r="A68" s="9" t="s">
        <v>135</v>
      </c>
      <c r="B68" s="9" t="s">
        <v>136</v>
      </c>
      <c r="C68" s="9" t="s">
        <v>101</v>
      </c>
      <c r="D68" s="9" t="s">
        <v>134</v>
      </c>
      <c r="E68" s="18" t="s">
        <v>115</v>
      </c>
    </row>
    <row r="69" spans="1:5">
      <c r="A69" s="9" t="s">
        <v>137</v>
      </c>
      <c r="B69" s="9" t="s">
        <v>138</v>
      </c>
      <c r="C69" s="9" t="s">
        <v>101</v>
      </c>
      <c r="D69" s="9" t="s">
        <v>134</v>
      </c>
      <c r="E69" s="18" t="s">
        <v>115</v>
      </c>
    </row>
    <row r="70" spans="1:5">
      <c r="A70" s="9" t="s">
        <v>139</v>
      </c>
      <c r="B70" s="9" t="s">
        <v>140</v>
      </c>
      <c r="C70" s="9" t="s">
        <v>101</v>
      </c>
      <c r="D70" s="9" t="s">
        <v>134</v>
      </c>
      <c r="E70" s="18" t="s">
        <v>115</v>
      </c>
    </row>
    <row r="71" spans="1:5">
      <c r="A71" s="9" t="s">
        <v>141</v>
      </c>
      <c r="B71" s="9" t="s">
        <v>58</v>
      </c>
      <c r="C71" s="9" t="s">
        <v>101</v>
      </c>
      <c r="D71" s="9" t="s">
        <v>134</v>
      </c>
      <c r="E71" s="18" t="s">
        <v>115</v>
      </c>
    </row>
    <row r="72" spans="1:5">
      <c r="A72" s="9" t="s">
        <v>142</v>
      </c>
      <c r="B72" s="9" t="s">
        <v>143</v>
      </c>
      <c r="C72" s="9" t="s">
        <v>101</v>
      </c>
      <c r="D72" s="9" t="s">
        <v>134</v>
      </c>
      <c r="E72" s="18" t="s">
        <v>115</v>
      </c>
    </row>
    <row r="73" spans="1:5">
      <c r="A73" s="9" t="s">
        <v>144</v>
      </c>
      <c r="B73" s="9" t="s">
        <v>145</v>
      </c>
      <c r="C73" s="9" t="s">
        <v>101</v>
      </c>
      <c r="D73" s="9" t="s">
        <v>134</v>
      </c>
      <c r="E73" s="18" t="s">
        <v>115</v>
      </c>
    </row>
    <row r="74" spans="1:5">
      <c r="A74" s="9" t="s">
        <v>146</v>
      </c>
      <c r="B74" s="9" t="s">
        <v>147</v>
      </c>
      <c r="C74" s="9" t="s">
        <v>101</v>
      </c>
      <c r="D74" s="9" t="s">
        <v>134</v>
      </c>
      <c r="E74" s="18" t="s">
        <v>115</v>
      </c>
    </row>
    <row r="75" spans="1:5">
      <c r="A75" s="9" t="s">
        <v>148</v>
      </c>
      <c r="B75" s="19" t="s">
        <v>149</v>
      </c>
      <c r="C75" s="9" t="s">
        <v>118</v>
      </c>
      <c r="D75" s="9" t="s">
        <v>150</v>
      </c>
      <c r="E75" s="18" t="s">
        <v>115</v>
      </c>
    </row>
    <row r="76" spans="1:5">
      <c r="A76" s="9" t="s">
        <v>151</v>
      </c>
      <c r="B76" s="19" t="s">
        <v>152</v>
      </c>
      <c r="C76" s="9" t="s">
        <v>118</v>
      </c>
      <c r="D76" s="9" t="s">
        <v>150</v>
      </c>
      <c r="E76" s="18" t="s">
        <v>115</v>
      </c>
    </row>
    <row r="77" spans="1:5">
      <c r="A77" s="9" t="s">
        <v>153</v>
      </c>
      <c r="B77" s="19" t="s">
        <v>154</v>
      </c>
      <c r="C77" s="9" t="s">
        <v>118</v>
      </c>
      <c r="D77" s="9" t="s">
        <v>155</v>
      </c>
      <c r="E77" s="18" t="s">
        <v>115</v>
      </c>
    </row>
    <row r="78" spans="1:5">
      <c r="A78" s="9" t="s">
        <v>156</v>
      </c>
      <c r="B78" s="19" t="s">
        <v>157</v>
      </c>
      <c r="C78" s="9" t="s">
        <v>101</v>
      </c>
      <c r="D78" s="9" t="s">
        <v>158</v>
      </c>
      <c r="E78" s="18" t="s">
        <v>115</v>
      </c>
    </row>
    <row r="79" spans="1:5">
      <c r="A79" s="9" t="s">
        <v>159</v>
      </c>
      <c r="B79" s="19" t="s">
        <v>160</v>
      </c>
      <c r="C79" s="9" t="s">
        <v>101</v>
      </c>
      <c r="D79" s="9" t="s">
        <v>158</v>
      </c>
      <c r="E79" s="18" t="s">
        <v>115</v>
      </c>
    </row>
    <row r="80" spans="1:5">
      <c r="A80" s="9" t="s">
        <v>161</v>
      </c>
      <c r="B80" s="20" t="s">
        <v>162</v>
      </c>
      <c r="C80" s="9" t="s">
        <v>118</v>
      </c>
      <c r="D80" s="9" t="s">
        <v>107</v>
      </c>
      <c r="E80" s="18" t="s">
        <v>115</v>
      </c>
    </row>
    <row r="81" spans="1:5">
      <c r="A81" s="9" t="s">
        <v>163</v>
      </c>
      <c r="B81" s="20" t="s">
        <v>164</v>
      </c>
      <c r="C81" s="9" t="s">
        <v>118</v>
      </c>
      <c r="D81" s="9" t="s">
        <v>165</v>
      </c>
      <c r="E81" s="18" t="s">
        <v>115</v>
      </c>
    </row>
    <row r="82" spans="1:5">
      <c r="A82" s="9" t="s">
        <v>166</v>
      </c>
      <c r="B82" s="20" t="s">
        <v>167</v>
      </c>
      <c r="C82" s="9" t="s">
        <v>118</v>
      </c>
      <c r="D82" s="9" t="s">
        <v>165</v>
      </c>
      <c r="E82" s="18" t="s">
        <v>115</v>
      </c>
    </row>
    <row r="83" spans="1:5">
      <c r="A83" s="9" t="s">
        <v>168</v>
      </c>
      <c r="B83" s="21" t="s">
        <v>169</v>
      </c>
      <c r="C83" s="9" t="s">
        <v>118</v>
      </c>
      <c r="D83" s="9" t="s">
        <v>170</v>
      </c>
      <c r="E83" s="18" t="s">
        <v>115</v>
      </c>
    </row>
    <row r="84" spans="1:5">
      <c r="A84" s="9" t="s">
        <v>171</v>
      </c>
      <c r="B84" s="21" t="s">
        <v>172</v>
      </c>
      <c r="C84" s="9" t="s">
        <v>118</v>
      </c>
      <c r="D84" s="9" t="s">
        <v>173</v>
      </c>
      <c r="E84" s="18" t="s">
        <v>115</v>
      </c>
    </row>
    <row r="85" spans="1:5">
      <c r="A85" s="9" t="s">
        <v>174</v>
      </c>
      <c r="B85" s="21" t="s">
        <v>175</v>
      </c>
      <c r="C85" s="9" t="s">
        <v>118</v>
      </c>
      <c r="D85" s="9" t="s">
        <v>176</v>
      </c>
      <c r="E85" s="18" t="s">
        <v>115</v>
      </c>
    </row>
    <row r="86" spans="1:5">
      <c r="A86" s="9" t="s">
        <v>177</v>
      </c>
      <c r="B86" s="21" t="s">
        <v>178</v>
      </c>
      <c r="C86" s="9" t="s">
        <v>118</v>
      </c>
      <c r="D86" s="9" t="s">
        <v>176</v>
      </c>
      <c r="E86" s="18" t="s">
        <v>115</v>
      </c>
    </row>
    <row r="87" spans="1:5">
      <c r="A87" s="9" t="s">
        <v>179</v>
      </c>
      <c r="B87" s="22" t="s">
        <v>180</v>
      </c>
      <c r="C87" s="9" t="s">
        <v>101</v>
      </c>
      <c r="D87" s="9" t="s">
        <v>181</v>
      </c>
      <c r="E87" s="18" t="s">
        <v>115</v>
      </c>
    </row>
    <row r="88" spans="1:5">
      <c r="A88" s="9" t="s">
        <v>182</v>
      </c>
      <c r="B88" s="22" t="s">
        <v>183</v>
      </c>
      <c r="C88" s="9" t="s">
        <v>101</v>
      </c>
      <c r="D88" s="9" t="s">
        <v>181</v>
      </c>
      <c r="E88" s="18" t="s">
        <v>115</v>
      </c>
    </row>
    <row r="89" spans="1:5">
      <c r="A89" s="9" t="s">
        <v>184</v>
      </c>
      <c r="B89" s="22" t="s">
        <v>185</v>
      </c>
      <c r="C89" s="9" t="s">
        <v>101</v>
      </c>
      <c r="D89" s="9" t="s">
        <v>181</v>
      </c>
      <c r="E89" s="18" t="s">
        <v>115</v>
      </c>
    </row>
    <row r="90" spans="1:5">
      <c r="A90" s="9" t="s">
        <v>186</v>
      </c>
      <c r="B90" s="9" t="s">
        <v>187</v>
      </c>
      <c r="C90" s="9" t="s">
        <v>118</v>
      </c>
      <c r="D90" s="9" t="s">
        <v>107</v>
      </c>
      <c r="E90" s="18" t="s">
        <v>115</v>
      </c>
    </row>
    <row r="91" spans="1:5">
      <c r="A91" s="9" t="s">
        <v>188</v>
      </c>
      <c r="B91" s="9" t="s">
        <v>189</v>
      </c>
      <c r="C91" s="9" t="s">
        <v>118</v>
      </c>
      <c r="D91" s="9" t="s">
        <v>107</v>
      </c>
      <c r="E91" s="18" t="s">
        <v>115</v>
      </c>
    </row>
    <row r="92" spans="1:5">
      <c r="A92" s="9" t="s">
        <v>190</v>
      </c>
      <c r="B92" s="9" t="s">
        <v>191</v>
      </c>
      <c r="C92" s="9" t="s">
        <v>118</v>
      </c>
      <c r="D92" s="9" t="s">
        <v>107</v>
      </c>
      <c r="E92" s="18" t="s">
        <v>115</v>
      </c>
    </row>
    <row r="93" spans="1:5">
      <c r="A93" s="9" t="s">
        <v>192</v>
      </c>
      <c r="B93" s="9" t="s">
        <v>193</v>
      </c>
      <c r="C93" s="9" t="s">
        <v>118</v>
      </c>
      <c r="D93" s="9" t="s">
        <v>107</v>
      </c>
      <c r="E93" s="18" t="s">
        <v>115</v>
      </c>
    </row>
    <row r="94" spans="1:5">
      <c r="A94" s="9" t="s">
        <v>194</v>
      </c>
      <c r="B94" s="9" t="s">
        <v>195</v>
      </c>
      <c r="C94" s="9" t="s">
        <v>118</v>
      </c>
      <c r="D94" s="9" t="s">
        <v>107</v>
      </c>
      <c r="E94" s="18" t="s">
        <v>115</v>
      </c>
    </row>
    <row r="95" spans="1:5">
      <c r="A95" s="9" t="s">
        <v>196</v>
      </c>
      <c r="B95" s="23" t="s">
        <v>197</v>
      </c>
      <c r="C95" s="9" t="s">
        <v>118</v>
      </c>
      <c r="D95" s="9" t="s">
        <v>198</v>
      </c>
      <c r="E95" s="18" t="s">
        <v>115</v>
      </c>
    </row>
    <row r="96" spans="1:5">
      <c r="A96" s="9" t="s">
        <v>199</v>
      </c>
      <c r="B96" s="23" t="s">
        <v>200</v>
      </c>
      <c r="C96" s="9" t="s">
        <v>118</v>
      </c>
      <c r="D96" s="9" t="s">
        <v>201</v>
      </c>
      <c r="E96" s="18" t="s">
        <v>115</v>
      </c>
    </row>
    <row r="97" spans="1:5">
      <c r="A97" s="9" t="s">
        <v>202</v>
      </c>
      <c r="B97" s="23" t="s">
        <v>203</v>
      </c>
      <c r="C97" s="9" t="s">
        <v>101</v>
      </c>
      <c r="D97" s="9" t="s">
        <v>204</v>
      </c>
      <c r="E97" s="18" t="s">
        <v>115</v>
      </c>
    </row>
    <row r="98" spans="1:5">
      <c r="A98" s="9" t="s">
        <v>205</v>
      </c>
      <c r="B98" s="9" t="s">
        <v>206</v>
      </c>
      <c r="C98" s="9" t="s">
        <v>118</v>
      </c>
      <c r="D98" s="9" t="s">
        <v>207</v>
      </c>
      <c r="E98" s="18" t="s">
        <v>115</v>
      </c>
    </row>
    <row r="99" spans="1:5">
      <c r="A99" s="9" t="s">
        <v>208</v>
      </c>
      <c r="B99" s="9" t="s">
        <v>209</v>
      </c>
      <c r="C99" s="9" t="s">
        <v>101</v>
      </c>
      <c r="D99" s="9" t="s">
        <v>210</v>
      </c>
      <c r="E99" s="18" t="s">
        <v>115</v>
      </c>
    </row>
    <row r="100" spans="1:5">
      <c r="A100" s="9" t="s">
        <v>211</v>
      </c>
      <c r="B100" s="9" t="s">
        <v>212</v>
      </c>
      <c r="C100" s="9" t="s">
        <v>101</v>
      </c>
      <c r="D100" s="9" t="s">
        <v>210</v>
      </c>
      <c r="E100" s="18" t="s">
        <v>115</v>
      </c>
    </row>
    <row r="101" spans="1:5">
      <c r="A101" s="9" t="s">
        <v>213</v>
      </c>
      <c r="B101" s="9" t="s">
        <v>214</v>
      </c>
      <c r="C101" s="9" t="s">
        <v>101</v>
      </c>
      <c r="D101" s="9" t="s">
        <v>210</v>
      </c>
      <c r="E101" s="18" t="s">
        <v>115</v>
      </c>
    </row>
    <row r="102" spans="1:5">
      <c r="A102" s="9" t="s">
        <v>215</v>
      </c>
      <c r="B102" s="9" t="s">
        <v>216</v>
      </c>
      <c r="C102" s="9" t="s">
        <v>101</v>
      </c>
      <c r="D102" s="9" t="s">
        <v>210</v>
      </c>
      <c r="E102" s="18" t="s">
        <v>115</v>
      </c>
    </row>
    <row r="103" spans="1:5">
      <c r="A103" s="9" t="s">
        <v>217</v>
      </c>
      <c r="B103" s="9" t="s">
        <v>218</v>
      </c>
      <c r="C103" s="9" t="s">
        <v>101</v>
      </c>
      <c r="D103" s="9" t="s">
        <v>210</v>
      </c>
      <c r="E103" s="18" t="s">
        <v>115</v>
      </c>
    </row>
    <row r="104" spans="1:5">
      <c r="A104" s="9" t="s">
        <v>219</v>
      </c>
      <c r="B104" s="9" t="s">
        <v>220</v>
      </c>
      <c r="C104" s="9" t="s">
        <v>101</v>
      </c>
      <c r="D104" s="9" t="s">
        <v>210</v>
      </c>
      <c r="E104" s="18" t="s">
        <v>115</v>
      </c>
    </row>
    <row r="105" spans="1:5">
      <c r="A105" s="9" t="s">
        <v>221</v>
      </c>
      <c r="B105" s="9" t="s">
        <v>222</v>
      </c>
      <c r="C105" s="9" t="s">
        <v>101</v>
      </c>
      <c r="D105" s="9" t="s">
        <v>210</v>
      </c>
      <c r="E105" s="18" t="s">
        <v>115</v>
      </c>
    </row>
    <row r="106" spans="1:5">
      <c r="A106" s="9" t="s">
        <v>223</v>
      </c>
      <c r="B106" s="9" t="s">
        <v>224</v>
      </c>
      <c r="C106" s="9" t="s">
        <v>101</v>
      </c>
      <c r="D106" s="9" t="s">
        <v>210</v>
      </c>
      <c r="E106" s="18" t="s">
        <v>115</v>
      </c>
    </row>
    <row r="107" spans="1:5">
      <c r="A107" s="9" t="s">
        <v>225</v>
      </c>
      <c r="B107" s="9" t="s">
        <v>226</v>
      </c>
      <c r="C107" s="9" t="s">
        <v>101</v>
      </c>
      <c r="D107" s="9" t="s">
        <v>210</v>
      </c>
      <c r="E107" s="18" t="s">
        <v>115</v>
      </c>
    </row>
    <row r="108" spans="1:5">
      <c r="A108" s="9" t="s">
        <v>227</v>
      </c>
      <c r="B108" s="9" t="s">
        <v>228</v>
      </c>
      <c r="C108" s="9" t="s">
        <v>101</v>
      </c>
      <c r="D108" s="9" t="s">
        <v>210</v>
      </c>
      <c r="E108" s="18" t="s">
        <v>115</v>
      </c>
    </row>
    <row r="109" spans="1:5">
      <c r="A109" s="9" t="s">
        <v>229</v>
      </c>
      <c r="B109" s="9" t="s">
        <v>230</v>
      </c>
      <c r="C109" s="9" t="s">
        <v>101</v>
      </c>
      <c r="D109" s="9" t="s">
        <v>210</v>
      </c>
      <c r="E109" s="18" t="s">
        <v>115</v>
      </c>
    </row>
    <row r="110" spans="1:5">
      <c r="A110" s="9" t="s">
        <v>231</v>
      </c>
      <c r="B110" s="9" t="s">
        <v>232</v>
      </c>
      <c r="C110" s="9" t="s">
        <v>101</v>
      </c>
      <c r="D110" s="9" t="s">
        <v>210</v>
      </c>
      <c r="E110" s="18" t="s">
        <v>115</v>
      </c>
    </row>
    <row r="111" spans="1:5">
      <c r="A111" s="9" t="s">
        <v>233</v>
      </c>
      <c r="B111" s="9" t="s">
        <v>234</v>
      </c>
      <c r="C111" s="9" t="s">
        <v>101</v>
      </c>
      <c r="D111" s="9" t="s">
        <v>210</v>
      </c>
      <c r="E111" s="18" t="s">
        <v>115</v>
      </c>
    </row>
    <row r="112" spans="1:5">
      <c r="A112" s="9" t="s">
        <v>235</v>
      </c>
      <c r="B112" s="9" t="s">
        <v>236</v>
      </c>
      <c r="C112" s="9" t="s">
        <v>101</v>
      </c>
      <c r="D112" s="9" t="s">
        <v>210</v>
      </c>
      <c r="E112" s="18" t="s">
        <v>115</v>
      </c>
    </row>
    <row r="116" spans="1:10" s="185" customFormat="1"/>
    <row r="117" spans="1:10" ht="18">
      <c r="A117" s="363" t="s">
        <v>237</v>
      </c>
      <c r="B117" s="363"/>
      <c r="C117" s="363"/>
      <c r="D117" s="202"/>
      <c r="E117" s="202"/>
      <c r="F117" s="363" t="s">
        <v>238</v>
      </c>
      <c r="G117" s="363"/>
      <c r="H117" s="363"/>
    </row>
    <row r="118" spans="1:10" ht="50">
      <c r="A118" s="367" t="s">
        <v>239</v>
      </c>
      <c r="B118" s="186" t="s">
        <v>240</v>
      </c>
      <c r="C118" s="193" t="s">
        <v>241</v>
      </c>
      <c r="D118" s="192"/>
      <c r="E118" s="192"/>
      <c r="F118" s="194" t="s">
        <v>242</v>
      </c>
      <c r="G118" s="195" t="s">
        <v>243</v>
      </c>
      <c r="H118" s="193" t="s">
        <v>244</v>
      </c>
      <c r="J118" s="184" t="s">
        <v>245</v>
      </c>
    </row>
    <row r="119" spans="1:10" ht="25.5">
      <c r="A119" s="367"/>
      <c r="B119" s="186" t="s">
        <v>246</v>
      </c>
      <c r="C119" s="196" t="s">
        <v>247</v>
      </c>
      <c r="D119" s="192"/>
      <c r="E119" s="192"/>
      <c r="F119" s="364" t="s">
        <v>248</v>
      </c>
      <c r="G119" s="365" t="s">
        <v>249</v>
      </c>
      <c r="H119" s="197" t="s">
        <v>250</v>
      </c>
    </row>
    <row r="120" spans="1:10" ht="50">
      <c r="A120" s="367" t="s">
        <v>251</v>
      </c>
      <c r="B120" s="186" t="s">
        <v>252</v>
      </c>
      <c r="C120" s="193" t="s">
        <v>253</v>
      </c>
      <c r="D120" s="192"/>
      <c r="E120" s="192"/>
      <c r="F120" s="364"/>
      <c r="G120" s="366"/>
      <c r="H120" s="198" t="s">
        <v>254</v>
      </c>
    </row>
    <row r="121" spans="1:10" ht="26">
      <c r="A121" s="367"/>
      <c r="B121" s="187" t="s">
        <v>255</v>
      </c>
      <c r="C121" s="193" t="s">
        <v>256</v>
      </c>
      <c r="D121" s="192"/>
      <c r="E121" s="192"/>
      <c r="F121" s="199" t="s">
        <v>257</v>
      </c>
      <c r="G121" s="193" t="s">
        <v>258</v>
      </c>
      <c r="H121" s="193" t="s">
        <v>259</v>
      </c>
    </row>
    <row r="122" spans="1:10" ht="26">
      <c r="A122" s="367"/>
      <c r="B122" s="186" t="s">
        <v>260</v>
      </c>
      <c r="C122" s="193" t="s">
        <v>261</v>
      </c>
      <c r="D122" s="192"/>
      <c r="E122" s="192"/>
      <c r="F122" s="200" t="s">
        <v>262</v>
      </c>
      <c r="G122" s="193" t="s">
        <v>263</v>
      </c>
      <c r="H122" s="193" t="s">
        <v>264</v>
      </c>
    </row>
    <row r="123" spans="1:10" ht="62.5">
      <c r="A123" s="367"/>
      <c r="B123" s="186" t="s">
        <v>265</v>
      </c>
      <c r="C123" s="193" t="s">
        <v>266</v>
      </c>
      <c r="D123" s="192"/>
      <c r="E123" s="192"/>
      <c r="F123" s="201" t="s">
        <v>267</v>
      </c>
      <c r="G123" s="193" t="s">
        <v>268</v>
      </c>
      <c r="H123" s="193" t="s">
        <v>269</v>
      </c>
    </row>
    <row r="124" spans="1:10">
      <c r="A124" s="367" t="s">
        <v>270</v>
      </c>
      <c r="B124" s="188" t="s">
        <v>271</v>
      </c>
      <c r="C124" s="193" t="s">
        <v>272</v>
      </c>
      <c r="D124" s="192"/>
      <c r="E124" s="192"/>
      <c r="F124" s="192"/>
      <c r="G124" s="192"/>
      <c r="H124" s="192"/>
    </row>
    <row r="125" spans="1:10" ht="63">
      <c r="A125" s="367"/>
      <c r="B125" s="186" t="s">
        <v>273</v>
      </c>
      <c r="C125" s="196" t="s">
        <v>274</v>
      </c>
      <c r="D125" s="192"/>
      <c r="E125" s="192"/>
      <c r="F125" s="192"/>
      <c r="G125" s="192"/>
      <c r="H125" s="192"/>
    </row>
    <row r="126" spans="1:10" ht="37.5">
      <c r="A126" s="367" t="s">
        <v>275</v>
      </c>
      <c r="B126" s="186" t="s">
        <v>276</v>
      </c>
      <c r="C126" s="193" t="s">
        <v>277</v>
      </c>
      <c r="D126" s="192"/>
      <c r="E126" s="192"/>
      <c r="F126" s="192"/>
      <c r="G126" s="192"/>
      <c r="H126" s="192"/>
    </row>
    <row r="127" spans="1:10" ht="125">
      <c r="A127" s="367"/>
      <c r="B127" s="186" t="s">
        <v>278</v>
      </c>
      <c r="C127" s="193" t="s">
        <v>279</v>
      </c>
      <c r="D127" s="192"/>
      <c r="E127" s="192"/>
      <c r="F127" s="192"/>
      <c r="G127" s="192"/>
      <c r="H127" s="192"/>
    </row>
    <row r="128" spans="1:10" ht="75">
      <c r="A128" s="367" t="s">
        <v>280</v>
      </c>
      <c r="B128" s="189" t="s">
        <v>281</v>
      </c>
      <c r="C128" s="193" t="s">
        <v>282</v>
      </c>
      <c r="D128" s="192"/>
      <c r="E128" s="192"/>
      <c r="F128" s="192"/>
      <c r="G128" s="192"/>
      <c r="H128" s="192"/>
    </row>
    <row r="129" spans="1:8" ht="26">
      <c r="A129" s="367"/>
      <c r="B129" s="189" t="s">
        <v>283</v>
      </c>
      <c r="C129" s="193" t="s">
        <v>284</v>
      </c>
      <c r="D129" s="192"/>
      <c r="E129" s="192"/>
      <c r="F129" s="192"/>
      <c r="G129" s="192"/>
      <c r="H129" s="192"/>
    </row>
    <row r="130" spans="1:8" ht="50.5">
      <c r="A130" s="367"/>
      <c r="B130" s="190" t="s">
        <v>285</v>
      </c>
      <c r="C130" s="196" t="s">
        <v>286</v>
      </c>
      <c r="D130" s="192"/>
      <c r="E130" s="192"/>
      <c r="F130" s="192"/>
      <c r="G130" s="192"/>
      <c r="H130" s="192"/>
    </row>
    <row r="131" spans="1:8" ht="62.5">
      <c r="A131" s="367"/>
      <c r="B131" s="190" t="s">
        <v>287</v>
      </c>
      <c r="C131" s="193" t="s">
        <v>288</v>
      </c>
      <c r="D131" s="192"/>
      <c r="E131" s="192"/>
      <c r="F131" s="192"/>
      <c r="G131" s="192"/>
      <c r="H131" s="192"/>
    </row>
    <row r="132" spans="1:8" ht="25">
      <c r="A132" s="367"/>
      <c r="B132" s="191" t="s">
        <v>289</v>
      </c>
      <c r="C132" s="193" t="s">
        <v>290</v>
      </c>
      <c r="D132" s="192"/>
      <c r="E132" s="192"/>
      <c r="F132" s="192"/>
      <c r="G132" s="192"/>
      <c r="H132" s="192"/>
    </row>
  </sheetData>
  <mergeCells count="37">
    <mergeCell ref="A117:C117"/>
    <mergeCell ref="F119:F120"/>
    <mergeCell ref="G119:G120"/>
    <mergeCell ref="F117:H117"/>
    <mergeCell ref="A128:A132"/>
    <mergeCell ref="A118:A119"/>
    <mergeCell ref="A120:A123"/>
    <mergeCell ref="A124:A125"/>
    <mergeCell ref="A126:A127"/>
    <mergeCell ref="U13:U15"/>
    <mergeCell ref="T13:T15"/>
    <mergeCell ref="S13:S15"/>
    <mergeCell ref="R13:R15"/>
    <mergeCell ref="Q13:Q15"/>
    <mergeCell ref="A1:C1"/>
    <mergeCell ref="E1:I1"/>
    <mergeCell ref="C8:C10"/>
    <mergeCell ref="A3:C3"/>
    <mergeCell ref="A7:C7"/>
    <mergeCell ref="C4:C5"/>
    <mergeCell ref="M11:O11"/>
    <mergeCell ref="A16:C16"/>
    <mergeCell ref="M7:M8"/>
    <mergeCell ref="O7:O8"/>
    <mergeCell ref="N7:N8"/>
    <mergeCell ref="E2:I18"/>
    <mergeCell ref="A12:C12"/>
    <mergeCell ref="R5:R6"/>
    <mergeCell ref="Q5:Q6"/>
    <mergeCell ref="M3:O3"/>
    <mergeCell ref="M9:O9"/>
    <mergeCell ref="M5:O5"/>
    <mergeCell ref="S9:U9"/>
    <mergeCell ref="S11:U11"/>
    <mergeCell ref="U5:U6"/>
    <mergeCell ref="T5:T6"/>
    <mergeCell ref="S5:S6"/>
  </mergeCells>
  <hyperlinks>
    <hyperlink ref="A20" r:id="rId1" xr:uid="{C0035845-C790-470F-A83D-80325398E4B1}"/>
  </hyperlinks>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6CF2-3113-48D5-A7BD-7D6B5B0FDC16}">
  <sheetPr>
    <tabColor rgb="FFFFC000"/>
  </sheetPr>
  <dimension ref="A1:D45"/>
  <sheetViews>
    <sheetView showGridLines="0" workbookViewId="0">
      <selection activeCell="B39" sqref="B39"/>
    </sheetView>
  </sheetViews>
  <sheetFormatPr baseColWidth="10" defaultColWidth="11.4140625" defaultRowHeight="14"/>
  <cols>
    <col min="2" max="2" width="129.58203125" bestFit="1" customWidth="1"/>
    <col min="3" max="3" width="15.4140625" customWidth="1"/>
  </cols>
  <sheetData>
    <row r="1" spans="1:3">
      <c r="A1" s="72" t="s">
        <v>291</v>
      </c>
    </row>
    <row r="2" spans="1:3">
      <c r="A2" t="s">
        <v>292</v>
      </c>
      <c r="B2" s="12" t="s">
        <v>293</v>
      </c>
    </row>
    <row r="3" spans="1:3">
      <c r="B3" t="s">
        <v>294</v>
      </c>
    </row>
    <row r="4" spans="1:3">
      <c r="B4" t="s">
        <v>295</v>
      </c>
    </row>
    <row r="5" spans="1:3">
      <c r="A5" t="s">
        <v>296</v>
      </c>
      <c r="B5" s="12" t="s">
        <v>297</v>
      </c>
    </row>
    <row r="6" spans="1:3">
      <c r="B6" t="s">
        <v>298</v>
      </c>
    </row>
    <row r="7" spans="1:3">
      <c r="A7" t="s">
        <v>299</v>
      </c>
      <c r="B7" s="12" t="s">
        <v>300</v>
      </c>
    </row>
    <row r="8" spans="1:3">
      <c r="B8" t="s">
        <v>301</v>
      </c>
      <c r="C8" t="s">
        <v>302</v>
      </c>
    </row>
    <row r="9" spans="1:3">
      <c r="B9" t="s">
        <v>303</v>
      </c>
      <c r="C9" t="s">
        <v>302</v>
      </c>
    </row>
    <row r="10" spans="1:3">
      <c r="B10" t="s">
        <v>304</v>
      </c>
      <c r="C10" t="s">
        <v>305</v>
      </c>
    </row>
    <row r="11" spans="1:3">
      <c r="B11" t="s">
        <v>306</v>
      </c>
      <c r="C11" t="s">
        <v>307</v>
      </c>
    </row>
    <row r="12" spans="1:3">
      <c r="A12" t="s">
        <v>308</v>
      </c>
      <c r="B12" s="12" t="s">
        <v>309</v>
      </c>
    </row>
    <row r="13" spans="1:3">
      <c r="B13" t="s">
        <v>310</v>
      </c>
    </row>
    <row r="14" spans="1:3">
      <c r="B14" t="s">
        <v>311</v>
      </c>
    </row>
    <row r="15" spans="1:3">
      <c r="B15" t="s">
        <v>312</v>
      </c>
    </row>
    <row r="16" spans="1:3">
      <c r="A16" t="s">
        <v>313</v>
      </c>
      <c r="B16" s="12" t="s">
        <v>314</v>
      </c>
    </row>
    <row r="17" spans="1:3">
      <c r="B17" t="s">
        <v>315</v>
      </c>
      <c r="C17" t="s">
        <v>316</v>
      </c>
    </row>
    <row r="18" spans="1:3">
      <c r="B18" t="s">
        <v>317</v>
      </c>
    </row>
    <row r="19" spans="1:3">
      <c r="B19" t="s">
        <v>318</v>
      </c>
    </row>
    <row r="20" spans="1:3">
      <c r="B20" t="s">
        <v>319</v>
      </c>
    </row>
    <row r="21" spans="1:3">
      <c r="B21" t="s">
        <v>320</v>
      </c>
    </row>
    <row r="23" spans="1:3">
      <c r="A23" s="72" t="s">
        <v>321</v>
      </c>
    </row>
    <row r="24" spans="1:3">
      <c r="A24" t="s">
        <v>292</v>
      </c>
      <c r="B24" s="12" t="s">
        <v>293</v>
      </c>
    </row>
    <row r="25" spans="1:3">
      <c r="B25" t="s">
        <v>294</v>
      </c>
    </row>
    <row r="26" spans="1:3">
      <c r="B26" t="s">
        <v>295</v>
      </c>
    </row>
    <row r="27" spans="1:3">
      <c r="A27" t="s">
        <v>296</v>
      </c>
      <c r="B27" s="12" t="s">
        <v>297</v>
      </c>
    </row>
    <row r="28" spans="1:3">
      <c r="B28" t="s">
        <v>298</v>
      </c>
    </row>
    <row r="29" spans="1:3">
      <c r="A29" t="s">
        <v>299</v>
      </c>
      <c r="B29" s="12" t="s">
        <v>300</v>
      </c>
    </row>
    <row r="30" spans="1:3">
      <c r="B30" s="135" t="s">
        <v>322</v>
      </c>
    </row>
    <row r="31" spans="1:3">
      <c r="B31" s="135" t="s">
        <v>323</v>
      </c>
      <c r="C31" t="s">
        <v>302</v>
      </c>
    </row>
    <row r="32" spans="1:3">
      <c r="B32" s="136" t="s">
        <v>324</v>
      </c>
    </row>
    <row r="33" spans="1:4">
      <c r="B33" s="136" t="s">
        <v>325</v>
      </c>
      <c r="C33" t="s">
        <v>302</v>
      </c>
      <c r="D33" t="s">
        <v>326</v>
      </c>
    </row>
    <row r="34" spans="1:4">
      <c r="B34" t="s">
        <v>304</v>
      </c>
      <c r="C34" t="s">
        <v>327</v>
      </c>
    </row>
    <row r="35" spans="1:4">
      <c r="B35" t="s">
        <v>328</v>
      </c>
      <c r="C35" t="s">
        <v>329</v>
      </c>
    </row>
    <row r="36" spans="1:4">
      <c r="A36" t="s">
        <v>308</v>
      </c>
      <c r="B36" s="12" t="s">
        <v>330</v>
      </c>
    </row>
    <row r="37" spans="1:4">
      <c r="B37" t="s">
        <v>310</v>
      </c>
    </row>
    <row r="38" spans="1:4">
      <c r="B38" t="s">
        <v>311</v>
      </c>
    </row>
    <row r="39" spans="1:4">
      <c r="B39" t="s">
        <v>312</v>
      </c>
    </row>
    <row r="40" spans="1:4">
      <c r="A40" t="s">
        <v>313</v>
      </c>
      <c r="B40" s="12" t="s">
        <v>314</v>
      </c>
    </row>
    <row r="41" spans="1:4">
      <c r="B41" t="s">
        <v>331</v>
      </c>
    </row>
    <row r="42" spans="1:4">
      <c r="B42" t="s">
        <v>317</v>
      </c>
    </row>
    <row r="43" spans="1:4">
      <c r="B43" t="s">
        <v>318</v>
      </c>
    </row>
    <row r="44" spans="1:4">
      <c r="B44" t="s">
        <v>332</v>
      </c>
      <c r="C44" t="s">
        <v>333</v>
      </c>
    </row>
    <row r="45" spans="1:4">
      <c r="B45"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717D-918E-4760-8EE0-CBD40F839D65}">
  <sheetPr>
    <tabColor theme="4" tint="0.59999389629810485"/>
  </sheetPr>
  <dimension ref="A1:G17"/>
  <sheetViews>
    <sheetView showGridLines="0" zoomScale="90" zoomScaleNormal="100" workbookViewId="0">
      <pane xSplit="1" ySplit="1" topLeftCell="B2" activePane="bottomRight" state="frozen"/>
      <selection pane="topRight" activeCell="B1" sqref="B1"/>
      <selection pane="bottomLeft" activeCell="A2" sqref="A2"/>
      <selection pane="bottomRight" activeCell="F4" sqref="F4"/>
    </sheetView>
  </sheetViews>
  <sheetFormatPr baseColWidth="10" defaultColWidth="11.4140625" defaultRowHeight="14"/>
  <cols>
    <col min="1" max="1" width="13.25" customWidth="1"/>
    <col min="2" max="2" width="18.4140625" style="13" customWidth="1"/>
    <col min="3" max="3" width="12.4140625" style="13" customWidth="1"/>
    <col min="4" max="4" width="11.83203125" style="13" customWidth="1"/>
    <col min="5" max="5" width="12" style="13" customWidth="1"/>
    <col min="6" max="6" width="151.4140625" style="123" customWidth="1"/>
    <col min="7" max="7" width="36.4140625" style="216" customWidth="1"/>
  </cols>
  <sheetData>
    <row r="1" spans="1:7" ht="28">
      <c r="A1" s="45" t="s">
        <v>97</v>
      </c>
      <c r="B1" s="45" t="s">
        <v>334</v>
      </c>
      <c r="C1" s="45" t="s">
        <v>335</v>
      </c>
      <c r="D1" s="45" t="s">
        <v>336</v>
      </c>
      <c r="E1" s="45" t="s">
        <v>337</v>
      </c>
      <c r="F1" s="45" t="s">
        <v>338</v>
      </c>
      <c r="G1" s="327" t="s">
        <v>5</v>
      </c>
    </row>
    <row r="2" spans="1:7" ht="317.5" customHeight="1">
      <c r="A2" s="124" t="s">
        <v>339</v>
      </c>
      <c r="B2" s="76" t="s">
        <v>340</v>
      </c>
      <c r="C2" s="75" t="s">
        <v>341</v>
      </c>
      <c r="D2" s="76" t="s">
        <v>344</v>
      </c>
      <c r="E2" s="76" t="s">
        <v>3020</v>
      </c>
      <c r="F2" s="120" t="s">
        <v>342</v>
      </c>
      <c r="G2" s="328" t="s">
        <v>3035</v>
      </c>
    </row>
    <row r="3" spans="1:7" ht="380.15" customHeight="1">
      <c r="A3" s="124" t="s">
        <v>339</v>
      </c>
      <c r="B3" s="76" t="s">
        <v>343</v>
      </c>
      <c r="C3" s="75" t="s">
        <v>341</v>
      </c>
      <c r="D3" s="76" t="s">
        <v>344</v>
      </c>
      <c r="E3" s="76" t="s">
        <v>3020</v>
      </c>
      <c r="F3" s="120" t="s">
        <v>3019</v>
      </c>
      <c r="G3" s="328" t="s">
        <v>3036</v>
      </c>
    </row>
    <row r="4" spans="1:7" ht="246" customHeight="1">
      <c r="A4" s="329" t="s">
        <v>3028</v>
      </c>
      <c r="B4" s="119" t="s">
        <v>3024</v>
      </c>
      <c r="C4" s="77" t="s">
        <v>349</v>
      </c>
      <c r="D4" s="18">
        <v>2025</v>
      </c>
      <c r="E4" s="76" t="s">
        <v>3020</v>
      </c>
      <c r="F4" s="121" t="s">
        <v>3026</v>
      </c>
      <c r="G4" s="121" t="s">
        <v>3022</v>
      </c>
    </row>
    <row r="5" spans="1:7" ht="219.75" customHeight="1">
      <c r="A5" s="329" t="s">
        <v>3027</v>
      </c>
      <c r="B5" s="119" t="s">
        <v>3023</v>
      </c>
      <c r="C5" s="75" t="s">
        <v>341</v>
      </c>
      <c r="D5" s="18">
        <v>2025</v>
      </c>
      <c r="E5" s="76" t="s">
        <v>3020</v>
      </c>
      <c r="F5" s="121" t="s">
        <v>3025</v>
      </c>
      <c r="G5" s="121" t="s">
        <v>3037</v>
      </c>
    </row>
    <row r="6" spans="1:7" ht="373.5" customHeight="1">
      <c r="A6" s="125" t="s">
        <v>346</v>
      </c>
      <c r="B6" s="119" t="s">
        <v>3029</v>
      </c>
      <c r="C6" s="18" t="s">
        <v>345</v>
      </c>
      <c r="D6" s="18" t="s">
        <v>3030</v>
      </c>
      <c r="E6" s="76" t="s">
        <v>3020</v>
      </c>
      <c r="F6" s="69" t="s">
        <v>3031</v>
      </c>
      <c r="G6" s="330" t="s">
        <v>3038</v>
      </c>
    </row>
    <row r="7" spans="1:7" ht="140">
      <c r="A7" s="125" t="s">
        <v>346</v>
      </c>
      <c r="B7" s="119" t="s">
        <v>347</v>
      </c>
      <c r="C7" s="18" t="s">
        <v>345</v>
      </c>
      <c r="D7" s="18">
        <v>2025</v>
      </c>
      <c r="E7" s="76" t="s">
        <v>3020</v>
      </c>
      <c r="F7" s="69" t="s">
        <v>2999</v>
      </c>
      <c r="G7" s="330" t="s">
        <v>3039</v>
      </c>
    </row>
    <row r="8" spans="1:7" ht="154">
      <c r="A8" s="125" t="s">
        <v>346</v>
      </c>
      <c r="B8" s="119" t="s">
        <v>2992</v>
      </c>
      <c r="C8" s="18" t="s">
        <v>345</v>
      </c>
      <c r="D8" s="18">
        <v>2025</v>
      </c>
      <c r="E8" s="76" t="s">
        <v>3020</v>
      </c>
      <c r="F8" s="69" t="s">
        <v>3032</v>
      </c>
      <c r="G8" s="330" t="s">
        <v>3040</v>
      </c>
    </row>
    <row r="9" spans="1:7" ht="409.5" customHeight="1">
      <c r="A9" s="125" t="s">
        <v>346</v>
      </c>
      <c r="B9" s="119" t="s">
        <v>348</v>
      </c>
      <c r="C9" s="77" t="s">
        <v>349</v>
      </c>
      <c r="D9" s="18">
        <v>2018</v>
      </c>
      <c r="E9" s="76" t="s">
        <v>3020</v>
      </c>
      <c r="F9" s="69" t="s">
        <v>350</v>
      </c>
      <c r="G9" s="330" t="s">
        <v>3041</v>
      </c>
    </row>
    <row r="10" spans="1:7" ht="98">
      <c r="A10" s="125" t="s">
        <v>346</v>
      </c>
      <c r="B10" s="119" t="s">
        <v>351</v>
      </c>
      <c r="C10" s="77" t="s">
        <v>349</v>
      </c>
      <c r="D10" s="18">
        <v>2018</v>
      </c>
      <c r="E10" s="76" t="s">
        <v>3020</v>
      </c>
      <c r="F10" s="120" t="s">
        <v>352</v>
      </c>
      <c r="G10" s="330" t="s">
        <v>353</v>
      </c>
    </row>
    <row r="11" spans="1:7" ht="98.25" customHeight="1">
      <c r="A11" s="125" t="s">
        <v>346</v>
      </c>
      <c r="B11" s="119" t="s">
        <v>354</v>
      </c>
      <c r="C11" s="77" t="s">
        <v>349</v>
      </c>
      <c r="D11" s="18">
        <v>2023</v>
      </c>
      <c r="E11" s="76" t="s">
        <v>3020</v>
      </c>
      <c r="F11" s="69" t="s">
        <v>355</v>
      </c>
      <c r="G11" s="330" t="s">
        <v>3042</v>
      </c>
    </row>
    <row r="12" spans="1:7" ht="206.25" customHeight="1">
      <c r="A12" s="125" t="s">
        <v>346</v>
      </c>
      <c r="B12" s="119" t="s">
        <v>356</v>
      </c>
      <c r="C12" s="77" t="s">
        <v>349</v>
      </c>
      <c r="D12" s="18">
        <v>2024</v>
      </c>
      <c r="E12" s="76" t="s">
        <v>3020</v>
      </c>
      <c r="F12" s="69" t="s">
        <v>357</v>
      </c>
      <c r="G12" s="330" t="s">
        <v>3043</v>
      </c>
    </row>
    <row r="13" spans="1:7" ht="222" customHeight="1">
      <c r="A13" s="125" t="s">
        <v>346</v>
      </c>
      <c r="B13" s="119" t="s">
        <v>2993</v>
      </c>
      <c r="C13" s="78" t="s">
        <v>341</v>
      </c>
      <c r="D13" s="18">
        <v>2025</v>
      </c>
      <c r="E13" s="76" t="s">
        <v>3020</v>
      </c>
      <c r="F13" s="130" t="s">
        <v>3033</v>
      </c>
      <c r="G13" s="6" t="s">
        <v>3044</v>
      </c>
    </row>
    <row r="14" spans="1:7" ht="206.5" customHeight="1">
      <c r="A14" s="125" t="s">
        <v>346</v>
      </c>
      <c r="B14" s="119" t="s">
        <v>358</v>
      </c>
      <c r="C14" s="78" t="s">
        <v>341</v>
      </c>
      <c r="D14" s="18">
        <v>2024</v>
      </c>
      <c r="E14" s="76" t="s">
        <v>3021</v>
      </c>
      <c r="F14" s="130" t="s">
        <v>3034</v>
      </c>
      <c r="G14" s="330" t="s">
        <v>3045</v>
      </c>
    </row>
    <row r="15" spans="1:7" ht="273" customHeight="1">
      <c r="A15" s="125" t="s">
        <v>346</v>
      </c>
      <c r="B15" s="119" t="s">
        <v>360</v>
      </c>
      <c r="C15" s="78" t="s">
        <v>341</v>
      </c>
      <c r="D15" s="18">
        <v>2024</v>
      </c>
      <c r="E15" s="76" t="s">
        <v>361</v>
      </c>
      <c r="F15" s="69" t="s">
        <v>362</v>
      </c>
      <c r="G15" s="330" t="s">
        <v>3046</v>
      </c>
    </row>
    <row r="16" spans="1:7" ht="138.75" customHeight="1">
      <c r="A16" s="125" t="s">
        <v>346</v>
      </c>
      <c r="B16" s="119" t="s">
        <v>363</v>
      </c>
      <c r="C16" s="78" t="s">
        <v>341</v>
      </c>
      <c r="D16" s="18">
        <v>2024</v>
      </c>
      <c r="E16" s="76" t="s">
        <v>3020</v>
      </c>
      <c r="F16" s="69" t="s">
        <v>364</v>
      </c>
      <c r="G16" s="330" t="s">
        <v>3047</v>
      </c>
    </row>
    <row r="17" spans="6:6">
      <c r="F17" s="12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7EB4-CB22-4EC2-873C-FB00A3F4AC74}">
  <dimension ref="A1:K115"/>
  <sheetViews>
    <sheetView showGridLines="0" topLeftCell="A61" zoomScale="80" zoomScaleNormal="80" workbookViewId="0">
      <selection activeCell="C36" sqref="C36"/>
    </sheetView>
  </sheetViews>
  <sheetFormatPr baseColWidth="10" defaultColWidth="11.4140625" defaultRowHeight="14"/>
  <cols>
    <col min="1" max="1" width="26.58203125" customWidth="1"/>
    <col min="2" max="7" width="15.58203125" customWidth="1"/>
    <col min="8" max="8" width="26.25" customWidth="1"/>
    <col min="9" max="10" width="15.58203125" customWidth="1"/>
    <col min="11" max="11" width="40.4140625" customWidth="1"/>
  </cols>
  <sheetData>
    <row r="1" spans="1:10">
      <c r="A1" s="72" t="s">
        <v>365</v>
      </c>
    </row>
    <row r="2" spans="1:10">
      <c r="A2" s="96" t="s">
        <v>366</v>
      </c>
      <c r="B2" s="38"/>
    </row>
    <row r="4" spans="1:10">
      <c r="A4" s="86" t="s">
        <v>367</v>
      </c>
      <c r="B4" s="85" t="s">
        <v>368</v>
      </c>
      <c r="C4" s="85">
        <v>1</v>
      </c>
      <c r="D4" s="85">
        <v>2</v>
      </c>
      <c r="E4" s="85">
        <v>3</v>
      </c>
      <c r="F4" s="85">
        <v>4</v>
      </c>
      <c r="G4" s="85">
        <v>5</v>
      </c>
      <c r="H4" s="85">
        <v>6</v>
      </c>
      <c r="I4" s="85" t="s">
        <v>380</v>
      </c>
      <c r="J4" s="85" t="s">
        <v>369</v>
      </c>
    </row>
    <row r="5" spans="1:10">
      <c r="A5" s="86" t="s">
        <v>370</v>
      </c>
      <c r="B5" s="84">
        <f>+COUNTIFS(Municipios!$Y:$Y,Contrastes_Mun1!$A5,Municipios!$BC:$BC,Contrastes_Mun1!B$4)</f>
        <v>1</v>
      </c>
      <c r="C5" s="84">
        <f>+COUNTIFS(Municipios!$Y:$Y,Contrastes_Mun1!$A5,Municipios!$BC:$BC,Contrastes_Mun1!C$4)</f>
        <v>0</v>
      </c>
      <c r="D5" s="84">
        <f>+COUNTIFS(Municipios!$Y:$Y,Contrastes_Mun1!$A5,Municipios!$BC:$BC,Contrastes_Mun1!D$4)</f>
        <v>0</v>
      </c>
      <c r="E5" s="84">
        <f>+COUNTIFS(Municipios!$Y:$Y,Contrastes_Mun1!$A5,Municipios!$BC:$BC,Contrastes_Mun1!E$4)</f>
        <v>0</v>
      </c>
      <c r="F5" s="84">
        <f>+COUNTIFS(Municipios!$Y:$Y,Contrastes_Mun1!$A5,Municipios!$BC:$BC,Contrastes_Mun1!F$4)</f>
        <v>0</v>
      </c>
      <c r="G5" s="84">
        <f>+COUNTIFS(Municipios!$Y:$Y,Contrastes_Mun1!$A5,Municipios!$BC:$BC,Contrastes_Mun1!G$4)</f>
        <v>0</v>
      </c>
      <c r="H5" s="84">
        <f>+COUNTIFS(Municipios!$Y:$Y,Contrastes_Mun1!$A5,Municipios!$BC:$BC,Contrastes_Mun1!H$4)</f>
        <v>0</v>
      </c>
      <c r="I5" s="84">
        <f>+COUNTIFS(Municipios!$Y:$Y,Contrastes_Mun1!$A5,Municipios!$BC:$BC,Contrastes_Mun1!I$4)</f>
        <v>0</v>
      </c>
      <c r="J5" s="93">
        <f>+SUM(B5:I5)</f>
        <v>1</v>
      </c>
    </row>
    <row r="6" spans="1:10">
      <c r="A6" s="87" t="s">
        <v>371</v>
      </c>
      <c r="B6" s="84">
        <f>+COUNTIFS(Municipios!$Y:$Y,Contrastes_Mun1!$A6,Municipios!$BC:$BC,Contrastes_Mun1!B$4)</f>
        <v>5</v>
      </c>
      <c r="C6" s="84">
        <f>+COUNTIFS(Municipios!$Y:$Y,Contrastes_Mun1!$A6,Municipios!$BC:$BC,Contrastes_Mun1!C$4)</f>
        <v>0</v>
      </c>
      <c r="D6" s="84">
        <f>+COUNTIFS(Municipios!$Y:$Y,Contrastes_Mun1!$A6,Municipios!$BC:$BC,Contrastes_Mun1!D$4)</f>
        <v>0</v>
      </c>
      <c r="E6" s="84">
        <f>+COUNTIFS(Municipios!$Y:$Y,Contrastes_Mun1!$A6,Municipios!$BC:$BC,Contrastes_Mun1!E$4)</f>
        <v>0</v>
      </c>
      <c r="F6" s="84">
        <f>+COUNTIFS(Municipios!$Y:$Y,Contrastes_Mun1!$A6,Municipios!$BC:$BC,Contrastes_Mun1!F$4)</f>
        <v>0</v>
      </c>
      <c r="G6" s="84">
        <f>+COUNTIFS(Municipios!$Y:$Y,Contrastes_Mun1!$A6,Municipios!$BC:$BC,Contrastes_Mun1!G$4)</f>
        <v>0</v>
      </c>
      <c r="H6" s="84">
        <f>+COUNTIFS(Municipios!$Y:$Y,Contrastes_Mun1!$A6,Municipios!$BC:$BC,Contrastes_Mun1!H$4)</f>
        <v>0</v>
      </c>
      <c r="I6" s="84">
        <f>+COUNTIFS(Municipios!$Y:$Y,Contrastes_Mun1!$A6,Municipios!$BC:$BC,Contrastes_Mun1!I$4)</f>
        <v>0</v>
      </c>
      <c r="J6" s="93">
        <f t="shared" ref="J6:J11" si="0">+SUM(B6:I6)</f>
        <v>5</v>
      </c>
    </row>
    <row r="7" spans="1:10">
      <c r="A7" s="87">
        <v>1</v>
      </c>
      <c r="B7" s="84">
        <f>+COUNTIFS(Municipios!$Y:$Y,Contrastes_Mun1!$A7,Municipios!$BC:$BC,Contrastes_Mun1!B$4)</f>
        <v>0</v>
      </c>
      <c r="C7" s="84">
        <f>+COUNTIFS(Municipios!$Y:$Y,Contrastes_Mun1!$A7,Municipios!$BC:$BC,Contrastes_Mun1!C$4)</f>
        <v>18</v>
      </c>
      <c r="D7" s="84">
        <f>+COUNTIFS(Municipios!$Y:$Y,Contrastes_Mun1!$A7,Municipios!$BC:$BC,Contrastes_Mun1!D$4)</f>
        <v>14</v>
      </c>
      <c r="E7" s="84">
        <f>+COUNTIFS(Municipios!$Y:$Y,Contrastes_Mun1!$A7,Municipios!$BC:$BC,Contrastes_Mun1!E$4)</f>
        <v>5</v>
      </c>
      <c r="F7" s="84">
        <f>+COUNTIFS(Municipios!$Y:$Y,Contrastes_Mun1!$A7,Municipios!$BC:$BC,Contrastes_Mun1!F$4)</f>
        <v>3</v>
      </c>
      <c r="G7" s="84">
        <f>+COUNTIFS(Municipios!$Y:$Y,Contrastes_Mun1!$A7,Municipios!$BC:$BC,Contrastes_Mun1!G$4)</f>
        <v>4</v>
      </c>
      <c r="H7" s="84">
        <f>+COUNTIFS(Municipios!$Y:$Y,Contrastes_Mun1!$A7,Municipios!$BC:$BC,Contrastes_Mun1!H$4)</f>
        <v>5</v>
      </c>
      <c r="I7" s="84">
        <f>+COUNTIFS(Municipios!$Y:$Y,Contrastes_Mun1!$A7,Municipios!$BC:$BC,Contrastes_Mun1!I$4)</f>
        <v>0</v>
      </c>
      <c r="J7" s="93">
        <f t="shared" si="0"/>
        <v>49</v>
      </c>
    </row>
    <row r="8" spans="1:10">
      <c r="A8" s="87">
        <v>2</v>
      </c>
      <c r="B8" s="84">
        <f>+COUNTIFS(Municipios!$Y:$Y,Contrastes_Mun1!$A8,Municipios!$BC:$BC,Contrastes_Mun1!B$4)</f>
        <v>0</v>
      </c>
      <c r="C8" s="84">
        <f>+COUNTIFS(Municipios!$Y:$Y,Contrastes_Mun1!$A8,Municipios!$BC:$BC,Contrastes_Mun1!C$4)</f>
        <v>9</v>
      </c>
      <c r="D8" s="84">
        <f>+COUNTIFS(Municipios!$Y:$Y,Contrastes_Mun1!$A8,Municipios!$BC:$BC,Contrastes_Mun1!D$4)</f>
        <v>10</v>
      </c>
      <c r="E8" s="84">
        <f>+COUNTIFS(Municipios!$Y:$Y,Contrastes_Mun1!$A8,Municipios!$BC:$BC,Contrastes_Mun1!E$4)</f>
        <v>10</v>
      </c>
      <c r="F8" s="84">
        <f>+COUNTIFS(Municipios!$Y:$Y,Contrastes_Mun1!$A8,Municipios!$BC:$BC,Contrastes_Mun1!F$4)</f>
        <v>9</v>
      </c>
      <c r="G8" s="84">
        <f>+COUNTIFS(Municipios!$Y:$Y,Contrastes_Mun1!$A8,Municipios!$BC:$BC,Contrastes_Mun1!G$4)</f>
        <v>21</v>
      </c>
      <c r="H8" s="84">
        <f>+COUNTIFS(Municipios!$Y:$Y,Contrastes_Mun1!$A8,Municipios!$BC:$BC,Contrastes_Mun1!H$4)</f>
        <v>94</v>
      </c>
      <c r="I8" s="84">
        <f>+COUNTIFS(Municipios!$Y:$Y,Contrastes_Mun1!$A8,Municipios!$BC:$BC,Contrastes_Mun1!I$4)</f>
        <v>0</v>
      </c>
      <c r="J8" s="93">
        <f t="shared" si="0"/>
        <v>153</v>
      </c>
    </row>
    <row r="9" spans="1:10">
      <c r="A9" s="87">
        <v>3</v>
      </c>
      <c r="B9" s="84">
        <f>+COUNTIFS(Municipios!$Y:$Y,Contrastes_Mun1!$A9,Municipios!$BC:$BC,Contrastes_Mun1!B$4)</f>
        <v>0</v>
      </c>
      <c r="C9" s="84">
        <f>+COUNTIFS(Municipios!$Y:$Y,Contrastes_Mun1!$A9,Municipios!$BC:$BC,Contrastes_Mun1!C$4)</f>
        <v>0</v>
      </c>
      <c r="D9" s="84">
        <f>+COUNTIFS(Municipios!$Y:$Y,Contrastes_Mun1!$A9,Municipios!$BC:$BC,Contrastes_Mun1!D$4)</f>
        <v>2</v>
      </c>
      <c r="E9" s="84">
        <f>+COUNTIFS(Municipios!$Y:$Y,Contrastes_Mun1!$A9,Municipios!$BC:$BC,Contrastes_Mun1!E$4)</f>
        <v>2</v>
      </c>
      <c r="F9" s="84">
        <f>+COUNTIFS(Municipios!$Y:$Y,Contrastes_Mun1!$A9,Municipios!$BC:$BC,Contrastes_Mun1!F$4)</f>
        <v>7</v>
      </c>
      <c r="G9" s="84">
        <f>+COUNTIFS(Municipios!$Y:$Y,Contrastes_Mun1!$A9,Municipios!$BC:$BC,Contrastes_Mun1!G$4)</f>
        <v>13</v>
      </c>
      <c r="H9" s="84">
        <f>+COUNTIFS(Municipios!$Y:$Y,Contrastes_Mun1!$A9,Municipios!$BC:$BC,Contrastes_Mun1!H$4)</f>
        <v>344</v>
      </c>
      <c r="I9" s="84">
        <f>+COUNTIFS(Municipios!$Y:$Y,Contrastes_Mun1!$A9,Municipios!$BC:$BC,Contrastes_Mun1!I$4)</f>
        <v>0</v>
      </c>
      <c r="J9" s="93">
        <f t="shared" si="0"/>
        <v>368</v>
      </c>
    </row>
    <row r="10" spans="1:10">
      <c r="A10" s="87">
        <v>4</v>
      </c>
      <c r="B10" s="84">
        <f>+COUNTIFS(Municipios!$Y:$Y,Contrastes_Mun1!$A10,Municipios!$BC:$BC,Contrastes_Mun1!B$4)</f>
        <v>0</v>
      </c>
      <c r="C10" s="84">
        <f>+COUNTIFS(Municipios!$Y:$Y,Contrastes_Mun1!$A10,Municipios!$BC:$BC,Contrastes_Mun1!C$4)</f>
        <v>0</v>
      </c>
      <c r="D10" s="84">
        <f>+COUNTIFS(Municipios!$Y:$Y,Contrastes_Mun1!$A10,Municipios!$BC:$BC,Contrastes_Mun1!D$4)</f>
        <v>2</v>
      </c>
      <c r="E10" s="84">
        <f>+COUNTIFS(Municipios!$Y:$Y,Contrastes_Mun1!$A10,Municipios!$BC:$BC,Contrastes_Mun1!E$4)</f>
        <v>0</v>
      </c>
      <c r="F10" s="84">
        <f>+COUNTIFS(Municipios!$Y:$Y,Contrastes_Mun1!$A10,Municipios!$BC:$BC,Contrastes_Mun1!F$4)</f>
        <v>3</v>
      </c>
      <c r="G10" s="84">
        <f>+COUNTIFS(Municipios!$Y:$Y,Contrastes_Mun1!$A10,Municipios!$BC:$BC,Contrastes_Mun1!G$4)</f>
        <v>8</v>
      </c>
      <c r="H10" s="84">
        <f>+COUNTIFS(Municipios!$Y:$Y,Contrastes_Mun1!$A10,Municipios!$BC:$BC,Contrastes_Mun1!H$4)</f>
        <v>395</v>
      </c>
      <c r="I10" s="84">
        <f>+COUNTIFS(Municipios!$Y:$Y,Contrastes_Mun1!$A10,Municipios!$BC:$BC,Contrastes_Mun1!I$4)</f>
        <v>1</v>
      </c>
      <c r="J10" s="93">
        <f t="shared" si="0"/>
        <v>409</v>
      </c>
    </row>
    <row r="11" spans="1:10">
      <c r="A11" s="88">
        <v>5</v>
      </c>
      <c r="B11" s="84">
        <f>+COUNTIFS(Municipios!$Y:$Y,Contrastes_Mun1!$A11,Municipios!$BC:$BC,Contrastes_Mun1!B$4)</f>
        <v>0</v>
      </c>
      <c r="C11" s="84">
        <f>+COUNTIFS(Municipios!$Y:$Y,Contrastes_Mun1!$A11,Municipios!$BC:$BC,Contrastes_Mun1!C$4)</f>
        <v>0</v>
      </c>
      <c r="D11" s="84">
        <f>+COUNTIFS(Municipios!$Y:$Y,Contrastes_Mun1!$A11,Municipios!$BC:$BC,Contrastes_Mun1!D$4)</f>
        <v>1</v>
      </c>
      <c r="E11" s="84">
        <f>+COUNTIFS(Municipios!$Y:$Y,Contrastes_Mun1!$A11,Municipios!$BC:$BC,Contrastes_Mun1!E$4)</f>
        <v>0</v>
      </c>
      <c r="F11" s="84">
        <f>+COUNTIFS(Municipios!$Y:$Y,Contrastes_Mun1!$A11,Municipios!$BC:$BC,Contrastes_Mun1!F$4)</f>
        <v>1</v>
      </c>
      <c r="G11" s="84">
        <f>+COUNTIFS(Municipios!$Y:$Y,Contrastes_Mun1!$A11,Municipios!$BC:$BC,Contrastes_Mun1!G$4)</f>
        <v>2</v>
      </c>
      <c r="H11" s="84">
        <f>+COUNTIFS(Municipios!$Y:$Y,Contrastes_Mun1!$A11,Municipios!$BC:$BC,Contrastes_Mun1!H$4)</f>
        <v>114</v>
      </c>
      <c r="I11" s="84">
        <f>+COUNTIFS(Municipios!$Y:$Y,Contrastes_Mun1!$A11,Municipios!$BC:$BC,Contrastes_Mun1!I$4)</f>
        <v>0</v>
      </c>
      <c r="J11" s="93">
        <f t="shared" si="0"/>
        <v>118</v>
      </c>
    </row>
    <row r="12" spans="1:10">
      <c r="A12" s="58" t="s">
        <v>372</v>
      </c>
      <c r="B12" s="89">
        <f t="shared" ref="B12:I12" si="1">+SUM(B5:B11)</f>
        <v>6</v>
      </c>
      <c r="C12" s="89">
        <f t="shared" si="1"/>
        <v>27</v>
      </c>
      <c r="D12" s="89">
        <f t="shared" si="1"/>
        <v>29</v>
      </c>
      <c r="E12" s="89">
        <f t="shared" si="1"/>
        <v>17</v>
      </c>
      <c r="F12" s="89">
        <f t="shared" si="1"/>
        <v>23</v>
      </c>
      <c r="G12" s="89">
        <f t="shared" si="1"/>
        <v>48</v>
      </c>
      <c r="H12" s="89">
        <f t="shared" si="1"/>
        <v>952</v>
      </c>
      <c r="I12" s="89">
        <f t="shared" si="1"/>
        <v>1</v>
      </c>
      <c r="J12" s="93">
        <f>+SUM(B12:I12)</f>
        <v>1103</v>
      </c>
    </row>
    <row r="13" spans="1:10">
      <c r="H13" s="160">
        <f>H12/J12</f>
        <v>0.86310063463281961</v>
      </c>
      <c r="I13" s="160"/>
    </row>
    <row r="14" spans="1:10">
      <c r="A14" s="96" t="s">
        <v>373</v>
      </c>
      <c r="B14" s="38"/>
    </row>
    <row r="16" spans="1:10">
      <c r="A16" s="86" t="s">
        <v>367</v>
      </c>
      <c r="B16" s="85">
        <v>0</v>
      </c>
      <c r="C16" s="85">
        <v>1</v>
      </c>
      <c r="D16" s="85" t="s">
        <v>369</v>
      </c>
    </row>
    <row r="17" spans="1:5">
      <c r="A17" s="86" t="s">
        <v>370</v>
      </c>
      <c r="B17" s="84">
        <f>+COUNTIFS(Municipios!$Y:$Y,Contrastes_Mun1!$A17,Municipios!$AZ:$AZ,Contrastes_Mun1!B$16)</f>
        <v>1</v>
      </c>
      <c r="C17" s="84">
        <f>+COUNTIFS(Municipios!$Y:$Y,Contrastes_Mun1!$A17,Municipios!$AZ:$AZ,Contrastes_Mun1!C$16)</f>
        <v>0</v>
      </c>
      <c r="D17" s="93">
        <f>+SUM(B17:C17)</f>
        <v>1</v>
      </c>
    </row>
    <row r="18" spans="1:5">
      <c r="A18" s="87" t="s">
        <v>371</v>
      </c>
      <c r="B18" s="84">
        <f>+COUNTIFS(Municipios!$Y:$Y,Contrastes_Mun1!$A18,Municipios!$AZ:$AZ,Contrastes_Mun1!B$16)</f>
        <v>5</v>
      </c>
      <c r="C18" s="84">
        <f>+COUNTIFS(Municipios!$Y:$Y,Contrastes_Mun1!$A18,Municipios!$AZ:$AZ,Contrastes_Mun1!C$16)</f>
        <v>0</v>
      </c>
      <c r="D18" s="94">
        <f t="shared" ref="D18:D24" si="2">+SUM(B18:C18)</f>
        <v>5</v>
      </c>
    </row>
    <row r="19" spans="1:5">
      <c r="A19" s="87">
        <v>1</v>
      </c>
      <c r="B19" s="84">
        <f>+COUNTIFS(Municipios!$Y:$Y,Contrastes_Mun1!$A19,Municipios!$AZ:$AZ,Contrastes_Mun1!B$16)</f>
        <v>49</v>
      </c>
      <c r="C19" s="84">
        <f>+COUNTIFS(Municipios!$Y:$Y,Contrastes_Mun1!$A19,Municipios!$AZ:$AZ,Contrastes_Mun1!C$16)</f>
        <v>0</v>
      </c>
      <c r="D19" s="94">
        <f t="shared" si="2"/>
        <v>49</v>
      </c>
      <c r="E19" s="49"/>
    </row>
    <row r="20" spans="1:5">
      <c r="A20" s="87">
        <v>2</v>
      </c>
      <c r="B20" s="84">
        <f>+COUNTIFS(Municipios!$Y:$Y,Contrastes_Mun1!$A20,Municipios!$AZ:$AZ,Contrastes_Mun1!B$16)</f>
        <v>144</v>
      </c>
      <c r="C20" s="84">
        <f>+COUNTIFS(Municipios!$Y:$Y,Contrastes_Mun1!$A20,Municipios!$AZ:$AZ,Contrastes_Mun1!C$16)</f>
        <v>9</v>
      </c>
      <c r="D20" s="94">
        <f t="shared" si="2"/>
        <v>153</v>
      </c>
      <c r="E20" s="49">
        <f>+C20/$C$24</f>
        <v>5.2941176470588235E-2</v>
      </c>
    </row>
    <row r="21" spans="1:5">
      <c r="A21" s="87">
        <v>3</v>
      </c>
      <c r="B21" s="84">
        <f>+COUNTIFS(Municipios!$Y:$Y,Contrastes_Mun1!$A21,Municipios!$AZ:$AZ,Contrastes_Mun1!B$16)</f>
        <v>331</v>
      </c>
      <c r="C21" s="84">
        <f>+COUNTIFS(Municipios!$Y:$Y,Contrastes_Mun1!$A21,Municipios!$AZ:$AZ,Contrastes_Mun1!C$16)</f>
        <v>37</v>
      </c>
      <c r="D21" s="94">
        <f t="shared" si="2"/>
        <v>368</v>
      </c>
      <c r="E21" s="49">
        <f>+C21/$C$24</f>
        <v>0.21764705882352942</v>
      </c>
    </row>
    <row r="22" spans="1:5">
      <c r="A22" s="87">
        <v>4</v>
      </c>
      <c r="B22" s="84">
        <f>+COUNTIFS(Municipios!$Y:$Y,Contrastes_Mun1!$A22,Municipios!$AZ:$AZ,Contrastes_Mun1!B$16)</f>
        <v>327</v>
      </c>
      <c r="C22" s="84">
        <f>+COUNTIFS(Municipios!$Y:$Y,Contrastes_Mun1!$A22,Municipios!$AZ:$AZ,Contrastes_Mun1!C$16)</f>
        <v>82</v>
      </c>
      <c r="D22" s="94">
        <f t="shared" si="2"/>
        <v>409</v>
      </c>
      <c r="E22" s="49">
        <f t="shared" ref="E22:E23" si="3">+C22/$C$24</f>
        <v>0.4823529411764706</v>
      </c>
    </row>
    <row r="23" spans="1:5">
      <c r="A23" s="88">
        <v>5</v>
      </c>
      <c r="B23" s="84">
        <f>+COUNTIFS(Municipios!$Y:$Y,Contrastes_Mun1!$A23,Municipios!$AZ:$AZ,Contrastes_Mun1!B$16)</f>
        <v>76</v>
      </c>
      <c r="C23" s="84">
        <f>+COUNTIFS(Municipios!$Y:$Y,Contrastes_Mun1!$A23,Municipios!$AZ:$AZ,Contrastes_Mun1!C$16)</f>
        <v>42</v>
      </c>
      <c r="D23" s="95">
        <f t="shared" si="2"/>
        <v>118</v>
      </c>
      <c r="E23" s="49">
        <f t="shared" si="3"/>
        <v>0.24705882352941178</v>
      </c>
    </row>
    <row r="24" spans="1:5">
      <c r="A24" s="58" t="s">
        <v>372</v>
      </c>
      <c r="B24" s="89">
        <f>+SUM(B17:B23)</f>
        <v>933</v>
      </c>
      <c r="C24" s="89">
        <f>+SUM(C17:C23)</f>
        <v>170</v>
      </c>
      <c r="D24" s="89">
        <f t="shared" si="2"/>
        <v>1103</v>
      </c>
    </row>
    <row r="26" spans="1:5">
      <c r="A26" s="96" t="s">
        <v>374</v>
      </c>
      <c r="B26" s="38"/>
    </row>
    <row r="28" spans="1:5">
      <c r="A28" s="86" t="s">
        <v>367</v>
      </c>
      <c r="B28" s="85">
        <v>0</v>
      </c>
      <c r="C28" s="85">
        <v>1</v>
      </c>
      <c r="D28" s="85" t="s">
        <v>369</v>
      </c>
    </row>
    <row r="29" spans="1:5">
      <c r="A29" s="86" t="s">
        <v>370</v>
      </c>
      <c r="B29" s="84">
        <f>+COUNTIFS(Municipios!$Y:$Y,Contrastes_Mun1!$A29,Municipios!$BA:$BA,Contrastes_Mun1!B$28)</f>
        <v>1</v>
      </c>
      <c r="C29" s="84">
        <f>+COUNTIFS(Municipios!$Y:$Y,Contrastes_Mun1!$A29,Municipios!$BA:$BA,Contrastes_Mun1!C$28)</f>
        <v>0</v>
      </c>
      <c r="D29" s="93">
        <f>+SUM(B29:C29)</f>
        <v>1</v>
      </c>
    </row>
    <row r="30" spans="1:5">
      <c r="A30" s="87" t="s">
        <v>371</v>
      </c>
      <c r="B30" s="84">
        <f>+COUNTIFS(Municipios!$Y:$Y,Contrastes_Mun1!$A30,Municipios!$BA:$BA,Contrastes_Mun1!B$28)</f>
        <v>5</v>
      </c>
      <c r="C30" s="84">
        <f>+COUNTIFS(Municipios!$Y:$Y,Contrastes_Mun1!$A30,Municipios!$BA:$BA,Contrastes_Mun1!C$28)</f>
        <v>0</v>
      </c>
      <c r="D30" s="94">
        <f t="shared" ref="D30:D36" si="4">+SUM(B30:C30)</f>
        <v>5</v>
      </c>
    </row>
    <row r="31" spans="1:5">
      <c r="A31" s="87">
        <v>1</v>
      </c>
      <c r="B31" s="84">
        <f>+COUNTIFS(Municipios!$Y:$Y,Contrastes_Mun1!$A31,Municipios!$BA:$BA,Contrastes_Mun1!B$28)</f>
        <v>49</v>
      </c>
      <c r="C31" s="84">
        <f>+COUNTIFS(Municipios!$Y:$Y,Contrastes_Mun1!$A31,Municipios!$BA:$BA,Contrastes_Mun1!C$28)</f>
        <v>0</v>
      </c>
      <c r="D31" s="94">
        <f t="shared" si="4"/>
        <v>49</v>
      </c>
      <c r="E31" s="49">
        <f>+C31/$C$36</f>
        <v>0</v>
      </c>
    </row>
    <row r="32" spans="1:5">
      <c r="A32" s="87">
        <v>2</v>
      </c>
      <c r="B32" s="84">
        <f>+COUNTIFS(Municipios!$Y:$Y,Contrastes_Mun1!$A32,Municipios!$BA:$BA,Contrastes_Mun1!B$28)</f>
        <v>136</v>
      </c>
      <c r="C32" s="84">
        <f>+COUNTIFS(Municipios!$Y:$Y,Contrastes_Mun1!$A32,Municipios!$BA:$BA,Contrastes_Mun1!C$28)</f>
        <v>17</v>
      </c>
      <c r="D32" s="94">
        <f t="shared" si="4"/>
        <v>153</v>
      </c>
      <c r="E32" s="49">
        <f t="shared" ref="E32:E35" si="5">+C32/$C$36</f>
        <v>4.9418604651162788E-2</v>
      </c>
    </row>
    <row r="33" spans="1:9">
      <c r="A33" s="87">
        <v>3</v>
      </c>
      <c r="B33" s="84">
        <f>+COUNTIFS(Municipios!$Y:$Y,Contrastes_Mun1!$A33,Municipios!$BA:$BA,Contrastes_Mun1!B$28)</f>
        <v>280</v>
      </c>
      <c r="C33" s="84">
        <f>+COUNTIFS(Municipios!$Y:$Y,Contrastes_Mun1!$A33,Municipios!$BA:$BA,Contrastes_Mun1!C$28)</f>
        <v>88</v>
      </c>
      <c r="D33" s="94">
        <f t="shared" si="4"/>
        <v>368</v>
      </c>
      <c r="E33" s="49">
        <f t="shared" si="5"/>
        <v>0.2558139534883721</v>
      </c>
    </row>
    <row r="34" spans="1:9">
      <c r="A34" s="87">
        <v>4</v>
      </c>
      <c r="B34" s="84">
        <f>+COUNTIFS(Municipios!$Y:$Y,Contrastes_Mun1!$A34,Municipios!$BA:$BA,Contrastes_Mun1!B$28)</f>
        <v>244</v>
      </c>
      <c r="C34" s="84">
        <f>+COUNTIFS(Municipios!$Y:$Y,Contrastes_Mun1!$A34,Municipios!$BA:$BA,Contrastes_Mun1!C$28)</f>
        <v>165</v>
      </c>
      <c r="D34" s="94">
        <f t="shared" si="4"/>
        <v>409</v>
      </c>
      <c r="E34" s="49">
        <f t="shared" si="5"/>
        <v>0.47965116279069769</v>
      </c>
    </row>
    <row r="35" spans="1:9">
      <c r="A35" s="88">
        <v>5</v>
      </c>
      <c r="B35" s="84">
        <f>+COUNTIFS(Municipios!$Y:$Y,Contrastes_Mun1!$A35,Municipios!$BA:$BA,Contrastes_Mun1!B$28)</f>
        <v>44</v>
      </c>
      <c r="C35" s="84">
        <f>+COUNTIFS(Municipios!$Y:$Y,Contrastes_Mun1!$A35,Municipios!$BA:$BA,Contrastes_Mun1!C$28)</f>
        <v>74</v>
      </c>
      <c r="D35" s="95">
        <f t="shared" si="4"/>
        <v>118</v>
      </c>
      <c r="E35" s="49">
        <f t="shared" si="5"/>
        <v>0.21511627906976744</v>
      </c>
    </row>
    <row r="36" spans="1:9">
      <c r="A36" s="58" t="s">
        <v>372</v>
      </c>
      <c r="B36" s="89">
        <f>+SUM(B29:B35)</f>
        <v>759</v>
      </c>
      <c r="C36" s="89">
        <f>+SUM(C29:C35)</f>
        <v>344</v>
      </c>
      <c r="D36" s="89">
        <f t="shared" si="4"/>
        <v>1103</v>
      </c>
    </row>
    <row r="37" spans="1:9">
      <c r="A37" s="12"/>
      <c r="B37" s="12"/>
      <c r="C37" s="12"/>
      <c r="D37" s="12"/>
    </row>
    <row r="38" spans="1:9">
      <c r="A38" s="96" t="s">
        <v>375</v>
      </c>
      <c r="B38" s="38"/>
    </row>
    <row r="41" spans="1:9">
      <c r="A41" s="86" t="s">
        <v>367</v>
      </c>
      <c r="B41" s="85" t="s">
        <v>376</v>
      </c>
      <c r="C41" s="85" t="s">
        <v>377</v>
      </c>
      <c r="D41" s="85" t="s">
        <v>378</v>
      </c>
      <c r="E41" s="85" t="s">
        <v>379</v>
      </c>
      <c r="F41" s="85" t="s">
        <v>2863</v>
      </c>
      <c r="G41" s="85" t="s">
        <v>381</v>
      </c>
      <c r="H41" s="85" t="s">
        <v>2850</v>
      </c>
      <c r="I41" s="85" t="s">
        <v>369</v>
      </c>
    </row>
    <row r="42" spans="1:9">
      <c r="A42" s="86" t="s">
        <v>370</v>
      </c>
      <c r="B42" s="84">
        <f>+COUNTIFS(Municipios!$Y:$Y,Contrastes_Mun1!$A42,Municipios!$BK:$BK,Contrastes_Mun1!B$41)</f>
        <v>0</v>
      </c>
      <c r="C42" s="84">
        <f>+COUNTIFS(Municipios!$Y:$Y,Contrastes_Mun1!$A42,Municipios!$BK:$BK,Contrastes_Mun1!C$41)</f>
        <v>0</v>
      </c>
      <c r="D42" s="84">
        <f>+COUNTIFS(Municipios!$Y:$Y,Contrastes_Mun1!$A42,Municipios!$BK:$BK,Contrastes_Mun1!D$41)</f>
        <v>0</v>
      </c>
      <c r="E42" s="84">
        <f>+COUNTIFS(Municipios!$Y:$Y,Contrastes_Mun1!$A42,Municipios!$BK:$BK,Contrastes_Mun1!E$41)</f>
        <v>0</v>
      </c>
      <c r="F42" s="84">
        <f>+COUNTIFS(Municipios!$Y:$Y,Contrastes_Mun1!$A42,Municipios!$BK:$BK,Contrastes_Mun1!F$41)</f>
        <v>0</v>
      </c>
      <c r="G42" s="84">
        <f>+COUNTIFS(Municipios!$Y:$Y,Contrastes_Mun1!$A42,Municipios!$BK:$BK,Contrastes_Mun1!G$41)</f>
        <v>1</v>
      </c>
      <c r="H42" s="84">
        <f>+COUNTIFS(Municipios!$Y:$Y,Contrastes_Mun1!$A42,Municipios!$BK:$BK,Contrastes_Mun1!H$41)</f>
        <v>0</v>
      </c>
      <c r="I42" s="93">
        <f>+SUM(B42:H42)</f>
        <v>1</v>
      </c>
    </row>
    <row r="43" spans="1:9">
      <c r="A43" s="87" t="s">
        <v>371</v>
      </c>
      <c r="B43" s="84">
        <f>+COUNTIFS(Municipios!$Y:$Y,Contrastes_Mun1!$A43,Municipios!$BK:$BK,Contrastes_Mun1!B$41)</f>
        <v>0</v>
      </c>
      <c r="C43" s="84">
        <f>+COUNTIFS(Municipios!$Y:$Y,Contrastes_Mun1!$A43,Municipios!$BK:$BK,Contrastes_Mun1!C$41)</f>
        <v>0</v>
      </c>
      <c r="D43" s="84">
        <f>+COUNTIFS(Municipios!$Y:$Y,Contrastes_Mun1!$A43,Municipios!$BK:$BK,Contrastes_Mun1!D$41)</f>
        <v>0</v>
      </c>
      <c r="E43" s="84">
        <f>+COUNTIFS(Municipios!$Y:$Y,Contrastes_Mun1!$A43,Municipios!$BK:$BK,Contrastes_Mun1!E$41)</f>
        <v>0</v>
      </c>
      <c r="F43" s="84">
        <f>+COUNTIFS(Municipios!$Y:$Y,Contrastes_Mun1!$A43,Municipios!$BK:$BK,Contrastes_Mun1!F$41)</f>
        <v>0</v>
      </c>
      <c r="G43" s="84">
        <f>+COUNTIFS(Municipios!$Y:$Y,Contrastes_Mun1!$A43,Municipios!$BK:$BK,Contrastes_Mun1!G$41)</f>
        <v>5</v>
      </c>
      <c r="H43" s="84">
        <f>+COUNTIFS(Municipios!$Y:$Y,Contrastes_Mun1!$A43,Municipios!$BK:$BK,Contrastes_Mun1!H$41)</f>
        <v>0</v>
      </c>
      <c r="I43" s="93">
        <f t="shared" ref="I43:I48" si="6">+SUM(B43:H43)</f>
        <v>5</v>
      </c>
    </row>
    <row r="44" spans="1:9">
      <c r="A44" s="87">
        <v>1</v>
      </c>
      <c r="B44" s="84">
        <f>+COUNTIFS(Municipios!$Y:$Y,Contrastes_Mun1!$A44,Municipios!$BK:$BK,Contrastes_Mun1!B$41)</f>
        <v>0</v>
      </c>
      <c r="C44" s="84">
        <f>+COUNTIFS(Municipios!$Y:$Y,Contrastes_Mun1!$A44,Municipios!$BK:$BK,Contrastes_Mun1!C$41)</f>
        <v>11</v>
      </c>
      <c r="D44" s="84">
        <f>+COUNTIFS(Municipios!$Y:$Y,Contrastes_Mun1!$A44,Municipios!$BK:$BK,Contrastes_Mun1!D$41)</f>
        <v>0</v>
      </c>
      <c r="E44" s="84">
        <f>+COUNTIFS(Municipios!$Y:$Y,Contrastes_Mun1!$A44,Municipios!$BK:$BK,Contrastes_Mun1!E$41)</f>
        <v>0</v>
      </c>
      <c r="F44" s="84">
        <f>+COUNTIFS(Municipios!$Y:$Y,Contrastes_Mun1!$A44,Municipios!$BK:$BK,Contrastes_Mun1!F$41)</f>
        <v>0</v>
      </c>
      <c r="G44" s="84">
        <f>+COUNTIFS(Municipios!$Y:$Y,Contrastes_Mun1!$A44,Municipios!$BK:$BK,Contrastes_Mun1!G$41)</f>
        <v>38</v>
      </c>
      <c r="H44" s="84">
        <f>+COUNTIFS(Municipios!$Y:$Y,Contrastes_Mun1!$A44,Municipios!$BK:$BK,Contrastes_Mun1!H$41)</f>
        <v>0</v>
      </c>
      <c r="I44" s="93">
        <f t="shared" si="6"/>
        <v>49</v>
      </c>
    </row>
    <row r="45" spans="1:9">
      <c r="A45" s="87">
        <v>2</v>
      </c>
      <c r="B45" s="84">
        <f>+COUNTIFS(Municipios!$Y:$Y,Contrastes_Mun1!$A45,Municipios!$BK:$BK,Contrastes_Mun1!B$41)</f>
        <v>11</v>
      </c>
      <c r="C45" s="84">
        <f>+COUNTIFS(Municipios!$Y:$Y,Contrastes_Mun1!$A45,Municipios!$BK:$BK,Contrastes_Mun1!C$41)</f>
        <v>44</v>
      </c>
      <c r="D45" s="84">
        <f>+COUNTIFS(Municipios!$Y:$Y,Contrastes_Mun1!$A45,Municipios!$BK:$BK,Contrastes_Mun1!D$41)</f>
        <v>0</v>
      </c>
      <c r="E45" s="84">
        <f>+COUNTIFS(Municipios!$Y:$Y,Contrastes_Mun1!$A45,Municipios!$BK:$BK,Contrastes_Mun1!E$41)</f>
        <v>32</v>
      </c>
      <c r="F45" s="84">
        <f>+COUNTIFS(Municipios!$Y:$Y,Contrastes_Mun1!$A45,Municipios!$BK:$BK,Contrastes_Mun1!F$41)</f>
        <v>3</v>
      </c>
      <c r="G45" s="84">
        <f>+COUNTIFS(Municipios!$Y:$Y,Contrastes_Mun1!$A45,Municipios!$BK:$BK,Contrastes_Mun1!G$41)</f>
        <v>63</v>
      </c>
      <c r="H45" s="84">
        <f>+COUNTIFS(Municipios!$Y:$Y,Contrastes_Mun1!$A45,Municipios!$BK:$BK,Contrastes_Mun1!H$41)</f>
        <v>0</v>
      </c>
      <c r="I45" s="93">
        <f t="shared" si="6"/>
        <v>153</v>
      </c>
    </row>
    <row r="46" spans="1:9">
      <c r="A46" s="87">
        <v>3</v>
      </c>
      <c r="B46" s="84">
        <f>+COUNTIFS(Municipios!$Y:$Y,Contrastes_Mun1!$A46,Municipios!$BK:$BK,Contrastes_Mun1!B$41)</f>
        <v>78</v>
      </c>
      <c r="C46" s="84">
        <f>+COUNTIFS(Municipios!$Y:$Y,Contrastes_Mun1!$A46,Municipios!$BK:$BK,Contrastes_Mun1!C$41)</f>
        <v>86</v>
      </c>
      <c r="D46" s="84">
        <f>+COUNTIFS(Municipios!$Y:$Y,Contrastes_Mun1!$A46,Municipios!$BK:$BK,Contrastes_Mun1!D$41)</f>
        <v>0</v>
      </c>
      <c r="E46" s="84">
        <f>+COUNTIFS(Municipios!$Y:$Y,Contrastes_Mun1!$A46,Municipios!$BK:$BK,Contrastes_Mun1!E$41)</f>
        <v>92</v>
      </c>
      <c r="F46" s="84">
        <f>+COUNTIFS(Municipios!$Y:$Y,Contrastes_Mun1!$A46,Municipios!$BK:$BK,Contrastes_Mun1!F$41)</f>
        <v>2</v>
      </c>
      <c r="G46" s="84">
        <f>+COUNTIFS(Municipios!$Y:$Y,Contrastes_Mun1!$A46,Municipios!$BK:$BK,Contrastes_Mun1!G$41)</f>
        <v>109</v>
      </c>
      <c r="H46" s="84">
        <f>+COUNTIFS(Municipios!$Y:$Y,Contrastes_Mun1!$A46,Municipios!$BK:$BK,Contrastes_Mun1!H$41)</f>
        <v>1</v>
      </c>
      <c r="I46" s="93">
        <f t="shared" si="6"/>
        <v>368</v>
      </c>
    </row>
    <row r="47" spans="1:9">
      <c r="A47" s="87">
        <v>4</v>
      </c>
      <c r="B47" s="84">
        <f>+COUNTIFS(Municipios!$Y:$Y,Contrastes_Mun1!$A47,Municipios!$BK:$BK,Contrastes_Mun1!B$41)</f>
        <v>126</v>
      </c>
      <c r="C47" s="84">
        <f>+COUNTIFS(Municipios!$Y:$Y,Contrastes_Mun1!$A47,Municipios!$BK:$BK,Contrastes_Mun1!C$41)</f>
        <v>65</v>
      </c>
      <c r="D47" s="84">
        <f>+COUNTIFS(Municipios!$Y:$Y,Contrastes_Mun1!$A47,Municipios!$BK:$BK,Contrastes_Mun1!D$41)</f>
        <v>0</v>
      </c>
      <c r="E47" s="84">
        <f>+COUNTIFS(Municipios!$Y:$Y,Contrastes_Mun1!$A47,Municipios!$BK:$BK,Contrastes_Mun1!E$41)</f>
        <v>101</v>
      </c>
      <c r="F47" s="84">
        <f>+COUNTIFS(Municipios!$Y:$Y,Contrastes_Mun1!$A47,Municipios!$BK:$BK,Contrastes_Mun1!F$41)</f>
        <v>12</v>
      </c>
      <c r="G47" s="84">
        <f>+COUNTIFS(Municipios!$Y:$Y,Contrastes_Mun1!$A47,Municipios!$BK:$BK,Contrastes_Mun1!G$41)</f>
        <v>99</v>
      </c>
      <c r="H47" s="84">
        <f>+COUNTIFS(Municipios!$Y:$Y,Contrastes_Mun1!$A47,Municipios!$BK:$BK,Contrastes_Mun1!H$41)</f>
        <v>6</v>
      </c>
      <c r="I47" s="93">
        <f t="shared" si="6"/>
        <v>409</v>
      </c>
    </row>
    <row r="48" spans="1:9">
      <c r="A48" s="88">
        <v>5</v>
      </c>
      <c r="B48" s="84">
        <f>+COUNTIFS(Municipios!$Y:$Y,Contrastes_Mun1!$A48,Municipios!$BK:$BK,Contrastes_Mun1!B$41)</f>
        <v>21</v>
      </c>
      <c r="C48" s="84">
        <f>+COUNTIFS(Municipios!$Y:$Y,Contrastes_Mun1!$A48,Municipios!$BK:$BK,Contrastes_Mun1!C$41)</f>
        <v>22</v>
      </c>
      <c r="D48" s="84">
        <f>+COUNTIFS(Municipios!$Y:$Y,Contrastes_Mun1!$A48,Municipios!$BK:$BK,Contrastes_Mun1!D$41)</f>
        <v>0</v>
      </c>
      <c r="E48" s="84">
        <f>+COUNTIFS(Municipios!$Y:$Y,Contrastes_Mun1!$A48,Municipios!$BK:$BK,Contrastes_Mun1!E$41)</f>
        <v>29</v>
      </c>
      <c r="F48" s="84">
        <f>+COUNTIFS(Municipios!$Y:$Y,Contrastes_Mun1!$A48,Municipios!$BK:$BK,Contrastes_Mun1!F$41)</f>
        <v>11</v>
      </c>
      <c r="G48" s="84">
        <f>+COUNTIFS(Municipios!$Y:$Y,Contrastes_Mun1!$A48,Municipios!$BK:$BK,Contrastes_Mun1!G$41)</f>
        <v>34</v>
      </c>
      <c r="H48" s="84">
        <f>+COUNTIFS(Municipios!$Y:$Y,Contrastes_Mun1!$A48,Municipios!$BK:$BK,Contrastes_Mun1!H$41)</f>
        <v>1</v>
      </c>
      <c r="I48" s="93">
        <f t="shared" si="6"/>
        <v>118</v>
      </c>
    </row>
    <row r="49" spans="1:9">
      <c r="A49" s="58" t="s">
        <v>372</v>
      </c>
      <c r="B49" s="89">
        <f t="shared" ref="B49:G49" si="7">+SUM(B42:B48)</f>
        <v>236</v>
      </c>
      <c r="C49" s="89">
        <f t="shared" si="7"/>
        <v>228</v>
      </c>
      <c r="D49" s="89">
        <f t="shared" si="7"/>
        <v>0</v>
      </c>
      <c r="E49" s="89">
        <f t="shared" si="7"/>
        <v>254</v>
      </c>
      <c r="F49" s="89">
        <f t="shared" si="7"/>
        <v>28</v>
      </c>
      <c r="G49" s="89">
        <f t="shared" si="7"/>
        <v>349</v>
      </c>
      <c r="H49" s="89">
        <f t="shared" ref="H49" si="8">+SUM(H42:H48)</f>
        <v>8</v>
      </c>
      <c r="I49" s="89">
        <f>+SUM(I42:I48)</f>
        <v>1103</v>
      </c>
    </row>
    <row r="52" spans="1:9">
      <c r="A52" s="96" t="s">
        <v>382</v>
      </c>
      <c r="B52" s="38"/>
    </row>
    <row r="54" spans="1:9">
      <c r="A54" s="86" t="s">
        <v>367</v>
      </c>
      <c r="B54" s="85" t="s">
        <v>376</v>
      </c>
      <c r="C54" s="85" t="s">
        <v>377</v>
      </c>
      <c r="D54" s="85" t="s">
        <v>379</v>
      </c>
      <c r="E54" s="85" t="s">
        <v>383</v>
      </c>
      <c r="F54" s="85" t="s">
        <v>384</v>
      </c>
      <c r="G54" s="85" t="s">
        <v>380</v>
      </c>
      <c r="H54" s="85" t="s">
        <v>369</v>
      </c>
    </row>
    <row r="55" spans="1:9">
      <c r="A55" s="86" t="s">
        <v>370</v>
      </c>
      <c r="B55" s="84">
        <f>+COUNTIFS(Municipios!$Y:$Y,Contrastes_Mun1!$A55,Municipios!$BM:$BM,Contrastes_Mun1!B$54)</f>
        <v>0</v>
      </c>
      <c r="C55" s="84">
        <f>+COUNTIFS(Municipios!$Y:$Y,Contrastes_Mun1!$A55,Municipios!$BM:$BM,Contrastes_Mun1!C$54)</f>
        <v>0</v>
      </c>
      <c r="D55" s="84">
        <f>+COUNTIFS(Municipios!$Y:$Y,Contrastes_Mun1!$A55,Municipios!$BM:$BM,Contrastes_Mun1!D$54)</f>
        <v>0</v>
      </c>
      <c r="E55" s="84">
        <f>+COUNTIFS(Municipios!$Y:$Y,Contrastes_Mun1!$A55,Municipios!$BM:$BM,Contrastes_Mun1!E$54)</f>
        <v>1</v>
      </c>
      <c r="F55" s="84">
        <f>+COUNTIFS(Municipios!$Y:$Y,Contrastes_Mun1!$A55,Municipios!$BM:$BM,Contrastes_Mun1!F$54)</f>
        <v>0</v>
      </c>
      <c r="G55" s="84">
        <f>+COUNTIFS(Municipios!$Y:$Y,Contrastes_Mun1!$A55,Municipios!$BM:$BM,Contrastes_Mun1!G$54)</f>
        <v>0</v>
      </c>
      <c r="H55" s="93">
        <f>+SUM(B55:G55)</f>
        <v>1</v>
      </c>
    </row>
    <row r="56" spans="1:9">
      <c r="A56" s="87" t="s">
        <v>371</v>
      </c>
      <c r="B56" s="84">
        <f>+COUNTIFS(Municipios!$Y:$Y,Contrastes_Mun1!$A56,Municipios!$BM:$BM,Contrastes_Mun1!B$54)</f>
        <v>0</v>
      </c>
      <c r="C56" s="84">
        <f>+COUNTIFS(Municipios!$Y:$Y,Contrastes_Mun1!$A56,Municipios!$BM:$BM,Contrastes_Mun1!C$54)</f>
        <v>0</v>
      </c>
      <c r="D56" s="84">
        <f>+COUNTIFS(Municipios!$Y:$Y,Contrastes_Mun1!$A56,Municipios!$BM:$BM,Contrastes_Mun1!D$54)</f>
        <v>0</v>
      </c>
      <c r="E56" s="84">
        <f>+COUNTIFS(Municipios!$Y:$Y,Contrastes_Mun1!$A56,Municipios!$BM:$BM,Contrastes_Mun1!E$54)</f>
        <v>5</v>
      </c>
      <c r="F56" s="84">
        <f>+COUNTIFS(Municipios!$Y:$Y,Contrastes_Mun1!$A56,Municipios!$BM:$BM,Contrastes_Mun1!F$54)</f>
        <v>0</v>
      </c>
      <c r="G56" s="84">
        <f>+COUNTIFS(Municipios!$Y:$Y,Contrastes_Mun1!$A56,Municipios!$BM:$BM,Contrastes_Mun1!G$54)</f>
        <v>0</v>
      </c>
      <c r="H56" s="93">
        <f t="shared" ref="H56:H61" si="9">+SUM(B56:G56)</f>
        <v>5</v>
      </c>
    </row>
    <row r="57" spans="1:9">
      <c r="A57" s="87">
        <v>1</v>
      </c>
      <c r="B57" s="84">
        <f>+COUNTIFS(Municipios!$Y:$Y,Contrastes_Mun1!$A57,Municipios!$BM:$BM,Contrastes_Mun1!B$54)</f>
        <v>1</v>
      </c>
      <c r="C57" s="84">
        <f>+COUNTIFS(Municipios!$Y:$Y,Contrastes_Mun1!$A57,Municipios!$BM:$BM,Contrastes_Mun1!C$54)</f>
        <v>1</v>
      </c>
      <c r="D57" s="84">
        <f>+COUNTIFS(Municipios!$Y:$Y,Contrastes_Mun1!$A57,Municipios!$BM:$BM,Contrastes_Mun1!D$54)</f>
        <v>5</v>
      </c>
      <c r="E57" s="84">
        <f>+COUNTIFS(Municipios!$Y:$Y,Contrastes_Mun1!$A57,Municipios!$BM:$BM,Contrastes_Mun1!E$54)</f>
        <v>42</v>
      </c>
      <c r="F57" s="84">
        <f>+COUNTIFS(Municipios!$Y:$Y,Contrastes_Mun1!$A57,Municipios!$BM:$BM,Contrastes_Mun1!F$54)</f>
        <v>0</v>
      </c>
      <c r="G57" s="84">
        <f>+COUNTIFS(Municipios!$Y:$Y,Contrastes_Mun1!$A57,Municipios!$BM:$BM,Contrastes_Mun1!G$54)</f>
        <v>0</v>
      </c>
      <c r="H57" s="93">
        <f t="shared" si="9"/>
        <v>49</v>
      </c>
    </row>
    <row r="58" spans="1:9">
      <c r="A58" s="87">
        <v>2</v>
      </c>
      <c r="B58" s="84">
        <f>+COUNTIFS(Municipios!$Y:$Y,Contrastes_Mun1!$A58,Municipios!$BM:$BM,Contrastes_Mun1!B$54)</f>
        <v>10</v>
      </c>
      <c r="C58" s="84">
        <f>+COUNTIFS(Municipios!$Y:$Y,Contrastes_Mun1!$A58,Municipios!$BM:$BM,Contrastes_Mun1!C$54)</f>
        <v>24</v>
      </c>
      <c r="D58" s="84">
        <f>+COUNTIFS(Municipios!$Y:$Y,Contrastes_Mun1!$A58,Municipios!$BM:$BM,Contrastes_Mun1!D$54)</f>
        <v>15</v>
      </c>
      <c r="E58" s="84">
        <f>+COUNTIFS(Municipios!$Y:$Y,Contrastes_Mun1!$A58,Municipios!$BM:$BM,Contrastes_Mun1!E$54)</f>
        <v>99</v>
      </c>
      <c r="F58" s="84">
        <f>+COUNTIFS(Municipios!$Y:$Y,Contrastes_Mun1!$A58,Municipios!$BM:$BM,Contrastes_Mun1!F$54)</f>
        <v>5</v>
      </c>
      <c r="G58" s="84">
        <f>+COUNTIFS(Municipios!$Y:$Y,Contrastes_Mun1!$A58,Municipios!$BM:$BM,Contrastes_Mun1!G$54)</f>
        <v>0</v>
      </c>
      <c r="H58" s="93">
        <f t="shared" si="9"/>
        <v>153</v>
      </c>
    </row>
    <row r="59" spans="1:9">
      <c r="A59" s="87">
        <v>3</v>
      </c>
      <c r="B59" s="84">
        <f>+COUNTIFS(Municipios!$Y:$Y,Contrastes_Mun1!$A59,Municipios!$BM:$BM,Contrastes_Mun1!B$54)</f>
        <v>21</v>
      </c>
      <c r="C59" s="84">
        <f>+COUNTIFS(Municipios!$Y:$Y,Contrastes_Mun1!$A59,Municipios!$BM:$BM,Contrastes_Mun1!C$54)</f>
        <v>85</v>
      </c>
      <c r="D59" s="84">
        <f>+COUNTIFS(Municipios!$Y:$Y,Contrastes_Mun1!$A59,Municipios!$BM:$BM,Contrastes_Mun1!D$54)</f>
        <v>50</v>
      </c>
      <c r="E59" s="84">
        <f>+COUNTIFS(Municipios!$Y:$Y,Contrastes_Mun1!$A59,Municipios!$BM:$BM,Contrastes_Mun1!E$54)</f>
        <v>196</v>
      </c>
      <c r="F59" s="84">
        <f>+COUNTIFS(Municipios!$Y:$Y,Contrastes_Mun1!$A59,Municipios!$BM:$BM,Contrastes_Mun1!F$54)</f>
        <v>16</v>
      </c>
      <c r="G59" s="84">
        <f>+COUNTIFS(Municipios!$Y:$Y,Contrastes_Mun1!$A59,Municipios!$BM:$BM,Contrastes_Mun1!G$54)</f>
        <v>0</v>
      </c>
      <c r="H59" s="93">
        <f t="shared" si="9"/>
        <v>368</v>
      </c>
    </row>
    <row r="60" spans="1:9">
      <c r="A60" s="87">
        <v>4</v>
      </c>
      <c r="B60" s="84">
        <f>+COUNTIFS(Municipios!$Y:$Y,Contrastes_Mun1!$A60,Municipios!$BM:$BM,Contrastes_Mun1!B$54)</f>
        <v>36</v>
      </c>
      <c r="C60" s="84">
        <f>+COUNTIFS(Municipios!$Y:$Y,Contrastes_Mun1!$A60,Municipios!$BM:$BM,Contrastes_Mun1!C$54)</f>
        <v>94</v>
      </c>
      <c r="D60" s="84">
        <f>+COUNTIFS(Municipios!$Y:$Y,Contrastes_Mun1!$A60,Municipios!$BM:$BM,Contrastes_Mun1!D$54)</f>
        <v>54</v>
      </c>
      <c r="E60" s="84">
        <f>+COUNTIFS(Municipios!$Y:$Y,Contrastes_Mun1!$A60,Municipios!$BM:$BM,Contrastes_Mun1!E$54)</f>
        <v>174</v>
      </c>
      <c r="F60" s="84">
        <f>+COUNTIFS(Municipios!$Y:$Y,Contrastes_Mun1!$A60,Municipios!$BM:$BM,Contrastes_Mun1!F$54)</f>
        <v>50</v>
      </c>
      <c r="G60" s="84">
        <f>+COUNTIFS(Municipios!$Y:$Y,Contrastes_Mun1!$A60,Municipios!$BM:$BM,Contrastes_Mun1!G$54)</f>
        <v>1</v>
      </c>
      <c r="H60" s="93">
        <f t="shared" si="9"/>
        <v>409</v>
      </c>
    </row>
    <row r="61" spans="1:9">
      <c r="A61" s="88">
        <v>5</v>
      </c>
      <c r="B61" s="84">
        <f>+COUNTIFS(Municipios!$Y:$Y,Contrastes_Mun1!$A61,Municipios!$BM:$BM,Contrastes_Mun1!B$54)</f>
        <v>21</v>
      </c>
      <c r="C61" s="84">
        <f>+COUNTIFS(Municipios!$Y:$Y,Contrastes_Mun1!$A61,Municipios!$BM:$BM,Contrastes_Mun1!C$54)</f>
        <v>15</v>
      </c>
      <c r="D61" s="84">
        <f>+COUNTIFS(Municipios!$Y:$Y,Contrastes_Mun1!$A61,Municipios!$BM:$BM,Contrastes_Mun1!D$54)</f>
        <v>14</v>
      </c>
      <c r="E61" s="84">
        <f>+COUNTIFS(Municipios!$Y:$Y,Contrastes_Mun1!$A61,Municipios!$BM:$BM,Contrastes_Mun1!E$54)</f>
        <v>45</v>
      </c>
      <c r="F61" s="84">
        <f>+COUNTIFS(Municipios!$Y:$Y,Contrastes_Mun1!$A61,Municipios!$BM:$BM,Contrastes_Mun1!F$54)</f>
        <v>23</v>
      </c>
      <c r="G61" s="84">
        <f>+COUNTIFS(Municipios!$Y:$Y,Contrastes_Mun1!$A61,Municipios!$BM:$BM,Contrastes_Mun1!G$54)</f>
        <v>0</v>
      </c>
      <c r="H61" s="93">
        <f t="shared" si="9"/>
        <v>118</v>
      </c>
    </row>
    <row r="62" spans="1:9">
      <c r="A62" s="58" t="s">
        <v>372</v>
      </c>
      <c r="B62" s="89">
        <f t="shared" ref="B62:G62" si="10">+SUM(B55:B61)</f>
        <v>89</v>
      </c>
      <c r="C62" s="89">
        <f t="shared" si="10"/>
        <v>219</v>
      </c>
      <c r="D62" s="89">
        <f t="shared" si="10"/>
        <v>138</v>
      </c>
      <c r="E62" s="89">
        <f t="shared" si="10"/>
        <v>562</v>
      </c>
      <c r="F62" s="89">
        <f t="shared" si="10"/>
        <v>94</v>
      </c>
      <c r="G62" s="89">
        <f t="shared" si="10"/>
        <v>1</v>
      </c>
      <c r="H62" s="89">
        <f>+SUM(B62:G62)</f>
        <v>1103</v>
      </c>
    </row>
    <row r="65" spans="1:11">
      <c r="A65" s="96" t="s">
        <v>387</v>
      </c>
      <c r="B65" s="38"/>
      <c r="K65" s="81"/>
    </row>
    <row r="66" spans="1:11">
      <c r="K66" s="81"/>
    </row>
    <row r="67" spans="1:11">
      <c r="K67" s="81"/>
    </row>
    <row r="68" spans="1:11">
      <c r="A68" s="86" t="s">
        <v>367</v>
      </c>
      <c r="B68" s="86" t="s">
        <v>388</v>
      </c>
      <c r="C68" s="86" t="s">
        <v>389</v>
      </c>
      <c r="D68" s="85" t="s">
        <v>369</v>
      </c>
      <c r="K68" s="81"/>
    </row>
    <row r="69" spans="1:11">
      <c r="A69" s="86" t="s">
        <v>370</v>
      </c>
      <c r="B69" s="84">
        <f>+COUNTIFS(Municipios!$V:$V,Contrastes_Mun1!$A69,Municipios!$CS:$CS,Contrastes_Mun1!B$68)</f>
        <v>1</v>
      </c>
      <c r="C69" s="84">
        <f>+COUNTIFS(Municipios!$V:$V,Contrastes_Mun1!$A69,Municipios!$CS:$CS,Contrastes_Mun1!C$68)</f>
        <v>0</v>
      </c>
      <c r="D69" s="93">
        <f>+SUM(B69:C69)</f>
        <v>1</v>
      </c>
      <c r="K69" s="81"/>
    </row>
    <row r="70" spans="1:11">
      <c r="A70" s="87" t="s">
        <v>371</v>
      </c>
      <c r="B70" s="84">
        <f>+COUNTIFS(Municipios!$V:$V,Contrastes_Mun1!$A70,Municipios!$CS:$CS,Contrastes_Mun1!B$68)</f>
        <v>5</v>
      </c>
      <c r="C70" s="84">
        <f>+COUNTIFS(Municipios!$V:$V,Contrastes_Mun1!$A70,Municipios!$CS:$CS,Contrastes_Mun1!C$68)</f>
        <v>0</v>
      </c>
      <c r="D70" s="94">
        <f t="shared" ref="D70:D75" si="11">+SUM(B70:C70)</f>
        <v>5</v>
      </c>
      <c r="K70" s="81"/>
    </row>
    <row r="71" spans="1:11">
      <c r="A71" s="87">
        <v>1</v>
      </c>
      <c r="B71" s="84">
        <f>+COUNTIFS(Municipios!$V:$V,Contrastes_Mun1!$A71,Municipios!$CS:$CS,Contrastes_Mun1!B$68)</f>
        <v>18</v>
      </c>
      <c r="C71" s="84">
        <f>+COUNTIFS(Municipios!$V:$V,Contrastes_Mun1!$A71,Municipios!$CS:$CS,Contrastes_Mun1!C$68)</f>
        <v>2</v>
      </c>
      <c r="D71" s="94">
        <f t="shared" si="11"/>
        <v>20</v>
      </c>
    </row>
    <row r="72" spans="1:11">
      <c r="A72" s="87">
        <v>2</v>
      </c>
      <c r="B72" s="84">
        <f>+COUNTIFS(Municipios!$V:$V,Contrastes_Mun1!$A72,Municipios!$CS:$CS,Contrastes_Mun1!B$68)</f>
        <v>90</v>
      </c>
      <c r="C72" s="84">
        <f>+COUNTIFS(Municipios!$V:$V,Contrastes_Mun1!$A72,Municipios!$CS:$CS,Contrastes_Mun1!C$68)</f>
        <v>25</v>
      </c>
      <c r="D72" s="94">
        <f t="shared" si="11"/>
        <v>115</v>
      </c>
    </row>
    <row r="73" spans="1:11">
      <c r="A73" s="87">
        <v>3</v>
      </c>
      <c r="B73" s="84">
        <f>+COUNTIFS(Municipios!$V:$V,Contrastes_Mun1!$A73,Municipios!$CS:$CS,Contrastes_Mun1!B$68)</f>
        <v>149</v>
      </c>
      <c r="C73" s="84">
        <f>+COUNTIFS(Municipios!$V:$V,Contrastes_Mun1!$A73,Municipios!$CS:$CS,Contrastes_Mun1!C$68)</f>
        <v>207</v>
      </c>
      <c r="D73" s="94">
        <f t="shared" si="11"/>
        <v>356</v>
      </c>
    </row>
    <row r="74" spans="1:11">
      <c r="A74" s="87">
        <v>4</v>
      </c>
      <c r="B74" s="84">
        <f>+COUNTIFS(Municipios!$V:$V,Contrastes_Mun1!$A74,Municipios!$CS:$CS,Contrastes_Mun1!B$68)</f>
        <v>95</v>
      </c>
      <c r="C74" s="84">
        <f>+COUNTIFS(Municipios!$V:$V,Contrastes_Mun1!$A74,Municipios!$CS:$CS,Contrastes_Mun1!C$68)</f>
        <v>366</v>
      </c>
      <c r="D74" s="94">
        <f t="shared" si="11"/>
        <v>461</v>
      </c>
    </row>
    <row r="75" spans="1:11">
      <c r="A75" s="88">
        <v>5</v>
      </c>
      <c r="B75" s="84">
        <f>+COUNTIFS(Municipios!$V:$V,Contrastes_Mun1!$A75,Municipios!$CS:$CS,Contrastes_Mun1!B$68)</f>
        <v>21</v>
      </c>
      <c r="C75" s="84">
        <f>+COUNTIFS(Municipios!$V:$V,Contrastes_Mun1!$A75,Municipios!$CS:$CS,Contrastes_Mun1!C$68)</f>
        <v>124</v>
      </c>
      <c r="D75" s="95">
        <f t="shared" si="11"/>
        <v>145</v>
      </c>
    </row>
    <row r="76" spans="1:11">
      <c r="A76" s="58" t="s">
        <v>372</v>
      </c>
      <c r="B76" s="89">
        <f>+SUM(B69:B75)</f>
        <v>379</v>
      </c>
      <c r="C76" s="89">
        <f>+SUM(C69:C75)</f>
        <v>724</v>
      </c>
      <c r="D76" s="89">
        <f>+SUM(D69:D75)</f>
        <v>1103</v>
      </c>
    </row>
    <row r="79" spans="1:11">
      <c r="A79" s="96" t="s">
        <v>390</v>
      </c>
      <c r="B79" s="38"/>
    </row>
    <row r="81" spans="1:6">
      <c r="A81" s="86" t="s">
        <v>367</v>
      </c>
      <c r="B81" s="85">
        <v>0</v>
      </c>
      <c r="C81" s="85">
        <v>1</v>
      </c>
      <c r="D81" s="85" t="s">
        <v>369</v>
      </c>
    </row>
    <row r="82" spans="1:6">
      <c r="A82" s="86" t="s">
        <v>370</v>
      </c>
      <c r="B82" s="84">
        <f>+COUNTIFS(Municipios!$Y:$Y,Contrastes_Mun1!$A82,Municipios!$AW:$AW,Contrastes_Mun1!B$81)</f>
        <v>0</v>
      </c>
      <c r="C82" s="84">
        <f>+COUNTIFS(Municipios!$Y:$Y,Contrastes_Mun1!$A82,Municipios!$AW:$AW,Contrastes_Mun1!C$81)</f>
        <v>1</v>
      </c>
      <c r="D82" s="93">
        <f t="shared" ref="D82:D89" si="12">+SUM(B82:C82)</f>
        <v>1</v>
      </c>
      <c r="E82" s="49">
        <f t="shared" ref="E82:E88" si="13">+C82/$C$89</f>
        <v>3.2258064516129031E-2</v>
      </c>
    </row>
    <row r="83" spans="1:6">
      <c r="A83" s="87" t="s">
        <v>371</v>
      </c>
      <c r="B83" s="84">
        <f>+COUNTIFS(Municipios!$Y:$Y,Contrastes_Mun1!$A83,Municipios!$AW:$AW,Contrastes_Mun1!B$81)</f>
        <v>0</v>
      </c>
      <c r="C83" s="84">
        <f>+COUNTIFS(Municipios!$Y:$Y,Contrastes_Mun1!$A83,Municipios!$AW:$AW,Contrastes_Mun1!C$81)</f>
        <v>5</v>
      </c>
      <c r="D83" s="94">
        <f t="shared" si="12"/>
        <v>5</v>
      </c>
      <c r="E83" s="49">
        <f t="shared" si="13"/>
        <v>0.16129032258064516</v>
      </c>
    </row>
    <row r="84" spans="1:6">
      <c r="A84" s="87">
        <v>1</v>
      </c>
      <c r="B84" s="84">
        <f>+COUNTIFS(Municipios!$Y:$Y,Contrastes_Mun1!$A84,Municipios!$AW:$AW,Contrastes_Mun1!B$81)</f>
        <v>43</v>
      </c>
      <c r="C84" s="84">
        <f>+COUNTIFS(Municipios!$Y:$Y,Contrastes_Mun1!$A84,Municipios!$AW:$AW,Contrastes_Mun1!C$81)</f>
        <v>6</v>
      </c>
      <c r="D84" s="94">
        <f t="shared" si="12"/>
        <v>49</v>
      </c>
      <c r="E84" s="49">
        <f t="shared" si="13"/>
        <v>0.19354838709677419</v>
      </c>
      <c r="F84" s="140">
        <f>+SUM(E82:E84)</f>
        <v>0.38709677419354838</v>
      </c>
    </row>
    <row r="85" spans="1:6">
      <c r="A85" s="87">
        <v>2</v>
      </c>
      <c r="B85" s="84">
        <f>+COUNTIFS(Municipios!$Y:$Y,Contrastes_Mun1!$A85,Municipios!$AW:$AW,Contrastes_Mun1!B$81)</f>
        <v>144</v>
      </c>
      <c r="C85" s="84">
        <f>+COUNTIFS(Municipios!$Y:$Y,Contrastes_Mun1!$A85,Municipios!$AW:$AW,Contrastes_Mun1!C$81)</f>
        <v>9</v>
      </c>
      <c r="D85" s="94">
        <f t="shared" si="12"/>
        <v>153</v>
      </c>
      <c r="E85" s="49">
        <f t="shared" si="13"/>
        <v>0.29032258064516131</v>
      </c>
    </row>
    <row r="86" spans="1:6">
      <c r="A86" s="87">
        <v>3</v>
      </c>
      <c r="B86" s="84">
        <f>+COUNTIFS(Municipios!$Y:$Y,Contrastes_Mun1!$A86,Municipios!$AW:$AW,Contrastes_Mun1!B$81)</f>
        <v>364</v>
      </c>
      <c r="C86" s="84">
        <f>+COUNTIFS(Municipios!$Y:$Y,Contrastes_Mun1!$A86,Municipios!$AW:$AW,Contrastes_Mun1!C$81)</f>
        <v>4</v>
      </c>
      <c r="D86" s="94">
        <f t="shared" si="12"/>
        <v>368</v>
      </c>
      <c r="E86" s="49">
        <f t="shared" si="13"/>
        <v>0.12903225806451613</v>
      </c>
    </row>
    <row r="87" spans="1:6">
      <c r="A87" s="87">
        <v>4</v>
      </c>
      <c r="B87" s="84">
        <f>+COUNTIFS(Municipios!$Y:$Y,Contrastes_Mun1!$A87,Municipios!$AW:$AW,Contrastes_Mun1!B$81)</f>
        <v>408</v>
      </c>
      <c r="C87" s="84">
        <f>+COUNTIFS(Municipios!$Y:$Y,Contrastes_Mun1!$A87,Municipios!$AW:$AW,Contrastes_Mun1!C$81)</f>
        <v>1</v>
      </c>
      <c r="D87" s="94">
        <f t="shared" si="12"/>
        <v>409</v>
      </c>
      <c r="E87" s="49">
        <f t="shared" si="13"/>
        <v>3.2258064516129031E-2</v>
      </c>
    </row>
    <row r="88" spans="1:6">
      <c r="A88" s="88">
        <v>5</v>
      </c>
      <c r="B88" s="84">
        <f>+COUNTIFS(Municipios!$Y:$Y,Contrastes_Mun1!$A88,Municipios!$AW:$AW,Contrastes_Mun1!B$81)</f>
        <v>113</v>
      </c>
      <c r="C88" s="84">
        <f>+COUNTIFS(Municipios!$Y:$Y,Contrastes_Mun1!$A88,Municipios!$AW:$AW,Contrastes_Mun1!C$81)</f>
        <v>5</v>
      </c>
      <c r="D88" s="95">
        <f t="shared" si="12"/>
        <v>118</v>
      </c>
      <c r="E88" s="49">
        <f t="shared" si="13"/>
        <v>0.16129032258064516</v>
      </c>
      <c r="F88" s="140">
        <f>+SUM(E85:E88)</f>
        <v>0.61290322580645162</v>
      </c>
    </row>
    <row r="89" spans="1:6">
      <c r="A89" s="58" t="s">
        <v>372</v>
      </c>
      <c r="B89" s="89">
        <f>+SUM(B82:B88)</f>
        <v>1072</v>
      </c>
      <c r="C89" s="89">
        <f>+SUM(C82:C88)</f>
        <v>31</v>
      </c>
      <c r="D89" s="89">
        <f t="shared" si="12"/>
        <v>1103</v>
      </c>
    </row>
    <row r="93" spans="1:6">
      <c r="A93" s="96" t="s">
        <v>391</v>
      </c>
      <c r="B93" s="38"/>
    </row>
    <row r="95" spans="1:6">
      <c r="A95" s="86" t="s">
        <v>367</v>
      </c>
      <c r="B95" s="85">
        <v>0</v>
      </c>
      <c r="C95" s="85">
        <v>1</v>
      </c>
      <c r="D95" s="85" t="s">
        <v>369</v>
      </c>
    </row>
    <row r="96" spans="1:6">
      <c r="A96" s="86" t="s">
        <v>370</v>
      </c>
      <c r="B96" s="84">
        <f>+COUNTIFS(Municipios!$Y:$Y,Contrastes_Mun1!$A96,Municipios!$AX:$AX,Contrastes_Mun1!B$95)</f>
        <v>1</v>
      </c>
      <c r="C96" s="84">
        <f>+COUNTIFS(Municipios!$Y:$Y,Contrastes_Mun1!$A96,Municipios!$AX:$AX,Contrastes_Mun1!C$95)</f>
        <v>0</v>
      </c>
      <c r="D96" s="93">
        <f>+SUM(B96:C96)</f>
        <v>1</v>
      </c>
      <c r="E96" s="49">
        <f t="shared" ref="E96:E102" si="14">+C96/$C$103</f>
        <v>0</v>
      </c>
    </row>
    <row r="97" spans="1:6">
      <c r="A97" s="87" t="s">
        <v>371</v>
      </c>
      <c r="B97" s="84">
        <f>+COUNTIFS(Municipios!$Y:$Y,Contrastes_Mun1!$A97,Municipios!$AX:$AX,Contrastes_Mun1!B$95)</f>
        <v>5</v>
      </c>
      <c r="C97" s="84">
        <f>+COUNTIFS(Municipios!$Y:$Y,Contrastes_Mun1!$A97,Municipios!$AX:$AX,Contrastes_Mun1!C$95)</f>
        <v>0</v>
      </c>
      <c r="D97" s="94">
        <f t="shared" ref="D97:D103" si="15">+SUM(B97:C97)</f>
        <v>5</v>
      </c>
      <c r="E97" s="49">
        <f t="shared" si="14"/>
        <v>0</v>
      </c>
    </row>
    <row r="98" spans="1:6">
      <c r="A98" s="87">
        <v>1</v>
      </c>
      <c r="B98" s="84">
        <f>+COUNTIFS(Municipios!$Y:$Y,Contrastes_Mun1!$A98,Municipios!$AX:$AX,Contrastes_Mun1!B$95)</f>
        <v>15</v>
      </c>
      <c r="C98" s="84">
        <f>+COUNTIFS(Municipios!$Y:$Y,Contrastes_Mun1!$A98,Municipios!$AX:$AX,Contrastes_Mun1!C$95)</f>
        <v>34</v>
      </c>
      <c r="D98" s="94">
        <f t="shared" si="15"/>
        <v>49</v>
      </c>
      <c r="E98" s="49">
        <f t="shared" si="14"/>
        <v>0.36956521739130432</v>
      </c>
      <c r="F98" s="140">
        <f>+SUM(E96:E98)</f>
        <v>0.36956521739130432</v>
      </c>
    </row>
    <row r="99" spans="1:6">
      <c r="A99" s="87">
        <v>2</v>
      </c>
      <c r="B99" s="84">
        <f>+COUNTIFS(Municipios!$Y:$Y,Contrastes_Mun1!$A99,Municipios!$AX:$AX,Contrastes_Mun1!B$95)</f>
        <v>123</v>
      </c>
      <c r="C99" s="84">
        <f>+COUNTIFS(Municipios!$Y:$Y,Contrastes_Mun1!$A99,Municipios!$AX:$AX,Contrastes_Mun1!C$95)</f>
        <v>30</v>
      </c>
      <c r="D99" s="94">
        <f t="shared" si="15"/>
        <v>153</v>
      </c>
      <c r="E99" s="49">
        <f t="shared" si="14"/>
        <v>0.32608695652173914</v>
      </c>
    </row>
    <row r="100" spans="1:6">
      <c r="A100" s="87">
        <v>3</v>
      </c>
      <c r="B100" s="84">
        <f>+COUNTIFS(Municipios!$Y:$Y,Contrastes_Mun1!$A100,Municipios!$AX:$AX,Contrastes_Mun1!B$95)</f>
        <v>352</v>
      </c>
      <c r="C100" s="84">
        <f>+COUNTIFS(Municipios!$Y:$Y,Contrastes_Mun1!$A100,Municipios!$AX:$AX,Contrastes_Mun1!C$95)</f>
        <v>16</v>
      </c>
      <c r="D100" s="94">
        <f t="shared" si="15"/>
        <v>368</v>
      </c>
      <c r="E100" s="49">
        <f t="shared" si="14"/>
        <v>0.17391304347826086</v>
      </c>
    </row>
    <row r="101" spans="1:6">
      <c r="A101" s="87">
        <v>4</v>
      </c>
      <c r="B101" s="84">
        <f>+COUNTIFS(Municipios!$Y:$Y,Contrastes_Mun1!$A101,Municipios!$AX:$AX,Contrastes_Mun1!B$95)</f>
        <v>400</v>
      </c>
      <c r="C101" s="84">
        <f>+COUNTIFS(Municipios!$Y:$Y,Contrastes_Mun1!$A101,Municipios!$AX:$AX,Contrastes_Mun1!C$95)</f>
        <v>9</v>
      </c>
      <c r="D101" s="94">
        <f t="shared" si="15"/>
        <v>409</v>
      </c>
      <c r="E101" s="49">
        <f t="shared" si="14"/>
        <v>9.7826086956521743E-2</v>
      </c>
    </row>
    <row r="102" spans="1:6">
      <c r="A102" s="88">
        <v>5</v>
      </c>
      <c r="B102" s="84">
        <f>+COUNTIFS(Municipios!$Y:$Y,Contrastes_Mun1!$A102,Municipios!$AX:$AX,Contrastes_Mun1!B$95)</f>
        <v>115</v>
      </c>
      <c r="C102" s="84">
        <f>+COUNTIFS(Municipios!$Y:$Y,Contrastes_Mun1!$A102,Municipios!$AX:$AX,Contrastes_Mun1!C$95)</f>
        <v>3</v>
      </c>
      <c r="D102" s="95">
        <f t="shared" si="15"/>
        <v>118</v>
      </c>
      <c r="E102" s="49">
        <f t="shared" si="14"/>
        <v>3.2608695652173912E-2</v>
      </c>
      <c r="F102" s="140">
        <f>+SUM(E99:E102)</f>
        <v>0.63043478260869568</v>
      </c>
    </row>
    <row r="103" spans="1:6">
      <c r="A103" s="58" t="s">
        <v>372</v>
      </c>
      <c r="B103" s="89">
        <f>+SUM(B96:B102)</f>
        <v>1011</v>
      </c>
      <c r="C103" s="89">
        <f>+SUM(C96:C102)</f>
        <v>92</v>
      </c>
      <c r="D103" s="89">
        <f t="shared" si="15"/>
        <v>1103</v>
      </c>
    </row>
    <row r="105" spans="1:6">
      <c r="A105" s="96" t="s">
        <v>392</v>
      </c>
      <c r="B105" s="38"/>
    </row>
    <row r="107" spans="1:6">
      <c r="A107" s="86" t="s">
        <v>367</v>
      </c>
      <c r="B107" s="85">
        <v>0</v>
      </c>
      <c r="C107" s="85">
        <v>1</v>
      </c>
      <c r="D107" s="85" t="s">
        <v>369</v>
      </c>
    </row>
    <row r="108" spans="1:6">
      <c r="A108" s="86" t="s">
        <v>370</v>
      </c>
      <c r="B108" s="84">
        <f>+COUNTIFS(Municipios!$Y:$Y,Contrastes_Mun1!$A108,Municipios!$CT:$CT,Contrastes_Mun1!B$107)</f>
        <v>1</v>
      </c>
      <c r="C108" s="84">
        <f>+COUNTIFS(Municipios!$Y:$Y,Contrastes_Mun1!$A108,Municipios!$CT:$CT,Contrastes_Mun1!C$107)</f>
        <v>0</v>
      </c>
      <c r="D108" s="93">
        <f>+SUM(B108:C108)</f>
        <v>1</v>
      </c>
      <c r="E108" s="49">
        <f t="shared" ref="E108:E114" si="16">+C108/$C$115</f>
        <v>0</v>
      </c>
    </row>
    <row r="109" spans="1:6">
      <c r="A109" s="87" t="s">
        <v>371</v>
      </c>
      <c r="B109" s="84">
        <f>+COUNTIFS(Municipios!$Y:$Y,Contrastes_Mun1!$A109,Municipios!$CT:$CT,Contrastes_Mun1!B$107)</f>
        <v>5</v>
      </c>
      <c r="C109" s="84">
        <f>+COUNTIFS(Municipios!$Y:$Y,Contrastes_Mun1!$A109,Municipios!$CT:$CT,Contrastes_Mun1!C$107)</f>
        <v>0</v>
      </c>
      <c r="D109" s="94">
        <f t="shared" ref="D109:D115" si="17">+SUM(B109:C109)</f>
        <v>5</v>
      </c>
      <c r="E109" s="49">
        <f t="shared" si="16"/>
        <v>0</v>
      </c>
    </row>
    <row r="110" spans="1:6">
      <c r="A110" s="87">
        <v>1</v>
      </c>
      <c r="B110" s="84">
        <f>+COUNTIFS(Municipios!$Y:$Y,Contrastes_Mun1!$A110,Municipios!$CT:$CT,Contrastes_Mun1!B$107)</f>
        <v>46</v>
      </c>
      <c r="C110" s="84">
        <f>+COUNTIFS(Municipios!$Y:$Y,Contrastes_Mun1!$A110,Municipios!$CT:$CT,Contrastes_Mun1!C$107)</f>
        <v>3</v>
      </c>
      <c r="D110" s="94">
        <f t="shared" si="17"/>
        <v>49</v>
      </c>
      <c r="E110" s="49">
        <f t="shared" si="16"/>
        <v>3.9473684210526314E-2</v>
      </c>
      <c r="F110" s="140">
        <f>+SUM(E108:E110)</f>
        <v>3.9473684210526314E-2</v>
      </c>
    </row>
    <row r="111" spans="1:6">
      <c r="A111" s="87">
        <v>2</v>
      </c>
      <c r="B111" s="84">
        <f>+COUNTIFS(Municipios!$Y:$Y,Contrastes_Mun1!$A111,Municipios!$CT:$CT,Contrastes_Mun1!B$107)</f>
        <v>144</v>
      </c>
      <c r="C111" s="84">
        <f>+COUNTIFS(Municipios!$Y:$Y,Contrastes_Mun1!$A111,Municipios!$CT:$CT,Contrastes_Mun1!C$107)</f>
        <v>9</v>
      </c>
      <c r="D111" s="94">
        <f t="shared" si="17"/>
        <v>153</v>
      </c>
      <c r="E111" s="49">
        <f t="shared" si="16"/>
        <v>0.11842105263157894</v>
      </c>
    </row>
    <row r="112" spans="1:6">
      <c r="A112" s="87">
        <v>3</v>
      </c>
      <c r="B112" s="84">
        <f>+COUNTIFS(Municipios!$Y:$Y,Contrastes_Mun1!$A112,Municipios!$CT:$CT,Contrastes_Mun1!B$107)</f>
        <v>343</v>
      </c>
      <c r="C112" s="84">
        <f>+COUNTIFS(Municipios!$Y:$Y,Contrastes_Mun1!$A112,Municipios!$CT:$CT,Contrastes_Mun1!C$107)</f>
        <v>25</v>
      </c>
      <c r="D112" s="94">
        <f t="shared" si="17"/>
        <v>368</v>
      </c>
      <c r="E112" s="49">
        <f t="shared" si="16"/>
        <v>0.32894736842105265</v>
      </c>
    </row>
    <row r="113" spans="1:6">
      <c r="A113" s="87">
        <v>4</v>
      </c>
      <c r="B113" s="84">
        <f>+COUNTIFS(Municipios!$Y:$Y,Contrastes_Mun1!$A113,Municipios!$CT:$CT,Contrastes_Mun1!B$107)</f>
        <v>383</v>
      </c>
      <c r="C113" s="84">
        <f>+COUNTIFS(Municipios!$Y:$Y,Contrastes_Mun1!$A113,Municipios!$CT:$CT,Contrastes_Mun1!C$107)</f>
        <v>26</v>
      </c>
      <c r="D113" s="94">
        <f t="shared" si="17"/>
        <v>409</v>
      </c>
      <c r="E113" s="49">
        <f t="shared" si="16"/>
        <v>0.34210526315789475</v>
      </c>
    </row>
    <row r="114" spans="1:6">
      <c r="A114" s="88">
        <v>5</v>
      </c>
      <c r="B114" s="84">
        <f>+COUNTIFS(Municipios!$Y:$Y,Contrastes_Mun1!$A114,Municipios!$CT:$CT,Contrastes_Mun1!B$107)</f>
        <v>105</v>
      </c>
      <c r="C114" s="84">
        <f>+COUNTIFS(Municipios!$Y:$Y,Contrastes_Mun1!$A114,Municipios!$CT:$CT,Contrastes_Mun1!C$107)</f>
        <v>13</v>
      </c>
      <c r="D114" s="95">
        <f t="shared" si="17"/>
        <v>118</v>
      </c>
      <c r="E114" s="49">
        <f t="shared" si="16"/>
        <v>0.17105263157894737</v>
      </c>
      <c r="F114" s="140">
        <f>+SUM(E111:E114)</f>
        <v>0.96052631578947367</v>
      </c>
    </row>
    <row r="115" spans="1:6">
      <c r="A115" s="58" t="s">
        <v>372</v>
      </c>
      <c r="B115" s="89">
        <f>+SUM(B108:B114)</f>
        <v>1027</v>
      </c>
      <c r="C115" s="89">
        <f t="shared" ref="C115" si="18">+SUM(C108:C114)</f>
        <v>76</v>
      </c>
      <c r="D115" s="89">
        <f t="shared" si="17"/>
        <v>1103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4C093-C633-45EF-83DE-13A16D95CC9E}">
  <sheetPr filterMode="1"/>
  <dimension ref="A1:DD1122"/>
  <sheetViews>
    <sheetView showGridLines="0" tabSelected="1" zoomScale="70" zoomScaleNormal="70" workbookViewId="0">
      <pane xSplit="5" ySplit="2" topLeftCell="F3" activePane="bottomRight" state="frozen"/>
      <selection pane="topRight" activeCell="F1" sqref="F1"/>
      <selection pane="bottomLeft" activeCell="A3" sqref="A3"/>
      <selection pane="bottomRight" activeCell="G166" sqref="G166"/>
    </sheetView>
  </sheetViews>
  <sheetFormatPr baseColWidth="10" defaultColWidth="11.4140625" defaultRowHeight="14" outlineLevelCol="1"/>
  <cols>
    <col min="1" max="1" width="19.4140625" customWidth="1"/>
    <col min="2" max="2" width="15.58203125" customWidth="1"/>
    <col min="3" max="3" width="18.4140625" customWidth="1"/>
    <col min="4" max="4" width="20" customWidth="1"/>
    <col min="5" max="5" width="21.4140625" customWidth="1"/>
    <col min="6" max="11" width="11.4140625" customWidth="1" outlineLevel="1"/>
    <col min="12" max="13" width="13.4140625" customWidth="1" outlineLevel="1"/>
    <col min="14" max="15" width="11.4140625" customWidth="1" outlineLevel="1"/>
    <col min="16" max="17" width="13.4140625" customWidth="1" outlineLevel="1"/>
    <col min="18" max="18" width="13.83203125" customWidth="1" outlineLevel="1"/>
    <col min="19" max="20" width="19.4140625" customWidth="1"/>
    <col min="21" max="21" width="20.4140625" customWidth="1"/>
    <col min="22" max="22" width="23" customWidth="1"/>
    <col min="23" max="23" width="22.1640625" customWidth="1"/>
    <col min="24" max="24" width="16.25" customWidth="1"/>
    <col min="25" max="25" width="21.75" customWidth="1"/>
    <col min="26" max="26" width="13.4140625" customWidth="1" outlineLevel="1"/>
    <col min="27" max="28" width="16.58203125" customWidth="1" outlineLevel="1"/>
    <col min="29" max="29" width="17.83203125" customWidth="1"/>
    <col min="30" max="30" width="16.4140625" customWidth="1"/>
    <col min="31" max="31" width="13.4140625" customWidth="1" outlineLevel="1"/>
    <col min="32" max="32" width="16.58203125" customWidth="1" outlineLevel="1"/>
    <col min="33" max="34" width="16.4140625" customWidth="1"/>
    <col min="35" max="35" width="21.58203125" customWidth="1"/>
    <col min="36" max="36" width="16.4140625" customWidth="1"/>
    <col min="37" max="37" width="20" customWidth="1"/>
    <col min="38" max="38" width="22.83203125" customWidth="1"/>
    <col min="39" max="39" width="19.83203125" customWidth="1"/>
    <col min="40" max="40" width="18.25" customWidth="1"/>
    <col min="41" max="43" width="16.25" customWidth="1"/>
    <col min="44" max="44" width="20" customWidth="1"/>
    <col min="45" max="46" width="16.25" customWidth="1"/>
    <col min="47" max="47" width="19.58203125" customWidth="1" outlineLevel="1"/>
    <col min="48" max="48" width="20.25" customWidth="1"/>
    <col min="56" max="56" width="19.83203125" customWidth="1"/>
    <col min="58" max="58" width="13.1640625" customWidth="1"/>
    <col min="59" max="59" width="15" customWidth="1"/>
    <col min="66" max="66" width="20.83203125" customWidth="1"/>
    <col min="67" max="67" width="14.83203125" customWidth="1"/>
    <col min="71" max="71" width="12" bestFit="1" customWidth="1"/>
    <col min="77" max="77" width="12" bestFit="1" customWidth="1"/>
    <col min="85" max="85" width="15.75" customWidth="1"/>
    <col min="86" max="86" width="12" bestFit="1" customWidth="1"/>
    <col min="100" max="100" width="12" bestFit="1" customWidth="1"/>
    <col min="108" max="108" width="13.25" bestFit="1" customWidth="1"/>
  </cols>
  <sheetData>
    <row r="1" spans="1:108">
      <c r="A1" s="206"/>
      <c r="F1" s="245" t="s">
        <v>394</v>
      </c>
      <c r="G1" s="245"/>
      <c r="H1" s="245" t="s">
        <v>345</v>
      </c>
      <c r="I1" s="245"/>
      <c r="J1" s="245"/>
      <c r="K1" s="245"/>
      <c r="L1" s="245"/>
      <c r="M1" s="245"/>
      <c r="N1" s="245"/>
      <c r="O1" s="245"/>
      <c r="P1" s="246"/>
      <c r="Q1" s="245"/>
      <c r="R1" s="245"/>
      <c r="S1" s="247"/>
      <c r="T1" s="245"/>
      <c r="U1" s="248"/>
      <c r="V1" s="245"/>
      <c r="W1" s="245"/>
      <c r="X1" s="245"/>
      <c r="Y1" s="249"/>
      <c r="Z1" s="246" t="s">
        <v>395</v>
      </c>
      <c r="AA1" s="247"/>
      <c r="AB1" s="248"/>
      <c r="AC1" s="249"/>
      <c r="AD1" s="245"/>
      <c r="AE1" s="245"/>
      <c r="AF1" s="245"/>
      <c r="AG1" s="245"/>
      <c r="AH1" s="245"/>
      <c r="AI1" s="245"/>
      <c r="AJ1" s="245"/>
      <c r="AK1" s="247"/>
      <c r="AL1" s="248"/>
      <c r="AM1" s="245"/>
      <c r="AN1" s="249"/>
      <c r="AO1" s="245"/>
      <c r="AP1" s="245"/>
      <c r="AQ1" s="245"/>
      <c r="AR1" s="245"/>
      <c r="AS1" s="245"/>
      <c r="AT1" s="245"/>
      <c r="AU1" s="249"/>
      <c r="AW1" s="12" t="s">
        <v>346</v>
      </c>
      <c r="CD1" s="10">
        <f>SUM(CD3:CD1105)</f>
        <v>30867802.086679019</v>
      </c>
      <c r="CH1" s="10">
        <f>SUM(CH3:CH1105)</f>
        <v>25184763.483737003</v>
      </c>
      <c r="CL1" s="10">
        <f>SUM(CL3:CL1105)</f>
        <v>1594624.3398347946</v>
      </c>
    </row>
    <row r="2" spans="1:108" s="1" customFormat="1" ht="43.5" customHeight="1">
      <c r="A2" s="273" t="s">
        <v>2983</v>
      </c>
      <c r="B2" s="273" t="s">
        <v>2984</v>
      </c>
      <c r="C2" s="273" t="s">
        <v>2985</v>
      </c>
      <c r="D2" s="273" t="s">
        <v>399</v>
      </c>
      <c r="E2" s="273" t="s">
        <v>400</v>
      </c>
      <c r="F2" s="273" t="s">
        <v>401</v>
      </c>
      <c r="G2" s="273" t="s">
        <v>402</v>
      </c>
      <c r="H2" s="273" t="s">
        <v>403</v>
      </c>
      <c r="I2" s="273" t="s">
        <v>404</v>
      </c>
      <c r="J2" s="273" t="s">
        <v>405</v>
      </c>
      <c r="K2" s="273" t="s">
        <v>406</v>
      </c>
      <c r="L2" s="273" t="s">
        <v>407</v>
      </c>
      <c r="M2" s="273" t="s">
        <v>408</v>
      </c>
      <c r="N2" s="274" t="s">
        <v>410</v>
      </c>
      <c r="O2" s="274" t="s">
        <v>411</v>
      </c>
      <c r="P2" s="273" t="s">
        <v>412</v>
      </c>
      <c r="Q2" s="275" t="s">
        <v>409</v>
      </c>
      <c r="R2" s="275" t="s">
        <v>413</v>
      </c>
      <c r="S2" s="275" t="s">
        <v>2887</v>
      </c>
      <c r="T2" s="275" t="s">
        <v>2879</v>
      </c>
      <c r="U2" s="273" t="s">
        <v>2881</v>
      </c>
      <c r="V2" s="275" t="s">
        <v>2799</v>
      </c>
      <c r="W2" s="275" t="s">
        <v>415</v>
      </c>
      <c r="X2" s="275" t="s">
        <v>416</v>
      </c>
      <c r="Y2" s="276" t="s">
        <v>2796</v>
      </c>
      <c r="Z2" s="277" t="s">
        <v>417</v>
      </c>
      <c r="AA2" s="277" t="s">
        <v>2888</v>
      </c>
      <c r="AB2" s="277" t="s">
        <v>2883</v>
      </c>
      <c r="AC2" s="278" t="s">
        <v>2882</v>
      </c>
      <c r="AD2" s="279" t="s">
        <v>422</v>
      </c>
      <c r="AE2" s="279" t="s">
        <v>418</v>
      </c>
      <c r="AF2" s="279" t="s">
        <v>420</v>
      </c>
      <c r="AG2" s="279" t="s">
        <v>2810</v>
      </c>
      <c r="AH2" s="279" t="s">
        <v>423</v>
      </c>
      <c r="AI2" s="279" t="s">
        <v>424</v>
      </c>
      <c r="AJ2" s="279" t="s">
        <v>425</v>
      </c>
      <c r="AK2" s="280" t="s">
        <v>2884</v>
      </c>
      <c r="AL2" s="280" t="s">
        <v>2885</v>
      </c>
      <c r="AM2" s="280" t="s">
        <v>2898</v>
      </c>
      <c r="AN2" s="281" t="s">
        <v>2886</v>
      </c>
      <c r="AO2" s="282" t="s">
        <v>2899</v>
      </c>
      <c r="AP2" s="282" t="s">
        <v>2900</v>
      </c>
      <c r="AQ2" s="282" t="s">
        <v>427</v>
      </c>
      <c r="AR2" s="282" t="s">
        <v>426</v>
      </c>
      <c r="AS2" s="282" t="s">
        <v>424</v>
      </c>
      <c r="AT2" s="282" t="s">
        <v>425</v>
      </c>
      <c r="AU2" s="283" t="s">
        <v>428</v>
      </c>
      <c r="AV2" s="283" t="s">
        <v>429</v>
      </c>
      <c r="AW2" s="308" t="s">
        <v>2817</v>
      </c>
      <c r="AX2" s="301" t="s">
        <v>391</v>
      </c>
      <c r="AY2" s="301" t="s">
        <v>2862</v>
      </c>
      <c r="AZ2" s="301" t="s">
        <v>2818</v>
      </c>
      <c r="BA2" s="301" t="s">
        <v>2829</v>
      </c>
      <c r="BB2" s="301" t="s">
        <v>2830</v>
      </c>
      <c r="BC2" s="301" t="s">
        <v>2842</v>
      </c>
      <c r="BD2" s="301" t="s">
        <v>2819</v>
      </c>
      <c r="BE2" s="301" t="s">
        <v>2725</v>
      </c>
      <c r="BF2" s="301" t="s">
        <v>2843</v>
      </c>
      <c r="BG2" s="301" t="s">
        <v>2844</v>
      </c>
      <c r="BH2" s="301" t="s">
        <v>2724</v>
      </c>
      <c r="BI2" s="301" t="s">
        <v>2726</v>
      </c>
      <c r="BJ2" s="301" t="s">
        <v>2847</v>
      </c>
      <c r="BK2" s="301" t="s">
        <v>2848</v>
      </c>
      <c r="BL2" s="301" t="s">
        <v>2851</v>
      </c>
      <c r="BM2" s="301" t="s">
        <v>2852</v>
      </c>
      <c r="BN2" s="301" t="s">
        <v>2853</v>
      </c>
      <c r="BO2" s="301" t="s">
        <v>2854</v>
      </c>
      <c r="BP2" s="301" t="s">
        <v>2855</v>
      </c>
      <c r="BQ2" s="301" t="s">
        <v>2903</v>
      </c>
      <c r="BR2" s="301" t="s">
        <v>2904</v>
      </c>
      <c r="BS2" s="301" t="s">
        <v>2946</v>
      </c>
      <c r="BT2" s="301" t="s">
        <v>2947</v>
      </c>
      <c r="BU2" s="301" t="s">
        <v>2948</v>
      </c>
      <c r="BV2" s="301" t="s">
        <v>2949</v>
      </c>
      <c r="BW2" s="301" t="s">
        <v>2953</v>
      </c>
      <c r="BX2" s="301" t="s">
        <v>2954</v>
      </c>
      <c r="BY2" s="301" t="s">
        <v>2955</v>
      </c>
      <c r="BZ2" s="301" t="s">
        <v>2820</v>
      </c>
      <c r="CA2" s="301" t="s">
        <v>2821</v>
      </c>
      <c r="CB2" s="301" t="s">
        <v>2822</v>
      </c>
      <c r="CC2" s="301" t="s">
        <v>2964</v>
      </c>
      <c r="CD2" s="301" t="s">
        <v>2856</v>
      </c>
      <c r="CE2" s="301" t="s">
        <v>2857</v>
      </c>
      <c r="CF2" s="301" t="s">
        <v>2858</v>
      </c>
      <c r="CG2" s="301" t="s">
        <v>2966</v>
      </c>
      <c r="CH2" s="301" t="s">
        <v>2859</v>
      </c>
      <c r="CI2" s="301" t="s">
        <v>2860</v>
      </c>
      <c r="CJ2" s="301" t="s">
        <v>2861</v>
      </c>
      <c r="CK2" s="301" t="s">
        <v>2968</v>
      </c>
      <c r="CL2" s="301" t="s">
        <v>2962</v>
      </c>
      <c r="CM2" s="301" t="s">
        <v>2963</v>
      </c>
      <c r="CN2" s="301" t="s">
        <v>2965</v>
      </c>
      <c r="CO2" s="301" t="s">
        <v>2967</v>
      </c>
      <c r="CP2" s="301" t="s">
        <v>2823</v>
      </c>
      <c r="CQ2" s="301" t="s">
        <v>2824</v>
      </c>
      <c r="CR2" s="308" t="s">
        <v>2825</v>
      </c>
      <c r="CS2" s="308" t="s">
        <v>2826</v>
      </c>
      <c r="CT2" s="301" t="s">
        <v>2827</v>
      </c>
      <c r="CU2" s="301" t="s">
        <v>2828</v>
      </c>
      <c r="CV2" s="301" t="s">
        <v>2934</v>
      </c>
      <c r="CW2" s="301" t="s">
        <v>2935</v>
      </c>
      <c r="CX2" s="301" t="s">
        <v>2936</v>
      </c>
      <c r="CY2" s="301" t="s">
        <v>2937</v>
      </c>
      <c r="CZ2" s="301" t="s">
        <v>2938</v>
      </c>
      <c r="DA2" s="301" t="s">
        <v>2939</v>
      </c>
      <c r="DB2" s="301" t="s">
        <v>2940</v>
      </c>
      <c r="DC2" s="250" t="s">
        <v>2970</v>
      </c>
      <c r="DD2" s="1" t="s">
        <v>2957</v>
      </c>
    </row>
    <row r="3" spans="1:108" hidden="1">
      <c r="A3" s="13">
        <v>68276</v>
      </c>
      <c r="B3" s="13" t="s">
        <v>430</v>
      </c>
      <c r="C3" s="13" t="s">
        <v>431</v>
      </c>
      <c r="D3" s="13" t="s">
        <v>432</v>
      </c>
      <c r="E3" s="13" t="s">
        <v>433</v>
      </c>
      <c r="F3" s="14">
        <v>97.140933333333294</v>
      </c>
      <c r="G3" s="13">
        <v>78.23</v>
      </c>
      <c r="H3" s="13">
        <v>83.06</v>
      </c>
      <c r="I3" s="13">
        <v>84.55</v>
      </c>
      <c r="J3" s="14">
        <v>56.446677094272502</v>
      </c>
      <c r="K3" s="14">
        <v>57.085798777637805</v>
      </c>
      <c r="L3" s="14">
        <v>63.040599454534998</v>
      </c>
      <c r="M3" s="14">
        <v>60.937800000000003</v>
      </c>
      <c r="N3" s="14">
        <f t="shared" ref="N3:N66" si="0">IFERROR(AVERAGE(F3:I3),"N.D.")</f>
        <v>85.745233333333331</v>
      </c>
      <c r="O3" s="14">
        <f t="shared" ref="O3:O66" si="1">IFERROR(AVERAGE(J3:M3),"N.D.")</f>
        <v>59.377718831611325</v>
      </c>
      <c r="P3" s="14">
        <f>IFERROR(AVERAGE(N3:O3),"N.D.")</f>
        <v>72.561476082472325</v>
      </c>
      <c r="Q3" s="14">
        <v>19.535521594236599</v>
      </c>
      <c r="R3" s="17">
        <f t="shared" ref="R3:R66" si="2">IFERROR(MAX($Q$3:$Q$1105)-Q3,"N.D.")</f>
        <v>80.464478405763401</v>
      </c>
      <c r="S3" s="14">
        <f>IFERROR((0.1+(1-0.1)*(R3%-0)/(1-0)),"N.D.")</f>
        <v>0.82418030565187061</v>
      </c>
      <c r="T3" s="13">
        <v>0</v>
      </c>
      <c r="U3" s="13">
        <f>$P3*$S3</f>
        <v>59.80373953620294</v>
      </c>
      <c r="V3" s="13">
        <f>IF($T3=1,$AU3,(VLOOKUP(U3,'Cortes naturales'!$A$35:$C$39,3,9)))</f>
        <v>1</v>
      </c>
      <c r="W3" s="13">
        <v>1</v>
      </c>
      <c r="X3" s="14" t="b">
        <f t="shared" ref="X3:X66" si="3">V3=W3</f>
        <v>1</v>
      </c>
      <c r="Y3" s="17">
        <f>IF($T3=1,$AU3,VLOOKUP(U3,'Cortes naturales'!$A$45:$C$49,3,9))</f>
        <v>1</v>
      </c>
      <c r="Z3" s="14">
        <v>74.733171506470498</v>
      </c>
      <c r="AA3" s="14">
        <v>0.84823970786551717</v>
      </c>
      <c r="AB3" s="14">
        <v>63.39164356651213</v>
      </c>
      <c r="AC3" s="13">
        <v>1</v>
      </c>
      <c r="AD3" s="13">
        <f t="shared" ref="AD3:AD66" si="4">IFERROR(AC3-Y3,)</f>
        <v>0</v>
      </c>
      <c r="AE3" s="14">
        <f t="shared" ref="AE3:AE66" si="5">IFERROR(P3-Z3,"N.D.")</f>
        <v>-2.1716954239981732</v>
      </c>
      <c r="AF3" s="14">
        <f t="shared" ref="AF3:AF66" si="6">IFERROR(S3-AA3,"N.D.")</f>
        <v>-2.4059402213646552E-2</v>
      </c>
      <c r="AG3" s="13">
        <f t="shared" ref="AG3:AG66" si="7">IFERROR(U3-AB3,0)</f>
        <v>-3.5879040303091898</v>
      </c>
      <c r="AH3" s="13">
        <f>IF($T3=1,$AU3,VLOOKUP(U3,'Cortes naturales'!$A$25:$C$29,3,9))</f>
        <v>1</v>
      </c>
      <c r="AI3" s="13" t="b">
        <f t="shared" ref="AI3:AI66" si="8">AH3=Y3</f>
        <v>1</v>
      </c>
      <c r="AJ3" s="13">
        <f>IF(AD3=0,0,IF(AI3=TRUE,"Efecto ponderador","Cambio en corte"))</f>
        <v>0</v>
      </c>
      <c r="AK3" s="28">
        <v>1.1166517821440873</v>
      </c>
      <c r="AL3" s="28">
        <v>83.450929147980005</v>
      </c>
      <c r="AM3" s="28">
        <v>0.87325714622843653</v>
      </c>
      <c r="AN3" s="13">
        <v>1</v>
      </c>
      <c r="AO3" s="33">
        <f t="shared" ref="AO3:AO66" si="9">IF(AND(ISNUMBER(AN3),ISNUMBER(Y3)),AN3-Y3,IF(AN3="SC- Centro aglomeración",Y3,IF(OR(AN3="Bogotá",AN3="Ciudades grandes"),0,0)))</f>
        <v>0</v>
      </c>
      <c r="AP3" s="13">
        <f>IFERROR(AM3*100,"N.D")</f>
        <v>87.325714622843648</v>
      </c>
      <c r="AQ3" s="13">
        <f>IFERROR(VLOOKUP(U3,'Cortes naturales'!$E$15:$G$19,3,9),U3)</f>
        <v>2</v>
      </c>
      <c r="AR3" s="28">
        <f t="shared" ref="AR3:AR66" si="10">IFERROR(S3-AK3,"N.D.")</f>
        <v>-0.29247147649221672</v>
      </c>
      <c r="AS3" s="13" t="b">
        <f t="shared" ref="AS3:AS66" si="11">AQ3=Y3</f>
        <v>0</v>
      </c>
      <c r="AT3" s="13">
        <f>IF(AO3=0,0,IF(AS3=TRUE,"Efecto ponderador","Cambio en corte"))</f>
        <v>0</v>
      </c>
      <c r="AU3" s="13">
        <v>1</v>
      </c>
      <c r="AV3">
        <f t="shared" ref="AV3:AV66" si="12">IF(AND(ISNUMBER(AU3),ISNUMBER(Y3)),AU3-Y3,IF(AU3="SC- Centro aglomeración",Y3,IF(OR(AU3="Bogotá",AU3="Ciudades grandes"),0,0)))</f>
        <v>0</v>
      </c>
      <c r="AW3" s="13">
        <v>0</v>
      </c>
      <c r="AX3" s="13">
        <v>1</v>
      </c>
      <c r="AY3" s="13">
        <v>0</v>
      </c>
      <c r="AZ3" s="13">
        <v>0</v>
      </c>
      <c r="BA3">
        <v>0</v>
      </c>
      <c r="BB3" t="s">
        <v>2838</v>
      </c>
      <c r="BC3">
        <v>1</v>
      </c>
      <c r="BD3" s="184" t="s">
        <v>2917</v>
      </c>
      <c r="BE3">
        <v>1</v>
      </c>
      <c r="BF3" s="232" t="s">
        <v>2845</v>
      </c>
      <c r="BG3" s="232" t="s">
        <v>2846</v>
      </c>
      <c r="BH3" s="253">
        <v>11</v>
      </c>
      <c r="BI3" s="253">
        <v>3.9718579642907863</v>
      </c>
      <c r="BJ3" s="25">
        <v>0</v>
      </c>
      <c r="BK3" t="s">
        <v>381</v>
      </c>
      <c r="BL3">
        <v>0.72696634203032706</v>
      </c>
      <c r="BM3" t="s">
        <v>383</v>
      </c>
      <c r="BN3" s="322">
        <v>647819.39982100006</v>
      </c>
      <c r="BO3" s="322">
        <v>246674.37849100001</v>
      </c>
      <c r="BP3" s="10">
        <v>312530</v>
      </c>
      <c r="BQ3" s="254">
        <f t="shared" ref="BQ3:BQ66" si="13">BN3/BP3</f>
        <v>2.0728230884107126</v>
      </c>
      <c r="BR3" s="254">
        <f t="shared" ref="BR3:BR66" si="14">BO3/BP3</f>
        <v>0.78928224007615277</v>
      </c>
      <c r="BS3" s="25">
        <v>65.861909455463334</v>
      </c>
      <c r="BT3" s="25">
        <v>92.05945466942751</v>
      </c>
      <c r="BU3" s="25">
        <v>68.708333333333329</v>
      </c>
      <c r="BV3" s="25">
        <v>85.377198799837359</v>
      </c>
      <c r="BW3" s="25">
        <v>75.725086028696765</v>
      </c>
      <c r="BX3" s="25">
        <v>78.001724064515372</v>
      </c>
      <c r="BY3" s="25">
        <v>77.380569661025945</v>
      </c>
      <c r="BZ3">
        <v>39</v>
      </c>
      <c r="CA3">
        <v>0</v>
      </c>
      <c r="CB3">
        <v>5</v>
      </c>
      <c r="CC3">
        <v>9993.3364189999993</v>
      </c>
      <c r="CD3" s="10">
        <v>7724.2675509999999</v>
      </c>
      <c r="CE3" s="255">
        <v>0.77294181113667959</v>
      </c>
      <c r="CF3" t="str">
        <f>IFERROR(VLOOKUP(CE3,'Rangos amb etnico'!$A$2:$C$6,3,9),"N.D.")</f>
        <v>71% - 100%</v>
      </c>
      <c r="CG3" s="256">
        <v>2.247280609613825E-4</v>
      </c>
      <c r="CH3" s="232">
        <v>0</v>
      </c>
      <c r="CI3" s="311">
        <f>IFERROR(CH3/CC3,"N.D.")</f>
        <v>0</v>
      </c>
      <c r="CJ3" s="232">
        <f>IFERROR(VLOOKUP(CI3,'Rangos amb etnico'!$A$2:$C$6,3,9),"N.D.")</f>
        <v>0</v>
      </c>
      <c r="CK3" s="311">
        <f>IFERROR(CH3/$CH$1,"N.D.")</f>
        <v>0</v>
      </c>
      <c r="CL3" s="10">
        <v>0</v>
      </c>
      <c r="CM3" s="255">
        <f>IFERROR(CL3/CC3,"N.D.")</f>
        <v>0</v>
      </c>
      <c r="CN3" s="232">
        <f>IFERROR(VLOOKUP(CM3,'Rangos amb etnico'!$A$2:$C$6,3,9),"N.D.")</f>
        <v>0</v>
      </c>
      <c r="CO3" s="311">
        <f>IFERROR(CL3/$CL$1,"N.D.")</f>
        <v>0</v>
      </c>
      <c r="CP3">
        <v>0.8861922727598518</v>
      </c>
      <c r="CQ3" t="s">
        <v>2864</v>
      </c>
      <c r="CR3">
        <f t="shared" ref="CR3:CR66" si="15">IF(BY3&gt;=60,1,0)+IF(M3&gt;=60,1,0)+IF(I3&gt;=60,1,0)+IF(OR(CQ3="Crítico Bajo",CQ3="Aceptable"),1,0)</f>
        <v>4</v>
      </c>
      <c r="CS3" t="str">
        <f>IF(CR3&gt;=3,"Candidato","No es Candidato")</f>
        <v>Candidato</v>
      </c>
      <c r="CT3">
        <v>0</v>
      </c>
      <c r="CU3">
        <v>0</v>
      </c>
      <c r="CV3" s="25">
        <v>71.660980224609375</v>
      </c>
      <c r="CW3" s="25">
        <v>53.10101318359375</v>
      </c>
      <c r="CX3" s="25">
        <v>62.257514953613281</v>
      </c>
      <c r="CY3" s="25">
        <v>86.839744567871094</v>
      </c>
      <c r="CZ3" s="25">
        <v>92.094505310058594</v>
      </c>
      <c r="DA3" s="25">
        <v>65.581809997558594</v>
      </c>
      <c r="DB3" s="25">
        <v>70.09130859375</v>
      </c>
      <c r="DC3">
        <v>10226</v>
      </c>
      <c r="DD3" s="253" t="s">
        <v>380</v>
      </c>
    </row>
    <row r="4" spans="1:108">
      <c r="A4" s="13">
        <v>5360</v>
      </c>
      <c r="B4" s="13" t="s">
        <v>434</v>
      </c>
      <c r="C4" s="13" t="s">
        <v>435</v>
      </c>
      <c r="D4" s="13" t="s">
        <v>436</v>
      </c>
      <c r="E4" s="13" t="s">
        <v>437</v>
      </c>
      <c r="F4" s="14">
        <v>95.554866666666697</v>
      </c>
      <c r="G4" s="13">
        <v>90.41</v>
      </c>
      <c r="H4" s="13">
        <v>93.41</v>
      </c>
      <c r="I4" s="13">
        <v>95.69</v>
      </c>
      <c r="J4" s="14">
        <v>66.501443996238592</v>
      </c>
      <c r="K4" s="14">
        <v>75.94250982080851</v>
      </c>
      <c r="L4" s="14">
        <v>81.456849399963701</v>
      </c>
      <c r="M4" s="14">
        <v>75.050200000000004</v>
      </c>
      <c r="N4" s="14">
        <f t="shared" si="0"/>
        <v>93.766216666666665</v>
      </c>
      <c r="O4" s="14">
        <f t="shared" si="1"/>
        <v>74.737750804252698</v>
      </c>
      <c r="P4" s="14">
        <f t="shared" ref="P4:P67" si="16">IFERROR(AVERAGE(N4:O4),"N.D.")</f>
        <v>84.251983735459675</v>
      </c>
      <c r="Q4" s="14">
        <v>0</v>
      </c>
      <c r="R4" s="17">
        <f t="shared" si="2"/>
        <v>100</v>
      </c>
      <c r="S4" s="14">
        <f t="shared" ref="S4:S67" si="17">IFERROR((0.1+(1-0.1)*(R4%-0)/(1-0)),"N.D.")</f>
        <v>1</v>
      </c>
      <c r="T4" s="13">
        <v>0</v>
      </c>
      <c r="U4" s="13">
        <f t="shared" ref="U4:U67" si="18">$P4*$S4</f>
        <v>84.251983735459675</v>
      </c>
      <c r="V4" s="13">
        <f>IF($T4=1,$AU4,(VLOOKUP(U4,'Cortes naturales'!$A$35:$C$39,3,9)))</f>
        <v>1</v>
      </c>
      <c r="W4" s="13">
        <v>1</v>
      </c>
      <c r="X4" s="14" t="b">
        <f t="shared" si="3"/>
        <v>1</v>
      </c>
      <c r="Y4" s="17">
        <f>IF($T4=1,$AU4,VLOOKUP(U4,'Cortes naturales'!$A$45:$C$49,3,9))</f>
        <v>1</v>
      </c>
      <c r="Z4" s="14">
        <v>83.806883784421984</v>
      </c>
      <c r="AA4" s="14">
        <v>1</v>
      </c>
      <c r="AB4" s="14">
        <v>83.806883784421984</v>
      </c>
      <c r="AC4" s="13">
        <v>1</v>
      </c>
      <c r="AD4" s="13">
        <f t="shared" si="4"/>
        <v>0</v>
      </c>
      <c r="AE4" s="14">
        <f t="shared" si="5"/>
        <v>0.44509995103769029</v>
      </c>
      <c r="AF4" s="14">
        <f t="shared" si="6"/>
        <v>0</v>
      </c>
      <c r="AG4" s="13">
        <f t="shared" si="7"/>
        <v>0.44509995103769029</v>
      </c>
      <c r="AH4" s="13">
        <f>IF($T4=1,$AU4,VLOOKUP(U4,'Cortes naturales'!$A$25:$C$29,3,9))</f>
        <v>1</v>
      </c>
      <c r="AI4" s="13" t="b">
        <f t="shared" si="8"/>
        <v>1</v>
      </c>
      <c r="AJ4" s="13">
        <f t="shared" ref="AJ4:AJ66" si="19">IF(AD4=0,0,IF(AI4=TRUE,"Efecto ponderador","Cambio en corte"))</f>
        <v>0</v>
      </c>
      <c r="AK4" s="28">
        <v>1.1166517821440873</v>
      </c>
      <c r="AL4" s="28">
        <v>93.583106133817225</v>
      </c>
      <c r="AM4" s="28">
        <v>1</v>
      </c>
      <c r="AN4" s="13">
        <v>1</v>
      </c>
      <c r="AO4" s="33">
        <f t="shared" si="9"/>
        <v>0</v>
      </c>
      <c r="AP4" s="13">
        <f t="shared" ref="AP4:AP67" si="20">IFERROR(AM4*100,"N.D")</f>
        <v>100</v>
      </c>
      <c r="AQ4" s="13">
        <f>IFERROR(VLOOKUP(U4,'Cortes naturales'!$E$15:$G$19,3,9),U4)</f>
        <v>1</v>
      </c>
      <c r="AR4" s="28">
        <f t="shared" si="10"/>
        <v>-0.11665178214408733</v>
      </c>
      <c r="AS4" s="13" t="b">
        <f t="shared" si="11"/>
        <v>1</v>
      </c>
      <c r="AT4" s="13">
        <f t="shared" ref="AT4:AT67" si="21">IF(AO4=0,0,IF(AS4=TRUE,"Efecto ponderador","Cambio en corte"))</f>
        <v>0</v>
      </c>
      <c r="AU4" s="13">
        <v>1</v>
      </c>
      <c r="AV4">
        <f t="shared" si="12"/>
        <v>0</v>
      </c>
      <c r="AW4" s="13">
        <v>0</v>
      </c>
      <c r="AX4" s="13">
        <v>1</v>
      </c>
      <c r="AY4" s="13">
        <v>0</v>
      </c>
      <c r="AZ4" s="13">
        <v>0</v>
      </c>
      <c r="BA4">
        <v>0</v>
      </c>
      <c r="BB4" t="s">
        <v>2838</v>
      </c>
      <c r="BC4">
        <v>1</v>
      </c>
      <c r="BD4" s="184" t="s">
        <v>2917</v>
      </c>
      <c r="BE4">
        <v>1</v>
      </c>
      <c r="BF4" s="232" t="s">
        <v>2845</v>
      </c>
      <c r="BG4" s="232" t="s">
        <v>2845</v>
      </c>
      <c r="BH4" s="253">
        <v>10.9</v>
      </c>
      <c r="BI4" s="253">
        <v>3.9464629782548859</v>
      </c>
      <c r="BJ4" s="25">
        <v>2.1469971753123231</v>
      </c>
      <c r="BK4" t="s">
        <v>381</v>
      </c>
      <c r="BL4">
        <v>0.39742278744766085</v>
      </c>
      <c r="BM4" t="s">
        <v>383</v>
      </c>
      <c r="BN4" s="322">
        <v>902895.88045499998</v>
      </c>
      <c r="BO4" s="322">
        <v>426044.06998700002</v>
      </c>
      <c r="BP4" s="10">
        <v>302075</v>
      </c>
      <c r="BQ4" s="254">
        <f t="shared" si="13"/>
        <v>2.9889791623106845</v>
      </c>
      <c r="BR4" s="254">
        <f t="shared" si="14"/>
        <v>1.410391690762228</v>
      </c>
      <c r="BS4" s="25">
        <v>69.539277100476568</v>
      </c>
      <c r="BT4" s="25">
        <v>97.518746666666672</v>
      </c>
      <c r="BU4" s="25">
        <v>76.00333333333333</v>
      </c>
      <c r="BV4" s="25">
        <v>83.846053837698435</v>
      </c>
      <c r="BW4" s="25">
        <v>79.745856883980451</v>
      </c>
      <c r="BX4" s="25">
        <v>81.726852734543755</v>
      </c>
      <c r="BY4" s="25">
        <v>81.191779591245449</v>
      </c>
      <c r="BZ4">
        <v>2</v>
      </c>
      <c r="CA4">
        <v>0</v>
      </c>
      <c r="CB4">
        <v>4</v>
      </c>
      <c r="CC4">
        <v>1950.7853339999999</v>
      </c>
      <c r="CD4" s="10">
        <v>329.32504</v>
      </c>
      <c r="CE4" s="255">
        <v>0.16881664745999161</v>
      </c>
      <c r="CF4" t="str">
        <f>IFERROR(VLOOKUP(CE4,'Rangos amb etnico'!$A$2:$C$6,3,9),"N.D.")</f>
        <v>0,1% - 30%</v>
      </c>
      <c r="CG4" s="256">
        <v>9.5813068587517301E-6</v>
      </c>
      <c r="CH4" s="232">
        <v>0</v>
      </c>
      <c r="CI4" s="311">
        <f t="shared" ref="CI4:CI67" si="22">IFERROR(CH4/CC4,"N.D.")</f>
        <v>0</v>
      </c>
      <c r="CJ4" s="232">
        <f>IFERROR(VLOOKUP(CI4,'Rangos amb etnico'!$A$2:$C$6,3,9),"N.D.")</f>
        <v>0</v>
      </c>
      <c r="CK4" s="311">
        <f t="shared" ref="CK4:CK67" si="23">IFERROR(CH4/$CH$1,"N.D.")</f>
        <v>0</v>
      </c>
      <c r="CL4" s="10">
        <v>0</v>
      </c>
      <c r="CM4" s="255">
        <f t="shared" ref="CM4:CM67" si="24">IFERROR(CL4/CC4,"N.D.")</f>
        <v>0</v>
      </c>
      <c r="CN4" s="232">
        <f>IFERROR(VLOOKUP(CM4,'Rangos amb etnico'!$A$2:$C$6,3,9),"N.D.")</f>
        <v>0</v>
      </c>
      <c r="CO4" s="311">
        <f t="shared" ref="CO4:CO67" si="25">IFERROR(CL4/$CL$1,"N.D.")</f>
        <v>0</v>
      </c>
      <c r="CP4">
        <v>0.95460410876648005</v>
      </c>
      <c r="CQ4" t="s">
        <v>2864</v>
      </c>
      <c r="CR4">
        <f t="shared" si="15"/>
        <v>4</v>
      </c>
      <c r="CS4" t="str">
        <f t="shared" ref="CS4:CS67" si="26">IF(CR4&gt;=3,"Candidato","No es Candidato")</f>
        <v>Candidato</v>
      </c>
      <c r="CT4">
        <v>0</v>
      </c>
      <c r="CU4">
        <v>0</v>
      </c>
      <c r="CV4" s="25">
        <v>68.074935913085938</v>
      </c>
      <c r="CW4" s="25">
        <v>80.604103088378906</v>
      </c>
      <c r="CX4" s="25">
        <v>60.6884765625</v>
      </c>
      <c r="CY4" s="25">
        <v>75.513336181640625</v>
      </c>
      <c r="CZ4" s="25">
        <v>70.26361083984375</v>
      </c>
      <c r="DA4" s="25">
        <v>58.718017578125</v>
      </c>
      <c r="DB4" s="25">
        <v>62.662055969238281</v>
      </c>
      <c r="DC4">
        <v>5267</v>
      </c>
      <c r="DD4" s="253" t="s">
        <v>380</v>
      </c>
    </row>
    <row r="5" spans="1:108">
      <c r="A5" s="13">
        <v>5001</v>
      </c>
      <c r="B5" s="13" t="s">
        <v>438</v>
      </c>
      <c r="C5" s="13" t="s">
        <v>435</v>
      </c>
      <c r="D5" s="13" t="s">
        <v>436</v>
      </c>
      <c r="E5" s="13" t="s">
        <v>439</v>
      </c>
      <c r="F5" s="14">
        <v>98.381821557345603</v>
      </c>
      <c r="G5" s="13">
        <v>85.96</v>
      </c>
      <c r="H5" s="13">
        <v>89.34</v>
      </c>
      <c r="I5" s="13">
        <v>91.13</v>
      </c>
      <c r="J5" s="14">
        <v>80.448674356060337</v>
      </c>
      <c r="K5" s="14">
        <v>71.179987405011389</v>
      </c>
      <c r="L5" s="14">
        <v>69.780159801922764</v>
      </c>
      <c r="M5" s="14">
        <v>69.728300000000004</v>
      </c>
      <c r="N5" s="14">
        <f t="shared" si="0"/>
        <v>91.20295538933641</v>
      </c>
      <c r="O5" s="14">
        <f t="shared" si="1"/>
        <v>72.78428039074862</v>
      </c>
      <c r="P5" s="14">
        <f t="shared" si="16"/>
        <v>81.993617890042515</v>
      </c>
      <c r="Q5" s="14">
        <v>6.063814171625066</v>
      </c>
      <c r="R5" s="17">
        <f t="shared" si="2"/>
        <v>93.936185828374931</v>
      </c>
      <c r="S5" s="14">
        <f t="shared" si="17"/>
        <v>0.94542567245537434</v>
      </c>
      <c r="T5" s="13">
        <v>1</v>
      </c>
      <c r="U5" s="13">
        <f t="shared" si="18"/>
        <v>77.518871330742456</v>
      </c>
      <c r="V5" s="13" t="str">
        <f>IF($T5=1,$AU5,(VLOOKUP(U5,'Cortes naturales'!$A$35:$C$39,3,9)))</f>
        <v>Ciudades grandes</v>
      </c>
      <c r="W5" s="13" t="s">
        <v>371</v>
      </c>
      <c r="X5" s="14" t="b">
        <f t="shared" si="3"/>
        <v>1</v>
      </c>
      <c r="Y5" s="17" t="str">
        <f>IF($T5=1,$AU5,VLOOKUP(U5,'Cortes naturales'!$A$45:$C$49,3,9))</f>
        <v>Ciudades grandes</v>
      </c>
      <c r="Z5" s="14">
        <v>83.913926483900156</v>
      </c>
      <c r="AA5" s="14">
        <v>0.95136035971376331</v>
      </c>
      <c r="AB5" s="14" t="s">
        <v>371</v>
      </c>
      <c r="AC5" s="13" t="s">
        <v>371</v>
      </c>
      <c r="AD5" s="13">
        <f t="shared" si="4"/>
        <v>0</v>
      </c>
      <c r="AE5" s="14">
        <f t="shared" si="5"/>
        <v>-1.9203085938576407</v>
      </c>
      <c r="AF5" s="14">
        <f t="shared" si="6"/>
        <v>-5.9346872583889709E-3</v>
      </c>
      <c r="AG5" s="13">
        <f t="shared" si="7"/>
        <v>0</v>
      </c>
      <c r="AH5" s="13" t="str">
        <f>IF($T5=1,$AU5,VLOOKUP(U5,'Cortes naturales'!$A$25:$C$29,3,9))</f>
        <v>Ciudades grandes</v>
      </c>
      <c r="AI5" s="13" t="b">
        <f t="shared" si="8"/>
        <v>1</v>
      </c>
      <c r="AJ5" s="13">
        <f t="shared" si="19"/>
        <v>0</v>
      </c>
      <c r="AK5" s="28" t="s">
        <v>440</v>
      </c>
      <c r="AL5" s="28" t="s">
        <v>380</v>
      </c>
      <c r="AM5" s="28" t="s">
        <v>380</v>
      </c>
      <c r="AN5" s="13" t="s">
        <v>371</v>
      </c>
      <c r="AO5" s="33">
        <f t="shared" si="9"/>
        <v>0</v>
      </c>
      <c r="AP5" s="13" t="str">
        <f t="shared" si="20"/>
        <v>N.D</v>
      </c>
      <c r="AQ5" s="13">
        <f>IFERROR(VLOOKUP(U5,'Cortes naturales'!$E$15:$G$19,3,9),U5)</f>
        <v>1</v>
      </c>
      <c r="AR5" s="28" t="str">
        <f t="shared" si="10"/>
        <v>N.D.</v>
      </c>
      <c r="AS5" s="13" t="b">
        <f t="shared" si="11"/>
        <v>0</v>
      </c>
      <c r="AT5" s="13">
        <f t="shared" si="21"/>
        <v>0</v>
      </c>
      <c r="AU5" s="13" t="s">
        <v>371</v>
      </c>
      <c r="AV5">
        <f t="shared" si="12"/>
        <v>0</v>
      </c>
      <c r="AW5" s="13">
        <v>1</v>
      </c>
      <c r="AX5" s="13">
        <v>0</v>
      </c>
      <c r="AY5" s="13">
        <v>1</v>
      </c>
      <c r="AZ5" s="13">
        <v>0</v>
      </c>
      <c r="BA5">
        <v>0</v>
      </c>
      <c r="BB5" t="s">
        <v>2838</v>
      </c>
      <c r="BC5" t="s">
        <v>368</v>
      </c>
      <c r="BD5" t="s">
        <v>2918</v>
      </c>
      <c r="BE5">
        <v>1</v>
      </c>
      <c r="BF5" s="232" t="s">
        <v>2845</v>
      </c>
      <c r="BG5" s="232" t="s">
        <v>2845</v>
      </c>
      <c r="BH5" s="253">
        <v>12.8</v>
      </c>
      <c r="BI5" s="253">
        <v>5.2303986649721734</v>
      </c>
      <c r="BJ5" s="25">
        <v>0.78047611929398752</v>
      </c>
      <c r="BK5" t="s">
        <v>381</v>
      </c>
      <c r="BL5">
        <v>2.0488425509532897</v>
      </c>
      <c r="BM5" t="s">
        <v>383</v>
      </c>
      <c r="BN5" s="322">
        <v>9550875.4344609994</v>
      </c>
      <c r="BO5" s="322">
        <v>3430336.0564140002</v>
      </c>
      <c r="BP5" s="10">
        <v>2524747</v>
      </c>
      <c r="BQ5" s="254">
        <f t="shared" si="13"/>
        <v>3.7829039640253059</v>
      </c>
      <c r="BR5" s="254">
        <f t="shared" si="14"/>
        <v>1.3586850707868947</v>
      </c>
      <c r="BS5" s="25">
        <v>74.203797603667667</v>
      </c>
      <c r="BT5" s="25">
        <v>94.438254095994139</v>
      </c>
      <c r="BU5" s="25">
        <v>75.25</v>
      </c>
      <c r="BV5" s="25">
        <v>65.948975667064744</v>
      </c>
      <c r="BW5" s="25">
        <v>81.664919374740563</v>
      </c>
      <c r="BX5" s="25">
        <v>77.460256841681641</v>
      </c>
      <c r="BY5" s="25">
        <v>83.328871928234747</v>
      </c>
      <c r="BZ5">
        <v>2</v>
      </c>
      <c r="CA5">
        <v>1</v>
      </c>
      <c r="CB5">
        <v>2</v>
      </c>
      <c r="CC5">
        <v>37344.041565</v>
      </c>
      <c r="CD5" s="10">
        <v>16634.454302999999</v>
      </c>
      <c r="CE5" s="255">
        <v>0.44543797633811355</v>
      </c>
      <c r="CF5" t="str">
        <f>IFERROR(VLOOKUP(CE5,'Rangos amb etnico'!$A$2:$C$6,3,9),"N.D.")</f>
        <v>31% - 50%</v>
      </c>
      <c r="CG5" s="256">
        <v>4.839589819982292E-4</v>
      </c>
      <c r="CH5" s="232">
        <v>0</v>
      </c>
      <c r="CI5" s="311">
        <f t="shared" si="22"/>
        <v>0</v>
      </c>
      <c r="CJ5" s="232">
        <f>IFERROR(VLOOKUP(CI5,'Rangos amb etnico'!$A$2:$C$6,3,9),"N.D.")</f>
        <v>0</v>
      </c>
      <c r="CK5" s="311">
        <f t="shared" si="23"/>
        <v>0</v>
      </c>
      <c r="CL5" s="10">
        <v>0</v>
      </c>
      <c r="CM5" s="255">
        <f t="shared" si="24"/>
        <v>0</v>
      </c>
      <c r="CN5" s="232">
        <f>IFERROR(VLOOKUP(CM5,'Rangos amb etnico'!$A$2:$C$6,3,9),"N.D.")</f>
        <v>0</v>
      </c>
      <c r="CO5" s="311">
        <f t="shared" si="25"/>
        <v>0</v>
      </c>
      <c r="CP5">
        <v>0.84780799650573269</v>
      </c>
      <c r="CQ5" t="s">
        <v>2865</v>
      </c>
      <c r="CR5">
        <f t="shared" si="15"/>
        <v>4</v>
      </c>
      <c r="CS5" t="str">
        <f t="shared" si="26"/>
        <v>Candidato</v>
      </c>
      <c r="CT5">
        <v>0</v>
      </c>
      <c r="CU5">
        <v>0</v>
      </c>
      <c r="CV5" s="25">
        <v>68.814796447753906</v>
      </c>
      <c r="CW5" s="25">
        <v>82.635238647460938</v>
      </c>
      <c r="CX5" s="25">
        <v>66.248359680175781</v>
      </c>
      <c r="CY5" s="25">
        <v>80.744544982910156</v>
      </c>
      <c r="CZ5" s="25">
        <v>81.724357604980469</v>
      </c>
      <c r="DA5" s="25">
        <v>36.872734069824219</v>
      </c>
      <c r="DB5" s="25">
        <v>64.663558959960938</v>
      </c>
      <c r="DC5">
        <v>96904</v>
      </c>
      <c r="DD5" s="253" t="s">
        <v>380</v>
      </c>
    </row>
    <row r="6" spans="1:108" hidden="1">
      <c r="A6" s="13">
        <v>8001</v>
      </c>
      <c r="B6" s="13" t="s">
        <v>441</v>
      </c>
      <c r="C6" s="13" t="s">
        <v>442</v>
      </c>
      <c r="D6" s="13" t="s">
        <v>443</v>
      </c>
      <c r="E6" s="13" t="s">
        <v>444</v>
      </c>
      <c r="F6" s="14">
        <v>89.114699999999999</v>
      </c>
      <c r="G6" s="13">
        <v>82.38</v>
      </c>
      <c r="H6" s="13">
        <v>82.84</v>
      </c>
      <c r="I6" s="13">
        <v>84.07</v>
      </c>
      <c r="J6" s="14">
        <v>59.14951482607708</v>
      </c>
      <c r="K6" s="14">
        <v>75.702898328320217</v>
      </c>
      <c r="L6" s="14">
        <v>72.664147104551546</v>
      </c>
      <c r="M6" s="14">
        <v>75.541799999999995</v>
      </c>
      <c r="N6" s="14">
        <f t="shared" si="0"/>
        <v>84.601174999999998</v>
      </c>
      <c r="O6" s="14">
        <f t="shared" si="1"/>
        <v>70.764590064737206</v>
      </c>
      <c r="P6" s="14">
        <f t="shared" si="16"/>
        <v>77.682882532368609</v>
      </c>
      <c r="Q6" s="14">
        <v>10.899140753383474</v>
      </c>
      <c r="R6" s="17">
        <f t="shared" si="2"/>
        <v>89.100859246616523</v>
      </c>
      <c r="S6" s="14">
        <f t="shared" si="17"/>
        <v>0.90190773321954876</v>
      </c>
      <c r="T6" s="13">
        <v>1</v>
      </c>
      <c r="U6" s="13">
        <f t="shared" si="18"/>
        <v>70.062792494729052</v>
      </c>
      <c r="V6" s="13" t="str">
        <f>IF($T6=1,$AU6,(VLOOKUP(U6,'Cortes naturales'!$A$35:$C$39,3,9)))</f>
        <v>Ciudades grandes</v>
      </c>
      <c r="W6" s="13" t="s">
        <v>371</v>
      </c>
      <c r="X6" s="14" t="b">
        <f t="shared" si="3"/>
        <v>1</v>
      </c>
      <c r="Y6" s="17" t="str">
        <f>IF($T6=1,$AU6,VLOOKUP(U6,'Cortes naturales'!$A$45:$C$49,3,9))</f>
        <v>Ciudades grandes</v>
      </c>
      <c r="Z6" s="14">
        <v>76.898832860970387</v>
      </c>
      <c r="AA6" s="14">
        <v>0.92558063018985015</v>
      </c>
      <c r="AB6" s="14" t="s">
        <v>371</v>
      </c>
      <c r="AC6" s="13" t="s">
        <v>371</v>
      </c>
      <c r="AD6" s="13">
        <f t="shared" si="4"/>
        <v>0</v>
      </c>
      <c r="AE6" s="14">
        <f t="shared" si="5"/>
        <v>0.7840496713982219</v>
      </c>
      <c r="AF6" s="14">
        <f t="shared" si="6"/>
        <v>-2.3672896970301394E-2</v>
      </c>
      <c r="AG6" s="13">
        <f t="shared" si="7"/>
        <v>0</v>
      </c>
      <c r="AH6" s="13" t="str">
        <f>IF($T6=1,$AU6,VLOOKUP(U6,'Cortes naturales'!$A$25:$C$29,3,9))</f>
        <v>Ciudades grandes</v>
      </c>
      <c r="AI6" s="13" t="b">
        <f t="shared" si="8"/>
        <v>1</v>
      </c>
      <c r="AJ6" s="13">
        <f t="shared" si="19"/>
        <v>0</v>
      </c>
      <c r="AK6" s="28" t="s">
        <v>440</v>
      </c>
      <c r="AL6" s="28" t="s">
        <v>380</v>
      </c>
      <c r="AM6" s="28" t="s">
        <v>380</v>
      </c>
      <c r="AN6" s="13" t="s">
        <v>371</v>
      </c>
      <c r="AO6" s="33">
        <f t="shared" si="9"/>
        <v>0</v>
      </c>
      <c r="AP6" s="13" t="str">
        <f t="shared" si="20"/>
        <v>N.D</v>
      </c>
      <c r="AQ6" s="13">
        <f>IFERROR(VLOOKUP(U6,'Cortes naturales'!$E$15:$G$19,3,9),U6)</f>
        <v>1</v>
      </c>
      <c r="AR6" s="28" t="str">
        <f t="shared" si="10"/>
        <v>N.D.</v>
      </c>
      <c r="AS6" s="13" t="b">
        <f t="shared" si="11"/>
        <v>0</v>
      </c>
      <c r="AT6" s="13">
        <f t="shared" si="21"/>
        <v>0</v>
      </c>
      <c r="AU6" s="13" t="s">
        <v>371</v>
      </c>
      <c r="AV6">
        <f t="shared" si="12"/>
        <v>0</v>
      </c>
      <c r="AW6" s="13">
        <v>1</v>
      </c>
      <c r="AX6" s="13">
        <v>0</v>
      </c>
      <c r="AY6" s="13">
        <v>1</v>
      </c>
      <c r="AZ6" s="13">
        <v>0</v>
      </c>
      <c r="BA6">
        <v>0</v>
      </c>
      <c r="BB6" t="s">
        <v>2838</v>
      </c>
      <c r="BC6" t="s">
        <v>368</v>
      </c>
      <c r="BD6" t="s">
        <v>2918</v>
      </c>
      <c r="BE6">
        <v>1</v>
      </c>
      <c r="BF6" s="232" t="s">
        <v>2845</v>
      </c>
      <c r="BG6" s="232" t="s">
        <v>2845</v>
      </c>
      <c r="BH6" s="253">
        <v>17.399999999999999</v>
      </c>
      <c r="BI6" s="253">
        <v>9.1020089825995747</v>
      </c>
      <c r="BJ6" s="25">
        <v>0</v>
      </c>
      <c r="BK6" t="s">
        <v>381</v>
      </c>
      <c r="BL6">
        <v>2.6109685681517414</v>
      </c>
      <c r="BM6" t="s">
        <v>383</v>
      </c>
      <c r="BN6" s="322">
        <v>5000441.0233610002</v>
      </c>
      <c r="BO6" s="322">
        <v>2239620.6855870001</v>
      </c>
      <c r="BP6" s="10">
        <v>1279120</v>
      </c>
      <c r="BQ6" s="254">
        <f t="shared" si="13"/>
        <v>3.909282181000219</v>
      </c>
      <c r="BR6" s="254">
        <f t="shared" si="14"/>
        <v>1.7509074094588468</v>
      </c>
      <c r="BS6" s="25">
        <v>71.689301828448777</v>
      </c>
      <c r="BT6" s="25">
        <v>97.980080180837774</v>
      </c>
      <c r="BU6" s="25">
        <v>62.02</v>
      </c>
      <c r="BV6" s="25">
        <v>77.586168818027261</v>
      </c>
      <c r="BW6" s="25">
        <v>80.030845331687999</v>
      </c>
      <c r="BX6" s="25">
        <v>77.318887706828463</v>
      </c>
      <c r="BY6" s="25">
        <v>82.028569633310383</v>
      </c>
      <c r="BZ6">
        <v>5</v>
      </c>
      <c r="CA6">
        <v>1</v>
      </c>
      <c r="CB6">
        <v>2</v>
      </c>
      <c r="CC6">
        <v>15379.129488</v>
      </c>
      <c r="CD6" s="10">
        <v>1011.017048</v>
      </c>
      <c r="CE6" s="255">
        <v>6.573954974427354E-2</v>
      </c>
      <c r="CF6" t="str">
        <f>IFERROR(VLOOKUP(CE6,'Rangos amb etnico'!$A$2:$C$6,3,9),"N.D.")</f>
        <v>0,1% - 30%</v>
      </c>
      <c r="CG6" s="256">
        <v>2.9414297122129939E-5</v>
      </c>
      <c r="CH6" s="232">
        <v>0</v>
      </c>
      <c r="CI6" s="311">
        <f t="shared" si="22"/>
        <v>0</v>
      </c>
      <c r="CJ6" s="232">
        <f>IFERROR(VLOOKUP(CI6,'Rangos amb etnico'!$A$2:$C$6,3,9),"N.D.")</f>
        <v>0</v>
      </c>
      <c r="CK6" s="311">
        <f t="shared" si="23"/>
        <v>0</v>
      </c>
      <c r="CL6" s="10">
        <v>0</v>
      </c>
      <c r="CM6" s="255">
        <f t="shared" si="24"/>
        <v>0</v>
      </c>
      <c r="CN6" s="232">
        <f>IFERROR(VLOOKUP(CM6,'Rangos amb etnico'!$A$2:$C$6,3,9),"N.D.")</f>
        <v>0</v>
      </c>
      <c r="CO6" s="311">
        <f t="shared" si="25"/>
        <v>0</v>
      </c>
      <c r="CP6">
        <v>0.84996819353499986</v>
      </c>
      <c r="CQ6" t="s">
        <v>2865</v>
      </c>
      <c r="CR6">
        <f t="shared" si="15"/>
        <v>4</v>
      </c>
      <c r="CS6" t="str">
        <f t="shared" si="26"/>
        <v>Candidato</v>
      </c>
      <c r="CT6">
        <v>0</v>
      </c>
      <c r="CU6">
        <v>0</v>
      </c>
      <c r="CV6" s="25">
        <v>67.165245056152344</v>
      </c>
      <c r="CW6" s="25">
        <v>78.817634582519531</v>
      </c>
      <c r="CX6" s="25">
        <v>64.449249267578125</v>
      </c>
      <c r="CY6" s="25">
        <v>82.9056396484375</v>
      </c>
      <c r="CZ6" s="25">
        <v>66.365158081054688</v>
      </c>
      <c r="DA6" s="25">
        <v>33.344860076904297</v>
      </c>
      <c r="DB6" s="25">
        <v>77.10894775390625</v>
      </c>
      <c r="DC6">
        <v>97288</v>
      </c>
      <c r="DD6" s="253" t="s">
        <v>380</v>
      </c>
    </row>
    <row r="7" spans="1:108" hidden="1">
      <c r="A7" s="13">
        <v>8758</v>
      </c>
      <c r="B7" s="13" t="s">
        <v>445</v>
      </c>
      <c r="C7" s="13" t="s">
        <v>442</v>
      </c>
      <c r="D7" s="13" t="s">
        <v>443</v>
      </c>
      <c r="E7" s="13" t="s">
        <v>446</v>
      </c>
      <c r="F7" s="14">
        <v>56.134266666666697</v>
      </c>
      <c r="G7" s="13">
        <v>56.34</v>
      </c>
      <c r="H7" s="13">
        <v>61.74</v>
      </c>
      <c r="I7" s="13">
        <v>68.989999999999995</v>
      </c>
      <c r="J7" s="14">
        <v>61.028939755525542</v>
      </c>
      <c r="K7" s="14">
        <v>65.730071374051647</v>
      </c>
      <c r="L7" s="14">
        <v>64.871141557937023</v>
      </c>
      <c r="M7" s="14">
        <v>58.303400000000003</v>
      </c>
      <c r="N7" s="14">
        <f t="shared" si="0"/>
        <v>60.801066666666671</v>
      </c>
      <c r="O7" s="14">
        <f t="shared" si="1"/>
        <v>62.483388171878559</v>
      </c>
      <c r="P7" s="14">
        <f t="shared" si="16"/>
        <v>61.642227419272615</v>
      </c>
      <c r="Q7" s="14">
        <v>7.6004790433740395</v>
      </c>
      <c r="R7" s="17">
        <f t="shared" si="2"/>
        <v>92.399520956625963</v>
      </c>
      <c r="S7" s="14">
        <f t="shared" si="17"/>
        <v>0.9315956886096336</v>
      </c>
      <c r="T7" s="13">
        <v>0</v>
      </c>
      <c r="U7" s="13">
        <f t="shared" si="18"/>
        <v>57.425633300088911</v>
      </c>
      <c r="V7" s="13">
        <f>IF($T7=1,$AU7,(VLOOKUP(U7,'Cortes naturales'!$A$35:$C$39,3,9)))</f>
        <v>1</v>
      </c>
      <c r="W7" s="13">
        <v>1</v>
      </c>
      <c r="X7" s="14" t="b">
        <f t="shared" si="3"/>
        <v>1</v>
      </c>
      <c r="Y7" s="17">
        <f>IF($T7=1,$AU7,VLOOKUP(U7,'Cortes naturales'!$A$45:$C$49,3,9))</f>
        <v>1</v>
      </c>
      <c r="Z7" s="14">
        <v>58.735796967301354</v>
      </c>
      <c r="AA7" s="14">
        <v>0.95083954979535357</v>
      </c>
      <c r="AB7" s="14">
        <v>55.848318745260116</v>
      </c>
      <c r="AC7" s="13">
        <v>1</v>
      </c>
      <c r="AD7" s="13">
        <f t="shared" si="4"/>
        <v>0</v>
      </c>
      <c r="AE7" s="14">
        <f t="shared" si="5"/>
        <v>2.9064304519712607</v>
      </c>
      <c r="AF7" s="14">
        <f t="shared" si="6"/>
        <v>-1.9243861185719968E-2</v>
      </c>
      <c r="AG7" s="13">
        <f t="shared" si="7"/>
        <v>1.5773145548287957</v>
      </c>
      <c r="AH7" s="13">
        <f>IF($T7=1,$AU7,VLOOKUP(U7,'Cortes naturales'!$A$25:$C$29,3,9))</f>
        <v>1</v>
      </c>
      <c r="AI7" s="13" t="b">
        <f t="shared" si="8"/>
        <v>1</v>
      </c>
      <c r="AJ7" s="13">
        <f t="shared" si="19"/>
        <v>0</v>
      </c>
      <c r="AK7" s="28">
        <v>1.1166517821440873</v>
      </c>
      <c r="AL7" s="28">
        <v>65.587432359190331</v>
      </c>
      <c r="AM7" s="28">
        <v>0.64980363130118213</v>
      </c>
      <c r="AN7" s="13">
        <v>1</v>
      </c>
      <c r="AO7" s="33">
        <f t="shared" si="9"/>
        <v>0</v>
      </c>
      <c r="AP7" s="13">
        <f t="shared" si="20"/>
        <v>64.980363130118207</v>
      </c>
      <c r="AQ7" s="13">
        <f>IFERROR(VLOOKUP(U7,'Cortes naturales'!$E$15:$G$19,3,9),U7)</f>
        <v>2</v>
      </c>
      <c r="AR7" s="28">
        <f t="shared" si="10"/>
        <v>-0.18505609353445374</v>
      </c>
      <c r="AS7" s="13" t="b">
        <f t="shared" si="11"/>
        <v>0</v>
      </c>
      <c r="AT7" s="13">
        <f t="shared" si="21"/>
        <v>0</v>
      </c>
      <c r="AU7" s="13">
        <v>1</v>
      </c>
      <c r="AV7">
        <f t="shared" si="12"/>
        <v>0</v>
      </c>
      <c r="AW7" s="13">
        <v>0</v>
      </c>
      <c r="AX7" s="13">
        <v>1</v>
      </c>
      <c r="AY7" s="13">
        <v>0</v>
      </c>
      <c r="AZ7" s="13">
        <v>0</v>
      </c>
      <c r="BA7">
        <v>0</v>
      </c>
      <c r="BB7" t="s">
        <v>2838</v>
      </c>
      <c r="BC7">
        <v>2</v>
      </c>
      <c r="BD7" s="184" t="s">
        <v>2917</v>
      </c>
      <c r="BE7">
        <v>1</v>
      </c>
      <c r="BF7" s="232" t="s">
        <v>2845</v>
      </c>
      <c r="BG7" s="232" t="s">
        <v>2845</v>
      </c>
      <c r="BH7" s="253">
        <v>18.600000000000001</v>
      </c>
      <c r="BI7" s="253">
        <v>8.0259279104023413</v>
      </c>
      <c r="BJ7" s="25">
        <v>0</v>
      </c>
      <c r="BK7" t="s">
        <v>381</v>
      </c>
      <c r="BL7">
        <v>2.876588318069345</v>
      </c>
      <c r="BM7" t="s">
        <v>383</v>
      </c>
      <c r="BN7" s="322">
        <v>1112596.8917149999</v>
      </c>
      <c r="BO7" s="322">
        <v>146529.02609500001</v>
      </c>
      <c r="BP7" s="10">
        <v>710269</v>
      </c>
      <c r="BQ7" s="254">
        <f t="shared" si="13"/>
        <v>1.5664443917938131</v>
      </c>
      <c r="BR7" s="254">
        <f t="shared" si="14"/>
        <v>0.20630074816020411</v>
      </c>
      <c r="BS7" s="25">
        <v>69.606545858183665</v>
      </c>
      <c r="BT7" s="25">
        <v>94.939580761547191</v>
      </c>
      <c r="BU7" s="25">
        <v>72.14</v>
      </c>
      <c r="BV7" s="25">
        <v>86.69421358879498</v>
      </c>
      <c r="BW7" s="25">
        <v>51.871683764531276</v>
      </c>
      <c r="BX7" s="25">
        <v>80.845085052131452</v>
      </c>
      <c r="BY7" s="25">
        <v>55.762907255736089</v>
      </c>
      <c r="BZ7">
        <v>5</v>
      </c>
      <c r="CA7">
        <v>0</v>
      </c>
      <c r="CB7">
        <v>4</v>
      </c>
      <c r="CC7">
        <v>5912.7992489999997</v>
      </c>
      <c r="CD7" s="10">
        <v>214.65680900000001</v>
      </c>
      <c r="CE7" s="255">
        <v>3.6303753934535117E-2</v>
      </c>
      <c r="CF7" t="str">
        <f>IFERROR(VLOOKUP(CE7,'Rangos amb etnico'!$A$2:$C$6,3,9),"N.D.")</f>
        <v>0,1% - 30%</v>
      </c>
      <c r="CG7" s="256">
        <v>6.2451757581186662E-6</v>
      </c>
      <c r="CH7" s="232">
        <v>0</v>
      </c>
      <c r="CI7" s="311">
        <f t="shared" si="22"/>
        <v>0</v>
      </c>
      <c r="CJ7" s="232">
        <f>IFERROR(VLOOKUP(CI7,'Rangos amb etnico'!$A$2:$C$6,3,9),"N.D.")</f>
        <v>0</v>
      </c>
      <c r="CK7" s="311">
        <f t="shared" si="23"/>
        <v>0</v>
      </c>
      <c r="CL7" s="10">
        <v>0</v>
      </c>
      <c r="CM7" s="255">
        <f t="shared" si="24"/>
        <v>0</v>
      </c>
      <c r="CN7" s="232">
        <f>IFERROR(VLOOKUP(CM7,'Rangos amb etnico'!$A$2:$C$6,3,9),"N.D.")</f>
        <v>0</v>
      </c>
      <c r="CO7" s="311">
        <f t="shared" si="25"/>
        <v>0</v>
      </c>
      <c r="CP7">
        <v>0.94411601005782986</v>
      </c>
      <c r="CQ7" t="s">
        <v>2864</v>
      </c>
      <c r="CR7">
        <f t="shared" si="15"/>
        <v>2</v>
      </c>
      <c r="CS7" t="str">
        <f t="shared" si="26"/>
        <v>No es Candidato</v>
      </c>
      <c r="CT7">
        <v>0</v>
      </c>
      <c r="CU7">
        <v>0</v>
      </c>
      <c r="CV7" s="25">
        <v>58.518070220947273</v>
      </c>
      <c r="CW7" s="25">
        <v>61.053249359130859</v>
      </c>
      <c r="CX7" s="25">
        <v>63.534084320068359</v>
      </c>
      <c r="CY7" s="25">
        <v>81.539031982421875</v>
      </c>
      <c r="CZ7" s="25">
        <v>39.402187347412109</v>
      </c>
      <c r="DA7" s="25">
        <v>51.028335571289063</v>
      </c>
      <c r="DB7" s="25">
        <v>54.551532745361328</v>
      </c>
      <c r="DC7">
        <v>19401</v>
      </c>
      <c r="DD7" s="253" t="s">
        <v>380</v>
      </c>
    </row>
    <row r="8" spans="1:108">
      <c r="A8" s="13">
        <v>5631</v>
      </c>
      <c r="B8" s="13" t="s">
        <v>447</v>
      </c>
      <c r="C8" s="13" t="s">
        <v>435</v>
      </c>
      <c r="D8" s="13" t="s">
        <v>436</v>
      </c>
      <c r="E8" s="13" t="s">
        <v>448</v>
      </c>
      <c r="F8" s="14">
        <v>84.963700000000003</v>
      </c>
      <c r="G8" s="13">
        <v>95.26</v>
      </c>
      <c r="H8" s="13">
        <v>96.47</v>
      </c>
      <c r="I8" s="13">
        <v>97.72</v>
      </c>
      <c r="J8" s="14">
        <v>65.68202080537165</v>
      </c>
      <c r="K8" s="14">
        <v>74.49339264966541</v>
      </c>
      <c r="L8" s="14">
        <v>59.008566253040605</v>
      </c>
      <c r="M8" s="14">
        <v>73.076400000000007</v>
      </c>
      <c r="N8" s="14">
        <f t="shared" si="0"/>
        <v>93.603425000000016</v>
      </c>
      <c r="O8" s="14">
        <f t="shared" si="1"/>
        <v>68.06509492701943</v>
      </c>
      <c r="P8" s="14">
        <f t="shared" si="16"/>
        <v>80.834259963509723</v>
      </c>
      <c r="Q8" s="14">
        <v>7.0051453780882431</v>
      </c>
      <c r="R8" s="17">
        <f t="shared" si="2"/>
        <v>92.994854621911756</v>
      </c>
      <c r="S8" s="14">
        <f t="shared" si="17"/>
        <v>0.93695369159720587</v>
      </c>
      <c r="T8" s="13">
        <v>0</v>
      </c>
      <c r="U8" s="13">
        <f t="shared" si="18"/>
        <v>75.73795828033866</v>
      </c>
      <c r="V8" s="13">
        <f>IF($T8=1,$AU8,(VLOOKUP(U8,'Cortes naturales'!$A$35:$C$39,3,9)))</f>
        <v>1</v>
      </c>
      <c r="W8" s="13">
        <v>1</v>
      </c>
      <c r="X8" s="14" t="b">
        <f t="shared" si="3"/>
        <v>1</v>
      </c>
      <c r="Y8" s="17">
        <f>IF($T8=1,$AU8,VLOOKUP(U8,'Cortes naturales'!$A$45:$C$49,3,9))</f>
        <v>1</v>
      </c>
      <c r="Z8" s="14">
        <v>76.771487435173157</v>
      </c>
      <c r="AA8" s="14">
        <v>0.9247507566981269</v>
      </c>
      <c r="AB8" s="14">
        <v>70.994491098517116</v>
      </c>
      <c r="AC8" s="13">
        <v>1</v>
      </c>
      <c r="AD8" s="13">
        <f t="shared" si="4"/>
        <v>0</v>
      </c>
      <c r="AE8" s="14">
        <f t="shared" si="5"/>
        <v>4.0627725283365663</v>
      </c>
      <c r="AF8" s="14">
        <f t="shared" si="6"/>
        <v>1.2202934899078977E-2</v>
      </c>
      <c r="AG8" s="13">
        <f t="shared" si="7"/>
        <v>4.7434671818215435</v>
      </c>
      <c r="AH8" s="13">
        <f>IF($T8=1,$AU8,VLOOKUP(U8,'Cortes naturales'!$A$25:$C$29,3,9))</f>
        <v>1</v>
      </c>
      <c r="AI8" s="13" t="b">
        <f t="shared" si="8"/>
        <v>1</v>
      </c>
      <c r="AJ8" s="13">
        <f t="shared" si="19"/>
        <v>0</v>
      </c>
      <c r="AK8" s="28">
        <v>1.1166517821440873</v>
      </c>
      <c r="AL8" s="28">
        <v>85.727018262338518</v>
      </c>
      <c r="AM8" s="28">
        <v>0.90172862182498636</v>
      </c>
      <c r="AN8" s="13">
        <v>1</v>
      </c>
      <c r="AO8" s="33">
        <f t="shared" si="9"/>
        <v>0</v>
      </c>
      <c r="AP8" s="13">
        <f t="shared" si="20"/>
        <v>90.172862182498633</v>
      </c>
      <c r="AQ8" s="13">
        <f>IFERROR(VLOOKUP(U8,'Cortes naturales'!$E$15:$G$19,3,9),U8)</f>
        <v>1</v>
      </c>
      <c r="AR8" s="28">
        <f t="shared" si="10"/>
        <v>-0.17969809054688146</v>
      </c>
      <c r="AS8" s="13" t="b">
        <f t="shared" si="11"/>
        <v>1</v>
      </c>
      <c r="AT8" s="13">
        <f t="shared" si="21"/>
        <v>0</v>
      </c>
      <c r="AU8" s="13">
        <v>1</v>
      </c>
      <c r="AV8">
        <f t="shared" si="12"/>
        <v>0</v>
      </c>
      <c r="AW8" s="13">
        <v>0</v>
      </c>
      <c r="AX8" s="13">
        <v>1</v>
      </c>
      <c r="AY8" s="13">
        <v>0</v>
      </c>
      <c r="AZ8" s="13">
        <v>0</v>
      </c>
      <c r="BA8">
        <v>0</v>
      </c>
      <c r="BB8" t="s">
        <v>2838</v>
      </c>
      <c r="BC8">
        <v>1</v>
      </c>
      <c r="BD8" s="184" t="s">
        <v>2917</v>
      </c>
      <c r="BE8">
        <v>1</v>
      </c>
      <c r="BF8" s="232" t="s">
        <v>2845</v>
      </c>
      <c r="BG8" s="232" t="s">
        <v>2845</v>
      </c>
      <c r="BH8" s="253">
        <v>4.5</v>
      </c>
      <c r="BI8" s="253">
        <v>1.5913267181183388</v>
      </c>
      <c r="BJ8" s="25">
        <v>2.1382319697525305</v>
      </c>
      <c r="BK8" t="s">
        <v>381</v>
      </c>
      <c r="BL8">
        <v>0.19130905538791365</v>
      </c>
      <c r="BM8" t="s">
        <v>377</v>
      </c>
      <c r="BN8" s="322">
        <v>353719.01565100002</v>
      </c>
      <c r="BO8" s="322">
        <v>205643.61556800001</v>
      </c>
      <c r="BP8" s="10">
        <v>103765</v>
      </c>
      <c r="BQ8" s="254">
        <f t="shared" si="13"/>
        <v>3.4088470645304296</v>
      </c>
      <c r="BR8" s="254">
        <f t="shared" si="14"/>
        <v>1.9818206097238955</v>
      </c>
      <c r="BS8" s="25">
        <v>80.241272863424896</v>
      </c>
      <c r="BT8" s="25">
        <v>89.936949443775191</v>
      </c>
      <c r="BU8" s="25">
        <v>82.171666666666667</v>
      </c>
      <c r="BV8" s="25">
        <v>79.395730019100782</v>
      </c>
      <c r="BW8" s="25">
        <v>74.802432431362845</v>
      </c>
      <c r="BX8" s="25">
        <v>82.936404748241884</v>
      </c>
      <c r="BY8" s="25">
        <v>76.043786403247012</v>
      </c>
      <c r="BZ8">
        <v>2</v>
      </c>
      <c r="CA8">
        <v>0</v>
      </c>
      <c r="CB8">
        <v>5</v>
      </c>
      <c r="CC8">
        <v>1573.2851519999999</v>
      </c>
      <c r="CD8" s="10">
        <v>0</v>
      </c>
      <c r="CE8" s="255">
        <v>0</v>
      </c>
      <c r="CF8">
        <f>IFERROR(VLOOKUP(CE8,'Rangos amb etnico'!$A$2:$C$6,3,9),"N.D.")</f>
        <v>0</v>
      </c>
      <c r="CG8" s="256">
        <v>0</v>
      </c>
      <c r="CH8" s="232">
        <v>0</v>
      </c>
      <c r="CI8" s="311">
        <f t="shared" si="22"/>
        <v>0</v>
      </c>
      <c r="CJ8" s="232">
        <f>IFERROR(VLOOKUP(CI8,'Rangos amb etnico'!$A$2:$C$6,3,9),"N.D.")</f>
        <v>0</v>
      </c>
      <c r="CK8" s="311">
        <f t="shared" si="23"/>
        <v>0</v>
      </c>
      <c r="CL8" s="10">
        <v>0</v>
      </c>
      <c r="CM8" s="255">
        <f t="shared" si="24"/>
        <v>0</v>
      </c>
      <c r="CN8" s="232">
        <f>IFERROR(VLOOKUP(CM8,'Rangos amb etnico'!$A$2:$C$6,3,9),"N.D.")</f>
        <v>0</v>
      </c>
      <c r="CO8" s="311">
        <f t="shared" si="25"/>
        <v>0</v>
      </c>
      <c r="CP8">
        <v>0.75321415993395546</v>
      </c>
      <c r="CQ8" t="s">
        <v>2865</v>
      </c>
      <c r="CR8">
        <f t="shared" si="15"/>
        <v>4</v>
      </c>
      <c r="CS8" t="str">
        <f t="shared" si="26"/>
        <v>Candidato</v>
      </c>
      <c r="CT8">
        <v>0</v>
      </c>
      <c r="CU8">
        <v>0</v>
      </c>
      <c r="CV8" s="25">
        <v>69.049789428710938</v>
      </c>
      <c r="CW8" s="25">
        <v>67.60748291015625</v>
      </c>
      <c r="CX8" s="25">
        <v>63.241279602050781</v>
      </c>
      <c r="CY8" s="25">
        <v>83.728164672851563</v>
      </c>
      <c r="CZ8" s="25">
        <v>78.044815063476563</v>
      </c>
      <c r="DA8" s="25">
        <v>55.442661285400391</v>
      </c>
      <c r="DB8" s="25">
        <v>66.234344482421875</v>
      </c>
      <c r="DC8">
        <v>947</v>
      </c>
      <c r="DD8" s="253" t="s">
        <v>380</v>
      </c>
    </row>
    <row r="9" spans="1:108">
      <c r="A9" s="13">
        <v>5088</v>
      </c>
      <c r="B9" s="13" t="s">
        <v>449</v>
      </c>
      <c r="C9" s="13" t="s">
        <v>435</v>
      </c>
      <c r="D9" s="13" t="s">
        <v>436</v>
      </c>
      <c r="E9" s="13" t="s">
        <v>450</v>
      </c>
      <c r="F9" s="14">
        <v>96.869668188211193</v>
      </c>
      <c r="G9" s="13">
        <v>88.43</v>
      </c>
      <c r="H9" s="13">
        <v>87.58</v>
      </c>
      <c r="I9" s="13">
        <v>72.959999999999994</v>
      </c>
      <c r="J9" s="14">
        <v>71.156792833747446</v>
      </c>
      <c r="K9" s="14">
        <v>65.988288373102677</v>
      </c>
      <c r="L9" s="14">
        <v>62.55844866684339</v>
      </c>
      <c r="M9" s="14">
        <v>68.392499999999998</v>
      </c>
      <c r="N9" s="14">
        <f t="shared" si="0"/>
        <v>86.459917047052798</v>
      </c>
      <c r="O9" s="14">
        <f t="shared" si="1"/>
        <v>67.024007468423378</v>
      </c>
      <c r="P9" s="14">
        <f t="shared" si="16"/>
        <v>76.741962257738095</v>
      </c>
      <c r="Q9" s="14">
        <v>11.57495705832441</v>
      </c>
      <c r="R9" s="17">
        <f t="shared" si="2"/>
        <v>88.425042941675585</v>
      </c>
      <c r="S9" s="14">
        <f t="shared" si="17"/>
        <v>0.89582538647508025</v>
      </c>
      <c r="T9" s="13">
        <v>0</v>
      </c>
      <c r="U9" s="13">
        <f t="shared" si="18"/>
        <v>68.747397998394248</v>
      </c>
      <c r="V9" s="13">
        <f>IF($T9=1,$AU9,(VLOOKUP(U9,'Cortes naturales'!$A$35:$C$39,3,9)))</f>
        <v>1</v>
      </c>
      <c r="W9" s="13">
        <v>1</v>
      </c>
      <c r="X9" s="14" t="b">
        <f t="shared" si="3"/>
        <v>1</v>
      </c>
      <c r="Y9" s="17">
        <f>IF($T9=1,$AU9,VLOOKUP(U9,'Cortes naturales'!$A$45:$C$49,3,9))</f>
        <v>1</v>
      </c>
      <c r="Z9" s="14">
        <v>77.691728802256307</v>
      </c>
      <c r="AA9" s="14">
        <v>0.8994213779447251</v>
      </c>
      <c r="AB9" s="14">
        <v>69.877601774233256</v>
      </c>
      <c r="AC9" s="13">
        <v>1</v>
      </c>
      <c r="AD9" s="13">
        <f t="shared" si="4"/>
        <v>0</v>
      </c>
      <c r="AE9" s="14">
        <f t="shared" si="5"/>
        <v>-0.94976654451821219</v>
      </c>
      <c r="AF9" s="14">
        <f t="shared" si="6"/>
        <v>-3.5959914696448436E-3</v>
      </c>
      <c r="AG9" s="13">
        <f t="shared" si="7"/>
        <v>-1.1302037758390071</v>
      </c>
      <c r="AH9" s="13">
        <f>IF($T9=1,$AU9,VLOOKUP(U9,'Cortes naturales'!$A$25:$C$29,3,9))</f>
        <v>1</v>
      </c>
      <c r="AI9" s="13" t="b">
        <f t="shared" si="8"/>
        <v>1</v>
      </c>
      <c r="AJ9" s="13">
        <f t="shared" si="19"/>
        <v>0</v>
      </c>
      <c r="AK9" s="28">
        <v>1.1166517821440873</v>
      </c>
      <c r="AL9" s="28">
        <v>86.75460742489463</v>
      </c>
      <c r="AM9" s="28">
        <v>0.91458267906748636</v>
      </c>
      <c r="AN9" s="13">
        <v>1</v>
      </c>
      <c r="AO9" s="33">
        <f t="shared" si="9"/>
        <v>0</v>
      </c>
      <c r="AP9" s="13">
        <f t="shared" si="20"/>
        <v>91.458267906748631</v>
      </c>
      <c r="AQ9" s="13">
        <f>IFERROR(VLOOKUP(U9,'Cortes naturales'!$E$15:$G$19,3,9),U9)</f>
        <v>1</v>
      </c>
      <c r="AR9" s="28">
        <f t="shared" si="10"/>
        <v>-0.22082639566900708</v>
      </c>
      <c r="AS9" s="13" t="b">
        <f t="shared" si="11"/>
        <v>1</v>
      </c>
      <c r="AT9" s="13">
        <f t="shared" si="21"/>
        <v>0</v>
      </c>
      <c r="AU9" s="13">
        <v>1</v>
      </c>
      <c r="AV9">
        <f t="shared" si="12"/>
        <v>0</v>
      </c>
      <c r="AW9" s="13">
        <v>0</v>
      </c>
      <c r="AX9" s="13">
        <v>1</v>
      </c>
      <c r="AY9" s="13">
        <v>0</v>
      </c>
      <c r="AZ9" s="13">
        <v>0</v>
      </c>
      <c r="BA9">
        <v>0</v>
      </c>
      <c r="BB9" t="s">
        <v>2838</v>
      </c>
      <c r="BC9">
        <v>1</v>
      </c>
      <c r="BD9" s="184" t="s">
        <v>2917</v>
      </c>
      <c r="BE9">
        <v>1</v>
      </c>
      <c r="BF9" s="232" t="s">
        <v>2845</v>
      </c>
      <c r="BG9" s="232" t="s">
        <v>2845</v>
      </c>
      <c r="BH9" s="253">
        <v>14.2</v>
      </c>
      <c r="BI9" s="253">
        <v>5.575304609973621</v>
      </c>
      <c r="BJ9" s="25">
        <v>0.19312101910828025</v>
      </c>
      <c r="BK9" t="s">
        <v>381</v>
      </c>
      <c r="BL9">
        <v>1.1099649159613338</v>
      </c>
      <c r="BM9" t="s">
        <v>383</v>
      </c>
      <c r="BN9" s="322">
        <v>836288.52416799997</v>
      </c>
      <c r="BO9" s="322">
        <v>269106.028452</v>
      </c>
      <c r="BP9" s="10">
        <v>593344</v>
      </c>
      <c r="BQ9" s="254">
        <f t="shared" si="13"/>
        <v>1.4094497023109696</v>
      </c>
      <c r="BR9" s="254">
        <f t="shared" si="14"/>
        <v>0.45354133260300938</v>
      </c>
      <c r="BS9" s="25">
        <v>70.752699954067197</v>
      </c>
      <c r="BT9" s="25">
        <v>92.466033985130309</v>
      </c>
      <c r="BU9" s="25">
        <v>74.646666666666661</v>
      </c>
      <c r="BV9" s="25">
        <v>81.533680094320033</v>
      </c>
      <c r="BW9" s="25">
        <v>72.246084235512342</v>
      </c>
      <c r="BX9" s="25">
        <v>79.849770175046046</v>
      </c>
      <c r="BY9" s="25">
        <v>73.745415711173436</v>
      </c>
      <c r="BZ9">
        <v>2</v>
      </c>
      <c r="CA9">
        <v>0</v>
      </c>
      <c r="CB9">
        <v>4</v>
      </c>
      <c r="CC9">
        <v>14792.390907999999</v>
      </c>
      <c r="CD9" s="10">
        <v>6380.3690290000004</v>
      </c>
      <c r="CE9" s="255">
        <v>0.43132777308835035</v>
      </c>
      <c r="CF9" t="str">
        <f>IFERROR(VLOOKUP(CE9,'Rangos amb etnico'!$A$2:$C$6,3,9),"N.D.")</f>
        <v>31% - 50%</v>
      </c>
      <c r="CG9" s="256">
        <v>1.8562898690887525E-4</v>
      </c>
      <c r="CH9" s="232">
        <v>0</v>
      </c>
      <c r="CI9" s="311">
        <f t="shared" si="22"/>
        <v>0</v>
      </c>
      <c r="CJ9" s="232">
        <f>IFERROR(VLOOKUP(CI9,'Rangos amb etnico'!$A$2:$C$6,3,9),"N.D.")</f>
        <v>0</v>
      </c>
      <c r="CK9" s="311">
        <f t="shared" si="23"/>
        <v>0</v>
      </c>
      <c r="CL9" s="10">
        <v>0</v>
      </c>
      <c r="CM9" s="255">
        <f t="shared" si="24"/>
        <v>0</v>
      </c>
      <c r="CN9" s="232">
        <f>IFERROR(VLOOKUP(CM9,'Rangos amb etnico'!$A$2:$C$6,3,9),"N.D.")</f>
        <v>0</v>
      </c>
      <c r="CO9" s="311">
        <f t="shared" si="25"/>
        <v>0</v>
      </c>
      <c r="CP9">
        <v>0.9457903645448531</v>
      </c>
      <c r="CQ9" t="s">
        <v>2864</v>
      </c>
      <c r="CR9">
        <f t="shared" si="15"/>
        <v>4</v>
      </c>
      <c r="CS9" t="str">
        <f t="shared" si="26"/>
        <v>Candidato</v>
      </c>
      <c r="CT9">
        <v>0</v>
      </c>
      <c r="CU9">
        <v>0</v>
      </c>
      <c r="CV9" s="25">
        <v>62.600860595703118</v>
      </c>
      <c r="CW9" s="25">
        <v>61.032924652099609</v>
      </c>
      <c r="CX9" s="25">
        <v>61.001617431640618</v>
      </c>
      <c r="CY9" s="25">
        <v>77.451057434082031</v>
      </c>
      <c r="CZ9" s="25">
        <v>57.399776458740227</v>
      </c>
      <c r="DA9" s="25">
        <v>56.998111724853523</v>
      </c>
      <c r="DB9" s="25">
        <v>61.721675872802727</v>
      </c>
      <c r="DC9">
        <v>18146</v>
      </c>
      <c r="DD9" s="253" t="s">
        <v>380</v>
      </c>
    </row>
    <row r="10" spans="1:108">
      <c r="A10" s="13">
        <v>5266</v>
      </c>
      <c r="B10" s="13" t="s">
        <v>451</v>
      </c>
      <c r="C10" s="13" t="s">
        <v>435</v>
      </c>
      <c r="D10" s="13" t="s">
        <v>436</v>
      </c>
      <c r="E10" s="13" t="s">
        <v>452</v>
      </c>
      <c r="F10" s="14">
        <v>93.383499999999998</v>
      </c>
      <c r="G10" s="13">
        <v>80.680000000000007</v>
      </c>
      <c r="H10" s="13">
        <v>87.94</v>
      </c>
      <c r="I10" s="13">
        <v>95.41</v>
      </c>
      <c r="J10" s="14">
        <v>77.919438136979181</v>
      </c>
      <c r="K10" s="14">
        <v>75.80273504364591</v>
      </c>
      <c r="L10" s="14">
        <v>76.199019212245545</v>
      </c>
      <c r="M10" s="14">
        <v>70.456199999999995</v>
      </c>
      <c r="N10" s="14">
        <f t="shared" si="0"/>
        <v>89.353375</v>
      </c>
      <c r="O10" s="14">
        <f t="shared" si="1"/>
        <v>75.094348098217665</v>
      </c>
      <c r="P10" s="14">
        <f t="shared" si="16"/>
        <v>82.223861549108832</v>
      </c>
      <c r="Q10" s="14">
        <v>12.17196010155922</v>
      </c>
      <c r="R10" s="17">
        <f t="shared" si="2"/>
        <v>87.828039898440778</v>
      </c>
      <c r="S10" s="14">
        <f t="shared" si="17"/>
        <v>0.89045235908596698</v>
      </c>
      <c r="T10" s="13">
        <v>0</v>
      </c>
      <c r="U10" s="13">
        <f t="shared" si="18"/>
        <v>73.216431489561884</v>
      </c>
      <c r="V10" s="13">
        <f>IF($T10=1,$AU10,(VLOOKUP(U10,'Cortes naturales'!$A$35:$C$39,3,9)))</f>
        <v>1</v>
      </c>
      <c r="W10" s="13">
        <v>1</v>
      </c>
      <c r="X10" s="14" t="b">
        <f t="shared" si="3"/>
        <v>1</v>
      </c>
      <c r="Y10" s="17">
        <f>IF($T10=1,$AU10,VLOOKUP(U10,'Cortes naturales'!$A$45:$C$49,3,9))</f>
        <v>1</v>
      </c>
      <c r="Z10" s="14">
        <v>81.997720949776749</v>
      </c>
      <c r="AA10" s="14">
        <v>0.88826716938097572</v>
      </c>
      <c r="AB10" s="14">
        <v>72.835883483749328</v>
      </c>
      <c r="AC10" s="13">
        <v>1</v>
      </c>
      <c r="AD10" s="13">
        <f t="shared" si="4"/>
        <v>0</v>
      </c>
      <c r="AE10" s="14">
        <f t="shared" si="5"/>
        <v>0.22614059933208353</v>
      </c>
      <c r="AF10" s="14">
        <f t="shared" si="6"/>
        <v>2.1851897049912639E-3</v>
      </c>
      <c r="AG10" s="13">
        <f t="shared" si="7"/>
        <v>0.38054800581255677</v>
      </c>
      <c r="AH10" s="13">
        <f>IF($T10=1,$AU10,VLOOKUP(U10,'Cortes naturales'!$A$25:$C$29,3,9))</f>
        <v>1</v>
      </c>
      <c r="AI10" s="13" t="b">
        <f t="shared" si="8"/>
        <v>1</v>
      </c>
      <c r="AJ10" s="13">
        <f t="shared" si="19"/>
        <v>0</v>
      </c>
      <c r="AK10" s="28">
        <v>1.1166517821440873</v>
      </c>
      <c r="AL10" s="28">
        <v>91.562901230321771</v>
      </c>
      <c r="AM10" s="28">
        <v>0.97472936615396455</v>
      </c>
      <c r="AN10" s="13">
        <v>1</v>
      </c>
      <c r="AO10" s="33">
        <f t="shared" si="9"/>
        <v>0</v>
      </c>
      <c r="AP10" s="13">
        <f t="shared" si="20"/>
        <v>97.472936615396449</v>
      </c>
      <c r="AQ10" s="13">
        <f>IFERROR(VLOOKUP(U10,'Cortes naturales'!$E$15:$G$19,3,9),U10)</f>
        <v>1</v>
      </c>
      <c r="AR10" s="28">
        <f t="shared" si="10"/>
        <v>-0.22619942305812035</v>
      </c>
      <c r="AS10" s="13" t="b">
        <f t="shared" si="11"/>
        <v>1</v>
      </c>
      <c r="AT10" s="13">
        <f t="shared" si="21"/>
        <v>0</v>
      </c>
      <c r="AU10" s="13">
        <v>1</v>
      </c>
      <c r="AV10">
        <f t="shared" si="12"/>
        <v>0</v>
      </c>
      <c r="AW10" s="13">
        <v>0</v>
      </c>
      <c r="AX10" s="13">
        <v>1</v>
      </c>
      <c r="AY10" s="13">
        <v>0</v>
      </c>
      <c r="AZ10" s="13">
        <v>0</v>
      </c>
      <c r="BA10">
        <v>0</v>
      </c>
      <c r="BB10" t="s">
        <v>2838</v>
      </c>
      <c r="BC10">
        <v>1</v>
      </c>
      <c r="BD10" s="184" t="s">
        <v>2917</v>
      </c>
      <c r="BE10">
        <v>1</v>
      </c>
      <c r="BF10" s="232" t="s">
        <v>2845</v>
      </c>
      <c r="BG10" s="232" t="s">
        <v>2845</v>
      </c>
      <c r="BH10" s="253">
        <v>4.9000000000000004</v>
      </c>
      <c r="BI10" s="253">
        <v>2.0670454438026451</v>
      </c>
      <c r="BJ10" s="25">
        <v>1.339213995567228</v>
      </c>
      <c r="BK10" t="s">
        <v>381</v>
      </c>
      <c r="BL10">
        <v>0.33041781145211779</v>
      </c>
      <c r="BM10" t="s">
        <v>383</v>
      </c>
      <c r="BN10" s="322">
        <v>762668.06144299998</v>
      </c>
      <c r="BO10" s="322">
        <v>427768.41232200002</v>
      </c>
      <c r="BP10" s="10">
        <v>260430</v>
      </c>
      <c r="BQ10" s="254">
        <f t="shared" si="13"/>
        <v>2.9284954169757706</v>
      </c>
      <c r="BR10" s="254">
        <f t="shared" si="14"/>
        <v>1.6425466049303077</v>
      </c>
      <c r="BS10" s="25">
        <v>72.500531012920234</v>
      </c>
      <c r="BT10" s="25">
        <v>89.431148235122734</v>
      </c>
      <c r="BU10" s="25">
        <v>62.040490196078402</v>
      </c>
      <c r="BV10" s="25">
        <v>83.053429856779971</v>
      </c>
      <c r="BW10" s="25">
        <v>81.799658173119525</v>
      </c>
      <c r="BX10" s="25">
        <v>76.75639982522533</v>
      </c>
      <c r="BY10" s="25">
        <v>83.131524920847824</v>
      </c>
      <c r="BZ10">
        <v>2</v>
      </c>
      <c r="CA10">
        <v>0</v>
      </c>
      <c r="CB10">
        <v>4</v>
      </c>
      <c r="CC10">
        <v>8001.0062989999997</v>
      </c>
      <c r="CD10" s="10">
        <v>1544.3222430000001</v>
      </c>
      <c r="CE10" s="255">
        <v>0.19301600139885106</v>
      </c>
      <c r="CF10" t="str">
        <f>IFERROR(VLOOKUP(CE10,'Rangos amb etnico'!$A$2:$C$6,3,9),"N.D.")</f>
        <v>0,1% - 30%</v>
      </c>
      <c r="CG10" s="256">
        <v>4.4930155626729011E-5</v>
      </c>
      <c r="CH10" s="232">
        <v>0</v>
      </c>
      <c r="CI10" s="311">
        <f t="shared" si="22"/>
        <v>0</v>
      </c>
      <c r="CJ10" s="232">
        <f>IFERROR(VLOOKUP(CI10,'Rangos amb etnico'!$A$2:$C$6,3,9),"N.D.")</f>
        <v>0</v>
      </c>
      <c r="CK10" s="311">
        <f t="shared" si="23"/>
        <v>0</v>
      </c>
      <c r="CL10" s="10">
        <v>0</v>
      </c>
      <c r="CM10" s="255">
        <f t="shared" si="24"/>
        <v>0</v>
      </c>
      <c r="CN10" s="232">
        <f>IFERROR(VLOOKUP(CM10,'Rangos amb etnico'!$A$2:$C$6,3,9),"N.D.")</f>
        <v>0</v>
      </c>
      <c r="CO10" s="311">
        <f t="shared" si="25"/>
        <v>0</v>
      </c>
      <c r="CP10">
        <v>0.96821628430712203</v>
      </c>
      <c r="CQ10" t="s">
        <v>2864</v>
      </c>
      <c r="CR10">
        <f t="shared" si="15"/>
        <v>4</v>
      </c>
      <c r="CS10" t="str">
        <f t="shared" si="26"/>
        <v>Candidato</v>
      </c>
      <c r="CT10">
        <v>0</v>
      </c>
      <c r="CU10">
        <v>0</v>
      </c>
      <c r="CV10" s="25">
        <v>70.499687194824219</v>
      </c>
      <c r="CW10" s="25">
        <v>65.826332092285156</v>
      </c>
      <c r="CX10" s="25">
        <v>70.43450927734375</v>
      </c>
      <c r="CY10" s="25">
        <v>83.374359130859375</v>
      </c>
      <c r="CZ10" s="25">
        <v>77.719551086425781</v>
      </c>
      <c r="DA10" s="25">
        <v>59.028842926025391</v>
      </c>
      <c r="DB10" s="25">
        <v>66.614532470703125</v>
      </c>
      <c r="DC10">
        <v>2745</v>
      </c>
      <c r="DD10" s="253" t="s">
        <v>380</v>
      </c>
    </row>
    <row r="11" spans="1:108" hidden="1">
      <c r="A11" s="13">
        <v>76001</v>
      </c>
      <c r="B11" s="13" t="s">
        <v>453</v>
      </c>
      <c r="C11" s="13" t="s">
        <v>454</v>
      </c>
      <c r="D11" s="13" t="s">
        <v>455</v>
      </c>
      <c r="E11" s="13" t="s">
        <v>456</v>
      </c>
      <c r="F11" s="14">
        <v>90.782966666666695</v>
      </c>
      <c r="G11" s="13">
        <v>81.900000000000006</v>
      </c>
      <c r="H11" s="13">
        <v>80.239999999999995</v>
      </c>
      <c r="I11" s="13">
        <v>84.08</v>
      </c>
      <c r="J11" s="14">
        <v>70.70761459700897</v>
      </c>
      <c r="K11" s="14">
        <v>65.960382286614475</v>
      </c>
      <c r="L11" s="14">
        <v>69.60542878881175</v>
      </c>
      <c r="M11" s="14">
        <v>58.291699999999999</v>
      </c>
      <c r="N11" s="14">
        <f t="shared" si="0"/>
        <v>84.25074166666667</v>
      </c>
      <c r="O11" s="14">
        <f t="shared" si="1"/>
        <v>66.141281418108804</v>
      </c>
      <c r="P11" s="14">
        <f t="shared" si="16"/>
        <v>75.196011542387737</v>
      </c>
      <c r="Q11" s="14">
        <v>16.770204755534699</v>
      </c>
      <c r="R11" s="17">
        <f t="shared" si="2"/>
        <v>83.229795244465294</v>
      </c>
      <c r="S11" s="14">
        <f t="shared" si="17"/>
        <v>0.84906815720018769</v>
      </c>
      <c r="T11" s="13">
        <v>1</v>
      </c>
      <c r="U11" s="13">
        <f t="shared" si="18"/>
        <v>63.846538949099198</v>
      </c>
      <c r="V11" s="13" t="str">
        <f>IF($T11=1,$AU11,(VLOOKUP(U11,'Cortes naturales'!$A$35:$C$39,3,9)))</f>
        <v>Ciudades grandes</v>
      </c>
      <c r="W11" s="13" t="s">
        <v>371</v>
      </c>
      <c r="X11" s="14" t="b">
        <f t="shared" si="3"/>
        <v>1</v>
      </c>
      <c r="Y11" s="17" t="str">
        <f>IF($T11=1,$AU11,VLOOKUP(U11,'Cortes naturales'!$A$45:$C$49,3,9))</f>
        <v>Ciudades grandes</v>
      </c>
      <c r="Z11" s="14">
        <v>76.481529469624491</v>
      </c>
      <c r="AA11" s="14">
        <v>0.87226918873504766</v>
      </c>
      <c r="AB11" s="14" t="s">
        <v>371</v>
      </c>
      <c r="AC11" s="13" t="s">
        <v>371</v>
      </c>
      <c r="AD11" s="13">
        <f t="shared" si="4"/>
        <v>0</v>
      </c>
      <c r="AE11" s="14">
        <f t="shared" si="5"/>
        <v>-1.2855179272367536</v>
      </c>
      <c r="AF11" s="14">
        <f t="shared" si="6"/>
        <v>-2.3201031534859973E-2</v>
      </c>
      <c r="AG11" s="13">
        <f t="shared" si="7"/>
        <v>0</v>
      </c>
      <c r="AH11" s="13" t="str">
        <f>IF($T11=1,$AU11,VLOOKUP(U11,'Cortes naturales'!$A$25:$C$29,3,9))</f>
        <v>Ciudades grandes</v>
      </c>
      <c r="AI11" s="13" t="b">
        <f t="shared" si="8"/>
        <v>1</v>
      </c>
      <c r="AJ11" s="13">
        <f t="shared" si="19"/>
        <v>0</v>
      </c>
      <c r="AK11" s="28" t="s">
        <v>440</v>
      </c>
      <c r="AL11" s="28" t="s">
        <v>380</v>
      </c>
      <c r="AM11" s="28" t="s">
        <v>380</v>
      </c>
      <c r="AN11" s="13" t="s">
        <v>371</v>
      </c>
      <c r="AO11" s="33">
        <f t="shared" si="9"/>
        <v>0</v>
      </c>
      <c r="AP11" s="13" t="str">
        <f t="shared" si="20"/>
        <v>N.D</v>
      </c>
      <c r="AQ11" s="13">
        <f>IFERROR(VLOOKUP(U11,'Cortes naturales'!$E$15:$G$19,3,9),U11)</f>
        <v>2</v>
      </c>
      <c r="AR11" s="28" t="str">
        <f t="shared" si="10"/>
        <v>N.D.</v>
      </c>
      <c r="AS11" s="13" t="b">
        <f t="shared" si="11"/>
        <v>0</v>
      </c>
      <c r="AT11" s="13">
        <f t="shared" si="21"/>
        <v>0</v>
      </c>
      <c r="AU11" s="13" t="s">
        <v>371</v>
      </c>
      <c r="AV11">
        <f t="shared" si="12"/>
        <v>0</v>
      </c>
      <c r="AW11" s="13">
        <v>1</v>
      </c>
      <c r="AX11" s="13">
        <v>0</v>
      </c>
      <c r="AY11" s="13">
        <v>1</v>
      </c>
      <c r="AZ11" s="13">
        <v>0</v>
      </c>
      <c r="BA11">
        <v>0</v>
      </c>
      <c r="BB11" t="s">
        <v>2838</v>
      </c>
      <c r="BC11" t="s">
        <v>368</v>
      </c>
      <c r="BD11" t="s">
        <v>2918</v>
      </c>
      <c r="BE11">
        <v>1</v>
      </c>
      <c r="BF11" s="232" t="s">
        <v>2845</v>
      </c>
      <c r="BG11" s="232" t="s">
        <v>2845</v>
      </c>
      <c r="BH11" s="253">
        <v>11.9</v>
      </c>
      <c r="BI11" s="253">
        <v>4.1135926376777991</v>
      </c>
      <c r="BJ11" s="25">
        <v>0.15222026056368498</v>
      </c>
      <c r="BK11" t="s">
        <v>381</v>
      </c>
      <c r="BL11">
        <v>5.2216833973735648</v>
      </c>
      <c r="BM11" t="s">
        <v>383</v>
      </c>
      <c r="BN11" s="322">
        <v>5753627.8807979999</v>
      </c>
      <c r="BO11" s="322">
        <v>2496185.9921619999</v>
      </c>
      <c r="BP11" s="10">
        <v>2280171</v>
      </c>
      <c r="BQ11" s="254">
        <f t="shared" si="13"/>
        <v>2.5233317504687149</v>
      </c>
      <c r="BR11" s="254">
        <f t="shared" si="14"/>
        <v>1.0947363123914828</v>
      </c>
      <c r="BS11" s="25">
        <v>63.149870340522853</v>
      </c>
      <c r="BT11" s="25">
        <v>96.497125072978932</v>
      </c>
      <c r="BU11" s="25">
        <v>67.373693975634268</v>
      </c>
      <c r="BV11" s="25">
        <v>67.57381135243952</v>
      </c>
      <c r="BW11" s="25">
        <v>82.080937445785963</v>
      </c>
      <c r="BX11" s="25">
        <v>73.648625185393882</v>
      </c>
      <c r="BY11" s="25">
        <v>83.040244884901128</v>
      </c>
      <c r="BZ11">
        <v>85</v>
      </c>
      <c r="CA11">
        <v>1</v>
      </c>
      <c r="CB11">
        <v>2</v>
      </c>
      <c r="CC11">
        <v>56413.858618999999</v>
      </c>
      <c r="CD11" s="10">
        <v>32012.456806999999</v>
      </c>
      <c r="CE11" s="255">
        <v>0.56745731617475836</v>
      </c>
      <c r="CF11" t="str">
        <f>IFERROR(VLOOKUP(CE11,'Rangos amb etnico'!$A$2:$C$6,3,9),"N.D.")</f>
        <v>51% - 70%</v>
      </c>
      <c r="CG11" s="256">
        <v>9.313630447608922E-4</v>
      </c>
      <c r="CH11" s="232">
        <v>46.047207</v>
      </c>
      <c r="CI11" s="311">
        <f t="shared" si="22"/>
        <v>8.1623927395194085E-4</v>
      </c>
      <c r="CJ11" s="232">
        <f>IFERROR(VLOOKUP(CI11,'Rangos amb etnico'!$A$2:$C$6,3,9),"N.D.")</f>
        <v>0</v>
      </c>
      <c r="CK11" s="311">
        <f t="shared" si="23"/>
        <v>1.8283755981959038E-6</v>
      </c>
      <c r="CL11" s="10">
        <v>0</v>
      </c>
      <c r="CM11" s="255">
        <f t="shared" si="24"/>
        <v>0</v>
      </c>
      <c r="CN11" s="232">
        <f>IFERROR(VLOOKUP(CM11,'Rangos amb etnico'!$A$2:$C$6,3,9),"N.D.")</f>
        <v>0</v>
      </c>
      <c r="CO11" s="311">
        <f t="shared" si="25"/>
        <v>0</v>
      </c>
      <c r="CP11">
        <v>0.95380695691048567</v>
      </c>
      <c r="CQ11" t="s">
        <v>2864</v>
      </c>
      <c r="CR11">
        <f t="shared" si="15"/>
        <v>3</v>
      </c>
      <c r="CS11" t="str">
        <f t="shared" si="26"/>
        <v>Candidato</v>
      </c>
      <c r="CT11">
        <v>0</v>
      </c>
      <c r="CU11">
        <v>0</v>
      </c>
      <c r="CV11" s="25">
        <v>62.898391723632813</v>
      </c>
      <c r="CW11" s="25">
        <v>74.883384704589844</v>
      </c>
      <c r="CX11" s="25">
        <v>52.258632659912109</v>
      </c>
      <c r="CY11" s="25">
        <v>83.233940124511719</v>
      </c>
      <c r="CZ11" s="25">
        <v>80.151496887207031</v>
      </c>
      <c r="DA11" s="25">
        <v>17.05080413818359</v>
      </c>
      <c r="DB11" s="25">
        <v>69.812088012695313</v>
      </c>
      <c r="DC11">
        <v>465032</v>
      </c>
      <c r="DD11" s="253" t="s">
        <v>380</v>
      </c>
    </row>
    <row r="12" spans="1:108" hidden="1">
      <c r="A12" s="13">
        <v>11001</v>
      </c>
      <c r="B12" s="13" t="s">
        <v>457</v>
      </c>
      <c r="C12" s="79" t="s">
        <v>458</v>
      </c>
      <c r="D12" s="13" t="s">
        <v>459</v>
      </c>
      <c r="E12" s="13" t="s">
        <v>459</v>
      </c>
      <c r="F12" s="14">
        <v>98.415413629970601</v>
      </c>
      <c r="G12" s="13">
        <v>93.83</v>
      </c>
      <c r="H12" s="13">
        <v>97.57</v>
      </c>
      <c r="I12" s="13">
        <v>97.22</v>
      </c>
      <c r="J12" s="14">
        <v>85.778165683202474</v>
      </c>
      <c r="K12" s="14">
        <v>79.421991990248301</v>
      </c>
      <c r="L12" s="14">
        <v>90.065246221784676</v>
      </c>
      <c r="M12" s="14">
        <v>77.038499999999999</v>
      </c>
      <c r="N12" s="14">
        <f t="shared" si="0"/>
        <v>96.758853407492637</v>
      </c>
      <c r="O12" s="14">
        <f t="shared" si="1"/>
        <v>83.075975973808866</v>
      </c>
      <c r="P12" s="14">
        <f t="shared" si="16"/>
        <v>89.917414690650759</v>
      </c>
      <c r="Q12" s="14">
        <v>16.294941753331521</v>
      </c>
      <c r="R12" s="17">
        <f t="shared" si="2"/>
        <v>83.705058246668472</v>
      </c>
      <c r="S12" s="14">
        <f t="shared" si="17"/>
        <v>0.8533455242200163</v>
      </c>
      <c r="T12" s="13">
        <v>1</v>
      </c>
      <c r="U12" s="13">
        <f t="shared" si="18"/>
        <v>76.730623375701967</v>
      </c>
      <c r="V12" s="13" t="str">
        <f>IF($T12=1,$AU12,(VLOOKUP(U12,'Cortes naturales'!$A$35:$C$39,3,9)))</f>
        <v>Bogotá</v>
      </c>
      <c r="W12" s="13" t="str">
        <f>IFERROR(VLOOKUP(V12,'Cortes naturales'!$A$35:$C$39,3,9),V12)</f>
        <v>Bogotá</v>
      </c>
      <c r="X12" s="14" t="b">
        <f t="shared" si="3"/>
        <v>1</v>
      </c>
      <c r="Y12" s="17" t="str">
        <f>IF($T12=1,$AU12,VLOOKUP(U12,'Cortes naturales'!$A$45:$C$49,3,9))</f>
        <v>Bogotá</v>
      </c>
      <c r="Z12" s="14">
        <v>88.891538012556566</v>
      </c>
      <c r="AA12" s="14">
        <v>0.8741856996976346</v>
      </c>
      <c r="AB12" s="14" t="s">
        <v>370</v>
      </c>
      <c r="AC12" s="13" t="s">
        <v>370</v>
      </c>
      <c r="AD12" s="13">
        <f t="shared" si="4"/>
        <v>0</v>
      </c>
      <c r="AE12" s="14">
        <f t="shared" si="5"/>
        <v>1.0258766780941926</v>
      </c>
      <c r="AF12" s="14">
        <f t="shared" si="6"/>
        <v>-2.0840175477618295E-2</v>
      </c>
      <c r="AG12" s="13">
        <f t="shared" si="7"/>
        <v>0</v>
      </c>
      <c r="AH12" s="13" t="str">
        <f>IF($T12=1,$AU12,VLOOKUP(U12,'Cortes naturales'!$A$25:$C$29,3,9))</f>
        <v>Bogotá</v>
      </c>
      <c r="AI12" s="13" t="b">
        <f t="shared" si="8"/>
        <v>1</v>
      </c>
      <c r="AJ12" s="13">
        <f t="shared" si="19"/>
        <v>0</v>
      </c>
      <c r="AK12" s="28" t="s">
        <v>440</v>
      </c>
      <c r="AL12" s="28" t="s">
        <v>380</v>
      </c>
      <c r="AM12" s="28" t="s">
        <v>380</v>
      </c>
      <c r="AN12" s="13" t="s">
        <v>370</v>
      </c>
      <c r="AO12" s="33">
        <f t="shared" si="9"/>
        <v>0</v>
      </c>
      <c r="AP12" s="13" t="str">
        <f t="shared" si="20"/>
        <v>N.D</v>
      </c>
      <c r="AQ12" s="13">
        <f>IFERROR(VLOOKUP(U12,'Cortes naturales'!$E$15:$G$19,3,9),U12)</f>
        <v>1</v>
      </c>
      <c r="AR12" s="28" t="str">
        <f t="shared" si="10"/>
        <v>N.D.</v>
      </c>
      <c r="AS12" s="13" t="b">
        <f t="shared" si="11"/>
        <v>0</v>
      </c>
      <c r="AT12" s="13">
        <f t="shared" si="21"/>
        <v>0</v>
      </c>
      <c r="AU12" s="13" t="s">
        <v>370</v>
      </c>
      <c r="AV12">
        <f t="shared" si="12"/>
        <v>0</v>
      </c>
      <c r="AW12" s="13">
        <v>1</v>
      </c>
      <c r="AX12" s="13">
        <v>0</v>
      </c>
      <c r="AY12" s="13">
        <v>1</v>
      </c>
      <c r="AZ12" s="13">
        <v>0</v>
      </c>
      <c r="BA12">
        <v>0</v>
      </c>
      <c r="BB12" t="s">
        <v>2838</v>
      </c>
      <c r="BC12" t="s">
        <v>368</v>
      </c>
      <c r="BD12" t="s">
        <v>2918</v>
      </c>
      <c r="BE12">
        <v>1</v>
      </c>
      <c r="BF12" s="232" t="s">
        <v>2845</v>
      </c>
      <c r="BG12" s="232" t="s">
        <v>2845</v>
      </c>
      <c r="BH12" s="253">
        <v>9</v>
      </c>
      <c r="BI12" s="253">
        <v>3.4711883561739638</v>
      </c>
      <c r="BJ12" s="25">
        <v>2.3078607939310496</v>
      </c>
      <c r="BK12" t="s">
        <v>381</v>
      </c>
      <c r="BL12">
        <v>1.4185282205437935</v>
      </c>
      <c r="BM12" t="s">
        <v>383</v>
      </c>
      <c r="BN12" s="322">
        <v>25039940.850430999</v>
      </c>
      <c r="BO12" s="322">
        <v>14031891.662420999</v>
      </c>
      <c r="BP12" s="10">
        <v>7918660</v>
      </c>
      <c r="BQ12" s="254">
        <f t="shared" si="13"/>
        <v>3.1621437023980068</v>
      </c>
      <c r="BR12" s="254">
        <f t="shared" si="14"/>
        <v>1.7720033013692973</v>
      </c>
      <c r="BS12" s="25">
        <v>66.512582015959836</v>
      </c>
      <c r="BT12" s="25">
        <v>95.329519373609784</v>
      </c>
      <c r="BU12" s="25">
        <v>58.914494822278172</v>
      </c>
      <c r="BV12" s="25">
        <v>48.99277268675462</v>
      </c>
      <c r="BW12" s="25">
        <v>57.392681270968183</v>
      </c>
      <c r="BX12" s="25">
        <v>67.437342224650592</v>
      </c>
      <c r="BY12" s="25">
        <v>58.636234756869051</v>
      </c>
      <c r="BZ12">
        <v>94</v>
      </c>
      <c r="CA12">
        <v>1</v>
      </c>
      <c r="CB12">
        <v>1</v>
      </c>
      <c r="CC12">
        <v>161815.144248</v>
      </c>
      <c r="CD12" s="10">
        <v>106609.07283200001</v>
      </c>
      <c r="CE12" s="255">
        <v>0.65883248028138552</v>
      </c>
      <c r="CF12" t="str">
        <f>IFERROR(VLOOKUP(CE12,'Rangos amb etnico'!$A$2:$C$6,3,9),"N.D.")</f>
        <v>51% - 70%</v>
      </c>
      <c r="CG12" s="256">
        <v>3.1016598091976378E-3</v>
      </c>
      <c r="CH12" s="232">
        <v>0</v>
      </c>
      <c r="CI12" s="311">
        <f t="shared" si="22"/>
        <v>0</v>
      </c>
      <c r="CJ12" s="232">
        <f>IFERROR(VLOOKUP(CI12,'Rangos amb etnico'!$A$2:$C$6,3,9),"N.D.")</f>
        <v>0</v>
      </c>
      <c r="CK12" s="311">
        <f t="shared" si="23"/>
        <v>0</v>
      </c>
      <c r="CL12" s="10">
        <v>22767.607624</v>
      </c>
      <c r="CM12" s="255">
        <f t="shared" si="24"/>
        <v>0.14070133997536144</v>
      </c>
      <c r="CN12" s="232" t="str">
        <f>IFERROR(VLOOKUP(CM12,'Rangos amb etnico'!$A$2:$C$6,3,9),"N.D.")</f>
        <v>0,1% - 30%</v>
      </c>
      <c r="CO12" s="311">
        <f t="shared" si="25"/>
        <v>1.4277724888081638E-2</v>
      </c>
      <c r="CP12">
        <v>0.93853589338382637</v>
      </c>
      <c r="CQ12" t="s">
        <v>2864</v>
      </c>
      <c r="CR12">
        <f t="shared" si="15"/>
        <v>3</v>
      </c>
      <c r="CS12" t="str">
        <f t="shared" si="26"/>
        <v>Candidato</v>
      </c>
      <c r="CT12">
        <v>0</v>
      </c>
      <c r="CU12">
        <v>0</v>
      </c>
      <c r="CV12" s="25">
        <v>70.72686767578125</v>
      </c>
      <c r="CW12" s="25">
        <v>88.027862548828125</v>
      </c>
      <c r="CX12" s="25">
        <v>59.419956207275391</v>
      </c>
      <c r="CY12" s="25">
        <v>79.996505737304688</v>
      </c>
      <c r="CZ12" s="25">
        <v>87.758522033691406</v>
      </c>
      <c r="DA12" s="25">
        <v>29.926023483276371</v>
      </c>
      <c r="DB12" s="25">
        <v>79.232345581054688</v>
      </c>
      <c r="DC12">
        <v>139835</v>
      </c>
      <c r="DD12" s="253">
        <v>7.4676515473609992</v>
      </c>
    </row>
    <row r="13" spans="1:108" hidden="1">
      <c r="A13" s="13">
        <v>25754</v>
      </c>
      <c r="B13" s="13" t="s">
        <v>460</v>
      </c>
      <c r="C13" s="13" t="s">
        <v>461</v>
      </c>
      <c r="D13" s="13" t="s">
        <v>462</v>
      </c>
      <c r="E13" s="13" t="s">
        <v>463</v>
      </c>
      <c r="F13" s="14">
        <v>82.064466666666704</v>
      </c>
      <c r="G13" s="13">
        <v>83.95</v>
      </c>
      <c r="H13" s="13">
        <v>62.99</v>
      </c>
      <c r="I13" s="13">
        <v>65.709999999999994</v>
      </c>
      <c r="J13" s="14">
        <v>43.553512162953325</v>
      </c>
      <c r="K13" s="14">
        <v>58.346971433530641</v>
      </c>
      <c r="L13" s="14">
        <v>68.957333628555546</v>
      </c>
      <c r="M13" s="14">
        <v>56.042700000000004</v>
      </c>
      <c r="N13" s="14">
        <f t="shared" si="0"/>
        <v>73.67861666666667</v>
      </c>
      <c r="O13" s="14">
        <f t="shared" si="1"/>
        <v>56.72512930625988</v>
      </c>
      <c r="P13" s="14">
        <f t="shared" si="16"/>
        <v>65.201872986463272</v>
      </c>
      <c r="Q13" s="14">
        <v>16.840637597116462</v>
      </c>
      <c r="R13" s="17">
        <f t="shared" si="2"/>
        <v>83.159362402883545</v>
      </c>
      <c r="S13" s="14">
        <f t="shared" si="17"/>
        <v>0.84843426162595181</v>
      </c>
      <c r="T13" s="13">
        <v>0</v>
      </c>
      <c r="U13" s="13">
        <f t="shared" si="18"/>
        <v>55.319502963899062</v>
      </c>
      <c r="V13" s="13">
        <f>IF($T13=1,$AU13,(VLOOKUP(U13,'Cortes naturales'!$A$35:$C$39,3,9)))</f>
        <v>1</v>
      </c>
      <c r="W13" s="13">
        <v>1</v>
      </c>
      <c r="X13" s="14" t="b">
        <f t="shared" si="3"/>
        <v>1</v>
      </c>
      <c r="Y13" s="17">
        <f>IF($T13=1,$AU13,VLOOKUP(U13,'Cortes naturales'!$A$45:$C$49,3,9))</f>
        <v>1</v>
      </c>
      <c r="Z13" s="14">
        <v>66.017686825073099</v>
      </c>
      <c r="AA13" s="14">
        <v>0.86433660379131771</v>
      </c>
      <c r="AB13" s="14">
        <v>57.061503220542505</v>
      </c>
      <c r="AC13" s="13">
        <v>1</v>
      </c>
      <c r="AD13" s="13">
        <f t="shared" si="4"/>
        <v>0</v>
      </c>
      <c r="AE13" s="14">
        <f t="shared" si="5"/>
        <v>-0.81581383860982726</v>
      </c>
      <c r="AF13" s="14">
        <f t="shared" si="6"/>
        <v>-1.5902342165365901E-2</v>
      </c>
      <c r="AG13" s="13">
        <f t="shared" si="7"/>
        <v>-1.7420002566434434</v>
      </c>
      <c r="AH13" s="13">
        <f>IF($T13=1,$AU13,VLOOKUP(U13,'Cortes naturales'!$A$25:$C$29,3,9))</f>
        <v>1</v>
      </c>
      <c r="AI13" s="13" t="b">
        <f t="shared" si="8"/>
        <v>1</v>
      </c>
      <c r="AJ13" s="13">
        <f t="shared" si="19"/>
        <v>0</v>
      </c>
      <c r="AK13" s="28">
        <v>1.1166517821440873</v>
      </c>
      <c r="AL13" s="28">
        <v>73.718767646248111</v>
      </c>
      <c r="AM13" s="28">
        <v>0.75151806450696568</v>
      </c>
      <c r="AN13" s="13">
        <v>1</v>
      </c>
      <c r="AO13" s="33">
        <f t="shared" si="9"/>
        <v>0</v>
      </c>
      <c r="AP13" s="13">
        <f t="shared" si="20"/>
        <v>75.151806450696569</v>
      </c>
      <c r="AQ13" s="13">
        <f>IFERROR(VLOOKUP(U13,'Cortes naturales'!$E$15:$G$19,3,9),U13)</f>
        <v>2</v>
      </c>
      <c r="AR13" s="28">
        <f t="shared" si="10"/>
        <v>-0.26821752051813552</v>
      </c>
      <c r="AS13" s="13" t="b">
        <f t="shared" si="11"/>
        <v>0</v>
      </c>
      <c r="AT13" s="13">
        <f t="shared" si="21"/>
        <v>0</v>
      </c>
      <c r="AU13" s="13">
        <v>1</v>
      </c>
      <c r="AV13">
        <f t="shared" si="12"/>
        <v>0</v>
      </c>
      <c r="AW13" s="13">
        <v>0</v>
      </c>
      <c r="AX13" s="13">
        <v>1</v>
      </c>
      <c r="AY13" s="13">
        <v>0</v>
      </c>
      <c r="AZ13" s="13">
        <v>0</v>
      </c>
      <c r="BA13">
        <v>0</v>
      </c>
      <c r="BB13" t="s">
        <v>2838</v>
      </c>
      <c r="BC13">
        <v>1</v>
      </c>
      <c r="BD13" s="184" t="s">
        <v>2917</v>
      </c>
      <c r="BE13">
        <v>0</v>
      </c>
      <c r="BF13" s="232" t="s">
        <v>2845</v>
      </c>
      <c r="BG13" s="232" t="s">
        <v>2846</v>
      </c>
      <c r="BH13" s="253">
        <v>14.1</v>
      </c>
      <c r="BI13" s="253">
        <v>5.3658059953347559</v>
      </c>
      <c r="BJ13" s="25">
        <v>0.90768721217720827</v>
      </c>
      <c r="BK13" t="s">
        <v>381</v>
      </c>
      <c r="BL13">
        <v>1.9036495652397969</v>
      </c>
      <c r="BM13" t="s">
        <v>383</v>
      </c>
      <c r="BN13" s="322">
        <v>969025.91990700003</v>
      </c>
      <c r="BO13" s="322">
        <v>266059.16612900002</v>
      </c>
      <c r="BP13" s="10">
        <v>842579</v>
      </c>
      <c r="BQ13" s="254">
        <f t="shared" si="13"/>
        <v>1.150071292907846</v>
      </c>
      <c r="BR13" s="254">
        <f t="shared" si="14"/>
        <v>0.31576762075603598</v>
      </c>
      <c r="BS13" s="25">
        <v>62.738318959426962</v>
      </c>
      <c r="BT13" s="25">
        <v>83.032140800347747</v>
      </c>
      <c r="BU13" s="25">
        <v>46.957925407925387</v>
      </c>
      <c r="BV13" s="25">
        <v>72.706211636681033</v>
      </c>
      <c r="BW13" s="25">
        <v>53.300281736814597</v>
      </c>
      <c r="BX13" s="25">
        <v>66.358649201095275</v>
      </c>
      <c r="BY13" s="25">
        <v>53.786175673471057</v>
      </c>
      <c r="BZ13">
        <v>94</v>
      </c>
      <c r="CA13">
        <v>0</v>
      </c>
      <c r="CB13">
        <v>4</v>
      </c>
      <c r="CC13">
        <v>18723.217574999999</v>
      </c>
      <c r="CD13" s="10">
        <v>8799.2317540000004</v>
      </c>
      <c r="CE13" s="255">
        <v>0.46996365441744864</v>
      </c>
      <c r="CF13" t="str">
        <f>IFERROR(VLOOKUP(CE13,'Rangos amb etnico'!$A$2:$C$6,3,9),"N.D.")</f>
        <v>31% - 50%</v>
      </c>
      <c r="CG13" s="256">
        <v>2.5600282188182905E-4</v>
      </c>
      <c r="CH13" s="232">
        <v>0</v>
      </c>
      <c r="CI13" s="311">
        <f t="shared" si="22"/>
        <v>0</v>
      </c>
      <c r="CJ13" s="232">
        <f>IFERROR(VLOOKUP(CI13,'Rangos amb etnico'!$A$2:$C$6,3,9),"N.D.")</f>
        <v>0</v>
      </c>
      <c r="CK13" s="311">
        <f t="shared" si="23"/>
        <v>0</v>
      </c>
      <c r="CL13" s="10">
        <v>0</v>
      </c>
      <c r="CM13" s="255">
        <f t="shared" si="24"/>
        <v>0</v>
      </c>
      <c r="CN13" s="232">
        <f>IFERROR(VLOOKUP(CM13,'Rangos amb etnico'!$A$2:$C$6,3,9),"N.D.")</f>
        <v>0</v>
      </c>
      <c r="CO13" s="311">
        <f t="shared" si="25"/>
        <v>0</v>
      </c>
      <c r="CP13">
        <v>0.8211781077604321</v>
      </c>
      <c r="CQ13" t="s">
        <v>2865</v>
      </c>
      <c r="CR13">
        <f t="shared" si="15"/>
        <v>2</v>
      </c>
      <c r="CS13" t="str">
        <f t="shared" si="26"/>
        <v>No es Candidato</v>
      </c>
      <c r="CT13">
        <v>0</v>
      </c>
      <c r="CU13">
        <v>0</v>
      </c>
      <c r="CV13" s="25">
        <v>56.185764312744141</v>
      </c>
      <c r="CW13" s="25">
        <v>68.444190979003906</v>
      </c>
      <c r="CX13" s="25">
        <v>58.507461547851563</v>
      </c>
      <c r="CY13" s="25">
        <v>71.553672790527344</v>
      </c>
      <c r="CZ13" s="25">
        <v>45.350322723388672</v>
      </c>
      <c r="DA13" s="25">
        <v>45.28125</v>
      </c>
      <c r="DB13" s="25">
        <v>47.977684020996087</v>
      </c>
      <c r="DC13">
        <v>14007</v>
      </c>
      <c r="DD13" s="253" t="s">
        <v>380</v>
      </c>
    </row>
    <row r="14" spans="1:108" hidden="1">
      <c r="A14" s="13">
        <v>68001</v>
      </c>
      <c r="B14" s="13" t="s">
        <v>464</v>
      </c>
      <c r="C14" s="13" t="s">
        <v>431</v>
      </c>
      <c r="D14" s="13" t="s">
        <v>432</v>
      </c>
      <c r="E14" s="13" t="s">
        <v>465</v>
      </c>
      <c r="F14" s="14">
        <v>82.215433333333294</v>
      </c>
      <c r="G14" s="13">
        <v>93.63</v>
      </c>
      <c r="H14" s="13">
        <v>91.71</v>
      </c>
      <c r="I14" s="13">
        <v>84.6</v>
      </c>
      <c r="J14" s="14">
        <v>61.338595252757287</v>
      </c>
      <c r="K14" s="14">
        <v>73.367856106440854</v>
      </c>
      <c r="L14" s="14">
        <v>76.140322745256881</v>
      </c>
      <c r="M14" s="14">
        <v>62.861199999999997</v>
      </c>
      <c r="N14" s="14">
        <f t="shared" si="0"/>
        <v>88.038858333333309</v>
      </c>
      <c r="O14" s="14">
        <f t="shared" si="1"/>
        <v>68.426993526113748</v>
      </c>
      <c r="P14" s="14">
        <f t="shared" si="16"/>
        <v>78.232925929723535</v>
      </c>
      <c r="Q14" s="14">
        <v>17.60388028955883</v>
      </c>
      <c r="R14" s="17">
        <f t="shared" si="2"/>
        <v>82.39611971044117</v>
      </c>
      <c r="S14" s="14">
        <f t="shared" si="17"/>
        <v>0.84156507739397057</v>
      </c>
      <c r="T14" s="13">
        <v>1</v>
      </c>
      <c r="U14" s="13">
        <f t="shared" si="18"/>
        <v>65.838098364804551</v>
      </c>
      <c r="V14" s="13" t="str">
        <f>IF($T14=1,$AU14,(VLOOKUP(U14,'Cortes naturales'!$A$35:$C$39,3,9)))</f>
        <v>Ciudades grandes</v>
      </c>
      <c r="W14" s="13" t="s">
        <v>371</v>
      </c>
      <c r="X14" s="14" t="b">
        <f t="shared" si="3"/>
        <v>1</v>
      </c>
      <c r="Y14" s="17" t="str">
        <f>IF($T14=1,$AU14,VLOOKUP(U14,'Cortes naturales'!$A$45:$C$49,3,9))</f>
        <v>Ciudades grandes</v>
      </c>
      <c r="Z14" s="14">
        <v>75.767384686649478</v>
      </c>
      <c r="AA14" s="14">
        <v>0.86121840663019522</v>
      </c>
      <c r="AB14" s="14" t="s">
        <v>371</v>
      </c>
      <c r="AC14" s="13" t="s">
        <v>371</v>
      </c>
      <c r="AD14" s="13">
        <f t="shared" si="4"/>
        <v>0</v>
      </c>
      <c r="AE14" s="14">
        <f t="shared" si="5"/>
        <v>2.4655412430740569</v>
      </c>
      <c r="AF14" s="14">
        <f t="shared" si="6"/>
        <v>-1.9653329236224648E-2</v>
      </c>
      <c r="AG14" s="13">
        <f t="shared" si="7"/>
        <v>0</v>
      </c>
      <c r="AH14" s="13" t="str">
        <f>IF($T14=1,$AU14,VLOOKUP(U14,'Cortes naturales'!$A$25:$C$29,3,9))</f>
        <v>Ciudades grandes</v>
      </c>
      <c r="AI14" s="13" t="b">
        <f t="shared" si="8"/>
        <v>1</v>
      </c>
      <c r="AJ14" s="13">
        <f t="shared" si="19"/>
        <v>0</v>
      </c>
      <c r="AK14" s="28" t="s">
        <v>440</v>
      </c>
      <c r="AL14" s="28" t="s">
        <v>380</v>
      </c>
      <c r="AM14" s="28" t="s">
        <v>380</v>
      </c>
      <c r="AN14" s="13" t="s">
        <v>371</v>
      </c>
      <c r="AO14" s="33">
        <f t="shared" si="9"/>
        <v>0</v>
      </c>
      <c r="AP14" s="13" t="str">
        <f t="shared" si="20"/>
        <v>N.D</v>
      </c>
      <c r="AQ14" s="13">
        <f>IFERROR(VLOOKUP(U14,'Cortes naturales'!$E$15:$G$19,3,9),U14)</f>
        <v>1</v>
      </c>
      <c r="AR14" s="28" t="str">
        <f t="shared" si="10"/>
        <v>N.D.</v>
      </c>
      <c r="AS14" s="13" t="b">
        <f t="shared" si="11"/>
        <v>0</v>
      </c>
      <c r="AT14" s="13">
        <f t="shared" si="21"/>
        <v>0</v>
      </c>
      <c r="AU14" s="13" t="s">
        <v>371</v>
      </c>
      <c r="AV14">
        <f t="shared" si="12"/>
        <v>0</v>
      </c>
      <c r="AW14" s="13">
        <v>1</v>
      </c>
      <c r="AX14" s="13">
        <v>0</v>
      </c>
      <c r="AY14" s="13">
        <v>0</v>
      </c>
      <c r="AZ14" s="13">
        <v>0</v>
      </c>
      <c r="BA14">
        <v>0</v>
      </c>
      <c r="BB14" t="s">
        <v>2838</v>
      </c>
      <c r="BC14" t="s">
        <v>368</v>
      </c>
      <c r="BD14" t="s">
        <v>2918</v>
      </c>
      <c r="BE14">
        <v>1</v>
      </c>
      <c r="BF14" s="232" t="s">
        <v>2845</v>
      </c>
      <c r="BG14" s="232" t="s">
        <v>2845</v>
      </c>
      <c r="BH14" s="253">
        <v>14.2</v>
      </c>
      <c r="BI14" s="253">
        <v>5.5585698838040143</v>
      </c>
      <c r="BJ14" s="25">
        <v>1.4954255319148935</v>
      </c>
      <c r="BK14" t="s">
        <v>381</v>
      </c>
      <c r="BL14">
        <v>1.7841688900591901</v>
      </c>
      <c r="BM14" t="s">
        <v>383</v>
      </c>
      <c r="BN14" s="322">
        <v>1722515.8432829999</v>
      </c>
      <c r="BO14" s="322">
        <v>736705.59529199998</v>
      </c>
      <c r="BP14" s="10">
        <v>615463</v>
      </c>
      <c r="BQ14" s="254">
        <f t="shared" si="13"/>
        <v>2.7987317568773427</v>
      </c>
      <c r="BR14" s="254">
        <f t="shared" si="14"/>
        <v>1.1969941252227998</v>
      </c>
      <c r="BS14" s="25">
        <v>76.724539513492061</v>
      </c>
      <c r="BT14" s="25">
        <v>96.625737888617337</v>
      </c>
      <c r="BU14" s="25">
        <v>69.929999999999993</v>
      </c>
      <c r="BV14" s="25">
        <v>65.945271523647193</v>
      </c>
      <c r="BW14" s="25">
        <v>73.137840898967795</v>
      </c>
      <c r="BX14" s="25">
        <v>77.306387231439146</v>
      </c>
      <c r="BY14" s="25">
        <v>75.167425087787223</v>
      </c>
      <c r="BZ14">
        <v>39</v>
      </c>
      <c r="CA14">
        <v>1</v>
      </c>
      <c r="CB14">
        <v>2</v>
      </c>
      <c r="CC14">
        <v>15323.482271000001</v>
      </c>
      <c r="CD14" s="10">
        <v>10092.960034</v>
      </c>
      <c r="CE14" s="255">
        <v>0.65865968684553711</v>
      </c>
      <c r="CF14" t="str">
        <f>IFERROR(VLOOKUP(CE14,'Rangos amb etnico'!$A$2:$C$6,3,9),"N.D.")</f>
        <v>51% - 70%</v>
      </c>
      <c r="CG14" s="256">
        <v>2.9364225446953956E-4</v>
      </c>
      <c r="CH14" s="232">
        <v>0</v>
      </c>
      <c r="CI14" s="311">
        <f t="shared" si="22"/>
        <v>0</v>
      </c>
      <c r="CJ14" s="232">
        <f>IFERROR(VLOOKUP(CI14,'Rangos amb etnico'!$A$2:$C$6,3,9),"N.D.")</f>
        <v>0</v>
      </c>
      <c r="CK14" s="311">
        <f t="shared" si="23"/>
        <v>0</v>
      </c>
      <c r="CL14" s="10">
        <v>0</v>
      </c>
      <c r="CM14" s="255">
        <f t="shared" si="24"/>
        <v>0</v>
      </c>
      <c r="CN14" s="232">
        <f>IFERROR(VLOOKUP(CM14,'Rangos amb etnico'!$A$2:$C$6,3,9),"N.D.")</f>
        <v>0</v>
      </c>
      <c r="CO14" s="311">
        <f t="shared" si="25"/>
        <v>0</v>
      </c>
      <c r="CP14">
        <v>0.94766423094803476</v>
      </c>
      <c r="CQ14" t="s">
        <v>2864</v>
      </c>
      <c r="CR14">
        <f t="shared" si="15"/>
        <v>4</v>
      </c>
      <c r="CS14" t="str">
        <f t="shared" si="26"/>
        <v>Candidato</v>
      </c>
      <c r="CT14">
        <v>0</v>
      </c>
      <c r="CU14">
        <v>0</v>
      </c>
      <c r="CV14" s="25">
        <v>69.806076049804688</v>
      </c>
      <c r="CW14" s="25">
        <v>72.045158386230469</v>
      </c>
      <c r="CX14" s="25">
        <v>65.989631652832031</v>
      </c>
      <c r="CY14" s="25">
        <v>83.396743774414063</v>
      </c>
      <c r="CZ14" s="25">
        <v>90.787208557128906</v>
      </c>
      <c r="DA14" s="25">
        <v>34.313949584960938</v>
      </c>
      <c r="DB14" s="25">
        <v>72.303764343261719</v>
      </c>
      <c r="DC14">
        <v>21180</v>
      </c>
      <c r="DD14" s="253" t="s">
        <v>380</v>
      </c>
    </row>
    <row r="15" spans="1:108" hidden="1">
      <c r="A15" s="13">
        <v>66170</v>
      </c>
      <c r="B15" s="13" t="s">
        <v>466</v>
      </c>
      <c r="C15" s="13" t="s">
        <v>467</v>
      </c>
      <c r="D15" s="13" t="s">
        <v>468</v>
      </c>
      <c r="E15" s="13" t="s">
        <v>469</v>
      </c>
      <c r="F15" s="14">
        <v>82.241</v>
      </c>
      <c r="G15" s="13">
        <v>81.239999999999995</v>
      </c>
      <c r="H15" s="13">
        <v>86.36</v>
      </c>
      <c r="I15" s="13">
        <v>91.37</v>
      </c>
      <c r="J15" s="14">
        <v>62.410350080476761</v>
      </c>
      <c r="K15" s="14">
        <v>58.520621074417363</v>
      </c>
      <c r="L15" s="14">
        <v>60.452727085604856</v>
      </c>
      <c r="M15" s="14">
        <v>49.869399999999999</v>
      </c>
      <c r="N15" s="14">
        <f t="shared" si="0"/>
        <v>85.302750000000003</v>
      </c>
      <c r="O15" s="14">
        <f t="shared" si="1"/>
        <v>57.813274560124739</v>
      </c>
      <c r="P15" s="14">
        <f t="shared" si="16"/>
        <v>71.558012280062371</v>
      </c>
      <c r="Q15" s="14">
        <v>18.254955059406182</v>
      </c>
      <c r="R15" s="17">
        <f t="shared" si="2"/>
        <v>81.745044940593814</v>
      </c>
      <c r="S15" s="14">
        <f t="shared" si="17"/>
        <v>0.83570540446534436</v>
      </c>
      <c r="T15" s="13">
        <v>0</v>
      </c>
      <c r="U15" s="13">
        <f t="shared" si="18"/>
        <v>59.801417595245603</v>
      </c>
      <c r="V15" s="13">
        <f>IF($T15=1,$AU15,(VLOOKUP(U15,'Cortes naturales'!$A$35:$C$39,3,9)))</f>
        <v>1</v>
      </c>
      <c r="W15" s="13">
        <v>1</v>
      </c>
      <c r="X15" s="14" t="b">
        <f t="shared" si="3"/>
        <v>1</v>
      </c>
      <c r="Y15" s="17">
        <f>IF($T15=1,$AU15,VLOOKUP(U15,'Cortes naturales'!$A$45:$C$49,3,9))</f>
        <v>1</v>
      </c>
      <c r="Z15" s="14">
        <v>70.088424052376823</v>
      </c>
      <c r="AA15" s="14">
        <v>0.85723305570627906</v>
      </c>
      <c r="AB15" s="14">
        <v>60.08211392005645</v>
      </c>
      <c r="AC15" s="13">
        <v>1</v>
      </c>
      <c r="AD15" s="13">
        <f t="shared" si="4"/>
        <v>0</v>
      </c>
      <c r="AE15" s="14">
        <f t="shared" si="5"/>
        <v>1.4695882276855485</v>
      </c>
      <c r="AF15" s="14">
        <f t="shared" si="6"/>
        <v>-2.1527651240934698E-2</v>
      </c>
      <c r="AG15" s="13">
        <f t="shared" si="7"/>
        <v>-0.28069632481084739</v>
      </c>
      <c r="AH15" s="13">
        <f>IF($T15=1,$AU15,VLOOKUP(U15,'Cortes naturales'!$A$25:$C$29,3,9))</f>
        <v>1</v>
      </c>
      <c r="AI15" s="13" t="b">
        <f t="shared" si="8"/>
        <v>1</v>
      </c>
      <c r="AJ15" s="13">
        <f t="shared" si="19"/>
        <v>0</v>
      </c>
      <c r="AK15" s="28">
        <v>1.1166517821440873</v>
      </c>
      <c r="AL15" s="28">
        <v>78.264363625757099</v>
      </c>
      <c r="AM15" s="28">
        <v>0.80837867870081737</v>
      </c>
      <c r="AN15" s="13">
        <v>1</v>
      </c>
      <c r="AO15" s="33">
        <f t="shared" si="9"/>
        <v>0</v>
      </c>
      <c r="AP15" s="13">
        <f t="shared" si="20"/>
        <v>80.837867870081737</v>
      </c>
      <c r="AQ15" s="13">
        <f>IFERROR(VLOOKUP(U15,'Cortes naturales'!$E$15:$G$19,3,9),U15)</f>
        <v>2</v>
      </c>
      <c r="AR15" s="28">
        <f t="shared" si="10"/>
        <v>-0.28094637767874298</v>
      </c>
      <c r="AS15" s="13" t="b">
        <f t="shared" si="11"/>
        <v>0</v>
      </c>
      <c r="AT15" s="13">
        <f t="shared" si="21"/>
        <v>0</v>
      </c>
      <c r="AU15" s="13">
        <v>1</v>
      </c>
      <c r="AV15">
        <f t="shared" si="12"/>
        <v>0</v>
      </c>
      <c r="AW15" s="13">
        <v>0</v>
      </c>
      <c r="AX15" s="13">
        <v>1</v>
      </c>
      <c r="AY15" s="13">
        <v>0</v>
      </c>
      <c r="AZ15" s="13">
        <v>0</v>
      </c>
      <c r="BA15">
        <v>0</v>
      </c>
      <c r="BB15" t="s">
        <v>2838</v>
      </c>
      <c r="BC15">
        <v>2</v>
      </c>
      <c r="BD15" s="184" t="s">
        <v>2917</v>
      </c>
      <c r="BE15">
        <v>1</v>
      </c>
      <c r="BF15" s="232" t="s">
        <v>2845</v>
      </c>
      <c r="BG15" s="232" t="s">
        <v>2845</v>
      </c>
      <c r="BH15" s="253">
        <v>13.7</v>
      </c>
      <c r="BI15" s="253">
        <v>4.3474455410880974</v>
      </c>
      <c r="BJ15" s="25">
        <v>6.3063772681174148</v>
      </c>
      <c r="BK15" t="s">
        <v>377</v>
      </c>
      <c r="BL15">
        <v>2.3753857932392424</v>
      </c>
      <c r="BM15" t="s">
        <v>383</v>
      </c>
      <c r="BN15" s="322">
        <v>479120.61067299999</v>
      </c>
      <c r="BO15" s="322">
        <v>129721.21870700001</v>
      </c>
      <c r="BP15" s="10">
        <v>240061</v>
      </c>
      <c r="BQ15" s="254">
        <f t="shared" si="13"/>
        <v>1.9958286047004719</v>
      </c>
      <c r="BR15" s="254">
        <f t="shared" si="14"/>
        <v>0.54036773447998632</v>
      </c>
      <c r="BS15" s="25">
        <v>66.047224674797391</v>
      </c>
      <c r="BT15" s="25">
        <v>92.396541018228547</v>
      </c>
      <c r="BU15" s="25">
        <v>70.820000000000007</v>
      </c>
      <c r="BV15" s="25">
        <v>85.218604823147089</v>
      </c>
      <c r="BW15" s="25">
        <v>73.049136920248387</v>
      </c>
      <c r="BX15" s="25">
        <v>78.620592629043259</v>
      </c>
      <c r="BY15" s="25">
        <v>74.458547125602763</v>
      </c>
      <c r="BZ15">
        <v>49</v>
      </c>
      <c r="CA15">
        <v>0</v>
      </c>
      <c r="CB15">
        <v>5</v>
      </c>
      <c r="CC15">
        <v>6997.4435190000004</v>
      </c>
      <c r="CD15" s="10">
        <v>3752.8433150000001</v>
      </c>
      <c r="CE15" s="255">
        <v>0.53631634250565785</v>
      </c>
      <c r="CF15" t="str">
        <f>IFERROR(VLOOKUP(CE15,'Rangos amb etnico'!$A$2:$C$6,3,9),"N.D.")</f>
        <v>51% - 70%</v>
      </c>
      <c r="CG15" s="256">
        <v>1.0918435899629764E-4</v>
      </c>
      <c r="CH15" s="232">
        <v>0</v>
      </c>
      <c r="CI15" s="311">
        <f t="shared" si="22"/>
        <v>0</v>
      </c>
      <c r="CJ15" s="232">
        <f>IFERROR(VLOOKUP(CI15,'Rangos amb etnico'!$A$2:$C$6,3,9),"N.D.")</f>
        <v>0</v>
      </c>
      <c r="CK15" s="311">
        <f t="shared" si="23"/>
        <v>0</v>
      </c>
      <c r="CL15" s="10">
        <v>0</v>
      </c>
      <c r="CM15" s="255">
        <f t="shared" si="24"/>
        <v>0</v>
      </c>
      <c r="CN15" s="232">
        <f>IFERROR(VLOOKUP(CM15,'Rangos amb etnico'!$A$2:$C$6,3,9),"N.D.")</f>
        <v>0</v>
      </c>
      <c r="CO15" s="311">
        <f t="shared" si="25"/>
        <v>0</v>
      </c>
      <c r="CP15">
        <v>0.86843241462364951</v>
      </c>
      <c r="CQ15" t="s">
        <v>2864</v>
      </c>
      <c r="CR15">
        <f t="shared" si="15"/>
        <v>3</v>
      </c>
      <c r="CS15" t="str">
        <f t="shared" si="26"/>
        <v>Candidato</v>
      </c>
      <c r="CT15">
        <v>0</v>
      </c>
      <c r="CU15">
        <v>0</v>
      </c>
      <c r="CV15" s="25">
        <v>58.556938171386719</v>
      </c>
      <c r="CW15" s="25">
        <v>55.910106658935547</v>
      </c>
      <c r="CX15" s="25">
        <v>61.759475708007813</v>
      </c>
      <c r="CY15" s="25">
        <v>68.706588745117188</v>
      </c>
      <c r="CZ15" s="25">
        <v>68.055816650390625</v>
      </c>
      <c r="DA15" s="25">
        <v>46.71392822265625</v>
      </c>
      <c r="DB15" s="25">
        <v>50.195709228515618</v>
      </c>
      <c r="DC15">
        <v>7395</v>
      </c>
      <c r="DD15" s="253" t="s">
        <v>380</v>
      </c>
    </row>
    <row r="16" spans="1:108">
      <c r="A16" s="13">
        <v>5380</v>
      </c>
      <c r="B16" s="13" t="s">
        <v>470</v>
      </c>
      <c r="C16" s="13" t="s">
        <v>435</v>
      </c>
      <c r="D16" s="13" t="s">
        <v>436</v>
      </c>
      <c r="E16" s="13" t="s">
        <v>471</v>
      </c>
      <c r="F16" s="14">
        <v>73.229633333333297</v>
      </c>
      <c r="G16" s="13">
        <v>74.87</v>
      </c>
      <c r="H16" s="13">
        <v>77.88</v>
      </c>
      <c r="I16" s="13">
        <v>80.52</v>
      </c>
      <c r="J16" s="14">
        <v>79.786719584831474</v>
      </c>
      <c r="K16" s="14">
        <v>68.636060495332089</v>
      </c>
      <c r="L16" s="14">
        <v>75.340860685867156</v>
      </c>
      <c r="M16" s="14">
        <v>64.322000000000003</v>
      </c>
      <c r="N16" s="14">
        <f t="shared" si="0"/>
        <v>76.624908333333323</v>
      </c>
      <c r="O16" s="14">
        <f t="shared" si="1"/>
        <v>72.021410191507684</v>
      </c>
      <c r="P16" s="14">
        <f t="shared" si="16"/>
        <v>74.323159262420504</v>
      </c>
      <c r="Q16" s="14">
        <v>16.293976352412201</v>
      </c>
      <c r="R16" s="17">
        <f t="shared" si="2"/>
        <v>83.706023647587799</v>
      </c>
      <c r="S16" s="14">
        <f t="shared" si="17"/>
        <v>0.85335421282829016</v>
      </c>
      <c r="T16" s="13">
        <v>0</v>
      </c>
      <c r="U16" s="13">
        <f t="shared" si="18"/>
        <v>63.423981067294491</v>
      </c>
      <c r="V16" s="13">
        <f>IF($T16=1,$AU16,(VLOOKUP(U16,'Cortes naturales'!$A$35:$C$39,3,9)))</f>
        <v>1</v>
      </c>
      <c r="W16" s="13">
        <v>1</v>
      </c>
      <c r="X16" s="14" t="b">
        <f t="shared" si="3"/>
        <v>1</v>
      </c>
      <c r="Y16" s="17">
        <f>IF($T16=1,$AU16,VLOOKUP(U16,'Cortes naturales'!$A$45:$C$49,3,9))</f>
        <v>1</v>
      </c>
      <c r="Z16" s="14">
        <v>73.627079656112414</v>
      </c>
      <c r="AA16" s="14">
        <v>0.8471553857948052</v>
      </c>
      <c r="AB16" s="14">
        <v>62.373577071018765</v>
      </c>
      <c r="AC16" s="13">
        <v>1</v>
      </c>
      <c r="AD16" s="13">
        <f t="shared" si="4"/>
        <v>0</v>
      </c>
      <c r="AE16" s="14">
        <f t="shared" si="5"/>
        <v>0.69607960630808918</v>
      </c>
      <c r="AF16" s="14">
        <f t="shared" si="6"/>
        <v>6.1988270334849549E-3</v>
      </c>
      <c r="AG16" s="13">
        <f t="shared" si="7"/>
        <v>1.0504039962757261</v>
      </c>
      <c r="AH16" s="13">
        <f>IF($T16=1,$AU16,VLOOKUP(U16,'Cortes naturales'!$A$25:$C$29,3,9))</f>
        <v>1</v>
      </c>
      <c r="AI16" s="13" t="b">
        <f t="shared" si="8"/>
        <v>1</v>
      </c>
      <c r="AJ16" s="13">
        <f t="shared" si="19"/>
        <v>0</v>
      </c>
      <c r="AK16" s="28">
        <v>1.1166517821440873</v>
      </c>
      <c r="AL16" s="28">
        <v>82.215809712062608</v>
      </c>
      <c r="AM16" s="28">
        <v>0.85780710402371496</v>
      </c>
      <c r="AN16" s="13">
        <v>1</v>
      </c>
      <c r="AO16" s="33">
        <f t="shared" si="9"/>
        <v>0</v>
      </c>
      <c r="AP16" s="13">
        <f t="shared" si="20"/>
        <v>85.780710402371497</v>
      </c>
      <c r="AQ16" s="13">
        <f>IFERROR(VLOOKUP(U16,'Cortes naturales'!$E$15:$G$19,3,9),U16)</f>
        <v>2</v>
      </c>
      <c r="AR16" s="28">
        <f t="shared" si="10"/>
        <v>-0.26329756931579718</v>
      </c>
      <c r="AS16" s="13" t="b">
        <f t="shared" si="11"/>
        <v>0</v>
      </c>
      <c r="AT16" s="13">
        <f t="shared" si="21"/>
        <v>0</v>
      </c>
      <c r="AU16" s="13">
        <v>1</v>
      </c>
      <c r="AV16">
        <f t="shared" si="12"/>
        <v>0</v>
      </c>
      <c r="AW16" s="13">
        <v>0</v>
      </c>
      <c r="AX16" s="13">
        <v>1</v>
      </c>
      <c r="AY16" s="13">
        <v>0</v>
      </c>
      <c r="AZ16" s="13">
        <v>0</v>
      </c>
      <c r="BA16">
        <v>0</v>
      </c>
      <c r="BB16" t="s">
        <v>2838</v>
      </c>
      <c r="BC16">
        <v>2</v>
      </c>
      <c r="BD16" s="184" t="s">
        <v>2917</v>
      </c>
      <c r="BE16">
        <v>1</v>
      </c>
      <c r="BF16" s="232" t="s">
        <v>2845</v>
      </c>
      <c r="BG16" s="232" t="s">
        <v>2845</v>
      </c>
      <c r="BH16" s="253">
        <v>9.1999999999999993</v>
      </c>
      <c r="BI16" s="253">
        <v>3.5133279603593923</v>
      </c>
      <c r="BJ16" s="25">
        <v>2.1710670633753799</v>
      </c>
      <c r="BK16" t="s">
        <v>381</v>
      </c>
      <c r="BL16">
        <v>7.3095313967786941</v>
      </c>
      <c r="BM16" t="s">
        <v>379</v>
      </c>
      <c r="BN16" s="322">
        <v>198389.94041800001</v>
      </c>
      <c r="BO16" s="322">
        <v>122387.994204</v>
      </c>
      <c r="BP16" s="10">
        <v>81925</v>
      </c>
      <c r="BQ16" s="254">
        <f t="shared" si="13"/>
        <v>2.4216043993652732</v>
      </c>
      <c r="BR16" s="254">
        <f t="shared" si="14"/>
        <v>1.4939028892767776</v>
      </c>
      <c r="BS16" s="25">
        <v>80.756385632602601</v>
      </c>
      <c r="BT16" s="25">
        <v>86.602196309867523</v>
      </c>
      <c r="BU16" s="25">
        <v>72.52</v>
      </c>
      <c r="BV16" s="25">
        <v>82.411298623648619</v>
      </c>
      <c r="BW16" s="25">
        <v>71.548086467439205</v>
      </c>
      <c r="BX16" s="25">
        <v>80.572470141529692</v>
      </c>
      <c r="BY16" s="25">
        <v>71.803447027583857</v>
      </c>
      <c r="BZ16">
        <v>2</v>
      </c>
      <c r="CA16">
        <v>0</v>
      </c>
      <c r="CB16">
        <v>6</v>
      </c>
      <c r="CC16">
        <v>3683.8446509999999</v>
      </c>
      <c r="CD16" s="10">
        <v>1734.0469499999999</v>
      </c>
      <c r="CE16" s="255">
        <v>0.470716632833386</v>
      </c>
      <c r="CF16" t="str">
        <f>IFERROR(VLOOKUP(CE16,'Rangos amb etnico'!$A$2:$C$6,3,9),"N.D.")</f>
        <v>31% - 50%</v>
      </c>
      <c r="CG16" s="256">
        <v>5.0449962551989724E-5</v>
      </c>
      <c r="CH16" s="232">
        <v>0</v>
      </c>
      <c r="CI16" s="311">
        <f t="shared" si="22"/>
        <v>0</v>
      </c>
      <c r="CJ16" s="232">
        <f>IFERROR(VLOOKUP(CI16,'Rangos amb etnico'!$A$2:$C$6,3,9),"N.D.")</f>
        <v>0</v>
      </c>
      <c r="CK16" s="311">
        <f t="shared" si="23"/>
        <v>0</v>
      </c>
      <c r="CL16" s="10">
        <v>0</v>
      </c>
      <c r="CM16" s="255">
        <f t="shared" si="24"/>
        <v>0</v>
      </c>
      <c r="CN16" s="232">
        <f>IFERROR(VLOOKUP(CM16,'Rangos amb etnico'!$A$2:$C$6,3,9),"N.D.")</f>
        <v>0</v>
      </c>
      <c r="CO16" s="311">
        <f t="shared" si="25"/>
        <v>0</v>
      </c>
      <c r="CP16">
        <v>0.72704991092992266</v>
      </c>
      <c r="CQ16" t="s">
        <v>2866</v>
      </c>
      <c r="CR16">
        <f t="shared" si="15"/>
        <v>3</v>
      </c>
      <c r="CS16" t="str">
        <f t="shared" si="26"/>
        <v>Candidato</v>
      </c>
      <c r="CT16">
        <v>0</v>
      </c>
      <c r="CU16">
        <v>0</v>
      </c>
      <c r="CV16" s="25">
        <v>63.347431182861328</v>
      </c>
      <c r="CW16" s="25">
        <v>62.139503479003913</v>
      </c>
      <c r="CX16" s="25">
        <v>56.786724090576172</v>
      </c>
      <c r="CY16" s="25">
        <v>82.828086853027344</v>
      </c>
      <c r="CZ16" s="25">
        <v>71.660057067871094</v>
      </c>
      <c r="DA16" s="25">
        <v>44.550464630126953</v>
      </c>
      <c r="DB16" s="25">
        <v>62.119747161865227</v>
      </c>
      <c r="DC16">
        <v>1840</v>
      </c>
      <c r="DD16" s="253" t="s">
        <v>380</v>
      </c>
    </row>
    <row r="17" spans="1:108" ht="16" hidden="1" customHeight="1">
      <c r="A17" s="13">
        <v>63001</v>
      </c>
      <c r="B17" s="13" t="s">
        <v>472</v>
      </c>
      <c r="C17" s="13" t="s">
        <v>473</v>
      </c>
      <c r="D17" s="13" t="s">
        <v>474</v>
      </c>
      <c r="E17" s="13" t="s">
        <v>475</v>
      </c>
      <c r="F17" s="14">
        <v>80.838899999999995</v>
      </c>
      <c r="G17" s="13">
        <v>73.58</v>
      </c>
      <c r="H17" s="13">
        <v>71.02</v>
      </c>
      <c r="I17" s="13">
        <v>73.75</v>
      </c>
      <c r="J17" s="14">
        <v>55.589241951223649</v>
      </c>
      <c r="K17" s="14">
        <v>59.478834146350508</v>
      </c>
      <c r="L17" s="14">
        <v>72.671761002416531</v>
      </c>
      <c r="M17" s="14">
        <v>62.229700000000001</v>
      </c>
      <c r="N17" s="14">
        <f t="shared" si="0"/>
        <v>74.797224999999997</v>
      </c>
      <c r="O17" s="14">
        <f t="shared" si="1"/>
        <v>62.492384274997676</v>
      </c>
      <c r="P17" s="14">
        <f t="shared" si="16"/>
        <v>68.644804637498837</v>
      </c>
      <c r="Q17" s="14">
        <v>21.415439754618351</v>
      </c>
      <c r="R17" s="17">
        <f t="shared" si="2"/>
        <v>78.584560245381653</v>
      </c>
      <c r="S17" s="14">
        <f t="shared" si="17"/>
        <v>0.80726104220843486</v>
      </c>
      <c r="T17" s="13">
        <v>0</v>
      </c>
      <c r="U17" s="13">
        <f t="shared" si="18"/>
        <v>55.414276533861717</v>
      </c>
      <c r="V17" s="13">
        <f>IF($T17=1,$AU17,(VLOOKUP(U17,'Cortes naturales'!$A$35:$C$39,3,9)))</f>
        <v>1</v>
      </c>
      <c r="W17" s="13">
        <v>1</v>
      </c>
      <c r="X17" s="14" t="b">
        <f t="shared" si="3"/>
        <v>1</v>
      </c>
      <c r="Y17" s="17">
        <f>IF($T17=1,$AU17,VLOOKUP(U17,'Cortes naturales'!$A$45:$C$49,3,9))</f>
        <v>1</v>
      </c>
      <c r="Z17" s="14">
        <v>68.110528439319793</v>
      </c>
      <c r="AA17" s="14">
        <v>0.829570972197338</v>
      </c>
      <c r="AB17" s="14">
        <v>56.502517294280956</v>
      </c>
      <c r="AC17" s="13">
        <v>1</v>
      </c>
      <c r="AD17" s="13">
        <f t="shared" si="4"/>
        <v>0</v>
      </c>
      <c r="AE17" s="14">
        <f t="shared" si="5"/>
        <v>0.53427619817904315</v>
      </c>
      <c r="AF17" s="14">
        <f t="shared" si="6"/>
        <v>-2.2309929988903132E-2</v>
      </c>
      <c r="AG17" s="13">
        <f t="shared" si="7"/>
        <v>-1.0882407604192395</v>
      </c>
      <c r="AH17" s="13">
        <f>IF($T17=1,$AU17,VLOOKUP(U17,'Cortes naturales'!$A$25:$C$29,3,9))</f>
        <v>1</v>
      </c>
      <c r="AI17" s="13" t="b">
        <f t="shared" si="8"/>
        <v>1</v>
      </c>
      <c r="AJ17" s="13">
        <f t="shared" si="19"/>
        <v>0</v>
      </c>
      <c r="AK17" s="28" t="s">
        <v>440</v>
      </c>
      <c r="AL17" s="28" t="s">
        <v>380</v>
      </c>
      <c r="AM17" s="28" t="s">
        <v>380</v>
      </c>
      <c r="AN17" s="221" t="s">
        <v>476</v>
      </c>
      <c r="AO17" s="33">
        <f t="shared" si="9"/>
        <v>1</v>
      </c>
      <c r="AP17" s="13" t="str">
        <f t="shared" si="20"/>
        <v>N.D</v>
      </c>
      <c r="AQ17" s="13">
        <f>IFERROR(VLOOKUP(U17,'Cortes naturales'!$E$15:$G$19,3,9),U17)</f>
        <v>2</v>
      </c>
      <c r="AR17" s="28" t="str">
        <f t="shared" si="10"/>
        <v>N.D.</v>
      </c>
      <c r="AS17" s="13" t="b">
        <f t="shared" si="11"/>
        <v>0</v>
      </c>
      <c r="AT17" s="13" t="str">
        <f t="shared" si="21"/>
        <v>Cambio en corte</v>
      </c>
      <c r="AU17" s="13" t="s">
        <v>476</v>
      </c>
      <c r="AV17">
        <f t="shared" si="12"/>
        <v>1</v>
      </c>
      <c r="AW17" s="13">
        <v>1</v>
      </c>
      <c r="AX17" s="13">
        <v>0</v>
      </c>
      <c r="AY17" s="13">
        <v>0</v>
      </c>
      <c r="AZ17" s="13">
        <v>0</v>
      </c>
      <c r="BA17">
        <v>0</v>
      </c>
      <c r="BB17" t="s">
        <v>2838</v>
      </c>
      <c r="BC17">
        <v>1</v>
      </c>
      <c r="BD17" t="s">
        <v>2918</v>
      </c>
      <c r="BE17">
        <v>0</v>
      </c>
      <c r="BF17" s="232" t="s">
        <v>2845</v>
      </c>
      <c r="BG17" s="232" t="s">
        <v>2845</v>
      </c>
      <c r="BH17" s="253">
        <v>14.4</v>
      </c>
      <c r="BI17" s="253">
        <v>5.376065222870376</v>
      </c>
      <c r="BJ17" s="25">
        <v>0.14577673622039905</v>
      </c>
      <c r="BK17" t="s">
        <v>381</v>
      </c>
      <c r="BL17">
        <v>2.2051582336938749</v>
      </c>
      <c r="BM17" t="s">
        <v>383</v>
      </c>
      <c r="BN17" s="322">
        <v>743381.67003299994</v>
      </c>
      <c r="BO17" s="322">
        <v>219947.947258</v>
      </c>
      <c r="BP17" s="10">
        <v>305676</v>
      </c>
      <c r="BQ17" s="254">
        <f t="shared" si="13"/>
        <v>2.4319268442174065</v>
      </c>
      <c r="BR17" s="254">
        <f t="shared" si="14"/>
        <v>0.71954601361572379</v>
      </c>
      <c r="BS17" s="25">
        <v>73.500272448987786</v>
      </c>
      <c r="BT17" s="25">
        <v>95.056308430307737</v>
      </c>
      <c r="BU17" s="25">
        <v>76.286666666666676</v>
      </c>
      <c r="BV17" s="25">
        <v>83.962301871097679</v>
      </c>
      <c r="BW17" s="25">
        <v>80.645627577811666</v>
      </c>
      <c r="BX17" s="25">
        <v>82.201387354264966</v>
      </c>
      <c r="BY17" s="25">
        <v>82.704354544159358</v>
      </c>
      <c r="BZ17">
        <v>16</v>
      </c>
      <c r="CA17">
        <v>1</v>
      </c>
      <c r="CB17">
        <v>3</v>
      </c>
      <c r="CC17">
        <v>12093.041995</v>
      </c>
      <c r="CD17" s="10">
        <v>2370.4218810000002</v>
      </c>
      <c r="CE17" s="255">
        <v>0.1960153518014803</v>
      </c>
      <c r="CF17" t="str">
        <f>IFERROR(VLOOKUP(CE17,'Rangos amb etnico'!$A$2:$C$6,3,9),"N.D.")</f>
        <v>0,1% - 30%</v>
      </c>
      <c r="CG17" s="256">
        <v>6.896450821522858E-5</v>
      </c>
      <c r="CH17" s="232">
        <v>0</v>
      </c>
      <c r="CI17" s="311">
        <f t="shared" si="22"/>
        <v>0</v>
      </c>
      <c r="CJ17" s="232">
        <f>IFERROR(VLOOKUP(CI17,'Rangos amb etnico'!$A$2:$C$6,3,9),"N.D.")</f>
        <v>0</v>
      </c>
      <c r="CK17" s="311">
        <f t="shared" si="23"/>
        <v>0</v>
      </c>
      <c r="CL17" s="10">
        <v>0</v>
      </c>
      <c r="CM17" s="255">
        <f t="shared" si="24"/>
        <v>0</v>
      </c>
      <c r="CN17" s="232">
        <f>IFERROR(VLOOKUP(CM17,'Rangos amb etnico'!$A$2:$C$6,3,9),"N.D.")</f>
        <v>0</v>
      </c>
      <c r="CO17" s="311">
        <f t="shared" si="25"/>
        <v>0</v>
      </c>
      <c r="CP17">
        <v>0.72618335175239712</v>
      </c>
      <c r="CQ17" t="s">
        <v>2866</v>
      </c>
      <c r="CR17">
        <f t="shared" si="15"/>
        <v>3</v>
      </c>
      <c r="CS17" t="str">
        <f t="shared" si="26"/>
        <v>Candidato</v>
      </c>
      <c r="CT17">
        <v>0</v>
      </c>
      <c r="CU17">
        <v>0</v>
      </c>
      <c r="CV17" s="25">
        <v>62.745487213134773</v>
      </c>
      <c r="CW17" s="25">
        <v>54.116065979003913</v>
      </c>
      <c r="CX17" s="25">
        <v>55.561023712158203</v>
      </c>
      <c r="CY17" s="25">
        <v>87.168807983398438</v>
      </c>
      <c r="CZ17" s="25">
        <v>87.896492004394531</v>
      </c>
      <c r="DA17" s="25">
        <v>32.652786254882813</v>
      </c>
      <c r="DB17" s="25">
        <v>59.077747344970703</v>
      </c>
      <c r="DC17">
        <v>10794</v>
      </c>
      <c r="DD17" s="253">
        <v>5.5806013768584055</v>
      </c>
    </row>
    <row r="18" spans="1:108">
      <c r="A18" s="13">
        <v>5212</v>
      </c>
      <c r="B18" s="13" t="s">
        <v>477</v>
      </c>
      <c r="C18" s="13" t="s">
        <v>435</v>
      </c>
      <c r="D18" s="13" t="s">
        <v>436</v>
      </c>
      <c r="E18" s="13" t="s">
        <v>478</v>
      </c>
      <c r="F18" s="14">
        <v>73.544300000000007</v>
      </c>
      <c r="G18" s="13">
        <v>84.79</v>
      </c>
      <c r="H18" s="13">
        <v>76.7</v>
      </c>
      <c r="I18" s="13">
        <v>77.69</v>
      </c>
      <c r="J18" s="14">
        <v>56.744030513408632</v>
      </c>
      <c r="K18" s="14">
        <v>62.162810269285885</v>
      </c>
      <c r="L18" s="14">
        <v>74.514956697836098</v>
      </c>
      <c r="M18" s="14">
        <v>75.340800000000002</v>
      </c>
      <c r="N18" s="14">
        <f t="shared" si="0"/>
        <v>78.181075000000007</v>
      </c>
      <c r="O18" s="14">
        <f t="shared" si="1"/>
        <v>67.190649370132661</v>
      </c>
      <c r="P18" s="14">
        <f t="shared" si="16"/>
        <v>72.685862185066327</v>
      </c>
      <c r="Q18" s="14">
        <v>21.220251573315611</v>
      </c>
      <c r="R18" s="17">
        <f t="shared" si="2"/>
        <v>78.779748426684392</v>
      </c>
      <c r="S18" s="14">
        <f t="shared" si="17"/>
        <v>0.80901773584015957</v>
      </c>
      <c r="T18" s="13">
        <v>0</v>
      </c>
      <c r="U18" s="13">
        <f t="shared" si="18"/>
        <v>58.804151652552235</v>
      </c>
      <c r="V18" s="13">
        <f>IF($T18=1,$AU18,(VLOOKUP(U18,'Cortes naturales'!$A$35:$C$39,3,9)))</f>
        <v>1</v>
      </c>
      <c r="W18" s="13">
        <v>1</v>
      </c>
      <c r="X18" s="14" t="b">
        <f t="shared" si="3"/>
        <v>1</v>
      </c>
      <c r="Y18" s="17">
        <f>IF($T18=1,$AU18,VLOOKUP(U18,'Cortes naturales'!$A$45:$C$49,3,9))</f>
        <v>1</v>
      </c>
      <c r="Z18" s="14">
        <v>69.841272144912423</v>
      </c>
      <c r="AA18" s="14">
        <v>0.81140164783166435</v>
      </c>
      <c r="AB18" s="14">
        <v>56.669323305041658</v>
      </c>
      <c r="AC18" s="13">
        <v>1</v>
      </c>
      <c r="AD18" s="13">
        <f t="shared" si="4"/>
        <v>0</v>
      </c>
      <c r="AE18" s="14">
        <f t="shared" si="5"/>
        <v>2.8445900401539035</v>
      </c>
      <c r="AF18" s="14">
        <f t="shared" si="6"/>
        <v>-2.3839119915047835E-3</v>
      </c>
      <c r="AG18" s="13">
        <f t="shared" si="7"/>
        <v>2.1348283475105774</v>
      </c>
      <c r="AH18" s="13">
        <f>IF($T18=1,$AU18,VLOOKUP(U18,'Cortes naturales'!$A$25:$C$29,3,9))</f>
        <v>1</v>
      </c>
      <c r="AI18" s="13" t="b">
        <f t="shared" si="8"/>
        <v>1</v>
      </c>
      <c r="AJ18" s="13">
        <f t="shared" si="19"/>
        <v>0</v>
      </c>
      <c r="AK18" s="28">
        <v>1.1166517821440873</v>
      </c>
      <c r="AL18" s="28">
        <v>77.988381007826661</v>
      </c>
      <c r="AM18" s="28">
        <v>0.80492642706360817</v>
      </c>
      <c r="AN18" s="13">
        <v>1</v>
      </c>
      <c r="AO18" s="33">
        <f t="shared" si="9"/>
        <v>0</v>
      </c>
      <c r="AP18" s="13">
        <f t="shared" si="20"/>
        <v>80.492642706360812</v>
      </c>
      <c r="AQ18" s="13">
        <f>IFERROR(VLOOKUP(U18,'Cortes naturales'!$E$15:$G$19,3,9),U18)</f>
        <v>2</v>
      </c>
      <c r="AR18" s="28">
        <f t="shared" si="10"/>
        <v>-0.30763404630392777</v>
      </c>
      <c r="AS18" s="13" t="b">
        <f t="shared" si="11"/>
        <v>0</v>
      </c>
      <c r="AT18" s="13">
        <f t="shared" si="21"/>
        <v>0</v>
      </c>
      <c r="AU18" s="13">
        <v>1</v>
      </c>
      <c r="AV18">
        <f t="shared" si="12"/>
        <v>0</v>
      </c>
      <c r="AW18" s="13">
        <v>0</v>
      </c>
      <c r="AX18" s="13">
        <v>1</v>
      </c>
      <c r="AY18" s="13">
        <v>0</v>
      </c>
      <c r="AZ18" s="13">
        <v>0</v>
      </c>
      <c r="BA18">
        <v>0</v>
      </c>
      <c r="BB18" t="s">
        <v>2838</v>
      </c>
      <c r="BC18">
        <v>3</v>
      </c>
      <c r="BD18" s="184" t="s">
        <v>2917</v>
      </c>
      <c r="BE18">
        <v>1</v>
      </c>
      <c r="BF18" s="232" t="s">
        <v>2846</v>
      </c>
      <c r="BG18" s="232" t="s">
        <v>2845</v>
      </c>
      <c r="BH18" s="253">
        <v>11.6</v>
      </c>
      <c r="BI18" s="253">
        <v>3.8079339625121587</v>
      </c>
      <c r="BJ18" s="25">
        <v>3.932324799417477</v>
      </c>
      <c r="BK18" t="s">
        <v>381</v>
      </c>
      <c r="BL18">
        <v>10.157192131701784</v>
      </c>
      <c r="BM18" t="s">
        <v>379</v>
      </c>
      <c r="BN18" s="322">
        <v>111714.974285</v>
      </c>
      <c r="BO18" s="322">
        <v>59517.286460000003</v>
      </c>
      <c r="BP18" s="10">
        <v>89546</v>
      </c>
      <c r="BQ18" s="254">
        <f t="shared" si="13"/>
        <v>1.2475707936144551</v>
      </c>
      <c r="BR18" s="254">
        <f t="shared" si="14"/>
        <v>0.66465600317155427</v>
      </c>
      <c r="BS18" s="25">
        <v>75.943459191456895</v>
      </c>
      <c r="BT18" s="25">
        <v>89.989708111659567</v>
      </c>
      <c r="BU18" s="25">
        <v>72.569999999999993</v>
      </c>
      <c r="BV18" s="25">
        <v>82.037392167559645</v>
      </c>
      <c r="BW18" s="25">
        <v>69.923470015593068</v>
      </c>
      <c r="BX18" s="25">
        <v>80.135139867669025</v>
      </c>
      <c r="BY18" s="25">
        <v>71.449064091363013</v>
      </c>
      <c r="BZ18">
        <v>2</v>
      </c>
      <c r="CA18">
        <v>0</v>
      </c>
      <c r="CB18">
        <v>6</v>
      </c>
      <c r="CC18">
        <v>6792.4347200000002</v>
      </c>
      <c r="CD18" s="10">
        <v>965.91143999999997</v>
      </c>
      <c r="CE18" s="255">
        <v>0.14220400781415238</v>
      </c>
      <c r="CF18" t="str">
        <f>IFERROR(VLOOKUP(CE18,'Rangos amb etnico'!$A$2:$C$6,3,9),"N.D.")</f>
        <v>0,1% - 30%</v>
      </c>
      <c r="CG18" s="256">
        <v>2.8102004952367909E-5</v>
      </c>
      <c r="CH18" s="232">
        <v>0</v>
      </c>
      <c r="CI18" s="311">
        <f t="shared" si="22"/>
        <v>0</v>
      </c>
      <c r="CJ18" s="232">
        <f>IFERROR(VLOOKUP(CI18,'Rangos amb etnico'!$A$2:$C$6,3,9),"N.D.")</f>
        <v>0</v>
      </c>
      <c r="CK18" s="311">
        <f t="shared" si="23"/>
        <v>0</v>
      </c>
      <c r="CL18" s="10">
        <v>0</v>
      </c>
      <c r="CM18" s="255">
        <f t="shared" si="24"/>
        <v>0</v>
      </c>
      <c r="CN18" s="232">
        <f>IFERROR(VLOOKUP(CM18,'Rangos amb etnico'!$A$2:$C$6,3,9),"N.D.")</f>
        <v>0</v>
      </c>
      <c r="CO18" s="311">
        <f t="shared" si="25"/>
        <v>0</v>
      </c>
      <c r="CP18">
        <v>0.95288753391042014</v>
      </c>
      <c r="CQ18" t="s">
        <v>2864</v>
      </c>
      <c r="CR18">
        <f t="shared" si="15"/>
        <v>4</v>
      </c>
      <c r="CS18" t="str">
        <f t="shared" si="26"/>
        <v>Candidato</v>
      </c>
      <c r="CT18">
        <v>0</v>
      </c>
      <c r="CU18">
        <v>0</v>
      </c>
      <c r="CV18" s="25">
        <v>55.607028961181641</v>
      </c>
      <c r="CW18" s="25">
        <v>55.769729614257813</v>
      </c>
      <c r="CX18" s="25">
        <v>58.391002655029297</v>
      </c>
      <c r="CY18" s="25">
        <v>66.609573364257813</v>
      </c>
      <c r="CZ18" s="25">
        <v>75.45745849609375</v>
      </c>
      <c r="DA18" s="25">
        <v>26.670217514038089</v>
      </c>
      <c r="DB18" s="25">
        <v>50.744190216064453</v>
      </c>
      <c r="DC18">
        <v>1153</v>
      </c>
      <c r="DD18" s="253" t="s">
        <v>380</v>
      </c>
    </row>
    <row r="19" spans="1:108" hidden="1">
      <c r="A19" s="13">
        <v>13001</v>
      </c>
      <c r="B19" s="13" t="s">
        <v>479</v>
      </c>
      <c r="C19" s="13" t="s">
        <v>480</v>
      </c>
      <c r="D19" s="13" t="s">
        <v>481</v>
      </c>
      <c r="E19" s="13" t="s">
        <v>482</v>
      </c>
      <c r="F19" s="14">
        <v>74.895200000000003</v>
      </c>
      <c r="G19" s="13">
        <v>83.93</v>
      </c>
      <c r="H19" s="13">
        <v>87.68</v>
      </c>
      <c r="I19" s="13">
        <v>95.43</v>
      </c>
      <c r="J19" s="14">
        <v>50.389288136943634</v>
      </c>
      <c r="K19" s="14">
        <v>62.995235603873802</v>
      </c>
      <c r="L19" s="14">
        <v>59.246471070715515</v>
      </c>
      <c r="M19" s="14">
        <v>63.357500000000002</v>
      </c>
      <c r="N19" s="14">
        <f t="shared" si="0"/>
        <v>85.483800000000002</v>
      </c>
      <c r="O19" s="14">
        <f t="shared" si="1"/>
        <v>58.997123702883243</v>
      </c>
      <c r="P19" s="14">
        <f t="shared" si="16"/>
        <v>72.240461851441623</v>
      </c>
      <c r="Q19" s="14">
        <v>23.24767286625692</v>
      </c>
      <c r="R19" s="17">
        <f t="shared" si="2"/>
        <v>76.75232713374308</v>
      </c>
      <c r="S19" s="14">
        <f t="shared" si="17"/>
        <v>0.79077094420368776</v>
      </c>
      <c r="T19" s="13">
        <v>1</v>
      </c>
      <c r="U19" s="13">
        <f t="shared" si="18"/>
        <v>57.125658227974981</v>
      </c>
      <c r="V19" s="13" t="str">
        <f>IF($T19=1,$AU19,(VLOOKUP(U19,'Cortes naturales'!$A$35:$C$39,3,9)))</f>
        <v>Ciudades grandes</v>
      </c>
      <c r="W19" s="13" t="s">
        <v>371</v>
      </c>
      <c r="X19" s="14" t="b">
        <f t="shared" si="3"/>
        <v>1</v>
      </c>
      <c r="Y19" s="17" t="str">
        <f>IF($T19=1,$AU19,VLOOKUP(U19,'Cortes naturales'!$A$45:$C$49,3,9))</f>
        <v>Ciudades grandes</v>
      </c>
      <c r="Z19" s="14">
        <v>66.707502873099685</v>
      </c>
      <c r="AA19" s="14">
        <v>0.80810208247355519</v>
      </c>
      <c r="AB19" s="14" t="s">
        <v>371</v>
      </c>
      <c r="AC19" s="13" t="s">
        <v>371</v>
      </c>
      <c r="AD19" s="13">
        <f t="shared" si="4"/>
        <v>0</v>
      </c>
      <c r="AE19" s="14">
        <f t="shared" si="5"/>
        <v>5.532958978341938</v>
      </c>
      <c r="AF19" s="14">
        <f t="shared" si="6"/>
        <v>-1.733113826986743E-2</v>
      </c>
      <c r="AG19" s="13">
        <f t="shared" si="7"/>
        <v>0</v>
      </c>
      <c r="AH19" s="13" t="str">
        <f>IF($T19=1,$AU19,VLOOKUP(U19,'Cortes naturales'!$A$25:$C$29,3,9))</f>
        <v>Ciudades grandes</v>
      </c>
      <c r="AI19" s="13" t="b">
        <f t="shared" si="8"/>
        <v>1</v>
      </c>
      <c r="AJ19" s="13">
        <f t="shared" si="19"/>
        <v>0</v>
      </c>
      <c r="AK19" s="28" t="s">
        <v>440</v>
      </c>
      <c r="AL19" s="28" t="s">
        <v>380</v>
      </c>
      <c r="AM19" s="28" t="s">
        <v>380</v>
      </c>
      <c r="AN19" s="13" t="s">
        <v>371</v>
      </c>
      <c r="AO19" s="33">
        <f t="shared" si="9"/>
        <v>0</v>
      </c>
      <c r="AP19" s="13" t="str">
        <f t="shared" si="20"/>
        <v>N.D</v>
      </c>
      <c r="AQ19" s="13">
        <f>IFERROR(VLOOKUP(U19,'Cortes naturales'!$E$15:$G$19,3,9),U19)</f>
        <v>2</v>
      </c>
      <c r="AR19" s="28" t="str">
        <f t="shared" si="10"/>
        <v>N.D.</v>
      </c>
      <c r="AS19" s="13" t="b">
        <f t="shared" si="11"/>
        <v>0</v>
      </c>
      <c r="AT19" s="13">
        <f t="shared" si="21"/>
        <v>0</v>
      </c>
      <c r="AU19" s="13" t="s">
        <v>371</v>
      </c>
      <c r="AV19">
        <f t="shared" si="12"/>
        <v>0</v>
      </c>
      <c r="AW19" s="13">
        <v>1</v>
      </c>
      <c r="AX19" s="13">
        <v>0</v>
      </c>
      <c r="AY19" s="13">
        <v>1</v>
      </c>
      <c r="AZ19" s="13">
        <v>0</v>
      </c>
      <c r="BA19">
        <v>0</v>
      </c>
      <c r="BB19" t="s">
        <v>2838</v>
      </c>
      <c r="BC19" t="s">
        <v>368</v>
      </c>
      <c r="BD19" t="s">
        <v>2918</v>
      </c>
      <c r="BE19">
        <v>0</v>
      </c>
      <c r="BF19" s="232" t="s">
        <v>2845</v>
      </c>
      <c r="BG19" s="232" t="s">
        <v>2845</v>
      </c>
      <c r="BH19" s="253">
        <v>19.899999999999999</v>
      </c>
      <c r="BI19" s="253">
        <v>12.489537193298375</v>
      </c>
      <c r="BJ19" s="25">
        <v>2.8556486946520816</v>
      </c>
      <c r="BK19" t="s">
        <v>381</v>
      </c>
      <c r="BL19">
        <v>3.5309754969960374</v>
      </c>
      <c r="BM19" t="s">
        <v>383</v>
      </c>
      <c r="BN19" s="322">
        <v>3574723.968901</v>
      </c>
      <c r="BO19" s="322">
        <v>1376552.77883</v>
      </c>
      <c r="BP19" s="10">
        <v>1010408</v>
      </c>
      <c r="BQ19" s="254">
        <f t="shared" si="13"/>
        <v>3.537901490191091</v>
      </c>
      <c r="BR19" s="254">
        <f t="shared" si="14"/>
        <v>1.3623731985791878</v>
      </c>
      <c r="BS19" s="25">
        <v>74.107770194951598</v>
      </c>
      <c r="BT19" s="25">
        <v>95.727997541013607</v>
      </c>
      <c r="BU19" s="25">
        <v>39.380875658899427</v>
      </c>
      <c r="BV19" s="25">
        <v>71.322604670196213</v>
      </c>
      <c r="BW19" s="25">
        <v>75.616252687283875</v>
      </c>
      <c r="BX19" s="25">
        <v>70.134812016265215</v>
      </c>
      <c r="BY19" s="25">
        <v>78.361794660693974</v>
      </c>
      <c r="BZ19">
        <v>48</v>
      </c>
      <c r="CA19">
        <v>1</v>
      </c>
      <c r="CB19">
        <v>2</v>
      </c>
      <c r="CC19">
        <v>56713.609632</v>
      </c>
      <c r="CD19" s="10">
        <v>5352.3425630000002</v>
      </c>
      <c r="CE19" s="255">
        <v>9.4374923369010932E-2</v>
      </c>
      <c r="CF19" t="str">
        <f>IFERROR(VLOOKUP(CE19,'Rangos amb etnico'!$A$2:$C$6,3,9),"N.D.")</f>
        <v>0,1% - 30%</v>
      </c>
      <c r="CG19" s="256">
        <v>1.5571982169731375E-4</v>
      </c>
      <c r="CH19" s="232">
        <v>366.79110900000001</v>
      </c>
      <c r="CI19" s="311">
        <f t="shared" si="22"/>
        <v>6.4674266261663298E-3</v>
      </c>
      <c r="CJ19" s="232" t="str">
        <f>IFERROR(VLOOKUP(CI19,'Rangos amb etnico'!$A$2:$C$6,3,9),"N.D.")</f>
        <v>0,1% - 30%</v>
      </c>
      <c r="CK19" s="311">
        <f t="shared" si="23"/>
        <v>1.4564008482225947E-5</v>
      </c>
      <c r="CL19" s="10">
        <v>0</v>
      </c>
      <c r="CM19" s="255">
        <f t="shared" si="24"/>
        <v>0</v>
      </c>
      <c r="CN19" s="232">
        <f>IFERROR(VLOOKUP(CM19,'Rangos amb etnico'!$A$2:$C$6,3,9),"N.D.")</f>
        <v>0</v>
      </c>
      <c r="CO19" s="311">
        <f t="shared" si="25"/>
        <v>0</v>
      </c>
      <c r="CP19">
        <v>0.95627341851762737</v>
      </c>
      <c r="CQ19" t="s">
        <v>2864</v>
      </c>
      <c r="CR19">
        <f t="shared" si="15"/>
        <v>4</v>
      </c>
      <c r="CS19" t="str">
        <f t="shared" si="26"/>
        <v>Candidato</v>
      </c>
      <c r="CT19">
        <v>0</v>
      </c>
      <c r="CU19">
        <v>0</v>
      </c>
      <c r="CV19" s="25">
        <v>57.383731842041023</v>
      </c>
      <c r="CW19" s="25">
        <v>74.163528442382813</v>
      </c>
      <c r="CX19" s="25">
        <v>55.401248931884773</v>
      </c>
      <c r="CY19" s="25">
        <v>71.019233703613281</v>
      </c>
      <c r="CZ19" s="25">
        <v>57.037891387939453</v>
      </c>
      <c r="DA19" s="25">
        <v>21.741750717163089</v>
      </c>
      <c r="DB19" s="25">
        <v>64.938728332519531</v>
      </c>
      <c r="DC19">
        <v>254108</v>
      </c>
      <c r="DD19" s="253">
        <v>5.5798712040655376</v>
      </c>
    </row>
    <row r="20" spans="1:108" hidden="1">
      <c r="A20" s="13">
        <v>25175</v>
      </c>
      <c r="B20" s="13" t="s">
        <v>483</v>
      </c>
      <c r="C20" s="13" t="s">
        <v>461</v>
      </c>
      <c r="D20" s="13" t="s">
        <v>462</v>
      </c>
      <c r="E20" s="13" t="s">
        <v>484</v>
      </c>
      <c r="F20" s="14">
        <v>74.293400000000005</v>
      </c>
      <c r="G20" s="13">
        <v>74.31</v>
      </c>
      <c r="H20" s="13">
        <v>69.56</v>
      </c>
      <c r="I20" s="13">
        <v>72.83</v>
      </c>
      <c r="J20" s="14">
        <v>56.333168428156796</v>
      </c>
      <c r="K20" s="14">
        <v>54.103281455242339</v>
      </c>
      <c r="L20" s="14">
        <v>65.948572006954805</v>
      </c>
      <c r="M20" s="14">
        <v>59.270499999999998</v>
      </c>
      <c r="N20" s="14">
        <f t="shared" si="0"/>
        <v>72.748350000000002</v>
      </c>
      <c r="O20" s="14">
        <f t="shared" si="1"/>
        <v>58.913880472588481</v>
      </c>
      <c r="P20" s="14">
        <f t="shared" si="16"/>
        <v>65.831115236294238</v>
      </c>
      <c r="Q20" s="14">
        <v>23.604372197885652</v>
      </c>
      <c r="R20" s="17">
        <f t="shared" si="2"/>
        <v>76.395627802114348</v>
      </c>
      <c r="S20" s="14">
        <f t="shared" si="17"/>
        <v>0.78756065021902921</v>
      </c>
      <c r="T20" s="13">
        <v>0</v>
      </c>
      <c r="U20" s="13">
        <f t="shared" si="18"/>
        <v>51.845995920139728</v>
      </c>
      <c r="V20" s="13">
        <f>IF($T20=1,$AU20,(VLOOKUP(U20,'Cortes naturales'!$A$35:$C$39,3,9)))</f>
        <v>2</v>
      </c>
      <c r="W20" s="13">
        <v>2</v>
      </c>
      <c r="X20" s="14" t="b">
        <f t="shared" si="3"/>
        <v>1</v>
      </c>
      <c r="Y20" s="17">
        <f>IF($T20=1,$AU20,VLOOKUP(U20,'Cortes naturales'!$A$45:$C$49,3,9))</f>
        <v>1</v>
      </c>
      <c r="Z20" s="14">
        <v>66.375845824017063</v>
      </c>
      <c r="AA20" s="14">
        <v>0.80122074977989099</v>
      </c>
      <c r="AB20" s="14">
        <v>53.181704958393397</v>
      </c>
      <c r="AC20" s="13">
        <v>1</v>
      </c>
      <c r="AD20" s="13">
        <f t="shared" si="4"/>
        <v>0</v>
      </c>
      <c r="AE20" s="14">
        <f t="shared" si="5"/>
        <v>-0.54473058772282457</v>
      </c>
      <c r="AF20" s="14">
        <f t="shared" si="6"/>
        <v>-1.3660099560861783E-2</v>
      </c>
      <c r="AG20" s="13">
        <f t="shared" si="7"/>
        <v>-1.3357090382536683</v>
      </c>
      <c r="AH20" s="13">
        <f>IF($T20=1,$AU20,VLOOKUP(U20,'Cortes naturales'!$A$25:$C$29,3,9))</f>
        <v>1</v>
      </c>
      <c r="AI20" s="13" t="b">
        <f t="shared" si="8"/>
        <v>1</v>
      </c>
      <c r="AJ20" s="13">
        <f t="shared" si="19"/>
        <v>0</v>
      </c>
      <c r="AK20" s="28">
        <v>1.1166517821440873</v>
      </c>
      <c r="AL20" s="28">
        <v>74.118706530709829</v>
      </c>
      <c r="AM20" s="28">
        <v>0.75652087837626025</v>
      </c>
      <c r="AN20" s="13">
        <v>1</v>
      </c>
      <c r="AO20" s="33">
        <f t="shared" si="9"/>
        <v>0</v>
      </c>
      <c r="AP20" s="13">
        <f t="shared" si="20"/>
        <v>75.652087837626027</v>
      </c>
      <c r="AQ20" s="13">
        <f>IFERROR(VLOOKUP(U20,'Cortes naturales'!$E$15:$G$19,3,9),U20)</f>
        <v>2</v>
      </c>
      <c r="AR20" s="28">
        <f t="shared" si="10"/>
        <v>-0.32909113192505812</v>
      </c>
      <c r="AS20" s="13" t="b">
        <f t="shared" si="11"/>
        <v>0</v>
      </c>
      <c r="AT20" s="13">
        <f t="shared" si="21"/>
        <v>0</v>
      </c>
      <c r="AU20" s="13">
        <v>1</v>
      </c>
      <c r="AV20">
        <f t="shared" si="12"/>
        <v>0</v>
      </c>
      <c r="AW20" s="13">
        <v>0</v>
      </c>
      <c r="AX20" s="13">
        <v>1</v>
      </c>
      <c r="AY20" s="13">
        <v>0</v>
      </c>
      <c r="AZ20" s="13">
        <v>0</v>
      </c>
      <c r="BA20">
        <v>0</v>
      </c>
      <c r="BB20" t="s">
        <v>2838</v>
      </c>
      <c r="BC20">
        <v>1</v>
      </c>
      <c r="BD20" s="184" t="s">
        <v>2917</v>
      </c>
      <c r="BE20">
        <v>1</v>
      </c>
      <c r="BF20" s="232" t="s">
        <v>2845</v>
      </c>
      <c r="BG20" s="232" t="s">
        <v>2846</v>
      </c>
      <c r="BH20" s="253">
        <v>6.7</v>
      </c>
      <c r="BI20" s="253">
        <v>3.0375991239039091</v>
      </c>
      <c r="BJ20" s="25">
        <v>3.7937008071309326</v>
      </c>
      <c r="BK20" t="s">
        <v>381</v>
      </c>
      <c r="BL20">
        <v>0.76363109824533026</v>
      </c>
      <c r="BM20" t="s">
        <v>383</v>
      </c>
      <c r="BN20" s="322">
        <v>414458.05768700002</v>
      </c>
      <c r="BO20" s="322">
        <v>238128.89717099999</v>
      </c>
      <c r="BP20" s="10">
        <v>169539</v>
      </c>
      <c r="BQ20" s="254">
        <f t="shared" si="13"/>
        <v>2.444617802906706</v>
      </c>
      <c r="BR20" s="254">
        <f t="shared" si="14"/>
        <v>1.4045670740714524</v>
      </c>
      <c r="BS20" s="25">
        <v>73.954778043135136</v>
      </c>
      <c r="BT20" s="25">
        <v>99.828767123287662</v>
      </c>
      <c r="BU20" s="25">
        <v>76.968333333333348</v>
      </c>
      <c r="BV20" s="25">
        <v>74.076418818452808</v>
      </c>
      <c r="BW20" s="25">
        <v>70.772565071205264</v>
      </c>
      <c r="BX20" s="25">
        <v>81.207074329552242</v>
      </c>
      <c r="BY20" s="25">
        <v>72.300856351232412</v>
      </c>
      <c r="BZ20">
        <v>94</v>
      </c>
      <c r="CA20">
        <v>0</v>
      </c>
      <c r="CB20">
        <v>5</v>
      </c>
      <c r="CC20">
        <v>8005.1592899999996</v>
      </c>
      <c r="CD20" s="10">
        <v>1423.1116019999999</v>
      </c>
      <c r="CE20" s="255">
        <v>0.17777430160293536</v>
      </c>
      <c r="CF20" t="str">
        <f>IFERROR(VLOOKUP(CE20,'Rangos amb etnico'!$A$2:$C$6,3,9),"N.D.")</f>
        <v>0,1% - 30%</v>
      </c>
      <c r="CG20" s="256">
        <v>4.1403681156500463E-5</v>
      </c>
      <c r="CH20" s="232">
        <v>196.579317</v>
      </c>
      <c r="CI20" s="311">
        <f t="shared" si="22"/>
        <v>2.4556577811707732E-2</v>
      </c>
      <c r="CJ20" s="232" t="str">
        <f>IFERROR(VLOOKUP(CI20,'Rangos amb etnico'!$A$2:$C$6,3,9),"N.D.")</f>
        <v>0,1% - 30%</v>
      </c>
      <c r="CK20" s="311">
        <f t="shared" si="23"/>
        <v>7.8054859290991784E-6</v>
      </c>
      <c r="CL20" s="10">
        <v>0</v>
      </c>
      <c r="CM20" s="255">
        <f t="shared" si="24"/>
        <v>0</v>
      </c>
      <c r="CN20" s="232">
        <f>IFERROR(VLOOKUP(CM20,'Rangos amb etnico'!$A$2:$C$6,3,9),"N.D.")</f>
        <v>0</v>
      </c>
      <c r="CO20" s="311">
        <f t="shared" si="25"/>
        <v>0</v>
      </c>
      <c r="CP20">
        <v>0.95762169859897295</v>
      </c>
      <c r="CQ20" t="s">
        <v>2864</v>
      </c>
      <c r="CR20">
        <f t="shared" si="15"/>
        <v>3</v>
      </c>
      <c r="CS20" t="str">
        <f t="shared" si="26"/>
        <v>Candidato</v>
      </c>
      <c r="CT20">
        <v>0</v>
      </c>
      <c r="CU20">
        <v>0</v>
      </c>
      <c r="CV20" s="25">
        <v>64.831588745117188</v>
      </c>
      <c r="CW20" s="25">
        <v>61.810253143310547</v>
      </c>
      <c r="CX20" s="25">
        <v>60.653633117675781</v>
      </c>
      <c r="CY20" s="25">
        <v>77.7501220703125</v>
      </c>
      <c r="CZ20" s="25">
        <v>80.902778625488281</v>
      </c>
      <c r="DA20" s="25">
        <v>45.436252593994141</v>
      </c>
      <c r="DB20" s="25">
        <v>62.436473846435547</v>
      </c>
      <c r="DC20">
        <v>5093</v>
      </c>
      <c r="DD20" s="253" t="s">
        <v>380</v>
      </c>
    </row>
    <row r="21" spans="1:108" hidden="1">
      <c r="A21" s="13">
        <v>8433</v>
      </c>
      <c r="B21" s="13" t="s">
        <v>485</v>
      </c>
      <c r="C21" s="13" t="s">
        <v>442</v>
      </c>
      <c r="D21" s="13" t="s">
        <v>443</v>
      </c>
      <c r="E21" s="13" t="s">
        <v>486</v>
      </c>
      <c r="F21" s="14">
        <v>64.637733333333301</v>
      </c>
      <c r="G21" s="13">
        <v>71.83</v>
      </c>
      <c r="H21" s="13">
        <v>43.63</v>
      </c>
      <c r="I21" s="13">
        <v>44.85</v>
      </c>
      <c r="J21" s="14">
        <v>44.3830130672427</v>
      </c>
      <c r="K21" s="14">
        <v>46.902502303824747</v>
      </c>
      <c r="L21" s="14">
        <v>45.188416240799057</v>
      </c>
      <c r="M21" s="14">
        <v>43.369399999999999</v>
      </c>
      <c r="N21" s="14">
        <f t="shared" si="0"/>
        <v>56.236933333333319</v>
      </c>
      <c r="O21" s="14">
        <f t="shared" si="1"/>
        <v>44.960832902966629</v>
      </c>
      <c r="P21" s="14">
        <f t="shared" si="16"/>
        <v>50.598883118149971</v>
      </c>
      <c r="Q21" s="14">
        <v>23.60242966398684</v>
      </c>
      <c r="R21" s="17">
        <f t="shared" si="2"/>
        <v>76.39757033601316</v>
      </c>
      <c r="S21" s="14">
        <f t="shared" si="17"/>
        <v>0.7875781330241185</v>
      </c>
      <c r="T21" s="13">
        <v>0</v>
      </c>
      <c r="U21" s="13">
        <f t="shared" si="18"/>
        <v>39.850573899298141</v>
      </c>
      <c r="V21" s="13">
        <f>IF($T21=1,$AU21,(VLOOKUP(U21,'Cortes naturales'!$A$35:$C$39,3,9)))</f>
        <v>2</v>
      </c>
      <c r="W21" s="13">
        <v>2</v>
      </c>
      <c r="X21" s="14" t="b">
        <f t="shared" si="3"/>
        <v>1</v>
      </c>
      <c r="Y21" s="17">
        <f>IF($T21=1,$AU21,VLOOKUP(U21,'Cortes naturales'!$A$45:$C$49,3,9))</f>
        <v>2</v>
      </c>
      <c r="Z21" s="14">
        <v>53.445001695512886</v>
      </c>
      <c r="AA21" s="14">
        <v>0.80223917997900296</v>
      </c>
      <c r="AB21" s="14">
        <v>42.87567433418468</v>
      </c>
      <c r="AC21" s="13">
        <v>2</v>
      </c>
      <c r="AD21" s="13">
        <f t="shared" si="4"/>
        <v>0</v>
      </c>
      <c r="AE21" s="14">
        <f t="shared" si="5"/>
        <v>-2.8461185773629154</v>
      </c>
      <c r="AF21" s="14">
        <f t="shared" si="6"/>
        <v>-1.466104695488446E-2</v>
      </c>
      <c r="AG21" s="13">
        <f t="shared" si="7"/>
        <v>-3.0251004348865393</v>
      </c>
      <c r="AH21" s="13">
        <f>IF($T21=1,$AU21,VLOOKUP(U21,'Cortes naturales'!$A$25:$C$29,3,9))</f>
        <v>2</v>
      </c>
      <c r="AI21" s="13" t="b">
        <f t="shared" si="8"/>
        <v>1</v>
      </c>
      <c r="AJ21" s="13">
        <f t="shared" si="19"/>
        <v>0</v>
      </c>
      <c r="AK21" s="28">
        <v>1.1166517821440873</v>
      </c>
      <c r="AL21" s="28">
        <v>59.679456389988232</v>
      </c>
      <c r="AM21" s="28">
        <v>0.57590107952014258</v>
      </c>
      <c r="AN21" s="13">
        <v>2</v>
      </c>
      <c r="AO21" s="33">
        <f t="shared" si="9"/>
        <v>0</v>
      </c>
      <c r="AP21" s="13">
        <f t="shared" si="20"/>
        <v>57.590107952014257</v>
      </c>
      <c r="AQ21" s="13">
        <f>IFERROR(VLOOKUP(U21,'Cortes naturales'!$E$15:$G$19,3,9),U21)</f>
        <v>3</v>
      </c>
      <c r="AR21" s="28">
        <f t="shared" si="10"/>
        <v>-0.32907364911996884</v>
      </c>
      <c r="AS21" s="13" t="b">
        <f t="shared" si="11"/>
        <v>0</v>
      </c>
      <c r="AT21" s="13">
        <f t="shared" si="21"/>
        <v>0</v>
      </c>
      <c r="AU21" s="13">
        <v>1</v>
      </c>
      <c r="AV21">
        <f t="shared" si="12"/>
        <v>-1</v>
      </c>
      <c r="AW21" s="13">
        <v>0</v>
      </c>
      <c r="AX21" s="13">
        <v>1</v>
      </c>
      <c r="AY21" s="13">
        <v>0</v>
      </c>
      <c r="AZ21" s="13">
        <v>0</v>
      </c>
      <c r="BA21">
        <v>0</v>
      </c>
      <c r="BB21" t="s">
        <v>2838</v>
      </c>
      <c r="BC21">
        <v>3</v>
      </c>
      <c r="BD21" s="184" t="s">
        <v>2917</v>
      </c>
      <c r="BE21">
        <v>1</v>
      </c>
      <c r="BF21" s="232" t="s">
        <v>2845</v>
      </c>
      <c r="BG21" s="232" t="s">
        <v>2846</v>
      </c>
      <c r="BH21" s="253">
        <v>30</v>
      </c>
      <c r="BI21" s="253">
        <v>12.915190803983158</v>
      </c>
      <c r="BJ21" s="25">
        <v>2.2374719485932615</v>
      </c>
      <c r="BK21" t="s">
        <v>381</v>
      </c>
      <c r="BL21">
        <v>5.3011232313287149</v>
      </c>
      <c r="BM21" t="s">
        <v>383</v>
      </c>
      <c r="BN21" s="322">
        <v>279848.138981</v>
      </c>
      <c r="BO21" s="322">
        <v>52971.523879</v>
      </c>
      <c r="BP21" s="10">
        <v>149019</v>
      </c>
      <c r="BQ21" s="254">
        <f t="shared" si="13"/>
        <v>1.877935961058657</v>
      </c>
      <c r="BR21" s="254">
        <f t="shared" si="14"/>
        <v>0.35546825491380296</v>
      </c>
      <c r="BS21" s="25">
        <v>61.575060858550223</v>
      </c>
      <c r="BT21" s="25">
        <v>86.596947050622177</v>
      </c>
      <c r="BU21" s="25">
        <v>45.779560152163562</v>
      </c>
      <c r="BV21" s="25">
        <v>87.998900688833729</v>
      </c>
      <c r="BW21" s="25">
        <v>35.486346168290687</v>
      </c>
      <c r="BX21" s="25">
        <v>70.487617187542426</v>
      </c>
      <c r="BY21" s="25">
        <v>37.57449522871682</v>
      </c>
      <c r="BZ21">
        <v>5</v>
      </c>
      <c r="CA21">
        <v>0</v>
      </c>
      <c r="CB21">
        <v>5</v>
      </c>
      <c r="CC21">
        <v>9818.9817129999992</v>
      </c>
      <c r="CD21" s="10">
        <v>182.03521599999999</v>
      </c>
      <c r="CE21" s="255">
        <v>1.8539113456030938E-2</v>
      </c>
      <c r="CF21" t="str">
        <f>IFERROR(VLOOKUP(CE21,'Rangos amb etnico'!$A$2:$C$6,3,9),"N.D.")</f>
        <v>0,1% - 30%</v>
      </c>
      <c r="CG21" s="256">
        <v>5.2960906452638786E-6</v>
      </c>
      <c r="CH21" s="232">
        <v>0</v>
      </c>
      <c r="CI21" s="311">
        <f t="shared" si="22"/>
        <v>0</v>
      </c>
      <c r="CJ21" s="232">
        <f>IFERROR(VLOOKUP(CI21,'Rangos amb etnico'!$A$2:$C$6,3,9),"N.D.")</f>
        <v>0</v>
      </c>
      <c r="CK21" s="311">
        <f t="shared" si="23"/>
        <v>0</v>
      </c>
      <c r="CL21" s="10">
        <v>0</v>
      </c>
      <c r="CM21" s="255">
        <f t="shared" si="24"/>
        <v>0</v>
      </c>
      <c r="CN21" s="232">
        <f>IFERROR(VLOOKUP(CM21,'Rangos amb etnico'!$A$2:$C$6,3,9),"N.D.")</f>
        <v>0</v>
      </c>
      <c r="CO21" s="311">
        <f t="shared" si="25"/>
        <v>0</v>
      </c>
      <c r="CP21">
        <v>0.69827988245447858</v>
      </c>
      <c r="CQ21" t="s">
        <v>2866</v>
      </c>
      <c r="CR21">
        <f t="shared" si="15"/>
        <v>0</v>
      </c>
      <c r="CS21" t="str">
        <f t="shared" si="26"/>
        <v>No es Candidato</v>
      </c>
      <c r="CT21">
        <v>0</v>
      </c>
      <c r="CU21">
        <v>0</v>
      </c>
      <c r="CV21" s="25">
        <v>55.775794982910163</v>
      </c>
      <c r="CW21" s="25">
        <v>62.900943756103523</v>
      </c>
      <c r="CX21" s="25">
        <v>57.923622131347663</v>
      </c>
      <c r="CY21" s="25">
        <v>66.129981994628906</v>
      </c>
      <c r="CZ21" s="25">
        <v>35.669094085693359</v>
      </c>
      <c r="DA21" s="25">
        <v>50.009853363037109</v>
      </c>
      <c r="DB21" s="25">
        <v>62.021282196044922</v>
      </c>
      <c r="DC21">
        <v>10276</v>
      </c>
      <c r="DD21" s="253" t="s">
        <v>380</v>
      </c>
    </row>
    <row r="22" spans="1:108" hidden="1">
      <c r="A22" s="13">
        <v>25126</v>
      </c>
      <c r="B22" s="13" t="s">
        <v>487</v>
      </c>
      <c r="C22" s="13" t="s">
        <v>461</v>
      </c>
      <c r="D22" s="13" t="s">
        <v>462</v>
      </c>
      <c r="E22" s="13" t="s">
        <v>488</v>
      </c>
      <c r="F22" s="14">
        <v>97.266999999999996</v>
      </c>
      <c r="G22" s="13">
        <v>69.92</v>
      </c>
      <c r="H22" s="13">
        <v>74.760000000000005</v>
      </c>
      <c r="I22" s="13">
        <v>78.19</v>
      </c>
      <c r="J22" s="14">
        <v>58.649205860033739</v>
      </c>
      <c r="K22" s="14">
        <v>65.104106113408875</v>
      </c>
      <c r="L22" s="14">
        <v>72.752293922325251</v>
      </c>
      <c r="M22" s="14">
        <v>61.311900000000001</v>
      </c>
      <c r="N22" s="14">
        <f t="shared" si="0"/>
        <v>80.03425</v>
      </c>
      <c r="O22" s="14">
        <f t="shared" si="1"/>
        <v>64.454376473941963</v>
      </c>
      <c r="P22" s="14">
        <f t="shared" si="16"/>
        <v>72.244313236970982</v>
      </c>
      <c r="Q22" s="14">
        <v>23.036470229695734</v>
      </c>
      <c r="R22" s="17">
        <f t="shared" si="2"/>
        <v>76.963529770304262</v>
      </c>
      <c r="S22" s="14">
        <f t="shared" si="17"/>
        <v>0.7926717679327383</v>
      </c>
      <c r="T22" s="13">
        <v>0</v>
      </c>
      <c r="U22" s="13">
        <f t="shared" si="18"/>
        <v>57.266027496636319</v>
      </c>
      <c r="V22" s="13">
        <f>IF($T22=1,$AU22,(VLOOKUP(U22,'Cortes naturales'!$A$35:$C$39,3,9)))</f>
        <v>1</v>
      </c>
      <c r="W22" s="13">
        <v>1</v>
      </c>
      <c r="X22" s="14" t="b">
        <f t="shared" si="3"/>
        <v>1</v>
      </c>
      <c r="Y22" s="17">
        <f>IF($T22=1,$AU22,VLOOKUP(U22,'Cortes naturales'!$A$45:$C$49,3,9))</f>
        <v>1</v>
      </c>
      <c r="Z22" s="14">
        <v>75.611344370980234</v>
      </c>
      <c r="AA22" s="14">
        <v>0.79700193971093336</v>
      </c>
      <c r="AB22" s="14">
        <v>60.262388127822611</v>
      </c>
      <c r="AC22" s="13">
        <v>1</v>
      </c>
      <c r="AD22" s="13">
        <f t="shared" si="4"/>
        <v>0</v>
      </c>
      <c r="AE22" s="14">
        <f t="shared" si="5"/>
        <v>-3.3670311340092525</v>
      </c>
      <c r="AF22" s="14">
        <f t="shared" si="6"/>
        <v>-4.3301717781950577E-3</v>
      </c>
      <c r="AG22" s="13">
        <f t="shared" si="7"/>
        <v>-2.9963606311862918</v>
      </c>
      <c r="AH22" s="13">
        <f>IF($T22=1,$AU22,VLOOKUP(U22,'Cortes naturales'!$A$25:$C$29,3,9))</f>
        <v>1</v>
      </c>
      <c r="AI22" s="13" t="b">
        <f t="shared" si="8"/>
        <v>1</v>
      </c>
      <c r="AJ22" s="13">
        <f t="shared" si="19"/>
        <v>0</v>
      </c>
      <c r="AK22" s="28">
        <v>1.1166517821440873</v>
      </c>
      <c r="AL22" s="28">
        <v>84.43154244216538</v>
      </c>
      <c r="AM22" s="28">
        <v>0.88552358487485139</v>
      </c>
      <c r="AN22" s="13">
        <v>1</v>
      </c>
      <c r="AO22" s="33">
        <f t="shared" si="9"/>
        <v>0</v>
      </c>
      <c r="AP22" s="13">
        <f t="shared" si="20"/>
        <v>88.552358487485137</v>
      </c>
      <c r="AQ22" s="13">
        <f>IFERROR(VLOOKUP(U22,'Cortes naturales'!$E$15:$G$19,3,9),U22)</f>
        <v>2</v>
      </c>
      <c r="AR22" s="28">
        <f t="shared" si="10"/>
        <v>-0.32398001421134903</v>
      </c>
      <c r="AS22" s="13" t="b">
        <f t="shared" si="11"/>
        <v>0</v>
      </c>
      <c r="AT22" s="13">
        <f t="shared" si="21"/>
        <v>0</v>
      </c>
      <c r="AU22" s="13">
        <v>1</v>
      </c>
      <c r="AV22">
        <f t="shared" si="12"/>
        <v>0</v>
      </c>
      <c r="AW22" s="13">
        <v>0</v>
      </c>
      <c r="AX22" s="13">
        <v>1</v>
      </c>
      <c r="AY22" s="13">
        <v>0</v>
      </c>
      <c r="AZ22" s="13">
        <v>0</v>
      </c>
      <c r="BA22">
        <v>0</v>
      </c>
      <c r="BB22" t="s">
        <v>2838</v>
      </c>
      <c r="BC22">
        <v>2</v>
      </c>
      <c r="BD22" s="184" t="s">
        <v>2917</v>
      </c>
      <c r="BE22">
        <v>1</v>
      </c>
      <c r="BF22" s="232" t="s">
        <v>2846</v>
      </c>
      <c r="BG22" s="232" t="s">
        <v>2845</v>
      </c>
      <c r="BH22" s="253">
        <v>6.8</v>
      </c>
      <c r="BI22" s="253">
        <v>3.2048575756823205</v>
      </c>
      <c r="BJ22" s="25">
        <v>4.6743161460486027</v>
      </c>
      <c r="BK22" t="s">
        <v>381</v>
      </c>
      <c r="BL22">
        <v>0.43223863587430744</v>
      </c>
      <c r="BM22" t="s">
        <v>383</v>
      </c>
      <c r="BN22" s="322">
        <v>173596.657496</v>
      </c>
      <c r="BO22" s="322">
        <v>123929.237225</v>
      </c>
      <c r="BP22" s="10">
        <v>118870</v>
      </c>
      <c r="BQ22" s="254">
        <f t="shared" si="13"/>
        <v>1.4603908260789098</v>
      </c>
      <c r="BR22" s="254">
        <f t="shared" si="14"/>
        <v>1.0425610938420122</v>
      </c>
      <c r="BS22" s="25">
        <v>62.550665030881618</v>
      </c>
      <c r="BT22" s="25">
        <v>87.843582625276909</v>
      </c>
      <c r="BU22" s="25">
        <v>77.94</v>
      </c>
      <c r="BV22" s="25">
        <v>79.845496750001118</v>
      </c>
      <c r="BW22" s="25">
        <v>63.390133932513898</v>
      </c>
      <c r="BX22" s="25">
        <v>77.044936101539918</v>
      </c>
      <c r="BY22" s="25">
        <v>64.038337606212764</v>
      </c>
      <c r="BZ22">
        <v>94</v>
      </c>
      <c r="CA22">
        <v>0</v>
      </c>
      <c r="CB22">
        <v>6</v>
      </c>
      <c r="CC22">
        <v>5125.63177</v>
      </c>
      <c r="CD22" s="10">
        <v>801.17987700000003</v>
      </c>
      <c r="CE22" s="255">
        <v>0.15630851238461088</v>
      </c>
      <c r="CF22" t="str">
        <f>IFERROR(VLOOKUP(CE22,'Rangos amb etnico'!$A$2:$C$6,3,9),"N.D.")</f>
        <v>0,1% - 30%</v>
      </c>
      <c r="CG22" s="256">
        <v>2.3309342801853049E-5</v>
      </c>
      <c r="CH22" s="232">
        <v>0</v>
      </c>
      <c r="CI22" s="311">
        <f t="shared" si="22"/>
        <v>0</v>
      </c>
      <c r="CJ22" s="232">
        <f>IFERROR(VLOOKUP(CI22,'Rangos amb etnico'!$A$2:$C$6,3,9),"N.D.")</f>
        <v>0</v>
      </c>
      <c r="CK22" s="311">
        <f t="shared" si="23"/>
        <v>0</v>
      </c>
      <c r="CL22" s="10">
        <v>0</v>
      </c>
      <c r="CM22" s="255">
        <f t="shared" si="24"/>
        <v>0</v>
      </c>
      <c r="CN22" s="232">
        <f>IFERROR(VLOOKUP(CM22,'Rangos amb etnico'!$A$2:$C$6,3,9),"N.D.")</f>
        <v>0</v>
      </c>
      <c r="CO22" s="311">
        <f t="shared" si="25"/>
        <v>0</v>
      </c>
      <c r="CP22">
        <v>0.94195607898142386</v>
      </c>
      <c r="CQ22" t="s">
        <v>2864</v>
      </c>
      <c r="CR22">
        <f t="shared" si="15"/>
        <v>4</v>
      </c>
      <c r="CS22" t="str">
        <f t="shared" si="26"/>
        <v>Candidato</v>
      </c>
      <c r="CT22">
        <v>0</v>
      </c>
      <c r="CU22">
        <v>0</v>
      </c>
      <c r="CV22" s="25">
        <v>68.291267395019531</v>
      </c>
      <c r="CW22" s="25">
        <v>62.103115081787109</v>
      </c>
      <c r="CX22" s="25">
        <v>60.999279022216797</v>
      </c>
      <c r="CY22" s="25">
        <v>74.6044921875</v>
      </c>
      <c r="CZ22" s="25">
        <v>96.782455444335938</v>
      </c>
      <c r="DA22" s="25">
        <v>54.229606628417969</v>
      </c>
      <c r="DB22" s="25">
        <v>61.028636932373047</v>
      </c>
      <c r="DC22">
        <v>713</v>
      </c>
      <c r="DD22" s="253" t="s">
        <v>380</v>
      </c>
    </row>
    <row r="23" spans="1:108" hidden="1">
      <c r="A23" s="13">
        <v>25286</v>
      </c>
      <c r="B23" s="13" t="s">
        <v>489</v>
      </c>
      <c r="C23" s="13" t="s">
        <v>461</v>
      </c>
      <c r="D23" s="13" t="s">
        <v>462</v>
      </c>
      <c r="E23" s="13" t="s">
        <v>490</v>
      </c>
      <c r="F23" s="14">
        <v>75.839833333333303</v>
      </c>
      <c r="G23" s="13">
        <v>95.18</v>
      </c>
      <c r="H23" s="13">
        <v>97.75</v>
      </c>
      <c r="I23" s="13">
        <v>98.09</v>
      </c>
      <c r="J23" s="14">
        <v>62.085722877350975</v>
      </c>
      <c r="K23" s="14">
        <v>67.479381106820711</v>
      </c>
      <c r="L23" s="14">
        <v>71.531562771808822</v>
      </c>
      <c r="M23" s="14">
        <v>68.365300000000005</v>
      </c>
      <c r="N23" s="14">
        <f t="shared" si="0"/>
        <v>91.714958333333328</v>
      </c>
      <c r="O23" s="14">
        <f t="shared" si="1"/>
        <v>67.365491688995121</v>
      </c>
      <c r="P23" s="14">
        <f t="shared" si="16"/>
        <v>79.540225011164225</v>
      </c>
      <c r="Q23" s="14">
        <v>24.485001817214162</v>
      </c>
      <c r="R23" s="17">
        <f t="shared" si="2"/>
        <v>75.514998182785831</v>
      </c>
      <c r="S23" s="14">
        <f t="shared" si="17"/>
        <v>0.77963498364507244</v>
      </c>
      <c r="T23" s="13">
        <v>0</v>
      </c>
      <c r="U23" s="13">
        <f t="shared" si="18"/>
        <v>62.012342025704399</v>
      </c>
      <c r="V23" s="13">
        <f>IF($T23=1,$AU23,(VLOOKUP(U23,'Cortes naturales'!$A$35:$C$39,3,9)))</f>
        <v>1</v>
      </c>
      <c r="W23" s="13">
        <v>1</v>
      </c>
      <c r="X23" s="14" t="b">
        <f t="shared" si="3"/>
        <v>1</v>
      </c>
      <c r="Y23" s="17">
        <f>IF($T23=1,$AU23,VLOOKUP(U23,'Cortes naturales'!$A$45:$C$49,3,9))</f>
        <v>1</v>
      </c>
      <c r="Z23" s="14">
        <v>74.595592664992409</v>
      </c>
      <c r="AA23" s="14">
        <v>0.79649550187646823</v>
      </c>
      <c r="AB23" s="14">
        <v>59.415054017475718</v>
      </c>
      <c r="AC23" s="13">
        <v>1</v>
      </c>
      <c r="AD23" s="13">
        <f t="shared" si="4"/>
        <v>0</v>
      </c>
      <c r="AE23" s="14">
        <f t="shared" si="5"/>
        <v>4.9446323461718151</v>
      </c>
      <c r="AF23" s="14">
        <f t="shared" si="6"/>
        <v>-1.6860518231395782E-2</v>
      </c>
      <c r="AG23" s="13">
        <f t="shared" si="7"/>
        <v>2.5972880082286807</v>
      </c>
      <c r="AH23" s="13">
        <f>IF($T23=1,$AU23,VLOOKUP(U23,'Cortes naturales'!$A$25:$C$29,3,9))</f>
        <v>1</v>
      </c>
      <c r="AI23" s="13" t="b">
        <f t="shared" si="8"/>
        <v>1</v>
      </c>
      <c r="AJ23" s="13">
        <f t="shared" si="19"/>
        <v>0</v>
      </c>
      <c r="AK23" s="28">
        <v>1.1166517821440873</v>
      </c>
      <c r="AL23" s="28">
        <v>83.297301489458178</v>
      </c>
      <c r="AM23" s="28">
        <v>0.87133542615914483</v>
      </c>
      <c r="AN23" s="13">
        <v>1</v>
      </c>
      <c r="AO23" s="33">
        <f t="shared" si="9"/>
        <v>0</v>
      </c>
      <c r="AP23" s="13">
        <f t="shared" si="20"/>
        <v>87.133542615914479</v>
      </c>
      <c r="AQ23" s="13">
        <f>IFERROR(VLOOKUP(U23,'Cortes naturales'!$E$15:$G$19,3,9),U23)</f>
        <v>2</v>
      </c>
      <c r="AR23" s="28">
        <f t="shared" si="10"/>
        <v>-0.33701679849901489</v>
      </c>
      <c r="AS23" s="13" t="b">
        <f t="shared" si="11"/>
        <v>0</v>
      </c>
      <c r="AT23" s="13">
        <f t="shared" si="21"/>
        <v>0</v>
      </c>
      <c r="AU23" s="13">
        <v>1</v>
      </c>
      <c r="AV23">
        <f t="shared" si="12"/>
        <v>0</v>
      </c>
      <c r="AW23" s="13">
        <v>0</v>
      </c>
      <c r="AX23" s="13">
        <v>1</v>
      </c>
      <c r="AY23" s="13">
        <v>0</v>
      </c>
      <c r="AZ23" s="13">
        <v>0</v>
      </c>
      <c r="BA23">
        <v>0</v>
      </c>
      <c r="BB23" t="s">
        <v>2838</v>
      </c>
      <c r="BC23">
        <v>1</v>
      </c>
      <c r="BD23" s="184" t="s">
        <v>2917</v>
      </c>
      <c r="BE23">
        <v>0</v>
      </c>
      <c r="BF23" s="232" t="s">
        <v>2845</v>
      </c>
      <c r="BG23" s="232" t="s">
        <v>2846</v>
      </c>
      <c r="BH23" s="253">
        <v>7.8</v>
      </c>
      <c r="BI23" s="253">
        <v>3.3594353148781293</v>
      </c>
      <c r="BJ23" s="25">
        <v>1.5404632611121235E-2</v>
      </c>
      <c r="BK23" t="s">
        <v>381</v>
      </c>
      <c r="BL23">
        <v>1.0668458468904187</v>
      </c>
      <c r="BM23" t="s">
        <v>383</v>
      </c>
      <c r="BN23" s="322">
        <v>389363.50822999998</v>
      </c>
      <c r="BO23" s="322">
        <v>207551.901243</v>
      </c>
      <c r="BP23" s="10">
        <v>118457</v>
      </c>
      <c r="BQ23" s="254">
        <f t="shared" si="13"/>
        <v>3.2869607387490816</v>
      </c>
      <c r="BR23" s="254">
        <f t="shared" si="14"/>
        <v>1.7521286310053437</v>
      </c>
      <c r="BS23" s="25">
        <v>70.291946436706169</v>
      </c>
      <c r="BT23" s="25">
        <v>92.177069105413764</v>
      </c>
      <c r="BU23" s="25">
        <v>73.578333333333333</v>
      </c>
      <c r="BV23" s="25">
        <v>77.567110858580534</v>
      </c>
      <c r="BW23" s="25">
        <v>67.25655330674175</v>
      </c>
      <c r="BX23" s="25">
        <v>78.40361493350845</v>
      </c>
      <c r="BY23" s="25">
        <v>69.158940402020093</v>
      </c>
      <c r="BZ23">
        <v>59</v>
      </c>
      <c r="CA23">
        <v>0</v>
      </c>
      <c r="CB23">
        <v>4</v>
      </c>
      <c r="CC23">
        <v>6997.2625740000003</v>
      </c>
      <c r="CD23" s="10">
        <v>1453.177557</v>
      </c>
      <c r="CE23" s="255">
        <v>0.2076780085971946</v>
      </c>
      <c r="CF23" t="str">
        <f>IFERROR(VLOOKUP(CE23,'Rangos amb etnico'!$A$2:$C$6,3,9),"N.D.")</f>
        <v>0,1% - 30%</v>
      </c>
      <c r="CG23" s="256">
        <v>4.2278413126035549E-5</v>
      </c>
      <c r="CH23" s="232">
        <v>0</v>
      </c>
      <c r="CI23" s="311">
        <f t="shared" si="22"/>
        <v>0</v>
      </c>
      <c r="CJ23" s="232">
        <f>IFERROR(VLOOKUP(CI23,'Rangos amb etnico'!$A$2:$C$6,3,9),"N.D.")</f>
        <v>0</v>
      </c>
      <c r="CK23" s="311">
        <f t="shared" si="23"/>
        <v>0</v>
      </c>
      <c r="CL23" s="10">
        <v>0</v>
      </c>
      <c r="CM23" s="255">
        <f t="shared" si="24"/>
        <v>0</v>
      </c>
      <c r="CN23" s="232">
        <f>IFERROR(VLOOKUP(CM23,'Rangos amb etnico'!$A$2:$C$6,3,9),"N.D.")</f>
        <v>0</v>
      </c>
      <c r="CO23" s="311">
        <f t="shared" si="25"/>
        <v>0</v>
      </c>
      <c r="CP23">
        <v>0.93141659314924086</v>
      </c>
      <c r="CQ23" t="s">
        <v>2864</v>
      </c>
      <c r="CR23">
        <f t="shared" si="15"/>
        <v>4</v>
      </c>
      <c r="CS23" t="str">
        <f t="shared" si="26"/>
        <v>Candidato</v>
      </c>
      <c r="CT23">
        <v>0</v>
      </c>
      <c r="CU23">
        <v>0</v>
      </c>
      <c r="CV23" s="25">
        <v>65.212516784667969</v>
      </c>
      <c r="CW23" s="25">
        <v>75.781883239746094</v>
      </c>
      <c r="CX23" s="25">
        <v>58.185619354248047</v>
      </c>
      <c r="CY23" s="25">
        <v>79.115371704101563</v>
      </c>
      <c r="CZ23" s="25">
        <v>68.568168640136719</v>
      </c>
      <c r="DA23" s="25">
        <v>55.0806884765625</v>
      </c>
      <c r="DB23" s="25">
        <v>54.543357849121087</v>
      </c>
      <c r="DC23">
        <v>1135</v>
      </c>
      <c r="DD23" s="253" t="s">
        <v>380</v>
      </c>
    </row>
    <row r="24" spans="1:108" hidden="1">
      <c r="A24" s="13">
        <v>25473</v>
      </c>
      <c r="B24" s="13" t="s">
        <v>491</v>
      </c>
      <c r="C24" s="13" t="s">
        <v>461</v>
      </c>
      <c r="D24" s="13" t="s">
        <v>462</v>
      </c>
      <c r="E24" s="13" t="s">
        <v>492</v>
      </c>
      <c r="F24" s="14">
        <v>97.808199999999999</v>
      </c>
      <c r="G24" s="13">
        <v>92.25</v>
      </c>
      <c r="H24" s="13">
        <v>85.48</v>
      </c>
      <c r="I24" s="13">
        <v>91.77</v>
      </c>
      <c r="J24" s="14">
        <v>76.888314628730058</v>
      </c>
      <c r="K24" s="14">
        <v>75.994803223378881</v>
      </c>
      <c r="L24" s="14">
        <v>75.743822098711831</v>
      </c>
      <c r="M24" s="14">
        <v>62.325499999999998</v>
      </c>
      <c r="N24" s="14">
        <f t="shared" si="0"/>
        <v>91.82705</v>
      </c>
      <c r="O24" s="14">
        <f t="shared" si="1"/>
        <v>72.738109987705187</v>
      </c>
      <c r="P24" s="14">
        <f t="shared" si="16"/>
        <v>82.282579993852593</v>
      </c>
      <c r="Q24" s="14">
        <v>24.626329200965646</v>
      </c>
      <c r="R24" s="17">
        <f t="shared" si="2"/>
        <v>75.373670799034358</v>
      </c>
      <c r="S24" s="14">
        <f t="shared" si="17"/>
        <v>0.77836303719130917</v>
      </c>
      <c r="T24" s="13">
        <v>0</v>
      </c>
      <c r="U24" s="13">
        <f t="shared" si="18"/>
        <v>64.045718871951962</v>
      </c>
      <c r="V24" s="13">
        <f>IF($T24=1,$AU24,(VLOOKUP(U24,'Cortes naturales'!$A$35:$C$39,3,9)))</f>
        <v>1</v>
      </c>
      <c r="W24" s="13">
        <v>1</v>
      </c>
      <c r="X24" s="14" t="b">
        <f t="shared" si="3"/>
        <v>1</v>
      </c>
      <c r="Y24" s="17">
        <f>IF($T24=1,$AU24,VLOOKUP(U24,'Cortes naturales'!$A$45:$C$49,3,9))</f>
        <v>1</v>
      </c>
      <c r="Z24" s="14">
        <v>82.360859031478341</v>
      </c>
      <c r="AA24" s="14">
        <v>0.78621566390722597</v>
      </c>
      <c r="AB24" s="14">
        <v>64.753397463403189</v>
      </c>
      <c r="AC24" s="13">
        <v>1</v>
      </c>
      <c r="AD24" s="13">
        <f t="shared" si="4"/>
        <v>0</v>
      </c>
      <c r="AE24" s="14">
        <f t="shared" si="5"/>
        <v>-7.827903762574806E-2</v>
      </c>
      <c r="AF24" s="14">
        <f t="shared" si="6"/>
        <v>-7.8526267159167995E-3</v>
      </c>
      <c r="AG24" s="13">
        <f t="shared" si="7"/>
        <v>-0.70767859145122713</v>
      </c>
      <c r="AH24" s="13">
        <f>IF($T24=1,$AU24,VLOOKUP(U24,'Cortes naturales'!$A$25:$C$29,3,9))</f>
        <v>1</v>
      </c>
      <c r="AI24" s="13" t="b">
        <f t="shared" si="8"/>
        <v>1</v>
      </c>
      <c r="AJ24" s="13">
        <f t="shared" si="19"/>
        <v>0</v>
      </c>
      <c r="AK24" s="28">
        <v>1.1166517821440873</v>
      </c>
      <c r="AL24" s="28">
        <v>91.968400016418244</v>
      </c>
      <c r="AM24" s="28">
        <v>0.97980172853202119</v>
      </c>
      <c r="AN24" s="13">
        <v>1</v>
      </c>
      <c r="AO24" s="33">
        <f t="shared" si="9"/>
        <v>0</v>
      </c>
      <c r="AP24" s="13">
        <f t="shared" si="20"/>
        <v>97.98017285320212</v>
      </c>
      <c r="AQ24" s="13">
        <f>IFERROR(VLOOKUP(U24,'Cortes naturales'!$E$15:$G$19,3,9),U24)</f>
        <v>2</v>
      </c>
      <c r="AR24" s="28">
        <f t="shared" si="10"/>
        <v>-0.33828874495277816</v>
      </c>
      <c r="AS24" s="13" t="b">
        <f t="shared" si="11"/>
        <v>0</v>
      </c>
      <c r="AT24" s="13">
        <f t="shared" si="21"/>
        <v>0</v>
      </c>
      <c r="AU24" s="13">
        <v>1</v>
      </c>
      <c r="AV24">
        <f t="shared" si="12"/>
        <v>0</v>
      </c>
      <c r="AW24" s="13">
        <v>0</v>
      </c>
      <c r="AX24" s="13">
        <v>1</v>
      </c>
      <c r="AY24" s="13">
        <v>0</v>
      </c>
      <c r="AZ24" s="13">
        <v>0</v>
      </c>
      <c r="BA24">
        <v>0</v>
      </c>
      <c r="BB24" t="s">
        <v>2838</v>
      </c>
      <c r="BC24">
        <v>1</v>
      </c>
      <c r="BD24" s="184" t="s">
        <v>2917</v>
      </c>
      <c r="BE24">
        <v>0</v>
      </c>
      <c r="BF24" s="232" t="s">
        <v>2845</v>
      </c>
      <c r="BG24" s="232" t="s">
        <v>2845</v>
      </c>
      <c r="BH24" s="253">
        <v>9.6</v>
      </c>
      <c r="BI24" s="253">
        <v>3.4559279950341404</v>
      </c>
      <c r="BJ24" s="25">
        <v>1.8861904761904758</v>
      </c>
      <c r="BK24" t="s">
        <v>381</v>
      </c>
      <c r="BL24">
        <v>2.2292318270563727</v>
      </c>
      <c r="BM24" t="s">
        <v>383</v>
      </c>
      <c r="BN24" s="322">
        <v>310257.45326400001</v>
      </c>
      <c r="BO24" s="322">
        <v>149135.484742</v>
      </c>
      <c r="BP24" s="10">
        <v>173675</v>
      </c>
      <c r="BQ24" s="254">
        <f t="shared" si="13"/>
        <v>1.7864255262069959</v>
      </c>
      <c r="BR24" s="254">
        <f t="shared" si="14"/>
        <v>0.85870438889880529</v>
      </c>
      <c r="BS24" s="25">
        <v>75.247097015745695</v>
      </c>
      <c r="BT24" s="25">
        <v>84.927296677702614</v>
      </c>
      <c r="BU24" s="25">
        <v>60.783503480278398</v>
      </c>
      <c r="BV24" s="25">
        <v>73.533808449178522</v>
      </c>
      <c r="BW24" s="25">
        <v>74.969197396457986</v>
      </c>
      <c r="BX24" s="25">
        <v>73.622926405726304</v>
      </c>
      <c r="BY24" s="25">
        <v>76.122628187571607</v>
      </c>
      <c r="BZ24">
        <v>59</v>
      </c>
      <c r="CA24">
        <v>0</v>
      </c>
      <c r="CB24">
        <v>4</v>
      </c>
      <c r="CC24">
        <v>10601.016884000001</v>
      </c>
      <c r="CD24" s="10">
        <v>1658.9708290000001</v>
      </c>
      <c r="CE24" s="255">
        <v>0.15649166935144371</v>
      </c>
      <c r="CF24" t="str">
        <f>IFERROR(VLOOKUP(CE24,'Rangos amb etnico'!$A$2:$C$6,3,9),"N.D.")</f>
        <v>0,1% - 30%</v>
      </c>
      <c r="CG24" s="256">
        <v>4.8265715180257002E-5</v>
      </c>
      <c r="CH24" s="232">
        <v>0</v>
      </c>
      <c r="CI24" s="311">
        <f t="shared" si="22"/>
        <v>0</v>
      </c>
      <c r="CJ24" s="232">
        <f>IFERROR(VLOOKUP(CI24,'Rangos amb etnico'!$A$2:$C$6,3,9),"N.D.")</f>
        <v>0</v>
      </c>
      <c r="CK24" s="311">
        <f t="shared" si="23"/>
        <v>0</v>
      </c>
      <c r="CL24" s="10">
        <v>0</v>
      </c>
      <c r="CM24" s="255">
        <f t="shared" si="24"/>
        <v>0</v>
      </c>
      <c r="CN24" s="232">
        <f>IFERROR(VLOOKUP(CM24,'Rangos amb etnico'!$A$2:$C$6,3,9),"N.D.")</f>
        <v>0</v>
      </c>
      <c r="CO24" s="311">
        <f t="shared" si="25"/>
        <v>0</v>
      </c>
      <c r="CP24">
        <v>0.95579051522793645</v>
      </c>
      <c r="CQ24" t="s">
        <v>2864</v>
      </c>
      <c r="CR24">
        <f t="shared" si="15"/>
        <v>4</v>
      </c>
      <c r="CS24" t="str">
        <f t="shared" si="26"/>
        <v>Candidato</v>
      </c>
      <c r="CT24">
        <v>0</v>
      </c>
      <c r="CU24">
        <v>0</v>
      </c>
      <c r="CV24" s="25">
        <v>65.168075561523438</v>
      </c>
      <c r="CW24" s="25">
        <v>67.108047485351563</v>
      </c>
      <c r="CX24" s="25">
        <v>43.518402099609382</v>
      </c>
      <c r="CY24" s="25">
        <v>76.235313415527344</v>
      </c>
      <c r="CZ24" s="25">
        <v>80.010635375976563</v>
      </c>
      <c r="DA24" s="25">
        <v>53.409946441650391</v>
      </c>
      <c r="DB24" s="25">
        <v>70.726119995117188</v>
      </c>
      <c r="DC24">
        <v>1261</v>
      </c>
      <c r="DD24" s="253" t="s">
        <v>380</v>
      </c>
    </row>
    <row r="25" spans="1:108" hidden="1">
      <c r="A25" s="13">
        <v>70001</v>
      </c>
      <c r="B25" s="13" t="s">
        <v>493</v>
      </c>
      <c r="C25" s="13" t="s">
        <v>494</v>
      </c>
      <c r="D25" s="13" t="s">
        <v>495</v>
      </c>
      <c r="E25" s="13" t="s">
        <v>496</v>
      </c>
      <c r="F25" s="14">
        <v>72.725300000000004</v>
      </c>
      <c r="G25" s="13">
        <v>64.849999999999994</v>
      </c>
      <c r="H25" s="13">
        <v>44.65</v>
      </c>
      <c r="I25" s="13">
        <v>52.61</v>
      </c>
      <c r="J25" s="14">
        <v>50.099772758574538</v>
      </c>
      <c r="K25" s="14">
        <v>45.330025167192971</v>
      </c>
      <c r="L25" s="14">
        <v>47.609172278552045</v>
      </c>
      <c r="M25" s="14">
        <v>54.1145</v>
      </c>
      <c r="N25" s="14">
        <f t="shared" si="0"/>
        <v>58.708825000000004</v>
      </c>
      <c r="O25" s="14">
        <f t="shared" si="1"/>
        <v>49.288367551079887</v>
      </c>
      <c r="P25" s="14">
        <f t="shared" si="16"/>
        <v>53.998596275539946</v>
      </c>
      <c r="Q25" s="14">
        <v>26.698033328550093</v>
      </c>
      <c r="R25" s="17">
        <f t="shared" si="2"/>
        <v>73.301966671449904</v>
      </c>
      <c r="S25" s="14">
        <f t="shared" si="17"/>
        <v>0.75971770004304917</v>
      </c>
      <c r="T25" s="13">
        <v>0</v>
      </c>
      <c r="U25" s="13">
        <f t="shared" si="18"/>
        <v>41.023689368006366</v>
      </c>
      <c r="V25" s="13">
        <f>IF($T25=1,$AU25,(VLOOKUP(U25,'Cortes naturales'!$A$35:$C$39,3,9)))</f>
        <v>2</v>
      </c>
      <c r="W25" s="13">
        <v>2</v>
      </c>
      <c r="X25" s="14" t="b">
        <f t="shared" si="3"/>
        <v>1</v>
      </c>
      <c r="Y25" s="17">
        <f>IF($T25=1,$AU25,VLOOKUP(U25,'Cortes naturales'!$A$45:$C$49,3,9))</f>
        <v>2</v>
      </c>
      <c r="Z25" s="14">
        <v>55.469139208647299</v>
      </c>
      <c r="AA25" s="14">
        <v>0.77465180859232785</v>
      </c>
      <c r="AB25" s="14">
        <v>42.969269009038236</v>
      </c>
      <c r="AC25" s="13">
        <v>2</v>
      </c>
      <c r="AD25" s="13">
        <f t="shared" si="4"/>
        <v>0</v>
      </c>
      <c r="AE25" s="14">
        <f t="shared" si="5"/>
        <v>-1.4705429331073532</v>
      </c>
      <c r="AF25" s="14">
        <f t="shared" si="6"/>
        <v>-1.493410854927868E-2</v>
      </c>
      <c r="AG25" s="13">
        <f t="shared" si="7"/>
        <v>-1.9455796410318698</v>
      </c>
      <c r="AH25" s="13">
        <f>IF($T25=1,$AU25,VLOOKUP(U25,'Cortes naturales'!$A$25:$C$29,3,9))</f>
        <v>2</v>
      </c>
      <c r="AI25" s="13" t="b">
        <f t="shared" si="8"/>
        <v>1</v>
      </c>
      <c r="AJ25" s="13">
        <f t="shared" si="19"/>
        <v>0</v>
      </c>
      <c r="AK25" s="28">
        <v>1.1166517821440873</v>
      </c>
      <c r="AL25" s="28">
        <v>61.939713151334473</v>
      </c>
      <c r="AM25" s="28">
        <v>0.60417450906938197</v>
      </c>
      <c r="AN25" s="13">
        <v>2</v>
      </c>
      <c r="AO25" s="33">
        <f t="shared" si="9"/>
        <v>0</v>
      </c>
      <c r="AP25" s="13">
        <f t="shared" si="20"/>
        <v>60.4174509069382</v>
      </c>
      <c r="AQ25" s="13">
        <f>IFERROR(VLOOKUP(U25,'Cortes naturales'!$E$15:$G$19,3,9),U25)</f>
        <v>3</v>
      </c>
      <c r="AR25" s="28">
        <f t="shared" si="10"/>
        <v>-0.35693408210103816</v>
      </c>
      <c r="AS25" s="13" t="b">
        <f t="shared" si="11"/>
        <v>0</v>
      </c>
      <c r="AT25" s="13">
        <f t="shared" si="21"/>
        <v>0</v>
      </c>
      <c r="AU25" s="13">
        <v>1</v>
      </c>
      <c r="AV25">
        <f t="shared" si="12"/>
        <v>-1</v>
      </c>
      <c r="AW25" s="13">
        <v>1</v>
      </c>
      <c r="AX25" s="13">
        <v>0</v>
      </c>
      <c r="AY25" s="13">
        <v>0</v>
      </c>
      <c r="AZ25" s="13">
        <v>0</v>
      </c>
      <c r="BA25">
        <v>0</v>
      </c>
      <c r="BB25" t="s">
        <v>2838</v>
      </c>
      <c r="BC25">
        <v>2</v>
      </c>
      <c r="BD25" t="s">
        <v>2920</v>
      </c>
      <c r="BE25">
        <v>0</v>
      </c>
      <c r="BF25" s="232" t="s">
        <v>2845</v>
      </c>
      <c r="BG25" s="232" t="s">
        <v>2845</v>
      </c>
      <c r="BH25" s="253">
        <v>30.4</v>
      </c>
      <c r="BI25" s="253">
        <v>18.899441851953519</v>
      </c>
      <c r="BJ25" s="25">
        <v>1.7328756088107615</v>
      </c>
      <c r="BK25" t="s">
        <v>381</v>
      </c>
      <c r="BL25">
        <v>4.878634063833954</v>
      </c>
      <c r="BM25" t="s">
        <v>383</v>
      </c>
      <c r="BN25" s="322">
        <v>917013.17899699998</v>
      </c>
      <c r="BO25" s="322">
        <v>173380.01057300001</v>
      </c>
      <c r="BP25" s="10">
        <v>319888</v>
      </c>
      <c r="BQ25" s="254">
        <f t="shared" si="13"/>
        <v>2.8666695186971691</v>
      </c>
      <c r="BR25" s="254">
        <f t="shared" si="14"/>
        <v>0.54200223382246293</v>
      </c>
      <c r="BS25" s="25">
        <v>73.358866404214695</v>
      </c>
      <c r="BT25" s="25">
        <v>99.694362689608326</v>
      </c>
      <c r="BU25" s="25">
        <v>52.885249457700631</v>
      </c>
      <c r="BV25" s="25">
        <v>88.602607567300822</v>
      </c>
      <c r="BW25" s="25">
        <v>62.213316012609042</v>
      </c>
      <c r="BX25" s="25">
        <v>78.635271529706117</v>
      </c>
      <c r="BY25" s="25">
        <v>64.355221269813697</v>
      </c>
      <c r="BZ25">
        <v>43</v>
      </c>
      <c r="CA25">
        <v>1</v>
      </c>
      <c r="CB25">
        <v>3</v>
      </c>
      <c r="CC25">
        <v>27981.390755</v>
      </c>
      <c r="CD25" s="10">
        <v>669.78591700000004</v>
      </c>
      <c r="CE25" s="255">
        <v>2.3936834407714914E-2</v>
      </c>
      <c r="CF25" t="str">
        <f>IFERROR(VLOOKUP(CE25,'Rangos amb etnico'!$A$2:$C$6,3,9),"N.D.")</f>
        <v>0,1% - 30%</v>
      </c>
      <c r="CG25" s="256">
        <v>1.9486597194210976E-5</v>
      </c>
      <c r="CH25" s="232">
        <v>772.11688300000003</v>
      </c>
      <c r="CI25" s="311">
        <f t="shared" si="22"/>
        <v>2.759394233690941E-2</v>
      </c>
      <c r="CJ25" s="232" t="str">
        <f>IFERROR(VLOOKUP(CI25,'Rangos amb etnico'!$A$2:$C$6,3,9),"N.D.")</f>
        <v>0,1% - 30%</v>
      </c>
      <c r="CK25" s="311">
        <f t="shared" si="23"/>
        <v>3.0658095459129191E-5</v>
      </c>
      <c r="CL25" s="10">
        <v>0</v>
      </c>
      <c r="CM25" s="255">
        <f t="shared" si="24"/>
        <v>0</v>
      </c>
      <c r="CN25" s="232">
        <f>IFERROR(VLOOKUP(CM25,'Rangos amb etnico'!$A$2:$C$6,3,9),"N.D.")</f>
        <v>0</v>
      </c>
      <c r="CO25" s="311">
        <f t="shared" si="25"/>
        <v>0</v>
      </c>
      <c r="CP25">
        <v>0.89585025239385985</v>
      </c>
      <c r="CQ25" t="s">
        <v>2864</v>
      </c>
      <c r="CR25">
        <f t="shared" si="15"/>
        <v>2</v>
      </c>
      <c r="CS25" t="str">
        <f t="shared" si="26"/>
        <v>No es Candidato</v>
      </c>
      <c r="CT25">
        <v>0</v>
      </c>
      <c r="CU25">
        <v>0</v>
      </c>
      <c r="CV25" s="25">
        <v>54.647369384765618</v>
      </c>
      <c r="CW25" s="25">
        <v>50.748233795166023</v>
      </c>
      <c r="CX25" s="25">
        <v>61.513454437255859</v>
      </c>
      <c r="CY25" s="25">
        <v>73.07928466796875</v>
      </c>
      <c r="CZ25" s="25">
        <v>49.157646179199219</v>
      </c>
      <c r="DA25" s="25">
        <v>36.828098297119141</v>
      </c>
      <c r="DB25" s="25">
        <v>56.557506561279297</v>
      </c>
      <c r="DC25">
        <v>43660</v>
      </c>
      <c r="DD25" s="253">
        <v>4.3604835979242349</v>
      </c>
    </row>
    <row r="26" spans="1:108" hidden="1">
      <c r="A26" s="13">
        <v>15001</v>
      </c>
      <c r="B26" s="13" t="s">
        <v>497</v>
      </c>
      <c r="C26" s="13" t="s">
        <v>498</v>
      </c>
      <c r="D26" s="13" t="s">
        <v>499</v>
      </c>
      <c r="E26" s="13" t="s">
        <v>500</v>
      </c>
      <c r="F26" s="14">
        <v>92.825100000000006</v>
      </c>
      <c r="G26" s="13">
        <v>83.71</v>
      </c>
      <c r="H26" s="13">
        <v>80.64</v>
      </c>
      <c r="I26" s="13">
        <v>77.400000000000006</v>
      </c>
      <c r="J26" s="14">
        <v>54.274797186542401</v>
      </c>
      <c r="K26" s="14">
        <v>58.353021475563793</v>
      </c>
      <c r="L26" s="14">
        <v>61.666846874981147</v>
      </c>
      <c r="M26" s="14">
        <v>60.8262</v>
      </c>
      <c r="N26" s="14">
        <f t="shared" si="0"/>
        <v>83.643775000000005</v>
      </c>
      <c r="O26" s="14">
        <f t="shared" si="1"/>
        <v>58.780216384271831</v>
      </c>
      <c r="P26" s="14">
        <f t="shared" si="16"/>
        <v>71.211995692135915</v>
      </c>
      <c r="Q26" s="14">
        <v>27.400567569920074</v>
      </c>
      <c r="R26" s="17">
        <f t="shared" si="2"/>
        <v>72.599432430079929</v>
      </c>
      <c r="S26" s="14">
        <f t="shared" si="17"/>
        <v>0.75339489187071929</v>
      </c>
      <c r="T26" s="13">
        <v>0</v>
      </c>
      <c r="U26" s="13">
        <f t="shared" si="18"/>
        <v>53.650753794374864</v>
      </c>
      <c r="V26" s="13">
        <f>IF($T26=1,$AU26,(VLOOKUP(U26,'Cortes naturales'!$A$35:$C$39,3,9)))</f>
        <v>1</v>
      </c>
      <c r="W26" s="13">
        <v>1</v>
      </c>
      <c r="X26" s="14" t="b">
        <f t="shared" si="3"/>
        <v>1</v>
      </c>
      <c r="Y26" s="17">
        <f>IF($T26=1,$AU26,VLOOKUP(U26,'Cortes naturales'!$A$45:$C$49,3,9))</f>
        <v>1</v>
      </c>
      <c r="Z26" s="14">
        <v>71.822896754478222</v>
      </c>
      <c r="AA26" s="14">
        <v>0.77084810431192508</v>
      </c>
      <c r="AB26" s="14">
        <v>55.364543809380656</v>
      </c>
      <c r="AC26" s="13">
        <v>1</v>
      </c>
      <c r="AD26" s="13">
        <f t="shared" si="4"/>
        <v>0</v>
      </c>
      <c r="AE26" s="14">
        <f t="shared" si="5"/>
        <v>-0.61090106234230745</v>
      </c>
      <c r="AF26" s="14">
        <f t="shared" si="6"/>
        <v>-1.745321244120579E-2</v>
      </c>
      <c r="AG26" s="13">
        <f t="shared" si="7"/>
        <v>-1.7137900150057916</v>
      </c>
      <c r="AH26" s="13">
        <f>IF($T26=1,$AU26,VLOOKUP(U26,'Cortes naturales'!$A$25:$C$29,3,9))</f>
        <v>1</v>
      </c>
      <c r="AI26" s="13" t="b">
        <f t="shared" si="8"/>
        <v>1</v>
      </c>
      <c r="AJ26" s="13">
        <f t="shared" si="19"/>
        <v>0</v>
      </c>
      <c r="AK26" s="28" t="s">
        <v>440</v>
      </c>
      <c r="AL26" s="28" t="s">
        <v>380</v>
      </c>
      <c r="AM26" s="28" t="s">
        <v>380</v>
      </c>
      <c r="AN26" s="13" t="s">
        <v>476</v>
      </c>
      <c r="AO26" s="33">
        <f t="shared" si="9"/>
        <v>1</v>
      </c>
      <c r="AP26" s="13" t="str">
        <f t="shared" si="20"/>
        <v>N.D</v>
      </c>
      <c r="AQ26" s="13">
        <f>IFERROR(VLOOKUP(U26,'Cortes naturales'!$E$15:$G$19,3,9),U26)</f>
        <v>2</v>
      </c>
      <c r="AR26" s="28" t="str">
        <f t="shared" si="10"/>
        <v>N.D.</v>
      </c>
      <c r="AS26" s="13" t="b">
        <f t="shared" si="11"/>
        <v>0</v>
      </c>
      <c r="AT26" s="13" t="str">
        <f t="shared" si="21"/>
        <v>Cambio en corte</v>
      </c>
      <c r="AU26" s="13" t="s">
        <v>476</v>
      </c>
      <c r="AV26">
        <f t="shared" si="12"/>
        <v>1</v>
      </c>
      <c r="AW26" s="13">
        <v>1</v>
      </c>
      <c r="AX26" s="13">
        <v>0</v>
      </c>
      <c r="AY26" s="13">
        <v>0</v>
      </c>
      <c r="AZ26" s="13">
        <v>0</v>
      </c>
      <c r="BA26">
        <v>0</v>
      </c>
      <c r="BB26" t="s">
        <v>2838</v>
      </c>
      <c r="BC26">
        <v>1</v>
      </c>
      <c r="BD26" t="s">
        <v>2918</v>
      </c>
      <c r="BE26">
        <v>0</v>
      </c>
      <c r="BF26" s="232" t="s">
        <v>2845</v>
      </c>
      <c r="BG26" s="232" t="s">
        <v>2846</v>
      </c>
      <c r="BH26" s="253">
        <v>11.4</v>
      </c>
      <c r="BI26" s="253">
        <v>3.6320047947258014</v>
      </c>
      <c r="BJ26" s="25">
        <v>1.251265407560973</v>
      </c>
      <c r="BK26" t="s">
        <v>381</v>
      </c>
      <c r="BL26">
        <v>0.91070316066538837</v>
      </c>
      <c r="BM26" t="s">
        <v>383</v>
      </c>
      <c r="BN26" s="322">
        <v>485492.97516899998</v>
      </c>
      <c r="BO26" s="322">
        <v>215682.69425199999</v>
      </c>
      <c r="BP26" s="10">
        <v>187765</v>
      </c>
      <c r="BQ26" s="254">
        <f t="shared" si="13"/>
        <v>2.5856414942561181</v>
      </c>
      <c r="BR26" s="254">
        <f t="shared" si="14"/>
        <v>1.1486842289670598</v>
      </c>
      <c r="BS26" s="25">
        <v>78.29798089411905</v>
      </c>
      <c r="BT26" s="25">
        <v>98.8642881931696</v>
      </c>
      <c r="BU26" s="25">
        <v>72.501666666666665</v>
      </c>
      <c r="BV26" s="25">
        <v>71.141609310083908</v>
      </c>
      <c r="BW26" s="25">
        <v>72.608631459225265</v>
      </c>
      <c r="BX26" s="25">
        <v>80.201386266009806</v>
      </c>
      <c r="BY26" s="25">
        <v>74.755386839363226</v>
      </c>
      <c r="BZ26">
        <v>79</v>
      </c>
      <c r="CA26">
        <v>1</v>
      </c>
      <c r="CB26">
        <v>3</v>
      </c>
      <c r="CC26">
        <v>11951.846097</v>
      </c>
      <c r="CD26" s="10">
        <v>1381.126413</v>
      </c>
      <c r="CE26" s="255">
        <v>0.11555758012535593</v>
      </c>
      <c r="CF26" t="str">
        <f>IFERROR(VLOOKUP(CE26,'Rangos amb etnico'!$A$2:$C$6,3,9),"N.D.")</f>
        <v>0,1% - 30%</v>
      </c>
      <c r="CG26" s="256">
        <v>4.0182173738383437E-5</v>
      </c>
      <c r="CH26" s="232">
        <v>0</v>
      </c>
      <c r="CI26" s="311">
        <f t="shared" si="22"/>
        <v>0</v>
      </c>
      <c r="CJ26" s="232">
        <f>IFERROR(VLOOKUP(CI26,'Rangos amb etnico'!$A$2:$C$6,3,9),"N.D.")</f>
        <v>0</v>
      </c>
      <c r="CK26" s="311">
        <f t="shared" si="23"/>
        <v>0</v>
      </c>
      <c r="CL26" s="10">
        <v>0</v>
      </c>
      <c r="CM26" s="255">
        <f t="shared" si="24"/>
        <v>0</v>
      </c>
      <c r="CN26" s="232">
        <f>IFERROR(VLOOKUP(CM26,'Rangos amb etnico'!$A$2:$C$6,3,9),"N.D.")</f>
        <v>0</v>
      </c>
      <c r="CO26" s="311">
        <f t="shared" si="25"/>
        <v>0</v>
      </c>
      <c r="CP26">
        <v>0.94247864217491051</v>
      </c>
      <c r="CQ26" t="s">
        <v>2864</v>
      </c>
      <c r="CR26">
        <f t="shared" si="15"/>
        <v>4</v>
      </c>
      <c r="CS26" t="str">
        <f t="shared" si="26"/>
        <v>Candidato</v>
      </c>
      <c r="CT26">
        <v>0</v>
      </c>
      <c r="CU26">
        <v>0</v>
      </c>
      <c r="CV26" s="25">
        <v>64.170433044433594</v>
      </c>
      <c r="CW26" s="25">
        <v>50.960514068603523</v>
      </c>
      <c r="CX26" s="25">
        <v>46.223731994628913</v>
      </c>
      <c r="CY26" s="25">
        <v>86.097793579101563</v>
      </c>
      <c r="CZ26" s="25">
        <v>95.818199157714844</v>
      </c>
      <c r="DA26" s="25">
        <v>37.561496734619141</v>
      </c>
      <c r="DB26" s="25">
        <v>68.360870361328125</v>
      </c>
      <c r="DC26">
        <v>1804</v>
      </c>
      <c r="DD26" s="253">
        <v>6.2438093673137711</v>
      </c>
    </row>
    <row r="27" spans="1:108" hidden="1">
      <c r="A27" s="13">
        <v>25430</v>
      </c>
      <c r="B27" s="13" t="s">
        <v>501</v>
      </c>
      <c r="C27" s="13" t="s">
        <v>461</v>
      </c>
      <c r="D27" s="13" t="s">
        <v>462</v>
      </c>
      <c r="E27" s="13" t="s">
        <v>502</v>
      </c>
      <c r="F27" s="14">
        <v>81.328266666666707</v>
      </c>
      <c r="G27" s="13">
        <v>80.48</v>
      </c>
      <c r="H27" s="13">
        <v>82.13</v>
      </c>
      <c r="I27" s="13">
        <v>83.78</v>
      </c>
      <c r="J27" s="14">
        <v>61.690108479053002</v>
      </c>
      <c r="K27" s="14">
        <v>62.488810893256684</v>
      </c>
      <c r="L27" s="14">
        <v>63.718913333769393</v>
      </c>
      <c r="M27" s="14">
        <v>59.804400000000001</v>
      </c>
      <c r="N27" s="14">
        <f t="shared" si="0"/>
        <v>81.929566666666688</v>
      </c>
      <c r="O27" s="14">
        <f t="shared" si="1"/>
        <v>61.925558176519772</v>
      </c>
      <c r="P27" s="14">
        <f t="shared" si="16"/>
        <v>71.927562421593223</v>
      </c>
      <c r="Q27" s="14">
        <v>27.458672781082257</v>
      </c>
      <c r="R27" s="17">
        <f t="shared" si="2"/>
        <v>72.541327218917743</v>
      </c>
      <c r="S27" s="14">
        <f t="shared" si="17"/>
        <v>0.75287194497025967</v>
      </c>
      <c r="T27" s="13">
        <v>0</v>
      </c>
      <c r="U27" s="13">
        <f t="shared" si="18"/>
        <v>54.152243817314648</v>
      </c>
      <c r="V27" s="13">
        <f>IF($T27=1,$AU27,(VLOOKUP(U27,'Cortes naturales'!$A$35:$C$39,3,9)))</f>
        <v>1</v>
      </c>
      <c r="W27" s="13">
        <v>1</v>
      </c>
      <c r="X27" s="14" t="b">
        <f t="shared" si="3"/>
        <v>1</v>
      </c>
      <c r="Y27" s="17">
        <f>IF($T27=1,$AU27,VLOOKUP(U27,'Cortes naturales'!$A$45:$C$49,3,9))</f>
        <v>1</v>
      </c>
      <c r="Z27" s="14">
        <v>71.121553565029899</v>
      </c>
      <c r="AA27" s="14">
        <v>0.76764318130196851</v>
      </c>
      <c r="AB27" s="14">
        <v>54.595975637797913</v>
      </c>
      <c r="AC27" s="13">
        <v>1</v>
      </c>
      <c r="AD27" s="13">
        <f t="shared" si="4"/>
        <v>0</v>
      </c>
      <c r="AE27" s="14">
        <f t="shared" si="5"/>
        <v>0.80600885656332366</v>
      </c>
      <c r="AF27" s="14">
        <f t="shared" si="6"/>
        <v>-1.4771236331708848E-2</v>
      </c>
      <c r="AG27" s="13">
        <f t="shared" si="7"/>
        <v>-0.44373182048326498</v>
      </c>
      <c r="AH27" s="13">
        <f>IF($T27=1,$AU27,VLOOKUP(U27,'Cortes naturales'!$A$25:$C$29,3,9))</f>
        <v>1</v>
      </c>
      <c r="AI27" s="13" t="b">
        <f t="shared" si="8"/>
        <v>1</v>
      </c>
      <c r="AJ27" s="13">
        <f t="shared" si="19"/>
        <v>0</v>
      </c>
      <c r="AK27" s="28">
        <v>1.1166517821440873</v>
      </c>
      <c r="AL27" s="28">
        <v>79.418009537246803</v>
      </c>
      <c r="AM27" s="28">
        <v>0.82280957299613844</v>
      </c>
      <c r="AN27" s="13">
        <v>1</v>
      </c>
      <c r="AO27" s="33">
        <f t="shared" si="9"/>
        <v>0</v>
      </c>
      <c r="AP27" s="13">
        <f t="shared" si="20"/>
        <v>82.280957299613846</v>
      </c>
      <c r="AQ27" s="13">
        <f>IFERROR(VLOOKUP(U27,'Cortes naturales'!$E$15:$G$19,3,9),U27)</f>
        <v>2</v>
      </c>
      <c r="AR27" s="28">
        <f t="shared" si="10"/>
        <v>-0.36377983717382767</v>
      </c>
      <c r="AS27" s="13" t="b">
        <f t="shared" si="11"/>
        <v>0</v>
      </c>
      <c r="AT27" s="13">
        <f t="shared" si="21"/>
        <v>0</v>
      </c>
      <c r="AU27" s="13">
        <v>1</v>
      </c>
      <c r="AV27">
        <f t="shared" si="12"/>
        <v>0</v>
      </c>
      <c r="AW27" s="13">
        <v>0</v>
      </c>
      <c r="AX27" s="13">
        <v>1</v>
      </c>
      <c r="AY27" s="13">
        <v>0</v>
      </c>
      <c r="AZ27" s="13">
        <v>0</v>
      </c>
      <c r="BA27">
        <v>0</v>
      </c>
      <c r="BB27" t="s">
        <v>2838</v>
      </c>
      <c r="BC27">
        <v>2</v>
      </c>
      <c r="BD27" s="184" t="s">
        <v>2917</v>
      </c>
      <c r="BE27">
        <v>0</v>
      </c>
      <c r="BF27" s="232" t="s">
        <v>2846</v>
      </c>
      <c r="BG27" s="232" t="s">
        <v>2846</v>
      </c>
      <c r="BH27" s="253">
        <v>10.4</v>
      </c>
      <c r="BI27" s="253">
        <v>3.664416586306654</v>
      </c>
      <c r="BJ27" s="25">
        <v>0.82143110411473308</v>
      </c>
      <c r="BK27" t="s">
        <v>381</v>
      </c>
      <c r="BL27">
        <v>1.0105689004655665</v>
      </c>
      <c r="BM27" t="s">
        <v>383</v>
      </c>
      <c r="BN27" s="322">
        <v>163491.26165900001</v>
      </c>
      <c r="BO27" s="322">
        <v>100066.34011200001</v>
      </c>
      <c r="BP27" s="10">
        <v>139289</v>
      </c>
      <c r="BQ27" s="254">
        <f t="shared" si="13"/>
        <v>1.1737557284423035</v>
      </c>
      <c r="BR27" s="254">
        <f t="shared" si="14"/>
        <v>0.71840805887040615</v>
      </c>
      <c r="BS27" s="25">
        <v>73.089319954876899</v>
      </c>
      <c r="BT27" s="25">
        <v>90.259571723199443</v>
      </c>
      <c r="BU27" s="25">
        <v>73.75833333333334</v>
      </c>
      <c r="BV27" s="25">
        <v>74.608517737228539</v>
      </c>
      <c r="BW27" s="25">
        <v>64.045304043943261</v>
      </c>
      <c r="BX27" s="25">
        <v>77.928935687159566</v>
      </c>
      <c r="BY27" s="25">
        <v>65.652602024001538</v>
      </c>
      <c r="BZ27">
        <v>59</v>
      </c>
      <c r="CA27">
        <v>0</v>
      </c>
      <c r="CB27">
        <v>5</v>
      </c>
      <c r="CC27">
        <v>11944.52108</v>
      </c>
      <c r="CD27" s="10">
        <v>1324.611054</v>
      </c>
      <c r="CE27" s="255">
        <v>0.11089695812232599</v>
      </c>
      <c r="CF27" t="str">
        <f>IFERROR(VLOOKUP(CE27,'Rangos amb etnico'!$A$2:$C$6,3,9),"N.D.")</f>
        <v>0,1% - 30%</v>
      </c>
      <c r="CG27" s="256">
        <v>3.853792890108981E-5</v>
      </c>
      <c r="CH27" s="232">
        <v>0</v>
      </c>
      <c r="CI27" s="311">
        <f t="shared" si="22"/>
        <v>0</v>
      </c>
      <c r="CJ27" s="232">
        <f>IFERROR(VLOOKUP(CI27,'Rangos amb etnico'!$A$2:$C$6,3,9),"N.D.")</f>
        <v>0</v>
      </c>
      <c r="CK27" s="311">
        <f t="shared" si="23"/>
        <v>0</v>
      </c>
      <c r="CL27" s="10">
        <v>0</v>
      </c>
      <c r="CM27" s="255">
        <f t="shared" si="24"/>
        <v>0</v>
      </c>
      <c r="CN27" s="232">
        <f>IFERROR(VLOOKUP(CM27,'Rangos amb etnico'!$A$2:$C$6,3,9),"N.D.")</f>
        <v>0</v>
      </c>
      <c r="CO27" s="311">
        <f t="shared" si="25"/>
        <v>0</v>
      </c>
      <c r="CP27">
        <v>0.95916786857841951</v>
      </c>
      <c r="CQ27" t="s">
        <v>2864</v>
      </c>
      <c r="CR27">
        <f t="shared" si="15"/>
        <v>3</v>
      </c>
      <c r="CS27" t="str">
        <f t="shared" si="26"/>
        <v>Candidato</v>
      </c>
      <c r="CT27">
        <v>0</v>
      </c>
      <c r="CU27">
        <v>0</v>
      </c>
      <c r="CV27" s="25">
        <v>58.031059265136719</v>
      </c>
      <c r="CW27" s="25">
        <v>64.388267517089844</v>
      </c>
      <c r="CX27" s="25">
        <v>45.941036224365227</v>
      </c>
      <c r="CY27" s="25">
        <v>80.0662841796875</v>
      </c>
      <c r="CZ27" s="25">
        <v>60.022533416748047</v>
      </c>
      <c r="DA27" s="25">
        <v>43.289890289306641</v>
      </c>
      <c r="DB27" s="25">
        <v>54.478336334228523</v>
      </c>
      <c r="DC27">
        <v>1637</v>
      </c>
      <c r="DD27" s="253" t="s">
        <v>380</v>
      </c>
    </row>
    <row r="28" spans="1:108">
      <c r="A28" s="13">
        <v>5615</v>
      </c>
      <c r="B28" s="13" t="s">
        <v>503</v>
      </c>
      <c r="C28" s="13" t="s">
        <v>435</v>
      </c>
      <c r="D28" s="13" t="s">
        <v>436</v>
      </c>
      <c r="E28" s="13" t="s">
        <v>504</v>
      </c>
      <c r="F28" s="14">
        <v>89.920533333333296</v>
      </c>
      <c r="G28" s="13">
        <v>92.16</v>
      </c>
      <c r="H28" s="13">
        <v>87.16</v>
      </c>
      <c r="I28" s="13">
        <v>90.25</v>
      </c>
      <c r="J28" s="14">
        <v>70.997214314042921</v>
      </c>
      <c r="K28" s="14">
        <v>69.683874690410363</v>
      </c>
      <c r="L28" s="14">
        <v>78.170777792278471</v>
      </c>
      <c r="M28" s="14">
        <v>74.479699999999994</v>
      </c>
      <c r="N28" s="14">
        <f t="shared" si="0"/>
        <v>89.872633333333312</v>
      </c>
      <c r="O28" s="14">
        <f t="shared" si="1"/>
        <v>73.332891699182937</v>
      </c>
      <c r="P28" s="14">
        <f t="shared" si="16"/>
        <v>81.602762516258124</v>
      </c>
      <c r="Q28" s="14">
        <v>27.927943002384531</v>
      </c>
      <c r="R28" s="17">
        <f t="shared" si="2"/>
        <v>72.072056997615476</v>
      </c>
      <c r="S28" s="14">
        <f t="shared" si="17"/>
        <v>0.74864851297853929</v>
      </c>
      <c r="T28" s="13">
        <v>0</v>
      </c>
      <c r="U28" s="13">
        <f t="shared" si="18"/>
        <v>61.091786812737531</v>
      </c>
      <c r="V28" s="13">
        <f>IF($T28=1,$AU28,(VLOOKUP(U28,'Cortes naturales'!$A$35:$C$39,3,9)))</f>
        <v>1</v>
      </c>
      <c r="W28" s="13">
        <v>1</v>
      </c>
      <c r="X28" s="14" t="b">
        <f t="shared" si="3"/>
        <v>1</v>
      </c>
      <c r="Y28" s="17">
        <f>IF($T28=1,$AU28,VLOOKUP(U28,'Cortes naturales'!$A$45:$C$49,3,9))</f>
        <v>1</v>
      </c>
      <c r="Z28" s="14">
        <v>81.733980208649399</v>
      </c>
      <c r="AA28" s="14">
        <v>0.76393197604738472</v>
      </c>
      <c r="AB28" s="14">
        <v>62.43920101101137</v>
      </c>
      <c r="AC28" s="13">
        <v>1</v>
      </c>
      <c r="AD28" s="13">
        <f t="shared" si="4"/>
        <v>0</v>
      </c>
      <c r="AE28" s="14">
        <f t="shared" si="5"/>
        <v>-0.13121769239127445</v>
      </c>
      <c r="AF28" s="14">
        <f t="shared" si="6"/>
        <v>-1.5283463068845426E-2</v>
      </c>
      <c r="AG28" s="13">
        <f t="shared" si="7"/>
        <v>-1.3474141982738388</v>
      </c>
      <c r="AH28" s="13">
        <f>IF($T28=1,$AU28,VLOOKUP(U28,'Cortes naturales'!$A$25:$C$29,3,9))</f>
        <v>1</v>
      </c>
      <c r="AI28" s="13" t="b">
        <f t="shared" si="8"/>
        <v>1</v>
      </c>
      <c r="AJ28" s="13">
        <f t="shared" si="19"/>
        <v>0</v>
      </c>
      <c r="AK28" s="28" t="s">
        <v>440</v>
      </c>
      <c r="AL28" s="28" t="s">
        <v>380</v>
      </c>
      <c r="AM28" s="28" t="s">
        <v>380</v>
      </c>
      <c r="AN28" s="13" t="s">
        <v>476</v>
      </c>
      <c r="AO28" s="33">
        <f t="shared" si="9"/>
        <v>1</v>
      </c>
      <c r="AP28" s="13" t="str">
        <f t="shared" si="20"/>
        <v>N.D</v>
      </c>
      <c r="AQ28" s="13">
        <f>IFERROR(VLOOKUP(U28,'Cortes naturales'!$E$15:$G$19,3,9),U28)</f>
        <v>2</v>
      </c>
      <c r="AR28" s="28" t="str">
        <f t="shared" si="10"/>
        <v>N.D.</v>
      </c>
      <c r="AS28" s="13" t="b">
        <f t="shared" si="11"/>
        <v>0</v>
      </c>
      <c r="AT28" s="13" t="str">
        <f t="shared" si="21"/>
        <v>Cambio en corte</v>
      </c>
      <c r="AU28" s="13" t="s">
        <v>476</v>
      </c>
      <c r="AV28">
        <f t="shared" si="12"/>
        <v>1</v>
      </c>
      <c r="AW28" s="13">
        <v>0</v>
      </c>
      <c r="AX28" s="13">
        <v>1</v>
      </c>
      <c r="AY28" s="13">
        <v>0</v>
      </c>
      <c r="AZ28" s="13">
        <v>0</v>
      </c>
      <c r="BA28">
        <v>0</v>
      </c>
      <c r="BB28" t="s">
        <v>2838</v>
      </c>
      <c r="BC28">
        <v>1</v>
      </c>
      <c r="BD28" t="s">
        <v>2918</v>
      </c>
      <c r="BE28">
        <v>1</v>
      </c>
      <c r="BF28" s="232" t="s">
        <v>2845</v>
      </c>
      <c r="BG28" s="232" t="s">
        <v>2845</v>
      </c>
      <c r="BH28" s="253">
        <v>9.5</v>
      </c>
      <c r="BI28" s="253">
        <v>5.1980391986138565</v>
      </c>
      <c r="BJ28" s="25">
        <v>2.6186974911492373</v>
      </c>
      <c r="BK28" t="s">
        <v>381</v>
      </c>
      <c r="BL28">
        <v>3.5988148239091924</v>
      </c>
      <c r="BM28" t="s">
        <v>383</v>
      </c>
      <c r="BN28" s="322">
        <v>741397.03040699998</v>
      </c>
      <c r="BO28" s="322">
        <v>409196.38963799999</v>
      </c>
      <c r="BP28" s="10">
        <v>151872</v>
      </c>
      <c r="BQ28" s="254">
        <f t="shared" si="13"/>
        <v>4.8817229667548991</v>
      </c>
      <c r="BR28" s="254">
        <f t="shared" si="14"/>
        <v>2.6943504374604932</v>
      </c>
      <c r="BS28" s="25">
        <v>83.009472834780624</v>
      </c>
      <c r="BT28" s="25">
        <v>99.461037502807088</v>
      </c>
      <c r="BU28" s="25">
        <v>71.736666666666665</v>
      </c>
      <c r="BV28" s="25">
        <v>81.237715353489961</v>
      </c>
      <c r="BW28" s="25">
        <v>82.086479851469974</v>
      </c>
      <c r="BX28" s="25">
        <v>83.861223089436095</v>
      </c>
      <c r="BY28" s="25">
        <v>85.756777144182678</v>
      </c>
      <c r="BZ28">
        <v>22</v>
      </c>
      <c r="CA28">
        <v>1</v>
      </c>
      <c r="CB28">
        <v>3</v>
      </c>
      <c r="CC28">
        <v>19587.111399000001</v>
      </c>
      <c r="CD28" s="10">
        <v>5299.8440499999997</v>
      </c>
      <c r="CE28" s="255">
        <v>0.27057813385748025</v>
      </c>
      <c r="CF28" t="str">
        <f>IFERROR(VLOOKUP(CE28,'Rangos amb etnico'!$A$2:$C$6,3,9),"N.D.")</f>
        <v>0,1% - 30%</v>
      </c>
      <c r="CG28" s="256">
        <v>1.541924420523248E-4</v>
      </c>
      <c r="CH28" s="232">
        <v>0</v>
      </c>
      <c r="CI28" s="311">
        <f t="shared" si="22"/>
        <v>0</v>
      </c>
      <c r="CJ28" s="232">
        <f>IFERROR(VLOOKUP(CI28,'Rangos amb etnico'!$A$2:$C$6,3,9),"N.D.")</f>
        <v>0</v>
      </c>
      <c r="CK28" s="311">
        <f t="shared" si="23"/>
        <v>0</v>
      </c>
      <c r="CL28" s="10">
        <v>0</v>
      </c>
      <c r="CM28" s="255">
        <f t="shared" si="24"/>
        <v>0</v>
      </c>
      <c r="CN28" s="232">
        <f>IFERROR(VLOOKUP(CM28,'Rangos amb etnico'!$A$2:$C$6,3,9),"N.D.")</f>
        <v>0</v>
      </c>
      <c r="CO28" s="311">
        <f t="shared" si="25"/>
        <v>0</v>
      </c>
      <c r="CP28">
        <v>0.84815278661356874</v>
      </c>
      <c r="CQ28" t="s">
        <v>2865</v>
      </c>
      <c r="CR28">
        <f t="shared" si="15"/>
        <v>4</v>
      </c>
      <c r="CS28" t="str">
        <f t="shared" si="26"/>
        <v>Candidato</v>
      </c>
      <c r="CT28">
        <v>0</v>
      </c>
      <c r="CU28">
        <v>0</v>
      </c>
      <c r="CV28" s="25">
        <v>62.761714935302727</v>
      </c>
      <c r="CW28" s="25">
        <v>62.619693756103523</v>
      </c>
      <c r="CX28" s="25">
        <v>65.677154541015625</v>
      </c>
      <c r="CY28" s="25">
        <v>78.750900268554688</v>
      </c>
      <c r="CZ28" s="25">
        <v>91.573883056640625</v>
      </c>
      <c r="DA28" s="25">
        <v>19.74326133728027</v>
      </c>
      <c r="DB28" s="25">
        <v>58.205387115478523</v>
      </c>
      <c r="DC28">
        <v>2084</v>
      </c>
      <c r="DD28" s="253" t="s">
        <v>380</v>
      </c>
    </row>
    <row r="29" spans="1:108" hidden="1">
      <c r="A29" s="13">
        <v>17001</v>
      </c>
      <c r="B29" s="13" t="s">
        <v>505</v>
      </c>
      <c r="C29" s="13" t="s">
        <v>506</v>
      </c>
      <c r="D29" s="13" t="s">
        <v>507</v>
      </c>
      <c r="E29" s="13" t="s">
        <v>508</v>
      </c>
      <c r="F29" s="14">
        <v>87.128699999999995</v>
      </c>
      <c r="G29" s="13">
        <v>82.04</v>
      </c>
      <c r="H29" s="13">
        <v>82</v>
      </c>
      <c r="I29" s="13">
        <v>88.31</v>
      </c>
      <c r="J29" s="14">
        <v>64.407701741134844</v>
      </c>
      <c r="K29" s="14">
        <v>72.246907467207762</v>
      </c>
      <c r="L29" s="14">
        <v>69.146946724617422</v>
      </c>
      <c r="M29" s="14">
        <v>59.5914</v>
      </c>
      <c r="N29" s="14">
        <f t="shared" si="0"/>
        <v>84.869675000000001</v>
      </c>
      <c r="O29" s="14">
        <f t="shared" si="1"/>
        <v>66.348238983240009</v>
      </c>
      <c r="P29" s="14">
        <f t="shared" si="16"/>
        <v>75.608956991620005</v>
      </c>
      <c r="Q29" s="14">
        <v>28.585534839518445</v>
      </c>
      <c r="R29" s="17">
        <f t="shared" si="2"/>
        <v>71.414465160481555</v>
      </c>
      <c r="S29" s="14">
        <f t="shared" si="17"/>
        <v>0.74273018644433397</v>
      </c>
      <c r="T29" s="13">
        <v>0</v>
      </c>
      <c r="U29" s="13">
        <f t="shared" si="18"/>
        <v>56.157054723247555</v>
      </c>
      <c r="V29" s="13">
        <f>IF($T29=1,$AU29,(VLOOKUP(U29,'Cortes naturales'!$A$35:$C$39,3,9)))</f>
        <v>1</v>
      </c>
      <c r="W29" s="13">
        <v>1</v>
      </c>
      <c r="X29" s="14" t="b">
        <f t="shared" si="3"/>
        <v>1</v>
      </c>
      <c r="Y29" s="17">
        <f>IF($T29=1,$AU29,VLOOKUP(U29,'Cortes naturales'!$A$45:$C$49,3,9))</f>
        <v>1</v>
      </c>
      <c r="Z29" s="14">
        <v>75.188058919845304</v>
      </c>
      <c r="AA29" s="14">
        <v>0.76219626340210545</v>
      </c>
      <c r="AB29" s="14">
        <v>57.308057561163437</v>
      </c>
      <c r="AC29" s="13">
        <v>1</v>
      </c>
      <c r="AD29" s="13">
        <f t="shared" si="4"/>
        <v>0</v>
      </c>
      <c r="AE29" s="14">
        <f t="shared" si="5"/>
        <v>0.42089807177470107</v>
      </c>
      <c r="AF29" s="14">
        <f t="shared" si="6"/>
        <v>-1.9466076957771472E-2</v>
      </c>
      <c r="AG29" s="13">
        <f t="shared" si="7"/>
        <v>-1.1510028379158825</v>
      </c>
      <c r="AH29" s="13">
        <f>IF($T29=1,$AU29,VLOOKUP(U29,'Cortes naturales'!$A$25:$C$29,3,9))</f>
        <v>1</v>
      </c>
      <c r="AI29" s="13" t="b">
        <f t="shared" si="8"/>
        <v>1</v>
      </c>
      <c r="AJ29" s="13">
        <f t="shared" si="19"/>
        <v>0</v>
      </c>
      <c r="AK29" s="28" t="s">
        <v>440</v>
      </c>
      <c r="AL29" s="28" t="s">
        <v>380</v>
      </c>
      <c r="AM29" s="28" t="s">
        <v>380</v>
      </c>
      <c r="AN29" s="13" t="s">
        <v>476</v>
      </c>
      <c r="AO29" s="33">
        <f t="shared" si="9"/>
        <v>1</v>
      </c>
      <c r="AP29" s="13" t="str">
        <f t="shared" si="20"/>
        <v>N.D</v>
      </c>
      <c r="AQ29" s="13">
        <f>IFERROR(VLOOKUP(U29,'Cortes naturales'!$E$15:$G$19,3,9),U29)</f>
        <v>2</v>
      </c>
      <c r="AR29" s="28" t="str">
        <f t="shared" si="10"/>
        <v>N.D.</v>
      </c>
      <c r="AS29" s="13" t="b">
        <f t="shared" si="11"/>
        <v>0</v>
      </c>
      <c r="AT29" s="13" t="str">
        <f t="shared" si="21"/>
        <v>Cambio en corte</v>
      </c>
      <c r="AU29" s="13" t="s">
        <v>476</v>
      </c>
      <c r="AV29">
        <f t="shared" si="12"/>
        <v>1</v>
      </c>
      <c r="AW29" s="13">
        <v>1</v>
      </c>
      <c r="AX29" s="13">
        <v>0</v>
      </c>
      <c r="AY29" s="13">
        <v>0</v>
      </c>
      <c r="AZ29" s="13">
        <v>0</v>
      </c>
      <c r="BA29">
        <v>0</v>
      </c>
      <c r="BB29" t="s">
        <v>2838</v>
      </c>
      <c r="BC29">
        <v>1</v>
      </c>
      <c r="BD29" t="s">
        <v>2918</v>
      </c>
      <c r="BE29">
        <v>1</v>
      </c>
      <c r="BF29" s="232" t="s">
        <v>2845</v>
      </c>
      <c r="BG29" s="232" t="s">
        <v>2845</v>
      </c>
      <c r="BH29" s="253">
        <v>13.9</v>
      </c>
      <c r="BI29" s="253">
        <v>6.2023455224370796</v>
      </c>
      <c r="BJ29" s="25">
        <v>3.6513001699897667</v>
      </c>
      <c r="BK29" t="s">
        <v>381</v>
      </c>
      <c r="BL29">
        <v>0.68219374836560787</v>
      </c>
      <c r="BM29" t="s">
        <v>383</v>
      </c>
      <c r="BN29" s="322">
        <v>912932.94249799999</v>
      </c>
      <c r="BO29" s="322">
        <v>276449.95115500002</v>
      </c>
      <c r="BP29" s="10">
        <v>467681</v>
      </c>
      <c r="BQ29" s="254">
        <f t="shared" si="13"/>
        <v>1.9520419741191111</v>
      </c>
      <c r="BR29" s="254">
        <f t="shared" si="14"/>
        <v>0.59110793715160548</v>
      </c>
      <c r="BS29" s="25">
        <v>61.799023902994797</v>
      </c>
      <c r="BT29" s="25">
        <v>95.160321493085988</v>
      </c>
      <c r="BU29" s="25">
        <v>67.837078634791737</v>
      </c>
      <c r="BV29" s="25">
        <v>90.84697749807394</v>
      </c>
      <c r="BW29" s="25">
        <v>67.835250488973898</v>
      </c>
      <c r="BX29" s="25">
        <v>78.910850382236617</v>
      </c>
      <c r="BY29" s="25">
        <v>68.547888153486383</v>
      </c>
      <c r="BZ29">
        <v>19</v>
      </c>
      <c r="CA29">
        <v>1</v>
      </c>
      <c r="CB29">
        <v>3</v>
      </c>
      <c r="CC29">
        <v>44088.801979000003</v>
      </c>
      <c r="CD29" s="10">
        <v>13565.264776</v>
      </c>
      <c r="CE29" s="255">
        <v>0.3076805031459301</v>
      </c>
      <c r="CF29" t="str">
        <f>IFERROR(VLOOKUP(CE29,'Rangos amb etnico'!$A$2:$C$6,3,9),"N.D.")</f>
        <v>31% - 50%</v>
      </c>
      <c r="CG29" s="256">
        <v>3.946646888407637E-4</v>
      </c>
      <c r="CH29" s="232">
        <v>0</v>
      </c>
      <c r="CI29" s="311">
        <f t="shared" si="22"/>
        <v>0</v>
      </c>
      <c r="CJ29" s="232">
        <f>IFERROR(VLOOKUP(CI29,'Rangos amb etnico'!$A$2:$C$6,3,9),"N.D.")</f>
        <v>0</v>
      </c>
      <c r="CK29" s="311">
        <f t="shared" si="23"/>
        <v>0</v>
      </c>
      <c r="CL29" s="10">
        <v>0</v>
      </c>
      <c r="CM29" s="255">
        <f t="shared" si="24"/>
        <v>0</v>
      </c>
      <c r="CN29" s="232">
        <f>IFERROR(VLOOKUP(CM29,'Rangos amb etnico'!$A$2:$C$6,3,9),"N.D.")</f>
        <v>0</v>
      </c>
      <c r="CO29" s="311">
        <f t="shared" si="25"/>
        <v>0</v>
      </c>
      <c r="CP29">
        <v>0.86457984149432376</v>
      </c>
      <c r="CQ29" t="s">
        <v>2864</v>
      </c>
      <c r="CR29">
        <f t="shared" si="15"/>
        <v>3</v>
      </c>
      <c r="CS29" t="str">
        <f t="shared" si="26"/>
        <v>Candidato</v>
      </c>
      <c r="CT29">
        <v>0</v>
      </c>
      <c r="CU29">
        <v>0</v>
      </c>
      <c r="CV29" s="25">
        <v>71.251907348632813</v>
      </c>
      <c r="CW29" s="25">
        <v>58.212120056152337</v>
      </c>
      <c r="CX29" s="25">
        <v>67.714462280273438</v>
      </c>
      <c r="CY29" s="25">
        <v>72.655479431152344</v>
      </c>
      <c r="CZ29" s="25">
        <v>93.680328369140625</v>
      </c>
      <c r="DA29" s="25">
        <v>70.6209716796875</v>
      </c>
      <c r="DB29" s="25">
        <v>64.628059387207031</v>
      </c>
      <c r="DC29">
        <v>15259</v>
      </c>
      <c r="DD29" s="253" t="s">
        <v>380</v>
      </c>
    </row>
    <row r="30" spans="1:108" hidden="1">
      <c r="A30" s="13">
        <v>8634</v>
      </c>
      <c r="B30" s="13" t="s">
        <v>509</v>
      </c>
      <c r="C30" s="13" t="s">
        <v>442</v>
      </c>
      <c r="D30" s="13" t="s">
        <v>443</v>
      </c>
      <c r="E30" s="13" t="s">
        <v>510</v>
      </c>
      <c r="F30" s="14">
        <v>77.573033333333299</v>
      </c>
      <c r="G30" s="13">
        <v>74.06</v>
      </c>
      <c r="H30" s="13">
        <v>78.540000000000006</v>
      </c>
      <c r="I30" s="13">
        <v>79.400000000000006</v>
      </c>
      <c r="J30" s="14">
        <v>56.766908431088503</v>
      </c>
      <c r="K30" s="14">
        <v>60.607084873468786</v>
      </c>
      <c r="L30" s="14">
        <v>58.302242758981855</v>
      </c>
      <c r="M30" s="14">
        <v>57.680100000000003</v>
      </c>
      <c r="N30" s="14">
        <f t="shared" si="0"/>
        <v>77.393258333333335</v>
      </c>
      <c r="O30" s="14">
        <f t="shared" si="1"/>
        <v>58.339084015884787</v>
      </c>
      <c r="P30" s="14">
        <f t="shared" si="16"/>
        <v>67.866171174609065</v>
      </c>
      <c r="Q30" s="14">
        <v>27.842012843637104</v>
      </c>
      <c r="R30" s="17">
        <f t="shared" si="2"/>
        <v>72.157987156362893</v>
      </c>
      <c r="S30" s="14">
        <f t="shared" si="17"/>
        <v>0.74942188440726598</v>
      </c>
      <c r="T30" s="13">
        <v>0</v>
      </c>
      <c r="U30" s="13">
        <f t="shared" si="18"/>
        <v>50.860393889181601</v>
      </c>
      <c r="V30" s="13">
        <f>IF($T30=1,$AU30,(VLOOKUP(U30,'Cortes naturales'!$A$35:$C$39,3,9)))</f>
        <v>2</v>
      </c>
      <c r="W30" s="13">
        <v>2</v>
      </c>
      <c r="X30" s="14" t="b">
        <f t="shared" si="3"/>
        <v>1</v>
      </c>
      <c r="Y30" s="17">
        <f>IF($T30=1,$AU30,VLOOKUP(U30,'Cortes naturales'!$A$45:$C$49,3,9))</f>
        <v>1</v>
      </c>
      <c r="Z30" s="14">
        <v>66.536850370554149</v>
      </c>
      <c r="AA30" s="14">
        <v>0.76057697521486645</v>
      </c>
      <c r="AB30" s="14">
        <v>50.606396395160239</v>
      </c>
      <c r="AC30" s="13">
        <v>1</v>
      </c>
      <c r="AD30" s="13">
        <f t="shared" si="4"/>
        <v>0</v>
      </c>
      <c r="AE30" s="14">
        <f t="shared" si="5"/>
        <v>1.329320804054916</v>
      </c>
      <c r="AF30" s="14">
        <f t="shared" si="6"/>
        <v>-1.1155090807600465E-2</v>
      </c>
      <c r="AG30" s="13">
        <f t="shared" si="7"/>
        <v>0.25399749402136251</v>
      </c>
      <c r="AH30" s="13">
        <f>IF($T30=1,$AU30,VLOOKUP(U30,'Cortes naturales'!$A$25:$C$29,3,9))</f>
        <v>1</v>
      </c>
      <c r="AI30" s="13" t="b">
        <f t="shared" si="8"/>
        <v>1</v>
      </c>
      <c r="AJ30" s="13">
        <f t="shared" si="19"/>
        <v>0</v>
      </c>
      <c r="AK30" s="28">
        <v>1.1166517821440873</v>
      </c>
      <c r="AL30" s="28">
        <v>74.298492544533772</v>
      </c>
      <c r="AM30" s="28">
        <v>0.75876981189687598</v>
      </c>
      <c r="AN30" s="13">
        <v>1</v>
      </c>
      <c r="AO30" s="33">
        <f t="shared" si="9"/>
        <v>0</v>
      </c>
      <c r="AP30" s="13">
        <f t="shared" si="20"/>
        <v>75.876981189687598</v>
      </c>
      <c r="AQ30" s="13">
        <f>IFERROR(VLOOKUP(U30,'Cortes naturales'!$E$15:$G$19,3,9),U30)</f>
        <v>2</v>
      </c>
      <c r="AR30" s="28">
        <f t="shared" si="10"/>
        <v>-0.36722989773682135</v>
      </c>
      <c r="AS30" s="13" t="b">
        <f t="shared" si="11"/>
        <v>0</v>
      </c>
      <c r="AT30" s="13">
        <f t="shared" si="21"/>
        <v>0</v>
      </c>
      <c r="AU30" s="13">
        <v>1</v>
      </c>
      <c r="AV30">
        <f t="shared" si="12"/>
        <v>0</v>
      </c>
      <c r="AW30" s="13">
        <v>0</v>
      </c>
      <c r="AX30" s="13">
        <v>0</v>
      </c>
      <c r="AY30" s="13">
        <v>0</v>
      </c>
      <c r="AZ30" s="13">
        <v>0</v>
      </c>
      <c r="BA30">
        <v>0</v>
      </c>
      <c r="BB30" t="s">
        <v>2838</v>
      </c>
      <c r="BC30">
        <v>6</v>
      </c>
      <c r="BD30" s="184" t="s">
        <v>2917</v>
      </c>
      <c r="BE30">
        <v>1</v>
      </c>
      <c r="BF30" s="232" t="s">
        <v>2846</v>
      </c>
      <c r="BG30" s="232" t="s">
        <v>2845</v>
      </c>
      <c r="BH30" s="253">
        <v>31.9</v>
      </c>
      <c r="BI30" s="253">
        <v>16.332718577099808</v>
      </c>
      <c r="BJ30" s="25">
        <v>0</v>
      </c>
      <c r="BK30" t="s">
        <v>381</v>
      </c>
      <c r="BL30">
        <v>1.0224066814817223</v>
      </c>
      <c r="BM30" t="s">
        <v>383</v>
      </c>
      <c r="BN30" s="322">
        <v>46924.318722999997</v>
      </c>
      <c r="BO30" s="322">
        <v>6579.5032490000003</v>
      </c>
      <c r="BP30" s="10">
        <v>38726</v>
      </c>
      <c r="BQ30" s="254">
        <f t="shared" si="13"/>
        <v>1.2117006332438154</v>
      </c>
      <c r="BR30" s="254">
        <f t="shared" si="14"/>
        <v>0.16989885991323658</v>
      </c>
      <c r="BS30" s="25">
        <v>70.083307809133757</v>
      </c>
      <c r="BT30" s="25">
        <v>89.770868839195032</v>
      </c>
      <c r="BU30" s="25">
        <v>68.533333333333331</v>
      </c>
      <c r="BV30" s="25">
        <v>93.106618865553187</v>
      </c>
      <c r="BW30" s="25">
        <v>55.12282871153166</v>
      </c>
      <c r="BX30" s="25">
        <v>80.373532211803834</v>
      </c>
      <c r="BY30" s="25">
        <v>58.46841272322402</v>
      </c>
      <c r="BZ30">
        <v>5</v>
      </c>
      <c r="CA30">
        <v>0</v>
      </c>
      <c r="CB30">
        <v>6</v>
      </c>
      <c r="CC30">
        <v>4306.589508</v>
      </c>
      <c r="CD30" s="10">
        <v>329.93086699999998</v>
      </c>
      <c r="CE30" s="255">
        <v>7.6610707007741113E-2</v>
      </c>
      <c r="CF30" t="str">
        <f>IFERROR(VLOOKUP(CE30,'Rangos amb etnico'!$A$2:$C$6,3,9),"N.D.")</f>
        <v>0,1% - 30%</v>
      </c>
      <c r="CG30" s="256">
        <v>9.5989326499467049E-6</v>
      </c>
      <c r="CH30" s="232">
        <v>0</v>
      </c>
      <c r="CI30" s="311">
        <f t="shared" si="22"/>
        <v>0</v>
      </c>
      <c r="CJ30" s="232">
        <f>IFERROR(VLOOKUP(CI30,'Rangos amb etnico'!$A$2:$C$6,3,9),"N.D.")</f>
        <v>0</v>
      </c>
      <c r="CK30" s="311">
        <f t="shared" si="23"/>
        <v>0</v>
      </c>
      <c r="CL30" s="10">
        <v>0</v>
      </c>
      <c r="CM30" s="255">
        <f t="shared" si="24"/>
        <v>0</v>
      </c>
      <c r="CN30" s="232">
        <f>IFERROR(VLOOKUP(CM30,'Rangos amb etnico'!$A$2:$C$6,3,9),"N.D.")</f>
        <v>0</v>
      </c>
      <c r="CO30" s="311">
        <f t="shared" si="25"/>
        <v>0</v>
      </c>
      <c r="CP30">
        <v>0.89588740418009194</v>
      </c>
      <c r="CQ30" t="s">
        <v>2864</v>
      </c>
      <c r="CR30">
        <f t="shared" si="15"/>
        <v>2</v>
      </c>
      <c r="CS30" t="str">
        <f t="shared" si="26"/>
        <v>No es Candidato</v>
      </c>
      <c r="CT30">
        <v>0</v>
      </c>
      <c r="CU30">
        <v>0</v>
      </c>
      <c r="CV30" s="25">
        <v>58.742328643798828</v>
      </c>
      <c r="CW30" s="25">
        <v>43.024921417236328</v>
      </c>
      <c r="CX30" s="25">
        <v>58.254676818847663</v>
      </c>
      <c r="CY30" s="25">
        <v>77.977996826171875</v>
      </c>
      <c r="CZ30" s="25">
        <v>42.227439880371087</v>
      </c>
      <c r="DA30" s="25">
        <v>65.010414123535156</v>
      </c>
      <c r="DB30" s="25">
        <v>65.958518981933594</v>
      </c>
      <c r="DC30">
        <v>925</v>
      </c>
      <c r="DD30" s="253" t="s">
        <v>380</v>
      </c>
    </row>
    <row r="31" spans="1:108" hidden="1">
      <c r="A31" s="13">
        <v>25269</v>
      </c>
      <c r="B31" s="13" t="s">
        <v>511</v>
      </c>
      <c r="C31" s="13" t="s">
        <v>461</v>
      </c>
      <c r="D31" s="13" t="s">
        <v>462</v>
      </c>
      <c r="E31" s="13" t="s">
        <v>512</v>
      </c>
      <c r="F31" s="14">
        <v>83.763499999999993</v>
      </c>
      <c r="G31" s="13">
        <v>71.900000000000006</v>
      </c>
      <c r="H31" s="13">
        <v>65.31</v>
      </c>
      <c r="I31" s="13">
        <v>66.42</v>
      </c>
      <c r="J31" s="14">
        <v>56.314835404300567</v>
      </c>
      <c r="K31" s="14">
        <v>57.896000795450774</v>
      </c>
      <c r="L31" s="14">
        <v>60.354304125394819</v>
      </c>
      <c r="M31" s="14">
        <v>59.694099999999999</v>
      </c>
      <c r="N31" s="14">
        <f t="shared" si="0"/>
        <v>71.848375000000004</v>
      </c>
      <c r="O31" s="14">
        <f t="shared" si="1"/>
        <v>58.564810081286538</v>
      </c>
      <c r="P31" s="14">
        <f t="shared" si="16"/>
        <v>65.206592540643271</v>
      </c>
      <c r="Q31" s="14">
        <v>28.866712102493501</v>
      </c>
      <c r="R31" s="17">
        <f t="shared" si="2"/>
        <v>71.133287897506506</v>
      </c>
      <c r="S31" s="14">
        <f t="shared" si="17"/>
        <v>0.74019959107755851</v>
      </c>
      <c r="T31" s="13">
        <v>0</v>
      </c>
      <c r="U31" s="13">
        <f t="shared" si="18"/>
        <v>48.265893134145124</v>
      </c>
      <c r="V31" s="13">
        <f>IF($T31=1,$AU31,(VLOOKUP(U31,'Cortes naturales'!$A$35:$C$39,3,9)))</f>
        <v>2</v>
      </c>
      <c r="W31" s="13">
        <v>2</v>
      </c>
      <c r="X31" s="14" t="b">
        <f t="shared" si="3"/>
        <v>1</v>
      </c>
      <c r="Y31" s="17">
        <f>IF($T31=1,$AU31,VLOOKUP(U31,'Cortes naturales'!$A$45:$C$49,3,9))</f>
        <v>1</v>
      </c>
      <c r="Z31" s="14">
        <v>66.251892955920994</v>
      </c>
      <c r="AA31" s="14">
        <v>0.75908853849944635</v>
      </c>
      <c r="AB31" s="14">
        <v>50.291052596731831</v>
      </c>
      <c r="AC31" s="13">
        <v>1</v>
      </c>
      <c r="AD31" s="13">
        <f t="shared" si="4"/>
        <v>0</v>
      </c>
      <c r="AE31" s="14">
        <f t="shared" si="5"/>
        <v>-1.0453004152777225</v>
      </c>
      <c r="AF31" s="14">
        <f t="shared" si="6"/>
        <v>-1.8888947421887847E-2</v>
      </c>
      <c r="AG31" s="13">
        <f t="shared" si="7"/>
        <v>-2.0251594625867071</v>
      </c>
      <c r="AH31" s="13">
        <f>IF($T31=1,$AU31,VLOOKUP(U31,'Cortes naturales'!$A$25:$C$29,3,9))</f>
        <v>1</v>
      </c>
      <c r="AI31" s="13" t="b">
        <f t="shared" si="8"/>
        <v>1</v>
      </c>
      <c r="AJ31" s="13">
        <f t="shared" si="19"/>
        <v>0</v>
      </c>
      <c r="AK31" s="28">
        <v>1.1166517821440873</v>
      </c>
      <c r="AL31" s="28">
        <v>73.980294339648481</v>
      </c>
      <c r="AM31" s="28">
        <v>0.75478948776628463</v>
      </c>
      <c r="AN31" s="13">
        <v>1</v>
      </c>
      <c r="AO31" s="33">
        <f t="shared" si="9"/>
        <v>0</v>
      </c>
      <c r="AP31" s="13">
        <f t="shared" si="20"/>
        <v>75.478948776628457</v>
      </c>
      <c r="AQ31" s="13">
        <f>IFERROR(VLOOKUP(U31,'Cortes naturales'!$E$15:$G$19,3,9),U31)</f>
        <v>2</v>
      </c>
      <c r="AR31" s="28">
        <f t="shared" si="10"/>
        <v>-0.37645219106652883</v>
      </c>
      <c r="AS31" s="13" t="b">
        <f t="shared" si="11"/>
        <v>0</v>
      </c>
      <c r="AT31" s="13">
        <f t="shared" si="21"/>
        <v>0</v>
      </c>
      <c r="AU31" s="13">
        <v>1</v>
      </c>
      <c r="AV31">
        <f t="shared" si="12"/>
        <v>0</v>
      </c>
      <c r="AW31" s="13">
        <v>0</v>
      </c>
      <c r="AX31" s="13">
        <v>1</v>
      </c>
      <c r="AY31" s="13">
        <v>0</v>
      </c>
      <c r="AZ31" s="13">
        <v>0</v>
      </c>
      <c r="BA31">
        <v>0</v>
      </c>
      <c r="BB31" t="s">
        <v>2838</v>
      </c>
      <c r="BC31">
        <v>2</v>
      </c>
      <c r="BD31" s="184" t="s">
        <v>2917</v>
      </c>
      <c r="BE31">
        <v>0</v>
      </c>
      <c r="BF31" s="232" t="s">
        <v>2845</v>
      </c>
      <c r="BG31" s="232" t="s">
        <v>2846</v>
      </c>
      <c r="BH31" s="253">
        <v>10.5</v>
      </c>
      <c r="BI31" s="253">
        <v>4.0465299041377216</v>
      </c>
      <c r="BJ31" s="25">
        <v>3.0839845870602636</v>
      </c>
      <c r="BK31" t="s">
        <v>381</v>
      </c>
      <c r="BL31">
        <v>2.0661197878003152</v>
      </c>
      <c r="BM31" t="s">
        <v>383</v>
      </c>
      <c r="BN31" s="322">
        <v>257077.172338</v>
      </c>
      <c r="BO31" s="322">
        <v>85898.943230999997</v>
      </c>
      <c r="BP31" s="10">
        <v>161874</v>
      </c>
      <c r="BQ31" s="254">
        <f t="shared" si="13"/>
        <v>1.5881313388067262</v>
      </c>
      <c r="BR31" s="254">
        <f t="shared" si="14"/>
        <v>0.5306531205196634</v>
      </c>
      <c r="BS31" s="25">
        <v>64.531592735356313</v>
      </c>
      <c r="BT31" s="25">
        <v>95.560313655069208</v>
      </c>
      <c r="BU31" s="25">
        <v>66.158623691988169</v>
      </c>
      <c r="BV31" s="25">
        <v>82.93515884869818</v>
      </c>
      <c r="BW31" s="25">
        <v>63.965362918901448</v>
      </c>
      <c r="BX31" s="25">
        <v>77.296422232777971</v>
      </c>
      <c r="BY31" s="25">
        <v>65.799952849288161</v>
      </c>
      <c r="BZ31">
        <v>59</v>
      </c>
      <c r="CA31">
        <v>1</v>
      </c>
      <c r="CB31">
        <v>4</v>
      </c>
      <c r="CC31">
        <v>15787.906132</v>
      </c>
      <c r="CD31" s="10">
        <v>2604.124057</v>
      </c>
      <c r="CE31" s="255">
        <v>0.16494423232741323</v>
      </c>
      <c r="CF31" t="str">
        <f>IFERROR(VLOOKUP(CE31,'Rangos amb etnico'!$A$2:$C$6,3,9),"N.D.")</f>
        <v>0,1% - 30%</v>
      </c>
      <c r="CG31" s="256">
        <v>7.5763785494034955E-5</v>
      </c>
      <c r="CH31" s="232">
        <v>0</v>
      </c>
      <c r="CI31" s="311">
        <f t="shared" si="22"/>
        <v>0</v>
      </c>
      <c r="CJ31" s="232">
        <f>IFERROR(VLOOKUP(CI31,'Rangos amb etnico'!$A$2:$C$6,3,9),"N.D.")</f>
        <v>0</v>
      </c>
      <c r="CK31" s="311">
        <f t="shared" si="23"/>
        <v>0</v>
      </c>
      <c r="CL31" s="10">
        <v>0</v>
      </c>
      <c r="CM31" s="255">
        <f t="shared" si="24"/>
        <v>0</v>
      </c>
      <c r="CN31" s="232">
        <f>IFERROR(VLOOKUP(CM31,'Rangos amb etnico'!$A$2:$C$6,3,9),"N.D.")</f>
        <v>0</v>
      </c>
      <c r="CO31" s="311">
        <f t="shared" si="25"/>
        <v>0</v>
      </c>
      <c r="CP31">
        <v>0.94727118979117819</v>
      </c>
      <c r="CQ31" t="s">
        <v>2864</v>
      </c>
      <c r="CR31">
        <f t="shared" si="15"/>
        <v>3</v>
      </c>
      <c r="CS31" t="str">
        <f t="shared" si="26"/>
        <v>Candidato</v>
      </c>
      <c r="CT31">
        <v>0</v>
      </c>
      <c r="CU31">
        <v>0</v>
      </c>
      <c r="CV31" s="25">
        <v>57.731155395507813</v>
      </c>
      <c r="CW31" s="25">
        <v>62.084640502929688</v>
      </c>
      <c r="CX31" s="25">
        <v>60.681537628173828</v>
      </c>
      <c r="CY31" s="25">
        <v>73.405929565429688</v>
      </c>
      <c r="CZ31" s="25">
        <v>53.133193969726563</v>
      </c>
      <c r="DA31" s="25">
        <v>41.060459136962891</v>
      </c>
      <c r="DB31" s="25">
        <v>56.021167755126953</v>
      </c>
      <c r="DC31">
        <v>1413</v>
      </c>
      <c r="DD31" s="253" t="s">
        <v>380</v>
      </c>
    </row>
    <row r="32" spans="1:108" hidden="1">
      <c r="A32" s="13">
        <v>66001</v>
      </c>
      <c r="B32" s="13" t="s">
        <v>513</v>
      </c>
      <c r="C32" s="13" t="s">
        <v>467</v>
      </c>
      <c r="D32" s="13" t="s">
        <v>468</v>
      </c>
      <c r="E32" s="13" t="s">
        <v>514</v>
      </c>
      <c r="F32" s="14">
        <v>83.0535</v>
      </c>
      <c r="G32" s="13">
        <v>82.34</v>
      </c>
      <c r="H32" s="13">
        <v>81.22</v>
      </c>
      <c r="I32" s="13">
        <v>86.13</v>
      </c>
      <c r="J32" s="14">
        <v>62.123529939647554</v>
      </c>
      <c r="K32" s="14">
        <v>65.469876079772746</v>
      </c>
      <c r="L32" s="14">
        <v>75.232254030406466</v>
      </c>
      <c r="M32" s="14">
        <v>62.149500000000003</v>
      </c>
      <c r="N32" s="14">
        <f t="shared" si="0"/>
        <v>83.18587500000001</v>
      </c>
      <c r="O32" s="14">
        <f t="shared" si="1"/>
        <v>66.243790012456685</v>
      </c>
      <c r="P32" s="14">
        <f t="shared" si="16"/>
        <v>74.714832506228348</v>
      </c>
      <c r="Q32" s="14">
        <v>29.404422027248511</v>
      </c>
      <c r="R32" s="17">
        <f t="shared" si="2"/>
        <v>70.595577972751485</v>
      </c>
      <c r="S32" s="14">
        <f t="shared" si="17"/>
        <v>0.73536020175476335</v>
      </c>
      <c r="T32" s="13">
        <v>0</v>
      </c>
      <c r="U32" s="13">
        <f t="shared" si="18"/>
        <v>54.942314305853429</v>
      </c>
      <c r="V32" s="13">
        <f>IF($T32=1,$AU32,(VLOOKUP(U32,'Cortes naturales'!$A$35:$C$39,3,9)))</f>
        <v>1</v>
      </c>
      <c r="W32" s="13">
        <v>1</v>
      </c>
      <c r="X32" s="14" t="b">
        <f t="shared" si="3"/>
        <v>1</v>
      </c>
      <c r="Y32" s="17">
        <f>IF($T32=1,$AU32,VLOOKUP(U32,'Cortes naturales'!$A$45:$C$49,3,9))</f>
        <v>1</v>
      </c>
      <c r="Z32" s="14">
        <v>74.424434429248777</v>
      </c>
      <c r="AA32" s="14">
        <v>0.7570125590671497</v>
      </c>
      <c r="AB32" s="14">
        <v>56.3402315644109</v>
      </c>
      <c r="AC32" s="13">
        <v>1</v>
      </c>
      <c r="AD32" s="13">
        <f t="shared" si="4"/>
        <v>0</v>
      </c>
      <c r="AE32" s="14">
        <f t="shared" si="5"/>
        <v>0.29039807697957087</v>
      </c>
      <c r="AF32" s="14">
        <f t="shared" si="6"/>
        <v>-2.165235731238635E-2</v>
      </c>
      <c r="AG32" s="13">
        <f t="shared" si="7"/>
        <v>-1.3979172585574702</v>
      </c>
      <c r="AH32" s="13">
        <f>IF($T32=1,$AU32,VLOOKUP(U32,'Cortes naturales'!$A$25:$C$29,3,9))</f>
        <v>1</v>
      </c>
      <c r="AI32" s="13" t="b">
        <f t="shared" si="8"/>
        <v>1</v>
      </c>
      <c r="AJ32" s="13">
        <f t="shared" si="19"/>
        <v>0</v>
      </c>
      <c r="AK32" s="28" t="s">
        <v>440</v>
      </c>
      <c r="AL32" s="28" t="s">
        <v>380</v>
      </c>
      <c r="AM32" s="28" t="s">
        <v>380</v>
      </c>
      <c r="AN32" s="13" t="s">
        <v>476</v>
      </c>
      <c r="AO32" s="33">
        <f t="shared" si="9"/>
        <v>1</v>
      </c>
      <c r="AP32" s="13" t="str">
        <f t="shared" si="20"/>
        <v>N.D</v>
      </c>
      <c r="AQ32" s="13">
        <f>IFERROR(VLOOKUP(U32,'Cortes naturales'!$E$15:$G$19,3,9),U32)</f>
        <v>2</v>
      </c>
      <c r="AR32" s="28" t="str">
        <f t="shared" si="10"/>
        <v>N.D.</v>
      </c>
      <c r="AS32" s="13" t="b">
        <f t="shared" si="11"/>
        <v>0</v>
      </c>
      <c r="AT32" s="13" t="str">
        <f t="shared" si="21"/>
        <v>Cambio en corte</v>
      </c>
      <c r="AU32" s="13" t="s">
        <v>476</v>
      </c>
      <c r="AV32">
        <f t="shared" si="12"/>
        <v>1</v>
      </c>
      <c r="AW32" s="13">
        <v>1</v>
      </c>
      <c r="AX32" s="13">
        <v>0</v>
      </c>
      <c r="AY32" s="13">
        <v>0</v>
      </c>
      <c r="AZ32" s="13">
        <v>0</v>
      </c>
      <c r="BA32">
        <v>0</v>
      </c>
      <c r="BB32" t="s">
        <v>2838</v>
      </c>
      <c r="BC32">
        <v>1</v>
      </c>
      <c r="BD32" t="s">
        <v>2918</v>
      </c>
      <c r="BE32">
        <v>1</v>
      </c>
      <c r="BF32" s="232" t="s">
        <v>2845</v>
      </c>
      <c r="BG32" s="232" t="s">
        <v>2845</v>
      </c>
      <c r="BH32" s="253">
        <v>15.1</v>
      </c>
      <c r="BI32" s="253">
        <v>5.8782165705322065</v>
      </c>
      <c r="BJ32" s="25">
        <v>4.485483533165171</v>
      </c>
      <c r="BK32" t="s">
        <v>381</v>
      </c>
      <c r="BL32">
        <v>2.4730766208060535</v>
      </c>
      <c r="BM32" t="s">
        <v>383</v>
      </c>
      <c r="BN32" s="322">
        <v>1487465.9298680001</v>
      </c>
      <c r="BO32" s="322">
        <v>551649.88619200001</v>
      </c>
      <c r="BP32" s="10">
        <v>486042</v>
      </c>
      <c r="BQ32" s="254">
        <f t="shared" si="13"/>
        <v>3.0603650093366417</v>
      </c>
      <c r="BR32" s="254">
        <f t="shared" si="14"/>
        <v>1.1349839853181412</v>
      </c>
      <c r="BS32" s="25">
        <v>74.733969457481066</v>
      </c>
      <c r="BT32" s="25">
        <v>95.474091187394492</v>
      </c>
      <c r="BU32" s="25">
        <v>62.544560772639272</v>
      </c>
      <c r="BV32" s="25">
        <v>77.903072382701851</v>
      </c>
      <c r="BW32" s="25">
        <v>80.493829485772721</v>
      </c>
      <c r="BX32" s="25">
        <v>77.66392345005417</v>
      </c>
      <c r="BY32" s="25">
        <v>82.196765851769314</v>
      </c>
      <c r="BZ32">
        <v>49</v>
      </c>
      <c r="CA32">
        <v>1</v>
      </c>
      <c r="CB32">
        <v>3</v>
      </c>
      <c r="CC32">
        <v>60823.913959999998</v>
      </c>
      <c r="CD32" s="10">
        <v>31181.070532000002</v>
      </c>
      <c r="CE32" s="255">
        <v>0.51264492042563714</v>
      </c>
      <c r="CF32" t="str">
        <f>IFERROR(VLOOKUP(CE32,'Rangos amb etnico'!$A$2:$C$6,3,9),"N.D.")</f>
        <v>31% - 50%</v>
      </c>
      <c r="CG32" s="256">
        <v>9.0717488397321099E-4</v>
      </c>
      <c r="CH32" s="232">
        <v>7.7910999999999994E-2</v>
      </c>
      <c r="CI32" s="311">
        <f t="shared" si="22"/>
        <v>1.2809271046127857E-6</v>
      </c>
      <c r="CJ32" s="232">
        <f>IFERROR(VLOOKUP(CI32,'Rangos amb etnico'!$A$2:$C$6,3,9),"N.D.")</f>
        <v>0</v>
      </c>
      <c r="CK32" s="311">
        <f t="shared" si="23"/>
        <v>3.0935767989368183E-9</v>
      </c>
      <c r="CL32" s="10">
        <v>0</v>
      </c>
      <c r="CM32" s="255">
        <f t="shared" si="24"/>
        <v>0</v>
      </c>
      <c r="CN32" s="232">
        <f>IFERROR(VLOOKUP(CM32,'Rangos amb etnico'!$A$2:$C$6,3,9),"N.D.")</f>
        <v>0</v>
      </c>
      <c r="CO32" s="311">
        <f t="shared" si="25"/>
        <v>0</v>
      </c>
      <c r="CP32">
        <v>0.86231846871900086</v>
      </c>
      <c r="CQ32" t="s">
        <v>2864</v>
      </c>
      <c r="CR32">
        <f t="shared" si="15"/>
        <v>4</v>
      </c>
      <c r="CS32" t="str">
        <f t="shared" si="26"/>
        <v>Candidato</v>
      </c>
      <c r="CT32">
        <v>0</v>
      </c>
      <c r="CU32">
        <v>0</v>
      </c>
      <c r="CV32" s="25">
        <v>63.297256469726563</v>
      </c>
      <c r="CW32" s="25">
        <v>60.838600158691413</v>
      </c>
      <c r="CX32" s="25">
        <v>66.232490539550781</v>
      </c>
      <c r="CY32" s="25">
        <v>69.352821350097656</v>
      </c>
      <c r="CZ32" s="25">
        <v>87.2681884765625</v>
      </c>
      <c r="DA32" s="25">
        <v>29.341939926147461</v>
      </c>
      <c r="DB32" s="25">
        <v>66.749488830566406</v>
      </c>
      <c r="DC32">
        <v>20767</v>
      </c>
      <c r="DD32" s="253" t="s">
        <v>380</v>
      </c>
    </row>
    <row r="33" spans="1:108">
      <c r="A33" s="13">
        <v>5129</v>
      </c>
      <c r="B33" s="13" t="s">
        <v>515</v>
      </c>
      <c r="C33" s="13" t="s">
        <v>435</v>
      </c>
      <c r="D33" s="13" t="s">
        <v>436</v>
      </c>
      <c r="E33" s="13" t="s">
        <v>507</v>
      </c>
      <c r="F33" s="14">
        <v>72.090033333333295</v>
      </c>
      <c r="G33" s="13">
        <v>61.28</v>
      </c>
      <c r="H33" s="13">
        <v>59.35</v>
      </c>
      <c r="I33" s="13">
        <v>66.91</v>
      </c>
      <c r="J33" s="14">
        <v>53.881608875691967</v>
      </c>
      <c r="K33" s="14">
        <v>59.363295642146653</v>
      </c>
      <c r="L33" s="14">
        <v>77.860995891693605</v>
      </c>
      <c r="M33" s="14">
        <v>55.706899999999997</v>
      </c>
      <c r="N33" s="14">
        <f t="shared" si="0"/>
        <v>64.907508333333325</v>
      </c>
      <c r="O33" s="14">
        <f t="shared" si="1"/>
        <v>61.703200102383057</v>
      </c>
      <c r="P33" s="14">
        <f t="shared" si="16"/>
        <v>63.305354217858195</v>
      </c>
      <c r="Q33" s="14">
        <v>27.070460705843768</v>
      </c>
      <c r="R33" s="17">
        <f t="shared" si="2"/>
        <v>72.929539294156228</v>
      </c>
      <c r="S33" s="14">
        <f t="shared" si="17"/>
        <v>0.75636585364740605</v>
      </c>
      <c r="T33" s="13">
        <v>0</v>
      </c>
      <c r="U33" s="13">
        <f t="shared" si="18"/>
        <v>47.882008283441728</v>
      </c>
      <c r="V33" s="13">
        <f>IF($T33=1,$AU33,(VLOOKUP(U33,'Cortes naturales'!$A$35:$C$39,3,9)))</f>
        <v>2</v>
      </c>
      <c r="W33" s="13">
        <v>2</v>
      </c>
      <c r="X33" s="14" t="b">
        <f t="shared" si="3"/>
        <v>1</v>
      </c>
      <c r="Y33" s="17">
        <f>IF($T33=1,$AU33,VLOOKUP(U33,'Cortes naturales'!$A$45:$C$49,3,9))</f>
        <v>1</v>
      </c>
      <c r="Z33" s="14">
        <v>63.999969052171096</v>
      </c>
      <c r="AA33" s="14">
        <v>0.76055113403382135</v>
      </c>
      <c r="AB33" s="14">
        <v>48.675249040758196</v>
      </c>
      <c r="AC33" s="13">
        <v>1</v>
      </c>
      <c r="AD33" s="13">
        <f t="shared" si="4"/>
        <v>0</v>
      </c>
      <c r="AE33" s="14">
        <f t="shared" si="5"/>
        <v>-0.69461483431290105</v>
      </c>
      <c r="AF33" s="14">
        <f t="shared" si="6"/>
        <v>-4.1852803864153021E-3</v>
      </c>
      <c r="AG33" s="13">
        <f t="shared" si="7"/>
        <v>-0.79324075731646815</v>
      </c>
      <c r="AH33" s="13">
        <f>IF($T33=1,$AU33,VLOOKUP(U33,'Cortes naturales'!$A$25:$C$29,3,9))</f>
        <v>1</v>
      </c>
      <c r="AI33" s="13" t="b">
        <f t="shared" si="8"/>
        <v>1</v>
      </c>
      <c r="AJ33" s="13">
        <f t="shared" si="19"/>
        <v>0</v>
      </c>
      <c r="AK33" s="28">
        <v>1.1166517821440873</v>
      </c>
      <c r="AL33" s="28">
        <v>71.465679499273293</v>
      </c>
      <c r="AM33" s="28">
        <v>0.72333430676708088</v>
      </c>
      <c r="AN33" s="13">
        <v>1</v>
      </c>
      <c r="AO33" s="33">
        <f t="shared" si="9"/>
        <v>0</v>
      </c>
      <c r="AP33" s="13">
        <f t="shared" si="20"/>
        <v>72.33343067670809</v>
      </c>
      <c r="AQ33" s="13">
        <f>IFERROR(VLOOKUP(U33,'Cortes naturales'!$E$15:$G$19,3,9),U33)</f>
        <v>2</v>
      </c>
      <c r="AR33" s="28">
        <f t="shared" si="10"/>
        <v>-0.36028592849668128</v>
      </c>
      <c r="AS33" s="13" t="b">
        <f t="shared" si="11"/>
        <v>0</v>
      </c>
      <c r="AT33" s="13">
        <f t="shared" si="21"/>
        <v>0</v>
      </c>
      <c r="AU33" s="13">
        <v>1</v>
      </c>
      <c r="AV33">
        <f t="shared" si="12"/>
        <v>0</v>
      </c>
      <c r="AW33" s="13">
        <v>0</v>
      </c>
      <c r="AX33" s="13">
        <v>1</v>
      </c>
      <c r="AY33" s="13">
        <v>0</v>
      </c>
      <c r="AZ33" s="13">
        <v>0</v>
      </c>
      <c r="BA33">
        <v>0</v>
      </c>
      <c r="BB33" t="s">
        <v>2838</v>
      </c>
      <c r="BC33">
        <v>3</v>
      </c>
      <c r="BD33" s="184" t="s">
        <v>2917</v>
      </c>
      <c r="BE33">
        <v>1</v>
      </c>
      <c r="BF33" s="232" t="s">
        <v>2846</v>
      </c>
      <c r="BG33" s="232" t="s">
        <v>2845</v>
      </c>
      <c r="BH33" s="253">
        <v>16</v>
      </c>
      <c r="BI33" s="253">
        <v>5.4731410669860869</v>
      </c>
      <c r="BJ33" s="25">
        <v>12.753953022789679</v>
      </c>
      <c r="BK33" t="s">
        <v>377</v>
      </c>
      <c r="BL33">
        <v>3.8765526874043976</v>
      </c>
      <c r="BM33" t="s">
        <v>383</v>
      </c>
      <c r="BN33" s="322">
        <v>104508.700998</v>
      </c>
      <c r="BO33" s="322">
        <v>44248.420069</v>
      </c>
      <c r="BP33" s="10">
        <v>88316</v>
      </c>
      <c r="BQ33" s="254">
        <f t="shared" si="13"/>
        <v>1.1833495742334346</v>
      </c>
      <c r="BR33" s="254">
        <f t="shared" si="14"/>
        <v>0.50102382432401826</v>
      </c>
      <c r="BS33" s="25">
        <v>75.724670426443154</v>
      </c>
      <c r="BT33" s="25">
        <v>96.144007728613573</v>
      </c>
      <c r="BU33" s="25">
        <v>60.45</v>
      </c>
      <c r="BV33" s="25">
        <v>85.450859203938776</v>
      </c>
      <c r="BW33" s="25">
        <v>64.471798903956284</v>
      </c>
      <c r="BX33" s="25">
        <v>79.44238433974887</v>
      </c>
      <c r="BY33" s="25">
        <v>64.385958286751674</v>
      </c>
      <c r="BZ33">
        <v>2</v>
      </c>
      <c r="CA33">
        <v>0</v>
      </c>
      <c r="CB33">
        <v>6</v>
      </c>
      <c r="CC33">
        <v>13276.962611999999</v>
      </c>
      <c r="CD33" s="10">
        <v>3504.8232549999998</v>
      </c>
      <c r="CE33" s="255">
        <v>0.26397779051002723</v>
      </c>
      <c r="CF33" t="str">
        <f>IFERROR(VLOOKUP(CE33,'Rangos amb etnico'!$A$2:$C$6,3,9),"N.D.")</f>
        <v>0,1% - 30%</v>
      </c>
      <c r="CG33" s="256">
        <v>1.019685204983018E-4</v>
      </c>
      <c r="CH33" s="232">
        <v>0</v>
      </c>
      <c r="CI33" s="311">
        <f t="shared" si="22"/>
        <v>0</v>
      </c>
      <c r="CJ33" s="232">
        <f>IFERROR(VLOOKUP(CI33,'Rangos amb etnico'!$A$2:$C$6,3,9),"N.D.")</f>
        <v>0</v>
      </c>
      <c r="CK33" s="311">
        <f t="shared" si="23"/>
        <v>0</v>
      </c>
      <c r="CL33" s="10">
        <v>0</v>
      </c>
      <c r="CM33" s="255">
        <f t="shared" si="24"/>
        <v>0</v>
      </c>
      <c r="CN33" s="232">
        <f>IFERROR(VLOOKUP(CM33,'Rangos amb etnico'!$A$2:$C$6,3,9),"N.D.")</f>
        <v>0</v>
      </c>
      <c r="CO33" s="311">
        <f t="shared" si="25"/>
        <v>0</v>
      </c>
      <c r="CP33">
        <v>0.7888282361054626</v>
      </c>
      <c r="CQ33" t="s">
        <v>2865</v>
      </c>
      <c r="CR33">
        <f t="shared" si="15"/>
        <v>3</v>
      </c>
      <c r="CS33" t="str">
        <f t="shared" si="26"/>
        <v>Candidato</v>
      </c>
      <c r="CT33">
        <v>0</v>
      </c>
      <c r="CU33">
        <v>0</v>
      </c>
      <c r="CV33" s="25">
        <v>59.407142639160163</v>
      </c>
      <c r="CW33" s="25">
        <v>55.948375701904297</v>
      </c>
      <c r="CX33" s="25">
        <v>56.494453430175781</v>
      </c>
      <c r="CY33" s="25">
        <v>65.356552124023438</v>
      </c>
      <c r="CZ33" s="25">
        <v>81.029579162597656</v>
      </c>
      <c r="DA33" s="25">
        <v>26.605710983276371</v>
      </c>
      <c r="DB33" s="25">
        <v>71.008193969726563</v>
      </c>
      <c r="DC33">
        <v>1238</v>
      </c>
      <c r="DD33" s="253" t="s">
        <v>380</v>
      </c>
    </row>
    <row r="34" spans="1:108" hidden="1">
      <c r="A34" s="13">
        <v>54874</v>
      </c>
      <c r="B34" s="13" t="s">
        <v>516</v>
      </c>
      <c r="C34" s="13" t="s">
        <v>517</v>
      </c>
      <c r="D34" s="13" t="s">
        <v>518</v>
      </c>
      <c r="E34" s="13" t="s">
        <v>519</v>
      </c>
      <c r="F34" s="14">
        <v>66.119566666666699</v>
      </c>
      <c r="G34" s="13">
        <v>70.44</v>
      </c>
      <c r="H34" s="13">
        <v>65.349999999999994</v>
      </c>
      <c r="I34" s="13">
        <v>81.11</v>
      </c>
      <c r="J34" s="14">
        <v>62.523819930457663</v>
      </c>
      <c r="K34" s="14">
        <v>67.335367930750223</v>
      </c>
      <c r="L34" s="14">
        <v>63.455340503873188</v>
      </c>
      <c r="M34" s="14">
        <v>58.011299999999999</v>
      </c>
      <c r="N34" s="14">
        <f t="shared" si="0"/>
        <v>70.754891666666666</v>
      </c>
      <c r="O34" s="14">
        <f t="shared" si="1"/>
        <v>62.831457091270266</v>
      </c>
      <c r="P34" s="14">
        <f t="shared" si="16"/>
        <v>66.793174378968473</v>
      </c>
      <c r="Q34" s="14">
        <v>28.672757243152208</v>
      </c>
      <c r="R34" s="17">
        <f t="shared" si="2"/>
        <v>71.327242756847795</v>
      </c>
      <c r="S34" s="14">
        <f t="shared" si="17"/>
        <v>0.74194518481163019</v>
      </c>
      <c r="T34" s="13">
        <v>0</v>
      </c>
      <c r="U34" s="13">
        <f t="shared" si="18"/>
        <v>49.556874108759203</v>
      </c>
      <c r="V34" s="13">
        <f>IF($T34=1,$AU34,(VLOOKUP(U34,'Cortes naturales'!$A$35:$C$39,3,9)))</f>
        <v>2</v>
      </c>
      <c r="W34" s="13">
        <v>2</v>
      </c>
      <c r="X34" s="14" t="b">
        <f t="shared" si="3"/>
        <v>1</v>
      </c>
      <c r="Y34" s="17">
        <f>IF($T34=1,$AU34,VLOOKUP(U34,'Cortes naturales'!$A$45:$C$49,3,9))</f>
        <v>1</v>
      </c>
      <c r="Z34" s="14">
        <v>65.088470307704213</v>
      </c>
      <c r="AA34" s="14">
        <v>0.75539426433446022</v>
      </c>
      <c r="AB34" s="14">
        <v>49.16745714474358</v>
      </c>
      <c r="AC34" s="13">
        <v>1</v>
      </c>
      <c r="AD34" s="13">
        <f t="shared" si="4"/>
        <v>0</v>
      </c>
      <c r="AE34" s="14">
        <f t="shared" si="5"/>
        <v>1.7047040712642598</v>
      </c>
      <c r="AF34" s="14">
        <f t="shared" si="6"/>
        <v>-1.3449079522830032E-2</v>
      </c>
      <c r="AG34" s="13">
        <f t="shared" si="7"/>
        <v>0.38941696401562353</v>
      </c>
      <c r="AH34" s="13">
        <f>IF($T34=1,$AU34,VLOOKUP(U34,'Cortes naturales'!$A$25:$C$29,3,9))</f>
        <v>1</v>
      </c>
      <c r="AI34" s="13" t="b">
        <f t="shared" si="8"/>
        <v>1</v>
      </c>
      <c r="AJ34" s="13">
        <f t="shared" si="19"/>
        <v>0</v>
      </c>
      <c r="AK34" s="28">
        <v>1.1166517821440873</v>
      </c>
      <c r="AL34" s="28">
        <v>72.681156366130423</v>
      </c>
      <c r="AM34" s="28">
        <v>0.7385386411380781</v>
      </c>
      <c r="AN34" s="13">
        <v>1</v>
      </c>
      <c r="AO34" s="33">
        <f t="shared" si="9"/>
        <v>0</v>
      </c>
      <c r="AP34" s="13">
        <f t="shared" si="20"/>
        <v>73.853864113807816</v>
      </c>
      <c r="AQ34" s="13">
        <f>IFERROR(VLOOKUP(U34,'Cortes naturales'!$E$15:$G$19,3,9),U34)</f>
        <v>2</v>
      </c>
      <c r="AR34" s="28">
        <f t="shared" si="10"/>
        <v>-0.37470659733245715</v>
      </c>
      <c r="AS34" s="13" t="b">
        <f t="shared" si="11"/>
        <v>0</v>
      </c>
      <c r="AT34" s="13">
        <f t="shared" si="21"/>
        <v>0</v>
      </c>
      <c r="AU34" s="13">
        <v>1</v>
      </c>
      <c r="AV34">
        <f t="shared" si="12"/>
        <v>0</v>
      </c>
      <c r="AW34" s="13">
        <v>0</v>
      </c>
      <c r="AX34" s="13">
        <v>1</v>
      </c>
      <c r="AY34" s="13">
        <v>0</v>
      </c>
      <c r="AZ34" s="13">
        <v>0</v>
      </c>
      <c r="BA34">
        <v>0</v>
      </c>
      <c r="BB34" t="s">
        <v>2838</v>
      </c>
      <c r="BC34">
        <v>4</v>
      </c>
      <c r="BD34" s="184" t="s">
        <v>2917</v>
      </c>
      <c r="BE34">
        <v>1</v>
      </c>
      <c r="BF34" s="232" t="s">
        <v>2846</v>
      </c>
      <c r="BG34" s="232" t="s">
        <v>2845</v>
      </c>
      <c r="BH34" s="253">
        <v>24.6</v>
      </c>
      <c r="BI34" s="253">
        <v>14.564404061998932</v>
      </c>
      <c r="BJ34" s="25">
        <v>2.7351044693980593</v>
      </c>
      <c r="BK34" t="s">
        <v>381</v>
      </c>
      <c r="BL34">
        <v>5.158250332109195</v>
      </c>
      <c r="BM34" t="s">
        <v>383</v>
      </c>
      <c r="BN34" s="322">
        <v>261420.05854200001</v>
      </c>
      <c r="BO34" s="322">
        <v>46786.990460000001</v>
      </c>
      <c r="BP34" s="10">
        <v>123460</v>
      </c>
      <c r="BQ34" s="254">
        <f t="shared" si="13"/>
        <v>2.1174474205572658</v>
      </c>
      <c r="BR34" s="254">
        <f t="shared" si="14"/>
        <v>0.37896476964198933</v>
      </c>
      <c r="BS34" s="25">
        <v>67.404856012475378</v>
      </c>
      <c r="BT34" s="25">
        <v>96.927184864864856</v>
      </c>
      <c r="BU34" s="25">
        <v>66.101666666666674</v>
      </c>
      <c r="BV34" s="25">
        <v>91.052741185805644</v>
      </c>
      <c r="BW34" s="25">
        <v>61.58899329379993</v>
      </c>
      <c r="BX34" s="25">
        <v>80.371612182453134</v>
      </c>
      <c r="BY34" s="25">
        <v>64.008844988161485</v>
      </c>
      <c r="BZ34">
        <v>73</v>
      </c>
      <c r="CA34">
        <v>0</v>
      </c>
      <c r="CB34">
        <v>6</v>
      </c>
      <c r="CC34">
        <v>9156.5396550000005</v>
      </c>
      <c r="CD34" s="10">
        <v>1594.196684</v>
      </c>
      <c r="CE34" s="255">
        <v>0.1741047103017215</v>
      </c>
      <c r="CF34" t="str">
        <f>IFERROR(VLOOKUP(CE34,'Rangos amb etnico'!$A$2:$C$6,3,9),"N.D.")</f>
        <v>0,1% - 30%</v>
      </c>
      <c r="CG34" s="256">
        <v>4.6381191125364974E-5</v>
      </c>
      <c r="CH34" s="232">
        <v>0</v>
      </c>
      <c r="CI34" s="311">
        <f t="shared" si="22"/>
        <v>0</v>
      </c>
      <c r="CJ34" s="232">
        <f>IFERROR(VLOOKUP(CI34,'Rangos amb etnico'!$A$2:$C$6,3,9),"N.D.")</f>
        <v>0</v>
      </c>
      <c r="CK34" s="311">
        <f t="shared" si="23"/>
        <v>0</v>
      </c>
      <c r="CL34" s="10">
        <v>0</v>
      </c>
      <c r="CM34" s="255">
        <f t="shared" si="24"/>
        <v>0</v>
      </c>
      <c r="CN34" s="232">
        <f>IFERROR(VLOOKUP(CM34,'Rangos amb etnico'!$A$2:$C$6,3,9),"N.D.")</f>
        <v>0</v>
      </c>
      <c r="CO34" s="311">
        <f t="shared" si="25"/>
        <v>0</v>
      </c>
      <c r="CP34">
        <v>0.91605458799495643</v>
      </c>
      <c r="CQ34" t="s">
        <v>2864</v>
      </c>
      <c r="CR34">
        <f t="shared" si="15"/>
        <v>3</v>
      </c>
      <c r="CS34" t="str">
        <f t="shared" si="26"/>
        <v>Candidato</v>
      </c>
      <c r="CT34">
        <v>1</v>
      </c>
      <c r="CU34" t="s">
        <v>2835</v>
      </c>
      <c r="CV34" s="25">
        <v>48.132572174072273</v>
      </c>
      <c r="CW34" s="25">
        <v>44.952552795410163</v>
      </c>
      <c r="CX34" s="25">
        <v>43.553024291992188</v>
      </c>
      <c r="CY34" s="25">
        <v>68.154983520507813</v>
      </c>
      <c r="CZ34" s="25">
        <v>50.546237945556641</v>
      </c>
      <c r="DA34" s="25">
        <v>30.041685104370121</v>
      </c>
      <c r="DB34" s="25">
        <v>51.546958923339837</v>
      </c>
      <c r="DC34">
        <v>1797</v>
      </c>
      <c r="DD34" s="253" t="s">
        <v>380</v>
      </c>
    </row>
    <row r="35" spans="1:108" hidden="1">
      <c r="A35" s="13">
        <v>66400</v>
      </c>
      <c r="B35" s="13" t="s">
        <v>520</v>
      </c>
      <c r="C35" s="13" t="s">
        <v>467</v>
      </c>
      <c r="D35" s="13" t="s">
        <v>468</v>
      </c>
      <c r="E35" s="13" t="s">
        <v>521</v>
      </c>
      <c r="F35" s="14">
        <v>60.301299999999998</v>
      </c>
      <c r="G35" s="13">
        <v>80.33</v>
      </c>
      <c r="H35" s="13">
        <v>82.24</v>
      </c>
      <c r="I35" s="13">
        <v>81.69</v>
      </c>
      <c r="J35" s="14">
        <v>48.869582048989102</v>
      </c>
      <c r="K35" s="14">
        <v>57.782397811441818</v>
      </c>
      <c r="L35" s="14">
        <v>67.316037002735072</v>
      </c>
      <c r="M35" s="14">
        <v>62.297699999999999</v>
      </c>
      <c r="N35" s="14">
        <f t="shared" si="0"/>
        <v>76.140325000000004</v>
      </c>
      <c r="O35" s="14">
        <f t="shared" si="1"/>
        <v>59.066429215791494</v>
      </c>
      <c r="P35" s="14">
        <f t="shared" si="16"/>
        <v>67.603377107895753</v>
      </c>
      <c r="Q35" s="14">
        <v>29.701427412388931</v>
      </c>
      <c r="R35" s="17">
        <f t="shared" si="2"/>
        <v>70.298572587611062</v>
      </c>
      <c r="S35" s="14">
        <f t="shared" si="17"/>
        <v>0.73268715328849954</v>
      </c>
      <c r="T35" s="13">
        <v>0</v>
      </c>
      <c r="U35" s="13">
        <f t="shared" si="18"/>
        <v>49.532125925873054</v>
      </c>
      <c r="V35" s="13">
        <f>IF($T35=1,$AU35,(VLOOKUP(U35,'Cortes naturales'!$A$35:$C$39,3,9)))</f>
        <v>2</v>
      </c>
      <c r="W35" s="13">
        <v>2</v>
      </c>
      <c r="X35" s="14" t="b">
        <f t="shared" si="3"/>
        <v>1</v>
      </c>
      <c r="Y35" s="17">
        <f>IF($T35=1,$AU35,VLOOKUP(U35,'Cortes naturales'!$A$45:$C$49,3,9))</f>
        <v>1</v>
      </c>
      <c r="Z35" s="14">
        <v>61.981115413561255</v>
      </c>
      <c r="AA35" s="14">
        <v>0.75362056923747223</v>
      </c>
      <c r="AB35" s="14">
        <v>46.710243479941497</v>
      </c>
      <c r="AC35" s="13">
        <v>2</v>
      </c>
      <c r="AD35" s="13">
        <f t="shared" si="4"/>
        <v>1</v>
      </c>
      <c r="AE35" s="14">
        <f t="shared" si="5"/>
        <v>5.6222616943344974</v>
      </c>
      <c r="AF35" s="14">
        <f t="shared" si="6"/>
        <v>-2.0933415948972689E-2</v>
      </c>
      <c r="AG35" s="13">
        <f t="shared" si="7"/>
        <v>2.821882445931557</v>
      </c>
      <c r="AH35" s="13">
        <f>IF($T35=1,$AU35,VLOOKUP(U35,'Cortes naturales'!$A$25:$C$29,3,9))</f>
        <v>1</v>
      </c>
      <c r="AI35" s="13" t="b">
        <f t="shared" si="8"/>
        <v>1</v>
      </c>
      <c r="AJ35" s="13" t="str">
        <f t="shared" si="19"/>
        <v>Efecto ponderador</v>
      </c>
      <c r="AK35" s="28">
        <v>1.1166517821440873</v>
      </c>
      <c r="AL35" s="28">
        <v>69.211322985831544</v>
      </c>
      <c r="AM35" s="28">
        <v>0.69513468309967907</v>
      </c>
      <c r="AN35" s="13">
        <v>1</v>
      </c>
      <c r="AO35" s="33">
        <f t="shared" si="9"/>
        <v>0</v>
      </c>
      <c r="AP35" s="13">
        <f t="shared" si="20"/>
        <v>69.513468309967905</v>
      </c>
      <c r="AQ35" s="13">
        <f>IFERROR(VLOOKUP(U35,'Cortes naturales'!$E$15:$G$19,3,9),U35)</f>
        <v>2</v>
      </c>
      <c r="AR35" s="28">
        <f t="shared" si="10"/>
        <v>-0.3839646288555878</v>
      </c>
      <c r="AS35" s="13" t="b">
        <f t="shared" si="11"/>
        <v>0</v>
      </c>
      <c r="AT35" s="13">
        <f t="shared" si="21"/>
        <v>0</v>
      </c>
      <c r="AU35" s="13">
        <v>1</v>
      </c>
      <c r="AV35">
        <f t="shared" si="12"/>
        <v>0</v>
      </c>
      <c r="AW35" s="13">
        <v>0</v>
      </c>
      <c r="AX35" s="13">
        <v>0</v>
      </c>
      <c r="AY35" s="13">
        <v>0</v>
      </c>
      <c r="AZ35" s="13">
        <v>0</v>
      </c>
      <c r="BA35">
        <v>0</v>
      </c>
      <c r="BB35" t="s">
        <v>2839</v>
      </c>
      <c r="BC35">
        <v>6</v>
      </c>
      <c r="BD35" t="s">
        <v>2919</v>
      </c>
      <c r="BE35">
        <v>1</v>
      </c>
      <c r="BF35" s="232" t="s">
        <v>2846</v>
      </c>
      <c r="BG35" s="232" t="s">
        <v>2845</v>
      </c>
      <c r="BH35" s="253">
        <v>19</v>
      </c>
      <c r="BI35" s="253">
        <v>6.5856208138139305</v>
      </c>
      <c r="BJ35" s="25">
        <v>1.3951919111022124</v>
      </c>
      <c r="BK35" t="s">
        <v>381</v>
      </c>
      <c r="BL35">
        <v>5.7470208663179765</v>
      </c>
      <c r="BM35" t="s">
        <v>379</v>
      </c>
      <c r="BN35" s="322">
        <v>52721.241121999999</v>
      </c>
      <c r="BO35" s="322">
        <v>10343.964889000001</v>
      </c>
      <c r="BP35" s="10">
        <v>28384</v>
      </c>
      <c r="BQ35" s="254">
        <f t="shared" si="13"/>
        <v>1.8574281680524238</v>
      </c>
      <c r="BR35" s="254">
        <f t="shared" si="14"/>
        <v>0.36442942816375423</v>
      </c>
      <c r="BS35" s="25">
        <v>62.807722254505869</v>
      </c>
      <c r="BT35" s="25">
        <v>98.421053333333319</v>
      </c>
      <c r="BU35" s="25">
        <v>63.326904761904743</v>
      </c>
      <c r="BV35" s="25">
        <v>87.856182949529668</v>
      </c>
      <c r="BW35" s="25">
        <v>38.196944394924707</v>
      </c>
      <c r="BX35" s="25">
        <v>78.102965824818398</v>
      </c>
      <c r="BY35" s="25">
        <v>38.64398667750654</v>
      </c>
      <c r="BZ35">
        <v>49</v>
      </c>
      <c r="CA35">
        <v>0</v>
      </c>
      <c r="CB35">
        <v>4</v>
      </c>
      <c r="CC35">
        <v>3280.0168490000001</v>
      </c>
      <c r="CD35" s="10">
        <v>1504.393816</v>
      </c>
      <c r="CE35" s="255">
        <v>0.45865429516273803</v>
      </c>
      <c r="CF35" t="str">
        <f>IFERROR(VLOOKUP(CE35,'Rangos amb etnico'!$A$2:$C$6,3,9),"N.D.")</f>
        <v>31% - 50%</v>
      </c>
      <c r="CG35" s="256">
        <v>4.3768487168496169E-5</v>
      </c>
      <c r="CH35" s="232">
        <v>0</v>
      </c>
      <c r="CI35" s="311">
        <f t="shared" si="22"/>
        <v>0</v>
      </c>
      <c r="CJ35" s="232">
        <f>IFERROR(VLOOKUP(CI35,'Rangos amb etnico'!$A$2:$C$6,3,9),"N.D.")</f>
        <v>0</v>
      </c>
      <c r="CK35" s="311">
        <f t="shared" si="23"/>
        <v>0</v>
      </c>
      <c r="CL35" s="10">
        <v>0</v>
      </c>
      <c r="CM35" s="255">
        <f t="shared" si="24"/>
        <v>0</v>
      </c>
      <c r="CN35" s="232">
        <f>IFERROR(VLOOKUP(CM35,'Rangos amb etnico'!$A$2:$C$6,3,9),"N.D.")</f>
        <v>0</v>
      </c>
      <c r="CO35" s="311">
        <f t="shared" si="25"/>
        <v>0</v>
      </c>
      <c r="CP35">
        <v>0.9775855129164166</v>
      </c>
      <c r="CQ35" t="s">
        <v>2864</v>
      </c>
      <c r="CR35">
        <f t="shared" si="15"/>
        <v>3</v>
      </c>
      <c r="CS35" t="str">
        <f t="shared" si="26"/>
        <v>Candidato</v>
      </c>
      <c r="CT35">
        <v>0</v>
      </c>
      <c r="CU35">
        <v>0</v>
      </c>
      <c r="CV35" s="25">
        <v>54.075477600097663</v>
      </c>
      <c r="CW35" s="25">
        <v>42.926033020019531</v>
      </c>
      <c r="CX35" s="25">
        <v>47.005752563476563</v>
      </c>
      <c r="CY35" s="25">
        <v>76.274208068847656</v>
      </c>
      <c r="CZ35" s="25">
        <v>68.361640930175781</v>
      </c>
      <c r="DA35" s="25">
        <v>32.753311157226563</v>
      </c>
      <c r="DB35" s="25">
        <v>57.131912231445313</v>
      </c>
      <c r="DC35">
        <v>815</v>
      </c>
      <c r="DD35" s="253" t="s">
        <v>380</v>
      </c>
    </row>
    <row r="36" spans="1:108">
      <c r="A36" s="13">
        <v>5308</v>
      </c>
      <c r="B36" s="13" t="s">
        <v>522</v>
      </c>
      <c r="C36" s="13" t="s">
        <v>435</v>
      </c>
      <c r="D36" s="13" t="s">
        <v>436</v>
      </c>
      <c r="E36" s="13" t="s">
        <v>523</v>
      </c>
      <c r="F36" s="14">
        <v>65.574633333333296</v>
      </c>
      <c r="G36" s="13">
        <v>78.47</v>
      </c>
      <c r="H36" s="13">
        <v>66.27</v>
      </c>
      <c r="I36" s="13">
        <v>63.97</v>
      </c>
      <c r="J36" s="14">
        <v>76.549318667629962</v>
      </c>
      <c r="K36" s="14">
        <v>77.795170489241187</v>
      </c>
      <c r="L36" s="14">
        <v>58.531206313880013</v>
      </c>
      <c r="M36" s="14">
        <v>56.5914</v>
      </c>
      <c r="N36" s="14">
        <f t="shared" si="0"/>
        <v>68.571158333333329</v>
      </c>
      <c r="O36" s="14">
        <f t="shared" si="1"/>
        <v>67.366773867687783</v>
      </c>
      <c r="P36" s="14">
        <f t="shared" si="16"/>
        <v>67.968966100510556</v>
      </c>
      <c r="Q36" s="14">
        <v>26.907134169980985</v>
      </c>
      <c r="R36" s="17">
        <f t="shared" si="2"/>
        <v>73.092865830019008</v>
      </c>
      <c r="S36" s="14">
        <f t="shared" si="17"/>
        <v>0.75783579247017108</v>
      </c>
      <c r="T36" s="13">
        <v>0</v>
      </c>
      <c r="U36" s="13">
        <f t="shared" si="18"/>
        <v>51.509315288158611</v>
      </c>
      <c r="V36" s="13">
        <f>IF($T36=1,$AU36,(VLOOKUP(U36,'Cortes naturales'!$A$35:$C$39,3,9)))</f>
        <v>2</v>
      </c>
      <c r="W36" s="13">
        <v>2</v>
      </c>
      <c r="X36" s="14" t="b">
        <f t="shared" si="3"/>
        <v>1</v>
      </c>
      <c r="Y36" s="17">
        <f>IF($T36=1,$AU36,VLOOKUP(U36,'Cortes naturales'!$A$45:$C$49,3,9))</f>
        <v>1</v>
      </c>
      <c r="Z36" s="14">
        <v>69.300246580668642</v>
      </c>
      <c r="AA36" s="14">
        <v>0.75947855736480507</v>
      </c>
      <c r="AB36" s="14">
        <v>52.632051298111485</v>
      </c>
      <c r="AC36" s="13">
        <v>1</v>
      </c>
      <c r="AD36" s="13">
        <f t="shared" si="4"/>
        <v>0</v>
      </c>
      <c r="AE36" s="14">
        <f t="shared" si="5"/>
        <v>-1.3312804801580853</v>
      </c>
      <c r="AF36" s="14">
        <f t="shared" si="6"/>
        <v>-1.6427648946339968E-3</v>
      </c>
      <c r="AG36" s="13">
        <f t="shared" si="7"/>
        <v>-1.1227360099528738</v>
      </c>
      <c r="AH36" s="13">
        <f>IF($T36=1,$AU36,VLOOKUP(U36,'Cortes naturales'!$A$25:$C$29,3,9))</f>
        <v>1</v>
      </c>
      <c r="AI36" s="13" t="b">
        <f t="shared" si="8"/>
        <v>1</v>
      </c>
      <c r="AJ36" s="13">
        <f t="shared" si="19"/>
        <v>0</v>
      </c>
      <c r="AK36" s="28">
        <v>1.1166517821440873</v>
      </c>
      <c r="AL36" s="28">
        <v>77.384243847328335</v>
      </c>
      <c r="AM36" s="28">
        <v>0.79736930800636741</v>
      </c>
      <c r="AN36" s="13">
        <v>1</v>
      </c>
      <c r="AO36" s="33">
        <f t="shared" si="9"/>
        <v>0</v>
      </c>
      <c r="AP36" s="13">
        <f t="shared" si="20"/>
        <v>79.736930800636742</v>
      </c>
      <c r="AQ36" s="13">
        <f>IFERROR(VLOOKUP(U36,'Cortes naturales'!$E$15:$G$19,3,9),U36)</f>
        <v>2</v>
      </c>
      <c r="AR36" s="28">
        <f t="shared" si="10"/>
        <v>-0.35881598967391626</v>
      </c>
      <c r="AS36" s="13" t="b">
        <f t="shared" si="11"/>
        <v>0</v>
      </c>
      <c r="AT36" s="13">
        <f t="shared" si="21"/>
        <v>0</v>
      </c>
      <c r="AU36" s="13">
        <v>1</v>
      </c>
      <c r="AV36">
        <f t="shared" si="12"/>
        <v>0</v>
      </c>
      <c r="AW36" s="13">
        <v>0</v>
      </c>
      <c r="AX36" s="13">
        <v>1</v>
      </c>
      <c r="AY36" s="13">
        <v>0</v>
      </c>
      <c r="AZ36" s="13">
        <v>0</v>
      </c>
      <c r="BA36">
        <v>0</v>
      </c>
      <c r="BB36" t="s">
        <v>2838</v>
      </c>
      <c r="BC36">
        <v>2</v>
      </c>
      <c r="BD36" s="184" t="s">
        <v>2917</v>
      </c>
      <c r="BE36">
        <v>1</v>
      </c>
      <c r="BF36" s="232" t="s">
        <v>2846</v>
      </c>
      <c r="BG36" s="232" t="s">
        <v>2845</v>
      </c>
      <c r="BH36" s="253">
        <v>13.9</v>
      </c>
      <c r="BI36" s="253">
        <v>5.0507141378596563</v>
      </c>
      <c r="BJ36" s="25">
        <v>9.5176964443328984</v>
      </c>
      <c r="BK36" t="s">
        <v>377</v>
      </c>
      <c r="BL36">
        <v>2.3506247962873714</v>
      </c>
      <c r="BM36" t="s">
        <v>383</v>
      </c>
      <c r="BN36" s="322">
        <v>132970.19001200001</v>
      </c>
      <c r="BO36" s="322">
        <v>89199.633652999997</v>
      </c>
      <c r="BP36" s="10">
        <v>60604</v>
      </c>
      <c r="BQ36" s="254">
        <f t="shared" si="13"/>
        <v>2.1940827340109563</v>
      </c>
      <c r="BR36" s="254">
        <f t="shared" si="14"/>
        <v>1.471843997970431</v>
      </c>
      <c r="BS36" s="25">
        <v>72.098084291956894</v>
      </c>
      <c r="BT36" s="25">
        <v>93.976008118716038</v>
      </c>
      <c r="BU36" s="25">
        <v>67.398333333333326</v>
      </c>
      <c r="BV36" s="25">
        <v>83.934404998999341</v>
      </c>
      <c r="BW36" s="25">
        <v>69.992035018019834</v>
      </c>
      <c r="BX36" s="25">
        <v>79.351707685751407</v>
      </c>
      <c r="BY36" s="25">
        <v>70.940027190017602</v>
      </c>
      <c r="BZ36">
        <v>2</v>
      </c>
      <c r="CA36">
        <v>0</v>
      </c>
      <c r="CB36">
        <v>6</v>
      </c>
      <c r="CC36">
        <v>8280.0737059999992</v>
      </c>
      <c r="CD36" s="10">
        <v>939.67848600000002</v>
      </c>
      <c r="CE36" s="255">
        <v>0.11348672963129298</v>
      </c>
      <c r="CF36" t="str">
        <f>IFERROR(VLOOKUP(CE36,'Rangos amb etnico'!$A$2:$C$6,3,9),"N.D.")</f>
        <v>0,1% - 30%</v>
      </c>
      <c r="CG36" s="256">
        <v>2.733878943105341E-5</v>
      </c>
      <c r="CH36" s="232">
        <v>0</v>
      </c>
      <c r="CI36" s="311">
        <f t="shared" si="22"/>
        <v>0</v>
      </c>
      <c r="CJ36" s="232">
        <f>IFERROR(VLOOKUP(CI36,'Rangos amb etnico'!$A$2:$C$6,3,9),"N.D.")</f>
        <v>0</v>
      </c>
      <c r="CK36" s="311">
        <f t="shared" si="23"/>
        <v>0</v>
      </c>
      <c r="CL36" s="10">
        <v>0</v>
      </c>
      <c r="CM36" s="255">
        <f t="shared" si="24"/>
        <v>0</v>
      </c>
      <c r="CN36" s="232">
        <f>IFERROR(VLOOKUP(CM36,'Rangos amb etnico'!$A$2:$C$6,3,9),"N.D.")</f>
        <v>0</v>
      </c>
      <c r="CO36" s="311">
        <f t="shared" si="25"/>
        <v>0</v>
      </c>
      <c r="CP36">
        <v>0.97287979293369409</v>
      </c>
      <c r="CQ36" t="s">
        <v>2864</v>
      </c>
      <c r="CR36">
        <f t="shared" si="15"/>
        <v>3</v>
      </c>
      <c r="CS36" t="str">
        <f t="shared" si="26"/>
        <v>Candidato</v>
      </c>
      <c r="CT36">
        <v>0</v>
      </c>
      <c r="CU36">
        <v>0</v>
      </c>
      <c r="CV36" s="25">
        <v>58.618942260742188</v>
      </c>
      <c r="CW36" s="25">
        <v>64.853782653808594</v>
      </c>
      <c r="CX36" s="25">
        <v>68.066360473632813</v>
      </c>
      <c r="CY36" s="25">
        <v>62.755561828613281</v>
      </c>
      <c r="CZ36" s="25">
        <v>71.610389709472656</v>
      </c>
      <c r="DA36" s="25">
        <v>30.09984016418457</v>
      </c>
      <c r="DB36" s="25">
        <v>54.327716827392578</v>
      </c>
      <c r="DC36">
        <v>4711</v>
      </c>
      <c r="DD36" s="253" t="s">
        <v>380</v>
      </c>
    </row>
    <row r="37" spans="1:108" hidden="1">
      <c r="A37" s="13">
        <v>25307</v>
      </c>
      <c r="B37" s="13" t="s">
        <v>524</v>
      </c>
      <c r="C37" s="13" t="s">
        <v>461</v>
      </c>
      <c r="D37" s="13" t="s">
        <v>462</v>
      </c>
      <c r="E37" s="13" t="s">
        <v>525</v>
      </c>
      <c r="F37" s="14">
        <v>73.777366666666694</v>
      </c>
      <c r="G37" s="13">
        <v>68.45</v>
      </c>
      <c r="H37" s="13">
        <v>55.34</v>
      </c>
      <c r="I37" s="13">
        <v>57.82</v>
      </c>
      <c r="J37" s="14">
        <v>56.436456239719149</v>
      </c>
      <c r="K37" s="14">
        <v>51.839486931596646</v>
      </c>
      <c r="L37" s="14">
        <v>61.582703610025654</v>
      </c>
      <c r="M37" s="14">
        <v>58.442300000000003</v>
      </c>
      <c r="N37" s="14">
        <f t="shared" si="0"/>
        <v>63.84684166666667</v>
      </c>
      <c r="O37" s="14">
        <f t="shared" si="1"/>
        <v>57.075236695335363</v>
      </c>
      <c r="P37" s="14">
        <f t="shared" si="16"/>
        <v>60.461039181001013</v>
      </c>
      <c r="Q37" s="14">
        <v>30.617856925238701</v>
      </c>
      <c r="R37" s="17">
        <f t="shared" si="2"/>
        <v>69.382143074761302</v>
      </c>
      <c r="S37" s="14">
        <f t="shared" si="17"/>
        <v>0.72443928767285171</v>
      </c>
      <c r="T37" s="13">
        <v>0</v>
      </c>
      <c r="U37" s="13">
        <f t="shared" si="18"/>
        <v>43.800352156244749</v>
      </c>
      <c r="V37" s="13">
        <f>IF($T37=1,$AU37,(VLOOKUP(U37,'Cortes naturales'!$A$35:$C$39,3,9)))</f>
        <v>2</v>
      </c>
      <c r="W37" s="13">
        <v>2</v>
      </c>
      <c r="X37" s="14" t="b">
        <f t="shared" si="3"/>
        <v>1</v>
      </c>
      <c r="Y37" s="17">
        <f>IF($T37=1,$AU37,VLOOKUP(U37,'Cortes naturales'!$A$45:$C$49,3,9))</f>
        <v>2</v>
      </c>
      <c r="Z37" s="14">
        <v>60.533444187256933</v>
      </c>
      <c r="AA37" s="14">
        <v>0.75064402781319994</v>
      </c>
      <c r="AB37" s="14">
        <v>45.439068362128083</v>
      </c>
      <c r="AC37" s="13">
        <v>2</v>
      </c>
      <c r="AD37" s="13">
        <f t="shared" si="4"/>
        <v>0</v>
      </c>
      <c r="AE37" s="14">
        <f t="shared" si="5"/>
        <v>-7.2405006255920057E-2</v>
      </c>
      <c r="AF37" s="14">
        <f t="shared" si="6"/>
        <v>-2.6204740140348237E-2</v>
      </c>
      <c r="AG37" s="13">
        <f t="shared" si="7"/>
        <v>-1.638716205883334</v>
      </c>
      <c r="AH37" s="13">
        <f>IF($T37=1,$AU37,VLOOKUP(U37,'Cortes naturales'!$A$25:$C$29,3,9))</f>
        <v>2</v>
      </c>
      <c r="AI37" s="13" t="b">
        <f t="shared" si="8"/>
        <v>1</v>
      </c>
      <c r="AJ37" s="13">
        <f t="shared" si="19"/>
        <v>0</v>
      </c>
      <c r="AK37" s="28" t="s">
        <v>440</v>
      </c>
      <c r="AL37" s="28" t="s">
        <v>380</v>
      </c>
      <c r="AM37" s="28" t="s">
        <v>380</v>
      </c>
      <c r="AN37" s="13" t="s">
        <v>476</v>
      </c>
      <c r="AO37" s="33">
        <f t="shared" si="9"/>
        <v>2</v>
      </c>
      <c r="AP37" s="13" t="str">
        <f t="shared" si="20"/>
        <v>N.D</v>
      </c>
      <c r="AQ37" s="13">
        <f>IFERROR(VLOOKUP(U37,'Cortes naturales'!$E$15:$G$19,3,9),U37)</f>
        <v>3</v>
      </c>
      <c r="AR37" s="28" t="str">
        <f t="shared" si="10"/>
        <v>N.D.</v>
      </c>
      <c r="AS37" s="13" t="b">
        <f t="shared" si="11"/>
        <v>0</v>
      </c>
      <c r="AT37" s="13" t="str">
        <f t="shared" si="21"/>
        <v>Cambio en corte</v>
      </c>
      <c r="AU37" s="13" t="s">
        <v>476</v>
      </c>
      <c r="AV37">
        <f t="shared" si="12"/>
        <v>2</v>
      </c>
      <c r="AW37" s="13">
        <v>0</v>
      </c>
      <c r="AX37" s="13">
        <v>1</v>
      </c>
      <c r="AY37" s="13">
        <v>0</v>
      </c>
      <c r="AZ37" s="13">
        <v>0</v>
      </c>
      <c r="BA37">
        <v>0</v>
      </c>
      <c r="BB37" t="s">
        <v>2838</v>
      </c>
      <c r="BC37">
        <v>2</v>
      </c>
      <c r="BD37" t="s">
        <v>2918</v>
      </c>
      <c r="BE37">
        <v>0</v>
      </c>
      <c r="BF37" s="232" t="s">
        <v>2845</v>
      </c>
      <c r="BG37" s="232" t="s">
        <v>2846</v>
      </c>
      <c r="BH37" s="253">
        <v>13.4</v>
      </c>
      <c r="BI37" s="253">
        <v>7.5361843901906163</v>
      </c>
      <c r="BJ37" s="25">
        <v>1.74313081270423</v>
      </c>
      <c r="BK37" t="s">
        <v>381</v>
      </c>
      <c r="BL37">
        <v>5.4413538366210465</v>
      </c>
      <c r="BM37" t="s">
        <v>383</v>
      </c>
      <c r="BN37" s="322">
        <v>281375.947797</v>
      </c>
      <c r="BO37" s="322">
        <v>94949.250434000001</v>
      </c>
      <c r="BP37" s="10">
        <v>103831</v>
      </c>
      <c r="BQ37" s="254">
        <f t="shared" si="13"/>
        <v>2.7099416147104431</v>
      </c>
      <c r="BR37" s="254">
        <f t="shared" si="14"/>
        <v>0.91445955864818795</v>
      </c>
      <c r="BS37" s="25">
        <v>67.300366556204708</v>
      </c>
      <c r="BT37" s="25">
        <v>95.26351124010553</v>
      </c>
      <c r="BU37" s="25">
        <v>72.151666666666671</v>
      </c>
      <c r="BV37" s="25">
        <v>66.629454785607038</v>
      </c>
      <c r="BW37" s="25">
        <v>78.458076637708331</v>
      </c>
      <c r="BX37" s="25">
        <v>75.336249812145979</v>
      </c>
      <c r="BY37" s="25">
        <v>83.71459377321861</v>
      </c>
      <c r="BZ37">
        <v>55</v>
      </c>
      <c r="CA37">
        <v>1</v>
      </c>
      <c r="CB37">
        <v>4</v>
      </c>
      <c r="CC37">
        <v>13025.268609000001</v>
      </c>
      <c r="CD37" s="10">
        <v>219.923214</v>
      </c>
      <c r="CE37" s="255">
        <v>1.6884351532531223E-2</v>
      </c>
      <c r="CF37" t="str">
        <f>IFERROR(VLOOKUP(CE37,'Rangos amb etnico'!$A$2:$C$6,3,9),"N.D.")</f>
        <v>0,1% - 30%</v>
      </c>
      <c r="CG37" s="256">
        <v>6.3983953321524668E-6</v>
      </c>
      <c r="CH37" s="232">
        <v>0</v>
      </c>
      <c r="CI37" s="311">
        <f t="shared" si="22"/>
        <v>0</v>
      </c>
      <c r="CJ37" s="232">
        <f>IFERROR(VLOOKUP(CI37,'Rangos amb etnico'!$A$2:$C$6,3,9),"N.D.")</f>
        <v>0</v>
      </c>
      <c r="CK37" s="311">
        <f t="shared" si="23"/>
        <v>0</v>
      </c>
      <c r="CL37" s="10">
        <v>0</v>
      </c>
      <c r="CM37" s="255">
        <f t="shared" si="24"/>
        <v>0</v>
      </c>
      <c r="CN37" s="232">
        <f>IFERROR(VLOOKUP(CM37,'Rangos amb etnico'!$A$2:$C$6,3,9),"N.D.")</f>
        <v>0</v>
      </c>
      <c r="CO37" s="311">
        <f t="shared" si="25"/>
        <v>0</v>
      </c>
      <c r="CP37">
        <v>0.80395889594359993</v>
      </c>
      <c r="CQ37" t="s">
        <v>2865</v>
      </c>
      <c r="CR37">
        <f t="shared" si="15"/>
        <v>2</v>
      </c>
      <c r="CS37" t="str">
        <f t="shared" si="26"/>
        <v>No es Candidato</v>
      </c>
      <c r="CT37">
        <v>0</v>
      </c>
      <c r="CU37">
        <v>0</v>
      </c>
      <c r="CV37" s="25">
        <v>50.318107604980469</v>
      </c>
      <c r="CW37" s="25">
        <v>49.348918914794922</v>
      </c>
      <c r="CX37" s="25">
        <v>55.427017211914063</v>
      </c>
      <c r="CY37" s="25">
        <v>71.522262573242188</v>
      </c>
      <c r="CZ37" s="25">
        <v>61.348251342773438</v>
      </c>
      <c r="DA37" s="25">
        <v>7.8724350929260254</v>
      </c>
      <c r="DB37" s="25">
        <v>56.3897705078125</v>
      </c>
      <c r="DC37">
        <v>1450</v>
      </c>
      <c r="DD37" s="253" t="s">
        <v>380</v>
      </c>
    </row>
    <row r="38" spans="1:108" hidden="1">
      <c r="A38" s="13">
        <v>8573</v>
      </c>
      <c r="B38" s="13" t="s">
        <v>526</v>
      </c>
      <c r="C38" s="13" t="s">
        <v>442</v>
      </c>
      <c r="D38" s="13" t="s">
        <v>443</v>
      </c>
      <c r="E38" s="13" t="s">
        <v>527</v>
      </c>
      <c r="F38" s="14">
        <v>57.840966666666702</v>
      </c>
      <c r="G38" s="13">
        <v>74.19</v>
      </c>
      <c r="H38" s="13">
        <v>76</v>
      </c>
      <c r="I38" s="13">
        <v>80.489999999999995</v>
      </c>
      <c r="J38" s="14">
        <v>56.590059229633269</v>
      </c>
      <c r="K38" s="14">
        <v>56.598340535111937</v>
      </c>
      <c r="L38" s="14">
        <v>59.397859465815102</v>
      </c>
      <c r="M38" s="14">
        <v>62.7303</v>
      </c>
      <c r="N38" s="14">
        <f t="shared" si="0"/>
        <v>72.130241666666677</v>
      </c>
      <c r="O38" s="14">
        <f t="shared" si="1"/>
        <v>58.829139807640075</v>
      </c>
      <c r="P38" s="14">
        <f t="shared" si="16"/>
        <v>65.479690737153376</v>
      </c>
      <c r="Q38" s="14">
        <v>28.534161448286532</v>
      </c>
      <c r="R38" s="17">
        <f t="shared" si="2"/>
        <v>71.46583855171346</v>
      </c>
      <c r="S38" s="14">
        <f t="shared" si="17"/>
        <v>0.74319254696542114</v>
      </c>
      <c r="T38" s="13">
        <v>0</v>
      </c>
      <c r="U38" s="13">
        <f t="shared" si="18"/>
        <v>48.664018133453112</v>
      </c>
      <c r="V38" s="13">
        <f>IF($T38=1,$AU38,(VLOOKUP(U38,'Cortes naturales'!$A$35:$C$39,3,9)))</f>
        <v>2</v>
      </c>
      <c r="W38" s="13">
        <v>2</v>
      </c>
      <c r="X38" s="14" t="b">
        <f t="shared" si="3"/>
        <v>1</v>
      </c>
      <c r="Y38" s="17">
        <f>IF($T38=1,$AU38,VLOOKUP(U38,'Cortes naturales'!$A$45:$C$49,3,9))</f>
        <v>1</v>
      </c>
      <c r="Z38" s="14">
        <v>63.018213658725287</v>
      </c>
      <c r="AA38" s="14">
        <v>0.74970558521753705</v>
      </c>
      <c r="AB38" s="14">
        <v>47.245106750378426</v>
      </c>
      <c r="AC38" s="13">
        <v>1</v>
      </c>
      <c r="AD38" s="13">
        <f t="shared" si="4"/>
        <v>0</v>
      </c>
      <c r="AE38" s="14">
        <f t="shared" si="5"/>
        <v>2.4614770784280893</v>
      </c>
      <c r="AF38" s="14">
        <f t="shared" si="6"/>
        <v>-6.5130382521159103E-3</v>
      </c>
      <c r="AG38" s="13">
        <f t="shared" si="7"/>
        <v>1.4189113830746862</v>
      </c>
      <c r="AH38" s="13">
        <f>IF($T38=1,$AU38,VLOOKUP(U38,'Cortes naturales'!$A$25:$C$29,3,9))</f>
        <v>1</v>
      </c>
      <c r="AI38" s="13" t="b">
        <f t="shared" si="8"/>
        <v>1</v>
      </c>
      <c r="AJ38" s="13">
        <f t="shared" si="19"/>
        <v>0</v>
      </c>
      <c r="AK38" s="28">
        <v>1.1166517821440873</v>
      </c>
      <c r="AL38" s="28">
        <v>70.369400589552455</v>
      </c>
      <c r="AM38" s="28">
        <v>0.70962101319336868</v>
      </c>
      <c r="AN38" s="13">
        <v>1</v>
      </c>
      <c r="AO38" s="33">
        <f t="shared" si="9"/>
        <v>0</v>
      </c>
      <c r="AP38" s="13">
        <f t="shared" si="20"/>
        <v>70.962101319336867</v>
      </c>
      <c r="AQ38" s="13">
        <f>IFERROR(VLOOKUP(U38,'Cortes naturales'!$E$15:$G$19,3,9),U38)</f>
        <v>2</v>
      </c>
      <c r="AR38" s="28">
        <f t="shared" si="10"/>
        <v>-0.37345923517866619</v>
      </c>
      <c r="AS38" s="13" t="b">
        <f t="shared" si="11"/>
        <v>0</v>
      </c>
      <c r="AT38" s="13">
        <f t="shared" si="21"/>
        <v>0</v>
      </c>
      <c r="AU38" s="13">
        <v>1</v>
      </c>
      <c r="AV38">
        <f t="shared" si="12"/>
        <v>0</v>
      </c>
      <c r="AW38" s="13">
        <v>0</v>
      </c>
      <c r="AX38" s="13">
        <v>1</v>
      </c>
      <c r="AY38" s="13">
        <v>0</v>
      </c>
      <c r="AZ38" s="13">
        <v>0</v>
      </c>
      <c r="BA38">
        <v>0</v>
      </c>
      <c r="BB38" t="s">
        <v>2838</v>
      </c>
      <c r="BC38">
        <v>3</v>
      </c>
      <c r="BD38" s="184" t="s">
        <v>2917</v>
      </c>
      <c r="BE38">
        <v>1</v>
      </c>
      <c r="BF38" s="232" t="s">
        <v>2846</v>
      </c>
      <c r="BG38" s="232" t="s">
        <v>2846</v>
      </c>
      <c r="BH38" s="253">
        <v>14.4</v>
      </c>
      <c r="BI38" s="253">
        <v>9.1701227430773748</v>
      </c>
      <c r="BJ38" s="25">
        <v>1.8613574214641591</v>
      </c>
      <c r="BK38" t="s">
        <v>381</v>
      </c>
      <c r="BL38">
        <v>4.2134002615496264</v>
      </c>
      <c r="BM38" t="s">
        <v>383</v>
      </c>
      <c r="BN38" s="322">
        <v>146309.10151000001</v>
      </c>
      <c r="BO38" s="322">
        <v>101963.33828700001</v>
      </c>
      <c r="BP38" s="10">
        <v>62582</v>
      </c>
      <c r="BQ38" s="254">
        <f t="shared" si="13"/>
        <v>2.3378783277939346</v>
      </c>
      <c r="BR38" s="254">
        <f t="shared" si="14"/>
        <v>1.6292758027388068</v>
      </c>
      <c r="BS38" s="25">
        <v>67.55832888182168</v>
      </c>
      <c r="BT38" s="25">
        <v>79.717015158900892</v>
      </c>
      <c r="BU38" s="25">
        <v>66.743333333333339</v>
      </c>
      <c r="BV38" s="25">
        <v>86.649250815697883</v>
      </c>
      <c r="BW38" s="25">
        <v>80.506435928032275</v>
      </c>
      <c r="BX38" s="25">
        <v>75.166982047438452</v>
      </c>
      <c r="BY38" s="25">
        <v>81.315481272589437</v>
      </c>
      <c r="BZ38">
        <v>5</v>
      </c>
      <c r="CA38">
        <v>0</v>
      </c>
      <c r="CB38">
        <v>6</v>
      </c>
      <c r="CC38">
        <v>7031.064746</v>
      </c>
      <c r="CD38" s="10">
        <v>645.11474199999998</v>
      </c>
      <c r="CE38" s="255">
        <v>9.1752069608946246E-2</v>
      </c>
      <c r="CF38" t="str">
        <f>IFERROR(VLOOKUP(CE38,'Rangos amb etnico'!$A$2:$C$6,3,9),"N.D.")</f>
        <v>0,1% - 30%</v>
      </c>
      <c r="CG38" s="256">
        <v>1.8768819711390464E-5</v>
      </c>
      <c r="CH38" s="232">
        <v>0</v>
      </c>
      <c r="CI38" s="311">
        <f t="shared" si="22"/>
        <v>0</v>
      </c>
      <c r="CJ38" s="232">
        <f>IFERROR(VLOOKUP(CI38,'Rangos amb etnico'!$A$2:$C$6,3,9),"N.D.")</f>
        <v>0</v>
      </c>
      <c r="CK38" s="311">
        <f t="shared" si="23"/>
        <v>0</v>
      </c>
      <c r="CL38" s="10">
        <v>0</v>
      </c>
      <c r="CM38" s="255">
        <f t="shared" si="24"/>
        <v>0</v>
      </c>
      <c r="CN38" s="232">
        <f>IFERROR(VLOOKUP(CM38,'Rangos amb etnico'!$A$2:$C$6,3,9),"N.D.")</f>
        <v>0</v>
      </c>
      <c r="CO38" s="311">
        <f t="shared" si="25"/>
        <v>0</v>
      </c>
      <c r="CP38">
        <v>0.87379872570891282</v>
      </c>
      <c r="CQ38" t="s">
        <v>2864</v>
      </c>
      <c r="CR38">
        <f t="shared" si="15"/>
        <v>4</v>
      </c>
      <c r="CS38" t="str">
        <f t="shared" si="26"/>
        <v>Candidato</v>
      </c>
      <c r="CT38">
        <v>0</v>
      </c>
      <c r="CU38">
        <v>0</v>
      </c>
      <c r="CV38" s="25">
        <v>64.580772399902344</v>
      </c>
      <c r="CW38" s="25">
        <v>43.884479522705078</v>
      </c>
      <c r="CX38" s="25">
        <v>76.390663146972656</v>
      </c>
      <c r="CY38" s="25">
        <v>84.782562255859375</v>
      </c>
      <c r="CZ38" s="25">
        <v>80.61334228515625</v>
      </c>
      <c r="DA38" s="25">
        <v>28.862277984619141</v>
      </c>
      <c r="DB38" s="25">
        <v>72.951309204101563</v>
      </c>
      <c r="DC38">
        <v>2173</v>
      </c>
      <c r="DD38" s="253" t="s">
        <v>380</v>
      </c>
    </row>
    <row r="39" spans="1:108" hidden="1">
      <c r="A39" s="13">
        <v>25290</v>
      </c>
      <c r="B39" s="13" t="s">
        <v>528</v>
      </c>
      <c r="C39" s="13" t="s">
        <v>461</v>
      </c>
      <c r="D39" s="13" t="s">
        <v>462</v>
      </c>
      <c r="E39" s="13" t="s">
        <v>529</v>
      </c>
      <c r="F39" s="14">
        <v>70.881900000000002</v>
      </c>
      <c r="G39" s="13">
        <v>79.650000000000006</v>
      </c>
      <c r="H39" s="13">
        <v>74.63</v>
      </c>
      <c r="I39" s="13">
        <v>77.06</v>
      </c>
      <c r="J39" s="14">
        <v>60.480560908245096</v>
      </c>
      <c r="K39" s="14">
        <v>63.958343914931476</v>
      </c>
      <c r="L39" s="14">
        <v>62.731495048111725</v>
      </c>
      <c r="M39" s="14">
        <v>58.143900000000002</v>
      </c>
      <c r="N39" s="14">
        <f t="shared" si="0"/>
        <v>75.555475000000001</v>
      </c>
      <c r="O39" s="14">
        <f t="shared" si="1"/>
        <v>61.328574967822071</v>
      </c>
      <c r="P39" s="14">
        <f t="shared" si="16"/>
        <v>68.44202498391104</v>
      </c>
      <c r="Q39" s="14">
        <v>30.501375602910567</v>
      </c>
      <c r="R39" s="17">
        <f t="shared" si="2"/>
        <v>69.498624397089429</v>
      </c>
      <c r="S39" s="14">
        <f t="shared" si="17"/>
        <v>0.72548761957380481</v>
      </c>
      <c r="T39" s="13">
        <v>0</v>
      </c>
      <c r="U39" s="13">
        <f t="shared" si="18"/>
        <v>49.653841784388497</v>
      </c>
      <c r="V39" s="13">
        <f>IF($T39=1,$AU39,(VLOOKUP(U39,'Cortes naturales'!$A$35:$C$39,3,9)))</f>
        <v>2</v>
      </c>
      <c r="W39" s="13">
        <v>2</v>
      </c>
      <c r="X39" s="14" t="b">
        <f t="shared" si="3"/>
        <v>1</v>
      </c>
      <c r="Y39" s="17">
        <f>IF($T39=1,$AU39,VLOOKUP(U39,'Cortes naturales'!$A$45:$C$49,3,9))</f>
        <v>1</v>
      </c>
      <c r="Z39" s="14">
        <v>66.804436042292437</v>
      </c>
      <c r="AA39" s="14">
        <v>0.74668014836528707</v>
      </c>
      <c r="AB39" s="14">
        <v>49.881546215518249</v>
      </c>
      <c r="AC39" s="13">
        <v>1</v>
      </c>
      <c r="AD39" s="13">
        <f t="shared" si="4"/>
        <v>0</v>
      </c>
      <c r="AE39" s="14">
        <f t="shared" si="5"/>
        <v>1.6375889416186027</v>
      </c>
      <c r="AF39" s="14">
        <f t="shared" si="6"/>
        <v>-2.1192528791482257E-2</v>
      </c>
      <c r="AG39" s="13">
        <f t="shared" si="7"/>
        <v>-0.22770443112975158</v>
      </c>
      <c r="AH39" s="13">
        <f>IF($T39=1,$AU39,VLOOKUP(U39,'Cortes naturales'!$A$25:$C$29,3,9))</f>
        <v>1</v>
      </c>
      <c r="AI39" s="13" t="b">
        <f t="shared" si="8"/>
        <v>1</v>
      </c>
      <c r="AJ39" s="13">
        <f t="shared" si="19"/>
        <v>0</v>
      </c>
      <c r="AK39" s="28">
        <v>1.1166517821440873</v>
      </c>
      <c r="AL39" s="28">
        <v>74.597292561756547</v>
      </c>
      <c r="AM39" s="28">
        <v>0.76250748514742639</v>
      </c>
      <c r="AN39" s="13">
        <v>1</v>
      </c>
      <c r="AO39" s="33">
        <f t="shared" si="9"/>
        <v>0</v>
      </c>
      <c r="AP39" s="13">
        <f t="shared" si="20"/>
        <v>76.250748514742639</v>
      </c>
      <c r="AQ39" s="13">
        <f>IFERROR(VLOOKUP(U39,'Cortes naturales'!$E$15:$G$19,3,9),U39)</f>
        <v>2</v>
      </c>
      <c r="AR39" s="28">
        <f t="shared" si="10"/>
        <v>-0.39116416257028253</v>
      </c>
      <c r="AS39" s="13" t="b">
        <f t="shared" si="11"/>
        <v>0</v>
      </c>
      <c r="AT39" s="13">
        <f t="shared" si="21"/>
        <v>0</v>
      </c>
      <c r="AU39" s="13">
        <v>1</v>
      </c>
      <c r="AV39">
        <f t="shared" si="12"/>
        <v>0</v>
      </c>
      <c r="AW39" s="13">
        <v>0</v>
      </c>
      <c r="AX39" s="13">
        <v>1</v>
      </c>
      <c r="AY39" s="13">
        <v>0</v>
      </c>
      <c r="AZ39" s="13">
        <v>0</v>
      </c>
      <c r="BA39">
        <v>0</v>
      </c>
      <c r="BB39" t="s">
        <v>2838</v>
      </c>
      <c r="BC39">
        <v>2</v>
      </c>
      <c r="BD39" t="s">
        <v>2920</v>
      </c>
      <c r="BE39">
        <v>1</v>
      </c>
      <c r="BF39" s="232" t="s">
        <v>2845</v>
      </c>
      <c r="BG39" s="232" t="s">
        <v>2846</v>
      </c>
      <c r="BH39" s="253">
        <v>12.2</v>
      </c>
      <c r="BI39" s="253">
        <v>4.6650108992032573</v>
      </c>
      <c r="BJ39" s="25">
        <v>1.582613857210551</v>
      </c>
      <c r="BK39" t="s">
        <v>381</v>
      </c>
      <c r="BL39">
        <v>0.70903794911628382</v>
      </c>
      <c r="BM39" t="s">
        <v>383</v>
      </c>
      <c r="BN39" s="322">
        <v>351723.336656</v>
      </c>
      <c r="BO39" s="322">
        <v>119043.46933399999</v>
      </c>
      <c r="BP39" s="10">
        <v>156943</v>
      </c>
      <c r="BQ39" s="254">
        <f t="shared" si="13"/>
        <v>2.2410896736777048</v>
      </c>
      <c r="BR39" s="254">
        <f t="shared" si="14"/>
        <v>0.75851404225738006</v>
      </c>
      <c r="BS39" s="25">
        <v>68.984859386793417</v>
      </c>
      <c r="BT39" s="25">
        <v>94.242710884430153</v>
      </c>
      <c r="BU39" s="25">
        <v>61.349303940857297</v>
      </c>
      <c r="BV39" s="25">
        <v>71.039268311835016</v>
      </c>
      <c r="BW39" s="25">
        <v>62.161415129238137</v>
      </c>
      <c r="BX39" s="25">
        <v>73.904035630978967</v>
      </c>
      <c r="BY39" s="25">
        <v>63.827808417869512</v>
      </c>
      <c r="BZ39">
        <v>78</v>
      </c>
      <c r="CA39">
        <v>1</v>
      </c>
      <c r="CB39">
        <v>4</v>
      </c>
      <c r="CC39">
        <v>19347.801682000001</v>
      </c>
      <c r="CD39" s="10">
        <v>4808.1617930000002</v>
      </c>
      <c r="CE39" s="255">
        <v>0.24851204658941778</v>
      </c>
      <c r="CF39" t="str">
        <f>IFERROR(VLOOKUP(CE39,'Rangos amb etnico'!$A$2:$C$6,3,9),"N.D.")</f>
        <v>0,1% - 30%</v>
      </c>
      <c r="CG39" s="256">
        <v>1.3988755171868777E-4</v>
      </c>
      <c r="CH39" s="232">
        <v>0</v>
      </c>
      <c r="CI39" s="311">
        <f t="shared" si="22"/>
        <v>0</v>
      </c>
      <c r="CJ39" s="232">
        <f>IFERROR(VLOOKUP(CI39,'Rangos amb etnico'!$A$2:$C$6,3,9),"N.D.")</f>
        <v>0</v>
      </c>
      <c r="CK39" s="311">
        <f t="shared" si="23"/>
        <v>0</v>
      </c>
      <c r="CL39" s="10">
        <v>0</v>
      </c>
      <c r="CM39" s="255">
        <f t="shared" si="24"/>
        <v>0</v>
      </c>
      <c r="CN39" s="232">
        <f>IFERROR(VLOOKUP(CM39,'Rangos amb etnico'!$A$2:$C$6,3,9),"N.D.")</f>
        <v>0</v>
      </c>
      <c r="CO39" s="311">
        <f t="shared" si="25"/>
        <v>0</v>
      </c>
      <c r="CP39">
        <v>0.94101098722147514</v>
      </c>
      <c r="CQ39" t="s">
        <v>2864</v>
      </c>
      <c r="CR39">
        <f t="shared" si="15"/>
        <v>3</v>
      </c>
      <c r="CS39" t="str">
        <f t="shared" si="26"/>
        <v>Candidato</v>
      </c>
      <c r="CT39">
        <v>0</v>
      </c>
      <c r="CU39">
        <v>0</v>
      </c>
      <c r="CV39" s="25">
        <v>56.866550445556641</v>
      </c>
      <c r="CW39" s="25">
        <v>57.699356079101563</v>
      </c>
      <c r="CX39" s="25">
        <v>53.027717590332031</v>
      </c>
      <c r="CY39" s="25">
        <v>75.732734680175781</v>
      </c>
      <c r="CZ39" s="25">
        <v>70.062774658203125</v>
      </c>
      <c r="DA39" s="25">
        <v>34.647670745849609</v>
      </c>
      <c r="DB39" s="25">
        <v>50.029041290283203</v>
      </c>
      <c r="DC39">
        <v>1366</v>
      </c>
      <c r="DD39" s="253" t="s">
        <v>380</v>
      </c>
    </row>
    <row r="40" spans="1:108" hidden="1">
      <c r="A40" s="13">
        <v>8296</v>
      </c>
      <c r="B40" s="13" t="s">
        <v>530</v>
      </c>
      <c r="C40" s="13" t="s">
        <v>442</v>
      </c>
      <c r="D40" s="13" t="s">
        <v>443</v>
      </c>
      <c r="E40" s="13" t="s">
        <v>531</v>
      </c>
      <c r="F40" s="14">
        <v>83.0238333333333</v>
      </c>
      <c r="G40" s="13">
        <v>77.760000000000005</v>
      </c>
      <c r="H40" s="13">
        <v>81.41</v>
      </c>
      <c r="I40" s="13">
        <v>88.22</v>
      </c>
      <c r="J40" s="14">
        <v>28.12129355196025</v>
      </c>
      <c r="K40" s="14">
        <v>70.593965695232043</v>
      </c>
      <c r="L40" s="14">
        <v>57.283204199262201</v>
      </c>
      <c r="M40" s="14">
        <v>61.301000000000002</v>
      </c>
      <c r="N40" s="14">
        <f t="shared" si="0"/>
        <v>82.603458333333322</v>
      </c>
      <c r="O40" s="14">
        <f t="shared" si="1"/>
        <v>54.324865861613617</v>
      </c>
      <c r="P40" s="14">
        <f t="shared" si="16"/>
        <v>68.464162097473462</v>
      </c>
      <c r="Q40" s="14">
        <v>29.861527448553897</v>
      </c>
      <c r="R40" s="17">
        <f t="shared" si="2"/>
        <v>70.1384725514461</v>
      </c>
      <c r="S40" s="14">
        <f t="shared" si="17"/>
        <v>0.73124625296301482</v>
      </c>
      <c r="T40" s="13">
        <v>0</v>
      </c>
      <c r="U40" s="13">
        <f t="shared" si="18"/>
        <v>50.064161996029931</v>
      </c>
      <c r="V40" s="13">
        <f>IF($T40=1,$AU40,(VLOOKUP(U40,'Cortes naturales'!$A$35:$C$39,3,9)))</f>
        <v>2</v>
      </c>
      <c r="W40" s="13">
        <v>2</v>
      </c>
      <c r="X40" s="14" t="b">
        <f t="shared" si="3"/>
        <v>1</v>
      </c>
      <c r="Y40" s="17">
        <f>IF($T40=1,$AU40,VLOOKUP(U40,'Cortes naturales'!$A$45:$C$49,3,9))</f>
        <v>1</v>
      </c>
      <c r="Z40" s="14">
        <v>69.272223783581396</v>
      </c>
      <c r="AA40" s="14">
        <v>0.74606280491418353</v>
      </c>
      <c r="AB40" s="14">
        <v>51.681429578621753</v>
      </c>
      <c r="AC40" s="13">
        <v>1</v>
      </c>
      <c r="AD40" s="13">
        <f t="shared" si="4"/>
        <v>0</v>
      </c>
      <c r="AE40" s="14">
        <f t="shared" si="5"/>
        <v>-0.8080616861079335</v>
      </c>
      <c r="AF40" s="14">
        <f t="shared" si="6"/>
        <v>-1.481655195116871E-2</v>
      </c>
      <c r="AG40" s="13">
        <f t="shared" si="7"/>
        <v>-1.6172675825918219</v>
      </c>
      <c r="AH40" s="13">
        <f>IF($T40=1,$AU40,VLOOKUP(U40,'Cortes naturales'!$A$25:$C$29,3,9))</f>
        <v>1</v>
      </c>
      <c r="AI40" s="13" t="b">
        <f t="shared" si="8"/>
        <v>1</v>
      </c>
      <c r="AJ40" s="13">
        <f t="shared" si="19"/>
        <v>0</v>
      </c>
      <c r="AK40" s="28">
        <v>1.1166517821440873</v>
      </c>
      <c r="AL40" s="28">
        <v>77.352952141020197</v>
      </c>
      <c r="AM40" s="28">
        <v>0.79697788174502016</v>
      </c>
      <c r="AN40" s="13">
        <v>1</v>
      </c>
      <c r="AO40" s="33">
        <f t="shared" si="9"/>
        <v>0</v>
      </c>
      <c r="AP40" s="13">
        <f t="shared" si="20"/>
        <v>79.697788174502023</v>
      </c>
      <c r="AQ40" s="13">
        <f>IFERROR(VLOOKUP(U40,'Cortes naturales'!$E$15:$G$19,3,9),U40)</f>
        <v>2</v>
      </c>
      <c r="AR40" s="28">
        <f t="shared" si="10"/>
        <v>-0.38540552918107251</v>
      </c>
      <c r="AS40" s="13" t="b">
        <f t="shared" si="11"/>
        <v>0</v>
      </c>
      <c r="AT40" s="13">
        <f t="shared" si="21"/>
        <v>0</v>
      </c>
      <c r="AU40" s="13">
        <v>1</v>
      </c>
      <c r="AV40">
        <f t="shared" si="12"/>
        <v>0</v>
      </c>
      <c r="AW40" s="13">
        <v>0</v>
      </c>
      <c r="AX40" s="13">
        <v>0</v>
      </c>
      <c r="AY40" s="13">
        <v>0</v>
      </c>
      <c r="AZ40" s="13">
        <v>0</v>
      </c>
      <c r="BA40">
        <v>0</v>
      </c>
      <c r="BB40" t="s">
        <v>2838</v>
      </c>
      <c r="BC40">
        <v>4</v>
      </c>
      <c r="BD40" s="184" t="s">
        <v>2917</v>
      </c>
      <c r="BE40">
        <v>1</v>
      </c>
      <c r="BF40" s="232" t="s">
        <v>2846</v>
      </c>
      <c r="BG40" s="232" t="s">
        <v>2845</v>
      </c>
      <c r="BH40" s="253">
        <v>23.8</v>
      </c>
      <c r="BI40" s="253">
        <v>13.652888355691278</v>
      </c>
      <c r="BJ40" s="25">
        <v>0</v>
      </c>
      <c r="BK40" t="s">
        <v>381</v>
      </c>
      <c r="BL40">
        <v>0.68536321216061669</v>
      </c>
      <c r="BM40" t="s">
        <v>383</v>
      </c>
      <c r="BN40" s="322">
        <v>123324.430817</v>
      </c>
      <c r="BO40" s="322">
        <v>46878.796644000002</v>
      </c>
      <c r="BP40" s="10">
        <v>69030</v>
      </c>
      <c r="BQ40" s="254">
        <f t="shared" si="13"/>
        <v>1.7865338377082427</v>
      </c>
      <c r="BR40" s="254">
        <f t="shared" si="14"/>
        <v>0.67910758574532815</v>
      </c>
      <c r="BS40" s="25">
        <v>58.107306554298347</v>
      </c>
      <c r="BT40" s="25">
        <v>82.974534289715308</v>
      </c>
      <c r="BU40" s="25">
        <v>71.125</v>
      </c>
      <c r="BV40" s="25">
        <v>90.634900079325249</v>
      </c>
      <c r="BW40" s="25">
        <v>71.772277864086419</v>
      </c>
      <c r="BX40" s="25">
        <v>75.710435230834733</v>
      </c>
      <c r="BY40" s="25">
        <v>76.109751645094903</v>
      </c>
      <c r="BZ40">
        <v>5</v>
      </c>
      <c r="CA40">
        <v>0</v>
      </c>
      <c r="CB40">
        <v>6</v>
      </c>
      <c r="CC40">
        <v>9751.6518020000003</v>
      </c>
      <c r="CD40" s="10">
        <v>268.89595800000001</v>
      </c>
      <c r="CE40" s="255">
        <v>2.7574401081963486E-2</v>
      </c>
      <c r="CF40" t="str">
        <f>IFERROR(VLOOKUP(CE40,'Rangos amb etnico'!$A$2:$C$6,3,9),"N.D.")</f>
        <v>0,1% - 30%</v>
      </c>
      <c r="CG40" s="256">
        <v>7.8231970659626044E-6</v>
      </c>
      <c r="CH40" s="232">
        <v>18.262511</v>
      </c>
      <c r="CI40" s="311">
        <f t="shared" si="22"/>
        <v>1.8727607764106669E-3</v>
      </c>
      <c r="CJ40" s="232" t="str">
        <f>IFERROR(VLOOKUP(CI40,'Rangos amb etnico'!$A$2:$C$6,3,9),"N.D.")</f>
        <v>0,1% - 30%</v>
      </c>
      <c r="CK40" s="311">
        <f t="shared" si="23"/>
        <v>7.2514125502083711E-7</v>
      </c>
      <c r="CL40" s="10">
        <v>0</v>
      </c>
      <c r="CM40" s="255">
        <f t="shared" si="24"/>
        <v>0</v>
      </c>
      <c r="CN40" s="232">
        <f>IFERROR(VLOOKUP(CM40,'Rangos amb etnico'!$A$2:$C$6,3,9),"N.D.")</f>
        <v>0</v>
      </c>
      <c r="CO40" s="311">
        <f t="shared" si="25"/>
        <v>0</v>
      </c>
      <c r="CP40">
        <v>0.97855387470333277</v>
      </c>
      <c r="CQ40" t="s">
        <v>2864</v>
      </c>
      <c r="CR40">
        <f t="shared" si="15"/>
        <v>4</v>
      </c>
      <c r="CS40" t="str">
        <f t="shared" si="26"/>
        <v>Candidato</v>
      </c>
      <c r="CT40">
        <v>0</v>
      </c>
      <c r="CU40">
        <v>0</v>
      </c>
      <c r="CV40" s="25">
        <v>62.133125305175781</v>
      </c>
      <c r="CW40" s="25">
        <v>54.975200653076172</v>
      </c>
      <c r="CX40" s="25">
        <v>73.25244140625</v>
      </c>
      <c r="CY40" s="25">
        <v>78.748672485351563</v>
      </c>
      <c r="CZ40" s="25">
        <v>52.124320983886719</v>
      </c>
      <c r="DA40" s="25">
        <v>46.368095397949219</v>
      </c>
      <c r="DB40" s="25">
        <v>67.33001708984375</v>
      </c>
      <c r="DC40">
        <v>8589</v>
      </c>
      <c r="DD40" s="253" t="s">
        <v>380</v>
      </c>
    </row>
    <row r="41" spans="1:108">
      <c r="A41" s="13">
        <v>5440</v>
      </c>
      <c r="B41" s="13" t="s">
        <v>532</v>
      </c>
      <c r="C41" s="13" t="s">
        <v>435</v>
      </c>
      <c r="D41" s="13" t="s">
        <v>436</v>
      </c>
      <c r="E41" s="13" t="s">
        <v>533</v>
      </c>
      <c r="F41" s="14">
        <v>76.140666666666704</v>
      </c>
      <c r="G41" s="13">
        <v>70.31</v>
      </c>
      <c r="H41" s="13">
        <v>79.489999999999995</v>
      </c>
      <c r="I41" s="13">
        <v>80.349999999999994</v>
      </c>
      <c r="J41" s="14">
        <v>75.727916216154966</v>
      </c>
      <c r="K41" s="14">
        <v>67.491197223835684</v>
      </c>
      <c r="L41" s="14">
        <v>54.228343951507</v>
      </c>
      <c r="M41" s="14">
        <v>63.630899999999997</v>
      </c>
      <c r="N41" s="14">
        <f t="shared" si="0"/>
        <v>76.572666666666663</v>
      </c>
      <c r="O41" s="14">
        <f t="shared" si="1"/>
        <v>65.269589347874415</v>
      </c>
      <c r="P41" s="14">
        <f t="shared" si="16"/>
        <v>70.921128007270539</v>
      </c>
      <c r="Q41" s="14">
        <v>29.963598335487251</v>
      </c>
      <c r="R41" s="17">
        <f t="shared" si="2"/>
        <v>70.036401664512752</v>
      </c>
      <c r="S41" s="14">
        <f t="shared" si="17"/>
        <v>0.73032761498061471</v>
      </c>
      <c r="T41" s="13">
        <v>0</v>
      </c>
      <c r="U41" s="13">
        <f t="shared" si="18"/>
        <v>51.795658269284772</v>
      </c>
      <c r="V41" s="13">
        <f>IF($T41=1,$AU41,(VLOOKUP(U41,'Cortes naturales'!$A$35:$C$39,3,9)))</f>
        <v>2</v>
      </c>
      <c r="W41" s="13">
        <v>2</v>
      </c>
      <c r="X41" s="14" t="b">
        <f t="shared" si="3"/>
        <v>1</v>
      </c>
      <c r="Y41" s="17">
        <f>IF($T41=1,$AU41,VLOOKUP(U41,'Cortes naturales'!$A$45:$C$49,3,9))</f>
        <v>1</v>
      </c>
      <c r="Z41" s="14">
        <v>69.979843224483204</v>
      </c>
      <c r="AA41" s="14">
        <v>0.7418534573753427</v>
      </c>
      <c r="AB41" s="14">
        <v>51.914788642667318</v>
      </c>
      <c r="AC41" s="13">
        <v>1</v>
      </c>
      <c r="AD41" s="13">
        <f t="shared" si="4"/>
        <v>0</v>
      </c>
      <c r="AE41" s="14">
        <f t="shared" si="5"/>
        <v>0.94128478278733496</v>
      </c>
      <c r="AF41" s="14">
        <f t="shared" si="6"/>
        <v>-1.1525842394727981E-2</v>
      </c>
      <c r="AG41" s="13">
        <f t="shared" si="7"/>
        <v>-0.1191303733825464</v>
      </c>
      <c r="AH41" s="13">
        <f>IF($T41=1,$AU41,VLOOKUP(U41,'Cortes naturales'!$A$25:$C$29,3,9))</f>
        <v>1</v>
      </c>
      <c r="AI41" s="13" t="b">
        <f t="shared" si="8"/>
        <v>1</v>
      </c>
      <c r="AJ41" s="13">
        <f t="shared" si="19"/>
        <v>0</v>
      </c>
      <c r="AK41" s="28">
        <v>1.1166517821440873</v>
      </c>
      <c r="AL41" s="28">
        <v>78.143116650783</v>
      </c>
      <c r="AM41" s="28">
        <v>0.80686200685025</v>
      </c>
      <c r="AN41" s="13">
        <v>1</v>
      </c>
      <c r="AO41" s="33">
        <f t="shared" si="9"/>
        <v>0</v>
      </c>
      <c r="AP41" s="13">
        <f t="shared" si="20"/>
        <v>80.686200685025</v>
      </c>
      <c r="AQ41" s="13">
        <f>IFERROR(VLOOKUP(U41,'Cortes naturales'!$E$15:$G$19,3,9),U41)</f>
        <v>2</v>
      </c>
      <c r="AR41" s="28">
        <f t="shared" si="10"/>
        <v>-0.38632416716347262</v>
      </c>
      <c r="AS41" s="13" t="b">
        <f t="shared" si="11"/>
        <v>0</v>
      </c>
      <c r="AT41" s="13">
        <f t="shared" si="21"/>
        <v>0</v>
      </c>
      <c r="AU41" s="13">
        <v>1</v>
      </c>
      <c r="AV41">
        <f t="shared" si="12"/>
        <v>0</v>
      </c>
      <c r="AW41" s="13">
        <v>0</v>
      </c>
      <c r="AX41" s="13">
        <v>1</v>
      </c>
      <c r="AY41" s="13">
        <v>0</v>
      </c>
      <c r="AZ41" s="13">
        <v>0</v>
      </c>
      <c r="BA41">
        <v>0</v>
      </c>
      <c r="BB41" t="s">
        <v>2839</v>
      </c>
      <c r="BC41">
        <v>3</v>
      </c>
      <c r="BD41" s="184" t="s">
        <v>2917</v>
      </c>
      <c r="BE41">
        <v>1</v>
      </c>
      <c r="BF41" s="232" t="s">
        <v>2846</v>
      </c>
      <c r="BG41" s="232" t="s">
        <v>2845</v>
      </c>
      <c r="BH41" s="253">
        <v>15.4</v>
      </c>
      <c r="BI41" s="253">
        <v>5.0918967858759618</v>
      </c>
      <c r="BJ41" s="25">
        <v>1.7348325483684355</v>
      </c>
      <c r="BK41" t="s">
        <v>381</v>
      </c>
      <c r="BL41">
        <v>3.0199174089942376</v>
      </c>
      <c r="BM41" t="s">
        <v>383</v>
      </c>
      <c r="BN41" s="322">
        <v>125248.628795</v>
      </c>
      <c r="BO41" s="322">
        <v>49502.503963000003</v>
      </c>
      <c r="BP41" s="10">
        <v>73095</v>
      </c>
      <c r="BQ41" s="254">
        <f t="shared" si="13"/>
        <v>1.7135047376017511</v>
      </c>
      <c r="BR41" s="254">
        <f t="shared" si="14"/>
        <v>0.67723515921745681</v>
      </c>
      <c r="BS41" s="25">
        <v>78.571453335500763</v>
      </c>
      <c r="BT41" s="25">
        <v>96.985816666666665</v>
      </c>
      <c r="BU41" s="25">
        <v>71.896666666666661</v>
      </c>
      <c r="BV41" s="25">
        <v>91.090369701892328</v>
      </c>
      <c r="BW41" s="25">
        <v>63.877278388056553</v>
      </c>
      <c r="BX41" s="25">
        <v>84.636076592681604</v>
      </c>
      <c r="BY41" s="25">
        <v>65.439677694015927</v>
      </c>
      <c r="BZ41">
        <v>22</v>
      </c>
      <c r="CA41">
        <v>0</v>
      </c>
      <c r="CB41">
        <v>6</v>
      </c>
      <c r="CC41">
        <v>11223.453726</v>
      </c>
      <c r="CD41" s="10">
        <v>2425.7738039999999</v>
      </c>
      <c r="CE41" s="255">
        <v>0.21613434360053599</v>
      </c>
      <c r="CF41" t="str">
        <f>IFERROR(VLOOKUP(CE41,'Rangos amb etnico'!$A$2:$C$6,3,9),"N.D.")</f>
        <v>0,1% - 30%</v>
      </c>
      <c r="CG41" s="256">
        <v>7.0574904313517955E-5</v>
      </c>
      <c r="CH41" s="232">
        <v>0</v>
      </c>
      <c r="CI41" s="311">
        <f t="shared" si="22"/>
        <v>0</v>
      </c>
      <c r="CJ41" s="232">
        <f>IFERROR(VLOOKUP(CI41,'Rangos amb etnico'!$A$2:$C$6,3,9),"N.D.")</f>
        <v>0</v>
      </c>
      <c r="CK41" s="311">
        <f t="shared" si="23"/>
        <v>0</v>
      </c>
      <c r="CL41" s="10">
        <v>0</v>
      </c>
      <c r="CM41" s="255">
        <f t="shared" si="24"/>
        <v>0</v>
      </c>
      <c r="CN41" s="232">
        <f>IFERROR(VLOOKUP(CM41,'Rangos amb etnico'!$A$2:$C$6,3,9),"N.D.")</f>
        <v>0</v>
      </c>
      <c r="CO41" s="311">
        <f t="shared" si="25"/>
        <v>0</v>
      </c>
      <c r="CP41">
        <v>0.8383274967763954</v>
      </c>
      <c r="CQ41" t="s">
        <v>2865</v>
      </c>
      <c r="CR41">
        <f t="shared" si="15"/>
        <v>4</v>
      </c>
      <c r="CS41" t="str">
        <f t="shared" si="26"/>
        <v>Candidato</v>
      </c>
      <c r="CT41">
        <v>0</v>
      </c>
      <c r="CU41">
        <v>0</v>
      </c>
      <c r="CV41" s="25">
        <v>58.80096435546875</v>
      </c>
      <c r="CW41" s="25">
        <v>52.718235015869141</v>
      </c>
      <c r="CX41" s="25">
        <v>41.442150115966797</v>
      </c>
      <c r="CY41" s="25">
        <v>79.967689514160156</v>
      </c>
      <c r="CZ41" s="25">
        <v>64.533370971679688</v>
      </c>
      <c r="DA41" s="25">
        <v>51.147693634033203</v>
      </c>
      <c r="DB41" s="25">
        <v>62.996654510498047</v>
      </c>
      <c r="DC41">
        <v>718</v>
      </c>
      <c r="DD41" s="253" t="s">
        <v>380</v>
      </c>
    </row>
    <row r="42" spans="1:108" hidden="1">
      <c r="A42" s="13">
        <v>25899</v>
      </c>
      <c r="B42" s="13" t="s">
        <v>534</v>
      </c>
      <c r="C42" s="13" t="s">
        <v>461</v>
      </c>
      <c r="D42" s="13" t="s">
        <v>462</v>
      </c>
      <c r="E42" s="13" t="s">
        <v>535</v>
      </c>
      <c r="F42" s="14">
        <v>72.913866666666706</v>
      </c>
      <c r="G42" s="13">
        <v>65.540000000000006</v>
      </c>
      <c r="H42" s="13">
        <v>66.31</v>
      </c>
      <c r="I42" s="13">
        <v>68.180000000000007</v>
      </c>
      <c r="J42" s="14">
        <v>66.525072819559398</v>
      </c>
      <c r="K42" s="14">
        <v>71.152085615178649</v>
      </c>
      <c r="L42" s="14">
        <v>67.443292488845145</v>
      </c>
      <c r="M42" s="14">
        <v>74.040999999999997</v>
      </c>
      <c r="N42" s="14">
        <f t="shared" si="0"/>
        <v>68.235966666666684</v>
      </c>
      <c r="O42" s="14">
        <f t="shared" si="1"/>
        <v>69.790362730895794</v>
      </c>
      <c r="P42" s="14">
        <f t="shared" si="16"/>
        <v>69.013164698781239</v>
      </c>
      <c r="Q42" s="14">
        <v>31.284497142215834</v>
      </c>
      <c r="R42" s="17">
        <f t="shared" si="2"/>
        <v>68.715502857784173</v>
      </c>
      <c r="S42" s="14">
        <f t="shared" si="17"/>
        <v>0.71843952572005754</v>
      </c>
      <c r="T42" s="13">
        <v>0</v>
      </c>
      <c r="U42" s="13">
        <f t="shared" si="18"/>
        <v>49.581785314632612</v>
      </c>
      <c r="V42" s="13">
        <f>IF($T42=1,$AU42,(VLOOKUP(U42,'Cortes naturales'!$A$35:$C$39,3,9)))</f>
        <v>2</v>
      </c>
      <c r="W42" s="13">
        <v>2</v>
      </c>
      <c r="X42" s="14" t="b">
        <f t="shared" si="3"/>
        <v>1</v>
      </c>
      <c r="Y42" s="17">
        <f>IF($T42=1,$AU42,VLOOKUP(U42,'Cortes naturales'!$A$45:$C$49,3,9))</f>
        <v>1</v>
      </c>
      <c r="Z42" s="14">
        <v>67.543437844665476</v>
      </c>
      <c r="AA42" s="14">
        <v>0.73221904303571284</v>
      </c>
      <c r="AB42" s="14">
        <v>49.456591421963104</v>
      </c>
      <c r="AC42" s="13">
        <v>1</v>
      </c>
      <c r="AD42" s="13">
        <f t="shared" si="4"/>
        <v>0</v>
      </c>
      <c r="AE42" s="14">
        <f t="shared" si="5"/>
        <v>1.4697268541157626</v>
      </c>
      <c r="AF42" s="14">
        <f t="shared" si="6"/>
        <v>-1.3779517315655299E-2</v>
      </c>
      <c r="AG42" s="13">
        <f t="shared" si="7"/>
        <v>0.12519389266950753</v>
      </c>
      <c r="AH42" s="13">
        <f>IF($T42=1,$AU42,VLOOKUP(U42,'Cortes naturales'!$A$25:$C$29,3,9))</f>
        <v>1</v>
      </c>
      <c r="AI42" s="13" t="b">
        <f t="shared" si="8"/>
        <v>1</v>
      </c>
      <c r="AJ42" s="13">
        <f t="shared" si="19"/>
        <v>0</v>
      </c>
      <c r="AK42" s="28">
        <v>1.1166517821440873</v>
      </c>
      <c r="AL42" s="28">
        <v>75.4225002413841</v>
      </c>
      <c r="AM42" s="28">
        <v>0.77282996336868148</v>
      </c>
      <c r="AN42" s="13">
        <v>1</v>
      </c>
      <c r="AO42" s="33">
        <f t="shared" si="9"/>
        <v>0</v>
      </c>
      <c r="AP42" s="13">
        <f t="shared" si="20"/>
        <v>77.282996336868152</v>
      </c>
      <c r="AQ42" s="13">
        <f>IFERROR(VLOOKUP(U42,'Cortes naturales'!$E$15:$G$19,3,9),U42)</f>
        <v>2</v>
      </c>
      <c r="AR42" s="28">
        <f t="shared" si="10"/>
        <v>-0.3982122564240298</v>
      </c>
      <c r="AS42" s="13" t="b">
        <f t="shared" si="11"/>
        <v>0</v>
      </c>
      <c r="AT42" s="13">
        <f t="shared" si="21"/>
        <v>0</v>
      </c>
      <c r="AU42" s="13">
        <v>1</v>
      </c>
      <c r="AV42">
        <f t="shared" si="12"/>
        <v>0</v>
      </c>
      <c r="AW42" s="13">
        <v>0</v>
      </c>
      <c r="AX42" s="13">
        <v>1</v>
      </c>
      <c r="AY42" s="13">
        <v>0</v>
      </c>
      <c r="AZ42" s="13">
        <v>0</v>
      </c>
      <c r="BA42">
        <v>0</v>
      </c>
      <c r="BB42" t="s">
        <v>2838</v>
      </c>
      <c r="BC42">
        <v>2</v>
      </c>
      <c r="BD42" s="184" t="s">
        <v>2917</v>
      </c>
      <c r="BE42">
        <v>1</v>
      </c>
      <c r="BF42" s="232" t="s">
        <v>2845</v>
      </c>
      <c r="BG42" s="232" t="s">
        <v>2846</v>
      </c>
      <c r="BH42" s="253">
        <v>10.3</v>
      </c>
      <c r="BI42" s="253">
        <v>3.116276905899138</v>
      </c>
      <c r="BJ42" s="25">
        <v>1.4928506165474058</v>
      </c>
      <c r="BK42" t="s">
        <v>381</v>
      </c>
      <c r="BL42">
        <v>1.6684747078351765</v>
      </c>
      <c r="BM42" t="s">
        <v>383</v>
      </c>
      <c r="BN42" s="322">
        <v>371656.56562499999</v>
      </c>
      <c r="BO42" s="322">
        <v>102221.751663</v>
      </c>
      <c r="BP42" s="10">
        <v>163372</v>
      </c>
      <c r="BQ42" s="254">
        <f t="shared" si="13"/>
        <v>2.2749098108917072</v>
      </c>
      <c r="BR42" s="254">
        <f t="shared" si="14"/>
        <v>0.62569933442083103</v>
      </c>
      <c r="BS42" s="25">
        <v>72.193572643917349</v>
      </c>
      <c r="BT42" s="25">
        <v>98.548515094991373</v>
      </c>
      <c r="BU42" s="25">
        <v>67.964507744536363</v>
      </c>
      <c r="BV42" s="25">
        <v>77.889582319948261</v>
      </c>
      <c r="BW42" s="25">
        <v>72.377200435724433</v>
      </c>
      <c r="BX42" s="25">
        <v>79.149044450848336</v>
      </c>
      <c r="BY42" s="25">
        <v>73.481956831541098</v>
      </c>
      <c r="BZ42">
        <v>94</v>
      </c>
      <c r="CA42">
        <v>0</v>
      </c>
      <c r="CB42">
        <v>4</v>
      </c>
      <c r="CC42">
        <v>19458.141204</v>
      </c>
      <c r="CD42" s="10">
        <v>11664.794303000001</v>
      </c>
      <c r="CE42" s="255">
        <v>0.59948142942873062</v>
      </c>
      <c r="CF42" t="str">
        <f>IFERROR(VLOOKUP(CE42,'Rangos amb etnico'!$A$2:$C$6,3,9),"N.D.")</f>
        <v>51% - 70%</v>
      </c>
      <c r="CG42" s="256">
        <v>3.3937283864373633E-4</v>
      </c>
      <c r="CH42" s="232">
        <v>0</v>
      </c>
      <c r="CI42" s="311">
        <f t="shared" si="22"/>
        <v>0</v>
      </c>
      <c r="CJ42" s="232">
        <f>IFERROR(VLOOKUP(CI42,'Rangos amb etnico'!$A$2:$C$6,3,9),"N.D.")</f>
        <v>0</v>
      </c>
      <c r="CK42" s="311">
        <f t="shared" si="23"/>
        <v>0</v>
      </c>
      <c r="CL42" s="10">
        <v>0</v>
      </c>
      <c r="CM42" s="255">
        <f t="shared" si="24"/>
        <v>0</v>
      </c>
      <c r="CN42" s="232">
        <f>IFERROR(VLOOKUP(CM42,'Rangos amb etnico'!$A$2:$C$6,3,9),"N.D.")</f>
        <v>0</v>
      </c>
      <c r="CO42" s="311">
        <f t="shared" si="25"/>
        <v>0</v>
      </c>
      <c r="CP42">
        <v>0.94369798705360486</v>
      </c>
      <c r="CQ42" t="s">
        <v>2864</v>
      </c>
      <c r="CR42">
        <f t="shared" si="15"/>
        <v>4</v>
      </c>
      <c r="CS42" t="str">
        <f t="shared" si="26"/>
        <v>Candidato</v>
      </c>
      <c r="CT42">
        <v>0</v>
      </c>
      <c r="CU42">
        <v>0</v>
      </c>
      <c r="CV42" s="25">
        <v>63.948200225830078</v>
      </c>
      <c r="CW42" s="25">
        <v>58.734451293945313</v>
      </c>
      <c r="CX42" s="25">
        <v>66.610969543457031</v>
      </c>
      <c r="CY42" s="25">
        <v>81.111312866210938</v>
      </c>
      <c r="CZ42" s="25">
        <v>70.056221008300781</v>
      </c>
      <c r="DA42" s="25">
        <v>40.690715789794922</v>
      </c>
      <c r="DB42" s="25">
        <v>66.48553466796875</v>
      </c>
      <c r="DC42">
        <v>700</v>
      </c>
      <c r="DD42" s="253" t="s">
        <v>380</v>
      </c>
    </row>
    <row r="43" spans="1:108" hidden="1">
      <c r="A43" s="13">
        <v>76147</v>
      </c>
      <c r="B43" s="13" t="s">
        <v>536</v>
      </c>
      <c r="C43" s="13" t="s">
        <v>454</v>
      </c>
      <c r="D43" s="13" t="s">
        <v>455</v>
      </c>
      <c r="E43" s="13" t="s">
        <v>537</v>
      </c>
      <c r="F43" s="14">
        <v>65.288466666666693</v>
      </c>
      <c r="G43" s="13">
        <v>60.95</v>
      </c>
      <c r="H43" s="13">
        <v>56.49</v>
      </c>
      <c r="I43" s="13">
        <v>58.57</v>
      </c>
      <c r="J43" s="14">
        <v>63.223044265253478</v>
      </c>
      <c r="K43" s="14">
        <v>63.549178605741893</v>
      </c>
      <c r="L43" s="14">
        <v>64.497112205091383</v>
      </c>
      <c r="M43" s="14">
        <v>57.36</v>
      </c>
      <c r="N43" s="14">
        <f t="shared" si="0"/>
        <v>60.324616666666671</v>
      </c>
      <c r="O43" s="14">
        <f t="shared" si="1"/>
        <v>62.15733376902169</v>
      </c>
      <c r="P43" s="14">
        <f t="shared" si="16"/>
        <v>61.240975217844181</v>
      </c>
      <c r="Q43" s="14">
        <v>31.94231074131287</v>
      </c>
      <c r="R43" s="17">
        <f t="shared" si="2"/>
        <v>68.057689258687134</v>
      </c>
      <c r="S43" s="14">
        <f t="shared" si="17"/>
        <v>0.71251920332818419</v>
      </c>
      <c r="T43" s="13">
        <v>0</v>
      </c>
      <c r="U43" s="13">
        <f t="shared" si="18"/>
        <v>43.635370873259404</v>
      </c>
      <c r="V43" s="13">
        <f>IF($T43=1,$AU43,(VLOOKUP(U43,'Cortes naturales'!$A$35:$C$39,3,9)))</f>
        <v>2</v>
      </c>
      <c r="W43" s="13">
        <v>2</v>
      </c>
      <c r="X43" s="14" t="b">
        <f t="shared" si="3"/>
        <v>1</v>
      </c>
      <c r="Y43" s="17">
        <f>IF($T43=1,$AU43,VLOOKUP(U43,'Cortes naturales'!$A$45:$C$49,3,9))</f>
        <v>2</v>
      </c>
      <c r="Z43" s="14">
        <v>62.443233790396476</v>
      </c>
      <c r="AA43" s="14">
        <v>0.73316122450241539</v>
      </c>
      <c r="AB43" s="14">
        <v>45.780957747657681</v>
      </c>
      <c r="AC43" s="13">
        <v>2</v>
      </c>
      <c r="AD43" s="13">
        <f t="shared" si="4"/>
        <v>0</v>
      </c>
      <c r="AE43" s="14">
        <f t="shared" si="5"/>
        <v>-1.2022585725522958</v>
      </c>
      <c r="AF43" s="14">
        <f t="shared" si="6"/>
        <v>-2.0642021174231195E-2</v>
      </c>
      <c r="AG43" s="13">
        <f t="shared" si="7"/>
        <v>-2.1455868743982762</v>
      </c>
      <c r="AH43" s="13">
        <f>IF($T43=1,$AU43,VLOOKUP(U43,'Cortes naturales'!$A$25:$C$29,3,9))</f>
        <v>2</v>
      </c>
      <c r="AI43" s="13" t="b">
        <f t="shared" si="8"/>
        <v>1</v>
      </c>
      <c r="AJ43" s="13">
        <f t="shared" si="19"/>
        <v>0</v>
      </c>
      <c r="AK43" s="28">
        <v>1.1166517821440873</v>
      </c>
      <c r="AL43" s="28">
        <v>69.727348294886113</v>
      </c>
      <c r="AM43" s="28">
        <v>0.70158961577400458</v>
      </c>
      <c r="AN43" s="13">
        <v>1</v>
      </c>
      <c r="AO43" s="33">
        <f t="shared" si="9"/>
        <v>-1</v>
      </c>
      <c r="AP43" s="13">
        <f t="shared" si="20"/>
        <v>70.158961577400461</v>
      </c>
      <c r="AQ43" s="13">
        <f>IFERROR(VLOOKUP(U43,'Cortes naturales'!$E$15:$G$19,3,9),U43)</f>
        <v>3</v>
      </c>
      <c r="AR43" s="28">
        <f t="shared" si="10"/>
        <v>-0.40413257881590314</v>
      </c>
      <c r="AS43" s="13" t="b">
        <f t="shared" si="11"/>
        <v>0</v>
      </c>
      <c r="AT43" s="13" t="str">
        <f t="shared" si="21"/>
        <v>Cambio en corte</v>
      </c>
      <c r="AU43" s="13">
        <v>1</v>
      </c>
      <c r="AV43">
        <f t="shared" si="12"/>
        <v>-1</v>
      </c>
      <c r="AW43" s="13">
        <v>0</v>
      </c>
      <c r="AX43" s="13">
        <v>1</v>
      </c>
      <c r="AY43" s="13">
        <v>0</v>
      </c>
      <c r="AZ43" s="13">
        <v>0</v>
      </c>
      <c r="BA43">
        <v>0</v>
      </c>
      <c r="BB43" t="s">
        <v>2838</v>
      </c>
      <c r="BC43">
        <v>2</v>
      </c>
      <c r="BD43" t="s">
        <v>2920</v>
      </c>
      <c r="BE43">
        <v>0</v>
      </c>
      <c r="BF43" s="232" t="s">
        <v>2845</v>
      </c>
      <c r="BG43" s="232" t="s">
        <v>2846</v>
      </c>
      <c r="BH43" s="253">
        <v>16.600000000000001</v>
      </c>
      <c r="BI43" s="253">
        <v>5.3997188977384045</v>
      </c>
      <c r="BJ43" s="25">
        <v>2.5723505559006434</v>
      </c>
      <c r="BK43" t="s">
        <v>381</v>
      </c>
      <c r="BL43">
        <v>6.5608669938546207</v>
      </c>
      <c r="BM43" t="s">
        <v>379</v>
      </c>
      <c r="BN43" s="322">
        <v>335182.13069000002</v>
      </c>
      <c r="BO43" s="322">
        <v>79028.133788000006</v>
      </c>
      <c r="BP43" s="10">
        <v>142792</v>
      </c>
      <c r="BQ43" s="254">
        <f t="shared" si="13"/>
        <v>2.3473453042887558</v>
      </c>
      <c r="BR43" s="254">
        <f t="shared" si="14"/>
        <v>0.55344930940108694</v>
      </c>
      <c r="BS43" s="25">
        <v>57.717437201431039</v>
      </c>
      <c r="BT43" s="25">
        <v>96.699463687315642</v>
      </c>
      <c r="BU43" s="25">
        <v>65.658333333333331</v>
      </c>
      <c r="BV43" s="25">
        <v>80.908325162008836</v>
      </c>
      <c r="BW43" s="25">
        <v>46.02399793901116</v>
      </c>
      <c r="BX43" s="25">
        <v>75.245889846022209</v>
      </c>
      <c r="BY43" s="25">
        <v>46.468456339706357</v>
      </c>
      <c r="BZ43">
        <v>91</v>
      </c>
      <c r="CA43">
        <v>1</v>
      </c>
      <c r="CB43">
        <v>4</v>
      </c>
      <c r="CC43">
        <v>24818.697493</v>
      </c>
      <c r="CD43" s="10">
        <v>5099.6599370000004</v>
      </c>
      <c r="CE43" s="255">
        <v>0.20547653390909559</v>
      </c>
      <c r="CF43" t="str">
        <f>IFERROR(VLOOKUP(CE43,'Rangos amb etnico'!$A$2:$C$6,3,9),"N.D.")</f>
        <v>0,1% - 30%</v>
      </c>
      <c r="CG43" s="256">
        <v>1.4836833157806501E-4</v>
      </c>
      <c r="CH43" s="232">
        <v>0</v>
      </c>
      <c r="CI43" s="311">
        <f t="shared" si="22"/>
        <v>0</v>
      </c>
      <c r="CJ43" s="232">
        <f>IFERROR(VLOOKUP(CI43,'Rangos amb etnico'!$A$2:$C$6,3,9),"N.D.")</f>
        <v>0</v>
      </c>
      <c r="CK43" s="311">
        <f t="shared" si="23"/>
        <v>0</v>
      </c>
      <c r="CL43" s="10">
        <v>0</v>
      </c>
      <c r="CM43" s="255">
        <f t="shared" si="24"/>
        <v>0</v>
      </c>
      <c r="CN43" s="232">
        <f>IFERROR(VLOOKUP(CM43,'Rangos amb etnico'!$A$2:$C$6,3,9),"N.D.")</f>
        <v>0</v>
      </c>
      <c r="CO43" s="311">
        <f t="shared" si="25"/>
        <v>0</v>
      </c>
      <c r="CP43">
        <v>0.53099672555024269</v>
      </c>
      <c r="CQ43" t="s">
        <v>2866</v>
      </c>
      <c r="CR43">
        <f t="shared" si="15"/>
        <v>0</v>
      </c>
      <c r="CS43" t="str">
        <f t="shared" si="26"/>
        <v>No es Candidato</v>
      </c>
      <c r="CT43">
        <v>0</v>
      </c>
      <c r="CU43">
        <v>0</v>
      </c>
      <c r="CV43" s="25">
        <v>53.825405120849609</v>
      </c>
      <c r="CW43" s="25">
        <v>56.547893524169922</v>
      </c>
      <c r="CX43" s="25">
        <v>57.858726501464837</v>
      </c>
      <c r="CY43" s="25">
        <v>69.488510131835938</v>
      </c>
      <c r="CZ43" s="25">
        <v>56.079925537109382</v>
      </c>
      <c r="DA43" s="25">
        <v>28.066415786743161</v>
      </c>
      <c r="DB43" s="25">
        <v>54.910968780517578</v>
      </c>
      <c r="DC43">
        <v>5910</v>
      </c>
      <c r="DD43" s="253" t="s">
        <v>380</v>
      </c>
    </row>
    <row r="44" spans="1:108">
      <c r="A44" s="13">
        <v>5376</v>
      </c>
      <c r="B44" s="13" t="s">
        <v>538</v>
      </c>
      <c r="C44" s="13" t="s">
        <v>435</v>
      </c>
      <c r="D44" s="13" t="s">
        <v>436</v>
      </c>
      <c r="E44" s="13" t="s">
        <v>539</v>
      </c>
      <c r="F44" s="14">
        <v>71.1541</v>
      </c>
      <c r="G44" s="13">
        <v>66.89</v>
      </c>
      <c r="H44" s="13">
        <v>64.95</v>
      </c>
      <c r="I44" s="13">
        <v>74.739999999999995</v>
      </c>
      <c r="J44" s="14">
        <v>81.281366690449033</v>
      </c>
      <c r="K44" s="14">
        <v>71.82064414154658</v>
      </c>
      <c r="L44" s="14">
        <v>67.107794628988842</v>
      </c>
      <c r="M44" s="14">
        <v>68.240899999999996</v>
      </c>
      <c r="N44" s="14">
        <f t="shared" si="0"/>
        <v>69.433525000000003</v>
      </c>
      <c r="O44" s="14">
        <f t="shared" si="1"/>
        <v>72.112676365246116</v>
      </c>
      <c r="P44" s="14">
        <f t="shared" si="16"/>
        <v>70.773100682623067</v>
      </c>
      <c r="Q44" s="14">
        <v>31.274067619887013</v>
      </c>
      <c r="R44" s="17">
        <f t="shared" si="2"/>
        <v>68.725932380112994</v>
      </c>
      <c r="S44" s="14">
        <f t="shared" si="17"/>
        <v>0.71853339142101702</v>
      </c>
      <c r="T44" s="13">
        <v>0</v>
      </c>
      <c r="U44" s="13">
        <f t="shared" si="18"/>
        <v>50.852836054866245</v>
      </c>
      <c r="V44" s="13">
        <f>IF($T44=1,$AU44,(VLOOKUP(U44,'Cortes naturales'!$A$35:$C$39,3,9)))</f>
        <v>2</v>
      </c>
      <c r="W44" s="13">
        <v>2</v>
      </c>
      <c r="X44" s="14" t="b">
        <f t="shared" si="3"/>
        <v>1</v>
      </c>
      <c r="Y44" s="17">
        <f>IF($T44=1,$AU44,VLOOKUP(U44,'Cortes naturales'!$A$45:$C$49,3,9))</f>
        <v>1</v>
      </c>
      <c r="Z44" s="14">
        <v>70.224358451542045</v>
      </c>
      <c r="AA44" s="14">
        <v>0.73207385357244303</v>
      </c>
      <c r="AB44" s="14">
        <v>51.409416706272943</v>
      </c>
      <c r="AC44" s="13">
        <v>1</v>
      </c>
      <c r="AD44" s="13">
        <f t="shared" si="4"/>
        <v>0</v>
      </c>
      <c r="AE44" s="14">
        <f t="shared" si="5"/>
        <v>0.54874223108102171</v>
      </c>
      <c r="AF44" s="14">
        <f t="shared" si="6"/>
        <v>-1.3540462151426014E-2</v>
      </c>
      <c r="AG44" s="13">
        <f t="shared" si="7"/>
        <v>-0.55658065140669777</v>
      </c>
      <c r="AH44" s="13">
        <f>IF($T44=1,$AU44,VLOOKUP(U44,'Cortes naturales'!$A$25:$C$29,3,9))</f>
        <v>1</v>
      </c>
      <c r="AI44" s="13" t="b">
        <f t="shared" si="8"/>
        <v>1</v>
      </c>
      <c r="AJ44" s="13">
        <f t="shared" si="19"/>
        <v>0</v>
      </c>
      <c r="AK44" s="28">
        <v>1.1166517821440873</v>
      </c>
      <c r="AL44" s="28">
        <v>78.416155014839632</v>
      </c>
      <c r="AM44" s="28">
        <v>0.81027742897503408</v>
      </c>
      <c r="AN44" s="13">
        <v>1</v>
      </c>
      <c r="AO44" s="33">
        <f t="shared" si="9"/>
        <v>0</v>
      </c>
      <c r="AP44" s="13">
        <f t="shared" si="20"/>
        <v>81.027742897503401</v>
      </c>
      <c r="AQ44" s="13">
        <f>IFERROR(VLOOKUP(U44,'Cortes naturales'!$E$15:$G$19,3,9),U44)</f>
        <v>2</v>
      </c>
      <c r="AR44" s="28">
        <f t="shared" si="10"/>
        <v>-0.39811839072307031</v>
      </c>
      <c r="AS44" s="13" t="b">
        <f t="shared" si="11"/>
        <v>0</v>
      </c>
      <c r="AT44" s="13">
        <f t="shared" si="21"/>
        <v>0</v>
      </c>
      <c r="AU44" s="13">
        <v>1</v>
      </c>
      <c r="AV44">
        <f t="shared" si="12"/>
        <v>0</v>
      </c>
      <c r="AW44" s="13">
        <v>0</v>
      </c>
      <c r="AX44" s="13">
        <v>1</v>
      </c>
      <c r="AY44" s="13">
        <v>0</v>
      </c>
      <c r="AZ44" s="13">
        <v>0</v>
      </c>
      <c r="BA44">
        <v>0</v>
      </c>
      <c r="BB44" t="s">
        <v>2839</v>
      </c>
      <c r="BC44">
        <v>2</v>
      </c>
      <c r="BD44" s="184" t="s">
        <v>2917</v>
      </c>
      <c r="BE44">
        <v>1</v>
      </c>
      <c r="BF44" s="232" t="s">
        <v>2846</v>
      </c>
      <c r="BG44" s="232" t="s">
        <v>2845</v>
      </c>
      <c r="BH44" s="253">
        <v>11.5</v>
      </c>
      <c r="BI44" s="253">
        <v>4.1097521560889314</v>
      </c>
      <c r="BJ44" s="25">
        <v>4.116400905869491</v>
      </c>
      <c r="BK44" t="s">
        <v>381</v>
      </c>
      <c r="BL44">
        <v>0.97492525793077944</v>
      </c>
      <c r="BM44" t="s">
        <v>383</v>
      </c>
      <c r="BN44" s="322">
        <v>143332.017914</v>
      </c>
      <c r="BO44" s="322">
        <v>84906.209321999995</v>
      </c>
      <c r="BP44" s="10">
        <v>72033</v>
      </c>
      <c r="BQ44" s="254">
        <f t="shared" si="13"/>
        <v>1.9898104745602709</v>
      </c>
      <c r="BR44" s="254">
        <f t="shared" si="14"/>
        <v>1.1787126639456915</v>
      </c>
      <c r="BS44" s="25">
        <v>75.229973932131585</v>
      </c>
      <c r="BT44" s="25">
        <v>95.845996666666665</v>
      </c>
      <c r="BU44" s="25">
        <v>76.525000000000006</v>
      </c>
      <c r="BV44" s="25">
        <v>83.456522659530279</v>
      </c>
      <c r="BW44" s="25">
        <v>80.038478414190365</v>
      </c>
      <c r="BX44" s="25">
        <v>82.76437331458213</v>
      </c>
      <c r="BY44" s="25">
        <v>80.588705741356947</v>
      </c>
      <c r="BZ44">
        <v>22</v>
      </c>
      <c r="CA44">
        <v>0</v>
      </c>
      <c r="CB44">
        <v>6</v>
      </c>
      <c r="CC44">
        <v>13266.673574</v>
      </c>
      <c r="CD44" s="10">
        <v>4672.3631889999997</v>
      </c>
      <c r="CE44" s="255">
        <v>0.35218799670754602</v>
      </c>
      <c r="CF44" t="str">
        <f>IFERROR(VLOOKUP(CE44,'Rangos amb etnico'!$A$2:$C$6,3,9),"N.D.")</f>
        <v>31% - 50%</v>
      </c>
      <c r="CG44" s="256">
        <v>1.3593665841305234E-4</v>
      </c>
      <c r="CH44" s="232">
        <v>0</v>
      </c>
      <c r="CI44" s="311">
        <f t="shared" si="22"/>
        <v>0</v>
      </c>
      <c r="CJ44" s="232">
        <f>IFERROR(VLOOKUP(CI44,'Rangos amb etnico'!$A$2:$C$6,3,9),"N.D.")</f>
        <v>0</v>
      </c>
      <c r="CK44" s="311">
        <f t="shared" si="23"/>
        <v>0</v>
      </c>
      <c r="CL44" s="10">
        <v>0</v>
      </c>
      <c r="CM44" s="255">
        <f t="shared" si="24"/>
        <v>0</v>
      </c>
      <c r="CN44" s="232">
        <f>IFERROR(VLOOKUP(CM44,'Rangos amb etnico'!$A$2:$C$6,3,9),"N.D.")</f>
        <v>0</v>
      </c>
      <c r="CO44" s="311">
        <f t="shared" si="25"/>
        <v>0</v>
      </c>
      <c r="CP44">
        <v>0.88869826483114234</v>
      </c>
      <c r="CQ44" t="s">
        <v>2864</v>
      </c>
      <c r="CR44">
        <f t="shared" si="15"/>
        <v>4</v>
      </c>
      <c r="CS44" t="str">
        <f t="shared" si="26"/>
        <v>Candidato</v>
      </c>
      <c r="CT44">
        <v>0</v>
      </c>
      <c r="CU44">
        <v>0</v>
      </c>
      <c r="CV44" s="25">
        <v>59.185718536376953</v>
      </c>
      <c r="CW44" s="25">
        <v>49.306964874267578</v>
      </c>
      <c r="CX44" s="25">
        <v>50.679420471191413</v>
      </c>
      <c r="CY44" s="25">
        <v>75.55242919921875</v>
      </c>
      <c r="CZ44" s="25">
        <v>69.177604675292969</v>
      </c>
      <c r="DA44" s="25">
        <v>50.806293487548828</v>
      </c>
      <c r="DB44" s="25">
        <v>59.591598510742188</v>
      </c>
      <c r="DC44">
        <v>918</v>
      </c>
      <c r="DD44" s="253" t="s">
        <v>380</v>
      </c>
    </row>
    <row r="45" spans="1:108" hidden="1">
      <c r="A45" s="13">
        <v>25214</v>
      </c>
      <c r="B45" s="13" t="s">
        <v>540</v>
      </c>
      <c r="C45" s="13" t="s">
        <v>461</v>
      </c>
      <c r="D45" s="13" t="s">
        <v>462</v>
      </c>
      <c r="E45" s="13" t="s">
        <v>541</v>
      </c>
      <c r="F45" s="14">
        <v>70.875066666666697</v>
      </c>
      <c r="G45" s="13">
        <v>67.540000000000006</v>
      </c>
      <c r="H45" s="13">
        <v>45.82</v>
      </c>
      <c r="I45" s="13">
        <v>66.66</v>
      </c>
      <c r="J45" s="14">
        <v>64.564169737557052</v>
      </c>
      <c r="K45" s="14">
        <v>69.846018855300542</v>
      </c>
      <c r="L45" s="14">
        <v>64.702246174049236</v>
      </c>
      <c r="M45" s="14">
        <v>65.830200000000005</v>
      </c>
      <c r="N45" s="14">
        <f t="shared" si="0"/>
        <v>62.72376666666667</v>
      </c>
      <c r="O45" s="14">
        <f t="shared" si="1"/>
        <v>66.235658691726712</v>
      </c>
      <c r="P45" s="14">
        <f t="shared" si="16"/>
        <v>64.479712679196695</v>
      </c>
      <c r="Q45" s="14">
        <v>30.48340820047482</v>
      </c>
      <c r="R45" s="17">
        <f t="shared" si="2"/>
        <v>69.516591799525173</v>
      </c>
      <c r="S45" s="14">
        <f t="shared" si="17"/>
        <v>0.72564932619572653</v>
      </c>
      <c r="T45" s="13">
        <v>0</v>
      </c>
      <c r="U45" s="13">
        <f t="shared" si="18"/>
        <v>46.789660058953125</v>
      </c>
      <c r="V45" s="13">
        <f>IF($T45=1,$AU45,(VLOOKUP(U45,'Cortes naturales'!$A$35:$C$39,3,9)))</f>
        <v>2</v>
      </c>
      <c r="W45" s="13">
        <v>2</v>
      </c>
      <c r="X45" s="14" t="b">
        <f t="shared" si="3"/>
        <v>1</v>
      </c>
      <c r="Y45" s="17">
        <f>IF($T45=1,$AU45,VLOOKUP(U45,'Cortes naturales'!$A$45:$C$49,3,9))</f>
        <v>2</v>
      </c>
      <c r="Z45" s="14">
        <v>65.442516264860259</v>
      </c>
      <c r="AA45" s="14">
        <v>0.72983209999751075</v>
      </c>
      <c r="AB45" s="14">
        <v>47.762049074704215</v>
      </c>
      <c r="AC45" s="13">
        <v>1</v>
      </c>
      <c r="AD45" s="13">
        <f t="shared" si="4"/>
        <v>-1</v>
      </c>
      <c r="AE45" s="14">
        <f t="shared" si="5"/>
        <v>-0.96280358566356483</v>
      </c>
      <c r="AF45" s="14">
        <f t="shared" si="6"/>
        <v>-4.1827738017842231E-3</v>
      </c>
      <c r="AG45" s="13">
        <f t="shared" si="7"/>
        <v>-0.97238901575109082</v>
      </c>
      <c r="AH45" s="13">
        <f>IF($T45=1,$AU45,VLOOKUP(U45,'Cortes naturales'!$A$25:$C$29,3,9))</f>
        <v>1</v>
      </c>
      <c r="AI45" s="13" t="b">
        <f t="shared" si="8"/>
        <v>0</v>
      </c>
      <c r="AJ45" s="13" t="str">
        <f t="shared" si="19"/>
        <v>Cambio en corte</v>
      </c>
      <c r="AK45" s="28">
        <v>1.1166517821440873</v>
      </c>
      <c r="AL45" s="28">
        <v>73.076502415149633</v>
      </c>
      <c r="AM45" s="28">
        <v>0.74348400347729182</v>
      </c>
      <c r="AN45" s="13">
        <v>1</v>
      </c>
      <c r="AO45" s="33">
        <f t="shared" si="9"/>
        <v>-1</v>
      </c>
      <c r="AP45" s="13">
        <f t="shared" si="20"/>
        <v>74.348400347729182</v>
      </c>
      <c r="AQ45" s="13">
        <f>IFERROR(VLOOKUP(U45,'Cortes naturales'!$E$15:$G$19,3,9),U45)</f>
        <v>3</v>
      </c>
      <c r="AR45" s="28">
        <f t="shared" si="10"/>
        <v>-0.39100245594836081</v>
      </c>
      <c r="AS45" s="13" t="b">
        <f t="shared" si="11"/>
        <v>0</v>
      </c>
      <c r="AT45" s="13" t="str">
        <f t="shared" si="21"/>
        <v>Cambio en corte</v>
      </c>
      <c r="AU45" s="13">
        <v>1</v>
      </c>
      <c r="AV45">
        <f t="shared" si="12"/>
        <v>-1</v>
      </c>
      <c r="AW45" s="13">
        <v>0</v>
      </c>
      <c r="AX45" s="13">
        <v>1</v>
      </c>
      <c r="AY45" s="13">
        <v>0</v>
      </c>
      <c r="AZ45" s="13">
        <v>0</v>
      </c>
      <c r="BA45">
        <v>0</v>
      </c>
      <c r="BB45" t="s">
        <v>2838</v>
      </c>
      <c r="BC45">
        <v>2</v>
      </c>
      <c r="BD45" s="184" t="s">
        <v>2917</v>
      </c>
      <c r="BE45">
        <v>1</v>
      </c>
      <c r="BF45" s="232" t="s">
        <v>2846</v>
      </c>
      <c r="BG45" s="232" t="s">
        <v>2846</v>
      </c>
      <c r="BH45" s="253">
        <v>9</v>
      </c>
      <c r="BI45" s="253">
        <v>4.11618416018365</v>
      </c>
      <c r="BJ45" s="25">
        <v>2.553080494114631</v>
      </c>
      <c r="BK45" t="s">
        <v>381</v>
      </c>
      <c r="BL45">
        <v>0.65344259361304391</v>
      </c>
      <c r="BM45" t="s">
        <v>383</v>
      </c>
      <c r="BN45" s="322">
        <v>234594.98599300001</v>
      </c>
      <c r="BO45" s="322">
        <v>188944.12938200001</v>
      </c>
      <c r="BP45" s="10">
        <v>46260</v>
      </c>
      <c r="BQ45" s="254">
        <f t="shared" si="13"/>
        <v>5.0712275398400344</v>
      </c>
      <c r="BR45" s="254">
        <f t="shared" si="14"/>
        <v>4.0843953606139216</v>
      </c>
      <c r="BS45" s="25">
        <v>81.311796733212333</v>
      </c>
      <c r="BT45" s="25">
        <v>74.978526424556847</v>
      </c>
      <c r="BU45" s="25">
        <v>74.933333333333337</v>
      </c>
      <c r="BV45" s="25">
        <v>70.401540272320361</v>
      </c>
      <c r="BW45" s="25">
        <v>69.539731993332495</v>
      </c>
      <c r="BX45" s="25">
        <v>75.406299190855719</v>
      </c>
      <c r="BY45" s="25">
        <v>70.094501340403667</v>
      </c>
      <c r="BZ45">
        <v>59</v>
      </c>
      <c r="CA45">
        <v>0</v>
      </c>
      <c r="CB45">
        <v>5</v>
      </c>
      <c r="CC45">
        <v>5367.9504649999999</v>
      </c>
      <c r="CD45" s="10">
        <v>735.81688699999995</v>
      </c>
      <c r="CE45" s="255">
        <v>0.13707594580047974</v>
      </c>
      <c r="CF45" t="str">
        <f>IFERROR(VLOOKUP(CE45,'Rangos amb etnico'!$A$2:$C$6,3,9),"N.D.")</f>
        <v>0,1% - 30%</v>
      </c>
      <c r="CG45" s="256">
        <v>2.1407687026162499E-5</v>
      </c>
      <c r="CH45" s="232">
        <v>367.73116099999999</v>
      </c>
      <c r="CI45" s="311">
        <f t="shared" si="22"/>
        <v>6.8504946794437305E-2</v>
      </c>
      <c r="CJ45" s="232" t="str">
        <f>IFERROR(VLOOKUP(CI45,'Rangos amb etnico'!$A$2:$C$6,3,9),"N.D.")</f>
        <v>0,1% - 30%</v>
      </c>
      <c r="CK45" s="311">
        <f t="shared" si="23"/>
        <v>1.4601334701334854E-5</v>
      </c>
      <c r="CL45" s="10">
        <v>0</v>
      </c>
      <c r="CM45" s="255">
        <f t="shared" si="24"/>
        <v>0</v>
      </c>
      <c r="CN45" s="232">
        <f>IFERROR(VLOOKUP(CM45,'Rangos amb etnico'!$A$2:$C$6,3,9),"N.D.")</f>
        <v>0</v>
      </c>
      <c r="CO45" s="311">
        <f t="shared" si="25"/>
        <v>0</v>
      </c>
      <c r="CP45">
        <v>0.68830841575552015</v>
      </c>
      <c r="CQ45" t="s">
        <v>2866</v>
      </c>
      <c r="CR45">
        <f t="shared" si="15"/>
        <v>3</v>
      </c>
      <c r="CS45" t="str">
        <f t="shared" si="26"/>
        <v>Candidato</v>
      </c>
      <c r="CT45">
        <v>0</v>
      </c>
      <c r="CU45">
        <v>0</v>
      </c>
      <c r="CV45" s="25">
        <v>68.426101684570313</v>
      </c>
      <c r="CW45" s="25">
        <v>71.395599365234375</v>
      </c>
      <c r="CX45" s="25">
        <v>66.978843688964844</v>
      </c>
      <c r="CY45" s="25">
        <v>80.864143371582031</v>
      </c>
      <c r="CZ45" s="25">
        <v>68.75</v>
      </c>
      <c r="DA45" s="25">
        <v>54.385574340820313</v>
      </c>
      <c r="DB45" s="25">
        <v>68.182441711425781</v>
      </c>
      <c r="DC45">
        <v>4444</v>
      </c>
      <c r="DD45" s="253" t="s">
        <v>380</v>
      </c>
    </row>
    <row r="46" spans="1:108" hidden="1">
      <c r="A46" s="13">
        <v>8078</v>
      </c>
      <c r="B46" s="13" t="s">
        <v>542</v>
      </c>
      <c r="C46" s="13" t="s">
        <v>442</v>
      </c>
      <c r="D46" s="13" t="s">
        <v>443</v>
      </c>
      <c r="E46" s="13" t="s">
        <v>543</v>
      </c>
      <c r="F46" s="14">
        <v>64.849699999999999</v>
      </c>
      <c r="G46" s="13">
        <v>62.7</v>
      </c>
      <c r="H46" s="13">
        <v>59.82</v>
      </c>
      <c r="I46" s="13">
        <v>68.239999999999995</v>
      </c>
      <c r="J46" s="14">
        <v>57.270651332432195</v>
      </c>
      <c r="K46" s="14">
        <v>51.190404344657381</v>
      </c>
      <c r="L46" s="14">
        <v>63.309228116865114</v>
      </c>
      <c r="M46" s="14">
        <v>60.528399999999998</v>
      </c>
      <c r="N46" s="14">
        <f t="shared" si="0"/>
        <v>63.902424999999994</v>
      </c>
      <c r="O46" s="14">
        <f t="shared" si="1"/>
        <v>58.074670948488674</v>
      </c>
      <c r="P46" s="14">
        <f t="shared" si="16"/>
        <v>60.988547974244334</v>
      </c>
      <c r="Q46" s="14">
        <v>31.353666282963395</v>
      </c>
      <c r="R46" s="17">
        <f t="shared" si="2"/>
        <v>68.646333717036612</v>
      </c>
      <c r="S46" s="14">
        <f t="shared" si="17"/>
        <v>0.71781700345332955</v>
      </c>
      <c r="T46" s="13">
        <v>0</v>
      </c>
      <c r="U46" s="13">
        <f t="shared" si="18"/>
        <v>43.778616751841703</v>
      </c>
      <c r="V46" s="13">
        <f>IF($T46=1,$AU46,(VLOOKUP(U46,'Cortes naturales'!$A$35:$C$39,3,9)))</f>
        <v>2</v>
      </c>
      <c r="W46" s="13">
        <v>2</v>
      </c>
      <c r="X46" s="14" t="b">
        <f t="shared" si="3"/>
        <v>1</v>
      </c>
      <c r="Y46" s="17">
        <f>IF($T46=1,$AU46,VLOOKUP(U46,'Cortes naturales'!$A$45:$C$49,3,9))</f>
        <v>2</v>
      </c>
      <c r="Z46" s="14">
        <v>60.455370405561766</v>
      </c>
      <c r="AA46" s="14">
        <v>0.72890654816153055</v>
      </c>
      <c r="AB46" s="14">
        <v>44.066315360144777</v>
      </c>
      <c r="AC46" s="13">
        <v>2</v>
      </c>
      <c r="AD46" s="13">
        <f t="shared" si="4"/>
        <v>0</v>
      </c>
      <c r="AE46" s="14">
        <f t="shared" si="5"/>
        <v>0.53317756868256794</v>
      </c>
      <c r="AF46" s="14">
        <f t="shared" si="6"/>
        <v>-1.1089544708201005E-2</v>
      </c>
      <c r="AG46" s="13">
        <f t="shared" si="7"/>
        <v>-0.28769860830307437</v>
      </c>
      <c r="AH46" s="13">
        <f>IF($T46=1,$AU46,VLOOKUP(U46,'Cortes naturales'!$A$25:$C$29,3,9))</f>
        <v>2</v>
      </c>
      <c r="AI46" s="13" t="b">
        <f t="shared" si="8"/>
        <v>1</v>
      </c>
      <c r="AJ46" s="13">
        <f t="shared" si="19"/>
        <v>0</v>
      </c>
      <c r="AK46" s="28">
        <v>1.1166517821440873</v>
      </c>
      <c r="AL46" s="28">
        <v>67.507597103551461</v>
      </c>
      <c r="AM46" s="28">
        <v>0.67382286820871473</v>
      </c>
      <c r="AN46" s="13">
        <v>1</v>
      </c>
      <c r="AO46" s="33">
        <f t="shared" si="9"/>
        <v>-1</v>
      </c>
      <c r="AP46" s="13">
        <f t="shared" si="20"/>
        <v>67.382286820871471</v>
      </c>
      <c r="AQ46" s="13">
        <f>IFERROR(VLOOKUP(U46,'Cortes naturales'!$E$15:$G$19,3,9),U46)</f>
        <v>3</v>
      </c>
      <c r="AR46" s="28">
        <f t="shared" si="10"/>
        <v>-0.39883477869075779</v>
      </c>
      <c r="AS46" s="13" t="b">
        <f t="shared" si="11"/>
        <v>0</v>
      </c>
      <c r="AT46" s="13" t="str">
        <f t="shared" si="21"/>
        <v>Cambio en corte</v>
      </c>
      <c r="AU46" s="13">
        <v>1</v>
      </c>
      <c r="AV46">
        <f t="shared" si="12"/>
        <v>-1</v>
      </c>
      <c r="AW46" s="13">
        <v>0</v>
      </c>
      <c r="AX46" s="13">
        <v>0</v>
      </c>
      <c r="AY46" s="13">
        <v>0</v>
      </c>
      <c r="AZ46" s="13">
        <v>0</v>
      </c>
      <c r="BA46">
        <v>0</v>
      </c>
      <c r="BB46" t="s">
        <v>2838</v>
      </c>
      <c r="BC46">
        <v>6</v>
      </c>
      <c r="BD46" s="184" t="s">
        <v>2917</v>
      </c>
      <c r="BE46">
        <v>1</v>
      </c>
      <c r="BF46" s="232" t="s">
        <v>2846</v>
      </c>
      <c r="BG46" s="232" t="s">
        <v>2845</v>
      </c>
      <c r="BH46" s="253">
        <v>33.5</v>
      </c>
      <c r="BI46" s="253">
        <v>14.277577059531946</v>
      </c>
      <c r="BJ46" s="25">
        <v>6.0038102731378604</v>
      </c>
      <c r="BK46" t="s">
        <v>377</v>
      </c>
      <c r="BL46">
        <v>2.1430661703595164</v>
      </c>
      <c r="BM46" t="s">
        <v>383</v>
      </c>
      <c r="BN46" s="322">
        <v>102345.770296</v>
      </c>
      <c r="BO46" s="322">
        <v>16974.486061</v>
      </c>
      <c r="BP46" s="10">
        <v>73740</v>
      </c>
      <c r="BQ46" s="254">
        <f t="shared" si="13"/>
        <v>1.3879274518036344</v>
      </c>
      <c r="BR46" s="254">
        <f t="shared" si="14"/>
        <v>0.23019373557092487</v>
      </c>
      <c r="BS46" s="25">
        <v>65.003445452975157</v>
      </c>
      <c r="BT46" s="25">
        <v>89.985015647781893</v>
      </c>
      <c r="BU46" s="25">
        <v>54.406214882308269</v>
      </c>
      <c r="BV46" s="25">
        <v>91.688269453429243</v>
      </c>
      <c r="BW46" s="25">
        <v>43.497102103270073</v>
      </c>
      <c r="BX46" s="25">
        <v>75.270736359123632</v>
      </c>
      <c r="BY46" s="25">
        <v>44.692163254898368</v>
      </c>
      <c r="BZ46">
        <v>5</v>
      </c>
      <c r="CA46">
        <v>0</v>
      </c>
      <c r="CB46">
        <v>7</v>
      </c>
      <c r="CC46">
        <v>12119.291723</v>
      </c>
      <c r="CD46" s="10">
        <v>0</v>
      </c>
      <c r="CE46" s="255">
        <v>0</v>
      </c>
      <c r="CF46">
        <f>IFERROR(VLOOKUP(CE46,'Rangos amb etnico'!$A$2:$C$6,3,9),"N.D.")</f>
        <v>0</v>
      </c>
      <c r="CG46" s="256">
        <v>0</v>
      </c>
      <c r="CH46" s="232">
        <v>0</v>
      </c>
      <c r="CI46" s="311">
        <f t="shared" si="22"/>
        <v>0</v>
      </c>
      <c r="CJ46" s="232">
        <f>IFERROR(VLOOKUP(CI46,'Rangos amb etnico'!$A$2:$C$6,3,9),"N.D.")</f>
        <v>0</v>
      </c>
      <c r="CK46" s="311">
        <f t="shared" si="23"/>
        <v>0</v>
      </c>
      <c r="CL46" s="10">
        <v>0</v>
      </c>
      <c r="CM46" s="255">
        <f t="shared" si="24"/>
        <v>0</v>
      </c>
      <c r="CN46" s="232">
        <f>IFERROR(VLOOKUP(CM46,'Rangos amb etnico'!$A$2:$C$6,3,9),"N.D.")</f>
        <v>0</v>
      </c>
      <c r="CO46" s="311">
        <f t="shared" si="25"/>
        <v>0</v>
      </c>
      <c r="CP46">
        <v>0.96198914072679509</v>
      </c>
      <c r="CQ46" t="s">
        <v>2864</v>
      </c>
      <c r="CR46">
        <f t="shared" si="15"/>
        <v>3</v>
      </c>
      <c r="CS46" t="str">
        <f t="shared" si="26"/>
        <v>Candidato</v>
      </c>
      <c r="CT46">
        <v>0</v>
      </c>
      <c r="CU46">
        <v>0</v>
      </c>
      <c r="CV46" s="25">
        <v>58.329174041748047</v>
      </c>
      <c r="CW46" s="25">
        <v>46.738079071044922</v>
      </c>
      <c r="CX46" s="25">
        <v>65.304885864257813</v>
      </c>
      <c r="CY46" s="25">
        <v>62.623085021972663</v>
      </c>
      <c r="CZ46" s="25">
        <v>46.641239166259773</v>
      </c>
      <c r="DA46" s="25">
        <v>67.739356994628906</v>
      </c>
      <c r="DB46" s="25">
        <v>60.928394317626953</v>
      </c>
      <c r="DC46">
        <v>8420</v>
      </c>
      <c r="DD46" s="253" t="s">
        <v>380</v>
      </c>
    </row>
    <row r="47" spans="1:108" hidden="1">
      <c r="A47" s="13">
        <v>13836</v>
      </c>
      <c r="B47" s="13" t="s">
        <v>544</v>
      </c>
      <c r="C47" s="13" t="s">
        <v>480</v>
      </c>
      <c r="D47" s="13" t="s">
        <v>481</v>
      </c>
      <c r="E47" s="13" t="s">
        <v>545</v>
      </c>
      <c r="F47" s="14">
        <v>57.903066666666703</v>
      </c>
      <c r="G47" s="13">
        <v>55.41</v>
      </c>
      <c r="H47" s="13">
        <v>52.46</v>
      </c>
      <c r="I47" s="13">
        <v>53.18</v>
      </c>
      <c r="J47" s="14">
        <v>58.653838808579465</v>
      </c>
      <c r="K47" s="14">
        <v>63.931507969888642</v>
      </c>
      <c r="L47" s="14">
        <v>63.838232933745743</v>
      </c>
      <c r="M47" s="14">
        <v>65.087699999999998</v>
      </c>
      <c r="N47" s="14">
        <f t="shared" si="0"/>
        <v>54.738266666666675</v>
      </c>
      <c r="O47" s="14">
        <f t="shared" si="1"/>
        <v>62.877819928053455</v>
      </c>
      <c r="P47" s="14">
        <f t="shared" si="16"/>
        <v>58.808043297360065</v>
      </c>
      <c r="Q47" s="14">
        <v>31.330726465797802</v>
      </c>
      <c r="R47" s="17">
        <f t="shared" si="2"/>
        <v>68.669273534202205</v>
      </c>
      <c r="S47" s="14">
        <f t="shared" si="17"/>
        <v>0.71802346180781984</v>
      </c>
      <c r="T47" s="13">
        <v>0</v>
      </c>
      <c r="U47" s="13">
        <f t="shared" si="18"/>
        <v>42.225554830514632</v>
      </c>
      <c r="V47" s="13">
        <f>IF($T47=1,$AU47,(VLOOKUP(U47,'Cortes naturales'!$A$35:$C$39,3,9)))</f>
        <v>2</v>
      </c>
      <c r="W47" s="13">
        <v>2</v>
      </c>
      <c r="X47" s="14" t="b">
        <f t="shared" si="3"/>
        <v>1</v>
      </c>
      <c r="Y47" s="17">
        <f>IF($T47=1,$AU47,VLOOKUP(U47,'Cortes naturales'!$A$45:$C$49,3,9))</f>
        <v>2</v>
      </c>
      <c r="Z47" s="14">
        <v>58.355004050983496</v>
      </c>
      <c r="AA47" s="14">
        <v>0.72822544838751968</v>
      </c>
      <c r="AB47" s="14">
        <v>42.495598990682986</v>
      </c>
      <c r="AC47" s="13">
        <v>2</v>
      </c>
      <c r="AD47" s="13">
        <f t="shared" si="4"/>
        <v>0</v>
      </c>
      <c r="AE47" s="14">
        <f t="shared" si="5"/>
        <v>0.45303924637656934</v>
      </c>
      <c r="AF47" s="14">
        <f t="shared" si="6"/>
        <v>-1.020198657969984E-2</v>
      </c>
      <c r="AG47" s="13">
        <f t="shared" si="7"/>
        <v>-0.27004416016835364</v>
      </c>
      <c r="AH47" s="13">
        <f>IF($T47=1,$AU47,VLOOKUP(U47,'Cortes naturales'!$A$25:$C$29,3,9))</f>
        <v>2</v>
      </c>
      <c r="AI47" s="13" t="b">
        <f t="shared" si="8"/>
        <v>1</v>
      </c>
      <c r="AJ47" s="13">
        <f t="shared" si="19"/>
        <v>0</v>
      </c>
      <c r="AK47" s="28">
        <v>1.1166517821440873</v>
      </c>
      <c r="AL47" s="28">
        <v>65.16221927055615</v>
      </c>
      <c r="AM47" s="28">
        <v>0.64448466377921243</v>
      </c>
      <c r="AN47" s="13">
        <v>1</v>
      </c>
      <c r="AO47" s="33">
        <f t="shared" si="9"/>
        <v>-1</v>
      </c>
      <c r="AP47" s="13">
        <f t="shared" si="20"/>
        <v>64.44846637792125</v>
      </c>
      <c r="AQ47" s="13">
        <f>IFERROR(VLOOKUP(U47,'Cortes naturales'!$E$15:$G$19,3,9),U47)</f>
        <v>3</v>
      </c>
      <c r="AR47" s="28">
        <f t="shared" si="10"/>
        <v>-0.39862832033626749</v>
      </c>
      <c r="AS47" s="13" t="b">
        <f t="shared" si="11"/>
        <v>0</v>
      </c>
      <c r="AT47" s="13" t="str">
        <f t="shared" si="21"/>
        <v>Cambio en corte</v>
      </c>
      <c r="AU47" s="13">
        <v>1</v>
      </c>
      <c r="AV47">
        <f t="shared" si="12"/>
        <v>-1</v>
      </c>
      <c r="AW47" s="13">
        <v>0</v>
      </c>
      <c r="AX47" s="13">
        <v>1</v>
      </c>
      <c r="AY47" s="13">
        <v>0</v>
      </c>
      <c r="AZ47" s="13">
        <v>0</v>
      </c>
      <c r="BA47">
        <v>0</v>
      </c>
      <c r="BB47" t="s">
        <v>2838</v>
      </c>
      <c r="BC47">
        <v>3</v>
      </c>
      <c r="BD47" s="184" t="s">
        <v>2917</v>
      </c>
      <c r="BE47">
        <v>0</v>
      </c>
      <c r="BF47" s="232" t="s">
        <v>2846</v>
      </c>
      <c r="BG47" s="232" t="s">
        <v>2845</v>
      </c>
      <c r="BH47" s="253">
        <v>30.4</v>
      </c>
      <c r="BI47" s="253">
        <v>17.193535271396627</v>
      </c>
      <c r="BJ47" s="25">
        <v>0</v>
      </c>
      <c r="BK47" t="s">
        <v>381</v>
      </c>
      <c r="BL47">
        <v>2.0619355802539228</v>
      </c>
      <c r="BM47" t="s">
        <v>383</v>
      </c>
      <c r="BN47" s="322">
        <v>185378.01943399999</v>
      </c>
      <c r="BO47" s="322">
        <v>60526.431266</v>
      </c>
      <c r="BP47" s="10">
        <v>124939</v>
      </c>
      <c r="BQ47" s="254">
        <f t="shared" si="13"/>
        <v>1.4837482246056075</v>
      </c>
      <c r="BR47" s="254">
        <f t="shared" si="14"/>
        <v>0.4844478606840138</v>
      </c>
      <c r="BS47" s="25">
        <v>73.080754754378603</v>
      </c>
      <c r="BT47" s="25">
        <v>86.714086707144403</v>
      </c>
      <c r="BU47" s="25">
        <v>38.773333333333333</v>
      </c>
      <c r="BV47" s="25">
        <v>85.241198224001209</v>
      </c>
      <c r="BW47" s="25">
        <v>57.841233661350941</v>
      </c>
      <c r="BX47" s="25">
        <v>70.952343254714378</v>
      </c>
      <c r="BY47" s="25">
        <v>57.152890620644143</v>
      </c>
      <c r="BZ47">
        <v>48</v>
      </c>
      <c r="CA47">
        <v>0</v>
      </c>
      <c r="CB47">
        <v>6</v>
      </c>
      <c r="CC47">
        <v>20257.632484999998</v>
      </c>
      <c r="CD47" s="10">
        <v>1224.296503</v>
      </c>
      <c r="CE47" s="255">
        <v>6.0436307347689552E-2</v>
      </c>
      <c r="CF47" t="str">
        <f>IFERROR(VLOOKUP(CE47,'Rangos amb etnico'!$A$2:$C$6,3,9),"N.D.")</f>
        <v>0,1% - 30%</v>
      </c>
      <c r="CG47" s="256">
        <v>3.5619400460225126E-5</v>
      </c>
      <c r="CH47" s="232">
        <v>0</v>
      </c>
      <c r="CI47" s="311">
        <f t="shared" si="22"/>
        <v>0</v>
      </c>
      <c r="CJ47" s="232">
        <f>IFERROR(VLOOKUP(CI47,'Rangos amb etnico'!$A$2:$C$6,3,9),"N.D.")</f>
        <v>0</v>
      </c>
      <c r="CK47" s="311">
        <f t="shared" si="23"/>
        <v>0</v>
      </c>
      <c r="CL47" s="10">
        <v>0</v>
      </c>
      <c r="CM47" s="255">
        <f t="shared" si="24"/>
        <v>0</v>
      </c>
      <c r="CN47" s="232">
        <f>IFERROR(VLOOKUP(CM47,'Rangos amb etnico'!$A$2:$C$6,3,9),"N.D.")</f>
        <v>0</v>
      </c>
      <c r="CO47" s="311">
        <f t="shared" si="25"/>
        <v>0</v>
      </c>
      <c r="CP47">
        <v>0.9510169256537524</v>
      </c>
      <c r="CQ47" t="s">
        <v>2864</v>
      </c>
      <c r="CR47">
        <f t="shared" si="15"/>
        <v>2</v>
      </c>
      <c r="CS47" t="str">
        <f t="shared" si="26"/>
        <v>No es Candidato</v>
      </c>
      <c r="CT47">
        <v>0</v>
      </c>
      <c r="CU47">
        <v>0</v>
      </c>
      <c r="CV47" s="25">
        <v>54.349555969238281</v>
      </c>
      <c r="CW47" s="25">
        <v>52.898006439208977</v>
      </c>
      <c r="CX47" s="25">
        <v>61.989917755126953</v>
      </c>
      <c r="CY47" s="25">
        <v>85.6910400390625</v>
      </c>
      <c r="CZ47" s="25">
        <v>31.95778846740723</v>
      </c>
      <c r="DA47" s="25">
        <v>58.140476226806641</v>
      </c>
      <c r="DB47" s="25">
        <v>35.420097351074219</v>
      </c>
      <c r="DC47">
        <v>3806</v>
      </c>
      <c r="DD47" s="253" t="s">
        <v>380</v>
      </c>
    </row>
    <row r="48" spans="1:108" hidden="1">
      <c r="A48" s="13">
        <v>8685</v>
      </c>
      <c r="B48" s="13" t="s">
        <v>546</v>
      </c>
      <c r="C48" s="13" t="s">
        <v>442</v>
      </c>
      <c r="D48" s="13" t="s">
        <v>443</v>
      </c>
      <c r="E48" s="13" t="s">
        <v>547</v>
      </c>
      <c r="F48" s="14">
        <v>68.402799999999999</v>
      </c>
      <c r="G48" s="13">
        <v>69.83</v>
      </c>
      <c r="H48" s="13">
        <v>70.25</v>
      </c>
      <c r="I48" s="13">
        <v>70.14</v>
      </c>
      <c r="J48" s="14">
        <v>44.376979209834857</v>
      </c>
      <c r="K48" s="14">
        <v>49.333896094608797</v>
      </c>
      <c r="L48" s="14">
        <v>56.205222415677724</v>
      </c>
      <c r="M48" s="14">
        <v>56.7714</v>
      </c>
      <c r="N48" s="14">
        <f t="shared" si="0"/>
        <v>69.655699999999996</v>
      </c>
      <c r="O48" s="14">
        <f t="shared" si="1"/>
        <v>51.671874430030343</v>
      </c>
      <c r="P48" s="14">
        <f t="shared" si="16"/>
        <v>60.663787215015169</v>
      </c>
      <c r="Q48" s="14">
        <v>31.707637608314503</v>
      </c>
      <c r="R48" s="17">
        <f t="shared" si="2"/>
        <v>68.292362391685501</v>
      </c>
      <c r="S48" s="14">
        <f t="shared" si="17"/>
        <v>0.71463126152516954</v>
      </c>
      <c r="T48" s="13">
        <v>0</v>
      </c>
      <c r="U48" s="13">
        <f t="shared" si="18"/>
        <v>43.352238786360743</v>
      </c>
      <c r="V48" s="13">
        <f>IF($T48=1,$AU48,(VLOOKUP(U48,'Cortes naturales'!$A$35:$C$39,3,9)))</f>
        <v>2</v>
      </c>
      <c r="W48" s="13">
        <v>2</v>
      </c>
      <c r="X48" s="14" t="b">
        <f t="shared" si="3"/>
        <v>1</v>
      </c>
      <c r="Y48" s="17">
        <f>IF($T48=1,$AU48,VLOOKUP(U48,'Cortes naturales'!$A$45:$C$49,3,9))</f>
        <v>2</v>
      </c>
      <c r="Z48" s="14">
        <v>59.237623194218784</v>
      </c>
      <c r="AA48" s="14">
        <v>0.72338211908898609</v>
      </c>
      <c r="AB48" s="14">
        <v>42.851437396028857</v>
      </c>
      <c r="AC48" s="13">
        <v>2</v>
      </c>
      <c r="AD48" s="13">
        <f t="shared" si="4"/>
        <v>0</v>
      </c>
      <c r="AE48" s="14">
        <f t="shared" si="5"/>
        <v>1.426164020796385</v>
      </c>
      <c r="AF48" s="14">
        <f t="shared" si="6"/>
        <v>-8.7508575638165498E-3</v>
      </c>
      <c r="AG48" s="13">
        <f t="shared" si="7"/>
        <v>0.50080139033188686</v>
      </c>
      <c r="AH48" s="13">
        <f>IF($T48=1,$AU48,VLOOKUP(U48,'Cortes naturales'!$A$25:$C$29,3,9))</f>
        <v>2</v>
      </c>
      <c r="AI48" s="13" t="b">
        <f t="shared" si="8"/>
        <v>1</v>
      </c>
      <c r="AJ48" s="13">
        <f t="shared" si="19"/>
        <v>0</v>
      </c>
      <c r="AK48" s="28">
        <v>1.1166517821440873</v>
      </c>
      <c r="AL48" s="28">
        <v>66.147797509804334</v>
      </c>
      <c r="AM48" s="28">
        <v>0.65681320865481752</v>
      </c>
      <c r="AN48" s="13">
        <v>1</v>
      </c>
      <c r="AO48" s="33">
        <f t="shared" si="9"/>
        <v>-1</v>
      </c>
      <c r="AP48" s="13">
        <f t="shared" si="20"/>
        <v>65.681320865481752</v>
      </c>
      <c r="AQ48" s="13">
        <f>IFERROR(VLOOKUP(U48,'Cortes naturales'!$E$15:$G$19,3,9),U48)</f>
        <v>3</v>
      </c>
      <c r="AR48" s="28">
        <f t="shared" si="10"/>
        <v>-0.4020205206189178</v>
      </c>
      <c r="AS48" s="13" t="b">
        <f t="shared" si="11"/>
        <v>0</v>
      </c>
      <c r="AT48" s="13" t="str">
        <f t="shared" si="21"/>
        <v>Cambio en corte</v>
      </c>
      <c r="AU48" s="13">
        <v>1</v>
      </c>
      <c r="AV48">
        <f t="shared" si="12"/>
        <v>-1</v>
      </c>
      <c r="AW48" s="13">
        <v>0</v>
      </c>
      <c r="AX48" s="13">
        <v>0</v>
      </c>
      <c r="AY48" s="13">
        <v>0</v>
      </c>
      <c r="AZ48" s="13">
        <v>0</v>
      </c>
      <c r="BA48">
        <v>0</v>
      </c>
      <c r="BB48" t="s">
        <v>2838</v>
      </c>
      <c r="BC48">
        <v>6</v>
      </c>
      <c r="BD48" s="184" t="s">
        <v>2917</v>
      </c>
      <c r="BE48">
        <v>1</v>
      </c>
      <c r="BF48" s="232" t="s">
        <v>2846</v>
      </c>
      <c r="BG48" s="232" t="s">
        <v>2846</v>
      </c>
      <c r="BH48" s="253">
        <v>25.8</v>
      </c>
      <c r="BI48" s="253">
        <v>14.789593155229614</v>
      </c>
      <c r="BJ48" s="25">
        <v>0</v>
      </c>
      <c r="BK48" t="s">
        <v>381</v>
      </c>
      <c r="BL48">
        <v>1.6004136428396372</v>
      </c>
      <c r="BM48" t="s">
        <v>383</v>
      </c>
      <c r="BN48" s="322">
        <v>42521.809092000003</v>
      </c>
      <c r="BO48" s="322">
        <v>5634.3262210000003</v>
      </c>
      <c r="BP48" s="10">
        <v>36050</v>
      </c>
      <c r="BQ48" s="254">
        <f t="shared" si="13"/>
        <v>1.1795231370873787</v>
      </c>
      <c r="BR48" s="254">
        <f t="shared" si="14"/>
        <v>0.15629198948682385</v>
      </c>
      <c r="BS48" s="25">
        <v>56.139723710018451</v>
      </c>
      <c r="BT48" s="25">
        <v>93.236842098936677</v>
      </c>
      <c r="BU48" s="25">
        <v>57.891034217608599</v>
      </c>
      <c r="BV48" s="25">
        <v>93.023736919291949</v>
      </c>
      <c r="BW48" s="25">
        <v>42.412911676784667</v>
      </c>
      <c r="BX48" s="25">
        <v>75.072834236463919</v>
      </c>
      <c r="BY48" s="25">
        <v>44.561426551346209</v>
      </c>
      <c r="BZ48">
        <v>5</v>
      </c>
      <c r="CA48">
        <v>0</v>
      </c>
      <c r="CB48">
        <v>7</v>
      </c>
      <c r="CC48">
        <v>6503.2358640000002</v>
      </c>
      <c r="CD48" s="10">
        <v>78.775914</v>
      </c>
      <c r="CE48" s="255">
        <v>1.2113341057807895E-2</v>
      </c>
      <c r="CF48" t="str">
        <f>IFERROR(VLOOKUP(CE48,'Rangos amb etnico'!$A$2:$C$6,3,9),"N.D.")</f>
        <v>0,1% - 30%</v>
      </c>
      <c r="CG48" s="256">
        <v>2.2918882970837455E-6</v>
      </c>
      <c r="CH48" s="232">
        <v>0</v>
      </c>
      <c r="CI48" s="311">
        <f t="shared" si="22"/>
        <v>0</v>
      </c>
      <c r="CJ48" s="232">
        <f>IFERROR(VLOOKUP(CI48,'Rangos amb etnico'!$A$2:$C$6,3,9),"N.D.")</f>
        <v>0</v>
      </c>
      <c r="CK48" s="311">
        <f t="shared" si="23"/>
        <v>0</v>
      </c>
      <c r="CL48" s="10">
        <v>0</v>
      </c>
      <c r="CM48" s="255">
        <f t="shared" si="24"/>
        <v>0</v>
      </c>
      <c r="CN48" s="232">
        <f>IFERROR(VLOOKUP(CM48,'Rangos amb etnico'!$A$2:$C$6,3,9),"N.D.")</f>
        <v>0</v>
      </c>
      <c r="CO48" s="311">
        <f t="shared" si="25"/>
        <v>0</v>
      </c>
      <c r="CP48">
        <v>0.92685371213668111</v>
      </c>
      <c r="CQ48" t="s">
        <v>2864</v>
      </c>
      <c r="CR48">
        <f t="shared" si="15"/>
        <v>2</v>
      </c>
      <c r="CS48" t="str">
        <f t="shared" si="26"/>
        <v>No es Candidato</v>
      </c>
      <c r="CT48">
        <v>0</v>
      </c>
      <c r="CU48">
        <v>0</v>
      </c>
      <c r="CV48" s="25">
        <v>56.13134765625</v>
      </c>
      <c r="CW48" s="25">
        <v>38.426296234130859</v>
      </c>
      <c r="CX48" s="25">
        <v>59.489795684814453</v>
      </c>
      <c r="CY48" s="25">
        <v>78.720077514648438</v>
      </c>
      <c r="CZ48" s="25">
        <v>31.6957893371582</v>
      </c>
      <c r="DA48" s="25">
        <v>71.164199829101563</v>
      </c>
      <c r="DB48" s="25">
        <v>57.291942596435547</v>
      </c>
      <c r="DC48">
        <v>503</v>
      </c>
      <c r="DD48" s="253" t="s">
        <v>380</v>
      </c>
    </row>
    <row r="49" spans="1:108" hidden="1">
      <c r="A49" s="13">
        <v>54405</v>
      </c>
      <c r="B49" s="13" t="s">
        <v>548</v>
      </c>
      <c r="C49" s="13" t="s">
        <v>517</v>
      </c>
      <c r="D49" s="13" t="s">
        <v>518</v>
      </c>
      <c r="E49" s="13" t="s">
        <v>549</v>
      </c>
      <c r="F49" s="14">
        <v>70.431166666666698</v>
      </c>
      <c r="G49" s="13">
        <v>72.83</v>
      </c>
      <c r="H49" s="13">
        <v>80.739999999999995</v>
      </c>
      <c r="I49" s="13">
        <v>83.57</v>
      </c>
      <c r="J49" s="14">
        <v>60.549856304441299</v>
      </c>
      <c r="K49" s="14">
        <v>69.825177647380968</v>
      </c>
      <c r="L49" s="14">
        <v>61.362313854386151</v>
      </c>
      <c r="M49" s="14">
        <v>61.733600000000003</v>
      </c>
      <c r="N49" s="14">
        <f t="shared" si="0"/>
        <v>76.892791666666668</v>
      </c>
      <c r="O49" s="14">
        <f t="shared" si="1"/>
        <v>63.367736951552104</v>
      </c>
      <c r="P49" s="14">
        <f t="shared" si="16"/>
        <v>70.130264309109378</v>
      </c>
      <c r="Q49" s="14">
        <v>32.521240271486</v>
      </c>
      <c r="R49" s="17">
        <f t="shared" si="2"/>
        <v>67.478759728514007</v>
      </c>
      <c r="S49" s="14">
        <f t="shared" si="17"/>
        <v>0.70730883755662599</v>
      </c>
      <c r="T49" s="13">
        <v>0</v>
      </c>
      <c r="U49" s="13">
        <f t="shared" si="18"/>
        <v>49.603755726015088</v>
      </c>
      <c r="V49" s="13">
        <f>IF($T49=1,$AU49,(VLOOKUP(U49,'Cortes naturales'!$A$35:$C$39,3,9)))</f>
        <v>2</v>
      </c>
      <c r="W49" s="13">
        <v>2</v>
      </c>
      <c r="X49" s="14" t="b">
        <f t="shared" si="3"/>
        <v>1</v>
      </c>
      <c r="Y49" s="17">
        <f>IF($T49=1,$AU49,VLOOKUP(U49,'Cortes naturales'!$A$45:$C$49,3,9))</f>
        <v>1</v>
      </c>
      <c r="Z49" s="14">
        <v>68.36949324684295</v>
      </c>
      <c r="AA49" s="14">
        <v>0.7226756778572595</v>
      </c>
      <c r="AB49" s="14">
        <v>49.408969876919556</v>
      </c>
      <c r="AC49" s="13">
        <v>1</v>
      </c>
      <c r="AD49" s="13">
        <f t="shared" si="4"/>
        <v>0</v>
      </c>
      <c r="AE49" s="14">
        <f t="shared" si="5"/>
        <v>1.7607710622664285</v>
      </c>
      <c r="AF49" s="14">
        <f t="shared" si="6"/>
        <v>-1.5366840300633511E-2</v>
      </c>
      <c r="AG49" s="13">
        <f t="shared" si="7"/>
        <v>0.1947858490955312</v>
      </c>
      <c r="AH49" s="13">
        <f>IF($T49=1,$AU49,VLOOKUP(U49,'Cortes naturales'!$A$25:$C$29,3,9))</f>
        <v>1</v>
      </c>
      <c r="AI49" s="13" t="b">
        <f t="shared" si="8"/>
        <v>1</v>
      </c>
      <c r="AJ49" s="13">
        <f t="shared" si="19"/>
        <v>0</v>
      </c>
      <c r="AK49" s="28">
        <v>1.1166517821440873</v>
      </c>
      <c r="AL49" s="28">
        <v>76.344916478375325</v>
      </c>
      <c r="AM49" s="28">
        <v>0.78436841817507807</v>
      </c>
      <c r="AN49" s="13">
        <v>1</v>
      </c>
      <c r="AO49" s="33">
        <f t="shared" si="9"/>
        <v>0</v>
      </c>
      <c r="AP49" s="13">
        <f t="shared" si="20"/>
        <v>78.436841817507812</v>
      </c>
      <c r="AQ49" s="13">
        <f>IFERROR(VLOOKUP(U49,'Cortes naturales'!$E$15:$G$19,3,9),U49)</f>
        <v>2</v>
      </c>
      <c r="AR49" s="28">
        <f t="shared" si="10"/>
        <v>-0.40934294458746134</v>
      </c>
      <c r="AS49" s="13" t="b">
        <f t="shared" si="11"/>
        <v>0</v>
      </c>
      <c r="AT49" s="13">
        <f t="shared" si="21"/>
        <v>0</v>
      </c>
      <c r="AU49" s="13">
        <v>1</v>
      </c>
      <c r="AV49">
        <f t="shared" si="12"/>
        <v>0</v>
      </c>
      <c r="AW49" s="13">
        <v>0</v>
      </c>
      <c r="AX49" s="13">
        <v>1</v>
      </c>
      <c r="AY49" s="13">
        <v>0</v>
      </c>
      <c r="AZ49" s="13">
        <v>0</v>
      </c>
      <c r="BA49">
        <v>0</v>
      </c>
      <c r="BB49" t="s">
        <v>2838</v>
      </c>
      <c r="BC49">
        <v>4</v>
      </c>
      <c r="BD49" s="184" t="s">
        <v>2917</v>
      </c>
      <c r="BE49">
        <v>1</v>
      </c>
      <c r="BF49" s="232" t="s">
        <v>2846</v>
      </c>
      <c r="BG49" s="232" t="s">
        <v>2845</v>
      </c>
      <c r="BH49" s="253">
        <v>21.4</v>
      </c>
      <c r="BI49" s="253">
        <v>9.8592070223887962</v>
      </c>
      <c r="BJ49" s="25">
        <v>1.5781352542150862</v>
      </c>
      <c r="BK49" t="s">
        <v>381</v>
      </c>
      <c r="BL49">
        <v>1.4427664180477175</v>
      </c>
      <c r="BM49" t="s">
        <v>383</v>
      </c>
      <c r="BN49" s="322">
        <v>156886.45568899999</v>
      </c>
      <c r="BO49" s="322">
        <v>47788.881660999999</v>
      </c>
      <c r="BP49" s="10">
        <v>103208</v>
      </c>
      <c r="BQ49" s="254">
        <f t="shared" si="13"/>
        <v>1.5200997566952175</v>
      </c>
      <c r="BR49" s="254">
        <f t="shared" si="14"/>
        <v>0.4630346645705759</v>
      </c>
      <c r="BS49" s="25">
        <v>63.530024747246081</v>
      </c>
      <c r="BT49" s="25">
        <v>85.601431781515643</v>
      </c>
      <c r="BU49" s="25">
        <v>71.325000000000003</v>
      </c>
      <c r="BV49" s="25">
        <v>91.442879354927058</v>
      </c>
      <c r="BW49" s="25">
        <v>60.663414699931408</v>
      </c>
      <c r="BX49" s="25">
        <v>77.974833970922205</v>
      </c>
      <c r="BY49" s="25">
        <v>61.507076103172217</v>
      </c>
      <c r="BZ49">
        <v>73</v>
      </c>
      <c r="CA49">
        <v>0</v>
      </c>
      <c r="CB49">
        <v>6</v>
      </c>
      <c r="CC49">
        <v>12614.392196000001</v>
      </c>
      <c r="CD49" s="10">
        <v>3944.103541</v>
      </c>
      <c r="CE49" s="255">
        <v>0.31266695055277161</v>
      </c>
      <c r="CF49" t="str">
        <f>IFERROR(VLOOKUP(CE49,'Rangos amb etnico'!$A$2:$C$6,3,9),"N.D.")</f>
        <v>31% - 50%</v>
      </c>
      <c r="CG49" s="256">
        <v>1.1474883995766094E-4</v>
      </c>
      <c r="CH49" s="232">
        <v>0</v>
      </c>
      <c r="CI49" s="311">
        <f t="shared" si="22"/>
        <v>0</v>
      </c>
      <c r="CJ49" s="232">
        <f>IFERROR(VLOOKUP(CI49,'Rangos amb etnico'!$A$2:$C$6,3,9),"N.D.")</f>
        <v>0</v>
      </c>
      <c r="CK49" s="311">
        <f t="shared" si="23"/>
        <v>0</v>
      </c>
      <c r="CL49" s="10">
        <v>0</v>
      </c>
      <c r="CM49" s="255">
        <f t="shared" si="24"/>
        <v>0</v>
      </c>
      <c r="CN49" s="232">
        <f>IFERROR(VLOOKUP(CM49,'Rangos amb etnico'!$A$2:$C$6,3,9),"N.D.")</f>
        <v>0</v>
      </c>
      <c r="CO49" s="311">
        <f t="shared" si="25"/>
        <v>0</v>
      </c>
      <c r="CP49">
        <v>0.83412960970784589</v>
      </c>
      <c r="CQ49" t="s">
        <v>2865</v>
      </c>
      <c r="CR49">
        <f t="shared" si="15"/>
        <v>4</v>
      </c>
      <c r="CS49" t="str">
        <f t="shared" si="26"/>
        <v>Candidato</v>
      </c>
      <c r="CT49">
        <v>1</v>
      </c>
      <c r="CU49" t="s">
        <v>2835</v>
      </c>
      <c r="CV49" s="25">
        <v>56.554191589355469</v>
      </c>
      <c r="CW49" s="25">
        <v>45.80291748046875</v>
      </c>
      <c r="CX49" s="25">
        <v>54.162559509277337</v>
      </c>
      <c r="CY49" s="25">
        <v>76.004989624023438</v>
      </c>
      <c r="CZ49" s="25">
        <v>54.244190216064453</v>
      </c>
      <c r="DA49" s="25">
        <v>54.358673095703118</v>
      </c>
      <c r="DB49" s="25">
        <v>54.751811981201172</v>
      </c>
      <c r="DC49">
        <v>1272</v>
      </c>
      <c r="DD49" s="253" t="s">
        <v>380</v>
      </c>
    </row>
    <row r="50" spans="1:108" hidden="1">
      <c r="A50" s="13">
        <v>76892</v>
      </c>
      <c r="B50" s="13" t="s">
        <v>550</v>
      </c>
      <c r="C50" s="13" t="s">
        <v>454</v>
      </c>
      <c r="D50" s="13" t="s">
        <v>455</v>
      </c>
      <c r="E50" s="13" t="s">
        <v>551</v>
      </c>
      <c r="F50" s="14">
        <v>74.478399999999993</v>
      </c>
      <c r="G50" s="13">
        <v>83.96</v>
      </c>
      <c r="H50" s="13">
        <v>85.28</v>
      </c>
      <c r="I50" s="13">
        <v>85.89</v>
      </c>
      <c r="J50" s="14">
        <v>59.595953555419484</v>
      </c>
      <c r="K50" s="14">
        <v>59.603452709479811</v>
      </c>
      <c r="L50" s="14">
        <v>68.446902906305638</v>
      </c>
      <c r="M50" s="14">
        <v>61.1387</v>
      </c>
      <c r="N50" s="14">
        <f t="shared" si="0"/>
        <v>82.402100000000004</v>
      </c>
      <c r="O50" s="14">
        <f t="shared" si="1"/>
        <v>62.196252292801233</v>
      </c>
      <c r="P50" s="14">
        <f t="shared" si="16"/>
        <v>72.299176146400612</v>
      </c>
      <c r="Q50" s="14">
        <v>32.857937460504502</v>
      </c>
      <c r="R50" s="17">
        <f t="shared" si="2"/>
        <v>67.142062539495498</v>
      </c>
      <c r="S50" s="14">
        <f t="shared" si="17"/>
        <v>0.70427856285545942</v>
      </c>
      <c r="T50" s="13">
        <v>0</v>
      </c>
      <c r="U50" s="13">
        <f t="shared" si="18"/>
        <v>50.918759872020736</v>
      </c>
      <c r="V50" s="13">
        <f>IF($T50=1,$AU50,(VLOOKUP(U50,'Cortes naturales'!$A$35:$C$39,3,9)))</f>
        <v>2</v>
      </c>
      <c r="W50" s="13">
        <v>2</v>
      </c>
      <c r="X50" s="14" t="b">
        <f t="shared" si="3"/>
        <v>1</v>
      </c>
      <c r="Y50" s="17">
        <f>IF($T50=1,$AU50,VLOOKUP(U50,'Cortes naturales'!$A$45:$C$49,3,9))</f>
        <v>1</v>
      </c>
      <c r="Z50" s="14">
        <v>70.32700820755241</v>
      </c>
      <c r="AA50" s="14">
        <v>0.71875284931814332</v>
      </c>
      <c r="AB50" s="14">
        <v>50.547737533198749</v>
      </c>
      <c r="AC50" s="13">
        <v>1</v>
      </c>
      <c r="AD50" s="13">
        <f t="shared" si="4"/>
        <v>0</v>
      </c>
      <c r="AE50" s="14">
        <f t="shared" si="5"/>
        <v>1.9721679388482016</v>
      </c>
      <c r="AF50" s="14">
        <f t="shared" si="6"/>
        <v>-1.4474286462683894E-2</v>
      </c>
      <c r="AG50" s="13">
        <f t="shared" si="7"/>
        <v>0.37102233882198732</v>
      </c>
      <c r="AH50" s="13">
        <f>IF($T50=1,$AU50,VLOOKUP(U50,'Cortes naturales'!$A$25:$C$29,3,9))</f>
        <v>1</v>
      </c>
      <c r="AI50" s="13" t="b">
        <f t="shared" si="8"/>
        <v>1</v>
      </c>
      <c r="AJ50" s="13">
        <f t="shared" si="19"/>
        <v>0</v>
      </c>
      <c r="AK50" s="28">
        <v>1.1166517821440873</v>
      </c>
      <c r="AL50" s="28">
        <v>78.530779047825263</v>
      </c>
      <c r="AM50" s="28">
        <v>0.81171125480256467</v>
      </c>
      <c r="AN50" s="13">
        <v>1</v>
      </c>
      <c r="AO50" s="33">
        <f t="shared" si="9"/>
        <v>0</v>
      </c>
      <c r="AP50" s="13">
        <f t="shared" si="20"/>
        <v>81.171125480256464</v>
      </c>
      <c r="AQ50" s="13">
        <f>IFERROR(VLOOKUP(U50,'Cortes naturales'!$E$15:$G$19,3,9),U50)</f>
        <v>2</v>
      </c>
      <c r="AR50" s="28">
        <f t="shared" si="10"/>
        <v>-0.41237321928862791</v>
      </c>
      <c r="AS50" s="13" t="b">
        <f t="shared" si="11"/>
        <v>0</v>
      </c>
      <c r="AT50" s="13">
        <f t="shared" si="21"/>
        <v>0</v>
      </c>
      <c r="AU50" s="13">
        <v>1</v>
      </c>
      <c r="AV50">
        <f t="shared" si="12"/>
        <v>0</v>
      </c>
      <c r="AW50" s="13">
        <v>0</v>
      </c>
      <c r="AX50" s="13">
        <v>1</v>
      </c>
      <c r="AY50" s="13">
        <v>0</v>
      </c>
      <c r="AZ50" s="13">
        <v>0</v>
      </c>
      <c r="BA50">
        <v>0</v>
      </c>
      <c r="BB50" t="s">
        <v>2838</v>
      </c>
      <c r="BC50">
        <v>1</v>
      </c>
      <c r="BD50" s="184" t="s">
        <v>2917</v>
      </c>
      <c r="BE50">
        <v>1</v>
      </c>
      <c r="BF50" s="232" t="s">
        <v>2845</v>
      </c>
      <c r="BG50" s="232" t="s">
        <v>2846</v>
      </c>
      <c r="BH50" s="253">
        <v>15.6</v>
      </c>
      <c r="BI50" s="253">
        <v>7.6780368512037782</v>
      </c>
      <c r="BJ50" s="25">
        <v>5.4915337013276622</v>
      </c>
      <c r="BK50" t="s">
        <v>377</v>
      </c>
      <c r="BL50">
        <v>4.8129638721543602</v>
      </c>
      <c r="BM50" t="s">
        <v>383</v>
      </c>
      <c r="BN50" s="322">
        <v>481718.80598499998</v>
      </c>
      <c r="BO50" s="322">
        <v>283530.73438500002</v>
      </c>
      <c r="BP50" s="10">
        <v>114676</v>
      </c>
      <c r="BQ50" s="254">
        <f t="shared" si="13"/>
        <v>4.2006941817381138</v>
      </c>
      <c r="BR50" s="254">
        <f t="shared" si="14"/>
        <v>2.4724505073860268</v>
      </c>
      <c r="BS50" s="25">
        <v>77.134335460016089</v>
      </c>
      <c r="BT50" s="25">
        <v>91.554765942445442</v>
      </c>
      <c r="BU50" s="25">
        <v>69.350000000000009</v>
      </c>
      <c r="BV50" s="25">
        <v>70.688456057097696</v>
      </c>
      <c r="BW50" s="25">
        <v>85.574771671166701</v>
      </c>
      <c r="BX50" s="25">
        <v>77.181889364889813</v>
      </c>
      <c r="BY50" s="25">
        <v>87.249211222661671</v>
      </c>
      <c r="BZ50">
        <v>85</v>
      </c>
      <c r="CA50">
        <v>0</v>
      </c>
      <c r="CB50">
        <v>4</v>
      </c>
      <c r="CC50">
        <v>23081.302346</v>
      </c>
      <c r="CD50" s="10">
        <v>5176.0171600000003</v>
      </c>
      <c r="CE50" s="255">
        <v>0.22425152109742222</v>
      </c>
      <c r="CF50" t="str">
        <f>IFERROR(VLOOKUP(CE50,'Rangos amb etnico'!$A$2:$C$6,3,9),"N.D.")</f>
        <v>0,1% - 30%</v>
      </c>
      <c r="CG50" s="256">
        <v>1.5058985103630338E-4</v>
      </c>
      <c r="CH50" s="232">
        <v>0</v>
      </c>
      <c r="CI50" s="311">
        <f t="shared" si="22"/>
        <v>0</v>
      </c>
      <c r="CJ50" s="232">
        <f>IFERROR(VLOOKUP(CI50,'Rangos amb etnico'!$A$2:$C$6,3,9),"N.D.")</f>
        <v>0</v>
      </c>
      <c r="CK50" s="311">
        <f t="shared" si="23"/>
        <v>0</v>
      </c>
      <c r="CL50" s="10">
        <v>0</v>
      </c>
      <c r="CM50" s="255">
        <f t="shared" si="24"/>
        <v>0</v>
      </c>
      <c r="CN50" s="232">
        <f>IFERROR(VLOOKUP(CM50,'Rangos amb etnico'!$A$2:$C$6,3,9),"N.D.")</f>
        <v>0</v>
      </c>
      <c r="CO50" s="311">
        <f t="shared" si="25"/>
        <v>0</v>
      </c>
      <c r="CP50">
        <v>0.80022043644191976</v>
      </c>
      <c r="CQ50" t="s">
        <v>2865</v>
      </c>
      <c r="CR50">
        <f t="shared" si="15"/>
        <v>4</v>
      </c>
      <c r="CS50" t="str">
        <f t="shared" si="26"/>
        <v>Candidato</v>
      </c>
      <c r="CT50">
        <v>0</v>
      </c>
      <c r="CU50">
        <v>0</v>
      </c>
      <c r="CV50" s="25">
        <v>56.709213256835938</v>
      </c>
      <c r="CW50" s="25">
        <v>70.090087890625</v>
      </c>
      <c r="CX50" s="25">
        <v>60.251346588134773</v>
      </c>
      <c r="CY50" s="25">
        <v>66.306404113769531</v>
      </c>
      <c r="CZ50" s="25">
        <v>60.260360717773438</v>
      </c>
      <c r="DA50" s="25">
        <v>15.48272800445557</v>
      </c>
      <c r="DB50" s="25">
        <v>67.864349365234375</v>
      </c>
      <c r="DC50">
        <v>6711</v>
      </c>
      <c r="DD50" s="253" t="s">
        <v>380</v>
      </c>
    </row>
    <row r="51" spans="1:108" hidden="1">
      <c r="A51" s="13">
        <v>25817</v>
      </c>
      <c r="B51" s="13" t="s">
        <v>552</v>
      </c>
      <c r="C51" s="13" t="s">
        <v>461</v>
      </c>
      <c r="D51" s="13" t="s">
        <v>462</v>
      </c>
      <c r="E51" s="13" t="s">
        <v>553</v>
      </c>
      <c r="F51" s="14">
        <v>80.736133333333299</v>
      </c>
      <c r="G51" s="13">
        <v>68.209999999999994</v>
      </c>
      <c r="H51" s="13">
        <v>68.75</v>
      </c>
      <c r="I51" s="13">
        <v>67.95</v>
      </c>
      <c r="J51" s="14">
        <v>64.703723563046324</v>
      </c>
      <c r="K51" s="14">
        <v>66.644619572490029</v>
      </c>
      <c r="L51" s="14">
        <v>79.715588020975161</v>
      </c>
      <c r="M51" s="14">
        <v>69.610699999999994</v>
      </c>
      <c r="N51" s="14">
        <f t="shared" si="0"/>
        <v>71.411533333333324</v>
      </c>
      <c r="O51" s="14">
        <f t="shared" si="1"/>
        <v>70.168657789127877</v>
      </c>
      <c r="P51" s="14">
        <f t="shared" si="16"/>
        <v>70.790095561230601</v>
      </c>
      <c r="Q51" s="14">
        <v>33.244308536510836</v>
      </c>
      <c r="R51" s="17">
        <f t="shared" si="2"/>
        <v>66.755691463489171</v>
      </c>
      <c r="S51" s="14">
        <f t="shared" si="17"/>
        <v>0.70080122317140259</v>
      </c>
      <c r="T51" s="13">
        <v>0</v>
      </c>
      <c r="U51" s="13">
        <f t="shared" si="18"/>
        <v>49.609785557730881</v>
      </c>
      <c r="V51" s="13">
        <f>IF($T51=1,$AU51,(VLOOKUP(U51,'Cortes naturales'!$A$35:$C$39,3,9)))</f>
        <v>2</v>
      </c>
      <c r="W51" s="13">
        <v>2</v>
      </c>
      <c r="X51" s="14" t="b">
        <f t="shared" si="3"/>
        <v>1</v>
      </c>
      <c r="Y51" s="17">
        <f>IF($T51=1,$AU51,VLOOKUP(U51,'Cortes naturales'!$A$45:$C$49,3,9))</f>
        <v>1</v>
      </c>
      <c r="Z51" s="14">
        <v>70.411772308526466</v>
      </c>
      <c r="AA51" s="14">
        <v>0.71428180629008131</v>
      </c>
      <c r="AB51" s="14">
        <v>50.293847908620215</v>
      </c>
      <c r="AC51" s="13">
        <v>1</v>
      </c>
      <c r="AD51" s="13">
        <f t="shared" si="4"/>
        <v>0</v>
      </c>
      <c r="AE51" s="14">
        <f t="shared" si="5"/>
        <v>0.37832325270413492</v>
      </c>
      <c r="AF51" s="14">
        <f t="shared" si="6"/>
        <v>-1.3480583118678724E-2</v>
      </c>
      <c r="AG51" s="13">
        <f t="shared" si="7"/>
        <v>-0.68406235088933443</v>
      </c>
      <c r="AH51" s="13">
        <f>IF($T51=1,$AU51,VLOOKUP(U51,'Cortes naturales'!$A$25:$C$29,3,9))</f>
        <v>1</v>
      </c>
      <c r="AI51" s="13" t="b">
        <f t="shared" si="8"/>
        <v>1</v>
      </c>
      <c r="AJ51" s="13">
        <f t="shared" si="19"/>
        <v>0</v>
      </c>
      <c r="AK51" s="28">
        <v>1.1166517821440873</v>
      </c>
      <c r="AL51" s="28">
        <v>78.625431032239774</v>
      </c>
      <c r="AM51" s="28">
        <v>0.81289525135499419</v>
      </c>
      <c r="AN51" s="13">
        <v>1</v>
      </c>
      <c r="AO51" s="33">
        <f t="shared" si="9"/>
        <v>0</v>
      </c>
      <c r="AP51" s="13">
        <f t="shared" si="20"/>
        <v>81.289525135499417</v>
      </c>
      <c r="AQ51" s="13">
        <f>IFERROR(VLOOKUP(U51,'Cortes naturales'!$E$15:$G$19,3,9),U51)</f>
        <v>2</v>
      </c>
      <c r="AR51" s="28">
        <f t="shared" si="10"/>
        <v>-0.41585055897268475</v>
      </c>
      <c r="AS51" s="13" t="b">
        <f t="shared" si="11"/>
        <v>0</v>
      </c>
      <c r="AT51" s="13">
        <f t="shared" si="21"/>
        <v>0</v>
      </c>
      <c r="AU51" s="13">
        <v>1</v>
      </c>
      <c r="AV51">
        <f t="shared" si="12"/>
        <v>0</v>
      </c>
      <c r="AW51" s="13">
        <v>0</v>
      </c>
      <c r="AX51" s="13">
        <v>1</v>
      </c>
      <c r="AY51" s="13">
        <v>0</v>
      </c>
      <c r="AZ51" s="13">
        <v>0</v>
      </c>
      <c r="BA51">
        <v>0</v>
      </c>
      <c r="BB51" t="s">
        <v>2838</v>
      </c>
      <c r="BC51">
        <v>2</v>
      </c>
      <c r="BD51" s="184" t="s">
        <v>2917</v>
      </c>
      <c r="BE51">
        <v>1</v>
      </c>
      <c r="BF51" s="232" t="s">
        <v>2846</v>
      </c>
      <c r="BG51" s="232" t="s">
        <v>2846</v>
      </c>
      <c r="BH51" s="253">
        <v>10.1</v>
      </c>
      <c r="BI51" s="253">
        <v>4.2355870620220033</v>
      </c>
      <c r="BJ51" s="25">
        <v>0.18405258244487416</v>
      </c>
      <c r="BK51" t="s">
        <v>381</v>
      </c>
      <c r="BL51">
        <v>2.8587879638121594</v>
      </c>
      <c r="BM51" t="s">
        <v>383</v>
      </c>
      <c r="BN51" s="322">
        <v>208076.46436899999</v>
      </c>
      <c r="BO51" s="322">
        <v>164302.931297</v>
      </c>
      <c r="BP51" s="10">
        <v>48367</v>
      </c>
      <c r="BQ51" s="254">
        <f t="shared" si="13"/>
        <v>4.3020337082928446</v>
      </c>
      <c r="BR51" s="254">
        <f t="shared" si="14"/>
        <v>3.3970048027994295</v>
      </c>
      <c r="BS51" s="25">
        <v>74.05204153876285</v>
      </c>
      <c r="BT51" s="25">
        <v>76.93236777777777</v>
      </c>
      <c r="BU51" s="25">
        <v>76.843333333333334</v>
      </c>
      <c r="BV51" s="25">
        <v>74.005097186189758</v>
      </c>
      <c r="BW51" s="25">
        <v>66.559144556486743</v>
      </c>
      <c r="BX51" s="25">
        <v>75.458209959015932</v>
      </c>
      <c r="BY51" s="25">
        <v>66.454496458883995</v>
      </c>
      <c r="BZ51">
        <v>94</v>
      </c>
      <c r="CA51">
        <v>0</v>
      </c>
      <c r="CB51">
        <v>5</v>
      </c>
      <c r="CC51">
        <v>7314.8107760000003</v>
      </c>
      <c r="CD51" s="10">
        <v>1550.0842110000001</v>
      </c>
      <c r="CE51" s="255">
        <v>0.2119103635716523</v>
      </c>
      <c r="CF51" t="str">
        <f>IFERROR(VLOOKUP(CE51,'Rangos amb etnico'!$A$2:$C$6,3,9),"N.D.")</f>
        <v>0,1% - 30%</v>
      </c>
      <c r="CG51" s="256">
        <v>4.5097792996539424E-5</v>
      </c>
      <c r="CH51" s="232">
        <v>0</v>
      </c>
      <c r="CI51" s="311">
        <f t="shared" si="22"/>
        <v>0</v>
      </c>
      <c r="CJ51" s="232">
        <f>IFERROR(VLOOKUP(CI51,'Rangos amb etnico'!$A$2:$C$6,3,9),"N.D.")</f>
        <v>0</v>
      </c>
      <c r="CK51" s="311">
        <f t="shared" si="23"/>
        <v>0</v>
      </c>
      <c r="CL51" s="10">
        <v>0</v>
      </c>
      <c r="CM51" s="255">
        <f t="shared" si="24"/>
        <v>0</v>
      </c>
      <c r="CN51" s="232">
        <f>IFERROR(VLOOKUP(CM51,'Rangos amb etnico'!$A$2:$C$6,3,9),"N.D.")</f>
        <v>0</v>
      </c>
      <c r="CO51" s="311">
        <f t="shared" si="25"/>
        <v>0</v>
      </c>
      <c r="CP51">
        <v>0.95962472525477871</v>
      </c>
      <c r="CQ51" t="s">
        <v>2864</v>
      </c>
      <c r="CR51">
        <f t="shared" si="15"/>
        <v>4</v>
      </c>
      <c r="CS51" t="str">
        <f t="shared" si="26"/>
        <v>Candidato</v>
      </c>
      <c r="CT51">
        <v>0</v>
      </c>
      <c r="CU51">
        <v>0</v>
      </c>
      <c r="CV51" s="25">
        <v>70.796058654785156</v>
      </c>
      <c r="CW51" s="25">
        <v>73.460235595703125</v>
      </c>
      <c r="CX51" s="25">
        <v>75.56524658203125</v>
      </c>
      <c r="CY51" s="25">
        <v>84.751998901367188</v>
      </c>
      <c r="CZ51" s="25">
        <v>75</v>
      </c>
      <c r="DA51" s="25">
        <v>48.266872406005859</v>
      </c>
      <c r="DB51" s="25">
        <v>67.732002258300781</v>
      </c>
      <c r="DC51">
        <v>1321</v>
      </c>
      <c r="DD51" s="253" t="s">
        <v>380</v>
      </c>
    </row>
    <row r="52" spans="1:108">
      <c r="A52" s="13">
        <v>5318</v>
      </c>
      <c r="B52" s="13" t="s">
        <v>554</v>
      </c>
      <c r="C52" s="13" t="s">
        <v>435</v>
      </c>
      <c r="D52" s="13" t="s">
        <v>436</v>
      </c>
      <c r="E52" s="13" t="s">
        <v>555</v>
      </c>
      <c r="F52" s="14">
        <v>79.920566666666701</v>
      </c>
      <c r="G52" s="13">
        <v>77.11</v>
      </c>
      <c r="H52" s="13">
        <v>84.86</v>
      </c>
      <c r="I52" s="13">
        <v>84.92</v>
      </c>
      <c r="J52" s="14">
        <v>62.569790243957108</v>
      </c>
      <c r="K52" s="14">
        <v>72.492495396379269</v>
      </c>
      <c r="L52" s="14">
        <v>70.897468274289338</v>
      </c>
      <c r="M52" s="14">
        <v>64.413799999999995</v>
      </c>
      <c r="N52" s="14">
        <f t="shared" si="0"/>
        <v>81.702641666666679</v>
      </c>
      <c r="O52" s="14">
        <f t="shared" si="1"/>
        <v>67.593388478656422</v>
      </c>
      <c r="P52" s="14">
        <f t="shared" si="16"/>
        <v>74.648015072661551</v>
      </c>
      <c r="Q52" s="14">
        <v>32.340186843997202</v>
      </c>
      <c r="R52" s="17">
        <f t="shared" si="2"/>
        <v>67.659813156002798</v>
      </c>
      <c r="S52" s="14">
        <f t="shared" si="17"/>
        <v>0.70893831840402521</v>
      </c>
      <c r="T52" s="13">
        <v>0</v>
      </c>
      <c r="U52" s="13">
        <f t="shared" si="18"/>
        <v>52.920838277811008</v>
      </c>
      <c r="V52" s="13">
        <f>IF($T52=1,$AU52,(VLOOKUP(U52,'Cortes naturales'!$A$35:$C$39,3,9)))</f>
        <v>1</v>
      </c>
      <c r="W52" s="13">
        <v>1</v>
      </c>
      <c r="X52" s="14" t="b">
        <f t="shared" si="3"/>
        <v>1</v>
      </c>
      <c r="Y52" s="17">
        <f>IF($T52=1,$AU52,VLOOKUP(U52,'Cortes naturales'!$A$45:$C$49,3,9))</f>
        <v>1</v>
      </c>
      <c r="Z52" s="14">
        <v>73.593315417131009</v>
      </c>
      <c r="AA52" s="14">
        <v>0.72105870541715467</v>
      </c>
      <c r="AB52" s="14">
        <v>53.065100742032818</v>
      </c>
      <c r="AC52" s="13">
        <v>1</v>
      </c>
      <c r="AD52" s="13">
        <f t="shared" si="4"/>
        <v>0</v>
      </c>
      <c r="AE52" s="14">
        <f t="shared" si="5"/>
        <v>1.0546996555305412</v>
      </c>
      <c r="AF52" s="14">
        <f t="shared" si="6"/>
        <v>-1.2120387013129452E-2</v>
      </c>
      <c r="AG52" s="13">
        <f t="shared" si="7"/>
        <v>-0.14426246422181066</v>
      </c>
      <c r="AH52" s="13">
        <f>IF($T52=1,$AU52,VLOOKUP(U52,'Cortes naturales'!$A$25:$C$29,3,9))</f>
        <v>1</v>
      </c>
      <c r="AI52" s="13" t="b">
        <f t="shared" si="8"/>
        <v>1</v>
      </c>
      <c r="AJ52" s="13">
        <f t="shared" si="19"/>
        <v>0</v>
      </c>
      <c r="AK52" s="28">
        <v>1.1166517821440873</v>
      </c>
      <c r="AL52" s="28">
        <v>82.178106814431274</v>
      </c>
      <c r="AM52" s="28">
        <v>0.85733548051694708</v>
      </c>
      <c r="AN52" s="13">
        <v>1</v>
      </c>
      <c r="AO52" s="33">
        <f t="shared" si="9"/>
        <v>0</v>
      </c>
      <c r="AP52" s="13">
        <f t="shared" si="20"/>
        <v>85.733548051694711</v>
      </c>
      <c r="AQ52" s="13">
        <f>IFERROR(VLOOKUP(U52,'Cortes naturales'!$E$15:$G$19,3,9),U52)</f>
        <v>2</v>
      </c>
      <c r="AR52" s="28">
        <f t="shared" si="10"/>
        <v>-0.40771346374006212</v>
      </c>
      <c r="AS52" s="13" t="b">
        <f t="shared" si="11"/>
        <v>0</v>
      </c>
      <c r="AT52" s="13">
        <f t="shared" si="21"/>
        <v>0</v>
      </c>
      <c r="AU52" s="13">
        <v>1</v>
      </c>
      <c r="AV52">
        <f t="shared" si="12"/>
        <v>0</v>
      </c>
      <c r="AW52" s="13">
        <v>0</v>
      </c>
      <c r="AX52" s="13">
        <v>1</v>
      </c>
      <c r="AY52" s="13">
        <v>0</v>
      </c>
      <c r="AZ52" s="13">
        <v>0</v>
      </c>
      <c r="BA52">
        <v>0</v>
      </c>
      <c r="BB52" t="s">
        <v>2839</v>
      </c>
      <c r="BC52">
        <v>2</v>
      </c>
      <c r="BD52" s="184" t="s">
        <v>2917</v>
      </c>
      <c r="BE52">
        <v>1</v>
      </c>
      <c r="BF52" s="232" t="s">
        <v>2846</v>
      </c>
      <c r="BG52" s="232" t="s">
        <v>2845</v>
      </c>
      <c r="BH52" s="253">
        <v>17</v>
      </c>
      <c r="BI52" s="253">
        <v>6.2140172241518767</v>
      </c>
      <c r="BJ52" s="25">
        <v>0.43342660794139998</v>
      </c>
      <c r="BK52" t="s">
        <v>381</v>
      </c>
      <c r="BL52">
        <v>2.4613834135006707</v>
      </c>
      <c r="BM52" t="s">
        <v>383</v>
      </c>
      <c r="BN52" s="322">
        <v>136068.863816</v>
      </c>
      <c r="BO52" s="322">
        <v>79465.768796000004</v>
      </c>
      <c r="BP52" s="10">
        <v>64068</v>
      </c>
      <c r="BQ52" s="254">
        <f t="shared" si="13"/>
        <v>2.1238194389710934</v>
      </c>
      <c r="BR52" s="254">
        <f t="shared" si="14"/>
        <v>1.2403347817319099</v>
      </c>
      <c r="BS52" s="25">
        <v>69.213208090716435</v>
      </c>
      <c r="BT52" s="25">
        <v>91.467290270154137</v>
      </c>
      <c r="BU52" s="25">
        <v>56.813333333333333</v>
      </c>
      <c r="BV52" s="25">
        <v>84.338041512364725</v>
      </c>
      <c r="BW52" s="25">
        <v>76.230966579938226</v>
      </c>
      <c r="BX52" s="25">
        <v>75.457968301642154</v>
      </c>
      <c r="BY52" s="25">
        <v>78.074915635005866</v>
      </c>
      <c r="BZ52">
        <v>2</v>
      </c>
      <c r="CA52">
        <v>0</v>
      </c>
      <c r="CB52">
        <v>6</v>
      </c>
      <c r="CC52">
        <v>15215.569281</v>
      </c>
      <c r="CD52" s="10">
        <v>2036.173117</v>
      </c>
      <c r="CE52" s="255">
        <v>0.13382168484110626</v>
      </c>
      <c r="CF52" t="str">
        <f>IFERROR(VLOOKUP(CE52,'Rangos amb etnico'!$A$2:$C$6,3,9),"N.D.")</f>
        <v>0,1% - 30%</v>
      </c>
      <c r="CG52" s="256">
        <v>5.9239951664525694E-5</v>
      </c>
      <c r="CH52" s="232">
        <v>0</v>
      </c>
      <c r="CI52" s="311">
        <f t="shared" si="22"/>
        <v>0</v>
      </c>
      <c r="CJ52" s="232">
        <f>IFERROR(VLOOKUP(CI52,'Rangos amb etnico'!$A$2:$C$6,3,9),"N.D.")</f>
        <v>0</v>
      </c>
      <c r="CK52" s="311">
        <f t="shared" si="23"/>
        <v>0</v>
      </c>
      <c r="CL52" s="10">
        <v>0</v>
      </c>
      <c r="CM52" s="255">
        <f t="shared" si="24"/>
        <v>0</v>
      </c>
      <c r="CN52" s="232">
        <f>IFERROR(VLOOKUP(CM52,'Rangos amb etnico'!$A$2:$C$6,3,9),"N.D.")</f>
        <v>0</v>
      </c>
      <c r="CO52" s="311">
        <f t="shared" si="25"/>
        <v>0</v>
      </c>
      <c r="CP52">
        <v>0.82666229940891345</v>
      </c>
      <c r="CQ52" t="s">
        <v>2865</v>
      </c>
      <c r="CR52">
        <f t="shared" si="15"/>
        <v>4</v>
      </c>
      <c r="CS52" t="str">
        <f t="shared" si="26"/>
        <v>Candidato</v>
      </c>
      <c r="CT52">
        <v>0</v>
      </c>
      <c r="CU52">
        <v>0</v>
      </c>
      <c r="CV52" s="25">
        <v>60.071369171142578</v>
      </c>
      <c r="CW52" s="25">
        <v>58.873409271240227</v>
      </c>
      <c r="CX52" s="25">
        <v>59.514961242675781</v>
      </c>
      <c r="CY52" s="25">
        <v>78.430572509765625</v>
      </c>
      <c r="CZ52" s="25">
        <v>66.539482116699219</v>
      </c>
      <c r="DA52" s="25">
        <v>29.778207778930661</v>
      </c>
      <c r="DB52" s="25">
        <v>67.291580200195313</v>
      </c>
      <c r="DC52">
        <v>690</v>
      </c>
      <c r="DD52" s="253" t="s">
        <v>380</v>
      </c>
    </row>
    <row r="53" spans="1:108" hidden="1">
      <c r="A53" s="13">
        <v>19001</v>
      </c>
      <c r="B53" s="13" t="s">
        <v>556</v>
      </c>
      <c r="C53" s="13" t="s">
        <v>557</v>
      </c>
      <c r="D53" s="13" t="s">
        <v>558</v>
      </c>
      <c r="E53" s="13" t="s">
        <v>559</v>
      </c>
      <c r="F53" s="14">
        <v>62.670400000000001</v>
      </c>
      <c r="G53" s="13">
        <v>55.67</v>
      </c>
      <c r="H53" s="13">
        <v>54.88</v>
      </c>
      <c r="I53" s="13">
        <v>56.52</v>
      </c>
      <c r="J53" s="14">
        <v>51.880330755391192</v>
      </c>
      <c r="K53" s="14">
        <v>55.272577584178528</v>
      </c>
      <c r="L53" s="14">
        <v>59.628743475793726</v>
      </c>
      <c r="M53" s="14">
        <v>66.240399999999994</v>
      </c>
      <c r="N53" s="14">
        <f t="shared" si="0"/>
        <v>57.435100000000006</v>
      </c>
      <c r="O53" s="14">
        <f t="shared" si="1"/>
        <v>58.255512953840856</v>
      </c>
      <c r="P53" s="14">
        <f t="shared" si="16"/>
        <v>57.845306476920427</v>
      </c>
      <c r="Q53" s="14">
        <v>33.544562074622597</v>
      </c>
      <c r="R53" s="17">
        <f t="shared" si="2"/>
        <v>66.455437925377396</v>
      </c>
      <c r="S53" s="14">
        <f t="shared" si="17"/>
        <v>0.69809894132839656</v>
      </c>
      <c r="T53" s="13">
        <v>0</v>
      </c>
      <c r="U53" s="13">
        <f t="shared" si="18"/>
        <v>40.381747212354789</v>
      </c>
      <c r="V53" s="13">
        <f>IF($T53=1,$AU53,(VLOOKUP(U53,'Cortes naturales'!$A$35:$C$39,3,9)))</f>
        <v>2</v>
      </c>
      <c r="W53" s="13">
        <v>2</v>
      </c>
      <c r="X53" s="14" t="b">
        <f t="shared" si="3"/>
        <v>1</v>
      </c>
      <c r="Y53" s="17">
        <f>IF($T53=1,$AU53,VLOOKUP(U53,'Cortes naturales'!$A$45:$C$49,3,9))</f>
        <v>2</v>
      </c>
      <c r="Z53" s="14">
        <v>56.217484889314761</v>
      </c>
      <c r="AA53" s="14">
        <v>0.71546542315012485</v>
      </c>
      <c r="AB53" s="14">
        <v>40.221666614769333</v>
      </c>
      <c r="AC53" s="13">
        <v>2</v>
      </c>
      <c r="AD53" s="13">
        <f t="shared" si="4"/>
        <v>0</v>
      </c>
      <c r="AE53" s="14">
        <f t="shared" si="5"/>
        <v>1.6278215876056663</v>
      </c>
      <c r="AF53" s="14">
        <f t="shared" si="6"/>
        <v>-1.7366481821728286E-2</v>
      </c>
      <c r="AG53" s="13">
        <f t="shared" si="7"/>
        <v>0.16008059758545556</v>
      </c>
      <c r="AH53" s="13">
        <f>IF($T53=1,$AU53,VLOOKUP(U53,'Cortes naturales'!$A$25:$C$29,3,9))</f>
        <v>2</v>
      </c>
      <c r="AI53" s="13" t="b">
        <f t="shared" si="8"/>
        <v>1</v>
      </c>
      <c r="AJ53" s="13">
        <f t="shared" si="19"/>
        <v>0</v>
      </c>
      <c r="AK53" s="28">
        <v>1.1166517821440873</v>
      </c>
      <c r="AL53" s="28">
        <v>62.775354689311627</v>
      </c>
      <c r="AM53" s="28">
        <v>0.6146275038602671</v>
      </c>
      <c r="AN53" s="13">
        <v>2</v>
      </c>
      <c r="AO53" s="33">
        <f t="shared" si="9"/>
        <v>0</v>
      </c>
      <c r="AP53" s="13">
        <f t="shared" si="20"/>
        <v>61.462750386026713</v>
      </c>
      <c r="AQ53" s="13">
        <f>IFERROR(VLOOKUP(U53,'Cortes naturales'!$E$15:$G$19,3,9),U53)</f>
        <v>3</v>
      </c>
      <c r="AR53" s="28">
        <f t="shared" si="10"/>
        <v>-0.41855284081569077</v>
      </c>
      <c r="AS53" s="13" t="b">
        <f t="shared" si="11"/>
        <v>0</v>
      </c>
      <c r="AT53" s="13">
        <f t="shared" si="21"/>
        <v>0</v>
      </c>
      <c r="AU53" s="13">
        <v>1</v>
      </c>
      <c r="AV53">
        <f t="shared" si="12"/>
        <v>-1</v>
      </c>
      <c r="AW53" s="13">
        <v>1</v>
      </c>
      <c r="AX53" s="13">
        <v>0</v>
      </c>
      <c r="AY53" s="13">
        <v>0</v>
      </c>
      <c r="AZ53" s="13">
        <v>0</v>
      </c>
      <c r="BA53">
        <v>0</v>
      </c>
      <c r="BB53" t="s">
        <v>2838</v>
      </c>
      <c r="BC53">
        <v>1</v>
      </c>
      <c r="BD53" t="s">
        <v>2920</v>
      </c>
      <c r="BE53">
        <v>0</v>
      </c>
      <c r="BF53" s="232" t="s">
        <v>2845</v>
      </c>
      <c r="BG53" s="232" t="s">
        <v>2846</v>
      </c>
      <c r="BH53" s="253">
        <v>18.399999999999999</v>
      </c>
      <c r="BI53" s="253">
        <v>9.0974382651584271</v>
      </c>
      <c r="BJ53" s="25" t="s">
        <v>2849</v>
      </c>
      <c r="BK53" t="s">
        <v>2849</v>
      </c>
      <c r="BL53">
        <v>3.4115260063878461</v>
      </c>
      <c r="BM53" t="s">
        <v>383</v>
      </c>
      <c r="BN53" s="322">
        <v>645824.08608100004</v>
      </c>
      <c r="BO53" s="322">
        <v>199107.62254400001</v>
      </c>
      <c r="BP53" s="10">
        <v>348444</v>
      </c>
      <c r="BQ53" s="254">
        <f t="shared" si="13"/>
        <v>1.8534515907319398</v>
      </c>
      <c r="BR53" s="254">
        <f t="shared" si="14"/>
        <v>0.57141928844807199</v>
      </c>
      <c r="BS53" s="25">
        <v>76.048065876115501</v>
      </c>
      <c r="BT53" s="25">
        <v>96.106294851135729</v>
      </c>
      <c r="BU53" s="25">
        <v>65.541666666666671</v>
      </c>
      <c r="BV53" s="25">
        <v>66.594373726675911</v>
      </c>
      <c r="BW53" s="25">
        <v>64.965741466499907</v>
      </c>
      <c r="BX53" s="25">
        <v>76.072600280148464</v>
      </c>
      <c r="BY53" s="25">
        <v>65.409663471075774</v>
      </c>
      <c r="BZ53">
        <v>46</v>
      </c>
      <c r="CA53">
        <v>1</v>
      </c>
      <c r="CB53">
        <v>3</v>
      </c>
      <c r="CC53">
        <v>48037.351964000001</v>
      </c>
      <c r="CD53" s="10">
        <v>4565.23855</v>
      </c>
      <c r="CE53" s="255">
        <v>9.5035183317791261E-2</v>
      </c>
      <c r="CF53" t="str">
        <f>IFERROR(VLOOKUP(CE53,'Rangos amb etnico'!$A$2:$C$6,3,9),"N.D.")</f>
        <v>0,1% - 30%</v>
      </c>
      <c r="CG53" s="256">
        <v>1.3281999884051575E-4</v>
      </c>
      <c r="CH53" s="232">
        <v>2316.041475</v>
      </c>
      <c r="CI53" s="311">
        <f t="shared" si="22"/>
        <v>4.8213346079852205E-2</v>
      </c>
      <c r="CJ53" s="232" t="str">
        <f>IFERROR(VLOOKUP(CI53,'Rangos amb etnico'!$A$2:$C$6,3,9),"N.D.")</f>
        <v>0,1% - 30%</v>
      </c>
      <c r="CK53" s="311">
        <f t="shared" si="23"/>
        <v>9.1962010145363402E-5</v>
      </c>
      <c r="CL53" s="10">
        <v>0</v>
      </c>
      <c r="CM53" s="255">
        <f t="shared" si="24"/>
        <v>0</v>
      </c>
      <c r="CN53" s="232">
        <f>IFERROR(VLOOKUP(CM53,'Rangos amb etnico'!$A$2:$C$6,3,9),"N.D.")</f>
        <v>0</v>
      </c>
      <c r="CO53" s="311">
        <f t="shared" si="25"/>
        <v>0</v>
      </c>
      <c r="CP53">
        <v>0.93314699438180315</v>
      </c>
      <c r="CQ53" t="s">
        <v>2864</v>
      </c>
      <c r="CR53">
        <f t="shared" si="15"/>
        <v>3</v>
      </c>
      <c r="CS53" t="str">
        <f t="shared" si="26"/>
        <v>Candidato</v>
      </c>
      <c r="CT53">
        <v>0</v>
      </c>
      <c r="CU53">
        <v>0</v>
      </c>
      <c r="CV53" s="25">
        <v>56.048233032226563</v>
      </c>
      <c r="CW53" s="25">
        <v>51.353290557861328</v>
      </c>
      <c r="CX53" s="25">
        <v>57.890121459960938</v>
      </c>
      <c r="CY53" s="25">
        <v>80.006118774414063</v>
      </c>
      <c r="CZ53" s="25">
        <v>78.477691650390625</v>
      </c>
      <c r="DA53" s="25">
        <v>13.434970855712891</v>
      </c>
      <c r="DB53" s="25">
        <v>55.127197265625</v>
      </c>
      <c r="DC53">
        <v>29164</v>
      </c>
      <c r="DD53" s="253">
        <v>5.6886793362516874</v>
      </c>
    </row>
    <row r="54" spans="1:108" hidden="1">
      <c r="A54" s="13">
        <v>17174</v>
      </c>
      <c r="B54" s="13" t="s">
        <v>560</v>
      </c>
      <c r="C54" s="13" t="s">
        <v>506</v>
      </c>
      <c r="D54" s="13" t="s">
        <v>507</v>
      </c>
      <c r="E54" s="13" t="s">
        <v>561</v>
      </c>
      <c r="F54" s="14">
        <v>67.830533333333307</v>
      </c>
      <c r="G54" s="13">
        <v>74.53</v>
      </c>
      <c r="H54" s="13">
        <v>67.790000000000006</v>
      </c>
      <c r="I54" s="13">
        <v>82.52</v>
      </c>
      <c r="J54" s="14">
        <v>50.736855148642377</v>
      </c>
      <c r="K54" s="14">
        <v>51.910720051656412</v>
      </c>
      <c r="L54" s="14">
        <v>56.699895888973479</v>
      </c>
      <c r="M54" s="14">
        <v>57.152900000000002</v>
      </c>
      <c r="N54" s="14">
        <f t="shared" si="0"/>
        <v>73.167633333333328</v>
      </c>
      <c r="O54" s="14">
        <f t="shared" si="1"/>
        <v>54.125092772318069</v>
      </c>
      <c r="P54" s="14">
        <f t="shared" si="16"/>
        <v>63.646363052825699</v>
      </c>
      <c r="Q54" s="14">
        <v>34.715002675597468</v>
      </c>
      <c r="R54" s="17">
        <f t="shared" si="2"/>
        <v>65.284997324402525</v>
      </c>
      <c r="S54" s="14">
        <f t="shared" si="17"/>
        <v>0.68756497591962273</v>
      </c>
      <c r="T54" s="13">
        <v>0</v>
      </c>
      <c r="U54" s="13">
        <f t="shared" si="18"/>
        <v>43.761010079787667</v>
      </c>
      <c r="V54" s="13">
        <f>IF($T54=1,$AU54,(VLOOKUP(U54,'Cortes naturales'!$A$35:$C$39,3,9)))</f>
        <v>2</v>
      </c>
      <c r="W54" s="13">
        <v>2</v>
      </c>
      <c r="X54" s="14" t="b">
        <f t="shared" si="3"/>
        <v>1</v>
      </c>
      <c r="Y54" s="17">
        <f>IF($T54=1,$AU54,VLOOKUP(U54,'Cortes naturales'!$A$45:$C$49,3,9))</f>
        <v>2</v>
      </c>
      <c r="Z54" s="14">
        <v>60.617753811873584</v>
      </c>
      <c r="AA54" s="14">
        <v>0.71174428710173321</v>
      </c>
      <c r="AB54" s="14">
        <v>43.144339972540337</v>
      </c>
      <c r="AC54" s="13">
        <v>2</v>
      </c>
      <c r="AD54" s="13">
        <f t="shared" si="4"/>
        <v>0</v>
      </c>
      <c r="AE54" s="14">
        <f t="shared" si="5"/>
        <v>3.0286092409521146</v>
      </c>
      <c r="AF54" s="14">
        <f t="shared" si="6"/>
        <v>-2.4179311182110474E-2</v>
      </c>
      <c r="AG54" s="13">
        <f t="shared" si="7"/>
        <v>0.61667010724733018</v>
      </c>
      <c r="AH54" s="13">
        <f>IF($T54=1,$AU54,VLOOKUP(U54,'Cortes naturales'!$A$25:$C$29,3,9))</f>
        <v>2</v>
      </c>
      <c r="AI54" s="13" t="b">
        <f t="shared" si="8"/>
        <v>1</v>
      </c>
      <c r="AJ54" s="13">
        <f t="shared" si="19"/>
        <v>0</v>
      </c>
      <c r="AK54" s="28">
        <v>1.1166517821440873</v>
      </c>
      <c r="AL54" s="28">
        <v>67.68892282360018</v>
      </c>
      <c r="AM54" s="28">
        <v>0.67609106183119905</v>
      </c>
      <c r="AN54" s="13">
        <v>1</v>
      </c>
      <c r="AO54" s="33">
        <f t="shared" si="9"/>
        <v>-1</v>
      </c>
      <c r="AP54" s="13">
        <f t="shared" si="20"/>
        <v>67.609106183119906</v>
      </c>
      <c r="AQ54" s="13">
        <f>IFERROR(VLOOKUP(U54,'Cortes naturales'!$E$15:$G$19,3,9),U54)</f>
        <v>3</v>
      </c>
      <c r="AR54" s="28">
        <f t="shared" si="10"/>
        <v>-0.4290868062244646</v>
      </c>
      <c r="AS54" s="13" t="b">
        <f t="shared" si="11"/>
        <v>0</v>
      </c>
      <c r="AT54" s="13" t="str">
        <f t="shared" si="21"/>
        <v>Cambio en corte</v>
      </c>
      <c r="AU54" s="13">
        <v>1</v>
      </c>
      <c r="AV54">
        <f t="shared" si="12"/>
        <v>-1</v>
      </c>
      <c r="AW54" s="13">
        <v>0</v>
      </c>
      <c r="AX54" s="13">
        <v>0</v>
      </c>
      <c r="AY54" s="13">
        <v>0</v>
      </c>
      <c r="AZ54" s="13">
        <v>0</v>
      </c>
      <c r="BA54">
        <v>0</v>
      </c>
      <c r="BB54" t="s">
        <v>2839</v>
      </c>
      <c r="BC54">
        <v>5</v>
      </c>
      <c r="BD54" t="s">
        <v>2919</v>
      </c>
      <c r="BE54">
        <v>1</v>
      </c>
      <c r="BF54" s="232" t="s">
        <v>2846</v>
      </c>
      <c r="BG54" s="232" t="s">
        <v>2846</v>
      </c>
      <c r="BH54" s="253">
        <v>21.8</v>
      </c>
      <c r="BI54" s="253">
        <v>7.9920493602219551</v>
      </c>
      <c r="BJ54" s="25">
        <v>5.0149207222667833</v>
      </c>
      <c r="BK54" t="s">
        <v>377</v>
      </c>
      <c r="BL54">
        <v>1.4676712745174592</v>
      </c>
      <c r="BM54" t="s">
        <v>383</v>
      </c>
      <c r="BN54" s="322">
        <v>84887.206705999997</v>
      </c>
      <c r="BO54" s="322">
        <v>22773.422533000001</v>
      </c>
      <c r="BP54" s="10">
        <v>51007</v>
      </c>
      <c r="BQ54" s="254">
        <f t="shared" si="13"/>
        <v>1.6642266101907581</v>
      </c>
      <c r="BR54" s="254">
        <f t="shared" si="14"/>
        <v>0.4464764156488325</v>
      </c>
      <c r="BS54" s="25">
        <v>67.599000265913929</v>
      </c>
      <c r="BT54" s="25">
        <v>100</v>
      </c>
      <c r="BU54" s="25">
        <v>70.671666666666667</v>
      </c>
      <c r="BV54" s="25">
        <v>87.64413834527376</v>
      </c>
      <c r="BW54" s="25">
        <v>50.251726689882787</v>
      </c>
      <c r="BX54" s="25">
        <v>81.478701319463582</v>
      </c>
      <c r="BY54" s="25">
        <v>50.99946720387743</v>
      </c>
      <c r="BZ54">
        <v>19</v>
      </c>
      <c r="CA54">
        <v>0</v>
      </c>
      <c r="CB54">
        <v>5</v>
      </c>
      <c r="CC54">
        <v>10932.067243</v>
      </c>
      <c r="CD54" s="10">
        <v>698.96009800000002</v>
      </c>
      <c r="CE54" s="255">
        <v>6.3936681184206659E-2</v>
      </c>
      <c r="CF54" t="str">
        <f>IFERROR(VLOOKUP(CE54,'Rangos amb etnico'!$A$2:$C$6,3,9),"N.D.")</f>
        <v>0,1% - 30%</v>
      </c>
      <c r="CG54" s="256">
        <v>2.0335384096396623E-5</v>
      </c>
      <c r="CH54" s="232">
        <v>0</v>
      </c>
      <c r="CI54" s="311">
        <f t="shared" si="22"/>
        <v>0</v>
      </c>
      <c r="CJ54" s="232">
        <f>IFERROR(VLOOKUP(CI54,'Rangos amb etnico'!$A$2:$C$6,3,9),"N.D.")</f>
        <v>0</v>
      </c>
      <c r="CK54" s="311">
        <f t="shared" si="23"/>
        <v>0</v>
      </c>
      <c r="CL54" s="10">
        <v>0</v>
      </c>
      <c r="CM54" s="255">
        <f t="shared" si="24"/>
        <v>0</v>
      </c>
      <c r="CN54" s="232">
        <f>IFERROR(VLOOKUP(CM54,'Rangos amb etnico'!$A$2:$C$6,3,9),"N.D.")</f>
        <v>0</v>
      </c>
      <c r="CO54" s="311">
        <f t="shared" si="25"/>
        <v>0</v>
      </c>
      <c r="CP54">
        <v>0.97769008645793365</v>
      </c>
      <c r="CQ54" t="s">
        <v>2864</v>
      </c>
      <c r="CR54">
        <f t="shared" si="15"/>
        <v>2</v>
      </c>
      <c r="CS54" t="str">
        <f t="shared" si="26"/>
        <v>No es Candidato</v>
      </c>
      <c r="CT54">
        <v>0</v>
      </c>
      <c r="CU54">
        <v>0</v>
      </c>
      <c r="CV54" s="25">
        <v>54.423793792724609</v>
      </c>
      <c r="CW54" s="25">
        <v>45.486240386962891</v>
      </c>
      <c r="CX54" s="25">
        <v>59.789028167724609</v>
      </c>
      <c r="CY54" s="25">
        <v>67.139175415039063</v>
      </c>
      <c r="CZ54" s="25">
        <v>67.172737121582031</v>
      </c>
      <c r="DA54" s="25">
        <v>27.762521743774411</v>
      </c>
      <c r="DB54" s="25">
        <v>59.193050384521477</v>
      </c>
      <c r="DC54">
        <v>514</v>
      </c>
      <c r="DD54" s="253" t="s">
        <v>380</v>
      </c>
    </row>
    <row r="55" spans="1:108" hidden="1">
      <c r="A55" s="13">
        <v>68077</v>
      </c>
      <c r="B55" s="13" t="s">
        <v>562</v>
      </c>
      <c r="C55" s="13" t="s">
        <v>431</v>
      </c>
      <c r="D55" s="13" t="s">
        <v>432</v>
      </c>
      <c r="E55" s="13" t="s">
        <v>563</v>
      </c>
      <c r="F55" s="14">
        <v>68.915333333333294</v>
      </c>
      <c r="G55" s="13">
        <v>72.819999999999993</v>
      </c>
      <c r="H55" s="13">
        <v>64.959999999999994</v>
      </c>
      <c r="I55" s="13">
        <v>65.47</v>
      </c>
      <c r="J55" s="14">
        <v>51.261148142728352</v>
      </c>
      <c r="K55" s="14">
        <v>61.898749533840657</v>
      </c>
      <c r="L55" s="14">
        <v>60.926025587202041</v>
      </c>
      <c r="M55" s="14">
        <v>66.101399999999998</v>
      </c>
      <c r="N55" s="14">
        <f t="shared" si="0"/>
        <v>68.041333333333313</v>
      </c>
      <c r="O55" s="14">
        <f t="shared" si="1"/>
        <v>60.046830815942769</v>
      </c>
      <c r="P55" s="14">
        <f t="shared" si="16"/>
        <v>64.044082074638041</v>
      </c>
      <c r="Q55" s="14">
        <v>33.793943879741015</v>
      </c>
      <c r="R55" s="17">
        <f t="shared" si="2"/>
        <v>66.206056120258978</v>
      </c>
      <c r="S55" s="14">
        <f t="shared" si="17"/>
        <v>0.69585450508233082</v>
      </c>
      <c r="T55" s="13">
        <v>0</v>
      </c>
      <c r="U55" s="13">
        <f t="shared" si="18"/>
        <v>44.565363035499431</v>
      </c>
      <c r="V55" s="13">
        <f>IF($T55=1,$AU55,(VLOOKUP(U55,'Cortes naturales'!$A$35:$C$39,3,9)))</f>
        <v>2</v>
      </c>
      <c r="W55" s="13">
        <v>2</v>
      </c>
      <c r="X55" s="14" t="b">
        <f t="shared" si="3"/>
        <v>1</v>
      </c>
      <c r="Y55" s="17">
        <f>IF($T55=1,$AU55,VLOOKUP(U55,'Cortes naturales'!$A$45:$C$49,3,9))</f>
        <v>2</v>
      </c>
      <c r="Z55" s="14">
        <v>63.580926130060725</v>
      </c>
      <c r="AA55" s="14">
        <v>0.71067159157675286</v>
      </c>
      <c r="AB55" s="14">
        <v>45.185157966774206</v>
      </c>
      <c r="AC55" s="13">
        <v>2</v>
      </c>
      <c r="AD55" s="13">
        <f t="shared" si="4"/>
        <v>0</v>
      </c>
      <c r="AE55" s="14">
        <f t="shared" si="5"/>
        <v>0.46315594457731635</v>
      </c>
      <c r="AF55" s="14">
        <f t="shared" si="6"/>
        <v>-1.4817086494422038E-2</v>
      </c>
      <c r="AG55" s="13">
        <f t="shared" si="7"/>
        <v>-0.61979493127477525</v>
      </c>
      <c r="AH55" s="13">
        <f>IF($T55=1,$AU55,VLOOKUP(U55,'Cortes naturales'!$A$25:$C$29,3,9))</f>
        <v>2</v>
      </c>
      <c r="AI55" s="13" t="b">
        <f t="shared" si="8"/>
        <v>1</v>
      </c>
      <c r="AJ55" s="13">
        <f t="shared" si="19"/>
        <v>0</v>
      </c>
      <c r="AK55" s="28">
        <v>1.1166517821440873</v>
      </c>
      <c r="AL55" s="28">
        <v>70.997754473503875</v>
      </c>
      <c r="AM55" s="28">
        <v>0.71748105793417494</v>
      </c>
      <c r="AN55" s="13">
        <v>1</v>
      </c>
      <c r="AO55" s="33">
        <f t="shared" si="9"/>
        <v>-1</v>
      </c>
      <c r="AP55" s="13">
        <f t="shared" si="20"/>
        <v>71.748105793417494</v>
      </c>
      <c r="AQ55" s="13">
        <f>IFERROR(VLOOKUP(U55,'Cortes naturales'!$E$15:$G$19,3,9),U55)</f>
        <v>3</v>
      </c>
      <c r="AR55" s="28">
        <f t="shared" si="10"/>
        <v>-0.42079727706175651</v>
      </c>
      <c r="AS55" s="13" t="b">
        <f t="shared" si="11"/>
        <v>0</v>
      </c>
      <c r="AT55" s="13" t="str">
        <f t="shared" si="21"/>
        <v>Cambio en corte</v>
      </c>
      <c r="AU55" s="13">
        <v>2</v>
      </c>
      <c r="AV55">
        <f t="shared" si="12"/>
        <v>0</v>
      </c>
      <c r="AW55" s="13">
        <v>0</v>
      </c>
      <c r="AX55" s="13">
        <v>0</v>
      </c>
      <c r="AY55" s="13">
        <v>0</v>
      </c>
      <c r="AZ55" s="13">
        <v>0</v>
      </c>
      <c r="BA55">
        <v>0</v>
      </c>
      <c r="BB55" t="s">
        <v>2839</v>
      </c>
      <c r="BC55">
        <v>6</v>
      </c>
      <c r="BD55" t="s">
        <v>2919</v>
      </c>
      <c r="BE55">
        <v>1</v>
      </c>
      <c r="BF55" s="232" t="s">
        <v>2846</v>
      </c>
      <c r="BG55" s="232" t="s">
        <v>2845</v>
      </c>
      <c r="BH55" s="253">
        <v>21.6</v>
      </c>
      <c r="BI55" s="253">
        <v>8.0761334771564766</v>
      </c>
      <c r="BJ55" s="25">
        <v>8.1249516933907682</v>
      </c>
      <c r="BK55" t="s">
        <v>377</v>
      </c>
      <c r="BL55">
        <v>1.8296444404541727</v>
      </c>
      <c r="BM55" t="s">
        <v>383</v>
      </c>
      <c r="BN55" s="322">
        <v>45249.724424</v>
      </c>
      <c r="BO55" s="322">
        <v>9048.2672330000005</v>
      </c>
      <c r="BP55" s="10">
        <v>33724</v>
      </c>
      <c r="BQ55" s="254">
        <f t="shared" si="13"/>
        <v>1.3417662324753885</v>
      </c>
      <c r="BR55" s="254">
        <f t="shared" si="14"/>
        <v>0.26830349997034753</v>
      </c>
      <c r="BS55" s="25">
        <v>72.519648373306907</v>
      </c>
      <c r="BT55" s="25">
        <v>85.163001264776824</v>
      </c>
      <c r="BU55" s="25">
        <v>61.656666666666673</v>
      </c>
      <c r="BV55" s="25">
        <v>78.708919300378454</v>
      </c>
      <c r="BW55" s="25">
        <v>57.483358628675248</v>
      </c>
      <c r="BX55" s="25">
        <v>74.512058901282217</v>
      </c>
      <c r="BY55" s="25">
        <v>57.974350978660922</v>
      </c>
      <c r="BZ55">
        <v>20</v>
      </c>
      <c r="CA55">
        <v>1</v>
      </c>
      <c r="CB55">
        <v>6</v>
      </c>
      <c r="CC55">
        <v>4659.5528940000004</v>
      </c>
      <c r="CD55" s="10">
        <v>10.125928</v>
      </c>
      <c r="CE55" s="255">
        <v>2.1731544271208782E-3</v>
      </c>
      <c r="CF55" t="str">
        <f>IFERROR(VLOOKUP(CE55,'Rangos amb etnico'!$A$2:$C$6,3,9),"N.D.")</f>
        <v>0,1% - 30%</v>
      </c>
      <c r="CG55" s="256">
        <v>2.9460141687867461E-7</v>
      </c>
      <c r="CH55" s="232">
        <v>0</v>
      </c>
      <c r="CI55" s="311">
        <f t="shared" si="22"/>
        <v>0</v>
      </c>
      <c r="CJ55" s="232">
        <f>IFERROR(VLOOKUP(CI55,'Rangos amb etnico'!$A$2:$C$6,3,9),"N.D.")</f>
        <v>0</v>
      </c>
      <c r="CK55" s="311">
        <f t="shared" si="23"/>
        <v>0</v>
      </c>
      <c r="CL55" s="10">
        <v>0</v>
      </c>
      <c r="CM55" s="255">
        <f t="shared" si="24"/>
        <v>0</v>
      </c>
      <c r="CN55" s="232">
        <f>IFERROR(VLOOKUP(CM55,'Rangos amb etnico'!$A$2:$C$6,3,9),"N.D.")</f>
        <v>0</v>
      </c>
      <c r="CO55" s="311">
        <f t="shared" si="25"/>
        <v>0</v>
      </c>
      <c r="CP55">
        <v>0.96551432106418456</v>
      </c>
      <c r="CQ55" t="s">
        <v>2864</v>
      </c>
      <c r="CR55">
        <f t="shared" si="15"/>
        <v>3</v>
      </c>
      <c r="CS55" t="str">
        <f t="shared" si="26"/>
        <v>Candidato</v>
      </c>
      <c r="CT55">
        <v>0</v>
      </c>
      <c r="CU55">
        <v>0</v>
      </c>
      <c r="CV55" s="25">
        <v>47.941837310791023</v>
      </c>
      <c r="CW55" s="25">
        <v>35.701133728027337</v>
      </c>
      <c r="CX55" s="25">
        <v>50.200813293457031</v>
      </c>
      <c r="CY55" s="25">
        <v>70.545082092285156</v>
      </c>
      <c r="CZ55" s="25">
        <v>53.474720001220703</v>
      </c>
      <c r="DA55" s="25">
        <v>28.572927474975589</v>
      </c>
      <c r="DB55" s="25">
        <v>49.156341552734382</v>
      </c>
      <c r="DC55">
        <v>223</v>
      </c>
      <c r="DD55" s="253" t="s">
        <v>380</v>
      </c>
    </row>
    <row r="56" spans="1:108" hidden="1">
      <c r="A56" s="13">
        <v>54001</v>
      </c>
      <c r="B56" s="13" t="s">
        <v>564</v>
      </c>
      <c r="C56" s="13" t="s">
        <v>517</v>
      </c>
      <c r="D56" s="13" t="s">
        <v>518</v>
      </c>
      <c r="E56" s="13" t="s">
        <v>565</v>
      </c>
      <c r="F56" s="14">
        <v>72.171966666666705</v>
      </c>
      <c r="G56" s="13">
        <v>72.209999999999994</v>
      </c>
      <c r="H56" s="13">
        <v>73.77</v>
      </c>
      <c r="I56" s="13">
        <v>79.760000000000005</v>
      </c>
      <c r="J56" s="14">
        <v>63.712114714844517</v>
      </c>
      <c r="K56" s="14">
        <v>64.436771094801699</v>
      </c>
      <c r="L56" s="14">
        <v>65.963360038953496</v>
      </c>
      <c r="M56" s="14">
        <v>60.292700000000004</v>
      </c>
      <c r="N56" s="14">
        <f t="shared" si="0"/>
        <v>74.477991666666668</v>
      </c>
      <c r="O56" s="14">
        <f t="shared" si="1"/>
        <v>63.601236462149934</v>
      </c>
      <c r="P56" s="14">
        <f t="shared" si="16"/>
        <v>69.039614064408298</v>
      </c>
      <c r="Q56" s="14">
        <v>33.861110488075724</v>
      </c>
      <c r="R56" s="17">
        <f t="shared" si="2"/>
        <v>66.138889511924276</v>
      </c>
      <c r="S56" s="14">
        <f t="shared" si="17"/>
        <v>0.69525000560731853</v>
      </c>
      <c r="T56" s="13">
        <v>0</v>
      </c>
      <c r="U56" s="13">
        <f t="shared" si="18"/>
        <v>47.999792065406979</v>
      </c>
      <c r="V56" s="13">
        <f>IF($T56=1,$AU56,(VLOOKUP(U56,'Cortes naturales'!$A$35:$C$39,3,9)))</f>
        <v>2</v>
      </c>
      <c r="W56" s="13">
        <v>2</v>
      </c>
      <c r="X56" s="14" t="b">
        <f t="shared" si="3"/>
        <v>1</v>
      </c>
      <c r="Y56" s="17">
        <f>IF($T56=1,$AU56,VLOOKUP(U56,'Cortes naturales'!$A$45:$C$49,3,9))</f>
        <v>1</v>
      </c>
      <c r="Z56" s="14">
        <v>68.809423541772418</v>
      </c>
      <c r="AA56" s="14">
        <v>0.71249993095999942</v>
      </c>
      <c r="AB56" s="14">
        <v>49.02670952291021</v>
      </c>
      <c r="AC56" s="13">
        <v>1</v>
      </c>
      <c r="AD56" s="13">
        <f t="shared" si="4"/>
        <v>0</v>
      </c>
      <c r="AE56" s="14">
        <f t="shared" si="5"/>
        <v>0.2301905226358798</v>
      </c>
      <c r="AF56" s="14">
        <f t="shared" si="6"/>
        <v>-1.7249925352680884E-2</v>
      </c>
      <c r="AG56" s="13">
        <f t="shared" si="7"/>
        <v>-1.0269174575032309</v>
      </c>
      <c r="AH56" s="13">
        <f>IF($T56=1,$AU56,VLOOKUP(U56,'Cortes naturales'!$A$25:$C$29,3,9))</f>
        <v>1</v>
      </c>
      <c r="AI56" s="13" t="b">
        <f t="shared" si="8"/>
        <v>1</v>
      </c>
      <c r="AJ56" s="13">
        <f t="shared" si="19"/>
        <v>0</v>
      </c>
      <c r="AK56" s="28" t="s">
        <v>440</v>
      </c>
      <c r="AL56" s="28" t="s">
        <v>380</v>
      </c>
      <c r="AM56" s="28" t="s">
        <v>380</v>
      </c>
      <c r="AN56" s="13" t="s">
        <v>476</v>
      </c>
      <c r="AO56" s="33">
        <f t="shared" si="9"/>
        <v>1</v>
      </c>
      <c r="AP56" s="13" t="str">
        <f t="shared" si="20"/>
        <v>N.D</v>
      </c>
      <c r="AQ56" s="13">
        <f>IFERROR(VLOOKUP(U56,'Cortes naturales'!$E$15:$G$19,3,9),U56)</f>
        <v>2</v>
      </c>
      <c r="AR56" s="28" t="str">
        <f t="shared" si="10"/>
        <v>N.D.</v>
      </c>
      <c r="AS56" s="13" t="b">
        <f t="shared" si="11"/>
        <v>0</v>
      </c>
      <c r="AT56" s="13" t="str">
        <f t="shared" si="21"/>
        <v>Cambio en corte</v>
      </c>
      <c r="AU56" s="13" t="s">
        <v>476</v>
      </c>
      <c r="AV56">
        <f t="shared" si="12"/>
        <v>1</v>
      </c>
      <c r="AW56" s="13">
        <v>1</v>
      </c>
      <c r="AX56" s="13">
        <v>0</v>
      </c>
      <c r="AY56" s="13">
        <v>0</v>
      </c>
      <c r="AZ56" s="13">
        <v>0</v>
      </c>
      <c r="BA56">
        <v>0</v>
      </c>
      <c r="BB56" t="s">
        <v>2838</v>
      </c>
      <c r="BC56">
        <v>1</v>
      </c>
      <c r="BD56" t="s">
        <v>2918</v>
      </c>
      <c r="BE56">
        <v>1</v>
      </c>
      <c r="BF56" s="232" t="s">
        <v>2845</v>
      </c>
      <c r="BG56" s="232" t="s">
        <v>2845</v>
      </c>
      <c r="BH56" s="253">
        <v>25.7</v>
      </c>
      <c r="BI56" s="253">
        <v>13.750122052922148</v>
      </c>
      <c r="BJ56" s="25">
        <v>0</v>
      </c>
      <c r="BK56" t="s">
        <v>381</v>
      </c>
      <c r="BL56">
        <v>6.6167743095287506</v>
      </c>
      <c r="BM56" t="s">
        <v>379</v>
      </c>
      <c r="BN56" s="322">
        <v>2420776.1988269999</v>
      </c>
      <c r="BO56" s="322">
        <v>378340.42210700002</v>
      </c>
      <c r="BP56" s="10">
        <v>790984</v>
      </c>
      <c r="BQ56" s="254">
        <f t="shared" si="13"/>
        <v>3.0604616513444012</v>
      </c>
      <c r="BR56" s="254">
        <f t="shared" si="14"/>
        <v>0.4783161506515935</v>
      </c>
      <c r="BS56" s="25">
        <v>71.263003858429116</v>
      </c>
      <c r="BT56" s="25">
        <v>94.479262124972777</v>
      </c>
      <c r="BU56" s="25">
        <v>38.64</v>
      </c>
      <c r="BV56" s="25">
        <v>85.155053855842809</v>
      </c>
      <c r="BW56" s="25">
        <v>67.638503462054388</v>
      </c>
      <c r="BX56" s="25">
        <v>72.384329959811183</v>
      </c>
      <c r="BY56" s="25">
        <v>69.372471240251727</v>
      </c>
      <c r="BZ56">
        <v>73</v>
      </c>
      <c r="CA56">
        <v>1</v>
      </c>
      <c r="CB56">
        <v>3</v>
      </c>
      <c r="CC56">
        <v>113215.42318699999</v>
      </c>
      <c r="CD56" s="10">
        <v>9005.165626</v>
      </c>
      <c r="CE56" s="255">
        <v>7.9540095973726146E-2</v>
      </c>
      <c r="CF56" t="str">
        <f>IFERROR(VLOOKUP(CE56,'Rangos amb etnico'!$A$2:$C$6,3,9),"N.D.")</f>
        <v>0,1% - 30%</v>
      </c>
      <c r="CG56" s="256">
        <v>2.6199421452006538E-4</v>
      </c>
      <c r="CH56" s="232">
        <v>0</v>
      </c>
      <c r="CI56" s="311">
        <f t="shared" si="22"/>
        <v>0</v>
      </c>
      <c r="CJ56" s="232">
        <f>IFERROR(VLOOKUP(CI56,'Rangos amb etnico'!$A$2:$C$6,3,9),"N.D.")</f>
        <v>0</v>
      </c>
      <c r="CK56" s="311">
        <f t="shared" si="23"/>
        <v>0</v>
      </c>
      <c r="CL56" s="10">
        <v>0</v>
      </c>
      <c r="CM56" s="255">
        <f t="shared" si="24"/>
        <v>0</v>
      </c>
      <c r="CN56" s="232">
        <f>IFERROR(VLOOKUP(CM56,'Rangos amb etnico'!$A$2:$C$6,3,9),"N.D.")</f>
        <v>0</v>
      </c>
      <c r="CO56" s="311">
        <f t="shared" si="25"/>
        <v>0</v>
      </c>
      <c r="CP56">
        <v>0.82293162777324835</v>
      </c>
      <c r="CQ56" t="s">
        <v>2865</v>
      </c>
      <c r="CR56">
        <f t="shared" si="15"/>
        <v>4</v>
      </c>
      <c r="CS56" t="str">
        <f t="shared" si="26"/>
        <v>Candidato</v>
      </c>
      <c r="CT56">
        <v>1</v>
      </c>
      <c r="CU56" t="s">
        <v>2835</v>
      </c>
      <c r="CV56" s="25">
        <v>52.988742828369141</v>
      </c>
      <c r="CW56" s="25">
        <v>65.0047607421875</v>
      </c>
      <c r="CX56" s="25">
        <v>52.656364440917969</v>
      </c>
      <c r="CY56" s="25">
        <v>82.867385864257813</v>
      </c>
      <c r="CZ56" s="25">
        <v>55.102809906005859</v>
      </c>
      <c r="DA56" s="25">
        <v>22.244272232055661</v>
      </c>
      <c r="DB56" s="25">
        <v>40.056865692138672</v>
      </c>
      <c r="DC56">
        <v>11758</v>
      </c>
      <c r="DD56" s="253" t="s">
        <v>380</v>
      </c>
    </row>
    <row r="57" spans="1:108" hidden="1">
      <c r="A57" s="13">
        <v>23815</v>
      </c>
      <c r="B57" s="13" t="s">
        <v>566</v>
      </c>
      <c r="C57" s="13" t="s">
        <v>567</v>
      </c>
      <c r="D57" s="13" t="s">
        <v>568</v>
      </c>
      <c r="E57" s="13" t="s">
        <v>569</v>
      </c>
      <c r="F57" s="14">
        <v>55.060166666666703</v>
      </c>
      <c r="G57" s="13">
        <v>44.48</v>
      </c>
      <c r="H57" s="13">
        <v>28.7</v>
      </c>
      <c r="I57" s="13">
        <v>33.71</v>
      </c>
      <c r="J57" s="14">
        <v>53.822081934766778</v>
      </c>
      <c r="K57" s="14">
        <v>73.850860009736323</v>
      </c>
      <c r="L57" s="14">
        <v>65.53274900019521</v>
      </c>
      <c r="M57" s="14">
        <v>54.484699999999997</v>
      </c>
      <c r="N57" s="14">
        <f t="shared" si="0"/>
        <v>40.487541666666672</v>
      </c>
      <c r="O57" s="14">
        <f t="shared" si="1"/>
        <v>61.922597736174573</v>
      </c>
      <c r="P57" s="14">
        <f t="shared" si="16"/>
        <v>51.205069701420626</v>
      </c>
      <c r="Q57" s="14">
        <v>33.346074612686657</v>
      </c>
      <c r="R57" s="17">
        <f t="shared" si="2"/>
        <v>66.653925387313336</v>
      </c>
      <c r="S57" s="14">
        <f t="shared" si="17"/>
        <v>0.69988532848582008</v>
      </c>
      <c r="T57" s="13">
        <v>0</v>
      </c>
      <c r="U57" s="13">
        <f t="shared" si="18"/>
        <v>35.837677028118087</v>
      </c>
      <c r="V57" s="13">
        <f>IF($T57=1,$AU57,(VLOOKUP(U57,'Cortes naturales'!$A$35:$C$39,3,9)))</f>
        <v>3</v>
      </c>
      <c r="W57" s="13">
        <v>3</v>
      </c>
      <c r="X57" s="14" t="b">
        <f t="shared" si="3"/>
        <v>1</v>
      </c>
      <c r="Y57" s="17">
        <f>IF($T57=1,$AU57,VLOOKUP(U57,'Cortes naturales'!$A$45:$C$49,3,9))</f>
        <v>2</v>
      </c>
      <c r="Z57" s="14">
        <v>54.442619924676563</v>
      </c>
      <c r="AA57" s="14">
        <v>0.71028877294261672</v>
      </c>
      <c r="AB57" s="14">
        <v>38.669981702079774</v>
      </c>
      <c r="AC57" s="13">
        <v>2</v>
      </c>
      <c r="AD57" s="13">
        <f t="shared" si="4"/>
        <v>0</v>
      </c>
      <c r="AE57" s="14">
        <f t="shared" si="5"/>
        <v>-3.237550223255937</v>
      </c>
      <c r="AF57" s="14">
        <f t="shared" si="6"/>
        <v>-1.040344445679664E-2</v>
      </c>
      <c r="AG57" s="13">
        <f t="shared" si="7"/>
        <v>-2.8323046739616871</v>
      </c>
      <c r="AH57" s="13">
        <f>IF($T57=1,$AU57,VLOOKUP(U57,'Cortes naturales'!$A$25:$C$29,3,9))</f>
        <v>2</v>
      </c>
      <c r="AI57" s="13" t="b">
        <f t="shared" si="8"/>
        <v>1</v>
      </c>
      <c r="AJ57" s="13">
        <f t="shared" si="19"/>
        <v>0</v>
      </c>
      <c r="AK57" s="28">
        <v>1.1166517821440873</v>
      </c>
      <c r="AL57" s="28">
        <v>60.793448563483281</v>
      </c>
      <c r="AM57" s="28">
        <v>0.58983594735213019</v>
      </c>
      <c r="AN57" s="13">
        <v>2</v>
      </c>
      <c r="AO57" s="33">
        <f t="shared" si="9"/>
        <v>0</v>
      </c>
      <c r="AP57" s="13">
        <f t="shared" si="20"/>
        <v>58.983594735213018</v>
      </c>
      <c r="AQ57" s="13">
        <f>IFERROR(VLOOKUP(U57,'Cortes naturales'!$E$15:$G$19,3,9),U57)</f>
        <v>3</v>
      </c>
      <c r="AR57" s="28">
        <f t="shared" si="10"/>
        <v>-0.41676645365826726</v>
      </c>
      <c r="AS57" s="13" t="b">
        <f t="shared" si="11"/>
        <v>0</v>
      </c>
      <c r="AT57" s="13">
        <f t="shared" si="21"/>
        <v>0</v>
      </c>
      <c r="AU57" s="13">
        <v>2</v>
      </c>
      <c r="AV57">
        <f t="shared" si="12"/>
        <v>0</v>
      </c>
      <c r="AW57" s="13">
        <v>0</v>
      </c>
      <c r="AX57" s="13">
        <v>0</v>
      </c>
      <c r="AY57" s="13">
        <v>0</v>
      </c>
      <c r="AZ57" s="13">
        <v>0</v>
      </c>
      <c r="BA57">
        <v>0</v>
      </c>
      <c r="BB57" t="s">
        <v>2839</v>
      </c>
      <c r="BC57">
        <v>6</v>
      </c>
      <c r="BD57" t="s">
        <v>2919</v>
      </c>
      <c r="BE57">
        <v>1</v>
      </c>
      <c r="BF57" s="232" t="s">
        <v>2846</v>
      </c>
      <c r="BG57" s="232" t="s">
        <v>2846</v>
      </c>
      <c r="BH57" s="253">
        <v>78</v>
      </c>
      <c r="BI57" s="253">
        <v>77.975670072190439</v>
      </c>
      <c r="BJ57" s="25" t="s">
        <v>2849</v>
      </c>
      <c r="BK57" t="s">
        <v>2849</v>
      </c>
      <c r="BL57">
        <v>0.99087504261134973</v>
      </c>
      <c r="BM57" t="s">
        <v>383</v>
      </c>
      <c r="BN57" s="322">
        <v>97115.709357</v>
      </c>
      <c r="BO57" s="322">
        <v>4895.262455</v>
      </c>
      <c r="BP57" s="10">
        <v>60386</v>
      </c>
      <c r="BQ57" s="254">
        <f t="shared" si="13"/>
        <v>1.6082487556221641</v>
      </c>
      <c r="BR57" s="254">
        <f t="shared" si="14"/>
        <v>8.1066181813665414E-2</v>
      </c>
      <c r="BS57" s="25">
        <v>42.339185239871753</v>
      </c>
      <c r="BT57" s="25">
        <v>88.149571092637359</v>
      </c>
      <c r="BU57" s="25">
        <v>31.18107436656793</v>
      </c>
      <c r="BV57" s="25">
        <v>99.739526221313781</v>
      </c>
      <c r="BW57" s="25">
        <v>46.490218956916031</v>
      </c>
      <c r="BX57" s="25">
        <v>65.352339230097698</v>
      </c>
      <c r="BY57" s="25">
        <v>45.9170498063339</v>
      </c>
      <c r="BZ57">
        <v>10</v>
      </c>
      <c r="CA57">
        <v>0</v>
      </c>
      <c r="CB57">
        <v>7</v>
      </c>
      <c r="CC57">
        <v>10652.481753</v>
      </c>
      <c r="CD57" s="10">
        <v>2876.7354850000002</v>
      </c>
      <c r="CE57" s="255">
        <v>0.27005307793086253</v>
      </c>
      <c r="CF57" t="str">
        <f>IFERROR(VLOOKUP(CE57,'Rangos amb etnico'!$A$2:$C$6,3,9),"N.D.")</f>
        <v>0,1% - 30%</v>
      </c>
      <c r="CG57" s="256">
        <v>8.3695079588375621E-5</v>
      </c>
      <c r="CH57" s="232">
        <v>2165.3630990000001</v>
      </c>
      <c r="CI57" s="311">
        <f t="shared" si="22"/>
        <v>0.20327311036136539</v>
      </c>
      <c r="CJ57" s="232" t="str">
        <f>IFERROR(VLOOKUP(CI57,'Rangos amb etnico'!$A$2:$C$6,3,9),"N.D.")</f>
        <v>0,1% - 30%</v>
      </c>
      <c r="CK57" s="311">
        <f t="shared" si="23"/>
        <v>8.5979092096627306E-5</v>
      </c>
      <c r="CL57" s="10">
        <v>0</v>
      </c>
      <c r="CM57" s="255">
        <f t="shared" si="24"/>
        <v>0</v>
      </c>
      <c r="CN57" s="232">
        <f>IFERROR(VLOOKUP(CM57,'Rangos amb etnico'!$A$2:$C$6,3,9),"N.D.")</f>
        <v>0</v>
      </c>
      <c r="CO57" s="311">
        <f t="shared" si="25"/>
        <v>0</v>
      </c>
      <c r="CP57">
        <v>0.93855946155505787</v>
      </c>
      <c r="CQ57" t="s">
        <v>2864</v>
      </c>
      <c r="CR57">
        <f t="shared" si="15"/>
        <v>1</v>
      </c>
      <c r="CS57" t="str">
        <f t="shared" si="26"/>
        <v>No es Candidato</v>
      </c>
      <c r="CT57">
        <v>0</v>
      </c>
      <c r="CU57">
        <v>0</v>
      </c>
      <c r="CV57" s="25">
        <v>48.115451812744141</v>
      </c>
      <c r="CW57" s="25">
        <v>31.468929290771481</v>
      </c>
      <c r="CX57" s="25">
        <v>65.397026062011719</v>
      </c>
      <c r="CY57" s="25">
        <v>35.592586517333977</v>
      </c>
      <c r="CZ57" s="25">
        <v>12.89124965667725</v>
      </c>
      <c r="DA57" s="25">
        <v>98.547355651855469</v>
      </c>
      <c r="DB57" s="25">
        <v>44.795551300048828</v>
      </c>
      <c r="DC57">
        <v>52134</v>
      </c>
      <c r="DD57" s="253" t="s">
        <v>380</v>
      </c>
    </row>
    <row r="58" spans="1:108">
      <c r="A58" s="13">
        <v>5030</v>
      </c>
      <c r="B58" s="13" t="s">
        <v>570</v>
      </c>
      <c r="C58" s="13" t="s">
        <v>435</v>
      </c>
      <c r="D58" s="13" t="s">
        <v>436</v>
      </c>
      <c r="E58" s="13" t="s">
        <v>571</v>
      </c>
      <c r="F58" s="14">
        <v>53.830599999999997</v>
      </c>
      <c r="G58" s="13">
        <v>58.64</v>
      </c>
      <c r="H58" s="13">
        <v>43.02</v>
      </c>
      <c r="I58" s="13">
        <v>44.31</v>
      </c>
      <c r="J58" s="14">
        <v>60.750091468026511</v>
      </c>
      <c r="K58" s="14">
        <v>72.167404447145245</v>
      </c>
      <c r="L58" s="14">
        <v>64.425323830597222</v>
      </c>
      <c r="M58" s="14">
        <v>65.251800000000003</v>
      </c>
      <c r="N58" s="14">
        <f t="shared" si="0"/>
        <v>49.950150000000001</v>
      </c>
      <c r="O58" s="14">
        <f t="shared" si="1"/>
        <v>65.648654936442242</v>
      </c>
      <c r="P58" s="14">
        <f t="shared" si="16"/>
        <v>57.799402468221118</v>
      </c>
      <c r="Q58" s="14">
        <v>33.013489402301012</v>
      </c>
      <c r="R58" s="17">
        <f t="shared" si="2"/>
        <v>66.986510597698981</v>
      </c>
      <c r="S58" s="14">
        <f t="shared" si="17"/>
        <v>0.70287859537929076</v>
      </c>
      <c r="T58" s="13">
        <v>0</v>
      </c>
      <c r="U58" s="13">
        <f t="shared" si="18"/>
        <v>40.625962820625574</v>
      </c>
      <c r="V58" s="13">
        <f>IF($T58=1,$AU58,(VLOOKUP(U58,'Cortes naturales'!$A$35:$C$39,3,9)))</f>
        <v>2</v>
      </c>
      <c r="W58" s="13">
        <v>2</v>
      </c>
      <c r="X58" s="14" t="b">
        <f t="shared" si="3"/>
        <v>1</v>
      </c>
      <c r="Y58" s="17">
        <f>IF($T58=1,$AU58,VLOOKUP(U58,'Cortes naturales'!$A$45:$C$49,3,9))</f>
        <v>2</v>
      </c>
      <c r="Z58" s="14">
        <v>57.201380808786979</v>
      </c>
      <c r="AA58" s="14">
        <v>0.71153277088723677</v>
      </c>
      <c r="AB58" s="14">
        <v>40.700656985452206</v>
      </c>
      <c r="AC58" s="13">
        <v>2</v>
      </c>
      <c r="AD58" s="13">
        <f t="shared" si="4"/>
        <v>0</v>
      </c>
      <c r="AE58" s="14">
        <f t="shared" si="5"/>
        <v>0.59802165943413854</v>
      </c>
      <c r="AF58" s="14">
        <f t="shared" si="6"/>
        <v>-8.6541755079460048E-3</v>
      </c>
      <c r="AG58" s="13">
        <f t="shared" si="7"/>
        <v>-7.4694164826631493E-2</v>
      </c>
      <c r="AH58" s="13">
        <f>IF($T58=1,$AU58,VLOOKUP(U58,'Cortes naturales'!$A$25:$C$29,3,9))</f>
        <v>2</v>
      </c>
      <c r="AI58" s="13" t="b">
        <f t="shared" si="8"/>
        <v>1</v>
      </c>
      <c r="AJ58" s="13">
        <f t="shared" si="19"/>
        <v>0</v>
      </c>
      <c r="AK58" s="28">
        <v>1.1166517821440873</v>
      </c>
      <c r="AL58" s="28">
        <v>63.874023821234573</v>
      </c>
      <c r="AM58" s="28">
        <v>0.62837069659419609</v>
      </c>
      <c r="AN58" s="13">
        <v>2</v>
      </c>
      <c r="AO58" s="33">
        <f t="shared" si="9"/>
        <v>0</v>
      </c>
      <c r="AP58" s="13">
        <f t="shared" si="20"/>
        <v>62.837069659419612</v>
      </c>
      <c r="AQ58" s="13">
        <f>IFERROR(VLOOKUP(U58,'Cortes naturales'!$E$15:$G$19,3,9),U58)</f>
        <v>3</v>
      </c>
      <c r="AR58" s="28">
        <f t="shared" si="10"/>
        <v>-0.41377318676479657</v>
      </c>
      <c r="AS58" s="13" t="b">
        <f t="shared" si="11"/>
        <v>0</v>
      </c>
      <c r="AT58" s="13">
        <f t="shared" si="21"/>
        <v>0</v>
      </c>
      <c r="AU58" s="13">
        <v>1</v>
      </c>
      <c r="AV58">
        <f t="shared" si="12"/>
        <v>-1</v>
      </c>
      <c r="AW58" s="13">
        <v>0</v>
      </c>
      <c r="AX58" s="13">
        <v>0</v>
      </c>
      <c r="AY58" s="13">
        <v>0</v>
      </c>
      <c r="AZ58" s="13">
        <v>0</v>
      </c>
      <c r="BA58">
        <v>0</v>
      </c>
      <c r="BB58" t="s">
        <v>2839</v>
      </c>
      <c r="BC58">
        <v>5</v>
      </c>
      <c r="BD58" t="s">
        <v>2919</v>
      </c>
      <c r="BE58">
        <v>1</v>
      </c>
      <c r="BF58" s="232" t="s">
        <v>2846</v>
      </c>
      <c r="BG58" s="232" t="s">
        <v>2845</v>
      </c>
      <c r="BH58" s="253">
        <v>22.9</v>
      </c>
      <c r="BI58" s="253">
        <v>9.663881290515981</v>
      </c>
      <c r="BJ58" s="25">
        <v>30.568449311005033</v>
      </c>
      <c r="BK58" t="s">
        <v>379</v>
      </c>
      <c r="BL58">
        <v>5.3119817127724085</v>
      </c>
      <c r="BM58" t="s">
        <v>383</v>
      </c>
      <c r="BN58" s="322">
        <v>79522.107959999994</v>
      </c>
      <c r="BO58" s="322">
        <v>18632.226857000001</v>
      </c>
      <c r="BP58" s="10">
        <v>32595</v>
      </c>
      <c r="BQ58" s="254">
        <f t="shared" si="13"/>
        <v>2.4397026525540726</v>
      </c>
      <c r="BR58" s="254">
        <f t="shared" si="14"/>
        <v>0.57162837419849677</v>
      </c>
      <c r="BS58" s="25">
        <v>64.554820634877231</v>
      </c>
      <c r="BT58" s="25">
        <v>91.353347124303312</v>
      </c>
      <c r="BU58" s="25">
        <v>54.149916276429657</v>
      </c>
      <c r="BV58" s="25">
        <v>87.469759641410178</v>
      </c>
      <c r="BW58" s="25">
        <v>48.145438100960362</v>
      </c>
      <c r="BX58" s="25">
        <v>74.381960919255093</v>
      </c>
      <c r="BY58" s="25">
        <v>49.354750829411728</v>
      </c>
      <c r="BZ58">
        <v>83</v>
      </c>
      <c r="CA58">
        <v>1</v>
      </c>
      <c r="CB58">
        <v>6</v>
      </c>
      <c r="CC58">
        <v>8411.8976770000008</v>
      </c>
      <c r="CD58" s="10">
        <v>537.04995799999995</v>
      </c>
      <c r="CE58" s="255">
        <v>6.3844090670338749E-2</v>
      </c>
      <c r="CF58" t="str">
        <f>IFERROR(VLOOKUP(CE58,'Rangos amb etnico'!$A$2:$C$6,3,9),"N.D.")</f>
        <v>0,1% - 30%</v>
      </c>
      <c r="CG58" s="256">
        <v>1.5624807776771933E-5</v>
      </c>
      <c r="CH58" s="232">
        <v>0</v>
      </c>
      <c r="CI58" s="311">
        <f t="shared" si="22"/>
        <v>0</v>
      </c>
      <c r="CJ58" s="232">
        <f>IFERROR(VLOOKUP(CI58,'Rangos amb etnico'!$A$2:$C$6,3,9),"N.D.")</f>
        <v>0</v>
      </c>
      <c r="CK58" s="311">
        <f t="shared" si="23"/>
        <v>0</v>
      </c>
      <c r="CL58" s="10">
        <v>0</v>
      </c>
      <c r="CM58" s="255">
        <f t="shared" si="24"/>
        <v>0</v>
      </c>
      <c r="CN58" s="232">
        <f>IFERROR(VLOOKUP(CM58,'Rangos amb etnico'!$A$2:$C$6,3,9),"N.D.")</f>
        <v>0</v>
      </c>
      <c r="CO58" s="311">
        <f t="shared" si="25"/>
        <v>0</v>
      </c>
      <c r="CP58">
        <v>0.93029069671123343</v>
      </c>
      <c r="CQ58" t="s">
        <v>2864</v>
      </c>
      <c r="CR58">
        <f t="shared" si="15"/>
        <v>2</v>
      </c>
      <c r="CS58" t="str">
        <f t="shared" si="26"/>
        <v>No es Candidato</v>
      </c>
      <c r="CT58">
        <v>0</v>
      </c>
      <c r="CU58">
        <v>0</v>
      </c>
      <c r="CV58" s="25">
        <v>50.629062652587891</v>
      </c>
      <c r="CW58" s="25">
        <v>49.791904449462891</v>
      </c>
      <c r="CX58" s="25">
        <v>60.482681274414063</v>
      </c>
      <c r="CY58" s="25">
        <v>61.156455993652337</v>
      </c>
      <c r="CZ58" s="25">
        <v>62.869373321533203</v>
      </c>
      <c r="DA58" s="25">
        <v>28.51900482177734</v>
      </c>
      <c r="DB58" s="25">
        <v>40.954959869384773</v>
      </c>
      <c r="DC58">
        <v>396</v>
      </c>
      <c r="DD58" s="253" t="s">
        <v>380</v>
      </c>
    </row>
    <row r="59" spans="1:108">
      <c r="A59" s="13">
        <v>5697</v>
      </c>
      <c r="B59" s="13" t="s">
        <v>572</v>
      </c>
      <c r="C59" s="13" t="s">
        <v>435</v>
      </c>
      <c r="D59" s="13" t="s">
        <v>436</v>
      </c>
      <c r="E59" s="13" t="s">
        <v>573</v>
      </c>
      <c r="F59" s="14">
        <v>84.315299999999993</v>
      </c>
      <c r="G59" s="13">
        <v>77.819999999999993</v>
      </c>
      <c r="H59" s="13">
        <v>79.84</v>
      </c>
      <c r="I59" s="13">
        <v>82.3</v>
      </c>
      <c r="J59" s="14">
        <v>58.034764466681729</v>
      </c>
      <c r="K59" s="14">
        <v>66.861928020081947</v>
      </c>
      <c r="L59" s="14">
        <v>64.239396157924944</v>
      </c>
      <c r="M59" s="14">
        <v>61.523000000000003</v>
      </c>
      <c r="N59" s="14">
        <f t="shared" si="0"/>
        <v>81.06882499999999</v>
      </c>
      <c r="O59" s="14">
        <f t="shared" si="1"/>
        <v>62.664772161172152</v>
      </c>
      <c r="P59" s="14">
        <f t="shared" si="16"/>
        <v>71.866798580586078</v>
      </c>
      <c r="Q59" s="14">
        <v>33.604153996254048</v>
      </c>
      <c r="R59" s="17">
        <f t="shared" si="2"/>
        <v>66.395846003745959</v>
      </c>
      <c r="S59" s="14">
        <f t="shared" si="17"/>
        <v>0.69756261403371367</v>
      </c>
      <c r="T59" s="13">
        <v>0</v>
      </c>
      <c r="U59" s="13">
        <f t="shared" si="18"/>
        <v>50.131591880108004</v>
      </c>
      <c r="V59" s="13">
        <f>IF($T59=1,$AU59,(VLOOKUP(U59,'Cortes naturales'!$A$35:$C$39,3,9)))</f>
        <v>2</v>
      </c>
      <c r="W59" s="13">
        <v>2</v>
      </c>
      <c r="X59" s="14" t="b">
        <f t="shared" si="3"/>
        <v>1</v>
      </c>
      <c r="Y59" s="17">
        <f>IF($T59=1,$AU59,VLOOKUP(U59,'Cortes naturales'!$A$45:$C$49,3,9))</f>
        <v>1</v>
      </c>
      <c r="Z59" s="14">
        <v>72.933372783115374</v>
      </c>
      <c r="AA59" s="14">
        <v>0.71270638751351012</v>
      </c>
      <c r="AB59" s="14">
        <v>51.98008064543032</v>
      </c>
      <c r="AC59" s="13">
        <v>1</v>
      </c>
      <c r="AD59" s="13">
        <f t="shared" si="4"/>
        <v>0</v>
      </c>
      <c r="AE59" s="14">
        <f t="shared" si="5"/>
        <v>-1.0665742025292957</v>
      </c>
      <c r="AF59" s="14">
        <f t="shared" si="6"/>
        <v>-1.5143773479796452E-2</v>
      </c>
      <c r="AG59" s="13">
        <f t="shared" si="7"/>
        <v>-1.8484887653223154</v>
      </c>
      <c r="AH59" s="13">
        <f>IF($T59=1,$AU59,VLOOKUP(U59,'Cortes naturales'!$A$25:$C$29,3,9))</f>
        <v>1</v>
      </c>
      <c r="AI59" s="13" t="b">
        <f t="shared" si="8"/>
        <v>1</v>
      </c>
      <c r="AJ59" s="13">
        <f t="shared" si="19"/>
        <v>0</v>
      </c>
      <c r="AK59" s="28">
        <v>1.1166517821440873</v>
      </c>
      <c r="AL59" s="28">
        <v>81.441180696044853</v>
      </c>
      <c r="AM59" s="28">
        <v>0.84811731156928161</v>
      </c>
      <c r="AN59" s="13">
        <v>1</v>
      </c>
      <c r="AO59" s="33">
        <f t="shared" si="9"/>
        <v>0</v>
      </c>
      <c r="AP59" s="13">
        <f t="shared" si="20"/>
        <v>84.811731156928161</v>
      </c>
      <c r="AQ59" s="13">
        <f>IFERROR(VLOOKUP(U59,'Cortes naturales'!$E$15:$G$19,3,9),U59)</f>
        <v>2</v>
      </c>
      <c r="AR59" s="28">
        <f t="shared" si="10"/>
        <v>-0.41908916811037367</v>
      </c>
      <c r="AS59" s="13" t="b">
        <f t="shared" si="11"/>
        <v>0</v>
      </c>
      <c r="AT59" s="13">
        <f t="shared" si="21"/>
        <v>0</v>
      </c>
      <c r="AU59" s="13">
        <v>1</v>
      </c>
      <c r="AV59">
        <f t="shared" si="12"/>
        <v>0</v>
      </c>
      <c r="AW59" s="13">
        <v>0</v>
      </c>
      <c r="AX59" s="13">
        <v>0</v>
      </c>
      <c r="AY59" s="13">
        <v>0</v>
      </c>
      <c r="AZ59" s="13">
        <v>0</v>
      </c>
      <c r="BA59">
        <v>0</v>
      </c>
      <c r="BB59" t="s">
        <v>2839</v>
      </c>
      <c r="BC59">
        <v>6</v>
      </c>
      <c r="BD59" t="s">
        <v>2919</v>
      </c>
      <c r="BE59">
        <v>1</v>
      </c>
      <c r="BF59" s="232" t="s">
        <v>2846</v>
      </c>
      <c r="BG59" s="232" t="s">
        <v>2845</v>
      </c>
      <c r="BH59" s="253">
        <v>22</v>
      </c>
      <c r="BI59" s="253">
        <v>6.7955709800033048</v>
      </c>
      <c r="BJ59" s="25">
        <v>11.397519656810426</v>
      </c>
      <c r="BK59" t="s">
        <v>377</v>
      </c>
      <c r="BL59">
        <v>1.218441216905235</v>
      </c>
      <c r="BM59" t="s">
        <v>383</v>
      </c>
      <c r="BN59" s="322">
        <v>59628.100095000002</v>
      </c>
      <c r="BO59" s="322">
        <v>18209.034568999999</v>
      </c>
      <c r="BP59" s="10">
        <v>39396</v>
      </c>
      <c r="BQ59" s="254">
        <f t="shared" si="13"/>
        <v>1.5135572163417605</v>
      </c>
      <c r="BR59" s="254">
        <f t="shared" si="14"/>
        <v>0.46220516217382474</v>
      </c>
      <c r="BS59" s="25">
        <v>71.638062764873041</v>
      </c>
      <c r="BT59" s="25">
        <v>93.085841236335327</v>
      </c>
      <c r="BU59" s="25">
        <v>69.38666666666667</v>
      </c>
      <c r="BV59" s="25">
        <v>91.85664019660102</v>
      </c>
      <c r="BW59" s="25">
        <v>65.076978664553508</v>
      </c>
      <c r="BX59" s="25">
        <v>81.491802716119011</v>
      </c>
      <c r="BY59" s="25">
        <v>65.533636723181431</v>
      </c>
      <c r="BZ59">
        <v>22</v>
      </c>
      <c r="CA59">
        <v>0</v>
      </c>
      <c r="CB59">
        <v>6</v>
      </c>
      <c r="CC59">
        <v>8352.8319690000008</v>
      </c>
      <c r="CD59" s="10">
        <v>3707.8519550000001</v>
      </c>
      <c r="CE59" s="255">
        <v>0.44390357291527122</v>
      </c>
      <c r="CF59" t="str">
        <f>IFERROR(VLOOKUP(CE59,'Rangos amb etnico'!$A$2:$C$6,3,9),"N.D.")</f>
        <v>31% - 50%</v>
      </c>
      <c r="CG59" s="256">
        <v>1.0787539073153233E-4</v>
      </c>
      <c r="CH59" s="232">
        <v>0</v>
      </c>
      <c r="CI59" s="311">
        <f t="shared" si="22"/>
        <v>0</v>
      </c>
      <c r="CJ59" s="232">
        <f>IFERROR(VLOOKUP(CI59,'Rangos amb etnico'!$A$2:$C$6,3,9),"N.D.")</f>
        <v>0</v>
      </c>
      <c r="CK59" s="311">
        <f t="shared" si="23"/>
        <v>0</v>
      </c>
      <c r="CL59" s="10">
        <v>0</v>
      </c>
      <c r="CM59" s="255">
        <f t="shared" si="24"/>
        <v>0</v>
      </c>
      <c r="CN59" s="232">
        <f>IFERROR(VLOOKUP(CM59,'Rangos amb etnico'!$A$2:$C$6,3,9),"N.D.")</f>
        <v>0</v>
      </c>
      <c r="CO59" s="311">
        <f t="shared" si="25"/>
        <v>0</v>
      </c>
      <c r="CP59">
        <v>0.81152791204082131</v>
      </c>
      <c r="CQ59" t="s">
        <v>2865</v>
      </c>
      <c r="CR59">
        <f t="shared" si="15"/>
        <v>4</v>
      </c>
      <c r="CS59" t="str">
        <f t="shared" si="26"/>
        <v>Candidato</v>
      </c>
      <c r="CT59">
        <v>0</v>
      </c>
      <c r="CU59">
        <v>0</v>
      </c>
      <c r="CV59" s="25">
        <v>55.594284057617188</v>
      </c>
      <c r="CW59" s="25">
        <v>43.464481353759773</v>
      </c>
      <c r="CX59" s="25">
        <v>38.731685638427727</v>
      </c>
      <c r="CY59" s="25">
        <v>65.714485168457031</v>
      </c>
      <c r="CZ59" s="25">
        <v>64.786643981933594</v>
      </c>
      <c r="DA59" s="25">
        <v>54.899436950683587</v>
      </c>
      <c r="DB59" s="25">
        <v>65.968978881835938</v>
      </c>
      <c r="DC59">
        <v>344</v>
      </c>
      <c r="DD59" s="253" t="s">
        <v>380</v>
      </c>
    </row>
    <row r="60" spans="1:108" hidden="1">
      <c r="A60" s="13">
        <v>76520</v>
      </c>
      <c r="B60" s="13" t="s">
        <v>574</v>
      </c>
      <c r="C60" s="13" t="s">
        <v>454</v>
      </c>
      <c r="D60" s="13" t="s">
        <v>455</v>
      </c>
      <c r="E60" s="13" t="s">
        <v>575</v>
      </c>
      <c r="F60" s="14">
        <v>72.999733333333296</v>
      </c>
      <c r="G60" s="13">
        <v>79.98</v>
      </c>
      <c r="H60" s="13">
        <v>82</v>
      </c>
      <c r="I60" s="13">
        <v>82.41</v>
      </c>
      <c r="J60" s="14">
        <v>57.700775200812203</v>
      </c>
      <c r="K60" s="14">
        <v>58.843563028243381</v>
      </c>
      <c r="L60" s="14">
        <v>52.580807541655275</v>
      </c>
      <c r="M60" s="14">
        <v>63.866599999999998</v>
      </c>
      <c r="N60" s="14">
        <f t="shared" si="0"/>
        <v>79.347433333333328</v>
      </c>
      <c r="O60" s="14">
        <f t="shared" si="1"/>
        <v>58.247936442677712</v>
      </c>
      <c r="P60" s="14">
        <f t="shared" si="16"/>
        <v>68.79768488800552</v>
      </c>
      <c r="Q60" s="14">
        <v>34.801666901705616</v>
      </c>
      <c r="R60" s="17">
        <f t="shared" si="2"/>
        <v>65.198333098294384</v>
      </c>
      <c r="S60" s="14">
        <f t="shared" si="17"/>
        <v>0.68678499788464942</v>
      </c>
      <c r="T60" s="13">
        <v>0</v>
      </c>
      <c r="U60" s="13">
        <f t="shared" si="18"/>
        <v>47.249217870277647</v>
      </c>
      <c r="V60" s="13">
        <f>IF($T60=1,$AU60,(VLOOKUP(U60,'Cortes naturales'!$A$35:$C$39,3,9)))</f>
        <v>2</v>
      </c>
      <c r="W60" s="13">
        <v>2</v>
      </c>
      <c r="X60" s="14" t="b">
        <f t="shared" si="3"/>
        <v>1</v>
      </c>
      <c r="Y60" s="17">
        <f>IF($T60=1,$AU60,VLOOKUP(U60,'Cortes naturales'!$A$45:$C$49,3,9))</f>
        <v>1</v>
      </c>
      <c r="Z60" s="14">
        <v>64.825945482036616</v>
      </c>
      <c r="AA60" s="14">
        <v>0.6995236100284099</v>
      </c>
      <c r="AB60" s="14">
        <v>45.347279407099144</v>
      </c>
      <c r="AC60" s="13">
        <v>2</v>
      </c>
      <c r="AD60" s="13">
        <f t="shared" si="4"/>
        <v>1</v>
      </c>
      <c r="AE60" s="14">
        <f t="shared" si="5"/>
        <v>3.9717394059689042</v>
      </c>
      <c r="AF60" s="14">
        <f t="shared" si="6"/>
        <v>-1.2738612143760486E-2</v>
      </c>
      <c r="AG60" s="13">
        <f t="shared" si="7"/>
        <v>1.901938463178503</v>
      </c>
      <c r="AH60" s="13">
        <f>IF($T60=1,$AU60,VLOOKUP(U60,'Cortes naturales'!$A$25:$C$29,3,9))</f>
        <v>1</v>
      </c>
      <c r="AI60" s="13" t="b">
        <f t="shared" si="8"/>
        <v>1</v>
      </c>
      <c r="AJ60" s="13" t="str">
        <f t="shared" si="19"/>
        <v>Efecto ponderador</v>
      </c>
      <c r="AK60" s="28">
        <v>0.9741882058902549</v>
      </c>
      <c r="AL60" s="28">
        <v>63.152671524284727</v>
      </c>
      <c r="AM60" s="28">
        <v>0.61934733973634692</v>
      </c>
      <c r="AN60" s="13">
        <v>2</v>
      </c>
      <c r="AO60" s="33">
        <f t="shared" si="9"/>
        <v>1</v>
      </c>
      <c r="AP60" s="13">
        <f t="shared" si="20"/>
        <v>61.934733973634692</v>
      </c>
      <c r="AQ60" s="13">
        <f>IFERROR(VLOOKUP(U60,'Cortes naturales'!$E$15:$G$19,3,9),U60)</f>
        <v>3</v>
      </c>
      <c r="AR60" s="28">
        <f t="shared" si="10"/>
        <v>-0.28740320800560548</v>
      </c>
      <c r="AS60" s="13" t="b">
        <f t="shared" si="11"/>
        <v>0</v>
      </c>
      <c r="AT60" s="13" t="str">
        <f t="shared" si="21"/>
        <v>Cambio en corte</v>
      </c>
      <c r="AU60" s="13">
        <v>1</v>
      </c>
      <c r="AV60">
        <f t="shared" si="12"/>
        <v>0</v>
      </c>
      <c r="AW60" s="13">
        <v>0</v>
      </c>
      <c r="AX60" s="13">
        <v>1</v>
      </c>
      <c r="AY60" s="13">
        <v>0</v>
      </c>
      <c r="AZ60" s="13">
        <v>0</v>
      </c>
      <c r="BA60">
        <v>0</v>
      </c>
      <c r="BB60" t="s">
        <v>2838</v>
      </c>
      <c r="BC60">
        <v>1</v>
      </c>
      <c r="BD60" t="s">
        <v>2920</v>
      </c>
      <c r="BE60">
        <v>1</v>
      </c>
      <c r="BF60" s="232" t="s">
        <v>2845</v>
      </c>
      <c r="BG60" s="232" t="s">
        <v>2845</v>
      </c>
      <c r="BH60" s="253">
        <v>11.5</v>
      </c>
      <c r="BI60" s="253">
        <v>4.5692626005689014</v>
      </c>
      <c r="BJ60" s="25">
        <v>2.863038010269817</v>
      </c>
      <c r="BK60" t="s">
        <v>381</v>
      </c>
      <c r="BL60">
        <v>3.4377242815853797</v>
      </c>
      <c r="BM60" t="s">
        <v>383</v>
      </c>
      <c r="BN60" s="322">
        <v>891310.53115299996</v>
      </c>
      <c r="BO60" s="322">
        <v>326526.75550099998</v>
      </c>
      <c r="BP60" s="10">
        <v>378446</v>
      </c>
      <c r="BQ60" s="254">
        <f t="shared" si="13"/>
        <v>2.3551854984674168</v>
      </c>
      <c r="BR60" s="254">
        <f t="shared" si="14"/>
        <v>0.86280937174920591</v>
      </c>
      <c r="BS60" s="25">
        <v>61.047569576862728</v>
      </c>
      <c r="BT60" s="25">
        <v>91.662073942467444</v>
      </c>
      <c r="BU60" s="25">
        <v>67.296699387140336</v>
      </c>
      <c r="BV60" s="25">
        <v>75.831177813371312</v>
      </c>
      <c r="BW60" s="25">
        <v>80.942528592197817</v>
      </c>
      <c r="BX60" s="25">
        <v>73.959380179960448</v>
      </c>
      <c r="BY60" s="25">
        <v>81.782472244980582</v>
      </c>
      <c r="BZ60">
        <v>85</v>
      </c>
      <c r="CA60">
        <v>0</v>
      </c>
      <c r="CB60">
        <v>3</v>
      </c>
      <c r="CC60">
        <v>100505.238702</v>
      </c>
      <c r="CD60" s="10">
        <v>39748.121764000003</v>
      </c>
      <c r="CE60" s="255">
        <v>0.39548308403956894</v>
      </c>
      <c r="CF60" t="str">
        <f>IFERROR(VLOOKUP(CE60,'Rangos amb etnico'!$A$2:$C$6,3,9),"N.D.")</f>
        <v>31% - 50%</v>
      </c>
      <c r="CG60" s="256">
        <v>1.1564226992272198E-3</v>
      </c>
      <c r="CH60" s="232">
        <v>0</v>
      </c>
      <c r="CI60" s="311">
        <f t="shared" si="22"/>
        <v>0</v>
      </c>
      <c r="CJ60" s="232">
        <f>IFERROR(VLOOKUP(CI60,'Rangos amb etnico'!$A$2:$C$6,3,9),"N.D.")</f>
        <v>0</v>
      </c>
      <c r="CK60" s="311">
        <f t="shared" si="23"/>
        <v>0</v>
      </c>
      <c r="CL60" s="10">
        <v>0</v>
      </c>
      <c r="CM60" s="255">
        <f t="shared" si="24"/>
        <v>0</v>
      </c>
      <c r="CN60" s="232">
        <f>IFERROR(VLOOKUP(CM60,'Rangos amb etnico'!$A$2:$C$6,3,9),"N.D.")</f>
        <v>0</v>
      </c>
      <c r="CO60" s="311">
        <f t="shared" si="25"/>
        <v>0</v>
      </c>
      <c r="CP60">
        <v>0.99007969257479811</v>
      </c>
      <c r="CQ60" t="s">
        <v>2864</v>
      </c>
      <c r="CR60">
        <f t="shared" si="15"/>
        <v>4</v>
      </c>
      <c r="CS60" t="str">
        <f t="shared" si="26"/>
        <v>Candidato</v>
      </c>
      <c r="CT60">
        <v>0</v>
      </c>
      <c r="CU60">
        <v>0</v>
      </c>
      <c r="CV60" s="25">
        <v>60.405784606933587</v>
      </c>
      <c r="CW60" s="25">
        <v>66.621055603027344</v>
      </c>
      <c r="CX60" s="25">
        <v>63.882087707519531</v>
      </c>
      <c r="CY60" s="25">
        <v>74.780380249023438</v>
      </c>
      <c r="CZ60" s="25">
        <v>77.338920593261719</v>
      </c>
      <c r="DA60" s="25">
        <v>22.016778945922852</v>
      </c>
      <c r="DB60" s="25">
        <v>57.795478820800781</v>
      </c>
      <c r="DC60">
        <v>34456</v>
      </c>
      <c r="DD60" s="253" t="s">
        <v>380</v>
      </c>
    </row>
    <row r="61" spans="1:108" hidden="1">
      <c r="A61" s="13">
        <v>15759</v>
      </c>
      <c r="B61" s="13" t="s">
        <v>576</v>
      </c>
      <c r="C61" s="13" t="s">
        <v>498</v>
      </c>
      <c r="D61" s="13" t="s">
        <v>499</v>
      </c>
      <c r="E61" s="13" t="s">
        <v>577</v>
      </c>
      <c r="F61" s="14">
        <v>82.696799999999996</v>
      </c>
      <c r="G61" s="13">
        <v>88.93</v>
      </c>
      <c r="H61" s="13">
        <v>86.28</v>
      </c>
      <c r="I61" s="13">
        <v>88</v>
      </c>
      <c r="J61" s="14">
        <v>48.374072534065427</v>
      </c>
      <c r="K61" s="14">
        <v>56.387633763452321</v>
      </c>
      <c r="L61" s="14">
        <v>58.987908863127927</v>
      </c>
      <c r="M61" s="14">
        <v>75.722399999999993</v>
      </c>
      <c r="N61" s="14">
        <f t="shared" si="0"/>
        <v>86.476699999999994</v>
      </c>
      <c r="O61" s="14">
        <f t="shared" si="1"/>
        <v>59.868003790161417</v>
      </c>
      <c r="P61" s="14">
        <f t="shared" si="16"/>
        <v>73.172351895080709</v>
      </c>
      <c r="Q61" s="14">
        <v>35.323619893944333</v>
      </c>
      <c r="R61" s="17">
        <f t="shared" si="2"/>
        <v>64.67638010605566</v>
      </c>
      <c r="S61" s="14">
        <f t="shared" si="17"/>
        <v>0.68208742095450092</v>
      </c>
      <c r="T61" s="13">
        <v>0</v>
      </c>
      <c r="U61" s="13">
        <f t="shared" si="18"/>
        <v>49.909940789290786</v>
      </c>
      <c r="V61" s="13">
        <f>IF($T61=1,$AU61,(VLOOKUP(U61,'Cortes naturales'!$A$35:$C$39,3,9)))</f>
        <v>2</v>
      </c>
      <c r="W61" s="13">
        <v>2</v>
      </c>
      <c r="X61" s="14" t="b">
        <f t="shared" si="3"/>
        <v>1</v>
      </c>
      <c r="Y61" s="17">
        <f>IF($T61=1,$AU61,VLOOKUP(U61,'Cortes naturales'!$A$45:$C$49,3,9))</f>
        <v>1</v>
      </c>
      <c r="Z61" s="14">
        <v>69.366230287711204</v>
      </c>
      <c r="AA61" s="14">
        <v>0.69885203505422633</v>
      </c>
      <c r="AB61" s="14">
        <v>48.476731200607084</v>
      </c>
      <c r="AC61" s="13">
        <v>1</v>
      </c>
      <c r="AD61" s="13">
        <f t="shared" si="4"/>
        <v>0</v>
      </c>
      <c r="AE61" s="14">
        <f t="shared" si="5"/>
        <v>3.806121607369505</v>
      </c>
      <c r="AF61" s="14">
        <f t="shared" si="6"/>
        <v>-1.6764614099725406E-2</v>
      </c>
      <c r="AG61" s="13">
        <f t="shared" si="7"/>
        <v>1.4332095886837024</v>
      </c>
      <c r="AH61" s="13">
        <f>IF($T61=1,$AU61,VLOOKUP(U61,'Cortes naturales'!$A$25:$C$29,3,9))</f>
        <v>1</v>
      </c>
      <c r="AI61" s="13" t="b">
        <f t="shared" si="8"/>
        <v>1</v>
      </c>
      <c r="AJ61" s="13">
        <f t="shared" si="19"/>
        <v>0</v>
      </c>
      <c r="AK61" s="28" t="s">
        <v>440</v>
      </c>
      <c r="AL61" s="28" t="s">
        <v>380</v>
      </c>
      <c r="AM61" s="28" t="s">
        <v>380</v>
      </c>
      <c r="AN61" s="13" t="s">
        <v>476</v>
      </c>
      <c r="AO61" s="33">
        <f t="shared" si="9"/>
        <v>1</v>
      </c>
      <c r="AP61" s="13" t="str">
        <f t="shared" si="20"/>
        <v>N.D</v>
      </c>
      <c r="AQ61" s="13">
        <f>IFERROR(VLOOKUP(U61,'Cortes naturales'!$E$15:$G$19,3,9),U61)</f>
        <v>2</v>
      </c>
      <c r="AR61" s="28" t="str">
        <f t="shared" si="10"/>
        <v>N.D.</v>
      </c>
      <c r="AS61" s="13" t="b">
        <f t="shared" si="11"/>
        <v>0</v>
      </c>
      <c r="AT61" s="13" t="str">
        <f t="shared" si="21"/>
        <v>Cambio en corte</v>
      </c>
      <c r="AU61" s="13" t="s">
        <v>476</v>
      </c>
      <c r="AV61">
        <f t="shared" si="12"/>
        <v>1</v>
      </c>
      <c r="AW61" s="13">
        <v>0</v>
      </c>
      <c r="AX61" s="13">
        <v>1</v>
      </c>
      <c r="AY61" s="13">
        <v>0</v>
      </c>
      <c r="AZ61" s="13">
        <v>0</v>
      </c>
      <c r="BA61">
        <v>0</v>
      </c>
      <c r="BB61" t="s">
        <v>2838</v>
      </c>
      <c r="BC61">
        <v>2</v>
      </c>
      <c r="BD61" t="s">
        <v>2918</v>
      </c>
      <c r="BE61">
        <v>1</v>
      </c>
      <c r="BF61" s="232" t="s">
        <v>2845</v>
      </c>
      <c r="BG61" s="232" t="s">
        <v>2846</v>
      </c>
      <c r="BH61" s="253">
        <v>10.4</v>
      </c>
      <c r="BI61" s="253">
        <v>3.5932152330903828</v>
      </c>
      <c r="BJ61" s="25">
        <v>0.92759512406381028</v>
      </c>
      <c r="BK61" t="s">
        <v>381</v>
      </c>
      <c r="BL61">
        <v>1.2631334076225447</v>
      </c>
      <c r="BM61" t="s">
        <v>383</v>
      </c>
      <c r="BN61" s="322">
        <v>340671.05210799997</v>
      </c>
      <c r="BO61" s="322">
        <v>86097.015312000003</v>
      </c>
      <c r="BP61" s="10">
        <v>136725</v>
      </c>
      <c r="BQ61" s="254">
        <f t="shared" si="13"/>
        <v>2.4916515056353994</v>
      </c>
      <c r="BR61" s="254">
        <f t="shared" si="14"/>
        <v>0.62970938242457486</v>
      </c>
      <c r="BS61" s="25">
        <v>78.737357364374191</v>
      </c>
      <c r="BT61" s="25">
        <v>99.720288779599272</v>
      </c>
      <c r="BU61" s="25">
        <v>64.093333333333334</v>
      </c>
      <c r="BV61" s="25">
        <v>74.943033786436018</v>
      </c>
      <c r="BW61" s="25">
        <v>62.071372064524923</v>
      </c>
      <c r="BX61" s="25">
        <v>79.373503315935707</v>
      </c>
      <c r="BY61" s="25">
        <v>62.290017964657267</v>
      </c>
      <c r="BZ61">
        <v>62</v>
      </c>
      <c r="CA61">
        <v>1</v>
      </c>
      <c r="CB61">
        <v>4</v>
      </c>
      <c r="CC61">
        <v>20732.078419000001</v>
      </c>
      <c r="CD61" s="10">
        <v>10469.788868</v>
      </c>
      <c r="CE61" s="255">
        <v>0.50500430571422672</v>
      </c>
      <c r="CF61" t="str">
        <f>IFERROR(VLOOKUP(CE61,'Rangos amb etnico'!$A$2:$C$6,3,9),"N.D.")</f>
        <v>31% - 50%</v>
      </c>
      <c r="CG61" s="256">
        <v>3.0460562576915167E-4</v>
      </c>
      <c r="CH61" s="232">
        <v>0</v>
      </c>
      <c r="CI61" s="311">
        <f t="shared" si="22"/>
        <v>0</v>
      </c>
      <c r="CJ61" s="232">
        <f>IFERROR(VLOOKUP(CI61,'Rangos amb etnico'!$A$2:$C$6,3,9),"N.D.")</f>
        <v>0</v>
      </c>
      <c r="CK61" s="311">
        <f t="shared" si="23"/>
        <v>0</v>
      </c>
      <c r="CL61" s="10">
        <v>0</v>
      </c>
      <c r="CM61" s="255">
        <f t="shared" si="24"/>
        <v>0</v>
      </c>
      <c r="CN61" s="232">
        <f>IFERROR(VLOOKUP(CM61,'Rangos amb etnico'!$A$2:$C$6,3,9),"N.D.")</f>
        <v>0</v>
      </c>
      <c r="CO61" s="311">
        <f t="shared" si="25"/>
        <v>0</v>
      </c>
      <c r="CP61">
        <v>0.74943274409678917</v>
      </c>
      <c r="CQ61" t="s">
        <v>2866</v>
      </c>
      <c r="CR61">
        <f t="shared" si="15"/>
        <v>3</v>
      </c>
      <c r="CS61" t="str">
        <f t="shared" si="26"/>
        <v>Candidato</v>
      </c>
      <c r="CT61">
        <v>0</v>
      </c>
      <c r="CU61">
        <v>0</v>
      </c>
      <c r="CV61" s="25">
        <v>60.93389892578125</v>
      </c>
      <c r="CW61" s="25">
        <v>55.801761627197273</v>
      </c>
      <c r="CX61" s="25">
        <v>59.605445861816413</v>
      </c>
      <c r="CY61" s="25">
        <v>85.921783447265625</v>
      </c>
      <c r="CZ61" s="25">
        <v>72.520332336425781</v>
      </c>
      <c r="DA61" s="25">
        <v>32.300132751464837</v>
      </c>
      <c r="DB61" s="25">
        <v>59.453937530517578</v>
      </c>
      <c r="DC61">
        <v>1194</v>
      </c>
      <c r="DD61" s="253" t="s">
        <v>380</v>
      </c>
    </row>
    <row r="62" spans="1:108" hidden="1">
      <c r="A62" s="13">
        <v>19573</v>
      </c>
      <c r="B62" s="13" t="s">
        <v>578</v>
      </c>
      <c r="C62" s="13" t="s">
        <v>557</v>
      </c>
      <c r="D62" s="13" t="s">
        <v>558</v>
      </c>
      <c r="E62" s="13" t="s">
        <v>579</v>
      </c>
      <c r="F62" s="14">
        <v>54.482300000000002</v>
      </c>
      <c r="G62" s="13">
        <v>72.12</v>
      </c>
      <c r="H62" s="13">
        <v>81.77</v>
      </c>
      <c r="I62" s="13">
        <v>84.43</v>
      </c>
      <c r="J62" s="14">
        <v>59.929687566540366</v>
      </c>
      <c r="K62" s="14">
        <v>56.669071570400348</v>
      </c>
      <c r="L62" s="14">
        <v>47.562715820724804</v>
      </c>
      <c r="M62" s="14">
        <v>48.549399999999999</v>
      </c>
      <c r="N62" s="14">
        <f t="shared" si="0"/>
        <v>73.200575000000001</v>
      </c>
      <c r="O62" s="14">
        <f t="shared" si="1"/>
        <v>53.177718739416378</v>
      </c>
      <c r="P62" s="14">
        <f t="shared" si="16"/>
        <v>63.189146869708189</v>
      </c>
      <c r="Q62" s="14">
        <v>35.903795286246861</v>
      </c>
      <c r="R62" s="17">
        <f t="shared" si="2"/>
        <v>64.096204713753139</v>
      </c>
      <c r="S62" s="14">
        <f t="shared" si="17"/>
        <v>0.67686584242377823</v>
      </c>
      <c r="T62" s="13">
        <v>0</v>
      </c>
      <c r="U62" s="13">
        <f t="shared" si="18"/>
        <v>42.770575128004886</v>
      </c>
      <c r="V62" s="13">
        <f>IF($T62=1,$AU62,(VLOOKUP(U62,'Cortes naturales'!$A$35:$C$39,3,9)))</f>
        <v>2</v>
      </c>
      <c r="W62" s="13">
        <v>2</v>
      </c>
      <c r="X62" s="14" t="b">
        <f t="shared" si="3"/>
        <v>1</v>
      </c>
      <c r="Y62" s="17">
        <f>IF($T62=1,$AU62,VLOOKUP(U62,'Cortes naturales'!$A$45:$C$49,3,9))</f>
        <v>2</v>
      </c>
      <c r="Z62" s="14">
        <v>59.309102566381789</v>
      </c>
      <c r="AA62" s="14">
        <v>0.69744594558984163</v>
      </c>
      <c r="AB62" s="14">
        <v>41.364893121495051</v>
      </c>
      <c r="AC62" s="13">
        <v>2</v>
      </c>
      <c r="AD62" s="13">
        <f t="shared" si="4"/>
        <v>0</v>
      </c>
      <c r="AE62" s="14">
        <f t="shared" si="5"/>
        <v>3.8800443033264003</v>
      </c>
      <c r="AF62" s="14">
        <f t="shared" si="6"/>
        <v>-2.0580103166063402E-2</v>
      </c>
      <c r="AG62" s="13">
        <f t="shared" si="7"/>
        <v>1.405682006509835</v>
      </c>
      <c r="AH62" s="13">
        <f>IF($T62=1,$AU62,VLOOKUP(U62,'Cortes naturales'!$A$25:$C$29,3,9))</f>
        <v>2</v>
      </c>
      <c r="AI62" s="13" t="b">
        <f t="shared" si="8"/>
        <v>1</v>
      </c>
      <c r="AJ62" s="13">
        <f t="shared" si="19"/>
        <v>0</v>
      </c>
      <c r="AK62" s="28">
        <v>0.9741882058902549</v>
      </c>
      <c r="AL62" s="28">
        <v>57.778228222104588</v>
      </c>
      <c r="AM62" s="28">
        <v>0.55211871922331013</v>
      </c>
      <c r="AN62" s="13">
        <v>2</v>
      </c>
      <c r="AO62" s="33">
        <f t="shared" si="9"/>
        <v>0</v>
      </c>
      <c r="AP62" s="13">
        <f t="shared" si="20"/>
        <v>55.211871922331014</v>
      </c>
      <c r="AQ62" s="13">
        <f>IFERROR(VLOOKUP(U62,'Cortes naturales'!$E$15:$G$19,3,9),U62)</f>
        <v>3</v>
      </c>
      <c r="AR62" s="28">
        <f t="shared" si="10"/>
        <v>-0.29732236346647667</v>
      </c>
      <c r="AS62" s="13" t="b">
        <f t="shared" si="11"/>
        <v>0</v>
      </c>
      <c r="AT62" s="13">
        <f t="shared" si="21"/>
        <v>0</v>
      </c>
      <c r="AU62" s="13">
        <v>2</v>
      </c>
      <c r="AV62">
        <f t="shared" si="12"/>
        <v>0</v>
      </c>
      <c r="AW62" s="13">
        <v>0</v>
      </c>
      <c r="AX62" s="13">
        <v>0</v>
      </c>
      <c r="AY62" s="13">
        <v>0</v>
      </c>
      <c r="AZ62" s="13">
        <v>0</v>
      </c>
      <c r="BA62">
        <v>0</v>
      </c>
      <c r="BB62" t="s">
        <v>2838</v>
      </c>
      <c r="BC62">
        <v>5</v>
      </c>
      <c r="BD62" s="184" t="s">
        <v>2917</v>
      </c>
      <c r="BE62">
        <v>1</v>
      </c>
      <c r="BF62" s="232" t="s">
        <v>2846</v>
      </c>
      <c r="BG62" s="232" t="s">
        <v>2846</v>
      </c>
      <c r="BH62" s="253">
        <v>16.600000000000001</v>
      </c>
      <c r="BI62" s="253">
        <v>7.9760119940029988</v>
      </c>
      <c r="BJ62" s="25">
        <v>0.59616402448022809</v>
      </c>
      <c r="BK62" t="s">
        <v>381</v>
      </c>
      <c r="BL62">
        <v>13.27739276772234</v>
      </c>
      <c r="BM62" t="s">
        <v>376</v>
      </c>
      <c r="BN62" s="322">
        <v>61330.633961</v>
      </c>
      <c r="BO62" s="322">
        <v>17979.100439999998</v>
      </c>
      <c r="BP62" s="10">
        <v>43471</v>
      </c>
      <c r="BQ62" s="254">
        <f t="shared" si="13"/>
        <v>1.4108401914149662</v>
      </c>
      <c r="BR62" s="254">
        <f t="shared" si="14"/>
        <v>0.41358837937935633</v>
      </c>
      <c r="BS62" s="25">
        <v>66.269060694555108</v>
      </c>
      <c r="BT62" s="25">
        <v>94.273505384615376</v>
      </c>
      <c r="BU62" s="25">
        <v>68.73833333333333</v>
      </c>
      <c r="BV62" s="25">
        <v>67.110686118979217</v>
      </c>
      <c r="BW62" s="25">
        <v>56.698247024381978</v>
      </c>
      <c r="BX62" s="25">
        <v>74.097896382870758</v>
      </c>
      <c r="BY62" s="25">
        <v>57.257294379986099</v>
      </c>
      <c r="BZ62">
        <v>32</v>
      </c>
      <c r="CA62">
        <v>0</v>
      </c>
      <c r="CB62">
        <v>6</v>
      </c>
      <c r="CC62">
        <v>11316.391291</v>
      </c>
      <c r="CD62" s="10">
        <v>426.19460400000003</v>
      </c>
      <c r="CE62" s="255">
        <v>3.7661706195945645E-2</v>
      </c>
      <c r="CF62" t="str">
        <f>IFERROR(VLOOKUP(CE62,'Rangos amb etnico'!$A$2:$C$6,3,9),"N.D.")</f>
        <v>0,1% - 30%</v>
      </c>
      <c r="CG62" s="256">
        <v>1.2399607641338714E-5</v>
      </c>
      <c r="CH62" s="232">
        <v>5.2220999999999997E-2</v>
      </c>
      <c r="CI62" s="311">
        <f t="shared" si="22"/>
        <v>4.6146336457569914E-6</v>
      </c>
      <c r="CJ62" s="232">
        <f>IFERROR(VLOOKUP(CI62,'Rangos amb etnico'!$A$2:$C$6,3,9),"N.D.")</f>
        <v>0</v>
      </c>
      <c r="CK62" s="311">
        <f t="shared" si="23"/>
        <v>2.0735156013564144E-9</v>
      </c>
      <c r="CL62" s="10">
        <v>0</v>
      </c>
      <c r="CM62" s="255">
        <f t="shared" si="24"/>
        <v>0</v>
      </c>
      <c r="CN62" s="232">
        <f>IFERROR(VLOOKUP(CM62,'Rangos amb etnico'!$A$2:$C$6,3,9),"N.D.")</f>
        <v>0</v>
      </c>
      <c r="CO62" s="311">
        <f t="shared" si="25"/>
        <v>0</v>
      </c>
      <c r="CP62">
        <v>0.9804807185091835</v>
      </c>
      <c r="CQ62" t="s">
        <v>2864</v>
      </c>
      <c r="CR62">
        <f t="shared" si="15"/>
        <v>2</v>
      </c>
      <c r="CS62" t="str">
        <f t="shared" si="26"/>
        <v>No es Candidato</v>
      </c>
      <c r="CT62">
        <v>0</v>
      </c>
      <c r="CU62">
        <v>0</v>
      </c>
      <c r="CV62" s="25">
        <v>49.922893524169922</v>
      </c>
      <c r="CW62" s="25">
        <v>50.290424346923828</v>
      </c>
      <c r="CX62" s="25">
        <v>59.059146881103523</v>
      </c>
      <c r="CY62" s="25">
        <v>70.508216857910156</v>
      </c>
      <c r="CZ62" s="25">
        <v>53.784465789794922</v>
      </c>
      <c r="DA62" s="25">
        <v>10.731905937194821</v>
      </c>
      <c r="DB62" s="25">
        <v>55.163200378417969</v>
      </c>
      <c r="DC62">
        <v>40052</v>
      </c>
      <c r="DD62" s="253" t="s">
        <v>380</v>
      </c>
    </row>
    <row r="63" spans="1:108" hidden="1">
      <c r="A63" s="13">
        <v>8520</v>
      </c>
      <c r="B63" s="13" t="s">
        <v>580</v>
      </c>
      <c r="C63" s="13" t="s">
        <v>442</v>
      </c>
      <c r="D63" s="13" t="s">
        <v>443</v>
      </c>
      <c r="E63" s="13" t="s">
        <v>581</v>
      </c>
      <c r="F63" s="14">
        <v>65.743700000000004</v>
      </c>
      <c r="G63" s="13">
        <v>68.91</v>
      </c>
      <c r="H63" s="13">
        <v>55</v>
      </c>
      <c r="I63" s="13">
        <v>55.12</v>
      </c>
      <c r="J63" s="14">
        <v>53.412704969634312</v>
      </c>
      <c r="K63" s="14">
        <v>60.574079628510006</v>
      </c>
      <c r="L63" s="14">
        <v>70.963654717301893</v>
      </c>
      <c r="M63" s="14">
        <v>61.9861</v>
      </c>
      <c r="N63" s="14">
        <f t="shared" si="0"/>
        <v>61.193425000000005</v>
      </c>
      <c r="O63" s="14">
        <f t="shared" si="1"/>
        <v>61.734134828861549</v>
      </c>
      <c r="P63" s="14">
        <f t="shared" si="16"/>
        <v>61.463779914430773</v>
      </c>
      <c r="Q63" s="14">
        <v>34.799657655325277</v>
      </c>
      <c r="R63" s="17">
        <f t="shared" si="2"/>
        <v>65.200342344674723</v>
      </c>
      <c r="S63" s="14">
        <f t="shared" si="17"/>
        <v>0.68680308110207244</v>
      </c>
      <c r="T63" s="13">
        <v>0</v>
      </c>
      <c r="U63" s="13">
        <f t="shared" si="18"/>
        <v>42.213513421410731</v>
      </c>
      <c r="V63" s="13">
        <f>IF($T63=1,$AU63,(VLOOKUP(U63,'Cortes naturales'!$A$35:$C$39,3,9)))</f>
        <v>2</v>
      </c>
      <c r="W63" s="13">
        <v>2</v>
      </c>
      <c r="X63" s="14" t="b">
        <f t="shared" si="3"/>
        <v>1</v>
      </c>
      <c r="Y63" s="17">
        <f>IF($T63=1,$AU63,VLOOKUP(U63,'Cortes naturales'!$A$45:$C$49,3,9))</f>
        <v>2</v>
      </c>
      <c r="Z63" s="14">
        <v>61.545932945889767</v>
      </c>
      <c r="AA63" s="14">
        <v>0.69574890858589433</v>
      </c>
      <c r="AB63" s="14">
        <v>42.820515675003442</v>
      </c>
      <c r="AC63" s="13">
        <v>2</v>
      </c>
      <c r="AD63" s="13">
        <f t="shared" si="4"/>
        <v>0</v>
      </c>
      <c r="AE63" s="14">
        <f t="shared" si="5"/>
        <v>-8.2153031458993553E-2</v>
      </c>
      <c r="AF63" s="14">
        <f t="shared" si="6"/>
        <v>-8.9458274838218887E-3</v>
      </c>
      <c r="AG63" s="13">
        <f t="shared" si="7"/>
        <v>-0.60700225359271087</v>
      </c>
      <c r="AH63" s="13">
        <f>IF($T63=1,$AU63,VLOOKUP(U63,'Cortes naturales'!$A$25:$C$29,3,9))</f>
        <v>2</v>
      </c>
      <c r="AI63" s="13" t="b">
        <f t="shared" si="8"/>
        <v>1</v>
      </c>
      <c r="AJ63" s="13">
        <f t="shared" si="19"/>
        <v>0</v>
      </c>
      <c r="AK63" s="28">
        <v>0.9741882058902549</v>
      </c>
      <c r="AL63" s="28">
        <v>59.957321996398285</v>
      </c>
      <c r="AM63" s="28">
        <v>0.57937688535837484</v>
      </c>
      <c r="AN63" s="13">
        <v>2</v>
      </c>
      <c r="AO63" s="33">
        <f t="shared" si="9"/>
        <v>0</v>
      </c>
      <c r="AP63" s="13">
        <f t="shared" si="20"/>
        <v>57.937688535837481</v>
      </c>
      <c r="AQ63" s="13">
        <f>IFERROR(VLOOKUP(U63,'Cortes naturales'!$E$15:$G$19,3,9),U63)</f>
        <v>3</v>
      </c>
      <c r="AR63" s="28">
        <f t="shared" si="10"/>
        <v>-0.28738512478818246</v>
      </c>
      <c r="AS63" s="13" t="b">
        <f t="shared" si="11"/>
        <v>0</v>
      </c>
      <c r="AT63" s="13">
        <f t="shared" si="21"/>
        <v>0</v>
      </c>
      <c r="AU63" s="13">
        <v>2</v>
      </c>
      <c r="AV63">
        <f t="shared" si="12"/>
        <v>0</v>
      </c>
      <c r="AW63" s="13">
        <v>0</v>
      </c>
      <c r="AX63" s="13">
        <v>0</v>
      </c>
      <c r="AY63" s="13">
        <v>0</v>
      </c>
      <c r="AZ63" s="13">
        <v>0</v>
      </c>
      <c r="BA63">
        <v>0</v>
      </c>
      <c r="BB63" t="s">
        <v>2838</v>
      </c>
      <c r="BC63">
        <v>6</v>
      </c>
      <c r="BD63" s="184" t="s">
        <v>2917</v>
      </c>
      <c r="BE63">
        <v>0</v>
      </c>
      <c r="BF63" s="232" t="s">
        <v>2846</v>
      </c>
      <c r="BG63" s="232" t="s">
        <v>2846</v>
      </c>
      <c r="BH63" s="253">
        <v>36</v>
      </c>
      <c r="BI63" s="253">
        <v>18.163694761324621</v>
      </c>
      <c r="BJ63" s="25">
        <v>0</v>
      </c>
      <c r="BK63" t="s">
        <v>381</v>
      </c>
      <c r="BL63">
        <v>0.59382577008034398</v>
      </c>
      <c r="BM63" t="s">
        <v>383</v>
      </c>
      <c r="BN63" s="322">
        <v>45494.884461000001</v>
      </c>
      <c r="BO63" s="322">
        <v>7811.0510560000002</v>
      </c>
      <c r="BP63" s="10">
        <v>34647</v>
      </c>
      <c r="BQ63" s="254">
        <f t="shared" si="13"/>
        <v>1.313097366611828</v>
      </c>
      <c r="BR63" s="254">
        <f t="shared" si="14"/>
        <v>0.22544667809622768</v>
      </c>
      <c r="BS63" s="25">
        <v>69.333762353515255</v>
      </c>
      <c r="BT63" s="25">
        <v>86.259512608114221</v>
      </c>
      <c r="BU63" s="25">
        <v>39.513205697373273</v>
      </c>
      <c r="BV63" s="25">
        <v>92.360952856728332</v>
      </c>
      <c r="BW63" s="25">
        <v>47.966863921553198</v>
      </c>
      <c r="BX63" s="25">
        <v>71.866858378932776</v>
      </c>
      <c r="BY63" s="25">
        <v>49.269714340675712</v>
      </c>
      <c r="BZ63">
        <v>5</v>
      </c>
      <c r="CA63">
        <v>0</v>
      </c>
      <c r="CB63">
        <v>7</v>
      </c>
      <c r="CC63">
        <v>9219.1760990000002</v>
      </c>
      <c r="CD63" s="10">
        <v>659.84525299999996</v>
      </c>
      <c r="CE63" s="255">
        <v>7.1573126048820462E-2</v>
      </c>
      <c r="CF63" t="str">
        <f>IFERROR(VLOOKUP(CE63,'Rangos amb etnico'!$A$2:$C$6,3,9),"N.D.")</f>
        <v>0,1% - 30%</v>
      </c>
      <c r="CG63" s="256">
        <v>1.9197385805475558E-5</v>
      </c>
      <c r="CH63" s="232">
        <v>0</v>
      </c>
      <c r="CI63" s="311">
        <f t="shared" si="22"/>
        <v>0</v>
      </c>
      <c r="CJ63" s="232">
        <f>IFERROR(VLOOKUP(CI63,'Rangos amb etnico'!$A$2:$C$6,3,9),"N.D.")</f>
        <v>0</v>
      </c>
      <c r="CK63" s="311">
        <f t="shared" si="23"/>
        <v>0</v>
      </c>
      <c r="CL63" s="10">
        <v>0</v>
      </c>
      <c r="CM63" s="255">
        <f t="shared" si="24"/>
        <v>0</v>
      </c>
      <c r="CN63" s="232">
        <f>IFERROR(VLOOKUP(CM63,'Rangos amb etnico'!$A$2:$C$6,3,9),"N.D.")</f>
        <v>0</v>
      </c>
      <c r="CO63" s="311">
        <f t="shared" si="25"/>
        <v>0</v>
      </c>
      <c r="CP63">
        <v>0.90725344163429433</v>
      </c>
      <c r="CQ63" t="s">
        <v>2864</v>
      </c>
      <c r="CR63">
        <f t="shared" si="15"/>
        <v>2</v>
      </c>
      <c r="CS63" t="str">
        <f t="shared" si="26"/>
        <v>No es Candidato</v>
      </c>
      <c r="CT63">
        <v>0</v>
      </c>
      <c r="CU63">
        <v>0</v>
      </c>
      <c r="CV63" s="25">
        <v>55.261264801025391</v>
      </c>
      <c r="CW63" s="25">
        <v>42.109279632568359</v>
      </c>
      <c r="CX63" s="25">
        <v>57.636466979980469</v>
      </c>
      <c r="CY63" s="25">
        <v>73.677566528320313</v>
      </c>
      <c r="CZ63" s="25">
        <v>31.384958267211911</v>
      </c>
      <c r="DA63" s="25">
        <v>63.769943237304688</v>
      </c>
      <c r="DB63" s="25">
        <v>62.989368438720703</v>
      </c>
      <c r="DC63">
        <v>515</v>
      </c>
      <c r="DD63" s="253" t="s">
        <v>380</v>
      </c>
    </row>
    <row r="64" spans="1:108" hidden="1">
      <c r="A64" s="13">
        <v>25843</v>
      </c>
      <c r="B64" s="13" t="s">
        <v>582</v>
      </c>
      <c r="C64" s="13" t="s">
        <v>461</v>
      </c>
      <c r="D64" s="13" t="s">
        <v>462</v>
      </c>
      <c r="E64" s="13" t="s">
        <v>583</v>
      </c>
      <c r="F64" s="14">
        <v>86.414333333333303</v>
      </c>
      <c r="G64" s="13">
        <v>91.21</v>
      </c>
      <c r="H64" s="13">
        <v>90.53</v>
      </c>
      <c r="I64" s="13">
        <v>96.06</v>
      </c>
      <c r="J64" s="14">
        <v>67.473615376793902</v>
      </c>
      <c r="K64" s="14">
        <v>62.262567369970974</v>
      </c>
      <c r="L64" s="14">
        <v>62.748600039503501</v>
      </c>
      <c r="M64" s="14">
        <v>66.861199999999997</v>
      </c>
      <c r="N64" s="14">
        <f t="shared" si="0"/>
        <v>91.053583333333322</v>
      </c>
      <c r="O64" s="14">
        <f t="shared" si="1"/>
        <v>64.836495696567098</v>
      </c>
      <c r="P64" s="14">
        <f t="shared" si="16"/>
        <v>77.94503951495021</v>
      </c>
      <c r="Q64" s="14">
        <v>36.645683055071579</v>
      </c>
      <c r="R64" s="17">
        <f t="shared" si="2"/>
        <v>63.354316944928421</v>
      </c>
      <c r="S64" s="14">
        <f t="shared" si="17"/>
        <v>0.67018885250435578</v>
      </c>
      <c r="T64" s="13">
        <v>0</v>
      </c>
      <c r="U64" s="13">
        <f t="shared" si="18"/>
        <v>52.23789659093115</v>
      </c>
      <c r="V64" s="13">
        <f>IF($T64=1,$AU64,(VLOOKUP(U64,'Cortes naturales'!$A$35:$C$39,3,9)))</f>
        <v>2</v>
      </c>
      <c r="W64" s="13">
        <v>2</v>
      </c>
      <c r="X64" s="14" t="b">
        <f t="shared" si="3"/>
        <v>1</v>
      </c>
      <c r="Y64" s="17">
        <f>IF($T64=1,$AU64,VLOOKUP(U64,'Cortes naturales'!$A$45:$C$49,3,9))</f>
        <v>1</v>
      </c>
      <c r="Z64" s="14">
        <v>75.173226211371741</v>
      </c>
      <c r="AA64" s="14">
        <v>0.69174802936323976</v>
      </c>
      <c r="AB64" s="14">
        <v>52.000931092593447</v>
      </c>
      <c r="AC64" s="13">
        <v>1</v>
      </c>
      <c r="AD64" s="13">
        <f t="shared" si="4"/>
        <v>0</v>
      </c>
      <c r="AE64" s="14">
        <f t="shared" si="5"/>
        <v>2.7718133035784689</v>
      </c>
      <c r="AF64" s="14">
        <f t="shared" si="6"/>
        <v>-2.1559176858883977E-2</v>
      </c>
      <c r="AG64" s="13">
        <f t="shared" si="7"/>
        <v>0.2369654983377032</v>
      </c>
      <c r="AH64" s="13">
        <f>IF($T64=1,$AU64,VLOOKUP(U64,'Cortes naturales'!$A$25:$C$29,3,9))</f>
        <v>1</v>
      </c>
      <c r="AI64" s="13" t="b">
        <f t="shared" si="8"/>
        <v>1</v>
      </c>
      <c r="AJ64" s="13">
        <f t="shared" si="19"/>
        <v>0</v>
      </c>
      <c r="AK64" s="28">
        <v>0.9741882058902549</v>
      </c>
      <c r="AL64" s="28">
        <v>73.232870373838523</v>
      </c>
      <c r="AM64" s="28">
        <v>0.74544000181312486</v>
      </c>
      <c r="AN64" s="13">
        <v>1</v>
      </c>
      <c r="AO64" s="33">
        <f t="shared" si="9"/>
        <v>0</v>
      </c>
      <c r="AP64" s="13">
        <f t="shared" si="20"/>
        <v>74.544000181312484</v>
      </c>
      <c r="AQ64" s="13">
        <f>IFERROR(VLOOKUP(U64,'Cortes naturales'!$E$15:$G$19,3,9),U64)</f>
        <v>2</v>
      </c>
      <c r="AR64" s="28">
        <f t="shared" si="10"/>
        <v>-0.30399935338589912</v>
      </c>
      <c r="AS64" s="13" t="b">
        <f t="shared" si="11"/>
        <v>0</v>
      </c>
      <c r="AT64" s="13">
        <f t="shared" si="21"/>
        <v>0</v>
      </c>
      <c r="AU64" s="13">
        <v>1</v>
      </c>
      <c r="AV64">
        <f t="shared" si="12"/>
        <v>0</v>
      </c>
      <c r="AW64" s="13">
        <v>0</v>
      </c>
      <c r="AX64" s="13">
        <v>0</v>
      </c>
      <c r="AY64" s="13">
        <v>0</v>
      </c>
      <c r="AZ64" s="13">
        <v>0</v>
      </c>
      <c r="BA64">
        <v>0</v>
      </c>
      <c r="BB64" t="s">
        <v>2839</v>
      </c>
      <c r="BC64">
        <v>5</v>
      </c>
      <c r="BD64" t="s">
        <v>2919</v>
      </c>
      <c r="BE64">
        <v>0</v>
      </c>
      <c r="BF64" s="232" t="s">
        <v>2846</v>
      </c>
      <c r="BG64" s="232" t="s">
        <v>2846</v>
      </c>
      <c r="BH64" s="253">
        <v>14.2</v>
      </c>
      <c r="BI64" s="253">
        <v>5.2521590251026007</v>
      </c>
      <c r="BJ64" s="25">
        <v>0.40741676986649983</v>
      </c>
      <c r="BK64" t="s">
        <v>381</v>
      </c>
      <c r="BL64">
        <v>0.6729800289294825</v>
      </c>
      <c r="BM64" t="s">
        <v>383</v>
      </c>
      <c r="BN64" s="322">
        <v>71331.479999000003</v>
      </c>
      <c r="BO64" s="322">
        <v>29062.496800000001</v>
      </c>
      <c r="BP64" s="10">
        <v>47305</v>
      </c>
      <c r="BQ64" s="254">
        <f t="shared" si="13"/>
        <v>1.5079057181904663</v>
      </c>
      <c r="BR64" s="254">
        <f t="shared" si="14"/>
        <v>0.61436416446464437</v>
      </c>
      <c r="BS64" s="25">
        <v>68.544396525893902</v>
      </c>
      <c r="BT64" s="25">
        <v>97.416020000000003</v>
      </c>
      <c r="BU64" s="25">
        <v>68.52</v>
      </c>
      <c r="BV64" s="25">
        <v>85.714010482499233</v>
      </c>
      <c r="BW64" s="25">
        <v>70.903387589189222</v>
      </c>
      <c r="BX64" s="25">
        <v>80.04860675209828</v>
      </c>
      <c r="BY64" s="25">
        <v>72.340395403217158</v>
      </c>
      <c r="BZ64">
        <v>36</v>
      </c>
      <c r="CA64">
        <v>1</v>
      </c>
      <c r="CB64">
        <v>6</v>
      </c>
      <c r="CC64">
        <v>10211.177116999999</v>
      </c>
      <c r="CD64" s="10">
        <v>4190.8891759999997</v>
      </c>
      <c r="CE64" s="255">
        <v>0.41042174942033177</v>
      </c>
      <c r="CF64" t="str">
        <f>IFERROR(VLOOKUP(CE64,'Rangos amb etnico'!$A$2:$C$6,3,9),"N.D.")</f>
        <v>31% - 50%</v>
      </c>
      <c r="CG64" s="256">
        <v>1.2192876437903776E-4</v>
      </c>
      <c r="CH64" s="232">
        <v>0</v>
      </c>
      <c r="CI64" s="311">
        <f t="shared" si="22"/>
        <v>0</v>
      </c>
      <c r="CJ64" s="232">
        <f>IFERROR(VLOOKUP(CI64,'Rangos amb etnico'!$A$2:$C$6,3,9),"N.D.")</f>
        <v>0</v>
      </c>
      <c r="CK64" s="311">
        <f t="shared" si="23"/>
        <v>0</v>
      </c>
      <c r="CL64" s="10">
        <v>0</v>
      </c>
      <c r="CM64" s="255">
        <f t="shared" si="24"/>
        <v>0</v>
      </c>
      <c r="CN64" s="232">
        <f>IFERROR(VLOOKUP(CM64,'Rangos amb etnico'!$A$2:$C$6,3,9),"N.D.")</f>
        <v>0</v>
      </c>
      <c r="CO64" s="311">
        <f t="shared" si="25"/>
        <v>0</v>
      </c>
      <c r="CP64">
        <v>0.98028673629959084</v>
      </c>
      <c r="CQ64" t="s">
        <v>2864</v>
      </c>
      <c r="CR64">
        <f t="shared" si="15"/>
        <v>4</v>
      </c>
      <c r="CS64" t="str">
        <f t="shared" si="26"/>
        <v>Candidato</v>
      </c>
      <c r="CT64">
        <v>0</v>
      </c>
      <c r="CU64">
        <v>0</v>
      </c>
      <c r="CV64" s="25">
        <v>55.582504272460938</v>
      </c>
      <c r="CW64" s="25">
        <v>31.565219879150391</v>
      </c>
      <c r="CX64" s="25">
        <v>54.063205718994141</v>
      </c>
      <c r="CY64" s="25">
        <v>85.278846740722656</v>
      </c>
      <c r="CZ64" s="25">
        <v>50.653018951416023</v>
      </c>
      <c r="DA64" s="25">
        <v>49.070655822753913</v>
      </c>
      <c r="DB64" s="25">
        <v>62.864086151123047</v>
      </c>
      <c r="DC64">
        <v>354</v>
      </c>
      <c r="DD64" s="253" t="s">
        <v>380</v>
      </c>
    </row>
    <row r="65" spans="1:108" hidden="1">
      <c r="A65" s="13">
        <v>23162</v>
      </c>
      <c r="B65" s="13" t="s">
        <v>584</v>
      </c>
      <c r="C65" s="13" t="s">
        <v>567</v>
      </c>
      <c r="D65" s="13" t="s">
        <v>568</v>
      </c>
      <c r="E65" s="13" t="s">
        <v>585</v>
      </c>
      <c r="F65" s="14">
        <v>68.2177333333333</v>
      </c>
      <c r="G65" s="13">
        <v>47.5</v>
      </c>
      <c r="H65" s="13">
        <v>45.74</v>
      </c>
      <c r="I65" s="13">
        <v>56.33</v>
      </c>
      <c r="J65" s="14">
        <v>61.258916053052829</v>
      </c>
      <c r="K65" s="14">
        <v>71.013728149304512</v>
      </c>
      <c r="L65" s="14">
        <v>53.939946835500955</v>
      </c>
      <c r="M65" s="14">
        <v>70.755200000000002</v>
      </c>
      <c r="N65" s="14">
        <f t="shared" si="0"/>
        <v>54.44693333333332</v>
      </c>
      <c r="O65" s="14">
        <f t="shared" si="1"/>
        <v>64.24194775946458</v>
      </c>
      <c r="P65" s="14">
        <f t="shared" si="16"/>
        <v>59.34444054639895</v>
      </c>
      <c r="Q65" s="14">
        <v>35.183798075583042</v>
      </c>
      <c r="R65" s="17">
        <f t="shared" si="2"/>
        <v>64.816201924416958</v>
      </c>
      <c r="S65" s="14">
        <f t="shared" si="17"/>
        <v>0.68334581731975264</v>
      </c>
      <c r="T65" s="13">
        <v>0</v>
      </c>
      <c r="U65" s="13">
        <f t="shared" si="18"/>
        <v>40.55277522856246</v>
      </c>
      <c r="V65" s="13">
        <f>IF($T65=1,$AU65,(VLOOKUP(U65,'Cortes naturales'!$A$35:$C$39,3,9)))</f>
        <v>2</v>
      </c>
      <c r="W65" s="13">
        <v>2</v>
      </c>
      <c r="X65" s="14" t="b">
        <f t="shared" si="3"/>
        <v>1</v>
      </c>
      <c r="Y65" s="17">
        <f>IF($T65=1,$AU65,VLOOKUP(U65,'Cortes naturales'!$A$45:$C$49,3,9))</f>
        <v>2</v>
      </c>
      <c r="Z65" s="14">
        <v>60.256881633892164</v>
      </c>
      <c r="AA65" s="14">
        <v>0.69380658504102766</v>
      </c>
      <c r="AB65" s="14">
        <v>41.806621271632139</v>
      </c>
      <c r="AC65" s="13">
        <v>2</v>
      </c>
      <c r="AD65" s="13">
        <f t="shared" si="4"/>
        <v>0</v>
      </c>
      <c r="AE65" s="14">
        <f t="shared" si="5"/>
        <v>-0.91244108749321384</v>
      </c>
      <c r="AF65" s="14">
        <f t="shared" si="6"/>
        <v>-1.0460767721275022E-2</v>
      </c>
      <c r="AG65" s="13">
        <f t="shared" si="7"/>
        <v>-1.2538460430696787</v>
      </c>
      <c r="AH65" s="13">
        <f>IF($T65=1,$AU65,VLOOKUP(U65,'Cortes naturales'!$A$25:$C$29,3,9))</f>
        <v>2</v>
      </c>
      <c r="AI65" s="13" t="b">
        <f t="shared" si="8"/>
        <v>1</v>
      </c>
      <c r="AJ65" s="13">
        <f t="shared" si="19"/>
        <v>0</v>
      </c>
      <c r="AK65" s="28">
        <v>0.9741882058902549</v>
      </c>
      <c r="AL65" s="28">
        <v>58.701543411462858</v>
      </c>
      <c r="AM65" s="28">
        <v>0.56366841897623332</v>
      </c>
      <c r="AN65" s="13">
        <v>2</v>
      </c>
      <c r="AO65" s="33">
        <f t="shared" si="9"/>
        <v>0</v>
      </c>
      <c r="AP65" s="13">
        <f t="shared" si="20"/>
        <v>56.366841897623331</v>
      </c>
      <c r="AQ65" s="13">
        <f>IFERROR(VLOOKUP(U65,'Cortes naturales'!$E$15:$G$19,3,9),U65)</f>
        <v>3</v>
      </c>
      <c r="AR65" s="28">
        <f t="shared" si="10"/>
        <v>-0.29084238857050226</v>
      </c>
      <c r="AS65" s="13" t="b">
        <f t="shared" si="11"/>
        <v>0</v>
      </c>
      <c r="AT65" s="13">
        <f t="shared" si="21"/>
        <v>0</v>
      </c>
      <c r="AU65" s="13">
        <v>2</v>
      </c>
      <c r="AV65">
        <f t="shared" si="12"/>
        <v>0</v>
      </c>
      <c r="AW65" s="13">
        <v>0</v>
      </c>
      <c r="AX65" s="13">
        <v>1</v>
      </c>
      <c r="AY65" s="13">
        <v>0</v>
      </c>
      <c r="AZ65" s="13">
        <v>0</v>
      </c>
      <c r="BA65">
        <v>0</v>
      </c>
      <c r="BB65" t="s">
        <v>2839</v>
      </c>
      <c r="BC65">
        <v>5</v>
      </c>
      <c r="BD65" t="s">
        <v>2919</v>
      </c>
      <c r="BE65">
        <v>1</v>
      </c>
      <c r="BF65" s="232" t="s">
        <v>2846</v>
      </c>
      <c r="BG65" s="232" t="s">
        <v>2845</v>
      </c>
      <c r="BH65" s="253">
        <v>34.4</v>
      </c>
      <c r="BI65" s="253">
        <v>25.190037955597152</v>
      </c>
      <c r="BJ65" s="25">
        <v>0</v>
      </c>
      <c r="BK65" t="s">
        <v>381</v>
      </c>
      <c r="BL65">
        <v>2.5762155716575648</v>
      </c>
      <c r="BM65" t="s">
        <v>383</v>
      </c>
      <c r="BN65" s="322">
        <v>258694.15857999999</v>
      </c>
      <c r="BO65" s="322">
        <v>20147.535343</v>
      </c>
      <c r="BP65" s="10">
        <v>119389</v>
      </c>
      <c r="BQ65" s="254">
        <f t="shared" si="13"/>
        <v>2.166817366591562</v>
      </c>
      <c r="BR65" s="254">
        <f t="shared" si="14"/>
        <v>0.16875537397080131</v>
      </c>
      <c r="BS65" s="25">
        <v>60.973853344594893</v>
      </c>
      <c r="BT65" s="25">
        <v>91.801126896419817</v>
      </c>
      <c r="BU65" s="25">
        <v>64.630140585687229</v>
      </c>
      <c r="BV65" s="25">
        <v>93.179273629836985</v>
      </c>
      <c r="BW65" s="25">
        <v>33.403937902928583</v>
      </c>
      <c r="BX65" s="25">
        <v>77.646098614134729</v>
      </c>
      <c r="BY65" s="25">
        <v>33.947476801069399</v>
      </c>
      <c r="BZ65">
        <v>56</v>
      </c>
      <c r="CA65">
        <v>0</v>
      </c>
      <c r="CB65">
        <v>5</v>
      </c>
      <c r="CC65">
        <v>29044.660767000001</v>
      </c>
      <c r="CD65" s="10">
        <v>1747.8661090000001</v>
      </c>
      <c r="CE65" s="255">
        <v>6.0178568550743508E-2</v>
      </c>
      <c r="CF65" t="str">
        <f>IFERROR(VLOOKUP(CE65,'Rangos amb etnico'!$A$2:$C$6,3,9),"N.D.")</f>
        <v>0,1% - 30%</v>
      </c>
      <c r="CG65" s="256">
        <v>5.0852013980902882E-5</v>
      </c>
      <c r="CH65" s="232">
        <v>0</v>
      </c>
      <c r="CI65" s="311">
        <f t="shared" si="22"/>
        <v>0</v>
      </c>
      <c r="CJ65" s="232">
        <f>IFERROR(VLOOKUP(CI65,'Rangos amb etnico'!$A$2:$C$6,3,9),"N.D.")</f>
        <v>0</v>
      </c>
      <c r="CK65" s="311">
        <f t="shared" si="23"/>
        <v>0</v>
      </c>
      <c r="CL65" s="10">
        <v>0</v>
      </c>
      <c r="CM65" s="255">
        <f t="shared" si="24"/>
        <v>0</v>
      </c>
      <c r="CN65" s="232">
        <f>IFERROR(VLOOKUP(CM65,'Rangos amb etnico'!$A$2:$C$6,3,9),"N.D.")</f>
        <v>0</v>
      </c>
      <c r="CO65" s="311">
        <f t="shared" si="25"/>
        <v>0</v>
      </c>
      <c r="CP65">
        <v>0.95826153407759862</v>
      </c>
      <c r="CQ65" t="s">
        <v>2864</v>
      </c>
      <c r="CR65">
        <f t="shared" si="15"/>
        <v>2</v>
      </c>
      <c r="CS65" t="str">
        <f t="shared" si="26"/>
        <v>No es Candidato</v>
      </c>
      <c r="CT65">
        <v>0</v>
      </c>
      <c r="CU65">
        <v>0</v>
      </c>
      <c r="CV65" s="25">
        <v>56.964569091796882</v>
      </c>
      <c r="CW65" s="25">
        <v>48.581943511962891</v>
      </c>
      <c r="CX65" s="25">
        <v>59.148330688476563</v>
      </c>
      <c r="CY65" s="25">
        <v>77.287567138671875</v>
      </c>
      <c r="CZ65" s="25">
        <v>33.199909210205078</v>
      </c>
      <c r="DA65" s="25">
        <v>73.185920715332031</v>
      </c>
      <c r="DB65" s="25">
        <v>50.383747100830078</v>
      </c>
      <c r="DC65">
        <v>5007</v>
      </c>
      <c r="DD65" s="253" t="s">
        <v>380</v>
      </c>
    </row>
    <row r="66" spans="1:108" hidden="1">
      <c r="A66" s="13">
        <v>25295</v>
      </c>
      <c r="B66" s="13" t="s">
        <v>586</v>
      </c>
      <c r="C66" s="13" t="s">
        <v>461</v>
      </c>
      <c r="D66" s="13" t="s">
        <v>462</v>
      </c>
      <c r="E66" s="13" t="s">
        <v>587</v>
      </c>
      <c r="F66" s="14">
        <v>71.590800000000002</v>
      </c>
      <c r="G66" s="13">
        <v>85.79</v>
      </c>
      <c r="H66" s="13">
        <v>49.43</v>
      </c>
      <c r="I66" s="13">
        <v>56.84</v>
      </c>
      <c r="J66" s="14">
        <v>57.018038062873629</v>
      </c>
      <c r="K66" s="14">
        <v>64.443756893948304</v>
      </c>
      <c r="L66" s="14">
        <v>64.888026338788791</v>
      </c>
      <c r="M66" s="14">
        <v>61.994900000000001</v>
      </c>
      <c r="N66" s="14">
        <f t="shared" si="0"/>
        <v>65.912700000000001</v>
      </c>
      <c r="O66" s="14">
        <f t="shared" si="1"/>
        <v>62.086180323902681</v>
      </c>
      <c r="P66" s="14">
        <f t="shared" si="16"/>
        <v>63.999440161951341</v>
      </c>
      <c r="Q66" s="14">
        <v>35.799788991369759</v>
      </c>
      <c r="R66" s="17">
        <f t="shared" si="2"/>
        <v>64.200211008630248</v>
      </c>
      <c r="S66" s="14">
        <f t="shared" si="17"/>
        <v>0.67780189907767219</v>
      </c>
      <c r="T66" s="13">
        <v>0</v>
      </c>
      <c r="U66" s="13">
        <f t="shared" si="18"/>
        <v>43.37894208167846</v>
      </c>
      <c r="V66" s="13">
        <f>IF($T66=1,$AU66,(VLOOKUP(U66,'Cortes naturales'!$A$35:$C$39,3,9)))</f>
        <v>2</v>
      </c>
      <c r="W66" s="13">
        <v>2</v>
      </c>
      <c r="X66" s="14" t="b">
        <f t="shared" si="3"/>
        <v>1</v>
      </c>
      <c r="Y66" s="17">
        <f>IF($T66=1,$AU66,VLOOKUP(U66,'Cortes naturales'!$A$45:$C$49,3,9))</f>
        <v>2</v>
      </c>
      <c r="Z66" s="14">
        <v>64.377074539051989</v>
      </c>
      <c r="AA66" s="14">
        <v>0.69017296255623761</v>
      </c>
      <c r="AB66" s="14">
        <v>44.431316255321249</v>
      </c>
      <c r="AC66" s="13">
        <v>2</v>
      </c>
      <c r="AD66" s="13">
        <f t="shared" si="4"/>
        <v>0</v>
      </c>
      <c r="AE66" s="14">
        <f t="shared" si="5"/>
        <v>-0.37763437710064807</v>
      </c>
      <c r="AF66" s="14">
        <f t="shared" si="6"/>
        <v>-1.2371063478565425E-2</v>
      </c>
      <c r="AG66" s="13">
        <f t="shared" si="7"/>
        <v>-1.0523741736427894</v>
      </c>
      <c r="AH66" s="13">
        <f>IF($T66=1,$AU66,VLOOKUP(U66,'Cortes naturales'!$A$25:$C$29,3,9))</f>
        <v>2</v>
      </c>
      <c r="AI66" s="13" t="b">
        <f t="shared" si="8"/>
        <v>1</v>
      </c>
      <c r="AJ66" s="13">
        <f t="shared" si="19"/>
        <v>0</v>
      </c>
      <c r="AK66" s="28">
        <v>0.9741882058902549</v>
      </c>
      <c r="AL66" s="28">
        <v>62.715386745662265</v>
      </c>
      <c r="AM66" s="28">
        <v>0.61387736809738458</v>
      </c>
      <c r="AN66" s="13">
        <v>2</v>
      </c>
      <c r="AO66" s="33">
        <f t="shared" si="9"/>
        <v>0</v>
      </c>
      <c r="AP66" s="13">
        <f t="shared" si="20"/>
        <v>61.387736809738456</v>
      </c>
      <c r="AQ66" s="13">
        <f>IFERROR(VLOOKUP(U66,'Cortes naturales'!$E$15:$G$19,3,9),U66)</f>
        <v>3</v>
      </c>
      <c r="AR66" s="28">
        <f t="shared" si="10"/>
        <v>-0.29638630681258271</v>
      </c>
      <c r="AS66" s="13" t="b">
        <f t="shared" si="11"/>
        <v>0</v>
      </c>
      <c r="AT66" s="13">
        <f t="shared" si="21"/>
        <v>0</v>
      </c>
      <c r="AU66" s="13">
        <v>1</v>
      </c>
      <c r="AV66">
        <f t="shared" si="12"/>
        <v>-1</v>
      </c>
      <c r="AW66" s="13">
        <v>0</v>
      </c>
      <c r="AX66" s="13">
        <v>0</v>
      </c>
      <c r="AY66" s="13">
        <v>0</v>
      </c>
      <c r="AZ66" s="13">
        <v>0</v>
      </c>
      <c r="BA66">
        <v>0</v>
      </c>
      <c r="BB66" t="s">
        <v>2838</v>
      </c>
      <c r="BC66">
        <v>6</v>
      </c>
      <c r="BD66" s="184" t="s">
        <v>2917</v>
      </c>
      <c r="BE66">
        <v>1</v>
      </c>
      <c r="BF66" s="232" t="s">
        <v>2846</v>
      </c>
      <c r="BG66" s="232" t="s">
        <v>2846</v>
      </c>
      <c r="BH66" s="253">
        <v>11.1</v>
      </c>
      <c r="BI66" s="253">
        <v>4.7647732064333477</v>
      </c>
      <c r="BJ66" s="25">
        <v>6.1737991431419648</v>
      </c>
      <c r="BK66" t="s">
        <v>377</v>
      </c>
      <c r="BL66">
        <v>0.42250028352797842</v>
      </c>
      <c r="BM66" t="s">
        <v>383</v>
      </c>
      <c r="BN66" s="322">
        <v>39774.021054999997</v>
      </c>
      <c r="BO66" s="322">
        <v>20225.625335000001</v>
      </c>
      <c r="BP66" s="10">
        <v>20800</v>
      </c>
      <c r="BQ66" s="254">
        <f t="shared" si="13"/>
        <v>1.9122125507211538</v>
      </c>
      <c r="BR66" s="254">
        <f t="shared" si="14"/>
        <v>0.97238583341346152</v>
      </c>
      <c r="BS66" s="25">
        <v>75.019093165721571</v>
      </c>
      <c r="BT66" s="25">
        <v>81.163739230769238</v>
      </c>
      <c r="BU66" s="25">
        <v>67.143333333333331</v>
      </c>
      <c r="BV66" s="25">
        <v>86.830504528185614</v>
      </c>
      <c r="BW66" s="25">
        <v>63.85798500315002</v>
      </c>
      <c r="BX66" s="25">
        <v>77.539167564502435</v>
      </c>
      <c r="BY66" s="25">
        <v>65.559689492373082</v>
      </c>
      <c r="BZ66">
        <v>96</v>
      </c>
      <c r="CA66">
        <v>0</v>
      </c>
      <c r="CB66">
        <v>6</v>
      </c>
      <c r="CC66">
        <v>4286.5440680000002</v>
      </c>
      <c r="CD66" s="10">
        <v>963.13411699999995</v>
      </c>
      <c r="CE66" s="255">
        <v>0.22468779084531271</v>
      </c>
      <c r="CF66" t="str">
        <f>IFERROR(VLOOKUP(CE66,'Rangos amb etnico'!$A$2:$C$6,3,9),"N.D.")</f>
        <v>0,1% - 30%</v>
      </c>
      <c r="CG66" s="256">
        <v>2.8021202156719971E-5</v>
      </c>
      <c r="CH66" s="232">
        <v>0</v>
      </c>
      <c r="CI66" s="311">
        <f t="shared" si="22"/>
        <v>0</v>
      </c>
      <c r="CJ66" s="232">
        <f>IFERROR(VLOOKUP(CI66,'Rangos amb etnico'!$A$2:$C$6,3,9),"N.D.")</f>
        <v>0</v>
      </c>
      <c r="CK66" s="311">
        <f t="shared" si="23"/>
        <v>0</v>
      </c>
      <c r="CL66" s="10">
        <v>0</v>
      </c>
      <c r="CM66" s="255">
        <f t="shared" si="24"/>
        <v>0</v>
      </c>
      <c r="CN66" s="232">
        <f>IFERROR(VLOOKUP(CM66,'Rangos amb etnico'!$A$2:$C$6,3,9),"N.D.")</f>
        <v>0</v>
      </c>
      <c r="CO66" s="311">
        <f t="shared" si="25"/>
        <v>0</v>
      </c>
      <c r="CP66">
        <v>0.97165574729324555</v>
      </c>
      <c r="CQ66" t="s">
        <v>2864</v>
      </c>
      <c r="CR66">
        <f t="shared" si="15"/>
        <v>3</v>
      </c>
      <c r="CS66" t="str">
        <f t="shared" si="26"/>
        <v>Candidato</v>
      </c>
      <c r="CT66">
        <v>0</v>
      </c>
      <c r="CU66">
        <v>0</v>
      </c>
      <c r="CV66" s="25">
        <v>63.435043334960938</v>
      </c>
      <c r="CW66" s="25">
        <v>48.335559844970703</v>
      </c>
      <c r="CX66" s="25">
        <v>72.203094482421875</v>
      </c>
      <c r="CY66" s="25">
        <v>67.792030334472656</v>
      </c>
      <c r="CZ66" s="25">
        <v>69.16412353515625</v>
      </c>
      <c r="DA66" s="25">
        <v>63.731006622314453</v>
      </c>
      <c r="DB66" s="25">
        <v>59.384441375732422</v>
      </c>
      <c r="DC66">
        <v>144</v>
      </c>
      <c r="DD66" s="253" t="s">
        <v>380</v>
      </c>
    </row>
    <row r="67" spans="1:108" hidden="1">
      <c r="A67" s="13">
        <v>63401</v>
      </c>
      <c r="B67" s="13" t="s">
        <v>588</v>
      </c>
      <c r="C67" s="13" t="s">
        <v>473</v>
      </c>
      <c r="D67" s="13" t="s">
        <v>474</v>
      </c>
      <c r="E67" s="13" t="s">
        <v>589</v>
      </c>
      <c r="F67" s="14">
        <v>71.642099999999999</v>
      </c>
      <c r="G67" s="13">
        <v>70.55</v>
      </c>
      <c r="H67" s="13">
        <v>67.8</v>
      </c>
      <c r="I67" s="13">
        <v>63.55</v>
      </c>
      <c r="J67" s="14">
        <v>50.336469226468367</v>
      </c>
      <c r="K67" s="14">
        <v>52.475237760317285</v>
      </c>
      <c r="L67" s="14">
        <v>13.864202829387549</v>
      </c>
      <c r="M67" s="14">
        <v>54.812399999999997</v>
      </c>
      <c r="N67" s="14">
        <f t="shared" ref="N67:N130" si="27">IFERROR(AVERAGE(F67:I67),"N.D.")</f>
        <v>68.385525000000001</v>
      </c>
      <c r="O67" s="14">
        <f t="shared" ref="O67:O130" si="28">IFERROR(AVERAGE(J67:M67),"N.D.")</f>
        <v>42.8720774540433</v>
      </c>
      <c r="P67" s="14">
        <f t="shared" si="16"/>
        <v>55.628801227021654</v>
      </c>
      <c r="Q67" s="14">
        <v>36.375234290180373</v>
      </c>
      <c r="R67" s="17">
        <f t="shared" ref="R67:R130" si="29">IFERROR(MAX($Q$3:$Q$1105)-Q67,"N.D.")</f>
        <v>63.624765709819627</v>
      </c>
      <c r="S67" s="14">
        <f t="shared" si="17"/>
        <v>0.67262289138837672</v>
      </c>
      <c r="T67" s="13">
        <v>0</v>
      </c>
      <c r="U67" s="13">
        <f t="shared" si="18"/>
        <v>37.417205125788584</v>
      </c>
      <c r="V67" s="13">
        <f>IF($T67=1,$AU67,(VLOOKUP(U67,'Cortes naturales'!$A$35:$C$39,3,9)))</f>
        <v>3</v>
      </c>
      <c r="W67" s="13">
        <v>3</v>
      </c>
      <c r="X67" s="14" t="b">
        <f t="shared" ref="X67:X130" si="30">V67=W67</f>
        <v>1</v>
      </c>
      <c r="Y67" s="17">
        <f>IF($T67=1,$AU67,VLOOKUP(U67,'Cortes naturales'!$A$45:$C$49,3,9))</f>
        <v>2</v>
      </c>
      <c r="Z67" s="14">
        <v>56.563430423881911</v>
      </c>
      <c r="AA67" s="14">
        <v>0.69204025513578582</v>
      </c>
      <c r="AB67" s="14">
        <v>39.144170821898506</v>
      </c>
      <c r="AC67" s="13">
        <v>2</v>
      </c>
      <c r="AD67" s="13">
        <f t="shared" ref="AD67:AD130" si="31">IFERROR(AC67-Y67,)</f>
        <v>0</v>
      </c>
      <c r="AE67" s="14">
        <f t="shared" ref="AE67:AE130" si="32">IFERROR(P67-Z67,"N.D.")</f>
        <v>-0.93462919686025714</v>
      </c>
      <c r="AF67" s="14">
        <f t="shared" ref="AF67:AF130" si="33">IFERROR(S67-AA67,"N.D.")</f>
        <v>-1.94173637474091E-2</v>
      </c>
      <c r="AG67" s="13">
        <f t="shared" ref="AG67:AG130" si="34">IFERROR(U67-AB67,0)</f>
        <v>-1.7269656961099216</v>
      </c>
      <c r="AH67" s="13">
        <f>IF($T67=1,$AU67,VLOOKUP(U67,'Cortes naturales'!$A$25:$C$29,3,9))</f>
        <v>2</v>
      </c>
      <c r="AI67" s="13" t="b">
        <f t="shared" ref="AI67:AI130" si="35">AH67=Y67</f>
        <v>1</v>
      </c>
      <c r="AJ67" s="13">
        <f t="shared" ref="AJ67:AJ130" si="36">IF(AD67=0,0,IF(AI67=TRUE,"Efecto ponderador","Cambio en corte"))</f>
        <v>0</v>
      </c>
      <c r="AK67" s="28">
        <v>0.9741882058902549</v>
      </c>
      <c r="AL67" s="28">
        <v>55.103426803639778</v>
      </c>
      <c r="AM67" s="28">
        <v>0.5186597729847745</v>
      </c>
      <c r="AN67" s="13">
        <v>2</v>
      </c>
      <c r="AO67" s="33">
        <f t="shared" ref="AO67:AO130" si="37">IF(AND(ISNUMBER(AN67),ISNUMBER(Y67)),AN67-Y67,IF(AN67="SC- Centro aglomeración",Y67,IF(OR(AN67="Bogotá",AN67="Ciudades grandes"),0,0)))</f>
        <v>0</v>
      </c>
      <c r="AP67" s="13">
        <f t="shared" si="20"/>
        <v>51.865977298477453</v>
      </c>
      <c r="AQ67" s="13">
        <f>IFERROR(VLOOKUP(U67,'Cortes naturales'!$E$15:$G$19,3,9),U67)</f>
        <v>3</v>
      </c>
      <c r="AR67" s="28">
        <f t="shared" ref="AR67:AR130" si="38">IFERROR(S67-AK67,"N.D.")</f>
        <v>-0.30156531450187818</v>
      </c>
      <c r="AS67" s="13" t="b">
        <f t="shared" ref="AS67:AS130" si="39">AQ67=Y67</f>
        <v>0</v>
      </c>
      <c r="AT67" s="13">
        <f t="shared" si="21"/>
        <v>0</v>
      </c>
      <c r="AU67" s="13">
        <v>1</v>
      </c>
      <c r="AV67">
        <f t="shared" ref="AV67:AV130" si="40">IF(AND(ISNUMBER(AU67),ISNUMBER(Y67)),AU67-Y67,IF(AU67="SC- Centro aglomeración",Y67,IF(OR(AU67="Bogotá",AU67="Ciudades grandes"),0,0)))</f>
        <v>-1</v>
      </c>
      <c r="AW67" s="13">
        <v>0</v>
      </c>
      <c r="AX67" s="13">
        <v>0</v>
      </c>
      <c r="AY67" s="13">
        <v>0</v>
      </c>
      <c r="AZ67" s="13">
        <v>0</v>
      </c>
      <c r="BA67">
        <v>0</v>
      </c>
      <c r="BB67" t="s">
        <v>2838</v>
      </c>
      <c r="BC67">
        <v>6</v>
      </c>
      <c r="BD67" s="184" t="s">
        <v>2917</v>
      </c>
      <c r="BE67">
        <v>0</v>
      </c>
      <c r="BF67" s="232" t="s">
        <v>2846</v>
      </c>
      <c r="BG67" s="232" t="s">
        <v>2846</v>
      </c>
      <c r="BH67" s="253">
        <v>27.4</v>
      </c>
      <c r="BI67" s="253">
        <v>10.227447600874088</v>
      </c>
      <c r="BJ67" s="25">
        <v>0</v>
      </c>
      <c r="BK67" t="s">
        <v>381</v>
      </c>
      <c r="BL67">
        <v>2.1929349726190148</v>
      </c>
      <c r="BM67" t="s">
        <v>383</v>
      </c>
      <c r="BN67" s="322">
        <v>66831.886345000006</v>
      </c>
      <c r="BO67" s="322">
        <v>19806.605113000001</v>
      </c>
      <c r="BP67" s="10">
        <v>33885</v>
      </c>
      <c r="BQ67" s="254">
        <f t="shared" ref="BQ67:BQ130" si="41">BN67/BP67</f>
        <v>1.9723147807289363</v>
      </c>
      <c r="BR67" s="254">
        <f t="shared" ref="BR67:BR130" si="42">BO67/BP67</f>
        <v>0.58452427661207029</v>
      </c>
      <c r="BS67" s="25">
        <v>64.462501464363342</v>
      </c>
      <c r="BT67" s="25">
        <v>93.77414175151246</v>
      </c>
      <c r="BU67" s="25">
        <v>63.562755227552273</v>
      </c>
      <c r="BV67" s="25">
        <v>84.314789377055277</v>
      </c>
      <c r="BW67" s="25">
        <v>71.490305812025923</v>
      </c>
      <c r="BX67" s="25">
        <v>76.528546955120831</v>
      </c>
      <c r="BY67" s="25">
        <v>72.490188566047479</v>
      </c>
      <c r="BZ67">
        <v>16</v>
      </c>
      <c r="CA67">
        <v>0</v>
      </c>
      <c r="CB67">
        <v>6</v>
      </c>
      <c r="CC67">
        <v>8944.5048279999992</v>
      </c>
      <c r="CD67" s="10">
        <v>2942.0862339999999</v>
      </c>
      <c r="CE67" s="255">
        <v>0.32892667515702528</v>
      </c>
      <c r="CF67" t="str">
        <f>IFERROR(VLOOKUP(CE67,'Rangos amb etnico'!$A$2:$C$6,3,9),"N.D.")</f>
        <v>31% - 50%</v>
      </c>
      <c r="CG67" s="256">
        <v>8.5596379227231687E-5</v>
      </c>
      <c r="CH67" s="232">
        <v>0</v>
      </c>
      <c r="CI67" s="311">
        <f t="shared" si="22"/>
        <v>0</v>
      </c>
      <c r="CJ67" s="232">
        <f>IFERROR(VLOOKUP(CI67,'Rangos amb etnico'!$A$2:$C$6,3,9),"N.D.")</f>
        <v>0</v>
      </c>
      <c r="CK67" s="311">
        <f t="shared" si="23"/>
        <v>0</v>
      </c>
      <c r="CL67" s="10">
        <v>0</v>
      </c>
      <c r="CM67" s="255">
        <f t="shared" si="24"/>
        <v>0</v>
      </c>
      <c r="CN67" s="232">
        <f>IFERROR(VLOOKUP(CM67,'Rangos amb etnico'!$A$2:$C$6,3,9),"N.D.")</f>
        <v>0</v>
      </c>
      <c r="CO67" s="311">
        <f t="shared" si="25"/>
        <v>0</v>
      </c>
      <c r="CP67">
        <v>0.80713316006406144</v>
      </c>
      <c r="CQ67" t="s">
        <v>2865</v>
      </c>
      <c r="CR67">
        <f t="shared" ref="CR67:CR130" si="43">IF(BY67&gt;=60,1,0)+IF(M67&gt;=60,1,0)+IF(I67&gt;=60,1,0)+IF(OR(CQ67="Crítico Bajo",CQ67="Aceptable"),1,0)</f>
        <v>3</v>
      </c>
      <c r="CS67" t="str">
        <f t="shared" si="26"/>
        <v>Candidato</v>
      </c>
      <c r="CT67">
        <v>0</v>
      </c>
      <c r="CU67">
        <v>0</v>
      </c>
      <c r="CV67" s="25">
        <v>57.361263275146477</v>
      </c>
      <c r="CW67" s="25">
        <v>44.656845092773438</v>
      </c>
      <c r="CX67" s="25">
        <v>61.776588439941413</v>
      </c>
      <c r="CY67" s="25">
        <v>80.96624755859375</v>
      </c>
      <c r="CZ67" s="25">
        <v>63.589626312255859</v>
      </c>
      <c r="DA67" s="25">
        <v>31.141290664672852</v>
      </c>
      <c r="DB67" s="25">
        <v>62.036972045898438</v>
      </c>
      <c r="DC67">
        <v>687</v>
      </c>
      <c r="DD67" s="253" t="s">
        <v>380</v>
      </c>
    </row>
    <row r="68" spans="1:108" hidden="1">
      <c r="A68" s="13">
        <v>68547</v>
      </c>
      <c r="B68" s="13" t="s">
        <v>590</v>
      </c>
      <c r="C68" s="13" t="s">
        <v>431</v>
      </c>
      <c r="D68" s="13" t="s">
        <v>432</v>
      </c>
      <c r="E68" s="13" t="s">
        <v>591</v>
      </c>
      <c r="F68" s="14">
        <v>71.256699999999995</v>
      </c>
      <c r="G68" s="13">
        <v>73.36</v>
      </c>
      <c r="H68" s="13">
        <v>67.400000000000006</v>
      </c>
      <c r="I68" s="13">
        <v>68.72</v>
      </c>
      <c r="J68" s="14">
        <v>61.188819014925102</v>
      </c>
      <c r="K68" s="14">
        <v>63.04297927249354</v>
      </c>
      <c r="L68" s="14">
        <v>64.360882417693702</v>
      </c>
      <c r="M68" s="14">
        <v>59.969200000000001</v>
      </c>
      <c r="N68" s="14">
        <f t="shared" si="27"/>
        <v>70.184174999999996</v>
      </c>
      <c r="O68" s="14">
        <f t="shared" si="28"/>
        <v>62.140470176278086</v>
      </c>
      <c r="P68" s="14">
        <f t="shared" ref="P68:P131" si="44">IFERROR(AVERAGE(N68:O68),"N.D.")</f>
        <v>66.162322588139034</v>
      </c>
      <c r="Q68" s="14">
        <v>35.849987619183153</v>
      </c>
      <c r="R68" s="17">
        <f t="shared" si="29"/>
        <v>64.150012380816847</v>
      </c>
      <c r="S68" s="14">
        <f t="shared" ref="S68:S131" si="45">IFERROR((0.1+(1-0.1)*(R68%-0)/(1-0)),"N.D.")</f>
        <v>0.67735011142735158</v>
      </c>
      <c r="T68" s="13">
        <v>0</v>
      </c>
      <c r="U68" s="13">
        <f t="shared" ref="U68:U131" si="46">$P68*$S68</f>
        <v>44.815056577368352</v>
      </c>
      <c r="V68" s="13">
        <f>IF($T68=1,$AU68,(VLOOKUP(U68,'Cortes naturales'!$A$35:$C$39,3,9)))</f>
        <v>2</v>
      </c>
      <c r="W68" s="13">
        <v>2</v>
      </c>
      <c r="X68" s="14" t="b">
        <f t="shared" si="30"/>
        <v>1</v>
      </c>
      <c r="Y68" s="17">
        <f>IF($T68=1,$AU68,VLOOKUP(U68,'Cortes naturales'!$A$45:$C$49,3,9))</f>
        <v>2</v>
      </c>
      <c r="Z68" s="14">
        <v>64.893106304757765</v>
      </c>
      <c r="AA68" s="14">
        <v>0.69131680902049697</v>
      </c>
      <c r="AB68" s="14">
        <v>44.861695178033031</v>
      </c>
      <c r="AC68" s="13">
        <v>2</v>
      </c>
      <c r="AD68" s="13">
        <f t="shared" si="31"/>
        <v>0</v>
      </c>
      <c r="AE68" s="14">
        <f t="shared" si="32"/>
        <v>1.2692162833812688</v>
      </c>
      <c r="AF68" s="14">
        <f t="shared" si="33"/>
        <v>-1.3966697593145394E-2</v>
      </c>
      <c r="AG68" s="13">
        <f t="shared" si="34"/>
        <v>-4.663860066467862E-2</v>
      </c>
      <c r="AH68" s="13">
        <f>IF($T68=1,$AU68,VLOOKUP(U68,'Cortes naturales'!$A$25:$C$29,3,9))</f>
        <v>2</v>
      </c>
      <c r="AI68" s="13" t="b">
        <f t="shared" si="35"/>
        <v>1</v>
      </c>
      <c r="AJ68" s="13">
        <f t="shared" si="36"/>
        <v>0</v>
      </c>
      <c r="AK68" s="28">
        <v>0.9741882058902549</v>
      </c>
      <c r="AL68" s="28">
        <v>63.218098805677556</v>
      </c>
      <c r="AM68" s="28">
        <v>0.62016576605971596</v>
      </c>
      <c r="AN68" s="13">
        <v>2</v>
      </c>
      <c r="AO68" s="33">
        <f t="shared" si="37"/>
        <v>0</v>
      </c>
      <c r="AP68" s="13">
        <f t="shared" ref="AP68:AP131" si="47">IFERROR(AM68*100,"N.D")</f>
        <v>62.016576605971593</v>
      </c>
      <c r="AQ68" s="13">
        <f>IFERROR(VLOOKUP(U68,'Cortes naturales'!$E$15:$G$19,3,9),U68)</f>
        <v>3</v>
      </c>
      <c r="AR68" s="28">
        <f t="shared" si="38"/>
        <v>-0.29683809446290332</v>
      </c>
      <c r="AS68" s="13" t="b">
        <f t="shared" si="39"/>
        <v>0</v>
      </c>
      <c r="AT68" s="13">
        <f t="shared" ref="AT68:AT131" si="48">IF(AO68=0,0,IF(AS68=TRUE,"Efecto ponderador","Cambio en corte"))</f>
        <v>0</v>
      </c>
      <c r="AU68" s="13">
        <v>2</v>
      </c>
      <c r="AV68">
        <f t="shared" si="40"/>
        <v>0</v>
      </c>
      <c r="AW68" s="13">
        <v>0</v>
      </c>
      <c r="AX68" s="13">
        <v>1</v>
      </c>
      <c r="AY68" s="13">
        <v>0</v>
      </c>
      <c r="AZ68" s="13">
        <v>0</v>
      </c>
      <c r="BA68">
        <v>0</v>
      </c>
      <c r="BB68" t="s">
        <v>2838</v>
      </c>
      <c r="BC68">
        <v>2</v>
      </c>
      <c r="BD68" s="184" t="s">
        <v>2917</v>
      </c>
      <c r="BE68">
        <v>1</v>
      </c>
      <c r="BF68" s="232" t="s">
        <v>2845</v>
      </c>
      <c r="BG68" s="232" t="s">
        <v>2846</v>
      </c>
      <c r="BH68" s="253">
        <v>16.2</v>
      </c>
      <c r="BI68" s="253">
        <v>5.5521511553683132</v>
      </c>
      <c r="BJ68" s="25">
        <v>4.6163822048527772</v>
      </c>
      <c r="BK68" t="s">
        <v>381</v>
      </c>
      <c r="BL68">
        <v>0.78471979173904605</v>
      </c>
      <c r="BM68" t="s">
        <v>383</v>
      </c>
      <c r="BN68" s="322">
        <v>411563.75232799997</v>
      </c>
      <c r="BO68" s="322">
        <v>117653.72732000001</v>
      </c>
      <c r="BP68" s="10">
        <v>189863</v>
      </c>
      <c r="BQ68" s="254">
        <f t="shared" si="41"/>
        <v>2.1676880294106802</v>
      </c>
      <c r="BR68" s="254">
        <f t="shared" si="42"/>
        <v>0.61967696349473045</v>
      </c>
      <c r="BS68" s="25">
        <v>75.396675249160879</v>
      </c>
      <c r="BT68" s="25">
        <v>86.722171374530873</v>
      </c>
      <c r="BU68" s="25">
        <v>63.508333333333333</v>
      </c>
      <c r="BV68" s="25">
        <v>83.711187236678256</v>
      </c>
      <c r="BW68" s="25">
        <v>65.873456433767032</v>
      </c>
      <c r="BX68" s="25">
        <v>77.334591798425834</v>
      </c>
      <c r="BY68" s="25">
        <v>67.013789097428543</v>
      </c>
      <c r="BZ68">
        <v>39</v>
      </c>
      <c r="CA68">
        <v>0</v>
      </c>
      <c r="CB68">
        <v>6</v>
      </c>
      <c r="CC68">
        <v>48379.585050000002</v>
      </c>
      <c r="CD68" s="10">
        <v>22153.020542999999</v>
      </c>
      <c r="CE68" s="255">
        <v>0.45790017669860106</v>
      </c>
      <c r="CF68" t="str">
        <f>IFERROR(VLOOKUP(CE68,'Rangos amb etnico'!$A$2:$C$6,3,9),"N.D.")</f>
        <v>31% - 50%</v>
      </c>
      <c r="CG68" s="256">
        <v>6.4451487706708812E-4</v>
      </c>
      <c r="CH68" s="232">
        <v>0</v>
      </c>
      <c r="CI68" s="311">
        <f t="shared" ref="CI68:CI131" si="49">IFERROR(CH68/CC68,"N.D.")</f>
        <v>0</v>
      </c>
      <c r="CJ68" s="232">
        <f>IFERROR(VLOOKUP(CI68,'Rangos amb etnico'!$A$2:$C$6,3,9),"N.D.")</f>
        <v>0</v>
      </c>
      <c r="CK68" s="311">
        <f t="shared" ref="CK68:CK131" si="50">IFERROR(CH68/$CH$1,"N.D.")</f>
        <v>0</v>
      </c>
      <c r="CL68" s="10">
        <v>0</v>
      </c>
      <c r="CM68" s="255">
        <f t="shared" ref="CM68:CM131" si="51">IFERROR(CL68/CC68,"N.D.")</f>
        <v>0</v>
      </c>
      <c r="CN68" s="232">
        <f>IFERROR(VLOOKUP(CM68,'Rangos amb etnico'!$A$2:$C$6,3,9),"N.D.")</f>
        <v>0</v>
      </c>
      <c r="CO68" s="311">
        <f t="shared" ref="CO68:CO131" si="52">IFERROR(CL68/$CL$1,"N.D.")</f>
        <v>0</v>
      </c>
      <c r="CP68">
        <v>0.94923004384422405</v>
      </c>
      <c r="CQ68" t="s">
        <v>2864</v>
      </c>
      <c r="CR68">
        <f t="shared" si="43"/>
        <v>3</v>
      </c>
      <c r="CS68" t="str">
        <f t="shared" ref="CS68:CS131" si="53">IF(CR68&gt;=3,"Candidato","No es Candidato")</f>
        <v>Candidato</v>
      </c>
      <c r="CT68">
        <v>0</v>
      </c>
      <c r="CU68">
        <v>0</v>
      </c>
      <c r="CV68" s="25">
        <v>64.017173767089844</v>
      </c>
      <c r="CW68" s="25">
        <v>54.104377746582031</v>
      </c>
      <c r="CX68" s="25">
        <v>56.844284057617188</v>
      </c>
      <c r="CY68" s="25">
        <v>72.645462036132813</v>
      </c>
      <c r="CZ68" s="25">
        <v>67.867218017578125</v>
      </c>
      <c r="DA68" s="25">
        <v>64.327468872070313</v>
      </c>
      <c r="DB68" s="25">
        <v>68.314239501953125</v>
      </c>
      <c r="DC68">
        <v>2341</v>
      </c>
      <c r="DD68" s="253" t="s">
        <v>380</v>
      </c>
    </row>
    <row r="69" spans="1:108" hidden="1">
      <c r="A69" s="13">
        <v>15238</v>
      </c>
      <c r="B69" s="13" t="s">
        <v>592</v>
      </c>
      <c r="C69" s="13" t="s">
        <v>498</v>
      </c>
      <c r="D69" s="13" t="s">
        <v>499</v>
      </c>
      <c r="E69" s="13" t="s">
        <v>593</v>
      </c>
      <c r="F69" s="14">
        <v>56.996833333333299</v>
      </c>
      <c r="G69" s="13">
        <v>55.61</v>
      </c>
      <c r="H69" s="13">
        <v>54.78</v>
      </c>
      <c r="I69" s="13">
        <v>57.55</v>
      </c>
      <c r="J69" s="14">
        <v>57.092778535663491</v>
      </c>
      <c r="K69" s="14">
        <v>57.291450525943326</v>
      </c>
      <c r="L69" s="14">
        <v>57.692940917302835</v>
      </c>
      <c r="M69" s="14">
        <v>57.785800000000002</v>
      </c>
      <c r="N69" s="14">
        <f t="shared" si="27"/>
        <v>56.234208333333328</v>
      </c>
      <c r="O69" s="14">
        <f t="shared" si="28"/>
        <v>57.465742494727408</v>
      </c>
      <c r="P69" s="14">
        <f t="shared" si="44"/>
        <v>56.849975414030368</v>
      </c>
      <c r="Q69" s="14">
        <v>36.114972168712221</v>
      </c>
      <c r="R69" s="17">
        <f t="shared" si="29"/>
        <v>63.885027831287779</v>
      </c>
      <c r="S69" s="14">
        <f t="shared" si="45"/>
        <v>0.67496525048158995</v>
      </c>
      <c r="T69" s="13">
        <v>0</v>
      </c>
      <c r="U69" s="13">
        <f t="shared" si="46"/>
        <v>38.371757895203238</v>
      </c>
      <c r="V69" s="13">
        <f>IF($T69=1,$AU69,(VLOOKUP(U69,'Cortes naturales'!$A$35:$C$39,3,9)))</f>
        <v>3</v>
      </c>
      <c r="W69" s="13">
        <v>3</v>
      </c>
      <c r="X69" s="14" t="b">
        <f t="shared" si="30"/>
        <v>1</v>
      </c>
      <c r="Y69" s="17">
        <f>IF($T69=1,$AU69,VLOOKUP(U69,'Cortes naturales'!$A$45:$C$49,3,9))</f>
        <v>2</v>
      </c>
      <c r="Z69" s="14">
        <v>57.253458496808591</v>
      </c>
      <c r="AA69" s="14">
        <v>0.69054861513903099</v>
      </c>
      <c r="AB69" s="14">
        <v>39.53629647689116</v>
      </c>
      <c r="AC69" s="13">
        <v>2</v>
      </c>
      <c r="AD69" s="13">
        <f t="shared" si="31"/>
        <v>0</v>
      </c>
      <c r="AE69" s="14">
        <f t="shared" si="32"/>
        <v>-0.40348308277822298</v>
      </c>
      <c r="AF69" s="14">
        <f t="shared" si="33"/>
        <v>-1.5583364657441034E-2</v>
      </c>
      <c r="AG69" s="13">
        <f t="shared" si="34"/>
        <v>-1.1645385816879212</v>
      </c>
      <c r="AH69" s="13">
        <f>IF($T69=1,$AU69,VLOOKUP(U69,'Cortes naturales'!$A$25:$C$29,3,9))</f>
        <v>2</v>
      </c>
      <c r="AI69" s="13" t="b">
        <f t="shared" si="35"/>
        <v>1</v>
      </c>
      <c r="AJ69" s="13">
        <f t="shared" si="36"/>
        <v>0</v>
      </c>
      <c r="AK69" s="28" t="s">
        <v>440</v>
      </c>
      <c r="AL69" s="28" t="s">
        <v>380</v>
      </c>
      <c r="AM69" s="28" t="s">
        <v>380</v>
      </c>
      <c r="AN69" s="13" t="s">
        <v>476</v>
      </c>
      <c r="AO69" s="33">
        <f t="shared" si="37"/>
        <v>2</v>
      </c>
      <c r="AP69" s="13" t="str">
        <f t="shared" si="47"/>
        <v>N.D</v>
      </c>
      <c r="AQ69" s="13">
        <f>IFERROR(VLOOKUP(U69,'Cortes naturales'!$E$15:$G$19,3,9),U69)</f>
        <v>3</v>
      </c>
      <c r="AR69" s="28" t="str">
        <f t="shared" si="38"/>
        <v>N.D.</v>
      </c>
      <c r="AS69" s="13" t="b">
        <f t="shared" si="39"/>
        <v>0</v>
      </c>
      <c r="AT69" s="13" t="str">
        <f t="shared" si="48"/>
        <v>Cambio en corte</v>
      </c>
      <c r="AU69" s="13" t="s">
        <v>476</v>
      </c>
      <c r="AV69">
        <f t="shared" si="40"/>
        <v>2</v>
      </c>
      <c r="AW69" s="13">
        <v>0</v>
      </c>
      <c r="AX69" s="13">
        <v>1</v>
      </c>
      <c r="AY69" s="13">
        <v>0</v>
      </c>
      <c r="AZ69" s="13">
        <v>0</v>
      </c>
      <c r="BA69">
        <v>0</v>
      </c>
      <c r="BB69" t="s">
        <v>2838</v>
      </c>
      <c r="BC69">
        <v>3</v>
      </c>
      <c r="BD69" t="s">
        <v>2918</v>
      </c>
      <c r="BE69">
        <v>0</v>
      </c>
      <c r="BF69" s="232" t="s">
        <v>2845</v>
      </c>
      <c r="BG69" s="232" t="s">
        <v>2846</v>
      </c>
      <c r="BH69" s="253">
        <v>10.5</v>
      </c>
      <c r="BI69" s="253">
        <v>3.382817786991271</v>
      </c>
      <c r="BJ69" s="25">
        <v>2.5982463134968565</v>
      </c>
      <c r="BK69" t="s">
        <v>381</v>
      </c>
      <c r="BL69">
        <v>1.3274497459639101</v>
      </c>
      <c r="BM69" t="s">
        <v>383</v>
      </c>
      <c r="BN69" s="322">
        <v>270876.53771300003</v>
      </c>
      <c r="BO69" s="322">
        <v>64057.485624000001</v>
      </c>
      <c r="BP69" s="10">
        <v>134425</v>
      </c>
      <c r="BQ69" s="254">
        <f t="shared" si="41"/>
        <v>2.015075601361354</v>
      </c>
      <c r="BR69" s="254">
        <f t="shared" si="42"/>
        <v>0.47652955643667472</v>
      </c>
      <c r="BS69" s="25">
        <v>75.47102130436447</v>
      </c>
      <c r="BT69" s="25">
        <v>97.533269384993858</v>
      </c>
      <c r="BU69" s="25">
        <v>71.036666666666676</v>
      </c>
      <c r="BV69" s="25">
        <v>75.751827517744189</v>
      </c>
      <c r="BW69" s="25">
        <v>58.174781667244488</v>
      </c>
      <c r="BX69" s="25">
        <v>79.948196218442291</v>
      </c>
      <c r="BY69" s="25">
        <v>58.691693296149452</v>
      </c>
      <c r="BZ69">
        <v>21</v>
      </c>
      <c r="CA69">
        <v>1</v>
      </c>
      <c r="CB69">
        <v>4</v>
      </c>
      <c r="CC69">
        <v>23354.543514000001</v>
      </c>
      <c r="CD69" s="10">
        <v>13791.227621</v>
      </c>
      <c r="CE69" s="255">
        <v>0.59051582886785081</v>
      </c>
      <c r="CF69" t="str">
        <f>IFERROR(VLOOKUP(CE69,'Rangos amb etnico'!$A$2:$C$6,3,9),"N.D.")</f>
        <v>51% - 70%</v>
      </c>
      <c r="CG69" s="256">
        <v>4.012387998060931E-4</v>
      </c>
      <c r="CH69" s="232">
        <v>0</v>
      </c>
      <c r="CI69" s="311">
        <f t="shared" si="49"/>
        <v>0</v>
      </c>
      <c r="CJ69" s="232">
        <f>IFERROR(VLOOKUP(CI69,'Rangos amb etnico'!$A$2:$C$6,3,9),"N.D.")</f>
        <v>0</v>
      </c>
      <c r="CK69" s="311">
        <f t="shared" si="50"/>
        <v>0</v>
      </c>
      <c r="CL69" s="10">
        <v>0</v>
      </c>
      <c r="CM69" s="255">
        <f t="shared" si="51"/>
        <v>0</v>
      </c>
      <c r="CN69" s="232">
        <f>IFERROR(VLOOKUP(CM69,'Rangos amb etnico'!$A$2:$C$6,3,9),"N.D.")</f>
        <v>0</v>
      </c>
      <c r="CO69" s="311">
        <f t="shared" si="52"/>
        <v>0</v>
      </c>
      <c r="CP69">
        <v>0.93204374316170391</v>
      </c>
      <c r="CQ69" t="s">
        <v>2864</v>
      </c>
      <c r="CR69">
        <f t="shared" si="43"/>
        <v>1</v>
      </c>
      <c r="CS69" t="str">
        <f t="shared" si="53"/>
        <v>No es Candidato</v>
      </c>
      <c r="CT69">
        <v>0</v>
      </c>
      <c r="CU69">
        <v>0</v>
      </c>
      <c r="CV69" s="25">
        <v>55.035533905029297</v>
      </c>
      <c r="CW69" s="25">
        <v>50.452915191650391</v>
      </c>
      <c r="CX69" s="25">
        <v>39.614639282226563</v>
      </c>
      <c r="CY69" s="25">
        <v>80.908203125</v>
      </c>
      <c r="CZ69" s="25">
        <v>62.474292755126953</v>
      </c>
      <c r="DA69" s="25">
        <v>36.244003295898438</v>
      </c>
      <c r="DB69" s="25">
        <v>60.519134521484382</v>
      </c>
      <c r="DC69">
        <v>941</v>
      </c>
      <c r="DD69" s="253" t="s">
        <v>380</v>
      </c>
    </row>
    <row r="70" spans="1:108" hidden="1">
      <c r="A70" s="13">
        <v>73001</v>
      </c>
      <c r="B70" s="13" t="s">
        <v>594</v>
      </c>
      <c r="C70" s="13" t="s">
        <v>595</v>
      </c>
      <c r="D70" s="13" t="s">
        <v>596</v>
      </c>
      <c r="E70" s="13" t="s">
        <v>597</v>
      </c>
      <c r="F70" s="14">
        <v>98.213133742488196</v>
      </c>
      <c r="G70" s="13">
        <v>86.44</v>
      </c>
      <c r="H70" s="13">
        <v>85.44</v>
      </c>
      <c r="I70" s="13">
        <v>85.2</v>
      </c>
      <c r="J70" s="14">
        <v>49.048113175611228</v>
      </c>
      <c r="K70" s="14">
        <v>56.058816399255477</v>
      </c>
      <c r="L70" s="14">
        <v>59.66103266941839</v>
      </c>
      <c r="M70" s="14">
        <v>52.416499999999999</v>
      </c>
      <c r="N70" s="14">
        <f t="shared" si="27"/>
        <v>88.823283435622045</v>
      </c>
      <c r="O70" s="14">
        <f t="shared" si="28"/>
        <v>54.296115561071275</v>
      </c>
      <c r="P70" s="14">
        <f t="shared" si="44"/>
        <v>71.55969949834666</v>
      </c>
      <c r="Q70" s="14">
        <v>36.209658141249243</v>
      </c>
      <c r="R70" s="17">
        <f t="shared" si="29"/>
        <v>63.790341858750757</v>
      </c>
      <c r="S70" s="14">
        <f t="shared" si="45"/>
        <v>0.67411307672875675</v>
      </c>
      <c r="T70" s="13">
        <v>0</v>
      </c>
      <c r="U70" s="13">
        <f t="shared" si="46"/>
        <v>48.239329198615735</v>
      </c>
      <c r="V70" s="13">
        <f>IF($T70=1,$AU70,(VLOOKUP(U70,'Cortes naturales'!$A$35:$C$39,3,9)))</f>
        <v>2</v>
      </c>
      <c r="W70" s="13">
        <v>2</v>
      </c>
      <c r="X70" s="14" t="b">
        <f t="shared" si="30"/>
        <v>1</v>
      </c>
      <c r="Y70" s="17">
        <f>IF($T70=1,$AU70,VLOOKUP(U70,'Cortes naturales'!$A$45:$C$49,3,9))</f>
        <v>1</v>
      </c>
      <c r="Z70" s="14">
        <v>74.065611264075159</v>
      </c>
      <c r="AA70" s="14">
        <v>0.68712223690897456</v>
      </c>
      <c r="AB70" s="14">
        <v>50.892128489801863</v>
      </c>
      <c r="AC70" s="13">
        <v>1</v>
      </c>
      <c r="AD70" s="13">
        <f t="shared" si="31"/>
        <v>0</v>
      </c>
      <c r="AE70" s="14">
        <f t="shared" si="32"/>
        <v>-2.5059117657284986</v>
      </c>
      <c r="AF70" s="14">
        <f t="shared" si="33"/>
        <v>-1.3009160180217805E-2</v>
      </c>
      <c r="AG70" s="13">
        <f t="shared" si="34"/>
        <v>-2.6527992911861276</v>
      </c>
      <c r="AH70" s="13">
        <f>IF($T70=1,$AU70,VLOOKUP(U70,'Cortes naturales'!$A$25:$C$29,3,9))</f>
        <v>1</v>
      </c>
      <c r="AI70" s="13" t="b">
        <f t="shared" si="35"/>
        <v>1</v>
      </c>
      <c r="AJ70" s="13">
        <f t="shared" si="36"/>
        <v>0</v>
      </c>
      <c r="AK70" s="28">
        <v>0.9741882058902549</v>
      </c>
      <c r="AL70" s="28">
        <v>72.15384495551443</v>
      </c>
      <c r="AM70" s="28">
        <v>0.73194253122989161</v>
      </c>
      <c r="AN70" s="13">
        <v>1</v>
      </c>
      <c r="AO70" s="33">
        <f t="shared" si="37"/>
        <v>0</v>
      </c>
      <c r="AP70" s="13">
        <f t="shared" si="47"/>
        <v>73.194253122989167</v>
      </c>
      <c r="AQ70" s="13">
        <f>IFERROR(VLOOKUP(U70,'Cortes naturales'!$E$15:$G$19,3,9),U70)</f>
        <v>2</v>
      </c>
      <c r="AR70" s="28">
        <f t="shared" si="38"/>
        <v>-0.30007512916149814</v>
      </c>
      <c r="AS70" s="13" t="b">
        <f t="shared" si="39"/>
        <v>0</v>
      </c>
      <c r="AT70" s="13">
        <f t="shared" si="48"/>
        <v>0</v>
      </c>
      <c r="AU70" s="13">
        <v>1</v>
      </c>
      <c r="AV70">
        <f t="shared" si="40"/>
        <v>0</v>
      </c>
      <c r="AW70" s="13">
        <v>1</v>
      </c>
      <c r="AX70" s="13">
        <v>0</v>
      </c>
      <c r="AY70" s="13">
        <v>0</v>
      </c>
      <c r="AZ70" s="13">
        <v>0</v>
      </c>
      <c r="BA70">
        <v>0</v>
      </c>
      <c r="BB70" t="s">
        <v>2838</v>
      </c>
      <c r="BC70">
        <v>1</v>
      </c>
      <c r="BD70" t="s">
        <v>2920</v>
      </c>
      <c r="BE70">
        <v>1</v>
      </c>
      <c r="BF70" s="232" t="s">
        <v>2845</v>
      </c>
      <c r="BG70" s="232" t="s">
        <v>2845</v>
      </c>
      <c r="BH70" s="253">
        <v>14.8</v>
      </c>
      <c r="BI70" s="253">
        <v>5.4248581647131209</v>
      </c>
      <c r="BJ70" s="25">
        <v>9.1512820926800771</v>
      </c>
      <c r="BK70" t="s">
        <v>377</v>
      </c>
      <c r="BL70">
        <v>1.1091438394613093</v>
      </c>
      <c r="BM70" t="s">
        <v>383</v>
      </c>
      <c r="BN70" s="322">
        <v>1305626.203278</v>
      </c>
      <c r="BO70" s="322">
        <v>322442.68845700001</v>
      </c>
      <c r="BP70" s="10">
        <v>552035</v>
      </c>
      <c r="BQ70" s="254">
        <f t="shared" si="41"/>
        <v>2.3651148990154609</v>
      </c>
      <c r="BR70" s="254">
        <f t="shared" si="42"/>
        <v>0.58409826995933234</v>
      </c>
      <c r="BS70" s="25">
        <v>79.424945050502771</v>
      </c>
      <c r="BT70" s="25">
        <v>97.123675942747056</v>
      </c>
      <c r="BU70" s="25">
        <v>43.176666666666669</v>
      </c>
      <c r="BV70" s="25">
        <v>69.780761998262591</v>
      </c>
      <c r="BW70" s="25">
        <v>63.412523368538317</v>
      </c>
      <c r="BX70" s="25">
        <v>72.376512414544777</v>
      </c>
      <c r="BY70" s="25">
        <v>64.928605701988047</v>
      </c>
      <c r="BZ70">
        <v>18</v>
      </c>
      <c r="CA70">
        <v>1</v>
      </c>
      <c r="CB70">
        <v>3</v>
      </c>
      <c r="CC70">
        <v>137657.180055</v>
      </c>
      <c r="CD70" s="10">
        <v>89891.044718999998</v>
      </c>
      <c r="CE70" s="255">
        <v>0.65300658260676725</v>
      </c>
      <c r="CF70" t="str">
        <f>IFERROR(VLOOKUP(CE70,'Rangos amb etnico'!$A$2:$C$6,3,9),"N.D.")</f>
        <v>51% - 70%</v>
      </c>
      <c r="CG70" s="256">
        <v>2.6152693500212229E-3</v>
      </c>
      <c r="CH70" s="232">
        <v>0</v>
      </c>
      <c r="CI70" s="311">
        <f t="shared" si="49"/>
        <v>0</v>
      </c>
      <c r="CJ70" s="232">
        <f>IFERROR(VLOOKUP(CI70,'Rangos amb etnico'!$A$2:$C$6,3,9),"N.D.")</f>
        <v>0</v>
      </c>
      <c r="CK70" s="311">
        <f t="shared" si="50"/>
        <v>0</v>
      </c>
      <c r="CL70" s="10">
        <v>0</v>
      </c>
      <c r="CM70" s="255">
        <f t="shared" si="51"/>
        <v>0</v>
      </c>
      <c r="CN70" s="232">
        <f>IFERROR(VLOOKUP(CM70,'Rangos amb etnico'!$A$2:$C$6,3,9),"N.D.")</f>
        <v>0</v>
      </c>
      <c r="CO70" s="311">
        <f t="shared" si="52"/>
        <v>0</v>
      </c>
      <c r="CP70">
        <v>0.91744534148526458</v>
      </c>
      <c r="CQ70" t="s">
        <v>2864</v>
      </c>
      <c r="CR70">
        <f t="shared" si="43"/>
        <v>3</v>
      </c>
      <c r="CS70" t="str">
        <f t="shared" si="53"/>
        <v>Candidato</v>
      </c>
      <c r="CT70">
        <v>0</v>
      </c>
      <c r="CU70">
        <v>0</v>
      </c>
      <c r="CV70" s="25">
        <v>59.063526153564453</v>
      </c>
      <c r="CW70" s="25">
        <v>63.481273651123047</v>
      </c>
      <c r="CX70" s="25">
        <v>53.571949005126953</v>
      </c>
      <c r="CY70" s="25">
        <v>66.985191345214844</v>
      </c>
      <c r="CZ70" s="25">
        <v>88.162315368652344</v>
      </c>
      <c r="DA70" s="25">
        <v>29.29257774353027</v>
      </c>
      <c r="DB70" s="25">
        <v>52.887847900390618</v>
      </c>
      <c r="DC70">
        <v>10397</v>
      </c>
      <c r="DD70" s="253">
        <v>5.660078556385745</v>
      </c>
    </row>
    <row r="71" spans="1:108" hidden="1">
      <c r="A71" s="13">
        <v>70221</v>
      </c>
      <c r="B71" s="13" t="s">
        <v>598</v>
      </c>
      <c r="C71" s="13" t="s">
        <v>494</v>
      </c>
      <c r="D71" s="13" t="s">
        <v>495</v>
      </c>
      <c r="E71" s="13" t="s">
        <v>599</v>
      </c>
      <c r="F71" s="14">
        <v>65.873900000000006</v>
      </c>
      <c r="G71" s="13">
        <v>74.25</v>
      </c>
      <c r="H71" s="13">
        <v>67.94</v>
      </c>
      <c r="I71" s="13">
        <v>75.099999999999994</v>
      </c>
      <c r="J71" s="14">
        <v>53.85517970048879</v>
      </c>
      <c r="K71" s="14">
        <v>62.701503405177775</v>
      </c>
      <c r="L71" s="14">
        <v>72.661851348855421</v>
      </c>
      <c r="M71" s="14">
        <v>69.795000000000002</v>
      </c>
      <c r="N71" s="14">
        <f t="shared" si="27"/>
        <v>70.790975000000003</v>
      </c>
      <c r="O71" s="14">
        <f t="shared" si="28"/>
        <v>64.753383613630504</v>
      </c>
      <c r="P71" s="14">
        <f t="shared" si="44"/>
        <v>67.772179306815246</v>
      </c>
      <c r="Q71" s="14">
        <v>35.743397792426506</v>
      </c>
      <c r="R71" s="17">
        <f t="shared" si="29"/>
        <v>64.256602207573494</v>
      </c>
      <c r="S71" s="14">
        <f t="shared" si="45"/>
        <v>0.67830941986816151</v>
      </c>
      <c r="T71" s="13">
        <v>0</v>
      </c>
      <c r="U71" s="13">
        <f t="shared" si="46"/>
        <v>45.970507628806871</v>
      </c>
      <c r="V71" s="13">
        <f>IF($T71=1,$AU71,(VLOOKUP(U71,'Cortes naturales'!$A$35:$C$39,3,9)))</f>
        <v>2</v>
      </c>
      <c r="W71" s="13">
        <v>2</v>
      </c>
      <c r="X71" s="14" t="b">
        <f t="shared" si="30"/>
        <v>1</v>
      </c>
      <c r="Y71" s="17">
        <f>IF($T71=1,$AU71,VLOOKUP(U71,'Cortes naturales'!$A$45:$C$49,3,9))</f>
        <v>2</v>
      </c>
      <c r="Z71" s="14">
        <v>64.84653171783836</v>
      </c>
      <c r="AA71" s="14">
        <v>0.68838457737772252</v>
      </c>
      <c r="AB71" s="14">
        <v>44.639352330995237</v>
      </c>
      <c r="AC71" s="13">
        <v>2</v>
      </c>
      <c r="AD71" s="13">
        <f t="shared" si="31"/>
        <v>0</v>
      </c>
      <c r="AE71" s="14">
        <f t="shared" si="32"/>
        <v>2.9256475889768865</v>
      </c>
      <c r="AF71" s="14">
        <f t="shared" si="33"/>
        <v>-1.0075157509561006E-2</v>
      </c>
      <c r="AG71" s="13">
        <f t="shared" si="34"/>
        <v>1.3311552978116339</v>
      </c>
      <c r="AH71" s="13">
        <f>IF($T71=1,$AU71,VLOOKUP(U71,'Cortes naturales'!$A$25:$C$29,3,9))</f>
        <v>2</v>
      </c>
      <c r="AI71" s="13" t="b">
        <f t="shared" si="35"/>
        <v>1</v>
      </c>
      <c r="AJ71" s="13">
        <f t="shared" si="36"/>
        <v>0</v>
      </c>
      <c r="AK71" s="28">
        <v>0.9741882058902549</v>
      </c>
      <c r="AL71" s="28">
        <v>63.17272639240646</v>
      </c>
      <c r="AM71" s="28">
        <v>0.61959820499672624</v>
      </c>
      <c r="AN71" s="13">
        <v>2</v>
      </c>
      <c r="AO71" s="33">
        <f t="shared" si="37"/>
        <v>0</v>
      </c>
      <c r="AP71" s="13">
        <f t="shared" si="47"/>
        <v>61.959820499672624</v>
      </c>
      <c r="AQ71" s="13">
        <f>IFERROR(VLOOKUP(U71,'Cortes naturales'!$E$15:$G$19,3,9),U71)</f>
        <v>3</v>
      </c>
      <c r="AR71" s="28">
        <f t="shared" si="38"/>
        <v>-0.29587878602209339</v>
      </c>
      <c r="AS71" s="13" t="b">
        <f t="shared" si="39"/>
        <v>0</v>
      </c>
      <c r="AT71" s="13">
        <f t="shared" si="48"/>
        <v>0</v>
      </c>
      <c r="AU71" s="13">
        <v>2</v>
      </c>
      <c r="AV71">
        <f t="shared" si="40"/>
        <v>0</v>
      </c>
      <c r="AW71" s="13">
        <v>0</v>
      </c>
      <c r="AX71" s="13">
        <v>1</v>
      </c>
      <c r="AY71" s="13">
        <v>0</v>
      </c>
      <c r="AZ71" s="13">
        <v>0</v>
      </c>
      <c r="BA71">
        <v>0</v>
      </c>
      <c r="BB71" t="s">
        <v>2839</v>
      </c>
      <c r="BC71">
        <v>4</v>
      </c>
      <c r="BD71" t="s">
        <v>2919</v>
      </c>
      <c r="BE71">
        <v>0</v>
      </c>
      <c r="BF71" s="232" t="s">
        <v>2846</v>
      </c>
      <c r="BG71" s="232" t="s">
        <v>2846</v>
      </c>
      <c r="BH71" s="253">
        <v>45</v>
      </c>
      <c r="BI71" s="253">
        <v>28.206992267530236</v>
      </c>
      <c r="BJ71" s="25">
        <v>18.604651162790699</v>
      </c>
      <c r="BK71" t="s">
        <v>379</v>
      </c>
      <c r="BL71">
        <v>3.622388598626288</v>
      </c>
      <c r="BM71" t="s">
        <v>383</v>
      </c>
      <c r="BN71" s="322">
        <v>128753.530734</v>
      </c>
      <c r="BO71" s="322">
        <v>92941.000474999993</v>
      </c>
      <c r="BP71" s="10">
        <v>21748</v>
      </c>
      <c r="BQ71" s="254">
        <f t="shared" si="41"/>
        <v>5.9202469530071733</v>
      </c>
      <c r="BR71" s="254">
        <f t="shared" si="42"/>
        <v>4.2735424165440499</v>
      </c>
      <c r="BS71" s="25">
        <v>75.62711200365321</v>
      </c>
      <c r="BT71" s="25">
        <v>77.309790938630371</v>
      </c>
      <c r="BU71" s="25">
        <v>59.589347961823186</v>
      </c>
      <c r="BV71" s="25">
        <v>80.122163294442075</v>
      </c>
      <c r="BW71" s="25">
        <v>63.661044470185423</v>
      </c>
      <c r="BX71" s="25">
        <v>73.162103549637209</v>
      </c>
      <c r="BY71" s="25">
        <v>64.286373843409677</v>
      </c>
      <c r="BZ71">
        <v>43</v>
      </c>
      <c r="CA71">
        <v>0</v>
      </c>
      <c r="CB71">
        <v>6</v>
      </c>
      <c r="CC71">
        <v>5581.6803200000004</v>
      </c>
      <c r="CD71" s="10">
        <v>1873.3052580000001</v>
      </c>
      <c r="CE71" s="255">
        <v>0.33561672303009998</v>
      </c>
      <c r="CF71" t="str">
        <f>IFERROR(VLOOKUP(CE71,'Rangos amb etnico'!$A$2:$C$6,3,9),"N.D.")</f>
        <v>31% - 50%</v>
      </c>
      <c r="CG71" s="256">
        <v>5.4501511688910995E-5</v>
      </c>
      <c r="CH71" s="232">
        <v>133.181061</v>
      </c>
      <c r="CI71" s="311">
        <f t="shared" si="49"/>
        <v>2.3860388514690141E-2</v>
      </c>
      <c r="CJ71" s="232" t="str">
        <f>IFERROR(VLOOKUP(CI71,'Rangos amb etnico'!$A$2:$C$6,3,9),"N.D.")</f>
        <v>0,1% - 30%</v>
      </c>
      <c r="CK71" s="311">
        <f t="shared" si="50"/>
        <v>5.2881600848068845E-6</v>
      </c>
      <c r="CL71" s="10">
        <v>0</v>
      </c>
      <c r="CM71" s="255">
        <f t="shared" si="51"/>
        <v>0</v>
      </c>
      <c r="CN71" s="232">
        <f>IFERROR(VLOOKUP(CM71,'Rangos amb etnico'!$A$2:$C$6,3,9),"N.D.")</f>
        <v>0</v>
      </c>
      <c r="CO71" s="311">
        <f t="shared" si="52"/>
        <v>0</v>
      </c>
      <c r="CP71">
        <v>0.94385323975106261</v>
      </c>
      <c r="CQ71" t="s">
        <v>2864</v>
      </c>
      <c r="CR71">
        <f t="shared" si="43"/>
        <v>4</v>
      </c>
      <c r="CS71" t="str">
        <f t="shared" si="53"/>
        <v>Candidato</v>
      </c>
      <c r="CT71">
        <v>0</v>
      </c>
      <c r="CU71">
        <v>0</v>
      </c>
      <c r="CV71" s="25">
        <v>46.478080749511719</v>
      </c>
      <c r="CW71" s="25">
        <v>33.831256866455078</v>
      </c>
      <c r="CX71" s="25">
        <v>44.665306091308587</v>
      </c>
      <c r="CY71" s="25">
        <v>67.443199157714844</v>
      </c>
      <c r="CZ71" s="25">
        <v>30.857330322265621</v>
      </c>
      <c r="DA71" s="25">
        <v>40.991500854492188</v>
      </c>
      <c r="DB71" s="25">
        <v>61.079902648925781</v>
      </c>
      <c r="DC71">
        <v>9014</v>
      </c>
      <c r="DD71" s="253" t="s">
        <v>380</v>
      </c>
    </row>
    <row r="72" spans="1:108" hidden="1">
      <c r="A72" s="13">
        <v>68307</v>
      </c>
      <c r="B72" s="13" t="s">
        <v>600</v>
      </c>
      <c r="C72" s="13" t="s">
        <v>431</v>
      </c>
      <c r="D72" s="13" t="s">
        <v>432</v>
      </c>
      <c r="E72" s="13" t="s">
        <v>601</v>
      </c>
      <c r="F72" s="14">
        <v>75.634133333333295</v>
      </c>
      <c r="G72" s="13">
        <v>59.94</v>
      </c>
      <c r="H72" s="13">
        <v>62.95</v>
      </c>
      <c r="I72" s="13">
        <v>66.63</v>
      </c>
      <c r="J72" s="14">
        <v>48.076813222393483</v>
      </c>
      <c r="K72" s="14">
        <v>50.952739505402675</v>
      </c>
      <c r="L72" s="14">
        <v>59.421512703002691</v>
      </c>
      <c r="M72" s="14">
        <v>64.779499999999999</v>
      </c>
      <c r="N72" s="14">
        <f t="shared" si="27"/>
        <v>66.288533333333319</v>
      </c>
      <c r="O72" s="14">
        <f t="shared" si="28"/>
        <v>55.807641357699708</v>
      </c>
      <c r="P72" s="14">
        <f t="shared" si="44"/>
        <v>61.048087345516514</v>
      </c>
      <c r="Q72" s="14">
        <v>36.33472818833981</v>
      </c>
      <c r="R72" s="17">
        <f t="shared" si="29"/>
        <v>63.66527181166019</v>
      </c>
      <c r="S72" s="14">
        <f t="shared" si="45"/>
        <v>0.67298744630494178</v>
      </c>
      <c r="T72" s="13">
        <v>0</v>
      </c>
      <c r="U72" s="13">
        <f t="shared" si="46"/>
        <v>41.084596404460193</v>
      </c>
      <c r="V72" s="13">
        <f>IF($T72=1,$AU72,(VLOOKUP(U72,'Cortes naturales'!$A$35:$C$39,3,9)))</f>
        <v>2</v>
      </c>
      <c r="W72" s="13">
        <v>2</v>
      </c>
      <c r="X72" s="14" t="b">
        <f t="shared" si="30"/>
        <v>1</v>
      </c>
      <c r="Y72" s="17">
        <f>IF($T72=1,$AU72,VLOOKUP(U72,'Cortes naturales'!$A$45:$C$49,3,9))</f>
        <v>2</v>
      </c>
      <c r="Z72" s="14">
        <v>59.673046394409845</v>
      </c>
      <c r="AA72" s="14">
        <v>0.68636407296534685</v>
      </c>
      <c r="AB72" s="14">
        <v>40.957435169517247</v>
      </c>
      <c r="AC72" s="13">
        <v>2</v>
      </c>
      <c r="AD72" s="13">
        <f t="shared" si="31"/>
        <v>0</v>
      </c>
      <c r="AE72" s="14">
        <f t="shared" si="32"/>
        <v>1.3750409511066692</v>
      </c>
      <c r="AF72" s="14">
        <f t="shared" si="33"/>
        <v>-1.3376626660405067E-2</v>
      </c>
      <c r="AG72" s="13">
        <f t="shared" si="34"/>
        <v>0.12716123494294607</v>
      </c>
      <c r="AH72" s="13">
        <f>IF($T72=1,$AU72,VLOOKUP(U72,'Cortes naturales'!$A$25:$C$29,3,9))</f>
        <v>2</v>
      </c>
      <c r="AI72" s="13" t="b">
        <f t="shared" si="35"/>
        <v>1</v>
      </c>
      <c r="AJ72" s="13">
        <f t="shared" si="36"/>
        <v>0</v>
      </c>
      <c r="AK72" s="28">
        <v>0.9741882058902549</v>
      </c>
      <c r="AL72" s="28">
        <v>58.132778006976068</v>
      </c>
      <c r="AM72" s="28">
        <v>0.55655376330135153</v>
      </c>
      <c r="AN72" s="13">
        <v>2</v>
      </c>
      <c r="AO72" s="33">
        <f t="shared" si="37"/>
        <v>0</v>
      </c>
      <c r="AP72" s="13">
        <f t="shared" si="47"/>
        <v>55.655376330135155</v>
      </c>
      <c r="AQ72" s="13">
        <f>IFERROR(VLOOKUP(U72,'Cortes naturales'!$E$15:$G$19,3,9),U72)</f>
        <v>3</v>
      </c>
      <c r="AR72" s="28">
        <f t="shared" si="38"/>
        <v>-0.30120075958531312</v>
      </c>
      <c r="AS72" s="13" t="b">
        <f t="shared" si="39"/>
        <v>0</v>
      </c>
      <c r="AT72" s="13">
        <f t="shared" si="48"/>
        <v>0</v>
      </c>
      <c r="AU72" s="13">
        <v>1</v>
      </c>
      <c r="AV72">
        <f t="shared" si="40"/>
        <v>-1</v>
      </c>
      <c r="AW72" s="13">
        <v>0</v>
      </c>
      <c r="AX72" s="13">
        <v>1</v>
      </c>
      <c r="AY72" s="13">
        <v>0</v>
      </c>
      <c r="AZ72" s="13">
        <v>0</v>
      </c>
      <c r="BA72">
        <v>0</v>
      </c>
      <c r="BB72" t="s">
        <v>2838</v>
      </c>
      <c r="BC72">
        <v>2</v>
      </c>
      <c r="BD72" s="184" t="s">
        <v>2917</v>
      </c>
      <c r="BE72">
        <v>1</v>
      </c>
      <c r="BF72" s="232" t="s">
        <v>2845</v>
      </c>
      <c r="BG72" s="232" t="s">
        <v>2845</v>
      </c>
      <c r="BH72" s="253">
        <v>16.5</v>
      </c>
      <c r="BI72" s="253">
        <v>6.6652772268574232</v>
      </c>
      <c r="BJ72" s="25">
        <v>0.82527722570138295</v>
      </c>
      <c r="BK72" t="s">
        <v>381</v>
      </c>
      <c r="BL72">
        <v>1.2405165429407143</v>
      </c>
      <c r="BM72" t="s">
        <v>383</v>
      </c>
      <c r="BN72" s="322">
        <v>417931.93455599999</v>
      </c>
      <c r="BO72" s="322">
        <v>122014.19617</v>
      </c>
      <c r="BP72" s="10">
        <v>175000</v>
      </c>
      <c r="BQ72" s="254">
        <f t="shared" si="41"/>
        <v>2.3881824831771428</v>
      </c>
      <c r="BR72" s="254">
        <f t="shared" si="42"/>
        <v>0.69722397811428571</v>
      </c>
      <c r="BS72" s="25">
        <v>74.746062162639547</v>
      </c>
      <c r="BT72" s="25">
        <v>84.292790476190476</v>
      </c>
      <c r="BU72" s="25">
        <v>74.611666666666665</v>
      </c>
      <c r="BV72" s="25">
        <v>79.144537886189838</v>
      </c>
      <c r="BW72" s="25">
        <v>64.907148829800818</v>
      </c>
      <c r="BX72" s="25">
        <v>78.198764297921628</v>
      </c>
      <c r="BY72" s="25">
        <v>65.952436577954046</v>
      </c>
      <c r="BZ72">
        <v>39</v>
      </c>
      <c r="CA72">
        <v>0</v>
      </c>
      <c r="CB72">
        <v>5</v>
      </c>
      <c r="CC72">
        <v>49157.224656999999</v>
      </c>
      <c r="CD72" s="10">
        <v>12814.282646</v>
      </c>
      <c r="CE72" s="255">
        <v>0.26067953867235349</v>
      </c>
      <c r="CF72" t="str">
        <f>IFERROR(VLOOKUP(CE72,'Rangos amb etnico'!$A$2:$C$6,3,9),"N.D.")</f>
        <v>0,1% - 30%</v>
      </c>
      <c r="CG72" s="256">
        <v>3.7281578772784197E-4</v>
      </c>
      <c r="CH72" s="232">
        <v>0</v>
      </c>
      <c r="CI72" s="311">
        <f t="shared" si="49"/>
        <v>0</v>
      </c>
      <c r="CJ72" s="232">
        <f>IFERROR(VLOOKUP(CI72,'Rangos amb etnico'!$A$2:$C$6,3,9),"N.D.")</f>
        <v>0</v>
      </c>
      <c r="CK72" s="311">
        <f t="shared" si="50"/>
        <v>0</v>
      </c>
      <c r="CL72" s="10">
        <v>0</v>
      </c>
      <c r="CM72" s="255">
        <f t="shared" si="51"/>
        <v>0</v>
      </c>
      <c r="CN72" s="232">
        <f>IFERROR(VLOOKUP(CM72,'Rangos amb etnico'!$A$2:$C$6,3,9),"N.D.")</f>
        <v>0</v>
      </c>
      <c r="CO72" s="311">
        <f t="shared" si="52"/>
        <v>0</v>
      </c>
      <c r="CP72">
        <v>0.70092024013493481</v>
      </c>
      <c r="CQ72" t="s">
        <v>2866</v>
      </c>
      <c r="CR72">
        <f t="shared" si="43"/>
        <v>3</v>
      </c>
      <c r="CS72" t="str">
        <f t="shared" si="53"/>
        <v>Candidato</v>
      </c>
      <c r="CT72">
        <v>0</v>
      </c>
      <c r="CU72">
        <v>0</v>
      </c>
      <c r="CV72" s="25">
        <v>57.196338653564453</v>
      </c>
      <c r="CW72" s="25">
        <v>58.049777984619141</v>
      </c>
      <c r="CX72" s="25">
        <v>58.709934234619141</v>
      </c>
      <c r="CY72" s="25">
        <v>84.2977294921875</v>
      </c>
      <c r="CZ72" s="25">
        <v>47.725982666015618</v>
      </c>
      <c r="DA72" s="25">
        <v>43.565235137939453</v>
      </c>
      <c r="DB72" s="25">
        <v>50.829364776611328</v>
      </c>
      <c r="DC72">
        <v>2196</v>
      </c>
      <c r="DD72" s="253" t="s">
        <v>380</v>
      </c>
    </row>
    <row r="73" spans="1:108" hidden="1">
      <c r="A73" s="13">
        <v>63130</v>
      </c>
      <c r="B73" s="13" t="s">
        <v>602</v>
      </c>
      <c r="C73" s="13" t="s">
        <v>473</v>
      </c>
      <c r="D73" s="13" t="s">
        <v>474</v>
      </c>
      <c r="E73" s="13" t="s">
        <v>603</v>
      </c>
      <c r="F73" s="14">
        <v>70.714200000000005</v>
      </c>
      <c r="G73" s="13">
        <v>58.4</v>
      </c>
      <c r="H73" s="13">
        <v>56.23</v>
      </c>
      <c r="I73" s="13">
        <v>67.290000000000006</v>
      </c>
      <c r="J73" s="14">
        <v>62.399175298127496</v>
      </c>
      <c r="K73" s="14">
        <v>61.157035741305407</v>
      </c>
      <c r="L73" s="14">
        <v>12.596453985372122</v>
      </c>
      <c r="M73" s="14">
        <v>56.007399999999997</v>
      </c>
      <c r="N73" s="14">
        <f t="shared" si="27"/>
        <v>63.158550000000005</v>
      </c>
      <c r="O73" s="14">
        <f t="shared" si="28"/>
        <v>48.040016256201248</v>
      </c>
      <c r="P73" s="14">
        <f t="shared" si="44"/>
        <v>55.599283128100623</v>
      </c>
      <c r="Q73" s="14">
        <v>37.262734258978782</v>
      </c>
      <c r="R73" s="17">
        <f t="shared" si="29"/>
        <v>62.737265741021218</v>
      </c>
      <c r="S73" s="14">
        <f t="shared" si="45"/>
        <v>0.66463539166919094</v>
      </c>
      <c r="T73" s="13">
        <v>0</v>
      </c>
      <c r="U73" s="13">
        <f t="shared" si="46"/>
        <v>36.9532513183714</v>
      </c>
      <c r="V73" s="13">
        <f>IF($T73=1,$AU73,(VLOOKUP(U73,'Cortes naturales'!$A$35:$C$39,3,9)))</f>
        <v>3</v>
      </c>
      <c r="W73" s="13">
        <v>3</v>
      </c>
      <c r="X73" s="14" t="b">
        <f t="shared" si="30"/>
        <v>1</v>
      </c>
      <c r="Y73" s="17">
        <f>IF($T73=1,$AU73,VLOOKUP(U73,'Cortes naturales'!$A$45:$C$49,3,9))</f>
        <v>2</v>
      </c>
      <c r="Z73" s="14">
        <v>56.099586594623723</v>
      </c>
      <c r="AA73" s="14">
        <v>0.6825801092261099</v>
      </c>
      <c r="AB73" s="14">
        <v>38.292461945297873</v>
      </c>
      <c r="AC73" s="13">
        <v>2</v>
      </c>
      <c r="AD73" s="13">
        <f t="shared" si="31"/>
        <v>0</v>
      </c>
      <c r="AE73" s="14">
        <f t="shared" si="32"/>
        <v>-0.50030346652309987</v>
      </c>
      <c r="AF73" s="14">
        <f t="shared" si="33"/>
        <v>-1.7944717556918954E-2</v>
      </c>
      <c r="AG73" s="13">
        <f t="shared" si="34"/>
        <v>-1.339210626926473</v>
      </c>
      <c r="AH73" s="13">
        <f>IF($T73=1,$AU73,VLOOKUP(U73,'Cortes naturales'!$A$25:$C$29,3,9))</f>
        <v>2</v>
      </c>
      <c r="AI73" s="13" t="b">
        <f t="shared" si="35"/>
        <v>1</v>
      </c>
      <c r="AJ73" s="13">
        <f t="shared" si="36"/>
        <v>0</v>
      </c>
      <c r="AK73" s="28">
        <v>0.9741882058902549</v>
      </c>
      <c r="AL73" s="28">
        <v>54.651555615801477</v>
      </c>
      <c r="AM73" s="28">
        <v>0.51300734074204657</v>
      </c>
      <c r="AN73" s="13">
        <v>2</v>
      </c>
      <c r="AO73" s="33">
        <f t="shared" si="37"/>
        <v>0</v>
      </c>
      <c r="AP73" s="13">
        <f t="shared" si="47"/>
        <v>51.300734074204655</v>
      </c>
      <c r="AQ73" s="13">
        <f>IFERROR(VLOOKUP(U73,'Cortes naturales'!$E$15:$G$19,3,9),U73)</f>
        <v>3</v>
      </c>
      <c r="AR73" s="28">
        <f t="shared" si="38"/>
        <v>-0.30955281422106395</v>
      </c>
      <c r="AS73" s="13" t="b">
        <f t="shared" si="39"/>
        <v>0</v>
      </c>
      <c r="AT73" s="13">
        <f t="shared" si="48"/>
        <v>0</v>
      </c>
      <c r="AU73" s="13">
        <v>2</v>
      </c>
      <c r="AV73">
        <f t="shared" si="40"/>
        <v>0</v>
      </c>
      <c r="AW73" s="13">
        <v>0</v>
      </c>
      <c r="AX73" s="13">
        <v>1</v>
      </c>
      <c r="AY73" s="13">
        <v>0</v>
      </c>
      <c r="AZ73" s="13">
        <v>0</v>
      </c>
      <c r="BA73">
        <v>0</v>
      </c>
      <c r="BB73" t="s">
        <v>2838</v>
      </c>
      <c r="BC73">
        <v>5</v>
      </c>
      <c r="BD73" s="184" t="s">
        <v>2917</v>
      </c>
      <c r="BE73">
        <v>0</v>
      </c>
      <c r="BF73" s="232" t="s">
        <v>2846</v>
      </c>
      <c r="BG73" s="232" t="s">
        <v>2845</v>
      </c>
      <c r="BH73" s="253">
        <v>19.899999999999999</v>
      </c>
      <c r="BI73" s="253">
        <v>7.249949543003777</v>
      </c>
      <c r="BJ73" s="25">
        <v>0.97070554070018589</v>
      </c>
      <c r="BK73" t="s">
        <v>381</v>
      </c>
      <c r="BL73">
        <v>7.3329228282805623</v>
      </c>
      <c r="BM73" t="s">
        <v>379</v>
      </c>
      <c r="BN73" s="322">
        <v>101832.310159</v>
      </c>
      <c r="BO73" s="322">
        <v>28081.005142999998</v>
      </c>
      <c r="BP73" s="10">
        <v>74545</v>
      </c>
      <c r="BQ73" s="254">
        <f t="shared" si="41"/>
        <v>1.3660515146421626</v>
      </c>
      <c r="BR73" s="254">
        <f t="shared" si="42"/>
        <v>0.37669870739821582</v>
      </c>
      <c r="BS73" s="25">
        <v>67.862220779754253</v>
      </c>
      <c r="BT73" s="25">
        <v>89.805946444009464</v>
      </c>
      <c r="BU73" s="25">
        <v>54.028016830739887</v>
      </c>
      <c r="BV73" s="25">
        <v>83.826911275791076</v>
      </c>
      <c r="BW73" s="25">
        <v>53.120425707565829</v>
      </c>
      <c r="BX73" s="25">
        <v>73.880773832573666</v>
      </c>
      <c r="BY73" s="25">
        <v>53.6817720880262</v>
      </c>
      <c r="BZ73">
        <v>16</v>
      </c>
      <c r="CA73">
        <v>0</v>
      </c>
      <c r="CB73">
        <v>6</v>
      </c>
      <c r="CC73">
        <v>21978.548912999999</v>
      </c>
      <c r="CD73" s="10">
        <v>16786.220282999999</v>
      </c>
      <c r="CE73" s="255">
        <v>0.76375471144371998</v>
      </c>
      <c r="CF73" t="str">
        <f>IFERROR(VLOOKUP(CE73,'Rangos amb etnico'!$A$2:$C$6,3,9),"N.D.")</f>
        <v>71% - 100%</v>
      </c>
      <c r="CG73" s="256">
        <v>4.8837442646336665E-4</v>
      </c>
      <c r="CH73" s="232">
        <v>153.05898199999999</v>
      </c>
      <c r="CI73" s="311">
        <f t="shared" si="49"/>
        <v>6.9640167149282442E-3</v>
      </c>
      <c r="CJ73" s="232" t="str">
        <f>IFERROR(VLOOKUP(CI73,'Rangos amb etnico'!$A$2:$C$6,3,9),"N.D.")</f>
        <v>0,1% - 30%</v>
      </c>
      <c r="CK73" s="311">
        <f t="shared" si="50"/>
        <v>6.0774436932408534E-6</v>
      </c>
      <c r="CL73" s="10">
        <v>0</v>
      </c>
      <c r="CM73" s="255">
        <f t="shared" si="51"/>
        <v>0</v>
      </c>
      <c r="CN73" s="232">
        <f>IFERROR(VLOOKUP(CM73,'Rangos amb etnico'!$A$2:$C$6,3,9),"N.D.")</f>
        <v>0</v>
      </c>
      <c r="CO73" s="311">
        <f t="shared" si="52"/>
        <v>0</v>
      </c>
      <c r="CP73">
        <v>0.91161524888599899</v>
      </c>
      <c r="CQ73" t="s">
        <v>2864</v>
      </c>
      <c r="CR73">
        <f t="shared" si="43"/>
        <v>2</v>
      </c>
      <c r="CS73" t="str">
        <f t="shared" si="53"/>
        <v>No es Candidato</v>
      </c>
      <c r="CT73">
        <v>0</v>
      </c>
      <c r="CU73">
        <v>0</v>
      </c>
      <c r="CV73" s="25">
        <v>52.024497985839837</v>
      </c>
      <c r="CW73" s="25">
        <v>45.318183898925781</v>
      </c>
      <c r="CX73" s="25">
        <v>55.713741302490227</v>
      </c>
      <c r="CY73" s="25">
        <v>79.995704650878906</v>
      </c>
      <c r="CZ73" s="25">
        <v>65.080734252929688</v>
      </c>
      <c r="DA73" s="25">
        <v>14.098222732543951</v>
      </c>
      <c r="DB73" s="25">
        <v>51.940387725830078</v>
      </c>
      <c r="DC73">
        <v>1145</v>
      </c>
      <c r="DD73" s="253" t="s">
        <v>380</v>
      </c>
    </row>
    <row r="74" spans="1:108" hidden="1">
      <c r="A74" s="13">
        <v>50001</v>
      </c>
      <c r="B74" s="13" t="s">
        <v>604</v>
      </c>
      <c r="C74" s="13" t="s">
        <v>605</v>
      </c>
      <c r="D74" s="13" t="s">
        <v>606</v>
      </c>
      <c r="E74" s="13" t="s">
        <v>607</v>
      </c>
      <c r="F74" s="14">
        <v>72.340900000000005</v>
      </c>
      <c r="G74" s="13">
        <v>63.64</v>
      </c>
      <c r="H74" s="13">
        <v>63.47</v>
      </c>
      <c r="I74" s="13">
        <v>64.81</v>
      </c>
      <c r="J74" s="14">
        <v>59.027523972691824</v>
      </c>
      <c r="K74" s="14">
        <v>64.39243200043822</v>
      </c>
      <c r="L74" s="14">
        <v>68.298698643393323</v>
      </c>
      <c r="M74" s="14">
        <v>60.671399999999998</v>
      </c>
      <c r="N74" s="14">
        <f t="shared" si="27"/>
        <v>66.065224999999998</v>
      </c>
      <c r="O74" s="14">
        <f t="shared" si="28"/>
        <v>63.097513654130843</v>
      </c>
      <c r="P74" s="14">
        <f t="shared" si="44"/>
        <v>64.581369327065417</v>
      </c>
      <c r="Q74" s="14">
        <v>38.168615597260867</v>
      </c>
      <c r="R74" s="17">
        <f t="shared" si="29"/>
        <v>61.831384402739133</v>
      </c>
      <c r="S74" s="14">
        <f t="shared" si="45"/>
        <v>0.65648245962465213</v>
      </c>
      <c r="T74" s="13">
        <v>0</v>
      </c>
      <c r="U74" s="13">
        <f t="shared" si="46"/>
        <v>42.39653618175997</v>
      </c>
      <c r="V74" s="13">
        <f>IF($T74=1,$AU74,(VLOOKUP(U74,'Cortes naturales'!$A$35:$C$39,3,9)))</f>
        <v>2</v>
      </c>
      <c r="W74" s="13">
        <v>2</v>
      </c>
      <c r="X74" s="14" t="b">
        <f t="shared" si="30"/>
        <v>1</v>
      </c>
      <c r="Y74" s="17">
        <f>IF($T74=1,$AU74,VLOOKUP(U74,'Cortes naturales'!$A$45:$C$49,3,9))</f>
        <v>2</v>
      </c>
      <c r="Z74" s="14">
        <v>64.299836677921107</v>
      </c>
      <c r="AA74" s="14">
        <v>0.68137052017752509</v>
      </c>
      <c r="AB74" s="14">
        <v>43.812013164565009</v>
      </c>
      <c r="AC74" s="13">
        <v>2</v>
      </c>
      <c r="AD74" s="13">
        <f t="shared" si="31"/>
        <v>0</v>
      </c>
      <c r="AE74" s="14">
        <f t="shared" si="32"/>
        <v>0.2815326491443102</v>
      </c>
      <c r="AF74" s="14">
        <f t="shared" si="33"/>
        <v>-2.4888060552872959E-2</v>
      </c>
      <c r="AG74" s="13">
        <f t="shared" si="34"/>
        <v>-1.4154769828050391</v>
      </c>
      <c r="AH74" s="13">
        <f>IF($T74=1,$AU74,VLOOKUP(U74,'Cortes naturales'!$A$25:$C$29,3,9))</f>
        <v>2</v>
      </c>
      <c r="AI74" s="13" t="b">
        <f t="shared" si="35"/>
        <v>1</v>
      </c>
      <c r="AJ74" s="13">
        <f t="shared" si="36"/>
        <v>0</v>
      </c>
      <c r="AK74" s="28" t="s">
        <v>440</v>
      </c>
      <c r="AL74" s="28" t="s">
        <v>380</v>
      </c>
      <c r="AM74" s="28" t="s">
        <v>380</v>
      </c>
      <c r="AN74" s="13" t="s">
        <v>476</v>
      </c>
      <c r="AO74" s="33">
        <f t="shared" si="37"/>
        <v>2</v>
      </c>
      <c r="AP74" s="13" t="str">
        <f t="shared" si="47"/>
        <v>N.D</v>
      </c>
      <c r="AQ74" s="13">
        <f>IFERROR(VLOOKUP(U74,'Cortes naturales'!$E$15:$G$19,3,9),U74)</f>
        <v>3</v>
      </c>
      <c r="AR74" s="28" t="str">
        <f t="shared" si="38"/>
        <v>N.D.</v>
      </c>
      <c r="AS74" s="13" t="b">
        <f t="shared" si="39"/>
        <v>0</v>
      </c>
      <c r="AT74" s="13" t="str">
        <f t="shared" si="48"/>
        <v>Cambio en corte</v>
      </c>
      <c r="AU74" s="13" t="s">
        <v>476</v>
      </c>
      <c r="AV74">
        <f t="shared" si="40"/>
        <v>2</v>
      </c>
      <c r="AW74" s="13">
        <v>1</v>
      </c>
      <c r="AX74" s="13">
        <v>0</v>
      </c>
      <c r="AY74" s="13">
        <v>0</v>
      </c>
      <c r="AZ74" s="13">
        <v>0</v>
      </c>
      <c r="BA74">
        <v>0</v>
      </c>
      <c r="BB74" t="s">
        <v>2838</v>
      </c>
      <c r="BC74">
        <v>1</v>
      </c>
      <c r="BD74" t="s">
        <v>2918</v>
      </c>
      <c r="BE74">
        <v>0</v>
      </c>
      <c r="BF74" s="232" t="s">
        <v>2845</v>
      </c>
      <c r="BG74" s="232" t="s">
        <v>2845</v>
      </c>
      <c r="BH74" s="253">
        <v>15.9</v>
      </c>
      <c r="BI74" s="253">
        <v>6.3757314623424266</v>
      </c>
      <c r="BJ74" s="25">
        <v>15.630749973072193</v>
      </c>
      <c r="BK74" t="s">
        <v>379</v>
      </c>
      <c r="BL74">
        <v>2.3511097309568885</v>
      </c>
      <c r="BM74" t="s">
        <v>383</v>
      </c>
      <c r="BN74" s="322">
        <v>979433.51173899998</v>
      </c>
      <c r="BO74" s="322">
        <v>310189.19837499998</v>
      </c>
      <c r="BP74" s="10">
        <v>579176</v>
      </c>
      <c r="BQ74" s="254">
        <f t="shared" si="41"/>
        <v>1.6910809697553075</v>
      </c>
      <c r="BR74" s="254">
        <f t="shared" si="42"/>
        <v>0.53556984124860141</v>
      </c>
      <c r="BS74" s="25">
        <v>67.146331183569714</v>
      </c>
      <c r="BT74" s="25">
        <v>94.164926013174863</v>
      </c>
      <c r="BU74" s="25">
        <v>54.970404530744332</v>
      </c>
      <c r="BV74" s="25">
        <v>71.428671132151521</v>
      </c>
      <c r="BW74" s="25">
        <v>66.323606159577139</v>
      </c>
      <c r="BX74" s="25">
        <v>71.927583214910101</v>
      </c>
      <c r="BY74" s="25">
        <v>68.175466931887428</v>
      </c>
      <c r="BZ74">
        <v>88</v>
      </c>
      <c r="CA74">
        <v>1</v>
      </c>
      <c r="CB74">
        <v>3</v>
      </c>
      <c r="CC74">
        <v>128375.745175</v>
      </c>
      <c r="CD74" s="10">
        <v>5806.0556290000004</v>
      </c>
      <c r="CE74" s="255">
        <v>4.5227045195221784E-2</v>
      </c>
      <c r="CF74" t="str">
        <f>IFERROR(VLOOKUP(CE74,'Rangos amb etnico'!$A$2:$C$6,3,9),"N.D.")</f>
        <v>0,1% - 30%</v>
      </c>
      <c r="CG74" s="256">
        <v>1.6892004513362178E-4</v>
      </c>
      <c r="CH74" s="232">
        <v>44.181542</v>
      </c>
      <c r="CI74" s="311">
        <f t="shared" si="49"/>
        <v>3.4415801785432556E-4</v>
      </c>
      <c r="CJ74" s="232">
        <f>IFERROR(VLOOKUP(CI74,'Rangos amb etnico'!$A$2:$C$6,3,9),"N.D.")</f>
        <v>0</v>
      </c>
      <c r="CK74" s="311">
        <f t="shared" si="50"/>
        <v>1.754296482813115E-6</v>
      </c>
      <c r="CL74" s="10">
        <v>0</v>
      </c>
      <c r="CM74" s="255">
        <f t="shared" si="51"/>
        <v>0</v>
      </c>
      <c r="CN74" s="232">
        <f>IFERROR(VLOOKUP(CM74,'Rangos amb etnico'!$A$2:$C$6,3,9),"N.D.")</f>
        <v>0</v>
      </c>
      <c r="CO74" s="311">
        <f t="shared" si="52"/>
        <v>0</v>
      </c>
      <c r="CP74">
        <v>0.87840996256565951</v>
      </c>
      <c r="CQ74" t="s">
        <v>2864</v>
      </c>
      <c r="CR74">
        <f t="shared" si="43"/>
        <v>4</v>
      </c>
      <c r="CS74" t="str">
        <f t="shared" si="53"/>
        <v>Candidato</v>
      </c>
      <c r="CT74">
        <v>0</v>
      </c>
      <c r="CU74">
        <v>0</v>
      </c>
      <c r="CV74" s="25">
        <v>50.102230072021477</v>
      </c>
      <c r="CW74" s="25">
        <v>55.831207275390618</v>
      </c>
      <c r="CX74" s="25">
        <v>51.092086791992188</v>
      </c>
      <c r="CY74" s="25">
        <v>62.528842926025391</v>
      </c>
      <c r="CZ74" s="25">
        <v>45.249584197998047</v>
      </c>
      <c r="DA74" s="25">
        <v>19.945425033569339</v>
      </c>
      <c r="DB74" s="25">
        <v>65.966232299804688</v>
      </c>
      <c r="DC74">
        <v>8375</v>
      </c>
      <c r="DD74" s="253">
        <v>4.7613477441591705</v>
      </c>
    </row>
    <row r="75" spans="1:108" hidden="1">
      <c r="A75" s="13">
        <v>76130</v>
      </c>
      <c r="B75" s="13" t="s">
        <v>608</v>
      </c>
      <c r="C75" s="13" t="s">
        <v>454</v>
      </c>
      <c r="D75" s="13" t="s">
        <v>455</v>
      </c>
      <c r="E75" s="13" t="s">
        <v>609</v>
      </c>
      <c r="F75" s="14">
        <v>75.087500000000006</v>
      </c>
      <c r="G75" s="13">
        <v>69.98</v>
      </c>
      <c r="H75" s="13">
        <v>65.59</v>
      </c>
      <c r="I75" s="13">
        <v>75.97</v>
      </c>
      <c r="J75" s="14">
        <v>67.949189574200986</v>
      </c>
      <c r="K75" s="14">
        <v>65.47761112464525</v>
      </c>
      <c r="L75" s="14">
        <v>71.587107393001787</v>
      </c>
      <c r="M75" s="14">
        <v>63.337800000000001</v>
      </c>
      <c r="N75" s="14">
        <f t="shared" si="27"/>
        <v>71.656874999999999</v>
      </c>
      <c r="O75" s="14">
        <f t="shared" si="28"/>
        <v>67.087927022962006</v>
      </c>
      <c r="P75" s="14">
        <f t="shared" si="44"/>
        <v>69.372401011481003</v>
      </c>
      <c r="Q75" s="14">
        <v>34.942306790502002</v>
      </c>
      <c r="R75" s="17">
        <f t="shared" si="29"/>
        <v>65.057693209497998</v>
      </c>
      <c r="S75" s="14">
        <f t="shared" si="45"/>
        <v>0.68551923888548205</v>
      </c>
      <c r="T75" s="13">
        <v>0</v>
      </c>
      <c r="U75" s="13">
        <f t="shared" si="46"/>
        <v>47.556115541048904</v>
      </c>
      <c r="V75" s="13">
        <f>IF($T75=1,$AU75,(VLOOKUP(U75,'Cortes naturales'!$A$35:$C$39,3,9)))</f>
        <v>2</v>
      </c>
      <c r="W75" s="13">
        <v>2</v>
      </c>
      <c r="X75" s="14" t="b">
        <f t="shared" si="30"/>
        <v>1</v>
      </c>
      <c r="Y75" s="17">
        <f>IF($T75=1,$AU75,VLOOKUP(U75,'Cortes naturales'!$A$45:$C$49,3,9))</f>
        <v>1</v>
      </c>
      <c r="Z75" s="14">
        <v>69.346670759449381</v>
      </c>
      <c r="AA75" s="14">
        <v>0.68537528464614106</v>
      </c>
      <c r="AB75" s="14">
        <v>47.528494211019847</v>
      </c>
      <c r="AC75" s="13">
        <v>1</v>
      </c>
      <c r="AD75" s="13">
        <f t="shared" si="31"/>
        <v>0</v>
      </c>
      <c r="AE75" s="14">
        <f t="shared" si="32"/>
        <v>2.5730252031621603E-2</v>
      </c>
      <c r="AF75" s="14">
        <f t="shared" si="33"/>
        <v>1.4395423934099316E-4</v>
      </c>
      <c r="AG75" s="13">
        <f t="shared" si="34"/>
        <v>2.7621330029056423E-2</v>
      </c>
      <c r="AH75" s="13">
        <f>IF($T75=1,$AU75,VLOOKUP(U75,'Cortes naturales'!$A$25:$C$29,3,9))</f>
        <v>1</v>
      </c>
      <c r="AI75" s="13" t="b">
        <f t="shared" si="35"/>
        <v>1</v>
      </c>
      <c r="AJ75" s="13">
        <f t="shared" si="36"/>
        <v>0</v>
      </c>
      <c r="AK75" s="28">
        <v>0.9741882058902549</v>
      </c>
      <c r="AL75" s="28">
        <v>67.55670877161019</v>
      </c>
      <c r="AM75" s="28">
        <v>0.67443720340755164</v>
      </c>
      <c r="AN75" s="13">
        <v>1</v>
      </c>
      <c r="AO75" s="33">
        <f t="shared" si="37"/>
        <v>0</v>
      </c>
      <c r="AP75" s="13">
        <f>IFERROR(AM75*100,"N.D")</f>
        <v>67.443720340755164</v>
      </c>
      <c r="AQ75" s="13">
        <f>IFERROR(VLOOKUP(U75,'Cortes naturales'!$E$15:$G$19,3,9),U75)</f>
        <v>3</v>
      </c>
      <c r="AR75" s="28">
        <f t="shared" si="38"/>
        <v>-0.28866896700477285</v>
      </c>
      <c r="AS75" s="13" t="b">
        <f t="shared" si="39"/>
        <v>0</v>
      </c>
      <c r="AT75" s="13">
        <f t="shared" si="48"/>
        <v>0</v>
      </c>
      <c r="AU75" s="13">
        <v>1</v>
      </c>
      <c r="AV75">
        <f t="shared" si="40"/>
        <v>0</v>
      </c>
      <c r="AW75" s="13">
        <v>0</v>
      </c>
      <c r="AX75" s="13">
        <v>1</v>
      </c>
      <c r="AY75" s="13">
        <v>0</v>
      </c>
      <c r="AZ75" s="13">
        <v>0</v>
      </c>
      <c r="BA75">
        <v>0</v>
      </c>
      <c r="BB75" t="s">
        <v>2838</v>
      </c>
      <c r="BC75">
        <v>2</v>
      </c>
      <c r="BD75" s="184" t="s">
        <v>2917</v>
      </c>
      <c r="BE75">
        <v>0</v>
      </c>
      <c r="BF75" s="232" t="s">
        <v>2846</v>
      </c>
      <c r="BG75" s="232" t="s">
        <v>2845</v>
      </c>
      <c r="BH75" s="253">
        <v>15.5</v>
      </c>
      <c r="BI75" s="253">
        <v>6.4424644908184243</v>
      </c>
      <c r="BJ75" s="25">
        <v>9.7752826480271136</v>
      </c>
      <c r="BK75" t="s">
        <v>377</v>
      </c>
      <c r="BL75">
        <v>7.3174138266136977</v>
      </c>
      <c r="BM75" t="s">
        <v>379</v>
      </c>
      <c r="BN75" s="322">
        <v>166874.35619799999</v>
      </c>
      <c r="BO75" s="322">
        <v>85403.021229000005</v>
      </c>
      <c r="BP75" s="10">
        <v>110619</v>
      </c>
      <c r="BQ75" s="254">
        <f t="shared" si="41"/>
        <v>1.5085505762843634</v>
      </c>
      <c r="BR75" s="254">
        <f t="shared" si="42"/>
        <v>0.77204658538768212</v>
      </c>
      <c r="BS75" s="25">
        <v>74.044380791176465</v>
      </c>
      <c r="BT75" s="25">
        <v>85.81861676402788</v>
      </c>
      <c r="BU75" s="25">
        <v>70.76166666666667</v>
      </c>
      <c r="BV75" s="25">
        <v>79.184058311415058</v>
      </c>
      <c r="BW75" s="25">
        <v>72.098511126520407</v>
      </c>
      <c r="BX75" s="25">
        <v>77.452180633321518</v>
      </c>
      <c r="BY75" s="25">
        <v>73.045974123994171</v>
      </c>
      <c r="BZ75">
        <v>85</v>
      </c>
      <c r="CA75">
        <v>0</v>
      </c>
      <c r="CB75">
        <v>6</v>
      </c>
      <c r="CC75">
        <v>29578.174028000001</v>
      </c>
      <c r="CD75" s="10">
        <v>7062.7594760000002</v>
      </c>
      <c r="CE75" s="255">
        <v>0.23878280888178158</v>
      </c>
      <c r="CF75" t="str">
        <f>IFERROR(VLOOKUP(CE75,'Rangos amb etnico'!$A$2:$C$6,3,9),"N.D.")</f>
        <v>0,1% - 30%</v>
      </c>
      <c r="CG75" s="256">
        <v>2.0548229739564467E-4</v>
      </c>
      <c r="CH75" s="232">
        <v>191.47096500000001</v>
      </c>
      <c r="CI75" s="311">
        <f t="shared" si="49"/>
        <v>6.473386924383674E-3</v>
      </c>
      <c r="CJ75" s="232" t="str">
        <f>IFERROR(VLOOKUP(CI75,'Rangos amb etnico'!$A$2:$C$6,3,9),"N.D.")</f>
        <v>0,1% - 30%</v>
      </c>
      <c r="CK75" s="311">
        <f t="shared" si="50"/>
        <v>7.6026509092944987E-6</v>
      </c>
      <c r="CL75" s="10">
        <v>0</v>
      </c>
      <c r="CM75" s="255">
        <f t="shared" si="51"/>
        <v>0</v>
      </c>
      <c r="CN75" s="232">
        <f>IFERROR(VLOOKUP(CM75,'Rangos amb etnico'!$A$2:$C$6,3,9),"N.D.")</f>
        <v>0</v>
      </c>
      <c r="CO75" s="311">
        <f t="shared" si="52"/>
        <v>0</v>
      </c>
      <c r="CP75">
        <v>0.86915611089642275</v>
      </c>
      <c r="CQ75" t="s">
        <v>2864</v>
      </c>
      <c r="CR75">
        <f t="shared" si="43"/>
        <v>4</v>
      </c>
      <c r="CS75" t="str">
        <f t="shared" si="53"/>
        <v>Candidato</v>
      </c>
      <c r="CT75">
        <v>0</v>
      </c>
      <c r="CU75">
        <v>0</v>
      </c>
      <c r="CV75" s="25">
        <v>50.593742370605469</v>
      </c>
      <c r="CW75" s="25">
        <v>57.503849029541023</v>
      </c>
      <c r="CX75" s="25">
        <v>56.431346893310547</v>
      </c>
      <c r="CY75" s="25">
        <v>62.626682281494141</v>
      </c>
      <c r="CZ75" s="25">
        <v>54.013263702392578</v>
      </c>
      <c r="DA75" s="25">
        <v>9.1923341751098633</v>
      </c>
      <c r="DB75" s="25">
        <v>63.794971466064453</v>
      </c>
      <c r="DC75">
        <v>26933</v>
      </c>
      <c r="DD75" s="253" t="s">
        <v>380</v>
      </c>
    </row>
    <row r="76" spans="1:108" hidden="1">
      <c r="A76" s="13">
        <v>63190</v>
      </c>
      <c r="B76" s="13" t="s">
        <v>610</v>
      </c>
      <c r="C76" s="13" t="s">
        <v>473</v>
      </c>
      <c r="D76" s="13" t="s">
        <v>474</v>
      </c>
      <c r="E76" s="13" t="s">
        <v>611</v>
      </c>
      <c r="F76" s="14">
        <v>53.182066666666699</v>
      </c>
      <c r="G76" s="13">
        <v>62.3</v>
      </c>
      <c r="H76" s="13">
        <v>58.42</v>
      </c>
      <c r="I76" s="13">
        <v>82.43</v>
      </c>
      <c r="J76" s="14">
        <v>56.018566128825725</v>
      </c>
      <c r="K76" s="14">
        <v>62.907561943691491</v>
      </c>
      <c r="L76" s="14">
        <v>69.52907766026928</v>
      </c>
      <c r="M76" s="14">
        <v>65.578800000000001</v>
      </c>
      <c r="N76" s="14">
        <f t="shared" si="27"/>
        <v>64.08301666666668</v>
      </c>
      <c r="O76" s="14">
        <f t="shared" si="28"/>
        <v>63.508501433196628</v>
      </c>
      <c r="P76" s="14">
        <f t="shared" si="44"/>
        <v>63.795759049931654</v>
      </c>
      <c r="Q76" s="14">
        <v>37.680968432416265</v>
      </c>
      <c r="R76" s="17">
        <f t="shared" si="29"/>
        <v>62.319031567583735</v>
      </c>
      <c r="S76" s="14">
        <f t="shared" si="45"/>
        <v>0.66087128410825369</v>
      </c>
      <c r="T76" s="13">
        <v>0</v>
      </c>
      <c r="U76" s="13">
        <f t="shared" si="46"/>
        <v>42.160785203989079</v>
      </c>
      <c r="V76" s="13">
        <f>IF($T76=1,$AU76,(VLOOKUP(U76,'Cortes naturales'!$A$35:$C$39,3,9)))</f>
        <v>2</v>
      </c>
      <c r="W76" s="13">
        <v>2</v>
      </c>
      <c r="X76" s="14" t="b">
        <f t="shared" si="30"/>
        <v>1</v>
      </c>
      <c r="Y76" s="17">
        <f>IF($T76=1,$AU76,VLOOKUP(U76,'Cortes naturales'!$A$45:$C$49,3,9))</f>
        <v>2</v>
      </c>
      <c r="Z76" s="14">
        <v>57.624038845345723</v>
      </c>
      <c r="AA76" s="14">
        <v>0.68000344591221129</v>
      </c>
      <c r="AB76" s="14">
        <v>39.184544982214213</v>
      </c>
      <c r="AC76" s="13">
        <v>2</v>
      </c>
      <c r="AD76" s="13">
        <f t="shared" si="31"/>
        <v>0</v>
      </c>
      <c r="AE76" s="14">
        <f t="shared" si="32"/>
        <v>6.171720204585931</v>
      </c>
      <c r="AF76" s="14">
        <f t="shared" si="33"/>
        <v>-1.9132161803957604E-2</v>
      </c>
      <c r="AG76" s="13">
        <f t="shared" si="34"/>
        <v>2.9762402217748658</v>
      </c>
      <c r="AH76" s="13">
        <f>IF($T76=1,$AU76,VLOOKUP(U76,'Cortes naturales'!$A$25:$C$29,3,9))</f>
        <v>2</v>
      </c>
      <c r="AI76" s="13" t="b">
        <f t="shared" si="35"/>
        <v>1</v>
      </c>
      <c r="AJ76" s="13">
        <f t="shared" si="36"/>
        <v>0</v>
      </c>
      <c r="AK76" s="28">
        <v>0.9741882058902549</v>
      </c>
      <c r="AL76" s="28">
        <v>56.136659018897703</v>
      </c>
      <c r="AM76" s="28">
        <v>0.53158441886823593</v>
      </c>
      <c r="AN76" s="13">
        <v>2</v>
      </c>
      <c r="AO76" s="33">
        <f t="shared" si="37"/>
        <v>0</v>
      </c>
      <c r="AP76" s="13">
        <f t="shared" si="47"/>
        <v>53.158441886823596</v>
      </c>
      <c r="AQ76" s="13">
        <f>IFERROR(VLOOKUP(U76,'Cortes naturales'!$E$15:$G$19,3,9),U76)</f>
        <v>3</v>
      </c>
      <c r="AR76" s="28">
        <f t="shared" si="38"/>
        <v>-0.31331692178200121</v>
      </c>
      <c r="AS76" s="13" t="b">
        <f t="shared" si="39"/>
        <v>0</v>
      </c>
      <c r="AT76" s="13">
        <f t="shared" si="48"/>
        <v>0</v>
      </c>
      <c r="AU76" s="13">
        <v>2</v>
      </c>
      <c r="AV76">
        <f t="shared" si="40"/>
        <v>0</v>
      </c>
      <c r="AW76" s="13">
        <v>0</v>
      </c>
      <c r="AX76" s="13">
        <v>0</v>
      </c>
      <c r="AY76" s="13">
        <v>0</v>
      </c>
      <c r="AZ76" s="13">
        <v>0</v>
      </c>
      <c r="BA76">
        <v>0</v>
      </c>
      <c r="BB76" t="s">
        <v>2838</v>
      </c>
      <c r="BC76">
        <v>6</v>
      </c>
      <c r="BD76" s="184" t="s">
        <v>2917</v>
      </c>
      <c r="BE76">
        <v>0</v>
      </c>
      <c r="BF76" s="232" t="s">
        <v>2846</v>
      </c>
      <c r="BG76" s="232" t="s">
        <v>2846</v>
      </c>
      <c r="BH76" s="253">
        <v>17.3</v>
      </c>
      <c r="BI76" s="253">
        <v>6.5227021040974531</v>
      </c>
      <c r="BJ76" s="25">
        <v>0</v>
      </c>
      <c r="BK76" t="s">
        <v>381</v>
      </c>
      <c r="BL76">
        <v>1.7308476022007857</v>
      </c>
      <c r="BM76" t="s">
        <v>383</v>
      </c>
      <c r="BN76" s="322">
        <v>40982.928092000002</v>
      </c>
      <c r="BO76" s="322">
        <v>9549.1472819999999</v>
      </c>
      <c r="BP76" s="10">
        <v>29013</v>
      </c>
      <c r="BQ76" s="254">
        <f t="shared" si="41"/>
        <v>1.4125711953951678</v>
      </c>
      <c r="BR76" s="254">
        <f t="shared" si="42"/>
        <v>0.3291333982008065</v>
      </c>
      <c r="BS76" s="25">
        <v>62.194485680894253</v>
      </c>
      <c r="BT76" s="25">
        <v>90.20829780305381</v>
      </c>
      <c r="BU76" s="25">
        <v>36.749658792650898</v>
      </c>
      <c r="BV76" s="25">
        <v>92.471252900588581</v>
      </c>
      <c r="BW76" s="25">
        <v>65.042966417216036</v>
      </c>
      <c r="BX76" s="25">
        <v>70.405923794296882</v>
      </c>
      <c r="BY76" s="25">
        <v>63.037541948704593</v>
      </c>
      <c r="BZ76">
        <v>16</v>
      </c>
      <c r="CA76">
        <v>0</v>
      </c>
      <c r="CB76">
        <v>7</v>
      </c>
      <c r="CC76">
        <v>9150.7274899999993</v>
      </c>
      <c r="CD76" s="10">
        <v>3199.7422969999998</v>
      </c>
      <c r="CE76" s="255">
        <v>0.34967081038056352</v>
      </c>
      <c r="CF76" t="str">
        <f>IFERROR(VLOOKUP(CE76,'Rangos amb etnico'!$A$2:$C$6,3,9),"N.D.")</f>
        <v>31% - 50%</v>
      </c>
      <c r="CG76" s="256">
        <v>9.3092565377002955E-5</v>
      </c>
      <c r="CH76" s="232">
        <v>0</v>
      </c>
      <c r="CI76" s="311">
        <f t="shared" si="49"/>
        <v>0</v>
      </c>
      <c r="CJ76" s="232">
        <f>IFERROR(VLOOKUP(CI76,'Rangos amb etnico'!$A$2:$C$6,3,9),"N.D.")</f>
        <v>0</v>
      </c>
      <c r="CK76" s="311">
        <f t="shared" si="50"/>
        <v>0</v>
      </c>
      <c r="CL76" s="10">
        <v>0</v>
      </c>
      <c r="CM76" s="255">
        <f t="shared" si="51"/>
        <v>0</v>
      </c>
      <c r="CN76" s="232">
        <f>IFERROR(VLOOKUP(CM76,'Rangos amb etnico'!$A$2:$C$6,3,9),"N.D.")</f>
        <v>0</v>
      </c>
      <c r="CO76" s="311">
        <f t="shared" si="52"/>
        <v>0</v>
      </c>
      <c r="CP76">
        <v>0.94711899195283178</v>
      </c>
      <c r="CQ76" t="s">
        <v>2864</v>
      </c>
      <c r="CR76">
        <f t="shared" si="43"/>
        <v>4</v>
      </c>
      <c r="CS76" t="str">
        <f t="shared" si="53"/>
        <v>Candidato</v>
      </c>
      <c r="CT76">
        <v>0</v>
      </c>
      <c r="CU76">
        <v>0</v>
      </c>
      <c r="CV76" s="25">
        <v>59.364662170410163</v>
      </c>
      <c r="CW76" s="25">
        <v>39.162380218505859</v>
      </c>
      <c r="CX76" s="25">
        <v>59.599800109863281</v>
      </c>
      <c r="CY76" s="25">
        <v>85.378028869628906</v>
      </c>
      <c r="CZ76" s="25">
        <v>63.984294891357422</v>
      </c>
      <c r="DA76" s="25">
        <v>59.964485168457031</v>
      </c>
      <c r="DB76" s="25">
        <v>48.098983764648438</v>
      </c>
      <c r="DC76">
        <v>235</v>
      </c>
      <c r="DD76" s="253" t="s">
        <v>380</v>
      </c>
    </row>
    <row r="77" spans="1:108" hidden="1">
      <c r="A77" s="13">
        <v>68679</v>
      </c>
      <c r="B77" s="13" t="s">
        <v>612</v>
      </c>
      <c r="C77" s="13" t="s">
        <v>431</v>
      </c>
      <c r="D77" s="13" t="s">
        <v>432</v>
      </c>
      <c r="E77" s="13" t="s">
        <v>613</v>
      </c>
      <c r="F77" s="14">
        <v>81.741600000000005</v>
      </c>
      <c r="G77" s="13">
        <v>70.09</v>
      </c>
      <c r="H77" s="13">
        <v>75.569999999999993</v>
      </c>
      <c r="I77" s="13">
        <v>81.48</v>
      </c>
      <c r="J77" s="14">
        <v>62.187317421544584</v>
      </c>
      <c r="K77" s="14">
        <v>65.095125188447781</v>
      </c>
      <c r="L77" s="14">
        <v>68.150648430872721</v>
      </c>
      <c r="M77" s="14">
        <v>59.158700000000003</v>
      </c>
      <c r="N77" s="14">
        <f t="shared" si="27"/>
        <v>77.220399999999998</v>
      </c>
      <c r="O77" s="14">
        <f t="shared" si="28"/>
        <v>63.647947760216269</v>
      </c>
      <c r="P77" s="14">
        <f t="shared" si="44"/>
        <v>70.434173880108133</v>
      </c>
      <c r="Q77" s="14">
        <v>36.140316377347055</v>
      </c>
      <c r="R77" s="17">
        <f t="shared" si="29"/>
        <v>63.859683622652945</v>
      </c>
      <c r="S77" s="14">
        <f t="shared" si="45"/>
        <v>0.67473715260387646</v>
      </c>
      <c r="T77" s="13">
        <v>0</v>
      </c>
      <c r="U77" s="13">
        <f t="shared" si="46"/>
        <v>47.524553929870493</v>
      </c>
      <c r="V77" s="13">
        <f>IF($T77=1,$AU77,(VLOOKUP(U77,'Cortes naturales'!$A$35:$C$39,3,9)))</f>
        <v>2</v>
      </c>
      <c r="W77" s="13">
        <v>2</v>
      </c>
      <c r="X77" s="14" t="b">
        <f t="shared" si="30"/>
        <v>1</v>
      </c>
      <c r="Y77" s="17">
        <f>IF($T77=1,$AU77,VLOOKUP(U77,'Cortes naturales'!$A$45:$C$49,3,9))</f>
        <v>1</v>
      </c>
      <c r="Z77" s="14">
        <v>70.358254856723306</v>
      </c>
      <c r="AA77" s="14">
        <v>0.6846170667771122</v>
      </c>
      <c r="AB77" s="14">
        <v>48.168462063566416</v>
      </c>
      <c r="AC77" s="13">
        <v>1</v>
      </c>
      <c r="AD77" s="13">
        <f t="shared" si="31"/>
        <v>0</v>
      </c>
      <c r="AE77" s="14">
        <f t="shared" si="32"/>
        <v>7.5919023384827256E-2</v>
      </c>
      <c r="AF77" s="14">
        <f t="shared" si="33"/>
        <v>-9.8799141732357487E-3</v>
      </c>
      <c r="AG77" s="13">
        <f t="shared" si="34"/>
        <v>-0.64390813369592337</v>
      </c>
      <c r="AH77" s="13">
        <f>IF($T77=1,$AU77,VLOOKUP(U77,'Cortes naturales'!$A$25:$C$29,3,9))</f>
        <v>1</v>
      </c>
      <c r="AI77" s="13" t="b">
        <f t="shared" si="35"/>
        <v>1</v>
      </c>
      <c r="AJ77" s="13">
        <f t="shared" si="36"/>
        <v>0</v>
      </c>
      <c r="AK77" s="28">
        <v>0.9741882058902549</v>
      </c>
      <c r="AL77" s="28">
        <v>68.542182068440596</v>
      </c>
      <c r="AM77" s="28">
        <v>0.68676443556413003</v>
      </c>
      <c r="AN77" s="13">
        <v>1</v>
      </c>
      <c r="AO77" s="33">
        <f t="shared" si="37"/>
        <v>0</v>
      </c>
      <c r="AP77" s="13">
        <f t="shared" si="47"/>
        <v>68.676443556413005</v>
      </c>
      <c r="AQ77" s="13">
        <f>IFERROR(VLOOKUP(U77,'Cortes naturales'!$E$15:$G$19,3,9),U77)</f>
        <v>3</v>
      </c>
      <c r="AR77" s="28">
        <f t="shared" si="38"/>
        <v>-0.29945105328637844</v>
      </c>
      <c r="AS77" s="13" t="b">
        <f t="shared" si="39"/>
        <v>0</v>
      </c>
      <c r="AT77" s="13">
        <f t="shared" si="48"/>
        <v>0</v>
      </c>
      <c r="AU77" s="13">
        <v>1</v>
      </c>
      <c r="AV77">
        <f t="shared" si="40"/>
        <v>0</v>
      </c>
      <c r="AW77" s="13">
        <v>0</v>
      </c>
      <c r="AX77" s="13">
        <v>1</v>
      </c>
      <c r="AY77" s="13">
        <v>0</v>
      </c>
      <c r="AZ77" s="13">
        <v>0</v>
      </c>
      <c r="BA77">
        <v>0</v>
      </c>
      <c r="BB77" t="s">
        <v>2838</v>
      </c>
      <c r="BC77">
        <v>5</v>
      </c>
      <c r="BD77" t="s">
        <v>2920</v>
      </c>
      <c r="BE77">
        <v>0</v>
      </c>
      <c r="BF77" s="232" t="s">
        <v>2846</v>
      </c>
      <c r="BG77" s="232" t="s">
        <v>2846</v>
      </c>
      <c r="BH77" s="253">
        <v>13.7</v>
      </c>
      <c r="BI77" s="253">
        <v>5.0234898087522657</v>
      </c>
      <c r="BJ77" s="25">
        <v>0.76351648351648338</v>
      </c>
      <c r="BK77" t="s">
        <v>381</v>
      </c>
      <c r="BL77">
        <v>0.55196227236283701</v>
      </c>
      <c r="BM77" t="s">
        <v>383</v>
      </c>
      <c r="BN77" s="322">
        <v>102750.57012400001</v>
      </c>
      <c r="BO77" s="322">
        <v>30250.273419000001</v>
      </c>
      <c r="BP77" s="10">
        <v>67893</v>
      </c>
      <c r="BQ77" s="254">
        <f t="shared" si="41"/>
        <v>1.5134192055734761</v>
      </c>
      <c r="BR77" s="254">
        <f t="shared" si="42"/>
        <v>0.4455580607573682</v>
      </c>
      <c r="BS77" s="25">
        <v>77.932684186320301</v>
      </c>
      <c r="BT77" s="25">
        <v>96.564033333333327</v>
      </c>
      <c r="BU77" s="25">
        <v>69.004999999999995</v>
      </c>
      <c r="BV77" s="25">
        <v>90.840431180616818</v>
      </c>
      <c r="BW77" s="25">
        <v>64.093624410670998</v>
      </c>
      <c r="BX77" s="25">
        <v>83.585537175067614</v>
      </c>
      <c r="BY77" s="25">
        <v>64.964517750604173</v>
      </c>
      <c r="BZ77">
        <v>4</v>
      </c>
      <c r="CA77">
        <v>1</v>
      </c>
      <c r="CB77">
        <v>4</v>
      </c>
      <c r="CC77">
        <v>14658.026204</v>
      </c>
      <c r="CD77" s="10">
        <v>6996.7711230000004</v>
      </c>
      <c r="CE77" s="255">
        <v>0.4773337846190141</v>
      </c>
      <c r="CF77" t="str">
        <f>IFERROR(VLOOKUP(CE77,'Rangos amb etnico'!$A$2:$C$6,3,9),"N.D.")</f>
        <v>31% - 50%</v>
      </c>
      <c r="CG77" s="256">
        <v>2.0356244745287498E-4</v>
      </c>
      <c r="CH77" s="232">
        <v>0</v>
      </c>
      <c r="CI77" s="311">
        <f t="shared" si="49"/>
        <v>0</v>
      </c>
      <c r="CJ77" s="232">
        <f>IFERROR(VLOOKUP(CI77,'Rangos amb etnico'!$A$2:$C$6,3,9),"N.D.")</f>
        <v>0</v>
      </c>
      <c r="CK77" s="311">
        <f t="shared" si="50"/>
        <v>0</v>
      </c>
      <c r="CL77" s="10">
        <v>0</v>
      </c>
      <c r="CM77" s="255">
        <f t="shared" si="51"/>
        <v>0</v>
      </c>
      <c r="CN77" s="232">
        <f>IFERROR(VLOOKUP(CM77,'Rangos amb etnico'!$A$2:$C$6,3,9),"N.D.")</f>
        <v>0</v>
      </c>
      <c r="CO77" s="311">
        <f t="shared" si="52"/>
        <v>0</v>
      </c>
      <c r="CP77">
        <v>0.92988015753279529</v>
      </c>
      <c r="CQ77" t="s">
        <v>2864</v>
      </c>
      <c r="CR77">
        <f t="shared" si="43"/>
        <v>3</v>
      </c>
      <c r="CS77" t="str">
        <f t="shared" si="53"/>
        <v>Candidato</v>
      </c>
      <c r="CT77">
        <v>0</v>
      </c>
      <c r="CU77">
        <v>0</v>
      </c>
      <c r="CV77" s="25">
        <v>57.308971405029297</v>
      </c>
      <c r="CW77" s="25">
        <v>45.048557281494141</v>
      </c>
      <c r="CX77" s="25">
        <v>50.190544128417969</v>
      </c>
      <c r="CY77" s="25">
        <v>85.129928588867188</v>
      </c>
      <c r="CZ77" s="25">
        <v>61.987350463867188</v>
      </c>
      <c r="DA77" s="25">
        <v>50.167007446289063</v>
      </c>
      <c r="DB77" s="25">
        <v>51.3304443359375</v>
      </c>
      <c r="DC77">
        <v>427</v>
      </c>
      <c r="DD77" s="253" t="s">
        <v>380</v>
      </c>
    </row>
    <row r="78" spans="1:108" hidden="1">
      <c r="A78" s="13">
        <v>25740</v>
      </c>
      <c r="B78" s="13" t="s">
        <v>614</v>
      </c>
      <c r="C78" s="13" t="s">
        <v>461</v>
      </c>
      <c r="D78" s="13" t="s">
        <v>462</v>
      </c>
      <c r="E78" s="13" t="s">
        <v>615</v>
      </c>
      <c r="F78" s="14">
        <v>68.126000000000005</v>
      </c>
      <c r="G78" s="13">
        <v>87.55</v>
      </c>
      <c r="H78" s="13">
        <v>80.97</v>
      </c>
      <c r="I78" s="13">
        <v>80.290000000000006</v>
      </c>
      <c r="J78" s="14">
        <v>56.401457516077869</v>
      </c>
      <c r="K78" s="14">
        <v>61.448134651014783</v>
      </c>
      <c r="L78" s="14">
        <v>64.481549198031857</v>
      </c>
      <c r="M78" s="14">
        <v>60.168799999999997</v>
      </c>
      <c r="N78" s="14">
        <f t="shared" si="27"/>
        <v>79.233999999999995</v>
      </c>
      <c r="O78" s="14">
        <f t="shared" si="28"/>
        <v>60.624985341281125</v>
      </c>
      <c r="P78" s="14">
        <f t="shared" si="44"/>
        <v>69.929492670640556</v>
      </c>
      <c r="Q78" s="14">
        <v>37.490609696892271</v>
      </c>
      <c r="R78" s="17">
        <f t="shared" si="29"/>
        <v>62.509390303107729</v>
      </c>
      <c r="S78" s="14">
        <f t="shared" si="45"/>
        <v>0.66258451272796948</v>
      </c>
      <c r="T78" s="13">
        <v>0</v>
      </c>
      <c r="U78" s="13">
        <f t="shared" si="46"/>
        <v>46.334198826490486</v>
      </c>
      <c r="V78" s="13">
        <f>IF($T78=1,$AU78,(VLOOKUP(U78,'Cortes naturales'!$A$35:$C$39,3,9)))</f>
        <v>2</v>
      </c>
      <c r="W78" s="13">
        <v>2</v>
      </c>
      <c r="X78" s="14" t="b">
        <f t="shared" si="30"/>
        <v>1</v>
      </c>
      <c r="Y78" s="17">
        <f>IF($T78=1,$AU78,VLOOKUP(U78,'Cortes naturales'!$A$45:$C$49,3,9))</f>
        <v>2</v>
      </c>
      <c r="Z78" s="14">
        <v>68.508977916837196</v>
      </c>
      <c r="AA78" s="14">
        <v>0.67729332086929561</v>
      </c>
      <c r="AB78" s="14">
        <v>46.400673162655906</v>
      </c>
      <c r="AC78" s="13">
        <v>2</v>
      </c>
      <c r="AD78" s="13">
        <f t="shared" si="31"/>
        <v>0</v>
      </c>
      <c r="AE78" s="14">
        <f t="shared" si="32"/>
        <v>1.42051475380336</v>
      </c>
      <c r="AF78" s="14">
        <f t="shared" si="33"/>
        <v>-1.4708808141326135E-2</v>
      </c>
      <c r="AG78" s="13">
        <f t="shared" si="34"/>
        <v>-6.6474336165420311E-2</v>
      </c>
      <c r="AH78" s="13">
        <f>IF($T78=1,$AU78,VLOOKUP(U78,'Cortes naturales'!$A$25:$C$29,3,9))</f>
        <v>2</v>
      </c>
      <c r="AI78" s="13" t="b">
        <f t="shared" si="35"/>
        <v>1</v>
      </c>
      <c r="AJ78" s="13">
        <f t="shared" si="36"/>
        <v>0</v>
      </c>
      <c r="AK78" s="28">
        <v>0.9741882058902549</v>
      </c>
      <c r="AL78" s="28">
        <v>66.740638284178715</v>
      </c>
      <c r="AM78" s="28">
        <v>0.6642290218291611</v>
      </c>
      <c r="AN78" s="13">
        <v>1</v>
      </c>
      <c r="AO78" s="33">
        <f t="shared" si="37"/>
        <v>-1</v>
      </c>
      <c r="AP78" s="13">
        <f t="shared" si="47"/>
        <v>66.422902182916104</v>
      </c>
      <c r="AQ78" s="13">
        <f>IFERROR(VLOOKUP(U78,'Cortes naturales'!$E$15:$G$19,3,9),U78)</f>
        <v>3</v>
      </c>
      <c r="AR78" s="28">
        <f t="shared" si="38"/>
        <v>-0.31160369316228542</v>
      </c>
      <c r="AS78" s="13" t="b">
        <f t="shared" si="39"/>
        <v>0</v>
      </c>
      <c r="AT78" s="13" t="str">
        <f t="shared" si="48"/>
        <v>Cambio en corte</v>
      </c>
      <c r="AU78" s="13">
        <v>1</v>
      </c>
      <c r="AV78">
        <f t="shared" si="40"/>
        <v>-1</v>
      </c>
      <c r="AW78" s="13">
        <v>0</v>
      </c>
      <c r="AX78" s="13">
        <v>0</v>
      </c>
      <c r="AY78" s="13">
        <v>0</v>
      </c>
      <c r="AZ78" s="13">
        <v>0</v>
      </c>
      <c r="BA78">
        <v>0</v>
      </c>
      <c r="BB78" t="s">
        <v>2838</v>
      </c>
      <c r="BC78">
        <v>4</v>
      </c>
      <c r="BD78" s="184" t="s">
        <v>2917</v>
      </c>
      <c r="BE78">
        <v>0</v>
      </c>
      <c r="BF78" s="232" t="s">
        <v>2846</v>
      </c>
      <c r="BG78" s="232" t="s">
        <v>2846</v>
      </c>
      <c r="BH78" s="253">
        <v>13.5</v>
      </c>
      <c r="BI78" s="253">
        <v>5.9503030687696361</v>
      </c>
      <c r="BJ78" s="25">
        <v>17.828207708535938</v>
      </c>
      <c r="BK78" t="s">
        <v>379</v>
      </c>
      <c r="BL78">
        <v>3.0440727682934603</v>
      </c>
      <c r="BM78" t="s">
        <v>383</v>
      </c>
      <c r="BN78" s="322">
        <v>65127.239820000003</v>
      </c>
      <c r="BO78" s="322">
        <v>29208.359944</v>
      </c>
      <c r="BP78" s="10">
        <v>40013</v>
      </c>
      <c r="BQ78" s="254">
        <f t="shared" si="41"/>
        <v>1.6276520085972059</v>
      </c>
      <c r="BR78" s="254">
        <f t="shared" si="42"/>
        <v>0.72997175777872192</v>
      </c>
      <c r="BS78" s="25">
        <v>67.956094760691272</v>
      </c>
      <c r="BT78" s="25">
        <v>77.171909129616211</v>
      </c>
      <c r="BU78" s="25">
        <v>66.486666666666665</v>
      </c>
      <c r="BV78" s="25">
        <v>79.887918226266819</v>
      </c>
      <c r="BW78" s="25">
        <v>67.462563281896905</v>
      </c>
      <c r="BX78" s="25">
        <v>72.875647195810245</v>
      </c>
      <c r="BY78" s="25">
        <v>68.002063212861344</v>
      </c>
      <c r="BZ78">
        <v>94</v>
      </c>
      <c r="CA78">
        <v>0</v>
      </c>
      <c r="CB78">
        <v>6</v>
      </c>
      <c r="CC78">
        <v>12190.262119000001</v>
      </c>
      <c r="CD78" s="10">
        <v>4538.0222320000003</v>
      </c>
      <c r="CE78" s="255">
        <v>0.37226617341779245</v>
      </c>
      <c r="CF78" t="str">
        <f>IFERROR(VLOOKUP(CE78,'Rangos amb etnico'!$A$2:$C$6,3,9),"N.D.")</f>
        <v>31% - 50%</v>
      </c>
      <c r="CG78" s="256">
        <v>1.3202817355348819E-4</v>
      </c>
      <c r="CH78" s="232">
        <v>0</v>
      </c>
      <c r="CI78" s="311">
        <f t="shared" si="49"/>
        <v>0</v>
      </c>
      <c r="CJ78" s="232">
        <f>IFERROR(VLOOKUP(CI78,'Rangos amb etnico'!$A$2:$C$6,3,9),"N.D.")</f>
        <v>0</v>
      </c>
      <c r="CK78" s="311">
        <f t="shared" si="50"/>
        <v>0</v>
      </c>
      <c r="CL78" s="10">
        <v>0</v>
      </c>
      <c r="CM78" s="255">
        <f t="shared" si="51"/>
        <v>0</v>
      </c>
      <c r="CN78" s="232">
        <f>IFERROR(VLOOKUP(CM78,'Rangos amb etnico'!$A$2:$C$6,3,9),"N.D.")</f>
        <v>0</v>
      </c>
      <c r="CO78" s="311">
        <f t="shared" si="52"/>
        <v>0</v>
      </c>
      <c r="CP78">
        <v>0.84089188342860988</v>
      </c>
      <c r="CQ78" t="s">
        <v>2865</v>
      </c>
      <c r="CR78">
        <f t="shared" si="43"/>
        <v>4</v>
      </c>
      <c r="CS78" t="str">
        <f t="shared" si="53"/>
        <v>Candidato</v>
      </c>
      <c r="CT78">
        <v>0</v>
      </c>
      <c r="CU78">
        <v>0</v>
      </c>
      <c r="CV78" s="25">
        <v>54.995822906494141</v>
      </c>
      <c r="CW78" s="25">
        <v>58.292789459228523</v>
      </c>
      <c r="CX78" s="25">
        <v>55.458339691162109</v>
      </c>
      <c r="CY78" s="25">
        <v>68.859245300292969</v>
      </c>
      <c r="CZ78" s="25">
        <v>69.706428527832031</v>
      </c>
      <c r="DA78" s="25">
        <v>22.156755447387699</v>
      </c>
      <c r="DB78" s="25">
        <v>55.501361846923828</v>
      </c>
      <c r="DC78">
        <v>185</v>
      </c>
      <c r="DD78" s="253" t="s">
        <v>380</v>
      </c>
    </row>
    <row r="79" spans="1:108" hidden="1">
      <c r="A79" s="13">
        <v>73268</v>
      </c>
      <c r="B79" s="13" t="s">
        <v>616</v>
      </c>
      <c r="C79" s="13" t="s">
        <v>595</v>
      </c>
      <c r="D79" s="13" t="s">
        <v>596</v>
      </c>
      <c r="E79" s="13" t="s">
        <v>617</v>
      </c>
      <c r="F79" s="14">
        <v>56.284966666666698</v>
      </c>
      <c r="G79" s="13">
        <v>68.27</v>
      </c>
      <c r="H79" s="13">
        <v>56.48</v>
      </c>
      <c r="I79" s="13">
        <v>52.38</v>
      </c>
      <c r="J79" s="14">
        <v>61.352071294982096</v>
      </c>
      <c r="K79" s="14">
        <v>61.026923769874337</v>
      </c>
      <c r="L79" s="14">
        <v>54.446961404550542</v>
      </c>
      <c r="M79" s="14">
        <v>64.951999999999998</v>
      </c>
      <c r="N79" s="14">
        <f t="shared" si="27"/>
        <v>58.353741666666672</v>
      </c>
      <c r="O79" s="14">
        <f t="shared" si="28"/>
        <v>60.444489117351743</v>
      </c>
      <c r="P79" s="14">
        <f t="shared" si="44"/>
        <v>59.399115392009207</v>
      </c>
      <c r="Q79" s="14">
        <v>37.498650217822401</v>
      </c>
      <c r="R79" s="17">
        <f t="shared" si="29"/>
        <v>62.501349782177599</v>
      </c>
      <c r="S79" s="14">
        <f t="shared" si="45"/>
        <v>0.66251214803959835</v>
      </c>
      <c r="T79" s="13">
        <v>0</v>
      </c>
      <c r="U79" s="13">
        <f t="shared" si="46"/>
        <v>39.352635530011987</v>
      </c>
      <c r="V79" s="13">
        <f>IF($T79=1,$AU79,(VLOOKUP(U79,'Cortes naturales'!$A$35:$C$39,3,9)))</f>
        <v>2</v>
      </c>
      <c r="W79" s="13">
        <v>2</v>
      </c>
      <c r="X79" s="14" t="b">
        <f t="shared" si="30"/>
        <v>1</v>
      </c>
      <c r="Y79" s="17">
        <f>IF($T79=1,$AU79,VLOOKUP(U79,'Cortes naturales'!$A$45:$C$49,3,9))</f>
        <v>2</v>
      </c>
      <c r="Z79" s="14">
        <v>57.603882997096079</v>
      </c>
      <c r="AA79" s="14">
        <v>0.67933522069960195</v>
      </c>
      <c r="AB79" s="14">
        <v>39.132346568986314</v>
      </c>
      <c r="AC79" s="13">
        <v>2</v>
      </c>
      <c r="AD79" s="13">
        <f t="shared" si="31"/>
        <v>0</v>
      </c>
      <c r="AE79" s="14">
        <f t="shared" si="32"/>
        <v>1.7952323949131284</v>
      </c>
      <c r="AF79" s="14">
        <f t="shared" si="33"/>
        <v>-1.6823072660003602E-2</v>
      </c>
      <c r="AG79" s="13">
        <f t="shared" si="34"/>
        <v>0.2202889610256733</v>
      </c>
      <c r="AH79" s="13">
        <f>IF($T79=1,$AU79,VLOOKUP(U79,'Cortes naturales'!$A$25:$C$29,3,9))</f>
        <v>2</v>
      </c>
      <c r="AI79" s="13" t="b">
        <f t="shared" si="35"/>
        <v>1</v>
      </c>
      <c r="AJ79" s="13">
        <f t="shared" si="36"/>
        <v>0</v>
      </c>
      <c r="AK79" s="28">
        <v>0.9741882058902549</v>
      </c>
      <c r="AL79" s="28">
        <v>56.117023429253187</v>
      </c>
      <c r="AM79" s="28">
        <v>0.53133879833964548</v>
      </c>
      <c r="AN79" s="13">
        <v>2</v>
      </c>
      <c r="AO79" s="33">
        <f t="shared" si="37"/>
        <v>0</v>
      </c>
      <c r="AP79" s="13">
        <f t="shared" si="47"/>
        <v>53.133879833964549</v>
      </c>
      <c r="AQ79" s="13">
        <f>IFERROR(VLOOKUP(U79,'Cortes naturales'!$E$15:$G$19,3,9),U79)</f>
        <v>3</v>
      </c>
      <c r="AR79" s="28">
        <f t="shared" si="38"/>
        <v>-0.31167605785065655</v>
      </c>
      <c r="AS79" s="13" t="b">
        <f t="shared" si="39"/>
        <v>0</v>
      </c>
      <c r="AT79" s="13">
        <f t="shared" si="48"/>
        <v>0</v>
      </c>
      <c r="AU79" s="13">
        <v>2</v>
      </c>
      <c r="AV79">
        <f t="shared" si="40"/>
        <v>0</v>
      </c>
      <c r="AW79" s="13">
        <v>0</v>
      </c>
      <c r="AX79" s="13">
        <v>1</v>
      </c>
      <c r="AY79" s="13">
        <v>0</v>
      </c>
      <c r="AZ79" s="13">
        <v>0</v>
      </c>
      <c r="BA79">
        <v>0</v>
      </c>
      <c r="BB79" t="s">
        <v>2839</v>
      </c>
      <c r="BC79">
        <v>3</v>
      </c>
      <c r="BD79" t="s">
        <v>2919</v>
      </c>
      <c r="BE79">
        <v>0</v>
      </c>
      <c r="BF79" s="232" t="s">
        <v>2846</v>
      </c>
      <c r="BG79" s="232" t="s">
        <v>2845</v>
      </c>
      <c r="BH79" s="253">
        <v>19.2</v>
      </c>
      <c r="BI79" s="253">
        <v>8.8918331497305498</v>
      </c>
      <c r="BJ79" s="25">
        <v>0</v>
      </c>
      <c r="BK79" t="s">
        <v>381</v>
      </c>
      <c r="BL79">
        <v>4.4312858541302766</v>
      </c>
      <c r="BM79" t="s">
        <v>383</v>
      </c>
      <c r="BN79" s="322">
        <v>151755.37596800001</v>
      </c>
      <c r="BO79" s="322">
        <v>49045.241434000003</v>
      </c>
      <c r="BP79" s="10">
        <v>71777</v>
      </c>
      <c r="BQ79" s="254">
        <f t="shared" si="41"/>
        <v>2.1142618940329077</v>
      </c>
      <c r="BR79" s="254">
        <f t="shared" si="42"/>
        <v>0.68330024149797297</v>
      </c>
      <c r="BS79" s="25">
        <v>76.937869409247824</v>
      </c>
      <c r="BT79" s="25">
        <v>99.884858952216462</v>
      </c>
      <c r="BU79" s="25">
        <v>67.245000000000005</v>
      </c>
      <c r="BV79" s="25">
        <v>70.840778972958375</v>
      </c>
      <c r="BW79" s="25">
        <v>69.848350629102853</v>
      </c>
      <c r="BX79" s="25">
        <v>78.727126833605666</v>
      </c>
      <c r="BY79" s="25">
        <v>71.188601000761636</v>
      </c>
      <c r="BZ79">
        <v>6</v>
      </c>
      <c r="CA79">
        <v>1</v>
      </c>
      <c r="CB79">
        <v>4</v>
      </c>
      <c r="CC79">
        <v>21634.435859000001</v>
      </c>
      <c r="CD79" s="10">
        <v>437.19693899999999</v>
      </c>
      <c r="CE79" s="255">
        <v>2.0208381759958143E-2</v>
      </c>
      <c r="CF79" t="str">
        <f>IFERROR(VLOOKUP(CE79,'Rangos amb etnico'!$A$2:$C$6,3,9),"N.D.")</f>
        <v>0,1% - 30%</v>
      </c>
      <c r="CG79" s="256">
        <v>1.2719707041608381E-5</v>
      </c>
      <c r="CH79" s="232">
        <v>0</v>
      </c>
      <c r="CI79" s="311">
        <f t="shared" si="49"/>
        <v>0</v>
      </c>
      <c r="CJ79" s="232">
        <f>IFERROR(VLOOKUP(CI79,'Rangos amb etnico'!$A$2:$C$6,3,9),"N.D.")</f>
        <v>0</v>
      </c>
      <c r="CK79" s="311">
        <f t="shared" si="50"/>
        <v>0</v>
      </c>
      <c r="CL79" s="10">
        <v>0</v>
      </c>
      <c r="CM79" s="255">
        <f t="shared" si="51"/>
        <v>0</v>
      </c>
      <c r="CN79" s="232">
        <f>IFERROR(VLOOKUP(CM79,'Rangos amb etnico'!$A$2:$C$6,3,9),"N.D.")</f>
        <v>0</v>
      </c>
      <c r="CO79" s="311">
        <f t="shared" si="52"/>
        <v>0</v>
      </c>
      <c r="CP79">
        <v>0.89839042199051145</v>
      </c>
      <c r="CQ79" t="s">
        <v>2864</v>
      </c>
      <c r="CR79">
        <f t="shared" si="43"/>
        <v>3</v>
      </c>
      <c r="CS79" t="str">
        <f t="shared" si="53"/>
        <v>Candidato</v>
      </c>
      <c r="CT79">
        <v>0</v>
      </c>
      <c r="CU79">
        <v>0</v>
      </c>
      <c r="CV79" s="25">
        <v>51.752754211425781</v>
      </c>
      <c r="CW79" s="25">
        <v>51.520069122314453</v>
      </c>
      <c r="CX79" s="25">
        <v>46.649631500244141</v>
      </c>
      <c r="CY79" s="25">
        <v>82.364410400390625</v>
      </c>
      <c r="CZ79" s="25">
        <v>57.006355285644531</v>
      </c>
      <c r="DA79" s="25">
        <v>12.5</v>
      </c>
      <c r="DB79" s="25">
        <v>60.476058959960938</v>
      </c>
      <c r="DC79">
        <v>936</v>
      </c>
      <c r="DD79" s="253" t="s">
        <v>380</v>
      </c>
    </row>
    <row r="80" spans="1:108">
      <c r="A80" s="13">
        <v>5079</v>
      </c>
      <c r="B80" s="13" t="s">
        <v>618</v>
      </c>
      <c r="C80" s="13" t="s">
        <v>435</v>
      </c>
      <c r="D80" s="13" t="s">
        <v>436</v>
      </c>
      <c r="E80" s="13" t="s">
        <v>563</v>
      </c>
      <c r="F80" s="14">
        <v>59.380699999999997</v>
      </c>
      <c r="G80" s="13">
        <v>50.89</v>
      </c>
      <c r="H80" s="13">
        <v>54.53</v>
      </c>
      <c r="I80" s="13">
        <v>61.57</v>
      </c>
      <c r="J80" s="14">
        <v>54.698758425580756</v>
      </c>
      <c r="K80" s="14">
        <v>48.192155583429816</v>
      </c>
      <c r="L80" s="14">
        <v>49.905174548118524</v>
      </c>
      <c r="M80" s="14">
        <v>57.984499999999997</v>
      </c>
      <c r="N80" s="14">
        <f t="shared" si="27"/>
        <v>56.592675</v>
      </c>
      <c r="O80" s="14">
        <f t="shared" si="28"/>
        <v>52.695147139282277</v>
      </c>
      <c r="P80" s="14">
        <f t="shared" si="44"/>
        <v>54.643911069641135</v>
      </c>
      <c r="Q80" s="14">
        <v>35.054220381919869</v>
      </c>
      <c r="R80" s="17">
        <f t="shared" si="29"/>
        <v>64.945779618080138</v>
      </c>
      <c r="S80" s="14">
        <f t="shared" si="45"/>
        <v>0.6845120165627212</v>
      </c>
      <c r="T80" s="13">
        <v>0</v>
      </c>
      <c r="U80" s="13">
        <f t="shared" si="46"/>
        <v>37.40441375915406</v>
      </c>
      <c r="V80" s="13">
        <f>IF($T80=1,$AU80,(VLOOKUP(U80,'Cortes naturales'!$A$35:$C$39,3,9)))</f>
        <v>3</v>
      </c>
      <c r="W80" s="13">
        <v>3</v>
      </c>
      <c r="X80" s="14" t="b">
        <f t="shared" si="30"/>
        <v>1</v>
      </c>
      <c r="Y80" s="17">
        <f>IF($T80=1,$AU80,VLOOKUP(U80,'Cortes naturales'!$A$45:$C$49,3,9))</f>
        <v>2</v>
      </c>
      <c r="Z80" s="14">
        <v>52.66376504251636</v>
      </c>
      <c r="AA80" s="14">
        <v>0.68398789635570878</v>
      </c>
      <c r="AB80" s="14">
        <v>36.021377865602076</v>
      </c>
      <c r="AC80" s="13">
        <v>2</v>
      </c>
      <c r="AD80" s="13">
        <f t="shared" si="31"/>
        <v>0</v>
      </c>
      <c r="AE80" s="14">
        <f t="shared" si="32"/>
        <v>1.9801460271247748</v>
      </c>
      <c r="AF80" s="14">
        <f t="shared" si="33"/>
        <v>5.2412020701242401E-4</v>
      </c>
      <c r="AG80" s="13">
        <f t="shared" si="34"/>
        <v>1.383035893551984</v>
      </c>
      <c r="AH80" s="13">
        <f>IF($T80=1,$AU80,VLOOKUP(U80,'Cortes naturales'!$A$25:$C$29,3,9))</f>
        <v>2</v>
      </c>
      <c r="AI80" s="13" t="b">
        <f t="shared" si="35"/>
        <v>1</v>
      </c>
      <c r="AJ80" s="13">
        <f t="shared" si="36"/>
        <v>0</v>
      </c>
      <c r="AK80" s="28">
        <v>0.9741882058902549</v>
      </c>
      <c r="AL80" s="28">
        <v>51.304418782194936</v>
      </c>
      <c r="AM80" s="28">
        <v>0.47113818716841754</v>
      </c>
      <c r="AN80" s="13">
        <v>3</v>
      </c>
      <c r="AO80" s="33">
        <f t="shared" si="37"/>
        <v>1</v>
      </c>
      <c r="AP80" s="13">
        <f t="shared" si="47"/>
        <v>47.113818716841756</v>
      </c>
      <c r="AQ80" s="13">
        <f>IFERROR(VLOOKUP(U80,'Cortes naturales'!$E$15:$G$19,3,9),U80)</f>
        <v>3</v>
      </c>
      <c r="AR80" s="28">
        <f t="shared" si="38"/>
        <v>-0.2896761893275337</v>
      </c>
      <c r="AS80" s="13" t="b">
        <f t="shared" si="39"/>
        <v>0</v>
      </c>
      <c r="AT80" s="13" t="str">
        <f t="shared" si="48"/>
        <v>Cambio en corte</v>
      </c>
      <c r="AU80" s="13">
        <v>2</v>
      </c>
      <c r="AV80">
        <f t="shared" si="40"/>
        <v>0</v>
      </c>
      <c r="AW80" s="13">
        <v>0</v>
      </c>
      <c r="AX80" s="13">
        <v>1</v>
      </c>
      <c r="AY80" s="13">
        <v>0</v>
      </c>
      <c r="AZ80" s="13">
        <v>0</v>
      </c>
      <c r="BA80">
        <v>0</v>
      </c>
      <c r="BB80" t="s">
        <v>2838</v>
      </c>
      <c r="BC80">
        <v>4</v>
      </c>
      <c r="BD80" s="184" t="s">
        <v>2917</v>
      </c>
      <c r="BE80">
        <v>1</v>
      </c>
      <c r="BF80" s="232" t="s">
        <v>2846</v>
      </c>
      <c r="BG80" s="232" t="s">
        <v>2845</v>
      </c>
      <c r="BH80" s="253">
        <v>22.2</v>
      </c>
      <c r="BI80" s="253">
        <v>7.0123932677438878</v>
      </c>
      <c r="BJ80" s="25">
        <v>33.645428173469661</v>
      </c>
      <c r="BK80" t="s">
        <v>379</v>
      </c>
      <c r="BL80">
        <v>5.0033206890338437</v>
      </c>
      <c r="BM80" t="s">
        <v>383</v>
      </c>
      <c r="BN80" s="322">
        <v>99919.575878999996</v>
      </c>
      <c r="BO80" s="322">
        <v>39944.239481999997</v>
      </c>
      <c r="BP80" s="10">
        <v>62506</v>
      </c>
      <c r="BQ80" s="254">
        <f t="shared" si="41"/>
        <v>1.5985597523277766</v>
      </c>
      <c r="BR80" s="254">
        <f t="shared" si="42"/>
        <v>0.639046483249608</v>
      </c>
      <c r="BS80" s="25">
        <v>61.150944561525208</v>
      </c>
      <c r="BT80" s="25">
        <v>90.085512357320354</v>
      </c>
      <c r="BU80" s="25">
        <v>66.664788348797472</v>
      </c>
      <c r="BV80" s="25">
        <v>84.748669079876507</v>
      </c>
      <c r="BW80" s="25">
        <v>49.196403503654892</v>
      </c>
      <c r="BX80" s="25">
        <v>75.662478586879885</v>
      </c>
      <c r="BY80" s="25">
        <v>50.090603143263543</v>
      </c>
      <c r="BZ80">
        <v>2</v>
      </c>
      <c r="CA80">
        <v>0</v>
      </c>
      <c r="CB80">
        <v>6</v>
      </c>
      <c r="CC80">
        <v>20560.328452999998</v>
      </c>
      <c r="CD80" s="10">
        <v>373.87112500000001</v>
      </c>
      <c r="CE80" s="255">
        <v>1.8184102742067224E-2</v>
      </c>
      <c r="CF80" t="str">
        <f>IFERROR(VLOOKUP(CE80,'Rangos amb etnico'!$A$2:$C$6,3,9),"N.D.")</f>
        <v>0,1% - 30%</v>
      </c>
      <c r="CG80" s="256">
        <v>1.0877320395229363E-5</v>
      </c>
      <c r="CH80" s="232">
        <v>0</v>
      </c>
      <c r="CI80" s="311">
        <f t="shared" si="49"/>
        <v>0</v>
      </c>
      <c r="CJ80" s="232">
        <f>IFERROR(VLOOKUP(CI80,'Rangos amb etnico'!$A$2:$C$6,3,9),"N.D.")</f>
        <v>0</v>
      </c>
      <c r="CK80" s="311">
        <f t="shared" si="50"/>
        <v>0</v>
      </c>
      <c r="CL80" s="10">
        <v>0</v>
      </c>
      <c r="CM80" s="255">
        <f t="shared" si="51"/>
        <v>0</v>
      </c>
      <c r="CN80" s="232">
        <f>IFERROR(VLOOKUP(CM80,'Rangos amb etnico'!$A$2:$C$6,3,9),"N.D.")</f>
        <v>0</v>
      </c>
      <c r="CO80" s="311">
        <f t="shared" si="52"/>
        <v>0</v>
      </c>
      <c r="CP80">
        <v>0.8791141541944405</v>
      </c>
      <c r="CQ80" t="s">
        <v>2864</v>
      </c>
      <c r="CR80">
        <f t="shared" si="43"/>
        <v>2</v>
      </c>
      <c r="CS80" t="str">
        <f t="shared" si="53"/>
        <v>No es Candidato</v>
      </c>
      <c r="CT80">
        <v>0</v>
      </c>
      <c r="CU80">
        <v>0</v>
      </c>
      <c r="CV80" s="25">
        <v>53.192611694335938</v>
      </c>
      <c r="CW80" s="25">
        <v>54.801734924316413</v>
      </c>
      <c r="CX80" s="25">
        <v>66.755393981933594</v>
      </c>
      <c r="CY80" s="25">
        <v>59.548774719238281</v>
      </c>
      <c r="CZ80" s="25">
        <v>53.215957641601563</v>
      </c>
      <c r="DA80" s="25">
        <v>30.466634750366211</v>
      </c>
      <c r="DB80" s="25">
        <v>54.367179870605469</v>
      </c>
      <c r="DC80">
        <v>838</v>
      </c>
      <c r="DD80" s="253" t="s">
        <v>380</v>
      </c>
    </row>
    <row r="81" spans="1:108" hidden="1">
      <c r="A81" s="13">
        <v>76834</v>
      </c>
      <c r="B81" s="13" t="s">
        <v>619</v>
      </c>
      <c r="C81" s="13" t="s">
        <v>454</v>
      </c>
      <c r="D81" s="13" t="s">
        <v>455</v>
      </c>
      <c r="E81" s="13" t="s">
        <v>620</v>
      </c>
      <c r="F81" s="14">
        <v>76.768133333333296</v>
      </c>
      <c r="G81" s="13">
        <v>70.19</v>
      </c>
      <c r="H81" s="13">
        <v>75.44</v>
      </c>
      <c r="I81" s="13">
        <v>76.3</v>
      </c>
      <c r="J81" s="14">
        <v>60.358220275382621</v>
      </c>
      <c r="K81" s="14">
        <v>68.017478470936354</v>
      </c>
      <c r="L81" s="14">
        <v>61.445881945098392</v>
      </c>
      <c r="M81" s="14">
        <v>60.792900000000003</v>
      </c>
      <c r="N81" s="14">
        <f t="shared" si="27"/>
        <v>74.674533333333329</v>
      </c>
      <c r="O81" s="14">
        <f t="shared" si="28"/>
        <v>62.653620172854339</v>
      </c>
      <c r="P81" s="14">
        <f t="shared" si="44"/>
        <v>68.664076753093838</v>
      </c>
      <c r="Q81" s="14">
        <v>38.044040822242977</v>
      </c>
      <c r="R81" s="17">
        <f t="shared" si="29"/>
        <v>61.955959177757023</v>
      </c>
      <c r="S81" s="14">
        <f t="shared" si="45"/>
        <v>0.65760363259981325</v>
      </c>
      <c r="T81" s="13">
        <v>0</v>
      </c>
      <c r="U81" s="13">
        <f t="shared" si="46"/>
        <v>45.153746301946896</v>
      </c>
      <c r="V81" s="13">
        <f>IF($T81=1,$AU81,(VLOOKUP(U81,'Cortes naturales'!$A$35:$C$39,3,9)))</f>
        <v>2</v>
      </c>
      <c r="W81" s="13">
        <v>2</v>
      </c>
      <c r="X81" s="14" t="b">
        <f t="shared" si="30"/>
        <v>1</v>
      </c>
      <c r="Y81" s="17">
        <f>IF($T81=1,$AU81,VLOOKUP(U81,'Cortes naturales'!$A$45:$C$49,3,9))</f>
        <v>2</v>
      </c>
      <c r="Z81" s="14">
        <v>68.274863544482642</v>
      </c>
      <c r="AA81" s="14">
        <v>0.6773455176313411</v>
      </c>
      <c r="AB81" s="14">
        <v>46.245672788746774</v>
      </c>
      <c r="AC81" s="13">
        <v>2</v>
      </c>
      <c r="AD81" s="13">
        <f t="shared" si="31"/>
        <v>0</v>
      </c>
      <c r="AE81" s="14">
        <f t="shared" si="32"/>
        <v>0.38921320861119568</v>
      </c>
      <c r="AF81" s="14">
        <f t="shared" si="33"/>
        <v>-1.974188503152785E-2</v>
      </c>
      <c r="AG81" s="13">
        <f t="shared" si="34"/>
        <v>-1.0919264867998777</v>
      </c>
      <c r="AH81" s="13">
        <f>IF($T81=1,$AU81,VLOOKUP(U81,'Cortes naturales'!$A$25:$C$29,3,9))</f>
        <v>2</v>
      </c>
      <c r="AI81" s="13" t="b">
        <f t="shared" si="35"/>
        <v>1</v>
      </c>
      <c r="AJ81" s="13">
        <f t="shared" si="36"/>
        <v>0</v>
      </c>
      <c r="AK81" s="28" t="s">
        <v>440</v>
      </c>
      <c r="AL81" s="28" t="s">
        <v>380</v>
      </c>
      <c r="AM81" s="28" t="s">
        <v>380</v>
      </c>
      <c r="AN81" s="13" t="s">
        <v>476</v>
      </c>
      <c r="AO81" s="33">
        <f t="shared" si="37"/>
        <v>2</v>
      </c>
      <c r="AP81" s="13" t="str">
        <f t="shared" si="47"/>
        <v>N.D</v>
      </c>
      <c r="AQ81" s="13">
        <f>IFERROR(VLOOKUP(U81,'Cortes naturales'!$E$15:$G$19,3,9),U81)</f>
        <v>3</v>
      </c>
      <c r="AR81" s="28" t="str">
        <f t="shared" si="38"/>
        <v>N.D.</v>
      </c>
      <c r="AS81" s="13" t="b">
        <f t="shared" si="39"/>
        <v>0</v>
      </c>
      <c r="AT81" s="13" t="str">
        <f t="shared" si="48"/>
        <v>Cambio en corte</v>
      </c>
      <c r="AU81" s="13" t="s">
        <v>476</v>
      </c>
      <c r="AV81">
        <f t="shared" si="40"/>
        <v>2</v>
      </c>
      <c r="AW81" s="13">
        <v>0</v>
      </c>
      <c r="AX81" s="13">
        <v>1</v>
      </c>
      <c r="AY81" s="13">
        <v>0</v>
      </c>
      <c r="AZ81" s="13">
        <v>0</v>
      </c>
      <c r="BA81">
        <v>0</v>
      </c>
      <c r="BB81" t="s">
        <v>2838</v>
      </c>
      <c r="BC81">
        <v>2</v>
      </c>
      <c r="BD81" t="s">
        <v>2918</v>
      </c>
      <c r="BE81">
        <v>1</v>
      </c>
      <c r="BF81" s="232" t="s">
        <v>2845</v>
      </c>
      <c r="BG81" s="232" t="s">
        <v>2846</v>
      </c>
      <c r="BH81" s="253">
        <v>13.7</v>
      </c>
      <c r="BI81" s="253">
        <v>5.5474208934012337</v>
      </c>
      <c r="BJ81" s="25">
        <v>5.284522800799647</v>
      </c>
      <c r="BK81" t="s">
        <v>377</v>
      </c>
      <c r="BL81">
        <v>5.4265955408362929</v>
      </c>
      <c r="BM81" t="s">
        <v>383</v>
      </c>
      <c r="BN81" s="322">
        <v>475104.30497100001</v>
      </c>
      <c r="BO81" s="322">
        <v>107351.49183699999</v>
      </c>
      <c r="BP81" s="10">
        <v>224250</v>
      </c>
      <c r="BQ81" s="254">
        <f t="shared" si="41"/>
        <v>2.1186368114648828</v>
      </c>
      <c r="BR81" s="254">
        <f t="shared" si="42"/>
        <v>0.47871345300780377</v>
      </c>
      <c r="BS81" s="25">
        <v>54.443109697731018</v>
      </c>
      <c r="BT81" s="25">
        <v>93.395103737015248</v>
      </c>
      <c r="BU81" s="25">
        <v>57.173433353471601</v>
      </c>
      <c r="BV81" s="25">
        <v>82.406919466407388</v>
      </c>
      <c r="BW81" s="25">
        <v>67.896197812747104</v>
      </c>
      <c r="BX81" s="25">
        <v>71.854641563656315</v>
      </c>
      <c r="BY81" s="25">
        <v>69.018521253136143</v>
      </c>
      <c r="BZ81">
        <v>66</v>
      </c>
      <c r="CA81">
        <v>1</v>
      </c>
      <c r="CB81">
        <v>4</v>
      </c>
      <c r="CC81">
        <v>90943.863131999999</v>
      </c>
      <c r="CD81" s="10">
        <v>41937.640270000004</v>
      </c>
      <c r="CE81" s="255">
        <v>0.46113766037329901</v>
      </c>
      <c r="CF81" t="str">
        <f>IFERROR(VLOOKUP(CE81,'Rangos amb etnico'!$A$2:$C$6,3,9),"N.D.")</f>
        <v>31% - 50%</v>
      </c>
      <c r="CG81" s="256">
        <v>1.2201240463185362E-3</v>
      </c>
      <c r="CH81" s="232">
        <v>406.72370100000001</v>
      </c>
      <c r="CI81" s="311">
        <f t="shared" si="49"/>
        <v>4.4722501001487371E-3</v>
      </c>
      <c r="CJ81" s="232" t="str">
        <f>IFERROR(VLOOKUP(CI81,'Rangos amb etnico'!$A$2:$C$6,3,9),"N.D.")</f>
        <v>0,1% - 30%</v>
      </c>
      <c r="CK81" s="311">
        <f t="shared" si="50"/>
        <v>1.6149593831311571E-5</v>
      </c>
      <c r="CL81" s="10">
        <v>33293.139757299898</v>
      </c>
      <c r="CM81" s="255">
        <f t="shared" si="51"/>
        <v>0.3660845120354822</v>
      </c>
      <c r="CN81" s="232" t="str">
        <f>IFERROR(VLOOKUP(CM81,'Rangos amb etnico'!$A$2:$C$6,3,9),"N.D.")</f>
        <v>31% - 50%</v>
      </c>
      <c r="CO81" s="311">
        <f t="shared" si="52"/>
        <v>2.0878359200731323E-2</v>
      </c>
      <c r="CP81">
        <v>0.70732792683266954</v>
      </c>
      <c r="CQ81" t="s">
        <v>2866</v>
      </c>
      <c r="CR81">
        <f t="shared" si="43"/>
        <v>3</v>
      </c>
      <c r="CS81" t="str">
        <f t="shared" si="53"/>
        <v>Candidato</v>
      </c>
      <c r="CT81">
        <v>0</v>
      </c>
      <c r="CU81">
        <v>0</v>
      </c>
      <c r="CV81" s="25">
        <v>50.704105377197273</v>
      </c>
      <c r="CW81" s="25">
        <v>56.836784362792969</v>
      </c>
      <c r="CX81" s="25">
        <v>52.023666381835938</v>
      </c>
      <c r="CY81" s="25">
        <v>67.042366027832031</v>
      </c>
      <c r="CZ81" s="25">
        <v>42.146198272705078</v>
      </c>
      <c r="DA81" s="25">
        <v>30.803434371948239</v>
      </c>
      <c r="DB81" s="25">
        <v>55.372184753417969</v>
      </c>
      <c r="DC81">
        <v>15070</v>
      </c>
      <c r="DD81" s="253" t="s">
        <v>380</v>
      </c>
    </row>
    <row r="82" spans="1:108" hidden="1">
      <c r="A82" s="13">
        <v>8770</v>
      </c>
      <c r="B82" s="13" t="s">
        <v>621</v>
      </c>
      <c r="C82" s="13" t="s">
        <v>442</v>
      </c>
      <c r="D82" s="13" t="s">
        <v>443</v>
      </c>
      <c r="E82" s="13" t="s">
        <v>622</v>
      </c>
      <c r="F82" s="14">
        <v>67.968066666666701</v>
      </c>
      <c r="G82" s="13">
        <v>53.83</v>
      </c>
      <c r="H82" s="13">
        <v>45.07</v>
      </c>
      <c r="I82" s="13">
        <v>47.46</v>
      </c>
      <c r="J82" s="14">
        <v>53.489860166125823</v>
      </c>
      <c r="K82" s="14">
        <v>45.832189083924156</v>
      </c>
      <c r="L82" s="14">
        <v>45.805656042810256</v>
      </c>
      <c r="M82" s="14">
        <v>51.5914</v>
      </c>
      <c r="N82" s="14">
        <f t="shared" si="27"/>
        <v>53.582016666666675</v>
      </c>
      <c r="O82" s="14">
        <f t="shared" si="28"/>
        <v>49.179776323215059</v>
      </c>
      <c r="P82" s="14">
        <f t="shared" si="44"/>
        <v>51.38089649494087</v>
      </c>
      <c r="Q82" s="14">
        <v>36.826015908827515</v>
      </c>
      <c r="R82" s="17">
        <f t="shared" si="29"/>
        <v>63.173984091172485</v>
      </c>
      <c r="S82" s="14">
        <f t="shared" si="45"/>
        <v>0.66856585682055236</v>
      </c>
      <c r="T82" s="13">
        <v>0</v>
      </c>
      <c r="U82" s="13">
        <f t="shared" si="46"/>
        <v>34.351513089348259</v>
      </c>
      <c r="V82" s="13">
        <f>IF($T82=1,$AU82,(VLOOKUP(U82,'Cortes naturales'!$A$35:$C$39,3,9)))</f>
        <v>3</v>
      </c>
      <c r="W82" s="13">
        <v>3</v>
      </c>
      <c r="X82" s="14" t="b">
        <f t="shared" si="30"/>
        <v>1</v>
      </c>
      <c r="Y82" s="17">
        <f>IF($T82=1,$AU82,VLOOKUP(U82,'Cortes naturales'!$A$45:$C$49,3,9))</f>
        <v>3</v>
      </c>
      <c r="Z82" s="14">
        <v>55.319050338299462</v>
      </c>
      <c r="AA82" s="14">
        <v>0.67695790808124801</v>
      </c>
      <c r="AB82" s="14">
        <v>37.448668594056457</v>
      </c>
      <c r="AC82" s="13">
        <v>2</v>
      </c>
      <c r="AD82" s="13">
        <f t="shared" si="31"/>
        <v>-1</v>
      </c>
      <c r="AE82" s="14">
        <f t="shared" si="32"/>
        <v>-3.9381538433585916</v>
      </c>
      <c r="AF82" s="14">
        <f t="shared" si="33"/>
        <v>-8.3920512606956432E-3</v>
      </c>
      <c r="AG82" s="13">
        <f t="shared" si="34"/>
        <v>-3.0971555047081978</v>
      </c>
      <c r="AH82" s="13">
        <f>IF($T82=1,$AU82,VLOOKUP(U82,'Cortes naturales'!$A$25:$C$29,3,9))</f>
        <v>3</v>
      </c>
      <c r="AI82" s="13" t="b">
        <f t="shared" si="35"/>
        <v>1</v>
      </c>
      <c r="AJ82" s="13" t="str">
        <f t="shared" si="36"/>
        <v>Efecto ponderador</v>
      </c>
      <c r="AK82" s="28">
        <v>0.9741882058902549</v>
      </c>
      <c r="AL82" s="28">
        <v>53.891166400620648</v>
      </c>
      <c r="AM82" s="28">
        <v>0.50349567318591826</v>
      </c>
      <c r="AN82" s="13">
        <v>2</v>
      </c>
      <c r="AO82" s="33">
        <f t="shared" si="37"/>
        <v>-1</v>
      </c>
      <c r="AP82" s="13">
        <f t="shared" si="47"/>
        <v>50.349567318591824</v>
      </c>
      <c r="AQ82" s="13">
        <f>IFERROR(VLOOKUP(U82,'Cortes naturales'!$E$15:$G$19,3,9),U82)</f>
        <v>4</v>
      </c>
      <c r="AR82" s="28">
        <f t="shared" si="38"/>
        <v>-0.30562234906970254</v>
      </c>
      <c r="AS82" s="13" t="b">
        <f t="shared" si="39"/>
        <v>0</v>
      </c>
      <c r="AT82" s="13" t="str">
        <f t="shared" si="48"/>
        <v>Cambio en corte</v>
      </c>
      <c r="AU82" s="13">
        <v>3</v>
      </c>
      <c r="AV82">
        <f t="shared" si="40"/>
        <v>0</v>
      </c>
      <c r="AW82" s="13">
        <v>0</v>
      </c>
      <c r="AX82" s="13">
        <v>0</v>
      </c>
      <c r="AY82" s="13">
        <v>0</v>
      </c>
      <c r="AZ82" s="13">
        <v>0</v>
      </c>
      <c r="BA82">
        <v>0</v>
      </c>
      <c r="BB82" t="s">
        <v>2839</v>
      </c>
      <c r="BC82">
        <v>6</v>
      </c>
      <c r="BD82" t="s">
        <v>2919</v>
      </c>
      <c r="BE82">
        <v>1</v>
      </c>
      <c r="BF82" s="232" t="s">
        <v>2846</v>
      </c>
      <c r="BG82" s="232" t="s">
        <v>2846</v>
      </c>
      <c r="BH82" s="253">
        <v>43.8</v>
      </c>
      <c r="BI82" s="253">
        <v>18.273455673300596</v>
      </c>
      <c r="BJ82" s="25">
        <v>0</v>
      </c>
      <c r="BK82" t="s">
        <v>381</v>
      </c>
      <c r="BL82">
        <v>0</v>
      </c>
      <c r="BM82" t="s">
        <v>377</v>
      </c>
      <c r="BN82" s="322">
        <v>21903.264195</v>
      </c>
      <c r="BO82" s="322">
        <v>754.58488599999998</v>
      </c>
      <c r="BP82" s="10">
        <v>14150</v>
      </c>
      <c r="BQ82" s="254">
        <f t="shared" si="41"/>
        <v>1.5479338653710246</v>
      </c>
      <c r="BR82" s="254">
        <f t="shared" si="42"/>
        <v>5.3327553780918725E-2</v>
      </c>
      <c r="BS82" s="25">
        <v>59.27622096813743</v>
      </c>
      <c r="BT82" s="25">
        <v>84.750800212014141</v>
      </c>
      <c r="BU82" s="25">
        <v>56.546843033509703</v>
      </c>
      <c r="BV82" s="25">
        <v>95.900676655886585</v>
      </c>
      <c r="BW82" s="25">
        <v>42.052343567305627</v>
      </c>
      <c r="BX82" s="25">
        <v>74.118635217386966</v>
      </c>
      <c r="BY82" s="25">
        <v>44.208466797847542</v>
      </c>
      <c r="BZ82">
        <v>77</v>
      </c>
      <c r="CA82">
        <v>0</v>
      </c>
      <c r="CB82">
        <v>7</v>
      </c>
      <c r="CC82">
        <v>4251.3379610000002</v>
      </c>
      <c r="CD82" s="10">
        <v>453.42739999999998</v>
      </c>
      <c r="CE82" s="255">
        <v>0.10665522340485599</v>
      </c>
      <c r="CF82" t="str">
        <f>IFERROR(VLOOKUP(CE82,'Rangos amb etnico'!$A$2:$C$6,3,9),"N.D.")</f>
        <v>0,1% - 30%</v>
      </c>
      <c r="CG82" s="256">
        <v>1.3191912335502833E-5</v>
      </c>
      <c r="CH82" s="232">
        <v>0</v>
      </c>
      <c r="CI82" s="311">
        <f t="shared" si="49"/>
        <v>0</v>
      </c>
      <c r="CJ82" s="232">
        <f>IFERROR(VLOOKUP(CI82,'Rangos amb etnico'!$A$2:$C$6,3,9),"N.D.")</f>
        <v>0</v>
      </c>
      <c r="CK82" s="311">
        <f t="shared" si="50"/>
        <v>0</v>
      </c>
      <c r="CL82" s="10">
        <v>0</v>
      </c>
      <c r="CM82" s="255">
        <f t="shared" si="51"/>
        <v>0</v>
      </c>
      <c r="CN82" s="232">
        <f>IFERROR(VLOOKUP(CM82,'Rangos amb etnico'!$A$2:$C$6,3,9),"N.D.")</f>
        <v>0</v>
      </c>
      <c r="CO82" s="311">
        <f t="shared" si="52"/>
        <v>0</v>
      </c>
      <c r="CP82">
        <v>0.90580690643360895</v>
      </c>
      <c r="CQ82" t="s">
        <v>2864</v>
      </c>
      <c r="CR82">
        <f t="shared" si="43"/>
        <v>1</v>
      </c>
      <c r="CS82" t="str">
        <f t="shared" si="53"/>
        <v>No es Candidato</v>
      </c>
      <c r="CT82">
        <v>0</v>
      </c>
      <c r="CU82">
        <v>0</v>
      </c>
      <c r="CV82" s="25">
        <v>52.571258544921882</v>
      </c>
      <c r="CW82" s="25">
        <v>24.778066635131839</v>
      </c>
      <c r="CX82" s="25">
        <v>48.542774200439453</v>
      </c>
      <c r="CY82" s="25">
        <v>73.161895751953125</v>
      </c>
      <c r="CZ82" s="25">
        <v>23.30709266662598</v>
      </c>
      <c r="DA82" s="25">
        <v>82.798538208007813</v>
      </c>
      <c r="DB82" s="25">
        <v>62.839187622070313</v>
      </c>
      <c r="DC82">
        <v>5456</v>
      </c>
      <c r="DD82" s="253" t="s">
        <v>380</v>
      </c>
    </row>
    <row r="83" spans="1:108" hidden="1">
      <c r="A83" s="13">
        <v>76364</v>
      </c>
      <c r="B83" s="13" t="s">
        <v>623</v>
      </c>
      <c r="C83" s="13" t="s">
        <v>454</v>
      </c>
      <c r="D83" s="13" t="s">
        <v>455</v>
      </c>
      <c r="E83" s="13" t="s">
        <v>624</v>
      </c>
      <c r="F83" s="14">
        <v>66.396799999999999</v>
      </c>
      <c r="G83" s="13">
        <v>66.66</v>
      </c>
      <c r="H83" s="13">
        <v>66.36</v>
      </c>
      <c r="I83" s="13">
        <v>70.45</v>
      </c>
      <c r="J83" s="14">
        <v>54.542945343434333</v>
      </c>
      <c r="K83" s="14">
        <v>56.87601061093325</v>
      </c>
      <c r="L83" s="14">
        <v>53.739291991247143</v>
      </c>
      <c r="M83" s="14">
        <v>53.741799999999998</v>
      </c>
      <c r="N83" s="14">
        <f t="shared" si="27"/>
        <v>67.466700000000003</v>
      </c>
      <c r="O83" s="14">
        <f t="shared" si="28"/>
        <v>54.725011986403686</v>
      </c>
      <c r="P83" s="14">
        <f t="shared" si="44"/>
        <v>61.095855993201845</v>
      </c>
      <c r="Q83" s="14">
        <v>37.550673342406938</v>
      </c>
      <c r="R83" s="17">
        <f t="shared" si="29"/>
        <v>62.449326657593062</v>
      </c>
      <c r="S83" s="14">
        <f t="shared" si="45"/>
        <v>0.66204393991833754</v>
      </c>
      <c r="T83" s="13">
        <v>0</v>
      </c>
      <c r="U83" s="13">
        <f t="shared" si="46"/>
        <v>40.448141214422726</v>
      </c>
      <c r="V83" s="13">
        <f>IF($T83=1,$AU83,(VLOOKUP(U83,'Cortes naturales'!$A$35:$C$39,3,9)))</f>
        <v>2</v>
      </c>
      <c r="W83" s="13">
        <v>2</v>
      </c>
      <c r="X83" s="14" t="b">
        <f t="shared" si="30"/>
        <v>1</v>
      </c>
      <c r="Y83" s="17">
        <f>IF($T83=1,$AU83,VLOOKUP(U83,'Cortes naturales'!$A$45:$C$49,3,9))</f>
        <v>2</v>
      </c>
      <c r="Z83" s="14">
        <v>59.359703028386491</v>
      </c>
      <c r="AA83" s="14">
        <v>0.67461945681206648</v>
      </c>
      <c r="AB83" s="14">
        <v>40.045210613535673</v>
      </c>
      <c r="AC83" s="13">
        <v>2</v>
      </c>
      <c r="AD83" s="13">
        <f t="shared" si="31"/>
        <v>0</v>
      </c>
      <c r="AE83" s="14">
        <f t="shared" si="32"/>
        <v>1.7361529648153535</v>
      </c>
      <c r="AF83" s="14">
        <f t="shared" si="33"/>
        <v>-1.2575516893728933E-2</v>
      </c>
      <c r="AG83" s="13">
        <f t="shared" si="34"/>
        <v>0.40293060088705346</v>
      </c>
      <c r="AH83" s="13">
        <f>IF($T83=1,$AU83,VLOOKUP(U83,'Cortes naturales'!$A$25:$C$29,3,9))</f>
        <v>2</v>
      </c>
      <c r="AI83" s="13" t="b">
        <f t="shared" si="35"/>
        <v>1</v>
      </c>
      <c r="AJ83" s="13">
        <f t="shared" si="36"/>
        <v>0</v>
      </c>
      <c r="AK83" s="28">
        <v>0.9741882058902549</v>
      </c>
      <c r="AL83" s="28">
        <v>57.827522595402165</v>
      </c>
      <c r="AM83" s="28">
        <v>0.55273533987209555</v>
      </c>
      <c r="AN83" s="13">
        <v>2</v>
      </c>
      <c r="AO83" s="33">
        <f t="shared" si="37"/>
        <v>0</v>
      </c>
      <c r="AP83" s="13">
        <f t="shared" si="47"/>
        <v>55.273533987209554</v>
      </c>
      <c r="AQ83" s="13">
        <f>IFERROR(VLOOKUP(U83,'Cortes naturales'!$E$15:$G$19,3,9),U83)</f>
        <v>3</v>
      </c>
      <c r="AR83" s="28">
        <f t="shared" si="38"/>
        <v>-0.31214426597191736</v>
      </c>
      <c r="AS83" s="13" t="b">
        <f t="shared" si="39"/>
        <v>0</v>
      </c>
      <c r="AT83" s="13">
        <f t="shared" si="48"/>
        <v>0</v>
      </c>
      <c r="AU83" s="13">
        <v>2</v>
      </c>
      <c r="AV83">
        <f t="shared" si="40"/>
        <v>0</v>
      </c>
      <c r="AW83" s="13">
        <v>0</v>
      </c>
      <c r="AX83" s="13">
        <v>1</v>
      </c>
      <c r="AY83" s="13">
        <v>0</v>
      </c>
      <c r="AZ83" s="13">
        <v>0</v>
      </c>
      <c r="BA83">
        <v>0</v>
      </c>
      <c r="BB83" t="s">
        <v>2838</v>
      </c>
      <c r="BC83">
        <v>2</v>
      </c>
      <c r="BD83" s="184" t="s">
        <v>2917</v>
      </c>
      <c r="BE83">
        <v>1</v>
      </c>
      <c r="BF83" s="232" t="s">
        <v>2845</v>
      </c>
      <c r="BG83" s="232" t="s">
        <v>2845</v>
      </c>
      <c r="BH83" s="253">
        <v>14.9</v>
      </c>
      <c r="BI83" s="253">
        <v>6.5604719764011801</v>
      </c>
      <c r="BJ83" s="25">
        <v>6.5048752808865808</v>
      </c>
      <c r="BK83" t="s">
        <v>377</v>
      </c>
      <c r="BL83">
        <v>14.047829598791372</v>
      </c>
      <c r="BM83" t="s">
        <v>376</v>
      </c>
      <c r="BN83" s="322">
        <v>349879.562531</v>
      </c>
      <c r="BO83" s="322">
        <v>123315.702643</v>
      </c>
      <c r="BP83" s="10">
        <v>189878</v>
      </c>
      <c r="BQ83" s="254">
        <f t="shared" si="41"/>
        <v>1.8426545599332202</v>
      </c>
      <c r="BR83" s="254">
        <f t="shared" si="42"/>
        <v>0.64944702726487535</v>
      </c>
      <c r="BS83" s="25">
        <v>64.717276303887772</v>
      </c>
      <c r="BT83" s="25">
        <v>90.711740026169537</v>
      </c>
      <c r="BU83" s="25">
        <v>74.839999999999989</v>
      </c>
      <c r="BV83" s="25">
        <v>82.014901441181777</v>
      </c>
      <c r="BW83" s="25">
        <v>71.909351529294824</v>
      </c>
      <c r="BX83" s="25">
        <v>78.070979442809772</v>
      </c>
      <c r="BY83" s="25">
        <v>72.937915727885851</v>
      </c>
      <c r="BZ83">
        <v>85</v>
      </c>
      <c r="CA83">
        <v>0</v>
      </c>
      <c r="CB83">
        <v>5</v>
      </c>
      <c r="CC83">
        <v>62919.842789000002</v>
      </c>
      <c r="CD83" s="10">
        <v>38697.297933000002</v>
      </c>
      <c r="CE83" s="255">
        <v>0.61502534363873651</v>
      </c>
      <c r="CF83" t="str">
        <f>IFERROR(VLOOKUP(CE83,'Rangos amb etnico'!$A$2:$C$6,3,9),"N.D.")</f>
        <v>51% - 70%</v>
      </c>
      <c r="CG83" s="256">
        <v>1.1258502727293741E-3</v>
      </c>
      <c r="CH83" s="232">
        <v>125.53851</v>
      </c>
      <c r="CI83" s="311">
        <f t="shared" si="49"/>
        <v>1.9952133450331401E-3</v>
      </c>
      <c r="CJ83" s="232" t="str">
        <f>IFERROR(VLOOKUP(CI83,'Rangos amb etnico'!$A$2:$C$6,3,9),"N.D.")</f>
        <v>0,1% - 30%</v>
      </c>
      <c r="CK83" s="311">
        <f t="shared" si="50"/>
        <v>4.9847007727932876E-6</v>
      </c>
      <c r="CL83" s="10">
        <v>0</v>
      </c>
      <c r="CM83" s="255">
        <f t="shared" si="51"/>
        <v>0</v>
      </c>
      <c r="CN83" s="232">
        <f>IFERROR(VLOOKUP(CM83,'Rangos amb etnico'!$A$2:$C$6,3,9),"N.D.")</f>
        <v>0</v>
      </c>
      <c r="CO83" s="311">
        <f t="shared" si="52"/>
        <v>0</v>
      </c>
      <c r="CP83">
        <v>0.93904876591578468</v>
      </c>
      <c r="CQ83" t="s">
        <v>2864</v>
      </c>
      <c r="CR83">
        <f t="shared" si="43"/>
        <v>3</v>
      </c>
      <c r="CS83" t="str">
        <f t="shared" si="53"/>
        <v>Candidato</v>
      </c>
      <c r="CT83">
        <v>0</v>
      </c>
      <c r="CU83">
        <v>0</v>
      </c>
      <c r="CV83" s="25">
        <v>46.733409881591797</v>
      </c>
      <c r="CW83" s="25">
        <v>53.038944244384773</v>
      </c>
      <c r="CX83" s="25">
        <v>61.851650238037109</v>
      </c>
      <c r="CY83" s="25">
        <v>66.160560607910156</v>
      </c>
      <c r="CZ83" s="25">
        <v>38.264015197753913</v>
      </c>
      <c r="DA83" s="25">
        <v>10.390297889709471</v>
      </c>
      <c r="DB83" s="25">
        <v>50.694999694824219</v>
      </c>
      <c r="DC83">
        <v>60778</v>
      </c>
      <c r="DD83" s="253" t="s">
        <v>380</v>
      </c>
    </row>
    <row r="84" spans="1:108" hidden="1">
      <c r="A84" s="13">
        <v>8558</v>
      </c>
      <c r="B84" s="13" t="s">
        <v>625</v>
      </c>
      <c r="C84" s="13" t="s">
        <v>442</v>
      </c>
      <c r="D84" s="13" t="s">
        <v>443</v>
      </c>
      <c r="E84" s="13" t="s">
        <v>626</v>
      </c>
      <c r="F84" s="14">
        <v>67.878766666666706</v>
      </c>
      <c r="G84" s="13">
        <v>69.67</v>
      </c>
      <c r="H84" s="13">
        <v>62.93</v>
      </c>
      <c r="I84" s="13">
        <v>61</v>
      </c>
      <c r="J84" s="14">
        <v>48.316071330944375</v>
      </c>
      <c r="K84" s="14">
        <v>46.980822413641206</v>
      </c>
      <c r="L84" s="14">
        <v>6.2348156654105713</v>
      </c>
      <c r="M84" s="14">
        <v>42.6203</v>
      </c>
      <c r="N84" s="14">
        <f t="shared" si="27"/>
        <v>65.369691666666682</v>
      </c>
      <c r="O84" s="14">
        <f t="shared" si="28"/>
        <v>36.038002352499035</v>
      </c>
      <c r="P84" s="14">
        <f t="shared" si="44"/>
        <v>50.703847009582859</v>
      </c>
      <c r="Q84" s="14">
        <v>37.399515704784569</v>
      </c>
      <c r="R84" s="17">
        <f t="shared" si="29"/>
        <v>62.600484295215431</v>
      </c>
      <c r="S84" s="14">
        <f t="shared" si="45"/>
        <v>0.66340435865693892</v>
      </c>
      <c r="T84" s="13">
        <v>0</v>
      </c>
      <c r="U84" s="13">
        <f t="shared" si="46"/>
        <v>33.637153106831867</v>
      </c>
      <c r="V84" s="13">
        <f>IF($T84=1,$AU84,(VLOOKUP(U84,'Cortes naturales'!$A$35:$C$39,3,9)))</f>
        <v>3</v>
      </c>
      <c r="W84" s="13">
        <v>3</v>
      </c>
      <c r="X84" s="14" t="b">
        <f t="shared" si="30"/>
        <v>1</v>
      </c>
      <c r="Y84" s="17">
        <f>IF($T84=1,$AU84,VLOOKUP(U84,'Cortes naturales'!$A$45:$C$49,3,9))</f>
        <v>3</v>
      </c>
      <c r="Z84" s="14">
        <v>50.670642430929725</v>
      </c>
      <c r="AA84" s="14">
        <v>0.67385793920374626</v>
      </c>
      <c r="AB84" s="14">
        <v>34.144814686636209</v>
      </c>
      <c r="AC84" s="13">
        <v>3</v>
      </c>
      <c r="AD84" s="13">
        <f t="shared" si="31"/>
        <v>0</v>
      </c>
      <c r="AE84" s="14">
        <f t="shared" si="32"/>
        <v>3.3204578653133865E-2</v>
      </c>
      <c r="AF84" s="14">
        <f t="shared" si="33"/>
        <v>-1.045358054680734E-2</v>
      </c>
      <c r="AG84" s="13">
        <f t="shared" si="34"/>
        <v>-0.50766157980434201</v>
      </c>
      <c r="AH84" s="13">
        <f>IF($T84=1,$AU84,VLOOKUP(U84,'Cortes naturales'!$A$25:$C$29,3,9))</f>
        <v>3</v>
      </c>
      <c r="AI84" s="13" t="b">
        <f t="shared" si="35"/>
        <v>1</v>
      </c>
      <c r="AJ84" s="13">
        <f t="shared" si="36"/>
        <v>0</v>
      </c>
      <c r="AK84" s="28">
        <v>0.9741882058902549</v>
      </c>
      <c r="AL84" s="28">
        <v>49.362742241094054</v>
      </c>
      <c r="AM84" s="28">
        <v>0.44684986035924174</v>
      </c>
      <c r="AN84" s="13">
        <v>3</v>
      </c>
      <c r="AO84" s="33">
        <f t="shared" si="37"/>
        <v>0</v>
      </c>
      <c r="AP84" s="13">
        <f t="shared" si="47"/>
        <v>44.684986035924176</v>
      </c>
      <c r="AQ84" s="13">
        <f>IFERROR(VLOOKUP(U84,'Cortes naturales'!$E$15:$G$19,3,9),U84)</f>
        <v>4</v>
      </c>
      <c r="AR84" s="28">
        <f t="shared" si="38"/>
        <v>-0.31078384723331598</v>
      </c>
      <c r="AS84" s="13" t="b">
        <f t="shared" si="39"/>
        <v>0</v>
      </c>
      <c r="AT84" s="13">
        <f t="shared" si="48"/>
        <v>0</v>
      </c>
      <c r="AU84" s="13">
        <v>2</v>
      </c>
      <c r="AV84">
        <f t="shared" si="40"/>
        <v>-1</v>
      </c>
      <c r="AW84" s="13">
        <v>0</v>
      </c>
      <c r="AX84" s="13">
        <v>0</v>
      </c>
      <c r="AY84" s="13">
        <v>0</v>
      </c>
      <c r="AZ84" s="13">
        <v>0</v>
      </c>
      <c r="BA84">
        <v>0</v>
      </c>
      <c r="BB84" t="s">
        <v>2838</v>
      </c>
      <c r="BC84">
        <v>6</v>
      </c>
      <c r="BD84" s="184" t="s">
        <v>2917</v>
      </c>
      <c r="BE84">
        <v>1</v>
      </c>
      <c r="BF84" s="232" t="s">
        <v>2846</v>
      </c>
      <c r="BG84" s="232" t="s">
        <v>2846</v>
      </c>
      <c r="BH84" s="253">
        <v>30.5</v>
      </c>
      <c r="BI84" s="253">
        <v>13.334566302940633</v>
      </c>
      <c r="BJ84" s="25">
        <v>0</v>
      </c>
      <c r="BK84" t="s">
        <v>381</v>
      </c>
      <c r="BL84">
        <v>1.5781691253963008</v>
      </c>
      <c r="BM84" t="s">
        <v>383</v>
      </c>
      <c r="BN84" s="322">
        <v>32711.708130999999</v>
      </c>
      <c r="BO84" s="322">
        <v>2241.0204749999998</v>
      </c>
      <c r="BP84" s="10">
        <v>21012</v>
      </c>
      <c r="BQ84" s="254">
        <f t="shared" si="41"/>
        <v>1.5568107810298877</v>
      </c>
      <c r="BR84" s="254">
        <f t="shared" si="42"/>
        <v>0.10665431539120501</v>
      </c>
      <c r="BS84" s="25">
        <v>54.647456391524678</v>
      </c>
      <c r="BT84" s="25">
        <v>87.140634950821735</v>
      </c>
      <c r="BU84" s="25">
        <v>63.693333333333328</v>
      </c>
      <c r="BV84" s="25">
        <v>95.783797673830705</v>
      </c>
      <c r="BW84" s="25">
        <v>46.842584525507462</v>
      </c>
      <c r="BX84" s="25">
        <v>75.316305587377613</v>
      </c>
      <c r="BY84" s="25">
        <v>49.535126236739707</v>
      </c>
      <c r="BZ84">
        <v>5</v>
      </c>
      <c r="CA84">
        <v>0</v>
      </c>
      <c r="CB84">
        <v>7</v>
      </c>
      <c r="CC84">
        <v>7380.719454</v>
      </c>
      <c r="CD84" s="10">
        <v>0</v>
      </c>
      <c r="CE84" s="255">
        <v>0</v>
      </c>
      <c r="CF84">
        <f>IFERROR(VLOOKUP(CE84,'Rangos amb etnico'!$A$2:$C$6,3,9),"N.D.")</f>
        <v>0</v>
      </c>
      <c r="CG84" s="256">
        <v>0</v>
      </c>
      <c r="CH84" s="232">
        <v>0</v>
      </c>
      <c r="CI84" s="311">
        <f t="shared" si="49"/>
        <v>0</v>
      </c>
      <c r="CJ84" s="232">
        <f>IFERROR(VLOOKUP(CI84,'Rangos amb etnico'!$A$2:$C$6,3,9),"N.D.")</f>
        <v>0</v>
      </c>
      <c r="CK84" s="311">
        <f t="shared" si="50"/>
        <v>0</v>
      </c>
      <c r="CL84" s="10">
        <v>0</v>
      </c>
      <c r="CM84" s="255">
        <f t="shared" si="51"/>
        <v>0</v>
      </c>
      <c r="CN84" s="232">
        <f>IFERROR(VLOOKUP(CM84,'Rangos amb etnico'!$A$2:$C$6,3,9),"N.D.")</f>
        <v>0</v>
      </c>
      <c r="CO84" s="311">
        <f t="shared" si="52"/>
        <v>0</v>
      </c>
      <c r="CP84">
        <v>0.96197186253308997</v>
      </c>
      <c r="CQ84" t="s">
        <v>2864</v>
      </c>
      <c r="CR84">
        <f t="shared" si="43"/>
        <v>2</v>
      </c>
      <c r="CS84" t="str">
        <f t="shared" si="53"/>
        <v>No es Candidato</v>
      </c>
      <c r="CT84">
        <v>0</v>
      </c>
      <c r="CU84">
        <v>0</v>
      </c>
      <c r="CV84" s="25">
        <v>55.477916717529297</v>
      </c>
      <c r="CW84" s="25">
        <v>38.276630401611328</v>
      </c>
      <c r="CX84" s="25">
        <v>59.958808898925781</v>
      </c>
      <c r="CY84" s="25">
        <v>71.202590942382813</v>
      </c>
      <c r="CZ84" s="25">
        <v>39.489662170410163</v>
      </c>
      <c r="DA84" s="25">
        <v>69.926139831542969</v>
      </c>
      <c r="DB84" s="25">
        <v>54.013656616210938</v>
      </c>
      <c r="DC84">
        <v>579</v>
      </c>
      <c r="DD84" s="253" t="s">
        <v>380</v>
      </c>
    </row>
    <row r="85" spans="1:108" hidden="1">
      <c r="A85" s="13">
        <v>76400</v>
      </c>
      <c r="B85" s="13" t="s">
        <v>627</v>
      </c>
      <c r="C85" s="13" t="s">
        <v>454</v>
      </c>
      <c r="D85" s="13" t="s">
        <v>455</v>
      </c>
      <c r="E85" s="13" t="s">
        <v>628</v>
      </c>
      <c r="F85" s="14">
        <v>85.0957333333333</v>
      </c>
      <c r="G85" s="13">
        <v>89.81</v>
      </c>
      <c r="H85" s="13">
        <v>86.16</v>
      </c>
      <c r="I85" s="13">
        <v>87.13</v>
      </c>
      <c r="J85" s="14">
        <v>48.145420365667697</v>
      </c>
      <c r="K85" s="14">
        <v>60.113063270906352</v>
      </c>
      <c r="L85" s="14">
        <v>73.504396916552309</v>
      </c>
      <c r="M85" s="14">
        <v>54.835000000000001</v>
      </c>
      <c r="N85" s="14">
        <f t="shared" si="27"/>
        <v>87.048933333333324</v>
      </c>
      <c r="O85" s="14">
        <f t="shared" si="28"/>
        <v>59.149470138281593</v>
      </c>
      <c r="P85" s="14">
        <f t="shared" si="44"/>
        <v>73.099201735807455</v>
      </c>
      <c r="Q85" s="14">
        <v>38.294288040397838</v>
      </c>
      <c r="R85" s="17">
        <f t="shared" si="29"/>
        <v>61.705711959602162</v>
      </c>
      <c r="S85" s="14">
        <f t="shared" si="45"/>
        <v>0.65535140763641941</v>
      </c>
      <c r="T85" s="13">
        <v>0</v>
      </c>
      <c r="U85" s="13">
        <f t="shared" si="46"/>
        <v>47.905664754660009</v>
      </c>
      <c r="V85" s="13">
        <f>IF($T85=1,$AU85,(VLOOKUP(U85,'Cortes naturales'!$A$35:$C$39,3,9)))</f>
        <v>2</v>
      </c>
      <c r="W85" s="13">
        <v>2</v>
      </c>
      <c r="X85" s="14" t="b">
        <f t="shared" si="30"/>
        <v>1</v>
      </c>
      <c r="Y85" s="17">
        <f>IF($T85=1,$AU85,VLOOKUP(U85,'Cortes naturales'!$A$45:$C$49,3,9))</f>
        <v>1</v>
      </c>
      <c r="Z85" s="14">
        <v>72.233388043510587</v>
      </c>
      <c r="AA85" s="14">
        <v>0.67241982239212728</v>
      </c>
      <c r="AB85" s="14">
        <v>48.571161958998999</v>
      </c>
      <c r="AC85" s="13">
        <v>1</v>
      </c>
      <c r="AD85" s="13">
        <f t="shared" si="31"/>
        <v>0</v>
      </c>
      <c r="AE85" s="14">
        <f t="shared" si="32"/>
        <v>0.865813692296868</v>
      </c>
      <c r="AF85" s="14">
        <f t="shared" si="33"/>
        <v>-1.7068414755707861E-2</v>
      </c>
      <c r="AG85" s="13">
        <f t="shared" si="34"/>
        <v>-0.6654972043389904</v>
      </c>
      <c r="AH85" s="13">
        <f>IF($T85=1,$AU85,VLOOKUP(U85,'Cortes naturales'!$A$25:$C$29,3,9))</f>
        <v>1</v>
      </c>
      <c r="AI85" s="13" t="b">
        <f t="shared" si="35"/>
        <v>1</v>
      </c>
      <c r="AJ85" s="13">
        <f t="shared" si="36"/>
        <v>0</v>
      </c>
      <c r="AK85" s="28">
        <v>0.9741882058902549</v>
      </c>
      <c r="AL85" s="28">
        <v>70.368914703482162</v>
      </c>
      <c r="AM85" s="28">
        <v>0.70961493527080144</v>
      </c>
      <c r="AN85" s="13">
        <v>1</v>
      </c>
      <c r="AO85" s="33">
        <f t="shared" si="37"/>
        <v>0</v>
      </c>
      <c r="AP85" s="13">
        <f t="shared" si="47"/>
        <v>70.961493527080137</v>
      </c>
      <c r="AQ85" s="13">
        <f>IFERROR(VLOOKUP(U85,'Cortes naturales'!$E$15:$G$19,3,9),U85)</f>
        <v>2</v>
      </c>
      <c r="AR85" s="28">
        <f t="shared" si="38"/>
        <v>-0.31883679825383549</v>
      </c>
      <c r="AS85" s="13" t="b">
        <f t="shared" si="39"/>
        <v>0</v>
      </c>
      <c r="AT85" s="13">
        <f t="shared" si="48"/>
        <v>0</v>
      </c>
      <c r="AU85" s="13">
        <v>1</v>
      </c>
      <c r="AV85">
        <f t="shared" si="40"/>
        <v>0</v>
      </c>
      <c r="AW85" s="13">
        <v>0</v>
      </c>
      <c r="AX85" s="13">
        <v>0</v>
      </c>
      <c r="AY85" s="13">
        <v>0</v>
      </c>
      <c r="AZ85" s="13">
        <v>0</v>
      </c>
      <c r="BA85">
        <v>0</v>
      </c>
      <c r="BB85" t="s">
        <v>2839</v>
      </c>
      <c r="BC85">
        <v>6</v>
      </c>
      <c r="BD85" t="s">
        <v>2919</v>
      </c>
      <c r="BE85">
        <v>0</v>
      </c>
      <c r="BF85" s="232" t="s">
        <v>2846</v>
      </c>
      <c r="BG85" s="232" t="s">
        <v>2846</v>
      </c>
      <c r="BH85" s="253">
        <v>22.5</v>
      </c>
      <c r="BI85" s="253">
        <v>8.9998978445193583</v>
      </c>
      <c r="BJ85" s="25">
        <v>5.3026211646903469</v>
      </c>
      <c r="BK85" t="s">
        <v>377</v>
      </c>
      <c r="BL85">
        <v>11.643180202246903</v>
      </c>
      <c r="BM85" t="s">
        <v>376</v>
      </c>
      <c r="BN85" s="322">
        <v>60426.275493000001</v>
      </c>
      <c r="BO85" s="322">
        <v>12316.530282</v>
      </c>
      <c r="BP85" s="10">
        <v>34777</v>
      </c>
      <c r="BQ85" s="254">
        <f t="shared" si="41"/>
        <v>1.7375355980389338</v>
      </c>
      <c r="BR85" s="254">
        <f t="shared" si="42"/>
        <v>0.35415735348074878</v>
      </c>
      <c r="BS85" s="25">
        <v>63.031858696145093</v>
      </c>
      <c r="BT85" s="25">
        <v>91.937395640797078</v>
      </c>
      <c r="BU85" s="25">
        <v>56.236708268330737</v>
      </c>
      <c r="BV85" s="25">
        <v>78.941253066033354</v>
      </c>
      <c r="BW85" s="25">
        <v>58.891255846249763</v>
      </c>
      <c r="BX85" s="25">
        <v>72.53680391782656</v>
      </c>
      <c r="BY85" s="25">
        <v>59.153803147275603</v>
      </c>
      <c r="BZ85">
        <v>91</v>
      </c>
      <c r="CA85">
        <v>0</v>
      </c>
      <c r="CB85">
        <v>6</v>
      </c>
      <c r="CC85">
        <v>12087.266232</v>
      </c>
      <c r="CD85" s="10">
        <v>5073.5857550000001</v>
      </c>
      <c r="CE85" s="255">
        <v>0.41974633946327061</v>
      </c>
      <c r="CF85" t="str">
        <f>IFERROR(VLOOKUP(CE85,'Rangos amb etnico'!$A$2:$C$6,3,9),"N.D.")</f>
        <v>31% - 50%</v>
      </c>
      <c r="CG85" s="256">
        <v>1.4760973533274778E-4</v>
      </c>
      <c r="CH85" s="232">
        <v>0</v>
      </c>
      <c r="CI85" s="311">
        <f t="shared" si="49"/>
        <v>0</v>
      </c>
      <c r="CJ85" s="232">
        <f>IFERROR(VLOOKUP(CI85,'Rangos amb etnico'!$A$2:$C$6,3,9),"N.D.")</f>
        <v>0</v>
      </c>
      <c r="CK85" s="311">
        <f t="shared" si="50"/>
        <v>0</v>
      </c>
      <c r="CL85" s="10">
        <v>0</v>
      </c>
      <c r="CM85" s="255">
        <f t="shared" si="51"/>
        <v>0</v>
      </c>
      <c r="CN85" s="232">
        <f>IFERROR(VLOOKUP(CM85,'Rangos amb etnico'!$A$2:$C$6,3,9),"N.D.")</f>
        <v>0</v>
      </c>
      <c r="CO85" s="311">
        <f t="shared" si="52"/>
        <v>0</v>
      </c>
      <c r="CP85">
        <v>0.97074048180013306</v>
      </c>
      <c r="CQ85" t="s">
        <v>2864</v>
      </c>
      <c r="CR85">
        <f t="shared" si="43"/>
        <v>2</v>
      </c>
      <c r="CS85" t="str">
        <f t="shared" si="53"/>
        <v>No es Candidato</v>
      </c>
      <c r="CT85">
        <v>0</v>
      </c>
      <c r="CU85">
        <v>0</v>
      </c>
      <c r="CV85" s="25">
        <v>50.708194732666023</v>
      </c>
      <c r="CW85" s="25">
        <v>36.960678100585938</v>
      </c>
      <c r="CX85" s="25">
        <v>43.922985076904297</v>
      </c>
      <c r="CY85" s="25">
        <v>59.634658813476563</v>
      </c>
      <c r="CZ85" s="25">
        <v>64.761764526367188</v>
      </c>
      <c r="DA85" s="25">
        <v>35.730182647705078</v>
      </c>
      <c r="DB85" s="25">
        <v>63.238899230957031</v>
      </c>
      <c r="DC85">
        <v>847</v>
      </c>
      <c r="DD85" s="253" t="s">
        <v>380</v>
      </c>
    </row>
    <row r="86" spans="1:108" hidden="1">
      <c r="A86" s="13">
        <v>25785</v>
      </c>
      <c r="B86" s="13" t="s">
        <v>629</v>
      </c>
      <c r="C86" s="13" t="s">
        <v>461</v>
      </c>
      <c r="D86" s="13" t="s">
        <v>462</v>
      </c>
      <c r="E86" s="13" t="s">
        <v>630</v>
      </c>
      <c r="F86" s="14">
        <v>66.511700000000005</v>
      </c>
      <c r="G86" s="13">
        <v>67.73</v>
      </c>
      <c r="H86" s="13">
        <v>61.62</v>
      </c>
      <c r="I86" s="13">
        <v>69.19</v>
      </c>
      <c r="J86" s="14">
        <v>61.535782851672508</v>
      </c>
      <c r="K86" s="14">
        <v>60.32772370091287</v>
      </c>
      <c r="L86" s="14">
        <v>60.012108917965577</v>
      </c>
      <c r="M86" s="14">
        <v>63.58</v>
      </c>
      <c r="N86" s="14">
        <f t="shared" si="27"/>
        <v>66.262924999999996</v>
      </c>
      <c r="O86" s="14">
        <f t="shared" si="28"/>
        <v>61.363903867637731</v>
      </c>
      <c r="P86" s="14">
        <f t="shared" si="44"/>
        <v>63.813414433818863</v>
      </c>
      <c r="Q86" s="14">
        <v>38.935061385833791</v>
      </c>
      <c r="R86" s="17">
        <f t="shared" si="29"/>
        <v>61.064938614166209</v>
      </c>
      <c r="S86" s="14">
        <f t="shared" si="45"/>
        <v>0.64958444752749589</v>
      </c>
      <c r="T86" s="13">
        <v>0</v>
      </c>
      <c r="U86" s="13">
        <f t="shared" si="46"/>
        <v>41.452201559835359</v>
      </c>
      <c r="V86" s="13">
        <f>IF($T86=1,$AU86,(VLOOKUP(U86,'Cortes naturales'!$A$35:$C$39,3,9)))</f>
        <v>2</v>
      </c>
      <c r="W86" s="13">
        <v>2</v>
      </c>
      <c r="X86" s="14" t="b">
        <f t="shared" si="30"/>
        <v>1</v>
      </c>
      <c r="Y86" s="17">
        <f>IF($T86=1,$AU86,VLOOKUP(U86,'Cortes naturales'!$A$45:$C$49,3,9))</f>
        <v>2</v>
      </c>
      <c r="Z86" s="14">
        <v>63.632821730449606</v>
      </c>
      <c r="AA86" s="14">
        <v>0.67142988940920634</v>
      </c>
      <c r="AB86" s="14">
        <v>42.724978457271519</v>
      </c>
      <c r="AC86" s="13">
        <v>2</v>
      </c>
      <c r="AD86" s="13">
        <f t="shared" si="31"/>
        <v>0</v>
      </c>
      <c r="AE86" s="14">
        <f t="shared" si="32"/>
        <v>0.18059270336925692</v>
      </c>
      <c r="AF86" s="14">
        <f t="shared" si="33"/>
        <v>-2.1845441881710448E-2</v>
      </c>
      <c r="AG86" s="13">
        <f t="shared" si="34"/>
        <v>-1.2727768974361595</v>
      </c>
      <c r="AH86" s="13">
        <f>IF($T86=1,$AU86,VLOOKUP(U86,'Cortes naturales'!$A$25:$C$29,3,9))</f>
        <v>2</v>
      </c>
      <c r="AI86" s="13" t="b">
        <f t="shared" si="35"/>
        <v>1</v>
      </c>
      <c r="AJ86" s="13">
        <f t="shared" si="36"/>
        <v>0</v>
      </c>
      <c r="AK86" s="28">
        <v>0.9741882058902549</v>
      </c>
      <c r="AL86" s="28">
        <v>61.990344437321127</v>
      </c>
      <c r="AM86" s="28">
        <v>0.60480785308666896</v>
      </c>
      <c r="AN86" s="13">
        <v>2</v>
      </c>
      <c r="AO86" s="33">
        <f t="shared" si="37"/>
        <v>0</v>
      </c>
      <c r="AP86" s="13">
        <f t="shared" si="47"/>
        <v>60.480785308666896</v>
      </c>
      <c r="AQ86" s="13">
        <f>IFERROR(VLOOKUP(U86,'Cortes naturales'!$E$15:$G$19,3,9),U86)</f>
        <v>3</v>
      </c>
      <c r="AR86" s="28">
        <f t="shared" si="38"/>
        <v>-0.32460375836275901</v>
      </c>
      <c r="AS86" s="13" t="b">
        <f t="shared" si="39"/>
        <v>0</v>
      </c>
      <c r="AT86" s="13">
        <f t="shared" si="48"/>
        <v>0</v>
      </c>
      <c r="AU86" s="13">
        <v>2</v>
      </c>
      <c r="AV86">
        <f t="shared" si="40"/>
        <v>0</v>
      </c>
      <c r="AW86" s="13">
        <v>0</v>
      </c>
      <c r="AX86" s="13">
        <v>0</v>
      </c>
      <c r="AY86" s="13">
        <v>0</v>
      </c>
      <c r="AZ86" s="13">
        <v>0</v>
      </c>
      <c r="BA86">
        <v>0</v>
      </c>
      <c r="BB86" t="s">
        <v>2838</v>
      </c>
      <c r="BC86">
        <v>6</v>
      </c>
      <c r="BD86" s="184" t="s">
        <v>2917</v>
      </c>
      <c r="BE86">
        <v>1</v>
      </c>
      <c r="BF86" s="232" t="s">
        <v>2846</v>
      </c>
      <c r="BG86" s="232" t="s">
        <v>2846</v>
      </c>
      <c r="BH86" s="253">
        <v>9.6</v>
      </c>
      <c r="BI86" s="253">
        <v>3.9338682227084854</v>
      </c>
      <c r="BJ86" s="25">
        <v>1.1232006539646606</v>
      </c>
      <c r="BK86" t="s">
        <v>381</v>
      </c>
      <c r="BL86">
        <v>0</v>
      </c>
      <c r="BM86" t="s">
        <v>377</v>
      </c>
      <c r="BN86" s="322">
        <v>32265.329174999999</v>
      </c>
      <c r="BO86" s="322">
        <v>13895.713247</v>
      </c>
      <c r="BP86" s="10">
        <v>22884</v>
      </c>
      <c r="BQ86" s="254">
        <f t="shared" si="41"/>
        <v>1.4099514584425799</v>
      </c>
      <c r="BR86" s="254">
        <f t="shared" si="42"/>
        <v>0.60722396639573495</v>
      </c>
      <c r="BS86" s="25">
        <v>72.721075714051622</v>
      </c>
      <c r="BT86" s="25">
        <v>84.239107771951282</v>
      </c>
      <c r="BU86" s="25">
        <v>69.738500554763036</v>
      </c>
      <c r="BV86" s="25">
        <v>86.152858812340426</v>
      </c>
      <c r="BW86" s="25">
        <v>64.332802084137711</v>
      </c>
      <c r="BX86" s="25">
        <v>78.212885713276592</v>
      </c>
      <c r="BY86" s="25">
        <v>66.100900979994904</v>
      </c>
      <c r="BZ86">
        <v>94</v>
      </c>
      <c r="CA86">
        <v>0</v>
      </c>
      <c r="CB86">
        <v>7</v>
      </c>
      <c r="CC86">
        <v>7512.9822510000004</v>
      </c>
      <c r="CD86" s="10">
        <v>3308.7906969999999</v>
      </c>
      <c r="CE86" s="255">
        <v>0.44040975826338336</v>
      </c>
      <c r="CF86" t="str">
        <f>IFERROR(VLOOKUP(CE86,'Rangos amb etnico'!$A$2:$C$6,3,9),"N.D.")</f>
        <v>31% - 50%</v>
      </c>
      <c r="CG86" s="256">
        <v>9.6265194408964513E-5</v>
      </c>
      <c r="CH86" s="232">
        <v>0</v>
      </c>
      <c r="CI86" s="311">
        <f t="shared" si="49"/>
        <v>0</v>
      </c>
      <c r="CJ86" s="232">
        <f>IFERROR(VLOOKUP(CI86,'Rangos amb etnico'!$A$2:$C$6,3,9),"N.D.")</f>
        <v>0</v>
      </c>
      <c r="CK86" s="311">
        <f t="shared" si="50"/>
        <v>0</v>
      </c>
      <c r="CL86" s="10">
        <v>0</v>
      </c>
      <c r="CM86" s="255">
        <f t="shared" si="51"/>
        <v>0</v>
      </c>
      <c r="CN86" s="232">
        <f>IFERROR(VLOOKUP(CM86,'Rangos amb etnico'!$A$2:$C$6,3,9),"N.D.")</f>
        <v>0</v>
      </c>
      <c r="CO86" s="311">
        <f t="shared" si="52"/>
        <v>0</v>
      </c>
      <c r="CP86">
        <v>0.96768716875419925</v>
      </c>
      <c r="CQ86" t="s">
        <v>2864</v>
      </c>
      <c r="CR86">
        <f t="shared" si="43"/>
        <v>4</v>
      </c>
      <c r="CS86" t="str">
        <f t="shared" si="53"/>
        <v>Candidato</v>
      </c>
      <c r="CT86">
        <v>0</v>
      </c>
      <c r="CU86">
        <v>0</v>
      </c>
      <c r="CV86" s="25">
        <v>60.518436431884773</v>
      </c>
      <c r="CW86" s="25">
        <v>45.215473175048828</v>
      </c>
      <c r="CX86" s="25">
        <v>52.098716735839837</v>
      </c>
      <c r="CY86" s="25">
        <v>86.555526733398438</v>
      </c>
      <c r="CZ86" s="25">
        <v>73.785598754882813</v>
      </c>
      <c r="DA86" s="25">
        <v>44.445930480957031</v>
      </c>
      <c r="DB86" s="25">
        <v>61.009372711181641</v>
      </c>
      <c r="DC86">
        <v>123</v>
      </c>
      <c r="DD86" s="253" t="s">
        <v>380</v>
      </c>
    </row>
    <row r="87" spans="1:108" hidden="1">
      <c r="A87" s="13">
        <v>73275</v>
      </c>
      <c r="B87" s="13" t="s">
        <v>631</v>
      </c>
      <c r="C87" s="13" t="s">
        <v>595</v>
      </c>
      <c r="D87" s="13" t="s">
        <v>596</v>
      </c>
      <c r="E87" s="13" t="s">
        <v>632</v>
      </c>
      <c r="F87" s="14">
        <v>50.209099999999999</v>
      </c>
      <c r="G87" s="13">
        <v>53.74</v>
      </c>
      <c r="H87" s="13">
        <v>37.53</v>
      </c>
      <c r="I87" s="13">
        <v>72.06</v>
      </c>
      <c r="J87" s="14">
        <v>60.417220869435859</v>
      </c>
      <c r="K87" s="14">
        <v>64.300297952061683</v>
      </c>
      <c r="L87" s="14">
        <v>62.449922161887606</v>
      </c>
      <c r="M87" s="14">
        <v>54.264200000000002</v>
      </c>
      <c r="N87" s="14">
        <f t="shared" si="27"/>
        <v>53.384775000000005</v>
      </c>
      <c r="O87" s="14">
        <f t="shared" si="28"/>
        <v>60.357910245846284</v>
      </c>
      <c r="P87" s="14">
        <f t="shared" si="44"/>
        <v>56.871342622923144</v>
      </c>
      <c r="Q87" s="14">
        <v>38.1845389365362</v>
      </c>
      <c r="R87" s="17">
        <f t="shared" si="29"/>
        <v>61.8154610634638</v>
      </c>
      <c r="S87" s="14">
        <f t="shared" si="45"/>
        <v>0.65633914957117423</v>
      </c>
      <c r="T87" s="13">
        <v>0</v>
      </c>
      <c r="U87" s="13">
        <f t="shared" si="46"/>
        <v>37.326888652100251</v>
      </c>
      <c r="V87" s="13">
        <f>IF($T87=1,$AU87,(VLOOKUP(U87,'Cortes naturales'!$A$35:$C$39,3,9)))</f>
        <v>3</v>
      </c>
      <c r="W87" s="13">
        <v>3</v>
      </c>
      <c r="X87" s="14" t="b">
        <f t="shared" si="30"/>
        <v>1</v>
      </c>
      <c r="Y87" s="17">
        <f>IF($T87=1,$AU87,VLOOKUP(U87,'Cortes naturales'!$A$45:$C$49,3,9))</f>
        <v>2</v>
      </c>
      <c r="Z87" s="14">
        <v>52.970762364457329</v>
      </c>
      <c r="AA87" s="14">
        <v>0.67252282852683465</v>
      </c>
      <c r="AB87" s="14">
        <v>35.624046934567644</v>
      </c>
      <c r="AC87" s="13">
        <v>2</v>
      </c>
      <c r="AD87" s="13">
        <f t="shared" si="31"/>
        <v>0</v>
      </c>
      <c r="AE87" s="14">
        <f t="shared" si="32"/>
        <v>3.9005802584658156</v>
      </c>
      <c r="AF87" s="14">
        <f t="shared" si="33"/>
        <v>-1.6183678955660419E-2</v>
      </c>
      <c r="AG87" s="13">
        <f t="shared" si="34"/>
        <v>1.7028417175326069</v>
      </c>
      <c r="AH87" s="13">
        <f>IF($T87=1,$AU87,VLOOKUP(U87,'Cortes naturales'!$A$25:$C$29,3,9))</f>
        <v>2</v>
      </c>
      <c r="AI87" s="13" t="b">
        <f t="shared" si="35"/>
        <v>1</v>
      </c>
      <c r="AJ87" s="13">
        <f t="shared" si="36"/>
        <v>0</v>
      </c>
      <c r="AK87" s="28">
        <v>0.9741882058902549</v>
      </c>
      <c r="AL87" s="28">
        <v>51.603491952469724</v>
      </c>
      <c r="AM87" s="28">
        <v>0.47487927727571821</v>
      </c>
      <c r="AN87" s="13">
        <v>3</v>
      </c>
      <c r="AO87" s="33">
        <f t="shared" si="37"/>
        <v>1</v>
      </c>
      <c r="AP87" s="13">
        <f t="shared" si="47"/>
        <v>47.487927727571822</v>
      </c>
      <c r="AQ87" s="13">
        <f>IFERROR(VLOOKUP(U87,'Cortes naturales'!$E$15:$G$19,3,9),U87)</f>
        <v>3</v>
      </c>
      <c r="AR87" s="28">
        <f t="shared" si="38"/>
        <v>-0.31784905631908067</v>
      </c>
      <c r="AS87" s="13" t="b">
        <f t="shared" si="39"/>
        <v>0</v>
      </c>
      <c r="AT87" s="13" t="str">
        <f t="shared" si="48"/>
        <v>Cambio en corte</v>
      </c>
      <c r="AU87" s="13">
        <v>2</v>
      </c>
      <c r="AV87">
        <f t="shared" si="40"/>
        <v>0</v>
      </c>
      <c r="AW87" s="13">
        <v>0</v>
      </c>
      <c r="AX87" s="13">
        <v>0</v>
      </c>
      <c r="AY87" s="13">
        <v>0</v>
      </c>
      <c r="AZ87" s="13">
        <v>0</v>
      </c>
      <c r="BA87">
        <v>0</v>
      </c>
      <c r="BB87" t="s">
        <v>2839</v>
      </c>
      <c r="BC87">
        <v>5</v>
      </c>
      <c r="BD87" s="184" t="s">
        <v>2917</v>
      </c>
      <c r="BE87">
        <v>1</v>
      </c>
      <c r="BF87" s="232" t="s">
        <v>2846</v>
      </c>
      <c r="BG87" s="232" t="s">
        <v>2846</v>
      </c>
      <c r="BH87" s="253">
        <v>17.399999999999999</v>
      </c>
      <c r="BI87" s="253">
        <v>7.0416346259474896</v>
      </c>
      <c r="BJ87" s="25">
        <v>11.908084384527303</v>
      </c>
      <c r="BK87" t="s">
        <v>377</v>
      </c>
      <c r="BL87">
        <v>7.4096942231760483</v>
      </c>
      <c r="BM87" t="s">
        <v>379</v>
      </c>
      <c r="BN87" s="322">
        <v>38977.417670000003</v>
      </c>
      <c r="BO87" s="322">
        <v>14790.833445</v>
      </c>
      <c r="BP87" s="10">
        <v>29056</v>
      </c>
      <c r="BQ87" s="254">
        <f t="shared" si="41"/>
        <v>1.3414584825853526</v>
      </c>
      <c r="BR87" s="254">
        <f t="shared" si="42"/>
        <v>0.50904575457736789</v>
      </c>
      <c r="BS87" s="25">
        <v>64.044450967482447</v>
      </c>
      <c r="BT87" s="25">
        <v>76.826638722466967</v>
      </c>
      <c r="BU87" s="25">
        <v>61.206666666666671</v>
      </c>
      <c r="BV87" s="25">
        <v>73.17955190295659</v>
      </c>
      <c r="BW87" s="25">
        <v>62.182813602912191</v>
      </c>
      <c r="BX87" s="25">
        <v>68.814327064893178</v>
      </c>
      <c r="BY87" s="25">
        <v>64.678337594935428</v>
      </c>
      <c r="BZ87">
        <v>55</v>
      </c>
      <c r="CA87">
        <v>0</v>
      </c>
      <c r="CB87">
        <v>6</v>
      </c>
      <c r="CC87">
        <v>9674.4339880000007</v>
      </c>
      <c r="CD87" s="10">
        <v>315.145127</v>
      </c>
      <c r="CE87" s="255">
        <v>3.2575045464251502E-2</v>
      </c>
      <c r="CF87" t="str">
        <f>IFERROR(VLOOKUP(CE87,'Rangos amb etnico'!$A$2:$C$6,3,9),"N.D.")</f>
        <v>0,1% - 30%</v>
      </c>
      <c r="CG87" s="256">
        <v>9.1687597360567697E-6</v>
      </c>
      <c r="CH87" s="232">
        <v>0</v>
      </c>
      <c r="CI87" s="311">
        <f t="shared" si="49"/>
        <v>0</v>
      </c>
      <c r="CJ87" s="232">
        <f>IFERROR(VLOOKUP(CI87,'Rangos amb etnico'!$A$2:$C$6,3,9),"N.D.")</f>
        <v>0</v>
      </c>
      <c r="CK87" s="311">
        <f t="shared" si="50"/>
        <v>0</v>
      </c>
      <c r="CL87" s="10">
        <v>0</v>
      </c>
      <c r="CM87" s="255">
        <f t="shared" si="51"/>
        <v>0</v>
      </c>
      <c r="CN87" s="232">
        <f>IFERROR(VLOOKUP(CM87,'Rangos amb etnico'!$A$2:$C$6,3,9),"N.D.")</f>
        <v>0</v>
      </c>
      <c r="CO87" s="311">
        <f t="shared" si="52"/>
        <v>0</v>
      </c>
      <c r="CP87">
        <v>0.87400783834694784</v>
      </c>
      <c r="CQ87" t="s">
        <v>2864</v>
      </c>
      <c r="CR87">
        <f t="shared" si="43"/>
        <v>3</v>
      </c>
      <c r="CS87" t="str">
        <f t="shared" si="53"/>
        <v>Candidato</v>
      </c>
      <c r="CT87">
        <v>0</v>
      </c>
      <c r="CU87">
        <v>0</v>
      </c>
      <c r="CV87" s="25">
        <v>43.201625823974609</v>
      </c>
      <c r="CW87" s="25">
        <v>36.164710998535163</v>
      </c>
      <c r="CX87" s="25">
        <v>48.7044677734375</v>
      </c>
      <c r="CY87" s="25">
        <v>62.040706634521477</v>
      </c>
      <c r="CZ87" s="25">
        <v>35.566753387451172</v>
      </c>
      <c r="DA87" s="25">
        <v>20.236551284790039</v>
      </c>
      <c r="DB87" s="25">
        <v>56.496578216552727</v>
      </c>
      <c r="DC87">
        <v>329</v>
      </c>
      <c r="DD87" s="253" t="s">
        <v>380</v>
      </c>
    </row>
    <row r="88" spans="1:108" hidden="1">
      <c r="A88" s="13">
        <v>8638</v>
      </c>
      <c r="B88" s="13" t="s">
        <v>633</v>
      </c>
      <c r="C88" s="13" t="s">
        <v>442</v>
      </c>
      <c r="D88" s="13" t="s">
        <v>443</v>
      </c>
      <c r="E88" s="13" t="s">
        <v>634</v>
      </c>
      <c r="F88" s="14">
        <v>49.290966666666698</v>
      </c>
      <c r="G88" s="13">
        <v>52.26</v>
      </c>
      <c r="H88" s="13">
        <v>50.47</v>
      </c>
      <c r="I88" s="13">
        <v>53.44</v>
      </c>
      <c r="J88" s="14">
        <v>66.285467255663235</v>
      </c>
      <c r="K88" s="14">
        <v>62.37442106981878</v>
      </c>
      <c r="L88" s="14">
        <v>72.821740479234663</v>
      </c>
      <c r="M88" s="14">
        <v>69.302999999999997</v>
      </c>
      <c r="N88" s="14">
        <f t="shared" si="27"/>
        <v>51.365241666666677</v>
      </c>
      <c r="O88" s="14">
        <f t="shared" si="28"/>
        <v>67.696157201179176</v>
      </c>
      <c r="P88" s="14">
        <f t="shared" si="44"/>
        <v>59.530699433922926</v>
      </c>
      <c r="Q88" s="14">
        <v>37.875964661620941</v>
      </c>
      <c r="R88" s="17">
        <f t="shared" si="29"/>
        <v>62.124035338379059</v>
      </c>
      <c r="S88" s="14">
        <f t="shared" si="45"/>
        <v>0.65911631804541149</v>
      </c>
      <c r="T88" s="13">
        <v>0</v>
      </c>
      <c r="U88" s="13">
        <f t="shared" si="46"/>
        <v>39.237655421555338</v>
      </c>
      <c r="V88" s="13">
        <f>IF($T88=1,$AU88,(VLOOKUP(U88,'Cortes naturales'!$A$35:$C$39,3,9)))</f>
        <v>2</v>
      </c>
      <c r="W88" s="13">
        <v>2</v>
      </c>
      <c r="X88" s="14" t="b">
        <f t="shared" si="30"/>
        <v>1</v>
      </c>
      <c r="Y88" s="17">
        <f>IF($T88=1,$AU88,VLOOKUP(U88,'Cortes naturales'!$A$45:$C$49,3,9))</f>
        <v>2</v>
      </c>
      <c r="Z88" s="14">
        <v>56.460370021996255</v>
      </c>
      <c r="AA88" s="14">
        <v>0.67248314773841367</v>
      </c>
      <c r="AB88" s="14">
        <v>37.968647354867606</v>
      </c>
      <c r="AC88" s="13">
        <v>2</v>
      </c>
      <c r="AD88" s="13">
        <f t="shared" si="31"/>
        <v>0</v>
      </c>
      <c r="AE88" s="14">
        <f t="shared" si="32"/>
        <v>3.0703294119266715</v>
      </c>
      <c r="AF88" s="14">
        <f t="shared" si="33"/>
        <v>-1.336682969300218E-2</v>
      </c>
      <c r="AG88" s="13">
        <f t="shared" si="34"/>
        <v>1.2690080666877321</v>
      </c>
      <c r="AH88" s="13">
        <f>IF($T88=1,$AU88,VLOOKUP(U88,'Cortes naturales'!$A$25:$C$29,3,9))</f>
        <v>2</v>
      </c>
      <c r="AI88" s="13" t="b">
        <f t="shared" si="35"/>
        <v>1</v>
      </c>
      <c r="AJ88" s="13">
        <f t="shared" si="36"/>
        <v>0</v>
      </c>
      <c r="AK88" s="28">
        <v>0.9741882058902549</v>
      </c>
      <c r="AL88" s="28">
        <v>55.003026575628461</v>
      </c>
      <c r="AM88" s="28">
        <v>0.51740387196416882</v>
      </c>
      <c r="AN88" s="13">
        <v>2</v>
      </c>
      <c r="AO88" s="33">
        <f t="shared" si="37"/>
        <v>0</v>
      </c>
      <c r="AP88" s="13">
        <f t="shared" si="47"/>
        <v>51.740387196416883</v>
      </c>
      <c r="AQ88" s="13">
        <f>IFERROR(VLOOKUP(U88,'Cortes naturales'!$E$15:$G$19,3,9),U88)</f>
        <v>3</v>
      </c>
      <c r="AR88" s="28">
        <f t="shared" si="38"/>
        <v>-0.31507188784484341</v>
      </c>
      <c r="AS88" s="13" t="b">
        <f t="shared" si="39"/>
        <v>0</v>
      </c>
      <c r="AT88" s="13">
        <f t="shared" si="48"/>
        <v>0</v>
      </c>
      <c r="AU88" s="13">
        <v>3</v>
      </c>
      <c r="AV88">
        <f t="shared" si="40"/>
        <v>1</v>
      </c>
      <c r="AW88" s="13">
        <v>0</v>
      </c>
      <c r="AX88" s="13">
        <v>1</v>
      </c>
      <c r="AY88" s="13">
        <v>0</v>
      </c>
      <c r="AZ88" s="13">
        <v>0</v>
      </c>
      <c r="BA88">
        <v>0</v>
      </c>
      <c r="BB88" t="s">
        <v>2838</v>
      </c>
      <c r="BC88">
        <v>5</v>
      </c>
      <c r="BD88" s="184" t="s">
        <v>2917</v>
      </c>
      <c r="BE88">
        <v>1</v>
      </c>
      <c r="BF88" s="232" t="s">
        <v>2846</v>
      </c>
      <c r="BG88" s="232" t="s">
        <v>2845</v>
      </c>
      <c r="BH88" s="253">
        <v>36.5</v>
      </c>
      <c r="BI88" s="253">
        <v>18.143103280127434</v>
      </c>
      <c r="BJ88" s="25">
        <v>1.2154679751178381</v>
      </c>
      <c r="BK88" t="s">
        <v>381</v>
      </c>
      <c r="BL88">
        <v>0.6816683425407154</v>
      </c>
      <c r="BM88" t="s">
        <v>383</v>
      </c>
      <c r="BN88" s="322">
        <v>149653.57361799999</v>
      </c>
      <c r="BO88" s="322">
        <v>22456.234280000001</v>
      </c>
      <c r="BP88" s="10">
        <v>103909</v>
      </c>
      <c r="BQ88" s="254">
        <f t="shared" si="41"/>
        <v>1.4402368766709333</v>
      </c>
      <c r="BR88" s="254">
        <f t="shared" si="42"/>
        <v>0.21611442974140835</v>
      </c>
      <c r="BS88" s="25">
        <v>67.271687550688</v>
      </c>
      <c r="BT88" s="25">
        <v>97.282985455875178</v>
      </c>
      <c r="BU88" s="25">
        <v>31.936124515936839</v>
      </c>
      <c r="BV88" s="25">
        <v>92.709092756372982</v>
      </c>
      <c r="BW88" s="25">
        <v>53.856190176264661</v>
      </c>
      <c r="BX88" s="25">
        <v>72.29997256971825</v>
      </c>
      <c r="BY88" s="25">
        <v>52.713094218475213</v>
      </c>
      <c r="BZ88">
        <v>77</v>
      </c>
      <c r="CA88">
        <v>1</v>
      </c>
      <c r="CB88">
        <v>6</v>
      </c>
      <c r="CC88">
        <v>39557.894090000002</v>
      </c>
      <c r="CD88" s="10">
        <v>456.14365700000002</v>
      </c>
      <c r="CE88" s="255">
        <v>1.1531039947733477E-2</v>
      </c>
      <c r="CF88" t="str">
        <f>IFERROR(VLOOKUP(CE88,'Rangos amb etnico'!$A$2:$C$6,3,9),"N.D.")</f>
        <v>0,1% - 30%</v>
      </c>
      <c r="CG88" s="256">
        <v>1.3270938491012395E-5</v>
      </c>
      <c r="CH88" s="232">
        <v>0</v>
      </c>
      <c r="CI88" s="311">
        <f t="shared" si="49"/>
        <v>0</v>
      </c>
      <c r="CJ88" s="232">
        <f>IFERROR(VLOOKUP(CI88,'Rangos amb etnico'!$A$2:$C$6,3,9),"N.D.")</f>
        <v>0</v>
      </c>
      <c r="CK88" s="311">
        <f t="shared" si="50"/>
        <v>0</v>
      </c>
      <c r="CL88" s="10">
        <v>0</v>
      </c>
      <c r="CM88" s="255">
        <f t="shared" si="51"/>
        <v>0</v>
      </c>
      <c r="CN88" s="232">
        <f>IFERROR(VLOOKUP(CM88,'Rangos amb etnico'!$A$2:$C$6,3,9),"N.D.")</f>
        <v>0</v>
      </c>
      <c r="CO88" s="311">
        <f t="shared" si="52"/>
        <v>0</v>
      </c>
      <c r="CP88">
        <v>0.92316979614706174</v>
      </c>
      <c r="CQ88" t="s">
        <v>2864</v>
      </c>
      <c r="CR88">
        <f t="shared" si="43"/>
        <v>2</v>
      </c>
      <c r="CS88" t="str">
        <f t="shared" si="53"/>
        <v>No es Candidato</v>
      </c>
      <c r="CT88">
        <v>0</v>
      </c>
      <c r="CU88">
        <v>0</v>
      </c>
      <c r="CV88" s="25">
        <v>58.400489807128913</v>
      </c>
      <c r="CW88" s="25">
        <v>47.664131164550781</v>
      </c>
      <c r="CX88" s="25">
        <v>68.040008544921875</v>
      </c>
      <c r="CY88" s="25">
        <v>73.496559143066406</v>
      </c>
      <c r="CZ88" s="25">
        <v>46.306709289550781</v>
      </c>
      <c r="DA88" s="25">
        <v>58.988990783691413</v>
      </c>
      <c r="DB88" s="25">
        <v>55.906536102294922</v>
      </c>
      <c r="DC88">
        <v>1824</v>
      </c>
      <c r="DD88" s="253" t="s">
        <v>380</v>
      </c>
    </row>
    <row r="89" spans="1:108" hidden="1">
      <c r="A89" s="13">
        <v>8675</v>
      </c>
      <c r="B89" s="13" t="s">
        <v>635</v>
      </c>
      <c r="C89" s="13" t="s">
        <v>442</v>
      </c>
      <c r="D89" s="13" t="s">
        <v>443</v>
      </c>
      <c r="E89" s="13" t="s">
        <v>636</v>
      </c>
      <c r="F89" s="14">
        <v>49.135933333333298</v>
      </c>
      <c r="G89" s="13">
        <v>59.69</v>
      </c>
      <c r="H89" s="13">
        <v>9.11</v>
      </c>
      <c r="I89" s="13">
        <v>41.6</v>
      </c>
      <c r="J89" s="14">
        <v>49.396139135048344</v>
      </c>
      <c r="K89" s="14">
        <v>55.797770186953073</v>
      </c>
      <c r="L89" s="14">
        <v>50.712338163318229</v>
      </c>
      <c r="M89" s="14">
        <v>59.824599999999997</v>
      </c>
      <c r="N89" s="14">
        <f t="shared" si="27"/>
        <v>39.883983333333326</v>
      </c>
      <c r="O89" s="14">
        <f t="shared" si="28"/>
        <v>53.932711871329914</v>
      </c>
      <c r="P89" s="14">
        <f t="shared" si="44"/>
        <v>46.908347602331617</v>
      </c>
      <c r="Q89" s="14">
        <v>37.504852089705103</v>
      </c>
      <c r="R89" s="17">
        <f t="shared" si="29"/>
        <v>62.495147910294897</v>
      </c>
      <c r="S89" s="14">
        <f t="shared" si="45"/>
        <v>0.66245633119265412</v>
      </c>
      <c r="T89" s="13">
        <v>0</v>
      </c>
      <c r="U89" s="13">
        <f t="shared" si="46"/>
        <v>31.074731854950336</v>
      </c>
      <c r="V89" s="13">
        <f>IF($T89=1,$AU89,(VLOOKUP(U89,'Cortes naturales'!$A$35:$C$39,3,9)))</f>
        <v>3</v>
      </c>
      <c r="W89" s="13">
        <v>3</v>
      </c>
      <c r="X89" s="14" t="b">
        <f t="shared" si="30"/>
        <v>1</v>
      </c>
      <c r="Y89" s="17">
        <f>IF($T89=1,$AU89,VLOOKUP(U89,'Cortes naturales'!$A$45:$C$49,3,9))</f>
        <v>3</v>
      </c>
      <c r="Z89" s="14">
        <v>45.84136280729782</v>
      </c>
      <c r="AA89" s="14">
        <v>0.67086329213643647</v>
      </c>
      <c r="AB89" s="14">
        <v>30.753287568924613</v>
      </c>
      <c r="AC89" s="13">
        <v>3</v>
      </c>
      <c r="AD89" s="13">
        <f t="shared" si="31"/>
        <v>0</v>
      </c>
      <c r="AE89" s="14">
        <f t="shared" si="32"/>
        <v>1.0669847950337967</v>
      </c>
      <c r="AF89" s="14">
        <f t="shared" si="33"/>
        <v>-8.4069609437823489E-3</v>
      </c>
      <c r="AG89" s="13">
        <f t="shared" si="34"/>
        <v>0.32144428602572361</v>
      </c>
      <c r="AH89" s="13">
        <f>IF($T89=1,$AU89,VLOOKUP(U89,'Cortes naturales'!$A$25:$C$29,3,9))</f>
        <v>3</v>
      </c>
      <c r="AI89" s="13" t="b">
        <f t="shared" si="35"/>
        <v>1</v>
      </c>
      <c r="AJ89" s="13">
        <f t="shared" si="36"/>
        <v>0</v>
      </c>
      <c r="AK89" s="28">
        <v>0.9741882058902549</v>
      </c>
      <c r="AL89" s="28">
        <v>44.658114988805721</v>
      </c>
      <c r="AM89" s="28">
        <v>0.38799993257768295</v>
      </c>
      <c r="AN89" s="13">
        <v>3</v>
      </c>
      <c r="AO89" s="33">
        <f t="shared" si="37"/>
        <v>0</v>
      </c>
      <c r="AP89" s="13">
        <f t="shared" si="47"/>
        <v>38.799993257768293</v>
      </c>
      <c r="AQ89" s="13">
        <f>IFERROR(VLOOKUP(U89,'Cortes naturales'!$E$15:$G$19,3,9),U89)</f>
        <v>4</v>
      </c>
      <c r="AR89" s="28">
        <f t="shared" si="38"/>
        <v>-0.31173187469760077</v>
      </c>
      <c r="AS89" s="13" t="b">
        <f t="shared" si="39"/>
        <v>0</v>
      </c>
      <c r="AT89" s="13">
        <f t="shared" si="48"/>
        <v>0</v>
      </c>
      <c r="AU89" s="13">
        <v>3</v>
      </c>
      <c r="AV89">
        <f t="shared" si="40"/>
        <v>0</v>
      </c>
      <c r="AW89" s="13">
        <v>0</v>
      </c>
      <c r="AX89" s="13">
        <v>0</v>
      </c>
      <c r="AY89" s="13">
        <v>0</v>
      </c>
      <c r="AZ89" s="13">
        <v>0</v>
      </c>
      <c r="BA89">
        <v>0</v>
      </c>
      <c r="BB89" t="s">
        <v>2839</v>
      </c>
      <c r="BC89">
        <v>6</v>
      </c>
      <c r="BD89" t="s">
        <v>2919</v>
      </c>
      <c r="BE89">
        <v>1</v>
      </c>
      <c r="BF89" s="232" t="s">
        <v>2846</v>
      </c>
      <c r="BG89" s="232" t="s">
        <v>2846</v>
      </c>
      <c r="BH89" s="253">
        <v>47.2</v>
      </c>
      <c r="BI89" s="253">
        <v>33.090909090909093</v>
      </c>
      <c r="BJ89" s="25">
        <v>0</v>
      </c>
      <c r="BK89" t="s">
        <v>381</v>
      </c>
      <c r="BL89">
        <v>0.95714775737493363</v>
      </c>
      <c r="BM89" t="s">
        <v>383</v>
      </c>
      <c r="BN89" s="322">
        <v>29051.598443999999</v>
      </c>
      <c r="BO89" s="322">
        <v>754.13571899999999</v>
      </c>
      <c r="BP89" s="10">
        <v>19147</v>
      </c>
      <c r="BQ89" s="254">
        <f t="shared" si="41"/>
        <v>1.5172924449783256</v>
      </c>
      <c r="BR89" s="254">
        <f t="shared" si="42"/>
        <v>3.9386625528803468E-2</v>
      </c>
      <c r="BS89" s="25">
        <v>49.459963778838528</v>
      </c>
      <c r="BT89" s="25">
        <v>84.123652567852233</v>
      </c>
      <c r="BU89" s="25">
        <v>50.449948816378743</v>
      </c>
      <c r="BV89" s="25">
        <v>96.218798778910084</v>
      </c>
      <c r="BW89" s="25">
        <v>48.304056614208299</v>
      </c>
      <c r="BX89" s="25">
        <v>70.063090985494895</v>
      </c>
      <c r="BY89" s="25">
        <v>49.992338268327408</v>
      </c>
      <c r="BZ89">
        <v>77</v>
      </c>
      <c r="CA89">
        <v>0</v>
      </c>
      <c r="CB89">
        <v>7</v>
      </c>
      <c r="CC89">
        <v>5731.196293</v>
      </c>
      <c r="CD89" s="10">
        <v>16.251013</v>
      </c>
      <c r="CE89" s="255">
        <v>2.8355359281357633E-3</v>
      </c>
      <c r="CF89" t="str">
        <f>IFERROR(VLOOKUP(CE89,'Rangos amb etnico'!$A$2:$C$6,3,9),"N.D.")</f>
        <v>0,1% - 30%</v>
      </c>
      <c r="CG89" s="256">
        <v>4.7280322904861266E-7</v>
      </c>
      <c r="CH89" s="232">
        <v>0</v>
      </c>
      <c r="CI89" s="311">
        <f t="shared" si="49"/>
        <v>0</v>
      </c>
      <c r="CJ89" s="232">
        <f>IFERROR(VLOOKUP(CI89,'Rangos amb etnico'!$A$2:$C$6,3,9),"N.D.")</f>
        <v>0</v>
      </c>
      <c r="CK89" s="311">
        <f t="shared" si="50"/>
        <v>0</v>
      </c>
      <c r="CL89" s="10">
        <v>0</v>
      </c>
      <c r="CM89" s="255">
        <f t="shared" si="51"/>
        <v>0</v>
      </c>
      <c r="CN89" s="232">
        <f>IFERROR(VLOOKUP(CM89,'Rangos amb etnico'!$A$2:$C$6,3,9),"N.D.")</f>
        <v>0</v>
      </c>
      <c r="CO89" s="311">
        <f t="shared" si="52"/>
        <v>0</v>
      </c>
      <c r="CP89">
        <v>0.94868319843783322</v>
      </c>
      <c r="CQ89" t="s">
        <v>2864</v>
      </c>
      <c r="CR89">
        <f t="shared" si="43"/>
        <v>1</v>
      </c>
      <c r="CS89" t="str">
        <f t="shared" si="53"/>
        <v>No es Candidato</v>
      </c>
      <c r="CT89">
        <v>0</v>
      </c>
      <c r="CU89">
        <v>0</v>
      </c>
      <c r="CV89" s="25">
        <v>54.781818389892578</v>
      </c>
      <c r="CW89" s="25">
        <v>22.4024543762207</v>
      </c>
      <c r="CX89" s="25">
        <v>57.448413848876953</v>
      </c>
      <c r="CY89" s="25">
        <v>66.735176086425781</v>
      </c>
      <c r="CZ89" s="25">
        <v>14.51632881164551</v>
      </c>
      <c r="DA89" s="25">
        <v>96.536537170410156</v>
      </c>
      <c r="DB89" s="25">
        <v>71.051994323730469</v>
      </c>
      <c r="DC89">
        <v>7160</v>
      </c>
      <c r="DD89" s="253" t="s">
        <v>380</v>
      </c>
    </row>
    <row r="90" spans="1:108" hidden="1">
      <c r="A90" s="13">
        <v>47001</v>
      </c>
      <c r="B90" s="13" t="s">
        <v>637</v>
      </c>
      <c r="C90" s="13" t="s">
        <v>638</v>
      </c>
      <c r="D90" s="13" t="s">
        <v>639</v>
      </c>
      <c r="E90" s="13" t="s">
        <v>640</v>
      </c>
      <c r="F90" s="14">
        <v>67.262533333333295</v>
      </c>
      <c r="G90" s="13">
        <v>78.63</v>
      </c>
      <c r="H90" s="13">
        <v>85.54</v>
      </c>
      <c r="I90" s="13">
        <v>85.04</v>
      </c>
      <c r="J90" s="14">
        <v>51.757874808827438</v>
      </c>
      <c r="K90" s="14">
        <v>52.848860103469285</v>
      </c>
      <c r="L90" s="14">
        <v>66.200011977547007</v>
      </c>
      <c r="M90" s="14">
        <v>61.943800000000003</v>
      </c>
      <c r="N90" s="14">
        <f t="shared" si="27"/>
        <v>79.118133333333333</v>
      </c>
      <c r="O90" s="14">
        <f t="shared" si="28"/>
        <v>58.187636722460937</v>
      </c>
      <c r="P90" s="14">
        <f t="shared" si="44"/>
        <v>68.652885027897128</v>
      </c>
      <c r="Q90" s="14">
        <v>38.195517375535658</v>
      </c>
      <c r="R90" s="17">
        <f t="shared" si="29"/>
        <v>61.804482624464342</v>
      </c>
      <c r="S90" s="14">
        <f t="shared" si="45"/>
        <v>0.65624034362017902</v>
      </c>
      <c r="T90" s="13">
        <v>0</v>
      </c>
      <c r="U90" s="13">
        <f t="shared" si="46"/>
        <v>45.052792861223857</v>
      </c>
      <c r="V90" s="13">
        <f>IF($T90=1,$AU90,(VLOOKUP(U90,'Cortes naturales'!$A$35:$C$39,3,9)))</f>
        <v>2</v>
      </c>
      <c r="W90" s="13">
        <v>2</v>
      </c>
      <c r="X90" s="14" t="b">
        <f t="shared" si="30"/>
        <v>1</v>
      </c>
      <c r="Y90" s="17">
        <f>IF($T90=1,$AU90,VLOOKUP(U90,'Cortes naturales'!$A$45:$C$49,3,9))</f>
        <v>2</v>
      </c>
      <c r="Z90" s="14">
        <v>64.167353359694943</v>
      </c>
      <c r="AA90" s="14">
        <v>0.66735072507972348</v>
      </c>
      <c r="AB90" s="14">
        <v>42.822129791039252</v>
      </c>
      <c r="AC90" s="13">
        <v>2</v>
      </c>
      <c r="AD90" s="13">
        <f t="shared" si="31"/>
        <v>0</v>
      </c>
      <c r="AE90" s="14">
        <f t="shared" si="32"/>
        <v>4.4855316682021851</v>
      </c>
      <c r="AF90" s="14">
        <f t="shared" si="33"/>
        <v>-1.1110381459544461E-2</v>
      </c>
      <c r="AG90" s="13">
        <f t="shared" si="34"/>
        <v>2.2306630701846046</v>
      </c>
      <c r="AH90" s="13">
        <f>IF($T90=1,$AU90,VLOOKUP(U90,'Cortes naturales'!$A$25:$C$29,3,9))</f>
        <v>2</v>
      </c>
      <c r="AI90" s="13" t="b">
        <f t="shared" si="35"/>
        <v>1</v>
      </c>
      <c r="AJ90" s="13">
        <f t="shared" si="36"/>
        <v>0</v>
      </c>
      <c r="AK90" s="28">
        <v>0.9741882058902549</v>
      </c>
      <c r="AL90" s="28">
        <v>62.511078846207234</v>
      </c>
      <c r="AM90" s="28">
        <v>0.6113216916360279</v>
      </c>
      <c r="AN90" s="13">
        <v>2</v>
      </c>
      <c r="AO90" s="33">
        <f t="shared" si="37"/>
        <v>0</v>
      </c>
      <c r="AP90" s="13">
        <f t="shared" si="47"/>
        <v>61.132169163602789</v>
      </c>
      <c r="AQ90" s="13">
        <f>IFERROR(VLOOKUP(U90,'Cortes naturales'!$E$15:$G$19,3,9),U90)</f>
        <v>3</v>
      </c>
      <c r="AR90" s="28">
        <f t="shared" si="38"/>
        <v>-0.31794786227007588</v>
      </c>
      <c r="AS90" s="13" t="b">
        <f t="shared" si="39"/>
        <v>0</v>
      </c>
      <c r="AT90" s="13">
        <f t="shared" si="48"/>
        <v>0</v>
      </c>
      <c r="AU90" s="13">
        <v>2</v>
      </c>
      <c r="AV90">
        <f t="shared" si="40"/>
        <v>0</v>
      </c>
      <c r="AW90" s="13">
        <v>1</v>
      </c>
      <c r="AX90" s="13">
        <v>0</v>
      </c>
      <c r="AY90" s="13">
        <v>1</v>
      </c>
      <c r="AZ90" s="13">
        <v>1</v>
      </c>
      <c r="BA90">
        <v>0</v>
      </c>
      <c r="BB90" t="s">
        <v>2838</v>
      </c>
      <c r="BC90">
        <v>1</v>
      </c>
      <c r="BD90" t="s">
        <v>2920</v>
      </c>
      <c r="BE90">
        <v>0</v>
      </c>
      <c r="BF90" s="232" t="s">
        <v>2845</v>
      </c>
      <c r="BG90" s="232" t="s">
        <v>2845</v>
      </c>
      <c r="BH90" s="253">
        <v>24.4</v>
      </c>
      <c r="BI90" s="253">
        <v>14.303404664572756</v>
      </c>
      <c r="BJ90" s="25">
        <v>2.0588235294117645</v>
      </c>
      <c r="BK90" t="s">
        <v>381</v>
      </c>
      <c r="BL90">
        <v>3.6452804389447522</v>
      </c>
      <c r="BM90" t="s">
        <v>383</v>
      </c>
      <c r="BN90" s="322">
        <v>1394491.606219</v>
      </c>
      <c r="BO90" s="322">
        <v>314692.62347200001</v>
      </c>
      <c r="BP90" s="10">
        <v>574486</v>
      </c>
      <c r="BQ90" s="254">
        <f t="shared" si="41"/>
        <v>2.4273726535006945</v>
      </c>
      <c r="BR90" s="254">
        <f t="shared" si="42"/>
        <v>0.54778118783051288</v>
      </c>
      <c r="BS90" s="25">
        <v>75.295228567121995</v>
      </c>
      <c r="BT90" s="25">
        <v>96.092372294104152</v>
      </c>
      <c r="BU90" s="25">
        <v>33.568684471311073</v>
      </c>
      <c r="BV90" s="25">
        <v>73.60693230274849</v>
      </c>
      <c r="BW90" s="25">
        <v>52.55224350116837</v>
      </c>
      <c r="BX90" s="25">
        <v>69.640804408821424</v>
      </c>
      <c r="BY90" s="25">
        <v>56.213688734417559</v>
      </c>
      <c r="BZ90">
        <v>42</v>
      </c>
      <c r="CA90">
        <v>1</v>
      </c>
      <c r="CB90">
        <v>3</v>
      </c>
      <c r="CC90">
        <v>234407.15996600001</v>
      </c>
      <c r="CD90" s="10">
        <v>144490.74546999999</v>
      </c>
      <c r="CE90" s="255">
        <v>0.61640926621421421</v>
      </c>
      <c r="CF90" t="str">
        <f>IFERROR(VLOOKUP(CE90,'Rangos amb etnico'!$A$2:$C$6,3,9),"N.D.")</f>
        <v>51% - 70%</v>
      </c>
      <c r="CG90" s="256">
        <v>4.2037804674611486E-3</v>
      </c>
      <c r="CH90" s="232">
        <v>105176.47387</v>
      </c>
      <c r="CI90" s="311">
        <f t="shared" si="49"/>
        <v>0.44869138760631505</v>
      </c>
      <c r="CJ90" s="232" t="str">
        <f>IFERROR(VLOOKUP(CI90,'Rangos amb etnico'!$A$2:$C$6,3,9),"N.D.")</f>
        <v>31% - 50%</v>
      </c>
      <c r="CK90" s="311">
        <f t="shared" si="50"/>
        <v>4.176194624099505E-3</v>
      </c>
      <c r="CL90" s="10">
        <v>0</v>
      </c>
      <c r="CM90" s="255">
        <f t="shared" si="51"/>
        <v>0</v>
      </c>
      <c r="CN90" s="232">
        <f>IFERROR(VLOOKUP(CM90,'Rangos amb etnico'!$A$2:$C$6,3,9),"N.D.")</f>
        <v>0</v>
      </c>
      <c r="CO90" s="311">
        <f t="shared" si="52"/>
        <v>0</v>
      </c>
      <c r="CP90">
        <v>0.89794488413528017</v>
      </c>
      <c r="CQ90" t="s">
        <v>2864</v>
      </c>
      <c r="CR90">
        <f t="shared" si="43"/>
        <v>3</v>
      </c>
      <c r="CS90" t="str">
        <f t="shared" si="53"/>
        <v>Candidato</v>
      </c>
      <c r="CT90">
        <v>0</v>
      </c>
      <c r="CU90">
        <v>0</v>
      </c>
      <c r="CV90" s="25">
        <v>57.352836608886719</v>
      </c>
      <c r="CW90" s="25">
        <v>64.707046508789063</v>
      </c>
      <c r="CX90" s="25">
        <v>46.881256103515618</v>
      </c>
      <c r="CY90" s="25">
        <v>72.035446166992188</v>
      </c>
      <c r="CZ90" s="25">
        <v>71.500953674316406</v>
      </c>
      <c r="DA90" s="25">
        <v>34.183349609375</v>
      </c>
      <c r="DB90" s="25">
        <v>54.808967590332031</v>
      </c>
      <c r="DC90">
        <v>34824</v>
      </c>
      <c r="DD90" s="253">
        <v>5.1992620210600551</v>
      </c>
    </row>
    <row r="91" spans="1:108" hidden="1">
      <c r="A91" s="13">
        <v>15176</v>
      </c>
      <c r="B91" s="13" t="s">
        <v>641</v>
      </c>
      <c r="C91" s="13" t="s">
        <v>498</v>
      </c>
      <c r="D91" s="13" t="s">
        <v>499</v>
      </c>
      <c r="E91" s="13" t="s">
        <v>642</v>
      </c>
      <c r="F91" s="14">
        <v>87.560500000000005</v>
      </c>
      <c r="G91" s="13">
        <v>90.29</v>
      </c>
      <c r="H91" s="13">
        <v>83.13</v>
      </c>
      <c r="I91" s="13">
        <v>86.02</v>
      </c>
      <c r="J91" s="14">
        <v>62.317694218679229</v>
      </c>
      <c r="K91" s="14">
        <v>60.821459826627262</v>
      </c>
      <c r="L91" s="14">
        <v>68.794346607716435</v>
      </c>
      <c r="M91" s="14">
        <v>67.973600000000005</v>
      </c>
      <c r="N91" s="14">
        <f t="shared" si="27"/>
        <v>86.750124999999997</v>
      </c>
      <c r="O91" s="14">
        <f t="shared" si="28"/>
        <v>64.976775163255724</v>
      </c>
      <c r="P91" s="14">
        <f t="shared" si="44"/>
        <v>75.86345008162786</v>
      </c>
      <c r="Q91" s="14">
        <v>39.208910845947088</v>
      </c>
      <c r="R91" s="17">
        <f t="shared" si="29"/>
        <v>60.791089154052912</v>
      </c>
      <c r="S91" s="14">
        <f t="shared" si="45"/>
        <v>0.64711980238647626</v>
      </c>
      <c r="T91" s="13">
        <v>0</v>
      </c>
      <c r="U91" s="13">
        <f t="shared" si="46"/>
        <v>49.092740825179327</v>
      </c>
      <c r="V91" s="13">
        <f>IF($T91=1,$AU91,(VLOOKUP(U91,'Cortes naturales'!$A$35:$C$39,3,9)))</f>
        <v>2</v>
      </c>
      <c r="W91" s="13">
        <v>2</v>
      </c>
      <c r="X91" s="14" t="b">
        <f t="shared" si="30"/>
        <v>1</v>
      </c>
      <c r="Y91" s="17">
        <f>IF($T91=1,$AU91,VLOOKUP(U91,'Cortes naturales'!$A$45:$C$49,3,9))</f>
        <v>1</v>
      </c>
      <c r="Z91" s="14">
        <v>74.547633632712348</v>
      </c>
      <c r="AA91" s="14">
        <v>0.66518201150507783</v>
      </c>
      <c r="AB91" s="14">
        <v>49.587744892751189</v>
      </c>
      <c r="AC91" s="13">
        <v>1</v>
      </c>
      <c r="AD91" s="13">
        <f t="shared" si="31"/>
        <v>0</v>
      </c>
      <c r="AE91" s="14">
        <f t="shared" si="32"/>
        <v>1.3158164489155126</v>
      </c>
      <c r="AF91" s="14">
        <f t="shared" si="33"/>
        <v>-1.8062209118601569E-2</v>
      </c>
      <c r="AG91" s="13">
        <f t="shared" si="34"/>
        <v>-0.49500406757186255</v>
      </c>
      <c r="AH91" s="13">
        <f>IF($T91=1,$AU91,VLOOKUP(U91,'Cortes naturales'!$A$25:$C$29,3,9))</f>
        <v>1</v>
      </c>
      <c r="AI91" s="13" t="b">
        <f t="shared" si="35"/>
        <v>1</v>
      </c>
      <c r="AJ91" s="13">
        <f t="shared" si="36"/>
        <v>0</v>
      </c>
      <c r="AK91" s="28">
        <v>0.9741882058902549</v>
      </c>
      <c r="AL91" s="28">
        <v>72.623425462016073</v>
      </c>
      <c r="AM91" s="28">
        <v>0.73781648838171654</v>
      </c>
      <c r="AN91" s="13">
        <v>1</v>
      </c>
      <c r="AO91" s="33">
        <f t="shared" si="37"/>
        <v>0</v>
      </c>
      <c r="AP91" s="13">
        <f t="shared" si="47"/>
        <v>73.781648838171648</v>
      </c>
      <c r="AQ91" s="13">
        <f>IFERROR(VLOOKUP(U91,'Cortes naturales'!$E$15:$G$19,3,9),U91)</f>
        <v>2</v>
      </c>
      <c r="AR91" s="28">
        <f t="shared" si="38"/>
        <v>-0.32706840350377864</v>
      </c>
      <c r="AS91" s="13" t="b">
        <f t="shared" si="39"/>
        <v>0</v>
      </c>
      <c r="AT91" s="13">
        <f t="shared" si="48"/>
        <v>0</v>
      </c>
      <c r="AU91" s="13">
        <v>1</v>
      </c>
      <c r="AV91">
        <f t="shared" si="40"/>
        <v>0</v>
      </c>
      <c r="AW91" s="13">
        <v>0</v>
      </c>
      <c r="AX91" s="13">
        <v>0</v>
      </c>
      <c r="AY91" s="13">
        <v>0</v>
      </c>
      <c r="AZ91" s="13">
        <v>0</v>
      </c>
      <c r="BA91">
        <v>0</v>
      </c>
      <c r="BB91" t="s">
        <v>2839</v>
      </c>
      <c r="BC91">
        <v>5</v>
      </c>
      <c r="BD91" t="s">
        <v>2919</v>
      </c>
      <c r="BE91">
        <v>0</v>
      </c>
      <c r="BF91" s="232" t="s">
        <v>2846</v>
      </c>
      <c r="BG91" s="232" t="s">
        <v>2846</v>
      </c>
      <c r="BH91" s="253">
        <v>17.3</v>
      </c>
      <c r="BI91" s="253">
        <v>5.2806628544754348</v>
      </c>
      <c r="BJ91" s="25">
        <v>7.115954904539854</v>
      </c>
      <c r="BK91" t="s">
        <v>377</v>
      </c>
      <c r="BL91">
        <v>0.59059461231397525</v>
      </c>
      <c r="BM91" t="s">
        <v>383</v>
      </c>
      <c r="BN91" s="322">
        <v>74715.182562000002</v>
      </c>
      <c r="BO91" s="322">
        <v>25951.194028999998</v>
      </c>
      <c r="BP91" s="10">
        <v>58135</v>
      </c>
      <c r="BQ91" s="254">
        <f t="shared" si="41"/>
        <v>1.2852013857744904</v>
      </c>
      <c r="BR91" s="254">
        <f t="shared" si="42"/>
        <v>0.4463953561365786</v>
      </c>
      <c r="BS91" s="25">
        <v>70.430370089578034</v>
      </c>
      <c r="BT91" s="25">
        <v>99.877300613496928</v>
      </c>
      <c r="BU91" s="25">
        <v>57.215000000000003</v>
      </c>
      <c r="BV91" s="25">
        <v>80.518133179894235</v>
      </c>
      <c r="BW91" s="25">
        <v>60.015427141863952</v>
      </c>
      <c r="BX91" s="25">
        <v>77.010200970742304</v>
      </c>
      <c r="BY91" s="25">
        <v>60.637716789105177</v>
      </c>
      <c r="BZ91">
        <v>86</v>
      </c>
      <c r="CA91">
        <v>1</v>
      </c>
      <c r="CB91">
        <v>6</v>
      </c>
      <c r="CC91">
        <v>16477.838796</v>
      </c>
      <c r="CD91" s="10">
        <v>562.09885099999997</v>
      </c>
      <c r="CE91" s="255">
        <v>3.4112413524548475E-2</v>
      </c>
      <c r="CF91" t="str">
        <f>IFERROR(VLOOKUP(CE91,'Rangos amb etnico'!$A$2:$C$6,3,9),"N.D.")</f>
        <v>0,1% - 30%</v>
      </c>
      <c r="CG91" s="256">
        <v>1.6353574500082856E-5</v>
      </c>
      <c r="CH91" s="232">
        <v>0</v>
      </c>
      <c r="CI91" s="311">
        <f t="shared" si="49"/>
        <v>0</v>
      </c>
      <c r="CJ91" s="232">
        <f>IFERROR(VLOOKUP(CI91,'Rangos amb etnico'!$A$2:$C$6,3,9),"N.D.")</f>
        <v>0</v>
      </c>
      <c r="CK91" s="311">
        <f t="shared" si="50"/>
        <v>0</v>
      </c>
      <c r="CL91" s="10">
        <v>0</v>
      </c>
      <c r="CM91" s="255">
        <f t="shared" si="51"/>
        <v>0</v>
      </c>
      <c r="CN91" s="232">
        <f>IFERROR(VLOOKUP(CM91,'Rangos amb etnico'!$A$2:$C$6,3,9),"N.D.")</f>
        <v>0</v>
      </c>
      <c r="CO91" s="311">
        <f t="shared" si="52"/>
        <v>0</v>
      </c>
      <c r="CP91">
        <v>0.87998879119241624</v>
      </c>
      <c r="CQ91" t="s">
        <v>2864</v>
      </c>
      <c r="CR91">
        <f t="shared" si="43"/>
        <v>4</v>
      </c>
      <c r="CS91" t="str">
        <f t="shared" si="53"/>
        <v>Candidato</v>
      </c>
      <c r="CT91">
        <v>0</v>
      </c>
      <c r="CU91">
        <v>0</v>
      </c>
      <c r="CV91" s="25">
        <v>49.953784942626953</v>
      </c>
      <c r="CW91" s="25">
        <v>36.08447265625</v>
      </c>
      <c r="CX91" s="25">
        <v>48.694423675537109</v>
      </c>
      <c r="CY91" s="25">
        <v>70.537818908691406</v>
      </c>
      <c r="CZ91" s="25">
        <v>60.495315551757813</v>
      </c>
      <c r="DA91" s="25">
        <v>28.43338584899902</v>
      </c>
      <c r="DB91" s="25">
        <v>55.477302551269531</v>
      </c>
      <c r="DC91">
        <v>643</v>
      </c>
      <c r="DD91" s="253" t="s">
        <v>380</v>
      </c>
    </row>
    <row r="92" spans="1:108" hidden="1">
      <c r="A92" s="13">
        <v>70670</v>
      </c>
      <c r="B92" s="13" t="s">
        <v>643</v>
      </c>
      <c r="C92" s="13" t="s">
        <v>494</v>
      </c>
      <c r="D92" s="13" t="s">
        <v>495</v>
      </c>
      <c r="E92" s="13" t="s">
        <v>644</v>
      </c>
      <c r="F92" s="14">
        <v>63.239899999999999</v>
      </c>
      <c r="G92" s="13">
        <v>50.8</v>
      </c>
      <c r="H92" s="13">
        <v>50.73</v>
      </c>
      <c r="I92" s="13">
        <v>48.64</v>
      </c>
      <c r="J92" s="14">
        <v>53.371633661181704</v>
      </c>
      <c r="K92" s="14">
        <v>58.341499698790237</v>
      </c>
      <c r="L92" s="14">
        <v>57.865428301255491</v>
      </c>
      <c r="M92" s="14">
        <v>56.831499999999998</v>
      </c>
      <c r="N92" s="14">
        <f t="shared" si="27"/>
        <v>53.352474999999998</v>
      </c>
      <c r="O92" s="14">
        <f t="shared" si="28"/>
        <v>56.602515415306861</v>
      </c>
      <c r="P92" s="14">
        <f t="shared" si="44"/>
        <v>54.977495207653433</v>
      </c>
      <c r="Q92" s="14">
        <v>38.591605708489674</v>
      </c>
      <c r="R92" s="17">
        <f t="shared" si="29"/>
        <v>61.408394291510326</v>
      </c>
      <c r="S92" s="14">
        <f t="shared" si="45"/>
        <v>0.65267554862359289</v>
      </c>
      <c r="T92" s="13">
        <v>0</v>
      </c>
      <c r="U92" s="13">
        <f t="shared" si="46"/>
        <v>35.882466846606157</v>
      </c>
      <c r="V92" s="13">
        <f>IF($T92=1,$AU92,(VLOOKUP(U92,'Cortes naturales'!$A$35:$C$39,3,9)))</f>
        <v>3</v>
      </c>
      <c r="W92" s="13">
        <v>3</v>
      </c>
      <c r="X92" s="14" t="b">
        <f t="shared" si="30"/>
        <v>1</v>
      </c>
      <c r="Y92" s="17">
        <f>IF($T92=1,$AU92,VLOOKUP(U92,'Cortes naturales'!$A$45:$C$49,3,9))</f>
        <v>2</v>
      </c>
      <c r="Z92" s="14">
        <v>56.098200349500743</v>
      </c>
      <c r="AA92" s="14">
        <v>0.66536812316915028</v>
      </c>
      <c r="AB92" s="14">
        <v>37.325954279714281</v>
      </c>
      <c r="AC92" s="13">
        <v>2</v>
      </c>
      <c r="AD92" s="13">
        <f t="shared" si="31"/>
        <v>0</v>
      </c>
      <c r="AE92" s="14">
        <f t="shared" si="32"/>
        <v>-1.12070514184731</v>
      </c>
      <c r="AF92" s="14">
        <f t="shared" si="33"/>
        <v>-1.2692574545557389E-2</v>
      </c>
      <c r="AG92" s="13">
        <f t="shared" si="34"/>
        <v>-1.4434874331081247</v>
      </c>
      <c r="AH92" s="13">
        <f>IF($T92=1,$AU92,VLOOKUP(U92,'Cortes naturales'!$A$25:$C$29,3,9))</f>
        <v>2</v>
      </c>
      <c r="AI92" s="13" t="b">
        <f t="shared" si="35"/>
        <v>1</v>
      </c>
      <c r="AJ92" s="13">
        <f t="shared" si="36"/>
        <v>0</v>
      </c>
      <c r="AK92" s="28">
        <v>0.9741882058902549</v>
      </c>
      <c r="AL92" s="28">
        <v>54.650205152152196</v>
      </c>
      <c r="AM92" s="28">
        <v>0.51299044786531689</v>
      </c>
      <c r="AN92" s="13">
        <v>2</v>
      </c>
      <c r="AO92" s="33">
        <f t="shared" si="37"/>
        <v>0</v>
      </c>
      <c r="AP92" s="13">
        <f t="shared" si="47"/>
        <v>51.299044786531688</v>
      </c>
      <c r="AQ92" s="13">
        <f>IFERROR(VLOOKUP(U92,'Cortes naturales'!$E$15:$G$19,3,9),U92)</f>
        <v>3</v>
      </c>
      <c r="AR92" s="28">
        <f t="shared" si="38"/>
        <v>-0.32151265726666201</v>
      </c>
      <c r="AS92" s="13" t="b">
        <f t="shared" si="39"/>
        <v>0</v>
      </c>
      <c r="AT92" s="13">
        <f t="shared" si="48"/>
        <v>0</v>
      </c>
      <c r="AU92" s="13">
        <v>2</v>
      </c>
      <c r="AV92">
        <f t="shared" si="40"/>
        <v>0</v>
      </c>
      <c r="AW92" s="13">
        <v>0</v>
      </c>
      <c r="AX92" s="13">
        <v>0</v>
      </c>
      <c r="AY92" s="13">
        <v>0</v>
      </c>
      <c r="AZ92" s="13">
        <v>0</v>
      </c>
      <c r="BA92">
        <v>0</v>
      </c>
      <c r="BB92" t="s">
        <v>2839</v>
      </c>
      <c r="BC92">
        <v>6</v>
      </c>
      <c r="BD92" t="s">
        <v>2919</v>
      </c>
      <c r="BE92">
        <v>0</v>
      </c>
      <c r="BF92" s="232" t="s">
        <v>2846</v>
      </c>
      <c r="BG92" s="232" t="s">
        <v>2846</v>
      </c>
      <c r="BH92" s="253">
        <v>56.9</v>
      </c>
      <c r="BI92" s="253">
        <v>41.497635430441314</v>
      </c>
      <c r="BJ92" s="25">
        <v>7.3863636363636367</v>
      </c>
      <c r="BK92" t="s">
        <v>377</v>
      </c>
      <c r="BL92">
        <v>3.8673490935361627</v>
      </c>
      <c r="BM92" t="s">
        <v>383</v>
      </c>
      <c r="BN92" s="322">
        <v>101543.648451</v>
      </c>
      <c r="BO92" s="322">
        <v>6977.3123370000003</v>
      </c>
      <c r="BP92" s="10">
        <v>53083</v>
      </c>
      <c r="BQ92" s="254">
        <f t="shared" si="41"/>
        <v>1.9129221869713469</v>
      </c>
      <c r="BR92" s="254">
        <f t="shared" si="42"/>
        <v>0.13144156014166494</v>
      </c>
      <c r="BS92" s="25">
        <v>62.14079919559731</v>
      </c>
      <c r="BT92" s="25">
        <v>94.585209326275205</v>
      </c>
      <c r="BU92" s="25">
        <v>51.544524714828867</v>
      </c>
      <c r="BV92" s="25">
        <v>93.023509470822447</v>
      </c>
      <c r="BW92" s="25">
        <v>46.829045888666172</v>
      </c>
      <c r="BX92" s="25">
        <v>75.323510676880957</v>
      </c>
      <c r="BY92" s="25">
        <v>47.483147869895298</v>
      </c>
      <c r="BZ92">
        <v>43</v>
      </c>
      <c r="CA92">
        <v>0</v>
      </c>
      <c r="CB92">
        <v>7</v>
      </c>
      <c r="CC92">
        <v>21400.899696</v>
      </c>
      <c r="CD92" s="10">
        <v>168.13130699999999</v>
      </c>
      <c r="CE92" s="255">
        <v>7.8562728384463706E-3</v>
      </c>
      <c r="CF92" t="str">
        <f>IFERROR(VLOOKUP(CE92,'Rangos amb etnico'!$A$2:$C$6,3,9),"N.D.")</f>
        <v>0,1% - 30%</v>
      </c>
      <c r="CG92" s="256">
        <v>4.8915735193715994E-6</v>
      </c>
      <c r="CH92" s="232">
        <v>1256.6011559999999</v>
      </c>
      <c r="CI92" s="311">
        <f t="shared" si="49"/>
        <v>5.8717211605588189E-2</v>
      </c>
      <c r="CJ92" s="232" t="str">
        <f>IFERROR(VLOOKUP(CI92,'Rangos amb etnico'!$A$2:$C$6,3,9),"N.D.")</f>
        <v>0,1% - 30%</v>
      </c>
      <c r="CK92" s="311">
        <f t="shared" si="50"/>
        <v>4.98952931128953E-5</v>
      </c>
      <c r="CL92" s="10">
        <v>0</v>
      </c>
      <c r="CM92" s="255">
        <f t="shared" si="51"/>
        <v>0</v>
      </c>
      <c r="CN92" s="232">
        <f>IFERROR(VLOOKUP(CM92,'Rangos amb etnico'!$A$2:$C$6,3,9),"N.D.")</f>
        <v>0</v>
      </c>
      <c r="CO92" s="311">
        <f t="shared" si="52"/>
        <v>0</v>
      </c>
      <c r="CP92">
        <v>0.95817942308867221</v>
      </c>
      <c r="CQ92" t="s">
        <v>2864</v>
      </c>
      <c r="CR92">
        <f t="shared" si="43"/>
        <v>1</v>
      </c>
      <c r="CS92" t="str">
        <f t="shared" si="53"/>
        <v>No es Candidato</v>
      </c>
      <c r="CT92">
        <v>0</v>
      </c>
      <c r="CU92">
        <v>0</v>
      </c>
      <c r="CV92" s="25">
        <v>47.089641571044922</v>
      </c>
      <c r="CW92" s="25">
        <v>33.725933074951172</v>
      </c>
      <c r="CX92" s="25">
        <v>43.758224487304688</v>
      </c>
      <c r="CY92" s="25">
        <v>50.42913818359375</v>
      </c>
      <c r="CZ92" s="25">
        <v>31.880525588989261</v>
      </c>
      <c r="DA92" s="25">
        <v>72.574234008789063</v>
      </c>
      <c r="DB92" s="25">
        <v>50.1697998046875</v>
      </c>
      <c r="DC92">
        <v>20006</v>
      </c>
      <c r="DD92" s="253" t="s">
        <v>380</v>
      </c>
    </row>
    <row r="93" spans="1:108" hidden="1">
      <c r="A93" s="13">
        <v>25260</v>
      </c>
      <c r="B93" s="13" t="s">
        <v>645</v>
      </c>
      <c r="C93" s="13" t="s">
        <v>461</v>
      </c>
      <c r="D93" s="13" t="s">
        <v>462</v>
      </c>
      <c r="E93" s="13" t="s">
        <v>646</v>
      </c>
      <c r="F93" s="14">
        <v>71.142466666666706</v>
      </c>
      <c r="G93" s="13">
        <v>73.69</v>
      </c>
      <c r="H93" s="13">
        <v>76.599999999999994</v>
      </c>
      <c r="I93" s="13">
        <v>75.260000000000005</v>
      </c>
      <c r="J93" s="14">
        <v>72.832957871055442</v>
      </c>
      <c r="K93" s="14">
        <v>70.884601636522845</v>
      </c>
      <c r="L93" s="14">
        <v>56.148666321229719</v>
      </c>
      <c r="M93" s="14">
        <v>73.497799999999998</v>
      </c>
      <c r="N93" s="14">
        <f t="shared" si="27"/>
        <v>74.173116666666672</v>
      </c>
      <c r="O93" s="14">
        <f t="shared" si="28"/>
        <v>68.341006457201999</v>
      </c>
      <c r="P93" s="14">
        <f t="shared" si="44"/>
        <v>71.257061561934336</v>
      </c>
      <c r="Q93" s="14">
        <v>38.666949556785092</v>
      </c>
      <c r="R93" s="17">
        <f t="shared" si="29"/>
        <v>61.333050443214908</v>
      </c>
      <c r="S93" s="14">
        <f t="shared" si="45"/>
        <v>0.65199745398893416</v>
      </c>
      <c r="T93" s="13">
        <v>0</v>
      </c>
      <c r="U93" s="13">
        <f t="shared" si="46"/>
        <v>46.459422717113931</v>
      </c>
      <c r="V93" s="13">
        <f>IF($T93=1,$AU93,(VLOOKUP(U93,'Cortes naturales'!$A$35:$C$39,3,9)))</f>
        <v>2</v>
      </c>
      <c r="W93" s="13">
        <v>2</v>
      </c>
      <c r="X93" s="14" t="b">
        <f t="shared" si="30"/>
        <v>1</v>
      </c>
      <c r="Y93" s="17">
        <f>IF($T93=1,$AU93,VLOOKUP(U93,'Cortes naturales'!$A$45:$C$49,3,9))</f>
        <v>2</v>
      </c>
      <c r="Z93" s="14">
        <v>69.327951251912452</v>
      </c>
      <c r="AA93" s="14">
        <v>0.6635472480182143</v>
      </c>
      <c r="AB93" s="14">
        <v>46.002371263947424</v>
      </c>
      <c r="AC93" s="13">
        <v>2</v>
      </c>
      <c r="AD93" s="13">
        <f t="shared" si="31"/>
        <v>0</v>
      </c>
      <c r="AE93" s="14">
        <f t="shared" si="32"/>
        <v>1.9291103100218834</v>
      </c>
      <c r="AF93" s="14">
        <f t="shared" si="33"/>
        <v>-1.1549794029280136E-2</v>
      </c>
      <c r="AG93" s="13">
        <f t="shared" si="34"/>
        <v>0.45705145316650686</v>
      </c>
      <c r="AH93" s="13">
        <f>IF($T93=1,$AU93,VLOOKUP(U93,'Cortes naturales'!$A$25:$C$29,3,9))</f>
        <v>2</v>
      </c>
      <c r="AI93" s="13" t="b">
        <f t="shared" si="35"/>
        <v>1</v>
      </c>
      <c r="AJ93" s="13">
        <f t="shared" si="36"/>
        <v>0</v>
      </c>
      <c r="AK93" s="28">
        <v>0.9741882058902549</v>
      </c>
      <c r="AL93" s="28">
        <v>67.538472448147644</v>
      </c>
      <c r="AM93" s="28">
        <v>0.67420908622393205</v>
      </c>
      <c r="AN93" s="13">
        <v>1</v>
      </c>
      <c r="AO93" s="33">
        <f t="shared" si="37"/>
        <v>-1</v>
      </c>
      <c r="AP93" s="13">
        <f t="shared" si="47"/>
        <v>67.420908622393199</v>
      </c>
      <c r="AQ93" s="13">
        <f>IFERROR(VLOOKUP(U93,'Cortes naturales'!$E$15:$G$19,3,9),U93)</f>
        <v>3</v>
      </c>
      <c r="AR93" s="28">
        <f t="shared" si="38"/>
        <v>-0.32219075190132074</v>
      </c>
      <c r="AS93" s="13" t="b">
        <f t="shared" si="39"/>
        <v>0</v>
      </c>
      <c r="AT93" s="13" t="str">
        <f t="shared" si="48"/>
        <v>Cambio en corte</v>
      </c>
      <c r="AU93" s="13">
        <v>2</v>
      </c>
      <c r="AV93">
        <f t="shared" si="40"/>
        <v>0</v>
      </c>
      <c r="AW93" s="13">
        <v>0</v>
      </c>
      <c r="AX93" s="13">
        <v>0</v>
      </c>
      <c r="AY93" s="13">
        <v>0</v>
      </c>
      <c r="AZ93" s="13">
        <v>0</v>
      </c>
      <c r="BA93">
        <v>0</v>
      </c>
      <c r="BB93" t="s">
        <v>2839</v>
      </c>
      <c r="BC93">
        <v>6</v>
      </c>
      <c r="BD93" t="s">
        <v>2919</v>
      </c>
      <c r="BE93">
        <v>0</v>
      </c>
      <c r="BF93" s="232" t="s">
        <v>2846</v>
      </c>
      <c r="BG93" s="232" t="s">
        <v>2846</v>
      </c>
      <c r="BH93" s="253">
        <v>12.8</v>
      </c>
      <c r="BI93" s="253">
        <v>7.6121245371005353</v>
      </c>
      <c r="BJ93" s="25">
        <v>1.0558440810686318</v>
      </c>
      <c r="BK93" t="s">
        <v>381</v>
      </c>
      <c r="BL93">
        <v>1.0078958599471617</v>
      </c>
      <c r="BM93" t="s">
        <v>383</v>
      </c>
      <c r="BN93" s="322">
        <v>25155.926498000001</v>
      </c>
      <c r="BO93" s="322">
        <v>14686.491694</v>
      </c>
      <c r="BP93" s="10">
        <v>26497</v>
      </c>
      <c r="BQ93" s="254">
        <f t="shared" si="41"/>
        <v>0.94938772306298824</v>
      </c>
      <c r="BR93" s="254">
        <f t="shared" si="42"/>
        <v>0.55426998128089977</v>
      </c>
      <c r="BS93" s="25">
        <v>78.940573332763705</v>
      </c>
      <c r="BT93" s="25">
        <v>97.868941137990461</v>
      </c>
      <c r="BU93" s="25">
        <v>69.100000000000009</v>
      </c>
      <c r="BV93" s="25">
        <v>80.265965486813343</v>
      </c>
      <c r="BW93" s="25">
        <v>48.12135879603958</v>
      </c>
      <c r="BX93" s="25">
        <v>81.543869989391879</v>
      </c>
      <c r="BY93" s="25">
        <v>49.080213890635022</v>
      </c>
      <c r="BZ93">
        <v>59</v>
      </c>
      <c r="CA93">
        <v>0</v>
      </c>
      <c r="CB93">
        <v>7</v>
      </c>
      <c r="CC93">
        <v>8712.0090120000004</v>
      </c>
      <c r="CD93" s="10">
        <v>1556.9614329999999</v>
      </c>
      <c r="CE93" s="255">
        <v>0.1787143965135283</v>
      </c>
      <c r="CF93" t="str">
        <f>IFERROR(VLOOKUP(CE93,'Rangos amb etnico'!$A$2:$C$6,3,9),"N.D.")</f>
        <v>0,1% - 30%</v>
      </c>
      <c r="CG93" s="256">
        <v>4.5297877309344051E-5</v>
      </c>
      <c r="CH93" s="232">
        <v>0</v>
      </c>
      <c r="CI93" s="311">
        <f t="shared" si="49"/>
        <v>0</v>
      </c>
      <c r="CJ93" s="232">
        <f>IFERROR(VLOOKUP(CI93,'Rangos amb etnico'!$A$2:$C$6,3,9),"N.D.")</f>
        <v>0</v>
      </c>
      <c r="CK93" s="311">
        <f t="shared" si="50"/>
        <v>0</v>
      </c>
      <c r="CL93" s="10">
        <v>0</v>
      </c>
      <c r="CM93" s="255">
        <f t="shared" si="51"/>
        <v>0</v>
      </c>
      <c r="CN93" s="232">
        <f>IFERROR(VLOOKUP(CM93,'Rangos amb etnico'!$A$2:$C$6,3,9),"N.D.")</f>
        <v>0</v>
      </c>
      <c r="CO93" s="311">
        <f t="shared" si="52"/>
        <v>0</v>
      </c>
      <c r="CP93">
        <v>0.93213971124537975</v>
      </c>
      <c r="CQ93" t="s">
        <v>2864</v>
      </c>
      <c r="CR93">
        <f t="shared" si="43"/>
        <v>3</v>
      </c>
      <c r="CS93" t="str">
        <f t="shared" si="53"/>
        <v>Candidato</v>
      </c>
      <c r="CT93">
        <v>0</v>
      </c>
      <c r="CU93">
        <v>0</v>
      </c>
      <c r="CV93" s="25">
        <v>54.828060150146477</v>
      </c>
      <c r="CW93" s="25">
        <v>43.579639434814453</v>
      </c>
      <c r="CX93" s="25">
        <v>45.354740142822273</v>
      </c>
      <c r="CY93" s="25">
        <v>77.894752502441406</v>
      </c>
      <c r="CZ93" s="25">
        <v>61.237926483154297</v>
      </c>
      <c r="DA93" s="25">
        <v>41.704608917236328</v>
      </c>
      <c r="DB93" s="25">
        <v>59.196697235107422</v>
      </c>
      <c r="DC93">
        <v>117</v>
      </c>
      <c r="DD93" s="253" t="s">
        <v>380</v>
      </c>
    </row>
    <row r="94" spans="1:108" hidden="1">
      <c r="A94" s="13">
        <v>19845</v>
      </c>
      <c r="B94" s="13" t="s">
        <v>647</v>
      </c>
      <c r="C94" s="13" t="s">
        <v>557</v>
      </c>
      <c r="D94" s="13" t="s">
        <v>558</v>
      </c>
      <c r="E94" s="13" t="s">
        <v>648</v>
      </c>
      <c r="F94" s="14">
        <v>59.549966666666698</v>
      </c>
      <c r="G94" s="13">
        <v>69.14</v>
      </c>
      <c r="H94" s="13">
        <v>60.67</v>
      </c>
      <c r="I94" s="13">
        <v>66.48</v>
      </c>
      <c r="J94" s="14">
        <v>55.286860182122524</v>
      </c>
      <c r="K94" s="14">
        <v>61.905926897472668</v>
      </c>
      <c r="L94" s="14">
        <v>63.692295592112913</v>
      </c>
      <c r="M94" s="14">
        <v>58.9206</v>
      </c>
      <c r="N94" s="14">
        <f t="shared" si="27"/>
        <v>63.959991666666681</v>
      </c>
      <c r="O94" s="14">
        <f t="shared" si="28"/>
        <v>59.951420667927032</v>
      </c>
      <c r="P94" s="14">
        <f t="shared" si="44"/>
        <v>61.955706167296853</v>
      </c>
      <c r="Q94" s="14">
        <v>37.835642775120292</v>
      </c>
      <c r="R94" s="17">
        <f t="shared" si="29"/>
        <v>62.164357224879708</v>
      </c>
      <c r="S94" s="14">
        <f t="shared" si="45"/>
        <v>0.65947921502391738</v>
      </c>
      <c r="T94" s="13">
        <v>0</v>
      </c>
      <c r="U94" s="13">
        <f t="shared" si="46"/>
        <v>40.858500469461404</v>
      </c>
      <c r="V94" s="13">
        <f>IF($T94=1,$AU94,(VLOOKUP(U94,'Cortes naturales'!$A$35:$C$39,3,9)))</f>
        <v>2</v>
      </c>
      <c r="W94" s="13">
        <v>2</v>
      </c>
      <c r="X94" s="14" t="b">
        <f t="shared" si="30"/>
        <v>1</v>
      </c>
      <c r="Y94" s="17">
        <f>IF($T94=1,$AU94,VLOOKUP(U94,'Cortes naturales'!$A$45:$C$49,3,9))</f>
        <v>2</v>
      </c>
      <c r="Z94" s="14">
        <v>60.665881575890687</v>
      </c>
      <c r="AA94" s="14">
        <v>0.6675055663164583</v>
      </c>
      <c r="AB94" s="14">
        <v>40.494813637402103</v>
      </c>
      <c r="AC94" s="13">
        <v>2</v>
      </c>
      <c r="AD94" s="13">
        <f t="shared" si="31"/>
        <v>0</v>
      </c>
      <c r="AE94" s="14">
        <f t="shared" si="32"/>
        <v>1.2898245914061661</v>
      </c>
      <c r="AF94" s="14">
        <f t="shared" si="33"/>
        <v>-8.0263512925409231E-3</v>
      </c>
      <c r="AG94" s="13">
        <f t="shared" si="34"/>
        <v>0.36368683205930097</v>
      </c>
      <c r="AH94" s="13">
        <f>IF($T94=1,$AU94,VLOOKUP(U94,'Cortes naturales'!$A$25:$C$29,3,9))</f>
        <v>2</v>
      </c>
      <c r="AI94" s="13" t="b">
        <f t="shared" si="35"/>
        <v>1</v>
      </c>
      <c r="AJ94" s="13">
        <f t="shared" si="36"/>
        <v>0</v>
      </c>
      <c r="AK94" s="28">
        <v>0.9741882058902549</v>
      </c>
      <c r="AL94" s="28">
        <v>59.099986331167621</v>
      </c>
      <c r="AM94" s="28">
        <v>0.56865251990331389</v>
      </c>
      <c r="AN94" s="13">
        <v>2</v>
      </c>
      <c r="AO94" s="33">
        <f t="shared" si="37"/>
        <v>0</v>
      </c>
      <c r="AP94" s="13">
        <f t="shared" si="47"/>
        <v>56.865251990331387</v>
      </c>
      <c r="AQ94" s="13">
        <f>IFERROR(VLOOKUP(U94,'Cortes naturales'!$E$15:$G$19,3,9),U94)</f>
        <v>3</v>
      </c>
      <c r="AR94" s="28">
        <f t="shared" si="38"/>
        <v>-0.31470899086633752</v>
      </c>
      <c r="AS94" s="13" t="b">
        <f t="shared" si="39"/>
        <v>0</v>
      </c>
      <c r="AT94" s="13">
        <f t="shared" si="48"/>
        <v>0</v>
      </c>
      <c r="AU94" s="13">
        <v>2</v>
      </c>
      <c r="AV94">
        <f t="shared" si="40"/>
        <v>0</v>
      </c>
      <c r="AW94" s="13">
        <v>0</v>
      </c>
      <c r="AX94" s="13">
        <v>0</v>
      </c>
      <c r="AY94" s="13">
        <v>0</v>
      </c>
      <c r="AZ94" s="13">
        <v>0</v>
      </c>
      <c r="BA94">
        <v>0</v>
      </c>
      <c r="BB94" t="s">
        <v>2838</v>
      </c>
      <c r="BC94">
        <v>5</v>
      </c>
      <c r="BD94" s="184" t="s">
        <v>2917</v>
      </c>
      <c r="BE94">
        <v>1</v>
      </c>
      <c r="BF94" s="232" t="s">
        <v>2846</v>
      </c>
      <c r="BG94" s="232" t="s">
        <v>2846</v>
      </c>
      <c r="BH94" s="253">
        <v>22.7</v>
      </c>
      <c r="BI94" s="253">
        <v>11.177442567027343</v>
      </c>
      <c r="BJ94" s="25">
        <v>0.13504784257086117</v>
      </c>
      <c r="BK94" t="s">
        <v>381</v>
      </c>
      <c r="BL94">
        <v>7.8588238054019932</v>
      </c>
      <c r="BM94" t="s">
        <v>379</v>
      </c>
      <c r="BN94" s="322">
        <v>49580.350508000003</v>
      </c>
      <c r="BO94" s="322">
        <v>27023.979092000001</v>
      </c>
      <c r="BP94" s="10">
        <v>23298</v>
      </c>
      <c r="BQ94" s="254">
        <f t="shared" si="41"/>
        <v>2.128094708043609</v>
      </c>
      <c r="BR94" s="254">
        <f t="shared" si="42"/>
        <v>1.1599269933899907</v>
      </c>
      <c r="BS94" s="25">
        <v>54.576569062821463</v>
      </c>
      <c r="BT94" s="25">
        <v>84.358620076687558</v>
      </c>
      <c r="BU94" s="25">
        <v>57.696960252935831</v>
      </c>
      <c r="BV94" s="25">
        <v>73.453789424023881</v>
      </c>
      <c r="BW94" s="25">
        <v>60.315846611677998</v>
      </c>
      <c r="BX94" s="25">
        <v>67.521484704117185</v>
      </c>
      <c r="BY94" s="25">
        <v>59.890116206702878</v>
      </c>
      <c r="BZ94">
        <v>32</v>
      </c>
      <c r="CA94">
        <v>0</v>
      </c>
      <c r="CB94">
        <v>7</v>
      </c>
      <c r="CC94">
        <v>7751.2177949999996</v>
      </c>
      <c r="CD94" s="10">
        <v>453.89704499999999</v>
      </c>
      <c r="CE94" s="255">
        <v>5.8558159118273105E-2</v>
      </c>
      <c r="CF94" t="str">
        <f>IFERROR(VLOOKUP(CE94,'Rangos amb etnico'!$A$2:$C$6,3,9),"N.D.")</f>
        <v>0,1% - 30%</v>
      </c>
      <c r="CG94" s="256">
        <v>1.3205576078957259E-5</v>
      </c>
      <c r="CH94" s="232">
        <v>0</v>
      </c>
      <c r="CI94" s="311">
        <f t="shared" si="49"/>
        <v>0</v>
      </c>
      <c r="CJ94" s="232">
        <f>IFERROR(VLOOKUP(CI94,'Rangos amb etnico'!$A$2:$C$6,3,9),"N.D.")</f>
        <v>0</v>
      </c>
      <c r="CK94" s="311">
        <f t="shared" si="50"/>
        <v>0</v>
      </c>
      <c r="CL94" s="10">
        <v>0</v>
      </c>
      <c r="CM94" s="255">
        <f t="shared" si="51"/>
        <v>0</v>
      </c>
      <c r="CN94" s="232">
        <f>IFERROR(VLOOKUP(CM94,'Rangos amb etnico'!$A$2:$C$6,3,9),"N.D.")</f>
        <v>0</v>
      </c>
      <c r="CO94" s="311">
        <f t="shared" si="52"/>
        <v>0</v>
      </c>
      <c r="CP94">
        <v>0.83610653104909849</v>
      </c>
      <c r="CQ94" t="s">
        <v>2865</v>
      </c>
      <c r="CR94">
        <f t="shared" si="43"/>
        <v>2</v>
      </c>
      <c r="CS94" t="str">
        <f t="shared" si="53"/>
        <v>No es Candidato</v>
      </c>
      <c r="CT94">
        <v>0</v>
      </c>
      <c r="CU94">
        <v>0</v>
      </c>
      <c r="CV94" s="25">
        <v>50.985069274902337</v>
      </c>
      <c r="CW94" s="25">
        <v>45.451469421386719</v>
      </c>
      <c r="CX94" s="25">
        <v>63.529617309570313</v>
      </c>
      <c r="CY94" s="25">
        <v>71.463233947753906</v>
      </c>
      <c r="CZ94" s="25">
        <v>46.883171081542969</v>
      </c>
      <c r="DA94" s="25">
        <v>21.784305572509769</v>
      </c>
      <c r="DB94" s="25">
        <v>56.798618316650391</v>
      </c>
      <c r="DC94">
        <v>19617</v>
      </c>
      <c r="DD94" s="253" t="s">
        <v>380</v>
      </c>
    </row>
    <row r="95" spans="1:108" hidden="1">
      <c r="A95" s="13">
        <v>63470</v>
      </c>
      <c r="B95" s="13" t="s">
        <v>649</v>
      </c>
      <c r="C95" s="13" t="s">
        <v>473</v>
      </c>
      <c r="D95" s="13" t="s">
        <v>474</v>
      </c>
      <c r="E95" s="13" t="s">
        <v>650</v>
      </c>
      <c r="F95" s="14">
        <v>68.840966666666702</v>
      </c>
      <c r="G95" s="13">
        <v>72.44</v>
      </c>
      <c r="H95" s="13">
        <v>66.290000000000006</v>
      </c>
      <c r="I95" s="13">
        <v>71.97</v>
      </c>
      <c r="J95" s="14">
        <v>52.960333741399346</v>
      </c>
      <c r="K95" s="14">
        <v>50.474243105996024</v>
      </c>
      <c r="L95" s="14">
        <v>53.612639135296988</v>
      </c>
      <c r="M95" s="14">
        <v>56.298999999999999</v>
      </c>
      <c r="N95" s="14">
        <f t="shared" si="27"/>
        <v>69.885241666666673</v>
      </c>
      <c r="O95" s="14">
        <f t="shared" si="28"/>
        <v>53.336553995673093</v>
      </c>
      <c r="P95" s="14">
        <f t="shared" si="44"/>
        <v>61.610897831169879</v>
      </c>
      <c r="Q95" s="14">
        <v>39.20660558099042</v>
      </c>
      <c r="R95" s="17">
        <f t="shared" si="29"/>
        <v>60.79339441900958</v>
      </c>
      <c r="S95" s="14">
        <f t="shared" si="45"/>
        <v>0.64714054977108626</v>
      </c>
      <c r="T95" s="13">
        <v>0</v>
      </c>
      <c r="U95" s="13">
        <f t="shared" si="46"/>
        <v>39.8709102943535</v>
      </c>
      <c r="V95" s="13">
        <f>IF($T95=1,$AU95,(VLOOKUP(U95,'Cortes naturales'!$A$35:$C$39,3,9)))</f>
        <v>2</v>
      </c>
      <c r="W95" s="13">
        <v>2</v>
      </c>
      <c r="X95" s="14" t="b">
        <f t="shared" si="30"/>
        <v>1</v>
      </c>
      <c r="Y95" s="17">
        <f>IF($T95=1,$AU95,VLOOKUP(U95,'Cortes naturales'!$A$45:$C$49,3,9))</f>
        <v>2</v>
      </c>
      <c r="Z95" s="14">
        <v>60.402101348714105</v>
      </c>
      <c r="AA95" s="14">
        <v>0.66481655836500586</v>
      </c>
      <c r="AB95" s="14">
        <v>40.156317136666388</v>
      </c>
      <c r="AC95" s="13">
        <v>2</v>
      </c>
      <c r="AD95" s="13">
        <f t="shared" si="31"/>
        <v>0</v>
      </c>
      <c r="AE95" s="14">
        <f t="shared" si="32"/>
        <v>1.2087964824557744</v>
      </c>
      <c r="AF95" s="14">
        <f t="shared" si="33"/>
        <v>-1.7676008593919601E-2</v>
      </c>
      <c r="AG95" s="13">
        <f t="shared" si="34"/>
        <v>-0.28540684231288793</v>
      </c>
      <c r="AH95" s="13">
        <f>IF($T95=1,$AU95,VLOOKUP(U95,'Cortes naturales'!$A$25:$C$29,3,9))</f>
        <v>2</v>
      </c>
      <c r="AI95" s="13" t="b">
        <f t="shared" si="35"/>
        <v>1</v>
      </c>
      <c r="AJ95" s="13">
        <f t="shared" si="36"/>
        <v>0</v>
      </c>
      <c r="AK95" s="28">
        <v>0.9741882058902549</v>
      </c>
      <c r="AL95" s="28">
        <v>58.84301474490514</v>
      </c>
      <c r="AM95" s="28">
        <v>0.56543807623275455</v>
      </c>
      <c r="AN95" s="13">
        <v>2</v>
      </c>
      <c r="AO95" s="33">
        <f t="shared" si="37"/>
        <v>0</v>
      </c>
      <c r="AP95" s="13">
        <f t="shared" si="47"/>
        <v>56.543807623275455</v>
      </c>
      <c r="AQ95" s="13">
        <f>IFERROR(VLOOKUP(U95,'Cortes naturales'!$E$15:$G$19,3,9),U95)</f>
        <v>3</v>
      </c>
      <c r="AR95" s="28">
        <f t="shared" si="38"/>
        <v>-0.32704765611916864</v>
      </c>
      <c r="AS95" s="13" t="b">
        <f t="shared" si="39"/>
        <v>0</v>
      </c>
      <c r="AT95" s="13">
        <f t="shared" si="48"/>
        <v>0</v>
      </c>
      <c r="AU95" s="13">
        <v>2</v>
      </c>
      <c r="AV95">
        <f t="shared" si="40"/>
        <v>0</v>
      </c>
      <c r="AW95" s="13">
        <v>0</v>
      </c>
      <c r="AX95" s="13">
        <v>0</v>
      </c>
      <c r="AY95" s="13">
        <v>0</v>
      </c>
      <c r="AZ95" s="13">
        <v>0</v>
      </c>
      <c r="BA95">
        <v>0</v>
      </c>
      <c r="BB95" t="s">
        <v>2839</v>
      </c>
      <c r="BC95">
        <v>6</v>
      </c>
      <c r="BD95" t="s">
        <v>2919</v>
      </c>
      <c r="BE95">
        <v>0</v>
      </c>
      <c r="BF95" s="232" t="s">
        <v>2846</v>
      </c>
      <c r="BG95" s="232" t="s">
        <v>2846</v>
      </c>
      <c r="BH95" s="253">
        <v>25.8</v>
      </c>
      <c r="BI95" s="253">
        <v>11.127554214810177</v>
      </c>
      <c r="BJ95" s="25">
        <v>0.71416666666666673</v>
      </c>
      <c r="BK95" t="s">
        <v>381</v>
      </c>
      <c r="BL95">
        <v>7.1744544895484665</v>
      </c>
      <c r="BM95" t="s">
        <v>379</v>
      </c>
      <c r="BN95" s="322">
        <v>67021.639238999996</v>
      </c>
      <c r="BO95" s="322">
        <v>11132.933074</v>
      </c>
      <c r="BP95" s="10">
        <v>37530</v>
      </c>
      <c r="BQ95" s="254">
        <f t="shared" si="41"/>
        <v>1.7858150609912069</v>
      </c>
      <c r="BR95" s="254">
        <f t="shared" si="42"/>
        <v>0.29664090258459902</v>
      </c>
      <c r="BS95" s="25">
        <v>69.251433140166995</v>
      </c>
      <c r="BT95" s="25">
        <v>96.953873333333334</v>
      </c>
      <c r="BU95" s="25">
        <v>68.297845495856691</v>
      </c>
      <c r="BV95" s="25">
        <v>81.968291132584994</v>
      </c>
      <c r="BW95" s="25">
        <v>60.977210730382069</v>
      </c>
      <c r="BX95" s="25">
        <v>79.117860775485497</v>
      </c>
      <c r="BY95" s="25">
        <v>62.087054492043592</v>
      </c>
      <c r="BZ95">
        <v>16</v>
      </c>
      <c r="CA95">
        <v>0</v>
      </c>
      <c r="CB95">
        <v>7</v>
      </c>
      <c r="CC95">
        <v>14943.769965</v>
      </c>
      <c r="CD95" s="10">
        <v>4435.0709800000004</v>
      </c>
      <c r="CE95" s="255">
        <v>0.29678394343511971</v>
      </c>
      <c r="CF95" t="str">
        <f>IFERROR(VLOOKUP(CE95,'Rangos amb etnico'!$A$2:$C$6,3,9),"N.D.")</f>
        <v>0,1% - 30%</v>
      </c>
      <c r="CG95" s="256">
        <v>1.2903293354105341E-4</v>
      </c>
      <c r="CH95" s="232">
        <v>0</v>
      </c>
      <c r="CI95" s="311">
        <f t="shared" si="49"/>
        <v>0</v>
      </c>
      <c r="CJ95" s="232">
        <f>IFERROR(VLOOKUP(CI95,'Rangos amb etnico'!$A$2:$C$6,3,9),"N.D.")</f>
        <v>0</v>
      </c>
      <c r="CK95" s="311">
        <f t="shared" si="50"/>
        <v>0</v>
      </c>
      <c r="CL95" s="10">
        <v>0</v>
      </c>
      <c r="CM95" s="255">
        <f t="shared" si="51"/>
        <v>0</v>
      </c>
      <c r="CN95" s="232">
        <f>IFERROR(VLOOKUP(CM95,'Rangos amb etnico'!$A$2:$C$6,3,9),"N.D.")</f>
        <v>0</v>
      </c>
      <c r="CO95" s="311">
        <f t="shared" si="52"/>
        <v>0</v>
      </c>
      <c r="CP95">
        <v>0.83750782488036557</v>
      </c>
      <c r="CQ95" t="s">
        <v>2865</v>
      </c>
      <c r="CR95">
        <f t="shared" si="43"/>
        <v>3</v>
      </c>
      <c r="CS95" t="str">
        <f t="shared" si="53"/>
        <v>Candidato</v>
      </c>
      <c r="CT95">
        <v>0</v>
      </c>
      <c r="CU95">
        <v>0</v>
      </c>
      <c r="CV95" s="25">
        <v>52.800010681152337</v>
      </c>
      <c r="CW95" s="25">
        <v>37.967742919921882</v>
      </c>
      <c r="CX95" s="25">
        <v>56.503204345703118</v>
      </c>
      <c r="CY95" s="25">
        <v>78.450607299804688</v>
      </c>
      <c r="CZ95" s="25">
        <v>63.731971740722663</v>
      </c>
      <c r="DA95" s="25">
        <v>33.517353057861328</v>
      </c>
      <c r="DB95" s="25">
        <v>46.629196166992188</v>
      </c>
      <c r="DC95">
        <v>584</v>
      </c>
      <c r="DD95" s="253" t="s">
        <v>380</v>
      </c>
    </row>
    <row r="96" spans="1:108" hidden="1">
      <c r="A96" s="13">
        <v>70215</v>
      </c>
      <c r="B96" s="13" t="s">
        <v>651</v>
      </c>
      <c r="C96" s="13" t="s">
        <v>494</v>
      </c>
      <c r="D96" s="13" t="s">
        <v>495</v>
      </c>
      <c r="E96" s="13" t="s">
        <v>652</v>
      </c>
      <c r="F96" s="14">
        <v>58.263566666666698</v>
      </c>
      <c r="G96" s="13">
        <v>48.32</v>
      </c>
      <c r="H96" s="13">
        <v>46.5</v>
      </c>
      <c r="I96" s="13">
        <v>60.53</v>
      </c>
      <c r="J96" s="14">
        <v>50.937302619212701</v>
      </c>
      <c r="K96" s="14">
        <v>62.537312834172596</v>
      </c>
      <c r="L96" s="14">
        <v>60.342849744583916</v>
      </c>
      <c r="M96" s="14">
        <v>44.551499999999997</v>
      </c>
      <c r="N96" s="14">
        <f t="shared" si="27"/>
        <v>53.403391666666671</v>
      </c>
      <c r="O96" s="14">
        <f t="shared" si="28"/>
        <v>54.592241299492308</v>
      </c>
      <c r="P96" s="14">
        <f t="shared" si="44"/>
        <v>53.99781648307949</v>
      </c>
      <c r="Q96" s="14">
        <v>38.196999039748604</v>
      </c>
      <c r="R96" s="17">
        <f t="shared" si="29"/>
        <v>61.803000960251396</v>
      </c>
      <c r="S96" s="14">
        <f t="shared" si="45"/>
        <v>0.65622700864226258</v>
      </c>
      <c r="T96" s="13">
        <v>0</v>
      </c>
      <c r="U96" s="13">
        <f t="shared" si="46"/>
        <v>35.434825583905116</v>
      </c>
      <c r="V96" s="13">
        <f>IF($T96=1,$AU96,(VLOOKUP(U96,'Cortes naturales'!$A$35:$C$39,3,9)))</f>
        <v>3</v>
      </c>
      <c r="W96" s="13">
        <v>3</v>
      </c>
      <c r="X96" s="14" t="b">
        <f t="shared" si="30"/>
        <v>1</v>
      </c>
      <c r="Y96" s="17">
        <f>IF($T96=1,$AU96,VLOOKUP(U96,'Cortes naturales'!$A$45:$C$49,3,9))</f>
        <v>3</v>
      </c>
      <c r="Z96" s="14">
        <v>55.570674215636174</v>
      </c>
      <c r="AA96" s="14">
        <v>0.66350900768695154</v>
      </c>
      <c r="AB96" s="14">
        <v>36.871642905311624</v>
      </c>
      <c r="AC96" s="13">
        <v>2</v>
      </c>
      <c r="AD96" s="13">
        <f t="shared" si="31"/>
        <v>-1</v>
      </c>
      <c r="AE96" s="14">
        <f t="shared" si="32"/>
        <v>-1.5728577325566846</v>
      </c>
      <c r="AF96" s="14">
        <f t="shared" si="33"/>
        <v>-7.2819990446889582E-3</v>
      </c>
      <c r="AG96" s="13">
        <f t="shared" si="34"/>
        <v>-1.4368173214065081</v>
      </c>
      <c r="AH96" s="13">
        <f>IF($T96=1,$AU96,VLOOKUP(U96,'Cortes naturales'!$A$25:$C$29,3,9))</f>
        <v>2</v>
      </c>
      <c r="AI96" s="13" t="b">
        <f t="shared" si="35"/>
        <v>0</v>
      </c>
      <c r="AJ96" s="13" t="str">
        <f t="shared" si="36"/>
        <v>Cambio en corte</v>
      </c>
      <c r="AK96" s="28">
        <v>0.9741882058902549</v>
      </c>
      <c r="AL96" s="28">
        <v>54.136295414242454</v>
      </c>
      <c r="AM96" s="28">
        <v>0.50656197875599107</v>
      </c>
      <c r="AN96" s="13">
        <v>2</v>
      </c>
      <c r="AO96" s="33">
        <f t="shared" si="37"/>
        <v>-1</v>
      </c>
      <c r="AP96" s="13">
        <f t="shared" si="47"/>
        <v>50.656197875599105</v>
      </c>
      <c r="AQ96" s="13">
        <f>IFERROR(VLOOKUP(U96,'Cortes naturales'!$E$15:$G$19,3,9),U96)</f>
        <v>3</v>
      </c>
      <c r="AR96" s="28">
        <f t="shared" si="38"/>
        <v>-0.31796119724799232</v>
      </c>
      <c r="AS96" s="13" t="b">
        <f t="shared" si="39"/>
        <v>1</v>
      </c>
      <c r="AT96" s="13" t="str">
        <f t="shared" si="48"/>
        <v>Efecto ponderador</v>
      </c>
      <c r="AU96" s="13">
        <v>2</v>
      </c>
      <c r="AV96">
        <f t="shared" si="40"/>
        <v>-1</v>
      </c>
      <c r="AW96" s="13">
        <v>0</v>
      </c>
      <c r="AX96" s="13">
        <v>1</v>
      </c>
      <c r="AY96" s="13">
        <v>0</v>
      </c>
      <c r="AZ96" s="13">
        <v>0</v>
      </c>
      <c r="BA96">
        <v>0</v>
      </c>
      <c r="BB96" t="s">
        <v>2839</v>
      </c>
      <c r="BC96">
        <v>6</v>
      </c>
      <c r="BD96" t="s">
        <v>2919</v>
      </c>
      <c r="BE96">
        <v>0</v>
      </c>
      <c r="BF96" s="232" t="s">
        <v>2846</v>
      </c>
      <c r="BG96" s="232" t="s">
        <v>2846</v>
      </c>
      <c r="BH96" s="253">
        <v>34.5</v>
      </c>
      <c r="BI96" s="253">
        <v>18.188859190863809</v>
      </c>
      <c r="BJ96" s="25">
        <v>1.1029411764705883</v>
      </c>
      <c r="BK96" t="s">
        <v>381</v>
      </c>
      <c r="BL96">
        <v>3.6237657115940389</v>
      </c>
      <c r="BM96" t="s">
        <v>383</v>
      </c>
      <c r="BN96" s="322">
        <v>199209.516516</v>
      </c>
      <c r="BO96" s="322">
        <v>22355.689415000001</v>
      </c>
      <c r="BP96" s="10">
        <v>76816</v>
      </c>
      <c r="BQ96" s="254">
        <f t="shared" si="41"/>
        <v>2.5933336351280984</v>
      </c>
      <c r="BR96" s="254">
        <f t="shared" si="42"/>
        <v>0.29102907486721519</v>
      </c>
      <c r="BS96" s="25">
        <v>71.653564106319678</v>
      </c>
      <c r="BT96" s="25">
        <v>91.153542309052753</v>
      </c>
      <c r="BU96" s="25">
        <v>49.46373667130274</v>
      </c>
      <c r="BV96" s="25">
        <v>88.728390620253023</v>
      </c>
      <c r="BW96" s="25">
        <v>51.59875989387529</v>
      </c>
      <c r="BX96" s="25">
        <v>75.249808426732045</v>
      </c>
      <c r="BY96" s="25">
        <v>54.094365032044387</v>
      </c>
      <c r="BZ96">
        <v>43</v>
      </c>
      <c r="CA96">
        <v>0</v>
      </c>
      <c r="CB96">
        <v>6</v>
      </c>
      <c r="CC96">
        <v>28551.349440000002</v>
      </c>
      <c r="CD96" s="10">
        <v>269.69511699999998</v>
      </c>
      <c r="CE96" s="255">
        <v>9.4459674337550315E-3</v>
      </c>
      <c r="CF96" t="str">
        <f>IFERROR(VLOOKUP(CE96,'Rangos amb etnico'!$A$2:$C$6,3,9),"N.D.")</f>
        <v>0,1% - 30%</v>
      </c>
      <c r="CG96" s="256">
        <v>7.8464476138344975E-6</v>
      </c>
      <c r="CH96" s="232">
        <v>0</v>
      </c>
      <c r="CI96" s="311">
        <f t="shared" si="49"/>
        <v>0</v>
      </c>
      <c r="CJ96" s="232">
        <f>IFERROR(VLOOKUP(CI96,'Rangos amb etnico'!$A$2:$C$6,3,9),"N.D.")</f>
        <v>0</v>
      </c>
      <c r="CK96" s="311">
        <f t="shared" si="50"/>
        <v>0</v>
      </c>
      <c r="CL96" s="10">
        <v>0</v>
      </c>
      <c r="CM96" s="255">
        <f t="shared" si="51"/>
        <v>0</v>
      </c>
      <c r="CN96" s="232">
        <f>IFERROR(VLOOKUP(CM96,'Rangos amb etnico'!$A$2:$C$6,3,9),"N.D.")</f>
        <v>0</v>
      </c>
      <c r="CO96" s="311">
        <f t="shared" si="52"/>
        <v>0</v>
      </c>
      <c r="CP96">
        <v>0.88428317516692512</v>
      </c>
      <c r="CQ96" t="s">
        <v>2864</v>
      </c>
      <c r="CR96">
        <f t="shared" si="43"/>
        <v>2</v>
      </c>
      <c r="CS96" t="str">
        <f t="shared" si="53"/>
        <v>No es Candidato</v>
      </c>
      <c r="CT96">
        <v>0</v>
      </c>
      <c r="CU96">
        <v>0</v>
      </c>
      <c r="CV96" s="25">
        <v>50.223854064941413</v>
      </c>
      <c r="CW96" s="25">
        <v>40.003028869628913</v>
      </c>
      <c r="CX96" s="25">
        <v>43.146831512451172</v>
      </c>
      <c r="CY96" s="25">
        <v>75.388084411621094</v>
      </c>
      <c r="CZ96" s="25">
        <v>50.773101806640618</v>
      </c>
      <c r="DA96" s="25">
        <v>41.668247222900391</v>
      </c>
      <c r="DB96" s="25">
        <v>50.363834381103523</v>
      </c>
      <c r="DC96">
        <v>4603</v>
      </c>
      <c r="DD96" s="253" t="s">
        <v>380</v>
      </c>
    </row>
    <row r="97" spans="1:108" hidden="1">
      <c r="A97" s="13">
        <v>76318</v>
      </c>
      <c r="B97" s="13" t="s">
        <v>653</v>
      </c>
      <c r="C97" s="13" t="s">
        <v>454</v>
      </c>
      <c r="D97" s="13" t="s">
        <v>455</v>
      </c>
      <c r="E97" s="13" t="s">
        <v>654</v>
      </c>
      <c r="F97" s="14">
        <v>55.438566666666702</v>
      </c>
      <c r="G97" s="13">
        <v>48.81</v>
      </c>
      <c r="H97" s="13">
        <v>42.36</v>
      </c>
      <c r="I97" s="13">
        <v>65.28</v>
      </c>
      <c r="J97" s="14">
        <v>59.722255019901588</v>
      </c>
      <c r="K97" s="14">
        <v>55.270346991226148</v>
      </c>
      <c r="L97" s="14">
        <v>59.682786394285799</v>
      </c>
      <c r="M97" s="14">
        <v>66.655799999999999</v>
      </c>
      <c r="N97" s="14">
        <f t="shared" si="27"/>
        <v>52.97214166666668</v>
      </c>
      <c r="O97" s="14">
        <f t="shared" si="28"/>
        <v>60.332797101353378</v>
      </c>
      <c r="P97" s="14">
        <f t="shared" si="44"/>
        <v>56.652469384010033</v>
      </c>
      <c r="Q97" s="14">
        <v>39.662013236763535</v>
      </c>
      <c r="R97" s="17">
        <f t="shared" si="29"/>
        <v>60.337986763236465</v>
      </c>
      <c r="S97" s="14">
        <f t="shared" si="45"/>
        <v>0.64304188086912817</v>
      </c>
      <c r="T97" s="13">
        <v>0</v>
      </c>
      <c r="U97" s="13">
        <f t="shared" si="46"/>
        <v>36.429910468574512</v>
      </c>
      <c r="V97" s="13">
        <f>IF($T97=1,$AU97,(VLOOKUP(U97,'Cortes naturales'!$A$35:$C$39,3,9)))</f>
        <v>3</v>
      </c>
      <c r="W97" s="13">
        <v>3</v>
      </c>
      <c r="X97" s="14" t="b">
        <f t="shared" si="30"/>
        <v>1</v>
      </c>
      <c r="Y97" s="17">
        <f>IF($T97=1,$AU97,VLOOKUP(U97,'Cortes naturales'!$A$45:$C$49,3,9))</f>
        <v>2</v>
      </c>
      <c r="Z97" s="14">
        <v>54.612786522655242</v>
      </c>
      <c r="AA97" s="14">
        <v>0.66184702189856082</v>
      </c>
      <c r="AB97" s="14">
        <v>36.145310117601234</v>
      </c>
      <c r="AC97" s="13">
        <v>2</v>
      </c>
      <c r="AD97" s="13">
        <f t="shared" si="31"/>
        <v>0</v>
      </c>
      <c r="AE97" s="14">
        <f t="shared" si="32"/>
        <v>2.039682861354791</v>
      </c>
      <c r="AF97" s="14">
        <f t="shared" si="33"/>
        <v>-1.8805141029432648E-2</v>
      </c>
      <c r="AG97" s="13">
        <f t="shared" si="34"/>
        <v>0.28460035097327818</v>
      </c>
      <c r="AH97" s="13">
        <f>IF($T97=1,$AU97,VLOOKUP(U97,'Cortes naturales'!$A$25:$C$29,3,9))</f>
        <v>2</v>
      </c>
      <c r="AI97" s="13" t="b">
        <f t="shared" si="35"/>
        <v>1</v>
      </c>
      <c r="AJ97" s="13">
        <f t="shared" si="36"/>
        <v>0</v>
      </c>
      <c r="AK97" s="28">
        <v>0.9741882058902549</v>
      </c>
      <c r="AL97" s="28">
        <v>53.203132521173004</v>
      </c>
      <c r="AM97" s="28">
        <v>0.49488909461009911</v>
      </c>
      <c r="AN97" s="13">
        <v>2</v>
      </c>
      <c r="AO97" s="33">
        <f t="shared" si="37"/>
        <v>0</v>
      </c>
      <c r="AP97" s="13">
        <f t="shared" si="47"/>
        <v>49.488909461009911</v>
      </c>
      <c r="AQ97" s="13">
        <f>IFERROR(VLOOKUP(U97,'Cortes naturales'!$E$15:$G$19,3,9),U97)</f>
        <v>3</v>
      </c>
      <c r="AR97" s="28">
        <f t="shared" si="38"/>
        <v>-0.33114632502112673</v>
      </c>
      <c r="AS97" s="13" t="b">
        <f t="shared" si="39"/>
        <v>0</v>
      </c>
      <c r="AT97" s="13">
        <f t="shared" si="48"/>
        <v>0</v>
      </c>
      <c r="AU97" s="13">
        <v>2</v>
      </c>
      <c r="AV97">
        <f t="shared" si="40"/>
        <v>0</v>
      </c>
      <c r="AW97" s="13">
        <v>0</v>
      </c>
      <c r="AX97" s="13">
        <v>0</v>
      </c>
      <c r="AY97" s="13">
        <v>0</v>
      </c>
      <c r="AZ97" s="13">
        <v>0</v>
      </c>
      <c r="BA97">
        <v>0</v>
      </c>
      <c r="BB97" t="s">
        <v>2839</v>
      </c>
      <c r="BC97">
        <v>6</v>
      </c>
      <c r="BD97" t="s">
        <v>2919</v>
      </c>
      <c r="BE97">
        <v>1</v>
      </c>
      <c r="BF97" s="232" t="s">
        <v>2846</v>
      </c>
      <c r="BG97" s="232" t="s">
        <v>2846</v>
      </c>
      <c r="BH97" s="253">
        <v>16</v>
      </c>
      <c r="BI97" s="253">
        <v>7.1817879694250584</v>
      </c>
      <c r="BJ97" s="25">
        <v>9.5433388807568011</v>
      </c>
      <c r="BK97" t="s">
        <v>377</v>
      </c>
      <c r="BL97">
        <v>10.083858861511441</v>
      </c>
      <c r="BM97" t="s">
        <v>379</v>
      </c>
      <c r="BN97" s="322">
        <v>53077.705742999999</v>
      </c>
      <c r="BO97" s="322">
        <v>17990.486678000001</v>
      </c>
      <c r="BP97" s="10">
        <v>34561</v>
      </c>
      <c r="BQ97" s="254">
        <f t="shared" si="41"/>
        <v>1.5357688071236364</v>
      </c>
      <c r="BR97" s="254">
        <f t="shared" si="42"/>
        <v>0.52054300159138922</v>
      </c>
      <c r="BS97" s="25">
        <v>62.484949313076562</v>
      </c>
      <c r="BT97" s="25">
        <v>93.061425812331819</v>
      </c>
      <c r="BU97" s="25">
        <v>57.913333333333327</v>
      </c>
      <c r="BV97" s="25">
        <v>79.597768042321889</v>
      </c>
      <c r="BW97" s="25">
        <v>74.49451987063199</v>
      </c>
      <c r="BX97" s="25">
        <v>73.264369125265887</v>
      </c>
      <c r="BY97" s="25">
        <v>74.787163505448476</v>
      </c>
      <c r="BZ97">
        <v>85</v>
      </c>
      <c r="CA97">
        <v>0</v>
      </c>
      <c r="CB97">
        <v>6</v>
      </c>
      <c r="CC97">
        <v>16252.375382</v>
      </c>
      <c r="CD97" s="10">
        <v>2394.699822</v>
      </c>
      <c r="CE97" s="255">
        <v>0.14734460444792599</v>
      </c>
      <c r="CF97" t="str">
        <f>IFERROR(VLOOKUP(CE97,'Rangos amb etnico'!$A$2:$C$6,3,9),"N.D.")</f>
        <v>0,1% - 30%</v>
      </c>
      <c r="CG97" s="256">
        <v>6.9670845038628552E-5</v>
      </c>
      <c r="CH97" s="232">
        <v>0</v>
      </c>
      <c r="CI97" s="311">
        <f t="shared" si="49"/>
        <v>0</v>
      </c>
      <c r="CJ97" s="232">
        <f>IFERROR(VLOOKUP(CI97,'Rangos amb etnico'!$A$2:$C$6,3,9),"N.D.")</f>
        <v>0</v>
      </c>
      <c r="CK97" s="311">
        <f t="shared" si="50"/>
        <v>0</v>
      </c>
      <c r="CL97" s="10">
        <v>0</v>
      </c>
      <c r="CM97" s="255">
        <f t="shared" si="51"/>
        <v>0</v>
      </c>
      <c r="CN97" s="232">
        <f>IFERROR(VLOOKUP(CM97,'Rangos amb etnico'!$A$2:$C$6,3,9),"N.D.")</f>
        <v>0</v>
      </c>
      <c r="CO97" s="311">
        <f t="shared" si="52"/>
        <v>0</v>
      </c>
      <c r="CP97">
        <v>0.97175300978673684</v>
      </c>
      <c r="CQ97" t="s">
        <v>2864</v>
      </c>
      <c r="CR97">
        <f t="shared" si="43"/>
        <v>4</v>
      </c>
      <c r="CS97" t="str">
        <f t="shared" si="53"/>
        <v>Candidato</v>
      </c>
      <c r="CT97">
        <v>0</v>
      </c>
      <c r="CU97">
        <v>0</v>
      </c>
      <c r="CV97" s="25">
        <v>49.804393768310547</v>
      </c>
      <c r="CW97" s="25">
        <v>44.729408264160163</v>
      </c>
      <c r="CX97" s="25">
        <v>66.349899291992188</v>
      </c>
      <c r="CY97" s="25">
        <v>63.303806304931641</v>
      </c>
      <c r="CZ97" s="25">
        <v>55.052810668945313</v>
      </c>
      <c r="DA97" s="25">
        <v>10.846774101257321</v>
      </c>
      <c r="DB97" s="25">
        <v>58.543659210205078</v>
      </c>
      <c r="DC97">
        <v>12403</v>
      </c>
      <c r="DD97" s="253" t="s">
        <v>380</v>
      </c>
    </row>
    <row r="98" spans="1:108" hidden="1">
      <c r="A98" s="13">
        <v>76020</v>
      </c>
      <c r="B98" s="13" t="s">
        <v>655</v>
      </c>
      <c r="C98" s="13" t="s">
        <v>454</v>
      </c>
      <c r="D98" s="13" t="s">
        <v>455</v>
      </c>
      <c r="E98" s="13" t="s">
        <v>656</v>
      </c>
      <c r="F98" s="14">
        <v>65.256033333333306</v>
      </c>
      <c r="G98" s="13">
        <v>55.62</v>
      </c>
      <c r="H98" s="13">
        <v>32.299999999999997</v>
      </c>
      <c r="I98" s="13">
        <v>43.52</v>
      </c>
      <c r="J98" s="14">
        <v>54.843174945570205</v>
      </c>
      <c r="K98" s="14">
        <v>58.468215645405103</v>
      </c>
      <c r="L98" s="14">
        <v>53.106410544356663</v>
      </c>
      <c r="M98" s="14">
        <v>44.137799999999999</v>
      </c>
      <c r="N98" s="14">
        <f t="shared" si="27"/>
        <v>49.174008333333326</v>
      </c>
      <c r="O98" s="14">
        <f t="shared" si="28"/>
        <v>52.638900283832989</v>
      </c>
      <c r="P98" s="14">
        <f t="shared" si="44"/>
        <v>50.906454308583157</v>
      </c>
      <c r="Q98" s="14">
        <v>39.63941901947976</v>
      </c>
      <c r="R98" s="17">
        <f t="shared" si="29"/>
        <v>60.36058098052024</v>
      </c>
      <c r="S98" s="14">
        <f t="shared" si="45"/>
        <v>0.64324522882468216</v>
      </c>
      <c r="T98" s="13">
        <v>0</v>
      </c>
      <c r="U98" s="13">
        <f t="shared" si="46"/>
        <v>32.745333850377797</v>
      </c>
      <c r="V98" s="13">
        <f>IF($T98=1,$AU98,(VLOOKUP(U98,'Cortes naturales'!$A$35:$C$39,3,9)))</f>
        <v>3</v>
      </c>
      <c r="W98" s="13">
        <v>3</v>
      </c>
      <c r="X98" s="14" t="b">
        <f t="shared" si="30"/>
        <v>1</v>
      </c>
      <c r="Y98" s="17">
        <f>IF($T98=1,$AU98,VLOOKUP(U98,'Cortes naturales'!$A$45:$C$49,3,9))</f>
        <v>3</v>
      </c>
      <c r="Z98" s="14">
        <v>54.692684526195634</v>
      </c>
      <c r="AA98" s="14">
        <v>0.66096487974988793</v>
      </c>
      <c r="AB98" s="14">
        <v>36.149943651055452</v>
      </c>
      <c r="AC98" s="13">
        <v>2</v>
      </c>
      <c r="AD98" s="13">
        <f t="shared" si="31"/>
        <v>-1</v>
      </c>
      <c r="AE98" s="14">
        <f t="shared" si="32"/>
        <v>-3.7862302176124771</v>
      </c>
      <c r="AF98" s="14">
        <f t="shared" si="33"/>
        <v>-1.7719650925205777E-2</v>
      </c>
      <c r="AG98" s="13">
        <f t="shared" si="34"/>
        <v>-3.4046098006776546</v>
      </c>
      <c r="AH98" s="13">
        <f>IF($T98=1,$AU98,VLOOKUP(U98,'Cortes naturales'!$A$25:$C$29,3,9))</f>
        <v>3</v>
      </c>
      <c r="AI98" s="13" t="b">
        <f t="shared" si="35"/>
        <v>1</v>
      </c>
      <c r="AJ98" s="13" t="str">
        <f t="shared" si="36"/>
        <v>Efecto ponderador</v>
      </c>
      <c r="AK98" s="28">
        <v>0.9741882058902549</v>
      </c>
      <c r="AL98" s="28">
        <v>53.28096821389623</v>
      </c>
      <c r="AM98" s="28">
        <v>0.49586273707951289</v>
      </c>
      <c r="AN98" s="13">
        <v>2</v>
      </c>
      <c r="AO98" s="33">
        <f t="shared" si="37"/>
        <v>-1</v>
      </c>
      <c r="AP98" s="13">
        <f t="shared" si="47"/>
        <v>49.586273707951293</v>
      </c>
      <c r="AQ98" s="13">
        <f>IFERROR(VLOOKUP(U98,'Cortes naturales'!$E$15:$G$19,3,9),U98)</f>
        <v>4</v>
      </c>
      <c r="AR98" s="28">
        <f t="shared" si="38"/>
        <v>-0.33094297706557274</v>
      </c>
      <c r="AS98" s="13" t="b">
        <f t="shared" si="39"/>
        <v>0</v>
      </c>
      <c r="AT98" s="13" t="str">
        <f t="shared" si="48"/>
        <v>Cambio en corte</v>
      </c>
      <c r="AU98" s="13">
        <v>2</v>
      </c>
      <c r="AV98">
        <f t="shared" si="40"/>
        <v>-1</v>
      </c>
      <c r="AW98" s="13">
        <v>0</v>
      </c>
      <c r="AX98" s="13">
        <v>0</v>
      </c>
      <c r="AY98" s="13">
        <v>0</v>
      </c>
      <c r="AZ98" s="13">
        <v>0</v>
      </c>
      <c r="BA98">
        <v>0</v>
      </c>
      <c r="BB98" t="s">
        <v>2839</v>
      </c>
      <c r="BC98">
        <v>6</v>
      </c>
      <c r="BD98" t="s">
        <v>2919</v>
      </c>
      <c r="BE98">
        <v>0</v>
      </c>
      <c r="BF98" s="232" t="s">
        <v>2846</v>
      </c>
      <c r="BG98" s="232" t="s">
        <v>2846</v>
      </c>
      <c r="BH98" s="253">
        <v>31.9</v>
      </c>
      <c r="BI98" s="253">
        <v>11.631730374023839</v>
      </c>
      <c r="BJ98" s="25">
        <v>7.2695716532950128</v>
      </c>
      <c r="BK98" t="s">
        <v>377</v>
      </c>
      <c r="BL98">
        <v>11.143224714450058</v>
      </c>
      <c r="BM98" t="s">
        <v>379</v>
      </c>
      <c r="BN98" s="322">
        <v>26899.748249</v>
      </c>
      <c r="BO98" s="322">
        <v>5250.7085230000002</v>
      </c>
      <c r="BP98" s="10">
        <v>14381</v>
      </c>
      <c r="BQ98" s="254">
        <f t="shared" si="41"/>
        <v>1.8705061017314513</v>
      </c>
      <c r="BR98" s="254">
        <f t="shared" si="42"/>
        <v>0.36511428433349558</v>
      </c>
      <c r="BS98" s="25">
        <v>52.76241227831138</v>
      </c>
      <c r="BT98" s="25">
        <v>93.400681769464356</v>
      </c>
      <c r="BU98" s="25">
        <v>47.991813440619858</v>
      </c>
      <c r="BV98" s="25">
        <v>74.124478555714006</v>
      </c>
      <c r="BW98" s="25">
        <v>64.452560246390561</v>
      </c>
      <c r="BX98" s="25">
        <v>67.069846511027407</v>
      </c>
      <c r="BY98" s="25">
        <v>64.984950220377982</v>
      </c>
      <c r="BZ98">
        <v>49</v>
      </c>
      <c r="CA98">
        <v>0</v>
      </c>
      <c r="CB98">
        <v>7</v>
      </c>
      <c r="CC98">
        <v>6233.6104420000001</v>
      </c>
      <c r="CD98" s="10">
        <v>5987.2747319999999</v>
      </c>
      <c r="CE98" s="255">
        <v>0.96048265891941664</v>
      </c>
      <c r="CF98" t="str">
        <f>IFERROR(VLOOKUP(CE98,'Rangos amb etnico'!$A$2:$C$6,3,9),"N.D.")</f>
        <v>71% - 100%</v>
      </c>
      <c r="CG98" s="256">
        <v>1.7419239197524283E-4</v>
      </c>
      <c r="CH98" s="232">
        <v>0</v>
      </c>
      <c r="CI98" s="311">
        <f t="shared" si="49"/>
        <v>0</v>
      </c>
      <c r="CJ98" s="232">
        <f>IFERROR(VLOOKUP(CI98,'Rangos amb etnico'!$A$2:$C$6,3,9),"N.D.")</f>
        <v>0</v>
      </c>
      <c r="CK98" s="311">
        <f t="shared" si="50"/>
        <v>0</v>
      </c>
      <c r="CL98" s="10">
        <v>0</v>
      </c>
      <c r="CM98" s="255">
        <f t="shared" si="51"/>
        <v>0</v>
      </c>
      <c r="CN98" s="232">
        <f>IFERROR(VLOOKUP(CM98,'Rangos amb etnico'!$A$2:$C$6,3,9),"N.D.")</f>
        <v>0</v>
      </c>
      <c r="CO98" s="311">
        <f t="shared" si="52"/>
        <v>0</v>
      </c>
      <c r="CP98">
        <v>0.78902332028952926</v>
      </c>
      <c r="CQ98" t="s">
        <v>2865</v>
      </c>
      <c r="CR98">
        <f t="shared" si="43"/>
        <v>2</v>
      </c>
      <c r="CS98" t="str">
        <f t="shared" si="53"/>
        <v>No es Candidato</v>
      </c>
      <c r="CT98">
        <v>0</v>
      </c>
      <c r="CU98">
        <v>0</v>
      </c>
      <c r="CV98" s="25">
        <v>47.420383453369141</v>
      </c>
      <c r="CW98" s="25">
        <v>37.286140441894531</v>
      </c>
      <c r="CX98" s="25">
        <v>59.030403137207031</v>
      </c>
      <c r="CY98" s="25">
        <v>55.718524932861328</v>
      </c>
      <c r="CZ98" s="25">
        <v>55.83795166015625</v>
      </c>
      <c r="DA98" s="25">
        <v>37.309280395507813</v>
      </c>
      <c r="DB98" s="25">
        <v>39.339996337890618</v>
      </c>
      <c r="DC98">
        <v>630</v>
      </c>
      <c r="DD98" s="253" t="s">
        <v>380</v>
      </c>
    </row>
    <row r="99" spans="1:108" hidden="1">
      <c r="A99" s="13">
        <v>8137</v>
      </c>
      <c r="B99" s="13" t="s">
        <v>657</v>
      </c>
      <c r="C99" s="13" t="s">
        <v>442</v>
      </c>
      <c r="D99" s="13" t="s">
        <v>443</v>
      </c>
      <c r="E99" s="13" t="s">
        <v>658</v>
      </c>
      <c r="F99" s="14">
        <v>50.5463666666667</v>
      </c>
      <c r="G99" s="13">
        <v>47.38</v>
      </c>
      <c r="H99" s="13">
        <v>38.549999999999997</v>
      </c>
      <c r="I99" s="13">
        <v>56.69</v>
      </c>
      <c r="J99" s="14">
        <v>53.511891105533635</v>
      </c>
      <c r="K99" s="14">
        <v>48.856299331413197</v>
      </c>
      <c r="L99" s="14">
        <v>49.879812460546169</v>
      </c>
      <c r="M99" s="14">
        <v>51.473999999999997</v>
      </c>
      <c r="N99" s="14">
        <f t="shared" si="27"/>
        <v>48.291591666666676</v>
      </c>
      <c r="O99" s="14">
        <f t="shared" si="28"/>
        <v>50.930500724373246</v>
      </c>
      <c r="P99" s="14">
        <f t="shared" si="44"/>
        <v>49.611046195519961</v>
      </c>
      <c r="Q99" s="14">
        <v>38.537350900282156</v>
      </c>
      <c r="R99" s="17">
        <f t="shared" si="29"/>
        <v>61.462649099717844</v>
      </c>
      <c r="S99" s="14">
        <f t="shared" si="45"/>
        <v>0.65316384189746057</v>
      </c>
      <c r="T99" s="13">
        <v>0</v>
      </c>
      <c r="U99" s="13">
        <f t="shared" si="46"/>
        <v>32.404141533618215</v>
      </c>
      <c r="V99" s="13">
        <f>IF($T99=1,$AU99,(VLOOKUP(U99,'Cortes naturales'!$A$35:$C$39,3,9)))</f>
        <v>3</v>
      </c>
      <c r="W99" s="13">
        <v>3</v>
      </c>
      <c r="X99" s="14" t="b">
        <f t="shared" si="30"/>
        <v>1</v>
      </c>
      <c r="Y99" s="17">
        <f>IF($T99=1,$AU99,VLOOKUP(U99,'Cortes naturales'!$A$45:$C$49,3,9))</f>
        <v>3</v>
      </c>
      <c r="Z99" s="14">
        <v>49.700959562688951</v>
      </c>
      <c r="AA99" s="14">
        <v>0.66114712439250667</v>
      </c>
      <c r="AB99" s="14">
        <v>32.859646494420055</v>
      </c>
      <c r="AC99" s="13">
        <v>3</v>
      </c>
      <c r="AD99" s="13">
        <f t="shared" si="31"/>
        <v>0</v>
      </c>
      <c r="AE99" s="14">
        <f t="shared" si="32"/>
        <v>-8.9913367168989566E-2</v>
      </c>
      <c r="AF99" s="14">
        <f t="shared" si="33"/>
        <v>-7.9832824950460957E-3</v>
      </c>
      <c r="AG99" s="13">
        <f t="shared" si="34"/>
        <v>-0.45550496080183933</v>
      </c>
      <c r="AH99" s="13">
        <f>IF($T99=1,$AU99,VLOOKUP(U99,'Cortes naturales'!$A$25:$C$29,3,9))</f>
        <v>3</v>
      </c>
      <c r="AI99" s="13" t="b">
        <f t="shared" si="35"/>
        <v>1</v>
      </c>
      <c r="AJ99" s="13">
        <f t="shared" si="36"/>
        <v>0</v>
      </c>
      <c r="AK99" s="28">
        <v>0.9741882058902549</v>
      </c>
      <c r="AL99" s="28">
        <v>48.41808862740006</v>
      </c>
      <c r="AM99" s="28">
        <v>0.43503323941069799</v>
      </c>
      <c r="AN99" s="13">
        <v>3</v>
      </c>
      <c r="AO99" s="33">
        <f t="shared" si="37"/>
        <v>0</v>
      </c>
      <c r="AP99" s="13">
        <f t="shared" si="47"/>
        <v>43.503323941069802</v>
      </c>
      <c r="AQ99" s="13">
        <f>IFERROR(VLOOKUP(U99,'Cortes naturales'!$E$15:$G$19,3,9),U99)</f>
        <v>4</v>
      </c>
      <c r="AR99" s="28">
        <f t="shared" si="38"/>
        <v>-0.32102436399279433</v>
      </c>
      <c r="AS99" s="13" t="b">
        <f t="shared" si="39"/>
        <v>0</v>
      </c>
      <c r="AT99" s="13">
        <f t="shared" si="48"/>
        <v>0</v>
      </c>
      <c r="AU99" s="13">
        <v>3</v>
      </c>
      <c r="AV99">
        <f t="shared" si="40"/>
        <v>0</v>
      </c>
      <c r="AW99" s="13">
        <v>0</v>
      </c>
      <c r="AX99" s="13">
        <v>0</v>
      </c>
      <c r="AY99" s="13">
        <v>0</v>
      </c>
      <c r="AZ99" s="13">
        <v>0</v>
      </c>
      <c r="BA99">
        <v>0</v>
      </c>
      <c r="BB99" t="s">
        <v>2839</v>
      </c>
      <c r="BC99">
        <v>6</v>
      </c>
      <c r="BD99" t="s">
        <v>2919</v>
      </c>
      <c r="BE99">
        <v>1</v>
      </c>
      <c r="BF99" s="232" t="s">
        <v>2846</v>
      </c>
      <c r="BG99" s="232" t="s">
        <v>2846</v>
      </c>
      <c r="BH99" s="253">
        <v>64.599999999999994</v>
      </c>
      <c r="BI99" s="253">
        <v>34.980271810609381</v>
      </c>
      <c r="BJ99" s="25">
        <v>4.4295491143317225</v>
      </c>
      <c r="BK99" t="s">
        <v>381</v>
      </c>
      <c r="BL99">
        <v>0.40189845725859863</v>
      </c>
      <c r="BM99" t="s">
        <v>383</v>
      </c>
      <c r="BN99" s="322">
        <v>50122.570016999998</v>
      </c>
      <c r="BO99" s="322">
        <v>1650.328432</v>
      </c>
      <c r="BP99" s="10">
        <v>26781</v>
      </c>
      <c r="BQ99" s="254">
        <f t="shared" si="41"/>
        <v>1.871572010641873</v>
      </c>
      <c r="BR99" s="254">
        <f t="shared" si="42"/>
        <v>6.1623107128187894E-2</v>
      </c>
      <c r="BS99" s="25">
        <v>65.082613305893076</v>
      </c>
      <c r="BT99" s="25">
        <v>96.785109999999989</v>
      </c>
      <c r="BU99" s="25">
        <v>42.679198826449998</v>
      </c>
      <c r="BV99" s="25">
        <v>95.695871526993031</v>
      </c>
      <c r="BW99" s="25">
        <v>31.52749099234925</v>
      </c>
      <c r="BX99" s="25">
        <v>75.060698414834022</v>
      </c>
      <c r="BY99" s="25">
        <v>32.465420919925577</v>
      </c>
      <c r="BZ99">
        <v>77</v>
      </c>
      <c r="CA99">
        <v>0</v>
      </c>
      <c r="CB99">
        <v>7</v>
      </c>
      <c r="CC99">
        <v>9991.9317269999992</v>
      </c>
      <c r="CD99" s="10">
        <v>1184.6663160000001</v>
      </c>
      <c r="CE99" s="255">
        <v>0.11856229089304306</v>
      </c>
      <c r="CF99" t="str">
        <f>IFERROR(VLOOKUP(CE99,'Rangos amb etnico'!$A$2:$C$6,3,9),"N.D.")</f>
        <v>0,1% - 30%</v>
      </c>
      <c r="CG99" s="256">
        <v>3.4466408927857246E-5</v>
      </c>
      <c r="CH99" s="232">
        <v>0</v>
      </c>
      <c r="CI99" s="311">
        <f t="shared" si="49"/>
        <v>0</v>
      </c>
      <c r="CJ99" s="232">
        <f>IFERROR(VLOOKUP(CI99,'Rangos amb etnico'!$A$2:$C$6,3,9),"N.D.")</f>
        <v>0</v>
      </c>
      <c r="CK99" s="311">
        <f t="shared" si="50"/>
        <v>0</v>
      </c>
      <c r="CL99" s="10">
        <v>0</v>
      </c>
      <c r="CM99" s="255">
        <f t="shared" si="51"/>
        <v>0</v>
      </c>
      <c r="CN99" s="232">
        <f>IFERROR(VLOOKUP(CM99,'Rangos amb etnico'!$A$2:$C$6,3,9),"N.D.")</f>
        <v>0</v>
      </c>
      <c r="CO99" s="311">
        <f t="shared" si="52"/>
        <v>0</v>
      </c>
      <c r="CP99">
        <v>0.93256540867275484</v>
      </c>
      <c r="CQ99" t="s">
        <v>2864</v>
      </c>
      <c r="CR99">
        <f t="shared" si="43"/>
        <v>1</v>
      </c>
      <c r="CS99" t="str">
        <f t="shared" si="53"/>
        <v>No es Candidato</v>
      </c>
      <c r="CT99">
        <v>0</v>
      </c>
      <c r="CU99">
        <v>0</v>
      </c>
      <c r="CV99" s="25">
        <v>51.141014099121087</v>
      </c>
      <c r="CW99" s="25">
        <v>24.756967544555661</v>
      </c>
      <c r="CX99" s="25">
        <v>55.793140411376953</v>
      </c>
      <c r="CY99" s="25">
        <v>44.157371520996087</v>
      </c>
      <c r="CZ99" s="25">
        <v>42.070167541503913</v>
      </c>
      <c r="DA99" s="25">
        <v>73.217658996582031</v>
      </c>
      <c r="DB99" s="25">
        <v>66.85076904296875</v>
      </c>
      <c r="DC99">
        <v>1246</v>
      </c>
      <c r="DD99" s="253" t="s">
        <v>380</v>
      </c>
    </row>
    <row r="100" spans="1:108" hidden="1">
      <c r="A100" s="13">
        <v>76036</v>
      </c>
      <c r="B100" s="13" t="s">
        <v>659</v>
      </c>
      <c r="C100" s="13" t="s">
        <v>454</v>
      </c>
      <c r="D100" s="13" t="s">
        <v>455</v>
      </c>
      <c r="E100" s="13" t="s">
        <v>660</v>
      </c>
      <c r="F100" s="14">
        <v>68.669899999999998</v>
      </c>
      <c r="G100" s="13">
        <v>61.54</v>
      </c>
      <c r="H100" s="13">
        <v>60.96</v>
      </c>
      <c r="I100" s="13">
        <v>74.25</v>
      </c>
      <c r="J100" s="14">
        <v>49.168958633560443</v>
      </c>
      <c r="K100" s="14">
        <v>55.34823338068226</v>
      </c>
      <c r="L100" s="14">
        <v>59.397264617249505</v>
      </c>
      <c r="M100" s="14">
        <v>54.8992</v>
      </c>
      <c r="N100" s="14">
        <f t="shared" si="27"/>
        <v>66.354974999999996</v>
      </c>
      <c r="O100" s="14">
        <f t="shared" si="28"/>
        <v>54.703414157873056</v>
      </c>
      <c r="P100" s="14">
        <f t="shared" si="44"/>
        <v>60.529194578936526</v>
      </c>
      <c r="Q100" s="14">
        <v>39.107184571935164</v>
      </c>
      <c r="R100" s="17">
        <f t="shared" si="29"/>
        <v>60.892815428064836</v>
      </c>
      <c r="S100" s="14">
        <f t="shared" si="45"/>
        <v>0.64803533885258358</v>
      </c>
      <c r="T100" s="13">
        <v>0</v>
      </c>
      <c r="U100" s="13">
        <f t="shared" si="46"/>
        <v>39.2250571194351</v>
      </c>
      <c r="V100" s="13">
        <f>IF($T100=1,$AU100,(VLOOKUP(U100,'Cortes naturales'!$A$35:$C$39,3,9)))</f>
        <v>2</v>
      </c>
      <c r="W100" s="13">
        <v>2</v>
      </c>
      <c r="X100" s="14" t="b">
        <f t="shared" si="30"/>
        <v>1</v>
      </c>
      <c r="Y100" s="17">
        <f>IF($T100=1,$AU100,VLOOKUP(U100,'Cortes naturales'!$A$45:$C$49,3,9))</f>
        <v>2</v>
      </c>
      <c r="Z100" s="14">
        <v>59.97561429161501</v>
      </c>
      <c r="AA100" s="14">
        <v>0.65967249209331358</v>
      </c>
      <c r="AB100" s="14">
        <v>39.564262944577024</v>
      </c>
      <c r="AC100" s="13">
        <v>2</v>
      </c>
      <c r="AD100" s="13">
        <f t="shared" si="31"/>
        <v>0</v>
      </c>
      <c r="AE100" s="14">
        <f t="shared" si="32"/>
        <v>0.5535802873215161</v>
      </c>
      <c r="AF100" s="14">
        <f t="shared" si="33"/>
        <v>-1.1637153240730003E-2</v>
      </c>
      <c r="AG100" s="13">
        <f t="shared" si="34"/>
        <v>-0.33920582514192432</v>
      </c>
      <c r="AH100" s="13">
        <f>IF($T100=1,$AU100,VLOOKUP(U100,'Cortes naturales'!$A$25:$C$29,3,9))</f>
        <v>2</v>
      </c>
      <c r="AI100" s="13" t="b">
        <f t="shared" si="35"/>
        <v>1</v>
      </c>
      <c r="AJ100" s="13">
        <f t="shared" si="36"/>
        <v>0</v>
      </c>
      <c r="AK100" s="28">
        <v>0.9741882058902549</v>
      </c>
      <c r="AL100" s="28">
        <v>58.427536083914354</v>
      </c>
      <c r="AM100" s="28">
        <v>0.56024087613954976</v>
      </c>
      <c r="AN100" s="13">
        <v>2</v>
      </c>
      <c r="AO100" s="33">
        <f t="shared" si="37"/>
        <v>0</v>
      </c>
      <c r="AP100" s="13">
        <f t="shared" si="47"/>
        <v>56.024087613954975</v>
      </c>
      <c r="AQ100" s="13">
        <f>IFERROR(VLOOKUP(U100,'Cortes naturales'!$E$15:$G$19,3,9),U100)</f>
        <v>3</v>
      </c>
      <c r="AR100" s="28">
        <f t="shared" si="38"/>
        <v>-0.32615286703767132</v>
      </c>
      <c r="AS100" s="13" t="b">
        <f t="shared" si="39"/>
        <v>0</v>
      </c>
      <c r="AT100" s="13">
        <f t="shared" si="48"/>
        <v>0</v>
      </c>
      <c r="AU100" s="13">
        <v>2</v>
      </c>
      <c r="AV100">
        <f t="shared" si="40"/>
        <v>0</v>
      </c>
      <c r="AW100" s="13">
        <v>0</v>
      </c>
      <c r="AX100" s="13">
        <v>0</v>
      </c>
      <c r="AY100" s="13">
        <v>0</v>
      </c>
      <c r="AZ100" s="13">
        <v>0</v>
      </c>
      <c r="BA100">
        <v>0</v>
      </c>
      <c r="BB100" t="s">
        <v>2839</v>
      </c>
      <c r="BC100">
        <v>6</v>
      </c>
      <c r="BD100" s="184" t="s">
        <v>2917</v>
      </c>
      <c r="BE100">
        <v>1</v>
      </c>
      <c r="BF100" s="232" t="s">
        <v>2846</v>
      </c>
      <c r="BG100" s="232" t="s">
        <v>2846</v>
      </c>
      <c r="BH100" s="253">
        <v>15.3</v>
      </c>
      <c r="BI100" s="253">
        <v>5.8508583098747033</v>
      </c>
      <c r="BJ100" s="25">
        <v>4.2735117260176967</v>
      </c>
      <c r="BK100" t="s">
        <v>381</v>
      </c>
      <c r="BL100">
        <v>5.2786330526129115</v>
      </c>
      <c r="BM100" t="s">
        <v>383</v>
      </c>
      <c r="BN100" s="322">
        <v>32645.728779000001</v>
      </c>
      <c r="BO100" s="322">
        <v>9583.1652809999996</v>
      </c>
      <c r="BP100" s="10">
        <v>24590</v>
      </c>
      <c r="BQ100" s="254">
        <f t="shared" si="41"/>
        <v>1.3276018210248068</v>
      </c>
      <c r="BR100" s="254">
        <f t="shared" si="42"/>
        <v>0.38971798621390807</v>
      </c>
      <c r="BS100" s="25">
        <v>54.054894759689446</v>
      </c>
      <c r="BT100" s="25">
        <v>71.664633319777693</v>
      </c>
      <c r="BU100" s="25">
        <v>48.560465116279069</v>
      </c>
      <c r="BV100" s="25">
        <v>85.448081596581801</v>
      </c>
      <c r="BW100" s="25">
        <v>55.103569814831992</v>
      </c>
      <c r="BX100" s="25">
        <v>64.932018698082004</v>
      </c>
      <c r="BY100" s="25">
        <v>54.032698458704857</v>
      </c>
      <c r="BZ100">
        <v>66</v>
      </c>
      <c r="CA100">
        <v>0</v>
      </c>
      <c r="CB100">
        <v>7</v>
      </c>
      <c r="CC100">
        <v>11043.532442</v>
      </c>
      <c r="CD100" s="10">
        <v>1802.761585</v>
      </c>
      <c r="CE100" s="255">
        <v>0.16324138987846512</v>
      </c>
      <c r="CF100" t="str">
        <f>IFERROR(VLOOKUP(CE100,'Rangos amb etnico'!$A$2:$C$6,3,9),"N.D.")</f>
        <v>0,1% - 30%</v>
      </c>
      <c r="CG100" s="256">
        <v>5.2449130315309886E-5</v>
      </c>
      <c r="CH100" s="232">
        <v>3.099043</v>
      </c>
      <c r="CI100" s="311">
        <f t="shared" si="49"/>
        <v>2.8062062716580917E-4</v>
      </c>
      <c r="CJ100" s="232">
        <f>IFERROR(VLOOKUP(CI100,'Rangos amb etnico'!$A$2:$C$6,3,9),"N.D.")</f>
        <v>0</v>
      </c>
      <c r="CK100" s="311">
        <f t="shared" si="50"/>
        <v>1.2305229715582595E-7</v>
      </c>
      <c r="CL100" s="10">
        <v>0</v>
      </c>
      <c r="CM100" s="255">
        <f t="shared" si="51"/>
        <v>0</v>
      </c>
      <c r="CN100" s="232">
        <f>IFERROR(VLOOKUP(CM100,'Rangos amb etnico'!$A$2:$C$6,3,9),"N.D.")</f>
        <v>0</v>
      </c>
      <c r="CO100" s="311">
        <f t="shared" si="52"/>
        <v>0</v>
      </c>
      <c r="CP100">
        <v>0.93749371989393582</v>
      </c>
      <c r="CQ100" t="s">
        <v>2864</v>
      </c>
      <c r="CR100">
        <f t="shared" si="43"/>
        <v>2</v>
      </c>
      <c r="CS100" t="str">
        <f t="shared" si="53"/>
        <v>No es Candidato</v>
      </c>
      <c r="CT100">
        <v>0</v>
      </c>
      <c r="CU100">
        <v>0</v>
      </c>
      <c r="CV100" s="25">
        <v>52.833263397216797</v>
      </c>
      <c r="CW100" s="25">
        <v>39.683910369873047</v>
      </c>
      <c r="CX100" s="25">
        <v>56.681167602539063</v>
      </c>
      <c r="CY100" s="25">
        <v>64.393798828125</v>
      </c>
      <c r="CZ100" s="25">
        <v>58.356864929199219</v>
      </c>
      <c r="DA100" s="25">
        <v>51.332969665527337</v>
      </c>
      <c r="DB100" s="25">
        <v>46.550876617431641</v>
      </c>
      <c r="DC100">
        <v>15262</v>
      </c>
      <c r="DD100" s="253" t="s">
        <v>380</v>
      </c>
    </row>
    <row r="101" spans="1:108" hidden="1">
      <c r="A101" s="13">
        <v>63594</v>
      </c>
      <c r="B101" s="13" t="s">
        <v>661</v>
      </c>
      <c r="C101" s="13" t="s">
        <v>473</v>
      </c>
      <c r="D101" s="13" t="s">
        <v>474</v>
      </c>
      <c r="E101" s="13" t="s">
        <v>662</v>
      </c>
      <c r="F101" s="14">
        <v>57.4232333333333</v>
      </c>
      <c r="G101" s="13">
        <v>59.28</v>
      </c>
      <c r="H101" s="13">
        <v>65.59</v>
      </c>
      <c r="I101" s="13">
        <v>65.28</v>
      </c>
      <c r="J101" s="14">
        <v>59.221827380067239</v>
      </c>
      <c r="K101" s="14">
        <v>52.739464368612772</v>
      </c>
      <c r="L101" s="14">
        <v>51.195118400677885</v>
      </c>
      <c r="M101" s="14">
        <v>55.348700000000001</v>
      </c>
      <c r="N101" s="14">
        <f t="shared" si="27"/>
        <v>61.89330833333333</v>
      </c>
      <c r="O101" s="14">
        <f t="shared" si="28"/>
        <v>54.626277537339476</v>
      </c>
      <c r="P101" s="14">
        <f t="shared" si="44"/>
        <v>58.259792935336407</v>
      </c>
      <c r="Q101" s="14">
        <v>39.624087927902139</v>
      </c>
      <c r="R101" s="17">
        <f t="shared" si="29"/>
        <v>60.375912072097861</v>
      </c>
      <c r="S101" s="14">
        <f t="shared" si="45"/>
        <v>0.64338320864888077</v>
      </c>
      <c r="T101" s="13">
        <v>0</v>
      </c>
      <c r="U101" s="13">
        <f t="shared" si="46"/>
        <v>37.483372513956134</v>
      </c>
      <c r="V101" s="13">
        <f>IF($T101=1,$AU101,(VLOOKUP(U101,'Cortes naturales'!$A$35:$C$39,3,9)))</f>
        <v>3</v>
      </c>
      <c r="W101" s="13">
        <v>3</v>
      </c>
      <c r="X101" s="14" t="b">
        <f t="shared" si="30"/>
        <v>1</v>
      </c>
      <c r="Y101" s="17">
        <f>IF($T101=1,$AU101,VLOOKUP(U101,'Cortes naturales'!$A$45:$C$49,3,9))</f>
        <v>2</v>
      </c>
      <c r="Z101" s="14">
        <v>57.241971001319953</v>
      </c>
      <c r="AA101" s="14">
        <v>0.65946556055414496</v>
      </c>
      <c r="AB101" s="14">
        <v>37.749108493609576</v>
      </c>
      <c r="AC101" s="13">
        <v>2</v>
      </c>
      <c r="AD101" s="13">
        <f t="shared" si="31"/>
        <v>0</v>
      </c>
      <c r="AE101" s="14">
        <f t="shared" si="32"/>
        <v>1.0178219340164532</v>
      </c>
      <c r="AF101" s="14">
        <f t="shared" si="33"/>
        <v>-1.6082351905264192E-2</v>
      </c>
      <c r="AG101" s="13">
        <f t="shared" si="34"/>
        <v>-0.2657359796534422</v>
      </c>
      <c r="AH101" s="13">
        <f>IF($T101=1,$AU101,VLOOKUP(U101,'Cortes naturales'!$A$25:$C$29,3,9))</f>
        <v>2</v>
      </c>
      <c r="AI101" s="13" t="b">
        <f t="shared" si="35"/>
        <v>1</v>
      </c>
      <c r="AJ101" s="13">
        <f t="shared" si="36"/>
        <v>0</v>
      </c>
      <c r="AK101" s="28">
        <v>0.9741882058902549</v>
      </c>
      <c r="AL101" s="28">
        <v>55.764453031397885</v>
      </c>
      <c r="AM101" s="28">
        <v>0.52692851430670584</v>
      </c>
      <c r="AN101" s="13">
        <v>2</v>
      </c>
      <c r="AO101" s="33">
        <f t="shared" si="37"/>
        <v>0</v>
      </c>
      <c r="AP101" s="13">
        <f t="shared" si="47"/>
        <v>52.692851430670586</v>
      </c>
      <c r="AQ101" s="13">
        <f>IFERROR(VLOOKUP(U101,'Cortes naturales'!$E$15:$G$19,3,9),U101)</f>
        <v>3</v>
      </c>
      <c r="AR101" s="28">
        <f t="shared" si="38"/>
        <v>-0.33080499724137413</v>
      </c>
      <c r="AS101" s="13" t="b">
        <f t="shared" si="39"/>
        <v>0</v>
      </c>
      <c r="AT101" s="13">
        <f t="shared" si="48"/>
        <v>0</v>
      </c>
      <c r="AU101" s="13">
        <v>2</v>
      </c>
      <c r="AV101">
        <f t="shared" si="40"/>
        <v>0</v>
      </c>
      <c r="AW101" s="13">
        <v>0</v>
      </c>
      <c r="AX101" s="13">
        <v>0</v>
      </c>
      <c r="AY101" s="13">
        <v>0</v>
      </c>
      <c r="AZ101" s="13">
        <v>0</v>
      </c>
      <c r="BA101">
        <v>0</v>
      </c>
      <c r="BB101" t="s">
        <v>2839</v>
      </c>
      <c r="BC101">
        <v>6</v>
      </c>
      <c r="BD101" t="s">
        <v>2919</v>
      </c>
      <c r="BE101">
        <v>1</v>
      </c>
      <c r="BF101" s="232" t="s">
        <v>2846</v>
      </c>
      <c r="BG101" s="232" t="s">
        <v>2846</v>
      </c>
      <c r="BH101" s="253">
        <v>22</v>
      </c>
      <c r="BI101" s="253">
        <v>7.6044577855984539</v>
      </c>
      <c r="BJ101" s="25">
        <v>0</v>
      </c>
      <c r="BK101" t="s">
        <v>381</v>
      </c>
      <c r="BL101">
        <v>7.778952858652084</v>
      </c>
      <c r="BM101" t="s">
        <v>379</v>
      </c>
      <c r="BN101" s="322">
        <v>55811.217793999997</v>
      </c>
      <c r="BO101" s="322">
        <v>12483.972812</v>
      </c>
      <c r="BP101" s="10">
        <v>31400</v>
      </c>
      <c r="BQ101" s="254">
        <f t="shared" si="41"/>
        <v>1.7774273182802547</v>
      </c>
      <c r="BR101" s="254">
        <f t="shared" si="42"/>
        <v>0.3975787519745223</v>
      </c>
      <c r="BS101" s="25">
        <v>73.749903050817821</v>
      </c>
      <c r="BT101" s="25">
        <v>90.272804543524401</v>
      </c>
      <c r="BU101" s="25">
        <v>67.175685154975497</v>
      </c>
      <c r="BV101" s="25">
        <v>83.986915476943736</v>
      </c>
      <c r="BW101" s="25">
        <v>57.43027840104989</v>
      </c>
      <c r="BX101" s="25">
        <v>78.79632705656536</v>
      </c>
      <c r="BY101" s="25">
        <v>58.446261690975078</v>
      </c>
      <c r="BZ101">
        <v>16</v>
      </c>
      <c r="CA101">
        <v>0</v>
      </c>
      <c r="CB101">
        <v>7</v>
      </c>
      <c r="CC101">
        <v>13322.775221</v>
      </c>
      <c r="CD101" s="10">
        <v>4047.0484959999999</v>
      </c>
      <c r="CE101" s="255">
        <v>0.30376917938395054</v>
      </c>
      <c r="CF101" t="str">
        <f>IFERROR(VLOOKUP(CE101,'Rangos amb etnico'!$A$2:$C$6,3,9),"N.D.")</f>
        <v>0,1% - 30%</v>
      </c>
      <c r="CG101" s="256">
        <v>1.1774389676662811E-4</v>
      </c>
      <c r="CH101" s="232">
        <v>0</v>
      </c>
      <c r="CI101" s="311">
        <f t="shared" si="49"/>
        <v>0</v>
      </c>
      <c r="CJ101" s="232">
        <f>IFERROR(VLOOKUP(CI101,'Rangos amb etnico'!$A$2:$C$6,3,9),"N.D.")</f>
        <v>0</v>
      </c>
      <c r="CK101" s="311">
        <f t="shared" si="50"/>
        <v>0</v>
      </c>
      <c r="CL101" s="10">
        <v>0</v>
      </c>
      <c r="CM101" s="255">
        <f t="shared" si="51"/>
        <v>0</v>
      </c>
      <c r="CN101" s="232">
        <f>IFERROR(VLOOKUP(CM101,'Rangos amb etnico'!$A$2:$C$6,3,9),"N.D.")</f>
        <v>0</v>
      </c>
      <c r="CO101" s="311">
        <f t="shared" si="52"/>
        <v>0</v>
      </c>
      <c r="CP101">
        <v>0.8593214904090789</v>
      </c>
      <c r="CQ101" t="s">
        <v>2864</v>
      </c>
      <c r="CR101">
        <f t="shared" si="43"/>
        <v>2</v>
      </c>
      <c r="CS101" t="str">
        <f t="shared" si="53"/>
        <v>No es Candidato</v>
      </c>
      <c r="CT101">
        <v>0</v>
      </c>
      <c r="CU101">
        <v>0</v>
      </c>
      <c r="CV101" s="25">
        <v>52.942569732666023</v>
      </c>
      <c r="CW101" s="25">
        <v>38.113372802734382</v>
      </c>
      <c r="CX101" s="25">
        <v>60.202480316162109</v>
      </c>
      <c r="CY101" s="25">
        <v>81.209800720214844</v>
      </c>
      <c r="CZ101" s="25">
        <v>63.221576690673828</v>
      </c>
      <c r="DA101" s="25">
        <v>28.185445785522461</v>
      </c>
      <c r="DB101" s="25">
        <v>46.722751617431641</v>
      </c>
      <c r="DC101">
        <v>468</v>
      </c>
      <c r="DD101" s="253" t="s">
        <v>380</v>
      </c>
    </row>
    <row r="102" spans="1:108" hidden="1">
      <c r="A102" s="13">
        <v>68432</v>
      </c>
      <c r="B102" s="13" t="s">
        <v>663</v>
      </c>
      <c r="C102" s="13" t="s">
        <v>431</v>
      </c>
      <c r="D102" s="13" t="s">
        <v>432</v>
      </c>
      <c r="E102" s="13" t="s">
        <v>664</v>
      </c>
      <c r="F102" s="14">
        <v>54.680300000000003</v>
      </c>
      <c r="G102" s="13">
        <v>58.36</v>
      </c>
      <c r="H102" s="13">
        <v>44.93</v>
      </c>
      <c r="I102" s="13">
        <v>55.53</v>
      </c>
      <c r="J102" s="14">
        <v>56.044445261455529</v>
      </c>
      <c r="K102" s="14">
        <v>53.493382803515907</v>
      </c>
      <c r="L102" s="14">
        <v>61.311257349476705</v>
      </c>
      <c r="M102" s="14">
        <v>57.9514</v>
      </c>
      <c r="N102" s="14">
        <f t="shared" si="27"/>
        <v>53.375075000000002</v>
      </c>
      <c r="O102" s="14">
        <f t="shared" si="28"/>
        <v>57.20012135361204</v>
      </c>
      <c r="P102" s="14">
        <f t="shared" si="44"/>
        <v>55.287598176806021</v>
      </c>
      <c r="Q102" s="14">
        <v>39.048041918424389</v>
      </c>
      <c r="R102" s="17">
        <f t="shared" si="29"/>
        <v>60.951958081575611</v>
      </c>
      <c r="S102" s="14">
        <f t="shared" si="45"/>
        <v>0.64856762273418045</v>
      </c>
      <c r="T102" s="13">
        <v>0</v>
      </c>
      <c r="U102" s="13">
        <f t="shared" si="46"/>
        <v>35.85774611621369</v>
      </c>
      <c r="V102" s="13">
        <f>IF($T102=1,$AU102,(VLOOKUP(U102,'Cortes naturales'!$A$35:$C$39,3,9)))</f>
        <v>3</v>
      </c>
      <c r="W102" s="13">
        <v>3</v>
      </c>
      <c r="X102" s="14" t="b">
        <f t="shared" si="30"/>
        <v>1</v>
      </c>
      <c r="Y102" s="17">
        <f>IF($T102=1,$AU102,VLOOKUP(U102,'Cortes naturales'!$A$45:$C$49,3,9))</f>
        <v>2</v>
      </c>
      <c r="Z102" s="14">
        <v>54.672823789684543</v>
      </c>
      <c r="AA102" s="14">
        <v>0.65760493973404277</v>
      </c>
      <c r="AB102" s="14">
        <v>35.953118993305445</v>
      </c>
      <c r="AC102" s="13">
        <v>2</v>
      </c>
      <c r="AD102" s="13">
        <f t="shared" si="31"/>
        <v>0</v>
      </c>
      <c r="AE102" s="14">
        <f t="shared" si="32"/>
        <v>0.61477438712147858</v>
      </c>
      <c r="AF102" s="14">
        <f t="shared" si="33"/>
        <v>-9.0373169998623215E-3</v>
      </c>
      <c r="AG102" s="13">
        <f t="shared" si="34"/>
        <v>-9.5372877091755015E-2</v>
      </c>
      <c r="AH102" s="13">
        <f>IF($T102=1,$AU102,VLOOKUP(U102,'Cortes naturales'!$A$25:$C$29,3,9))</f>
        <v>2</v>
      </c>
      <c r="AI102" s="13" t="b">
        <f t="shared" si="35"/>
        <v>1</v>
      </c>
      <c r="AJ102" s="13">
        <f t="shared" si="36"/>
        <v>0</v>
      </c>
      <c r="AK102" s="28">
        <v>0.9741882058902549</v>
      </c>
      <c r="AL102" s="28">
        <v>53.26162011862683</v>
      </c>
      <c r="AM102" s="28">
        <v>0.49562071280250752</v>
      </c>
      <c r="AN102" s="13">
        <v>2</v>
      </c>
      <c r="AO102" s="33">
        <f t="shared" si="37"/>
        <v>0</v>
      </c>
      <c r="AP102" s="13">
        <f t="shared" si="47"/>
        <v>49.562071280250755</v>
      </c>
      <c r="AQ102" s="13">
        <f>IFERROR(VLOOKUP(U102,'Cortes naturales'!$E$15:$G$19,3,9),U102)</f>
        <v>3</v>
      </c>
      <c r="AR102" s="28">
        <f t="shared" si="38"/>
        <v>-0.32562058315607445</v>
      </c>
      <c r="AS102" s="13" t="b">
        <f t="shared" si="39"/>
        <v>0</v>
      </c>
      <c r="AT102" s="13">
        <f t="shared" si="48"/>
        <v>0</v>
      </c>
      <c r="AU102" s="13">
        <v>2</v>
      </c>
      <c r="AV102">
        <f t="shared" si="40"/>
        <v>0</v>
      </c>
      <c r="AW102" s="13">
        <v>0</v>
      </c>
      <c r="AX102" s="13">
        <v>0</v>
      </c>
      <c r="AY102" s="13">
        <v>0</v>
      </c>
      <c r="AZ102" s="13">
        <v>0</v>
      </c>
      <c r="BA102">
        <v>0</v>
      </c>
      <c r="BB102" t="s">
        <v>2838</v>
      </c>
      <c r="BC102">
        <v>6</v>
      </c>
      <c r="BD102" t="s">
        <v>2920</v>
      </c>
      <c r="BE102">
        <v>0</v>
      </c>
      <c r="BF102" s="232" t="s">
        <v>2846</v>
      </c>
      <c r="BG102" s="232" t="s">
        <v>2846</v>
      </c>
      <c r="BH102" s="253">
        <v>19.3</v>
      </c>
      <c r="BI102" s="253">
        <v>7.6404149844125309</v>
      </c>
      <c r="BJ102" s="25">
        <v>2.0005555555555556</v>
      </c>
      <c r="BK102" t="s">
        <v>381</v>
      </c>
      <c r="BL102">
        <v>0.39423703839620755</v>
      </c>
      <c r="BM102" t="s">
        <v>383</v>
      </c>
      <c r="BN102" s="322">
        <v>39840.400077999999</v>
      </c>
      <c r="BO102" s="322">
        <v>6036.7889560000003</v>
      </c>
      <c r="BP102" s="10">
        <v>23796</v>
      </c>
      <c r="BQ102" s="254">
        <f t="shared" si="41"/>
        <v>1.6742477760127752</v>
      </c>
      <c r="BR102" s="254">
        <f t="shared" si="42"/>
        <v>0.253689231635569</v>
      </c>
      <c r="BS102" s="25">
        <v>80.181419113413924</v>
      </c>
      <c r="BT102" s="25">
        <v>93.731847030873539</v>
      </c>
      <c r="BU102" s="25">
        <v>59.169999999999987</v>
      </c>
      <c r="BV102" s="25">
        <v>95.007387956478098</v>
      </c>
      <c r="BW102" s="25">
        <v>57.782020791828963</v>
      </c>
      <c r="BX102" s="25">
        <v>82.02266352519139</v>
      </c>
      <c r="BY102" s="25">
        <v>59.44100495168459</v>
      </c>
      <c r="BZ102">
        <v>58</v>
      </c>
      <c r="CA102">
        <v>1</v>
      </c>
      <c r="CB102">
        <v>5</v>
      </c>
      <c r="CC102">
        <v>5707.1661089999998</v>
      </c>
      <c r="CD102" s="10">
        <v>1320.3725360000001</v>
      </c>
      <c r="CE102" s="255">
        <v>0.23135344421074747</v>
      </c>
      <c r="CF102" t="str">
        <f>IFERROR(VLOOKUP(CE102,'Rangos amb etnico'!$A$2:$C$6,3,9),"N.D.")</f>
        <v>0,1% - 30%</v>
      </c>
      <c r="CG102" s="256">
        <v>3.8414614434675897E-5</v>
      </c>
      <c r="CH102" s="232">
        <v>0</v>
      </c>
      <c r="CI102" s="311">
        <f t="shared" si="49"/>
        <v>0</v>
      </c>
      <c r="CJ102" s="232">
        <f>IFERROR(VLOOKUP(CI102,'Rangos amb etnico'!$A$2:$C$6,3,9),"N.D.")</f>
        <v>0</v>
      </c>
      <c r="CK102" s="311">
        <f t="shared" si="50"/>
        <v>0</v>
      </c>
      <c r="CL102" s="10">
        <v>0</v>
      </c>
      <c r="CM102" s="255">
        <f t="shared" si="51"/>
        <v>0</v>
      </c>
      <c r="CN102" s="232">
        <f>IFERROR(VLOOKUP(CM102,'Rangos amb etnico'!$A$2:$C$6,3,9),"N.D.")</f>
        <v>0</v>
      </c>
      <c r="CO102" s="311">
        <f t="shared" si="52"/>
        <v>0</v>
      </c>
      <c r="CP102">
        <v>0.93865859542507568</v>
      </c>
      <c r="CQ102" t="s">
        <v>2864</v>
      </c>
      <c r="CR102">
        <f t="shared" si="43"/>
        <v>1</v>
      </c>
      <c r="CS102" t="str">
        <f t="shared" si="53"/>
        <v>No es Candidato</v>
      </c>
      <c r="CT102">
        <v>0</v>
      </c>
      <c r="CU102">
        <v>0</v>
      </c>
      <c r="CV102" s="25">
        <v>58.933937072753913</v>
      </c>
      <c r="CW102" s="25">
        <v>33.975162506103523</v>
      </c>
      <c r="CX102" s="25">
        <v>61.721286773681641</v>
      </c>
      <c r="CY102" s="25">
        <v>82.429878234863281</v>
      </c>
      <c r="CZ102" s="25">
        <v>60.264629364013672</v>
      </c>
      <c r="DA102" s="25">
        <v>65.40789794921875</v>
      </c>
      <c r="DB102" s="25">
        <v>49.804767608642578</v>
      </c>
      <c r="DC102">
        <v>142</v>
      </c>
      <c r="DD102" s="253" t="s">
        <v>380</v>
      </c>
    </row>
    <row r="103" spans="1:108" hidden="1">
      <c r="A103" s="13">
        <v>23670</v>
      </c>
      <c r="B103" s="13" t="s">
        <v>665</v>
      </c>
      <c r="C103" s="13" t="s">
        <v>567</v>
      </c>
      <c r="D103" s="13" t="s">
        <v>568</v>
      </c>
      <c r="E103" s="13" t="s">
        <v>666</v>
      </c>
      <c r="F103" s="14">
        <v>55.746033333333301</v>
      </c>
      <c r="G103" s="13">
        <v>46.74</v>
      </c>
      <c r="H103" s="13">
        <v>42.34</v>
      </c>
      <c r="I103" s="13">
        <v>43.15</v>
      </c>
      <c r="J103" s="14">
        <v>63.373986487267125</v>
      </c>
      <c r="K103" s="14">
        <v>54.993615815801078</v>
      </c>
      <c r="L103" s="14">
        <v>63.650121114702955</v>
      </c>
      <c r="M103" s="14">
        <v>54.614699999999999</v>
      </c>
      <c r="N103" s="14">
        <f t="shared" si="27"/>
        <v>46.994008333333326</v>
      </c>
      <c r="O103" s="14">
        <f t="shared" si="28"/>
        <v>59.158105854442788</v>
      </c>
      <c r="P103" s="14">
        <f t="shared" si="44"/>
        <v>53.076057093888053</v>
      </c>
      <c r="Q103" s="14">
        <v>39.291956412082463</v>
      </c>
      <c r="R103" s="17">
        <f t="shared" si="29"/>
        <v>60.708043587917537</v>
      </c>
      <c r="S103" s="14">
        <f t="shared" si="45"/>
        <v>0.64637239229125787</v>
      </c>
      <c r="T103" s="13">
        <v>0</v>
      </c>
      <c r="U103" s="13">
        <f t="shared" si="46"/>
        <v>34.306897997163809</v>
      </c>
      <c r="V103" s="13">
        <f>IF($T103=1,$AU103,(VLOOKUP(U103,'Cortes naturales'!$A$35:$C$39,3,9)))</f>
        <v>3</v>
      </c>
      <c r="W103" s="13">
        <v>3</v>
      </c>
      <c r="X103" s="14" t="b">
        <f t="shared" si="30"/>
        <v>1</v>
      </c>
      <c r="Y103" s="17">
        <f>IF($T103=1,$AU103,VLOOKUP(U103,'Cortes naturales'!$A$45:$C$49,3,9))</f>
        <v>3</v>
      </c>
      <c r="Z103" s="14">
        <v>56.021668523766778</v>
      </c>
      <c r="AA103" s="14">
        <v>0.65677547610748022</v>
      </c>
      <c r="AB103" s="14">
        <v>36.793658017032364</v>
      </c>
      <c r="AC103" s="13">
        <v>2</v>
      </c>
      <c r="AD103" s="13">
        <f t="shared" si="31"/>
        <v>-1</v>
      </c>
      <c r="AE103" s="14">
        <f t="shared" si="32"/>
        <v>-2.9456114298787242</v>
      </c>
      <c r="AF103" s="14">
        <f t="shared" si="33"/>
        <v>-1.0403083816222347E-2</v>
      </c>
      <c r="AG103" s="13">
        <f t="shared" si="34"/>
        <v>-2.4867600198685551</v>
      </c>
      <c r="AH103" s="13">
        <f>IF($T103=1,$AU103,VLOOKUP(U103,'Cortes naturales'!$A$25:$C$29,3,9))</f>
        <v>3</v>
      </c>
      <c r="AI103" s="13" t="b">
        <f t="shared" si="35"/>
        <v>1</v>
      </c>
      <c r="AJ103" s="13" t="str">
        <f t="shared" si="36"/>
        <v>Efecto ponderador</v>
      </c>
      <c r="AK103" s="28">
        <v>0.9741882058902549</v>
      </c>
      <c r="AL103" s="28">
        <v>54.575648750146925</v>
      </c>
      <c r="AM103" s="28">
        <v>0.5120578258660865</v>
      </c>
      <c r="AN103" s="13">
        <v>2</v>
      </c>
      <c r="AO103" s="33">
        <f t="shared" si="37"/>
        <v>-1</v>
      </c>
      <c r="AP103" s="13">
        <f t="shared" si="47"/>
        <v>51.205782586608649</v>
      </c>
      <c r="AQ103" s="13">
        <f>IFERROR(VLOOKUP(U103,'Cortes naturales'!$E$15:$G$19,3,9),U103)</f>
        <v>4</v>
      </c>
      <c r="AR103" s="28">
        <f t="shared" si="38"/>
        <v>-0.32781581359899703</v>
      </c>
      <c r="AS103" s="13" t="b">
        <f t="shared" si="39"/>
        <v>0</v>
      </c>
      <c r="AT103" s="13" t="str">
        <f t="shared" si="48"/>
        <v>Cambio en corte</v>
      </c>
      <c r="AU103" s="13">
        <v>2</v>
      </c>
      <c r="AV103">
        <f t="shared" si="40"/>
        <v>-1</v>
      </c>
      <c r="AW103" s="13">
        <v>0</v>
      </c>
      <c r="AX103" s="13">
        <v>0</v>
      </c>
      <c r="AY103" s="13">
        <v>0</v>
      </c>
      <c r="AZ103" s="13">
        <v>0</v>
      </c>
      <c r="BA103">
        <v>0</v>
      </c>
      <c r="BB103" t="s">
        <v>2839</v>
      </c>
      <c r="BC103">
        <v>6</v>
      </c>
      <c r="BD103" t="s">
        <v>2919</v>
      </c>
      <c r="BE103">
        <v>1</v>
      </c>
      <c r="BF103" s="232" t="s">
        <v>2846</v>
      </c>
      <c r="BG103" s="232" t="s">
        <v>2845</v>
      </c>
      <c r="BH103" s="253">
        <v>76.3</v>
      </c>
      <c r="BI103" s="253">
        <v>72.579148926048376</v>
      </c>
      <c r="BJ103" s="25">
        <v>21.74</v>
      </c>
      <c r="BK103" t="s">
        <v>379</v>
      </c>
      <c r="BL103">
        <v>1.186336333854888</v>
      </c>
      <c r="BM103" t="s">
        <v>383</v>
      </c>
      <c r="BN103" s="322">
        <v>129482.424633</v>
      </c>
      <c r="BO103" s="322">
        <v>7224.3614829999997</v>
      </c>
      <c r="BP103" s="10">
        <v>52225</v>
      </c>
      <c r="BQ103" s="254">
        <f t="shared" si="41"/>
        <v>2.4793188058018192</v>
      </c>
      <c r="BR103" s="254">
        <f t="shared" si="42"/>
        <v>0.13833147885112493</v>
      </c>
      <c r="BS103" s="25">
        <v>48.838573205525996</v>
      </c>
      <c r="BT103" s="25">
        <v>87.137938595819378</v>
      </c>
      <c r="BU103" s="25">
        <v>24.74456572483237</v>
      </c>
      <c r="BV103" s="25">
        <v>99.003241240270157</v>
      </c>
      <c r="BW103" s="25">
        <v>42.684672405295309</v>
      </c>
      <c r="BX103" s="25">
        <v>64.93107969161197</v>
      </c>
      <c r="BY103" s="25">
        <v>42.003908921535491</v>
      </c>
      <c r="BZ103">
        <v>10</v>
      </c>
      <c r="CA103">
        <v>0</v>
      </c>
      <c r="CB103">
        <v>7</v>
      </c>
      <c r="CC103">
        <v>20674.384583999999</v>
      </c>
      <c r="CD103" s="10">
        <v>1645.209396</v>
      </c>
      <c r="CE103" s="255">
        <v>7.9577188347034769E-2</v>
      </c>
      <c r="CF103" t="str">
        <f>IFERROR(VLOOKUP(CE103,'Rangos amb etnico'!$A$2:$C$6,3,9),"N.D.")</f>
        <v>0,1% - 30%</v>
      </c>
      <c r="CG103" s="256">
        <v>4.7865343218291546E-5</v>
      </c>
      <c r="CH103" s="232">
        <v>3461.0015840000001</v>
      </c>
      <c r="CI103" s="311">
        <f t="shared" si="49"/>
        <v>0.16740530147042371</v>
      </c>
      <c r="CJ103" s="232" t="str">
        <f>IFERROR(VLOOKUP(CI103,'Rangos amb etnico'!$A$2:$C$6,3,9),"N.D.")</f>
        <v>0,1% - 30%</v>
      </c>
      <c r="CK103" s="311">
        <f t="shared" si="50"/>
        <v>1.3742442275604187E-4</v>
      </c>
      <c r="CL103" s="10">
        <v>0</v>
      </c>
      <c r="CM103" s="255">
        <f t="shared" si="51"/>
        <v>0</v>
      </c>
      <c r="CN103" s="232">
        <f>IFERROR(VLOOKUP(CM103,'Rangos amb etnico'!$A$2:$C$6,3,9),"N.D.")</f>
        <v>0</v>
      </c>
      <c r="CO103" s="311">
        <f t="shared" si="52"/>
        <v>0</v>
      </c>
      <c r="CP103">
        <v>0.85177716487601196</v>
      </c>
      <c r="CQ103" t="s">
        <v>2864</v>
      </c>
      <c r="CR103">
        <f t="shared" si="43"/>
        <v>1</v>
      </c>
      <c r="CS103" t="str">
        <f t="shared" si="53"/>
        <v>No es Candidato</v>
      </c>
      <c r="CT103">
        <v>0</v>
      </c>
      <c r="CU103">
        <v>0</v>
      </c>
      <c r="CV103" s="25">
        <v>53.546436309814453</v>
      </c>
      <c r="CW103" s="25">
        <v>32.426303863525391</v>
      </c>
      <c r="CX103" s="25">
        <v>60.641567230224609</v>
      </c>
      <c r="CY103" s="25">
        <v>47.541412353515618</v>
      </c>
      <c r="CZ103" s="25">
        <v>23.169736862182621</v>
      </c>
      <c r="DA103" s="25">
        <v>100</v>
      </c>
      <c r="DB103" s="25">
        <v>57.499591827392578</v>
      </c>
      <c r="DC103">
        <v>47527</v>
      </c>
      <c r="DD103" s="253" t="s">
        <v>380</v>
      </c>
    </row>
    <row r="104" spans="1:108" hidden="1">
      <c r="A104" s="13">
        <v>25386</v>
      </c>
      <c r="B104" s="13" t="s">
        <v>667</v>
      </c>
      <c r="C104" s="13" t="s">
        <v>461</v>
      </c>
      <c r="D104" s="13" t="s">
        <v>462</v>
      </c>
      <c r="E104" s="13" t="s">
        <v>668</v>
      </c>
      <c r="F104" s="14">
        <v>75.036733333333302</v>
      </c>
      <c r="G104" s="13">
        <v>78.78</v>
      </c>
      <c r="H104" s="13">
        <v>73.8</v>
      </c>
      <c r="I104" s="13">
        <v>83.61</v>
      </c>
      <c r="J104" s="14">
        <v>70.316895658116863</v>
      </c>
      <c r="K104" s="14">
        <v>75.844055708961108</v>
      </c>
      <c r="L104" s="14">
        <v>78.347307575539048</v>
      </c>
      <c r="M104" s="14">
        <v>60.670999999999999</v>
      </c>
      <c r="N104" s="14">
        <f t="shared" si="27"/>
        <v>77.806683333333325</v>
      </c>
      <c r="O104" s="14">
        <f t="shared" si="28"/>
        <v>71.294814735654256</v>
      </c>
      <c r="P104" s="14">
        <f t="shared" si="44"/>
        <v>74.550749034493791</v>
      </c>
      <c r="Q104" s="14">
        <v>39.974708156795081</v>
      </c>
      <c r="R104" s="17">
        <f t="shared" si="29"/>
        <v>60.025291843204919</v>
      </c>
      <c r="S104" s="14">
        <f t="shared" si="45"/>
        <v>0.64022762658884425</v>
      </c>
      <c r="T104" s="13">
        <v>0</v>
      </c>
      <c r="U104" s="13">
        <f t="shared" si="46"/>
        <v>47.729449114774532</v>
      </c>
      <c r="V104" s="13">
        <f>IF($T104=1,$AU104,(VLOOKUP(U104,'Cortes naturales'!$A$35:$C$39,3,9)))</f>
        <v>2</v>
      </c>
      <c r="W104" s="13">
        <v>2</v>
      </c>
      <c r="X104" s="14" t="b">
        <f t="shared" si="30"/>
        <v>1</v>
      </c>
      <c r="Y104" s="17">
        <f>IF($T104=1,$AU104,VLOOKUP(U104,'Cortes naturales'!$A$45:$C$49,3,9))</f>
        <v>1</v>
      </c>
      <c r="Z104" s="14">
        <v>72.420463443332096</v>
      </c>
      <c r="AA104" s="14">
        <v>0.65696932435706334</v>
      </c>
      <c r="AB104" s="14">
        <v>47.578022937991292</v>
      </c>
      <c r="AC104" s="13">
        <v>1</v>
      </c>
      <c r="AD104" s="13">
        <f t="shared" si="31"/>
        <v>0</v>
      </c>
      <c r="AE104" s="14">
        <f t="shared" si="32"/>
        <v>2.1302855911616945</v>
      </c>
      <c r="AF104" s="14">
        <f t="shared" si="33"/>
        <v>-1.6741697768219099E-2</v>
      </c>
      <c r="AG104" s="13">
        <f t="shared" si="34"/>
        <v>0.15142617678323944</v>
      </c>
      <c r="AH104" s="13">
        <f>IF($T104=1,$AU104,VLOOKUP(U104,'Cortes naturales'!$A$25:$C$29,3,9))</f>
        <v>1</v>
      </c>
      <c r="AI104" s="13" t="b">
        <f t="shared" si="35"/>
        <v>1</v>
      </c>
      <c r="AJ104" s="13">
        <f t="shared" si="36"/>
        <v>0</v>
      </c>
      <c r="AK104" s="28">
        <v>0.9741882058902549</v>
      </c>
      <c r="AL104" s="28">
        <v>70.551161351600484</v>
      </c>
      <c r="AM104" s="28">
        <v>0.71189464873268682</v>
      </c>
      <c r="AN104" s="13">
        <v>1</v>
      </c>
      <c r="AO104" s="33">
        <f t="shared" si="37"/>
        <v>0</v>
      </c>
      <c r="AP104" s="13">
        <f t="shared" si="47"/>
        <v>71.189464873268676</v>
      </c>
      <c r="AQ104" s="13">
        <f>IFERROR(VLOOKUP(U104,'Cortes naturales'!$E$15:$G$19,3,9),U104)</f>
        <v>3</v>
      </c>
      <c r="AR104" s="28">
        <f t="shared" si="38"/>
        <v>-0.33396057930141065</v>
      </c>
      <c r="AS104" s="13" t="b">
        <f t="shared" si="39"/>
        <v>0</v>
      </c>
      <c r="AT104" s="13">
        <f t="shared" si="48"/>
        <v>0</v>
      </c>
      <c r="AU104" s="13">
        <v>1</v>
      </c>
      <c r="AV104">
        <f t="shared" si="40"/>
        <v>0</v>
      </c>
      <c r="AW104" s="13">
        <v>0</v>
      </c>
      <c r="AX104" s="13">
        <v>0</v>
      </c>
      <c r="AY104" s="13">
        <v>0</v>
      </c>
      <c r="AZ104" s="13">
        <v>0</v>
      </c>
      <c r="BA104">
        <v>0</v>
      </c>
      <c r="BB104" t="s">
        <v>2839</v>
      </c>
      <c r="BC104">
        <v>5</v>
      </c>
      <c r="BD104" t="s">
        <v>2919</v>
      </c>
      <c r="BE104">
        <v>0</v>
      </c>
      <c r="BF104" s="232" t="s">
        <v>2846</v>
      </c>
      <c r="BG104" s="232" t="s">
        <v>2846</v>
      </c>
      <c r="BH104" s="253">
        <v>18.3</v>
      </c>
      <c r="BI104" s="253">
        <v>8.911677370347352</v>
      </c>
      <c r="BJ104" s="25">
        <v>8.232183920496837</v>
      </c>
      <c r="BK104" t="s">
        <v>377</v>
      </c>
      <c r="BL104">
        <v>3.0929228805571665</v>
      </c>
      <c r="BM104" t="s">
        <v>383</v>
      </c>
      <c r="BN104" s="322">
        <v>80276.524378000002</v>
      </c>
      <c r="BO104" s="322">
        <v>27619.984543999999</v>
      </c>
      <c r="BP104" s="10">
        <v>36901</v>
      </c>
      <c r="BQ104" s="254">
        <f t="shared" si="41"/>
        <v>2.1754566103357633</v>
      </c>
      <c r="BR104" s="254">
        <f t="shared" si="42"/>
        <v>0.74848878198422808</v>
      </c>
      <c r="BS104" s="25">
        <v>67.931810058244068</v>
      </c>
      <c r="BT104" s="25">
        <v>96.743296666666666</v>
      </c>
      <c r="BU104" s="25">
        <v>44.60391501573779</v>
      </c>
      <c r="BV104" s="25">
        <v>80.464013005764542</v>
      </c>
      <c r="BW104" s="25">
        <v>69.71343761295303</v>
      </c>
      <c r="BX104" s="25">
        <v>72.435758686603265</v>
      </c>
      <c r="BY104" s="25">
        <v>70.742584585286323</v>
      </c>
      <c r="BZ104">
        <v>93</v>
      </c>
      <c r="CA104">
        <v>1</v>
      </c>
      <c r="CB104">
        <v>6</v>
      </c>
      <c r="CC104">
        <v>14812.919553</v>
      </c>
      <c r="CD104" s="10">
        <v>6952.8169749999997</v>
      </c>
      <c r="CE104" s="255">
        <v>0.46937519306191561</v>
      </c>
      <c r="CF104" t="str">
        <f>IFERROR(VLOOKUP(CE104,'Rangos amb etnico'!$A$2:$C$6,3,9),"N.D.")</f>
        <v>31% - 50%</v>
      </c>
      <c r="CG104" s="256">
        <v>2.0228365559513164E-4</v>
      </c>
      <c r="CH104" s="232">
        <v>0</v>
      </c>
      <c r="CI104" s="311">
        <f t="shared" si="49"/>
        <v>0</v>
      </c>
      <c r="CJ104" s="232">
        <f>IFERROR(VLOOKUP(CI104,'Rangos amb etnico'!$A$2:$C$6,3,9),"N.D.")</f>
        <v>0</v>
      </c>
      <c r="CK104" s="311">
        <f t="shared" si="50"/>
        <v>0</v>
      </c>
      <c r="CL104" s="10">
        <v>0</v>
      </c>
      <c r="CM104" s="255">
        <f t="shared" si="51"/>
        <v>0</v>
      </c>
      <c r="CN104" s="232">
        <f>IFERROR(VLOOKUP(CM104,'Rangos amb etnico'!$A$2:$C$6,3,9),"N.D.")</f>
        <v>0</v>
      </c>
      <c r="CO104" s="311">
        <f t="shared" si="52"/>
        <v>0</v>
      </c>
      <c r="CP104">
        <v>0.9623103802241475</v>
      </c>
      <c r="CQ104" t="s">
        <v>2864</v>
      </c>
      <c r="CR104">
        <f t="shared" si="43"/>
        <v>4</v>
      </c>
      <c r="CS104" t="str">
        <f t="shared" si="53"/>
        <v>Candidato</v>
      </c>
      <c r="CT104">
        <v>0</v>
      </c>
      <c r="CU104">
        <v>0</v>
      </c>
      <c r="CV104" s="25">
        <v>47.546669006347663</v>
      </c>
      <c r="CW104" s="25">
        <v>37.727291107177727</v>
      </c>
      <c r="CX104" s="25">
        <v>53.239456176757813</v>
      </c>
      <c r="CY104" s="25">
        <v>59.664100646972663</v>
      </c>
      <c r="CZ104" s="25">
        <v>52.167736053466797</v>
      </c>
      <c r="DA104" s="25">
        <v>24.57595062255859</v>
      </c>
      <c r="DB104" s="25">
        <v>57.905475616455078</v>
      </c>
      <c r="DC104">
        <v>491</v>
      </c>
      <c r="DD104" s="253" t="s">
        <v>380</v>
      </c>
    </row>
    <row r="105" spans="1:108" hidden="1">
      <c r="A105" s="13">
        <v>25758</v>
      </c>
      <c r="B105" s="13" t="s">
        <v>669</v>
      </c>
      <c r="C105" s="13" t="s">
        <v>461</v>
      </c>
      <c r="D105" s="13" t="s">
        <v>462</v>
      </c>
      <c r="E105" s="13" t="s">
        <v>670</v>
      </c>
      <c r="F105" s="14">
        <v>94.301833333333306</v>
      </c>
      <c r="G105" s="13">
        <v>81.89</v>
      </c>
      <c r="H105" s="13">
        <v>88.74</v>
      </c>
      <c r="I105" s="13">
        <v>88.1</v>
      </c>
      <c r="J105" s="14">
        <v>78.505673549088513</v>
      </c>
      <c r="K105" s="14">
        <v>61.885100463227673</v>
      </c>
      <c r="L105" s="14">
        <v>75.872328277612212</v>
      </c>
      <c r="M105" s="14">
        <v>61.393000000000001</v>
      </c>
      <c r="N105" s="14">
        <f t="shared" si="27"/>
        <v>88.257958333333335</v>
      </c>
      <c r="O105" s="14">
        <f t="shared" si="28"/>
        <v>69.414025572482103</v>
      </c>
      <c r="P105" s="14">
        <f t="shared" si="44"/>
        <v>78.835991952907719</v>
      </c>
      <c r="Q105" s="14">
        <v>39.402254940159473</v>
      </c>
      <c r="R105" s="17">
        <f t="shared" si="29"/>
        <v>60.597745059840527</v>
      </c>
      <c r="S105" s="14">
        <f t="shared" si="45"/>
        <v>0.64537970553856472</v>
      </c>
      <c r="T105" s="13">
        <v>0</v>
      </c>
      <c r="U105" s="13">
        <f t="shared" si="46"/>
        <v>50.879149272408242</v>
      </c>
      <c r="V105" s="13">
        <f>IF($T105=1,$AU105,(VLOOKUP(U105,'Cortes naturales'!$A$35:$C$39,3,9)))</f>
        <v>2</v>
      </c>
      <c r="W105" s="13">
        <v>2</v>
      </c>
      <c r="X105" s="14" t="b">
        <f t="shared" si="30"/>
        <v>1</v>
      </c>
      <c r="Y105" s="17">
        <f>IF($T105=1,$AU105,VLOOKUP(U105,'Cortes naturales'!$A$45:$C$49,3,9))</f>
        <v>1</v>
      </c>
      <c r="Z105" s="14">
        <v>80.526156437192952</v>
      </c>
      <c r="AA105" s="14">
        <v>0.6535289541477961</v>
      </c>
      <c r="AB105" s="14">
        <v>52.626174797940529</v>
      </c>
      <c r="AC105" s="13">
        <v>1</v>
      </c>
      <c r="AD105" s="13">
        <f t="shared" si="31"/>
        <v>0</v>
      </c>
      <c r="AE105" s="14">
        <f t="shared" si="32"/>
        <v>-1.6901644842852335</v>
      </c>
      <c r="AF105" s="14">
        <f t="shared" si="33"/>
        <v>-8.1492486092313854E-3</v>
      </c>
      <c r="AG105" s="13">
        <f t="shared" si="34"/>
        <v>-1.7470255255322868</v>
      </c>
      <c r="AH105" s="13">
        <f>IF($T105=1,$AU105,VLOOKUP(U105,'Cortes naturales'!$A$25:$C$29,3,9))</f>
        <v>1</v>
      </c>
      <c r="AI105" s="13" t="b">
        <f t="shared" si="35"/>
        <v>1</v>
      </c>
      <c r="AJ105" s="13">
        <f t="shared" si="36"/>
        <v>0</v>
      </c>
      <c r="AK105" s="28">
        <v>0.9741882058902549</v>
      </c>
      <c r="AL105" s="28">
        <v>78.447631866787006</v>
      </c>
      <c r="AM105" s="28">
        <v>0.81067117121316623</v>
      </c>
      <c r="AN105" s="13">
        <v>1</v>
      </c>
      <c r="AO105" s="33">
        <f t="shared" si="37"/>
        <v>0</v>
      </c>
      <c r="AP105" s="13">
        <f t="shared" si="47"/>
        <v>81.067117121316628</v>
      </c>
      <c r="AQ105" s="13">
        <f>IFERROR(VLOOKUP(U105,'Cortes naturales'!$E$15:$G$19,3,9),U105)</f>
        <v>2</v>
      </c>
      <c r="AR105" s="28">
        <f t="shared" si="38"/>
        <v>-0.32880850035169018</v>
      </c>
      <c r="AS105" s="13" t="b">
        <f t="shared" si="39"/>
        <v>0</v>
      </c>
      <c r="AT105" s="13">
        <f t="shared" si="48"/>
        <v>0</v>
      </c>
      <c r="AU105" s="13">
        <v>1</v>
      </c>
      <c r="AV105">
        <f t="shared" si="40"/>
        <v>0</v>
      </c>
      <c r="AW105" s="13">
        <v>0</v>
      </c>
      <c r="AX105" s="13">
        <v>1</v>
      </c>
      <c r="AY105" s="13">
        <v>0</v>
      </c>
      <c r="AZ105" s="13">
        <v>0</v>
      </c>
      <c r="BA105">
        <v>0</v>
      </c>
      <c r="BB105" t="s">
        <v>2838</v>
      </c>
      <c r="BC105">
        <v>3</v>
      </c>
      <c r="BD105" s="184" t="s">
        <v>2917</v>
      </c>
      <c r="BE105">
        <v>1</v>
      </c>
      <c r="BF105" s="232" t="s">
        <v>2846</v>
      </c>
      <c r="BG105" s="232" t="s">
        <v>2846</v>
      </c>
      <c r="BH105" s="253">
        <v>8</v>
      </c>
      <c r="BI105" s="253">
        <v>2.889543565115622</v>
      </c>
      <c r="BJ105" s="25">
        <v>2.4763825806451614</v>
      </c>
      <c r="BK105" t="s">
        <v>381</v>
      </c>
      <c r="BL105">
        <v>0.27647825571216877</v>
      </c>
      <c r="BM105" t="s">
        <v>383</v>
      </c>
      <c r="BN105" s="322">
        <v>70227.996069999994</v>
      </c>
      <c r="BO105" s="322">
        <v>54231.320452</v>
      </c>
      <c r="BP105" s="10">
        <v>32937</v>
      </c>
      <c r="BQ105" s="254">
        <f t="shared" si="41"/>
        <v>2.1321916407080184</v>
      </c>
      <c r="BR105" s="254">
        <f t="shared" si="42"/>
        <v>1.6465166970883809</v>
      </c>
      <c r="BS105" s="25">
        <v>65.432352882429697</v>
      </c>
      <c r="BT105" s="25">
        <v>74.741379851737165</v>
      </c>
      <c r="BU105" s="25">
        <v>65.958333333333329</v>
      </c>
      <c r="BV105" s="25">
        <v>90.827137159084671</v>
      </c>
      <c r="BW105" s="25">
        <v>76.669641526440699</v>
      </c>
      <c r="BX105" s="25">
        <v>74.239800806646215</v>
      </c>
      <c r="BY105" s="25">
        <v>78.196874078193616</v>
      </c>
      <c r="BZ105">
        <v>94</v>
      </c>
      <c r="CA105">
        <v>0</v>
      </c>
      <c r="CB105">
        <v>6</v>
      </c>
      <c r="CC105">
        <v>11088.929595</v>
      </c>
      <c r="CD105" s="10">
        <v>3823.3394170000001</v>
      </c>
      <c r="CE105" s="255">
        <v>0.34478886210297022</v>
      </c>
      <c r="CF105" t="str">
        <f>IFERROR(VLOOKUP(CE105,'Rangos amb etnico'!$A$2:$C$6,3,9),"N.D.")</f>
        <v>31% - 50%</v>
      </c>
      <c r="CG105" s="256">
        <v>1.11235356350182E-4</v>
      </c>
      <c r="CH105" s="232">
        <v>0</v>
      </c>
      <c r="CI105" s="311">
        <f t="shared" si="49"/>
        <v>0</v>
      </c>
      <c r="CJ105" s="232">
        <f>IFERROR(VLOOKUP(CI105,'Rangos amb etnico'!$A$2:$C$6,3,9),"N.D.")</f>
        <v>0</v>
      </c>
      <c r="CK105" s="311">
        <f t="shared" si="50"/>
        <v>0</v>
      </c>
      <c r="CL105" s="10">
        <v>0</v>
      </c>
      <c r="CM105" s="255">
        <f t="shared" si="51"/>
        <v>0</v>
      </c>
      <c r="CN105" s="232">
        <f>IFERROR(VLOOKUP(CM105,'Rangos amb etnico'!$A$2:$C$6,3,9),"N.D.")</f>
        <v>0</v>
      </c>
      <c r="CO105" s="311">
        <f t="shared" si="52"/>
        <v>0</v>
      </c>
      <c r="CP105">
        <v>0.984272268044599</v>
      </c>
      <c r="CQ105" t="s">
        <v>2864</v>
      </c>
      <c r="CR105">
        <f t="shared" si="43"/>
        <v>4</v>
      </c>
      <c r="CS105" t="str">
        <f t="shared" si="53"/>
        <v>Candidato</v>
      </c>
      <c r="CT105">
        <v>0</v>
      </c>
      <c r="CU105">
        <v>0</v>
      </c>
      <c r="CV105" s="25">
        <v>67.665779113769531</v>
      </c>
      <c r="CW105" s="25">
        <v>58.8314208984375</v>
      </c>
      <c r="CX105" s="25">
        <v>74.076629638671875</v>
      </c>
      <c r="CY105" s="25">
        <v>74.561614990234375</v>
      </c>
      <c r="CZ105" s="25">
        <v>72.575439453125</v>
      </c>
      <c r="DA105" s="25">
        <v>63.700843811035163</v>
      </c>
      <c r="DB105" s="25">
        <v>62.248744964599609</v>
      </c>
      <c r="DC105">
        <v>234</v>
      </c>
      <c r="DD105" s="253" t="s">
        <v>380</v>
      </c>
    </row>
    <row r="106" spans="1:108" hidden="1">
      <c r="A106" s="13">
        <v>52001</v>
      </c>
      <c r="B106" s="13" t="s">
        <v>671</v>
      </c>
      <c r="C106" s="13" t="s">
        <v>672</v>
      </c>
      <c r="D106" s="13" t="s">
        <v>673</v>
      </c>
      <c r="E106" s="13" t="s">
        <v>674</v>
      </c>
      <c r="F106" s="14">
        <v>73.581366666666696</v>
      </c>
      <c r="G106" s="13">
        <v>81.27</v>
      </c>
      <c r="H106" s="13">
        <v>80.12</v>
      </c>
      <c r="I106" s="13">
        <v>82.18</v>
      </c>
      <c r="J106" s="14">
        <v>63.485270237553223</v>
      </c>
      <c r="K106" s="14">
        <v>68.234214197829502</v>
      </c>
      <c r="L106" s="14">
        <v>63.529756677093971</v>
      </c>
      <c r="M106" s="14">
        <v>61.863700000000001</v>
      </c>
      <c r="N106" s="14">
        <f t="shared" si="27"/>
        <v>79.287841666666679</v>
      </c>
      <c r="O106" s="14">
        <f t="shared" si="28"/>
        <v>64.278235278119169</v>
      </c>
      <c r="P106" s="14">
        <f t="shared" si="44"/>
        <v>71.783038472392917</v>
      </c>
      <c r="Q106" s="14">
        <v>40.074733701947736</v>
      </c>
      <c r="R106" s="17">
        <f t="shared" si="29"/>
        <v>59.925266298052264</v>
      </c>
      <c r="S106" s="14">
        <f t="shared" si="45"/>
        <v>0.63932739668247029</v>
      </c>
      <c r="T106" s="13">
        <v>0</v>
      </c>
      <c r="U106" s="13">
        <f t="shared" si="46"/>
        <v>45.892863112512572</v>
      </c>
      <c r="V106" s="13">
        <f>IF($T106=1,$AU106,(VLOOKUP(U106,'Cortes naturales'!$A$35:$C$39,3,9)))</f>
        <v>2</v>
      </c>
      <c r="W106" s="13">
        <v>2</v>
      </c>
      <c r="X106" s="14" t="b">
        <f t="shared" si="30"/>
        <v>1</v>
      </c>
      <c r="Y106" s="17">
        <f>IF($T106=1,$AU106,VLOOKUP(U106,'Cortes naturales'!$A$45:$C$49,3,9))</f>
        <v>2</v>
      </c>
      <c r="Z106" s="14">
        <v>70.439734967762121</v>
      </c>
      <c r="AA106" s="14">
        <v>0.65443254707805243</v>
      </c>
      <c r="AB106" s="14">
        <v>46.098055170455517</v>
      </c>
      <c r="AC106" s="13">
        <v>2</v>
      </c>
      <c r="AD106" s="13">
        <f t="shared" si="31"/>
        <v>0</v>
      </c>
      <c r="AE106" s="14">
        <f t="shared" si="32"/>
        <v>1.3433035046307964</v>
      </c>
      <c r="AF106" s="14">
        <f t="shared" si="33"/>
        <v>-1.5105150395582134E-2</v>
      </c>
      <c r="AG106" s="13">
        <f t="shared" si="34"/>
        <v>-0.20519205794294493</v>
      </c>
      <c r="AH106" s="13">
        <f>IF($T106=1,$AU106,VLOOKUP(U106,'Cortes naturales'!$A$25:$C$29,3,9))</f>
        <v>2</v>
      </c>
      <c r="AI106" s="13" t="b">
        <f t="shared" si="35"/>
        <v>1</v>
      </c>
      <c r="AJ106" s="13">
        <f t="shared" si="36"/>
        <v>0</v>
      </c>
      <c r="AK106" s="28" t="s">
        <v>440</v>
      </c>
      <c r="AL106" s="28" t="s">
        <v>380</v>
      </c>
      <c r="AM106" s="28" t="s">
        <v>380</v>
      </c>
      <c r="AN106" s="13" t="s">
        <v>476</v>
      </c>
      <c r="AO106" s="33">
        <f t="shared" si="37"/>
        <v>2</v>
      </c>
      <c r="AP106" s="13" t="str">
        <f t="shared" si="47"/>
        <v>N.D</v>
      </c>
      <c r="AQ106" s="13">
        <f>IFERROR(VLOOKUP(U106,'Cortes naturales'!$E$15:$G$19,3,9),U106)</f>
        <v>3</v>
      </c>
      <c r="AR106" s="28" t="str">
        <f t="shared" si="38"/>
        <v>N.D.</v>
      </c>
      <c r="AS106" s="13" t="b">
        <f t="shared" si="39"/>
        <v>0</v>
      </c>
      <c r="AT106" s="13" t="str">
        <f t="shared" si="48"/>
        <v>Cambio en corte</v>
      </c>
      <c r="AU106" s="13" t="s">
        <v>476</v>
      </c>
      <c r="AV106">
        <f t="shared" si="40"/>
        <v>2</v>
      </c>
      <c r="AW106" s="13">
        <v>1</v>
      </c>
      <c r="AX106" s="13">
        <v>0</v>
      </c>
      <c r="AY106" s="13">
        <v>0</v>
      </c>
      <c r="AZ106" s="13">
        <v>0</v>
      </c>
      <c r="BA106">
        <v>0</v>
      </c>
      <c r="BB106" t="s">
        <v>2838</v>
      </c>
      <c r="BC106">
        <v>1</v>
      </c>
      <c r="BD106" t="s">
        <v>2918</v>
      </c>
      <c r="BE106">
        <v>0</v>
      </c>
      <c r="BF106" s="232" t="s">
        <v>2845</v>
      </c>
      <c r="BG106" s="232" t="s">
        <v>2845</v>
      </c>
      <c r="BH106" s="253">
        <v>16.3</v>
      </c>
      <c r="BI106" s="253">
        <v>8.2449792759165543</v>
      </c>
      <c r="BJ106" s="25">
        <v>11.219467876341547</v>
      </c>
      <c r="BK106" t="s">
        <v>377</v>
      </c>
      <c r="BL106">
        <v>2.1322282981818099</v>
      </c>
      <c r="BM106" t="s">
        <v>383</v>
      </c>
      <c r="BN106" s="322">
        <v>1035800.2088659999</v>
      </c>
      <c r="BO106" s="322">
        <v>201837.896519</v>
      </c>
      <c r="BP106" s="10">
        <v>403166</v>
      </c>
      <c r="BQ106" s="254">
        <f t="shared" si="41"/>
        <v>2.5691655766260051</v>
      </c>
      <c r="BR106" s="254">
        <f t="shared" si="42"/>
        <v>0.50063223714053273</v>
      </c>
      <c r="BS106" s="25">
        <v>77.977032747785344</v>
      </c>
      <c r="BT106" s="25">
        <v>91.735278523535598</v>
      </c>
      <c r="BU106" s="25">
        <v>65.126666666666665</v>
      </c>
      <c r="BV106" s="25">
        <v>50.920485129918447</v>
      </c>
      <c r="BW106" s="25">
        <v>69.52832732435489</v>
      </c>
      <c r="BX106" s="25">
        <v>71.43986576697651</v>
      </c>
      <c r="BY106" s="25">
        <v>70.740912297887519</v>
      </c>
      <c r="BZ106">
        <v>80</v>
      </c>
      <c r="CA106">
        <v>1</v>
      </c>
      <c r="CB106">
        <v>3</v>
      </c>
      <c r="CC106">
        <v>110029.29750099999</v>
      </c>
      <c r="CD106" s="10">
        <v>78988.997711000004</v>
      </c>
      <c r="CE106" s="255">
        <v>0.71789059373283848</v>
      </c>
      <c r="CF106" t="str">
        <f>IFERROR(VLOOKUP(CE106,'Rangos amb etnico'!$A$2:$C$6,3,9),"N.D.")</f>
        <v>71% - 100%</v>
      </c>
      <c r="CG106" s="256">
        <v>2.2980877054909915E-3</v>
      </c>
      <c r="CH106" s="232">
        <v>658.80310899999995</v>
      </c>
      <c r="CI106" s="311">
        <f t="shared" si="49"/>
        <v>5.9875244499676319E-3</v>
      </c>
      <c r="CJ106" s="232" t="str">
        <f>IFERROR(VLOOKUP(CI106,'Rangos amb etnico'!$A$2:$C$6,3,9),"N.D.")</f>
        <v>0,1% - 30%</v>
      </c>
      <c r="CK106" s="311">
        <f t="shared" si="50"/>
        <v>2.615879674333334E-5</v>
      </c>
      <c r="CL106" s="10">
        <v>0</v>
      </c>
      <c r="CM106" s="255">
        <f t="shared" si="51"/>
        <v>0</v>
      </c>
      <c r="CN106" s="232">
        <f>IFERROR(VLOOKUP(CM106,'Rangos amb etnico'!$A$2:$C$6,3,9),"N.D.")</f>
        <v>0</v>
      </c>
      <c r="CO106" s="311">
        <f t="shared" si="52"/>
        <v>0</v>
      </c>
      <c r="CP106">
        <v>0.97281508663614846</v>
      </c>
      <c r="CQ106" t="s">
        <v>2864</v>
      </c>
      <c r="CR106">
        <f t="shared" si="43"/>
        <v>4</v>
      </c>
      <c r="CS106" t="str">
        <f t="shared" si="53"/>
        <v>Candidato</v>
      </c>
      <c r="CT106">
        <v>1</v>
      </c>
      <c r="CU106" t="s">
        <v>2835</v>
      </c>
      <c r="CV106" s="25">
        <v>58.491519927978523</v>
      </c>
      <c r="CW106" s="25">
        <v>51.000606536865227</v>
      </c>
      <c r="CX106" s="25">
        <v>41.555675506591797</v>
      </c>
      <c r="CY106" s="25">
        <v>70.251792907714844</v>
      </c>
      <c r="CZ106" s="25">
        <v>91.468284606933594</v>
      </c>
      <c r="DA106" s="25">
        <v>32.877220153808587</v>
      </c>
      <c r="DB106" s="25">
        <v>63.7955322265625</v>
      </c>
      <c r="DC106">
        <v>24821</v>
      </c>
      <c r="DD106" s="253">
        <v>5.3113512775084164</v>
      </c>
    </row>
    <row r="107" spans="1:108" hidden="1">
      <c r="A107" s="13">
        <v>41001</v>
      </c>
      <c r="B107" s="13" t="s">
        <v>675</v>
      </c>
      <c r="C107" s="13" t="s">
        <v>676</v>
      </c>
      <c r="D107" s="13" t="s">
        <v>677</v>
      </c>
      <c r="E107" s="13" t="s">
        <v>678</v>
      </c>
      <c r="F107" s="14">
        <v>90.693866666666693</v>
      </c>
      <c r="G107" s="13">
        <v>76.239999999999995</v>
      </c>
      <c r="H107" s="13">
        <v>76.72</v>
      </c>
      <c r="I107" s="13">
        <v>85.18</v>
      </c>
      <c r="J107" s="14">
        <v>54.547522082438803</v>
      </c>
      <c r="K107" s="14">
        <v>51.741523525289075</v>
      </c>
      <c r="L107" s="14">
        <v>53.905447746053227</v>
      </c>
      <c r="M107" s="14">
        <v>50.634599999999999</v>
      </c>
      <c r="N107" s="14">
        <f t="shared" si="27"/>
        <v>82.208466666666681</v>
      </c>
      <c r="O107" s="14">
        <f t="shared" si="28"/>
        <v>52.707273338445276</v>
      </c>
      <c r="P107" s="14">
        <f t="shared" si="44"/>
        <v>67.457870002555978</v>
      </c>
      <c r="Q107" s="14">
        <v>39.851965836411146</v>
      </c>
      <c r="R107" s="17">
        <f t="shared" si="29"/>
        <v>60.148034163588854</v>
      </c>
      <c r="S107" s="14">
        <f t="shared" si="45"/>
        <v>0.64133230747229963</v>
      </c>
      <c r="T107" s="13">
        <v>0</v>
      </c>
      <c r="U107" s="13">
        <f t="shared" si="46"/>
        <v>43.262911425905649</v>
      </c>
      <c r="V107" s="13">
        <f>IF($T107=1,$AU107,(VLOOKUP(U107,'Cortes naturales'!$A$35:$C$39,3,9)))</f>
        <v>2</v>
      </c>
      <c r="W107" s="13">
        <v>2</v>
      </c>
      <c r="X107" s="14" t="b">
        <f t="shared" si="30"/>
        <v>1</v>
      </c>
      <c r="Y107" s="17">
        <f>IF($T107=1,$AU107,VLOOKUP(U107,'Cortes naturales'!$A$45:$C$49,3,9))</f>
        <v>2</v>
      </c>
      <c r="Z107" s="14">
        <v>68.033210220423044</v>
      </c>
      <c r="AA107" s="14">
        <v>0.65129775725430994</v>
      </c>
      <c r="AB107" s="14">
        <v>44.309877235372525</v>
      </c>
      <c r="AC107" s="13">
        <v>2</v>
      </c>
      <c r="AD107" s="13">
        <f t="shared" si="31"/>
        <v>0</v>
      </c>
      <c r="AE107" s="14">
        <f t="shared" si="32"/>
        <v>-0.57534021786706546</v>
      </c>
      <c r="AF107" s="14">
        <f t="shared" si="33"/>
        <v>-9.965449782010305E-3</v>
      </c>
      <c r="AG107" s="13">
        <f t="shared" si="34"/>
        <v>-1.0469658094668759</v>
      </c>
      <c r="AH107" s="13">
        <f>IF($T107=1,$AU107,VLOOKUP(U107,'Cortes naturales'!$A$25:$C$29,3,9))</f>
        <v>2</v>
      </c>
      <c r="AI107" s="13" t="b">
        <f t="shared" si="35"/>
        <v>1</v>
      </c>
      <c r="AJ107" s="13">
        <f t="shared" si="36"/>
        <v>0</v>
      </c>
      <c r="AK107" s="28">
        <v>0.9741882058902549</v>
      </c>
      <c r="AL107" s="28">
        <v>66.277151005588479</v>
      </c>
      <c r="AM107" s="28">
        <v>0.65843128453564026</v>
      </c>
      <c r="AN107" s="13">
        <v>1</v>
      </c>
      <c r="AO107" s="33">
        <f t="shared" si="37"/>
        <v>-1</v>
      </c>
      <c r="AP107" s="13">
        <f t="shared" si="47"/>
        <v>65.84312845356402</v>
      </c>
      <c r="AQ107" s="13">
        <f>IFERROR(VLOOKUP(U107,'Cortes naturales'!$E$15:$G$19,3,9),U107)</f>
        <v>3</v>
      </c>
      <c r="AR107" s="28">
        <f t="shared" si="38"/>
        <v>-0.33285589841795526</v>
      </c>
      <c r="AS107" s="13" t="b">
        <f t="shared" si="39"/>
        <v>0</v>
      </c>
      <c r="AT107" s="13" t="str">
        <f t="shared" si="48"/>
        <v>Cambio en corte</v>
      </c>
      <c r="AU107" s="13">
        <v>1</v>
      </c>
      <c r="AV107">
        <f t="shared" si="40"/>
        <v>-1</v>
      </c>
      <c r="AW107" s="13">
        <v>1</v>
      </c>
      <c r="AX107" s="13">
        <v>0</v>
      </c>
      <c r="AY107" s="13">
        <v>0</v>
      </c>
      <c r="AZ107" s="13">
        <v>0</v>
      </c>
      <c r="BA107">
        <v>0</v>
      </c>
      <c r="BB107" t="s">
        <v>2838</v>
      </c>
      <c r="BC107">
        <v>1</v>
      </c>
      <c r="BD107" t="s">
        <v>2920</v>
      </c>
      <c r="BE107">
        <v>0</v>
      </c>
      <c r="BF107" s="232" t="s">
        <v>2845</v>
      </c>
      <c r="BG107" s="232" t="s">
        <v>2845</v>
      </c>
      <c r="BH107" s="253">
        <v>17.600000000000001</v>
      </c>
      <c r="BI107" s="253">
        <v>7.570138201780984</v>
      </c>
      <c r="BJ107" s="25">
        <v>1.3736523779966543</v>
      </c>
      <c r="BK107" t="s">
        <v>381</v>
      </c>
      <c r="BL107">
        <v>2.6139561954832868</v>
      </c>
      <c r="BM107" t="s">
        <v>383</v>
      </c>
      <c r="BN107" s="322">
        <v>981652.52498300001</v>
      </c>
      <c r="BO107" s="322">
        <v>205634.03737000001</v>
      </c>
      <c r="BP107" s="10">
        <v>396442</v>
      </c>
      <c r="BQ107" s="254">
        <f t="shared" si="41"/>
        <v>2.4761567265400739</v>
      </c>
      <c r="BR107" s="254">
        <f t="shared" si="42"/>
        <v>0.51869892032125764</v>
      </c>
      <c r="BS107" s="25">
        <v>68.701189949911267</v>
      </c>
      <c r="BT107" s="25">
        <v>95.228392484241155</v>
      </c>
      <c r="BU107" s="25">
        <v>72.353333333333339</v>
      </c>
      <c r="BV107" s="25">
        <v>63.895968728111967</v>
      </c>
      <c r="BW107" s="25">
        <v>66.476494546205018</v>
      </c>
      <c r="BX107" s="25">
        <v>75.044721123899436</v>
      </c>
      <c r="BY107" s="25">
        <v>71.472422485140385</v>
      </c>
      <c r="BZ107">
        <v>71</v>
      </c>
      <c r="CA107">
        <v>1</v>
      </c>
      <c r="CB107">
        <v>3</v>
      </c>
      <c r="CC107">
        <v>126914.313373</v>
      </c>
      <c r="CD107" s="10">
        <v>55136.725448999998</v>
      </c>
      <c r="CE107" s="255">
        <v>0.43444056059267067</v>
      </c>
      <c r="CF107" t="str">
        <f>IFERROR(VLOOKUP(CE107,'Rangos amb etnico'!$A$2:$C$6,3,9),"N.D.")</f>
        <v>31% - 50%</v>
      </c>
      <c r="CG107" s="256">
        <v>1.604135190308076E-3</v>
      </c>
      <c r="CH107" s="232">
        <v>563.23466499999995</v>
      </c>
      <c r="CI107" s="311">
        <f t="shared" si="49"/>
        <v>4.4379128723224344E-3</v>
      </c>
      <c r="CJ107" s="232" t="str">
        <f>IFERROR(VLOOKUP(CI107,'Rangos amb etnico'!$A$2:$C$6,3,9),"N.D.")</f>
        <v>0,1% - 30%</v>
      </c>
      <c r="CK107" s="311">
        <f t="shared" si="50"/>
        <v>2.236410381077064E-5</v>
      </c>
      <c r="CL107" s="10">
        <v>1.93049099084E-2</v>
      </c>
      <c r="CM107" s="255">
        <f t="shared" si="51"/>
        <v>1.5210979278328558E-7</v>
      </c>
      <c r="CN107" s="232">
        <f>IFERROR(VLOOKUP(CM107,'Rangos amb etnico'!$A$2:$C$6,3,9),"N.D.")</f>
        <v>0</v>
      </c>
      <c r="CO107" s="311">
        <f t="shared" si="52"/>
        <v>1.2106243098233416E-8</v>
      </c>
      <c r="CP107">
        <v>0.84057603619176835</v>
      </c>
      <c r="CQ107" t="s">
        <v>2865</v>
      </c>
      <c r="CR107">
        <f t="shared" si="43"/>
        <v>3</v>
      </c>
      <c r="CS107" t="str">
        <f t="shared" si="53"/>
        <v>Candidato</v>
      </c>
      <c r="CT107">
        <v>0</v>
      </c>
      <c r="CU107">
        <v>0</v>
      </c>
      <c r="CV107" s="25">
        <v>58.576503753662109</v>
      </c>
      <c r="CW107" s="25">
        <v>57.215671539306641</v>
      </c>
      <c r="CX107" s="25">
        <v>54.04315185546875</v>
      </c>
      <c r="CY107" s="25">
        <v>79.404220581054688</v>
      </c>
      <c r="CZ107" s="25">
        <v>84.137252807617188</v>
      </c>
      <c r="DA107" s="25">
        <v>22.065914154052731</v>
      </c>
      <c r="DB107" s="25">
        <v>54.592807769775391</v>
      </c>
      <c r="DC107">
        <v>9366</v>
      </c>
      <c r="DD107" s="253">
        <v>5.3193758072051933</v>
      </c>
    </row>
    <row r="108" spans="1:108" hidden="1">
      <c r="A108" s="13">
        <v>23300</v>
      </c>
      <c r="B108" s="13" t="s">
        <v>679</v>
      </c>
      <c r="C108" s="13" t="s">
        <v>567</v>
      </c>
      <c r="D108" s="13" t="s">
        <v>568</v>
      </c>
      <c r="E108" s="13" t="s">
        <v>680</v>
      </c>
      <c r="F108" s="14">
        <v>62.413600000000002</v>
      </c>
      <c r="G108" s="13">
        <v>41.64</v>
      </c>
      <c r="H108" s="13">
        <v>35.9</v>
      </c>
      <c r="I108" s="13">
        <v>33.93</v>
      </c>
      <c r="J108" s="14">
        <v>49.969585049527836</v>
      </c>
      <c r="K108" s="14">
        <v>58.698604048738446</v>
      </c>
      <c r="L108" s="14">
        <v>56.732403943956882</v>
      </c>
      <c r="M108" s="14">
        <v>48.2746</v>
      </c>
      <c r="N108" s="14">
        <f t="shared" si="27"/>
        <v>43.4709</v>
      </c>
      <c r="O108" s="14">
        <f t="shared" si="28"/>
        <v>53.418798260555789</v>
      </c>
      <c r="P108" s="14">
        <f t="shared" si="44"/>
        <v>48.444849130277895</v>
      </c>
      <c r="Q108" s="14">
        <v>39.904396453591154</v>
      </c>
      <c r="R108" s="17">
        <f t="shared" si="29"/>
        <v>60.095603546408846</v>
      </c>
      <c r="S108" s="14">
        <f t="shared" si="45"/>
        <v>0.64086043191767961</v>
      </c>
      <c r="T108" s="13">
        <v>0</v>
      </c>
      <c r="U108" s="13">
        <f t="shared" si="46"/>
        <v>31.046386937816717</v>
      </c>
      <c r="V108" s="13">
        <f>IF($T108=1,$AU108,(VLOOKUP(U108,'Cortes naturales'!$A$35:$C$39,3,9)))</f>
        <v>3</v>
      </c>
      <c r="W108" s="13">
        <v>3</v>
      </c>
      <c r="X108" s="14" t="b">
        <f t="shared" si="30"/>
        <v>1</v>
      </c>
      <c r="Y108" s="17">
        <f>IF($T108=1,$AU108,VLOOKUP(U108,'Cortes naturales'!$A$45:$C$49,3,9))</f>
        <v>3</v>
      </c>
      <c r="Z108" s="14">
        <v>52.494111098146931</v>
      </c>
      <c r="AA108" s="14">
        <v>0.65000949574372724</v>
      </c>
      <c r="AB108" s="14">
        <v>34.12167068442168</v>
      </c>
      <c r="AC108" s="13">
        <v>3</v>
      </c>
      <c r="AD108" s="13">
        <f t="shared" si="31"/>
        <v>0</v>
      </c>
      <c r="AE108" s="14">
        <f t="shared" si="32"/>
        <v>-4.049261967869036</v>
      </c>
      <c r="AF108" s="14">
        <f t="shared" si="33"/>
        <v>-9.149063826047632E-3</v>
      </c>
      <c r="AG108" s="13">
        <f t="shared" si="34"/>
        <v>-3.0752837466049634</v>
      </c>
      <c r="AH108" s="13">
        <f>IF($T108=1,$AU108,VLOOKUP(U108,'Cortes naturales'!$A$25:$C$29,3,9))</f>
        <v>3</v>
      </c>
      <c r="AI108" s="13" t="b">
        <f t="shared" si="35"/>
        <v>1</v>
      </c>
      <c r="AJ108" s="13">
        <f t="shared" si="36"/>
        <v>0</v>
      </c>
      <c r="AK108" s="28">
        <v>0.9741882058902549</v>
      </c>
      <c r="AL108" s="28">
        <v>51.139143910507478</v>
      </c>
      <c r="AM108" s="28">
        <v>0.46907077273974368</v>
      </c>
      <c r="AN108" s="13">
        <v>3</v>
      </c>
      <c r="AO108" s="33">
        <f t="shared" si="37"/>
        <v>0</v>
      </c>
      <c r="AP108" s="13">
        <f t="shared" si="47"/>
        <v>46.907077273974366</v>
      </c>
      <c r="AQ108" s="13">
        <f>IFERROR(VLOOKUP(U108,'Cortes naturales'!$E$15:$G$19,3,9),U108)</f>
        <v>4</v>
      </c>
      <c r="AR108" s="28">
        <f t="shared" si="38"/>
        <v>-0.33332777397257529</v>
      </c>
      <c r="AS108" s="13" t="b">
        <f t="shared" si="39"/>
        <v>0</v>
      </c>
      <c r="AT108" s="13">
        <f t="shared" si="48"/>
        <v>0</v>
      </c>
      <c r="AU108" s="13">
        <v>3</v>
      </c>
      <c r="AV108">
        <f t="shared" si="40"/>
        <v>0</v>
      </c>
      <c r="AW108" s="13">
        <v>0</v>
      </c>
      <c r="AX108" s="13">
        <v>0</v>
      </c>
      <c r="AY108" s="13">
        <v>0</v>
      </c>
      <c r="AZ108" s="13">
        <v>0</v>
      </c>
      <c r="BA108">
        <v>0</v>
      </c>
      <c r="BB108" t="s">
        <v>2839</v>
      </c>
      <c r="BC108">
        <v>6</v>
      </c>
      <c r="BD108" t="s">
        <v>2919</v>
      </c>
      <c r="BE108">
        <v>1</v>
      </c>
      <c r="BF108" s="232" t="s">
        <v>2846</v>
      </c>
      <c r="BG108" s="232" t="s">
        <v>2845</v>
      </c>
      <c r="BH108" s="253">
        <v>39.700000000000003</v>
      </c>
      <c r="BI108" s="253">
        <v>24.199814986123958</v>
      </c>
      <c r="BJ108" s="25">
        <v>10.87</v>
      </c>
      <c r="BK108" t="s">
        <v>377</v>
      </c>
      <c r="BL108">
        <v>1.65353853823847</v>
      </c>
      <c r="BM108" t="s">
        <v>383</v>
      </c>
      <c r="BN108" s="322">
        <v>34784.143343999996</v>
      </c>
      <c r="BO108" s="322">
        <v>1793.6851899999999</v>
      </c>
      <c r="BP108" s="10">
        <v>21334</v>
      </c>
      <c r="BQ108" s="254">
        <f t="shared" si="41"/>
        <v>1.6304557675072653</v>
      </c>
      <c r="BR108" s="254">
        <f t="shared" si="42"/>
        <v>8.4076365894815777E-2</v>
      </c>
      <c r="BS108" s="25">
        <v>50.831363534842161</v>
      </c>
      <c r="BT108" s="25">
        <v>89.259805249835949</v>
      </c>
      <c r="BU108" s="25">
        <v>40.994391311963568</v>
      </c>
      <c r="BV108" s="25">
        <v>94.877721894308266</v>
      </c>
      <c r="BW108" s="25">
        <v>55.05484954813025</v>
      </c>
      <c r="BX108" s="25">
        <v>68.990820497737488</v>
      </c>
      <c r="BY108" s="25">
        <v>54.589402876718353</v>
      </c>
      <c r="BZ108">
        <v>56</v>
      </c>
      <c r="CA108">
        <v>0</v>
      </c>
      <c r="CB108">
        <v>7</v>
      </c>
      <c r="CC108">
        <v>8774.1176350000005</v>
      </c>
      <c r="CD108" s="10">
        <v>2922.242859</v>
      </c>
      <c r="CE108" s="255">
        <v>0.33305261914236917</v>
      </c>
      <c r="CF108" t="str">
        <f>IFERROR(VLOOKUP(CE108,'Rangos amb etnico'!$A$2:$C$6,3,9),"N.D.")</f>
        <v>31% - 50%</v>
      </c>
      <c r="CG108" s="256">
        <v>8.5019060645600975E-5</v>
      </c>
      <c r="CH108" s="232">
        <v>0</v>
      </c>
      <c r="CI108" s="311">
        <f t="shared" si="49"/>
        <v>0</v>
      </c>
      <c r="CJ108" s="232">
        <f>IFERROR(VLOOKUP(CI108,'Rangos amb etnico'!$A$2:$C$6,3,9),"N.D.")</f>
        <v>0</v>
      </c>
      <c r="CK108" s="311">
        <f t="shared" si="50"/>
        <v>0</v>
      </c>
      <c r="CL108" s="10">
        <v>0</v>
      </c>
      <c r="CM108" s="255">
        <f t="shared" si="51"/>
        <v>0</v>
      </c>
      <c r="CN108" s="232">
        <f>IFERROR(VLOOKUP(CM108,'Rangos amb etnico'!$A$2:$C$6,3,9),"N.D.")</f>
        <v>0</v>
      </c>
      <c r="CO108" s="311">
        <f t="shared" si="52"/>
        <v>0</v>
      </c>
      <c r="CP108">
        <v>0.95068190498221372</v>
      </c>
      <c r="CQ108" t="s">
        <v>2864</v>
      </c>
      <c r="CR108">
        <f t="shared" si="43"/>
        <v>1</v>
      </c>
      <c r="CS108" t="str">
        <f t="shared" si="53"/>
        <v>No es Candidato</v>
      </c>
      <c r="CT108">
        <v>0</v>
      </c>
      <c r="CU108">
        <v>0</v>
      </c>
      <c r="CV108" s="25">
        <v>50.588043212890618</v>
      </c>
      <c r="CW108" s="25">
        <v>31.269405364990231</v>
      </c>
      <c r="CX108" s="25">
        <v>60.401481628417969</v>
      </c>
      <c r="CY108" s="25">
        <v>54.657325744628913</v>
      </c>
      <c r="CZ108" s="25">
        <v>36.551471710205078</v>
      </c>
      <c r="DA108" s="25">
        <v>71.347518920898438</v>
      </c>
      <c r="DB108" s="25">
        <v>49.301048278808587</v>
      </c>
      <c r="DC108">
        <v>1166</v>
      </c>
      <c r="DD108" s="253" t="s">
        <v>380</v>
      </c>
    </row>
    <row r="109" spans="1:108" hidden="1">
      <c r="A109" s="13">
        <v>17777</v>
      </c>
      <c r="B109" s="13" t="s">
        <v>681</v>
      </c>
      <c r="C109" s="13" t="s">
        <v>506</v>
      </c>
      <c r="D109" s="13" t="s">
        <v>507</v>
      </c>
      <c r="E109" s="13" t="s">
        <v>682</v>
      </c>
      <c r="F109" s="14">
        <v>70.201800000000006</v>
      </c>
      <c r="G109" s="13">
        <v>53.69</v>
      </c>
      <c r="H109" s="13">
        <v>41.6</v>
      </c>
      <c r="I109" s="13">
        <v>60.76</v>
      </c>
      <c r="J109" s="14">
        <v>57.423883097800505</v>
      </c>
      <c r="K109" s="14">
        <v>61.082142472768808</v>
      </c>
      <c r="L109" s="14">
        <v>61.125104376794951</v>
      </c>
      <c r="M109" s="14">
        <v>59.2699</v>
      </c>
      <c r="N109" s="14">
        <f t="shared" si="27"/>
        <v>56.562950000000001</v>
      </c>
      <c r="O109" s="14">
        <f t="shared" si="28"/>
        <v>59.725257486841066</v>
      </c>
      <c r="P109" s="14">
        <f t="shared" si="44"/>
        <v>58.14410374342053</v>
      </c>
      <c r="Q109" s="14">
        <v>40.199967072685602</v>
      </c>
      <c r="R109" s="17">
        <f t="shared" si="29"/>
        <v>59.800032927314398</v>
      </c>
      <c r="S109" s="14">
        <f t="shared" si="45"/>
        <v>0.63820029634582953</v>
      </c>
      <c r="T109" s="13">
        <v>0</v>
      </c>
      <c r="U109" s="13">
        <f t="shared" si="46"/>
        <v>37.10758423981364</v>
      </c>
      <c r="V109" s="13">
        <f>IF($T109=1,$AU109,(VLOOKUP(U109,'Cortes naturales'!$A$35:$C$39,3,9)))</f>
        <v>3</v>
      </c>
      <c r="W109" s="13">
        <v>3</v>
      </c>
      <c r="X109" s="14" t="b">
        <f t="shared" si="30"/>
        <v>1</v>
      </c>
      <c r="Y109" s="17">
        <f>IF($T109=1,$AU109,VLOOKUP(U109,'Cortes naturales'!$A$45:$C$49,3,9))</f>
        <v>2</v>
      </c>
      <c r="Z109" s="14">
        <v>58.678720874635815</v>
      </c>
      <c r="AA109" s="14">
        <v>0.65004871505332651</v>
      </c>
      <c r="AB109" s="14">
        <v>38.144027105529815</v>
      </c>
      <c r="AC109" s="13">
        <v>2</v>
      </c>
      <c r="AD109" s="13">
        <f t="shared" si="31"/>
        <v>0</v>
      </c>
      <c r="AE109" s="14">
        <f t="shared" si="32"/>
        <v>-0.53461713121528476</v>
      </c>
      <c r="AF109" s="14">
        <f t="shared" si="33"/>
        <v>-1.1848418707496977E-2</v>
      </c>
      <c r="AG109" s="13">
        <f t="shared" si="34"/>
        <v>-1.0364428657161753</v>
      </c>
      <c r="AH109" s="13">
        <f>IF($T109=1,$AU109,VLOOKUP(U109,'Cortes naturales'!$A$25:$C$29,3,9))</f>
        <v>2</v>
      </c>
      <c r="AI109" s="13" t="b">
        <f t="shared" si="35"/>
        <v>1</v>
      </c>
      <c r="AJ109" s="13">
        <f t="shared" si="36"/>
        <v>0</v>
      </c>
      <c r="AK109" s="28">
        <v>0.9741882058902549</v>
      </c>
      <c r="AL109" s="28">
        <v>57.164117812796512</v>
      </c>
      <c r="AM109" s="28">
        <v>0.54443684533625458</v>
      </c>
      <c r="AN109" s="13">
        <v>2</v>
      </c>
      <c r="AO109" s="33">
        <f t="shared" si="37"/>
        <v>0</v>
      </c>
      <c r="AP109" s="13">
        <f t="shared" si="47"/>
        <v>54.443684533625458</v>
      </c>
      <c r="AQ109" s="13">
        <f>IFERROR(VLOOKUP(U109,'Cortes naturales'!$E$15:$G$19,3,9),U109)</f>
        <v>3</v>
      </c>
      <c r="AR109" s="28">
        <f t="shared" si="38"/>
        <v>-0.33598790954442537</v>
      </c>
      <c r="AS109" s="13" t="b">
        <f t="shared" si="39"/>
        <v>0</v>
      </c>
      <c r="AT109" s="13">
        <f t="shared" si="48"/>
        <v>0</v>
      </c>
      <c r="AU109" s="13">
        <v>2</v>
      </c>
      <c r="AV109">
        <f t="shared" si="40"/>
        <v>0</v>
      </c>
      <c r="AW109" s="13">
        <v>0</v>
      </c>
      <c r="AX109" s="13">
        <v>0</v>
      </c>
      <c r="AY109" s="13">
        <v>0</v>
      </c>
      <c r="AZ109" s="13">
        <v>0</v>
      </c>
      <c r="BA109">
        <v>0</v>
      </c>
      <c r="BB109" t="s">
        <v>2839</v>
      </c>
      <c r="BC109">
        <v>6</v>
      </c>
      <c r="BD109" t="s">
        <v>2919</v>
      </c>
      <c r="BE109">
        <v>1</v>
      </c>
      <c r="BF109" s="232" t="s">
        <v>2846</v>
      </c>
      <c r="BG109" s="232" t="s">
        <v>2846</v>
      </c>
      <c r="BH109" s="253">
        <v>31.3</v>
      </c>
      <c r="BI109" s="253">
        <v>11.181363140265702</v>
      </c>
      <c r="BJ109" s="25">
        <v>36.770894353502442</v>
      </c>
      <c r="BK109" t="s">
        <v>376</v>
      </c>
      <c r="BL109">
        <v>0.86747374465687077</v>
      </c>
      <c r="BM109" t="s">
        <v>383</v>
      </c>
      <c r="BN109" s="322">
        <v>52019.387131000003</v>
      </c>
      <c r="BO109" s="322">
        <v>6573.232763</v>
      </c>
      <c r="BP109" s="10">
        <v>31325</v>
      </c>
      <c r="BQ109" s="254">
        <f t="shared" si="41"/>
        <v>1.6606348645171589</v>
      </c>
      <c r="BR109" s="254">
        <f t="shared" si="42"/>
        <v>0.20983983281723861</v>
      </c>
      <c r="BS109" s="25">
        <v>60.382043417654252</v>
      </c>
      <c r="BT109" s="25">
        <v>92.954904454198811</v>
      </c>
      <c r="BU109" s="25">
        <v>61.286666666666669</v>
      </c>
      <c r="BV109" s="25">
        <v>93.435316469138812</v>
      </c>
      <c r="BW109" s="25">
        <v>60.720848271765533</v>
      </c>
      <c r="BX109" s="25">
        <v>77.014732751914636</v>
      </c>
      <c r="BY109" s="25">
        <v>60.62810676449066</v>
      </c>
      <c r="BZ109">
        <v>31</v>
      </c>
      <c r="CA109">
        <v>0</v>
      </c>
      <c r="CB109">
        <v>7</v>
      </c>
      <c r="CC109">
        <v>12143.960956000001</v>
      </c>
      <c r="CD109" s="10">
        <v>33.131042999999998</v>
      </c>
      <c r="CE109" s="255">
        <v>2.72819083658457E-3</v>
      </c>
      <c r="CF109" t="str">
        <f>IFERROR(VLOOKUP(CE109,'Rangos amb etnico'!$A$2:$C$6,3,9),"N.D.")</f>
        <v>0,1% - 30%</v>
      </c>
      <c r="CG109" s="256">
        <v>9.6390693381073743E-7</v>
      </c>
      <c r="CH109" s="232">
        <v>569.95074</v>
      </c>
      <c r="CI109" s="311">
        <f t="shared" si="49"/>
        <v>4.6932853462313122E-2</v>
      </c>
      <c r="CJ109" s="232" t="str">
        <f>IFERROR(VLOOKUP(CI109,'Rangos amb etnico'!$A$2:$C$6,3,9),"N.D.")</f>
        <v>0,1% - 30%</v>
      </c>
      <c r="CK109" s="311">
        <f t="shared" si="50"/>
        <v>2.2630775959760122E-5</v>
      </c>
      <c r="CL109" s="10">
        <v>0</v>
      </c>
      <c r="CM109" s="255">
        <f t="shared" si="51"/>
        <v>0</v>
      </c>
      <c r="CN109" s="232">
        <f>IFERROR(VLOOKUP(CM109,'Rangos amb etnico'!$A$2:$C$6,3,9),"N.D.")</f>
        <v>0</v>
      </c>
      <c r="CO109" s="311">
        <f t="shared" si="52"/>
        <v>0</v>
      </c>
      <c r="CP109">
        <v>0.90644505325550595</v>
      </c>
      <c r="CQ109" t="s">
        <v>2864</v>
      </c>
      <c r="CR109">
        <f t="shared" si="43"/>
        <v>3</v>
      </c>
      <c r="CS109" t="str">
        <f t="shared" si="53"/>
        <v>Candidato</v>
      </c>
      <c r="CT109">
        <v>0</v>
      </c>
      <c r="CU109">
        <v>0</v>
      </c>
      <c r="CV109" s="25">
        <v>54.328758239746087</v>
      </c>
      <c r="CW109" s="25">
        <v>31.643735885620121</v>
      </c>
      <c r="CX109" s="25">
        <v>56.243900299072273</v>
      </c>
      <c r="CY109" s="25">
        <v>60.505924224853523</v>
      </c>
      <c r="CZ109" s="25">
        <v>56.840076446533203</v>
      </c>
      <c r="DA109" s="25">
        <v>64.770713806152344</v>
      </c>
      <c r="DB109" s="25">
        <v>55.968204498291023</v>
      </c>
      <c r="DC109">
        <v>10670</v>
      </c>
      <c r="DD109" s="253" t="s">
        <v>380</v>
      </c>
    </row>
    <row r="110" spans="1:108" hidden="1">
      <c r="A110" s="13">
        <v>19698</v>
      </c>
      <c r="B110" s="13" t="s">
        <v>683</v>
      </c>
      <c r="C110" s="13" t="s">
        <v>557</v>
      </c>
      <c r="D110" s="13" t="s">
        <v>558</v>
      </c>
      <c r="E110" s="13" t="s">
        <v>684</v>
      </c>
      <c r="F110" s="14">
        <v>76.745699999999999</v>
      </c>
      <c r="G110" s="13">
        <v>78.33</v>
      </c>
      <c r="H110" s="13">
        <v>62.61</v>
      </c>
      <c r="I110" s="13">
        <v>66.290000000000006</v>
      </c>
      <c r="J110" s="14">
        <v>44.801141636024504</v>
      </c>
      <c r="K110" s="14">
        <v>45.286333422257783</v>
      </c>
      <c r="L110" s="14">
        <v>59.307662392604456</v>
      </c>
      <c r="M110" s="14">
        <v>48.496400000000001</v>
      </c>
      <c r="N110" s="14">
        <f t="shared" si="27"/>
        <v>70.993925000000004</v>
      </c>
      <c r="O110" s="14">
        <f t="shared" si="28"/>
        <v>49.472884362721686</v>
      </c>
      <c r="P110" s="14">
        <f t="shared" si="44"/>
        <v>60.233404681360845</v>
      </c>
      <c r="Q110" s="14">
        <v>39.934450521671366</v>
      </c>
      <c r="R110" s="17">
        <f t="shared" si="29"/>
        <v>60.065549478328634</v>
      </c>
      <c r="S110" s="14">
        <f t="shared" si="45"/>
        <v>0.64058994530495772</v>
      </c>
      <c r="T110" s="13">
        <v>0</v>
      </c>
      <c r="U110" s="13">
        <f t="shared" si="46"/>
        <v>38.584913410364329</v>
      </c>
      <c r="V110" s="13">
        <f>IF($T110=1,$AU110,(VLOOKUP(U110,'Cortes naturales'!$A$35:$C$39,3,9)))</f>
        <v>2</v>
      </c>
      <c r="W110" s="13">
        <v>2</v>
      </c>
      <c r="X110" s="14" t="b">
        <f t="shared" si="30"/>
        <v>1</v>
      </c>
      <c r="Y110" s="17">
        <f>IF($T110=1,$AU110,VLOOKUP(U110,'Cortes naturales'!$A$45:$C$49,3,9))</f>
        <v>2</v>
      </c>
      <c r="Z110" s="14">
        <v>59.995188929262056</v>
      </c>
      <c r="AA110" s="14">
        <v>0.6504480954132501</v>
      </c>
      <c r="AB110" s="14">
        <v>39.023756372996615</v>
      </c>
      <c r="AC110" s="13">
        <v>2</v>
      </c>
      <c r="AD110" s="13">
        <f t="shared" si="31"/>
        <v>0</v>
      </c>
      <c r="AE110" s="14">
        <f t="shared" si="32"/>
        <v>0.23821575209878887</v>
      </c>
      <c r="AF110" s="14">
        <f t="shared" si="33"/>
        <v>-9.858150108292385E-3</v>
      </c>
      <c r="AG110" s="13">
        <f t="shared" si="34"/>
        <v>-0.43884296263228606</v>
      </c>
      <c r="AH110" s="13">
        <f>IF($T110=1,$AU110,VLOOKUP(U110,'Cortes naturales'!$A$25:$C$29,3,9))</f>
        <v>2</v>
      </c>
      <c r="AI110" s="13" t="b">
        <f t="shared" si="35"/>
        <v>1</v>
      </c>
      <c r="AJ110" s="13">
        <f t="shared" si="36"/>
        <v>0</v>
      </c>
      <c r="AK110" s="28">
        <v>0.9741882058902549</v>
      </c>
      <c r="AL110" s="28">
        <v>58.446605465044684</v>
      </c>
      <c r="AM110" s="28">
        <v>0.56047941399646772</v>
      </c>
      <c r="AN110" s="13">
        <v>2</v>
      </c>
      <c r="AO110" s="33">
        <f t="shared" si="37"/>
        <v>0</v>
      </c>
      <c r="AP110" s="13">
        <f t="shared" si="47"/>
        <v>56.047941399646774</v>
      </c>
      <c r="AQ110" s="13">
        <f>IFERROR(VLOOKUP(U110,'Cortes naturales'!$E$15:$G$19,3,9),U110)</f>
        <v>3</v>
      </c>
      <c r="AR110" s="28">
        <f t="shared" si="38"/>
        <v>-0.33359826058529718</v>
      </c>
      <c r="AS110" s="13" t="b">
        <f t="shared" si="39"/>
        <v>0</v>
      </c>
      <c r="AT110" s="13">
        <f t="shared" si="48"/>
        <v>0</v>
      </c>
      <c r="AU110" s="13">
        <v>2</v>
      </c>
      <c r="AV110">
        <f t="shared" si="40"/>
        <v>0</v>
      </c>
      <c r="AW110" s="13">
        <v>0</v>
      </c>
      <c r="AX110" s="13">
        <v>1</v>
      </c>
      <c r="AY110" s="13">
        <v>0</v>
      </c>
      <c r="AZ110" s="13">
        <v>1</v>
      </c>
      <c r="BA110">
        <v>1</v>
      </c>
      <c r="BB110" t="s">
        <v>2839</v>
      </c>
      <c r="BC110">
        <v>4</v>
      </c>
      <c r="BD110" t="s">
        <v>2919</v>
      </c>
      <c r="BE110">
        <v>1</v>
      </c>
      <c r="BF110" s="232" t="s">
        <v>2846</v>
      </c>
      <c r="BG110" s="232" t="s">
        <v>2846</v>
      </c>
      <c r="BH110" s="253">
        <v>23.8</v>
      </c>
      <c r="BI110" s="253">
        <v>12.193229013718168</v>
      </c>
      <c r="BJ110" s="25">
        <v>1.9066927120841133</v>
      </c>
      <c r="BK110" t="s">
        <v>381</v>
      </c>
      <c r="BL110">
        <v>21.253058878341268</v>
      </c>
      <c r="BM110" t="s">
        <v>376</v>
      </c>
      <c r="BN110" s="322">
        <v>164542.84062800001</v>
      </c>
      <c r="BO110" s="322">
        <v>29338.956225999998</v>
      </c>
      <c r="BP110" s="10">
        <v>126198</v>
      </c>
      <c r="BQ110" s="254">
        <f t="shared" si="41"/>
        <v>1.3038466586475221</v>
      </c>
      <c r="BR110" s="254">
        <f t="shared" si="42"/>
        <v>0.23248352767872707</v>
      </c>
      <c r="BS110" s="25">
        <v>71.242549722576697</v>
      </c>
      <c r="BT110" s="25">
        <v>95.406371014574418</v>
      </c>
      <c r="BU110" s="25">
        <v>64.209999999999994</v>
      </c>
      <c r="BV110" s="25">
        <v>76.325229643600139</v>
      </c>
      <c r="BW110" s="25">
        <v>55.604935038054677</v>
      </c>
      <c r="BX110" s="25">
        <v>76.796037595187812</v>
      </c>
      <c r="BY110" s="25">
        <v>56.501104236911146</v>
      </c>
      <c r="BZ110">
        <v>32</v>
      </c>
      <c r="CA110">
        <v>1</v>
      </c>
      <c r="CB110">
        <v>6</v>
      </c>
      <c r="CC110">
        <v>51836.450821999999</v>
      </c>
      <c r="CD110" s="10">
        <v>21052.305273999998</v>
      </c>
      <c r="CE110" s="255">
        <v>0.40612937306010838</v>
      </c>
      <c r="CF110" t="str">
        <f>IFERROR(VLOOKUP(CE110,'Rangos amb etnico'!$A$2:$C$6,3,9),"N.D.")</f>
        <v>31% - 50%</v>
      </c>
      <c r="CG110" s="256">
        <v>6.124909205638035E-4</v>
      </c>
      <c r="CH110" s="232">
        <v>3313.9444090000002</v>
      </c>
      <c r="CI110" s="311">
        <f t="shared" si="49"/>
        <v>6.3930773740271646E-2</v>
      </c>
      <c r="CJ110" s="232" t="str">
        <f>IFERROR(VLOOKUP(CI110,'Rangos amb etnico'!$A$2:$C$6,3,9),"N.D.")</f>
        <v>0,1% - 30%</v>
      </c>
      <c r="CK110" s="311">
        <f t="shared" si="50"/>
        <v>1.3158529009573471E-4</v>
      </c>
      <c r="CL110" s="10">
        <v>0</v>
      </c>
      <c r="CM110" s="255">
        <f t="shared" si="51"/>
        <v>0</v>
      </c>
      <c r="CN110" s="232">
        <f>IFERROR(VLOOKUP(CM110,'Rangos amb etnico'!$A$2:$C$6,3,9),"N.D.")</f>
        <v>0</v>
      </c>
      <c r="CO110" s="311">
        <f t="shared" si="52"/>
        <v>0</v>
      </c>
      <c r="CP110">
        <v>0.9558148916820024</v>
      </c>
      <c r="CQ110" t="s">
        <v>2864</v>
      </c>
      <c r="CR110">
        <f t="shared" si="43"/>
        <v>2</v>
      </c>
      <c r="CS110" t="str">
        <f t="shared" si="53"/>
        <v>No es Candidato</v>
      </c>
      <c r="CT110">
        <v>0</v>
      </c>
      <c r="CU110">
        <v>0</v>
      </c>
      <c r="CV110" s="25">
        <v>48.058723449707031</v>
      </c>
      <c r="CW110" s="25">
        <v>52.523178100585938</v>
      </c>
      <c r="CX110" s="25">
        <v>47.158027648925781</v>
      </c>
      <c r="CY110" s="25">
        <v>73.487419128417969</v>
      </c>
      <c r="CZ110" s="25">
        <v>41.908905029296882</v>
      </c>
      <c r="DA110" s="25">
        <v>22.713882446289059</v>
      </c>
      <c r="DB110" s="25">
        <v>50.560924530029297</v>
      </c>
      <c r="DC110">
        <v>61318</v>
      </c>
      <c r="DD110" s="253" t="s">
        <v>380</v>
      </c>
    </row>
    <row r="111" spans="1:108" hidden="1">
      <c r="A111" s="13">
        <v>17442</v>
      </c>
      <c r="B111" s="13" t="s">
        <v>685</v>
      </c>
      <c r="C111" s="13" t="s">
        <v>506</v>
      </c>
      <c r="D111" s="13" t="s">
        <v>507</v>
      </c>
      <c r="E111" s="13" t="s">
        <v>686</v>
      </c>
      <c r="F111" s="14">
        <v>48.853166666666702</v>
      </c>
      <c r="G111" s="13">
        <v>52.47</v>
      </c>
      <c r="H111" s="13">
        <v>51.65</v>
      </c>
      <c r="I111" s="13">
        <v>60.7</v>
      </c>
      <c r="J111" s="14">
        <v>56.541971131802981</v>
      </c>
      <c r="K111" s="14">
        <v>57.904241756030622</v>
      </c>
      <c r="L111" s="14">
        <v>66.430887717277869</v>
      </c>
      <c r="M111" s="14">
        <v>58.1038</v>
      </c>
      <c r="N111" s="14">
        <f t="shared" si="27"/>
        <v>53.418291666666676</v>
      </c>
      <c r="O111" s="14">
        <f t="shared" si="28"/>
        <v>59.745225151277872</v>
      </c>
      <c r="P111" s="14">
        <f t="shared" si="44"/>
        <v>56.581758408972277</v>
      </c>
      <c r="Q111" s="14">
        <v>40.360446511697333</v>
      </c>
      <c r="R111" s="17">
        <f t="shared" si="29"/>
        <v>59.639553488302667</v>
      </c>
      <c r="S111" s="14">
        <f t="shared" si="45"/>
        <v>0.636755981394724</v>
      </c>
      <c r="T111" s="13">
        <v>0</v>
      </c>
      <c r="U111" s="13">
        <f t="shared" si="46"/>
        <v>36.028773104744317</v>
      </c>
      <c r="V111" s="13">
        <f>IF($T111=1,$AU111,(VLOOKUP(U111,'Cortes naturales'!$A$35:$C$39,3,9)))</f>
        <v>3</v>
      </c>
      <c r="W111" s="13">
        <v>3</v>
      </c>
      <c r="X111" s="14" t="b">
        <f t="shared" si="30"/>
        <v>1</v>
      </c>
      <c r="Y111" s="17">
        <f>IF($T111=1,$AU111,VLOOKUP(U111,'Cortes naturales'!$A$45:$C$49,3,9))</f>
        <v>2</v>
      </c>
      <c r="Z111" s="14">
        <v>54.122094444036492</v>
      </c>
      <c r="AA111" s="14">
        <v>0.65068589971018842</v>
      </c>
      <c r="AB111" s="14">
        <v>35.216483717517676</v>
      </c>
      <c r="AC111" s="13">
        <v>2</v>
      </c>
      <c r="AD111" s="13">
        <f t="shared" si="31"/>
        <v>0</v>
      </c>
      <c r="AE111" s="14">
        <f t="shared" si="32"/>
        <v>2.4596639649357854</v>
      </c>
      <c r="AF111" s="14">
        <f t="shared" si="33"/>
        <v>-1.3929918315464418E-2</v>
      </c>
      <c r="AG111" s="13">
        <f t="shared" si="34"/>
        <v>0.81228938722664168</v>
      </c>
      <c r="AH111" s="13">
        <f>IF($T111=1,$AU111,VLOOKUP(U111,'Cortes naturales'!$A$25:$C$29,3,9))</f>
        <v>2</v>
      </c>
      <c r="AI111" s="13" t="b">
        <f t="shared" si="35"/>
        <v>1</v>
      </c>
      <c r="AJ111" s="13">
        <f t="shared" si="36"/>
        <v>0</v>
      </c>
      <c r="AK111" s="28">
        <v>0.9741882058902549</v>
      </c>
      <c r="AL111" s="28">
        <v>52.72510608545884</v>
      </c>
      <c r="AM111" s="28">
        <v>0.48890948778667409</v>
      </c>
      <c r="AN111" s="13">
        <v>2</v>
      </c>
      <c r="AO111" s="33">
        <f t="shared" si="37"/>
        <v>0</v>
      </c>
      <c r="AP111" s="13">
        <f t="shared" si="47"/>
        <v>48.890948778667408</v>
      </c>
      <c r="AQ111" s="13">
        <f>IFERROR(VLOOKUP(U111,'Cortes naturales'!$E$15:$G$19,3,9),U111)</f>
        <v>3</v>
      </c>
      <c r="AR111" s="28">
        <f t="shared" si="38"/>
        <v>-0.3374322244955309</v>
      </c>
      <c r="AS111" s="13" t="b">
        <f t="shared" si="39"/>
        <v>0</v>
      </c>
      <c r="AT111" s="13">
        <f t="shared" si="48"/>
        <v>0</v>
      </c>
      <c r="AU111" s="13">
        <v>2</v>
      </c>
      <c r="AV111">
        <f t="shared" si="40"/>
        <v>0</v>
      </c>
      <c r="AW111" s="13">
        <v>0</v>
      </c>
      <c r="AX111" s="13">
        <v>0</v>
      </c>
      <c r="AY111" s="13">
        <v>0</v>
      </c>
      <c r="AZ111" s="13">
        <v>0</v>
      </c>
      <c r="BA111">
        <v>0</v>
      </c>
      <c r="BB111" t="s">
        <v>2839</v>
      </c>
      <c r="BC111">
        <v>6</v>
      </c>
      <c r="BD111" t="s">
        <v>2919</v>
      </c>
      <c r="BE111">
        <v>0</v>
      </c>
      <c r="BF111" s="232" t="s">
        <v>2846</v>
      </c>
      <c r="BG111" s="232" t="s">
        <v>2846</v>
      </c>
      <c r="BH111" s="253">
        <v>37.6</v>
      </c>
      <c r="BI111" s="253">
        <v>14.661166764879198</v>
      </c>
      <c r="BJ111" s="25">
        <v>57.028703315267911</v>
      </c>
      <c r="BK111" t="s">
        <v>376</v>
      </c>
      <c r="BL111">
        <v>5.6167735532099323</v>
      </c>
      <c r="BM111" t="s">
        <v>383</v>
      </c>
      <c r="BN111" s="322">
        <v>20883.000915000001</v>
      </c>
      <c r="BO111" s="322">
        <v>3345.5093470000002</v>
      </c>
      <c r="BP111" s="10">
        <v>9394</v>
      </c>
      <c r="BQ111" s="254">
        <f t="shared" si="41"/>
        <v>2.2230147876304023</v>
      </c>
      <c r="BR111" s="254">
        <f t="shared" si="42"/>
        <v>0.35613256834149459</v>
      </c>
      <c r="BS111" s="25">
        <v>73.300255288620562</v>
      </c>
      <c r="BT111" s="25">
        <v>100</v>
      </c>
      <c r="BU111" s="25">
        <v>57.12</v>
      </c>
      <c r="BV111" s="25">
        <v>91.255574549011612</v>
      </c>
      <c r="BW111" s="25">
        <v>63.696053346888149</v>
      </c>
      <c r="BX111" s="25">
        <v>80.418957459408048</v>
      </c>
      <c r="BY111" s="25">
        <v>65.35974948360419</v>
      </c>
      <c r="BZ111">
        <v>31</v>
      </c>
      <c r="CA111">
        <v>0</v>
      </c>
      <c r="CB111">
        <v>7</v>
      </c>
      <c r="CC111">
        <v>3685.375168</v>
      </c>
      <c r="CD111" s="10">
        <v>233.442924</v>
      </c>
      <c r="CE111" s="255">
        <v>6.3343055552926547E-2</v>
      </c>
      <c r="CF111" t="str">
        <f>IFERROR(VLOOKUP(CE111,'Rangos amb etnico'!$A$2:$C$6,3,9),"N.D.")</f>
        <v>0,1% - 30%</v>
      </c>
      <c r="CG111" s="256">
        <v>6.7917346608331362E-6</v>
      </c>
      <c r="CH111" s="232">
        <v>0</v>
      </c>
      <c r="CI111" s="311">
        <f t="shared" si="49"/>
        <v>0</v>
      </c>
      <c r="CJ111" s="232">
        <f>IFERROR(VLOOKUP(CI111,'Rangos amb etnico'!$A$2:$C$6,3,9),"N.D.")</f>
        <v>0</v>
      </c>
      <c r="CK111" s="311">
        <f t="shared" si="50"/>
        <v>0</v>
      </c>
      <c r="CL111" s="10">
        <v>0</v>
      </c>
      <c r="CM111" s="255">
        <f t="shared" si="51"/>
        <v>0</v>
      </c>
      <c r="CN111" s="232">
        <f>IFERROR(VLOOKUP(CM111,'Rangos amb etnico'!$A$2:$C$6,3,9),"N.D.")</f>
        <v>0</v>
      </c>
      <c r="CO111" s="311">
        <f t="shared" si="52"/>
        <v>0</v>
      </c>
      <c r="CP111">
        <v>0.89857348666166614</v>
      </c>
      <c r="CQ111" t="s">
        <v>2864</v>
      </c>
      <c r="CR111">
        <f t="shared" si="43"/>
        <v>3</v>
      </c>
      <c r="CS111" t="str">
        <f t="shared" si="53"/>
        <v>Candidato</v>
      </c>
      <c r="CT111">
        <v>0</v>
      </c>
      <c r="CU111">
        <v>0</v>
      </c>
      <c r="CV111" s="25">
        <v>47.0675048828125</v>
      </c>
      <c r="CW111" s="25">
        <v>29.97031211853027</v>
      </c>
      <c r="CX111" s="25">
        <v>58.056682586669922</v>
      </c>
      <c r="CY111" s="25">
        <v>53.321292877197273</v>
      </c>
      <c r="CZ111" s="25">
        <v>46.307723999023438</v>
      </c>
      <c r="DA111" s="25">
        <v>43.602073669433587</v>
      </c>
      <c r="DB111" s="25">
        <v>51.146942138671882</v>
      </c>
      <c r="DC111">
        <v>3374</v>
      </c>
      <c r="DD111" s="253" t="s">
        <v>380</v>
      </c>
    </row>
    <row r="112" spans="1:108" hidden="1">
      <c r="A112" s="13">
        <v>25245</v>
      </c>
      <c r="B112" s="13" t="s">
        <v>687</v>
      </c>
      <c r="C112" s="13" t="s">
        <v>461</v>
      </c>
      <c r="D112" s="13" t="s">
        <v>462</v>
      </c>
      <c r="E112" s="13" t="s">
        <v>688</v>
      </c>
      <c r="F112" s="14">
        <v>62.829066666666698</v>
      </c>
      <c r="G112" s="13">
        <v>66.66</v>
      </c>
      <c r="H112" s="13">
        <v>65.069999999999993</v>
      </c>
      <c r="I112" s="13">
        <v>47.78</v>
      </c>
      <c r="J112" s="14">
        <v>59.534465421201965</v>
      </c>
      <c r="K112" s="14">
        <v>62.416595915490632</v>
      </c>
      <c r="L112" s="14">
        <v>74.620015170744509</v>
      </c>
      <c r="M112" s="14">
        <v>63.587600000000002</v>
      </c>
      <c r="N112" s="14">
        <f t="shared" si="27"/>
        <v>60.584766666666674</v>
      </c>
      <c r="O112" s="14">
        <f t="shared" si="28"/>
        <v>65.03966912685928</v>
      </c>
      <c r="P112" s="14">
        <f t="shared" si="44"/>
        <v>62.812217896762974</v>
      </c>
      <c r="Q112" s="14">
        <v>40.905815297732765</v>
      </c>
      <c r="R112" s="17">
        <f t="shared" si="29"/>
        <v>59.094184702267235</v>
      </c>
      <c r="S112" s="14">
        <f t="shared" si="45"/>
        <v>0.63184766232040512</v>
      </c>
      <c r="T112" s="13">
        <v>0</v>
      </c>
      <c r="U112" s="13">
        <f t="shared" si="46"/>
        <v>39.687753043229598</v>
      </c>
      <c r="V112" s="13">
        <f>IF($T112=1,$AU112,(VLOOKUP(U112,'Cortes naturales'!$A$35:$C$39,3,9)))</f>
        <v>2</v>
      </c>
      <c r="W112" s="13">
        <v>2</v>
      </c>
      <c r="X112" s="14" t="b">
        <f t="shared" si="30"/>
        <v>1</v>
      </c>
      <c r="Y112" s="17">
        <f>IF($T112=1,$AU112,VLOOKUP(U112,'Cortes naturales'!$A$45:$C$49,3,9))</f>
        <v>2</v>
      </c>
      <c r="Z112" s="14">
        <v>64.219536893462177</v>
      </c>
      <c r="AA112" s="14">
        <v>0.6492333592771955</v>
      </c>
      <c r="AB112" s="14">
        <v>41.693465668568244</v>
      </c>
      <c r="AC112" s="13">
        <v>2</v>
      </c>
      <c r="AD112" s="13">
        <f t="shared" si="31"/>
        <v>0</v>
      </c>
      <c r="AE112" s="14">
        <f t="shared" si="32"/>
        <v>-1.4073189966992032</v>
      </c>
      <c r="AF112" s="14">
        <f t="shared" si="33"/>
        <v>-1.7385696956790375E-2</v>
      </c>
      <c r="AG112" s="13">
        <f t="shared" si="34"/>
        <v>-2.0057126253386457</v>
      </c>
      <c r="AH112" s="13">
        <f>IF($T112=1,$AU112,VLOOKUP(U112,'Cortes naturales'!$A$25:$C$29,3,9))</f>
        <v>2</v>
      </c>
      <c r="AI112" s="13" t="b">
        <f t="shared" si="35"/>
        <v>1</v>
      </c>
      <c r="AJ112" s="13">
        <f t="shared" si="36"/>
        <v>0</v>
      </c>
      <c r="AK112" s="28">
        <v>0.9741882058902549</v>
      </c>
      <c r="AL112" s="28">
        <v>62.56191542934495</v>
      </c>
      <c r="AM112" s="28">
        <v>0.61195760370427099</v>
      </c>
      <c r="AN112" s="13">
        <v>2</v>
      </c>
      <c r="AO112" s="33">
        <f t="shared" si="37"/>
        <v>0</v>
      </c>
      <c r="AP112" s="13">
        <f t="shared" si="47"/>
        <v>61.195760370427102</v>
      </c>
      <c r="AQ112" s="13">
        <f>IFERROR(VLOOKUP(U112,'Cortes naturales'!$E$15:$G$19,3,9),U112)</f>
        <v>3</v>
      </c>
      <c r="AR112" s="28">
        <f t="shared" si="38"/>
        <v>-0.34234054356984978</v>
      </c>
      <c r="AS112" s="13" t="b">
        <f t="shared" si="39"/>
        <v>0</v>
      </c>
      <c r="AT112" s="13">
        <f t="shared" si="48"/>
        <v>0</v>
      </c>
      <c r="AU112" s="13">
        <v>2</v>
      </c>
      <c r="AV112">
        <f t="shared" si="40"/>
        <v>0</v>
      </c>
      <c r="AW112" s="13">
        <v>0</v>
      </c>
      <c r="AX112" s="13">
        <v>0</v>
      </c>
      <c r="AY112" s="13">
        <v>0</v>
      </c>
      <c r="AZ112" s="13">
        <v>0</v>
      </c>
      <c r="BA112">
        <v>0</v>
      </c>
      <c r="BB112" t="s">
        <v>2839</v>
      </c>
      <c r="BC112">
        <v>6</v>
      </c>
      <c r="BD112" t="s">
        <v>2919</v>
      </c>
      <c r="BE112">
        <v>0</v>
      </c>
      <c r="BF112" s="232" t="s">
        <v>2846</v>
      </c>
      <c r="BG112" s="232" t="s">
        <v>2846</v>
      </c>
      <c r="BH112" s="253">
        <v>18.3</v>
      </c>
      <c r="BI112" s="253">
        <v>6.7557370500244129</v>
      </c>
      <c r="BJ112" s="25">
        <v>10.52917616202352</v>
      </c>
      <c r="BK112" t="s">
        <v>377</v>
      </c>
      <c r="BL112">
        <v>0</v>
      </c>
      <c r="BM112" t="s">
        <v>377</v>
      </c>
      <c r="BN112" s="322">
        <v>44074.211678</v>
      </c>
      <c r="BO112" s="322">
        <v>12574.604212</v>
      </c>
      <c r="BP112" s="10">
        <v>26618</v>
      </c>
      <c r="BQ112" s="254">
        <f t="shared" si="41"/>
        <v>1.655804781651514</v>
      </c>
      <c r="BR112" s="254">
        <f t="shared" si="42"/>
        <v>0.47240980584566833</v>
      </c>
      <c r="BS112" s="25">
        <v>59.824895438054753</v>
      </c>
      <c r="BT112" s="25">
        <v>87.488721562351301</v>
      </c>
      <c r="BU112" s="25">
        <v>54.97033263671193</v>
      </c>
      <c r="BV112" s="25">
        <v>85.795254619664263</v>
      </c>
      <c r="BW112" s="25">
        <v>65.48631993219233</v>
      </c>
      <c r="BX112" s="25">
        <v>72.019801064195562</v>
      </c>
      <c r="BY112" s="25">
        <v>66.734124144309547</v>
      </c>
      <c r="BZ112">
        <v>93</v>
      </c>
      <c r="CA112">
        <v>0</v>
      </c>
      <c r="CB112">
        <v>7</v>
      </c>
      <c r="CC112">
        <v>11815.611214</v>
      </c>
      <c r="CD112" s="10">
        <v>4524.2322469999999</v>
      </c>
      <c r="CE112" s="255">
        <v>0.38290293790636565</v>
      </c>
      <c r="CF112" t="str">
        <f>IFERROR(VLOOKUP(CE112,'Rangos amb etnico'!$A$2:$C$6,3,9),"N.D.")</f>
        <v>31% - 50%</v>
      </c>
      <c r="CG112" s="256">
        <v>1.3162697090621123E-4</v>
      </c>
      <c r="CH112" s="232">
        <v>0</v>
      </c>
      <c r="CI112" s="311">
        <f t="shared" si="49"/>
        <v>0</v>
      </c>
      <c r="CJ112" s="232">
        <f>IFERROR(VLOOKUP(CI112,'Rangos amb etnico'!$A$2:$C$6,3,9),"N.D.")</f>
        <v>0</v>
      </c>
      <c r="CK112" s="311">
        <f t="shared" si="50"/>
        <v>0</v>
      </c>
      <c r="CL112" s="10">
        <v>0</v>
      </c>
      <c r="CM112" s="255">
        <f t="shared" si="51"/>
        <v>0</v>
      </c>
      <c r="CN112" s="232">
        <f>IFERROR(VLOOKUP(CM112,'Rangos amb etnico'!$A$2:$C$6,3,9),"N.D.")</f>
        <v>0</v>
      </c>
      <c r="CO112" s="311">
        <f t="shared" si="52"/>
        <v>0</v>
      </c>
      <c r="CP112">
        <v>0.97478873088241458</v>
      </c>
      <c r="CQ112" t="s">
        <v>2864</v>
      </c>
      <c r="CR112">
        <f t="shared" si="43"/>
        <v>3</v>
      </c>
      <c r="CS112" t="str">
        <f t="shared" si="53"/>
        <v>Candidato</v>
      </c>
      <c r="CT112">
        <v>0</v>
      </c>
      <c r="CU112">
        <v>0</v>
      </c>
      <c r="CV112" s="25">
        <v>52.106090545654297</v>
      </c>
      <c r="CW112" s="25">
        <v>42.861595153808587</v>
      </c>
      <c r="CX112" s="25">
        <v>52.686954498291023</v>
      </c>
      <c r="CY112" s="25">
        <v>58.127536773681641</v>
      </c>
      <c r="CZ112" s="25">
        <v>58.945182800292969</v>
      </c>
      <c r="DA112" s="25">
        <v>56.17327880859375</v>
      </c>
      <c r="DB112" s="25">
        <v>43.842002868652337</v>
      </c>
      <c r="DC112">
        <v>97</v>
      </c>
      <c r="DD112" s="253" t="s">
        <v>380</v>
      </c>
    </row>
    <row r="113" spans="1:108" hidden="1">
      <c r="A113" s="13">
        <v>68755</v>
      </c>
      <c r="B113" s="13" t="s">
        <v>689</v>
      </c>
      <c r="C113" s="13" t="s">
        <v>431</v>
      </c>
      <c r="D113" s="13" t="s">
        <v>432</v>
      </c>
      <c r="E113" s="13" t="s">
        <v>690</v>
      </c>
      <c r="F113" s="14">
        <v>85.166766666666703</v>
      </c>
      <c r="G113" s="13">
        <v>80.27</v>
      </c>
      <c r="H113" s="13">
        <v>77.27</v>
      </c>
      <c r="I113" s="13">
        <v>81.47</v>
      </c>
      <c r="J113" s="14">
        <v>57.812026177457653</v>
      </c>
      <c r="K113" s="14">
        <v>62.890132080218535</v>
      </c>
      <c r="L113" s="14">
        <v>59.662302750713323</v>
      </c>
      <c r="M113" s="14">
        <v>56.386200000000002</v>
      </c>
      <c r="N113" s="14">
        <f t="shared" si="27"/>
        <v>81.044191666666677</v>
      </c>
      <c r="O113" s="14">
        <f t="shared" si="28"/>
        <v>59.187665252097382</v>
      </c>
      <c r="P113" s="14">
        <f t="shared" si="44"/>
        <v>70.115928459382033</v>
      </c>
      <c r="Q113" s="14">
        <v>40.248036844141573</v>
      </c>
      <c r="R113" s="17">
        <f t="shared" si="29"/>
        <v>59.751963155858427</v>
      </c>
      <c r="S113" s="14">
        <f t="shared" si="45"/>
        <v>0.63776766840272581</v>
      </c>
      <c r="T113" s="13">
        <v>0</v>
      </c>
      <c r="U113" s="13">
        <f t="shared" si="46"/>
        <v>44.717672211432408</v>
      </c>
      <c r="V113" s="13">
        <f>IF($T113=1,$AU113,(VLOOKUP(U113,'Cortes naturales'!$A$35:$C$39,3,9)))</f>
        <v>2</v>
      </c>
      <c r="W113" s="13">
        <v>2</v>
      </c>
      <c r="X113" s="14" t="b">
        <f t="shared" si="30"/>
        <v>1</v>
      </c>
      <c r="Y113" s="17">
        <f>IF($T113=1,$AU113,VLOOKUP(U113,'Cortes naturales'!$A$45:$C$49,3,9))</f>
        <v>2</v>
      </c>
      <c r="Z113" s="14">
        <v>70.433290247059944</v>
      </c>
      <c r="AA113" s="14">
        <v>0.65042337141088225</v>
      </c>
      <c r="AB113" s="14">
        <v>45.81145810205394</v>
      </c>
      <c r="AC113" s="13">
        <v>2</v>
      </c>
      <c r="AD113" s="13">
        <f t="shared" si="31"/>
        <v>0</v>
      </c>
      <c r="AE113" s="14">
        <f t="shared" si="32"/>
        <v>-0.31736178767791046</v>
      </c>
      <c r="AF113" s="14">
        <f t="shared" si="33"/>
        <v>-1.2655703008156438E-2</v>
      </c>
      <c r="AG113" s="13">
        <f t="shared" si="34"/>
        <v>-1.0937858906215325</v>
      </c>
      <c r="AH113" s="13">
        <f>IF($T113=1,$AU113,VLOOKUP(U113,'Cortes naturales'!$A$25:$C$29,3,9))</f>
        <v>2</v>
      </c>
      <c r="AI113" s="13" t="b">
        <f t="shared" si="35"/>
        <v>1</v>
      </c>
      <c r="AJ113" s="13">
        <f t="shared" si="36"/>
        <v>0</v>
      </c>
      <c r="AK113" s="28">
        <v>0.9741882058902549</v>
      </c>
      <c r="AL113" s="28">
        <v>68.615280660730917</v>
      </c>
      <c r="AM113" s="28">
        <v>0.68767882190050278</v>
      </c>
      <c r="AN113" s="13">
        <v>1</v>
      </c>
      <c r="AO113" s="33">
        <f t="shared" si="37"/>
        <v>-1</v>
      </c>
      <c r="AP113" s="13">
        <f t="shared" si="47"/>
        <v>68.767882190050273</v>
      </c>
      <c r="AQ113" s="13">
        <f>IFERROR(VLOOKUP(U113,'Cortes naturales'!$E$15:$G$19,3,9),U113)</f>
        <v>3</v>
      </c>
      <c r="AR113" s="28">
        <f t="shared" si="38"/>
        <v>-0.33642053748752909</v>
      </c>
      <c r="AS113" s="13" t="b">
        <f t="shared" si="39"/>
        <v>0</v>
      </c>
      <c r="AT113" s="13" t="str">
        <f t="shared" si="48"/>
        <v>Cambio en corte</v>
      </c>
      <c r="AU113" s="13">
        <v>1</v>
      </c>
      <c r="AV113">
        <f t="shared" si="40"/>
        <v>-1</v>
      </c>
      <c r="AW113" s="13">
        <v>0</v>
      </c>
      <c r="AX113" s="13">
        <v>0</v>
      </c>
      <c r="AY113" s="13">
        <v>0</v>
      </c>
      <c r="AZ113" s="13">
        <v>0</v>
      </c>
      <c r="BA113">
        <v>0</v>
      </c>
      <c r="BB113" t="s">
        <v>2839</v>
      </c>
      <c r="BC113">
        <v>6</v>
      </c>
      <c r="BD113" t="s">
        <v>2919</v>
      </c>
      <c r="BE113">
        <v>0</v>
      </c>
      <c r="BF113" s="232" t="s">
        <v>2846</v>
      </c>
      <c r="BG113" s="232" t="s">
        <v>2846</v>
      </c>
      <c r="BH113" s="253">
        <v>15.1</v>
      </c>
      <c r="BI113" s="253">
        <v>4.1345987920621221</v>
      </c>
      <c r="BJ113" s="25">
        <v>3.6274999999999999</v>
      </c>
      <c r="BK113" t="s">
        <v>381</v>
      </c>
      <c r="BL113">
        <v>0.3323684586828935</v>
      </c>
      <c r="BM113" t="s">
        <v>383</v>
      </c>
      <c r="BN113" s="322">
        <v>53878.388883</v>
      </c>
      <c r="BO113" s="322">
        <v>16813.385589000001</v>
      </c>
      <c r="BP113" s="10">
        <v>36336</v>
      </c>
      <c r="BQ113" s="254">
        <f t="shared" si="41"/>
        <v>1.4827826090653897</v>
      </c>
      <c r="BR113" s="254">
        <f t="shared" si="42"/>
        <v>0.46271977072324971</v>
      </c>
      <c r="BS113" s="25">
        <v>71.541121869150729</v>
      </c>
      <c r="BT113" s="25">
        <v>90.926942349913134</v>
      </c>
      <c r="BU113" s="25">
        <v>62.666666666666657</v>
      </c>
      <c r="BV113" s="25">
        <v>88.85999741825276</v>
      </c>
      <c r="BW113" s="25">
        <v>58.399291947714268</v>
      </c>
      <c r="BX113" s="25">
        <v>78.498682075995816</v>
      </c>
      <c r="BY113" s="25">
        <v>61.895385315234371</v>
      </c>
      <c r="BZ113">
        <v>45</v>
      </c>
      <c r="CA113">
        <v>1</v>
      </c>
      <c r="CB113">
        <v>5</v>
      </c>
      <c r="CC113">
        <v>12759.689377999999</v>
      </c>
      <c r="CD113" s="10">
        <v>3807.1009079999999</v>
      </c>
      <c r="CE113" s="255">
        <v>0.29836940345617874</v>
      </c>
      <c r="CF113" t="str">
        <f>IFERROR(VLOOKUP(CE113,'Rangos amb etnico'!$A$2:$C$6,3,9),"N.D.")</f>
        <v>0,1% - 30%</v>
      </c>
      <c r="CG113" s="256">
        <v>1.1076291690962929E-4</v>
      </c>
      <c r="CH113" s="232">
        <v>0</v>
      </c>
      <c r="CI113" s="311">
        <f t="shared" si="49"/>
        <v>0</v>
      </c>
      <c r="CJ113" s="232">
        <f>IFERROR(VLOOKUP(CI113,'Rangos amb etnico'!$A$2:$C$6,3,9),"N.D.")</f>
        <v>0</v>
      </c>
      <c r="CK113" s="311">
        <f t="shared" si="50"/>
        <v>0</v>
      </c>
      <c r="CL113" s="10">
        <v>0</v>
      </c>
      <c r="CM113" s="255">
        <f t="shared" si="51"/>
        <v>0</v>
      </c>
      <c r="CN113" s="232">
        <f>IFERROR(VLOOKUP(CM113,'Rangos amb etnico'!$A$2:$C$6,3,9),"N.D.")</f>
        <v>0</v>
      </c>
      <c r="CO113" s="311">
        <f t="shared" si="52"/>
        <v>0</v>
      </c>
      <c r="CP113">
        <v>0.96843082221039456</v>
      </c>
      <c r="CQ113" t="s">
        <v>2864</v>
      </c>
      <c r="CR113">
        <f t="shared" si="43"/>
        <v>3</v>
      </c>
      <c r="CS113" t="str">
        <f t="shared" si="53"/>
        <v>Candidato</v>
      </c>
      <c r="CT113">
        <v>0</v>
      </c>
      <c r="CU113">
        <v>0</v>
      </c>
      <c r="CV113" s="25">
        <v>55.265548706054688</v>
      </c>
      <c r="CW113" s="25">
        <v>37.564727783203118</v>
      </c>
      <c r="CX113" s="25">
        <v>51.044685363769531</v>
      </c>
      <c r="CY113" s="25">
        <v>70.719757080078125</v>
      </c>
      <c r="CZ113" s="25">
        <v>55.389144897460938</v>
      </c>
      <c r="DA113" s="25">
        <v>53.316555023193359</v>
      </c>
      <c r="DB113" s="25">
        <v>63.55841064453125</v>
      </c>
      <c r="DC113">
        <v>310</v>
      </c>
      <c r="DD113" s="253" t="s">
        <v>380</v>
      </c>
    </row>
    <row r="114" spans="1:108">
      <c r="A114" s="13">
        <v>5190</v>
      </c>
      <c r="B114" s="13" t="s">
        <v>691</v>
      </c>
      <c r="C114" s="13" t="s">
        <v>435</v>
      </c>
      <c r="D114" s="13" t="s">
        <v>436</v>
      </c>
      <c r="E114" s="13" t="s">
        <v>692</v>
      </c>
      <c r="F114" s="14">
        <v>61.076266666666697</v>
      </c>
      <c r="G114" s="13">
        <v>51.43</v>
      </c>
      <c r="H114" s="13">
        <v>55.91</v>
      </c>
      <c r="I114" s="13">
        <v>59.58</v>
      </c>
      <c r="J114" s="14">
        <v>63.62667926729366</v>
      </c>
      <c r="K114" s="14">
        <v>66.15318255543076</v>
      </c>
      <c r="L114" s="14">
        <v>60.818924020496588</v>
      </c>
      <c r="M114" s="14">
        <v>54.011800000000001</v>
      </c>
      <c r="N114" s="14">
        <f t="shared" si="27"/>
        <v>56.999066666666678</v>
      </c>
      <c r="O114" s="14">
        <f t="shared" si="28"/>
        <v>61.152646460805251</v>
      </c>
      <c r="P114" s="14">
        <f t="shared" si="44"/>
        <v>59.075856563735968</v>
      </c>
      <c r="Q114" s="14">
        <v>40.045293428840687</v>
      </c>
      <c r="R114" s="17">
        <f t="shared" si="29"/>
        <v>59.954706571159313</v>
      </c>
      <c r="S114" s="14">
        <f t="shared" si="45"/>
        <v>0.63959235914043377</v>
      </c>
      <c r="T114" s="13">
        <v>0</v>
      </c>
      <c r="U114" s="13">
        <f t="shared" si="46"/>
        <v>37.784466467841767</v>
      </c>
      <c r="V114" s="13">
        <f>IF($T114=1,$AU114,(VLOOKUP(U114,'Cortes naturales'!$A$35:$C$39,3,9)))</f>
        <v>3</v>
      </c>
      <c r="W114" s="13">
        <v>3</v>
      </c>
      <c r="X114" s="14" t="b">
        <f t="shared" si="30"/>
        <v>1</v>
      </c>
      <c r="Y114" s="17">
        <f>IF($T114=1,$AU114,VLOOKUP(U114,'Cortes naturales'!$A$45:$C$49,3,9))</f>
        <v>2</v>
      </c>
      <c r="Z114" s="14">
        <v>58.995775325591765</v>
      </c>
      <c r="AA114" s="14">
        <v>0.64961845188517797</v>
      </c>
      <c r="AB114" s="14">
        <v>38.324744234776702</v>
      </c>
      <c r="AC114" s="13">
        <v>2</v>
      </c>
      <c r="AD114" s="13">
        <f t="shared" si="31"/>
        <v>0</v>
      </c>
      <c r="AE114" s="14">
        <f t="shared" si="32"/>
        <v>8.0081238144202871E-2</v>
      </c>
      <c r="AF114" s="14">
        <f t="shared" si="33"/>
        <v>-1.0026092744744197E-2</v>
      </c>
      <c r="AG114" s="13">
        <f t="shared" si="34"/>
        <v>-0.54027776693493479</v>
      </c>
      <c r="AH114" s="13">
        <f>IF($T114=1,$AU114,VLOOKUP(U114,'Cortes naturales'!$A$25:$C$29,3,9))</f>
        <v>2</v>
      </c>
      <c r="AI114" s="13" t="b">
        <f t="shared" si="35"/>
        <v>1</v>
      </c>
      <c r="AJ114" s="13">
        <f t="shared" si="36"/>
        <v>0</v>
      </c>
      <c r="AK114" s="28">
        <v>0.9741882058902549</v>
      </c>
      <c r="AL114" s="28">
        <v>57.47298851954281</v>
      </c>
      <c r="AM114" s="28">
        <v>0.54830049229723687</v>
      </c>
      <c r="AN114" s="13">
        <v>2</v>
      </c>
      <c r="AO114" s="33">
        <f t="shared" si="37"/>
        <v>0</v>
      </c>
      <c r="AP114" s="13">
        <f t="shared" si="47"/>
        <v>54.830049229723684</v>
      </c>
      <c r="AQ114" s="13">
        <f>IFERROR(VLOOKUP(U114,'Cortes naturales'!$E$15:$G$19,3,9),U114)</f>
        <v>3</v>
      </c>
      <c r="AR114" s="28">
        <f t="shared" si="38"/>
        <v>-0.33459584674982112</v>
      </c>
      <c r="AS114" s="13" t="b">
        <f t="shared" si="39"/>
        <v>0</v>
      </c>
      <c r="AT114" s="13">
        <f t="shared" si="48"/>
        <v>0</v>
      </c>
      <c r="AU114" s="13">
        <v>2</v>
      </c>
      <c r="AV114">
        <f t="shared" si="40"/>
        <v>0</v>
      </c>
      <c r="AW114" s="13">
        <v>0</v>
      </c>
      <c r="AX114" s="13">
        <v>0</v>
      </c>
      <c r="AY114" s="13">
        <v>0</v>
      </c>
      <c r="AZ114" s="13">
        <v>0</v>
      </c>
      <c r="BA114">
        <v>0</v>
      </c>
      <c r="BB114" t="s">
        <v>2839</v>
      </c>
      <c r="BC114">
        <v>6</v>
      </c>
      <c r="BD114" t="s">
        <v>2919</v>
      </c>
      <c r="BE114">
        <v>0</v>
      </c>
      <c r="BF114" s="232" t="s">
        <v>2846</v>
      </c>
      <c r="BG114" s="232" t="s">
        <v>2845</v>
      </c>
      <c r="BH114" s="253">
        <v>28.8</v>
      </c>
      <c r="BI114" s="253">
        <v>13.238105949836914</v>
      </c>
      <c r="BJ114" s="25">
        <v>58.932371048880114</v>
      </c>
      <c r="BK114" t="s">
        <v>376</v>
      </c>
      <c r="BL114">
        <v>13.816729964355137</v>
      </c>
      <c r="BM114" t="s">
        <v>376</v>
      </c>
      <c r="BN114" s="322">
        <v>30146.358828</v>
      </c>
      <c r="BO114" s="322">
        <v>5262.724706</v>
      </c>
      <c r="BP114" s="10">
        <v>10040</v>
      </c>
      <c r="BQ114" s="254">
        <f t="shared" si="41"/>
        <v>3.0026253812749006</v>
      </c>
      <c r="BR114" s="254">
        <f t="shared" si="42"/>
        <v>0.52417576752988049</v>
      </c>
      <c r="BS114" s="25">
        <v>64.48559134649507</v>
      </c>
      <c r="BT114" s="25">
        <v>95.277776666666668</v>
      </c>
      <c r="BU114" s="25">
        <v>66.64</v>
      </c>
      <c r="BV114" s="25">
        <v>83.420563777718058</v>
      </c>
      <c r="BW114" s="25">
        <v>56.191212144643323</v>
      </c>
      <c r="BX114" s="25">
        <v>77.455982947719946</v>
      </c>
      <c r="BY114" s="25">
        <v>56.076277626859728</v>
      </c>
      <c r="BZ114">
        <v>72</v>
      </c>
      <c r="CA114">
        <v>0</v>
      </c>
      <c r="CB114">
        <v>6</v>
      </c>
      <c r="CC114">
        <v>4691.4921050000003</v>
      </c>
      <c r="CD114" s="10">
        <v>1.121019</v>
      </c>
      <c r="CE114" s="255">
        <v>2.38947220822404E-4</v>
      </c>
      <c r="CF114">
        <f>IFERROR(VLOOKUP(CE114,'Rangos amb etnico'!$A$2:$C$6,3,9),"N.D.")</f>
        <v>0</v>
      </c>
      <c r="CG114" s="256">
        <v>3.2614668576343318E-8</v>
      </c>
      <c r="CH114" s="232">
        <v>0</v>
      </c>
      <c r="CI114" s="311">
        <f t="shared" si="49"/>
        <v>0</v>
      </c>
      <c r="CJ114" s="232">
        <f>IFERROR(VLOOKUP(CI114,'Rangos amb etnico'!$A$2:$C$6,3,9),"N.D.")</f>
        <v>0</v>
      </c>
      <c r="CK114" s="311">
        <f t="shared" si="50"/>
        <v>0</v>
      </c>
      <c r="CL114" s="10">
        <v>0</v>
      </c>
      <c r="CM114" s="255">
        <f t="shared" si="51"/>
        <v>0</v>
      </c>
      <c r="CN114" s="232">
        <f>IFERROR(VLOOKUP(CM114,'Rangos amb etnico'!$A$2:$C$6,3,9),"N.D.")</f>
        <v>0</v>
      </c>
      <c r="CO114" s="311">
        <f t="shared" si="52"/>
        <v>0</v>
      </c>
      <c r="CP114">
        <v>0.92712918723307758</v>
      </c>
      <c r="CQ114" t="s">
        <v>2864</v>
      </c>
      <c r="CR114">
        <f t="shared" si="43"/>
        <v>1</v>
      </c>
      <c r="CS114" t="str">
        <f t="shared" si="53"/>
        <v>No es Candidato</v>
      </c>
      <c r="CT114">
        <v>0</v>
      </c>
      <c r="CU114">
        <v>0</v>
      </c>
      <c r="CV114" s="25">
        <v>37.974048614501953</v>
      </c>
      <c r="CW114" s="25">
        <v>26.680404663085941</v>
      </c>
      <c r="CX114" s="25">
        <v>43.075706481933587</v>
      </c>
      <c r="CY114" s="25">
        <v>56.906166076660163</v>
      </c>
      <c r="CZ114" s="25">
        <v>56.183925628662109</v>
      </c>
      <c r="DA114" s="25">
        <v>0</v>
      </c>
      <c r="DB114" s="25">
        <v>44.998077392578118</v>
      </c>
      <c r="DC114">
        <v>261</v>
      </c>
      <c r="DD114" s="253" t="s">
        <v>380</v>
      </c>
    </row>
    <row r="115" spans="1:108" hidden="1">
      <c r="A115" s="13">
        <v>15322</v>
      </c>
      <c r="B115" s="13" t="s">
        <v>693</v>
      </c>
      <c r="C115" s="13" t="s">
        <v>498</v>
      </c>
      <c r="D115" s="13" t="s">
        <v>499</v>
      </c>
      <c r="E115" s="13" t="s">
        <v>694</v>
      </c>
      <c r="F115" s="14">
        <v>57.736899999999999</v>
      </c>
      <c r="G115" s="13">
        <v>80.19</v>
      </c>
      <c r="H115" s="13">
        <v>51.41</v>
      </c>
      <c r="I115" s="13">
        <v>53.02</v>
      </c>
      <c r="J115" s="14">
        <v>56.800040779635772</v>
      </c>
      <c r="K115" s="14">
        <v>63.2009425834312</v>
      </c>
      <c r="L115" s="14">
        <v>67.08687434377407</v>
      </c>
      <c r="M115" s="14">
        <v>60.312899999999999</v>
      </c>
      <c r="N115" s="14">
        <f t="shared" si="27"/>
        <v>60.589224999999999</v>
      </c>
      <c r="O115" s="14">
        <f t="shared" si="28"/>
        <v>61.850189426710259</v>
      </c>
      <c r="P115" s="14">
        <f t="shared" si="44"/>
        <v>61.219707213355129</v>
      </c>
      <c r="Q115" s="14">
        <v>40.74411935613319</v>
      </c>
      <c r="R115" s="17">
        <f t="shared" si="29"/>
        <v>59.25588064386681</v>
      </c>
      <c r="S115" s="14">
        <f t="shared" si="45"/>
        <v>0.6333029257948013</v>
      </c>
      <c r="T115" s="13">
        <v>0</v>
      </c>
      <c r="U115" s="13">
        <f t="shared" si="46"/>
        <v>38.770619694518906</v>
      </c>
      <c r="V115" s="13">
        <f>IF($T115=1,$AU115,(VLOOKUP(U115,'Cortes naturales'!$A$35:$C$39,3,9)))</f>
        <v>2</v>
      </c>
      <c r="W115" s="13">
        <v>2</v>
      </c>
      <c r="X115" s="14" t="b">
        <f t="shared" si="30"/>
        <v>1</v>
      </c>
      <c r="Y115" s="17">
        <f>IF($T115=1,$AU115,VLOOKUP(U115,'Cortes naturales'!$A$45:$C$49,3,9))</f>
        <v>2</v>
      </c>
      <c r="Z115" s="14">
        <v>62.277503521465633</v>
      </c>
      <c r="AA115" s="14">
        <v>0.64764393347892868</v>
      </c>
      <c r="AB115" s="14">
        <v>40.333647347889837</v>
      </c>
      <c r="AC115" s="13">
        <v>2</v>
      </c>
      <c r="AD115" s="13">
        <f t="shared" si="31"/>
        <v>0</v>
      </c>
      <c r="AE115" s="14">
        <f t="shared" si="32"/>
        <v>-1.057796308110504</v>
      </c>
      <c r="AF115" s="14">
        <f t="shared" si="33"/>
        <v>-1.4341007684127383E-2</v>
      </c>
      <c r="AG115" s="13">
        <f t="shared" si="34"/>
        <v>-1.5630276533709306</v>
      </c>
      <c r="AH115" s="13">
        <f>IF($T115=1,$AU115,VLOOKUP(U115,'Cortes naturales'!$A$25:$C$29,3,9))</f>
        <v>2</v>
      </c>
      <c r="AI115" s="13" t="b">
        <f t="shared" si="35"/>
        <v>1</v>
      </c>
      <c r="AJ115" s="13">
        <f t="shared" si="36"/>
        <v>0</v>
      </c>
      <c r="AK115" s="28">
        <v>0.9741882058902549</v>
      </c>
      <c r="AL115" s="28">
        <v>60.670009422900634</v>
      </c>
      <c r="AM115" s="28">
        <v>0.58829185382056026</v>
      </c>
      <c r="AN115" s="13">
        <v>2</v>
      </c>
      <c r="AO115" s="33">
        <f t="shared" si="37"/>
        <v>0</v>
      </c>
      <c r="AP115" s="13">
        <f t="shared" si="47"/>
        <v>58.829185382056025</v>
      </c>
      <c r="AQ115" s="13">
        <f>IFERROR(VLOOKUP(U115,'Cortes naturales'!$E$15:$G$19,3,9),U115)</f>
        <v>3</v>
      </c>
      <c r="AR115" s="28">
        <f t="shared" si="38"/>
        <v>-0.3408852800954536</v>
      </c>
      <c r="AS115" s="13" t="b">
        <f t="shared" si="39"/>
        <v>0</v>
      </c>
      <c r="AT115" s="13">
        <f t="shared" si="48"/>
        <v>0</v>
      </c>
      <c r="AU115" s="13">
        <v>2</v>
      </c>
      <c r="AV115">
        <f t="shared" si="40"/>
        <v>0</v>
      </c>
      <c r="AW115" s="13">
        <v>0</v>
      </c>
      <c r="AX115" s="13">
        <v>0</v>
      </c>
      <c r="AY115" s="13">
        <v>0</v>
      </c>
      <c r="AZ115" s="13">
        <v>0</v>
      </c>
      <c r="BA115">
        <v>0</v>
      </c>
      <c r="BB115" t="s">
        <v>2839</v>
      </c>
      <c r="BC115">
        <v>6</v>
      </c>
      <c r="BD115" t="s">
        <v>2919</v>
      </c>
      <c r="BE115">
        <v>0</v>
      </c>
      <c r="BF115" s="232" t="s">
        <v>2846</v>
      </c>
      <c r="BG115" s="232" t="s">
        <v>2846</v>
      </c>
      <c r="BH115" s="253">
        <v>19.399999999999999</v>
      </c>
      <c r="BI115" s="253">
        <v>6.7788161993769469</v>
      </c>
      <c r="BJ115" s="25">
        <v>28.471390035147095</v>
      </c>
      <c r="BK115" t="s">
        <v>379</v>
      </c>
      <c r="BL115">
        <v>0</v>
      </c>
      <c r="BM115" t="s">
        <v>377</v>
      </c>
      <c r="BN115" s="322">
        <v>31013.414153999998</v>
      </c>
      <c r="BO115" s="322">
        <v>5824.5995489999996</v>
      </c>
      <c r="BP115" s="10">
        <v>11331</v>
      </c>
      <c r="BQ115" s="254">
        <f t="shared" si="41"/>
        <v>2.7370412279586973</v>
      </c>
      <c r="BR115" s="254">
        <f t="shared" si="42"/>
        <v>0.51404108631188772</v>
      </c>
      <c r="BS115" s="25">
        <v>71.904469987228609</v>
      </c>
      <c r="BT115" s="25">
        <v>91.204403655250829</v>
      </c>
      <c r="BU115" s="25">
        <v>44.497031807854569</v>
      </c>
      <c r="BV115" s="25">
        <v>91.226788782856829</v>
      </c>
      <c r="BW115" s="25">
        <v>63.388874519738891</v>
      </c>
      <c r="BX115" s="25">
        <v>74.708173558297716</v>
      </c>
      <c r="BY115" s="25">
        <v>63.922435638008977</v>
      </c>
      <c r="BZ115">
        <v>98</v>
      </c>
      <c r="CA115">
        <v>0</v>
      </c>
      <c r="CB115">
        <v>6</v>
      </c>
      <c r="CC115">
        <v>3607.5179779999999</v>
      </c>
      <c r="CD115" s="10">
        <v>5.4033429999999996</v>
      </c>
      <c r="CE115" s="255">
        <v>1.4978007131084628E-3</v>
      </c>
      <c r="CF115" t="str">
        <f>IFERROR(VLOOKUP(CE115,'Rangos amb etnico'!$A$2:$C$6,3,9),"N.D.")</f>
        <v>0,1% - 30%</v>
      </c>
      <c r="CG115" s="256">
        <v>1.5720361666421766E-7</v>
      </c>
      <c r="CH115" s="232">
        <v>0</v>
      </c>
      <c r="CI115" s="311">
        <f t="shared" si="49"/>
        <v>0</v>
      </c>
      <c r="CJ115" s="232">
        <f>IFERROR(VLOOKUP(CI115,'Rangos amb etnico'!$A$2:$C$6,3,9),"N.D.")</f>
        <v>0</v>
      </c>
      <c r="CK115" s="311">
        <f t="shared" si="50"/>
        <v>0</v>
      </c>
      <c r="CL115" s="10">
        <v>0</v>
      </c>
      <c r="CM115" s="255">
        <f t="shared" si="51"/>
        <v>0</v>
      </c>
      <c r="CN115" s="232">
        <f>IFERROR(VLOOKUP(CM115,'Rangos amb etnico'!$A$2:$C$6,3,9),"N.D.")</f>
        <v>0</v>
      </c>
      <c r="CO115" s="311">
        <f t="shared" si="52"/>
        <v>0</v>
      </c>
      <c r="CP115">
        <v>0.90683344045776648</v>
      </c>
      <c r="CQ115" t="s">
        <v>2864</v>
      </c>
      <c r="CR115">
        <f t="shared" si="43"/>
        <v>3</v>
      </c>
      <c r="CS115" t="str">
        <f t="shared" si="53"/>
        <v>Candidato</v>
      </c>
      <c r="CT115">
        <v>0</v>
      </c>
      <c r="CU115">
        <v>0</v>
      </c>
      <c r="CV115" s="25">
        <v>48.119731903076172</v>
      </c>
      <c r="CW115" s="25">
        <v>23.379257202148441</v>
      </c>
      <c r="CX115" s="25">
        <v>44.231876373291023</v>
      </c>
      <c r="CY115" s="25">
        <v>64.003440856933594</v>
      </c>
      <c r="CZ115" s="25">
        <v>50.968883514404297</v>
      </c>
      <c r="DA115" s="25">
        <v>48.371788024902337</v>
      </c>
      <c r="DB115" s="25">
        <v>57.763149261474609</v>
      </c>
      <c r="DC115">
        <v>146</v>
      </c>
      <c r="DD115" s="253" t="s">
        <v>380</v>
      </c>
    </row>
    <row r="116" spans="1:108" hidden="1">
      <c r="A116" s="13">
        <v>25797</v>
      </c>
      <c r="B116" s="13" t="s">
        <v>695</v>
      </c>
      <c r="C116" s="13" t="s">
        <v>461</v>
      </c>
      <c r="D116" s="13" t="s">
        <v>462</v>
      </c>
      <c r="E116" s="13" t="s">
        <v>696</v>
      </c>
      <c r="F116" s="14">
        <v>81.8172</v>
      </c>
      <c r="G116" s="13">
        <v>65.31</v>
      </c>
      <c r="H116" s="13">
        <v>62.03</v>
      </c>
      <c r="I116" s="13">
        <v>56.83</v>
      </c>
      <c r="J116" s="14">
        <v>52.050047802911095</v>
      </c>
      <c r="K116" s="14">
        <v>53.064310665872469</v>
      </c>
      <c r="L116" s="14">
        <v>73.223446150980976</v>
      </c>
      <c r="M116" s="14">
        <v>54.188299999999998</v>
      </c>
      <c r="N116" s="14">
        <f t="shared" si="27"/>
        <v>66.496800000000007</v>
      </c>
      <c r="O116" s="14">
        <f t="shared" si="28"/>
        <v>58.131526154941135</v>
      </c>
      <c r="P116" s="14">
        <f t="shared" si="44"/>
        <v>62.314163077470567</v>
      </c>
      <c r="Q116" s="14">
        <v>40.929332343715984</v>
      </c>
      <c r="R116" s="17">
        <f t="shared" si="29"/>
        <v>59.070667656284016</v>
      </c>
      <c r="S116" s="14">
        <f t="shared" si="45"/>
        <v>0.63163600890655613</v>
      </c>
      <c r="T116" s="13">
        <v>0</v>
      </c>
      <c r="U116" s="13">
        <f t="shared" si="46"/>
        <v>39.359869264605791</v>
      </c>
      <c r="V116" s="13">
        <f>IF($T116=1,$AU116,(VLOOKUP(U116,'Cortes naturales'!$A$35:$C$39,3,9)))</f>
        <v>2</v>
      </c>
      <c r="W116" s="13">
        <v>2</v>
      </c>
      <c r="X116" s="14" t="b">
        <f t="shared" si="30"/>
        <v>1</v>
      </c>
      <c r="Y116" s="17">
        <f>IF($T116=1,$AU116,VLOOKUP(U116,'Cortes naturales'!$A$45:$C$49,3,9))</f>
        <v>2</v>
      </c>
      <c r="Z116" s="14">
        <v>64.520892794149972</v>
      </c>
      <c r="AA116" s="14">
        <v>0.64559131124355529</v>
      </c>
      <c r="AB116" s="14">
        <v>41.654127781580137</v>
      </c>
      <c r="AC116" s="13">
        <v>2</v>
      </c>
      <c r="AD116" s="13">
        <f t="shared" si="31"/>
        <v>0</v>
      </c>
      <c r="AE116" s="14">
        <f t="shared" si="32"/>
        <v>-2.2067297166794049</v>
      </c>
      <c r="AF116" s="14">
        <f t="shared" si="33"/>
        <v>-1.3955302336999154E-2</v>
      </c>
      <c r="AG116" s="13">
        <f t="shared" si="34"/>
        <v>-2.2942585169743452</v>
      </c>
      <c r="AH116" s="13">
        <f>IF($T116=1,$AU116,VLOOKUP(U116,'Cortes naturales'!$A$25:$C$29,3,9))</f>
        <v>2</v>
      </c>
      <c r="AI116" s="13" t="b">
        <f t="shared" si="35"/>
        <v>1</v>
      </c>
      <c r="AJ116" s="13">
        <f t="shared" si="36"/>
        <v>0</v>
      </c>
      <c r="AK116" s="28">
        <v>0.9741882058902549</v>
      </c>
      <c r="AL116" s="28">
        <v>62.855492793570434</v>
      </c>
      <c r="AM116" s="28">
        <v>0.61562994707102059</v>
      </c>
      <c r="AN116" s="13">
        <v>2</v>
      </c>
      <c r="AO116" s="33">
        <f t="shared" si="37"/>
        <v>0</v>
      </c>
      <c r="AP116" s="13">
        <f t="shared" si="47"/>
        <v>61.562994707102057</v>
      </c>
      <c r="AQ116" s="13">
        <f>IFERROR(VLOOKUP(U116,'Cortes naturales'!$E$15:$G$19,3,9),U116)</f>
        <v>3</v>
      </c>
      <c r="AR116" s="28">
        <f t="shared" si="38"/>
        <v>-0.34255219698369876</v>
      </c>
      <c r="AS116" s="13" t="b">
        <f t="shared" si="39"/>
        <v>0</v>
      </c>
      <c r="AT116" s="13">
        <f t="shared" si="48"/>
        <v>0</v>
      </c>
      <c r="AU116" s="13">
        <v>2</v>
      </c>
      <c r="AV116">
        <f t="shared" si="40"/>
        <v>0</v>
      </c>
      <c r="AW116" s="13">
        <v>0</v>
      </c>
      <c r="AX116" s="13">
        <v>0</v>
      </c>
      <c r="AY116" s="13">
        <v>0</v>
      </c>
      <c r="AZ116" s="13">
        <v>0</v>
      </c>
      <c r="BA116">
        <v>0</v>
      </c>
      <c r="BB116" t="s">
        <v>2839</v>
      </c>
      <c r="BC116">
        <v>6</v>
      </c>
      <c r="BD116" t="s">
        <v>2919</v>
      </c>
      <c r="BE116">
        <v>0</v>
      </c>
      <c r="BF116" s="232" t="s">
        <v>2846</v>
      </c>
      <c r="BG116" s="232" t="s">
        <v>2846</v>
      </c>
      <c r="BH116" s="253">
        <v>18.5</v>
      </c>
      <c r="BI116" s="253">
        <v>7.1818407343091044</v>
      </c>
      <c r="BJ116" s="25">
        <v>21.89136325608548</v>
      </c>
      <c r="BK116" t="s">
        <v>379</v>
      </c>
      <c r="BL116">
        <v>0.75887290091140891</v>
      </c>
      <c r="BM116" t="s">
        <v>383</v>
      </c>
      <c r="BN116" s="322">
        <v>16868.677630999999</v>
      </c>
      <c r="BO116" s="322">
        <v>4672.7580809999999</v>
      </c>
      <c r="BP116" s="10">
        <v>11062</v>
      </c>
      <c r="BQ116" s="254">
        <f t="shared" si="41"/>
        <v>1.5249211382209364</v>
      </c>
      <c r="BR116" s="254">
        <f t="shared" si="42"/>
        <v>0.42241530292894591</v>
      </c>
      <c r="BS116" s="25">
        <v>62.459175835807677</v>
      </c>
      <c r="BT116" s="25">
        <v>73.912365657807513</v>
      </c>
      <c r="BU116" s="25">
        <v>44.550404542894661</v>
      </c>
      <c r="BV116" s="25">
        <v>87.09408487383935</v>
      </c>
      <c r="BW116" s="25">
        <v>59.451159489397092</v>
      </c>
      <c r="BX116" s="25">
        <v>67.004007727587307</v>
      </c>
      <c r="BY116" s="25">
        <v>60.895031458209438</v>
      </c>
      <c r="BZ116">
        <v>93</v>
      </c>
      <c r="CA116">
        <v>0</v>
      </c>
      <c r="CB116">
        <v>7</v>
      </c>
      <c r="CC116">
        <v>5138.3664049999998</v>
      </c>
      <c r="CD116" s="10">
        <v>3161.0070679999999</v>
      </c>
      <c r="CE116" s="255">
        <v>0.61517743556086479</v>
      </c>
      <c r="CF116" t="str">
        <f>IFERROR(VLOOKUP(CE116,'Rangos amb etnico'!$A$2:$C$6,3,9),"N.D.")</f>
        <v>51% - 70%</v>
      </c>
      <c r="CG116" s="256">
        <v>9.1965611546547131E-5</v>
      </c>
      <c r="CH116" s="232">
        <v>0</v>
      </c>
      <c r="CI116" s="311">
        <f t="shared" si="49"/>
        <v>0</v>
      </c>
      <c r="CJ116" s="232">
        <f>IFERROR(VLOOKUP(CI116,'Rangos amb etnico'!$A$2:$C$6,3,9),"N.D.")</f>
        <v>0</v>
      </c>
      <c r="CK116" s="311">
        <f t="shared" si="50"/>
        <v>0</v>
      </c>
      <c r="CL116" s="10">
        <v>0</v>
      </c>
      <c r="CM116" s="255">
        <f t="shared" si="51"/>
        <v>0</v>
      </c>
      <c r="CN116" s="232">
        <f>IFERROR(VLOOKUP(CM116,'Rangos amb etnico'!$A$2:$C$6,3,9),"N.D.")</f>
        <v>0</v>
      </c>
      <c r="CO116" s="311">
        <f t="shared" si="52"/>
        <v>0</v>
      </c>
      <c r="CP116">
        <v>0.91931909944063017</v>
      </c>
      <c r="CQ116" t="s">
        <v>2864</v>
      </c>
      <c r="CR116">
        <f t="shared" si="43"/>
        <v>2</v>
      </c>
      <c r="CS116" t="str">
        <f t="shared" si="53"/>
        <v>No es Candidato</v>
      </c>
      <c r="CT116">
        <v>0</v>
      </c>
      <c r="CU116">
        <v>0</v>
      </c>
      <c r="CV116" s="25">
        <v>52.504032135009773</v>
      </c>
      <c r="CW116" s="25">
        <v>40.173198699951172</v>
      </c>
      <c r="CX116" s="25">
        <v>58.606021881103523</v>
      </c>
      <c r="CY116" s="25">
        <v>61.596393585205078</v>
      </c>
      <c r="CZ116" s="25">
        <v>51.230022430419922</v>
      </c>
      <c r="DA116" s="25">
        <v>50.207542419433587</v>
      </c>
      <c r="DB116" s="25">
        <v>53.211021423339837</v>
      </c>
      <c r="DC116">
        <v>48</v>
      </c>
      <c r="DD116" s="253" t="s">
        <v>380</v>
      </c>
    </row>
    <row r="117" spans="1:108" hidden="1">
      <c r="A117" s="13">
        <v>25799</v>
      </c>
      <c r="B117" s="13" t="s">
        <v>697</v>
      </c>
      <c r="C117" s="13" t="s">
        <v>461</v>
      </c>
      <c r="D117" s="13" t="s">
        <v>462</v>
      </c>
      <c r="E117" s="13" t="s">
        <v>698</v>
      </c>
      <c r="F117" s="14">
        <v>71.543300000000002</v>
      </c>
      <c r="G117" s="13">
        <v>71.209999999999994</v>
      </c>
      <c r="H117" s="13">
        <v>73.73</v>
      </c>
      <c r="I117" s="13">
        <v>76.73</v>
      </c>
      <c r="J117" s="14">
        <v>58.345588584822131</v>
      </c>
      <c r="K117" s="14">
        <v>62.456299769347098</v>
      </c>
      <c r="L117" s="14">
        <v>69.157075453429869</v>
      </c>
      <c r="M117" s="14">
        <v>70.691900000000004</v>
      </c>
      <c r="N117" s="14">
        <f t="shared" si="27"/>
        <v>73.303325000000001</v>
      </c>
      <c r="O117" s="14">
        <f t="shared" si="28"/>
        <v>65.16271595189977</v>
      </c>
      <c r="P117" s="14">
        <f t="shared" si="44"/>
        <v>69.233020475949886</v>
      </c>
      <c r="Q117" s="14">
        <v>41.437361187219587</v>
      </c>
      <c r="R117" s="17">
        <f t="shared" si="29"/>
        <v>58.562638812780413</v>
      </c>
      <c r="S117" s="14">
        <f t="shared" si="45"/>
        <v>0.62706374931502373</v>
      </c>
      <c r="T117" s="13">
        <v>0</v>
      </c>
      <c r="U117" s="13">
        <f t="shared" si="46"/>
        <v>43.413517396052946</v>
      </c>
      <c r="V117" s="13">
        <f>IF($T117=1,$AU117,(VLOOKUP(U117,'Cortes naturales'!$A$35:$C$39,3,9)))</f>
        <v>2</v>
      </c>
      <c r="W117" s="13">
        <v>2</v>
      </c>
      <c r="X117" s="14" t="b">
        <f t="shared" si="30"/>
        <v>1</v>
      </c>
      <c r="Y117" s="17">
        <f>IF($T117=1,$AU117,VLOOKUP(U117,'Cortes naturales'!$A$45:$C$49,3,9))</f>
        <v>2</v>
      </c>
      <c r="Z117" s="14">
        <v>67.904355878444733</v>
      </c>
      <c r="AA117" s="14">
        <v>0.64375773182912666</v>
      </c>
      <c r="AB117" s="14">
        <v>43.713954121625406</v>
      </c>
      <c r="AC117" s="13">
        <v>2</v>
      </c>
      <c r="AD117" s="13">
        <f t="shared" si="31"/>
        <v>0</v>
      </c>
      <c r="AE117" s="14">
        <f t="shared" si="32"/>
        <v>1.3286645975051528</v>
      </c>
      <c r="AF117" s="14">
        <f t="shared" si="33"/>
        <v>-1.6693982514102923E-2</v>
      </c>
      <c r="AG117" s="13">
        <f t="shared" si="34"/>
        <v>-0.30043672557246026</v>
      </c>
      <c r="AH117" s="13">
        <f>IF($T117=1,$AU117,VLOOKUP(U117,'Cortes naturales'!$A$25:$C$29,3,9))</f>
        <v>2</v>
      </c>
      <c r="AI117" s="13" t="b">
        <f t="shared" si="35"/>
        <v>1</v>
      </c>
      <c r="AJ117" s="13">
        <f t="shared" si="36"/>
        <v>0</v>
      </c>
      <c r="AK117" s="28">
        <v>0.9741882058902549</v>
      </c>
      <c r="AL117" s="28">
        <v>66.151622625355458</v>
      </c>
      <c r="AM117" s="28">
        <v>0.6568610568183102</v>
      </c>
      <c r="AN117" s="13">
        <v>1</v>
      </c>
      <c r="AO117" s="33">
        <f t="shared" si="37"/>
        <v>-1</v>
      </c>
      <c r="AP117" s="13">
        <f t="shared" si="47"/>
        <v>65.686105681831023</v>
      </c>
      <c r="AQ117" s="13">
        <f>IFERROR(VLOOKUP(U117,'Cortes naturales'!$E$15:$G$19,3,9),U117)</f>
        <v>3</v>
      </c>
      <c r="AR117" s="28">
        <f t="shared" si="38"/>
        <v>-0.34712445657523117</v>
      </c>
      <c r="AS117" s="13" t="b">
        <f t="shared" si="39"/>
        <v>0</v>
      </c>
      <c r="AT117" s="13" t="str">
        <f t="shared" si="48"/>
        <v>Cambio en corte</v>
      </c>
      <c r="AU117" s="13">
        <v>1</v>
      </c>
      <c r="AV117">
        <f t="shared" si="40"/>
        <v>-1</v>
      </c>
      <c r="AW117" s="13">
        <v>0</v>
      </c>
      <c r="AX117" s="13">
        <v>1</v>
      </c>
      <c r="AY117" s="13">
        <v>0</v>
      </c>
      <c r="AZ117" s="13">
        <v>0</v>
      </c>
      <c r="BA117">
        <v>0</v>
      </c>
      <c r="BB117" t="s">
        <v>2839</v>
      </c>
      <c r="BC117">
        <v>3</v>
      </c>
      <c r="BD117" t="s">
        <v>2919</v>
      </c>
      <c r="BE117">
        <v>1</v>
      </c>
      <c r="BF117" s="232" t="s">
        <v>2846</v>
      </c>
      <c r="BG117" s="232" t="s">
        <v>2846</v>
      </c>
      <c r="BH117" s="253">
        <v>10.4</v>
      </c>
      <c r="BI117" s="253">
        <v>4.5905341712490184</v>
      </c>
      <c r="BJ117" s="25">
        <v>6.9137406938129908</v>
      </c>
      <c r="BK117" t="s">
        <v>377</v>
      </c>
      <c r="BL117">
        <v>0.32715672423575864</v>
      </c>
      <c r="BM117" t="s">
        <v>383</v>
      </c>
      <c r="BN117" s="322">
        <v>122119.779263</v>
      </c>
      <c r="BO117" s="322">
        <v>103166.380901</v>
      </c>
      <c r="BP117" s="10">
        <v>24623</v>
      </c>
      <c r="BQ117" s="254">
        <f t="shared" si="41"/>
        <v>4.9595816619826989</v>
      </c>
      <c r="BR117" s="254">
        <f t="shared" si="42"/>
        <v>4.1898379929740486</v>
      </c>
      <c r="BS117" s="25">
        <v>71.813366960907942</v>
      </c>
      <c r="BT117" s="25">
        <v>84.331779423883589</v>
      </c>
      <c r="BU117" s="25">
        <v>64.243333333333339</v>
      </c>
      <c r="BV117" s="25">
        <v>85.555213835125528</v>
      </c>
      <c r="BW117" s="25">
        <v>82.235046200929943</v>
      </c>
      <c r="BX117" s="25">
        <v>76.4859233883126</v>
      </c>
      <c r="BY117" s="25">
        <v>81.875314207394482</v>
      </c>
      <c r="BZ117">
        <v>59</v>
      </c>
      <c r="CA117">
        <v>0</v>
      </c>
      <c r="CB117">
        <v>6</v>
      </c>
      <c r="CC117">
        <v>11400.982292000001</v>
      </c>
      <c r="CD117" s="10">
        <v>2246.0539549999999</v>
      </c>
      <c r="CE117" s="255">
        <v>0.19700530160248053</v>
      </c>
      <c r="CF117" t="str">
        <f>IFERROR(VLOOKUP(CE117,'Rangos amb etnico'!$A$2:$C$6,3,9),"N.D.")</f>
        <v>0,1% - 30%</v>
      </c>
      <c r="CG117" s="256">
        <v>6.5346176422442553E-5</v>
      </c>
      <c r="CH117" s="232">
        <v>7.5929890000000002</v>
      </c>
      <c r="CI117" s="311">
        <f t="shared" si="49"/>
        <v>6.6599428062685036E-4</v>
      </c>
      <c r="CJ117" s="232">
        <f>IFERROR(VLOOKUP(CI117,'Rangos amb etnico'!$A$2:$C$6,3,9),"N.D.")</f>
        <v>0</v>
      </c>
      <c r="CK117" s="311">
        <f t="shared" si="50"/>
        <v>3.0149137612124705E-7</v>
      </c>
      <c r="CL117" s="10">
        <v>0</v>
      </c>
      <c r="CM117" s="255">
        <f t="shared" si="51"/>
        <v>0</v>
      </c>
      <c r="CN117" s="232">
        <f>IFERROR(VLOOKUP(CM117,'Rangos amb etnico'!$A$2:$C$6,3,9),"N.D.")</f>
        <v>0</v>
      </c>
      <c r="CO117" s="311">
        <f t="shared" si="52"/>
        <v>0</v>
      </c>
      <c r="CP117">
        <v>0.95672031015546533</v>
      </c>
      <c r="CQ117" t="s">
        <v>2864</v>
      </c>
      <c r="CR117">
        <f t="shared" si="43"/>
        <v>4</v>
      </c>
      <c r="CS117" t="str">
        <f t="shared" si="53"/>
        <v>Candidato</v>
      </c>
      <c r="CT117">
        <v>0</v>
      </c>
      <c r="CU117">
        <v>0</v>
      </c>
      <c r="CV117" s="25">
        <v>65.57232666015625</v>
      </c>
      <c r="CW117" s="25">
        <v>59.421661376953118</v>
      </c>
      <c r="CX117" s="25">
        <v>76.97607421875</v>
      </c>
      <c r="CY117" s="25">
        <v>74.205177307128906</v>
      </c>
      <c r="CZ117" s="25">
        <v>69.618087768554688</v>
      </c>
      <c r="DA117" s="25">
        <v>51.439010620117188</v>
      </c>
      <c r="DB117" s="25">
        <v>61.773921966552727</v>
      </c>
      <c r="DC117">
        <v>139</v>
      </c>
      <c r="DD117" s="253" t="s">
        <v>380</v>
      </c>
    </row>
    <row r="118" spans="1:108" hidden="1">
      <c r="A118" s="13">
        <v>76111</v>
      </c>
      <c r="B118" s="13" t="s">
        <v>699</v>
      </c>
      <c r="C118" s="13" t="s">
        <v>454</v>
      </c>
      <c r="D118" s="13" t="s">
        <v>455</v>
      </c>
      <c r="E118" s="13" t="s">
        <v>700</v>
      </c>
      <c r="F118" s="14">
        <v>72.272266666666695</v>
      </c>
      <c r="G118" s="13">
        <v>73.17</v>
      </c>
      <c r="H118" s="13">
        <v>72.41</v>
      </c>
      <c r="I118" s="13">
        <v>72.42</v>
      </c>
      <c r="J118" s="14">
        <v>51.669162565042171</v>
      </c>
      <c r="K118" s="14">
        <v>54.794002961553758</v>
      </c>
      <c r="L118" s="14">
        <v>58.728439107034362</v>
      </c>
      <c r="M118" s="14">
        <v>53.260599999999997</v>
      </c>
      <c r="N118" s="14">
        <f t="shared" si="27"/>
        <v>72.568066666666667</v>
      </c>
      <c r="O118" s="14">
        <f t="shared" si="28"/>
        <v>54.613051158407572</v>
      </c>
      <c r="P118" s="14">
        <f t="shared" si="44"/>
        <v>63.590558912537119</v>
      </c>
      <c r="Q118" s="14">
        <v>41.392370799446624</v>
      </c>
      <c r="R118" s="17">
        <f t="shared" si="29"/>
        <v>58.607629200553376</v>
      </c>
      <c r="S118" s="14">
        <f t="shared" si="45"/>
        <v>0.62746866280498037</v>
      </c>
      <c r="T118" s="13">
        <v>0</v>
      </c>
      <c r="U118" s="13">
        <f t="shared" si="46"/>
        <v>39.901082967870991</v>
      </c>
      <c r="V118" s="13">
        <f>IF($T118=1,$AU118,(VLOOKUP(U118,'Cortes naturales'!$A$35:$C$39,3,9)))</f>
        <v>2</v>
      </c>
      <c r="W118" s="13">
        <v>2</v>
      </c>
      <c r="X118" s="14" t="b">
        <f t="shared" si="30"/>
        <v>1</v>
      </c>
      <c r="Y118" s="17">
        <f>IF($T118=1,$AU118,VLOOKUP(U118,'Cortes naturales'!$A$45:$C$49,3,9))</f>
        <v>2</v>
      </c>
      <c r="Z118" s="14">
        <v>63.500809971360873</v>
      </c>
      <c r="AA118" s="14">
        <v>0.6437538107314984</v>
      </c>
      <c r="AB118" s="14">
        <v>40.878888403600293</v>
      </c>
      <c r="AC118" s="13">
        <v>2</v>
      </c>
      <c r="AD118" s="13">
        <f t="shared" si="31"/>
        <v>0</v>
      </c>
      <c r="AE118" s="14">
        <f t="shared" si="32"/>
        <v>8.9748941176246433E-2</v>
      </c>
      <c r="AF118" s="14">
        <f t="shared" si="33"/>
        <v>-1.6285147926518029E-2</v>
      </c>
      <c r="AG118" s="13">
        <f t="shared" si="34"/>
        <v>-0.97780543572930156</v>
      </c>
      <c r="AH118" s="13">
        <f>IF($T118=1,$AU118,VLOOKUP(U118,'Cortes naturales'!$A$25:$C$29,3,9))</f>
        <v>2</v>
      </c>
      <c r="AI118" s="13" t="b">
        <f t="shared" si="35"/>
        <v>1</v>
      </c>
      <c r="AJ118" s="13">
        <f t="shared" si="36"/>
        <v>0</v>
      </c>
      <c r="AK118" s="28">
        <v>0.9741882058902549</v>
      </c>
      <c r="AL118" s="28">
        <v>61.861740138578057</v>
      </c>
      <c r="AM118" s="28">
        <v>0.60319914887110193</v>
      </c>
      <c r="AN118" s="13">
        <v>2</v>
      </c>
      <c r="AO118" s="33">
        <f t="shared" si="37"/>
        <v>0</v>
      </c>
      <c r="AP118" s="13">
        <f t="shared" si="47"/>
        <v>60.319914887110194</v>
      </c>
      <c r="AQ118" s="13">
        <f>IFERROR(VLOOKUP(U118,'Cortes naturales'!$E$15:$G$19,3,9),U118)</f>
        <v>3</v>
      </c>
      <c r="AR118" s="28">
        <f t="shared" si="38"/>
        <v>-0.34671954308527453</v>
      </c>
      <c r="AS118" s="13" t="b">
        <f t="shared" si="39"/>
        <v>0</v>
      </c>
      <c r="AT118" s="13">
        <f t="shared" si="48"/>
        <v>0</v>
      </c>
      <c r="AU118" s="13">
        <v>2</v>
      </c>
      <c r="AV118">
        <f t="shared" si="40"/>
        <v>0</v>
      </c>
      <c r="AW118" s="13">
        <v>0</v>
      </c>
      <c r="AX118" s="13">
        <v>1</v>
      </c>
      <c r="AY118" s="13">
        <v>0</v>
      </c>
      <c r="AZ118" s="13">
        <v>0</v>
      </c>
      <c r="BA118">
        <v>0</v>
      </c>
      <c r="BB118" t="s">
        <v>2838</v>
      </c>
      <c r="BC118">
        <v>2</v>
      </c>
      <c r="BD118" t="s">
        <v>2920</v>
      </c>
      <c r="BE118">
        <v>1</v>
      </c>
      <c r="BF118" s="232" t="s">
        <v>2845</v>
      </c>
      <c r="BG118" s="232" t="s">
        <v>2845</v>
      </c>
      <c r="BH118" s="253">
        <v>12.3</v>
      </c>
      <c r="BI118" s="253">
        <v>4.1891287769216605</v>
      </c>
      <c r="BJ118" s="25">
        <v>8.1642192940336198</v>
      </c>
      <c r="BK118" t="s">
        <v>377</v>
      </c>
      <c r="BL118">
        <v>5.7181786378977284</v>
      </c>
      <c r="BM118" t="s">
        <v>383</v>
      </c>
      <c r="BN118" s="322">
        <v>310353.31988999998</v>
      </c>
      <c r="BO118" s="322">
        <v>88586.171354000006</v>
      </c>
      <c r="BP118" s="10">
        <v>132138</v>
      </c>
      <c r="BQ118" s="254">
        <f t="shared" si="41"/>
        <v>2.3487060489034191</v>
      </c>
      <c r="BR118" s="254">
        <f t="shared" si="42"/>
        <v>0.67040647924139918</v>
      </c>
      <c r="BS118" s="25">
        <v>57.760780870702447</v>
      </c>
      <c r="BT118" s="25">
        <v>96.896226666666664</v>
      </c>
      <c r="BU118" s="25">
        <v>69.635000000000005</v>
      </c>
      <c r="BV118" s="25">
        <v>75.550632016736913</v>
      </c>
      <c r="BW118" s="25">
        <v>61.811383231617171</v>
      </c>
      <c r="BX118" s="25">
        <v>74.960659888526507</v>
      </c>
      <c r="BY118" s="25">
        <v>63.101841479296567</v>
      </c>
      <c r="BZ118">
        <v>66</v>
      </c>
      <c r="CA118">
        <v>0</v>
      </c>
      <c r="CB118">
        <v>3</v>
      </c>
      <c r="CC118">
        <v>82588.247871</v>
      </c>
      <c r="CD118" s="10">
        <v>54070.382684999997</v>
      </c>
      <c r="CE118" s="255">
        <v>0.6546982661438232</v>
      </c>
      <c r="CF118" t="str">
        <f>IFERROR(VLOOKUP(CE118,'Rangos amb etnico'!$A$2:$C$6,3,9),"N.D.")</f>
        <v>51% - 70%</v>
      </c>
      <c r="CG118" s="256">
        <v>1.5731112595480782E-3</v>
      </c>
      <c r="CH118" s="232">
        <v>0</v>
      </c>
      <c r="CI118" s="311">
        <f t="shared" si="49"/>
        <v>0</v>
      </c>
      <c r="CJ118" s="232">
        <f>IFERROR(VLOOKUP(CI118,'Rangos amb etnico'!$A$2:$C$6,3,9),"N.D.")</f>
        <v>0</v>
      </c>
      <c r="CK118" s="311">
        <f t="shared" si="50"/>
        <v>0</v>
      </c>
      <c r="CL118" s="10">
        <v>0</v>
      </c>
      <c r="CM118" s="255">
        <f t="shared" si="51"/>
        <v>0</v>
      </c>
      <c r="CN118" s="232">
        <f>IFERROR(VLOOKUP(CM118,'Rangos amb etnico'!$A$2:$C$6,3,9),"N.D.")</f>
        <v>0</v>
      </c>
      <c r="CO118" s="311">
        <f t="shared" si="52"/>
        <v>0</v>
      </c>
      <c r="CP118">
        <v>0.86899290606961177</v>
      </c>
      <c r="CQ118" t="s">
        <v>2864</v>
      </c>
      <c r="CR118">
        <f t="shared" si="43"/>
        <v>3</v>
      </c>
      <c r="CS118" t="str">
        <f t="shared" si="53"/>
        <v>Candidato</v>
      </c>
      <c r="CT118">
        <v>0</v>
      </c>
      <c r="CU118">
        <v>0</v>
      </c>
      <c r="CV118" s="25">
        <v>51.325672149658203</v>
      </c>
      <c r="CW118" s="25">
        <v>63.275676727294922</v>
      </c>
      <c r="CX118" s="25">
        <v>44.512474060058587</v>
      </c>
      <c r="CY118" s="25">
        <v>69.227485656738281</v>
      </c>
      <c r="CZ118" s="25">
        <v>49.609577178955078</v>
      </c>
      <c r="DA118" s="25">
        <v>21.700370788574219</v>
      </c>
      <c r="DB118" s="25">
        <v>59.628440856933587</v>
      </c>
      <c r="DC118">
        <v>4782</v>
      </c>
      <c r="DD118" s="253" t="s">
        <v>380</v>
      </c>
    </row>
    <row r="119" spans="1:108" hidden="1">
      <c r="A119" s="13">
        <v>15491</v>
      </c>
      <c r="B119" s="13" t="s">
        <v>701</v>
      </c>
      <c r="C119" s="13" t="s">
        <v>498</v>
      </c>
      <c r="D119" s="13" t="s">
        <v>499</v>
      </c>
      <c r="E119" s="13" t="s">
        <v>702</v>
      </c>
      <c r="F119" s="14">
        <v>89.825299999999999</v>
      </c>
      <c r="G119" s="13">
        <v>81.87</v>
      </c>
      <c r="H119" s="13">
        <v>55.16</v>
      </c>
      <c r="I119" s="13">
        <v>75.540000000000006</v>
      </c>
      <c r="J119" s="14">
        <v>68.692723701971602</v>
      </c>
      <c r="K119" s="14">
        <v>71.372196190056542</v>
      </c>
      <c r="L119" s="14">
        <v>86.456496639672224</v>
      </c>
      <c r="M119" s="14">
        <v>63.087699999999998</v>
      </c>
      <c r="N119" s="14">
        <f t="shared" si="27"/>
        <v>75.598825000000005</v>
      </c>
      <c r="O119" s="14">
        <f t="shared" si="28"/>
        <v>72.402279132925088</v>
      </c>
      <c r="P119" s="14">
        <f t="shared" si="44"/>
        <v>74.000552066462546</v>
      </c>
      <c r="Q119" s="14">
        <v>41.271536437208084</v>
      </c>
      <c r="R119" s="17">
        <f t="shared" si="29"/>
        <v>58.728463562791916</v>
      </c>
      <c r="S119" s="14">
        <f t="shared" si="45"/>
        <v>0.62855617206512715</v>
      </c>
      <c r="T119" s="13">
        <v>0</v>
      </c>
      <c r="U119" s="13">
        <f t="shared" si="46"/>
        <v>46.51350373760183</v>
      </c>
      <c r="V119" s="13">
        <f>IF($T119=1,$AU119,(VLOOKUP(U119,'Cortes naturales'!$A$35:$C$39,3,9)))</f>
        <v>2</v>
      </c>
      <c r="W119" s="13">
        <v>2</v>
      </c>
      <c r="X119" s="14" t="b">
        <f t="shared" si="30"/>
        <v>1</v>
      </c>
      <c r="Y119" s="17">
        <f>IF($T119=1,$AU119,VLOOKUP(U119,'Cortes naturales'!$A$45:$C$49,3,9))</f>
        <v>2</v>
      </c>
      <c r="Z119" s="14">
        <v>75.081287992565223</v>
      </c>
      <c r="AA119" s="14">
        <v>0.64469083115412085</v>
      </c>
      <c r="AB119" s="14">
        <v>48.40421796004879</v>
      </c>
      <c r="AC119" s="13">
        <v>1</v>
      </c>
      <c r="AD119" s="13">
        <f t="shared" si="31"/>
        <v>-1</v>
      </c>
      <c r="AE119" s="14">
        <f t="shared" si="32"/>
        <v>-1.0807359261026761</v>
      </c>
      <c r="AF119" s="14">
        <f t="shared" si="33"/>
        <v>-1.6134659088993697E-2</v>
      </c>
      <c r="AG119" s="13">
        <f t="shared" si="34"/>
        <v>-1.8907142224469595</v>
      </c>
      <c r="AH119" s="13">
        <f>IF($T119=1,$AU119,VLOOKUP(U119,'Cortes naturales'!$A$25:$C$29,3,9))</f>
        <v>2</v>
      </c>
      <c r="AI119" s="13" t="b">
        <f t="shared" si="35"/>
        <v>1</v>
      </c>
      <c r="AJ119" s="13" t="str">
        <f t="shared" si="36"/>
        <v>Efecto ponderador</v>
      </c>
      <c r="AK119" s="28">
        <v>0.9741882058902549</v>
      </c>
      <c r="AL119" s="28">
        <v>73.143305245406651</v>
      </c>
      <c r="AM119" s="28">
        <v>0.74431963646698662</v>
      </c>
      <c r="AN119" s="13">
        <v>1</v>
      </c>
      <c r="AO119" s="33">
        <f t="shared" si="37"/>
        <v>-1</v>
      </c>
      <c r="AP119" s="13">
        <f t="shared" si="47"/>
        <v>74.431963646698662</v>
      </c>
      <c r="AQ119" s="13">
        <f>IFERROR(VLOOKUP(U119,'Cortes naturales'!$E$15:$G$19,3,9),U119)</f>
        <v>3</v>
      </c>
      <c r="AR119" s="28">
        <f t="shared" si="38"/>
        <v>-0.34563203382512775</v>
      </c>
      <c r="AS119" s="13" t="b">
        <f t="shared" si="39"/>
        <v>0</v>
      </c>
      <c r="AT119" s="13" t="str">
        <f t="shared" si="48"/>
        <v>Cambio en corte</v>
      </c>
      <c r="AU119" s="13">
        <v>1</v>
      </c>
      <c r="AV119">
        <f t="shared" si="40"/>
        <v>-1</v>
      </c>
      <c r="AW119" s="13">
        <v>0</v>
      </c>
      <c r="AX119" s="13">
        <v>0</v>
      </c>
      <c r="AY119" s="13">
        <v>0</v>
      </c>
      <c r="AZ119" s="13">
        <v>0</v>
      </c>
      <c r="BA119">
        <v>0</v>
      </c>
      <c r="BB119" t="s">
        <v>2839</v>
      </c>
      <c r="BC119">
        <v>5</v>
      </c>
      <c r="BD119" s="184" t="s">
        <v>2917</v>
      </c>
      <c r="BE119">
        <v>0</v>
      </c>
      <c r="BF119" s="232" t="s">
        <v>2846</v>
      </c>
      <c r="BG119" s="232" t="s">
        <v>2846</v>
      </c>
      <c r="BH119" s="253">
        <v>10.5</v>
      </c>
      <c r="BI119" s="253">
        <v>4.033854344413351</v>
      </c>
      <c r="BJ119" s="25">
        <v>8.3343156801661493</v>
      </c>
      <c r="BK119" t="s">
        <v>377</v>
      </c>
      <c r="BL119">
        <v>0.49571857114350459</v>
      </c>
      <c r="BM119" t="s">
        <v>383</v>
      </c>
      <c r="BN119" s="322">
        <v>53757.435371</v>
      </c>
      <c r="BO119" s="322">
        <v>37574.300264999998</v>
      </c>
      <c r="BP119" s="10">
        <v>16962</v>
      </c>
      <c r="BQ119" s="254">
        <f t="shared" si="41"/>
        <v>3.169286367822191</v>
      </c>
      <c r="BR119" s="254">
        <f t="shared" si="42"/>
        <v>2.2152045905553588</v>
      </c>
      <c r="BS119" s="25">
        <v>82.16449749731116</v>
      </c>
      <c r="BT119" s="25">
        <v>80.782266242188413</v>
      </c>
      <c r="BU119" s="25">
        <v>56.031666666666673</v>
      </c>
      <c r="BV119" s="25">
        <v>88.154081015096082</v>
      </c>
      <c r="BW119" s="25">
        <v>52.805007894609922</v>
      </c>
      <c r="BX119" s="25">
        <v>76.783127855315584</v>
      </c>
      <c r="BY119" s="25">
        <v>53.838164526193658</v>
      </c>
      <c r="BZ119">
        <v>62</v>
      </c>
      <c r="CA119">
        <v>0</v>
      </c>
      <c r="CB119">
        <v>6</v>
      </c>
      <c r="CC119">
        <v>5540.2967639999997</v>
      </c>
      <c r="CD119" s="10">
        <v>426.01662700000003</v>
      </c>
      <c r="CE119" s="255">
        <v>7.6894189092575491E-2</v>
      </c>
      <c r="CF119" t="str">
        <f>IFERROR(VLOOKUP(CE119,'Rangos amb etnico'!$A$2:$C$6,3,9),"N.D.")</f>
        <v>0,1% - 30%</v>
      </c>
      <c r="CG119" s="256">
        <v>1.2394429619495007E-5</v>
      </c>
      <c r="CH119" s="232">
        <v>0</v>
      </c>
      <c r="CI119" s="311">
        <f t="shared" si="49"/>
        <v>0</v>
      </c>
      <c r="CJ119" s="232">
        <f>IFERROR(VLOOKUP(CI119,'Rangos amb etnico'!$A$2:$C$6,3,9),"N.D.")</f>
        <v>0</v>
      </c>
      <c r="CK119" s="311">
        <f t="shared" si="50"/>
        <v>0</v>
      </c>
      <c r="CL119" s="10">
        <v>0</v>
      </c>
      <c r="CM119" s="255">
        <f t="shared" si="51"/>
        <v>0</v>
      </c>
      <c r="CN119" s="232">
        <f>IFERROR(VLOOKUP(CM119,'Rangos amb etnico'!$A$2:$C$6,3,9),"N.D.")</f>
        <v>0</v>
      </c>
      <c r="CO119" s="311">
        <f t="shared" si="52"/>
        <v>0</v>
      </c>
      <c r="CP119">
        <v>0.90647331164599154</v>
      </c>
      <c r="CQ119" t="s">
        <v>2864</v>
      </c>
      <c r="CR119">
        <f t="shared" si="43"/>
        <v>3</v>
      </c>
      <c r="CS119" t="str">
        <f t="shared" si="53"/>
        <v>Candidato</v>
      </c>
      <c r="CT119">
        <v>0</v>
      </c>
      <c r="CU119">
        <v>0</v>
      </c>
      <c r="CV119" s="25">
        <v>58.804416656494141</v>
      </c>
      <c r="CW119" s="25">
        <v>54.486103057861328</v>
      </c>
      <c r="CX119" s="25">
        <v>56.612316131591797</v>
      </c>
      <c r="CY119" s="25">
        <v>74.393730163574219</v>
      </c>
      <c r="CZ119" s="25">
        <v>58.774467468261719</v>
      </c>
      <c r="DA119" s="25">
        <v>46.631996154785163</v>
      </c>
      <c r="DB119" s="25">
        <v>61.927894592285163</v>
      </c>
      <c r="DC119">
        <v>239</v>
      </c>
      <c r="DD119" s="253" t="s">
        <v>380</v>
      </c>
    </row>
    <row r="120" spans="1:108" hidden="1">
      <c r="A120" s="13">
        <v>13222</v>
      </c>
      <c r="B120" s="13" t="s">
        <v>703</v>
      </c>
      <c r="C120" s="13" t="s">
        <v>480</v>
      </c>
      <c r="D120" s="13" t="s">
        <v>481</v>
      </c>
      <c r="E120" s="13" t="s">
        <v>704</v>
      </c>
      <c r="F120" s="14">
        <v>53.096066666666701</v>
      </c>
      <c r="G120" s="13">
        <v>56.83</v>
      </c>
      <c r="H120" s="13">
        <v>51.34</v>
      </c>
      <c r="I120" s="13">
        <v>50.11</v>
      </c>
      <c r="J120" s="14">
        <v>46.92437026980248</v>
      </c>
      <c r="K120" s="14">
        <v>48.220260788973079</v>
      </c>
      <c r="L120" s="14">
        <v>38.768997106571689</v>
      </c>
      <c r="M120" s="14">
        <v>49.023000000000003</v>
      </c>
      <c r="N120" s="14">
        <f t="shared" si="27"/>
        <v>52.844016666666676</v>
      </c>
      <c r="O120" s="14">
        <f t="shared" si="28"/>
        <v>45.734157041336807</v>
      </c>
      <c r="P120" s="14">
        <f t="shared" si="44"/>
        <v>49.289086854001738</v>
      </c>
      <c r="Q120" s="14">
        <v>41.077929577508563</v>
      </c>
      <c r="R120" s="17">
        <f t="shared" si="29"/>
        <v>58.922070422491437</v>
      </c>
      <c r="S120" s="14">
        <f t="shared" si="45"/>
        <v>0.6302986338024229</v>
      </c>
      <c r="T120" s="13">
        <v>0</v>
      </c>
      <c r="U120" s="13">
        <f t="shared" si="46"/>
        <v>31.066844105446258</v>
      </c>
      <c r="V120" s="13">
        <f>IF($T120=1,$AU120,(VLOOKUP(U120,'Cortes naturales'!$A$35:$C$39,3,9)))</f>
        <v>3</v>
      </c>
      <c r="W120" s="13">
        <v>3</v>
      </c>
      <c r="X120" s="14" t="b">
        <f t="shared" si="30"/>
        <v>1</v>
      </c>
      <c r="Y120" s="17">
        <f>IF($T120=1,$AU120,VLOOKUP(U120,'Cortes naturales'!$A$45:$C$49,3,9))</f>
        <v>3</v>
      </c>
      <c r="Z120" s="14">
        <v>50.225513850329264</v>
      </c>
      <c r="AA120" s="14">
        <v>0.64359449949716041</v>
      </c>
      <c r="AB120" s="14">
        <v>32.324864448490359</v>
      </c>
      <c r="AC120" s="13">
        <v>3</v>
      </c>
      <c r="AD120" s="13">
        <f t="shared" si="31"/>
        <v>0</v>
      </c>
      <c r="AE120" s="14">
        <f t="shared" si="32"/>
        <v>-0.93642699632752624</v>
      </c>
      <c r="AF120" s="14">
        <f t="shared" si="33"/>
        <v>-1.3295865694737508E-2</v>
      </c>
      <c r="AG120" s="13">
        <f t="shared" si="34"/>
        <v>-1.2580203430441017</v>
      </c>
      <c r="AH120" s="13">
        <f>IF($T120=1,$AU120,VLOOKUP(U120,'Cortes naturales'!$A$25:$C$29,3,9))</f>
        <v>3</v>
      </c>
      <c r="AI120" s="13" t="b">
        <f t="shared" si="35"/>
        <v>1</v>
      </c>
      <c r="AJ120" s="13">
        <f t="shared" si="36"/>
        <v>0</v>
      </c>
      <c r="AK120" s="28">
        <v>0.9741882058902549</v>
      </c>
      <c r="AL120" s="28">
        <v>48.929103227768415</v>
      </c>
      <c r="AM120" s="28">
        <v>0.44142549340114373</v>
      </c>
      <c r="AN120" s="13">
        <v>3</v>
      </c>
      <c r="AO120" s="33">
        <f t="shared" si="37"/>
        <v>0</v>
      </c>
      <c r="AP120" s="13">
        <f t="shared" si="47"/>
        <v>44.142549340114371</v>
      </c>
      <c r="AQ120" s="13">
        <f>IFERROR(VLOOKUP(U120,'Cortes naturales'!$E$15:$G$19,3,9),U120)</f>
        <v>4</v>
      </c>
      <c r="AR120" s="28">
        <f t="shared" si="38"/>
        <v>-0.343889572087832</v>
      </c>
      <c r="AS120" s="13" t="b">
        <f t="shared" si="39"/>
        <v>0</v>
      </c>
      <c r="AT120" s="13">
        <f t="shared" si="48"/>
        <v>0</v>
      </c>
      <c r="AU120" s="13">
        <v>3</v>
      </c>
      <c r="AV120">
        <f t="shared" si="40"/>
        <v>0</v>
      </c>
      <c r="AW120" s="13">
        <v>0</v>
      </c>
      <c r="AX120" s="13">
        <v>0</v>
      </c>
      <c r="AY120" s="13">
        <v>0</v>
      </c>
      <c r="AZ120" s="13">
        <v>0</v>
      </c>
      <c r="BA120">
        <v>0</v>
      </c>
      <c r="BB120" t="s">
        <v>2838</v>
      </c>
      <c r="BC120">
        <v>6</v>
      </c>
      <c r="BD120" s="184" t="s">
        <v>2917</v>
      </c>
      <c r="BE120">
        <v>0</v>
      </c>
      <c r="BF120" s="232" t="s">
        <v>2846</v>
      </c>
      <c r="BG120" s="232" t="s">
        <v>2846</v>
      </c>
      <c r="BH120" s="253">
        <v>63</v>
      </c>
      <c r="BI120" s="253">
        <v>84.943202373200208</v>
      </c>
      <c r="BJ120" s="25">
        <v>34.888888888888886</v>
      </c>
      <c r="BK120" t="s">
        <v>379</v>
      </c>
      <c r="BL120">
        <v>1.414343525642475</v>
      </c>
      <c r="BM120" t="s">
        <v>383</v>
      </c>
      <c r="BN120" s="322">
        <v>47417.071486000001</v>
      </c>
      <c r="BO120" s="322">
        <v>3495.312774</v>
      </c>
      <c r="BP120" s="10">
        <v>15919</v>
      </c>
      <c r="BQ120" s="254">
        <f t="shared" si="41"/>
        <v>2.9786463650983102</v>
      </c>
      <c r="BR120" s="254">
        <f t="shared" si="42"/>
        <v>0.21956861448583453</v>
      </c>
      <c r="BS120" s="25">
        <v>58.278164413987469</v>
      </c>
      <c r="BT120" s="25">
        <v>87.801076287245849</v>
      </c>
      <c r="BU120" s="25">
        <v>23.6736858656074</v>
      </c>
      <c r="BV120" s="25">
        <v>95.699722820563125</v>
      </c>
      <c r="BW120" s="25">
        <v>25.795863479475319</v>
      </c>
      <c r="BX120" s="25">
        <v>66.36316234685097</v>
      </c>
      <c r="BY120" s="25">
        <v>25.94001012060987</v>
      </c>
      <c r="BZ120">
        <v>48</v>
      </c>
      <c r="CA120">
        <v>0</v>
      </c>
      <c r="CB120">
        <v>7</v>
      </c>
      <c r="CC120">
        <v>8533.3756520000006</v>
      </c>
      <c r="CD120" s="10">
        <v>447.280304</v>
      </c>
      <c r="CE120" s="255">
        <v>5.2415400685562129E-2</v>
      </c>
      <c r="CF120" t="str">
        <f>IFERROR(VLOOKUP(CE120,'Rangos amb etnico'!$A$2:$C$6,3,9),"N.D.")</f>
        <v>0,1% - 30%</v>
      </c>
      <c r="CG120" s="256">
        <v>1.3013070140368794E-5</v>
      </c>
      <c r="CH120" s="232">
        <v>0</v>
      </c>
      <c r="CI120" s="311">
        <f t="shared" si="49"/>
        <v>0</v>
      </c>
      <c r="CJ120" s="232">
        <f>IFERROR(VLOOKUP(CI120,'Rangos amb etnico'!$A$2:$C$6,3,9),"N.D.")</f>
        <v>0</v>
      </c>
      <c r="CK120" s="311">
        <f t="shared" si="50"/>
        <v>0</v>
      </c>
      <c r="CL120" s="10">
        <v>0</v>
      </c>
      <c r="CM120" s="255">
        <f t="shared" si="51"/>
        <v>0</v>
      </c>
      <c r="CN120" s="232">
        <f>IFERROR(VLOOKUP(CM120,'Rangos amb etnico'!$A$2:$C$6,3,9),"N.D.")</f>
        <v>0</v>
      </c>
      <c r="CO120" s="311">
        <f t="shared" si="52"/>
        <v>0</v>
      </c>
      <c r="CP120">
        <v>0.79996582044913978</v>
      </c>
      <c r="CQ120" t="s">
        <v>2865</v>
      </c>
      <c r="CR120">
        <f t="shared" si="43"/>
        <v>1</v>
      </c>
      <c r="CS120" t="str">
        <f t="shared" si="53"/>
        <v>No es Candidato</v>
      </c>
      <c r="CT120">
        <v>0</v>
      </c>
      <c r="CU120">
        <v>0</v>
      </c>
      <c r="CV120" s="25">
        <v>44.497962951660163</v>
      </c>
      <c r="CW120" s="25">
        <v>40.458053588867188</v>
      </c>
      <c r="CX120" s="25">
        <v>47.333370208740227</v>
      </c>
      <c r="CY120" s="25">
        <v>50.774570465087891</v>
      </c>
      <c r="CZ120" s="25">
        <v>17.855169296264648</v>
      </c>
      <c r="DA120" s="25">
        <v>69.846916198730469</v>
      </c>
      <c r="DB120" s="25">
        <v>40.719688415527337</v>
      </c>
      <c r="DC120">
        <v>481</v>
      </c>
      <c r="DD120" s="253" t="s">
        <v>380</v>
      </c>
    </row>
    <row r="121" spans="1:108" hidden="1">
      <c r="A121" s="13">
        <v>25123</v>
      </c>
      <c r="B121" s="13" t="s">
        <v>705</v>
      </c>
      <c r="C121" s="13" t="s">
        <v>461</v>
      </c>
      <c r="D121" s="13" t="s">
        <v>462</v>
      </c>
      <c r="E121" s="13" t="s">
        <v>706</v>
      </c>
      <c r="F121" s="14">
        <v>77.333933333333306</v>
      </c>
      <c r="G121" s="13">
        <v>90.85</v>
      </c>
      <c r="H121" s="13">
        <v>87.89</v>
      </c>
      <c r="I121" s="13">
        <v>85.22</v>
      </c>
      <c r="J121" s="14">
        <v>69.00743019526233</v>
      </c>
      <c r="K121" s="14">
        <v>71.324366588208633</v>
      </c>
      <c r="L121" s="14">
        <v>69.93147189841676</v>
      </c>
      <c r="M121" s="14">
        <v>65.600300000000004</v>
      </c>
      <c r="N121" s="14">
        <f t="shared" si="27"/>
        <v>85.323483333333314</v>
      </c>
      <c r="O121" s="14">
        <f t="shared" si="28"/>
        <v>68.965892170471932</v>
      </c>
      <c r="P121" s="14">
        <f t="shared" si="44"/>
        <v>77.144687751902623</v>
      </c>
      <c r="Q121" s="14">
        <v>42.09051878331077</v>
      </c>
      <c r="R121" s="17">
        <f t="shared" si="29"/>
        <v>57.90948121668923</v>
      </c>
      <c r="S121" s="14">
        <f t="shared" si="45"/>
        <v>0.62118533095020301</v>
      </c>
      <c r="T121" s="13">
        <v>0</v>
      </c>
      <c r="U121" s="13">
        <f t="shared" si="46"/>
        <v>47.921148392215706</v>
      </c>
      <c r="V121" s="13">
        <f>IF($T121=1,$AU121,(VLOOKUP(U121,'Cortes naturales'!$A$35:$C$39,3,9)))</f>
        <v>2</v>
      </c>
      <c r="W121" s="13">
        <v>2</v>
      </c>
      <c r="X121" s="14" t="b">
        <f t="shared" si="30"/>
        <v>1</v>
      </c>
      <c r="Y121" s="17">
        <f>IF($T121=1,$AU121,VLOOKUP(U121,'Cortes naturales'!$A$45:$C$49,3,9))</f>
        <v>1</v>
      </c>
      <c r="Z121" s="14">
        <v>74.610812637999857</v>
      </c>
      <c r="AA121" s="14">
        <v>0.64210242194506473</v>
      </c>
      <c r="AB121" s="14">
        <v>47.907783498149151</v>
      </c>
      <c r="AC121" s="13">
        <v>1</v>
      </c>
      <c r="AD121" s="13">
        <f t="shared" si="31"/>
        <v>0</v>
      </c>
      <c r="AE121" s="14">
        <f t="shared" si="32"/>
        <v>2.5338751139027664</v>
      </c>
      <c r="AF121" s="14">
        <f t="shared" si="33"/>
        <v>-2.091709099486172E-2</v>
      </c>
      <c r="AG121" s="13">
        <f t="shared" si="34"/>
        <v>1.3364894066555166E-2</v>
      </c>
      <c r="AH121" s="13">
        <f>IF($T121=1,$AU121,VLOOKUP(U121,'Cortes naturales'!$A$25:$C$29,3,9))</f>
        <v>1</v>
      </c>
      <c r="AI121" s="13" t="b">
        <f t="shared" si="35"/>
        <v>1</v>
      </c>
      <c r="AJ121" s="13">
        <f t="shared" si="36"/>
        <v>0</v>
      </c>
      <c r="AK121" s="28">
        <v>0.9741882058902549</v>
      </c>
      <c r="AL121" s="28">
        <v>72.68497370382704</v>
      </c>
      <c r="AM121" s="28">
        <v>0.7385863920088096</v>
      </c>
      <c r="AN121" s="13">
        <v>1</v>
      </c>
      <c r="AO121" s="33">
        <f t="shared" si="37"/>
        <v>0</v>
      </c>
      <c r="AP121" s="13">
        <f t="shared" si="47"/>
        <v>73.858639200880958</v>
      </c>
      <c r="AQ121" s="13">
        <f>IFERROR(VLOOKUP(U121,'Cortes naturales'!$E$15:$G$19,3,9),U121)</f>
        <v>2</v>
      </c>
      <c r="AR121" s="28">
        <f t="shared" si="38"/>
        <v>-0.35300287494005189</v>
      </c>
      <c r="AS121" s="13" t="b">
        <f t="shared" si="39"/>
        <v>0</v>
      </c>
      <c r="AT121" s="13">
        <f t="shared" si="48"/>
        <v>0</v>
      </c>
      <c r="AU121" s="13">
        <v>2</v>
      </c>
      <c r="AV121">
        <f t="shared" si="40"/>
        <v>1</v>
      </c>
      <c r="AW121" s="13">
        <v>0</v>
      </c>
      <c r="AX121" s="13">
        <v>0</v>
      </c>
      <c r="AY121" s="13">
        <v>0</v>
      </c>
      <c r="AZ121" s="13">
        <v>0</v>
      </c>
      <c r="BA121">
        <v>0</v>
      </c>
      <c r="BB121" t="s">
        <v>2839</v>
      </c>
      <c r="BC121">
        <v>6</v>
      </c>
      <c r="BD121" t="s">
        <v>2919</v>
      </c>
      <c r="BE121">
        <v>0</v>
      </c>
      <c r="BF121" s="232" t="s">
        <v>2846</v>
      </c>
      <c r="BG121" s="232" t="s">
        <v>2846</v>
      </c>
      <c r="BH121" s="253">
        <v>20.6</v>
      </c>
      <c r="BI121" s="253">
        <v>9.3881515053415345</v>
      </c>
      <c r="BJ121" s="25">
        <v>6.0632877288935472</v>
      </c>
      <c r="BK121" t="s">
        <v>377</v>
      </c>
      <c r="BL121">
        <v>2.1980199855756855</v>
      </c>
      <c r="BM121" t="s">
        <v>383</v>
      </c>
      <c r="BN121" s="322">
        <v>21104.513166000001</v>
      </c>
      <c r="BO121" s="322">
        <v>4743.8297300000004</v>
      </c>
      <c r="BP121" s="10">
        <v>10338</v>
      </c>
      <c r="BQ121" s="254">
        <f t="shared" si="41"/>
        <v>2.0414502965757402</v>
      </c>
      <c r="BR121" s="254">
        <f t="shared" si="42"/>
        <v>0.45887306345521384</v>
      </c>
      <c r="BS121" s="25">
        <v>57.003262148965028</v>
      </c>
      <c r="BT121" s="25">
        <v>88.69491917198684</v>
      </c>
      <c r="BU121" s="25">
        <v>51.752555313746797</v>
      </c>
      <c r="BV121" s="25">
        <v>90.932458460749672</v>
      </c>
      <c r="BW121" s="25">
        <v>58.474553817230159</v>
      </c>
      <c r="BX121" s="25">
        <v>72.095798773862086</v>
      </c>
      <c r="BY121" s="25">
        <v>59.751989169874868</v>
      </c>
      <c r="BZ121">
        <v>93</v>
      </c>
      <c r="CA121">
        <v>0</v>
      </c>
      <c r="CB121">
        <v>7</v>
      </c>
      <c r="CC121">
        <v>5339.5844719999996</v>
      </c>
      <c r="CD121" s="10">
        <v>1679.5802639999999</v>
      </c>
      <c r="CE121" s="255">
        <v>0.31455261599614603</v>
      </c>
      <c r="CF121" t="str">
        <f>IFERROR(VLOOKUP(CE121,'Rangos amb etnico'!$A$2:$C$6,3,9),"N.D.")</f>
        <v>31% - 50%</v>
      </c>
      <c r="CG121" s="256">
        <v>4.8865321335077471E-5</v>
      </c>
      <c r="CH121" s="232">
        <v>0</v>
      </c>
      <c r="CI121" s="311">
        <f t="shared" si="49"/>
        <v>0</v>
      </c>
      <c r="CJ121" s="232">
        <f>IFERROR(VLOOKUP(CI121,'Rangos amb etnico'!$A$2:$C$6,3,9),"N.D.")</f>
        <v>0</v>
      </c>
      <c r="CK121" s="311">
        <f t="shared" si="50"/>
        <v>0</v>
      </c>
      <c r="CL121" s="10">
        <v>0</v>
      </c>
      <c r="CM121" s="255">
        <f t="shared" si="51"/>
        <v>0</v>
      </c>
      <c r="CN121" s="232">
        <f>IFERROR(VLOOKUP(CM121,'Rangos amb etnico'!$A$2:$C$6,3,9),"N.D.")</f>
        <v>0</v>
      </c>
      <c r="CO121" s="311">
        <f t="shared" si="52"/>
        <v>0</v>
      </c>
      <c r="CP121">
        <v>0.97896317548066447</v>
      </c>
      <c r="CQ121" t="s">
        <v>2864</v>
      </c>
      <c r="CR121">
        <f t="shared" si="43"/>
        <v>3</v>
      </c>
      <c r="CS121" t="str">
        <f t="shared" si="53"/>
        <v>Candidato</v>
      </c>
      <c r="CT121">
        <v>0</v>
      </c>
      <c r="CU121">
        <v>0</v>
      </c>
      <c r="CV121" s="25">
        <v>56.650470733642578</v>
      </c>
      <c r="CW121" s="25">
        <v>39.719394683837891</v>
      </c>
      <c r="CX121" s="25">
        <v>54.560157775878913</v>
      </c>
      <c r="CY121" s="25">
        <v>62.459922790527337</v>
      </c>
      <c r="CZ121" s="25">
        <v>51.184928894042969</v>
      </c>
      <c r="DA121" s="25">
        <v>68.824287414550781</v>
      </c>
      <c r="DB121" s="25">
        <v>63.154125213623047</v>
      </c>
      <c r="DC121">
        <v>44</v>
      </c>
      <c r="DD121" s="253" t="s">
        <v>380</v>
      </c>
    </row>
    <row r="122" spans="1:108" hidden="1">
      <c r="A122" s="13">
        <v>19548</v>
      </c>
      <c r="B122" s="13" t="s">
        <v>707</v>
      </c>
      <c r="C122" s="13" t="s">
        <v>557</v>
      </c>
      <c r="D122" s="13" t="s">
        <v>558</v>
      </c>
      <c r="E122" s="13" t="s">
        <v>708</v>
      </c>
      <c r="F122" s="14">
        <v>54.459899999999998</v>
      </c>
      <c r="G122" s="13">
        <v>45.55</v>
      </c>
      <c r="H122" s="13">
        <v>83.34</v>
      </c>
      <c r="I122" s="13">
        <v>82.72</v>
      </c>
      <c r="J122" s="14">
        <v>63.864381740886685</v>
      </c>
      <c r="K122" s="14">
        <v>65.699585435610146</v>
      </c>
      <c r="L122" s="14">
        <v>59.048154894296317</v>
      </c>
      <c r="M122" s="14">
        <v>50.709099999999999</v>
      </c>
      <c r="N122" s="14">
        <f t="shared" si="27"/>
        <v>66.51747499999999</v>
      </c>
      <c r="O122" s="14">
        <f t="shared" si="28"/>
        <v>59.830305517698285</v>
      </c>
      <c r="P122" s="14">
        <f t="shared" si="44"/>
        <v>63.173890258849141</v>
      </c>
      <c r="Q122" s="14">
        <v>41.617697639019994</v>
      </c>
      <c r="R122" s="17">
        <f t="shared" si="29"/>
        <v>58.382302360980006</v>
      </c>
      <c r="S122" s="14">
        <f t="shared" si="45"/>
        <v>0.62544072124882011</v>
      </c>
      <c r="T122" s="13">
        <v>0</v>
      </c>
      <c r="U122" s="13">
        <f t="shared" si="46"/>
        <v>39.51152348758842</v>
      </c>
      <c r="V122" s="13">
        <f>IF($T122=1,$AU122,(VLOOKUP(U122,'Cortes naturales'!$A$35:$C$39,3,9)))</f>
        <v>2</v>
      </c>
      <c r="W122" s="13">
        <v>2</v>
      </c>
      <c r="X122" s="14" t="b">
        <f t="shared" si="30"/>
        <v>1</v>
      </c>
      <c r="Y122" s="17">
        <f>IF($T122=1,$AU122,VLOOKUP(U122,'Cortes naturales'!$A$45:$C$49,3,9))</f>
        <v>2</v>
      </c>
      <c r="Z122" s="14">
        <v>60.979866657224399</v>
      </c>
      <c r="AA122" s="14">
        <v>0.64288002278309597</v>
      </c>
      <c r="AB122" s="14">
        <v>39.202738065906573</v>
      </c>
      <c r="AC122" s="13">
        <v>2</v>
      </c>
      <c r="AD122" s="13">
        <f t="shared" si="31"/>
        <v>0</v>
      </c>
      <c r="AE122" s="14">
        <f t="shared" si="32"/>
        <v>2.1940236016247425</v>
      </c>
      <c r="AF122" s="14">
        <f t="shared" si="33"/>
        <v>-1.7439301534275864E-2</v>
      </c>
      <c r="AG122" s="13">
        <f t="shared" si="34"/>
        <v>0.30878542168184708</v>
      </c>
      <c r="AH122" s="13">
        <f>IF($T122=1,$AU122,VLOOKUP(U122,'Cortes naturales'!$A$25:$C$29,3,9))</f>
        <v>2</v>
      </c>
      <c r="AI122" s="13" t="b">
        <f t="shared" si="35"/>
        <v>1</v>
      </c>
      <c r="AJ122" s="13">
        <f t="shared" si="36"/>
        <v>0</v>
      </c>
      <c r="AK122" s="28">
        <v>0.9741882058902549</v>
      </c>
      <c r="AL122" s="28">
        <v>59.40586689422841</v>
      </c>
      <c r="AM122" s="28">
        <v>0.57247876331869907</v>
      </c>
      <c r="AN122" s="13">
        <v>2</v>
      </c>
      <c r="AO122" s="33">
        <f t="shared" si="37"/>
        <v>0</v>
      </c>
      <c r="AP122" s="13">
        <f t="shared" si="47"/>
        <v>57.247876331869904</v>
      </c>
      <c r="AQ122" s="13">
        <f>IFERROR(VLOOKUP(U122,'Cortes naturales'!$E$15:$G$19,3,9),U122)</f>
        <v>3</v>
      </c>
      <c r="AR122" s="28">
        <f t="shared" si="38"/>
        <v>-0.34874748464143479</v>
      </c>
      <c r="AS122" s="13" t="b">
        <f t="shared" si="39"/>
        <v>0</v>
      </c>
      <c r="AT122" s="13">
        <f t="shared" si="48"/>
        <v>0</v>
      </c>
      <c r="AU122" s="13">
        <v>2</v>
      </c>
      <c r="AV122">
        <f t="shared" si="40"/>
        <v>0</v>
      </c>
      <c r="AW122" s="13">
        <v>0</v>
      </c>
      <c r="AX122" s="13">
        <v>0</v>
      </c>
      <c r="AY122" s="13">
        <v>0</v>
      </c>
      <c r="AZ122" s="13">
        <v>1</v>
      </c>
      <c r="BA122">
        <v>1</v>
      </c>
      <c r="BB122" t="s">
        <v>2839</v>
      </c>
      <c r="BC122">
        <v>6</v>
      </c>
      <c r="BD122" t="s">
        <v>2919</v>
      </c>
      <c r="BE122">
        <v>1</v>
      </c>
      <c r="BF122" s="232" t="s">
        <v>2846</v>
      </c>
      <c r="BG122" s="232" t="s">
        <v>2846</v>
      </c>
      <c r="BH122" s="253">
        <v>30.7</v>
      </c>
      <c r="BI122" s="253">
        <v>13.515863971690758</v>
      </c>
      <c r="BJ122" s="25">
        <v>0</v>
      </c>
      <c r="BK122" t="s">
        <v>381</v>
      </c>
      <c r="BL122">
        <v>2.3777308717717371</v>
      </c>
      <c r="BM122" t="s">
        <v>383</v>
      </c>
      <c r="BN122" s="322">
        <v>71877.680817999993</v>
      </c>
      <c r="BO122" s="322">
        <v>6490.3894170000003</v>
      </c>
      <c r="BP122" s="10">
        <v>42676</v>
      </c>
      <c r="BQ122" s="254">
        <f t="shared" si="41"/>
        <v>1.6842647112662854</v>
      </c>
      <c r="BR122" s="254">
        <f t="shared" si="42"/>
        <v>0.15208523331614959</v>
      </c>
      <c r="BS122" s="25">
        <v>64.614727599841387</v>
      </c>
      <c r="BT122" s="25">
        <v>93.015453350204652</v>
      </c>
      <c r="BU122" s="25">
        <v>35.944857161219844</v>
      </c>
      <c r="BV122" s="25">
        <v>84.427629618157539</v>
      </c>
      <c r="BW122" s="25">
        <v>54.254834978758531</v>
      </c>
      <c r="BX122" s="25">
        <v>69.500666932355855</v>
      </c>
      <c r="BY122" s="25">
        <v>54.838700219350471</v>
      </c>
      <c r="BZ122">
        <v>46</v>
      </c>
      <c r="CA122">
        <v>0</v>
      </c>
      <c r="CB122">
        <v>7</v>
      </c>
      <c r="CC122">
        <v>18126.987857</v>
      </c>
      <c r="CD122" s="10">
        <v>1.503347</v>
      </c>
      <c r="CE122" s="255">
        <v>8.2934186962532806E-5</v>
      </c>
      <c r="CF122">
        <f>IFERROR(VLOOKUP(CE122,'Rangos amb etnico'!$A$2:$C$6,3,9),"N.D.")</f>
        <v>0</v>
      </c>
      <c r="CG122" s="256">
        <v>4.3738031344910298E-8</v>
      </c>
      <c r="CH122" s="232">
        <v>271.63931500000001</v>
      </c>
      <c r="CI122" s="311">
        <f t="shared" si="49"/>
        <v>1.4985353173009522E-2</v>
      </c>
      <c r="CJ122" s="232" t="str">
        <f>IFERROR(VLOOKUP(CI122,'Rangos amb etnico'!$A$2:$C$6,3,9),"N.D.")</f>
        <v>0,1% - 30%</v>
      </c>
      <c r="CK122" s="311">
        <f t="shared" si="50"/>
        <v>1.0785859282554327E-5</v>
      </c>
      <c r="CL122" s="10">
        <v>0</v>
      </c>
      <c r="CM122" s="255">
        <f t="shared" si="51"/>
        <v>0</v>
      </c>
      <c r="CN122" s="232">
        <f>IFERROR(VLOOKUP(CM122,'Rangos amb etnico'!$A$2:$C$6,3,9),"N.D.")</f>
        <v>0</v>
      </c>
      <c r="CO122" s="311">
        <f t="shared" si="52"/>
        <v>0</v>
      </c>
      <c r="CP122">
        <v>0.82193006168890737</v>
      </c>
      <c r="CQ122" t="s">
        <v>2865</v>
      </c>
      <c r="CR122">
        <f t="shared" si="43"/>
        <v>2</v>
      </c>
      <c r="CS122" t="str">
        <f t="shared" si="53"/>
        <v>No es Candidato</v>
      </c>
      <c r="CT122">
        <v>0</v>
      </c>
      <c r="CU122">
        <v>0</v>
      </c>
      <c r="CV122" s="25">
        <v>46.705169677734382</v>
      </c>
      <c r="CW122" s="25">
        <v>34.846233367919922</v>
      </c>
      <c r="CX122" s="25">
        <v>51.60101318359375</v>
      </c>
      <c r="CY122" s="25">
        <v>76.345611572265625</v>
      </c>
      <c r="CZ122" s="25">
        <v>39.60125732421875</v>
      </c>
      <c r="DA122" s="25">
        <v>15.88230037689209</v>
      </c>
      <c r="DB122" s="25">
        <v>61.954616546630859</v>
      </c>
      <c r="DC122">
        <v>8684</v>
      </c>
      <c r="DD122" s="253" t="s">
        <v>380</v>
      </c>
    </row>
    <row r="123" spans="1:108" hidden="1">
      <c r="A123" s="13">
        <v>19300</v>
      </c>
      <c r="B123" s="13" t="s">
        <v>709</v>
      </c>
      <c r="C123" s="13" t="s">
        <v>557</v>
      </c>
      <c r="D123" s="13" t="s">
        <v>558</v>
      </c>
      <c r="E123" s="13" t="s">
        <v>710</v>
      </c>
      <c r="F123" s="14">
        <v>76.848133333333294</v>
      </c>
      <c r="G123" s="13">
        <v>71.58</v>
      </c>
      <c r="H123" s="13">
        <v>82.51</v>
      </c>
      <c r="I123" s="13">
        <v>86.99</v>
      </c>
      <c r="J123" s="14">
        <v>66.029496747813312</v>
      </c>
      <c r="K123" s="14">
        <v>60.09647323380252</v>
      </c>
      <c r="L123" s="14">
        <v>68.855572702561233</v>
      </c>
      <c r="M123" s="14">
        <v>64.511099999999999</v>
      </c>
      <c r="N123" s="14">
        <f t="shared" si="27"/>
        <v>79.48203333333332</v>
      </c>
      <c r="O123" s="14">
        <f t="shared" si="28"/>
        <v>64.873160671044275</v>
      </c>
      <c r="P123" s="14">
        <f t="shared" si="44"/>
        <v>72.177597002188804</v>
      </c>
      <c r="Q123" s="14">
        <v>41.517626570974294</v>
      </c>
      <c r="R123" s="17">
        <f t="shared" si="29"/>
        <v>58.482373429025706</v>
      </c>
      <c r="S123" s="14">
        <f t="shared" si="45"/>
        <v>0.62634136086123127</v>
      </c>
      <c r="T123" s="13">
        <v>0</v>
      </c>
      <c r="U123" s="13">
        <f t="shared" si="46"/>
        <v>45.207814330044464</v>
      </c>
      <c r="V123" s="13">
        <f>IF($T123=1,$AU123,(VLOOKUP(U123,'Cortes naturales'!$A$35:$C$39,3,9)))</f>
        <v>2</v>
      </c>
      <c r="W123" s="13">
        <v>2</v>
      </c>
      <c r="X123" s="14" t="b">
        <f t="shared" si="30"/>
        <v>1</v>
      </c>
      <c r="Y123" s="17">
        <f>IF($T123=1,$AU123,VLOOKUP(U123,'Cortes naturales'!$A$45:$C$49,3,9))</f>
        <v>2</v>
      </c>
      <c r="Z123" s="14">
        <v>71.496614232689751</v>
      </c>
      <c r="AA123" s="14">
        <v>0.64263895392595105</v>
      </c>
      <c r="AB123" s="14">
        <v>45.946509379743006</v>
      </c>
      <c r="AC123" s="13">
        <v>2</v>
      </c>
      <c r="AD123" s="13">
        <f t="shared" si="31"/>
        <v>0</v>
      </c>
      <c r="AE123" s="14">
        <f t="shared" si="32"/>
        <v>0.68098276949905312</v>
      </c>
      <c r="AF123" s="14">
        <f t="shared" si="33"/>
        <v>-1.6297593064719784E-2</v>
      </c>
      <c r="AG123" s="13">
        <f t="shared" si="34"/>
        <v>-0.73869504969854205</v>
      </c>
      <c r="AH123" s="13">
        <f>IF($T123=1,$AU123,VLOOKUP(U123,'Cortes naturales'!$A$25:$C$29,3,9))</f>
        <v>2</v>
      </c>
      <c r="AI123" s="13" t="b">
        <f t="shared" si="35"/>
        <v>1</v>
      </c>
      <c r="AJ123" s="13">
        <f t="shared" si="36"/>
        <v>0</v>
      </c>
      <c r="AK123" s="28">
        <v>0.9741882058902549</v>
      </c>
      <c r="AL123" s="28">
        <v>69.651158346571691</v>
      </c>
      <c r="AM123" s="28">
        <v>0.70063655983236683</v>
      </c>
      <c r="AN123" s="13">
        <v>1</v>
      </c>
      <c r="AO123" s="33">
        <f t="shared" si="37"/>
        <v>-1</v>
      </c>
      <c r="AP123" s="13">
        <f t="shared" si="47"/>
        <v>70.063655983236686</v>
      </c>
      <c r="AQ123" s="13">
        <f>IFERROR(VLOOKUP(U123,'Cortes naturales'!$E$15:$G$19,3,9),U123)</f>
        <v>3</v>
      </c>
      <c r="AR123" s="28">
        <f t="shared" si="38"/>
        <v>-0.34784684502902363</v>
      </c>
      <c r="AS123" s="13" t="b">
        <f t="shared" si="39"/>
        <v>0</v>
      </c>
      <c r="AT123" s="13" t="str">
        <f t="shared" si="48"/>
        <v>Cambio en corte</v>
      </c>
      <c r="AU123" s="13">
        <v>2</v>
      </c>
      <c r="AV123">
        <f t="shared" si="40"/>
        <v>0</v>
      </c>
      <c r="AW123" s="13">
        <v>0</v>
      </c>
      <c r="AX123" s="13">
        <v>0</v>
      </c>
      <c r="AY123" s="13">
        <v>0</v>
      </c>
      <c r="AZ123" s="13">
        <v>0</v>
      </c>
      <c r="BA123">
        <v>0</v>
      </c>
      <c r="BB123" t="s">
        <v>2839</v>
      </c>
      <c r="BC123">
        <v>4</v>
      </c>
      <c r="BD123" t="s">
        <v>2919</v>
      </c>
      <c r="BE123">
        <v>1</v>
      </c>
      <c r="BF123" s="232" t="s">
        <v>2846</v>
      </c>
      <c r="BG123" s="232" t="s">
        <v>2846</v>
      </c>
      <c r="BH123" s="253">
        <v>20.2</v>
      </c>
      <c r="BI123" s="253">
        <v>4.9532760762707291</v>
      </c>
      <c r="BJ123" s="25">
        <v>0</v>
      </c>
      <c r="BK123" t="s">
        <v>381</v>
      </c>
      <c r="BL123">
        <v>39.565723954239154</v>
      </c>
      <c r="BM123" t="s">
        <v>384</v>
      </c>
      <c r="BN123" s="322">
        <v>43668.266302000004</v>
      </c>
      <c r="BO123" s="322">
        <v>18714.587854000001</v>
      </c>
      <c r="BP123" s="10">
        <v>20320</v>
      </c>
      <c r="BQ123" s="254">
        <f t="shared" si="41"/>
        <v>2.1490288534448823</v>
      </c>
      <c r="BR123" s="254">
        <f t="shared" si="42"/>
        <v>0.92099349675196851</v>
      </c>
      <c r="BS123" s="25">
        <v>53.929130822748853</v>
      </c>
      <c r="BT123" s="25">
        <v>64.323311504811898</v>
      </c>
      <c r="BU123" s="25">
        <v>48.028083466241327</v>
      </c>
      <c r="BV123" s="25">
        <v>66.946859580693513</v>
      </c>
      <c r="BW123" s="25">
        <v>58.45342965037387</v>
      </c>
      <c r="BX123" s="25">
        <v>58.306846343623903</v>
      </c>
      <c r="BY123" s="25">
        <v>57.076671697241338</v>
      </c>
      <c r="BZ123">
        <v>32</v>
      </c>
      <c r="CA123">
        <v>0</v>
      </c>
      <c r="CB123">
        <v>7</v>
      </c>
      <c r="CC123">
        <v>10064.905516999999</v>
      </c>
      <c r="CD123" s="10">
        <v>720.48234000000002</v>
      </c>
      <c r="CE123" s="255">
        <v>7.1583616834065514E-2</v>
      </c>
      <c r="CF123" t="str">
        <f>IFERROR(VLOOKUP(CE123,'Rangos amb etnico'!$A$2:$C$6,3,9),"N.D.")</f>
        <v>0,1% - 30%</v>
      </c>
      <c r="CG123" s="256">
        <v>2.0961547247823901E-5</v>
      </c>
      <c r="CH123" s="232">
        <v>974.74527999999998</v>
      </c>
      <c r="CI123" s="311">
        <f t="shared" si="49"/>
        <v>9.6845944390994934E-2</v>
      </c>
      <c r="CJ123" s="232" t="str">
        <f>IFERROR(VLOOKUP(CI123,'Rangos amb etnico'!$A$2:$C$6,3,9),"N.D.")</f>
        <v>0,1% - 30%</v>
      </c>
      <c r="CK123" s="311">
        <f t="shared" si="50"/>
        <v>3.8703769468767863E-5</v>
      </c>
      <c r="CL123" s="10">
        <v>0</v>
      </c>
      <c r="CM123" s="255">
        <f t="shared" si="51"/>
        <v>0</v>
      </c>
      <c r="CN123" s="232">
        <f>IFERROR(VLOOKUP(CM123,'Rangos amb etnico'!$A$2:$C$6,3,9),"N.D.")</f>
        <v>0</v>
      </c>
      <c r="CO123" s="311">
        <f t="shared" si="52"/>
        <v>0</v>
      </c>
      <c r="CP123">
        <v>0.91324679722546254</v>
      </c>
      <c r="CQ123" t="s">
        <v>2864</v>
      </c>
      <c r="CR123">
        <f t="shared" si="43"/>
        <v>3</v>
      </c>
      <c r="CS123" t="str">
        <f t="shared" si="53"/>
        <v>Candidato</v>
      </c>
      <c r="CT123">
        <v>0</v>
      </c>
      <c r="CU123">
        <v>0</v>
      </c>
      <c r="CV123" s="25">
        <v>48.186447143554688</v>
      </c>
      <c r="CW123" s="25">
        <v>38.766273498535163</v>
      </c>
      <c r="CX123" s="25">
        <v>66.682785034179688</v>
      </c>
      <c r="CY123" s="25">
        <v>72.206764221191406</v>
      </c>
      <c r="CZ123" s="25">
        <v>29.951286315917969</v>
      </c>
      <c r="DA123" s="25">
        <v>20.02022743225098</v>
      </c>
      <c r="DB123" s="25">
        <v>61.491348266601563</v>
      </c>
      <c r="DC123">
        <v>18956</v>
      </c>
      <c r="DD123" s="253" t="s">
        <v>380</v>
      </c>
    </row>
    <row r="124" spans="1:108" hidden="1">
      <c r="A124" s="13">
        <v>25875</v>
      </c>
      <c r="B124" s="13" t="s">
        <v>711</v>
      </c>
      <c r="C124" s="13" t="s">
        <v>461</v>
      </c>
      <c r="D124" s="13" t="s">
        <v>462</v>
      </c>
      <c r="E124" s="13" t="s">
        <v>712</v>
      </c>
      <c r="F124" s="14">
        <v>72.882833333333295</v>
      </c>
      <c r="G124" s="13">
        <v>78.180000000000007</v>
      </c>
      <c r="H124" s="13">
        <v>82.09</v>
      </c>
      <c r="I124" s="13">
        <v>85.12</v>
      </c>
      <c r="J124" s="14">
        <v>62.049069856366515</v>
      </c>
      <c r="K124" s="14">
        <v>63.093424849033141</v>
      </c>
      <c r="L124" s="14">
        <v>69.919551412011003</v>
      </c>
      <c r="M124" s="14">
        <v>63.092399999999998</v>
      </c>
      <c r="N124" s="14">
        <f t="shared" si="27"/>
        <v>79.568208333333331</v>
      </c>
      <c r="O124" s="14">
        <f t="shared" si="28"/>
        <v>64.538611529352664</v>
      </c>
      <c r="P124" s="14">
        <f t="shared" si="44"/>
        <v>72.053409931342998</v>
      </c>
      <c r="Q124" s="14">
        <v>42.486607199261165</v>
      </c>
      <c r="R124" s="17">
        <f t="shared" si="29"/>
        <v>57.513392800738835</v>
      </c>
      <c r="S124" s="14">
        <f t="shared" si="45"/>
        <v>0.6176205352066495</v>
      </c>
      <c r="T124" s="13">
        <v>0</v>
      </c>
      <c r="U124" s="13">
        <f t="shared" si="46"/>
        <v>44.501665605260179</v>
      </c>
      <c r="V124" s="13">
        <f>IF($T124=1,$AU124,(VLOOKUP(U124,'Cortes naturales'!$A$35:$C$39,3,9)))</f>
        <v>2</v>
      </c>
      <c r="W124" s="13">
        <v>2</v>
      </c>
      <c r="X124" s="14" t="b">
        <f t="shared" si="30"/>
        <v>1</v>
      </c>
      <c r="Y124" s="17">
        <f>IF($T124=1,$AU124,VLOOKUP(U124,'Cortes naturales'!$A$45:$C$49,3,9))</f>
        <v>2</v>
      </c>
      <c r="Z124" s="14">
        <v>69.855073321968831</v>
      </c>
      <c r="AA124" s="14">
        <v>0.63741287989595097</v>
      </c>
      <c r="AB124" s="14">
        <v>44.526523461498968</v>
      </c>
      <c r="AC124" s="13">
        <v>2</v>
      </c>
      <c r="AD124" s="13">
        <f t="shared" si="31"/>
        <v>0</v>
      </c>
      <c r="AE124" s="14">
        <f t="shared" si="32"/>
        <v>2.1983366093741665</v>
      </c>
      <c r="AF124" s="14">
        <f t="shared" si="33"/>
        <v>-1.9792344689301467E-2</v>
      </c>
      <c r="AG124" s="13">
        <f t="shared" si="34"/>
        <v>-2.4857856238789111E-2</v>
      </c>
      <c r="AH124" s="13">
        <f>IF($T124=1,$AU124,VLOOKUP(U124,'Cortes naturales'!$A$25:$C$29,3,9))</f>
        <v>2</v>
      </c>
      <c r="AI124" s="13" t="b">
        <f t="shared" si="35"/>
        <v>1</v>
      </c>
      <c r="AJ124" s="13">
        <f t="shared" si="36"/>
        <v>0</v>
      </c>
      <c r="AK124" s="28">
        <v>0.9741882058902549</v>
      </c>
      <c r="AL124" s="28">
        <v>68.051988551861029</v>
      </c>
      <c r="AM124" s="28">
        <v>0.68063263138439101</v>
      </c>
      <c r="AN124" s="13">
        <v>1</v>
      </c>
      <c r="AO124" s="33">
        <f t="shared" si="37"/>
        <v>-1</v>
      </c>
      <c r="AP124" s="13">
        <f t="shared" si="47"/>
        <v>68.063263138439098</v>
      </c>
      <c r="AQ124" s="13">
        <f>IFERROR(VLOOKUP(U124,'Cortes naturales'!$E$15:$G$19,3,9),U124)</f>
        <v>3</v>
      </c>
      <c r="AR124" s="28">
        <f t="shared" si="38"/>
        <v>-0.3565676706836054</v>
      </c>
      <c r="AS124" s="13" t="b">
        <f t="shared" si="39"/>
        <v>0</v>
      </c>
      <c r="AT124" s="13" t="str">
        <f t="shared" si="48"/>
        <v>Cambio en corte</v>
      </c>
      <c r="AU124" s="13">
        <v>1</v>
      </c>
      <c r="AV124">
        <f t="shared" si="40"/>
        <v>-1</v>
      </c>
      <c r="AW124" s="13">
        <v>0</v>
      </c>
      <c r="AX124" s="13">
        <v>0</v>
      </c>
      <c r="AY124" s="13">
        <v>0</v>
      </c>
      <c r="AZ124" s="13">
        <v>0</v>
      </c>
      <c r="BA124">
        <v>0</v>
      </c>
      <c r="BB124" t="s">
        <v>2839</v>
      </c>
      <c r="BC124">
        <v>6</v>
      </c>
      <c r="BD124" t="s">
        <v>2919</v>
      </c>
      <c r="BE124">
        <v>0</v>
      </c>
      <c r="BF124" s="232" t="s">
        <v>2846</v>
      </c>
      <c r="BG124" s="232" t="s">
        <v>2846</v>
      </c>
      <c r="BH124" s="253">
        <v>18.7</v>
      </c>
      <c r="BI124" s="253">
        <v>8.414819431999689</v>
      </c>
      <c r="BJ124" s="25">
        <v>4.8544028207825116</v>
      </c>
      <c r="BK124" t="s">
        <v>381</v>
      </c>
      <c r="BL124">
        <v>1.3451569155950514</v>
      </c>
      <c r="BM124" t="s">
        <v>383</v>
      </c>
      <c r="BN124" s="322">
        <v>53915.877949000002</v>
      </c>
      <c r="BO124" s="322">
        <v>22304.856370000001</v>
      </c>
      <c r="BP124" s="10">
        <v>29130</v>
      </c>
      <c r="BQ124" s="254">
        <f t="shared" si="41"/>
        <v>1.850871196326811</v>
      </c>
      <c r="BR124" s="254">
        <f t="shared" si="42"/>
        <v>0.76570052763474084</v>
      </c>
      <c r="BS124" s="25">
        <v>65.020779492363786</v>
      </c>
      <c r="BT124" s="25">
        <v>98.80952380952381</v>
      </c>
      <c r="BU124" s="25">
        <v>62.911666666666669</v>
      </c>
      <c r="BV124" s="25">
        <v>78.738611525748766</v>
      </c>
      <c r="BW124" s="25">
        <v>73.518540233856214</v>
      </c>
      <c r="BX124" s="25">
        <v>76.370145373575753</v>
      </c>
      <c r="BY124" s="25">
        <v>73.794327482425601</v>
      </c>
      <c r="BZ124">
        <v>37</v>
      </c>
      <c r="CA124">
        <v>1</v>
      </c>
      <c r="CB124">
        <v>6</v>
      </c>
      <c r="CC124">
        <v>14077.470251999999</v>
      </c>
      <c r="CD124" s="10">
        <v>6648.6382649999996</v>
      </c>
      <c r="CE124" s="255">
        <v>0.47228927825689571</v>
      </c>
      <c r="CF124" t="str">
        <f>IFERROR(VLOOKUP(CE124,'Rangos amb etnico'!$A$2:$C$6,3,9),"N.D.")</f>
        <v>31% - 50%</v>
      </c>
      <c r="CG124" s="256">
        <v>1.934339502693257E-4</v>
      </c>
      <c r="CH124" s="232">
        <v>0</v>
      </c>
      <c r="CI124" s="311">
        <f t="shared" si="49"/>
        <v>0</v>
      </c>
      <c r="CJ124" s="232">
        <f>IFERROR(VLOOKUP(CI124,'Rangos amb etnico'!$A$2:$C$6,3,9),"N.D.")</f>
        <v>0</v>
      </c>
      <c r="CK124" s="311">
        <f t="shared" si="50"/>
        <v>0</v>
      </c>
      <c r="CL124" s="10">
        <v>0</v>
      </c>
      <c r="CM124" s="255">
        <f t="shared" si="51"/>
        <v>0</v>
      </c>
      <c r="CN124" s="232">
        <f>IFERROR(VLOOKUP(CM124,'Rangos amb etnico'!$A$2:$C$6,3,9),"N.D.")</f>
        <v>0</v>
      </c>
      <c r="CO124" s="311">
        <f t="shared" si="52"/>
        <v>0</v>
      </c>
      <c r="CP124">
        <v>0.98152920154702761</v>
      </c>
      <c r="CQ124" t="s">
        <v>2864</v>
      </c>
      <c r="CR124">
        <f t="shared" si="43"/>
        <v>4</v>
      </c>
      <c r="CS124" t="str">
        <f t="shared" si="53"/>
        <v>Candidato</v>
      </c>
      <c r="CT124">
        <v>0</v>
      </c>
      <c r="CU124">
        <v>0</v>
      </c>
      <c r="CV124" s="25">
        <v>47.409553527832031</v>
      </c>
      <c r="CW124" s="25">
        <v>34.62152099609375</v>
      </c>
      <c r="CX124" s="25">
        <v>55.149318695068359</v>
      </c>
      <c r="CY124" s="25">
        <v>63.686496734619141</v>
      </c>
      <c r="CZ124" s="25">
        <v>56.995494842529297</v>
      </c>
      <c r="DA124" s="25">
        <v>29.232515335083011</v>
      </c>
      <c r="DB124" s="25">
        <v>44.771984100341797</v>
      </c>
      <c r="DC124">
        <v>220</v>
      </c>
      <c r="DD124" s="253" t="s">
        <v>380</v>
      </c>
    </row>
    <row r="125" spans="1:108">
      <c r="A125" s="13">
        <v>5148</v>
      </c>
      <c r="B125" s="13" t="s">
        <v>713</v>
      </c>
      <c r="C125" s="13" t="s">
        <v>435</v>
      </c>
      <c r="D125" s="13" t="s">
        <v>436</v>
      </c>
      <c r="E125" s="13" t="s">
        <v>714</v>
      </c>
      <c r="F125" s="14">
        <v>70.951700000000002</v>
      </c>
      <c r="G125" s="13">
        <v>60</v>
      </c>
      <c r="H125" s="13">
        <v>72.53</v>
      </c>
      <c r="I125" s="13">
        <v>76.599999999999994</v>
      </c>
      <c r="J125" s="14">
        <v>65.206023361741899</v>
      </c>
      <c r="K125" s="14">
        <v>68.281297281248087</v>
      </c>
      <c r="L125" s="14">
        <v>60.537747960452563</v>
      </c>
      <c r="M125" s="14">
        <v>54.5732</v>
      </c>
      <c r="N125" s="14">
        <f t="shared" si="27"/>
        <v>70.020425000000003</v>
      </c>
      <c r="O125" s="14">
        <f t="shared" si="28"/>
        <v>62.149567150860634</v>
      </c>
      <c r="P125" s="14">
        <f t="shared" si="44"/>
        <v>66.084996075430325</v>
      </c>
      <c r="Q125" s="14">
        <v>40.731609842392011</v>
      </c>
      <c r="R125" s="17">
        <f t="shared" si="29"/>
        <v>59.268390157607989</v>
      </c>
      <c r="S125" s="14">
        <f t="shared" si="45"/>
        <v>0.63341551141847185</v>
      </c>
      <c r="T125" s="13">
        <v>0</v>
      </c>
      <c r="U125" s="13">
        <f t="shared" si="46"/>
        <v>41.859261586206408</v>
      </c>
      <c r="V125" s="13">
        <f>IF($T125=1,$AU125,(VLOOKUP(U125,'Cortes naturales'!$A$35:$C$39,3,9)))</f>
        <v>2</v>
      </c>
      <c r="W125" s="13">
        <v>2</v>
      </c>
      <c r="X125" s="14" t="b">
        <f t="shared" si="30"/>
        <v>1</v>
      </c>
      <c r="Y125" s="17">
        <f>IF($T125=1,$AU125,VLOOKUP(U125,'Cortes naturales'!$A$45:$C$49,3,9))</f>
        <v>2</v>
      </c>
      <c r="Z125" s="14">
        <v>65.137091064378836</v>
      </c>
      <c r="AA125" s="14">
        <v>0.63960974749583799</v>
      </c>
      <c r="AB125" s="14">
        <v>41.662318368300753</v>
      </c>
      <c r="AC125" s="13">
        <v>2</v>
      </c>
      <c r="AD125" s="13">
        <f t="shared" si="31"/>
        <v>0</v>
      </c>
      <c r="AE125" s="14">
        <f t="shared" si="32"/>
        <v>0.94790501105148905</v>
      </c>
      <c r="AF125" s="14">
        <f t="shared" si="33"/>
        <v>-6.1942360773661331E-3</v>
      </c>
      <c r="AG125" s="13">
        <f t="shared" si="34"/>
        <v>0.19694321790565539</v>
      </c>
      <c r="AH125" s="13">
        <f>IF($T125=1,$AU125,VLOOKUP(U125,'Cortes naturales'!$A$25:$C$29,3,9))</f>
        <v>2</v>
      </c>
      <c r="AI125" s="13" t="b">
        <f t="shared" si="35"/>
        <v>1</v>
      </c>
      <c r="AJ125" s="13">
        <f t="shared" si="36"/>
        <v>0</v>
      </c>
      <c r="AK125" s="28">
        <v>0.9741882058902549</v>
      </c>
      <c r="AL125" s="28">
        <v>63.455785880917375</v>
      </c>
      <c r="AM125" s="28">
        <v>0.62313898082517249</v>
      </c>
      <c r="AN125" s="13">
        <v>2</v>
      </c>
      <c r="AO125" s="33">
        <f t="shared" si="37"/>
        <v>0</v>
      </c>
      <c r="AP125" s="13">
        <f t="shared" si="47"/>
        <v>62.313898082517248</v>
      </c>
      <c r="AQ125" s="13">
        <f>IFERROR(VLOOKUP(U125,'Cortes naturales'!$E$15:$G$19,3,9),U125)</f>
        <v>3</v>
      </c>
      <c r="AR125" s="28">
        <f t="shared" si="38"/>
        <v>-0.34077269447178304</v>
      </c>
      <c r="AS125" s="13" t="b">
        <f t="shared" si="39"/>
        <v>0</v>
      </c>
      <c r="AT125" s="13">
        <f t="shared" si="48"/>
        <v>0</v>
      </c>
      <c r="AU125" s="13">
        <v>1</v>
      </c>
      <c r="AV125">
        <f t="shared" si="40"/>
        <v>-1</v>
      </c>
      <c r="AW125" s="13">
        <v>0</v>
      </c>
      <c r="AX125" s="13">
        <v>1</v>
      </c>
      <c r="AY125" s="13">
        <v>0</v>
      </c>
      <c r="AZ125" s="13">
        <v>0</v>
      </c>
      <c r="BA125">
        <v>0</v>
      </c>
      <c r="BB125" t="s">
        <v>2839</v>
      </c>
      <c r="BC125">
        <v>2</v>
      </c>
      <c r="BD125" s="184" t="s">
        <v>2917</v>
      </c>
      <c r="BE125">
        <v>1</v>
      </c>
      <c r="BF125" s="232" t="s">
        <v>2846</v>
      </c>
      <c r="BG125" s="232" t="s">
        <v>2845</v>
      </c>
      <c r="BH125" s="253">
        <v>18.5</v>
      </c>
      <c r="BI125" s="253">
        <v>5.8463604820355934</v>
      </c>
      <c r="BJ125" s="25">
        <v>2.303807027688062</v>
      </c>
      <c r="BK125" t="s">
        <v>381</v>
      </c>
      <c r="BL125">
        <v>5.7361108014826767</v>
      </c>
      <c r="BM125" t="s">
        <v>379</v>
      </c>
      <c r="BN125" s="322">
        <v>116314.16667000001</v>
      </c>
      <c r="BO125" s="322">
        <v>53603.386915000003</v>
      </c>
      <c r="BP125" s="10">
        <v>68325</v>
      </c>
      <c r="BQ125" s="254">
        <f t="shared" si="41"/>
        <v>1.7023661422612515</v>
      </c>
      <c r="BR125" s="254">
        <f t="shared" si="42"/>
        <v>0.7845354835711672</v>
      </c>
      <c r="BS125" s="25">
        <v>77.564288414521741</v>
      </c>
      <c r="BT125" s="25">
        <v>85.341301634345655</v>
      </c>
      <c r="BU125" s="25">
        <v>69.611666666666665</v>
      </c>
      <c r="BV125" s="25">
        <v>89.545804642901558</v>
      </c>
      <c r="BW125" s="25">
        <v>55.877427131381268</v>
      </c>
      <c r="BX125" s="25">
        <v>80.515765339608905</v>
      </c>
      <c r="BY125" s="25">
        <v>56.606786912829932</v>
      </c>
      <c r="BZ125">
        <v>22</v>
      </c>
      <c r="CA125">
        <v>0</v>
      </c>
      <c r="CB125">
        <v>6</v>
      </c>
      <c r="CC125">
        <v>40912.776323999999</v>
      </c>
      <c r="CD125" s="10">
        <v>32087.333634999999</v>
      </c>
      <c r="CE125" s="255">
        <v>0.78428638968158038</v>
      </c>
      <c r="CF125" t="str">
        <f>IFERROR(VLOOKUP(CE125,'Rangos amb etnico'!$A$2:$C$6,3,9),"N.D.")</f>
        <v>71% - 100%</v>
      </c>
      <c r="CG125" s="256">
        <v>9.3354149394798698E-4</v>
      </c>
      <c r="CH125" s="232">
        <v>0</v>
      </c>
      <c r="CI125" s="311">
        <f t="shared" si="49"/>
        <v>0</v>
      </c>
      <c r="CJ125" s="232">
        <f>IFERROR(VLOOKUP(CI125,'Rangos amb etnico'!$A$2:$C$6,3,9),"N.D.")</f>
        <v>0</v>
      </c>
      <c r="CK125" s="311">
        <f t="shared" si="50"/>
        <v>0</v>
      </c>
      <c r="CL125" s="10">
        <v>0</v>
      </c>
      <c r="CM125" s="255">
        <f t="shared" si="51"/>
        <v>0</v>
      </c>
      <c r="CN125" s="232">
        <f>IFERROR(VLOOKUP(CM125,'Rangos amb etnico'!$A$2:$C$6,3,9),"N.D.")</f>
        <v>0</v>
      </c>
      <c r="CO125" s="311">
        <f t="shared" si="52"/>
        <v>0</v>
      </c>
      <c r="CP125">
        <v>0.90368256273429781</v>
      </c>
      <c r="CQ125" t="s">
        <v>2864</v>
      </c>
      <c r="CR125">
        <f t="shared" si="43"/>
        <v>2</v>
      </c>
      <c r="CS125" t="str">
        <f t="shared" si="53"/>
        <v>No es Candidato</v>
      </c>
      <c r="CT125">
        <v>0</v>
      </c>
      <c r="CU125">
        <v>0</v>
      </c>
      <c r="CV125" s="25">
        <v>56.948295593261719</v>
      </c>
      <c r="CW125" s="25">
        <v>45.950176239013672</v>
      </c>
      <c r="CX125" s="25">
        <v>54.111003875732422</v>
      </c>
      <c r="CY125" s="25">
        <v>78.087783813476563</v>
      </c>
      <c r="CZ125" s="25">
        <v>59.743675231933587</v>
      </c>
      <c r="DA125" s="25">
        <v>41.954700469970703</v>
      </c>
      <c r="DB125" s="25">
        <v>61.842441558837891</v>
      </c>
      <c r="DC125">
        <v>509</v>
      </c>
      <c r="DD125" s="253" t="s">
        <v>380</v>
      </c>
    </row>
    <row r="126" spans="1:108">
      <c r="A126" s="13">
        <v>5541</v>
      </c>
      <c r="B126" s="13" t="s">
        <v>715</v>
      </c>
      <c r="C126" s="13" t="s">
        <v>435</v>
      </c>
      <c r="D126" s="13" t="s">
        <v>436</v>
      </c>
      <c r="E126" s="13" t="s">
        <v>716</v>
      </c>
      <c r="F126" s="14">
        <v>53.290999999999997</v>
      </c>
      <c r="G126" s="13">
        <v>41.53</v>
      </c>
      <c r="H126" s="13">
        <v>42.78</v>
      </c>
      <c r="I126" s="13">
        <v>69.290000000000006</v>
      </c>
      <c r="J126" s="14">
        <v>61.707333094180662</v>
      </c>
      <c r="K126" s="14">
        <v>56.201509500428699</v>
      </c>
      <c r="L126" s="14">
        <v>63.275785547901407</v>
      </c>
      <c r="M126" s="14">
        <v>62.461100000000002</v>
      </c>
      <c r="N126" s="14">
        <f t="shared" si="27"/>
        <v>51.722750000000005</v>
      </c>
      <c r="O126" s="14">
        <f t="shared" si="28"/>
        <v>60.911432035627683</v>
      </c>
      <c r="P126" s="14">
        <f t="shared" si="44"/>
        <v>56.317091017813844</v>
      </c>
      <c r="Q126" s="14">
        <v>41.296549511142906</v>
      </c>
      <c r="R126" s="17">
        <f t="shared" si="29"/>
        <v>58.703450488857094</v>
      </c>
      <c r="S126" s="14">
        <f t="shared" si="45"/>
        <v>0.62833105439971382</v>
      </c>
      <c r="T126" s="13">
        <v>0</v>
      </c>
      <c r="U126" s="13">
        <f t="shared" si="46"/>
        <v>35.385777179947624</v>
      </c>
      <c r="V126" s="13">
        <f>IF($T126=1,$AU126,(VLOOKUP(U126,'Cortes naturales'!$A$35:$C$39,3,9)))</f>
        <v>3</v>
      </c>
      <c r="W126" s="13">
        <v>3</v>
      </c>
      <c r="X126" s="14" t="b">
        <f t="shared" si="30"/>
        <v>1</v>
      </c>
      <c r="Y126" s="17">
        <f>IF($T126=1,$AU126,VLOOKUP(U126,'Cortes naturales'!$A$45:$C$49,3,9))</f>
        <v>3</v>
      </c>
      <c r="Z126" s="14">
        <v>53.430716296723332</v>
      </c>
      <c r="AA126" s="14">
        <v>0.63802572889353104</v>
      </c>
      <c r="AB126" s="14">
        <v>34.090171710520373</v>
      </c>
      <c r="AC126" s="13">
        <v>3</v>
      </c>
      <c r="AD126" s="13">
        <f t="shared" si="31"/>
        <v>0</v>
      </c>
      <c r="AE126" s="14">
        <f t="shared" si="32"/>
        <v>2.8863747210905117</v>
      </c>
      <c r="AF126" s="14">
        <f t="shared" si="33"/>
        <v>-9.6946744938172236E-3</v>
      </c>
      <c r="AG126" s="13">
        <f t="shared" si="34"/>
        <v>1.295605469427251</v>
      </c>
      <c r="AH126" s="13">
        <f>IF($T126=1,$AU126,VLOOKUP(U126,'Cortes naturales'!$A$25:$C$29,3,9))</f>
        <v>2</v>
      </c>
      <c r="AI126" s="13" t="b">
        <f t="shared" si="35"/>
        <v>0</v>
      </c>
      <c r="AJ126" s="13">
        <f t="shared" si="36"/>
        <v>0</v>
      </c>
      <c r="AK126" s="28">
        <v>0.9741882058902549</v>
      </c>
      <c r="AL126" s="28">
        <v>52.051573648536106</v>
      </c>
      <c r="AM126" s="28">
        <v>0.48048430697088035</v>
      </c>
      <c r="AN126" s="13">
        <v>2</v>
      </c>
      <c r="AO126" s="33">
        <f t="shared" si="37"/>
        <v>-1</v>
      </c>
      <c r="AP126" s="13">
        <f t="shared" si="47"/>
        <v>48.048430697088037</v>
      </c>
      <c r="AQ126" s="13">
        <f>IFERROR(VLOOKUP(U126,'Cortes naturales'!$E$15:$G$19,3,9),U126)</f>
        <v>3</v>
      </c>
      <c r="AR126" s="28">
        <f t="shared" si="38"/>
        <v>-0.34585715149054108</v>
      </c>
      <c r="AS126" s="13" t="b">
        <f t="shared" si="39"/>
        <v>1</v>
      </c>
      <c r="AT126" s="13" t="str">
        <f t="shared" si="48"/>
        <v>Efecto ponderador</v>
      </c>
      <c r="AU126" s="13">
        <v>2</v>
      </c>
      <c r="AV126">
        <f t="shared" si="40"/>
        <v>-1</v>
      </c>
      <c r="AW126" s="13">
        <v>0</v>
      </c>
      <c r="AX126" s="13">
        <v>0</v>
      </c>
      <c r="AY126" s="13">
        <v>0</v>
      </c>
      <c r="AZ126" s="13">
        <v>0</v>
      </c>
      <c r="BA126">
        <v>0</v>
      </c>
      <c r="BB126" t="s">
        <v>2839</v>
      </c>
      <c r="BC126">
        <v>6</v>
      </c>
      <c r="BD126" t="s">
        <v>2919</v>
      </c>
      <c r="BE126">
        <v>1</v>
      </c>
      <c r="BF126" s="232" t="s">
        <v>2846</v>
      </c>
      <c r="BG126" s="232" t="s">
        <v>2845</v>
      </c>
      <c r="BH126" s="253">
        <v>20</v>
      </c>
      <c r="BI126" s="253">
        <v>6.8570793509668819</v>
      </c>
      <c r="BJ126" s="25">
        <v>7.1621621621621626E-2</v>
      </c>
      <c r="BK126" t="s">
        <v>381</v>
      </c>
      <c r="BL126">
        <v>2.7405834411340133</v>
      </c>
      <c r="BM126" t="s">
        <v>383</v>
      </c>
      <c r="BN126" s="322">
        <v>52816.913607000002</v>
      </c>
      <c r="BO126" s="322">
        <v>14534.020295</v>
      </c>
      <c r="BP126" s="10">
        <v>23491</v>
      </c>
      <c r="BQ126" s="254">
        <f t="shared" si="41"/>
        <v>2.2483893238687158</v>
      </c>
      <c r="BR126" s="254">
        <f t="shared" si="42"/>
        <v>0.61870589991911795</v>
      </c>
      <c r="BS126" s="25">
        <v>81.112965826868887</v>
      </c>
      <c r="BT126" s="25">
        <v>90.405101363784709</v>
      </c>
      <c r="BU126" s="25">
        <v>53.565787358767068</v>
      </c>
      <c r="BV126" s="25">
        <v>88.50410736726792</v>
      </c>
      <c r="BW126" s="25">
        <v>48.664526867909473</v>
      </c>
      <c r="BX126" s="25">
        <v>78.396990479172146</v>
      </c>
      <c r="BY126" s="25">
        <v>49.781107088667731</v>
      </c>
      <c r="BZ126">
        <v>22</v>
      </c>
      <c r="CA126">
        <v>0</v>
      </c>
      <c r="CB126">
        <v>7</v>
      </c>
      <c r="CC126">
        <v>11825.51981</v>
      </c>
      <c r="CD126" s="10">
        <v>4962.137487</v>
      </c>
      <c r="CE126" s="255">
        <v>0.41961263155670109</v>
      </c>
      <c r="CF126" t="str">
        <f>IFERROR(VLOOKUP(CE126,'Rangos amb etnico'!$A$2:$C$6,3,9),"N.D.")</f>
        <v>31% - 50%</v>
      </c>
      <c r="CG126" s="256">
        <v>1.4436728509396727E-4</v>
      </c>
      <c r="CH126" s="232">
        <v>0</v>
      </c>
      <c r="CI126" s="311">
        <f t="shared" si="49"/>
        <v>0</v>
      </c>
      <c r="CJ126" s="232">
        <f>IFERROR(VLOOKUP(CI126,'Rangos amb etnico'!$A$2:$C$6,3,9),"N.D.")</f>
        <v>0</v>
      </c>
      <c r="CK126" s="311">
        <f t="shared" si="50"/>
        <v>0</v>
      </c>
      <c r="CL126" s="10">
        <v>0</v>
      </c>
      <c r="CM126" s="255">
        <f t="shared" si="51"/>
        <v>0</v>
      </c>
      <c r="CN126" s="232">
        <f>IFERROR(VLOOKUP(CM126,'Rangos amb etnico'!$A$2:$C$6,3,9),"N.D.")</f>
        <v>0</v>
      </c>
      <c r="CO126" s="311">
        <f t="shared" si="52"/>
        <v>0</v>
      </c>
      <c r="CP126">
        <v>0.75798591627700729</v>
      </c>
      <c r="CQ126" t="s">
        <v>2865</v>
      </c>
      <c r="CR126">
        <f t="shared" si="43"/>
        <v>3</v>
      </c>
      <c r="CS126" t="str">
        <f t="shared" si="53"/>
        <v>Candidato</v>
      </c>
      <c r="CT126">
        <v>0</v>
      </c>
      <c r="CU126">
        <v>0</v>
      </c>
      <c r="CV126" s="25">
        <v>51.067234039306641</v>
      </c>
      <c r="CW126" s="25">
        <v>41.204036712646477</v>
      </c>
      <c r="CX126" s="25">
        <v>49.253990173339837</v>
      </c>
      <c r="CY126" s="25">
        <v>81.472068786621094</v>
      </c>
      <c r="CZ126" s="25">
        <v>38.201271057128913</v>
      </c>
      <c r="DA126" s="25">
        <v>30.277187347412109</v>
      </c>
      <c r="DB126" s="25">
        <v>65.994842529296875</v>
      </c>
      <c r="DC126">
        <v>197</v>
      </c>
      <c r="DD126" s="253" t="s">
        <v>380</v>
      </c>
    </row>
    <row r="127" spans="1:108" hidden="1">
      <c r="A127" s="13">
        <v>13620</v>
      </c>
      <c r="B127" s="13" t="s">
        <v>717</v>
      </c>
      <c r="C127" s="13" t="s">
        <v>480</v>
      </c>
      <c r="D127" s="13" t="s">
        <v>481</v>
      </c>
      <c r="E127" s="13" t="s">
        <v>718</v>
      </c>
      <c r="F127" s="14">
        <v>48.212499999999999</v>
      </c>
      <c r="G127" s="13">
        <v>33.71</v>
      </c>
      <c r="H127" s="13">
        <v>23.93</v>
      </c>
      <c r="I127" s="13">
        <v>46.28</v>
      </c>
      <c r="J127" s="14">
        <v>49.8445066488175</v>
      </c>
      <c r="K127" s="14">
        <v>44.261606827217371</v>
      </c>
      <c r="L127" s="14">
        <v>40.607994636166069</v>
      </c>
      <c r="M127" s="14">
        <v>51.940800000000003</v>
      </c>
      <c r="N127" s="14">
        <f t="shared" si="27"/>
        <v>38.033124999999998</v>
      </c>
      <c r="O127" s="14">
        <f t="shared" si="28"/>
        <v>46.663727028050232</v>
      </c>
      <c r="P127" s="14">
        <f t="shared" si="44"/>
        <v>42.348426014025115</v>
      </c>
      <c r="Q127" s="14">
        <v>41.195514498106597</v>
      </c>
      <c r="R127" s="17">
        <f t="shared" si="29"/>
        <v>58.804485501893403</v>
      </c>
      <c r="S127" s="14">
        <f t="shared" si="45"/>
        <v>0.62924036951704054</v>
      </c>
      <c r="T127" s="13">
        <v>0</v>
      </c>
      <c r="U127" s="13">
        <f t="shared" si="46"/>
        <v>26.647339233530214</v>
      </c>
      <c r="V127" s="13">
        <f>IF($T127=1,$AU127,(VLOOKUP(U127,'Cortes naturales'!$A$35:$C$39,3,9)))</f>
        <v>4</v>
      </c>
      <c r="W127" s="13">
        <v>4</v>
      </c>
      <c r="X127" s="14" t="b">
        <f t="shared" si="30"/>
        <v>1</v>
      </c>
      <c r="Y127" s="17">
        <f>IF($T127=1,$AU127,VLOOKUP(U127,'Cortes naturales'!$A$45:$C$49,3,9))</f>
        <v>4</v>
      </c>
      <c r="Z127" s="14">
        <v>41.283006153187863</v>
      </c>
      <c r="AA127" s="14">
        <v>0.63492564135925422</v>
      </c>
      <c r="AB127" s="14">
        <v>26.211639159050844</v>
      </c>
      <c r="AC127" s="13">
        <v>4</v>
      </c>
      <c r="AD127" s="13">
        <f t="shared" si="31"/>
        <v>0</v>
      </c>
      <c r="AE127" s="14">
        <f t="shared" si="32"/>
        <v>1.0654198608372525</v>
      </c>
      <c r="AF127" s="14">
        <f t="shared" si="33"/>
        <v>-5.6852718422136794E-3</v>
      </c>
      <c r="AG127" s="13">
        <f t="shared" si="34"/>
        <v>0.43570007447937087</v>
      </c>
      <c r="AH127" s="13">
        <f>IF($T127=1,$AU127,VLOOKUP(U127,'Cortes naturales'!$A$25:$C$29,3,9))</f>
        <v>4</v>
      </c>
      <c r="AI127" s="13" t="b">
        <f t="shared" si="35"/>
        <v>1</v>
      </c>
      <c r="AJ127" s="13">
        <f t="shared" si="36"/>
        <v>0</v>
      </c>
      <c r="AK127" s="28">
        <v>0.9741882058902549</v>
      </c>
      <c r="AL127" s="28">
        <v>40.21741769813044</v>
      </c>
      <c r="AM127" s="28">
        <v>0.33245149040750022</v>
      </c>
      <c r="AN127" s="13">
        <v>4</v>
      </c>
      <c r="AO127" s="33">
        <f t="shared" si="37"/>
        <v>0</v>
      </c>
      <c r="AP127" s="13">
        <f t="shared" si="47"/>
        <v>33.245149040750022</v>
      </c>
      <c r="AQ127" s="13">
        <f>IFERROR(VLOOKUP(U127,'Cortes naturales'!$E$15:$G$19,3,9),U127)</f>
        <v>4</v>
      </c>
      <c r="AR127" s="28">
        <f t="shared" si="38"/>
        <v>-0.34494783637321436</v>
      </c>
      <c r="AS127" s="13" t="b">
        <f t="shared" si="39"/>
        <v>1</v>
      </c>
      <c r="AT127" s="13">
        <f t="shared" si="48"/>
        <v>0</v>
      </c>
      <c r="AU127" s="13">
        <v>4</v>
      </c>
      <c r="AV127">
        <f t="shared" si="40"/>
        <v>0</v>
      </c>
      <c r="AW127" s="13">
        <v>0</v>
      </c>
      <c r="AX127" s="13">
        <v>0</v>
      </c>
      <c r="AY127" s="13">
        <v>0</v>
      </c>
      <c r="AZ127" s="13">
        <v>0</v>
      </c>
      <c r="BA127">
        <v>0</v>
      </c>
      <c r="BB127" t="s">
        <v>2838</v>
      </c>
      <c r="BC127">
        <v>6</v>
      </c>
      <c r="BD127" s="184" t="s">
        <v>2917</v>
      </c>
      <c r="BE127">
        <v>1</v>
      </c>
      <c r="BF127" s="232" t="s">
        <v>2846</v>
      </c>
      <c r="BG127" s="232" t="s">
        <v>2846</v>
      </c>
      <c r="BH127" s="253">
        <v>49.9</v>
      </c>
      <c r="BI127" s="253">
        <v>25.596994902066005</v>
      </c>
      <c r="BJ127" s="25">
        <v>18.020952380952384</v>
      </c>
      <c r="BK127" t="s">
        <v>379</v>
      </c>
      <c r="BL127">
        <v>0.68104008854570519</v>
      </c>
      <c r="BM127" t="s">
        <v>383</v>
      </c>
      <c r="BN127" s="322">
        <v>21128.042796999998</v>
      </c>
      <c r="BO127" s="322">
        <v>1856.516194</v>
      </c>
      <c r="BP127" s="10">
        <v>9542</v>
      </c>
      <c r="BQ127" s="254">
        <f t="shared" si="41"/>
        <v>2.2142153423810522</v>
      </c>
      <c r="BR127" s="254">
        <f t="shared" si="42"/>
        <v>0.19456258583106267</v>
      </c>
      <c r="BS127" s="25">
        <v>63.159109628531432</v>
      </c>
      <c r="BT127" s="25">
        <v>86.527294413470273</v>
      </c>
      <c r="BU127" s="25">
        <v>14.526666666666671</v>
      </c>
      <c r="BV127" s="25">
        <v>97.743526751860301</v>
      </c>
      <c r="BW127" s="25">
        <v>27.94669759186657</v>
      </c>
      <c r="BX127" s="25">
        <v>65.489149365132164</v>
      </c>
      <c r="BY127" s="25">
        <v>28.441151637735899</v>
      </c>
      <c r="BZ127">
        <v>48</v>
      </c>
      <c r="CA127">
        <v>0</v>
      </c>
      <c r="CB127">
        <v>7</v>
      </c>
      <c r="CC127">
        <v>4224.1976489999997</v>
      </c>
      <c r="CD127" s="10">
        <v>136.16843499999999</v>
      </c>
      <c r="CE127" s="255">
        <v>3.2235337054419159E-2</v>
      </c>
      <c r="CF127" t="str">
        <f>IFERROR(VLOOKUP(CE127,'Rangos amb etnico'!$A$2:$C$6,3,9),"N.D.")</f>
        <v>0,1% - 30%</v>
      </c>
      <c r="CG127" s="256">
        <v>3.9616530835644601E-6</v>
      </c>
      <c r="CH127" s="232">
        <v>0</v>
      </c>
      <c r="CI127" s="311">
        <f t="shared" si="49"/>
        <v>0</v>
      </c>
      <c r="CJ127" s="232">
        <f>IFERROR(VLOOKUP(CI127,'Rangos amb etnico'!$A$2:$C$6,3,9),"N.D.")</f>
        <v>0</v>
      </c>
      <c r="CK127" s="311">
        <f t="shared" si="50"/>
        <v>0</v>
      </c>
      <c r="CL127" s="10">
        <v>0</v>
      </c>
      <c r="CM127" s="255">
        <f t="shared" si="51"/>
        <v>0</v>
      </c>
      <c r="CN127" s="232">
        <f>IFERROR(VLOOKUP(CM127,'Rangos amb etnico'!$A$2:$C$6,3,9),"N.D.")</f>
        <v>0</v>
      </c>
      <c r="CO127" s="311">
        <f t="shared" si="52"/>
        <v>0</v>
      </c>
      <c r="CP127">
        <v>0.9190675140504394</v>
      </c>
      <c r="CQ127" t="s">
        <v>2864</v>
      </c>
      <c r="CR127">
        <f t="shared" si="43"/>
        <v>1</v>
      </c>
      <c r="CS127" t="str">
        <f t="shared" si="53"/>
        <v>No es Candidato</v>
      </c>
      <c r="CT127">
        <v>0</v>
      </c>
      <c r="CU127">
        <v>0</v>
      </c>
      <c r="CV127" s="25">
        <v>45.734836578369141</v>
      </c>
      <c r="CW127" s="25">
        <v>33.9755859375</v>
      </c>
      <c r="CX127" s="25">
        <v>51.244869232177727</v>
      </c>
      <c r="CY127" s="25">
        <v>47.128383636474609</v>
      </c>
      <c r="CZ127" s="25">
        <v>10.56873226165771</v>
      </c>
      <c r="DA127" s="25">
        <v>90.81121826171875</v>
      </c>
      <c r="DB127" s="25">
        <v>40.680244445800781</v>
      </c>
      <c r="DC127">
        <v>3823</v>
      </c>
      <c r="DD127" s="253" t="s">
        <v>380</v>
      </c>
    </row>
    <row r="128" spans="1:108" hidden="1">
      <c r="A128" s="13">
        <v>13873</v>
      </c>
      <c r="B128" s="13" t="s">
        <v>719</v>
      </c>
      <c r="C128" s="13" t="s">
        <v>480</v>
      </c>
      <c r="D128" s="13" t="s">
        <v>481</v>
      </c>
      <c r="E128" s="13" t="s">
        <v>720</v>
      </c>
      <c r="F128" s="14">
        <v>55.689</v>
      </c>
      <c r="G128" s="13">
        <v>39.18</v>
      </c>
      <c r="H128" s="13">
        <v>39.04</v>
      </c>
      <c r="I128" s="13">
        <v>38.380000000000003</v>
      </c>
      <c r="J128" s="14">
        <v>37.487210377784336</v>
      </c>
      <c r="K128" s="14">
        <v>38.066054204345846</v>
      </c>
      <c r="L128" s="14">
        <v>43.902911559524441</v>
      </c>
      <c r="M128" s="14">
        <v>50.4163</v>
      </c>
      <c r="N128" s="14">
        <f t="shared" si="27"/>
        <v>43.072249999999997</v>
      </c>
      <c r="O128" s="14">
        <f t="shared" si="28"/>
        <v>42.468119035413658</v>
      </c>
      <c r="P128" s="14">
        <f t="shared" si="44"/>
        <v>42.770184517706824</v>
      </c>
      <c r="Q128" s="14">
        <v>41.059629206620443</v>
      </c>
      <c r="R128" s="17">
        <f t="shared" si="29"/>
        <v>58.940370793379557</v>
      </c>
      <c r="S128" s="14">
        <f t="shared" si="45"/>
        <v>0.63046333714041602</v>
      </c>
      <c r="T128" s="13">
        <v>0</v>
      </c>
      <c r="U128" s="13">
        <f t="shared" si="46"/>
        <v>26.9650332611448</v>
      </c>
      <c r="V128" s="13">
        <f>IF($T128=1,$AU128,(VLOOKUP(U128,'Cortes naturales'!$A$35:$C$39,3,9)))</f>
        <v>4</v>
      </c>
      <c r="W128" s="13">
        <v>4</v>
      </c>
      <c r="X128" s="14" t="b">
        <f t="shared" si="30"/>
        <v>1</v>
      </c>
      <c r="Y128" s="17">
        <f>IF($T128=1,$AU128,VLOOKUP(U128,'Cortes naturales'!$A$45:$C$49,3,9))</f>
        <v>4</v>
      </c>
      <c r="Z128" s="14">
        <v>43.624701789597431</v>
      </c>
      <c r="AA128" s="14">
        <v>0.63496340551524411</v>
      </c>
      <c r="AB128" s="14">
        <v>27.700089212909749</v>
      </c>
      <c r="AC128" s="13">
        <v>4</v>
      </c>
      <c r="AD128" s="13">
        <f t="shared" si="31"/>
        <v>0</v>
      </c>
      <c r="AE128" s="14">
        <f t="shared" si="32"/>
        <v>-0.85451727189060733</v>
      </c>
      <c r="AF128" s="14">
        <f t="shared" si="33"/>
        <v>-4.5000683748280812E-3</v>
      </c>
      <c r="AG128" s="13">
        <f t="shared" si="34"/>
        <v>-0.73505595176494865</v>
      </c>
      <c r="AH128" s="13">
        <f>IF($T128=1,$AU128,VLOOKUP(U128,'Cortes naturales'!$A$25:$C$29,3,9))</f>
        <v>4</v>
      </c>
      <c r="AI128" s="13" t="b">
        <f t="shared" si="35"/>
        <v>1</v>
      </c>
      <c r="AJ128" s="13">
        <f t="shared" si="36"/>
        <v>0</v>
      </c>
      <c r="AK128" s="28">
        <v>0.9741882058902549</v>
      </c>
      <c r="AL128" s="28">
        <v>42.498669968905311</v>
      </c>
      <c r="AM128" s="28">
        <v>0.36098755164833884</v>
      </c>
      <c r="AN128" s="13">
        <v>3</v>
      </c>
      <c r="AO128" s="33">
        <f t="shared" si="37"/>
        <v>-1</v>
      </c>
      <c r="AP128" s="13">
        <f t="shared" si="47"/>
        <v>36.098755164833882</v>
      </c>
      <c r="AQ128" s="13">
        <f>IFERROR(VLOOKUP(U128,'Cortes naturales'!$E$15:$G$19,3,9),U128)</f>
        <v>4</v>
      </c>
      <c r="AR128" s="28">
        <f t="shared" si="38"/>
        <v>-0.34372486874983887</v>
      </c>
      <c r="AS128" s="13" t="b">
        <f t="shared" si="39"/>
        <v>1</v>
      </c>
      <c r="AT128" s="13" t="str">
        <f t="shared" si="48"/>
        <v>Efecto ponderador</v>
      </c>
      <c r="AU128" s="13">
        <v>3</v>
      </c>
      <c r="AV128">
        <f t="shared" si="40"/>
        <v>-1</v>
      </c>
      <c r="AW128" s="13">
        <v>0</v>
      </c>
      <c r="AX128" s="13">
        <v>0</v>
      </c>
      <c r="AY128" s="13">
        <v>0</v>
      </c>
      <c r="AZ128" s="13">
        <v>0</v>
      </c>
      <c r="BA128">
        <v>0</v>
      </c>
      <c r="BB128" t="s">
        <v>2838</v>
      </c>
      <c r="BC128">
        <v>6</v>
      </c>
      <c r="BD128" s="184" t="s">
        <v>2917</v>
      </c>
      <c r="BE128">
        <v>0</v>
      </c>
      <c r="BF128" s="232" t="s">
        <v>2846</v>
      </c>
      <c r="BG128" s="232" t="s">
        <v>2846</v>
      </c>
      <c r="BH128" s="253">
        <v>54.1</v>
      </c>
      <c r="BI128" s="253">
        <v>39.929027679205113</v>
      </c>
      <c r="BJ128" s="25">
        <v>28.543375303222824</v>
      </c>
      <c r="BK128" t="s">
        <v>379</v>
      </c>
      <c r="BL128">
        <v>2.7180121194278244</v>
      </c>
      <c r="BM128" t="s">
        <v>383</v>
      </c>
      <c r="BN128" s="322">
        <v>47000.343178000003</v>
      </c>
      <c r="BO128" s="322">
        <v>1424.084646</v>
      </c>
      <c r="BP128" s="10">
        <v>28802</v>
      </c>
      <c r="BQ128" s="254">
        <f t="shared" si="41"/>
        <v>1.6318430379140338</v>
      </c>
      <c r="BR128" s="254">
        <f t="shared" si="42"/>
        <v>4.9443949934032359E-2</v>
      </c>
      <c r="BS128" s="25">
        <v>50.298890426205773</v>
      </c>
      <c r="BT128" s="25">
        <v>89.222499268569322</v>
      </c>
      <c r="BU128" s="25">
        <v>24.0621487817522</v>
      </c>
      <c r="BV128" s="25">
        <v>91.220969892791004</v>
      </c>
      <c r="BW128" s="25">
        <v>27.720416255539401</v>
      </c>
      <c r="BX128" s="25">
        <v>63.701127092329571</v>
      </c>
      <c r="BY128" s="25">
        <v>26.85369477749834</v>
      </c>
      <c r="BZ128">
        <v>48</v>
      </c>
      <c r="CA128">
        <v>0</v>
      </c>
      <c r="CB128">
        <v>7</v>
      </c>
      <c r="CC128">
        <v>13705.844604</v>
      </c>
      <c r="CD128" s="10">
        <v>1811.315646</v>
      </c>
      <c r="CE128" s="255">
        <v>0.13215644116316438</v>
      </c>
      <c r="CF128" t="str">
        <f>IFERROR(VLOOKUP(CE128,'Rangos amb etnico'!$A$2:$C$6,3,9),"N.D.")</f>
        <v>0,1% - 30%</v>
      </c>
      <c r="CG128" s="256">
        <v>5.2698000195746186E-5</v>
      </c>
      <c r="CH128" s="232">
        <v>0</v>
      </c>
      <c r="CI128" s="311">
        <f t="shared" si="49"/>
        <v>0</v>
      </c>
      <c r="CJ128" s="232">
        <f>IFERROR(VLOOKUP(CI128,'Rangos amb etnico'!$A$2:$C$6,3,9),"N.D.")</f>
        <v>0</v>
      </c>
      <c r="CK128" s="311">
        <f t="shared" si="50"/>
        <v>0</v>
      </c>
      <c r="CL128" s="10">
        <v>0</v>
      </c>
      <c r="CM128" s="255">
        <f t="shared" si="51"/>
        <v>0</v>
      </c>
      <c r="CN128" s="232">
        <f>IFERROR(VLOOKUP(CM128,'Rangos amb etnico'!$A$2:$C$6,3,9),"N.D.")</f>
        <v>0</v>
      </c>
      <c r="CO128" s="311">
        <f t="shared" si="52"/>
        <v>0</v>
      </c>
      <c r="CP128">
        <v>0.88710490597086622</v>
      </c>
      <c r="CQ128" t="s">
        <v>2864</v>
      </c>
      <c r="CR128">
        <f t="shared" si="43"/>
        <v>1</v>
      </c>
      <c r="CS128" t="str">
        <f t="shared" si="53"/>
        <v>No es Candidato</v>
      </c>
      <c r="CT128">
        <v>0</v>
      </c>
      <c r="CU128">
        <v>0</v>
      </c>
      <c r="CV128" s="25">
        <v>44.283603668212891</v>
      </c>
      <c r="CW128" s="25">
        <v>40.044933319091797</v>
      </c>
      <c r="CX128" s="25">
        <v>58.219169616699219</v>
      </c>
      <c r="CY128" s="25">
        <v>49.74029541015625</v>
      </c>
      <c r="CZ128" s="25">
        <v>17.462448120117191</v>
      </c>
      <c r="DA128" s="25">
        <v>55.898391723632813</v>
      </c>
      <c r="DB128" s="25">
        <v>44.336387634277337</v>
      </c>
      <c r="DC128">
        <v>8477</v>
      </c>
      <c r="DD128" s="253" t="s">
        <v>380</v>
      </c>
    </row>
    <row r="129" spans="1:108" hidden="1">
      <c r="A129" s="13">
        <v>23672</v>
      </c>
      <c r="B129" s="13" t="s">
        <v>721</v>
      </c>
      <c r="C129" s="13" t="s">
        <v>567</v>
      </c>
      <c r="D129" s="13" t="s">
        <v>568</v>
      </c>
      <c r="E129" s="13" t="s">
        <v>722</v>
      </c>
      <c r="F129" s="14">
        <v>58.889899999999997</v>
      </c>
      <c r="G129" s="13">
        <v>58.04</v>
      </c>
      <c r="H129" s="13">
        <v>59.31</v>
      </c>
      <c r="I129" s="13">
        <v>51.82</v>
      </c>
      <c r="J129" s="14">
        <v>58.952120938045255</v>
      </c>
      <c r="K129" s="14">
        <v>57.436528312170658</v>
      </c>
      <c r="L129" s="14">
        <v>51.952014342731523</v>
      </c>
      <c r="M129" s="14">
        <v>56.0289</v>
      </c>
      <c r="N129" s="14">
        <f t="shared" si="27"/>
        <v>57.014975</v>
      </c>
      <c r="O129" s="14">
        <f t="shared" si="28"/>
        <v>56.092390898236857</v>
      </c>
      <c r="P129" s="14">
        <f t="shared" si="44"/>
        <v>56.553682949118425</v>
      </c>
      <c r="Q129" s="14">
        <v>41.496595712698102</v>
      </c>
      <c r="R129" s="17">
        <f t="shared" si="29"/>
        <v>58.503404287301898</v>
      </c>
      <c r="S129" s="14">
        <f t="shared" si="45"/>
        <v>0.62653063858571711</v>
      </c>
      <c r="T129" s="13">
        <v>0</v>
      </c>
      <c r="U129" s="13">
        <f t="shared" si="46"/>
        <v>35.432615092485349</v>
      </c>
      <c r="V129" s="13">
        <f>IF($T129=1,$AU129,(VLOOKUP(U129,'Cortes naturales'!$A$35:$C$39,3,9)))</f>
        <v>3</v>
      </c>
      <c r="W129" s="13">
        <v>3</v>
      </c>
      <c r="X129" s="14" t="b">
        <f t="shared" si="30"/>
        <v>1</v>
      </c>
      <c r="Y129" s="17">
        <f>IF($T129=1,$AU129,VLOOKUP(U129,'Cortes naturales'!$A$45:$C$49,3,9))</f>
        <v>3</v>
      </c>
      <c r="Z129" s="14">
        <v>57.806650282831171</v>
      </c>
      <c r="AA129" s="14">
        <v>0.63436542326345779</v>
      </c>
      <c r="AB129" s="14">
        <v>36.670540174110876</v>
      </c>
      <c r="AC129" s="13">
        <v>2</v>
      </c>
      <c r="AD129" s="13">
        <f t="shared" si="31"/>
        <v>-1</v>
      </c>
      <c r="AE129" s="14">
        <f t="shared" si="32"/>
        <v>-1.2529673337127463</v>
      </c>
      <c r="AF129" s="14">
        <f t="shared" si="33"/>
        <v>-7.8347846777406804E-3</v>
      </c>
      <c r="AG129" s="13">
        <f t="shared" si="34"/>
        <v>-1.2379250816255265</v>
      </c>
      <c r="AH129" s="13">
        <f>IF($T129=1,$AU129,VLOOKUP(U129,'Cortes naturales'!$A$25:$C$29,3,9))</f>
        <v>2</v>
      </c>
      <c r="AI129" s="13" t="b">
        <f t="shared" si="35"/>
        <v>0</v>
      </c>
      <c r="AJ129" s="13" t="str">
        <f t="shared" si="36"/>
        <v>Cambio en corte</v>
      </c>
      <c r="AK129" s="28">
        <v>0.9741882058902549</v>
      </c>
      <c r="AL129" s="28">
        <v>56.314556927556694</v>
      </c>
      <c r="AM129" s="28">
        <v>0.53380973418348854</v>
      </c>
      <c r="AN129" s="13">
        <v>2</v>
      </c>
      <c r="AO129" s="33">
        <f t="shared" si="37"/>
        <v>-1</v>
      </c>
      <c r="AP129" s="13">
        <f t="shared" si="47"/>
        <v>53.380973418348852</v>
      </c>
      <c r="AQ129" s="13">
        <f>IFERROR(VLOOKUP(U129,'Cortes naturales'!$E$15:$G$19,3,9),U129)</f>
        <v>3</v>
      </c>
      <c r="AR129" s="28">
        <f t="shared" si="38"/>
        <v>-0.34765756730453778</v>
      </c>
      <c r="AS129" s="13" t="b">
        <f t="shared" si="39"/>
        <v>1</v>
      </c>
      <c r="AT129" s="13" t="str">
        <f t="shared" si="48"/>
        <v>Efecto ponderador</v>
      </c>
      <c r="AU129" s="13">
        <v>2</v>
      </c>
      <c r="AV129">
        <f t="shared" si="40"/>
        <v>-1</v>
      </c>
      <c r="AW129" s="13">
        <v>0</v>
      </c>
      <c r="AX129" s="13">
        <v>0</v>
      </c>
      <c r="AY129" s="13">
        <v>0</v>
      </c>
      <c r="AZ129" s="13">
        <v>0</v>
      </c>
      <c r="BA129">
        <v>0</v>
      </c>
      <c r="BB129" t="s">
        <v>2839</v>
      </c>
      <c r="BC129">
        <v>6</v>
      </c>
      <c r="BD129" t="s">
        <v>2919</v>
      </c>
      <c r="BE129">
        <v>1</v>
      </c>
      <c r="BF129" s="232" t="s">
        <v>2846</v>
      </c>
      <c r="BG129" s="232" t="s">
        <v>2845</v>
      </c>
      <c r="BH129" s="253">
        <v>46</v>
      </c>
      <c r="BI129" s="253">
        <v>29.574893206559185</v>
      </c>
      <c r="BJ129" s="25">
        <v>21.74</v>
      </c>
      <c r="BK129" t="s">
        <v>379</v>
      </c>
      <c r="BL129">
        <v>3.2317567533462834</v>
      </c>
      <c r="BM129" t="s">
        <v>383</v>
      </c>
      <c r="BN129" s="322">
        <v>61919.731550999997</v>
      </c>
      <c r="BO129" s="322">
        <v>10174.177814000001</v>
      </c>
      <c r="BP129" s="10">
        <v>38802</v>
      </c>
      <c r="BQ129" s="254">
        <f t="shared" si="41"/>
        <v>1.5957871128034637</v>
      </c>
      <c r="BR129" s="254">
        <f t="shared" si="42"/>
        <v>0.26220756182670996</v>
      </c>
      <c r="BS129" s="25">
        <v>59.601301396245383</v>
      </c>
      <c r="BT129" s="25">
        <v>87.58231545160902</v>
      </c>
      <c r="BU129" s="25">
        <v>47.670632695110299</v>
      </c>
      <c r="BV129" s="25">
        <v>93.666627370394906</v>
      </c>
      <c r="BW129" s="25">
        <v>46.276953662815643</v>
      </c>
      <c r="BX129" s="25">
        <v>72.130219228339911</v>
      </c>
      <c r="BY129" s="25">
        <v>47.955276600530738</v>
      </c>
      <c r="BZ129">
        <v>56</v>
      </c>
      <c r="CA129">
        <v>0</v>
      </c>
      <c r="CB129">
        <v>7</v>
      </c>
      <c r="CC129">
        <v>20810.687095000001</v>
      </c>
      <c r="CD129" s="10">
        <v>9957.4595439999994</v>
      </c>
      <c r="CE129" s="255">
        <v>0.47847817318787084</v>
      </c>
      <c r="CF129" t="str">
        <f>IFERROR(VLOOKUP(CE129,'Rangos amb etnico'!$A$2:$C$6,3,9),"N.D.")</f>
        <v>31% - 50%</v>
      </c>
      <c r="CG129" s="256">
        <v>2.8970003442395413E-4</v>
      </c>
      <c r="CH129" s="232">
        <v>207.12461500000001</v>
      </c>
      <c r="CI129" s="311">
        <f t="shared" si="49"/>
        <v>9.9528004075254192E-3</v>
      </c>
      <c r="CJ129" s="232" t="str">
        <f>IFERROR(VLOOKUP(CI129,'Rangos amb etnico'!$A$2:$C$6,3,9),"N.D.")</f>
        <v>0,1% - 30%</v>
      </c>
      <c r="CK129" s="311">
        <f t="shared" si="50"/>
        <v>8.2242033018793371E-6</v>
      </c>
      <c r="CL129" s="10">
        <v>0</v>
      </c>
      <c r="CM129" s="255">
        <f t="shared" si="51"/>
        <v>0</v>
      </c>
      <c r="CN129" s="232">
        <f>IFERROR(VLOOKUP(CM129,'Rangos amb etnico'!$A$2:$C$6,3,9),"N.D.")</f>
        <v>0</v>
      </c>
      <c r="CO129" s="311">
        <f t="shared" si="52"/>
        <v>0</v>
      </c>
      <c r="CP129">
        <v>0.86874611099112964</v>
      </c>
      <c r="CQ129" t="s">
        <v>2864</v>
      </c>
      <c r="CR129">
        <f t="shared" si="43"/>
        <v>1</v>
      </c>
      <c r="CS129" t="str">
        <f t="shared" si="53"/>
        <v>No es Candidato</v>
      </c>
      <c r="CT129">
        <v>0</v>
      </c>
      <c r="CU129">
        <v>0</v>
      </c>
      <c r="CV129" s="25">
        <v>51.824802398681641</v>
      </c>
      <c r="CW129" s="25">
        <v>31.216892242431641</v>
      </c>
      <c r="CX129" s="25">
        <v>66.423828125</v>
      </c>
      <c r="CY129" s="25">
        <v>59.920879364013672</v>
      </c>
      <c r="CZ129" s="25">
        <v>15.11628437042236</v>
      </c>
      <c r="DA129" s="25">
        <v>72.7626953125</v>
      </c>
      <c r="DB129" s="25">
        <v>65.508224487304688</v>
      </c>
      <c r="DC129">
        <v>24971</v>
      </c>
      <c r="DD129" s="253" t="s">
        <v>380</v>
      </c>
    </row>
    <row r="130" spans="1:108">
      <c r="A130" s="13">
        <v>5045</v>
      </c>
      <c r="B130" s="13" t="s">
        <v>723</v>
      </c>
      <c r="C130" s="13" t="s">
        <v>435</v>
      </c>
      <c r="D130" s="13" t="s">
        <v>436</v>
      </c>
      <c r="E130" s="13" t="s">
        <v>724</v>
      </c>
      <c r="F130" s="14">
        <v>67.260933333333298</v>
      </c>
      <c r="G130" s="13">
        <v>61.26</v>
      </c>
      <c r="H130" s="13">
        <v>63.83</v>
      </c>
      <c r="I130" s="13">
        <v>61.04</v>
      </c>
      <c r="J130" s="14">
        <v>57.672571554911542</v>
      </c>
      <c r="K130" s="14">
        <v>61.171900736144863</v>
      </c>
      <c r="L130" s="14">
        <v>52.095902954680014</v>
      </c>
      <c r="M130" s="14">
        <v>51.383699999999997</v>
      </c>
      <c r="N130" s="14">
        <f t="shared" si="27"/>
        <v>63.347733333333316</v>
      </c>
      <c r="O130" s="14">
        <f t="shared" si="28"/>
        <v>55.581018811434106</v>
      </c>
      <c r="P130" s="14">
        <f t="shared" si="44"/>
        <v>59.464376072383715</v>
      </c>
      <c r="Q130" s="14">
        <v>42.455545170046186</v>
      </c>
      <c r="R130" s="17">
        <f t="shared" si="29"/>
        <v>57.544454829953814</v>
      </c>
      <c r="S130" s="14">
        <f t="shared" si="45"/>
        <v>0.6179000934695843</v>
      </c>
      <c r="T130" s="13">
        <v>0</v>
      </c>
      <c r="U130" s="13">
        <f t="shared" si="46"/>
        <v>36.74304353323641</v>
      </c>
      <c r="V130" s="13">
        <f>IF($T130=1,$AU130,(VLOOKUP(U130,'Cortes naturales'!$A$35:$C$39,3,9)))</f>
        <v>3</v>
      </c>
      <c r="W130" s="13">
        <v>3</v>
      </c>
      <c r="X130" s="14" t="b">
        <f t="shared" si="30"/>
        <v>1</v>
      </c>
      <c r="Y130" s="17">
        <f>IF($T130=1,$AU130,VLOOKUP(U130,'Cortes naturales'!$A$45:$C$49,3,9))</f>
        <v>2</v>
      </c>
      <c r="Z130" s="14">
        <v>60.220424615337258</v>
      </c>
      <c r="AA130" s="14">
        <v>0.63369297959349113</v>
      </c>
      <c r="AB130" s="14">
        <v>38.161260306878283</v>
      </c>
      <c r="AC130" s="13">
        <v>2</v>
      </c>
      <c r="AD130" s="13">
        <f t="shared" si="31"/>
        <v>0</v>
      </c>
      <c r="AE130" s="14">
        <f t="shared" si="32"/>
        <v>-0.75604854295354329</v>
      </c>
      <c r="AF130" s="14">
        <f t="shared" si="33"/>
        <v>-1.5792886123906835E-2</v>
      </c>
      <c r="AG130" s="13">
        <f t="shared" si="34"/>
        <v>-1.4182167736418734</v>
      </c>
      <c r="AH130" s="13">
        <f>IF($T130=1,$AU130,VLOOKUP(U130,'Cortes naturales'!$A$25:$C$29,3,9))</f>
        <v>2</v>
      </c>
      <c r="AI130" s="13" t="b">
        <f t="shared" si="35"/>
        <v>1</v>
      </c>
      <c r="AJ130" s="13">
        <f t="shared" si="36"/>
        <v>0</v>
      </c>
      <c r="AK130" s="28">
        <v>0.9741882058902549</v>
      </c>
      <c r="AL130" s="28">
        <v>58.666027413964748</v>
      </c>
      <c r="AM130" s="28">
        <v>0.5632241512849222</v>
      </c>
      <c r="AN130" s="13">
        <v>2</v>
      </c>
      <c r="AO130" s="33">
        <f t="shared" si="37"/>
        <v>0</v>
      </c>
      <c r="AP130" s="13">
        <f t="shared" si="47"/>
        <v>56.322415128492217</v>
      </c>
      <c r="AQ130" s="13">
        <f>IFERROR(VLOOKUP(U130,'Cortes naturales'!$E$15:$G$19,3,9),U130)</f>
        <v>3</v>
      </c>
      <c r="AR130" s="28">
        <f t="shared" si="38"/>
        <v>-0.3562881124206706</v>
      </c>
      <c r="AS130" s="13" t="b">
        <f t="shared" si="39"/>
        <v>0</v>
      </c>
      <c r="AT130" s="13">
        <f t="shared" si="48"/>
        <v>0</v>
      </c>
      <c r="AU130" s="13">
        <v>2</v>
      </c>
      <c r="AV130">
        <f t="shared" si="40"/>
        <v>0</v>
      </c>
      <c r="AW130" s="13">
        <v>0</v>
      </c>
      <c r="AX130" s="13">
        <v>1</v>
      </c>
      <c r="AY130" s="13">
        <v>0</v>
      </c>
      <c r="AZ130" s="13">
        <v>1</v>
      </c>
      <c r="BA130">
        <v>1</v>
      </c>
      <c r="BB130" t="s">
        <v>2838</v>
      </c>
      <c r="BC130">
        <v>3</v>
      </c>
      <c r="BD130" t="s">
        <v>2920</v>
      </c>
      <c r="BE130">
        <v>1</v>
      </c>
      <c r="BF130" s="232" t="s">
        <v>2845</v>
      </c>
      <c r="BG130" s="232" t="s">
        <v>2845</v>
      </c>
      <c r="BH130" s="253">
        <v>28</v>
      </c>
      <c r="BI130" s="253">
        <v>14.674009751236699</v>
      </c>
      <c r="BJ130" s="25">
        <v>2.4056760413953602</v>
      </c>
      <c r="BK130" t="s">
        <v>381</v>
      </c>
      <c r="BL130">
        <v>4.732092797783217</v>
      </c>
      <c r="BM130" t="s">
        <v>383</v>
      </c>
      <c r="BN130" s="322">
        <v>336622.36056200002</v>
      </c>
      <c r="BO130" s="322">
        <v>56625.047644999999</v>
      </c>
      <c r="BP130" s="10">
        <v>124423</v>
      </c>
      <c r="BQ130" s="254">
        <f t="shared" si="41"/>
        <v>2.7054673216527494</v>
      </c>
      <c r="BR130" s="254">
        <f t="shared" si="42"/>
        <v>0.45510112796669427</v>
      </c>
      <c r="BS130" s="25">
        <v>64.620671879349061</v>
      </c>
      <c r="BT130" s="25">
        <v>96.849918194816794</v>
      </c>
      <c r="BU130" s="25">
        <v>68.163333333333341</v>
      </c>
      <c r="BV130" s="25">
        <v>87.108370005050688</v>
      </c>
      <c r="BW130" s="25">
        <v>73.642788795485586</v>
      </c>
      <c r="BX130" s="25">
        <v>79.185573353137471</v>
      </c>
      <c r="BY130" s="25">
        <v>74.777251319961678</v>
      </c>
      <c r="BZ130">
        <v>35</v>
      </c>
      <c r="CA130">
        <v>0</v>
      </c>
      <c r="CB130">
        <v>5</v>
      </c>
      <c r="CC130">
        <v>53536.472286999997</v>
      </c>
      <c r="CD130" s="10">
        <v>31557.252961999999</v>
      </c>
      <c r="CE130" s="255">
        <v>0.58945335047156056</v>
      </c>
      <c r="CF130" t="str">
        <f>IFERROR(VLOOKUP(CE130,'Rangos amb etnico'!$A$2:$C$6,3,9),"N.D.")</f>
        <v>51% - 70%</v>
      </c>
      <c r="CG130" s="256">
        <v>9.1811944894373636E-4</v>
      </c>
      <c r="CH130" s="232">
        <v>529.01308100000006</v>
      </c>
      <c r="CI130" s="311">
        <f t="shared" si="49"/>
        <v>9.8813586028614325E-3</v>
      </c>
      <c r="CJ130" s="232" t="str">
        <f>IFERROR(VLOOKUP(CI130,'Rangos amb etnico'!$A$2:$C$6,3,9),"N.D.")</f>
        <v>0,1% - 30%</v>
      </c>
      <c r="CK130" s="311">
        <f t="shared" si="50"/>
        <v>2.1005282870399355E-5</v>
      </c>
      <c r="CL130" s="10">
        <v>29403.7431999</v>
      </c>
      <c r="CM130" s="255">
        <f t="shared" si="51"/>
        <v>0.54922825400731468</v>
      </c>
      <c r="CN130" s="232" t="str">
        <f>IFERROR(VLOOKUP(CM130,'Rangos amb etnico'!$A$2:$C$6,3,9),"N.D.")</f>
        <v>51% - 70%</v>
      </c>
      <c r="CO130" s="311">
        <f t="shared" si="52"/>
        <v>1.8439291603278972E-2</v>
      </c>
      <c r="CP130">
        <v>0.62510476277094473</v>
      </c>
      <c r="CQ130" t="s">
        <v>2866</v>
      </c>
      <c r="CR130">
        <f t="shared" si="43"/>
        <v>2</v>
      </c>
      <c r="CS130" t="str">
        <f t="shared" si="53"/>
        <v>No es Candidato</v>
      </c>
      <c r="CT130">
        <v>0</v>
      </c>
      <c r="CU130">
        <v>0</v>
      </c>
      <c r="CV130" s="25">
        <v>47.66644287109375</v>
      </c>
      <c r="CW130" s="25">
        <v>49.119338989257813</v>
      </c>
      <c r="CX130" s="25">
        <v>53.229118347167969</v>
      </c>
      <c r="CY130" s="25">
        <v>67.864639282226563</v>
      </c>
      <c r="CZ130" s="25">
        <v>28.699777603149411</v>
      </c>
      <c r="DA130" s="25">
        <v>42.076374053955078</v>
      </c>
      <c r="DB130" s="25">
        <v>45.009410858154297</v>
      </c>
      <c r="DC130">
        <v>51400</v>
      </c>
      <c r="DD130" s="253" t="s">
        <v>380</v>
      </c>
    </row>
    <row r="131" spans="1:108" hidden="1">
      <c r="A131" s="13">
        <v>54498</v>
      </c>
      <c r="B131" s="13" t="s">
        <v>725</v>
      </c>
      <c r="C131" s="13" t="s">
        <v>517</v>
      </c>
      <c r="D131" s="13" t="s">
        <v>518</v>
      </c>
      <c r="E131" s="13" t="s">
        <v>726</v>
      </c>
      <c r="F131" s="14">
        <v>68.843533333333298</v>
      </c>
      <c r="G131" s="13">
        <v>59.56</v>
      </c>
      <c r="H131" s="13">
        <v>53.99</v>
      </c>
      <c r="I131" s="13">
        <v>65.09</v>
      </c>
      <c r="J131" s="14">
        <v>35.685887847096552</v>
      </c>
      <c r="K131" s="14">
        <v>48.06043453374739</v>
      </c>
      <c r="L131" s="14">
        <v>45.749781419426455</v>
      </c>
      <c r="M131" s="14">
        <v>43.710700000000003</v>
      </c>
      <c r="N131" s="14">
        <f t="shared" ref="N131:N194" si="54">IFERROR(AVERAGE(F131:I131),"N.D.")</f>
        <v>61.870883333333332</v>
      </c>
      <c r="O131" s="14">
        <f t="shared" ref="O131:O194" si="55">IFERROR(AVERAGE(J131:M131),"N.D.")</f>
        <v>43.301700950067598</v>
      </c>
      <c r="P131" s="14">
        <f t="shared" si="44"/>
        <v>52.586292141700469</v>
      </c>
      <c r="Q131" s="14">
        <v>42.58552476639187</v>
      </c>
      <c r="R131" s="17">
        <f t="shared" ref="R131:R194" si="56">IFERROR(MAX($Q$3:$Q$1105)-Q131,"N.D.")</f>
        <v>57.41447523360813</v>
      </c>
      <c r="S131" s="14">
        <f t="shared" si="45"/>
        <v>0.61673027710247319</v>
      </c>
      <c r="T131" s="13">
        <v>0</v>
      </c>
      <c r="U131" s="13">
        <f t="shared" si="46"/>
        <v>32.431558524342542</v>
      </c>
      <c r="V131" s="13">
        <f>IF($T131=1,$AU131,(VLOOKUP(U131,'Cortes naturales'!$A$35:$C$39,3,9)))</f>
        <v>3</v>
      </c>
      <c r="W131" s="13">
        <v>3</v>
      </c>
      <c r="X131" s="14" t="b">
        <f t="shared" ref="X131:X194" si="57">V131=W131</f>
        <v>1</v>
      </c>
      <c r="Y131" s="17">
        <f>IF($T131=1,$AU131,VLOOKUP(U131,'Cortes naturales'!$A$45:$C$49,3,9))</f>
        <v>3</v>
      </c>
      <c r="Z131" s="14">
        <v>51.900549703316635</v>
      </c>
      <c r="AA131" s="14">
        <v>0.63196758789053031</v>
      </c>
      <c r="AB131" s="14">
        <v>32.799465206197596</v>
      </c>
      <c r="AC131" s="13">
        <v>3</v>
      </c>
      <c r="AD131" s="13">
        <f t="shared" ref="AD131:AD194" si="58">IFERROR(AC131-Y131,)</f>
        <v>0</v>
      </c>
      <c r="AE131" s="14">
        <f t="shared" ref="AE131:AE194" si="59">IFERROR(P131-Z131,"N.D.")</f>
        <v>0.68574243838383353</v>
      </c>
      <c r="AF131" s="14">
        <f t="shared" ref="AF131:AF194" si="60">IFERROR(S131-AA131,"N.D.")</f>
        <v>-1.5237310788057123E-2</v>
      </c>
      <c r="AG131" s="13">
        <f t="shared" ref="AG131:AG194" si="61">IFERROR(U131-AB131,0)</f>
        <v>-0.36790668185505382</v>
      </c>
      <c r="AH131" s="13">
        <f>IF($T131=1,$AU131,VLOOKUP(U131,'Cortes naturales'!$A$25:$C$29,3,9))</f>
        <v>3</v>
      </c>
      <c r="AI131" s="13" t="b">
        <f t="shared" ref="AI131:AI194" si="62">AH131=Y131</f>
        <v>1</v>
      </c>
      <c r="AJ131" s="13">
        <f t="shared" ref="AJ131:AJ194" si="63">IF(AD131=0,0,IF(AI131=TRUE,"Efecto ponderador","Cambio en corte"))</f>
        <v>0</v>
      </c>
      <c r="AK131" s="28">
        <v>0.9741882058902549</v>
      </c>
      <c r="AL131" s="28">
        <v>50.560903400192032</v>
      </c>
      <c r="AM131" s="28">
        <v>0.46183759347864839</v>
      </c>
      <c r="AN131" s="13">
        <v>3</v>
      </c>
      <c r="AO131" s="33">
        <f t="shared" ref="AO131:AO194" si="64">IF(AND(ISNUMBER(AN131),ISNUMBER(Y131)),AN131-Y131,IF(AN131="SC- Centro aglomeración",Y131,IF(OR(AN131="Bogotá",AN131="Ciudades grandes"),0,0)))</f>
        <v>0</v>
      </c>
      <c r="AP131" s="13">
        <f t="shared" si="47"/>
        <v>46.183759347864836</v>
      </c>
      <c r="AQ131" s="13">
        <f>IFERROR(VLOOKUP(U131,'Cortes naturales'!$E$15:$G$19,3,9),U131)</f>
        <v>4</v>
      </c>
      <c r="AR131" s="28">
        <f t="shared" ref="AR131:AR194" si="65">IFERROR(S131-AK131,"N.D.")</f>
        <v>-0.35745792878778171</v>
      </c>
      <c r="AS131" s="13" t="b">
        <f t="shared" ref="AS131:AS194" si="66">AQ131=Y131</f>
        <v>0</v>
      </c>
      <c r="AT131" s="13">
        <f t="shared" si="48"/>
        <v>0</v>
      </c>
      <c r="AU131" s="13">
        <v>2</v>
      </c>
      <c r="AV131">
        <f t="shared" ref="AV131:AV194" si="67">IF(AND(ISNUMBER(AU131),ISNUMBER(Y131)),AU131-Y131,IF(AU131="SC- Centro aglomeración",Y131,IF(OR(AU131="Bogotá",AU131="Ciudades grandes"),0,0)))</f>
        <v>-1</v>
      </c>
      <c r="AW131" s="13">
        <v>0</v>
      </c>
      <c r="AX131" s="13">
        <v>1</v>
      </c>
      <c r="AY131" s="13">
        <v>0</v>
      </c>
      <c r="AZ131" s="13">
        <v>0</v>
      </c>
      <c r="BA131">
        <v>0</v>
      </c>
      <c r="BB131" t="s">
        <v>2838</v>
      </c>
      <c r="BC131">
        <v>4</v>
      </c>
      <c r="BD131" t="s">
        <v>2920</v>
      </c>
      <c r="BE131">
        <v>1</v>
      </c>
      <c r="BF131" s="232" t="s">
        <v>2846</v>
      </c>
      <c r="BG131" s="232" t="s">
        <v>2846</v>
      </c>
      <c r="BH131" s="253">
        <v>31.4</v>
      </c>
      <c r="BI131" s="253">
        <v>12.576917168906038</v>
      </c>
      <c r="BJ131" s="25">
        <v>3.0601298912400989</v>
      </c>
      <c r="BK131" t="s">
        <v>381</v>
      </c>
      <c r="BL131">
        <v>12.188657292248143</v>
      </c>
      <c r="BM131" t="s">
        <v>376</v>
      </c>
      <c r="BN131" s="322">
        <v>185217.37986300001</v>
      </c>
      <c r="BO131" s="322">
        <v>23775.707630000001</v>
      </c>
      <c r="BP131" s="10">
        <v>136427</v>
      </c>
      <c r="BQ131" s="254">
        <f t="shared" ref="BQ131:BQ194" si="68">BN131/BP131</f>
        <v>1.3576299402830818</v>
      </c>
      <c r="BR131" s="254">
        <f t="shared" ref="BR131:BR194" si="69">BO131/BP131</f>
        <v>0.1742742098704802</v>
      </c>
      <c r="BS131" s="25">
        <v>68.208918064945493</v>
      </c>
      <c r="BT131" s="25">
        <v>96.266207662990482</v>
      </c>
      <c r="BU131" s="25">
        <v>58.06</v>
      </c>
      <c r="BV131" s="25">
        <v>87.455748583918478</v>
      </c>
      <c r="BW131" s="25">
        <v>56.373627740859853</v>
      </c>
      <c r="BX131" s="25">
        <v>77.49771857796361</v>
      </c>
      <c r="BY131" s="25">
        <v>57.019619598869582</v>
      </c>
      <c r="BZ131">
        <v>14</v>
      </c>
      <c r="CA131">
        <v>1</v>
      </c>
      <c r="CB131">
        <v>4</v>
      </c>
      <c r="CC131">
        <v>55286.934047000002</v>
      </c>
      <c r="CD131" s="10">
        <v>25147.984596999999</v>
      </c>
      <c r="CE131" s="255">
        <v>0.4548630708228717</v>
      </c>
      <c r="CF131" t="str">
        <f>IFERROR(VLOOKUP(CE131,'Rangos amb etnico'!$A$2:$C$6,3,9),"N.D.")</f>
        <v>31% - 50%</v>
      </c>
      <c r="CG131" s="256">
        <v>7.3164967140979908E-4</v>
      </c>
      <c r="CH131" s="232">
        <v>0</v>
      </c>
      <c r="CI131" s="311">
        <f t="shared" si="49"/>
        <v>0</v>
      </c>
      <c r="CJ131" s="232">
        <f>IFERROR(VLOOKUP(CI131,'Rangos amb etnico'!$A$2:$C$6,3,9),"N.D.")</f>
        <v>0</v>
      </c>
      <c r="CK131" s="311">
        <f t="shared" si="50"/>
        <v>0</v>
      </c>
      <c r="CL131" s="10">
        <v>0</v>
      </c>
      <c r="CM131" s="255">
        <f t="shared" si="51"/>
        <v>0</v>
      </c>
      <c r="CN131" s="232">
        <f>IFERROR(VLOOKUP(CM131,'Rangos amb etnico'!$A$2:$C$6,3,9),"N.D.")</f>
        <v>0</v>
      </c>
      <c r="CO131" s="311">
        <f t="shared" si="52"/>
        <v>0</v>
      </c>
      <c r="CP131">
        <v>0.94940115642115996</v>
      </c>
      <c r="CQ131" t="s">
        <v>2864</v>
      </c>
      <c r="CR131">
        <f t="shared" ref="CR131:CR194" si="70">IF(BY131&gt;=60,1,0)+IF(M131&gt;=60,1,0)+IF(I131&gt;=60,1,0)+IF(OR(CQ131="Crítico Bajo",CQ131="Aceptable"),1,0)</f>
        <v>2</v>
      </c>
      <c r="CS131" t="str">
        <f t="shared" si="53"/>
        <v>No es Candidato</v>
      </c>
      <c r="CT131">
        <v>1</v>
      </c>
      <c r="CU131" t="s">
        <v>2835</v>
      </c>
      <c r="CV131" s="25">
        <v>50.286029815673828</v>
      </c>
      <c r="CW131" s="25">
        <v>44.667037963867188</v>
      </c>
      <c r="CX131" s="25">
        <v>49.582542419433587</v>
      </c>
      <c r="CY131" s="25">
        <v>68.543388366699219</v>
      </c>
      <c r="CZ131" s="25">
        <v>58.238632202148438</v>
      </c>
      <c r="DA131" s="25">
        <v>28.25529861450195</v>
      </c>
      <c r="DB131" s="25">
        <v>52.429275512695313</v>
      </c>
      <c r="DC131">
        <v>1511</v>
      </c>
      <c r="DD131" s="253" t="s">
        <v>380</v>
      </c>
    </row>
    <row r="132" spans="1:108" hidden="1">
      <c r="A132" s="13">
        <v>19455</v>
      </c>
      <c r="B132" s="13" t="s">
        <v>727</v>
      </c>
      <c r="C132" s="13" t="s">
        <v>557</v>
      </c>
      <c r="D132" s="13" t="s">
        <v>558</v>
      </c>
      <c r="E132" s="13" t="s">
        <v>728</v>
      </c>
      <c r="F132" s="14">
        <v>62.253733333333301</v>
      </c>
      <c r="G132" s="13">
        <v>64.709999999999994</v>
      </c>
      <c r="H132" s="13">
        <v>75.36</v>
      </c>
      <c r="I132" s="13">
        <v>76.41</v>
      </c>
      <c r="J132" s="14">
        <v>59.956517873152713</v>
      </c>
      <c r="K132" s="14">
        <v>53.483760072328039</v>
      </c>
      <c r="L132" s="14">
        <v>64.771368798388437</v>
      </c>
      <c r="M132" s="14">
        <v>50.955500000000001</v>
      </c>
      <c r="N132" s="14">
        <f t="shared" si="54"/>
        <v>69.683433333333312</v>
      </c>
      <c r="O132" s="14">
        <f t="shared" si="55"/>
        <v>57.291786685967296</v>
      </c>
      <c r="P132" s="14">
        <f t="shared" ref="P132:P195" si="71">IFERROR(AVERAGE(N132:O132),"N.D.")</f>
        <v>63.487610009650304</v>
      </c>
      <c r="Q132" s="14">
        <v>42.285499753967045</v>
      </c>
      <c r="R132" s="17">
        <f t="shared" si="56"/>
        <v>57.714500246032955</v>
      </c>
      <c r="S132" s="14">
        <f t="shared" ref="S132:S195" si="72">IFERROR((0.1+(1-0.1)*(R132%-0)/(1-0)),"N.D.")</f>
        <v>0.61943050221429652</v>
      </c>
      <c r="T132" s="13">
        <v>0</v>
      </c>
      <c r="U132" s="13">
        <f t="shared" ref="U132:U195" si="73">$P132*$S132</f>
        <v>39.326162152663088</v>
      </c>
      <c r="V132" s="13">
        <f>IF($T132=1,$AU132,(VLOOKUP(U132,'Cortes naturales'!$A$35:$C$39,3,9)))</f>
        <v>2</v>
      </c>
      <c r="W132" s="13">
        <v>2</v>
      </c>
      <c r="X132" s="14" t="b">
        <f t="shared" si="57"/>
        <v>1</v>
      </c>
      <c r="Y132" s="17">
        <f>IF($T132=1,$AU132,VLOOKUP(U132,'Cortes naturales'!$A$45:$C$49,3,9))</f>
        <v>2</v>
      </c>
      <c r="Z132" s="14">
        <v>62.017041525642071</v>
      </c>
      <c r="AA132" s="14">
        <v>0.63296112864089715</v>
      </c>
      <c r="AB132" s="14">
        <v>39.254376599039794</v>
      </c>
      <c r="AC132" s="13">
        <v>2</v>
      </c>
      <c r="AD132" s="13">
        <f t="shared" si="58"/>
        <v>0</v>
      </c>
      <c r="AE132" s="14">
        <f t="shared" si="59"/>
        <v>1.4705684840082327</v>
      </c>
      <c r="AF132" s="14">
        <f t="shared" si="60"/>
        <v>-1.3530626426600634E-2</v>
      </c>
      <c r="AG132" s="13">
        <f t="shared" si="61"/>
        <v>7.1785553623293197E-2</v>
      </c>
      <c r="AH132" s="13">
        <f>IF($T132=1,$AU132,VLOOKUP(U132,'Cortes naturales'!$A$25:$C$29,3,9))</f>
        <v>2</v>
      </c>
      <c r="AI132" s="13" t="b">
        <f t="shared" si="62"/>
        <v>1</v>
      </c>
      <c r="AJ132" s="13">
        <f t="shared" si="63"/>
        <v>0</v>
      </c>
      <c r="AK132" s="28">
        <v>0.9741882058902549</v>
      </c>
      <c r="AL132" s="28">
        <v>60.416270418486683</v>
      </c>
      <c r="AM132" s="28">
        <v>0.58511784634146347</v>
      </c>
      <c r="AN132" s="13">
        <v>2</v>
      </c>
      <c r="AO132" s="33">
        <f t="shared" si="64"/>
        <v>0</v>
      </c>
      <c r="AP132" s="13">
        <f t="shared" ref="AP132:AP195" si="74">IFERROR(AM132*100,"N.D")</f>
        <v>58.511784634146345</v>
      </c>
      <c r="AQ132" s="13">
        <f>IFERROR(VLOOKUP(U132,'Cortes naturales'!$E$15:$G$19,3,9),U132)</f>
        <v>3</v>
      </c>
      <c r="AR132" s="28">
        <f t="shared" si="65"/>
        <v>-0.35475770367595838</v>
      </c>
      <c r="AS132" s="13" t="b">
        <f t="shared" si="66"/>
        <v>0</v>
      </c>
      <c r="AT132" s="13">
        <f t="shared" ref="AT132:AT195" si="75">IF(AO132=0,0,IF(AS132=TRUE,"Efecto ponderador","Cambio en corte"))</f>
        <v>0</v>
      </c>
      <c r="AU132" s="13">
        <v>2</v>
      </c>
      <c r="AV132">
        <f t="shared" si="67"/>
        <v>0</v>
      </c>
      <c r="AW132" s="13">
        <v>0</v>
      </c>
      <c r="AX132" s="13">
        <v>0</v>
      </c>
      <c r="AY132" s="13">
        <v>0</v>
      </c>
      <c r="AZ132" s="13">
        <v>1</v>
      </c>
      <c r="BA132">
        <v>1</v>
      </c>
      <c r="BB132" t="s">
        <v>2839</v>
      </c>
      <c r="BC132">
        <v>5</v>
      </c>
      <c r="BD132" t="s">
        <v>2919</v>
      </c>
      <c r="BE132">
        <v>1</v>
      </c>
      <c r="BF132" s="232" t="s">
        <v>2846</v>
      </c>
      <c r="BG132" s="232" t="s">
        <v>2846</v>
      </c>
      <c r="BH132" s="253">
        <v>21.6</v>
      </c>
      <c r="BI132" s="253">
        <v>9.3377715487035733</v>
      </c>
      <c r="BJ132" s="25">
        <v>6.330000000000001</v>
      </c>
      <c r="BK132" t="s">
        <v>377</v>
      </c>
      <c r="BL132">
        <v>17.89434239586042</v>
      </c>
      <c r="BM132" t="s">
        <v>376</v>
      </c>
      <c r="BN132" s="322">
        <v>38061.083270000003</v>
      </c>
      <c r="BO132" s="322">
        <v>18567.300071999998</v>
      </c>
      <c r="BP132" s="10">
        <v>32570</v>
      </c>
      <c r="BQ132" s="254">
        <f t="shared" si="68"/>
        <v>1.1685932843107154</v>
      </c>
      <c r="BR132" s="254">
        <f t="shared" si="69"/>
        <v>0.57007368965305494</v>
      </c>
      <c r="BS132" s="25">
        <v>69.495334940152944</v>
      </c>
      <c r="BT132" s="25">
        <v>78.054225552728909</v>
      </c>
      <c r="BU132" s="25">
        <v>46.493393302458138</v>
      </c>
      <c r="BV132" s="25">
        <v>85.827114297243199</v>
      </c>
      <c r="BW132" s="25">
        <v>69.204471863984779</v>
      </c>
      <c r="BX132" s="25">
        <v>69.967517023145803</v>
      </c>
      <c r="BY132" s="25">
        <v>70.59288249823328</v>
      </c>
      <c r="BZ132">
        <v>32</v>
      </c>
      <c r="CA132">
        <v>0</v>
      </c>
      <c r="CB132">
        <v>7</v>
      </c>
      <c r="CC132">
        <v>18971.928467000002</v>
      </c>
      <c r="CD132" s="10">
        <v>6758.4661580000002</v>
      </c>
      <c r="CE132" s="255">
        <v>0.35623506433495977</v>
      </c>
      <c r="CF132" t="str">
        <f>IFERROR(VLOOKUP(CE132,'Rangos amb etnico'!$A$2:$C$6,3,9),"N.D.")</f>
        <v>31% - 50%</v>
      </c>
      <c r="CG132" s="256">
        <v>1.9662925769108495E-4</v>
      </c>
      <c r="CH132" s="232">
        <v>43.114111999999999</v>
      </c>
      <c r="CI132" s="311">
        <f t="shared" ref="CI132:CI195" si="76">IFERROR(CH132/CC132,"N.D.")</f>
        <v>2.2725213240706236E-3</v>
      </c>
      <c r="CJ132" s="232" t="str">
        <f>IFERROR(VLOOKUP(CI132,'Rangos amb etnico'!$A$2:$C$6,3,9),"N.D.")</f>
        <v>0,1% - 30%</v>
      </c>
      <c r="CK132" s="311">
        <f t="shared" ref="CK132:CK195" si="77">IFERROR(CH132/$CH$1,"N.D.")</f>
        <v>1.7119125231349036E-6</v>
      </c>
      <c r="CL132" s="10">
        <v>0</v>
      </c>
      <c r="CM132" s="255">
        <f t="shared" ref="CM132:CM195" si="78">IFERROR(CL132/CC132,"N.D.")</f>
        <v>0</v>
      </c>
      <c r="CN132" s="232">
        <f>IFERROR(VLOOKUP(CM132,'Rangos amb etnico'!$A$2:$C$6,3,9),"N.D.")</f>
        <v>0</v>
      </c>
      <c r="CO132" s="311">
        <f t="shared" ref="CO132:CO195" si="79">IFERROR(CL132/$CL$1,"N.D.")</f>
        <v>0</v>
      </c>
      <c r="CP132">
        <v>0.96294489744854384</v>
      </c>
      <c r="CQ132" t="s">
        <v>2864</v>
      </c>
      <c r="CR132">
        <f t="shared" si="70"/>
        <v>3</v>
      </c>
      <c r="CS132" t="str">
        <f t="shared" ref="CS132:CS195" si="80">IF(CR132&gt;=3,"Candidato","No es Candidato")</f>
        <v>Candidato</v>
      </c>
      <c r="CT132">
        <v>0</v>
      </c>
      <c r="CU132">
        <v>0</v>
      </c>
      <c r="CV132" s="25">
        <v>47.753570556640618</v>
      </c>
      <c r="CW132" s="25">
        <v>46.833942413330078</v>
      </c>
      <c r="CX132" s="25">
        <v>52.191978454589837</v>
      </c>
      <c r="CY132" s="25">
        <v>59.755455017089837</v>
      </c>
      <c r="CZ132" s="25">
        <v>53.846748352050781</v>
      </c>
      <c r="DA132" s="25">
        <v>21.359224319458011</v>
      </c>
      <c r="DB132" s="25">
        <v>52.534065246582031</v>
      </c>
      <c r="DC132">
        <v>15695</v>
      </c>
      <c r="DD132" s="253" t="s">
        <v>380</v>
      </c>
    </row>
    <row r="133" spans="1:108" hidden="1">
      <c r="A133" s="13">
        <v>66594</v>
      </c>
      <c r="B133" s="13" t="s">
        <v>729</v>
      </c>
      <c r="C133" s="13" t="s">
        <v>467</v>
      </c>
      <c r="D133" s="13" t="s">
        <v>468</v>
      </c>
      <c r="E133" s="13" t="s">
        <v>730</v>
      </c>
      <c r="F133" s="14">
        <v>98.249126339342794</v>
      </c>
      <c r="G133" s="13">
        <v>85.84</v>
      </c>
      <c r="H133" s="13">
        <v>75.69</v>
      </c>
      <c r="I133" s="13">
        <v>72.58</v>
      </c>
      <c r="J133" s="14">
        <v>60.233108792979792</v>
      </c>
      <c r="K133" s="14">
        <v>56.671133915885193</v>
      </c>
      <c r="L133" s="14">
        <v>55.667859512484462</v>
      </c>
      <c r="M133" s="14">
        <v>56.146799999999999</v>
      </c>
      <c r="N133" s="14">
        <f t="shared" si="54"/>
        <v>83.089781584835691</v>
      </c>
      <c r="O133" s="14">
        <f t="shared" si="55"/>
        <v>57.179725555337356</v>
      </c>
      <c r="P133" s="14">
        <f t="shared" si="71"/>
        <v>70.134753570086531</v>
      </c>
      <c r="Q133" s="14">
        <v>42.450780079995155</v>
      </c>
      <c r="R133" s="17">
        <f t="shared" si="56"/>
        <v>57.549219920004845</v>
      </c>
      <c r="S133" s="14">
        <f t="shared" si="72"/>
        <v>0.6179429792800436</v>
      </c>
      <c r="T133" s="13">
        <v>0</v>
      </c>
      <c r="U133" s="13">
        <f t="shared" si="73"/>
        <v>43.339278572170947</v>
      </c>
      <c r="V133" s="13">
        <f>IF($T133=1,$AU133,(VLOOKUP(U133,'Cortes naturales'!$A$35:$C$39,3,9)))</f>
        <v>2</v>
      </c>
      <c r="W133" s="13">
        <v>2</v>
      </c>
      <c r="X133" s="14" t="b">
        <f t="shared" si="57"/>
        <v>1</v>
      </c>
      <c r="Y133" s="17">
        <f>IF($T133=1,$AU133,VLOOKUP(U133,'Cortes naturales'!$A$45:$C$49,3,9))</f>
        <v>2</v>
      </c>
      <c r="Z133" s="14">
        <v>73.4609938636019</v>
      </c>
      <c r="AA133" s="14">
        <v>0.63221032991342685</v>
      </c>
      <c r="AB133" s="14">
        <v>46.442799166275982</v>
      </c>
      <c r="AC133" s="13">
        <v>2</v>
      </c>
      <c r="AD133" s="13">
        <f t="shared" si="58"/>
        <v>0</v>
      </c>
      <c r="AE133" s="14">
        <f t="shared" si="59"/>
        <v>-3.3262402935153688</v>
      </c>
      <c r="AF133" s="14">
        <f t="shared" si="60"/>
        <v>-1.4267350633383247E-2</v>
      </c>
      <c r="AG133" s="13">
        <f t="shared" si="61"/>
        <v>-3.103520594105035</v>
      </c>
      <c r="AH133" s="13">
        <f>IF($T133=1,$AU133,VLOOKUP(U133,'Cortes naturales'!$A$25:$C$29,3,9))</f>
        <v>2</v>
      </c>
      <c r="AI133" s="13" t="b">
        <f t="shared" si="62"/>
        <v>1</v>
      </c>
      <c r="AJ133" s="13">
        <f t="shared" si="63"/>
        <v>0</v>
      </c>
      <c r="AK133" s="28">
        <v>0.9741882058902549</v>
      </c>
      <c r="AL133" s="28">
        <v>71.564833814897355</v>
      </c>
      <c r="AM133" s="28">
        <v>0.72457462273703743</v>
      </c>
      <c r="AN133" s="13">
        <v>1</v>
      </c>
      <c r="AO133" s="33">
        <f t="shared" si="64"/>
        <v>-1</v>
      </c>
      <c r="AP133" s="13">
        <f t="shared" si="74"/>
        <v>72.45746227370374</v>
      </c>
      <c r="AQ133" s="13">
        <f>IFERROR(VLOOKUP(U133,'Cortes naturales'!$E$15:$G$19,3,9),U133)</f>
        <v>3</v>
      </c>
      <c r="AR133" s="28">
        <f t="shared" si="65"/>
        <v>-0.3562452266102113</v>
      </c>
      <c r="AS133" s="13" t="b">
        <f t="shared" si="66"/>
        <v>0</v>
      </c>
      <c r="AT133" s="13" t="str">
        <f t="shared" si="75"/>
        <v>Cambio en corte</v>
      </c>
      <c r="AU133" s="13">
        <v>1</v>
      </c>
      <c r="AV133">
        <f t="shared" si="67"/>
        <v>-1</v>
      </c>
      <c r="AW133" s="13">
        <v>0</v>
      </c>
      <c r="AX133" s="13">
        <v>0</v>
      </c>
      <c r="AY133" s="13">
        <v>0</v>
      </c>
      <c r="AZ133" s="13">
        <v>0</v>
      </c>
      <c r="BA133">
        <v>1</v>
      </c>
      <c r="BB133" t="s">
        <v>2839</v>
      </c>
      <c r="BC133">
        <v>6</v>
      </c>
      <c r="BD133" t="s">
        <v>2919</v>
      </c>
      <c r="BE133">
        <v>1</v>
      </c>
      <c r="BF133" s="232" t="s">
        <v>2846</v>
      </c>
      <c r="BG133" s="232" t="s">
        <v>2845</v>
      </c>
      <c r="BH133" s="253">
        <v>41.4</v>
      </c>
      <c r="BI133" s="253">
        <v>16.416487967595902</v>
      </c>
      <c r="BJ133" s="25">
        <v>52.585803544056382</v>
      </c>
      <c r="BK133" t="s">
        <v>376</v>
      </c>
      <c r="BL133">
        <v>1.2337503345749745</v>
      </c>
      <c r="BM133" t="s">
        <v>383</v>
      </c>
      <c r="BN133" s="322">
        <v>49013.685656000001</v>
      </c>
      <c r="BO133" s="322">
        <v>6472.3386780000001</v>
      </c>
      <c r="BP133" s="10">
        <v>28224</v>
      </c>
      <c r="BQ133" s="254">
        <f t="shared" si="68"/>
        <v>1.7365960053854876</v>
      </c>
      <c r="BR133" s="254">
        <f t="shared" si="69"/>
        <v>0.22932038966836735</v>
      </c>
      <c r="BS133" s="25">
        <v>64.682319039549242</v>
      </c>
      <c r="BT133" s="25">
        <v>93.922163960695386</v>
      </c>
      <c r="BU133" s="25">
        <v>52.534999999999997</v>
      </c>
      <c r="BV133" s="25">
        <v>96.235657642767805</v>
      </c>
      <c r="BW133" s="25">
        <v>60.55419234635221</v>
      </c>
      <c r="BX133" s="25">
        <v>76.8437851607531</v>
      </c>
      <c r="BY133" s="25">
        <v>60.994490994435928</v>
      </c>
      <c r="BZ133">
        <v>31</v>
      </c>
      <c r="CA133">
        <v>0</v>
      </c>
      <c r="CB133">
        <v>6</v>
      </c>
      <c r="CC133">
        <v>14013.777894000001</v>
      </c>
      <c r="CD133" s="10">
        <v>483.129908</v>
      </c>
      <c r="CE133" s="255">
        <v>3.4475350733712717E-2</v>
      </c>
      <c r="CF133" t="str">
        <f>IFERROR(VLOOKUP(CE133,'Rangos amb etnico'!$A$2:$C$6,3,9),"N.D.")</f>
        <v>0,1% - 30%</v>
      </c>
      <c r="CG133" s="256">
        <v>1.4056070261734403E-5</v>
      </c>
      <c r="CH133" s="232">
        <v>36.382984999999998</v>
      </c>
      <c r="CI133" s="311">
        <f t="shared" si="76"/>
        <v>2.5962296016962972E-3</v>
      </c>
      <c r="CJ133" s="232" t="str">
        <f>IFERROR(VLOOKUP(CI133,'Rangos amb etnico'!$A$2:$C$6,3,9),"N.D.")</f>
        <v>0,1% - 30%</v>
      </c>
      <c r="CK133" s="311">
        <f t="shared" si="77"/>
        <v>1.4446427111969592E-6</v>
      </c>
      <c r="CL133" s="10">
        <v>0</v>
      </c>
      <c r="CM133" s="255">
        <f t="shared" si="78"/>
        <v>0</v>
      </c>
      <c r="CN133" s="232">
        <f>IFERROR(VLOOKUP(CM133,'Rangos amb etnico'!$A$2:$C$6,3,9),"N.D.")</f>
        <v>0</v>
      </c>
      <c r="CO133" s="311">
        <f t="shared" si="79"/>
        <v>0</v>
      </c>
      <c r="CP133">
        <v>0.93276966177578502</v>
      </c>
      <c r="CQ133" t="s">
        <v>2864</v>
      </c>
      <c r="CR133">
        <f t="shared" si="70"/>
        <v>3</v>
      </c>
      <c r="CS133" t="str">
        <f t="shared" si="80"/>
        <v>Candidato</v>
      </c>
      <c r="CT133">
        <v>0</v>
      </c>
      <c r="CU133">
        <v>0</v>
      </c>
      <c r="CV133" s="25">
        <v>51.265411376953118</v>
      </c>
      <c r="CW133" s="25">
        <v>30.55143928527832</v>
      </c>
      <c r="CX133" s="25">
        <v>42.886932373046882</v>
      </c>
      <c r="CY133" s="25">
        <v>56.555881500244141</v>
      </c>
      <c r="CZ133" s="25">
        <v>48.958419799804688</v>
      </c>
      <c r="DA133" s="25">
        <v>88.242973327636719</v>
      </c>
      <c r="DB133" s="25">
        <v>40.396820068359382</v>
      </c>
      <c r="DC133">
        <v>8151</v>
      </c>
      <c r="DD133" s="253" t="s">
        <v>380</v>
      </c>
    </row>
    <row r="134" spans="1:108" hidden="1">
      <c r="A134" s="13">
        <v>25200</v>
      </c>
      <c r="B134" s="13" t="s">
        <v>731</v>
      </c>
      <c r="C134" s="13" t="s">
        <v>461</v>
      </c>
      <c r="D134" s="13" t="s">
        <v>462</v>
      </c>
      <c r="E134" s="13" t="s">
        <v>732</v>
      </c>
      <c r="F134" s="14">
        <v>65.660433333333302</v>
      </c>
      <c r="G134" s="13">
        <v>68.63</v>
      </c>
      <c r="H134" s="13">
        <v>49.82</v>
      </c>
      <c r="I134" s="13">
        <v>57.58</v>
      </c>
      <c r="J134" s="14">
        <v>77.002683610946022</v>
      </c>
      <c r="K134" s="14">
        <v>64.163816243828222</v>
      </c>
      <c r="L134" s="14">
        <v>70.407708325020636</v>
      </c>
      <c r="M134" s="14">
        <v>67.242099999999994</v>
      </c>
      <c r="N134" s="14">
        <f t="shared" si="54"/>
        <v>60.422608333333315</v>
      </c>
      <c r="O134" s="14">
        <f t="shared" si="55"/>
        <v>69.704077044948718</v>
      </c>
      <c r="P134" s="14">
        <f t="shared" si="71"/>
        <v>65.063342689141024</v>
      </c>
      <c r="Q134" s="14">
        <v>43.101761529987861</v>
      </c>
      <c r="R134" s="17">
        <f t="shared" si="56"/>
        <v>56.898238470012139</v>
      </c>
      <c r="S134" s="14">
        <f t="shared" si="72"/>
        <v>0.61208414623010932</v>
      </c>
      <c r="T134" s="13">
        <v>0</v>
      </c>
      <c r="U134" s="13">
        <f t="shared" si="73"/>
        <v>39.824240560759911</v>
      </c>
      <c r="V134" s="13">
        <f>IF($T134=1,$AU134,(VLOOKUP(U134,'Cortes naturales'!$A$35:$C$39,3,9)))</f>
        <v>2</v>
      </c>
      <c r="W134" s="13">
        <v>2</v>
      </c>
      <c r="X134" s="14" t="b">
        <f t="shared" si="57"/>
        <v>1</v>
      </c>
      <c r="Y134" s="17">
        <f>IF($T134=1,$AU134,VLOOKUP(U134,'Cortes naturales'!$A$45:$C$49,3,9))</f>
        <v>2</v>
      </c>
      <c r="Z134" s="14">
        <v>64.963582378878144</v>
      </c>
      <c r="AA134" s="14">
        <v>0.6285064114019252</v>
      </c>
      <c r="AB134" s="14">
        <v>40.830028032762044</v>
      </c>
      <c r="AC134" s="13">
        <v>2</v>
      </c>
      <c r="AD134" s="13">
        <f t="shared" si="58"/>
        <v>0</v>
      </c>
      <c r="AE134" s="14">
        <f t="shared" si="59"/>
        <v>9.9760310262880125E-2</v>
      </c>
      <c r="AF134" s="14">
        <f t="shared" si="60"/>
        <v>-1.6422265171815886E-2</v>
      </c>
      <c r="AG134" s="13">
        <f t="shared" si="61"/>
        <v>-1.0057874720021331</v>
      </c>
      <c r="AH134" s="13">
        <f>IF($T134=1,$AU134,VLOOKUP(U134,'Cortes naturales'!$A$25:$C$29,3,9))</f>
        <v>2</v>
      </c>
      <c r="AI134" s="13" t="b">
        <f t="shared" si="62"/>
        <v>1</v>
      </c>
      <c r="AJ134" s="13">
        <f t="shared" si="63"/>
        <v>0</v>
      </c>
      <c r="AK134" s="28">
        <v>0.9741882058902549</v>
      </c>
      <c r="AL134" s="28">
        <v>63.286755765883079</v>
      </c>
      <c r="AM134" s="28">
        <v>0.62102459226062934</v>
      </c>
      <c r="AN134" s="13">
        <v>2</v>
      </c>
      <c r="AO134" s="33">
        <f t="shared" si="64"/>
        <v>0</v>
      </c>
      <c r="AP134" s="13">
        <f t="shared" si="74"/>
        <v>62.102459226062933</v>
      </c>
      <c r="AQ134" s="13">
        <f>IFERROR(VLOOKUP(U134,'Cortes naturales'!$E$15:$G$19,3,9),U134)</f>
        <v>3</v>
      </c>
      <c r="AR134" s="28">
        <f t="shared" si="65"/>
        <v>-0.36210405966014558</v>
      </c>
      <c r="AS134" s="13" t="b">
        <f t="shared" si="66"/>
        <v>0</v>
      </c>
      <c r="AT134" s="13">
        <f t="shared" si="75"/>
        <v>0</v>
      </c>
      <c r="AU134" s="13">
        <v>2</v>
      </c>
      <c r="AV134">
        <f t="shared" si="67"/>
        <v>0</v>
      </c>
      <c r="AW134" s="13">
        <v>0</v>
      </c>
      <c r="AX134" s="13">
        <v>0</v>
      </c>
      <c r="AY134" s="13">
        <v>0</v>
      </c>
      <c r="AZ134" s="13">
        <v>0</v>
      </c>
      <c r="BA134">
        <v>0</v>
      </c>
      <c r="BB134" t="s">
        <v>2838</v>
      </c>
      <c r="BC134">
        <v>5</v>
      </c>
      <c r="BD134" s="184" t="s">
        <v>2917</v>
      </c>
      <c r="BE134">
        <v>1</v>
      </c>
      <c r="BF134" s="232" t="s">
        <v>2846</v>
      </c>
      <c r="BG134" s="232" t="s">
        <v>2846</v>
      </c>
      <c r="BH134" s="253">
        <v>12.6</v>
      </c>
      <c r="BI134" s="253">
        <v>3.5959809624537282</v>
      </c>
      <c r="BJ134" s="25">
        <v>13.418609339581149</v>
      </c>
      <c r="BK134" t="s">
        <v>377</v>
      </c>
      <c r="BL134">
        <v>0.32661679949416839</v>
      </c>
      <c r="BM134" t="s">
        <v>383</v>
      </c>
      <c r="BN134" s="322">
        <v>42083.220022000001</v>
      </c>
      <c r="BO134" s="322">
        <v>24660.907835000002</v>
      </c>
      <c r="BP134" s="10">
        <v>24963</v>
      </c>
      <c r="BQ134" s="254">
        <f t="shared" si="68"/>
        <v>1.6858238201337981</v>
      </c>
      <c r="BR134" s="254">
        <f t="shared" si="69"/>
        <v>0.98789840303649412</v>
      </c>
      <c r="BS134" s="25">
        <v>62.801594458839737</v>
      </c>
      <c r="BT134" s="25">
        <v>79.903862539091179</v>
      </c>
      <c r="BU134" s="25">
        <v>61.428333333333327</v>
      </c>
      <c r="BV134" s="25">
        <v>89.484505677128212</v>
      </c>
      <c r="BW134" s="25">
        <v>69.574499940301649</v>
      </c>
      <c r="BX134" s="25">
        <v>73.404574002098116</v>
      </c>
      <c r="BY134" s="25">
        <v>70.161214444201605</v>
      </c>
      <c r="BZ134">
        <v>36</v>
      </c>
      <c r="CA134">
        <v>0</v>
      </c>
      <c r="CB134">
        <v>7</v>
      </c>
      <c r="CC134">
        <v>13270.127930000001</v>
      </c>
      <c r="CD134" s="10">
        <v>9574.4756689999995</v>
      </c>
      <c r="CE134" s="255">
        <v>0.72150590555761118</v>
      </c>
      <c r="CF134" t="str">
        <f>IFERROR(VLOOKUP(CE134,'Rangos amb etnico'!$A$2:$C$6,3,9),"N.D.")</f>
        <v>71% - 100%</v>
      </c>
      <c r="CG134" s="256">
        <v>2.7855758977920797E-4</v>
      </c>
      <c r="CH134" s="232">
        <v>0</v>
      </c>
      <c r="CI134" s="311">
        <f t="shared" si="76"/>
        <v>0</v>
      </c>
      <c r="CJ134" s="232">
        <f>IFERROR(VLOOKUP(CI134,'Rangos amb etnico'!$A$2:$C$6,3,9),"N.D.")</f>
        <v>0</v>
      </c>
      <c r="CK134" s="311">
        <f t="shared" si="77"/>
        <v>0</v>
      </c>
      <c r="CL134" s="10">
        <v>0</v>
      </c>
      <c r="CM134" s="255">
        <f t="shared" si="78"/>
        <v>0</v>
      </c>
      <c r="CN134" s="232">
        <f>IFERROR(VLOOKUP(CM134,'Rangos amb etnico'!$A$2:$C$6,3,9),"N.D.")</f>
        <v>0</v>
      </c>
      <c r="CO134" s="311">
        <f t="shared" si="79"/>
        <v>0</v>
      </c>
      <c r="CP134">
        <v>0.9645536748667134</v>
      </c>
      <c r="CQ134" t="s">
        <v>2864</v>
      </c>
      <c r="CR134">
        <f t="shared" si="70"/>
        <v>3</v>
      </c>
      <c r="CS134" t="str">
        <f t="shared" si="80"/>
        <v>Candidato</v>
      </c>
      <c r="CT134">
        <v>0</v>
      </c>
      <c r="CU134">
        <v>0</v>
      </c>
      <c r="CV134" s="25">
        <v>61.686996459960938</v>
      </c>
      <c r="CW134" s="25">
        <v>52.517982482910163</v>
      </c>
      <c r="CX134" s="25">
        <v>62.459484100341797</v>
      </c>
      <c r="CY134" s="25">
        <v>63.463752746582031</v>
      </c>
      <c r="CZ134" s="25">
        <v>61.436794281005859</v>
      </c>
      <c r="DA134" s="25">
        <v>62.648471832275391</v>
      </c>
      <c r="DB134" s="25">
        <v>67.595497131347656</v>
      </c>
      <c r="DC134">
        <v>145</v>
      </c>
      <c r="DD134" s="253" t="s">
        <v>380</v>
      </c>
    </row>
    <row r="135" spans="1:108" hidden="1">
      <c r="A135" s="13">
        <v>73449</v>
      </c>
      <c r="B135" s="13" t="s">
        <v>733</v>
      </c>
      <c r="C135" s="13" t="s">
        <v>595</v>
      </c>
      <c r="D135" s="13" t="s">
        <v>596</v>
      </c>
      <c r="E135" s="13" t="s">
        <v>734</v>
      </c>
      <c r="F135" s="14">
        <v>56.528500000000001</v>
      </c>
      <c r="G135" s="13">
        <v>48.62</v>
      </c>
      <c r="H135" s="13">
        <v>71.87</v>
      </c>
      <c r="I135" s="13">
        <v>75.16</v>
      </c>
      <c r="J135" s="14">
        <v>70.277161221567539</v>
      </c>
      <c r="K135" s="14">
        <v>68.406912690948502</v>
      </c>
      <c r="L135" s="14">
        <v>66.309012693530534</v>
      </c>
      <c r="M135" s="14">
        <v>66.971000000000004</v>
      </c>
      <c r="N135" s="14">
        <f t="shared" si="54"/>
        <v>63.044625000000003</v>
      </c>
      <c r="O135" s="14">
        <f t="shared" si="55"/>
        <v>67.991021651511645</v>
      </c>
      <c r="P135" s="14">
        <f t="shared" si="71"/>
        <v>65.517823325755828</v>
      </c>
      <c r="Q135" s="14">
        <v>42.026446036458807</v>
      </c>
      <c r="R135" s="17">
        <f t="shared" si="56"/>
        <v>57.973553963541193</v>
      </c>
      <c r="S135" s="14">
        <f t="shared" si="72"/>
        <v>0.62176198567187069</v>
      </c>
      <c r="T135" s="13">
        <v>0</v>
      </c>
      <c r="U135" s="13">
        <f t="shared" si="73"/>
        <v>40.736491927920753</v>
      </c>
      <c r="V135" s="13">
        <f>IF($T135=1,$AU135,(VLOOKUP(U135,'Cortes naturales'!$A$35:$C$39,3,9)))</f>
        <v>2</v>
      </c>
      <c r="W135" s="13">
        <v>2</v>
      </c>
      <c r="X135" s="14" t="b">
        <f t="shared" si="57"/>
        <v>1</v>
      </c>
      <c r="Y135" s="17">
        <f>IF($T135=1,$AU135,VLOOKUP(U135,'Cortes naturales'!$A$45:$C$49,3,9))</f>
        <v>2</v>
      </c>
      <c r="Z135" s="14">
        <v>61.73196203789955</v>
      </c>
      <c r="AA135" s="14">
        <v>0.63142083751129807</v>
      </c>
      <c r="AB135" s="14">
        <v>38.978847171186196</v>
      </c>
      <c r="AC135" s="13">
        <v>2</v>
      </c>
      <c r="AD135" s="13">
        <f t="shared" si="58"/>
        <v>0</v>
      </c>
      <c r="AE135" s="14">
        <f t="shared" si="59"/>
        <v>3.7858612878562781</v>
      </c>
      <c r="AF135" s="14">
        <f t="shared" si="60"/>
        <v>-9.6588518394273848E-3</v>
      </c>
      <c r="AG135" s="13">
        <f t="shared" si="61"/>
        <v>1.7576447567345568</v>
      </c>
      <c r="AH135" s="13">
        <f>IF($T135=1,$AU135,VLOOKUP(U135,'Cortes naturales'!$A$25:$C$29,3,9))</f>
        <v>2</v>
      </c>
      <c r="AI135" s="13" t="b">
        <f t="shared" si="62"/>
        <v>1</v>
      </c>
      <c r="AJ135" s="13">
        <f t="shared" si="63"/>
        <v>0</v>
      </c>
      <c r="AK135" s="28">
        <v>0.9741882058902549</v>
      </c>
      <c r="AL135" s="28">
        <v>60.138549343786686</v>
      </c>
      <c r="AM135" s="28">
        <v>0.58164384844257311</v>
      </c>
      <c r="AN135" s="13">
        <v>2</v>
      </c>
      <c r="AO135" s="33">
        <f t="shared" si="64"/>
        <v>0</v>
      </c>
      <c r="AP135" s="13">
        <f t="shared" si="74"/>
        <v>58.164384844257313</v>
      </c>
      <c r="AQ135" s="13">
        <f>IFERROR(VLOOKUP(U135,'Cortes naturales'!$E$15:$G$19,3,9),U135)</f>
        <v>3</v>
      </c>
      <c r="AR135" s="28">
        <f t="shared" si="65"/>
        <v>-0.35242622021838421</v>
      </c>
      <c r="AS135" s="13" t="b">
        <f t="shared" si="66"/>
        <v>0</v>
      </c>
      <c r="AT135" s="13">
        <f t="shared" si="75"/>
        <v>0</v>
      </c>
      <c r="AU135" s="13">
        <v>2</v>
      </c>
      <c r="AV135">
        <f t="shared" si="67"/>
        <v>0</v>
      </c>
      <c r="AW135" s="13">
        <v>0</v>
      </c>
      <c r="AX135" s="13">
        <v>0</v>
      </c>
      <c r="AY135" s="13">
        <v>0</v>
      </c>
      <c r="AZ135" s="13">
        <v>0</v>
      </c>
      <c r="BA135">
        <v>0</v>
      </c>
      <c r="BB135" t="s">
        <v>2839</v>
      </c>
      <c r="BC135">
        <v>4</v>
      </c>
      <c r="BD135" t="s">
        <v>2919</v>
      </c>
      <c r="BE135">
        <v>0</v>
      </c>
      <c r="BF135" s="232" t="s">
        <v>2846</v>
      </c>
      <c r="BG135" s="232" t="s">
        <v>2845</v>
      </c>
      <c r="BH135" s="253">
        <v>19.7</v>
      </c>
      <c r="BI135" s="253">
        <v>9.4987119888668463</v>
      </c>
      <c r="BJ135" s="25">
        <v>0.81515151515151529</v>
      </c>
      <c r="BK135" t="s">
        <v>381</v>
      </c>
      <c r="BL135">
        <v>8.6547041174375874</v>
      </c>
      <c r="BM135" t="s">
        <v>379</v>
      </c>
      <c r="BN135" s="322">
        <v>106646.046754</v>
      </c>
      <c r="BO135" s="322">
        <v>41965.437109999999</v>
      </c>
      <c r="BP135" s="10">
        <v>39096</v>
      </c>
      <c r="BQ135" s="254">
        <f t="shared" si="68"/>
        <v>2.7277994361059954</v>
      </c>
      <c r="BR135" s="254">
        <f t="shared" si="69"/>
        <v>1.0733946467669326</v>
      </c>
      <c r="BS135" s="25">
        <v>77.686723340998313</v>
      </c>
      <c r="BT135" s="25">
        <v>97.026222565309311</v>
      </c>
      <c r="BU135" s="25">
        <v>71.69</v>
      </c>
      <c r="BV135" s="25">
        <v>87.232281875741492</v>
      </c>
      <c r="BW135" s="25">
        <v>69.796631479993266</v>
      </c>
      <c r="BX135" s="25">
        <v>83.408806945512282</v>
      </c>
      <c r="BY135" s="25">
        <v>71.372180075560649</v>
      </c>
      <c r="BZ135">
        <v>6</v>
      </c>
      <c r="CA135">
        <v>0</v>
      </c>
      <c r="CB135">
        <v>4</v>
      </c>
      <c r="CC135">
        <v>20199.633798999999</v>
      </c>
      <c r="CD135" s="10">
        <v>7025.0918819999997</v>
      </c>
      <c r="CE135" s="255">
        <v>0.34778313071931943</v>
      </c>
      <c r="CF135" t="str">
        <f>IFERROR(VLOOKUP(CE135,'Rangos amb etnico'!$A$2:$C$6,3,9),"N.D.")</f>
        <v>31% - 50%</v>
      </c>
      <c r="CG135" s="256">
        <v>2.0438640509196537E-4</v>
      </c>
      <c r="CH135" s="232">
        <v>0</v>
      </c>
      <c r="CI135" s="311">
        <f t="shared" si="76"/>
        <v>0</v>
      </c>
      <c r="CJ135" s="232">
        <f>IFERROR(VLOOKUP(CI135,'Rangos amb etnico'!$A$2:$C$6,3,9),"N.D.")</f>
        <v>0</v>
      </c>
      <c r="CK135" s="311">
        <f t="shared" si="77"/>
        <v>0</v>
      </c>
      <c r="CL135" s="10">
        <v>0</v>
      </c>
      <c r="CM135" s="255">
        <f t="shared" si="78"/>
        <v>0</v>
      </c>
      <c r="CN135" s="232">
        <f>IFERROR(VLOOKUP(CM135,'Rangos amb etnico'!$A$2:$C$6,3,9),"N.D.")</f>
        <v>0</v>
      </c>
      <c r="CO135" s="311">
        <f t="shared" si="79"/>
        <v>0</v>
      </c>
      <c r="CP135">
        <v>0.86047496173805538</v>
      </c>
      <c r="CQ135" t="s">
        <v>2864</v>
      </c>
      <c r="CR135">
        <f t="shared" si="70"/>
        <v>4</v>
      </c>
      <c r="CS135" t="str">
        <f t="shared" si="80"/>
        <v>Candidato</v>
      </c>
      <c r="CT135">
        <v>0</v>
      </c>
      <c r="CU135">
        <v>0</v>
      </c>
      <c r="CV135" s="25">
        <v>50.413681030273438</v>
      </c>
      <c r="CW135" s="25">
        <v>39.629734039306641</v>
      </c>
      <c r="CX135" s="25">
        <v>54.510982513427727</v>
      </c>
      <c r="CY135" s="25">
        <v>82.543632507324219</v>
      </c>
      <c r="CZ135" s="25">
        <v>47.028579711914063</v>
      </c>
      <c r="DA135" s="25">
        <v>33.344985961914063</v>
      </c>
      <c r="DB135" s="25">
        <v>45.424167633056641</v>
      </c>
      <c r="DC135">
        <v>986</v>
      </c>
      <c r="DD135" s="253" t="s">
        <v>380</v>
      </c>
    </row>
    <row r="136" spans="1:108" hidden="1">
      <c r="A136" s="13">
        <v>47980</v>
      </c>
      <c r="B136" s="13" t="s">
        <v>735</v>
      </c>
      <c r="C136" s="13" t="s">
        <v>638</v>
      </c>
      <c r="D136" s="13" t="s">
        <v>639</v>
      </c>
      <c r="E136" s="13" t="s">
        <v>736</v>
      </c>
      <c r="F136" s="14">
        <v>44.429666666666698</v>
      </c>
      <c r="G136" s="13">
        <v>68.98</v>
      </c>
      <c r="H136" s="13">
        <v>39.22</v>
      </c>
      <c r="I136" s="13">
        <v>38.380000000000003</v>
      </c>
      <c r="J136" s="14">
        <v>45.095008320651154</v>
      </c>
      <c r="K136" s="14">
        <v>61.655974091442808</v>
      </c>
      <c r="L136" s="14">
        <v>58.966856631611542</v>
      </c>
      <c r="M136" s="14">
        <v>54.317399999999999</v>
      </c>
      <c r="N136" s="14">
        <f t="shared" si="54"/>
        <v>47.752416666666676</v>
      </c>
      <c r="O136" s="14">
        <f t="shared" si="55"/>
        <v>55.008809760926376</v>
      </c>
      <c r="P136" s="14">
        <f t="shared" si="71"/>
        <v>51.380613213796522</v>
      </c>
      <c r="Q136" s="14">
        <v>41.747758639133906</v>
      </c>
      <c r="R136" s="17">
        <f t="shared" si="56"/>
        <v>58.252241360866094</v>
      </c>
      <c r="S136" s="14">
        <f t="shared" si="72"/>
        <v>0.62427017224779491</v>
      </c>
      <c r="T136" s="13">
        <v>0</v>
      </c>
      <c r="U136" s="13">
        <f t="shared" si="73"/>
        <v>32.075384261174079</v>
      </c>
      <c r="V136" s="13">
        <f>IF($T136=1,$AU136,(VLOOKUP(U136,'Cortes naturales'!$A$35:$C$39,3,9)))</f>
        <v>3</v>
      </c>
      <c r="W136" s="13">
        <v>3</v>
      </c>
      <c r="X136" s="14" t="b">
        <f t="shared" si="57"/>
        <v>1</v>
      </c>
      <c r="Y136" s="17">
        <f>IF($T136=1,$AU136,VLOOKUP(U136,'Cortes naturales'!$A$45:$C$49,3,9))</f>
        <v>3</v>
      </c>
      <c r="Z136" s="14">
        <v>53.374357373803974</v>
      </c>
      <c r="AA136" s="14">
        <v>0.63014417915940513</v>
      </c>
      <c r="AB136" s="14">
        <v>33.633540615476448</v>
      </c>
      <c r="AC136" s="13">
        <v>3</v>
      </c>
      <c r="AD136" s="13">
        <f t="shared" si="58"/>
        <v>0</v>
      </c>
      <c r="AE136" s="14">
        <f t="shared" si="59"/>
        <v>-1.9937441600074521</v>
      </c>
      <c r="AF136" s="14">
        <f t="shared" si="60"/>
        <v>-5.8740069116102189E-3</v>
      </c>
      <c r="AG136" s="13">
        <f t="shared" si="61"/>
        <v>-1.5581563543023691</v>
      </c>
      <c r="AH136" s="13">
        <f>IF($T136=1,$AU136,VLOOKUP(U136,'Cortes naturales'!$A$25:$C$29,3,9))</f>
        <v>3</v>
      </c>
      <c r="AI136" s="13" t="b">
        <f t="shared" si="62"/>
        <v>1</v>
      </c>
      <c r="AJ136" s="13">
        <f t="shared" si="63"/>
        <v>0</v>
      </c>
      <c r="AK136" s="28">
        <v>0.9741882058902549</v>
      </c>
      <c r="AL136" s="28">
        <v>51.996669450531392</v>
      </c>
      <c r="AM136" s="28">
        <v>0.47979751332832127</v>
      </c>
      <c r="AN136" s="13">
        <v>2</v>
      </c>
      <c r="AO136" s="33">
        <f t="shared" si="64"/>
        <v>-1</v>
      </c>
      <c r="AP136" s="13">
        <f t="shared" si="74"/>
        <v>47.97975133283213</v>
      </c>
      <c r="AQ136" s="13">
        <f>IFERROR(VLOOKUP(U136,'Cortes naturales'!$E$15:$G$19,3,9),U136)</f>
        <v>4</v>
      </c>
      <c r="AR136" s="28">
        <f t="shared" si="65"/>
        <v>-0.34991803364245999</v>
      </c>
      <c r="AS136" s="13" t="b">
        <f t="shared" si="66"/>
        <v>0</v>
      </c>
      <c r="AT136" s="13" t="str">
        <f t="shared" si="75"/>
        <v>Cambio en corte</v>
      </c>
      <c r="AU136" s="13">
        <v>3</v>
      </c>
      <c r="AV136">
        <f t="shared" si="67"/>
        <v>0</v>
      </c>
      <c r="AW136" s="13">
        <v>0</v>
      </c>
      <c r="AX136" s="13">
        <v>0</v>
      </c>
      <c r="AY136" s="13">
        <v>0</v>
      </c>
      <c r="AZ136" s="13">
        <v>0</v>
      </c>
      <c r="BA136">
        <v>0</v>
      </c>
      <c r="BB136" t="s">
        <v>2839</v>
      </c>
      <c r="BC136">
        <v>6</v>
      </c>
      <c r="BD136" t="s">
        <v>2919</v>
      </c>
      <c r="BE136">
        <v>0</v>
      </c>
      <c r="BF136" s="232" t="s">
        <v>2846</v>
      </c>
      <c r="BG136" s="232" t="s">
        <v>2846</v>
      </c>
      <c r="BH136" s="253">
        <v>48.6</v>
      </c>
      <c r="BI136" s="253">
        <v>28.765605820185023</v>
      </c>
      <c r="BJ136" s="25">
        <v>0</v>
      </c>
      <c r="BK136" t="s">
        <v>381</v>
      </c>
      <c r="BL136">
        <v>11.471197297021114</v>
      </c>
      <c r="BM136" t="s">
        <v>376</v>
      </c>
      <c r="BN136" s="322">
        <v>94620.542662000007</v>
      </c>
      <c r="BO136" s="322">
        <v>9461.1854380000004</v>
      </c>
      <c r="BP136" s="10">
        <v>79037</v>
      </c>
      <c r="BQ136" s="254">
        <f t="shared" si="68"/>
        <v>1.1971676893353747</v>
      </c>
      <c r="BR136" s="254">
        <f t="shared" si="69"/>
        <v>0.11970577625668991</v>
      </c>
      <c r="BS136" s="25">
        <v>66.435721361809996</v>
      </c>
      <c r="BT136" s="25">
        <v>88.138349782675618</v>
      </c>
      <c r="BU136" s="25">
        <v>38.70972504402004</v>
      </c>
      <c r="BV136" s="25">
        <v>85.05311172344652</v>
      </c>
      <c r="BW136" s="25">
        <v>31.411044959128439</v>
      </c>
      <c r="BX136" s="25">
        <v>69.584226977988052</v>
      </c>
      <c r="BY136" s="25">
        <v>31.900721922559079</v>
      </c>
      <c r="BZ136">
        <v>42</v>
      </c>
      <c r="CA136">
        <v>0</v>
      </c>
      <c r="CB136">
        <v>7</v>
      </c>
      <c r="CC136">
        <v>41803.021792</v>
      </c>
      <c r="CD136" s="10">
        <v>34022.139784999999</v>
      </c>
      <c r="CE136" s="255">
        <v>0.81386795323755623</v>
      </c>
      <c r="CF136" t="str">
        <f>IFERROR(VLOOKUP(CE136,'Rangos amb etnico'!$A$2:$C$6,3,9),"N.D.")</f>
        <v>71% - 100%</v>
      </c>
      <c r="CG136" s="256">
        <v>9.898322984229521E-4</v>
      </c>
      <c r="CH136" s="232">
        <v>0</v>
      </c>
      <c r="CI136" s="311">
        <f t="shared" si="76"/>
        <v>0</v>
      </c>
      <c r="CJ136" s="232">
        <f>IFERROR(VLOOKUP(CI136,'Rangos amb etnico'!$A$2:$C$6,3,9),"N.D.")</f>
        <v>0</v>
      </c>
      <c r="CK136" s="311">
        <f t="shared" si="77"/>
        <v>0</v>
      </c>
      <c r="CL136" s="10">
        <v>0</v>
      </c>
      <c r="CM136" s="255">
        <f t="shared" si="78"/>
        <v>0</v>
      </c>
      <c r="CN136" s="232">
        <f>IFERROR(VLOOKUP(CM136,'Rangos amb etnico'!$A$2:$C$6,3,9),"N.D.")</f>
        <v>0</v>
      </c>
      <c r="CO136" s="311">
        <f t="shared" si="79"/>
        <v>0</v>
      </c>
      <c r="CP136">
        <v>0.91186251287521736</v>
      </c>
      <c r="CQ136" t="s">
        <v>2864</v>
      </c>
      <c r="CR136">
        <f t="shared" si="70"/>
        <v>1</v>
      </c>
      <c r="CS136" t="str">
        <f t="shared" si="80"/>
        <v>No es Candidato</v>
      </c>
      <c r="CT136">
        <v>0</v>
      </c>
      <c r="CU136">
        <v>0</v>
      </c>
      <c r="CV136" s="25">
        <v>47.2689208984375</v>
      </c>
      <c r="CW136" s="25">
        <v>38.386219024658203</v>
      </c>
      <c r="CX136" s="25">
        <v>53.249202728271477</v>
      </c>
      <c r="CY136" s="25">
        <v>73.319000244140625</v>
      </c>
      <c r="CZ136" s="25">
        <v>23.758256912231449</v>
      </c>
      <c r="DA136" s="25">
        <v>45.844390869140618</v>
      </c>
      <c r="DB136" s="25">
        <v>49.056453704833977</v>
      </c>
      <c r="DC136">
        <v>31866</v>
      </c>
      <c r="DD136" s="253" t="s">
        <v>380</v>
      </c>
    </row>
    <row r="137" spans="1:108" hidden="1">
      <c r="A137" s="13">
        <v>76622</v>
      </c>
      <c r="B137" s="13" t="s">
        <v>737</v>
      </c>
      <c r="C137" s="13" t="s">
        <v>454</v>
      </c>
      <c r="D137" s="13" t="s">
        <v>455</v>
      </c>
      <c r="E137" s="13" t="s">
        <v>738</v>
      </c>
      <c r="F137" s="14">
        <v>68.873633333333302</v>
      </c>
      <c r="G137" s="13">
        <v>80.900000000000006</v>
      </c>
      <c r="H137" s="13">
        <v>73.89</v>
      </c>
      <c r="I137" s="13">
        <v>88.49</v>
      </c>
      <c r="J137" s="14">
        <v>49.740680454469704</v>
      </c>
      <c r="K137" s="14">
        <v>60.932765296792141</v>
      </c>
      <c r="L137" s="14">
        <v>63.735014887961789</v>
      </c>
      <c r="M137" s="14">
        <v>60.415300000000002</v>
      </c>
      <c r="N137" s="14">
        <f t="shared" si="54"/>
        <v>78.038408333333322</v>
      </c>
      <c r="O137" s="14">
        <f t="shared" si="55"/>
        <v>58.705940159805913</v>
      </c>
      <c r="P137" s="14">
        <f t="shared" si="71"/>
        <v>68.372174246569614</v>
      </c>
      <c r="Q137" s="14">
        <v>42.745301652690749</v>
      </c>
      <c r="R137" s="17">
        <f t="shared" si="56"/>
        <v>57.254698347309251</v>
      </c>
      <c r="S137" s="14">
        <f t="shared" si="72"/>
        <v>0.61529228512578327</v>
      </c>
      <c r="T137" s="13">
        <v>0</v>
      </c>
      <c r="U137" s="13">
        <f t="shared" si="73"/>
        <v>42.068871331190046</v>
      </c>
      <c r="V137" s="13">
        <f>IF($T137=1,$AU137,(VLOOKUP(U137,'Cortes naturales'!$A$35:$C$39,3,9)))</f>
        <v>2</v>
      </c>
      <c r="W137" s="13">
        <v>2</v>
      </c>
      <c r="X137" s="14" t="b">
        <f t="shared" si="57"/>
        <v>1</v>
      </c>
      <c r="Y137" s="17">
        <f>IF($T137=1,$AU137,VLOOKUP(U137,'Cortes naturales'!$A$45:$C$49,3,9))</f>
        <v>2</v>
      </c>
      <c r="Z137" s="14">
        <v>65.09802597217211</v>
      </c>
      <c r="AA137" s="14">
        <v>0.62928232836852582</v>
      </c>
      <c r="AB137" s="14">
        <v>40.965037355963233</v>
      </c>
      <c r="AC137" s="13">
        <v>2</v>
      </c>
      <c r="AD137" s="13">
        <f t="shared" si="58"/>
        <v>0</v>
      </c>
      <c r="AE137" s="14">
        <f t="shared" si="59"/>
        <v>3.2741482743975041</v>
      </c>
      <c r="AF137" s="14">
        <f t="shared" si="60"/>
        <v>-1.3990043242742556E-2</v>
      </c>
      <c r="AG137" s="13">
        <f t="shared" si="61"/>
        <v>1.1038339752268129</v>
      </c>
      <c r="AH137" s="13">
        <f>IF($T137=1,$AU137,VLOOKUP(U137,'Cortes naturales'!$A$25:$C$29,3,9))</f>
        <v>2</v>
      </c>
      <c r="AI137" s="13" t="b">
        <f t="shared" si="62"/>
        <v>1</v>
      </c>
      <c r="AJ137" s="13">
        <f t="shared" si="63"/>
        <v>0</v>
      </c>
      <c r="AK137" s="28">
        <v>0.9741882058902549</v>
      </c>
      <c r="AL137" s="28">
        <v>63.417729128827567</v>
      </c>
      <c r="AM137" s="28">
        <v>0.62266293097212699</v>
      </c>
      <c r="AN137" s="13">
        <v>2</v>
      </c>
      <c r="AO137" s="33">
        <f t="shared" si="64"/>
        <v>0</v>
      </c>
      <c r="AP137" s="13">
        <f t="shared" si="74"/>
        <v>62.266293097212696</v>
      </c>
      <c r="AQ137" s="13">
        <f>IFERROR(VLOOKUP(U137,'Cortes naturales'!$E$15:$G$19,3,9),U137)</f>
        <v>3</v>
      </c>
      <c r="AR137" s="28">
        <f t="shared" si="65"/>
        <v>-0.35889592076447163</v>
      </c>
      <c r="AS137" s="13" t="b">
        <f t="shared" si="66"/>
        <v>0</v>
      </c>
      <c r="AT137" s="13">
        <f t="shared" si="75"/>
        <v>0</v>
      </c>
      <c r="AU137" s="13">
        <v>2</v>
      </c>
      <c r="AV137">
        <f t="shared" si="67"/>
        <v>0</v>
      </c>
      <c r="AW137" s="13">
        <v>0</v>
      </c>
      <c r="AX137" s="13">
        <v>0</v>
      </c>
      <c r="AY137" s="13">
        <v>0</v>
      </c>
      <c r="AZ137" s="13">
        <v>0</v>
      </c>
      <c r="BA137">
        <v>1</v>
      </c>
      <c r="BB137" t="s">
        <v>2839</v>
      </c>
      <c r="BC137">
        <v>6</v>
      </c>
      <c r="BD137" t="s">
        <v>2919</v>
      </c>
      <c r="BE137">
        <v>1</v>
      </c>
      <c r="BF137" s="232" t="s">
        <v>2846</v>
      </c>
      <c r="BG137" s="232" t="s">
        <v>2846</v>
      </c>
      <c r="BH137" s="253">
        <v>16.5</v>
      </c>
      <c r="BI137" s="253">
        <v>5.8094451153626139</v>
      </c>
      <c r="BJ137" s="25">
        <v>6.3121881974587311</v>
      </c>
      <c r="BK137" t="s">
        <v>377</v>
      </c>
      <c r="BL137">
        <v>5.3139762711402296</v>
      </c>
      <c r="BM137" t="s">
        <v>383</v>
      </c>
      <c r="BN137" s="322">
        <v>58223.308254000003</v>
      </c>
      <c r="BO137" s="322">
        <v>12843.202748</v>
      </c>
      <c r="BP137" s="10">
        <v>38443</v>
      </c>
      <c r="BQ137" s="254">
        <f t="shared" si="68"/>
        <v>1.5145360209661058</v>
      </c>
      <c r="BR137" s="254">
        <f t="shared" si="69"/>
        <v>0.33408430008063889</v>
      </c>
      <c r="BS137" s="25">
        <v>61.882300718602771</v>
      </c>
      <c r="BT137" s="25">
        <v>97.863830036248103</v>
      </c>
      <c r="BU137" s="25">
        <v>58.595063928070601</v>
      </c>
      <c r="BV137" s="25">
        <v>82.793756958695752</v>
      </c>
      <c r="BW137" s="25">
        <v>58.171047433342011</v>
      </c>
      <c r="BX137" s="25">
        <v>75.283737910404312</v>
      </c>
      <c r="BY137" s="25">
        <v>58.539565002455888</v>
      </c>
      <c r="BZ137">
        <v>66</v>
      </c>
      <c r="CA137">
        <v>0</v>
      </c>
      <c r="CB137">
        <v>6</v>
      </c>
      <c r="CC137">
        <v>23516.663514</v>
      </c>
      <c r="CD137" s="10">
        <v>14153.714690999999</v>
      </c>
      <c r="CE137" s="255">
        <v>0.6018589619473006</v>
      </c>
      <c r="CF137" t="str">
        <f>IFERROR(VLOOKUP(CE137,'Rangos amb etnico'!$A$2:$C$6,3,9),"N.D.")</f>
        <v>51% - 70%</v>
      </c>
      <c r="CG137" s="256">
        <v>4.1178491512729615E-4</v>
      </c>
      <c r="CH137" s="232">
        <v>0</v>
      </c>
      <c r="CI137" s="311">
        <f t="shared" si="76"/>
        <v>0</v>
      </c>
      <c r="CJ137" s="232">
        <f>IFERROR(VLOOKUP(CI137,'Rangos amb etnico'!$A$2:$C$6,3,9),"N.D.")</f>
        <v>0</v>
      </c>
      <c r="CK137" s="311">
        <f t="shared" si="77"/>
        <v>0</v>
      </c>
      <c r="CL137" s="10">
        <v>0</v>
      </c>
      <c r="CM137" s="255">
        <f t="shared" si="78"/>
        <v>0</v>
      </c>
      <c r="CN137" s="232">
        <f>IFERROR(VLOOKUP(CM137,'Rangos amb etnico'!$A$2:$C$6,3,9),"N.D.")</f>
        <v>0</v>
      </c>
      <c r="CO137" s="311">
        <f t="shared" si="79"/>
        <v>0</v>
      </c>
      <c r="CP137">
        <v>0.86860835273699766</v>
      </c>
      <c r="CQ137" t="s">
        <v>2864</v>
      </c>
      <c r="CR137">
        <f t="shared" si="70"/>
        <v>3</v>
      </c>
      <c r="CS137" t="str">
        <f t="shared" si="80"/>
        <v>Candidato</v>
      </c>
      <c r="CT137">
        <v>0</v>
      </c>
      <c r="CU137">
        <v>0</v>
      </c>
      <c r="CV137" s="25">
        <v>54.798202514648438</v>
      </c>
      <c r="CW137" s="25">
        <v>37.849781036376953</v>
      </c>
      <c r="CX137" s="25">
        <v>55.811206817626953</v>
      </c>
      <c r="CY137" s="25">
        <v>67.831504821777344</v>
      </c>
      <c r="CZ137" s="25">
        <v>62.517612457275391</v>
      </c>
      <c r="DA137" s="25">
        <v>42.725822448730469</v>
      </c>
      <c r="DB137" s="25">
        <v>62.053291320800781</v>
      </c>
      <c r="DC137">
        <v>987</v>
      </c>
      <c r="DD137" s="253" t="s">
        <v>380</v>
      </c>
    </row>
    <row r="138" spans="1:108" hidden="1">
      <c r="A138" s="13">
        <v>23001</v>
      </c>
      <c r="B138" s="13" t="s">
        <v>739</v>
      </c>
      <c r="C138" s="13" t="s">
        <v>567</v>
      </c>
      <c r="D138" s="13" t="s">
        <v>568</v>
      </c>
      <c r="E138" s="13" t="s">
        <v>740</v>
      </c>
      <c r="F138" s="14">
        <v>69.881166666666701</v>
      </c>
      <c r="G138" s="13">
        <v>75.25</v>
      </c>
      <c r="H138" s="13">
        <v>79.16</v>
      </c>
      <c r="I138" s="13">
        <v>82.49</v>
      </c>
      <c r="J138" s="14">
        <v>63.839104212441619</v>
      </c>
      <c r="K138" s="14">
        <v>53.602182661820805</v>
      </c>
      <c r="L138" s="14">
        <v>66.383182195661163</v>
      </c>
      <c r="M138" s="14">
        <v>66.782200000000003</v>
      </c>
      <c r="N138" s="14">
        <f t="shared" si="54"/>
        <v>76.695291666666677</v>
      </c>
      <c r="O138" s="14">
        <f t="shared" si="55"/>
        <v>62.651667267480903</v>
      </c>
      <c r="P138" s="14">
        <f t="shared" si="71"/>
        <v>69.67347946707379</v>
      </c>
      <c r="Q138" s="14">
        <v>41.874444887687226</v>
      </c>
      <c r="R138" s="17">
        <f t="shared" si="56"/>
        <v>58.125555112312774</v>
      </c>
      <c r="S138" s="14">
        <f t="shared" si="72"/>
        <v>0.62312999601081498</v>
      </c>
      <c r="T138" s="13">
        <v>0</v>
      </c>
      <c r="U138" s="13">
        <f t="shared" si="73"/>
        <v>43.415634982377291</v>
      </c>
      <c r="V138" s="13">
        <f>IF($T138=1,$AU138,(VLOOKUP(U138,'Cortes naturales'!$A$35:$C$39,3,9)))</f>
        <v>2</v>
      </c>
      <c r="W138" s="13">
        <v>2</v>
      </c>
      <c r="X138" s="14" t="b">
        <f t="shared" si="57"/>
        <v>1</v>
      </c>
      <c r="Y138" s="17">
        <f>IF($T138=1,$AU138,VLOOKUP(U138,'Cortes naturales'!$A$45:$C$49,3,9))</f>
        <v>2</v>
      </c>
      <c r="Z138" s="14">
        <v>67.013423239218184</v>
      </c>
      <c r="AA138" s="14">
        <v>0.62957121409749717</v>
      </c>
      <c r="AB138" s="14">
        <v>42.189722229544024</v>
      </c>
      <c r="AC138" s="13">
        <v>2</v>
      </c>
      <c r="AD138" s="13">
        <f t="shared" si="58"/>
        <v>0</v>
      </c>
      <c r="AE138" s="14">
        <f t="shared" si="59"/>
        <v>2.6600562278556055</v>
      </c>
      <c r="AF138" s="14">
        <f t="shared" si="60"/>
        <v>-6.4412180866821878E-3</v>
      </c>
      <c r="AG138" s="13">
        <f t="shared" si="61"/>
        <v>1.2259127528332669</v>
      </c>
      <c r="AH138" s="13">
        <f>IF($T138=1,$AU138,VLOOKUP(U138,'Cortes naturales'!$A$25:$C$29,3,9))</f>
        <v>2</v>
      </c>
      <c r="AI138" s="13" t="b">
        <f t="shared" si="62"/>
        <v>1</v>
      </c>
      <c r="AJ138" s="13">
        <f t="shared" si="63"/>
        <v>0</v>
      </c>
      <c r="AK138" s="28">
        <v>0.9741882058902549</v>
      </c>
      <c r="AL138" s="28">
        <v>65.283686555978278</v>
      </c>
      <c r="AM138" s="28">
        <v>0.64600409148125559</v>
      </c>
      <c r="AN138" s="13">
        <v>1</v>
      </c>
      <c r="AO138" s="33">
        <f t="shared" si="64"/>
        <v>-1</v>
      </c>
      <c r="AP138" s="13">
        <f t="shared" si="74"/>
        <v>64.600409148125564</v>
      </c>
      <c r="AQ138" s="13">
        <f>IFERROR(VLOOKUP(U138,'Cortes naturales'!$E$15:$G$19,3,9),U138)</f>
        <v>3</v>
      </c>
      <c r="AR138" s="28">
        <f t="shared" si="65"/>
        <v>-0.35105820987943992</v>
      </c>
      <c r="AS138" s="13" t="b">
        <f t="shared" si="66"/>
        <v>0</v>
      </c>
      <c r="AT138" s="13" t="str">
        <f t="shared" si="75"/>
        <v>Cambio en corte</v>
      </c>
      <c r="AU138" s="13">
        <v>2</v>
      </c>
      <c r="AV138">
        <f t="shared" si="67"/>
        <v>0</v>
      </c>
      <c r="AW138" s="13">
        <v>1</v>
      </c>
      <c r="AX138" s="13">
        <v>0</v>
      </c>
      <c r="AY138" s="13">
        <v>0</v>
      </c>
      <c r="AZ138" s="13">
        <v>0</v>
      </c>
      <c r="BA138">
        <v>0</v>
      </c>
      <c r="BB138" t="s">
        <v>2838</v>
      </c>
      <c r="BC138">
        <v>1</v>
      </c>
      <c r="BD138" t="s">
        <v>2920</v>
      </c>
      <c r="BE138">
        <v>0</v>
      </c>
      <c r="BF138" s="232" t="s">
        <v>2845</v>
      </c>
      <c r="BG138" s="232" t="s">
        <v>2846</v>
      </c>
      <c r="BH138" s="253">
        <v>27.1</v>
      </c>
      <c r="BI138" s="253">
        <v>18.79873585312524</v>
      </c>
      <c r="BJ138" s="25">
        <v>4.5196759767639376</v>
      </c>
      <c r="BK138" t="s">
        <v>381</v>
      </c>
      <c r="BL138">
        <v>1.8118328652283286</v>
      </c>
      <c r="BM138" t="s">
        <v>383</v>
      </c>
      <c r="BN138" s="322">
        <v>1444683.443285</v>
      </c>
      <c r="BO138" s="322">
        <v>305482.44757199998</v>
      </c>
      <c r="BP138" s="10">
        <v>563597</v>
      </c>
      <c r="BQ138" s="254">
        <f t="shared" si="68"/>
        <v>2.5633270639925336</v>
      </c>
      <c r="BR138" s="254">
        <f t="shared" si="69"/>
        <v>0.54202284180362914</v>
      </c>
      <c r="BS138" s="25">
        <v>66.131543333044334</v>
      </c>
      <c r="BT138" s="25">
        <v>94.12465904407297</v>
      </c>
      <c r="BU138" s="25">
        <v>63.722096157714731</v>
      </c>
      <c r="BV138" s="25">
        <v>91.66530852314763</v>
      </c>
      <c r="BW138" s="25">
        <v>59.97971040093546</v>
      </c>
      <c r="BX138" s="25">
        <v>78.910901764494909</v>
      </c>
      <c r="BY138" s="25">
        <v>61.324054068365633</v>
      </c>
      <c r="BZ138">
        <v>56</v>
      </c>
      <c r="CA138">
        <v>1</v>
      </c>
      <c r="CB138">
        <v>3</v>
      </c>
      <c r="CC138">
        <v>313734.68645899999</v>
      </c>
      <c r="CD138" s="10">
        <v>18588.400783000001</v>
      </c>
      <c r="CE138" s="255">
        <v>5.9248790730792214E-2</v>
      </c>
      <c r="CF138" t="str">
        <f>IFERROR(VLOOKUP(CE138,'Rangos amb etnico'!$A$2:$C$6,3,9),"N.D.")</f>
        <v>0,1% - 30%</v>
      </c>
      <c r="CG138" s="256">
        <v>5.4080665082553074E-4</v>
      </c>
      <c r="CH138" s="232">
        <v>0</v>
      </c>
      <c r="CI138" s="311">
        <f t="shared" si="76"/>
        <v>0</v>
      </c>
      <c r="CJ138" s="232">
        <f>IFERROR(VLOOKUP(CI138,'Rangos amb etnico'!$A$2:$C$6,3,9),"N.D.")</f>
        <v>0</v>
      </c>
      <c r="CK138" s="311">
        <f t="shared" si="77"/>
        <v>0</v>
      </c>
      <c r="CL138" s="10">
        <v>0</v>
      </c>
      <c r="CM138" s="255">
        <f t="shared" si="78"/>
        <v>0</v>
      </c>
      <c r="CN138" s="232">
        <f>IFERROR(VLOOKUP(CM138,'Rangos amb etnico'!$A$2:$C$6,3,9),"N.D.")</f>
        <v>0</v>
      </c>
      <c r="CO138" s="311">
        <f t="shared" si="79"/>
        <v>0</v>
      </c>
      <c r="CP138">
        <v>0.85297025067947685</v>
      </c>
      <c r="CQ138" t="s">
        <v>2864</v>
      </c>
      <c r="CR138">
        <f t="shared" si="70"/>
        <v>4</v>
      </c>
      <c r="CS138" t="str">
        <f t="shared" si="80"/>
        <v>Candidato</v>
      </c>
      <c r="CT138">
        <v>0</v>
      </c>
      <c r="CU138">
        <v>0</v>
      </c>
      <c r="CV138" s="25">
        <v>55.956962585449219</v>
      </c>
      <c r="CW138" s="25">
        <v>54.819961547851563</v>
      </c>
      <c r="CX138" s="25">
        <v>41.673629760742188</v>
      </c>
      <c r="CY138" s="25">
        <v>61.41143798828125</v>
      </c>
      <c r="CZ138" s="25">
        <v>56.489345550537109</v>
      </c>
      <c r="DA138" s="25">
        <v>66.874351501464844</v>
      </c>
      <c r="DB138" s="25">
        <v>54.473045349121087</v>
      </c>
      <c r="DC138">
        <v>24432</v>
      </c>
      <c r="DD138" s="253">
        <v>4.9183248106311082</v>
      </c>
    </row>
    <row r="139" spans="1:108" hidden="1">
      <c r="A139" s="13">
        <v>66682</v>
      </c>
      <c r="B139" s="13" t="s">
        <v>741</v>
      </c>
      <c r="C139" s="13" t="s">
        <v>467</v>
      </c>
      <c r="D139" s="13" t="s">
        <v>468</v>
      </c>
      <c r="E139" s="13" t="s">
        <v>742</v>
      </c>
      <c r="F139" s="14">
        <v>77.905933333333294</v>
      </c>
      <c r="G139" s="13">
        <v>71.48</v>
      </c>
      <c r="H139" s="13">
        <v>74.3</v>
      </c>
      <c r="I139" s="13">
        <v>59.55</v>
      </c>
      <c r="J139" s="14">
        <v>52.554566570822708</v>
      </c>
      <c r="K139" s="14">
        <v>59.618381886090475</v>
      </c>
      <c r="L139" s="14">
        <v>59.826301499548023</v>
      </c>
      <c r="M139" s="14">
        <v>50.483800000000002</v>
      </c>
      <c r="N139" s="14">
        <f t="shared" si="54"/>
        <v>70.80898333333333</v>
      </c>
      <c r="O139" s="14">
        <f t="shared" si="55"/>
        <v>55.6207624891153</v>
      </c>
      <c r="P139" s="14">
        <f t="shared" si="71"/>
        <v>63.214872911224319</v>
      </c>
      <c r="Q139" s="14">
        <v>42.955516967471311</v>
      </c>
      <c r="R139" s="17">
        <f t="shared" si="56"/>
        <v>57.044483032528689</v>
      </c>
      <c r="S139" s="14">
        <f t="shared" si="72"/>
        <v>0.61340034729275827</v>
      </c>
      <c r="T139" s="13">
        <v>0</v>
      </c>
      <c r="U139" s="13">
        <f t="shared" si="73"/>
        <v>38.776024997812577</v>
      </c>
      <c r="V139" s="13">
        <f>IF($T139=1,$AU139,(VLOOKUP(U139,'Cortes naturales'!$A$35:$C$39,3,9)))</f>
        <v>2</v>
      </c>
      <c r="W139" s="13">
        <v>2</v>
      </c>
      <c r="X139" s="14" t="b">
        <f t="shared" si="57"/>
        <v>1</v>
      </c>
      <c r="Y139" s="17">
        <f>IF($T139=1,$AU139,VLOOKUP(U139,'Cortes naturales'!$A$45:$C$49,3,9))</f>
        <v>2</v>
      </c>
      <c r="Z139" s="14">
        <v>65.98591344109326</v>
      </c>
      <c r="AA139" s="14">
        <v>0.62753054980226219</v>
      </c>
      <c r="AB139" s="14">
        <v>41.408176540893734</v>
      </c>
      <c r="AC139" s="13">
        <v>2</v>
      </c>
      <c r="AD139" s="13">
        <f t="shared" si="58"/>
        <v>0</v>
      </c>
      <c r="AE139" s="14">
        <f t="shared" si="59"/>
        <v>-2.7710405298689409</v>
      </c>
      <c r="AF139" s="14">
        <f t="shared" si="60"/>
        <v>-1.413020250950392E-2</v>
      </c>
      <c r="AG139" s="13">
        <f t="shared" si="61"/>
        <v>-2.6321515430811573</v>
      </c>
      <c r="AH139" s="13">
        <f>IF($T139=1,$AU139,VLOOKUP(U139,'Cortes naturales'!$A$25:$C$29,3,9))</f>
        <v>2</v>
      </c>
      <c r="AI139" s="13" t="b">
        <f t="shared" si="62"/>
        <v>1</v>
      </c>
      <c r="AJ139" s="13">
        <f t="shared" si="63"/>
        <v>0</v>
      </c>
      <c r="AK139" s="28">
        <v>0.9741882058902549</v>
      </c>
      <c r="AL139" s="28">
        <v>64.282698629208298</v>
      </c>
      <c r="AM139" s="28">
        <v>0.63348278765809451</v>
      </c>
      <c r="AN139" s="13">
        <v>2</v>
      </c>
      <c r="AO139" s="33">
        <f t="shared" si="64"/>
        <v>0</v>
      </c>
      <c r="AP139" s="13">
        <f t="shared" si="74"/>
        <v>63.348278765809454</v>
      </c>
      <c r="AQ139" s="13">
        <f>IFERROR(VLOOKUP(U139,'Cortes naturales'!$E$15:$G$19,3,9),U139)</f>
        <v>3</v>
      </c>
      <c r="AR139" s="28">
        <f t="shared" si="65"/>
        <v>-0.36078785859749662</v>
      </c>
      <c r="AS139" s="13" t="b">
        <f t="shared" si="66"/>
        <v>0</v>
      </c>
      <c r="AT139" s="13">
        <f t="shared" si="75"/>
        <v>0</v>
      </c>
      <c r="AU139" s="13">
        <v>1</v>
      </c>
      <c r="AV139">
        <f t="shared" si="67"/>
        <v>-1</v>
      </c>
      <c r="AW139" s="13">
        <v>0</v>
      </c>
      <c r="AX139" s="13">
        <v>1</v>
      </c>
      <c r="AY139" s="13">
        <v>0</v>
      </c>
      <c r="AZ139" s="13">
        <v>0</v>
      </c>
      <c r="BA139">
        <v>0</v>
      </c>
      <c r="BB139" t="s">
        <v>2838</v>
      </c>
      <c r="BC139">
        <v>4</v>
      </c>
      <c r="BD139" s="184" t="s">
        <v>2917</v>
      </c>
      <c r="BE139">
        <v>1</v>
      </c>
      <c r="BF139" s="232" t="s">
        <v>2846</v>
      </c>
      <c r="BG139" s="232" t="s">
        <v>2845</v>
      </c>
      <c r="BH139" s="253">
        <v>21.2</v>
      </c>
      <c r="BI139" s="253">
        <v>7.7083274303686284</v>
      </c>
      <c r="BJ139" s="25">
        <v>5.9433370743813478</v>
      </c>
      <c r="BK139" t="s">
        <v>377</v>
      </c>
      <c r="BL139">
        <v>2.2452900289234963</v>
      </c>
      <c r="BM139" t="s">
        <v>383</v>
      </c>
      <c r="BN139" s="322">
        <v>124643.520189</v>
      </c>
      <c r="BO139" s="322">
        <v>40069.960076000003</v>
      </c>
      <c r="BP139" s="10">
        <v>83030</v>
      </c>
      <c r="BQ139" s="254">
        <f t="shared" si="68"/>
        <v>1.5011865613513189</v>
      </c>
      <c r="BR139" s="254">
        <f t="shared" si="69"/>
        <v>0.48259617097434665</v>
      </c>
      <c r="BS139" s="25">
        <v>69.358429944375473</v>
      </c>
      <c r="BT139" s="25">
        <v>92.237404661756671</v>
      </c>
      <c r="BU139" s="25">
        <v>67.161666666666676</v>
      </c>
      <c r="BV139" s="25">
        <v>87.66676532373306</v>
      </c>
      <c r="BW139" s="25">
        <v>63.80266258379978</v>
      </c>
      <c r="BX139" s="25">
        <v>79.10606664913297</v>
      </c>
      <c r="BY139" s="25">
        <v>65.443597336693671</v>
      </c>
      <c r="BZ139">
        <v>49</v>
      </c>
      <c r="CA139">
        <v>0</v>
      </c>
      <c r="CB139">
        <v>5</v>
      </c>
      <c r="CC139">
        <v>54332.923053999999</v>
      </c>
      <c r="CD139" s="10">
        <v>42835.395127999996</v>
      </c>
      <c r="CE139" s="255">
        <v>0.78838745865793147</v>
      </c>
      <c r="CF139" t="str">
        <f>IFERROR(VLOOKUP(CE139,'Rangos amb etnico'!$A$2:$C$6,3,9),"N.D.")</f>
        <v>71% - 100%</v>
      </c>
      <c r="CG139" s="256">
        <v>1.2462431193730268E-3</v>
      </c>
      <c r="CH139" s="232">
        <v>0</v>
      </c>
      <c r="CI139" s="311">
        <f t="shared" si="76"/>
        <v>0</v>
      </c>
      <c r="CJ139" s="232">
        <f>IFERROR(VLOOKUP(CI139,'Rangos amb etnico'!$A$2:$C$6,3,9),"N.D.")</f>
        <v>0</v>
      </c>
      <c r="CK139" s="311">
        <f t="shared" si="77"/>
        <v>0</v>
      </c>
      <c r="CL139" s="10">
        <v>0</v>
      </c>
      <c r="CM139" s="255">
        <f t="shared" si="78"/>
        <v>0</v>
      </c>
      <c r="CN139" s="232">
        <f>IFERROR(VLOOKUP(CM139,'Rangos amb etnico'!$A$2:$C$6,3,9),"N.D.")</f>
        <v>0</v>
      </c>
      <c r="CO139" s="311">
        <f t="shared" si="79"/>
        <v>0</v>
      </c>
      <c r="CP139">
        <v>0.97529042879827332</v>
      </c>
      <c r="CQ139" t="s">
        <v>2864</v>
      </c>
      <c r="CR139">
        <f t="shared" si="70"/>
        <v>2</v>
      </c>
      <c r="CS139" t="str">
        <f t="shared" si="80"/>
        <v>No es Candidato</v>
      </c>
      <c r="CT139">
        <v>0</v>
      </c>
      <c r="CU139">
        <v>0</v>
      </c>
      <c r="CV139" s="25">
        <v>58.986789703369141</v>
      </c>
      <c r="CW139" s="25">
        <v>47.615699768066413</v>
      </c>
      <c r="CX139" s="25">
        <v>65.820793151855469</v>
      </c>
      <c r="CY139" s="25">
        <v>67.550537109375</v>
      </c>
      <c r="CZ139" s="25">
        <v>78.019027709960938</v>
      </c>
      <c r="DA139" s="25">
        <v>33.189289093017578</v>
      </c>
      <c r="DB139" s="25">
        <v>61.725399017333977</v>
      </c>
      <c r="DC139">
        <v>1153</v>
      </c>
      <c r="DD139" s="253" t="s">
        <v>380</v>
      </c>
    </row>
    <row r="140" spans="1:108" hidden="1">
      <c r="A140" s="13">
        <v>76122</v>
      </c>
      <c r="B140" s="13" t="s">
        <v>743</v>
      </c>
      <c r="C140" s="13" t="s">
        <v>454</v>
      </c>
      <c r="D140" s="13" t="s">
        <v>455</v>
      </c>
      <c r="E140" s="13" t="s">
        <v>744</v>
      </c>
      <c r="F140" s="14">
        <v>69.364366666666697</v>
      </c>
      <c r="G140" s="13">
        <v>65.010000000000005</v>
      </c>
      <c r="H140" s="13">
        <v>67.31</v>
      </c>
      <c r="I140" s="13">
        <v>72.78</v>
      </c>
      <c r="J140" s="14">
        <v>37.538322744468708</v>
      </c>
      <c r="K140" s="14">
        <v>37.418801255702554</v>
      </c>
      <c r="L140" s="14">
        <v>47.971330066980656</v>
      </c>
      <c r="M140" s="14">
        <v>40.506500000000003</v>
      </c>
      <c r="N140" s="14">
        <f t="shared" si="54"/>
        <v>68.616091666666676</v>
      </c>
      <c r="O140" s="14">
        <f t="shared" si="55"/>
        <v>40.85873851678798</v>
      </c>
      <c r="P140" s="14">
        <f t="shared" si="71"/>
        <v>54.737415091727328</v>
      </c>
      <c r="Q140" s="14">
        <v>42.684517587969012</v>
      </c>
      <c r="R140" s="17">
        <f t="shared" si="56"/>
        <v>57.315482412030988</v>
      </c>
      <c r="S140" s="14">
        <f t="shared" si="72"/>
        <v>0.61583934170827892</v>
      </c>
      <c r="T140" s="13">
        <v>0</v>
      </c>
      <c r="U140" s="13">
        <f t="shared" si="73"/>
        <v>33.709453676902172</v>
      </c>
      <c r="V140" s="13">
        <f>IF($T140=1,$AU140,(VLOOKUP(U140,'Cortes naturales'!$A$35:$C$39,3,9)))</f>
        <v>3</v>
      </c>
      <c r="W140" s="13">
        <v>3</v>
      </c>
      <c r="X140" s="14" t="b">
        <f t="shared" si="57"/>
        <v>1</v>
      </c>
      <c r="Y140" s="17">
        <f>IF($T140=1,$AU140,VLOOKUP(U140,'Cortes naturales'!$A$45:$C$49,3,9))</f>
        <v>3</v>
      </c>
      <c r="Z140" s="14">
        <v>54.143812635254264</v>
      </c>
      <c r="AA140" s="14">
        <v>0.6286663923718856</v>
      </c>
      <c r="AB140" s="14">
        <v>34.038395358664616</v>
      </c>
      <c r="AC140" s="13">
        <v>3</v>
      </c>
      <c r="AD140" s="13">
        <f t="shared" si="58"/>
        <v>0</v>
      </c>
      <c r="AE140" s="14">
        <f t="shared" si="59"/>
        <v>0.59360245647306442</v>
      </c>
      <c r="AF140" s="14">
        <f t="shared" si="60"/>
        <v>-1.2827050663606676E-2</v>
      </c>
      <c r="AG140" s="13">
        <f t="shared" si="61"/>
        <v>-0.3289416817624442</v>
      </c>
      <c r="AH140" s="13">
        <f>IF($T140=1,$AU140,VLOOKUP(U140,'Cortes naturales'!$A$25:$C$29,3,9))</f>
        <v>3</v>
      </c>
      <c r="AI140" s="13" t="b">
        <f t="shared" si="62"/>
        <v>1</v>
      </c>
      <c r="AJ140" s="13">
        <f t="shared" si="63"/>
        <v>0</v>
      </c>
      <c r="AK140" s="28">
        <v>0.9741882058902549</v>
      </c>
      <c r="AL140" s="28">
        <v>52.746263691196468</v>
      </c>
      <c r="AM140" s="28">
        <v>0.48917414713223317</v>
      </c>
      <c r="AN140" s="13">
        <v>2</v>
      </c>
      <c r="AO140" s="33">
        <f t="shared" si="64"/>
        <v>-1</v>
      </c>
      <c r="AP140" s="13">
        <f t="shared" si="74"/>
        <v>48.917414713223316</v>
      </c>
      <c r="AQ140" s="13">
        <f>IFERROR(VLOOKUP(U140,'Cortes naturales'!$E$15:$G$19,3,9),U140)</f>
        <v>4</v>
      </c>
      <c r="AR140" s="28">
        <f t="shared" si="65"/>
        <v>-0.35834886418197598</v>
      </c>
      <c r="AS140" s="13" t="b">
        <f t="shared" si="66"/>
        <v>0</v>
      </c>
      <c r="AT140" s="13" t="str">
        <f t="shared" si="75"/>
        <v>Cambio en corte</v>
      </c>
      <c r="AU140" s="13">
        <v>2</v>
      </c>
      <c r="AV140">
        <f t="shared" si="67"/>
        <v>-1</v>
      </c>
      <c r="AW140" s="13">
        <v>0</v>
      </c>
      <c r="AX140" s="13">
        <v>0</v>
      </c>
      <c r="AY140" s="13">
        <v>0</v>
      </c>
      <c r="AZ140" s="13">
        <v>0</v>
      </c>
      <c r="BA140">
        <v>1</v>
      </c>
      <c r="BB140" t="s">
        <v>2839</v>
      </c>
      <c r="BC140">
        <v>6</v>
      </c>
      <c r="BD140" t="s">
        <v>2919</v>
      </c>
      <c r="BE140">
        <v>0</v>
      </c>
      <c r="BF140" s="232" t="s">
        <v>2846</v>
      </c>
      <c r="BG140" s="232" t="s">
        <v>2846</v>
      </c>
      <c r="BH140" s="253">
        <v>24.6</v>
      </c>
      <c r="BI140" s="253">
        <v>8.4608908617786618</v>
      </c>
      <c r="BJ140" s="25">
        <v>6.6152177096003966</v>
      </c>
      <c r="BK140" t="s">
        <v>377</v>
      </c>
      <c r="BL140">
        <v>7.0635551051336929</v>
      </c>
      <c r="BM140" t="s">
        <v>379</v>
      </c>
      <c r="BN140" s="322">
        <v>51616.522083000003</v>
      </c>
      <c r="BO140" s="322">
        <v>8000.4392340000004</v>
      </c>
      <c r="BP140" s="10">
        <v>30115</v>
      </c>
      <c r="BQ140" s="254">
        <f t="shared" si="68"/>
        <v>1.7139804776025238</v>
      </c>
      <c r="BR140" s="254">
        <f t="shared" si="69"/>
        <v>0.26566293322264656</v>
      </c>
      <c r="BS140" s="25">
        <v>58.424948042268362</v>
      </c>
      <c r="BT140" s="25">
        <v>87.672083287398308</v>
      </c>
      <c r="BU140" s="25">
        <v>59.417435897435887</v>
      </c>
      <c r="BV140" s="25">
        <v>86.423345769266845</v>
      </c>
      <c r="BW140" s="25">
        <v>51.598925004682123</v>
      </c>
      <c r="BX140" s="25">
        <v>72.984453249092354</v>
      </c>
      <c r="BY140" s="25">
        <v>52.454685333028152</v>
      </c>
      <c r="BZ140">
        <v>16</v>
      </c>
      <c r="CA140">
        <v>0</v>
      </c>
      <c r="CB140">
        <v>7</v>
      </c>
      <c r="CC140">
        <v>16713.736156999999</v>
      </c>
      <c r="CD140" s="10">
        <v>10459.70775</v>
      </c>
      <c r="CE140" s="255">
        <v>0.62581505725273123</v>
      </c>
      <c r="CF140" t="str">
        <f>IFERROR(VLOOKUP(CE140,'Rangos amb etnico'!$A$2:$C$6,3,9),"N.D.")</f>
        <v>51% - 70%</v>
      </c>
      <c r="CG140" s="256">
        <v>3.0431232804409172E-4</v>
      </c>
      <c r="CH140" s="232">
        <v>43.276736</v>
      </c>
      <c r="CI140" s="311">
        <f t="shared" si="76"/>
        <v>2.5892915619512734E-3</v>
      </c>
      <c r="CJ140" s="232" t="str">
        <f>IFERROR(VLOOKUP(CI140,'Rangos amb etnico'!$A$2:$C$6,3,9),"N.D.")</f>
        <v>0,1% - 30%</v>
      </c>
      <c r="CK140" s="311">
        <f t="shared" si="77"/>
        <v>1.7183697606668351E-6</v>
      </c>
      <c r="CL140" s="10">
        <v>0</v>
      </c>
      <c r="CM140" s="255">
        <f t="shared" si="78"/>
        <v>0</v>
      </c>
      <c r="CN140" s="232">
        <f>IFERROR(VLOOKUP(CM140,'Rangos amb etnico'!$A$2:$C$6,3,9),"N.D.")</f>
        <v>0</v>
      </c>
      <c r="CO140" s="311">
        <f t="shared" si="79"/>
        <v>0</v>
      </c>
      <c r="CP140">
        <v>0.97355922193259126</v>
      </c>
      <c r="CQ140" t="s">
        <v>2864</v>
      </c>
      <c r="CR140">
        <f t="shared" si="70"/>
        <v>2</v>
      </c>
      <c r="CS140" t="str">
        <f t="shared" si="80"/>
        <v>No es Candidato</v>
      </c>
      <c r="CT140">
        <v>0</v>
      </c>
      <c r="CU140">
        <v>0</v>
      </c>
      <c r="CV140" s="25">
        <v>49.919612884521477</v>
      </c>
      <c r="CW140" s="25">
        <v>38.012371063232422</v>
      </c>
      <c r="CX140" s="25">
        <v>55.646633148193359</v>
      </c>
      <c r="CY140" s="25">
        <v>62.02386474609375</v>
      </c>
      <c r="CZ140" s="25">
        <v>61.373924255371087</v>
      </c>
      <c r="DA140" s="25">
        <v>32.488948822021477</v>
      </c>
      <c r="DB140" s="25">
        <v>49.971942901611328</v>
      </c>
      <c r="DC140">
        <v>975</v>
      </c>
      <c r="DD140" s="253" t="s">
        <v>380</v>
      </c>
    </row>
    <row r="141" spans="1:108" hidden="1">
      <c r="A141" s="13">
        <v>23586</v>
      </c>
      <c r="B141" s="13" t="s">
        <v>745</v>
      </c>
      <c r="C141" s="13" t="s">
        <v>567</v>
      </c>
      <c r="D141" s="13" t="s">
        <v>568</v>
      </c>
      <c r="E141" s="13" t="s">
        <v>746</v>
      </c>
      <c r="F141" s="14">
        <v>62.441166666666703</v>
      </c>
      <c r="G141" s="13">
        <v>64.760000000000005</v>
      </c>
      <c r="H141" s="13">
        <v>30.9</v>
      </c>
      <c r="I141" s="13">
        <v>57.87</v>
      </c>
      <c r="J141" s="14">
        <v>54.597375344758483</v>
      </c>
      <c r="K141" s="14">
        <v>55.227606415584852</v>
      </c>
      <c r="L141" s="14">
        <v>51.815045156246626</v>
      </c>
      <c r="M141" s="14">
        <v>50.4617</v>
      </c>
      <c r="N141" s="14">
        <f t="shared" si="54"/>
        <v>53.992791666666676</v>
      </c>
      <c r="O141" s="14">
        <f t="shared" si="55"/>
        <v>53.025431729147492</v>
      </c>
      <c r="P141" s="14">
        <f t="shared" si="71"/>
        <v>53.509111697907088</v>
      </c>
      <c r="Q141" s="14">
        <v>42.536467662295081</v>
      </c>
      <c r="R141" s="17">
        <f t="shared" si="56"/>
        <v>57.463532337704919</v>
      </c>
      <c r="S141" s="14">
        <f t="shared" si="72"/>
        <v>0.61717179103934428</v>
      </c>
      <c r="T141" s="13">
        <v>0</v>
      </c>
      <c r="U141" s="13">
        <f t="shared" si="73"/>
        <v>33.024314303521642</v>
      </c>
      <c r="V141" s="13">
        <f>IF($T141=1,$AU141,(VLOOKUP(U141,'Cortes naturales'!$A$35:$C$39,3,9)))</f>
        <v>3</v>
      </c>
      <c r="W141" s="13">
        <v>3</v>
      </c>
      <c r="X141" s="14" t="b">
        <f t="shared" si="57"/>
        <v>1</v>
      </c>
      <c r="Y141" s="17">
        <f>IF($T141=1,$AU141,VLOOKUP(U141,'Cortes naturales'!$A$45:$C$49,3,9))</f>
        <v>3</v>
      </c>
      <c r="Z141" s="14">
        <v>53.84151267847345</v>
      </c>
      <c r="AA141" s="14">
        <v>0.62652635668939682</v>
      </c>
      <c r="AB141" s="14">
        <v>33.733126777089936</v>
      </c>
      <c r="AC141" s="13">
        <v>3</v>
      </c>
      <c r="AD141" s="13">
        <f t="shared" si="58"/>
        <v>0</v>
      </c>
      <c r="AE141" s="14">
        <f t="shared" si="59"/>
        <v>-0.33240098056636214</v>
      </c>
      <c r="AF141" s="14">
        <f t="shared" si="60"/>
        <v>-9.3545656500525487E-3</v>
      </c>
      <c r="AG141" s="13">
        <f t="shared" si="61"/>
        <v>-0.70881247356829391</v>
      </c>
      <c r="AH141" s="13">
        <f>IF($T141=1,$AU141,VLOOKUP(U141,'Cortes naturales'!$A$25:$C$29,3,9))</f>
        <v>3</v>
      </c>
      <c r="AI141" s="13" t="b">
        <f t="shared" si="62"/>
        <v>1</v>
      </c>
      <c r="AJ141" s="13">
        <f t="shared" si="63"/>
        <v>0</v>
      </c>
      <c r="AK141" s="28">
        <v>0.9741882058902549</v>
      </c>
      <c r="AL141" s="28">
        <v>52.451766638659464</v>
      </c>
      <c r="AM141" s="28">
        <v>0.4854902994341494</v>
      </c>
      <c r="AN141" s="13">
        <v>2</v>
      </c>
      <c r="AO141" s="33">
        <f t="shared" si="64"/>
        <v>-1</v>
      </c>
      <c r="AP141" s="13">
        <f t="shared" si="74"/>
        <v>48.549029943414936</v>
      </c>
      <c r="AQ141" s="13">
        <f>IFERROR(VLOOKUP(U141,'Cortes naturales'!$E$15:$G$19,3,9),U141)</f>
        <v>4</v>
      </c>
      <c r="AR141" s="28">
        <f t="shared" si="65"/>
        <v>-0.35701641485091062</v>
      </c>
      <c r="AS141" s="13" t="b">
        <f t="shared" si="66"/>
        <v>0</v>
      </c>
      <c r="AT141" s="13" t="str">
        <f t="shared" si="75"/>
        <v>Cambio en corte</v>
      </c>
      <c r="AU141" s="13">
        <v>3</v>
      </c>
      <c r="AV141">
        <f t="shared" si="67"/>
        <v>0</v>
      </c>
      <c r="AW141" s="13">
        <v>0</v>
      </c>
      <c r="AX141" s="13">
        <v>0</v>
      </c>
      <c r="AY141" s="13">
        <v>0</v>
      </c>
      <c r="AZ141" s="13">
        <v>0</v>
      </c>
      <c r="BA141">
        <v>0</v>
      </c>
      <c r="BB141" t="s">
        <v>2839</v>
      </c>
      <c r="BC141">
        <v>6</v>
      </c>
      <c r="BD141" t="s">
        <v>2919</v>
      </c>
      <c r="BE141">
        <v>1</v>
      </c>
      <c r="BF141" s="232" t="s">
        <v>2846</v>
      </c>
      <c r="BG141" s="232" t="s">
        <v>2845</v>
      </c>
      <c r="BH141" s="253">
        <v>53.1</v>
      </c>
      <c r="BI141" s="253">
        <v>36.083526050877431</v>
      </c>
      <c r="BJ141" s="25">
        <v>21.74</v>
      </c>
      <c r="BK141" t="s">
        <v>379</v>
      </c>
      <c r="BL141">
        <v>1.8379836436247097</v>
      </c>
      <c r="BM141" t="s">
        <v>383</v>
      </c>
      <c r="BN141" s="322">
        <v>45687.165943</v>
      </c>
      <c r="BO141" s="322">
        <v>1958.8179009999999</v>
      </c>
      <c r="BP141" s="10">
        <v>19091</v>
      </c>
      <c r="BQ141" s="254">
        <f t="shared" si="68"/>
        <v>2.3931258678434864</v>
      </c>
      <c r="BR141" s="254">
        <f t="shared" si="69"/>
        <v>0.10260425860353045</v>
      </c>
      <c r="BS141" s="25">
        <v>58.615407382375153</v>
      </c>
      <c r="BT141" s="25">
        <v>92.542153353587196</v>
      </c>
      <c r="BU141" s="25">
        <v>37.327573316811232</v>
      </c>
      <c r="BV141" s="25">
        <v>97.709584618185431</v>
      </c>
      <c r="BW141" s="25">
        <v>49.921043962682432</v>
      </c>
      <c r="BX141" s="25">
        <v>71.548679667739748</v>
      </c>
      <c r="BY141" s="25">
        <v>50.356608074809969</v>
      </c>
      <c r="BZ141">
        <v>10</v>
      </c>
      <c r="CA141">
        <v>0</v>
      </c>
      <c r="CB141">
        <v>7</v>
      </c>
      <c r="CC141">
        <v>11749.475354</v>
      </c>
      <c r="CD141" s="10">
        <v>4965.6737510000003</v>
      </c>
      <c r="CE141" s="255">
        <v>0.42262940270856286</v>
      </c>
      <c r="CF141" t="str">
        <f>IFERROR(VLOOKUP(CE141,'Rangos amb etnico'!$A$2:$C$6,3,9),"N.D.")</f>
        <v>31% - 50%</v>
      </c>
      <c r="CG141" s="256">
        <v>1.444701683442587E-4</v>
      </c>
      <c r="CH141" s="232">
        <v>49.678255999999998</v>
      </c>
      <c r="CI141" s="311">
        <f t="shared" si="76"/>
        <v>4.2281254697119301E-3</v>
      </c>
      <c r="CJ141" s="232" t="str">
        <f>IFERROR(VLOOKUP(CI141,'Rangos amb etnico'!$A$2:$C$6,3,9),"N.D.")</f>
        <v>0,1% - 30%</v>
      </c>
      <c r="CK141" s="311">
        <f t="shared" si="77"/>
        <v>1.9725520167016698E-6</v>
      </c>
      <c r="CL141" s="10">
        <v>0</v>
      </c>
      <c r="CM141" s="255">
        <f t="shared" si="78"/>
        <v>0</v>
      </c>
      <c r="CN141" s="232">
        <f>IFERROR(VLOOKUP(CM141,'Rangos amb etnico'!$A$2:$C$6,3,9),"N.D.")</f>
        <v>0</v>
      </c>
      <c r="CO141" s="311">
        <f t="shared" si="79"/>
        <v>0</v>
      </c>
      <c r="CP141">
        <v>0.96193173731395243</v>
      </c>
      <c r="CQ141" t="s">
        <v>2864</v>
      </c>
      <c r="CR141">
        <f t="shared" si="70"/>
        <v>1</v>
      </c>
      <c r="CS141" t="str">
        <f t="shared" si="80"/>
        <v>No es Candidato</v>
      </c>
      <c r="CT141">
        <v>0</v>
      </c>
      <c r="CU141">
        <v>0</v>
      </c>
      <c r="CV141" s="25">
        <v>54.731975555419922</v>
      </c>
      <c r="CW141" s="25">
        <v>28.507883071899411</v>
      </c>
      <c r="CX141" s="25">
        <v>60.238323211669922</v>
      </c>
      <c r="CY141" s="25">
        <v>54.051738739013672</v>
      </c>
      <c r="CZ141" s="25">
        <v>29.484245300292969</v>
      </c>
      <c r="DA141" s="25">
        <v>94.011100769042969</v>
      </c>
      <c r="DB141" s="25">
        <v>62.098567962646477</v>
      </c>
      <c r="DC141">
        <v>3730</v>
      </c>
      <c r="DD141" s="253" t="s">
        <v>380</v>
      </c>
    </row>
    <row r="142" spans="1:108" hidden="1">
      <c r="A142" s="13">
        <v>17042</v>
      </c>
      <c r="B142" s="13" t="s">
        <v>747</v>
      </c>
      <c r="C142" s="13" t="s">
        <v>506</v>
      </c>
      <c r="D142" s="13" t="s">
        <v>507</v>
      </c>
      <c r="E142" s="13" t="s">
        <v>748</v>
      </c>
      <c r="F142" s="14">
        <v>73.301100000000005</v>
      </c>
      <c r="G142" s="13">
        <v>64.069999999999993</v>
      </c>
      <c r="H142" s="13">
        <v>60.99</v>
      </c>
      <c r="I142" s="13">
        <v>52.7</v>
      </c>
      <c r="J142" s="14">
        <v>50.668406711912446</v>
      </c>
      <c r="K142" s="14">
        <v>50.750691249360948</v>
      </c>
      <c r="L142" s="14">
        <v>55.623845993611177</v>
      </c>
      <c r="M142" s="14">
        <v>57.999299999999998</v>
      </c>
      <c r="N142" s="14">
        <f t="shared" si="54"/>
        <v>62.765275000000003</v>
      </c>
      <c r="O142" s="14">
        <f t="shared" si="55"/>
        <v>53.760560988721146</v>
      </c>
      <c r="P142" s="14">
        <f t="shared" si="71"/>
        <v>58.262917994360578</v>
      </c>
      <c r="Q142" s="14">
        <v>43.144664649632212</v>
      </c>
      <c r="R142" s="17">
        <f t="shared" si="56"/>
        <v>56.855335350367788</v>
      </c>
      <c r="S142" s="14">
        <f t="shared" si="72"/>
        <v>0.61169801815331004</v>
      </c>
      <c r="T142" s="13">
        <v>0</v>
      </c>
      <c r="U142" s="13">
        <f t="shared" si="73"/>
        <v>35.639311468979194</v>
      </c>
      <c r="V142" s="13">
        <f>IF($T142=1,$AU142,(VLOOKUP(U142,'Cortes naturales'!$A$35:$C$39,3,9)))</f>
        <v>3</v>
      </c>
      <c r="W142" s="13">
        <v>3</v>
      </c>
      <c r="X142" s="14" t="b">
        <f t="shared" si="57"/>
        <v>1</v>
      </c>
      <c r="Y142" s="17">
        <f>IF($T142=1,$AU142,VLOOKUP(U142,'Cortes naturales'!$A$45:$C$49,3,9))</f>
        <v>2</v>
      </c>
      <c r="Z142" s="14">
        <v>59.907790665213611</v>
      </c>
      <c r="AA142" s="14">
        <v>0.62633428211940556</v>
      </c>
      <c r="AB142" s="14">
        <v>37.522303059656196</v>
      </c>
      <c r="AC142" s="13">
        <v>2</v>
      </c>
      <c r="AD142" s="13">
        <f t="shared" si="58"/>
        <v>0</v>
      </c>
      <c r="AE142" s="14">
        <f t="shared" si="59"/>
        <v>-1.644872670853033</v>
      </c>
      <c r="AF142" s="14">
        <f t="shared" si="60"/>
        <v>-1.463626396609552E-2</v>
      </c>
      <c r="AG142" s="13">
        <f t="shared" si="61"/>
        <v>-1.8829915906770012</v>
      </c>
      <c r="AH142" s="13">
        <f>IF($T142=1,$AU142,VLOOKUP(U142,'Cortes naturales'!$A$25:$C$29,3,9))</f>
        <v>2</v>
      </c>
      <c r="AI142" s="13" t="b">
        <f t="shared" si="62"/>
        <v>1</v>
      </c>
      <c r="AJ142" s="13">
        <f t="shared" si="63"/>
        <v>0</v>
      </c>
      <c r="AK142" s="28">
        <v>0.9741882058902549</v>
      </c>
      <c r="AL142" s="28">
        <v>58.361463106993405</v>
      </c>
      <c r="AM142" s="28">
        <v>0.55941437284575124</v>
      </c>
      <c r="AN142" s="13">
        <v>2</v>
      </c>
      <c r="AO142" s="33">
        <f t="shared" si="64"/>
        <v>0</v>
      </c>
      <c r="AP142" s="13">
        <f t="shared" si="74"/>
        <v>55.941437284575123</v>
      </c>
      <c r="AQ142" s="13">
        <f>IFERROR(VLOOKUP(U142,'Cortes naturales'!$E$15:$G$19,3,9),U142)</f>
        <v>3</v>
      </c>
      <c r="AR142" s="28">
        <f t="shared" si="65"/>
        <v>-0.36249018773694486</v>
      </c>
      <c r="AS142" s="13" t="b">
        <f t="shared" si="66"/>
        <v>0</v>
      </c>
      <c r="AT142" s="13">
        <f t="shared" si="75"/>
        <v>0</v>
      </c>
      <c r="AU142" s="13">
        <v>2</v>
      </c>
      <c r="AV142">
        <f t="shared" si="67"/>
        <v>0</v>
      </c>
      <c r="AW142" s="13">
        <v>0</v>
      </c>
      <c r="AX142" s="13">
        <v>0</v>
      </c>
      <c r="AY142" s="13">
        <v>0</v>
      </c>
      <c r="AZ142" s="13">
        <v>0</v>
      </c>
      <c r="BA142">
        <v>1</v>
      </c>
      <c r="BB142" t="s">
        <v>2839</v>
      </c>
      <c r="BC142">
        <v>6</v>
      </c>
      <c r="BD142" t="s">
        <v>2919</v>
      </c>
      <c r="BE142">
        <v>1</v>
      </c>
      <c r="BF142" s="232" t="s">
        <v>2846</v>
      </c>
      <c r="BG142" s="232" t="s">
        <v>2845</v>
      </c>
      <c r="BH142" s="253">
        <v>32.5</v>
      </c>
      <c r="BI142" s="253">
        <v>10.665436732616579</v>
      </c>
      <c r="BJ142" s="25">
        <v>25.78936015089279</v>
      </c>
      <c r="BK142" t="s">
        <v>379</v>
      </c>
      <c r="BL142">
        <v>1.1733268884052703</v>
      </c>
      <c r="BM142" t="s">
        <v>383</v>
      </c>
      <c r="BN142" s="322">
        <v>57896.096158</v>
      </c>
      <c r="BO142" s="322">
        <v>10118.143722000001</v>
      </c>
      <c r="BP142" s="10">
        <v>37428</v>
      </c>
      <c r="BQ142" s="254">
        <f t="shared" si="68"/>
        <v>1.5468658800363364</v>
      </c>
      <c r="BR142" s="254">
        <f t="shared" si="69"/>
        <v>0.2703362114459763</v>
      </c>
      <c r="BS142" s="25">
        <v>59.302609932434677</v>
      </c>
      <c r="BT142" s="25">
        <v>93.780098309733589</v>
      </c>
      <c r="BU142" s="25">
        <v>51.334901462174173</v>
      </c>
      <c r="BV142" s="25">
        <v>93.830089714623838</v>
      </c>
      <c r="BW142" s="25">
        <v>54.92115987120691</v>
      </c>
      <c r="BX142" s="25">
        <v>74.561924854741576</v>
      </c>
      <c r="BY142" s="25">
        <v>55.830921581544501</v>
      </c>
      <c r="BZ142">
        <v>31</v>
      </c>
      <c r="CA142">
        <v>0</v>
      </c>
      <c r="CB142">
        <v>6</v>
      </c>
      <c r="CC142">
        <v>20915.969802</v>
      </c>
      <c r="CD142" s="10">
        <v>153.903381</v>
      </c>
      <c r="CE142" s="255">
        <v>7.3581757124780147E-3</v>
      </c>
      <c r="CF142" t="str">
        <f>IFERROR(VLOOKUP(CE142,'Rangos amb etnico'!$A$2:$C$6,3,9),"N.D.")</f>
        <v>0,1% - 30%</v>
      </c>
      <c r="CG142" s="256">
        <v>4.4776295175137021E-6</v>
      </c>
      <c r="CH142" s="232">
        <v>163.98766699999999</v>
      </c>
      <c r="CI142" s="311">
        <f t="shared" si="76"/>
        <v>7.84030903431116E-3</v>
      </c>
      <c r="CJ142" s="232" t="str">
        <f>IFERROR(VLOOKUP(CI142,'Rangos amb etnico'!$A$2:$C$6,3,9),"N.D.")</f>
        <v>0,1% - 30%</v>
      </c>
      <c r="CK142" s="311">
        <f t="shared" si="77"/>
        <v>6.5113840400325622E-6</v>
      </c>
      <c r="CL142" s="10">
        <v>0</v>
      </c>
      <c r="CM142" s="255">
        <f t="shared" si="78"/>
        <v>0</v>
      </c>
      <c r="CN142" s="232">
        <f>IFERROR(VLOOKUP(CM142,'Rangos amb etnico'!$A$2:$C$6,3,9),"N.D.")</f>
        <v>0</v>
      </c>
      <c r="CO142" s="311">
        <f t="shared" si="79"/>
        <v>0</v>
      </c>
      <c r="CP142">
        <v>0.93926474890207645</v>
      </c>
      <c r="CQ142" t="s">
        <v>2864</v>
      </c>
      <c r="CR142">
        <f t="shared" si="70"/>
        <v>1</v>
      </c>
      <c r="CS142" t="str">
        <f t="shared" si="80"/>
        <v>No es Candidato</v>
      </c>
      <c r="CT142">
        <v>0</v>
      </c>
      <c r="CU142">
        <v>0</v>
      </c>
      <c r="CV142" s="25">
        <v>54.341773986816413</v>
      </c>
      <c r="CW142" s="25">
        <v>32.020847320556641</v>
      </c>
      <c r="CX142" s="25">
        <v>58.425823211669922</v>
      </c>
      <c r="CY142" s="25">
        <v>58.441204071044922</v>
      </c>
      <c r="CZ142" s="25">
        <v>57.847877502441413</v>
      </c>
      <c r="DA142" s="25">
        <v>68.069526672363281</v>
      </c>
      <c r="DB142" s="25">
        <v>51.245361328125</v>
      </c>
      <c r="DC142">
        <v>1653</v>
      </c>
      <c r="DD142" s="253" t="s">
        <v>380</v>
      </c>
    </row>
    <row r="143" spans="1:108">
      <c r="A143" s="13">
        <v>5400</v>
      </c>
      <c r="B143" s="13" t="s">
        <v>749</v>
      </c>
      <c r="C143" s="13" t="s">
        <v>435</v>
      </c>
      <c r="D143" s="13" t="s">
        <v>436</v>
      </c>
      <c r="E143" s="13" t="s">
        <v>628</v>
      </c>
      <c r="F143" s="14">
        <v>50.572566666666702</v>
      </c>
      <c r="G143" s="13">
        <v>50.4</v>
      </c>
      <c r="H143" s="13">
        <v>49.84</v>
      </c>
      <c r="I143" s="13">
        <v>39.659999999999997</v>
      </c>
      <c r="J143" s="14">
        <v>56.386026807232682</v>
      </c>
      <c r="K143" s="14">
        <v>64.937479037088096</v>
      </c>
      <c r="L143" s="14">
        <v>76.421116271037192</v>
      </c>
      <c r="M143" s="14">
        <v>65.911100000000005</v>
      </c>
      <c r="N143" s="14">
        <f t="shared" si="54"/>
        <v>47.618141666666673</v>
      </c>
      <c r="O143" s="14">
        <f t="shared" si="55"/>
        <v>65.913930528839501</v>
      </c>
      <c r="P143" s="14">
        <f t="shared" si="71"/>
        <v>56.766036097753087</v>
      </c>
      <c r="Q143" s="14">
        <v>42.703447049811572</v>
      </c>
      <c r="R143" s="17">
        <f t="shared" si="56"/>
        <v>57.296552950188428</v>
      </c>
      <c r="S143" s="14">
        <f t="shared" si="72"/>
        <v>0.61566897655169583</v>
      </c>
      <c r="T143" s="13">
        <v>0</v>
      </c>
      <c r="U143" s="13">
        <f t="shared" si="73"/>
        <v>34.949087347200262</v>
      </c>
      <c r="V143" s="13">
        <f>IF($T143=1,$AU143,(VLOOKUP(U143,'Cortes naturales'!$A$35:$C$39,3,9)))</f>
        <v>3</v>
      </c>
      <c r="W143" s="13">
        <v>3</v>
      </c>
      <c r="X143" s="14" t="b">
        <f t="shared" si="57"/>
        <v>1</v>
      </c>
      <c r="Y143" s="17">
        <f>IF($T143=1,$AU143,VLOOKUP(U143,'Cortes naturales'!$A$45:$C$49,3,9))</f>
        <v>3</v>
      </c>
      <c r="Z143" s="14">
        <v>57.042443900016096</v>
      </c>
      <c r="AA143" s="14">
        <v>0.62589275222992125</v>
      </c>
      <c r="AB143" s="14">
        <v>35.70245220650196</v>
      </c>
      <c r="AC143" s="13">
        <v>2</v>
      </c>
      <c r="AD143" s="13">
        <f t="shared" si="58"/>
        <v>-1</v>
      </c>
      <c r="AE143" s="14">
        <f t="shared" si="59"/>
        <v>-0.27640780226300876</v>
      </c>
      <c r="AF143" s="14">
        <f t="shared" si="60"/>
        <v>-1.0223775678225411E-2</v>
      </c>
      <c r="AG143" s="13">
        <f t="shared" si="61"/>
        <v>-0.75336485930169772</v>
      </c>
      <c r="AH143" s="13">
        <f>IF($T143=1,$AU143,VLOOKUP(U143,'Cortes naturales'!$A$25:$C$29,3,9))</f>
        <v>3</v>
      </c>
      <c r="AI143" s="13" t="b">
        <f t="shared" si="62"/>
        <v>1</v>
      </c>
      <c r="AJ143" s="13" t="str">
        <f t="shared" si="63"/>
        <v>Efecto ponderador</v>
      </c>
      <c r="AK143" s="28">
        <v>0.9741882058902549</v>
      </c>
      <c r="AL143" s="28">
        <v>55.570076082552198</v>
      </c>
      <c r="AM143" s="28">
        <v>0.52449706356926329</v>
      </c>
      <c r="AN143" s="13">
        <v>2</v>
      </c>
      <c r="AO143" s="33">
        <f t="shared" si="64"/>
        <v>-1</v>
      </c>
      <c r="AP143" s="13">
        <f t="shared" si="74"/>
        <v>52.449706356926328</v>
      </c>
      <c r="AQ143" s="13">
        <f>IFERROR(VLOOKUP(U143,'Cortes naturales'!$E$15:$G$19,3,9),U143)</f>
        <v>4</v>
      </c>
      <c r="AR143" s="28">
        <f t="shared" si="65"/>
        <v>-0.35851922933855906</v>
      </c>
      <c r="AS143" s="13" t="b">
        <f t="shared" si="66"/>
        <v>0</v>
      </c>
      <c r="AT143" s="13" t="str">
        <f t="shared" si="75"/>
        <v>Cambio en corte</v>
      </c>
      <c r="AU143" s="13">
        <v>2</v>
      </c>
      <c r="AV143">
        <f t="shared" si="67"/>
        <v>-1</v>
      </c>
      <c r="AW143" s="13">
        <v>0</v>
      </c>
      <c r="AX143" s="13">
        <v>0</v>
      </c>
      <c r="AY143" s="13">
        <v>0</v>
      </c>
      <c r="AZ143" s="13">
        <v>0</v>
      </c>
      <c r="BA143">
        <v>0</v>
      </c>
      <c r="BB143" t="s">
        <v>2839</v>
      </c>
      <c r="BC143">
        <v>6</v>
      </c>
      <c r="BD143" t="s">
        <v>2919</v>
      </c>
      <c r="BE143">
        <v>1</v>
      </c>
      <c r="BF143" s="232" t="s">
        <v>2846</v>
      </c>
      <c r="BG143" s="232" t="s">
        <v>2845</v>
      </c>
      <c r="BH143" s="253">
        <v>23</v>
      </c>
      <c r="BI143" s="253">
        <v>6.6689169640273898</v>
      </c>
      <c r="BJ143" s="25">
        <v>13.555626654898498</v>
      </c>
      <c r="BK143" t="s">
        <v>377</v>
      </c>
      <c r="BL143">
        <v>5.6967191091807861</v>
      </c>
      <c r="BM143" t="s">
        <v>383</v>
      </c>
      <c r="BN143" s="322">
        <v>44826.065000000002</v>
      </c>
      <c r="BO143" s="322">
        <v>15189.481169999999</v>
      </c>
      <c r="BP143" s="10">
        <v>23718</v>
      </c>
      <c r="BQ143" s="254">
        <f t="shared" si="68"/>
        <v>1.8899597352221942</v>
      </c>
      <c r="BR143" s="254">
        <f t="shared" si="69"/>
        <v>0.6404199835567923</v>
      </c>
      <c r="BS143" s="25">
        <v>79.698565328714793</v>
      </c>
      <c r="BT143" s="25">
        <v>94.747473636363637</v>
      </c>
      <c r="BU143" s="25">
        <v>57.95333333333334</v>
      </c>
      <c r="BV143" s="25">
        <v>91.340121474215209</v>
      </c>
      <c r="BW143" s="25">
        <v>70.104363678471941</v>
      </c>
      <c r="BX143" s="25">
        <v>80.934873443156746</v>
      </c>
      <c r="BY143" s="25">
        <v>70.753514872262954</v>
      </c>
      <c r="BZ143">
        <v>22</v>
      </c>
      <c r="CA143">
        <v>0</v>
      </c>
      <c r="CB143">
        <v>7</v>
      </c>
      <c r="CC143">
        <v>16767.031784999999</v>
      </c>
      <c r="CD143" s="10">
        <v>304.99133999999998</v>
      </c>
      <c r="CE143" s="255">
        <v>1.8189942257570545E-2</v>
      </c>
      <c r="CF143" t="str">
        <f>IFERROR(VLOOKUP(CE143,'Rangos amb etnico'!$A$2:$C$6,3,9),"N.D.")</f>
        <v>0,1% - 30%</v>
      </c>
      <c r="CG143" s="256">
        <v>8.8733477958489914E-6</v>
      </c>
      <c r="CH143" s="232">
        <v>0</v>
      </c>
      <c r="CI143" s="311">
        <f t="shared" si="76"/>
        <v>0</v>
      </c>
      <c r="CJ143" s="232">
        <f>IFERROR(VLOOKUP(CI143,'Rangos amb etnico'!$A$2:$C$6,3,9),"N.D.")</f>
        <v>0</v>
      </c>
      <c r="CK143" s="311">
        <f t="shared" si="77"/>
        <v>0</v>
      </c>
      <c r="CL143" s="10">
        <v>0</v>
      </c>
      <c r="CM143" s="255">
        <f t="shared" si="78"/>
        <v>0</v>
      </c>
      <c r="CN143" s="232">
        <f>IFERROR(VLOOKUP(CM143,'Rangos amb etnico'!$A$2:$C$6,3,9),"N.D.")</f>
        <v>0</v>
      </c>
      <c r="CO143" s="311">
        <f t="shared" si="79"/>
        <v>0</v>
      </c>
      <c r="CP143">
        <v>0.89300434800637429</v>
      </c>
      <c r="CQ143" t="s">
        <v>2864</v>
      </c>
      <c r="CR143">
        <f t="shared" si="70"/>
        <v>3</v>
      </c>
      <c r="CS143" t="str">
        <f t="shared" si="80"/>
        <v>Candidato</v>
      </c>
      <c r="CT143">
        <v>0</v>
      </c>
      <c r="CU143">
        <v>0</v>
      </c>
      <c r="CV143" s="25">
        <v>50.840320587158203</v>
      </c>
      <c r="CW143" s="25">
        <v>40.655742645263672</v>
      </c>
      <c r="CX143" s="25">
        <v>47.519222259521477</v>
      </c>
      <c r="CY143" s="25">
        <v>64.507537841796875</v>
      </c>
      <c r="CZ143" s="25">
        <v>66.82769775390625</v>
      </c>
      <c r="DA143" s="25">
        <v>29.085935592651371</v>
      </c>
      <c r="DB143" s="25">
        <v>56.445793151855469</v>
      </c>
      <c r="DC143">
        <v>193</v>
      </c>
      <c r="DD143" s="253" t="s">
        <v>380</v>
      </c>
    </row>
    <row r="144" spans="1:108" hidden="1">
      <c r="A144" s="13">
        <v>13683</v>
      </c>
      <c r="B144" s="13" t="s">
        <v>750</v>
      </c>
      <c r="C144" s="13" t="s">
        <v>480</v>
      </c>
      <c r="D144" s="13" t="s">
        <v>481</v>
      </c>
      <c r="E144" s="13" t="s">
        <v>751</v>
      </c>
      <c r="F144" s="14">
        <v>71.400499999999994</v>
      </c>
      <c r="G144" s="13">
        <v>89.81</v>
      </c>
      <c r="H144" s="13">
        <v>91.29</v>
      </c>
      <c r="I144" s="13">
        <v>78.790000000000006</v>
      </c>
      <c r="J144" s="14">
        <v>61.540459261881892</v>
      </c>
      <c r="K144" s="14">
        <v>61.948153785114734</v>
      </c>
      <c r="L144" s="14">
        <v>62.996073159594154</v>
      </c>
      <c r="M144" s="14">
        <v>61.586199999999998</v>
      </c>
      <c r="N144" s="14">
        <f t="shared" si="54"/>
        <v>82.822625000000002</v>
      </c>
      <c r="O144" s="14">
        <f t="shared" si="55"/>
        <v>62.017721551647689</v>
      </c>
      <c r="P144" s="14">
        <f t="shared" si="71"/>
        <v>72.420173275823842</v>
      </c>
      <c r="Q144" s="14">
        <v>43.105222817071656</v>
      </c>
      <c r="R144" s="17">
        <f t="shared" si="56"/>
        <v>56.894777182928344</v>
      </c>
      <c r="S144" s="14">
        <f t="shared" si="72"/>
        <v>0.6120529946463551</v>
      </c>
      <c r="T144" s="13">
        <v>0</v>
      </c>
      <c r="U144" s="13">
        <f t="shared" si="73"/>
        <v>44.32498392627592</v>
      </c>
      <c r="V144" s="13">
        <f>IF($T144=1,$AU144,(VLOOKUP(U144,'Cortes naturales'!$A$35:$C$39,3,9)))</f>
        <v>2</v>
      </c>
      <c r="W144" s="13">
        <v>2</v>
      </c>
      <c r="X144" s="14" t="b">
        <f t="shared" si="57"/>
        <v>1</v>
      </c>
      <c r="Y144" s="17">
        <f>IF($T144=1,$AU144,VLOOKUP(U144,'Cortes naturales'!$A$45:$C$49,3,9))</f>
        <v>2</v>
      </c>
      <c r="Z144" s="14">
        <v>69.306622628397434</v>
      </c>
      <c r="AA144" s="14">
        <v>0.62512371084772866</v>
      </c>
      <c r="AB144" s="14">
        <v>43.325213123786966</v>
      </c>
      <c r="AC144" s="13">
        <v>2</v>
      </c>
      <c r="AD144" s="13">
        <f t="shared" si="58"/>
        <v>0</v>
      </c>
      <c r="AE144" s="14">
        <f t="shared" si="59"/>
        <v>3.1135506474264076</v>
      </c>
      <c r="AF144" s="14">
        <f t="shared" si="60"/>
        <v>-1.3070716201373567E-2</v>
      </c>
      <c r="AG144" s="13">
        <f t="shared" si="61"/>
        <v>0.99977080248895334</v>
      </c>
      <c r="AH144" s="13">
        <f>IF($T144=1,$AU144,VLOOKUP(U144,'Cortes naturales'!$A$25:$C$29,3,9))</f>
        <v>2</v>
      </c>
      <c r="AI144" s="13" t="b">
        <f t="shared" si="62"/>
        <v>1</v>
      </c>
      <c r="AJ144" s="13">
        <f t="shared" si="63"/>
        <v>0</v>
      </c>
      <c r="AK144" s="28">
        <v>0.9741882058902549</v>
      </c>
      <c r="AL144" s="28">
        <v>67.517694354671434</v>
      </c>
      <c r="AM144" s="28">
        <v>0.67394917417671962</v>
      </c>
      <c r="AN144" s="13">
        <v>1</v>
      </c>
      <c r="AO144" s="33">
        <f t="shared" si="64"/>
        <v>-1</v>
      </c>
      <c r="AP144" s="13">
        <f t="shared" si="74"/>
        <v>67.394917417671962</v>
      </c>
      <c r="AQ144" s="13">
        <f>IFERROR(VLOOKUP(U144,'Cortes naturales'!$E$15:$G$19,3,9),U144)</f>
        <v>3</v>
      </c>
      <c r="AR144" s="28">
        <f t="shared" si="65"/>
        <v>-0.3621352112438998</v>
      </c>
      <c r="AS144" s="13" t="b">
        <f t="shared" si="66"/>
        <v>0</v>
      </c>
      <c r="AT144" s="13" t="str">
        <f t="shared" si="75"/>
        <v>Cambio en corte</v>
      </c>
      <c r="AU144" s="13">
        <v>2</v>
      </c>
      <c r="AV144">
        <f t="shared" si="67"/>
        <v>0</v>
      </c>
      <c r="AW144" s="13">
        <v>0</v>
      </c>
      <c r="AX144" s="13">
        <v>0</v>
      </c>
      <c r="AY144" s="13">
        <v>0</v>
      </c>
      <c r="AZ144" s="13">
        <v>0</v>
      </c>
      <c r="BA144">
        <v>0</v>
      </c>
      <c r="BB144" t="s">
        <v>2838</v>
      </c>
      <c r="BC144">
        <v>6</v>
      </c>
      <c r="BD144" s="184" t="s">
        <v>2917</v>
      </c>
      <c r="BE144">
        <v>0</v>
      </c>
      <c r="BF144" s="232" t="s">
        <v>2846</v>
      </c>
      <c r="BG144" s="232" t="s">
        <v>2845</v>
      </c>
      <c r="BH144" s="253">
        <v>54.3</v>
      </c>
      <c r="BI144" s="253">
        <v>70.911564625850346</v>
      </c>
      <c r="BJ144" s="25">
        <v>21.875</v>
      </c>
      <c r="BK144" t="s">
        <v>379</v>
      </c>
      <c r="BL144">
        <v>11.16018547488529</v>
      </c>
      <c r="BM144" t="s">
        <v>379</v>
      </c>
      <c r="BN144" s="322">
        <v>63399.070408</v>
      </c>
      <c r="BO144" s="322">
        <v>8446.9705809999996</v>
      </c>
      <c r="BP144" s="10">
        <v>22371</v>
      </c>
      <c r="BQ144" s="254">
        <f t="shared" si="68"/>
        <v>2.8339846411872514</v>
      </c>
      <c r="BR144" s="254">
        <f t="shared" si="69"/>
        <v>0.37758573961825576</v>
      </c>
      <c r="BS144" s="25">
        <v>53.329989609423279</v>
      </c>
      <c r="BT144" s="25">
        <v>91.616357562618262</v>
      </c>
      <c r="BU144" s="25">
        <v>13.80833333333333</v>
      </c>
      <c r="BV144" s="25">
        <v>46.072409874565729</v>
      </c>
      <c r="BW144" s="25">
        <v>23.59167469483609</v>
      </c>
      <c r="BX144" s="25">
        <v>51.206772594985154</v>
      </c>
      <c r="BY144" s="25">
        <v>22.306912801873931</v>
      </c>
      <c r="BZ144">
        <v>48</v>
      </c>
      <c r="CA144">
        <v>0</v>
      </c>
      <c r="CB144">
        <v>7</v>
      </c>
      <c r="CC144">
        <v>15461.311315000001</v>
      </c>
      <c r="CD144" s="10">
        <v>45.713110999999998</v>
      </c>
      <c r="CE144" s="255">
        <v>2.9566128039638399E-3</v>
      </c>
      <c r="CF144" t="str">
        <f>IFERROR(VLOOKUP(CE144,'Rangos amb etnico'!$A$2:$C$6,3,9),"N.D.")</f>
        <v>0,1% - 30%</v>
      </c>
      <c r="CG144" s="256">
        <v>1.3299667221149633E-6</v>
      </c>
      <c r="CH144" s="232">
        <v>0</v>
      </c>
      <c r="CI144" s="311">
        <f t="shared" si="76"/>
        <v>0</v>
      </c>
      <c r="CJ144" s="232">
        <f>IFERROR(VLOOKUP(CI144,'Rangos amb etnico'!$A$2:$C$6,3,9),"N.D.")</f>
        <v>0</v>
      </c>
      <c r="CK144" s="311">
        <f t="shared" si="77"/>
        <v>0</v>
      </c>
      <c r="CL144" s="10">
        <v>0</v>
      </c>
      <c r="CM144" s="255">
        <f t="shared" si="78"/>
        <v>0</v>
      </c>
      <c r="CN144" s="232">
        <f>IFERROR(VLOOKUP(CM144,'Rangos amb etnico'!$A$2:$C$6,3,9),"N.D.")</f>
        <v>0</v>
      </c>
      <c r="CO144" s="311">
        <f t="shared" si="79"/>
        <v>0</v>
      </c>
      <c r="CP144">
        <v>0.77170783398476595</v>
      </c>
      <c r="CQ144" t="s">
        <v>2865</v>
      </c>
      <c r="CR144">
        <f t="shared" si="70"/>
        <v>3</v>
      </c>
      <c r="CS144" t="str">
        <f t="shared" si="80"/>
        <v>Candidato</v>
      </c>
      <c r="CT144">
        <v>0</v>
      </c>
      <c r="CU144">
        <v>0</v>
      </c>
      <c r="CV144" s="25">
        <v>35.737796783447273</v>
      </c>
      <c r="CW144" s="25">
        <v>40.967613220214837</v>
      </c>
      <c r="CX144" s="25">
        <v>46.355255126953118</v>
      </c>
      <c r="CY144" s="25">
        <v>47.359798431396477</v>
      </c>
      <c r="CZ144" s="25">
        <v>26.858102798461911</v>
      </c>
      <c r="DA144" s="25">
        <v>12.5</v>
      </c>
      <c r="DB144" s="25">
        <v>40.386020660400391</v>
      </c>
      <c r="DC144">
        <v>1486</v>
      </c>
      <c r="DD144" s="253" t="s">
        <v>380</v>
      </c>
    </row>
    <row r="145" spans="1:108" hidden="1">
      <c r="A145" s="13">
        <v>76248</v>
      </c>
      <c r="B145" s="13" t="s">
        <v>752</v>
      </c>
      <c r="C145" s="13" t="s">
        <v>454</v>
      </c>
      <c r="D145" s="13" t="s">
        <v>455</v>
      </c>
      <c r="E145" s="13" t="s">
        <v>753</v>
      </c>
      <c r="F145" s="14">
        <v>53.2143333333333</v>
      </c>
      <c r="G145" s="13">
        <v>52.61</v>
      </c>
      <c r="H145" s="13">
        <v>51.13</v>
      </c>
      <c r="I145" s="13">
        <v>51.95</v>
      </c>
      <c r="J145" s="14">
        <v>48.582540636300827</v>
      </c>
      <c r="K145" s="14">
        <v>63.426727547754396</v>
      </c>
      <c r="L145" s="14">
        <v>74.136703151822843</v>
      </c>
      <c r="M145" s="14">
        <v>69.423599999999993</v>
      </c>
      <c r="N145" s="14">
        <f t="shared" si="54"/>
        <v>52.226083333333321</v>
      </c>
      <c r="O145" s="14">
        <f t="shared" si="55"/>
        <v>63.892392833969517</v>
      </c>
      <c r="P145" s="14">
        <f t="shared" si="71"/>
        <v>58.059238083651422</v>
      </c>
      <c r="Q145" s="14">
        <v>43.563259798928158</v>
      </c>
      <c r="R145" s="17">
        <f t="shared" si="56"/>
        <v>56.436740201071842</v>
      </c>
      <c r="S145" s="14">
        <f t="shared" si="72"/>
        <v>0.60793066180964661</v>
      </c>
      <c r="T145" s="13">
        <v>0</v>
      </c>
      <c r="U145" s="13">
        <f t="shared" si="73"/>
        <v>35.295991032358046</v>
      </c>
      <c r="V145" s="13">
        <f>IF($T145=1,$AU145,(VLOOKUP(U145,'Cortes naturales'!$A$35:$C$39,3,9)))</f>
        <v>3</v>
      </c>
      <c r="W145" s="13">
        <v>3</v>
      </c>
      <c r="X145" s="14" t="b">
        <f t="shared" si="57"/>
        <v>1</v>
      </c>
      <c r="Y145" s="17">
        <f>IF($T145=1,$AU145,VLOOKUP(U145,'Cortes naturales'!$A$45:$C$49,3,9))</f>
        <v>3</v>
      </c>
      <c r="Z145" s="14">
        <v>56.710844055752972</v>
      </c>
      <c r="AA145" s="14">
        <v>0.62495230124971857</v>
      </c>
      <c r="AB145" s="14">
        <v>35.441572498456743</v>
      </c>
      <c r="AC145" s="13">
        <v>2</v>
      </c>
      <c r="AD145" s="13">
        <f t="shared" si="58"/>
        <v>-1</v>
      </c>
      <c r="AE145" s="14">
        <f t="shared" si="59"/>
        <v>1.3483940278984505</v>
      </c>
      <c r="AF145" s="14">
        <f t="shared" si="60"/>
        <v>-1.7021639440071956E-2</v>
      </c>
      <c r="AG145" s="13">
        <f t="shared" si="61"/>
        <v>-0.14558146609869738</v>
      </c>
      <c r="AH145" s="13">
        <f>IF($T145=1,$AU145,VLOOKUP(U145,'Cortes naturales'!$A$25:$C$29,3,9))</f>
        <v>2</v>
      </c>
      <c r="AI145" s="13" t="b">
        <f t="shared" si="62"/>
        <v>0</v>
      </c>
      <c r="AJ145" s="13" t="str">
        <f t="shared" si="63"/>
        <v>Cambio en corte</v>
      </c>
      <c r="AK145" s="28">
        <v>0.9741882058902549</v>
      </c>
      <c r="AL145" s="28">
        <v>55.247035425196017</v>
      </c>
      <c r="AM145" s="28">
        <v>0.52045616546268714</v>
      </c>
      <c r="AN145" s="13">
        <v>2</v>
      </c>
      <c r="AO145" s="33">
        <f t="shared" si="64"/>
        <v>-1</v>
      </c>
      <c r="AP145" s="13">
        <f t="shared" si="74"/>
        <v>52.045616546268711</v>
      </c>
      <c r="AQ145" s="13">
        <f>IFERROR(VLOOKUP(U145,'Cortes naturales'!$E$15:$G$19,3,9),U145)</f>
        <v>3</v>
      </c>
      <c r="AR145" s="28">
        <f t="shared" si="65"/>
        <v>-0.36625754408060829</v>
      </c>
      <c r="AS145" s="13" t="b">
        <f t="shared" si="66"/>
        <v>1</v>
      </c>
      <c r="AT145" s="13" t="str">
        <f t="shared" si="75"/>
        <v>Efecto ponderador</v>
      </c>
      <c r="AU145" s="13">
        <v>2</v>
      </c>
      <c r="AV145">
        <f t="shared" si="67"/>
        <v>-1</v>
      </c>
      <c r="AW145" s="13">
        <v>0</v>
      </c>
      <c r="AX145" s="13">
        <v>0</v>
      </c>
      <c r="AY145" s="13">
        <v>0</v>
      </c>
      <c r="AZ145" s="13">
        <v>0</v>
      </c>
      <c r="BA145">
        <v>0</v>
      </c>
      <c r="BB145" t="s">
        <v>2839</v>
      </c>
      <c r="BC145">
        <v>5</v>
      </c>
      <c r="BD145" t="s">
        <v>2919</v>
      </c>
      <c r="BE145">
        <v>0</v>
      </c>
      <c r="BF145" s="232" t="s">
        <v>2846</v>
      </c>
      <c r="BG145" s="232" t="s">
        <v>2845</v>
      </c>
      <c r="BH145" s="253">
        <v>15.2</v>
      </c>
      <c r="BI145" s="253">
        <v>6.818223961134084</v>
      </c>
      <c r="BJ145" s="25">
        <v>4.5980802453486573</v>
      </c>
      <c r="BK145" t="s">
        <v>381</v>
      </c>
      <c r="BL145">
        <v>6.0662176759892885</v>
      </c>
      <c r="BM145" t="s">
        <v>379</v>
      </c>
      <c r="BN145" s="322">
        <v>75004.156902999996</v>
      </c>
      <c r="BO145" s="322">
        <v>36624.035950999998</v>
      </c>
      <c r="BP145" s="10">
        <v>56819</v>
      </c>
      <c r="BQ145" s="254">
        <f t="shared" si="68"/>
        <v>1.3200541527130008</v>
      </c>
      <c r="BR145" s="254">
        <f t="shared" si="69"/>
        <v>0.64457375087558733</v>
      </c>
      <c r="BS145" s="25">
        <v>67.24971241352894</v>
      </c>
      <c r="BT145" s="25">
        <v>85.937355177532552</v>
      </c>
      <c r="BU145" s="25">
        <v>66.185000000000002</v>
      </c>
      <c r="BV145" s="25">
        <v>82.422408396536767</v>
      </c>
      <c r="BW145" s="25">
        <v>68.633412722424339</v>
      </c>
      <c r="BX145" s="25">
        <v>75.448618996899569</v>
      </c>
      <c r="BY145" s="25">
        <v>68.816697580669526</v>
      </c>
      <c r="BZ145">
        <v>85</v>
      </c>
      <c r="CA145">
        <v>0</v>
      </c>
      <c r="CB145">
        <v>6</v>
      </c>
      <c r="CC145">
        <v>44200.765515999999</v>
      </c>
      <c r="CD145" s="10">
        <v>19689.500636000001</v>
      </c>
      <c r="CE145" s="255">
        <v>0.44545610027665028</v>
      </c>
      <c r="CF145" t="str">
        <f>IFERROR(VLOOKUP(CE145,'Rangos amb etnico'!$A$2:$C$6,3,9),"N.D.")</f>
        <v>31% - 50%</v>
      </c>
      <c r="CG145" s="256">
        <v>5.7284179632712819E-4</v>
      </c>
      <c r="CH145" s="232">
        <v>52.104987999999999</v>
      </c>
      <c r="CI145" s="311">
        <f t="shared" si="76"/>
        <v>1.17882546584264E-3</v>
      </c>
      <c r="CJ145" s="232" t="str">
        <f>IFERROR(VLOOKUP(CI145,'Rangos amb etnico'!$A$2:$C$6,3,9),"N.D.")</f>
        <v>0,1% - 30%</v>
      </c>
      <c r="CK145" s="311">
        <f t="shared" si="77"/>
        <v>2.0689091654025921E-6</v>
      </c>
      <c r="CL145" s="10">
        <v>0</v>
      </c>
      <c r="CM145" s="255">
        <f t="shared" si="78"/>
        <v>0</v>
      </c>
      <c r="CN145" s="232">
        <f>IFERROR(VLOOKUP(CM145,'Rangos amb etnico'!$A$2:$C$6,3,9),"N.D.")</f>
        <v>0</v>
      </c>
      <c r="CO145" s="311">
        <f t="shared" si="79"/>
        <v>0</v>
      </c>
      <c r="CP145">
        <v>0.95286933574976862</v>
      </c>
      <c r="CQ145" t="s">
        <v>2864</v>
      </c>
      <c r="CR145">
        <f t="shared" si="70"/>
        <v>3</v>
      </c>
      <c r="CS145" t="str">
        <f t="shared" si="80"/>
        <v>Candidato</v>
      </c>
      <c r="CT145">
        <v>0</v>
      </c>
      <c r="CU145">
        <v>0</v>
      </c>
      <c r="CV145" s="25">
        <v>49.719745635986328</v>
      </c>
      <c r="CW145" s="25">
        <v>47.751270294189453</v>
      </c>
      <c r="CX145" s="25">
        <v>55.861175537109382</v>
      </c>
      <c r="CY145" s="25">
        <v>64.098480224609375</v>
      </c>
      <c r="CZ145" s="25">
        <v>59.59539794921875</v>
      </c>
      <c r="DA145" s="25">
        <v>11.502073287963871</v>
      </c>
      <c r="DB145" s="25">
        <v>59.510074615478523</v>
      </c>
      <c r="DC145">
        <v>15615</v>
      </c>
      <c r="DD145" s="253" t="s">
        <v>380</v>
      </c>
    </row>
    <row r="146" spans="1:108" hidden="1">
      <c r="A146" s="13">
        <v>25743</v>
      </c>
      <c r="B146" s="13" t="s">
        <v>754</v>
      </c>
      <c r="C146" s="13" t="s">
        <v>461</v>
      </c>
      <c r="D146" s="13" t="s">
        <v>462</v>
      </c>
      <c r="E146" s="13" t="s">
        <v>755</v>
      </c>
      <c r="F146" s="14">
        <v>71.965133333333299</v>
      </c>
      <c r="G146" s="13">
        <v>68.739999999999995</v>
      </c>
      <c r="H146" s="13">
        <v>56.98</v>
      </c>
      <c r="I146" s="13">
        <v>54.64</v>
      </c>
      <c r="J146" s="14">
        <v>49.719260041086514</v>
      </c>
      <c r="K146" s="14">
        <v>59.772690112975809</v>
      </c>
      <c r="L146" s="14">
        <v>63.818650042431827</v>
      </c>
      <c r="M146" s="14">
        <v>64.712299999999999</v>
      </c>
      <c r="N146" s="14">
        <f t="shared" si="54"/>
        <v>63.081283333333317</v>
      </c>
      <c r="O146" s="14">
        <f t="shared" si="55"/>
        <v>59.505725049123534</v>
      </c>
      <c r="P146" s="14">
        <f t="shared" si="71"/>
        <v>61.293504191228422</v>
      </c>
      <c r="Q146" s="14">
        <v>44.579749743993439</v>
      </c>
      <c r="R146" s="17">
        <f t="shared" si="56"/>
        <v>55.420250256006561</v>
      </c>
      <c r="S146" s="14">
        <f t="shared" si="72"/>
        <v>0.59878225230405913</v>
      </c>
      <c r="T146" s="13">
        <v>0</v>
      </c>
      <c r="U146" s="13">
        <f t="shared" si="73"/>
        <v>36.701462491232043</v>
      </c>
      <c r="V146" s="13">
        <f>IF($T146=1,$AU146,(VLOOKUP(U146,'Cortes naturales'!$A$35:$C$39,3,9)))</f>
        <v>3</v>
      </c>
      <c r="W146" s="13">
        <v>3</v>
      </c>
      <c r="X146" s="14" t="b">
        <f t="shared" si="57"/>
        <v>1</v>
      </c>
      <c r="Y146" s="17">
        <f>IF($T146=1,$AU146,VLOOKUP(U146,'Cortes naturales'!$A$45:$C$49,3,9))</f>
        <v>2</v>
      </c>
      <c r="Z146" s="14">
        <v>62.02026148088985</v>
      </c>
      <c r="AA146" s="14">
        <v>0.62096014522263321</v>
      </c>
      <c r="AB146" s="14">
        <v>38.512110575919046</v>
      </c>
      <c r="AC146" s="13">
        <v>2</v>
      </c>
      <c r="AD146" s="13">
        <f t="shared" si="58"/>
        <v>0</v>
      </c>
      <c r="AE146" s="14">
        <f t="shared" si="59"/>
        <v>-0.72675728966142827</v>
      </c>
      <c r="AF146" s="14">
        <f t="shared" si="60"/>
        <v>-2.2177892918574083E-2</v>
      </c>
      <c r="AG146" s="13">
        <f t="shared" si="61"/>
        <v>-1.8106480846870028</v>
      </c>
      <c r="AH146" s="13">
        <f>IF($T146=1,$AU146,VLOOKUP(U146,'Cortes naturales'!$A$25:$C$29,3,9))</f>
        <v>2</v>
      </c>
      <c r="AI146" s="13" t="b">
        <f t="shared" si="62"/>
        <v>1</v>
      </c>
      <c r="AJ146" s="13">
        <f t="shared" si="63"/>
        <v>0</v>
      </c>
      <c r="AK146" s="28">
        <v>0.9741882058902549</v>
      </c>
      <c r="AL146" s="28">
        <v>60.419407260912564</v>
      </c>
      <c r="AM146" s="28">
        <v>0.58515708493366758</v>
      </c>
      <c r="AN146" s="13">
        <v>2</v>
      </c>
      <c r="AO146" s="33">
        <f t="shared" si="64"/>
        <v>0</v>
      </c>
      <c r="AP146" s="13">
        <f t="shared" si="74"/>
        <v>58.515708493366759</v>
      </c>
      <c r="AQ146" s="13">
        <f>IFERROR(VLOOKUP(U146,'Cortes naturales'!$E$15:$G$19,3,9),U146)</f>
        <v>3</v>
      </c>
      <c r="AR146" s="28">
        <f t="shared" si="65"/>
        <v>-0.37540595358619577</v>
      </c>
      <c r="AS146" s="13" t="b">
        <f t="shared" si="66"/>
        <v>0</v>
      </c>
      <c r="AT146" s="13">
        <f t="shared" si="75"/>
        <v>0</v>
      </c>
      <c r="AU146" s="13">
        <v>1</v>
      </c>
      <c r="AV146">
        <f t="shared" si="67"/>
        <v>-1</v>
      </c>
      <c r="AW146" s="13">
        <v>0</v>
      </c>
      <c r="AX146" s="13">
        <v>0</v>
      </c>
      <c r="AY146" s="13">
        <v>0</v>
      </c>
      <c r="AZ146" s="13">
        <v>0</v>
      </c>
      <c r="BA146">
        <v>1</v>
      </c>
      <c r="BB146" t="s">
        <v>2839</v>
      </c>
      <c r="BC146">
        <v>6</v>
      </c>
      <c r="BD146" t="s">
        <v>2919</v>
      </c>
      <c r="BE146">
        <v>1</v>
      </c>
      <c r="BF146" s="232" t="s">
        <v>2846</v>
      </c>
      <c r="BG146" s="232" t="s">
        <v>2845</v>
      </c>
      <c r="BH146" s="253">
        <v>23.5</v>
      </c>
      <c r="BI146" s="253">
        <v>8.0105119719680751</v>
      </c>
      <c r="BJ146" s="25">
        <v>29.813601362007986</v>
      </c>
      <c r="BK146" t="s">
        <v>379</v>
      </c>
      <c r="BL146">
        <v>0.39401809535156757</v>
      </c>
      <c r="BM146" t="s">
        <v>383</v>
      </c>
      <c r="BN146" s="322">
        <v>43682.419417999998</v>
      </c>
      <c r="BO146" s="322">
        <v>12487.612332000001</v>
      </c>
      <c r="BP146" s="10">
        <v>22445</v>
      </c>
      <c r="BQ146" s="254">
        <f t="shared" si="68"/>
        <v>1.9461982364891957</v>
      </c>
      <c r="BR146" s="254">
        <f t="shared" si="69"/>
        <v>0.5563649958565382</v>
      </c>
      <c r="BS146" s="25">
        <v>58.602640401483349</v>
      </c>
      <c r="BT146" s="25">
        <v>86.955261716789195</v>
      </c>
      <c r="BU146" s="25">
        <v>33.884925086095073</v>
      </c>
      <c r="BV146" s="25">
        <v>80.92591572344439</v>
      </c>
      <c r="BW146" s="25">
        <v>62.934826842184783</v>
      </c>
      <c r="BX146" s="25">
        <v>65.092185731953009</v>
      </c>
      <c r="BY146" s="25">
        <v>62.267552511073497</v>
      </c>
      <c r="BZ146">
        <v>78</v>
      </c>
      <c r="CA146">
        <v>0</v>
      </c>
      <c r="CB146">
        <v>7</v>
      </c>
      <c r="CC146">
        <v>16278.506073</v>
      </c>
      <c r="CD146" s="10">
        <v>6087.5795310000003</v>
      </c>
      <c r="CE146" s="255">
        <v>0.37396426328685256</v>
      </c>
      <c r="CF146" t="str">
        <f>IFERROR(VLOOKUP(CE146,'Rangos amb etnico'!$A$2:$C$6,3,9),"N.D.")</f>
        <v>31% - 50%</v>
      </c>
      <c r="CG146" s="256">
        <v>1.7711063669366577E-4</v>
      </c>
      <c r="CH146" s="232">
        <v>0</v>
      </c>
      <c r="CI146" s="311">
        <f t="shared" si="76"/>
        <v>0</v>
      </c>
      <c r="CJ146" s="232">
        <f>IFERROR(VLOOKUP(CI146,'Rangos amb etnico'!$A$2:$C$6,3,9),"N.D.")</f>
        <v>0</v>
      </c>
      <c r="CK146" s="311">
        <f t="shared" si="77"/>
        <v>0</v>
      </c>
      <c r="CL146" s="10">
        <v>0</v>
      </c>
      <c r="CM146" s="255">
        <f t="shared" si="78"/>
        <v>0</v>
      </c>
      <c r="CN146" s="232">
        <f>IFERROR(VLOOKUP(CM146,'Rangos amb etnico'!$A$2:$C$6,3,9),"N.D.")</f>
        <v>0</v>
      </c>
      <c r="CO146" s="311">
        <f t="shared" si="79"/>
        <v>0</v>
      </c>
      <c r="CP146">
        <v>0.97168932898664329</v>
      </c>
      <c r="CQ146" t="s">
        <v>2864</v>
      </c>
      <c r="CR146">
        <f t="shared" si="70"/>
        <v>3</v>
      </c>
      <c r="CS146" t="str">
        <f t="shared" si="80"/>
        <v>Candidato</v>
      </c>
      <c r="CT146">
        <v>0</v>
      </c>
      <c r="CU146">
        <v>0</v>
      </c>
      <c r="CV146" s="25">
        <v>46.979995727539063</v>
      </c>
      <c r="CW146" s="25">
        <v>32.886825561523438</v>
      </c>
      <c r="CX146" s="25">
        <v>45.948806762695313</v>
      </c>
      <c r="CY146" s="25">
        <v>62.333297729492188</v>
      </c>
      <c r="CZ146" s="25">
        <v>55.446773529052727</v>
      </c>
      <c r="DA146" s="25">
        <v>42.841377258300781</v>
      </c>
      <c r="DB146" s="25">
        <v>42.422893524169922</v>
      </c>
      <c r="DC146">
        <v>109</v>
      </c>
      <c r="DD146" s="253" t="s">
        <v>380</v>
      </c>
    </row>
    <row r="147" spans="1:108" hidden="1">
      <c r="A147" s="13">
        <v>25151</v>
      </c>
      <c r="B147" s="13" t="s">
        <v>756</v>
      </c>
      <c r="C147" s="13" t="s">
        <v>461</v>
      </c>
      <c r="D147" s="13" t="s">
        <v>462</v>
      </c>
      <c r="E147" s="13" t="s">
        <v>757</v>
      </c>
      <c r="F147" s="14">
        <v>63.668033333333298</v>
      </c>
      <c r="G147" s="13">
        <v>61.33</v>
      </c>
      <c r="H147" s="13">
        <v>63.44</v>
      </c>
      <c r="I147" s="13">
        <v>66.14</v>
      </c>
      <c r="J147" s="14">
        <v>55.755286300829908</v>
      </c>
      <c r="K147" s="14">
        <v>53.724375053299411</v>
      </c>
      <c r="L147" s="14">
        <v>69.389530967102516</v>
      </c>
      <c r="M147" s="14">
        <v>54.849299999999999</v>
      </c>
      <c r="N147" s="14">
        <f t="shared" si="54"/>
        <v>63.64450833333332</v>
      </c>
      <c r="O147" s="14">
        <f t="shared" si="55"/>
        <v>58.429623080307955</v>
      </c>
      <c r="P147" s="14">
        <f t="shared" si="71"/>
        <v>61.037065706820641</v>
      </c>
      <c r="Q147" s="14">
        <v>44.157561348097019</v>
      </c>
      <c r="R147" s="17">
        <f t="shared" si="56"/>
        <v>55.842438651902981</v>
      </c>
      <c r="S147" s="14">
        <f t="shared" si="72"/>
        <v>0.60258194786712682</v>
      </c>
      <c r="T147" s="13">
        <v>0</v>
      </c>
      <c r="U147" s="13">
        <f t="shared" si="73"/>
        <v>36.77983394570979</v>
      </c>
      <c r="V147" s="13">
        <f>IF($T147=1,$AU147,(VLOOKUP(U147,'Cortes naturales'!$A$35:$C$39,3,9)))</f>
        <v>3</v>
      </c>
      <c r="W147" s="13">
        <v>3</v>
      </c>
      <c r="X147" s="14" t="b">
        <f t="shared" si="57"/>
        <v>1</v>
      </c>
      <c r="Y147" s="17">
        <f>IF($T147=1,$AU147,VLOOKUP(U147,'Cortes naturales'!$A$45:$C$49,3,9))</f>
        <v>2</v>
      </c>
      <c r="Z147" s="14">
        <v>59.827991584002859</v>
      </c>
      <c r="AA147" s="14">
        <v>0.62163235660553551</v>
      </c>
      <c r="AB147" s="14">
        <v>37.19101539933984</v>
      </c>
      <c r="AC147" s="13">
        <v>2</v>
      </c>
      <c r="AD147" s="13">
        <f t="shared" si="58"/>
        <v>0</v>
      </c>
      <c r="AE147" s="14">
        <f t="shared" si="59"/>
        <v>1.2090741228177819</v>
      </c>
      <c r="AF147" s="14">
        <f t="shared" si="60"/>
        <v>-1.9050408738408686E-2</v>
      </c>
      <c r="AG147" s="13">
        <f t="shared" si="61"/>
        <v>-0.41118145363004999</v>
      </c>
      <c r="AH147" s="13">
        <f>IF($T147=1,$AU147,VLOOKUP(U147,'Cortes naturales'!$A$25:$C$29,3,9))</f>
        <v>2</v>
      </c>
      <c r="AI147" s="13" t="b">
        <f t="shared" si="62"/>
        <v>1</v>
      </c>
      <c r="AJ147" s="13">
        <f t="shared" si="63"/>
        <v>0</v>
      </c>
      <c r="AK147" s="28">
        <v>0.9741882058902549</v>
      </c>
      <c r="AL147" s="28">
        <v>58.283723783237015</v>
      </c>
      <c r="AM147" s="28">
        <v>0.55844193585053015</v>
      </c>
      <c r="AN147" s="13">
        <v>2</v>
      </c>
      <c r="AO147" s="33">
        <f t="shared" si="64"/>
        <v>0</v>
      </c>
      <c r="AP147" s="13">
        <f t="shared" si="74"/>
        <v>55.844193585053013</v>
      </c>
      <c r="AQ147" s="13">
        <f>IFERROR(VLOOKUP(U147,'Cortes naturales'!$E$15:$G$19,3,9),U147)</f>
        <v>3</v>
      </c>
      <c r="AR147" s="28">
        <f t="shared" si="65"/>
        <v>-0.37160625802312808</v>
      </c>
      <c r="AS147" s="13" t="b">
        <f t="shared" si="66"/>
        <v>0</v>
      </c>
      <c r="AT147" s="13">
        <f t="shared" si="75"/>
        <v>0</v>
      </c>
      <c r="AU147" s="13">
        <v>2</v>
      </c>
      <c r="AV147">
        <f t="shared" si="67"/>
        <v>0</v>
      </c>
      <c r="AW147" s="13">
        <v>0</v>
      </c>
      <c r="AX147" s="13">
        <v>0</v>
      </c>
      <c r="AY147" s="13">
        <v>0</v>
      </c>
      <c r="AZ147" s="13">
        <v>0</v>
      </c>
      <c r="BA147">
        <v>0</v>
      </c>
      <c r="BB147" t="s">
        <v>2839</v>
      </c>
      <c r="BC147">
        <v>6</v>
      </c>
      <c r="BD147" t="s">
        <v>2919</v>
      </c>
      <c r="BE147">
        <v>0</v>
      </c>
      <c r="BF147" s="232" t="s">
        <v>2846</v>
      </c>
      <c r="BG147" s="232" t="s">
        <v>2846</v>
      </c>
      <c r="BH147" s="253">
        <v>21.7</v>
      </c>
      <c r="BI147" s="253">
        <v>7.5218658892128278</v>
      </c>
      <c r="BJ147" s="25">
        <v>10.778421052631579</v>
      </c>
      <c r="BK147" t="s">
        <v>377</v>
      </c>
      <c r="BL147">
        <v>14.380075663328123</v>
      </c>
      <c r="BM147" t="s">
        <v>376</v>
      </c>
      <c r="BN147" s="322">
        <v>25264.239205000002</v>
      </c>
      <c r="BO147" s="322">
        <v>7328.4993910000003</v>
      </c>
      <c r="BP147" s="10">
        <v>18061</v>
      </c>
      <c r="BQ147" s="254">
        <f t="shared" si="68"/>
        <v>1.3988283707989593</v>
      </c>
      <c r="BR147" s="254">
        <f t="shared" si="69"/>
        <v>0.40576376673495379</v>
      </c>
      <c r="BS147" s="25">
        <v>57.917401446291571</v>
      </c>
      <c r="BT147" s="25">
        <v>95.068738604258058</v>
      </c>
      <c r="BU147" s="25">
        <v>35.178024771368896</v>
      </c>
      <c r="BV147" s="25">
        <v>88.562366545282273</v>
      </c>
      <c r="BW147" s="25">
        <v>41.321034620933943</v>
      </c>
      <c r="BX147" s="25">
        <v>69.181632841800209</v>
      </c>
      <c r="BY147" s="25">
        <v>41.869640869990192</v>
      </c>
      <c r="BZ147">
        <v>40</v>
      </c>
      <c r="CA147">
        <v>1</v>
      </c>
      <c r="CB147">
        <v>6</v>
      </c>
      <c r="CC147">
        <v>11140.520939</v>
      </c>
      <c r="CD147" s="10">
        <v>25.748328000000001</v>
      </c>
      <c r="CE147" s="255">
        <v>2.311231955936814E-3</v>
      </c>
      <c r="CF147" t="str">
        <f>IFERROR(VLOOKUP(CE147,'Rangos amb etnico'!$A$2:$C$6,3,9),"N.D.")</f>
        <v>0,1% - 30%</v>
      </c>
      <c r="CG147" s="256">
        <v>7.4911592409671984E-7</v>
      </c>
      <c r="CH147" s="232">
        <v>0</v>
      </c>
      <c r="CI147" s="311">
        <f t="shared" si="76"/>
        <v>0</v>
      </c>
      <c r="CJ147" s="232">
        <f>IFERROR(VLOOKUP(CI147,'Rangos amb etnico'!$A$2:$C$6,3,9),"N.D.")</f>
        <v>0</v>
      </c>
      <c r="CK147" s="311">
        <f t="shared" si="77"/>
        <v>0</v>
      </c>
      <c r="CL147" s="10">
        <v>0</v>
      </c>
      <c r="CM147" s="255">
        <f t="shared" si="78"/>
        <v>0</v>
      </c>
      <c r="CN147" s="232">
        <f>IFERROR(VLOOKUP(CM147,'Rangos amb etnico'!$A$2:$C$6,3,9),"N.D.")</f>
        <v>0</v>
      </c>
      <c r="CO147" s="311">
        <f t="shared" si="79"/>
        <v>0</v>
      </c>
      <c r="CP147">
        <v>0.85120152415771977</v>
      </c>
      <c r="CQ147" t="s">
        <v>2864</v>
      </c>
      <c r="CR147">
        <f t="shared" si="70"/>
        <v>2</v>
      </c>
      <c r="CS147" t="str">
        <f t="shared" si="80"/>
        <v>No es Candidato</v>
      </c>
      <c r="CT147">
        <v>0</v>
      </c>
      <c r="CU147">
        <v>0</v>
      </c>
      <c r="CV147" s="25">
        <v>47.23052978515625</v>
      </c>
      <c r="CW147" s="25">
        <v>44.068355560302727</v>
      </c>
      <c r="CX147" s="25">
        <v>52.727413177490227</v>
      </c>
      <c r="CY147" s="25">
        <v>56.857707977294922</v>
      </c>
      <c r="CZ147" s="25">
        <v>49.028984069824219</v>
      </c>
      <c r="DA147" s="25">
        <v>43.558658599853523</v>
      </c>
      <c r="DB147" s="25">
        <v>37.142047882080078</v>
      </c>
      <c r="DC147">
        <v>180</v>
      </c>
      <c r="DD147" s="253" t="s">
        <v>380</v>
      </c>
    </row>
    <row r="148" spans="1:108" hidden="1">
      <c r="A148" s="13">
        <v>52019</v>
      </c>
      <c r="B148" s="13" t="s">
        <v>758</v>
      </c>
      <c r="C148" s="13" t="s">
        <v>672</v>
      </c>
      <c r="D148" s="13" t="s">
        <v>673</v>
      </c>
      <c r="E148" s="13" t="s">
        <v>759</v>
      </c>
      <c r="F148" s="14">
        <v>71.844666666666697</v>
      </c>
      <c r="G148" s="13">
        <v>56.27</v>
      </c>
      <c r="H148" s="13">
        <v>56.22</v>
      </c>
      <c r="I148" s="13">
        <v>38.78</v>
      </c>
      <c r="J148" s="14">
        <v>53.68771511916534</v>
      </c>
      <c r="K148" s="14">
        <v>48.553822536562208</v>
      </c>
      <c r="L148" s="14">
        <v>49.541750312796239</v>
      </c>
      <c r="M148" s="14">
        <v>44.425800000000002</v>
      </c>
      <c r="N148" s="14">
        <f t="shared" si="54"/>
        <v>55.778666666666673</v>
      </c>
      <c r="O148" s="14">
        <f t="shared" si="55"/>
        <v>49.052271992130947</v>
      </c>
      <c r="P148" s="14">
        <f t="shared" si="71"/>
        <v>52.41546932939881</v>
      </c>
      <c r="Q148" s="14">
        <v>43.56483677574456</v>
      </c>
      <c r="R148" s="17">
        <f t="shared" si="56"/>
        <v>56.43516322425544</v>
      </c>
      <c r="S148" s="14">
        <f t="shared" si="72"/>
        <v>0.60791646901829888</v>
      </c>
      <c r="T148" s="13">
        <v>0</v>
      </c>
      <c r="U148" s="13">
        <f t="shared" si="73"/>
        <v>31.864227036665067</v>
      </c>
      <c r="V148" s="13">
        <f>IF($T148=1,$AU148,(VLOOKUP(U148,'Cortes naturales'!$A$35:$C$39,3,9)))</f>
        <v>3</v>
      </c>
      <c r="W148" s="13">
        <v>3</v>
      </c>
      <c r="X148" s="14" t="b">
        <f t="shared" si="57"/>
        <v>1</v>
      </c>
      <c r="Y148" s="17">
        <f>IF($T148=1,$AU148,VLOOKUP(U148,'Cortes naturales'!$A$45:$C$49,3,9))</f>
        <v>3</v>
      </c>
      <c r="Z148" s="14">
        <v>57.316800312762318</v>
      </c>
      <c r="AA148" s="14">
        <v>0.62301123133579983</v>
      </c>
      <c r="AB148" s="14">
        <v>35.709010339082205</v>
      </c>
      <c r="AC148" s="13">
        <v>2</v>
      </c>
      <c r="AD148" s="13">
        <f t="shared" si="58"/>
        <v>-1</v>
      </c>
      <c r="AE148" s="14">
        <f t="shared" si="59"/>
        <v>-4.9013309833635077</v>
      </c>
      <c r="AF148" s="14">
        <f t="shared" si="60"/>
        <v>-1.5094762317500954E-2</v>
      </c>
      <c r="AG148" s="13">
        <f t="shared" si="61"/>
        <v>-3.8447833024171381</v>
      </c>
      <c r="AH148" s="13">
        <f>IF($T148=1,$AU148,VLOOKUP(U148,'Cortes naturales'!$A$25:$C$29,3,9))</f>
        <v>3</v>
      </c>
      <c r="AI148" s="13" t="b">
        <f t="shared" si="62"/>
        <v>1</v>
      </c>
      <c r="AJ148" s="13" t="str">
        <f t="shared" si="63"/>
        <v>Efecto ponderador</v>
      </c>
      <c r="AK148" s="28">
        <v>0.9741882058902549</v>
      </c>
      <c r="AL148" s="28">
        <v>55.837350864059921</v>
      </c>
      <c r="AM148" s="28">
        <v>0.52784038935174926</v>
      </c>
      <c r="AN148" s="13">
        <v>2</v>
      </c>
      <c r="AO148" s="33">
        <f t="shared" si="64"/>
        <v>-1</v>
      </c>
      <c r="AP148" s="13">
        <f t="shared" si="74"/>
        <v>52.784038935174927</v>
      </c>
      <c r="AQ148" s="13">
        <f>IFERROR(VLOOKUP(U148,'Cortes naturales'!$E$15:$G$19,3,9),U148)</f>
        <v>4</v>
      </c>
      <c r="AR148" s="28">
        <f t="shared" si="65"/>
        <v>-0.36627173687195602</v>
      </c>
      <c r="AS148" s="13" t="b">
        <f t="shared" si="66"/>
        <v>0</v>
      </c>
      <c r="AT148" s="13" t="str">
        <f t="shared" si="75"/>
        <v>Cambio en corte</v>
      </c>
      <c r="AU148" s="13">
        <v>3</v>
      </c>
      <c r="AV148">
        <f t="shared" si="67"/>
        <v>0</v>
      </c>
      <c r="AW148" s="13">
        <v>0</v>
      </c>
      <c r="AX148" s="13">
        <v>0</v>
      </c>
      <c r="AY148" s="13">
        <v>0</v>
      </c>
      <c r="AZ148" s="13">
        <v>0</v>
      </c>
      <c r="BA148">
        <v>0</v>
      </c>
      <c r="BB148" t="s">
        <v>2839</v>
      </c>
      <c r="BC148">
        <v>6</v>
      </c>
      <c r="BD148" t="s">
        <v>2919</v>
      </c>
      <c r="BE148">
        <v>0</v>
      </c>
      <c r="BF148" s="232" t="s">
        <v>2846</v>
      </c>
      <c r="BG148" s="232" t="s">
        <v>2845</v>
      </c>
      <c r="BH148" s="253">
        <v>44.2</v>
      </c>
      <c r="BI148" s="253">
        <v>15.895495055548773</v>
      </c>
      <c r="BJ148" s="25">
        <v>35.569651826106153</v>
      </c>
      <c r="BK148" t="s">
        <v>376</v>
      </c>
      <c r="BL148">
        <v>4.8074348458730451</v>
      </c>
      <c r="BM148" t="s">
        <v>383</v>
      </c>
      <c r="BN148" s="322">
        <v>26739.315701</v>
      </c>
      <c r="BO148" s="322">
        <v>758.89963299999999</v>
      </c>
      <c r="BP148" s="10">
        <v>9628</v>
      </c>
      <c r="BQ148" s="254">
        <f t="shared" si="68"/>
        <v>2.7772450873493977</v>
      </c>
      <c r="BR148" s="254">
        <f t="shared" si="69"/>
        <v>7.8822147174906529E-2</v>
      </c>
      <c r="BS148" s="25">
        <v>57.781865604016993</v>
      </c>
      <c r="BT148" s="25">
        <v>84.13783856945021</v>
      </c>
      <c r="BU148" s="25">
        <v>45.528629870871903</v>
      </c>
      <c r="BV148" s="25">
        <v>96.122821426014525</v>
      </c>
      <c r="BW148" s="25">
        <v>43.363431939946373</v>
      </c>
      <c r="BX148" s="25">
        <v>70.892788867588408</v>
      </c>
      <c r="BY148" s="25">
        <v>43.040354664921757</v>
      </c>
      <c r="BZ148">
        <v>69</v>
      </c>
      <c r="CA148">
        <v>0</v>
      </c>
      <c r="CB148">
        <v>7</v>
      </c>
      <c r="CC148">
        <v>3863.842486</v>
      </c>
      <c r="CD148" s="10">
        <v>1106.956727</v>
      </c>
      <c r="CE148" s="255">
        <v>0.28649116288018373</v>
      </c>
      <c r="CF148" t="str">
        <f>IFERROR(VLOOKUP(CE148,'Rangos amb etnico'!$A$2:$C$6,3,9),"N.D.")</f>
        <v>0,1% - 30%</v>
      </c>
      <c r="CG148" s="256">
        <v>3.2205544044711775E-5</v>
      </c>
      <c r="CH148" s="232">
        <v>0</v>
      </c>
      <c r="CI148" s="311">
        <f t="shared" si="76"/>
        <v>0</v>
      </c>
      <c r="CJ148" s="232">
        <f>IFERROR(VLOOKUP(CI148,'Rangos amb etnico'!$A$2:$C$6,3,9),"N.D.")</f>
        <v>0</v>
      </c>
      <c r="CK148" s="311">
        <f t="shared" si="77"/>
        <v>0</v>
      </c>
      <c r="CL148" s="10">
        <v>0</v>
      </c>
      <c r="CM148" s="255">
        <f t="shared" si="78"/>
        <v>0</v>
      </c>
      <c r="CN148" s="232">
        <f>IFERROR(VLOOKUP(CM148,'Rangos amb etnico'!$A$2:$C$6,3,9),"N.D.")</f>
        <v>0</v>
      </c>
      <c r="CO148" s="311">
        <f t="shared" si="79"/>
        <v>0</v>
      </c>
      <c r="CP148">
        <v>0.93740610212833753</v>
      </c>
      <c r="CQ148" t="s">
        <v>2864</v>
      </c>
      <c r="CR148">
        <f t="shared" si="70"/>
        <v>1</v>
      </c>
      <c r="CS148" t="str">
        <f t="shared" si="80"/>
        <v>No es Candidato</v>
      </c>
      <c r="CT148">
        <v>0</v>
      </c>
      <c r="CU148">
        <v>0</v>
      </c>
      <c r="CV148" s="25">
        <v>53.636325836181641</v>
      </c>
      <c r="CW148" s="25">
        <v>27.341045379638668</v>
      </c>
      <c r="CX148" s="25">
        <v>50.484317779541023</v>
      </c>
      <c r="CY148" s="25">
        <v>64.242095947265625</v>
      </c>
      <c r="CZ148" s="25">
        <v>48.959396362304688</v>
      </c>
      <c r="DA148" s="25">
        <v>83.842315673828125</v>
      </c>
      <c r="DB148" s="25">
        <v>46.948768615722663</v>
      </c>
      <c r="DC148">
        <v>196</v>
      </c>
      <c r="DD148" s="253" t="s">
        <v>380</v>
      </c>
    </row>
    <row r="149" spans="1:108" hidden="1">
      <c r="A149" s="13">
        <v>17873</v>
      </c>
      <c r="B149" s="13" t="s">
        <v>760</v>
      </c>
      <c r="C149" s="13" t="s">
        <v>506</v>
      </c>
      <c r="D149" s="13" t="s">
        <v>507</v>
      </c>
      <c r="E149" s="13" t="s">
        <v>761</v>
      </c>
      <c r="F149" s="14">
        <v>65.292766666666694</v>
      </c>
      <c r="G149" s="13">
        <v>62.32</v>
      </c>
      <c r="H149" s="13">
        <v>64.05</v>
      </c>
      <c r="I149" s="13">
        <v>60.86</v>
      </c>
      <c r="J149" s="14">
        <v>69.070904491648108</v>
      </c>
      <c r="K149" s="14">
        <v>67.995364276177696</v>
      </c>
      <c r="L149" s="14">
        <v>68.649531256207482</v>
      </c>
      <c r="M149" s="14">
        <v>63.181899999999999</v>
      </c>
      <c r="N149" s="14">
        <f t="shared" si="54"/>
        <v>63.130691666666678</v>
      </c>
      <c r="O149" s="14">
        <f t="shared" si="55"/>
        <v>67.224425006008317</v>
      </c>
      <c r="P149" s="14">
        <f t="shared" si="71"/>
        <v>65.177558336337498</v>
      </c>
      <c r="Q149" s="14">
        <v>43.504245694847519</v>
      </c>
      <c r="R149" s="17">
        <f t="shared" si="56"/>
        <v>56.495754305152481</v>
      </c>
      <c r="S149" s="14">
        <f t="shared" si="72"/>
        <v>0.60846178874637236</v>
      </c>
      <c r="T149" s="13">
        <v>0</v>
      </c>
      <c r="U149" s="13">
        <f t="shared" si="73"/>
        <v>39.658053731448945</v>
      </c>
      <c r="V149" s="13">
        <f>IF($T149=1,$AU149,(VLOOKUP(U149,'Cortes naturales'!$A$35:$C$39,3,9)))</f>
        <v>2</v>
      </c>
      <c r="W149" s="13">
        <v>2</v>
      </c>
      <c r="X149" s="14" t="b">
        <f t="shared" si="57"/>
        <v>1</v>
      </c>
      <c r="Y149" s="17">
        <f>IF($T149=1,$AU149,VLOOKUP(U149,'Cortes naturales'!$A$45:$C$49,3,9))</f>
        <v>2</v>
      </c>
      <c r="Z149" s="14">
        <v>64.549401803449442</v>
      </c>
      <c r="AA149" s="14">
        <v>0.62229754565310891</v>
      </c>
      <c r="AB149" s="14">
        <v>40.168934315662952</v>
      </c>
      <c r="AC149" s="13">
        <v>2</v>
      </c>
      <c r="AD149" s="13">
        <f t="shared" si="58"/>
        <v>0</v>
      </c>
      <c r="AE149" s="14">
        <f t="shared" si="59"/>
        <v>0.62815653288805606</v>
      </c>
      <c r="AF149" s="14">
        <f t="shared" si="60"/>
        <v>-1.3835756906736552E-2</v>
      </c>
      <c r="AG149" s="13">
        <f t="shared" si="61"/>
        <v>-0.51088058421400717</v>
      </c>
      <c r="AH149" s="13">
        <f>IF($T149=1,$AU149,VLOOKUP(U149,'Cortes naturales'!$A$25:$C$29,3,9))</f>
        <v>2</v>
      </c>
      <c r="AI149" s="13" t="b">
        <f t="shared" si="62"/>
        <v>1</v>
      </c>
      <c r="AJ149" s="13">
        <f t="shared" si="63"/>
        <v>0</v>
      </c>
      <c r="AK149" s="28">
        <v>0.9741882058902549</v>
      </c>
      <c r="AL149" s="28">
        <v>62.883265934191598</v>
      </c>
      <c r="AM149" s="28">
        <v>0.6159773597845416</v>
      </c>
      <c r="AN149" s="13">
        <v>2</v>
      </c>
      <c r="AO149" s="33">
        <f t="shared" si="64"/>
        <v>0</v>
      </c>
      <c r="AP149" s="13">
        <f t="shared" si="74"/>
        <v>61.59773597845416</v>
      </c>
      <c r="AQ149" s="13">
        <f>IFERROR(VLOOKUP(U149,'Cortes naturales'!$E$15:$G$19,3,9),U149)</f>
        <v>3</v>
      </c>
      <c r="AR149" s="28">
        <f t="shared" si="65"/>
        <v>-0.36572641714388254</v>
      </c>
      <c r="AS149" s="13" t="b">
        <f t="shared" si="66"/>
        <v>0</v>
      </c>
      <c r="AT149" s="13">
        <f t="shared" si="75"/>
        <v>0</v>
      </c>
      <c r="AU149" s="13">
        <v>2</v>
      </c>
      <c r="AV149">
        <f t="shared" si="67"/>
        <v>0</v>
      </c>
      <c r="AW149" s="13">
        <v>0</v>
      </c>
      <c r="AX149" s="13">
        <v>0</v>
      </c>
      <c r="AY149" s="13">
        <v>0</v>
      </c>
      <c r="AZ149" s="13">
        <v>0</v>
      </c>
      <c r="BA149">
        <v>0</v>
      </c>
      <c r="BB149" t="s">
        <v>2838</v>
      </c>
      <c r="BC149">
        <v>5</v>
      </c>
      <c r="BD149" s="184" t="s">
        <v>2917</v>
      </c>
      <c r="BE149">
        <v>1</v>
      </c>
      <c r="BF149" s="232" t="s">
        <v>2846</v>
      </c>
      <c r="BG149" s="232" t="s">
        <v>2846</v>
      </c>
      <c r="BH149" s="253">
        <v>17</v>
      </c>
      <c r="BI149" s="253">
        <v>6.8612276810646069</v>
      </c>
      <c r="BJ149" s="25">
        <v>6.9630335313407041</v>
      </c>
      <c r="BK149" t="s">
        <v>377</v>
      </c>
      <c r="BL149">
        <v>0.49620272070789251</v>
      </c>
      <c r="BM149" t="s">
        <v>383</v>
      </c>
      <c r="BN149" s="322">
        <v>62176.145815999997</v>
      </c>
      <c r="BO149" s="322">
        <v>22219.813096999998</v>
      </c>
      <c r="BP149" s="10">
        <v>72649</v>
      </c>
      <c r="BQ149" s="254">
        <f t="shared" si="68"/>
        <v>0.855843106112954</v>
      </c>
      <c r="BR149" s="254">
        <f t="shared" si="69"/>
        <v>0.30585160287134028</v>
      </c>
      <c r="BS149" s="25">
        <v>61.81011520631305</v>
      </c>
      <c r="BT149" s="25">
        <v>76.11290977650529</v>
      </c>
      <c r="BU149" s="25">
        <v>61.197997035390038</v>
      </c>
      <c r="BV149" s="25">
        <v>91.663259351045681</v>
      </c>
      <c r="BW149" s="25">
        <v>61.412977346109898</v>
      </c>
      <c r="BX149" s="25">
        <v>72.696070342313519</v>
      </c>
      <c r="BY149" s="25">
        <v>62.739777114768827</v>
      </c>
      <c r="BZ149">
        <v>19</v>
      </c>
      <c r="CA149">
        <v>0</v>
      </c>
      <c r="CB149">
        <v>7</v>
      </c>
      <c r="CC149">
        <v>45487.084753000003</v>
      </c>
      <c r="CD149" s="10">
        <v>38882.082907999997</v>
      </c>
      <c r="CE149" s="255">
        <v>0.85479390730652649</v>
      </c>
      <c r="CF149" t="str">
        <f>IFERROR(VLOOKUP(CE149,'Rangos amb etnico'!$A$2:$C$6,3,9),"N.D.")</f>
        <v>71% - 100%</v>
      </c>
      <c r="CG149" s="256">
        <v>1.1312263642296188E-3</v>
      </c>
      <c r="CH149" s="232">
        <v>0</v>
      </c>
      <c r="CI149" s="311">
        <f t="shared" si="76"/>
        <v>0</v>
      </c>
      <c r="CJ149" s="232">
        <f>IFERROR(VLOOKUP(CI149,'Rangos amb etnico'!$A$2:$C$6,3,9),"N.D.")</f>
        <v>0</v>
      </c>
      <c r="CK149" s="311">
        <f t="shared" si="77"/>
        <v>0</v>
      </c>
      <c r="CL149" s="10">
        <v>0</v>
      </c>
      <c r="CM149" s="255">
        <f t="shared" si="78"/>
        <v>0</v>
      </c>
      <c r="CN149" s="232">
        <f>IFERROR(VLOOKUP(CM149,'Rangos amb etnico'!$A$2:$C$6,3,9),"N.D.")</f>
        <v>0</v>
      </c>
      <c r="CO149" s="311">
        <f t="shared" si="79"/>
        <v>0</v>
      </c>
      <c r="CP149">
        <v>0.97109422137869017</v>
      </c>
      <c r="CQ149" t="s">
        <v>2864</v>
      </c>
      <c r="CR149">
        <f t="shared" si="70"/>
        <v>4</v>
      </c>
      <c r="CS149" t="str">
        <f t="shared" si="80"/>
        <v>Candidato</v>
      </c>
      <c r="CT149">
        <v>0</v>
      </c>
      <c r="CU149">
        <v>0</v>
      </c>
      <c r="CV149" s="25">
        <v>63.790515899658203</v>
      </c>
      <c r="CW149" s="25">
        <v>41.118392944335938</v>
      </c>
      <c r="CX149" s="25">
        <v>61.089611053466797</v>
      </c>
      <c r="CY149" s="25">
        <v>70.902229309082031</v>
      </c>
      <c r="CZ149" s="25">
        <v>69.926925659179688</v>
      </c>
      <c r="DA149" s="25">
        <v>78.889152526855469</v>
      </c>
      <c r="DB149" s="25">
        <v>60.8167724609375</v>
      </c>
      <c r="DC149">
        <v>1707</v>
      </c>
      <c r="DD149" s="253" t="s">
        <v>380</v>
      </c>
    </row>
    <row r="150" spans="1:108" hidden="1">
      <c r="A150" s="13">
        <v>52323</v>
      </c>
      <c r="B150" s="13" t="s">
        <v>762</v>
      </c>
      <c r="C150" s="13" t="s">
        <v>672</v>
      </c>
      <c r="D150" s="13" t="s">
        <v>673</v>
      </c>
      <c r="E150" s="13" t="s">
        <v>763</v>
      </c>
      <c r="F150" s="14">
        <v>68.227033333333296</v>
      </c>
      <c r="G150" s="13">
        <v>63.31</v>
      </c>
      <c r="H150" s="13">
        <v>71.31</v>
      </c>
      <c r="I150" s="13">
        <v>70.95</v>
      </c>
      <c r="J150" s="14">
        <v>45.931849616143651</v>
      </c>
      <c r="K150" s="14">
        <v>61.468591321408226</v>
      </c>
      <c r="L150" s="14">
        <v>67.5957537589656</v>
      </c>
      <c r="M150" s="14">
        <v>61.186599999999999</v>
      </c>
      <c r="N150" s="14">
        <f t="shared" si="54"/>
        <v>68.449258333333319</v>
      </c>
      <c r="O150" s="14">
        <f t="shared" si="55"/>
        <v>59.045698674129369</v>
      </c>
      <c r="P150" s="14">
        <f t="shared" si="71"/>
        <v>63.747478503731344</v>
      </c>
      <c r="Q150" s="14">
        <v>43.235907175565167</v>
      </c>
      <c r="R150" s="17">
        <f t="shared" si="56"/>
        <v>56.764092824434833</v>
      </c>
      <c r="S150" s="14">
        <f t="shared" si="72"/>
        <v>0.61087683541991344</v>
      </c>
      <c r="T150" s="13">
        <v>0</v>
      </c>
      <c r="U150" s="13">
        <f t="shared" si="73"/>
        <v>38.94185793435836</v>
      </c>
      <c r="V150" s="13">
        <f>IF($T150=1,$AU150,(VLOOKUP(U150,'Cortes naturales'!$A$35:$C$39,3,9)))</f>
        <v>2</v>
      </c>
      <c r="W150" s="13">
        <v>2</v>
      </c>
      <c r="X150" s="14" t="b">
        <f t="shared" si="57"/>
        <v>1</v>
      </c>
      <c r="Y150" s="17">
        <f>IF($T150=1,$AU150,VLOOKUP(U150,'Cortes naturales'!$A$45:$C$49,3,9))</f>
        <v>2</v>
      </c>
      <c r="Z150" s="14">
        <v>62.816705358902723</v>
      </c>
      <c r="AA150" s="14">
        <v>0.62100968225783237</v>
      </c>
      <c r="AB150" s="14">
        <v>39.009782235416054</v>
      </c>
      <c r="AC150" s="13">
        <v>2</v>
      </c>
      <c r="AD150" s="13">
        <f t="shared" si="58"/>
        <v>0</v>
      </c>
      <c r="AE150" s="14">
        <f t="shared" si="59"/>
        <v>0.9307731448286205</v>
      </c>
      <c r="AF150" s="14">
        <f t="shared" si="60"/>
        <v>-1.013284683791893E-2</v>
      </c>
      <c r="AG150" s="13">
        <f t="shared" si="61"/>
        <v>-6.7924301057693981E-2</v>
      </c>
      <c r="AH150" s="13">
        <f>IF($T150=1,$AU150,VLOOKUP(U150,'Cortes naturales'!$A$25:$C$29,3,9))</f>
        <v>2</v>
      </c>
      <c r="AI150" s="13" t="b">
        <f t="shared" si="62"/>
        <v>1</v>
      </c>
      <c r="AJ150" s="13">
        <f t="shared" si="63"/>
        <v>0</v>
      </c>
      <c r="AK150" s="28">
        <v>0.9741882058902549</v>
      </c>
      <c r="AL150" s="28">
        <v>61.195293493526208</v>
      </c>
      <c r="AM150" s="28">
        <v>0.59486260384248435</v>
      </c>
      <c r="AN150" s="13">
        <v>2</v>
      </c>
      <c r="AO150" s="33">
        <f t="shared" si="64"/>
        <v>0</v>
      </c>
      <c r="AP150" s="13">
        <f t="shared" si="74"/>
        <v>59.486260384248432</v>
      </c>
      <c r="AQ150" s="13">
        <f>IFERROR(VLOOKUP(U150,'Cortes naturales'!$E$15:$G$19,3,9),U150)</f>
        <v>3</v>
      </c>
      <c r="AR150" s="28">
        <f t="shared" si="65"/>
        <v>-0.36331137047034145</v>
      </c>
      <c r="AS150" s="13" t="b">
        <f t="shared" si="66"/>
        <v>0</v>
      </c>
      <c r="AT150" s="13">
        <f t="shared" si="75"/>
        <v>0</v>
      </c>
      <c r="AU150" s="13">
        <v>3</v>
      </c>
      <c r="AV150">
        <f t="shared" si="67"/>
        <v>1</v>
      </c>
      <c r="AW150" s="13">
        <v>0</v>
      </c>
      <c r="AX150" s="13">
        <v>0</v>
      </c>
      <c r="AY150" s="13">
        <v>0</v>
      </c>
      <c r="AZ150" s="13">
        <v>0</v>
      </c>
      <c r="BA150">
        <v>0</v>
      </c>
      <c r="BB150" t="s">
        <v>2839</v>
      </c>
      <c r="BC150">
        <v>6</v>
      </c>
      <c r="BD150" t="s">
        <v>2919</v>
      </c>
      <c r="BE150">
        <v>0</v>
      </c>
      <c r="BF150" s="232" t="s">
        <v>2846</v>
      </c>
      <c r="BG150" s="232" t="s">
        <v>2845</v>
      </c>
      <c r="BH150" s="253">
        <v>30.9</v>
      </c>
      <c r="BI150" s="253">
        <v>15.643879173290937</v>
      </c>
      <c r="BJ150" s="25">
        <v>23.912794322789942</v>
      </c>
      <c r="BK150" t="s">
        <v>379</v>
      </c>
      <c r="BL150">
        <v>1.157508257728582</v>
      </c>
      <c r="BM150" t="s">
        <v>383</v>
      </c>
      <c r="BN150" s="322">
        <v>16250.790083</v>
      </c>
      <c r="BO150" s="322">
        <v>1018.085471</v>
      </c>
      <c r="BP150" s="10">
        <v>7609</v>
      </c>
      <c r="BQ150" s="254">
        <f t="shared" si="68"/>
        <v>2.1357326958864502</v>
      </c>
      <c r="BR150" s="254">
        <f t="shared" si="69"/>
        <v>0.13380016703903272</v>
      </c>
      <c r="BS150" s="25">
        <v>71.120997691458399</v>
      </c>
      <c r="BT150" s="25">
        <v>53.143209033600563</v>
      </c>
      <c r="BU150" s="25">
        <v>57.175833333333337</v>
      </c>
      <c r="BV150" s="25">
        <v>96.565121698507838</v>
      </c>
      <c r="BW150" s="25">
        <v>59.389197061415508</v>
      </c>
      <c r="BX150" s="25">
        <v>69.501290439225031</v>
      </c>
      <c r="BY150" s="25">
        <v>56.452551128589143</v>
      </c>
      <c r="BZ150">
        <v>28</v>
      </c>
      <c r="CA150">
        <v>0</v>
      </c>
      <c r="CB150">
        <v>7</v>
      </c>
      <c r="CC150">
        <v>2999.411537</v>
      </c>
      <c r="CD150" s="10">
        <v>683.65216999999996</v>
      </c>
      <c r="CE150" s="255">
        <v>0.22792876588178568</v>
      </c>
      <c r="CF150" t="str">
        <f>IFERROR(VLOOKUP(CE150,'Rangos amb etnico'!$A$2:$C$6,3,9),"N.D.")</f>
        <v>0,1% - 30%</v>
      </c>
      <c r="CG150" s="256">
        <v>1.9890018765112739E-5</v>
      </c>
      <c r="CH150" s="232">
        <v>0</v>
      </c>
      <c r="CI150" s="311">
        <f t="shared" si="76"/>
        <v>0</v>
      </c>
      <c r="CJ150" s="232">
        <f>IFERROR(VLOOKUP(CI150,'Rangos amb etnico'!$A$2:$C$6,3,9),"N.D.")</f>
        <v>0</v>
      </c>
      <c r="CK150" s="311">
        <f t="shared" si="77"/>
        <v>0</v>
      </c>
      <c r="CL150" s="10">
        <v>0</v>
      </c>
      <c r="CM150" s="255">
        <f t="shared" si="78"/>
        <v>0</v>
      </c>
      <c r="CN150" s="232">
        <f>IFERROR(VLOOKUP(CM150,'Rangos amb etnico'!$A$2:$C$6,3,9),"N.D.")</f>
        <v>0</v>
      </c>
      <c r="CO150" s="311">
        <f t="shared" si="79"/>
        <v>0</v>
      </c>
      <c r="CP150">
        <v>0.98801757105812338</v>
      </c>
      <c r="CQ150" t="s">
        <v>2864</v>
      </c>
      <c r="CR150">
        <f t="shared" si="70"/>
        <v>3</v>
      </c>
      <c r="CS150" t="str">
        <f t="shared" si="80"/>
        <v>Candidato</v>
      </c>
      <c r="CT150">
        <v>0</v>
      </c>
      <c r="CU150">
        <v>0</v>
      </c>
      <c r="CV150" s="25">
        <v>54.979625701904297</v>
      </c>
      <c r="CW150" s="25">
        <v>30.830924987792969</v>
      </c>
      <c r="CX150" s="25">
        <v>48.326927185058587</v>
      </c>
      <c r="CY150" s="25">
        <v>66.917961120605469</v>
      </c>
      <c r="CZ150" s="25">
        <v>47.750106811523438</v>
      </c>
      <c r="DA150" s="25">
        <v>88.097618103027344</v>
      </c>
      <c r="DB150" s="25">
        <v>47.954212188720703</v>
      </c>
      <c r="DC150">
        <v>215</v>
      </c>
      <c r="DD150" s="253" t="s">
        <v>380</v>
      </c>
    </row>
    <row r="151" spans="1:108" hidden="1">
      <c r="A151" s="13">
        <v>17524</v>
      </c>
      <c r="B151" s="13" t="s">
        <v>764</v>
      </c>
      <c r="C151" s="13" t="s">
        <v>506</v>
      </c>
      <c r="D151" s="13" t="s">
        <v>507</v>
      </c>
      <c r="E151" s="13" t="s">
        <v>765</v>
      </c>
      <c r="F151" s="14">
        <v>58.746899999999997</v>
      </c>
      <c r="G151" s="13">
        <v>41.25</v>
      </c>
      <c r="H151" s="13">
        <v>68.260000000000005</v>
      </c>
      <c r="I151" s="13">
        <v>71.55</v>
      </c>
      <c r="J151" s="14">
        <v>60.691128668456209</v>
      </c>
      <c r="K151" s="14">
        <v>55.248820293738135</v>
      </c>
      <c r="L151" s="14">
        <v>56.270526237390413</v>
      </c>
      <c r="M151" s="14">
        <v>50.759500000000003</v>
      </c>
      <c r="N151" s="14">
        <f t="shared" si="54"/>
        <v>59.951724999999996</v>
      </c>
      <c r="O151" s="14">
        <f t="shared" si="55"/>
        <v>55.742493799896188</v>
      </c>
      <c r="P151" s="14">
        <f t="shared" si="71"/>
        <v>57.847109399948096</v>
      </c>
      <c r="Q151" s="14">
        <v>44.020547501020175</v>
      </c>
      <c r="R151" s="17">
        <f t="shared" si="56"/>
        <v>55.979452498979825</v>
      </c>
      <c r="S151" s="203">
        <f t="shared" si="72"/>
        <v>0.60381507249081834</v>
      </c>
      <c r="T151" s="13">
        <v>0</v>
      </c>
      <c r="U151" s="13">
        <f t="shared" si="73"/>
        <v>34.92895655571396</v>
      </c>
      <c r="V151" s="13">
        <f>IF($T151=1,$AU151,(VLOOKUP(U151,'Cortes naturales'!$A$35:$C$39,3,9)))</f>
        <v>3</v>
      </c>
      <c r="W151" s="13">
        <v>3</v>
      </c>
      <c r="X151" s="14" t="b">
        <f t="shared" si="57"/>
        <v>1</v>
      </c>
      <c r="Y151" s="17">
        <f>IF($T151=1,$AU151,VLOOKUP(U151,'Cortes naturales'!$A$45:$C$49,3,9))</f>
        <v>3</v>
      </c>
      <c r="Z151" s="14">
        <v>56.703531798978574</v>
      </c>
      <c r="AA151" s="203">
        <v>0.61954229755485235</v>
      </c>
      <c r="AB151" s="14">
        <v>35.130236370213801</v>
      </c>
      <c r="AC151" s="252">
        <v>2</v>
      </c>
      <c r="AD151" s="13">
        <f t="shared" si="58"/>
        <v>-1</v>
      </c>
      <c r="AE151" s="14">
        <f t="shared" si="59"/>
        <v>1.1435776009695218</v>
      </c>
      <c r="AF151" s="14">
        <f t="shared" si="60"/>
        <v>-1.5727225064034012E-2</v>
      </c>
      <c r="AG151" s="13">
        <f t="shared" si="61"/>
        <v>-0.20127981449984134</v>
      </c>
      <c r="AH151" s="13">
        <f>IF($T151=1,$AU151,VLOOKUP(U151,'Cortes naturales'!$A$25:$C$29,3,9))</f>
        <v>3</v>
      </c>
      <c r="AI151" s="13" t="b">
        <f t="shared" si="62"/>
        <v>1</v>
      </c>
      <c r="AJ151" s="13" t="str">
        <f t="shared" si="63"/>
        <v>Efecto ponderador</v>
      </c>
      <c r="AK151" s="28">
        <v>0.9741882058902549</v>
      </c>
      <c r="AL151" s="28">
        <v>55.239911910887955</v>
      </c>
      <c r="AM151" s="28">
        <v>0.52036705780758519</v>
      </c>
      <c r="AN151" s="13">
        <v>2</v>
      </c>
      <c r="AO151" s="33">
        <f t="shared" si="64"/>
        <v>-1</v>
      </c>
      <c r="AP151" s="13">
        <f t="shared" si="74"/>
        <v>52.036705780758517</v>
      </c>
      <c r="AQ151" s="13">
        <f>IFERROR(VLOOKUP(U151,'Cortes naturales'!$E$15:$G$19,3,9),U151)</f>
        <v>4</v>
      </c>
      <c r="AR151" s="28">
        <f t="shared" si="65"/>
        <v>-0.37037313339943656</v>
      </c>
      <c r="AS151" s="13" t="b">
        <f t="shared" si="66"/>
        <v>0</v>
      </c>
      <c r="AT151" s="13" t="str">
        <f t="shared" si="75"/>
        <v>Cambio en corte</v>
      </c>
      <c r="AU151" s="13">
        <v>2</v>
      </c>
      <c r="AV151">
        <f t="shared" si="67"/>
        <v>-1</v>
      </c>
      <c r="AW151" s="13">
        <v>0</v>
      </c>
      <c r="AX151" s="13">
        <v>0</v>
      </c>
      <c r="AY151" s="13">
        <v>0</v>
      </c>
      <c r="AZ151" s="13">
        <v>0</v>
      </c>
      <c r="BA151">
        <v>1</v>
      </c>
      <c r="BB151" t="s">
        <v>2839</v>
      </c>
      <c r="BC151">
        <v>6</v>
      </c>
      <c r="BD151" t="s">
        <v>2919</v>
      </c>
      <c r="BE151">
        <v>1</v>
      </c>
      <c r="BF151" s="232" t="s">
        <v>2846</v>
      </c>
      <c r="BG151" s="232" t="s">
        <v>2846</v>
      </c>
      <c r="BH151" s="253">
        <v>30.1</v>
      </c>
      <c r="BI151" s="253">
        <v>9.2512972572275753</v>
      </c>
      <c r="BJ151" s="25">
        <v>35.575677842740099</v>
      </c>
      <c r="BK151" t="s">
        <v>376</v>
      </c>
      <c r="BL151">
        <v>1.1229963945222081</v>
      </c>
      <c r="BM151" t="s">
        <v>383</v>
      </c>
      <c r="BN151" s="322">
        <v>32470.478751999999</v>
      </c>
      <c r="BO151" s="322">
        <v>6834.6698040000001</v>
      </c>
      <c r="BP151" s="10">
        <v>16059</v>
      </c>
      <c r="BQ151" s="254">
        <f t="shared" si="68"/>
        <v>2.0219489851173797</v>
      </c>
      <c r="BR151" s="254">
        <f t="shared" si="69"/>
        <v>0.42559747207173548</v>
      </c>
      <c r="BS151" s="25">
        <v>65.174167971508396</v>
      </c>
      <c r="BT151" s="25">
        <v>89.37879103493367</v>
      </c>
      <c r="BU151" s="25">
        <v>54.8158502185141</v>
      </c>
      <c r="BV151" s="25">
        <v>83.771701486285892</v>
      </c>
      <c r="BW151" s="25">
        <v>60.701717159844449</v>
      </c>
      <c r="BX151" s="25">
        <v>73.285127677810507</v>
      </c>
      <c r="BY151" s="25">
        <v>62.625172036855183</v>
      </c>
      <c r="BZ151">
        <v>19</v>
      </c>
      <c r="CA151">
        <v>0</v>
      </c>
      <c r="CB151">
        <v>7</v>
      </c>
      <c r="CC151">
        <v>11220.389364000001</v>
      </c>
      <c r="CD151" s="10">
        <v>25.114070999999999</v>
      </c>
      <c r="CE151" s="255">
        <v>2.2382530752967549E-3</v>
      </c>
      <c r="CF151" t="str">
        <f>IFERROR(VLOOKUP(CE151,'Rangos amb etnico'!$A$2:$C$6,3,9),"N.D.")</f>
        <v>0,1% - 30%</v>
      </c>
      <c r="CG151" s="256">
        <v>7.3066299703016176E-7</v>
      </c>
      <c r="CH151" s="232">
        <v>0</v>
      </c>
      <c r="CI151" s="311">
        <f t="shared" si="76"/>
        <v>0</v>
      </c>
      <c r="CJ151" s="232">
        <f>IFERROR(VLOOKUP(CI151,'Rangos amb etnico'!$A$2:$C$6,3,9),"N.D.")</f>
        <v>0</v>
      </c>
      <c r="CK151" s="311">
        <f t="shared" si="77"/>
        <v>0</v>
      </c>
      <c r="CL151" s="10">
        <v>0</v>
      </c>
      <c r="CM151" s="255">
        <f t="shared" si="78"/>
        <v>0</v>
      </c>
      <c r="CN151" s="232">
        <f>IFERROR(VLOOKUP(CM151,'Rangos amb etnico'!$A$2:$C$6,3,9),"N.D.")</f>
        <v>0</v>
      </c>
      <c r="CO151" s="311">
        <f t="shared" si="79"/>
        <v>0</v>
      </c>
      <c r="CP151">
        <v>0.90531013026153517</v>
      </c>
      <c r="CQ151" t="s">
        <v>2864</v>
      </c>
      <c r="CR151">
        <f t="shared" si="70"/>
        <v>3</v>
      </c>
      <c r="CS151" t="str">
        <f t="shared" si="80"/>
        <v>Candidato</v>
      </c>
      <c r="CT151">
        <v>0</v>
      </c>
      <c r="CU151">
        <v>0</v>
      </c>
      <c r="CV151" s="25">
        <v>50.453136444091797</v>
      </c>
      <c r="CW151" s="25">
        <v>37.070655822753913</v>
      </c>
      <c r="CX151" s="25">
        <v>59.995594024658203</v>
      </c>
      <c r="CY151" s="25">
        <v>65.583259582519531</v>
      </c>
      <c r="CZ151" s="25">
        <v>59.844211578369141</v>
      </c>
      <c r="DA151" s="25">
        <v>23.840311050415039</v>
      </c>
      <c r="DB151" s="25">
        <v>56.384780883789063</v>
      </c>
      <c r="DC151">
        <v>404</v>
      </c>
      <c r="DD151" s="253" t="s">
        <v>380</v>
      </c>
    </row>
    <row r="152" spans="1:108" hidden="1">
      <c r="A152" s="13">
        <v>19513</v>
      </c>
      <c r="B152" s="13" t="s">
        <v>766</v>
      </c>
      <c r="C152" s="13" t="s">
        <v>557</v>
      </c>
      <c r="D152" s="13" t="s">
        <v>558</v>
      </c>
      <c r="E152" s="13" t="s">
        <v>767</v>
      </c>
      <c r="F152" s="14">
        <v>68.167000000000002</v>
      </c>
      <c r="G152" s="13">
        <v>41.49</v>
      </c>
      <c r="H152" s="13">
        <v>56.2</v>
      </c>
      <c r="I152" s="13">
        <v>56.65</v>
      </c>
      <c r="J152" s="14">
        <v>40.50540833362345</v>
      </c>
      <c r="K152" s="14">
        <v>54.098305544819439</v>
      </c>
      <c r="L152" s="14">
        <v>50.587986714326121</v>
      </c>
      <c r="M152" s="14">
        <v>42.063400000000001</v>
      </c>
      <c r="N152" s="14">
        <f t="shared" si="54"/>
        <v>55.626750000000008</v>
      </c>
      <c r="O152" s="14">
        <f t="shared" si="55"/>
        <v>46.813775148192249</v>
      </c>
      <c r="P152" s="14">
        <f t="shared" si="71"/>
        <v>51.220262574096125</v>
      </c>
      <c r="Q152" s="14">
        <v>43.735152035177791</v>
      </c>
      <c r="R152" s="17">
        <f t="shared" si="56"/>
        <v>56.264847964822209</v>
      </c>
      <c r="S152" s="14">
        <f t="shared" si="72"/>
        <v>0.60638363168339982</v>
      </c>
      <c r="T152" s="13">
        <v>0</v>
      </c>
      <c r="U152" s="13">
        <f t="shared" si="73"/>
        <v>31.059128835457734</v>
      </c>
      <c r="V152" s="13">
        <f>IF($T152=1,$AU152,(VLOOKUP(U152,'Cortes naturales'!$A$35:$C$39,3,9)))</f>
        <v>3</v>
      </c>
      <c r="W152" s="13">
        <v>3</v>
      </c>
      <c r="X152" s="14" t="b">
        <f t="shared" si="57"/>
        <v>1</v>
      </c>
      <c r="Y152" s="17">
        <f>IF($T152=1,$AU152,VLOOKUP(U152,'Cortes naturales'!$A$45:$C$49,3,9))</f>
        <v>3</v>
      </c>
      <c r="Z152" s="14">
        <v>52.998137551938029</v>
      </c>
      <c r="AA152" s="14">
        <v>0.61988149886217858</v>
      </c>
      <c r="AB152" s="14">
        <v>32.852564942599258</v>
      </c>
      <c r="AC152" s="13">
        <v>3</v>
      </c>
      <c r="AD152" s="13">
        <f t="shared" si="58"/>
        <v>0</v>
      </c>
      <c r="AE152" s="14">
        <f t="shared" si="59"/>
        <v>-1.7778749778419041</v>
      </c>
      <c r="AF152" s="14">
        <f t="shared" si="60"/>
        <v>-1.3497867178778766E-2</v>
      </c>
      <c r="AG152" s="13">
        <f t="shared" si="61"/>
        <v>-1.7934361071415239</v>
      </c>
      <c r="AH152" s="13">
        <f>IF($T152=1,$AU152,VLOOKUP(U152,'Cortes naturales'!$A$25:$C$29,3,9))</f>
        <v>3</v>
      </c>
      <c r="AI152" s="13" t="b">
        <f t="shared" si="62"/>
        <v>1</v>
      </c>
      <c r="AJ152" s="13">
        <f t="shared" si="63"/>
        <v>0</v>
      </c>
      <c r="AK152" s="28">
        <v>0.9741882058902549</v>
      </c>
      <c r="AL152" s="28">
        <v>51.630160537247455</v>
      </c>
      <c r="AM152" s="28">
        <v>0.47521287315994953</v>
      </c>
      <c r="AN152" s="13">
        <v>3</v>
      </c>
      <c r="AO152" s="33">
        <f t="shared" si="64"/>
        <v>0</v>
      </c>
      <c r="AP152" s="13">
        <f t="shared" si="74"/>
        <v>47.521287315994954</v>
      </c>
      <c r="AQ152" s="13">
        <f>IFERROR(VLOOKUP(U152,'Cortes naturales'!$E$15:$G$19,3,9),U152)</f>
        <v>4</v>
      </c>
      <c r="AR152" s="28">
        <f t="shared" si="65"/>
        <v>-0.36780457420685508</v>
      </c>
      <c r="AS152" s="13" t="b">
        <f t="shared" si="66"/>
        <v>0</v>
      </c>
      <c r="AT152" s="13">
        <f t="shared" si="75"/>
        <v>0</v>
      </c>
      <c r="AU152" s="13">
        <v>3</v>
      </c>
      <c r="AV152">
        <f t="shared" si="67"/>
        <v>0</v>
      </c>
      <c r="AW152" s="13">
        <v>0</v>
      </c>
      <c r="AX152" s="13">
        <v>0</v>
      </c>
      <c r="AY152" s="13">
        <v>0</v>
      </c>
      <c r="AZ152" s="13">
        <v>0</v>
      </c>
      <c r="BA152">
        <v>0</v>
      </c>
      <c r="BB152" t="s">
        <v>2838</v>
      </c>
      <c r="BC152">
        <v>6</v>
      </c>
      <c r="BD152" s="184" t="s">
        <v>2917</v>
      </c>
      <c r="BE152">
        <v>1</v>
      </c>
      <c r="BF152" s="232" t="s">
        <v>2846</v>
      </c>
      <c r="BG152" s="232" t="s">
        <v>2846</v>
      </c>
      <c r="BH152" s="253">
        <v>22</v>
      </c>
      <c r="BI152" s="253">
        <v>8.3190688120506682</v>
      </c>
      <c r="BJ152" s="25">
        <v>14.021134156688978</v>
      </c>
      <c r="BK152" t="s">
        <v>379</v>
      </c>
      <c r="BL152">
        <v>5.1026473068049372</v>
      </c>
      <c r="BM152" t="s">
        <v>383</v>
      </c>
      <c r="BN152" s="322">
        <v>13991.560172</v>
      </c>
      <c r="BO152" s="322">
        <v>1593.112852</v>
      </c>
      <c r="BP152" s="10">
        <v>10541</v>
      </c>
      <c r="BQ152" s="254">
        <f t="shared" si="68"/>
        <v>1.3273465678778105</v>
      </c>
      <c r="BR152" s="254">
        <f t="shared" si="69"/>
        <v>0.15113488777155867</v>
      </c>
      <c r="BS152" s="25">
        <v>47.998761459246829</v>
      </c>
      <c r="BT152" s="25">
        <v>88.88783480378207</v>
      </c>
      <c r="BU152" s="25">
        <v>34.445805008944532</v>
      </c>
      <c r="BV152" s="25">
        <v>87.691203581613379</v>
      </c>
      <c r="BW152" s="25">
        <v>49.200127833469807</v>
      </c>
      <c r="BX152" s="25">
        <v>64.755901213396697</v>
      </c>
      <c r="BY152" s="25">
        <v>49.620053978273987</v>
      </c>
      <c r="BZ152">
        <v>32</v>
      </c>
      <c r="CA152">
        <v>0</v>
      </c>
      <c r="CB152">
        <v>7</v>
      </c>
      <c r="CC152">
        <v>6969.6992730000002</v>
      </c>
      <c r="CD152" s="10">
        <v>310.29576200000002</v>
      </c>
      <c r="CE152" s="255">
        <v>4.4520681574032675E-2</v>
      </c>
      <c r="CF152" t="str">
        <f>IFERROR(VLOOKUP(CE152,'Rangos amb etnico'!$A$2:$C$6,3,9),"N.D.")</f>
        <v>0,1% - 30%</v>
      </c>
      <c r="CG152" s="256">
        <v>9.027673427724155E-6</v>
      </c>
      <c r="CH152" s="232">
        <v>234.020037</v>
      </c>
      <c r="CI152" s="311">
        <f t="shared" si="76"/>
        <v>3.3576776821142483E-2</v>
      </c>
      <c r="CJ152" s="232" t="str">
        <f>IFERROR(VLOOKUP(CI152,'Rangos amb etnico'!$A$2:$C$6,3,9),"N.D.")</f>
        <v>0,1% - 30%</v>
      </c>
      <c r="CK152" s="311">
        <f t="shared" si="77"/>
        <v>9.2921276449992408E-6</v>
      </c>
      <c r="CL152" s="10">
        <v>0</v>
      </c>
      <c r="CM152" s="255">
        <f t="shared" si="78"/>
        <v>0</v>
      </c>
      <c r="CN152" s="232">
        <f>IFERROR(VLOOKUP(CM152,'Rangos amb etnico'!$A$2:$C$6,3,9),"N.D.")</f>
        <v>0</v>
      </c>
      <c r="CO152" s="311">
        <f t="shared" si="79"/>
        <v>0</v>
      </c>
      <c r="CP152">
        <v>0.90048742655787417</v>
      </c>
      <c r="CQ152" t="s">
        <v>2864</v>
      </c>
      <c r="CR152">
        <f t="shared" si="70"/>
        <v>1</v>
      </c>
      <c r="CS152" t="str">
        <f t="shared" si="80"/>
        <v>No es Candidato</v>
      </c>
      <c r="CT152">
        <v>0</v>
      </c>
      <c r="CU152">
        <v>0</v>
      </c>
      <c r="CV152" s="25">
        <v>45.246936798095703</v>
      </c>
      <c r="CW152" s="25">
        <v>39.573898315429688</v>
      </c>
      <c r="CX152" s="25">
        <v>53.060024261474609</v>
      </c>
      <c r="CY152" s="25">
        <v>54.333274841308587</v>
      </c>
      <c r="CZ152" s="25">
        <v>21.561313629150391</v>
      </c>
      <c r="DA152" s="25">
        <v>36.450279235839837</v>
      </c>
      <c r="DB152" s="25">
        <v>66.502822875976563</v>
      </c>
      <c r="DC152">
        <v>9629</v>
      </c>
      <c r="DD152" s="253" t="s">
        <v>380</v>
      </c>
    </row>
    <row r="153" spans="1:108" hidden="1">
      <c r="A153" s="13">
        <v>76845</v>
      </c>
      <c r="B153" s="13" t="s">
        <v>768</v>
      </c>
      <c r="C153" s="13" t="s">
        <v>454</v>
      </c>
      <c r="D153" s="13" t="s">
        <v>455</v>
      </c>
      <c r="E153" s="13" t="s">
        <v>769</v>
      </c>
      <c r="F153" s="14">
        <v>58.907833333333301</v>
      </c>
      <c r="G153" s="13">
        <v>39.97</v>
      </c>
      <c r="H153" s="13">
        <v>41.37</v>
      </c>
      <c r="I153" s="13">
        <v>34.28</v>
      </c>
      <c r="J153" s="14">
        <v>59.882198413139285</v>
      </c>
      <c r="K153" s="14">
        <v>61.66295651873773</v>
      </c>
      <c r="L153" s="14">
        <v>55.239613625819104</v>
      </c>
      <c r="M153" s="14">
        <v>53.865099999999998</v>
      </c>
      <c r="N153" s="14">
        <f t="shared" si="54"/>
        <v>43.631958333333323</v>
      </c>
      <c r="O153" s="14">
        <f t="shared" si="55"/>
        <v>57.662467139424024</v>
      </c>
      <c r="P153" s="14">
        <f t="shared" si="71"/>
        <v>50.647212736378677</v>
      </c>
      <c r="Q153" s="14">
        <v>44.135043339602191</v>
      </c>
      <c r="R153" s="17">
        <f t="shared" si="56"/>
        <v>55.864956660397809</v>
      </c>
      <c r="S153" s="14">
        <f t="shared" si="72"/>
        <v>0.6027846099435803</v>
      </c>
      <c r="T153" s="13">
        <v>0</v>
      </c>
      <c r="U153" s="13">
        <f t="shared" si="73"/>
        <v>30.529360374027554</v>
      </c>
      <c r="V153" s="13">
        <f>IF($T153=1,$AU153,(VLOOKUP(U153,'Cortes naturales'!$A$35:$C$39,3,9)))</f>
        <v>3</v>
      </c>
      <c r="W153" s="13">
        <v>3</v>
      </c>
      <c r="X153" s="14" t="b">
        <f t="shared" si="57"/>
        <v>1</v>
      </c>
      <c r="Y153" s="17">
        <f>IF($T153=1,$AU153,VLOOKUP(U153,'Cortes naturales'!$A$45:$C$49,3,9))</f>
        <v>3</v>
      </c>
      <c r="Z153" s="14">
        <v>53.742906679673595</v>
      </c>
      <c r="AA153" s="14">
        <v>0.61908861303491902</v>
      </c>
      <c r="AB153" s="14">
        <v>33.271621556784211</v>
      </c>
      <c r="AC153" s="13">
        <v>3</v>
      </c>
      <c r="AD153" s="13">
        <f t="shared" si="58"/>
        <v>0</v>
      </c>
      <c r="AE153" s="14">
        <f t="shared" si="59"/>
        <v>-3.0956939432949184</v>
      </c>
      <c r="AF153" s="14">
        <f t="shared" si="60"/>
        <v>-1.6304003091338726E-2</v>
      </c>
      <c r="AG153" s="13">
        <f t="shared" si="61"/>
        <v>-2.742261182756657</v>
      </c>
      <c r="AH153" s="13">
        <f>IF($T153=1,$AU153,VLOOKUP(U153,'Cortes naturales'!$A$25:$C$29,3,9))</f>
        <v>3</v>
      </c>
      <c r="AI153" s="13" t="b">
        <f t="shared" si="62"/>
        <v>1</v>
      </c>
      <c r="AJ153" s="13">
        <f t="shared" si="63"/>
        <v>0</v>
      </c>
      <c r="AK153" s="28">
        <v>0.9741882058902549</v>
      </c>
      <c r="AL153" s="28">
        <v>52.355705837598613</v>
      </c>
      <c r="AM153" s="28">
        <v>0.48428868007050691</v>
      </c>
      <c r="AN153" s="13">
        <v>2</v>
      </c>
      <c r="AO153" s="33">
        <f t="shared" si="64"/>
        <v>-1</v>
      </c>
      <c r="AP153" s="13">
        <f t="shared" si="74"/>
        <v>48.428868007050689</v>
      </c>
      <c r="AQ153" s="13">
        <f>IFERROR(VLOOKUP(U153,'Cortes naturales'!$E$15:$G$19,3,9),U153)</f>
        <v>4</v>
      </c>
      <c r="AR153" s="28">
        <f t="shared" si="65"/>
        <v>-0.3714035959466746</v>
      </c>
      <c r="AS153" s="13" t="b">
        <f t="shared" si="66"/>
        <v>0</v>
      </c>
      <c r="AT153" s="13" t="str">
        <f t="shared" si="75"/>
        <v>Cambio en corte</v>
      </c>
      <c r="AU153" s="13">
        <v>2</v>
      </c>
      <c r="AV153">
        <f t="shared" si="67"/>
        <v>-1</v>
      </c>
      <c r="AW153" s="13">
        <v>0</v>
      </c>
      <c r="AX153" s="13">
        <v>0</v>
      </c>
      <c r="AY153" s="13">
        <v>0</v>
      </c>
      <c r="AZ153" s="13">
        <v>0</v>
      </c>
      <c r="BA153">
        <v>0</v>
      </c>
      <c r="BB153" t="s">
        <v>2839</v>
      </c>
      <c r="BC153">
        <v>6</v>
      </c>
      <c r="BD153" t="s">
        <v>2919</v>
      </c>
      <c r="BE153">
        <v>0</v>
      </c>
      <c r="BF153" s="232" t="s">
        <v>2846</v>
      </c>
      <c r="BG153" s="232" t="s">
        <v>2846</v>
      </c>
      <c r="BH153" s="253">
        <v>24.2</v>
      </c>
      <c r="BI153" s="253">
        <v>7.9421626152556577</v>
      </c>
      <c r="BJ153" s="25">
        <v>21.328587110932993</v>
      </c>
      <c r="BK153" t="s">
        <v>379</v>
      </c>
      <c r="BL153">
        <v>1.468507456569548</v>
      </c>
      <c r="BM153" t="s">
        <v>383</v>
      </c>
      <c r="BN153" s="322">
        <v>9959.9816200000005</v>
      </c>
      <c r="BO153" s="322">
        <v>1516.459987</v>
      </c>
      <c r="BP153" s="10">
        <v>5636</v>
      </c>
      <c r="BQ153" s="254">
        <f t="shared" si="68"/>
        <v>1.7672075266146203</v>
      </c>
      <c r="BR153" s="254">
        <f t="shared" si="69"/>
        <v>0.26906671167494678</v>
      </c>
      <c r="BS153" s="25">
        <v>49.055222792910158</v>
      </c>
      <c r="BT153" s="25">
        <v>75.7352876460847</v>
      </c>
      <c r="BU153" s="25">
        <v>44.61879988515647</v>
      </c>
      <c r="BV153" s="25">
        <v>79.945543644614887</v>
      </c>
      <c r="BW153" s="25">
        <v>63.612730112259179</v>
      </c>
      <c r="BX153" s="25">
        <v>62.338713492191559</v>
      </c>
      <c r="BY153" s="25">
        <v>62.576662580707882</v>
      </c>
      <c r="BZ153">
        <v>49</v>
      </c>
      <c r="CA153">
        <v>0</v>
      </c>
      <c r="CB153">
        <v>7</v>
      </c>
      <c r="CC153">
        <v>4187.2252900000003</v>
      </c>
      <c r="CD153" s="10">
        <v>3950.9042730000001</v>
      </c>
      <c r="CE153" s="255">
        <v>0.94356142776353924</v>
      </c>
      <c r="CF153" t="str">
        <f>IFERROR(VLOOKUP(CE153,'Rangos amb etnico'!$A$2:$C$6,3,9),"N.D.")</f>
        <v>71% - 100%</v>
      </c>
      <c r="CG153" s="256">
        <v>1.1494669888802388E-4</v>
      </c>
      <c r="CH153" s="232">
        <v>0</v>
      </c>
      <c r="CI153" s="311">
        <f t="shared" si="76"/>
        <v>0</v>
      </c>
      <c r="CJ153" s="232">
        <f>IFERROR(VLOOKUP(CI153,'Rangos amb etnico'!$A$2:$C$6,3,9),"N.D.")</f>
        <v>0</v>
      </c>
      <c r="CK153" s="311">
        <f t="shared" si="77"/>
        <v>0</v>
      </c>
      <c r="CL153" s="10">
        <v>0</v>
      </c>
      <c r="CM153" s="255">
        <f t="shared" si="78"/>
        <v>0</v>
      </c>
      <c r="CN153" s="232">
        <f>IFERROR(VLOOKUP(CM153,'Rangos amb etnico'!$A$2:$C$6,3,9),"N.D.")</f>
        <v>0</v>
      </c>
      <c r="CO153" s="311">
        <f t="shared" si="79"/>
        <v>0</v>
      </c>
      <c r="CP153">
        <v>0.96953226828025785</v>
      </c>
      <c r="CQ153" t="s">
        <v>2864</v>
      </c>
      <c r="CR153">
        <f t="shared" si="70"/>
        <v>2</v>
      </c>
      <c r="CS153" t="str">
        <f t="shared" si="80"/>
        <v>No es Candidato</v>
      </c>
      <c r="CT153">
        <v>0</v>
      </c>
      <c r="CU153">
        <v>0</v>
      </c>
      <c r="CV153" s="25">
        <v>54.586277008056641</v>
      </c>
      <c r="CW153" s="25">
        <v>31.096601486206051</v>
      </c>
      <c r="CX153" s="25">
        <v>60.069309234619141</v>
      </c>
      <c r="CY153" s="25">
        <v>66.982109069824219</v>
      </c>
      <c r="CZ153" s="25">
        <v>63.421733856201172</v>
      </c>
      <c r="DA153" s="25">
        <v>63.779918670654297</v>
      </c>
      <c r="DB153" s="25">
        <v>42.167987823486328</v>
      </c>
      <c r="DC153">
        <v>109</v>
      </c>
      <c r="DD153" s="253" t="s">
        <v>380</v>
      </c>
    </row>
    <row r="154" spans="1:108" hidden="1">
      <c r="A154" s="13">
        <v>76563</v>
      </c>
      <c r="B154" s="13" t="s">
        <v>770</v>
      </c>
      <c r="C154" s="13" t="s">
        <v>454</v>
      </c>
      <c r="D154" s="13" t="s">
        <v>455</v>
      </c>
      <c r="E154" s="13" t="s">
        <v>771</v>
      </c>
      <c r="F154" s="14">
        <v>67.944900000000004</v>
      </c>
      <c r="G154" s="13">
        <v>62.13</v>
      </c>
      <c r="H154" s="13">
        <v>57.14</v>
      </c>
      <c r="I154" s="13">
        <v>64.28</v>
      </c>
      <c r="J154" s="14">
        <v>46.150533668974319</v>
      </c>
      <c r="K154" s="14">
        <v>63.40294282717965</v>
      </c>
      <c r="L154" s="14">
        <v>54.320486612315577</v>
      </c>
      <c r="M154" s="14">
        <v>43.424900000000001</v>
      </c>
      <c r="N154" s="14">
        <f t="shared" si="54"/>
        <v>62.873725</v>
      </c>
      <c r="O154" s="14">
        <f t="shared" si="55"/>
        <v>51.824715777117383</v>
      </c>
      <c r="P154" s="14">
        <f t="shared" si="71"/>
        <v>57.349220388558692</v>
      </c>
      <c r="Q154" s="14">
        <v>43.124617746431142</v>
      </c>
      <c r="R154" s="17">
        <f t="shared" si="56"/>
        <v>56.875382253568858</v>
      </c>
      <c r="S154" s="14">
        <f t="shared" si="72"/>
        <v>0.6118784402821198</v>
      </c>
      <c r="T154" s="13">
        <v>0</v>
      </c>
      <c r="U154" s="13">
        <f t="shared" si="73"/>
        <v>35.090751522746835</v>
      </c>
      <c r="V154" s="13">
        <f>IF($T154=1,$AU154,(VLOOKUP(U154,'Cortes naturales'!$A$35:$C$39,3,9)))</f>
        <v>3</v>
      </c>
      <c r="W154" s="13">
        <v>3</v>
      </c>
      <c r="X154" s="14" t="b">
        <f t="shared" si="57"/>
        <v>1</v>
      </c>
      <c r="Y154" s="17">
        <f>IF($T154=1,$AU154,VLOOKUP(U154,'Cortes naturales'!$A$45:$C$49,3,9))</f>
        <v>3</v>
      </c>
      <c r="Z154" s="14">
        <v>60.231959826344109</v>
      </c>
      <c r="AA154" s="14">
        <v>0.62189339935799626</v>
      </c>
      <c r="AB154" s="14">
        <v>37.457858246399404</v>
      </c>
      <c r="AC154" s="13">
        <v>2</v>
      </c>
      <c r="AD154" s="13">
        <f t="shared" si="58"/>
        <v>-1</v>
      </c>
      <c r="AE154" s="14">
        <f t="shared" si="59"/>
        <v>-2.8827394377854176</v>
      </c>
      <c r="AF154" s="14">
        <f t="shared" si="60"/>
        <v>-1.0014959075876462E-2</v>
      </c>
      <c r="AG154" s="13">
        <f t="shared" si="61"/>
        <v>-2.3671067236525687</v>
      </c>
      <c r="AH154" s="13">
        <f>IF($T154=1,$AU154,VLOOKUP(U154,'Cortes naturales'!$A$25:$C$29,3,9))</f>
        <v>2</v>
      </c>
      <c r="AI154" s="13" t="b">
        <f t="shared" si="62"/>
        <v>0</v>
      </c>
      <c r="AJ154" s="13" t="str">
        <f t="shared" si="63"/>
        <v>Cambio en corte</v>
      </c>
      <c r="AK154" s="28">
        <v>0.9741882058902549</v>
      </c>
      <c r="AL154" s="28">
        <v>58.677264880480074</v>
      </c>
      <c r="AM154" s="28">
        <v>0.56336472014562267</v>
      </c>
      <c r="AN154" s="13">
        <v>2</v>
      </c>
      <c r="AO154" s="33">
        <f t="shared" si="64"/>
        <v>-1</v>
      </c>
      <c r="AP154" s="13">
        <f t="shared" si="74"/>
        <v>56.336472014562268</v>
      </c>
      <c r="AQ154" s="13">
        <f>IFERROR(VLOOKUP(U154,'Cortes naturales'!$E$15:$G$19,3,9),U154)</f>
        <v>4</v>
      </c>
      <c r="AR154" s="28">
        <f t="shared" si="65"/>
        <v>-0.3623097656081351</v>
      </c>
      <c r="AS154" s="13" t="b">
        <f t="shared" si="66"/>
        <v>0</v>
      </c>
      <c r="AT154" s="13" t="str">
        <f t="shared" si="75"/>
        <v>Cambio en corte</v>
      </c>
      <c r="AU154" s="13">
        <v>2</v>
      </c>
      <c r="AV154">
        <f t="shared" si="67"/>
        <v>-1</v>
      </c>
      <c r="AW154" s="13">
        <v>0</v>
      </c>
      <c r="AX154" s="13">
        <v>0</v>
      </c>
      <c r="AY154" s="13">
        <v>0</v>
      </c>
      <c r="AZ154" s="13">
        <v>1</v>
      </c>
      <c r="BA154">
        <v>1</v>
      </c>
      <c r="BB154" t="s">
        <v>2838</v>
      </c>
      <c r="BC154">
        <v>6</v>
      </c>
      <c r="BD154" s="184" t="s">
        <v>2917</v>
      </c>
      <c r="BE154">
        <v>0</v>
      </c>
      <c r="BF154" s="232" t="s">
        <v>2846</v>
      </c>
      <c r="BG154" s="232" t="s">
        <v>2845</v>
      </c>
      <c r="BH154" s="253">
        <v>24.8</v>
      </c>
      <c r="BI154" s="253">
        <v>10.377878913253344</v>
      </c>
      <c r="BJ154" s="25">
        <v>2.1035350064428191</v>
      </c>
      <c r="BK154" t="s">
        <v>381</v>
      </c>
      <c r="BL154">
        <v>9.6177631530913601</v>
      </c>
      <c r="BM154" t="s">
        <v>379</v>
      </c>
      <c r="BN154" s="322">
        <v>87919.847941</v>
      </c>
      <c r="BO154" s="322">
        <v>17326.602518</v>
      </c>
      <c r="BP154" s="10">
        <v>49776</v>
      </c>
      <c r="BQ154" s="254">
        <f t="shared" si="68"/>
        <v>1.7663100277442945</v>
      </c>
      <c r="BR154" s="254">
        <f t="shared" si="69"/>
        <v>0.34809150028126001</v>
      </c>
      <c r="BS154" s="25">
        <v>57.731558015959898</v>
      </c>
      <c r="BT154" s="25">
        <v>91.066424523732977</v>
      </c>
      <c r="BU154" s="25">
        <v>67.430920810313069</v>
      </c>
      <c r="BV154" s="25">
        <v>76.104818655902946</v>
      </c>
      <c r="BW154" s="25">
        <v>44.667618798872823</v>
      </c>
      <c r="BX154" s="25">
        <v>73.083430501477224</v>
      </c>
      <c r="BY154" s="25">
        <v>44.732674016746742</v>
      </c>
      <c r="BZ154">
        <v>85</v>
      </c>
      <c r="CA154">
        <v>0</v>
      </c>
      <c r="CB154">
        <v>6</v>
      </c>
      <c r="CC154">
        <v>35677.461393999998</v>
      </c>
      <c r="CD154" s="10">
        <v>15657.150588</v>
      </c>
      <c r="CE154" s="255">
        <v>0.43885270914014968</v>
      </c>
      <c r="CF154" t="str">
        <f>IFERROR(VLOOKUP(CE154,'Rangos amb etnico'!$A$2:$C$6,3,9),"N.D.")</f>
        <v>31% - 50%</v>
      </c>
      <c r="CG154" s="256">
        <v>4.5552553282104843E-4</v>
      </c>
      <c r="CH154" s="232">
        <v>1181.437586</v>
      </c>
      <c r="CI154" s="311">
        <f t="shared" si="76"/>
        <v>3.3114396031514913E-2</v>
      </c>
      <c r="CJ154" s="232" t="str">
        <f>IFERROR(VLOOKUP(CI154,'Rangos amb etnico'!$A$2:$C$6,3,9),"N.D.")</f>
        <v>0,1% - 30%</v>
      </c>
      <c r="CK154" s="311">
        <f t="shared" si="77"/>
        <v>4.6910807272933508E-5</v>
      </c>
      <c r="CL154" s="10">
        <v>8545.4992976100002</v>
      </c>
      <c r="CM154" s="255">
        <f t="shared" si="78"/>
        <v>0.23952094582175418</v>
      </c>
      <c r="CN154" s="232" t="str">
        <f>IFERROR(VLOOKUP(CM154,'Rangos amb etnico'!$A$2:$C$6,3,9),"N.D.")</f>
        <v>0,1% - 30%</v>
      </c>
      <c r="CO154" s="311">
        <f t="shared" si="79"/>
        <v>5.3589419677962059E-3</v>
      </c>
      <c r="CP154">
        <v>0.73976844672388786</v>
      </c>
      <c r="CQ154" t="s">
        <v>2866</v>
      </c>
      <c r="CR154">
        <f t="shared" si="70"/>
        <v>1</v>
      </c>
      <c r="CS154" t="str">
        <f t="shared" si="80"/>
        <v>No es Candidato</v>
      </c>
      <c r="CT154">
        <v>0</v>
      </c>
      <c r="CU154">
        <v>0</v>
      </c>
      <c r="CV154" s="25">
        <v>51.15728759765625</v>
      </c>
      <c r="CW154" s="25">
        <v>49.953407287597663</v>
      </c>
      <c r="CX154" s="25">
        <v>54.265655517578118</v>
      </c>
      <c r="CY154" s="25">
        <v>67.545036315917969</v>
      </c>
      <c r="CZ154" s="25">
        <v>54.333507537841797</v>
      </c>
      <c r="DA154" s="25">
        <v>20.698776245117191</v>
      </c>
      <c r="DB154" s="25">
        <v>60.147346496582031</v>
      </c>
      <c r="DC154">
        <v>18305</v>
      </c>
      <c r="DD154" s="253" t="s">
        <v>380</v>
      </c>
    </row>
    <row r="155" spans="1:108" hidden="1">
      <c r="A155" s="13">
        <v>76275</v>
      </c>
      <c r="B155" s="13" t="s">
        <v>772</v>
      </c>
      <c r="C155" s="13" t="s">
        <v>454</v>
      </c>
      <c r="D155" s="13" t="s">
        <v>455</v>
      </c>
      <c r="E155" s="13" t="s">
        <v>773</v>
      </c>
      <c r="F155" s="14">
        <v>67.231833333333299</v>
      </c>
      <c r="G155" s="13">
        <v>56.81</v>
      </c>
      <c r="H155" s="13">
        <v>60</v>
      </c>
      <c r="I155" s="13">
        <v>56.95</v>
      </c>
      <c r="J155" s="14">
        <v>49.740946475680765</v>
      </c>
      <c r="K155" s="14">
        <v>45.931522765242462</v>
      </c>
      <c r="L155" s="14">
        <v>51.188639975550231</v>
      </c>
      <c r="M155" s="14">
        <v>57.712800000000001</v>
      </c>
      <c r="N155" s="14">
        <f t="shared" si="54"/>
        <v>60.24795833333333</v>
      </c>
      <c r="O155" s="14">
        <f t="shared" si="55"/>
        <v>51.143477304118363</v>
      </c>
      <c r="P155" s="14">
        <f t="shared" si="71"/>
        <v>55.695717818725846</v>
      </c>
      <c r="Q155" s="14">
        <v>43.284867645611349</v>
      </c>
      <c r="R155" s="17">
        <f t="shared" si="56"/>
        <v>56.715132354388651</v>
      </c>
      <c r="S155" s="14">
        <f t="shared" si="72"/>
        <v>0.61043619118949788</v>
      </c>
      <c r="T155" s="13">
        <v>0</v>
      </c>
      <c r="U155" s="13">
        <f t="shared" si="73"/>
        <v>33.998681850828056</v>
      </c>
      <c r="V155" s="13">
        <f>IF($T155=1,$AU155,(VLOOKUP(U155,'Cortes naturales'!$A$35:$C$39,3,9)))</f>
        <v>3</v>
      </c>
      <c r="W155" s="13">
        <v>3</v>
      </c>
      <c r="X155" s="14" t="b">
        <f t="shared" si="57"/>
        <v>1</v>
      </c>
      <c r="Y155" s="17">
        <f>IF($T155=1,$AU155,VLOOKUP(U155,'Cortes naturales'!$A$45:$C$49,3,9))</f>
        <v>3</v>
      </c>
      <c r="Z155" s="14">
        <v>55.576903128787727</v>
      </c>
      <c r="AA155" s="14">
        <v>0.62160727860301412</v>
      </c>
      <c r="AB155" s="14">
        <v>34.547007507069083</v>
      </c>
      <c r="AC155" s="13">
        <v>3</v>
      </c>
      <c r="AD155" s="13">
        <f t="shared" si="58"/>
        <v>0</v>
      </c>
      <c r="AE155" s="14">
        <f t="shared" si="59"/>
        <v>0.1188146899381195</v>
      </c>
      <c r="AF155" s="14">
        <f t="shared" si="60"/>
        <v>-1.1171087413516245E-2</v>
      </c>
      <c r="AG155" s="13">
        <f t="shared" si="61"/>
        <v>-0.54832565624102614</v>
      </c>
      <c r="AH155" s="13">
        <f>IF($T155=1,$AU155,VLOOKUP(U155,'Cortes naturales'!$A$25:$C$29,3,9))</f>
        <v>3</v>
      </c>
      <c r="AI155" s="13" t="b">
        <f t="shared" si="62"/>
        <v>1</v>
      </c>
      <c r="AJ155" s="13">
        <f t="shared" si="63"/>
        <v>0</v>
      </c>
      <c r="AK155" s="28">
        <v>0.9741882058902549</v>
      </c>
      <c r="AL155" s="28">
        <v>54.142363547970213</v>
      </c>
      <c r="AM155" s="28">
        <v>0.50663788471250937</v>
      </c>
      <c r="AN155" s="13">
        <v>2</v>
      </c>
      <c r="AO155" s="33">
        <f t="shared" si="64"/>
        <v>-1</v>
      </c>
      <c r="AP155" s="13">
        <f t="shared" si="74"/>
        <v>50.663788471250939</v>
      </c>
      <c r="AQ155" s="13">
        <f>IFERROR(VLOOKUP(U155,'Cortes naturales'!$E$15:$G$19,3,9),U155)</f>
        <v>4</v>
      </c>
      <c r="AR155" s="28">
        <f t="shared" si="65"/>
        <v>-0.36375201470075702</v>
      </c>
      <c r="AS155" s="13" t="b">
        <f t="shared" si="66"/>
        <v>0</v>
      </c>
      <c r="AT155" s="13" t="str">
        <f t="shared" si="75"/>
        <v>Cambio en corte</v>
      </c>
      <c r="AU155" s="13">
        <v>2</v>
      </c>
      <c r="AV155">
        <f t="shared" si="67"/>
        <v>-1</v>
      </c>
      <c r="AW155" s="13">
        <v>0</v>
      </c>
      <c r="AX155" s="13">
        <v>0</v>
      </c>
      <c r="AY155" s="13">
        <v>0</v>
      </c>
      <c r="AZ155" s="13">
        <v>1</v>
      </c>
      <c r="BA155">
        <v>1</v>
      </c>
      <c r="BB155" t="s">
        <v>2838</v>
      </c>
      <c r="BC155">
        <v>6</v>
      </c>
      <c r="BD155" s="184" t="s">
        <v>2917</v>
      </c>
      <c r="BE155">
        <v>0</v>
      </c>
      <c r="BF155" s="232" t="s">
        <v>2846</v>
      </c>
      <c r="BG155" s="232" t="s">
        <v>2846</v>
      </c>
      <c r="BH155" s="253">
        <v>18.899999999999999</v>
      </c>
      <c r="BI155" s="253">
        <v>8.6058996070618186</v>
      </c>
      <c r="BJ155" s="25">
        <v>9.8333236808242663</v>
      </c>
      <c r="BK155" t="s">
        <v>377</v>
      </c>
      <c r="BL155">
        <v>8.699246039892067</v>
      </c>
      <c r="BM155" t="s">
        <v>379</v>
      </c>
      <c r="BN155" s="322">
        <v>76415.430414000002</v>
      </c>
      <c r="BO155" s="322">
        <v>16032.389756</v>
      </c>
      <c r="BP155" s="10">
        <v>57543</v>
      </c>
      <c r="BQ155" s="254">
        <f t="shared" si="68"/>
        <v>1.3279709159063657</v>
      </c>
      <c r="BR155" s="254">
        <f t="shared" si="69"/>
        <v>0.27861581349599429</v>
      </c>
      <c r="BS155" s="25">
        <v>61.597175548978122</v>
      </c>
      <c r="BT155" s="25">
        <v>91.887906666666666</v>
      </c>
      <c r="BU155" s="25">
        <v>63.53744508118433</v>
      </c>
      <c r="BV155" s="25">
        <v>79.350571890655601</v>
      </c>
      <c r="BW155" s="25">
        <v>58.549986305759028</v>
      </c>
      <c r="BX155" s="25">
        <v>74.093274796871185</v>
      </c>
      <c r="BY155" s="25">
        <v>58.3012134394179</v>
      </c>
      <c r="BZ155">
        <v>85</v>
      </c>
      <c r="CA155">
        <v>0</v>
      </c>
      <c r="CB155">
        <v>6</v>
      </c>
      <c r="CC155">
        <v>40159.541382000003</v>
      </c>
      <c r="CD155" s="10">
        <v>20018.439720999999</v>
      </c>
      <c r="CE155" s="255">
        <v>0.49847281697227019</v>
      </c>
      <c r="CF155" t="str">
        <f>IFERROR(VLOOKUP(CE155,'Rangos amb etnico'!$A$2:$C$6,3,9),"N.D.")</f>
        <v>31% - 50%</v>
      </c>
      <c r="CG155" s="256">
        <v>5.8241187430000882E-4</v>
      </c>
      <c r="CH155" s="232">
        <v>8673.3570650000001</v>
      </c>
      <c r="CI155" s="311">
        <f t="shared" si="76"/>
        <v>0.21597251279586338</v>
      </c>
      <c r="CJ155" s="232" t="str">
        <f>IFERROR(VLOOKUP(CI155,'Rangos amb etnico'!$A$2:$C$6,3,9),"N.D.")</f>
        <v>0,1% - 30%</v>
      </c>
      <c r="CK155" s="311">
        <f t="shared" si="77"/>
        <v>3.4438906168806385E-4</v>
      </c>
      <c r="CL155" s="10">
        <v>0</v>
      </c>
      <c r="CM155" s="255">
        <f t="shared" si="78"/>
        <v>0</v>
      </c>
      <c r="CN155" s="232">
        <f>IFERROR(VLOOKUP(CM155,'Rangos amb etnico'!$A$2:$C$6,3,9),"N.D.")</f>
        <v>0</v>
      </c>
      <c r="CO155" s="311">
        <f t="shared" si="79"/>
        <v>0</v>
      </c>
      <c r="CP155">
        <v>0.95615896617778717</v>
      </c>
      <c r="CQ155" t="s">
        <v>2864</v>
      </c>
      <c r="CR155">
        <f t="shared" si="70"/>
        <v>1</v>
      </c>
      <c r="CS155" t="str">
        <f t="shared" si="80"/>
        <v>No es Candidato</v>
      </c>
      <c r="CT155">
        <v>0</v>
      </c>
      <c r="CU155">
        <v>0</v>
      </c>
      <c r="CV155" s="25">
        <v>47.305259704589837</v>
      </c>
      <c r="CW155" s="25">
        <v>46.931751251220703</v>
      </c>
      <c r="CX155" s="25">
        <v>52.633094787597663</v>
      </c>
      <c r="CY155" s="25">
        <v>61.237491607666023</v>
      </c>
      <c r="CZ155" s="25">
        <v>56.778514862060547</v>
      </c>
      <c r="DA155" s="25">
        <v>14.03135395050049</v>
      </c>
      <c r="DB155" s="25">
        <v>52.219341278076172</v>
      </c>
      <c r="DC155">
        <v>12967</v>
      </c>
      <c r="DD155" s="253" t="s">
        <v>380</v>
      </c>
    </row>
    <row r="156" spans="1:108" hidden="1">
      <c r="A156" s="13">
        <v>8560</v>
      </c>
      <c r="B156" s="13" t="s">
        <v>774</v>
      </c>
      <c r="C156" s="13" t="s">
        <v>442</v>
      </c>
      <c r="D156" s="13" t="s">
        <v>443</v>
      </c>
      <c r="E156" s="13" t="s">
        <v>775</v>
      </c>
      <c r="F156" s="14">
        <v>73.406733333333307</v>
      </c>
      <c r="G156" s="13">
        <v>68.52</v>
      </c>
      <c r="H156" s="13">
        <v>15.21</v>
      </c>
      <c r="I156" s="13">
        <v>39.340000000000003</v>
      </c>
      <c r="J156" s="14">
        <v>55.720477828615856</v>
      </c>
      <c r="K156" s="14">
        <v>65.987275526460266</v>
      </c>
      <c r="L156" s="14">
        <v>54.454608322287839</v>
      </c>
      <c r="M156" s="14">
        <v>60.339700000000001</v>
      </c>
      <c r="N156" s="14">
        <f t="shared" si="54"/>
        <v>49.119183333333325</v>
      </c>
      <c r="O156" s="14">
        <f t="shared" si="55"/>
        <v>59.125515419340985</v>
      </c>
      <c r="P156" s="14">
        <f t="shared" si="71"/>
        <v>54.122349376337155</v>
      </c>
      <c r="Q156" s="14">
        <v>43.316309490259073</v>
      </c>
      <c r="R156" s="17">
        <f t="shared" si="56"/>
        <v>56.683690509740927</v>
      </c>
      <c r="S156" s="14">
        <f t="shared" si="72"/>
        <v>0.61015321458766836</v>
      </c>
      <c r="T156" s="13">
        <v>0</v>
      </c>
      <c r="U156" s="13">
        <f t="shared" si="73"/>
        <v>33.022925453009002</v>
      </c>
      <c r="V156" s="13">
        <f>IF($T156=1,$AU156,(VLOOKUP(U156,'Cortes naturales'!$A$35:$C$39,3,9)))</f>
        <v>3</v>
      </c>
      <c r="W156" s="13">
        <v>3</v>
      </c>
      <c r="X156" s="14" t="b">
        <f t="shared" si="57"/>
        <v>1</v>
      </c>
      <c r="Y156" s="17">
        <f>IF($T156=1,$AU156,VLOOKUP(U156,'Cortes naturales'!$A$45:$C$49,3,9))</f>
        <v>3</v>
      </c>
      <c r="Z156" s="14">
        <v>57.963865620294122</v>
      </c>
      <c r="AA156" s="14">
        <v>0.62033980182155524</v>
      </c>
      <c r="AB156" s="14">
        <v>35.957292911704513</v>
      </c>
      <c r="AC156" s="13">
        <v>2</v>
      </c>
      <c r="AD156" s="13">
        <f t="shared" si="58"/>
        <v>-1</v>
      </c>
      <c r="AE156" s="14">
        <f t="shared" si="59"/>
        <v>-3.841516243956967</v>
      </c>
      <c r="AF156" s="14">
        <f t="shared" si="60"/>
        <v>-1.0186587233886879E-2</v>
      </c>
      <c r="AG156" s="13">
        <f t="shared" si="61"/>
        <v>-2.9343674586955117</v>
      </c>
      <c r="AH156" s="13">
        <f>IF($T156=1,$AU156,VLOOKUP(U156,'Cortes naturales'!$A$25:$C$29,3,9))</f>
        <v>3</v>
      </c>
      <c r="AI156" s="13" t="b">
        <f t="shared" si="62"/>
        <v>1</v>
      </c>
      <c r="AJ156" s="13" t="str">
        <f t="shared" si="63"/>
        <v>Efecto ponderador</v>
      </c>
      <c r="AK156" s="28">
        <v>0.9741882058902549</v>
      </c>
      <c r="AL156" s="28">
        <v>56.467714255098159</v>
      </c>
      <c r="AM156" s="28">
        <v>0.53572557090799156</v>
      </c>
      <c r="AN156" s="13">
        <v>2</v>
      </c>
      <c r="AO156" s="33">
        <f t="shared" si="64"/>
        <v>-1</v>
      </c>
      <c r="AP156" s="13">
        <f t="shared" si="74"/>
        <v>53.572557090799158</v>
      </c>
      <c r="AQ156" s="13">
        <f>IFERROR(VLOOKUP(U156,'Cortes naturales'!$E$15:$G$19,3,9),U156)</f>
        <v>4</v>
      </c>
      <c r="AR156" s="28">
        <f t="shared" si="65"/>
        <v>-0.36403499130258654</v>
      </c>
      <c r="AS156" s="13" t="b">
        <f t="shared" si="66"/>
        <v>0</v>
      </c>
      <c r="AT156" s="13" t="str">
        <f t="shared" si="75"/>
        <v>Cambio en corte</v>
      </c>
      <c r="AU156" s="13">
        <v>2</v>
      </c>
      <c r="AV156">
        <f t="shared" si="67"/>
        <v>-1</v>
      </c>
      <c r="AW156" s="13">
        <v>0</v>
      </c>
      <c r="AX156" s="13">
        <v>0</v>
      </c>
      <c r="AY156" s="13">
        <v>0</v>
      </c>
      <c r="AZ156" s="13">
        <v>0</v>
      </c>
      <c r="BA156">
        <v>0</v>
      </c>
      <c r="BB156" t="s">
        <v>2838</v>
      </c>
      <c r="BC156">
        <v>6</v>
      </c>
      <c r="BD156" s="184" t="s">
        <v>2917</v>
      </c>
      <c r="BE156">
        <v>1</v>
      </c>
      <c r="BF156" s="232" t="s">
        <v>2846</v>
      </c>
      <c r="BG156" s="232" t="s">
        <v>2846</v>
      </c>
      <c r="BH156" s="253">
        <v>46.7</v>
      </c>
      <c r="BI156" s="253">
        <v>23.214590808132581</v>
      </c>
      <c r="BJ156" s="25">
        <v>5.8113565513882133</v>
      </c>
      <c r="BK156" t="s">
        <v>377</v>
      </c>
      <c r="BL156">
        <v>2.2929330363067457</v>
      </c>
      <c r="BM156" t="s">
        <v>383</v>
      </c>
      <c r="BN156" s="322">
        <v>48014.234002999998</v>
      </c>
      <c r="BO156" s="322">
        <v>4252.8275290000001</v>
      </c>
      <c r="BP156" s="10">
        <v>27097</v>
      </c>
      <c r="BQ156" s="254">
        <f t="shared" si="68"/>
        <v>1.7719391077610067</v>
      </c>
      <c r="BR156" s="254">
        <f t="shared" si="69"/>
        <v>0.15694827947743292</v>
      </c>
      <c r="BS156" s="25">
        <v>62.242072191102316</v>
      </c>
      <c r="BT156" s="25">
        <v>90.023076550786683</v>
      </c>
      <c r="BU156" s="25">
        <v>39.229014959584973</v>
      </c>
      <c r="BV156" s="25">
        <v>94.847922212305946</v>
      </c>
      <c r="BW156" s="25">
        <v>42.447304798297132</v>
      </c>
      <c r="BX156" s="25">
        <v>71.585521478444974</v>
      </c>
      <c r="BY156" s="25">
        <v>43.772197027978081</v>
      </c>
      <c r="BZ156">
        <v>77</v>
      </c>
      <c r="CA156">
        <v>0</v>
      </c>
      <c r="CB156">
        <v>7</v>
      </c>
      <c r="CC156">
        <v>20650.811281999999</v>
      </c>
      <c r="CD156" s="10">
        <v>1915.7829850000001</v>
      </c>
      <c r="CE156" s="255">
        <v>9.277034973777841E-2</v>
      </c>
      <c r="CF156" t="str">
        <f>IFERROR(VLOOKUP(CE156,'Rangos amb etnico'!$A$2:$C$6,3,9),"N.D.")</f>
        <v>0,1% - 30%</v>
      </c>
      <c r="CG156" s="256">
        <v>5.5737348894151395E-5</v>
      </c>
      <c r="CH156" s="232">
        <v>0</v>
      </c>
      <c r="CI156" s="311">
        <f t="shared" si="76"/>
        <v>0</v>
      </c>
      <c r="CJ156" s="232">
        <f>IFERROR(VLOOKUP(CI156,'Rangos amb etnico'!$A$2:$C$6,3,9),"N.D.")</f>
        <v>0</v>
      </c>
      <c r="CK156" s="311">
        <f t="shared" si="77"/>
        <v>0</v>
      </c>
      <c r="CL156" s="10">
        <v>0</v>
      </c>
      <c r="CM156" s="255">
        <f t="shared" si="78"/>
        <v>0</v>
      </c>
      <c r="CN156" s="232">
        <f>IFERROR(VLOOKUP(CM156,'Rangos amb etnico'!$A$2:$C$6,3,9),"N.D.")</f>
        <v>0</v>
      </c>
      <c r="CO156" s="311">
        <f t="shared" si="79"/>
        <v>0</v>
      </c>
      <c r="CP156">
        <v>0.86357365420647758</v>
      </c>
      <c r="CQ156" t="s">
        <v>2864</v>
      </c>
      <c r="CR156">
        <f t="shared" si="70"/>
        <v>2</v>
      </c>
      <c r="CS156" t="str">
        <f t="shared" si="80"/>
        <v>No es Candidato</v>
      </c>
      <c r="CT156">
        <v>0</v>
      </c>
      <c r="CU156">
        <v>0</v>
      </c>
      <c r="CV156" s="25">
        <v>52.705287933349609</v>
      </c>
      <c r="CW156" s="25">
        <v>38.593318939208977</v>
      </c>
      <c r="CX156" s="25">
        <v>59.967739105224609</v>
      </c>
      <c r="CY156" s="25">
        <v>49.904949188232422</v>
      </c>
      <c r="CZ156" s="25">
        <v>34.007621765136719</v>
      </c>
      <c r="DA156" s="25">
        <v>70.15850830078125</v>
      </c>
      <c r="DB156" s="25">
        <v>63.599594116210938</v>
      </c>
      <c r="DC156">
        <v>566</v>
      </c>
      <c r="DD156" s="253" t="s">
        <v>380</v>
      </c>
    </row>
    <row r="157" spans="1:108" hidden="1">
      <c r="A157" s="13">
        <v>8421</v>
      </c>
      <c r="B157" s="13" t="s">
        <v>776</v>
      </c>
      <c r="C157" s="13" t="s">
        <v>442</v>
      </c>
      <c r="D157" s="13" t="s">
        <v>443</v>
      </c>
      <c r="E157" s="13" t="s">
        <v>777</v>
      </c>
      <c r="F157" s="14">
        <v>56.902299999999997</v>
      </c>
      <c r="G157" s="13">
        <v>56.84</v>
      </c>
      <c r="H157" s="13">
        <v>61.09</v>
      </c>
      <c r="I157" s="13">
        <v>48.04</v>
      </c>
      <c r="J157" s="14">
        <v>63.919434927720928</v>
      </c>
      <c r="K157" s="14">
        <v>61.546940846823532</v>
      </c>
      <c r="L157" s="14">
        <v>58.016236654825747</v>
      </c>
      <c r="M157" s="14">
        <v>51.9086</v>
      </c>
      <c r="N157" s="14">
        <f t="shared" si="54"/>
        <v>55.718074999999999</v>
      </c>
      <c r="O157" s="14">
        <f t="shared" si="55"/>
        <v>58.84780310734255</v>
      </c>
      <c r="P157" s="14">
        <f t="shared" si="71"/>
        <v>57.282939053671271</v>
      </c>
      <c r="Q157" s="14">
        <v>43.223518960950067</v>
      </c>
      <c r="R157" s="17">
        <f t="shared" si="56"/>
        <v>56.776481039049933</v>
      </c>
      <c r="S157" s="14">
        <f t="shared" si="72"/>
        <v>0.61098832935144942</v>
      </c>
      <c r="T157" s="13">
        <v>0</v>
      </c>
      <c r="U157" s="13">
        <f t="shared" si="73"/>
        <v>34.999207232743508</v>
      </c>
      <c r="V157" s="13">
        <f>IF($T157=1,$AU157,(VLOOKUP(U157,'Cortes naturales'!$A$35:$C$39,3,9)))</f>
        <v>3</v>
      </c>
      <c r="W157" s="13">
        <v>3</v>
      </c>
      <c r="X157" s="14" t="b">
        <f t="shared" si="57"/>
        <v>1</v>
      </c>
      <c r="Y157" s="17">
        <f>IF($T157=1,$AU157,VLOOKUP(U157,'Cortes naturales'!$A$45:$C$49,3,9))</f>
        <v>3</v>
      </c>
      <c r="Z157" s="14">
        <v>58.712571367449712</v>
      </c>
      <c r="AA157" s="14">
        <v>0.61961534211661229</v>
      </c>
      <c r="AB157" s="14">
        <v>36.379209994388368</v>
      </c>
      <c r="AC157" s="13">
        <v>2</v>
      </c>
      <c r="AD157" s="13">
        <f t="shared" si="58"/>
        <v>-1</v>
      </c>
      <c r="AE157" s="14">
        <f t="shared" si="59"/>
        <v>-1.4296323137784412</v>
      </c>
      <c r="AF157" s="14">
        <f t="shared" si="60"/>
        <v>-8.627012765162867E-3</v>
      </c>
      <c r="AG157" s="13">
        <f t="shared" si="61"/>
        <v>-1.3800027616448602</v>
      </c>
      <c r="AH157" s="13">
        <f>IF($T157=1,$AU157,VLOOKUP(U157,'Cortes naturales'!$A$25:$C$29,3,9))</f>
        <v>2</v>
      </c>
      <c r="AI157" s="13" t="b">
        <f t="shared" si="62"/>
        <v>0</v>
      </c>
      <c r="AJ157" s="13" t="str">
        <f t="shared" si="63"/>
        <v>Cambio en corte</v>
      </c>
      <c r="AK157" s="28">
        <v>0.9741882058902549</v>
      </c>
      <c r="AL157" s="28">
        <v>57.197094563659384</v>
      </c>
      <c r="AM157" s="28">
        <v>0.54484934972877719</v>
      </c>
      <c r="AN157" s="13">
        <v>2</v>
      </c>
      <c r="AO157" s="33">
        <f t="shared" si="64"/>
        <v>-1</v>
      </c>
      <c r="AP157" s="13">
        <f t="shared" si="74"/>
        <v>54.484934972877717</v>
      </c>
      <c r="AQ157" s="13">
        <f>IFERROR(VLOOKUP(U157,'Cortes naturales'!$E$15:$G$19,3,9),U157)</f>
        <v>4</v>
      </c>
      <c r="AR157" s="28">
        <f t="shared" si="65"/>
        <v>-0.36319987653880548</v>
      </c>
      <c r="AS157" s="13" t="b">
        <f t="shared" si="66"/>
        <v>0</v>
      </c>
      <c r="AT157" s="13" t="str">
        <f t="shared" si="75"/>
        <v>Cambio en corte</v>
      </c>
      <c r="AU157" s="13">
        <v>2</v>
      </c>
      <c r="AV157">
        <f t="shared" si="67"/>
        <v>-1</v>
      </c>
      <c r="AW157" s="13">
        <v>0</v>
      </c>
      <c r="AX157" s="13">
        <v>0</v>
      </c>
      <c r="AY157" s="13">
        <v>0</v>
      </c>
      <c r="AZ157" s="13">
        <v>0</v>
      </c>
      <c r="BA157">
        <v>0</v>
      </c>
      <c r="BB157" t="s">
        <v>2839</v>
      </c>
      <c r="BC157">
        <v>6</v>
      </c>
      <c r="BD157" t="s">
        <v>2919</v>
      </c>
      <c r="BE157">
        <v>1</v>
      </c>
      <c r="BF157" s="232" t="s">
        <v>2846</v>
      </c>
      <c r="BG157" s="232" t="s">
        <v>2846</v>
      </c>
      <c r="BH157" s="253">
        <v>55.4</v>
      </c>
      <c r="BI157" s="253">
        <v>24.834520924512606</v>
      </c>
      <c r="BJ157" s="25">
        <v>7.3025461229160786</v>
      </c>
      <c r="BK157" t="s">
        <v>377</v>
      </c>
      <c r="BL157">
        <v>1.2010661198966357</v>
      </c>
      <c r="BM157" t="s">
        <v>383</v>
      </c>
      <c r="BN157" s="322">
        <v>53303.325825</v>
      </c>
      <c r="BO157" s="322">
        <v>9356.430155</v>
      </c>
      <c r="BP157" s="10">
        <v>32443</v>
      </c>
      <c r="BQ157" s="254">
        <f t="shared" si="68"/>
        <v>1.6429838740252134</v>
      </c>
      <c r="BR157" s="254">
        <f t="shared" si="69"/>
        <v>0.28839596076195173</v>
      </c>
      <c r="BS157" s="25">
        <v>60.312799588063953</v>
      </c>
      <c r="BT157" s="25">
        <v>92.39075712274861</v>
      </c>
      <c r="BU157" s="25">
        <v>63.782117415868328</v>
      </c>
      <c r="BV157" s="25">
        <v>91.115592836464714</v>
      </c>
      <c r="BW157" s="25">
        <v>52.97595327817735</v>
      </c>
      <c r="BX157" s="25">
        <v>76.900316740786394</v>
      </c>
      <c r="BY157" s="25">
        <v>53.438963836903049</v>
      </c>
      <c r="BZ157">
        <v>77</v>
      </c>
      <c r="CA157">
        <v>0</v>
      </c>
      <c r="CB157">
        <v>7</v>
      </c>
      <c r="CC157">
        <v>22418.948978</v>
      </c>
      <c r="CD157" s="10">
        <v>5295.7143599999999</v>
      </c>
      <c r="CE157" s="255">
        <v>0.2362159959058184</v>
      </c>
      <c r="CF157" t="str">
        <f>IFERROR(VLOOKUP(CE157,'Rangos amb etnico'!$A$2:$C$6,3,9),"N.D.")</f>
        <v>0,1% - 30%</v>
      </c>
      <c r="CG157" s="256">
        <v>1.5407229380267601E-4</v>
      </c>
      <c r="CH157" s="232">
        <v>0</v>
      </c>
      <c r="CI157" s="311">
        <f t="shared" si="76"/>
        <v>0</v>
      </c>
      <c r="CJ157" s="232">
        <f>IFERROR(VLOOKUP(CI157,'Rangos amb etnico'!$A$2:$C$6,3,9),"N.D.")</f>
        <v>0</v>
      </c>
      <c r="CK157" s="311">
        <f t="shared" si="77"/>
        <v>0</v>
      </c>
      <c r="CL157" s="10">
        <v>0</v>
      </c>
      <c r="CM157" s="255">
        <f t="shared" si="78"/>
        <v>0</v>
      </c>
      <c r="CN157" s="232">
        <f>IFERROR(VLOOKUP(CM157,'Rangos amb etnico'!$A$2:$C$6,3,9),"N.D.")</f>
        <v>0</v>
      </c>
      <c r="CO157" s="311">
        <f t="shared" si="79"/>
        <v>0</v>
      </c>
      <c r="CP157">
        <v>0.93619720574650089</v>
      </c>
      <c r="CQ157" t="s">
        <v>2864</v>
      </c>
      <c r="CR157">
        <f t="shared" si="70"/>
        <v>1</v>
      </c>
      <c r="CS157" t="str">
        <f t="shared" si="80"/>
        <v>No es Candidato</v>
      </c>
      <c r="CT157">
        <v>0</v>
      </c>
      <c r="CU157">
        <v>0</v>
      </c>
      <c r="CV157" s="25">
        <v>52.558841705322273</v>
      </c>
      <c r="CW157" s="25">
        <v>37.164043426513672</v>
      </c>
      <c r="CX157" s="25">
        <v>58.098598480224609</v>
      </c>
      <c r="CY157" s="25">
        <v>48.552455902099609</v>
      </c>
      <c r="CZ157" s="25">
        <v>32.915992736816413</v>
      </c>
      <c r="DA157" s="25">
        <v>69.113265991210938</v>
      </c>
      <c r="DB157" s="25">
        <v>69.508705139160156</v>
      </c>
      <c r="DC157">
        <v>21822</v>
      </c>
      <c r="DD157" s="253" t="s">
        <v>380</v>
      </c>
    </row>
    <row r="158" spans="1:108" hidden="1">
      <c r="A158" s="13">
        <v>8849</v>
      </c>
      <c r="B158" s="13" t="s">
        <v>778</v>
      </c>
      <c r="C158" s="13" t="s">
        <v>442</v>
      </c>
      <c r="D158" s="13" t="s">
        <v>443</v>
      </c>
      <c r="E158" s="13" t="s">
        <v>779</v>
      </c>
      <c r="F158" s="14">
        <v>58.525599999999997</v>
      </c>
      <c r="G158" s="13">
        <v>74.56</v>
      </c>
      <c r="H158" s="13">
        <v>73.92</v>
      </c>
      <c r="I158" s="13">
        <v>75.849999999999994</v>
      </c>
      <c r="J158" s="14">
        <v>59.225808619245328</v>
      </c>
      <c r="K158" s="14">
        <v>66.245231753388111</v>
      </c>
      <c r="L158" s="14">
        <v>65.13473680504228</v>
      </c>
      <c r="M158" s="14">
        <v>71.595500000000001</v>
      </c>
      <c r="N158" s="14">
        <f t="shared" si="54"/>
        <v>70.713899999999995</v>
      </c>
      <c r="O158" s="14">
        <f t="shared" si="55"/>
        <v>65.550319294418927</v>
      </c>
      <c r="P158" s="14">
        <f t="shared" si="71"/>
        <v>68.132109647209461</v>
      </c>
      <c r="Q158" s="14">
        <v>42.883914899008325</v>
      </c>
      <c r="R158" s="17">
        <f t="shared" si="56"/>
        <v>57.116085100991675</v>
      </c>
      <c r="S158" s="14">
        <f t="shared" si="72"/>
        <v>0.61404476590892509</v>
      </c>
      <c r="T158" s="13">
        <v>0</v>
      </c>
      <c r="U158" s="13">
        <f t="shared" si="73"/>
        <v>41.836165319201953</v>
      </c>
      <c r="V158" s="13">
        <f>IF($T158=1,$AU158,(VLOOKUP(U158,'Cortes naturales'!$A$35:$C$39,3,9)))</f>
        <v>2</v>
      </c>
      <c r="W158" s="13">
        <v>2</v>
      </c>
      <c r="X158" s="14" t="b">
        <f t="shared" si="57"/>
        <v>1</v>
      </c>
      <c r="Y158" s="17">
        <f>IF($T158=1,$AU158,VLOOKUP(U158,'Cortes naturales'!$A$45:$C$49,3,9))</f>
        <v>2</v>
      </c>
      <c r="Z158" s="14">
        <v>61.756030253761494</v>
      </c>
      <c r="AA158" s="14">
        <v>0.6187746070181126</v>
      </c>
      <c r="AB158" s="14">
        <v>38.213063351269945</v>
      </c>
      <c r="AC158" s="13">
        <v>2</v>
      </c>
      <c r="AD158" s="13">
        <f t="shared" si="58"/>
        <v>0</v>
      </c>
      <c r="AE158" s="14">
        <f t="shared" si="59"/>
        <v>6.3760793934479665</v>
      </c>
      <c r="AF158" s="14">
        <f t="shared" si="60"/>
        <v>-4.7298411091875048E-3</v>
      </c>
      <c r="AG158" s="13">
        <f t="shared" si="61"/>
        <v>3.6231019679320084</v>
      </c>
      <c r="AH158" s="13">
        <f>IF($T158=1,$AU158,VLOOKUP(U158,'Cortes naturales'!$A$25:$C$29,3,9))</f>
        <v>2</v>
      </c>
      <c r="AI158" s="13" t="b">
        <f t="shared" si="62"/>
        <v>1</v>
      </c>
      <c r="AJ158" s="13">
        <f t="shared" si="63"/>
        <v>0</v>
      </c>
      <c r="AK158" s="28">
        <v>0.9741882058902549</v>
      </c>
      <c r="AL158" s="28">
        <v>60.161996315816211</v>
      </c>
      <c r="AM158" s="28">
        <v>0.58193714534722429</v>
      </c>
      <c r="AN158" s="13">
        <v>2</v>
      </c>
      <c r="AO158" s="33">
        <f t="shared" si="64"/>
        <v>0</v>
      </c>
      <c r="AP158" s="13">
        <f t="shared" si="74"/>
        <v>58.193714534722432</v>
      </c>
      <c r="AQ158" s="13">
        <f>IFERROR(VLOOKUP(U158,'Cortes naturales'!$E$15:$G$19,3,9),U158)</f>
        <v>3</v>
      </c>
      <c r="AR158" s="28">
        <f t="shared" si="65"/>
        <v>-0.3601434399813298</v>
      </c>
      <c r="AS158" s="13" t="b">
        <f t="shared" si="66"/>
        <v>0</v>
      </c>
      <c r="AT158" s="13">
        <f t="shared" si="75"/>
        <v>0</v>
      </c>
      <c r="AU158" s="13">
        <v>2</v>
      </c>
      <c r="AV158">
        <f t="shared" si="67"/>
        <v>0</v>
      </c>
      <c r="AW158" s="13">
        <v>0</v>
      </c>
      <c r="AX158" s="13">
        <v>0</v>
      </c>
      <c r="AY158" s="13">
        <v>0</v>
      </c>
      <c r="AZ158" s="13">
        <v>0</v>
      </c>
      <c r="BA158">
        <v>0</v>
      </c>
      <c r="BB158" t="s">
        <v>2838</v>
      </c>
      <c r="BC158">
        <v>6</v>
      </c>
      <c r="BD158" s="184" t="s">
        <v>2917</v>
      </c>
      <c r="BE158">
        <v>1</v>
      </c>
      <c r="BF158" s="232" t="s">
        <v>2846</v>
      </c>
      <c r="BG158" s="232" t="s">
        <v>2845</v>
      </c>
      <c r="BH158" s="253">
        <v>32.700000000000003</v>
      </c>
      <c r="BI158" s="253">
        <v>13.601592790527087</v>
      </c>
      <c r="BJ158" s="25">
        <v>0</v>
      </c>
      <c r="BK158" t="s">
        <v>381</v>
      </c>
      <c r="BL158">
        <v>0</v>
      </c>
      <c r="BM158" t="s">
        <v>377</v>
      </c>
      <c r="BN158" s="322">
        <v>22426.304894000001</v>
      </c>
      <c r="BO158" s="322">
        <v>2489.4965739999998</v>
      </c>
      <c r="BP158" s="10">
        <v>15033</v>
      </c>
      <c r="BQ158" s="254">
        <f t="shared" si="68"/>
        <v>1.4918050218851859</v>
      </c>
      <c r="BR158" s="254">
        <f t="shared" si="69"/>
        <v>0.1656021136167099</v>
      </c>
      <c r="BS158" s="25">
        <v>54.910846377915789</v>
      </c>
      <c r="BT158" s="25">
        <v>80.539932146610781</v>
      </c>
      <c r="BU158" s="25">
        <v>40.046932006633497</v>
      </c>
      <c r="BV158" s="25">
        <v>95.843238800283601</v>
      </c>
      <c r="BW158" s="25">
        <v>54.656524878256747</v>
      </c>
      <c r="BX158" s="25">
        <v>67.835237332860927</v>
      </c>
      <c r="BY158" s="25">
        <v>56.161536904460768</v>
      </c>
      <c r="BZ158">
        <v>5</v>
      </c>
      <c r="CA158">
        <v>0</v>
      </c>
      <c r="CB158">
        <v>7</v>
      </c>
      <c r="CC158">
        <v>10130.913395</v>
      </c>
      <c r="CD158" s="10">
        <v>654.71114899999998</v>
      </c>
      <c r="CE158" s="255">
        <v>6.4625085959487669E-2</v>
      </c>
      <c r="CF158" t="str">
        <f>IFERROR(VLOOKUP(CE158,'Rangos amb etnico'!$A$2:$C$6,3,9),"N.D.")</f>
        <v>0,1% - 30%</v>
      </c>
      <c r="CG158" s="256">
        <v>1.9048015366262236E-5</v>
      </c>
      <c r="CH158" s="232">
        <v>0</v>
      </c>
      <c r="CI158" s="311">
        <f t="shared" si="76"/>
        <v>0</v>
      </c>
      <c r="CJ158" s="232">
        <f>IFERROR(VLOOKUP(CI158,'Rangos amb etnico'!$A$2:$C$6,3,9),"N.D.")</f>
        <v>0</v>
      </c>
      <c r="CK158" s="311">
        <f t="shared" si="77"/>
        <v>0</v>
      </c>
      <c r="CL158" s="10">
        <v>0</v>
      </c>
      <c r="CM158" s="255">
        <f t="shared" si="78"/>
        <v>0</v>
      </c>
      <c r="CN158" s="232">
        <f>IFERROR(VLOOKUP(CM158,'Rangos amb etnico'!$A$2:$C$6,3,9),"N.D.")</f>
        <v>0</v>
      </c>
      <c r="CO158" s="311">
        <f t="shared" si="79"/>
        <v>0</v>
      </c>
      <c r="CP158">
        <v>0.99479028952621329</v>
      </c>
      <c r="CQ158" t="s">
        <v>2864</v>
      </c>
      <c r="CR158">
        <f t="shared" si="70"/>
        <v>3</v>
      </c>
      <c r="CS158" t="str">
        <f t="shared" si="80"/>
        <v>Candidato</v>
      </c>
      <c r="CT158">
        <v>0</v>
      </c>
      <c r="CU158">
        <v>0</v>
      </c>
      <c r="CV158" s="25">
        <v>61.224689483642578</v>
      </c>
      <c r="CW158" s="25">
        <v>36.005615234375</v>
      </c>
      <c r="CX158" s="25">
        <v>66.835563659667969</v>
      </c>
      <c r="CY158" s="25">
        <v>71.762374877929688</v>
      </c>
      <c r="CZ158" s="25">
        <v>48.632411956787109</v>
      </c>
      <c r="DA158" s="25">
        <v>83.826492309570313</v>
      </c>
      <c r="DB158" s="25">
        <v>60.285671234130859</v>
      </c>
      <c r="DC158">
        <v>5697</v>
      </c>
      <c r="DD158" s="253" t="s">
        <v>380</v>
      </c>
    </row>
    <row r="159" spans="1:108">
      <c r="A159" s="13">
        <v>5607</v>
      </c>
      <c r="B159" s="13" t="s">
        <v>780</v>
      </c>
      <c r="C159" s="13" t="s">
        <v>435</v>
      </c>
      <c r="D159" s="13" t="s">
        <v>436</v>
      </c>
      <c r="E159" s="13" t="s">
        <v>781</v>
      </c>
      <c r="F159" s="14">
        <v>73.561899999999994</v>
      </c>
      <c r="G159" s="13">
        <v>71.099999999999994</v>
      </c>
      <c r="H159" s="13">
        <v>76.45</v>
      </c>
      <c r="I159" s="13">
        <v>88.15</v>
      </c>
      <c r="J159" s="14">
        <v>66.732966266231386</v>
      </c>
      <c r="K159" s="14">
        <v>65.279584288087989</v>
      </c>
      <c r="L159" s="14">
        <v>70.236791950540578</v>
      </c>
      <c r="M159" s="14">
        <v>72.348299999999995</v>
      </c>
      <c r="N159" s="14">
        <f t="shared" si="54"/>
        <v>77.315474999999992</v>
      </c>
      <c r="O159" s="14">
        <f t="shared" si="55"/>
        <v>68.649410626214987</v>
      </c>
      <c r="P159" s="14">
        <f t="shared" si="71"/>
        <v>72.982442813107497</v>
      </c>
      <c r="Q159" s="14">
        <v>43.318814908306159</v>
      </c>
      <c r="R159" s="17">
        <f t="shared" si="56"/>
        <v>56.681185091693841</v>
      </c>
      <c r="S159" s="14">
        <f t="shared" si="72"/>
        <v>0.61013066582524456</v>
      </c>
      <c r="T159" s="13">
        <v>0</v>
      </c>
      <c r="U159" s="13">
        <f t="shared" si="73"/>
        <v>44.528826427114112</v>
      </c>
      <c r="V159" s="13">
        <f>IF($T159=1,$AU159,(VLOOKUP(U159,'Cortes naturales'!$A$35:$C$39,3,9)))</f>
        <v>2</v>
      </c>
      <c r="W159" s="13">
        <v>2</v>
      </c>
      <c r="X159" s="14" t="b">
        <f t="shared" si="57"/>
        <v>1</v>
      </c>
      <c r="Y159" s="17">
        <f>IF($T159=1,$AU159,VLOOKUP(U159,'Cortes naturales'!$A$45:$C$49,3,9))</f>
        <v>2</v>
      </c>
      <c r="Z159" s="14">
        <v>69.311755563359895</v>
      </c>
      <c r="AA159" s="14">
        <v>0.61750258646463918</v>
      </c>
      <c r="AB159" s="14">
        <v>42.800188332779577</v>
      </c>
      <c r="AC159" s="13">
        <v>2</v>
      </c>
      <c r="AD159" s="13">
        <f t="shared" si="58"/>
        <v>0</v>
      </c>
      <c r="AE159" s="14">
        <f t="shared" si="59"/>
        <v>3.6706872497476013</v>
      </c>
      <c r="AF159" s="14">
        <f t="shared" si="60"/>
        <v>-7.3719206393946246E-3</v>
      </c>
      <c r="AG159" s="13">
        <f t="shared" si="61"/>
        <v>1.728638094334535</v>
      </c>
      <c r="AH159" s="13">
        <f>IF($T159=1,$AU159,VLOOKUP(U159,'Cortes naturales'!$A$25:$C$29,3,9))</f>
        <v>2</v>
      </c>
      <c r="AI159" s="13" t="b">
        <f t="shared" si="62"/>
        <v>1</v>
      </c>
      <c r="AJ159" s="13">
        <f t="shared" si="63"/>
        <v>0</v>
      </c>
      <c r="AK159" s="28">
        <v>0.9741882058902549</v>
      </c>
      <c r="AL159" s="28">
        <v>67.522694799373468</v>
      </c>
      <c r="AM159" s="28">
        <v>0.6740117244689765</v>
      </c>
      <c r="AN159" s="13">
        <v>1</v>
      </c>
      <c r="AO159" s="33">
        <f t="shared" si="64"/>
        <v>-1</v>
      </c>
      <c r="AP159" s="13">
        <f t="shared" si="74"/>
        <v>67.401172446897647</v>
      </c>
      <c r="AQ159" s="13">
        <f>IFERROR(VLOOKUP(U159,'Cortes naturales'!$E$15:$G$19,3,9),U159)</f>
        <v>3</v>
      </c>
      <c r="AR159" s="28">
        <f t="shared" si="65"/>
        <v>-0.36405754006501034</v>
      </c>
      <c r="AS159" s="13" t="b">
        <f t="shared" si="66"/>
        <v>0</v>
      </c>
      <c r="AT159" s="13" t="str">
        <f t="shared" si="75"/>
        <v>Cambio en corte</v>
      </c>
      <c r="AU159" s="13">
        <v>1</v>
      </c>
      <c r="AV159">
        <f t="shared" si="67"/>
        <v>-1</v>
      </c>
      <c r="AW159" s="13">
        <v>0</v>
      </c>
      <c r="AX159" s="13">
        <v>1</v>
      </c>
      <c r="AY159" s="13">
        <v>0</v>
      </c>
      <c r="AZ159" s="13">
        <v>0</v>
      </c>
      <c r="BA159">
        <v>0</v>
      </c>
      <c r="BB159" t="s">
        <v>2839</v>
      </c>
      <c r="BC159">
        <v>3</v>
      </c>
      <c r="BD159" t="s">
        <v>2919</v>
      </c>
      <c r="BE159">
        <v>1</v>
      </c>
      <c r="BF159" s="232" t="s">
        <v>2846</v>
      </c>
      <c r="BG159" s="232" t="s">
        <v>2845</v>
      </c>
      <c r="BH159" s="253">
        <v>11.7</v>
      </c>
      <c r="BI159" s="253">
        <v>4.6091015169194867</v>
      </c>
      <c r="BJ159" s="25">
        <v>12.545936487229955</v>
      </c>
      <c r="BK159" t="s">
        <v>377</v>
      </c>
      <c r="BL159">
        <v>0.68199343622499808</v>
      </c>
      <c r="BM159" t="s">
        <v>383</v>
      </c>
      <c r="BN159" s="322">
        <v>86361.600533999997</v>
      </c>
      <c r="BO159" s="322">
        <v>64997.716117999997</v>
      </c>
      <c r="BP159" s="10">
        <v>26766</v>
      </c>
      <c r="BQ159" s="254">
        <f t="shared" si="68"/>
        <v>3.2265411542255098</v>
      </c>
      <c r="BR159" s="254">
        <f t="shared" si="69"/>
        <v>2.4283686810879472</v>
      </c>
      <c r="BS159" s="25">
        <v>72.680378845025558</v>
      </c>
      <c r="BT159" s="25">
        <v>88.579202185359534</v>
      </c>
      <c r="BU159" s="25">
        <v>65.818333333333328</v>
      </c>
      <c r="BV159" s="25">
        <v>88.765742180330719</v>
      </c>
      <c r="BW159" s="25">
        <v>67.453881346775233</v>
      </c>
      <c r="BX159" s="25">
        <v>78.960914136012292</v>
      </c>
      <c r="BY159" s="25">
        <v>68.851493403452679</v>
      </c>
      <c r="BZ159">
        <v>22</v>
      </c>
      <c r="CA159">
        <v>0</v>
      </c>
      <c r="CB159">
        <v>7</v>
      </c>
      <c r="CC159">
        <v>24192.023086000001</v>
      </c>
      <c r="CD159" s="10">
        <v>16940.230328000001</v>
      </c>
      <c r="CE159" s="255">
        <v>0.70024033408778308</v>
      </c>
      <c r="CF159" t="str">
        <f>IFERROR(VLOOKUP(CE159,'Rangos amb etnico'!$A$2:$C$6,3,9),"N.D.")</f>
        <v>51% - 70%</v>
      </c>
      <c r="CG159" s="256">
        <v>4.9285515923872805E-4</v>
      </c>
      <c r="CH159" s="232">
        <v>0</v>
      </c>
      <c r="CI159" s="311">
        <f t="shared" si="76"/>
        <v>0</v>
      </c>
      <c r="CJ159" s="232">
        <f>IFERROR(VLOOKUP(CI159,'Rangos amb etnico'!$A$2:$C$6,3,9),"N.D.")</f>
        <v>0</v>
      </c>
      <c r="CK159" s="311">
        <f t="shared" si="77"/>
        <v>0</v>
      </c>
      <c r="CL159" s="10">
        <v>0</v>
      </c>
      <c r="CM159" s="255">
        <f t="shared" si="78"/>
        <v>0</v>
      </c>
      <c r="CN159" s="232">
        <f>IFERROR(VLOOKUP(CM159,'Rangos amb etnico'!$A$2:$C$6,3,9),"N.D.")</f>
        <v>0</v>
      </c>
      <c r="CO159" s="311">
        <f t="shared" si="79"/>
        <v>0</v>
      </c>
      <c r="CP159">
        <v>0.65732372973765241</v>
      </c>
      <c r="CQ159" t="s">
        <v>2866</v>
      </c>
      <c r="CR159">
        <f t="shared" si="70"/>
        <v>3</v>
      </c>
      <c r="CS159" t="str">
        <f t="shared" si="80"/>
        <v>Candidato</v>
      </c>
      <c r="CT159">
        <v>0</v>
      </c>
      <c r="CU159">
        <v>0</v>
      </c>
      <c r="CV159" s="25">
        <v>61.977569580078118</v>
      </c>
      <c r="CW159" s="25">
        <v>42.851879119873047</v>
      </c>
      <c r="CX159" s="25">
        <v>70.734489440917969</v>
      </c>
      <c r="CY159" s="25">
        <v>65.444671630859375</v>
      </c>
      <c r="CZ159" s="25">
        <v>75</v>
      </c>
      <c r="DA159" s="25">
        <v>42.014137268066413</v>
      </c>
      <c r="DB159" s="25">
        <v>75.820243835449219</v>
      </c>
      <c r="DC159">
        <v>202</v>
      </c>
      <c r="DD159" s="253" t="s">
        <v>380</v>
      </c>
    </row>
    <row r="160" spans="1:108" hidden="1">
      <c r="A160" s="13">
        <v>25645</v>
      </c>
      <c r="B160" s="13" t="s">
        <v>782</v>
      </c>
      <c r="C160" s="13" t="s">
        <v>461</v>
      </c>
      <c r="D160" s="13" t="s">
        <v>462</v>
      </c>
      <c r="E160" s="13" t="s">
        <v>783</v>
      </c>
      <c r="F160" s="14">
        <v>60.3539666666667</v>
      </c>
      <c r="G160" s="13">
        <v>77.33</v>
      </c>
      <c r="H160" s="13">
        <v>60.53</v>
      </c>
      <c r="I160" s="13">
        <v>60.96</v>
      </c>
      <c r="J160" s="14">
        <v>63.218320748251429</v>
      </c>
      <c r="K160" s="14">
        <v>63.415232932879036</v>
      </c>
      <c r="L160" s="14">
        <v>68.674242396996206</v>
      </c>
      <c r="M160" s="14">
        <v>62.505499999999998</v>
      </c>
      <c r="N160" s="14">
        <f t="shared" si="54"/>
        <v>64.793491666666668</v>
      </c>
      <c r="O160" s="14">
        <f t="shared" si="55"/>
        <v>64.453324019531664</v>
      </c>
      <c r="P160" s="14">
        <f t="shared" si="71"/>
        <v>64.623407843099159</v>
      </c>
      <c r="Q160" s="14">
        <v>44.589841709560609</v>
      </c>
      <c r="R160" s="17">
        <f t="shared" si="56"/>
        <v>55.410158290439391</v>
      </c>
      <c r="S160" s="14">
        <f t="shared" si="72"/>
        <v>0.59869142461395453</v>
      </c>
      <c r="T160" s="13">
        <v>0</v>
      </c>
      <c r="U160" s="13">
        <f t="shared" si="73"/>
        <v>38.689480104993635</v>
      </c>
      <c r="V160" s="13">
        <f>IF($T160=1,$AU160,(VLOOKUP(U160,'Cortes naturales'!$A$35:$C$39,3,9)))</f>
        <v>2</v>
      </c>
      <c r="W160" s="13">
        <v>2</v>
      </c>
      <c r="X160" s="14" t="b">
        <f t="shared" si="57"/>
        <v>1</v>
      </c>
      <c r="Y160" s="17">
        <f>IF($T160=1,$AU160,VLOOKUP(U160,'Cortes naturales'!$A$45:$C$49,3,9))</f>
        <v>2</v>
      </c>
      <c r="Z160" s="14">
        <v>62.922254529623885</v>
      </c>
      <c r="AA160" s="14">
        <v>0.61997514447075341</v>
      </c>
      <c r="AB160" s="14">
        <v>39.010233842429088</v>
      </c>
      <c r="AC160" s="13">
        <v>2</v>
      </c>
      <c r="AD160" s="13">
        <f t="shared" si="58"/>
        <v>0</v>
      </c>
      <c r="AE160" s="14">
        <f t="shared" si="59"/>
        <v>1.7011533134752739</v>
      </c>
      <c r="AF160" s="14">
        <f t="shared" si="60"/>
        <v>-2.1283719856798888E-2</v>
      </c>
      <c r="AG160" s="13">
        <f t="shared" si="61"/>
        <v>-0.32075373743545299</v>
      </c>
      <c r="AH160" s="13">
        <f>IF($T160=1,$AU160,VLOOKUP(U160,'Cortes naturales'!$A$25:$C$29,3,9))</f>
        <v>2</v>
      </c>
      <c r="AI160" s="13" t="b">
        <f t="shared" si="62"/>
        <v>1</v>
      </c>
      <c r="AJ160" s="13">
        <f t="shared" si="63"/>
        <v>0</v>
      </c>
      <c r="AK160" s="28">
        <v>0.9741882058902549</v>
      </c>
      <c r="AL160" s="28">
        <v>61.298118250784256</v>
      </c>
      <c r="AM160" s="28">
        <v>0.59614883316827183</v>
      </c>
      <c r="AN160" s="13">
        <v>2</v>
      </c>
      <c r="AO160" s="33">
        <f t="shared" si="64"/>
        <v>0</v>
      </c>
      <c r="AP160" s="13">
        <f t="shared" si="74"/>
        <v>59.614883316827182</v>
      </c>
      <c r="AQ160" s="13">
        <f>IFERROR(VLOOKUP(U160,'Cortes naturales'!$E$15:$G$19,3,9),U160)</f>
        <v>3</v>
      </c>
      <c r="AR160" s="28">
        <f t="shared" si="65"/>
        <v>-0.37549678127630037</v>
      </c>
      <c r="AS160" s="13" t="b">
        <f t="shared" si="66"/>
        <v>0</v>
      </c>
      <c r="AT160" s="13">
        <f t="shared" si="75"/>
        <v>0</v>
      </c>
      <c r="AU160" s="13">
        <v>2</v>
      </c>
      <c r="AV160">
        <f t="shared" si="67"/>
        <v>0</v>
      </c>
      <c r="AW160" s="13">
        <v>0</v>
      </c>
      <c r="AX160" s="13">
        <v>0</v>
      </c>
      <c r="AY160" s="13">
        <v>0</v>
      </c>
      <c r="AZ160" s="13">
        <v>0</v>
      </c>
      <c r="BA160">
        <v>0</v>
      </c>
      <c r="BB160" t="s">
        <v>2839</v>
      </c>
      <c r="BC160">
        <v>6</v>
      </c>
      <c r="BD160" t="s">
        <v>2919</v>
      </c>
      <c r="BE160">
        <v>0</v>
      </c>
      <c r="BF160" s="232" t="s">
        <v>2846</v>
      </c>
      <c r="BG160" s="232" t="s">
        <v>2845</v>
      </c>
      <c r="BH160" s="253">
        <v>21.8</v>
      </c>
      <c r="BI160" s="253">
        <v>7.3613017055479322</v>
      </c>
      <c r="BJ160" s="25">
        <v>4.9430928472607416</v>
      </c>
      <c r="BK160" t="s">
        <v>381</v>
      </c>
      <c r="BL160">
        <v>0</v>
      </c>
      <c r="BM160" t="s">
        <v>377</v>
      </c>
      <c r="BN160" s="322">
        <v>20404.058464999998</v>
      </c>
      <c r="BO160" s="322">
        <v>4469.0255999999999</v>
      </c>
      <c r="BP160" s="10">
        <v>12208</v>
      </c>
      <c r="BQ160" s="254">
        <f t="shared" si="68"/>
        <v>1.6713678297018346</v>
      </c>
      <c r="BR160" s="254">
        <f t="shared" si="69"/>
        <v>0.36607352555701178</v>
      </c>
      <c r="BS160" s="25">
        <v>55.026754087956867</v>
      </c>
      <c r="BT160" s="25">
        <v>79.78573293141109</v>
      </c>
      <c r="BU160" s="25">
        <v>38.169610903037871</v>
      </c>
      <c r="BV160" s="25">
        <v>95.20083220244851</v>
      </c>
      <c r="BW160" s="25">
        <v>65.698652337635679</v>
      </c>
      <c r="BX160" s="25">
        <v>67.045732531213588</v>
      </c>
      <c r="BY160" s="25">
        <v>66.616278119510284</v>
      </c>
      <c r="BZ160">
        <v>93</v>
      </c>
      <c r="CA160">
        <v>0</v>
      </c>
      <c r="CB160">
        <v>7</v>
      </c>
      <c r="CC160">
        <v>8847.4060040000004</v>
      </c>
      <c r="CD160" s="10">
        <v>4985.4957059999997</v>
      </c>
      <c r="CE160" s="255">
        <v>0.56349801328728522</v>
      </c>
      <c r="CF160" t="str">
        <f>IFERROR(VLOOKUP(CE160,'Rangos amb etnico'!$A$2:$C$6,3,9),"N.D.")</f>
        <v>51% - 70%</v>
      </c>
      <c r="CG160" s="256">
        <v>1.450468637373432E-4</v>
      </c>
      <c r="CH160" s="232">
        <v>0</v>
      </c>
      <c r="CI160" s="311">
        <f t="shared" si="76"/>
        <v>0</v>
      </c>
      <c r="CJ160" s="232">
        <f>IFERROR(VLOOKUP(CI160,'Rangos amb etnico'!$A$2:$C$6,3,9),"N.D.")</f>
        <v>0</v>
      </c>
      <c r="CK160" s="311">
        <f t="shared" si="77"/>
        <v>0</v>
      </c>
      <c r="CL160" s="10">
        <v>0</v>
      </c>
      <c r="CM160" s="255">
        <f t="shared" si="78"/>
        <v>0</v>
      </c>
      <c r="CN160" s="232">
        <f>IFERROR(VLOOKUP(CM160,'Rangos amb etnico'!$A$2:$C$6,3,9),"N.D.")</f>
        <v>0</v>
      </c>
      <c r="CO160" s="311">
        <f t="shared" si="79"/>
        <v>0</v>
      </c>
      <c r="CP160">
        <v>0.95896702803032663</v>
      </c>
      <c r="CQ160" t="s">
        <v>2864</v>
      </c>
      <c r="CR160">
        <f t="shared" si="70"/>
        <v>4</v>
      </c>
      <c r="CS160" t="str">
        <f t="shared" si="80"/>
        <v>Candidato</v>
      </c>
      <c r="CT160">
        <v>0</v>
      </c>
      <c r="CU160">
        <v>0</v>
      </c>
      <c r="CV160" s="25">
        <v>57.578395843505859</v>
      </c>
      <c r="CW160" s="25">
        <v>42.324287414550781</v>
      </c>
      <c r="CX160" s="25">
        <v>63.071723937988281</v>
      </c>
      <c r="CY160" s="25">
        <v>60.867252349853523</v>
      </c>
      <c r="CZ160" s="25">
        <v>57.991710662841797</v>
      </c>
      <c r="DA160" s="25">
        <v>57.721336364746087</v>
      </c>
      <c r="DB160" s="25">
        <v>63.494071960449219</v>
      </c>
      <c r="DC160">
        <v>40</v>
      </c>
      <c r="DD160" s="253" t="s">
        <v>380</v>
      </c>
    </row>
    <row r="161" spans="1:108" hidden="1">
      <c r="A161" s="13">
        <v>68081</v>
      </c>
      <c r="B161" s="13" t="s">
        <v>784</v>
      </c>
      <c r="C161" s="13" t="s">
        <v>431</v>
      </c>
      <c r="D161" s="13" t="s">
        <v>432</v>
      </c>
      <c r="E161" s="13" t="s">
        <v>785</v>
      </c>
      <c r="F161" s="14">
        <v>76.667366666666695</v>
      </c>
      <c r="G161" s="13">
        <v>64.14</v>
      </c>
      <c r="H161" s="13">
        <v>69.790000000000006</v>
      </c>
      <c r="I161" s="13">
        <v>68.13</v>
      </c>
      <c r="J161" s="14">
        <v>55.976064558697729</v>
      </c>
      <c r="K161" s="14">
        <v>60.616484239856803</v>
      </c>
      <c r="L161" s="14">
        <v>64.593928240920292</v>
      </c>
      <c r="M161" s="14">
        <v>60.692599999999999</v>
      </c>
      <c r="N161" s="14">
        <f t="shared" si="54"/>
        <v>69.681841666666671</v>
      </c>
      <c r="O161" s="14">
        <f t="shared" si="55"/>
        <v>60.469769259868706</v>
      </c>
      <c r="P161" s="14">
        <f t="shared" si="71"/>
        <v>65.075805463267685</v>
      </c>
      <c r="Q161" s="14">
        <v>43.249806992755275</v>
      </c>
      <c r="R161" s="17">
        <f t="shared" si="56"/>
        <v>56.750193007244725</v>
      </c>
      <c r="S161" s="14">
        <f t="shared" si="72"/>
        <v>0.61075173706520247</v>
      </c>
      <c r="T161" s="13">
        <v>0</v>
      </c>
      <c r="U161" s="13">
        <f t="shared" si="73"/>
        <v>39.74516122760793</v>
      </c>
      <c r="V161" s="13">
        <f>IF($T161=1,$AU161,(VLOOKUP(U161,'Cortes naturales'!$A$35:$C$39,3,9)))</f>
        <v>2</v>
      </c>
      <c r="W161" s="13">
        <v>2</v>
      </c>
      <c r="X161" s="14" t="b">
        <f t="shared" si="57"/>
        <v>1</v>
      </c>
      <c r="Y161" s="17">
        <f>IF($T161=1,$AU161,VLOOKUP(U161,'Cortes naturales'!$A$45:$C$49,3,9))</f>
        <v>2</v>
      </c>
      <c r="Z161" s="14">
        <v>65.328038675367907</v>
      </c>
      <c r="AA161" s="14">
        <v>0.61833418848972621</v>
      </c>
      <c r="AB161" s="14">
        <v>40.39455977995906</v>
      </c>
      <c r="AC161" s="13">
        <v>2</v>
      </c>
      <c r="AD161" s="13">
        <f t="shared" si="58"/>
        <v>0</v>
      </c>
      <c r="AE161" s="14">
        <f t="shared" si="59"/>
        <v>-0.2522332121002222</v>
      </c>
      <c r="AF161" s="14">
        <f t="shared" si="60"/>
        <v>-7.5824514245237395E-3</v>
      </c>
      <c r="AG161" s="13">
        <f t="shared" si="61"/>
        <v>-0.64939855235112987</v>
      </c>
      <c r="AH161" s="13">
        <f>IF($T161=1,$AU161,VLOOKUP(U161,'Cortes naturales'!$A$25:$C$29,3,9))</f>
        <v>2</v>
      </c>
      <c r="AI161" s="13" t="b">
        <f t="shared" si="62"/>
        <v>1</v>
      </c>
      <c r="AJ161" s="13">
        <f t="shared" si="63"/>
        <v>0</v>
      </c>
      <c r="AK161" s="28">
        <v>0.9741882058902549</v>
      </c>
      <c r="AL161" s="28">
        <v>63.641804791485846</v>
      </c>
      <c r="AM161" s="28">
        <v>0.62546588131396985</v>
      </c>
      <c r="AN161" s="13">
        <v>2</v>
      </c>
      <c r="AO161" s="33">
        <f t="shared" si="64"/>
        <v>0</v>
      </c>
      <c r="AP161" s="13">
        <f t="shared" si="74"/>
        <v>62.546588131396987</v>
      </c>
      <c r="AQ161" s="13">
        <f>IFERROR(VLOOKUP(U161,'Cortes naturales'!$E$15:$G$19,3,9),U161)</f>
        <v>3</v>
      </c>
      <c r="AR161" s="28">
        <f t="shared" si="65"/>
        <v>-0.36343646882505243</v>
      </c>
      <c r="AS161" s="13" t="b">
        <f t="shared" si="66"/>
        <v>0</v>
      </c>
      <c r="AT161" s="13">
        <f t="shared" si="75"/>
        <v>0</v>
      </c>
      <c r="AU161" s="13">
        <v>1</v>
      </c>
      <c r="AV161">
        <f t="shared" si="67"/>
        <v>-1</v>
      </c>
      <c r="AW161" s="13">
        <v>0</v>
      </c>
      <c r="AX161" s="13">
        <v>1</v>
      </c>
      <c r="AY161" s="13">
        <v>1</v>
      </c>
      <c r="AZ161" s="13">
        <v>0</v>
      </c>
      <c r="BA161">
        <v>0</v>
      </c>
      <c r="BB161" t="s">
        <v>2838</v>
      </c>
      <c r="BC161">
        <v>1</v>
      </c>
      <c r="BD161" t="s">
        <v>2920</v>
      </c>
      <c r="BE161">
        <v>0</v>
      </c>
      <c r="BF161" s="232" t="s">
        <v>2845</v>
      </c>
      <c r="BG161" s="232" t="s">
        <v>2845</v>
      </c>
      <c r="BH161" s="253">
        <v>26.4</v>
      </c>
      <c r="BI161" s="253">
        <v>11.647489064220554</v>
      </c>
      <c r="BJ161" s="25">
        <v>0.88164893617021278</v>
      </c>
      <c r="BK161" t="s">
        <v>381</v>
      </c>
      <c r="BL161">
        <v>6.1850234017576788</v>
      </c>
      <c r="BM161" t="s">
        <v>379</v>
      </c>
      <c r="BN161" s="322">
        <v>941914.25358799996</v>
      </c>
      <c r="BO161" s="322">
        <v>453513.18295300001</v>
      </c>
      <c r="BP161" s="10">
        <v>226559</v>
      </c>
      <c r="BQ161" s="254">
        <f t="shared" si="68"/>
        <v>4.1574788624067018</v>
      </c>
      <c r="BR161" s="254">
        <f t="shared" si="69"/>
        <v>2.0017442827387129</v>
      </c>
      <c r="BS161" s="25">
        <v>75.201405266161331</v>
      </c>
      <c r="BT161" s="25">
        <v>96.279909204974459</v>
      </c>
      <c r="BU161" s="25">
        <v>71.268333333333331</v>
      </c>
      <c r="BV161" s="25">
        <v>65.294947166018119</v>
      </c>
      <c r="BW161" s="25">
        <v>70.010673063297418</v>
      </c>
      <c r="BX161" s="25">
        <v>77.011148742621813</v>
      </c>
      <c r="BY161" s="25">
        <v>70.926441438498387</v>
      </c>
      <c r="BZ161">
        <v>95</v>
      </c>
      <c r="CA161">
        <v>1</v>
      </c>
      <c r="CB161">
        <v>4</v>
      </c>
      <c r="CC161">
        <v>132466.62049</v>
      </c>
      <c r="CD161" s="10">
        <v>52733.676313000004</v>
      </c>
      <c r="CE161" s="255">
        <v>0.39809029714758148</v>
      </c>
      <c r="CF161" t="str">
        <f>IFERROR(VLOOKUP(CE161,'Rangos amb etnico'!$A$2:$C$6,3,9),"N.D.")</f>
        <v>31% - 50%</v>
      </c>
      <c r="CG161" s="256">
        <v>1.534221432251069E-3</v>
      </c>
      <c r="CH161" s="232">
        <v>0</v>
      </c>
      <c r="CI161" s="311">
        <f t="shared" si="76"/>
        <v>0</v>
      </c>
      <c r="CJ161" s="232">
        <f>IFERROR(VLOOKUP(CI161,'Rangos amb etnico'!$A$2:$C$6,3,9),"N.D.")</f>
        <v>0</v>
      </c>
      <c r="CK161" s="311">
        <f t="shared" si="77"/>
        <v>0</v>
      </c>
      <c r="CL161" s="10">
        <v>867.68238553000003</v>
      </c>
      <c r="CM161" s="255">
        <f t="shared" si="78"/>
        <v>6.5501964368110529E-3</v>
      </c>
      <c r="CN161" s="232" t="str">
        <f>IFERROR(VLOOKUP(CM161,'Rangos amb etnico'!$A$2:$C$6,3,9),"N.D.")</f>
        <v>0,1% - 30%</v>
      </c>
      <c r="CO161" s="311">
        <f t="shared" si="79"/>
        <v>5.4412965101228365E-4</v>
      </c>
      <c r="CP161">
        <v>0.87690174732446646</v>
      </c>
      <c r="CQ161" t="s">
        <v>2864</v>
      </c>
      <c r="CR161">
        <f t="shared" si="70"/>
        <v>4</v>
      </c>
      <c r="CS161" t="str">
        <f t="shared" si="80"/>
        <v>Candidato</v>
      </c>
      <c r="CT161">
        <v>0</v>
      </c>
      <c r="CU161">
        <v>0</v>
      </c>
      <c r="CV161" s="25">
        <v>52.484058380126953</v>
      </c>
      <c r="CW161" s="25">
        <v>61.715549468994141</v>
      </c>
      <c r="CX161" s="25">
        <v>71.863700866699219</v>
      </c>
      <c r="CY161" s="25">
        <v>82.403228759765625</v>
      </c>
      <c r="CZ161" s="25">
        <v>45.242050170898438</v>
      </c>
      <c r="DA161" s="25">
        <v>12.5</v>
      </c>
      <c r="DB161" s="25">
        <v>41.179817199707031</v>
      </c>
      <c r="DC161">
        <v>6873</v>
      </c>
      <c r="DD161" s="253" t="s">
        <v>380</v>
      </c>
    </row>
    <row r="162" spans="1:108" hidden="1">
      <c r="A162" s="13">
        <v>25001</v>
      </c>
      <c r="B162" s="13" t="s">
        <v>786</v>
      </c>
      <c r="C162" s="13" t="s">
        <v>461</v>
      </c>
      <c r="D162" s="13" t="s">
        <v>462</v>
      </c>
      <c r="E162" s="13" t="s">
        <v>787</v>
      </c>
      <c r="F162" s="14">
        <v>61.833666666666701</v>
      </c>
      <c r="G162" s="13">
        <v>75.7</v>
      </c>
      <c r="H162" s="13">
        <v>74.510000000000005</v>
      </c>
      <c r="I162" s="13">
        <v>76.41</v>
      </c>
      <c r="J162" s="14">
        <v>61.010832781151421</v>
      </c>
      <c r="K162" s="14">
        <v>67.586349224111686</v>
      </c>
      <c r="L162" s="14">
        <v>64.249724630331642</v>
      </c>
      <c r="M162" s="14">
        <v>53.308500000000002</v>
      </c>
      <c r="N162" s="14">
        <f t="shared" si="54"/>
        <v>72.113416666666666</v>
      </c>
      <c r="O162" s="14">
        <f t="shared" si="55"/>
        <v>61.538851658898686</v>
      </c>
      <c r="P162" s="14">
        <f t="shared" si="71"/>
        <v>66.826134162782679</v>
      </c>
      <c r="Q162" s="14">
        <v>44.983064566945487</v>
      </c>
      <c r="R162" s="17">
        <f t="shared" si="56"/>
        <v>55.016935433054513</v>
      </c>
      <c r="S162" s="14">
        <f t="shared" si="72"/>
        <v>0.5951524188974906</v>
      </c>
      <c r="T162" s="13">
        <v>0</v>
      </c>
      <c r="U162" s="13">
        <f t="shared" si="73"/>
        <v>39.771735392548344</v>
      </c>
      <c r="V162" s="13">
        <f>IF($T162=1,$AU162,(VLOOKUP(U162,'Cortes naturales'!$A$35:$C$39,3,9)))</f>
        <v>2</v>
      </c>
      <c r="W162" s="13">
        <v>2</v>
      </c>
      <c r="X162" s="14" t="b">
        <f t="shared" si="57"/>
        <v>1</v>
      </c>
      <c r="Y162" s="17">
        <f>IF($T162=1,$AU162,VLOOKUP(U162,'Cortes naturales'!$A$45:$C$49,3,9))</f>
        <v>2</v>
      </c>
      <c r="Z162" s="14">
        <v>65.538854204215198</v>
      </c>
      <c r="AA162" s="14">
        <v>0.617247643789402</v>
      </c>
      <c r="AB162" s="14">
        <v>40.453703334208974</v>
      </c>
      <c r="AC162" s="13">
        <v>2</v>
      </c>
      <c r="AD162" s="13">
        <f t="shared" si="58"/>
        <v>0</v>
      </c>
      <c r="AE162" s="14">
        <f t="shared" si="59"/>
        <v>1.2872799585674812</v>
      </c>
      <c r="AF162" s="14">
        <f t="shared" si="60"/>
        <v>-2.2095224891911402E-2</v>
      </c>
      <c r="AG162" s="13">
        <f t="shared" si="61"/>
        <v>-0.68196794166063057</v>
      </c>
      <c r="AH162" s="13">
        <f>IF($T162=1,$AU162,VLOOKUP(U162,'Cortes naturales'!$A$25:$C$29,3,9))</f>
        <v>2</v>
      </c>
      <c r="AI162" s="13" t="b">
        <f t="shared" si="62"/>
        <v>1</v>
      </c>
      <c r="AJ162" s="13">
        <f t="shared" si="63"/>
        <v>0</v>
      </c>
      <c r="AK162" s="28">
        <v>0.9741882058902549</v>
      </c>
      <c r="AL162" s="28">
        <v>63.847178793307393</v>
      </c>
      <c r="AM162" s="28">
        <v>0.62803489359215381</v>
      </c>
      <c r="AN162" s="13">
        <v>2</v>
      </c>
      <c r="AO162" s="33">
        <f t="shared" si="64"/>
        <v>0</v>
      </c>
      <c r="AP162" s="13">
        <f t="shared" si="74"/>
        <v>62.803489359215384</v>
      </c>
      <c r="AQ162" s="13">
        <f>IFERROR(VLOOKUP(U162,'Cortes naturales'!$E$15:$G$19,3,9),U162)</f>
        <v>3</v>
      </c>
      <c r="AR162" s="28">
        <f t="shared" si="65"/>
        <v>-0.3790357869927643</v>
      </c>
      <c r="AS162" s="13" t="b">
        <f t="shared" si="66"/>
        <v>0</v>
      </c>
      <c r="AT162" s="13">
        <f t="shared" si="75"/>
        <v>0</v>
      </c>
      <c r="AU162" s="13">
        <v>2</v>
      </c>
      <c r="AV162">
        <f t="shared" si="67"/>
        <v>0</v>
      </c>
      <c r="AW162" s="13">
        <v>0</v>
      </c>
      <c r="AX162" s="13">
        <v>0</v>
      </c>
      <c r="AY162" s="13">
        <v>0</v>
      </c>
      <c r="AZ162" s="13">
        <v>0</v>
      </c>
      <c r="BA162">
        <v>0</v>
      </c>
      <c r="BB162" t="s">
        <v>2839</v>
      </c>
      <c r="BC162">
        <v>6</v>
      </c>
      <c r="BD162" t="s">
        <v>2919</v>
      </c>
      <c r="BE162">
        <v>0</v>
      </c>
      <c r="BF162" s="232" t="s">
        <v>2846</v>
      </c>
      <c r="BG162" s="232" t="s">
        <v>2846</v>
      </c>
      <c r="BH162" s="253">
        <v>17.899999999999999</v>
      </c>
      <c r="BI162" s="253">
        <v>8.0798387870645811</v>
      </c>
      <c r="BJ162" s="25">
        <v>0.57579037068598204</v>
      </c>
      <c r="BK162" t="s">
        <v>381</v>
      </c>
      <c r="BL162">
        <v>1.247983679545466</v>
      </c>
      <c r="BM162" t="s">
        <v>383</v>
      </c>
      <c r="BN162" s="322">
        <v>22816.446012</v>
      </c>
      <c r="BO162" s="322">
        <v>4125.511418</v>
      </c>
      <c r="BP162" s="10">
        <v>11820</v>
      </c>
      <c r="BQ162" s="254">
        <f t="shared" si="68"/>
        <v>1.9303253817258883</v>
      </c>
      <c r="BR162" s="254">
        <f t="shared" si="69"/>
        <v>0.34902803874788496</v>
      </c>
      <c r="BS162" s="25">
        <v>54.443229714526638</v>
      </c>
      <c r="BT162" s="25">
        <v>91.942885628877619</v>
      </c>
      <c r="BU162" s="25">
        <v>60.861830601092869</v>
      </c>
      <c r="BV162" s="25">
        <v>86.754940375751104</v>
      </c>
      <c r="BW162" s="25">
        <v>57.765779901991763</v>
      </c>
      <c r="BX162" s="25">
        <v>73.500721580062049</v>
      </c>
      <c r="BY162" s="25">
        <v>58.479706244043527</v>
      </c>
      <c r="BZ162">
        <v>55</v>
      </c>
      <c r="CA162">
        <v>0</v>
      </c>
      <c r="CB162">
        <v>7</v>
      </c>
      <c r="CC162">
        <v>8588.5120399999996</v>
      </c>
      <c r="CD162" s="10">
        <v>2908.4451159999999</v>
      </c>
      <c r="CE162" s="255">
        <v>0.33864365590386947</v>
      </c>
      <c r="CF162" t="str">
        <f>IFERROR(VLOOKUP(CE162,'Rangos amb etnico'!$A$2:$C$6,3,9),"N.D.")</f>
        <v>31% - 50%</v>
      </c>
      <c r="CG162" s="256">
        <v>8.4617632288858959E-5</v>
      </c>
      <c r="CH162" s="232">
        <v>0</v>
      </c>
      <c r="CI162" s="311">
        <f t="shared" si="76"/>
        <v>0</v>
      </c>
      <c r="CJ162" s="232">
        <f>IFERROR(VLOOKUP(CI162,'Rangos amb etnico'!$A$2:$C$6,3,9),"N.D.")</f>
        <v>0</v>
      </c>
      <c r="CK162" s="311">
        <f t="shared" si="77"/>
        <v>0</v>
      </c>
      <c r="CL162" s="10">
        <v>0</v>
      </c>
      <c r="CM162" s="255">
        <f t="shared" si="78"/>
        <v>0</v>
      </c>
      <c r="CN162" s="232">
        <f>IFERROR(VLOOKUP(CM162,'Rangos amb etnico'!$A$2:$C$6,3,9),"N.D.")</f>
        <v>0</v>
      </c>
      <c r="CO162" s="311">
        <f t="shared" si="79"/>
        <v>0</v>
      </c>
      <c r="CP162">
        <v>0.99003201388010997</v>
      </c>
      <c r="CQ162" t="s">
        <v>2864</v>
      </c>
      <c r="CR162">
        <f t="shared" si="70"/>
        <v>2</v>
      </c>
      <c r="CS162" t="str">
        <f t="shared" si="80"/>
        <v>No es Candidato</v>
      </c>
      <c r="CT162">
        <v>0</v>
      </c>
      <c r="CU162">
        <v>0</v>
      </c>
      <c r="CV162" s="25">
        <v>48.415706634521477</v>
      </c>
      <c r="CW162" s="25">
        <v>27.027862548828121</v>
      </c>
      <c r="CX162" s="25">
        <v>45.472763061523438</v>
      </c>
      <c r="CY162" s="25">
        <v>82.583442687988281</v>
      </c>
      <c r="CZ162" s="25">
        <v>35.512058258056641</v>
      </c>
      <c r="DA162" s="25">
        <v>47.949974060058587</v>
      </c>
      <c r="DB162" s="25">
        <v>51.948146820068359</v>
      </c>
      <c r="DC162">
        <v>348</v>
      </c>
      <c r="DD162" s="253" t="s">
        <v>380</v>
      </c>
    </row>
    <row r="163" spans="1:108" hidden="1">
      <c r="A163" s="13">
        <v>54553</v>
      </c>
      <c r="B163" s="13" t="s">
        <v>788</v>
      </c>
      <c r="C163" s="13" t="s">
        <v>517</v>
      </c>
      <c r="D163" s="13" t="s">
        <v>518</v>
      </c>
      <c r="E163" s="13" t="s">
        <v>789</v>
      </c>
      <c r="F163" s="14">
        <v>56.0137</v>
      </c>
      <c r="G163" s="13">
        <v>70.03</v>
      </c>
      <c r="H163" s="13">
        <v>72.98</v>
      </c>
      <c r="I163" s="13">
        <v>79.11</v>
      </c>
      <c r="J163" s="14">
        <v>52.762857590666215</v>
      </c>
      <c r="K163" s="14">
        <v>52.805541300703581</v>
      </c>
      <c r="L163" s="14">
        <v>62.293607089537645</v>
      </c>
      <c r="M163" s="14">
        <v>52.197899999999997</v>
      </c>
      <c r="N163" s="14">
        <f t="shared" si="54"/>
        <v>69.533425000000008</v>
      </c>
      <c r="O163" s="14">
        <f t="shared" si="55"/>
        <v>55.014976495226861</v>
      </c>
      <c r="P163" s="14">
        <f t="shared" si="71"/>
        <v>62.274200747613435</v>
      </c>
      <c r="Q163" s="14">
        <v>44.251508636276995</v>
      </c>
      <c r="R163" s="17">
        <f t="shared" si="56"/>
        <v>55.748491363723005</v>
      </c>
      <c r="S163" s="14">
        <f t="shared" si="72"/>
        <v>0.6017364222735071</v>
      </c>
      <c r="T163" s="13">
        <v>0</v>
      </c>
      <c r="U163" s="13">
        <f t="shared" si="73"/>
        <v>37.472654757811071</v>
      </c>
      <c r="V163" s="13">
        <f>IF($T163=1,$AU163,(VLOOKUP(U163,'Cortes naturales'!$A$35:$C$39,3,9)))</f>
        <v>3</v>
      </c>
      <c r="W163" s="13">
        <v>3</v>
      </c>
      <c r="X163" s="14" t="b">
        <f t="shared" si="57"/>
        <v>1</v>
      </c>
      <c r="Y163" s="17">
        <f>IF($T163=1,$AU163,VLOOKUP(U163,'Cortes naturales'!$A$45:$C$49,3,9))</f>
        <v>2</v>
      </c>
      <c r="Z163" s="14">
        <v>58.819701370914586</v>
      </c>
      <c r="AA163" s="14">
        <v>0.61852418730314651</v>
      </c>
      <c r="AB163" s="14">
        <v>36.381407987858715</v>
      </c>
      <c r="AC163" s="13">
        <v>2</v>
      </c>
      <c r="AD163" s="13">
        <f t="shared" si="58"/>
        <v>0</v>
      </c>
      <c r="AE163" s="14">
        <f t="shared" si="59"/>
        <v>3.4544993766988483</v>
      </c>
      <c r="AF163" s="14">
        <f t="shared" si="60"/>
        <v>-1.6787765029639412E-2</v>
      </c>
      <c r="AG163" s="13">
        <f t="shared" si="61"/>
        <v>1.091246769952356</v>
      </c>
      <c r="AH163" s="13">
        <f>IF($T163=1,$AU163,VLOOKUP(U163,'Cortes naturales'!$A$25:$C$29,3,9))</f>
        <v>2</v>
      </c>
      <c r="AI163" s="13" t="b">
        <f t="shared" si="62"/>
        <v>1</v>
      </c>
      <c r="AJ163" s="13">
        <f t="shared" si="63"/>
        <v>0</v>
      </c>
      <c r="AK163" s="28">
        <v>0.9741882058902549</v>
      </c>
      <c r="AL163" s="28">
        <v>57.301459349531846</v>
      </c>
      <c r="AM163" s="28">
        <v>0.54615484318918783</v>
      </c>
      <c r="AN163" s="13">
        <v>2</v>
      </c>
      <c r="AO163" s="33">
        <f t="shared" si="64"/>
        <v>0</v>
      </c>
      <c r="AP163" s="13">
        <f t="shared" si="74"/>
        <v>54.615484318918782</v>
      </c>
      <c r="AQ163" s="13">
        <f>IFERROR(VLOOKUP(U163,'Cortes naturales'!$E$15:$G$19,3,9),U163)</f>
        <v>3</v>
      </c>
      <c r="AR163" s="28">
        <f t="shared" si="65"/>
        <v>-0.3724517836167478</v>
      </c>
      <c r="AS163" s="13" t="b">
        <f t="shared" si="66"/>
        <v>0</v>
      </c>
      <c r="AT163" s="13">
        <f t="shared" si="75"/>
        <v>0</v>
      </c>
      <c r="AU163" s="13">
        <v>3</v>
      </c>
      <c r="AV163">
        <f t="shared" si="67"/>
        <v>1</v>
      </c>
      <c r="AW163" s="13">
        <v>0</v>
      </c>
      <c r="AX163" s="13">
        <v>0</v>
      </c>
      <c r="AY163" s="13">
        <v>0</v>
      </c>
      <c r="AZ163" s="13">
        <v>0</v>
      </c>
      <c r="BA163">
        <v>0</v>
      </c>
      <c r="BB163" t="s">
        <v>2839</v>
      </c>
      <c r="BC163">
        <v>6</v>
      </c>
      <c r="BD163" t="s">
        <v>2919</v>
      </c>
      <c r="BE163">
        <v>1</v>
      </c>
      <c r="BF163" s="232" t="s">
        <v>2846</v>
      </c>
      <c r="BG163" s="232" t="s">
        <v>2846</v>
      </c>
      <c r="BH163" s="253">
        <v>42.9</v>
      </c>
      <c r="BI163" s="253">
        <v>19.314412089937338</v>
      </c>
      <c r="BJ163" s="25">
        <v>11.536095430243115</v>
      </c>
      <c r="BK163" t="s">
        <v>377</v>
      </c>
      <c r="BL163">
        <v>23.768876981031688</v>
      </c>
      <c r="BM163" t="s">
        <v>384</v>
      </c>
      <c r="BN163" s="322">
        <v>32680.167505000001</v>
      </c>
      <c r="BO163" s="322">
        <v>1245.8656579999999</v>
      </c>
      <c r="BP163" s="10">
        <v>9525</v>
      </c>
      <c r="BQ163" s="254">
        <f t="shared" si="68"/>
        <v>3.4309887144356956</v>
      </c>
      <c r="BR163" s="254">
        <f t="shared" si="69"/>
        <v>0.13079954414698161</v>
      </c>
      <c r="BS163" s="25">
        <v>70.688242548258344</v>
      </c>
      <c r="BT163" s="25">
        <v>96.666666666666671</v>
      </c>
      <c r="BU163" s="25">
        <v>60.676666666666669</v>
      </c>
      <c r="BV163" s="25">
        <v>87.735499076778737</v>
      </c>
      <c r="BW163" s="25">
        <v>49.531569002719358</v>
      </c>
      <c r="BX163" s="25">
        <v>78.941768739592604</v>
      </c>
      <c r="BY163" s="25">
        <v>50.188694603437767</v>
      </c>
      <c r="BZ163">
        <v>73</v>
      </c>
      <c r="CA163">
        <v>0</v>
      </c>
      <c r="CB163">
        <v>7</v>
      </c>
      <c r="CC163">
        <v>4631.3557940000001</v>
      </c>
      <c r="CD163" s="10">
        <v>17.047816000000001</v>
      </c>
      <c r="CE163" s="255">
        <v>3.6809558060915413E-3</v>
      </c>
      <c r="CF163" t="str">
        <f>IFERROR(VLOOKUP(CE163,'Rangos amb etnico'!$A$2:$C$6,3,9),"N.D.")</f>
        <v>0,1% - 30%</v>
      </c>
      <c r="CG163" s="256">
        <v>4.9598523199917467E-7</v>
      </c>
      <c r="CH163" s="232">
        <v>0</v>
      </c>
      <c r="CI163" s="311">
        <f t="shared" si="76"/>
        <v>0</v>
      </c>
      <c r="CJ163" s="232">
        <f>IFERROR(VLOOKUP(CI163,'Rangos amb etnico'!$A$2:$C$6,3,9),"N.D.")</f>
        <v>0</v>
      </c>
      <c r="CK163" s="311">
        <f t="shared" si="77"/>
        <v>0</v>
      </c>
      <c r="CL163" s="10">
        <v>0</v>
      </c>
      <c r="CM163" s="255">
        <f t="shared" si="78"/>
        <v>0</v>
      </c>
      <c r="CN163" s="232">
        <f>IFERROR(VLOOKUP(CM163,'Rangos amb etnico'!$A$2:$C$6,3,9),"N.D.")</f>
        <v>0</v>
      </c>
      <c r="CO163" s="311">
        <f t="shared" si="79"/>
        <v>0</v>
      </c>
      <c r="CP163">
        <v>0.92721626939988311</v>
      </c>
      <c r="CQ163" t="s">
        <v>2864</v>
      </c>
      <c r="CR163">
        <f t="shared" si="70"/>
        <v>2</v>
      </c>
      <c r="CS163" t="str">
        <f t="shared" si="80"/>
        <v>No es Candidato</v>
      </c>
      <c r="CT163">
        <v>1</v>
      </c>
      <c r="CU163" t="s">
        <v>2835</v>
      </c>
      <c r="CV163" s="25">
        <v>46.504337310791023</v>
      </c>
      <c r="CW163" s="25">
        <v>31.269119262695309</v>
      </c>
      <c r="CX163" s="25">
        <v>38.330242156982422</v>
      </c>
      <c r="CY163" s="25">
        <v>55.728595733642578</v>
      </c>
      <c r="CZ163" s="25">
        <v>43.789905548095703</v>
      </c>
      <c r="DA163" s="25">
        <v>55.719520568847663</v>
      </c>
      <c r="DB163" s="25">
        <v>54.188636779785163</v>
      </c>
      <c r="DC163">
        <v>132</v>
      </c>
      <c r="DD163" s="253" t="s">
        <v>380</v>
      </c>
    </row>
    <row r="164" spans="1:108" hidden="1">
      <c r="A164" s="13">
        <v>13052</v>
      </c>
      <c r="B164" s="13" t="s">
        <v>790</v>
      </c>
      <c r="C164" s="13" t="s">
        <v>480</v>
      </c>
      <c r="D164" s="13" t="s">
        <v>481</v>
      </c>
      <c r="E164" s="13" t="s">
        <v>791</v>
      </c>
      <c r="F164" s="14">
        <v>47.155299999999997</v>
      </c>
      <c r="G164" s="13">
        <v>37.479999999999997</v>
      </c>
      <c r="H164" s="13">
        <v>29.29</v>
      </c>
      <c r="I164" s="13">
        <v>31.1</v>
      </c>
      <c r="J164" s="14">
        <v>46.569539686131989</v>
      </c>
      <c r="K164" s="14">
        <v>31.804862635461024</v>
      </c>
      <c r="L164" s="14">
        <v>45.512413597395458</v>
      </c>
      <c r="M164" s="14">
        <v>53.833100000000002</v>
      </c>
      <c r="N164" s="14">
        <f t="shared" si="54"/>
        <v>36.256324999999997</v>
      </c>
      <c r="O164" s="14">
        <f t="shared" si="55"/>
        <v>44.429978979747119</v>
      </c>
      <c r="P164" s="14">
        <f t="shared" si="71"/>
        <v>40.343151989873562</v>
      </c>
      <c r="Q164" s="14">
        <v>44.09567513938503</v>
      </c>
      <c r="R164" s="17">
        <f t="shared" si="56"/>
        <v>55.90432486061497</v>
      </c>
      <c r="S164" s="14">
        <f t="shared" si="72"/>
        <v>0.60313892374553479</v>
      </c>
      <c r="T164" s="13">
        <v>0</v>
      </c>
      <c r="U164" s="13">
        <f t="shared" si="73"/>
        <v>24.332525271674871</v>
      </c>
      <c r="V164" s="13">
        <f>IF($T164=1,$AU164,(VLOOKUP(U164,'Cortes naturales'!$A$35:$C$39,3,9)))</f>
        <v>4</v>
      </c>
      <c r="W164" s="13">
        <v>4</v>
      </c>
      <c r="X164" s="14" t="b">
        <f t="shared" si="57"/>
        <v>1</v>
      </c>
      <c r="Y164" s="17">
        <f>IF($T164=1,$AU164,VLOOKUP(U164,'Cortes naturales'!$A$45:$C$49,3,9))</f>
        <v>4</v>
      </c>
      <c r="Z164" s="14">
        <v>41.851454017397749</v>
      </c>
      <c r="AA164" s="14">
        <v>0.61721402273159842</v>
      </c>
      <c r="AB164" s="14">
        <v>25.831304291244582</v>
      </c>
      <c r="AC164" s="13">
        <v>4</v>
      </c>
      <c r="AD164" s="13">
        <f t="shared" si="58"/>
        <v>0</v>
      </c>
      <c r="AE164" s="14">
        <f t="shared" si="59"/>
        <v>-1.5083020275241878</v>
      </c>
      <c r="AF164" s="14">
        <f t="shared" si="60"/>
        <v>-1.4075098986063628E-2</v>
      </c>
      <c r="AG164" s="13">
        <f t="shared" si="61"/>
        <v>-1.4987790195697102</v>
      </c>
      <c r="AH164" s="13">
        <f>IF($T164=1,$AU164,VLOOKUP(U164,'Cortes naturales'!$A$25:$C$29,3,9))</f>
        <v>4</v>
      </c>
      <c r="AI164" s="13" t="b">
        <f t="shared" si="62"/>
        <v>1</v>
      </c>
      <c r="AJ164" s="13">
        <f t="shared" si="63"/>
        <v>0</v>
      </c>
      <c r="AK164" s="28">
        <v>0.9741882058902549</v>
      </c>
      <c r="AL164" s="28">
        <v>40.771192903107213</v>
      </c>
      <c r="AM164" s="28">
        <v>0.33937863448767142</v>
      </c>
      <c r="AN164" s="13">
        <v>4</v>
      </c>
      <c r="AO164" s="33">
        <f t="shared" si="64"/>
        <v>0</v>
      </c>
      <c r="AP164" s="13">
        <f t="shared" si="74"/>
        <v>33.937863448767139</v>
      </c>
      <c r="AQ164" s="13">
        <f>IFERROR(VLOOKUP(U164,'Cortes naturales'!$E$15:$G$19,3,9),U164)</f>
        <v>4</v>
      </c>
      <c r="AR164" s="28">
        <f t="shared" si="65"/>
        <v>-0.37104928214472011</v>
      </c>
      <c r="AS164" s="13" t="b">
        <f t="shared" si="66"/>
        <v>1</v>
      </c>
      <c r="AT164" s="13">
        <f t="shared" si="75"/>
        <v>0</v>
      </c>
      <c r="AU164" s="13">
        <v>3</v>
      </c>
      <c r="AV164">
        <f t="shared" si="67"/>
        <v>-1</v>
      </c>
      <c r="AW164" s="13">
        <v>0</v>
      </c>
      <c r="AX164" s="13">
        <v>0</v>
      </c>
      <c r="AY164" s="13">
        <v>0</v>
      </c>
      <c r="AZ164" s="13">
        <v>0</v>
      </c>
      <c r="BA164">
        <v>0</v>
      </c>
      <c r="BB164" t="s">
        <v>2838</v>
      </c>
      <c r="BC164">
        <v>6</v>
      </c>
      <c r="BD164" s="184" t="s">
        <v>2917</v>
      </c>
      <c r="BE164">
        <v>0</v>
      </c>
      <c r="BF164" s="232" t="s">
        <v>2846</v>
      </c>
      <c r="BG164" s="232" t="s">
        <v>2845</v>
      </c>
      <c r="BH164" s="253">
        <v>47.4</v>
      </c>
      <c r="BI164" s="253">
        <v>26.983606557377048</v>
      </c>
      <c r="BJ164" s="25">
        <v>0</v>
      </c>
      <c r="BK164" t="s">
        <v>381</v>
      </c>
      <c r="BL164">
        <v>3.4847911160482079</v>
      </c>
      <c r="BM164" t="s">
        <v>383</v>
      </c>
      <c r="BN164" s="322">
        <v>116613.08228800001</v>
      </c>
      <c r="BO164" s="322">
        <v>13553.794368000001</v>
      </c>
      <c r="BP164" s="10">
        <v>73374</v>
      </c>
      <c r="BQ164" s="254">
        <f t="shared" si="68"/>
        <v>1.5892970573772727</v>
      </c>
      <c r="BR164" s="254">
        <f t="shared" si="69"/>
        <v>0.18472203189140568</v>
      </c>
      <c r="BS164" s="25">
        <v>60.983776745273808</v>
      </c>
      <c r="BT164" s="25">
        <v>95.10266852136543</v>
      </c>
      <c r="BU164" s="25">
        <v>25.0000251378036</v>
      </c>
      <c r="BV164" s="25">
        <v>91.941771668676992</v>
      </c>
      <c r="BW164" s="25">
        <v>48.938602150455651</v>
      </c>
      <c r="BX164" s="25">
        <v>68.257060518279957</v>
      </c>
      <c r="BY164" s="25">
        <v>48.487214441037679</v>
      </c>
      <c r="BZ164">
        <v>48</v>
      </c>
      <c r="CA164">
        <v>0</v>
      </c>
      <c r="CB164">
        <v>7</v>
      </c>
      <c r="CC164">
        <v>58718.979102999998</v>
      </c>
      <c r="CD164" s="10">
        <v>8585.3637529999996</v>
      </c>
      <c r="CE164" s="255">
        <v>0.14621105278312591</v>
      </c>
      <c r="CF164" t="str">
        <f>IFERROR(VLOOKUP(CE164,'Rangos amb etnico'!$A$2:$C$6,3,9),"N.D.")</f>
        <v>0,1% - 30%</v>
      </c>
      <c r="CG164" s="256">
        <v>2.497805955219724E-4</v>
      </c>
      <c r="CH164" s="232">
        <v>135.03220400000001</v>
      </c>
      <c r="CI164" s="311">
        <f t="shared" si="76"/>
        <v>2.2996347358685788E-3</v>
      </c>
      <c r="CJ164" s="232" t="str">
        <f>IFERROR(VLOOKUP(CI164,'Rangos amb etnico'!$A$2:$C$6,3,9),"N.D.")</f>
        <v>0,1% - 30%</v>
      </c>
      <c r="CK164" s="311">
        <f t="shared" si="77"/>
        <v>5.3616625817112285E-6</v>
      </c>
      <c r="CL164" s="10">
        <v>0</v>
      </c>
      <c r="CM164" s="255">
        <f t="shared" si="78"/>
        <v>0</v>
      </c>
      <c r="CN164" s="232">
        <f>IFERROR(VLOOKUP(CM164,'Rangos amb etnico'!$A$2:$C$6,3,9),"N.D.")</f>
        <v>0</v>
      </c>
      <c r="CO164" s="311">
        <f t="shared" si="79"/>
        <v>0</v>
      </c>
      <c r="CP164">
        <v>0.96798654804157236</v>
      </c>
      <c r="CQ164" t="s">
        <v>2864</v>
      </c>
      <c r="CR164">
        <f t="shared" si="70"/>
        <v>1</v>
      </c>
      <c r="CS164" t="str">
        <f t="shared" si="80"/>
        <v>No es Candidato</v>
      </c>
      <c r="CT164">
        <v>0</v>
      </c>
      <c r="CU164">
        <v>0</v>
      </c>
      <c r="CV164" s="25">
        <v>49.529727935791023</v>
      </c>
      <c r="CW164" s="25">
        <v>46.531547546386719</v>
      </c>
      <c r="CX164" s="25">
        <v>49.842098236083977</v>
      </c>
      <c r="CY164" s="25">
        <v>77.237327575683594</v>
      </c>
      <c r="CZ164" s="25">
        <v>21.935052871704102</v>
      </c>
      <c r="DA164" s="25">
        <v>50.985652923583977</v>
      </c>
      <c r="DB164" s="25">
        <v>50.646678924560547</v>
      </c>
      <c r="DC164">
        <v>20692</v>
      </c>
      <c r="DD164" s="253" t="s">
        <v>380</v>
      </c>
    </row>
    <row r="165" spans="1:108" hidden="1">
      <c r="A165" s="13">
        <v>52399</v>
      </c>
      <c r="B165" s="13" t="s">
        <v>792</v>
      </c>
      <c r="C165" s="13" t="s">
        <v>672</v>
      </c>
      <c r="D165" s="13" t="s">
        <v>673</v>
      </c>
      <c r="E165" s="13" t="s">
        <v>628</v>
      </c>
      <c r="F165" s="14">
        <v>49.963466666666697</v>
      </c>
      <c r="G165" s="13">
        <v>54.09</v>
      </c>
      <c r="H165" s="13">
        <v>43.52</v>
      </c>
      <c r="I165" s="13">
        <v>56.07</v>
      </c>
      <c r="J165" s="14">
        <v>55.807394088589191</v>
      </c>
      <c r="K165" s="14">
        <v>65.716040865231804</v>
      </c>
      <c r="L165" s="14">
        <v>70.371862080786769</v>
      </c>
      <c r="M165" s="14">
        <v>66.128100000000003</v>
      </c>
      <c r="N165" s="14">
        <f t="shared" si="54"/>
        <v>50.910866666666678</v>
      </c>
      <c r="O165" s="14">
        <f t="shared" si="55"/>
        <v>64.505849258651949</v>
      </c>
      <c r="P165" s="14">
        <f t="shared" si="71"/>
        <v>57.708357962659314</v>
      </c>
      <c r="Q165" s="14">
        <v>43.634248995684047</v>
      </c>
      <c r="R165" s="17">
        <f t="shared" si="56"/>
        <v>56.365751004315953</v>
      </c>
      <c r="S165" s="14">
        <f t="shared" si="72"/>
        <v>0.60729175903884358</v>
      </c>
      <c r="T165" s="13">
        <v>0</v>
      </c>
      <c r="U165" s="13">
        <f t="shared" si="73"/>
        <v>35.045810218386627</v>
      </c>
      <c r="V165" s="13">
        <f>IF($T165=1,$AU165,(VLOOKUP(U165,'Cortes naturales'!$A$35:$C$39,3,9)))</f>
        <v>3</v>
      </c>
      <c r="W165" s="13">
        <v>3</v>
      </c>
      <c r="X165" s="14" t="b">
        <f t="shared" si="57"/>
        <v>1</v>
      </c>
      <c r="Y165" s="17">
        <f>IF($T165=1,$AU165,VLOOKUP(U165,'Cortes naturales'!$A$45:$C$49,3,9))</f>
        <v>3</v>
      </c>
      <c r="Z165" s="14">
        <v>55.462818539411778</v>
      </c>
      <c r="AA165" s="14">
        <v>0.61738880359642956</v>
      </c>
      <c r="AB165" s="14">
        <v>34.242123182133312</v>
      </c>
      <c r="AC165" s="13">
        <v>3</v>
      </c>
      <c r="AD165" s="13">
        <f t="shared" si="58"/>
        <v>0</v>
      </c>
      <c r="AE165" s="14">
        <f t="shared" si="59"/>
        <v>2.2455394232475356</v>
      </c>
      <c r="AF165" s="14">
        <f t="shared" si="60"/>
        <v>-1.0097044557585977E-2</v>
      </c>
      <c r="AG165" s="13">
        <f t="shared" si="61"/>
        <v>0.80368703625331506</v>
      </c>
      <c r="AH165" s="13">
        <f>IF($T165=1,$AU165,VLOOKUP(U165,'Cortes naturales'!$A$25:$C$29,3,9))</f>
        <v>2</v>
      </c>
      <c r="AI165" s="13" t="b">
        <f t="shared" si="62"/>
        <v>0</v>
      </c>
      <c r="AJ165" s="13">
        <f t="shared" si="63"/>
        <v>0</v>
      </c>
      <c r="AK165" s="28">
        <v>0.9741882058902549</v>
      </c>
      <c r="AL165" s="28">
        <v>54.031223686526324</v>
      </c>
      <c r="AM165" s="28">
        <v>0.50524764219830298</v>
      </c>
      <c r="AN165" s="13">
        <v>2</v>
      </c>
      <c r="AO165" s="33">
        <f t="shared" si="64"/>
        <v>-1</v>
      </c>
      <c r="AP165" s="13">
        <f t="shared" si="74"/>
        <v>50.524764219830296</v>
      </c>
      <c r="AQ165" s="13">
        <f>IFERROR(VLOOKUP(U165,'Cortes naturales'!$E$15:$G$19,3,9),U165)</f>
        <v>4</v>
      </c>
      <c r="AR165" s="28">
        <f t="shared" si="65"/>
        <v>-0.36689644685141132</v>
      </c>
      <c r="AS165" s="13" t="b">
        <f t="shared" si="66"/>
        <v>0</v>
      </c>
      <c r="AT165" s="13" t="str">
        <f t="shared" si="75"/>
        <v>Cambio en corte</v>
      </c>
      <c r="AU165" s="13">
        <v>3</v>
      </c>
      <c r="AV165">
        <f t="shared" si="67"/>
        <v>0</v>
      </c>
      <c r="AW165" s="13">
        <v>0</v>
      </c>
      <c r="AX165" s="13">
        <v>0</v>
      </c>
      <c r="AY165" s="13">
        <v>0</v>
      </c>
      <c r="AZ165" s="13">
        <v>0</v>
      </c>
      <c r="BA165">
        <v>0</v>
      </c>
      <c r="BB165" t="s">
        <v>2839</v>
      </c>
      <c r="BC165">
        <v>6</v>
      </c>
      <c r="BD165" t="s">
        <v>2919</v>
      </c>
      <c r="BE165">
        <v>1</v>
      </c>
      <c r="BF165" s="232" t="s">
        <v>2846</v>
      </c>
      <c r="BG165" s="232" t="s">
        <v>2845</v>
      </c>
      <c r="BH165" s="253">
        <v>48.6</v>
      </c>
      <c r="BI165" s="253">
        <v>19.156994073710418</v>
      </c>
      <c r="BJ165" s="25">
        <v>44.7855913327653</v>
      </c>
      <c r="BK165" t="s">
        <v>376</v>
      </c>
      <c r="BL165">
        <v>6.8796303434160837</v>
      </c>
      <c r="BM165" t="s">
        <v>379</v>
      </c>
      <c r="BN165" s="322">
        <v>56915.822538</v>
      </c>
      <c r="BO165" s="322">
        <v>4069.9599010000002</v>
      </c>
      <c r="BP165" s="10">
        <v>34338</v>
      </c>
      <c r="BQ165" s="254">
        <f t="shared" si="68"/>
        <v>1.6575171104315918</v>
      </c>
      <c r="BR165" s="254">
        <f t="shared" si="69"/>
        <v>0.11852641100238803</v>
      </c>
      <c r="BS165" s="25">
        <v>67.237531351607345</v>
      </c>
      <c r="BT165" s="25">
        <v>90.407229144048998</v>
      </c>
      <c r="BU165" s="25">
        <v>58.761666666666677</v>
      </c>
      <c r="BV165" s="25">
        <v>89.779782157350596</v>
      </c>
      <c r="BW165" s="25">
        <v>42.801808535439513</v>
      </c>
      <c r="BX165" s="25">
        <v>76.546552329918399</v>
      </c>
      <c r="BY165" s="25">
        <v>43.803843384856641</v>
      </c>
      <c r="BZ165">
        <v>69</v>
      </c>
      <c r="CA165">
        <v>1</v>
      </c>
      <c r="CB165">
        <v>6</v>
      </c>
      <c r="CC165">
        <v>14226.366763</v>
      </c>
      <c r="CD165" s="10">
        <v>1163.868127</v>
      </c>
      <c r="CE165" s="255">
        <v>8.1810636994611552E-2</v>
      </c>
      <c r="CF165" t="str">
        <f>IFERROR(VLOOKUP(CE165,'Rangos amb etnico'!$A$2:$C$6,3,9),"N.D.")</f>
        <v>0,1% - 30%</v>
      </c>
      <c r="CG165" s="256">
        <v>3.3861311207637385E-5</v>
      </c>
      <c r="CH165" s="232">
        <v>0</v>
      </c>
      <c r="CI165" s="311">
        <f t="shared" si="76"/>
        <v>0</v>
      </c>
      <c r="CJ165" s="232">
        <f>IFERROR(VLOOKUP(CI165,'Rangos amb etnico'!$A$2:$C$6,3,9),"N.D.")</f>
        <v>0</v>
      </c>
      <c r="CK165" s="311">
        <f t="shared" si="77"/>
        <v>0</v>
      </c>
      <c r="CL165" s="10">
        <v>0</v>
      </c>
      <c r="CM165" s="255">
        <f t="shared" si="78"/>
        <v>0</v>
      </c>
      <c r="CN165" s="232">
        <f>IFERROR(VLOOKUP(CM165,'Rangos amb etnico'!$A$2:$C$6,3,9),"N.D.")</f>
        <v>0</v>
      </c>
      <c r="CO165" s="311">
        <f t="shared" si="79"/>
        <v>0</v>
      </c>
      <c r="CP165">
        <v>0.91025036767331646</v>
      </c>
      <c r="CQ165" t="s">
        <v>2864</v>
      </c>
      <c r="CR165">
        <f t="shared" si="70"/>
        <v>2</v>
      </c>
      <c r="CS165" t="str">
        <f t="shared" si="80"/>
        <v>No es Candidato</v>
      </c>
      <c r="CT165">
        <v>0</v>
      </c>
      <c r="CU165">
        <v>0</v>
      </c>
      <c r="CV165" s="25">
        <v>40.784782409667969</v>
      </c>
      <c r="CW165" s="25">
        <v>26.165042877197269</v>
      </c>
      <c r="CX165" s="25">
        <v>49.142047882080078</v>
      </c>
      <c r="CY165" s="25">
        <v>60.324848175048828</v>
      </c>
      <c r="CZ165" s="25">
        <v>18.86983680725098</v>
      </c>
      <c r="DA165" s="25">
        <v>39.884876251220703</v>
      </c>
      <c r="DB165" s="25">
        <v>50.322032928466797</v>
      </c>
      <c r="DC165">
        <v>548</v>
      </c>
      <c r="DD165" s="253" t="s">
        <v>380</v>
      </c>
    </row>
    <row r="166" spans="1:108">
      <c r="A166" s="13">
        <v>5390</v>
      </c>
      <c r="B166" s="13" t="s">
        <v>793</v>
      </c>
      <c r="C166" s="13" t="s">
        <v>435</v>
      </c>
      <c r="D166" s="13" t="s">
        <v>436</v>
      </c>
      <c r="E166" s="13" t="s">
        <v>794</v>
      </c>
      <c r="F166" s="14">
        <v>46.582799999999999</v>
      </c>
      <c r="G166" s="13">
        <v>44.88</v>
      </c>
      <c r="H166" s="13">
        <v>49.52</v>
      </c>
      <c r="I166" s="13">
        <v>57.29</v>
      </c>
      <c r="J166" s="14">
        <v>56.411658879341388</v>
      </c>
      <c r="K166" s="14">
        <v>42.857350059228182</v>
      </c>
      <c r="L166" s="14">
        <v>57.766455675491734</v>
      </c>
      <c r="M166" s="14">
        <v>60.665300000000002</v>
      </c>
      <c r="N166" s="14">
        <f t="shared" si="54"/>
        <v>49.568199999999997</v>
      </c>
      <c r="O166" s="14">
        <f t="shared" si="55"/>
        <v>54.425191153515328</v>
      </c>
      <c r="P166" s="14">
        <f t="shared" si="71"/>
        <v>51.996695576757659</v>
      </c>
      <c r="Q166" s="14">
        <v>43.065158366197934</v>
      </c>
      <c r="R166" s="17">
        <f t="shared" si="56"/>
        <v>56.934841633802066</v>
      </c>
      <c r="S166" s="14">
        <f t="shared" si="72"/>
        <v>0.61241357470421864</v>
      </c>
      <c r="T166" s="13">
        <v>0</v>
      </c>
      <c r="U166" s="13">
        <f t="shared" si="73"/>
        <v>31.843482210969192</v>
      </c>
      <c r="V166" s="13">
        <f>IF($T166=1,$AU166,(VLOOKUP(U166,'Cortes naturales'!$A$35:$C$39,3,9)))</f>
        <v>3</v>
      </c>
      <c r="W166" s="13">
        <v>3</v>
      </c>
      <c r="X166" s="14" t="b">
        <f t="shared" si="57"/>
        <v>1</v>
      </c>
      <c r="Y166" s="17">
        <f>IF($T166=1,$AU166,VLOOKUP(U166,'Cortes naturales'!$A$45:$C$49,3,9))</f>
        <v>3</v>
      </c>
      <c r="Z166" s="14">
        <v>50.521078795254553</v>
      </c>
      <c r="AA166" s="14">
        <v>0.61995977543508096</v>
      </c>
      <c r="AB166" s="14">
        <v>31.321036664644044</v>
      </c>
      <c r="AC166" s="13">
        <v>3</v>
      </c>
      <c r="AD166" s="13">
        <f t="shared" si="58"/>
        <v>0</v>
      </c>
      <c r="AE166" s="14">
        <f t="shared" si="59"/>
        <v>1.4756167815031063</v>
      </c>
      <c r="AF166" s="14">
        <f t="shared" si="60"/>
        <v>-7.546200730862318E-3</v>
      </c>
      <c r="AG166" s="13">
        <f t="shared" si="61"/>
        <v>0.52244554632514806</v>
      </c>
      <c r="AH166" s="13">
        <f>IF($T166=1,$AU166,VLOOKUP(U166,'Cortes naturales'!$A$25:$C$29,3,9))</f>
        <v>3</v>
      </c>
      <c r="AI166" s="13" t="b">
        <f t="shared" si="62"/>
        <v>1</v>
      </c>
      <c r="AJ166" s="13">
        <f t="shared" si="63"/>
        <v>0</v>
      </c>
      <c r="AK166" s="28">
        <v>0.9741882058902549</v>
      </c>
      <c r="AL166" s="28">
        <v>49.21703911118923</v>
      </c>
      <c r="AM166" s="28">
        <v>0.44502726778970814</v>
      </c>
      <c r="AN166" s="13">
        <v>3</v>
      </c>
      <c r="AO166" s="33">
        <f t="shared" si="64"/>
        <v>0</v>
      </c>
      <c r="AP166" s="13">
        <f t="shared" si="74"/>
        <v>44.502726778970811</v>
      </c>
      <c r="AQ166" s="13">
        <f>IFERROR(VLOOKUP(U166,'Cortes naturales'!$E$15:$G$19,3,9),U166)</f>
        <v>4</v>
      </c>
      <c r="AR166" s="28">
        <f t="shared" si="65"/>
        <v>-0.36177463118603626</v>
      </c>
      <c r="AS166" s="13" t="b">
        <f t="shared" si="66"/>
        <v>0</v>
      </c>
      <c r="AT166" s="13">
        <f t="shared" si="75"/>
        <v>0</v>
      </c>
      <c r="AU166" s="13">
        <v>3</v>
      </c>
      <c r="AV166">
        <f t="shared" si="67"/>
        <v>0</v>
      </c>
      <c r="AW166" s="13">
        <v>0</v>
      </c>
      <c r="AX166" s="13">
        <v>0</v>
      </c>
      <c r="AY166" s="13">
        <v>0</v>
      </c>
      <c r="AZ166" s="13">
        <v>0</v>
      </c>
      <c r="BA166">
        <v>0</v>
      </c>
      <c r="BB166" t="s">
        <v>2839</v>
      </c>
      <c r="BC166">
        <v>6</v>
      </c>
      <c r="BD166" t="s">
        <v>2919</v>
      </c>
      <c r="BE166">
        <v>1</v>
      </c>
      <c r="BF166" s="232" t="s">
        <v>2846</v>
      </c>
      <c r="BG166" s="232" t="s">
        <v>2846</v>
      </c>
      <c r="BH166" s="253">
        <v>31.2</v>
      </c>
      <c r="BI166" s="253">
        <v>12.854276398294457</v>
      </c>
      <c r="BJ166" s="25">
        <v>3.2786482322323915</v>
      </c>
      <c r="BK166" t="s">
        <v>381</v>
      </c>
      <c r="BL166">
        <v>3.1725382194054559</v>
      </c>
      <c r="BM166" t="s">
        <v>383</v>
      </c>
      <c r="BN166" s="322">
        <v>20604.873423000001</v>
      </c>
      <c r="BO166" s="322">
        <v>6290.4132250000002</v>
      </c>
      <c r="BP166" s="10">
        <v>8554</v>
      </c>
      <c r="BQ166" s="254">
        <f t="shared" si="68"/>
        <v>2.4087997922609308</v>
      </c>
      <c r="BR166" s="254">
        <f t="shared" si="69"/>
        <v>0.73537680909516023</v>
      </c>
      <c r="BS166" s="25">
        <v>65.883906298097045</v>
      </c>
      <c r="BT166" s="25">
        <v>93.695414779050722</v>
      </c>
      <c r="BU166" s="25">
        <v>59.398333333333333</v>
      </c>
      <c r="BV166" s="25">
        <v>80.562424308864038</v>
      </c>
      <c r="BW166" s="25">
        <v>71.13957825878154</v>
      </c>
      <c r="BX166" s="25">
        <v>74.88501967983629</v>
      </c>
      <c r="BY166" s="25">
        <v>73.126571203841536</v>
      </c>
      <c r="BZ166">
        <v>65</v>
      </c>
      <c r="CA166">
        <v>0</v>
      </c>
      <c r="CB166">
        <v>7</v>
      </c>
      <c r="CC166">
        <v>5429.8411100000003</v>
      </c>
      <c r="CD166" s="10">
        <v>507.040166</v>
      </c>
      <c r="CE166" s="255">
        <v>9.3380295247718584E-2</v>
      </c>
      <c r="CF166" t="str">
        <f>IFERROR(VLOOKUP(CE166,'Rangos amb etnico'!$A$2:$C$6,3,9),"N.D.")</f>
        <v>0,1% - 30%</v>
      </c>
      <c r="CG166" s="256">
        <v>1.4751709800622558E-5</v>
      </c>
      <c r="CH166" s="232">
        <v>0</v>
      </c>
      <c r="CI166" s="311">
        <f t="shared" si="76"/>
        <v>0</v>
      </c>
      <c r="CJ166" s="232">
        <f>IFERROR(VLOOKUP(CI166,'Rangos amb etnico'!$A$2:$C$6,3,9),"N.D.")</f>
        <v>0</v>
      </c>
      <c r="CK166" s="311">
        <f t="shared" si="77"/>
        <v>0</v>
      </c>
      <c r="CL166" s="10">
        <v>0</v>
      </c>
      <c r="CM166" s="255">
        <f t="shared" si="78"/>
        <v>0</v>
      </c>
      <c r="CN166" s="232">
        <f>IFERROR(VLOOKUP(CM166,'Rangos amb etnico'!$A$2:$C$6,3,9),"N.D.")</f>
        <v>0</v>
      </c>
      <c r="CO166" s="311">
        <f t="shared" si="79"/>
        <v>0</v>
      </c>
      <c r="CP166">
        <v>0.88959421591239796</v>
      </c>
      <c r="CQ166" t="s">
        <v>2864</v>
      </c>
      <c r="CR166">
        <f t="shared" si="70"/>
        <v>3</v>
      </c>
      <c r="CS166" t="str">
        <f t="shared" si="80"/>
        <v>Candidato</v>
      </c>
      <c r="CT166">
        <v>0</v>
      </c>
      <c r="CU166">
        <v>0</v>
      </c>
      <c r="CV166" s="25">
        <v>46.433601379394531</v>
      </c>
      <c r="CW166" s="25">
        <v>27.752462387084961</v>
      </c>
      <c r="CX166" s="25">
        <v>46.587127685546882</v>
      </c>
      <c r="CY166" s="25">
        <v>66.796432495117188</v>
      </c>
      <c r="CZ166" s="25">
        <v>44.594043731689453</v>
      </c>
      <c r="DA166" s="25">
        <v>42.238182067871087</v>
      </c>
      <c r="DB166" s="25">
        <v>50.633373260498047</v>
      </c>
      <c r="DC166">
        <v>169</v>
      </c>
      <c r="DD166" s="253" t="s">
        <v>380</v>
      </c>
    </row>
    <row r="167" spans="1:108" hidden="1">
      <c r="A167" s="13">
        <v>41551</v>
      </c>
      <c r="B167" s="13" t="s">
        <v>795</v>
      </c>
      <c r="C167" s="13" t="s">
        <v>676</v>
      </c>
      <c r="D167" s="13" t="s">
        <v>677</v>
      </c>
      <c r="E167" s="13" t="s">
        <v>796</v>
      </c>
      <c r="F167" s="14">
        <v>69.794899999999998</v>
      </c>
      <c r="G167" s="13">
        <v>70.099999999999994</v>
      </c>
      <c r="H167" s="13">
        <v>66.45</v>
      </c>
      <c r="I167" s="13">
        <v>63.99</v>
      </c>
      <c r="J167" s="14">
        <v>59.583313792015879</v>
      </c>
      <c r="K167" s="14">
        <v>59.030910461287732</v>
      </c>
      <c r="L167" s="14">
        <v>54.897960914006248</v>
      </c>
      <c r="M167" s="14">
        <v>55.216099999999997</v>
      </c>
      <c r="N167" s="14">
        <f t="shared" si="54"/>
        <v>67.583725000000001</v>
      </c>
      <c r="O167" s="14">
        <f t="shared" si="55"/>
        <v>57.182071291827455</v>
      </c>
      <c r="P167" s="14">
        <f t="shared" si="71"/>
        <v>62.382898145913728</v>
      </c>
      <c r="Q167" s="14">
        <v>43.612403146943585</v>
      </c>
      <c r="R167" s="17">
        <f t="shared" si="56"/>
        <v>56.387596853056415</v>
      </c>
      <c r="S167" s="14">
        <f t="shared" si="72"/>
        <v>0.60748837167750769</v>
      </c>
      <c r="T167" s="13">
        <v>0</v>
      </c>
      <c r="U167" s="13">
        <f t="shared" si="73"/>
        <v>37.896885215184945</v>
      </c>
      <c r="V167" s="13">
        <f>IF($T167=1,$AU167,(VLOOKUP(U167,'Cortes naturales'!$A$35:$C$39,3,9)))</f>
        <v>3</v>
      </c>
      <c r="W167" s="13">
        <v>3</v>
      </c>
      <c r="X167" s="14" t="b">
        <f t="shared" si="57"/>
        <v>1</v>
      </c>
      <c r="Y167" s="17">
        <f>IF($T167=1,$AU167,VLOOKUP(U167,'Cortes naturales'!$A$45:$C$49,3,9))</f>
        <v>2</v>
      </c>
      <c r="Z167" s="14">
        <v>62.604767372608194</v>
      </c>
      <c r="AA167" s="14">
        <v>0.61601795461040387</v>
      </c>
      <c r="AB167" s="14">
        <v>38.565660745734249</v>
      </c>
      <c r="AC167" s="13">
        <v>2</v>
      </c>
      <c r="AD167" s="13">
        <f t="shared" si="58"/>
        <v>0</v>
      </c>
      <c r="AE167" s="14">
        <f t="shared" si="59"/>
        <v>-0.22186922669446574</v>
      </c>
      <c r="AF167" s="14">
        <f t="shared" si="60"/>
        <v>-8.5295829328961847E-3</v>
      </c>
      <c r="AG167" s="13">
        <f t="shared" si="61"/>
        <v>-0.66877553054930416</v>
      </c>
      <c r="AH167" s="13">
        <f>IF($T167=1,$AU167,VLOOKUP(U167,'Cortes naturales'!$A$25:$C$29,3,9))</f>
        <v>2</v>
      </c>
      <c r="AI167" s="13" t="b">
        <f t="shared" si="62"/>
        <v>1</v>
      </c>
      <c r="AJ167" s="13">
        <f t="shared" si="63"/>
        <v>0</v>
      </c>
      <c r="AK167" s="28">
        <v>0.9741882058902549</v>
      </c>
      <c r="AL167" s="28">
        <v>60.988826006897945</v>
      </c>
      <c r="AM167" s="28">
        <v>0.5922799132220099</v>
      </c>
      <c r="AN167" s="13">
        <v>2</v>
      </c>
      <c r="AO167" s="33">
        <f t="shared" si="64"/>
        <v>0</v>
      </c>
      <c r="AP167" s="13">
        <f t="shared" si="74"/>
        <v>59.227991322200992</v>
      </c>
      <c r="AQ167" s="13">
        <f>IFERROR(VLOOKUP(U167,'Cortes naturales'!$E$15:$G$19,3,9),U167)</f>
        <v>3</v>
      </c>
      <c r="AR167" s="28">
        <f t="shared" si="65"/>
        <v>-0.36669983421274721</v>
      </c>
      <c r="AS167" s="13" t="b">
        <f t="shared" si="66"/>
        <v>0</v>
      </c>
      <c r="AT167" s="13">
        <f t="shared" si="75"/>
        <v>0</v>
      </c>
      <c r="AU167" s="13">
        <v>2</v>
      </c>
      <c r="AV167">
        <f t="shared" si="67"/>
        <v>0</v>
      </c>
      <c r="AW167" s="13">
        <v>0</v>
      </c>
      <c r="AX167" s="13">
        <v>1</v>
      </c>
      <c r="AY167" s="13">
        <v>0</v>
      </c>
      <c r="AZ167" s="13">
        <v>0</v>
      </c>
      <c r="BA167">
        <v>0</v>
      </c>
      <c r="BB167" t="s">
        <v>2839</v>
      </c>
      <c r="BC167">
        <v>3</v>
      </c>
      <c r="BD167" t="s">
        <v>2919</v>
      </c>
      <c r="BE167">
        <v>0</v>
      </c>
      <c r="BF167" s="232" t="s">
        <v>2845</v>
      </c>
      <c r="BG167" s="232" t="s">
        <v>2845</v>
      </c>
      <c r="BH167" s="253">
        <v>33.700000000000003</v>
      </c>
      <c r="BI167" s="253">
        <v>11.925271659201115</v>
      </c>
      <c r="BJ167" s="25">
        <v>0.66724137931034488</v>
      </c>
      <c r="BK167" t="s">
        <v>381</v>
      </c>
      <c r="BL167">
        <v>4.796693759505958</v>
      </c>
      <c r="BM167" t="s">
        <v>383</v>
      </c>
      <c r="BN167" s="322">
        <v>381985.60569699999</v>
      </c>
      <c r="BO167" s="322">
        <v>50060.651429999998</v>
      </c>
      <c r="BP167" s="10">
        <v>140776</v>
      </c>
      <c r="BQ167" s="254">
        <f t="shared" si="68"/>
        <v>2.7134284657683128</v>
      </c>
      <c r="BR167" s="254">
        <f t="shared" si="69"/>
        <v>0.35560501385179288</v>
      </c>
      <c r="BS167" s="25">
        <v>75.85132183701144</v>
      </c>
      <c r="BT167" s="25">
        <v>99.952299179545889</v>
      </c>
      <c r="BU167" s="25">
        <v>63.914999999999999</v>
      </c>
      <c r="BV167" s="25">
        <v>72.391037755933439</v>
      </c>
      <c r="BW167" s="25">
        <v>59.467120380275418</v>
      </c>
      <c r="BX167" s="25">
        <v>78.027414693122694</v>
      </c>
      <c r="BY167" s="25">
        <v>61.549750147021953</v>
      </c>
      <c r="BZ167">
        <v>54</v>
      </c>
      <c r="CA167">
        <v>1</v>
      </c>
      <c r="CB167">
        <v>5</v>
      </c>
      <c r="CC167">
        <v>63073.167135000003</v>
      </c>
      <c r="CD167" s="10">
        <v>34032.475818999999</v>
      </c>
      <c r="CE167" s="255">
        <v>0.53957137979384895</v>
      </c>
      <c r="CF167" t="str">
        <f>IFERROR(VLOOKUP(CE167,'Rangos amb etnico'!$A$2:$C$6,3,9),"N.D.")</f>
        <v>51% - 70%</v>
      </c>
      <c r="CG167" s="256">
        <v>9.9013301261540007E-4</v>
      </c>
      <c r="CH167" s="232">
        <v>389.64633099999998</v>
      </c>
      <c r="CI167" s="311">
        <f t="shared" si="76"/>
        <v>6.1776877347226294E-3</v>
      </c>
      <c r="CJ167" s="232" t="str">
        <f>IFERROR(VLOOKUP(CI167,'Rangos amb etnico'!$A$2:$C$6,3,9),"N.D.")</f>
        <v>0,1% - 30%</v>
      </c>
      <c r="CK167" s="311">
        <f t="shared" si="77"/>
        <v>1.547151043334646E-5</v>
      </c>
      <c r="CL167" s="10">
        <v>0</v>
      </c>
      <c r="CM167" s="255">
        <f t="shared" si="78"/>
        <v>0</v>
      </c>
      <c r="CN167" s="232">
        <f>IFERROR(VLOOKUP(CM167,'Rangos amb etnico'!$A$2:$C$6,3,9),"N.D.")</f>
        <v>0</v>
      </c>
      <c r="CO167" s="311">
        <f t="shared" si="79"/>
        <v>0</v>
      </c>
      <c r="CP167">
        <v>0.87452111979791336</v>
      </c>
      <c r="CQ167" t="s">
        <v>2864</v>
      </c>
      <c r="CR167">
        <f t="shared" si="70"/>
        <v>3</v>
      </c>
      <c r="CS167" t="str">
        <f t="shared" si="80"/>
        <v>Candidato</v>
      </c>
      <c r="CT167">
        <v>0</v>
      </c>
      <c r="CU167">
        <v>0</v>
      </c>
      <c r="CV167" s="25">
        <v>44.687492370605469</v>
      </c>
      <c r="CW167" s="25">
        <v>42.229953765869141</v>
      </c>
      <c r="CX167" s="25">
        <v>43.294223785400391</v>
      </c>
      <c r="CY167" s="25">
        <v>70.1448974609375</v>
      </c>
      <c r="CZ167" s="25">
        <v>53.68212890625</v>
      </c>
      <c r="DA167" s="25">
        <v>9.2488861083984375</v>
      </c>
      <c r="DB167" s="25">
        <v>49.524856567382813</v>
      </c>
      <c r="DC167">
        <v>3806</v>
      </c>
      <c r="DD167" s="253" t="s">
        <v>380</v>
      </c>
    </row>
    <row r="168" spans="1:108" hidden="1">
      <c r="A168" s="13">
        <v>54518</v>
      </c>
      <c r="B168" s="13" t="s">
        <v>797</v>
      </c>
      <c r="C168" s="13" t="s">
        <v>517</v>
      </c>
      <c r="D168" s="13" t="s">
        <v>518</v>
      </c>
      <c r="E168" s="13" t="s">
        <v>798</v>
      </c>
      <c r="F168" s="14">
        <v>73.629199999999997</v>
      </c>
      <c r="G168" s="13">
        <v>64.040000000000006</v>
      </c>
      <c r="H168" s="13">
        <v>79.099999999999994</v>
      </c>
      <c r="I168" s="13">
        <v>76.760000000000005</v>
      </c>
      <c r="J168" s="14">
        <v>42.67365193038242</v>
      </c>
      <c r="K168" s="14">
        <v>45.948251238953318</v>
      </c>
      <c r="L168" s="14">
        <v>54.917496770563559</v>
      </c>
      <c r="M168" s="14">
        <v>43.924999999999997</v>
      </c>
      <c r="N168" s="14">
        <f t="shared" si="54"/>
        <v>73.382300000000001</v>
      </c>
      <c r="O168" s="14">
        <f t="shared" si="55"/>
        <v>46.866099984974824</v>
      </c>
      <c r="P168" s="14">
        <f t="shared" si="71"/>
        <v>60.124199992487412</v>
      </c>
      <c r="Q168" s="14">
        <v>44.294623232431491</v>
      </c>
      <c r="R168" s="17">
        <f t="shared" si="56"/>
        <v>55.705376767568509</v>
      </c>
      <c r="S168" s="14">
        <f t="shared" si="72"/>
        <v>0.60134839090811654</v>
      </c>
      <c r="T168" s="13">
        <v>0</v>
      </c>
      <c r="U168" s="13">
        <f t="shared" si="73"/>
        <v>36.155590920120098</v>
      </c>
      <c r="V168" s="13">
        <f>IF($T168=1,$AU168,(VLOOKUP(U168,'Cortes naturales'!$A$35:$C$39,3,9)))</f>
        <v>3</v>
      </c>
      <c r="W168" s="13">
        <v>3</v>
      </c>
      <c r="X168" s="14" t="b">
        <f t="shared" si="57"/>
        <v>1</v>
      </c>
      <c r="Y168" s="17">
        <f>IF($T168=1,$AU168,VLOOKUP(U168,'Cortes naturales'!$A$45:$C$49,3,9))</f>
        <v>2</v>
      </c>
      <c r="Z168" s="14">
        <v>59.337771988368615</v>
      </c>
      <c r="AA168" s="14">
        <v>0.61760718763733913</v>
      </c>
      <c r="AB168" s="14">
        <v>36.647434478402019</v>
      </c>
      <c r="AC168" s="13">
        <v>2</v>
      </c>
      <c r="AD168" s="13">
        <f t="shared" si="58"/>
        <v>0</v>
      </c>
      <c r="AE168" s="14">
        <f t="shared" si="59"/>
        <v>0.78642800411879676</v>
      </c>
      <c r="AF168" s="14">
        <f t="shared" si="60"/>
        <v>-1.6258796729222591E-2</v>
      </c>
      <c r="AG168" s="13">
        <f t="shared" si="61"/>
        <v>-0.49184355828192139</v>
      </c>
      <c r="AH168" s="13">
        <f>IF($T168=1,$AU168,VLOOKUP(U168,'Cortes naturales'!$A$25:$C$29,3,9))</f>
        <v>2</v>
      </c>
      <c r="AI168" s="13" t="b">
        <f t="shared" si="62"/>
        <v>1</v>
      </c>
      <c r="AJ168" s="13">
        <f t="shared" si="63"/>
        <v>0</v>
      </c>
      <c r="AK168" s="28">
        <v>0.9741882058902549</v>
      </c>
      <c r="AL168" s="28">
        <v>57.806157634873841</v>
      </c>
      <c r="AM168" s="28">
        <v>0.55246808673667747</v>
      </c>
      <c r="AN168" s="13">
        <v>2</v>
      </c>
      <c r="AO168" s="33">
        <f t="shared" si="64"/>
        <v>0</v>
      </c>
      <c r="AP168" s="13">
        <f t="shared" si="74"/>
        <v>55.246808673667744</v>
      </c>
      <c r="AQ168" s="13">
        <f>IFERROR(VLOOKUP(U168,'Cortes naturales'!$E$15:$G$19,3,9),U168)</f>
        <v>3</v>
      </c>
      <c r="AR168" s="28">
        <f t="shared" si="65"/>
        <v>-0.37283981498213836</v>
      </c>
      <c r="AS168" s="13" t="b">
        <f t="shared" si="66"/>
        <v>0</v>
      </c>
      <c r="AT168" s="13">
        <f t="shared" si="75"/>
        <v>0</v>
      </c>
      <c r="AU168" s="13">
        <v>2</v>
      </c>
      <c r="AV168">
        <f t="shared" si="67"/>
        <v>0</v>
      </c>
      <c r="AW168" s="13">
        <v>0</v>
      </c>
      <c r="AX168" s="13">
        <v>1</v>
      </c>
      <c r="AY168" s="13">
        <v>0</v>
      </c>
      <c r="AZ168" s="13">
        <v>0</v>
      </c>
      <c r="BA168">
        <v>0</v>
      </c>
      <c r="BB168" t="s">
        <v>2838</v>
      </c>
      <c r="BC168">
        <v>6</v>
      </c>
      <c r="BD168" t="s">
        <v>2920</v>
      </c>
      <c r="BE168">
        <v>1</v>
      </c>
      <c r="BF168" s="232" t="s">
        <v>2846</v>
      </c>
      <c r="BG168" s="232" t="s">
        <v>2846</v>
      </c>
      <c r="BH168" s="253">
        <v>20.5</v>
      </c>
      <c r="BI168" s="253">
        <v>8.6865305211471942</v>
      </c>
      <c r="BJ168" s="25">
        <v>3.9228129503989879</v>
      </c>
      <c r="BK168" t="s">
        <v>381</v>
      </c>
      <c r="BL168">
        <v>0.32439691732103615</v>
      </c>
      <c r="BM168" t="s">
        <v>383</v>
      </c>
      <c r="BN168" s="322">
        <v>75154.174138999995</v>
      </c>
      <c r="BO168" s="322">
        <v>15925.845184</v>
      </c>
      <c r="BP168" s="10">
        <v>52427</v>
      </c>
      <c r="BQ168" s="254">
        <f t="shared" si="68"/>
        <v>1.433501328304118</v>
      </c>
      <c r="BR168" s="254">
        <f t="shared" si="69"/>
        <v>0.30377181955862437</v>
      </c>
      <c r="BS168" s="25">
        <v>67.623745869360164</v>
      </c>
      <c r="BT168" s="25">
        <v>92.432869441127664</v>
      </c>
      <c r="BU168" s="25">
        <v>65.353333333333339</v>
      </c>
      <c r="BV168" s="25">
        <v>93.573251407043244</v>
      </c>
      <c r="BW168" s="25">
        <v>63.787568273606617</v>
      </c>
      <c r="BX168" s="25">
        <v>79.745800012716103</v>
      </c>
      <c r="BY168" s="25">
        <v>66.227744283467146</v>
      </c>
      <c r="BZ168">
        <v>24</v>
      </c>
      <c r="CA168">
        <v>1</v>
      </c>
      <c r="CB168">
        <v>4</v>
      </c>
      <c r="CC168">
        <v>29765.003054000001</v>
      </c>
      <c r="CD168" s="10">
        <v>14189.220554</v>
      </c>
      <c r="CE168" s="255">
        <v>0.47670818404613491</v>
      </c>
      <c r="CF168" t="str">
        <f>IFERROR(VLOOKUP(CE168,'Rangos amb etnico'!$A$2:$C$6,3,9),"N.D.")</f>
        <v>31% - 50%</v>
      </c>
      <c r="CG168" s="256">
        <v>4.1281791452718331E-4</v>
      </c>
      <c r="CH168" s="232">
        <v>0</v>
      </c>
      <c r="CI168" s="311">
        <f t="shared" si="76"/>
        <v>0</v>
      </c>
      <c r="CJ168" s="232">
        <f>IFERROR(VLOOKUP(CI168,'Rangos amb etnico'!$A$2:$C$6,3,9),"N.D.")</f>
        <v>0</v>
      </c>
      <c r="CK168" s="311">
        <f t="shared" si="77"/>
        <v>0</v>
      </c>
      <c r="CL168" s="10">
        <v>0</v>
      </c>
      <c r="CM168" s="255">
        <f t="shared" si="78"/>
        <v>0</v>
      </c>
      <c r="CN168" s="232">
        <f>IFERROR(VLOOKUP(CM168,'Rangos amb etnico'!$A$2:$C$6,3,9),"N.D.")</f>
        <v>0</v>
      </c>
      <c r="CO168" s="311">
        <f t="shared" si="79"/>
        <v>0</v>
      </c>
      <c r="CP168">
        <v>0.96185097568064781</v>
      </c>
      <c r="CQ168" t="s">
        <v>2864</v>
      </c>
      <c r="CR168">
        <f t="shared" si="70"/>
        <v>3</v>
      </c>
      <c r="CS168" t="str">
        <f t="shared" si="80"/>
        <v>Candidato</v>
      </c>
      <c r="CT168">
        <v>1</v>
      </c>
      <c r="CU168" t="s">
        <v>2835</v>
      </c>
      <c r="CV168" s="25">
        <v>57.769855499267578</v>
      </c>
      <c r="CW168" s="25">
        <v>42.115566253662109</v>
      </c>
      <c r="CX168" s="25">
        <v>41.083858489990227</v>
      </c>
      <c r="CY168" s="25">
        <v>72.783157348632813</v>
      </c>
      <c r="CZ168" s="25">
        <v>90.170402526855469</v>
      </c>
      <c r="DA168" s="25">
        <v>47.617027282714837</v>
      </c>
      <c r="DB168" s="25">
        <v>52.849124908447273</v>
      </c>
      <c r="DC168">
        <v>692</v>
      </c>
      <c r="DD168" s="253" t="s">
        <v>380</v>
      </c>
    </row>
    <row r="169" spans="1:108" hidden="1">
      <c r="A169" s="13">
        <v>8372</v>
      </c>
      <c r="B169" s="13" t="s">
        <v>799</v>
      </c>
      <c r="C169" s="13" t="s">
        <v>442</v>
      </c>
      <c r="D169" s="13" t="s">
        <v>443</v>
      </c>
      <c r="E169" s="13" t="s">
        <v>800</v>
      </c>
      <c r="F169" s="14">
        <v>42.2961666666667</v>
      </c>
      <c r="G169" s="13">
        <v>65.75</v>
      </c>
      <c r="H169" s="13">
        <v>55.32</v>
      </c>
      <c r="I169" s="13">
        <v>64.42</v>
      </c>
      <c r="J169" s="14">
        <v>48.312917430334309</v>
      </c>
      <c r="K169" s="14">
        <v>50.080389120855969</v>
      </c>
      <c r="L169" s="14">
        <v>53.345812302839889</v>
      </c>
      <c r="M169" s="14">
        <v>63.783700000000003</v>
      </c>
      <c r="N169" s="14">
        <f t="shared" si="54"/>
        <v>56.946541666666675</v>
      </c>
      <c r="O169" s="14">
        <f t="shared" si="55"/>
        <v>53.880704713507541</v>
      </c>
      <c r="P169" s="14">
        <f t="shared" si="71"/>
        <v>55.413623190087108</v>
      </c>
      <c r="Q169" s="14">
        <v>44.053055425561517</v>
      </c>
      <c r="R169" s="17">
        <f t="shared" si="56"/>
        <v>55.946944574438483</v>
      </c>
      <c r="S169" s="14">
        <f t="shared" si="72"/>
        <v>0.60352250116994632</v>
      </c>
      <c r="T169" s="13">
        <v>0</v>
      </c>
      <c r="U169" s="13">
        <f t="shared" si="73"/>
        <v>33.443368466570313</v>
      </c>
      <c r="V169" s="13">
        <f>IF($T169=1,$AU169,(VLOOKUP(U169,'Cortes naturales'!$A$35:$C$39,3,9)))</f>
        <v>3</v>
      </c>
      <c r="W169" s="13">
        <v>3</v>
      </c>
      <c r="X169" s="14" t="b">
        <f t="shared" si="57"/>
        <v>1</v>
      </c>
      <c r="Y169" s="17">
        <f>IF($T169=1,$AU169,VLOOKUP(U169,'Cortes naturales'!$A$45:$C$49,3,9))</f>
        <v>3</v>
      </c>
      <c r="Z169" s="14">
        <v>51.916187964396357</v>
      </c>
      <c r="AA169" s="14">
        <v>0.61507212226826036</v>
      </c>
      <c r="AB169" s="14">
        <v>31.932199911339183</v>
      </c>
      <c r="AC169" s="13">
        <v>3</v>
      </c>
      <c r="AD169" s="13">
        <f t="shared" si="58"/>
        <v>0</v>
      </c>
      <c r="AE169" s="14">
        <f t="shared" si="59"/>
        <v>3.4974352256907508</v>
      </c>
      <c r="AF169" s="14">
        <f t="shared" si="60"/>
        <v>-1.1549621098314033E-2</v>
      </c>
      <c r="AG169" s="13">
        <f t="shared" si="61"/>
        <v>1.51116855523113</v>
      </c>
      <c r="AH169" s="13">
        <f>IF($T169=1,$AU169,VLOOKUP(U169,'Cortes naturales'!$A$25:$C$29,3,9))</f>
        <v>3</v>
      </c>
      <c r="AI169" s="13" t="b">
        <f t="shared" si="62"/>
        <v>1</v>
      </c>
      <c r="AJ169" s="13">
        <f t="shared" si="63"/>
        <v>0</v>
      </c>
      <c r="AK169" s="28">
        <v>0.9741882058902549</v>
      </c>
      <c r="AL169" s="28">
        <v>50.576138009696535</v>
      </c>
      <c r="AM169" s="28">
        <v>0.46202816238475758</v>
      </c>
      <c r="AN169" s="13">
        <v>3</v>
      </c>
      <c r="AO169" s="33">
        <f t="shared" si="64"/>
        <v>0</v>
      </c>
      <c r="AP169" s="13">
        <f t="shared" si="74"/>
        <v>46.202816238475755</v>
      </c>
      <c r="AQ169" s="13">
        <f>IFERROR(VLOOKUP(U169,'Cortes naturales'!$E$15:$G$19,3,9),U169)</f>
        <v>4</v>
      </c>
      <c r="AR169" s="28">
        <f t="shared" si="65"/>
        <v>-0.37066570472030858</v>
      </c>
      <c r="AS169" s="13" t="b">
        <f t="shared" si="66"/>
        <v>0</v>
      </c>
      <c r="AT169" s="13">
        <f t="shared" si="75"/>
        <v>0</v>
      </c>
      <c r="AU169" s="13">
        <v>3</v>
      </c>
      <c r="AV169">
        <f t="shared" si="67"/>
        <v>0</v>
      </c>
      <c r="AW169" s="13">
        <v>0</v>
      </c>
      <c r="AX169" s="13">
        <v>0</v>
      </c>
      <c r="AY169" s="13">
        <v>0</v>
      </c>
      <c r="AZ169" s="13">
        <v>0</v>
      </c>
      <c r="BA169">
        <v>0</v>
      </c>
      <c r="BB169" t="s">
        <v>2839</v>
      </c>
      <c r="BC169">
        <v>6</v>
      </c>
      <c r="BD169" t="s">
        <v>2919</v>
      </c>
      <c r="BE169">
        <v>1</v>
      </c>
      <c r="BF169" s="232" t="s">
        <v>2846</v>
      </c>
      <c r="BG169" s="232" t="s">
        <v>2846</v>
      </c>
      <c r="BH169" s="253">
        <v>36.700000000000003</v>
      </c>
      <c r="BI169" s="253">
        <v>17.845761631612493</v>
      </c>
      <c r="BJ169" s="25">
        <v>0</v>
      </c>
      <c r="BK169" t="s">
        <v>381</v>
      </c>
      <c r="BL169">
        <v>0.84727089659397126</v>
      </c>
      <c r="BM169" t="s">
        <v>383</v>
      </c>
      <c r="BN169" s="322">
        <v>43160.385289999998</v>
      </c>
      <c r="BO169" s="322">
        <v>7093.8958679999996</v>
      </c>
      <c r="BP169" s="10">
        <v>23939</v>
      </c>
      <c r="BQ169" s="254">
        <f t="shared" si="68"/>
        <v>1.8029318388403859</v>
      </c>
      <c r="BR169" s="254">
        <f t="shared" si="69"/>
        <v>0.2963321721040979</v>
      </c>
      <c r="BS169" s="25">
        <v>63.452762340337188</v>
      </c>
      <c r="BT169" s="25">
        <v>91.076430614060726</v>
      </c>
      <c r="BU169" s="25">
        <v>50.742765205767199</v>
      </c>
      <c r="BV169" s="25">
        <v>92.984478775686156</v>
      </c>
      <c r="BW169" s="25">
        <v>35.259138875726379</v>
      </c>
      <c r="BX169" s="25">
        <v>74.56410923396281</v>
      </c>
      <c r="BY169" s="25">
        <v>35.922190103406301</v>
      </c>
      <c r="BZ169">
        <v>5</v>
      </c>
      <c r="CA169">
        <v>0</v>
      </c>
      <c r="CB169">
        <v>7</v>
      </c>
      <c r="CC169">
        <v>16789.209579999999</v>
      </c>
      <c r="CD169" s="10">
        <v>1463.941726</v>
      </c>
      <c r="CE169" s="255">
        <v>8.7195392911403519E-2</v>
      </c>
      <c r="CF169" t="str">
        <f>IFERROR(VLOOKUP(CE169,'Rangos amb etnico'!$A$2:$C$6,3,9),"N.D.")</f>
        <v>0,1% - 30%</v>
      </c>
      <c r="CG169" s="256">
        <v>4.259158337955913E-5</v>
      </c>
      <c r="CH169" s="232">
        <v>0</v>
      </c>
      <c r="CI169" s="311">
        <f t="shared" si="76"/>
        <v>0</v>
      </c>
      <c r="CJ169" s="232">
        <f>IFERROR(VLOOKUP(CI169,'Rangos amb etnico'!$A$2:$C$6,3,9),"N.D.")</f>
        <v>0</v>
      </c>
      <c r="CK169" s="311">
        <f t="shared" si="77"/>
        <v>0</v>
      </c>
      <c r="CL169" s="10">
        <v>0</v>
      </c>
      <c r="CM169" s="255">
        <f t="shared" si="78"/>
        <v>0</v>
      </c>
      <c r="CN169" s="232">
        <f>IFERROR(VLOOKUP(CM169,'Rangos amb etnico'!$A$2:$C$6,3,9),"N.D.")</f>
        <v>0</v>
      </c>
      <c r="CO169" s="311">
        <f t="shared" si="79"/>
        <v>0</v>
      </c>
      <c r="CP169">
        <v>0.88891556883712397</v>
      </c>
      <c r="CQ169" t="s">
        <v>2864</v>
      </c>
      <c r="CR169">
        <f t="shared" si="70"/>
        <v>3</v>
      </c>
      <c r="CS169" t="str">
        <f t="shared" si="80"/>
        <v>Candidato</v>
      </c>
      <c r="CT169">
        <v>0</v>
      </c>
      <c r="CU169">
        <v>0</v>
      </c>
      <c r="CV169" s="25">
        <v>54.227104187011719</v>
      </c>
      <c r="CW169" s="25">
        <v>34.001792907714837</v>
      </c>
      <c r="CX169" s="25">
        <v>61.466094970703118</v>
      </c>
      <c r="CY169" s="25">
        <v>71.01092529296875</v>
      </c>
      <c r="CZ169" s="25">
        <v>53.058403015136719</v>
      </c>
      <c r="DA169" s="25">
        <v>58.377998352050781</v>
      </c>
      <c r="DB169" s="25">
        <v>47.447414398193359</v>
      </c>
      <c r="DC169">
        <v>4138</v>
      </c>
      <c r="DD169" s="253" t="s">
        <v>380</v>
      </c>
    </row>
    <row r="170" spans="1:108" hidden="1">
      <c r="A170" s="13">
        <v>50313</v>
      </c>
      <c r="B170" s="13" t="s">
        <v>801</v>
      </c>
      <c r="C170" s="13" t="s">
        <v>605</v>
      </c>
      <c r="D170" s="13" t="s">
        <v>606</v>
      </c>
      <c r="E170" s="13" t="s">
        <v>802</v>
      </c>
      <c r="F170" s="14">
        <v>73.116366666666707</v>
      </c>
      <c r="G170" s="13">
        <v>76.72</v>
      </c>
      <c r="H170" s="13">
        <v>59.38</v>
      </c>
      <c r="I170" s="13">
        <v>85.87</v>
      </c>
      <c r="J170" s="14">
        <v>67.924420648000307</v>
      </c>
      <c r="K170" s="14">
        <v>55.113414642475327</v>
      </c>
      <c r="L170" s="14">
        <v>56.947385547582172</v>
      </c>
      <c r="M170" s="14">
        <v>55.852600000000002</v>
      </c>
      <c r="N170" s="14">
        <f t="shared" si="54"/>
        <v>73.77159166666668</v>
      </c>
      <c r="O170" s="14">
        <f t="shared" si="55"/>
        <v>58.959455209514452</v>
      </c>
      <c r="P170" s="14">
        <f t="shared" si="71"/>
        <v>66.365523438090563</v>
      </c>
      <c r="Q170" s="14">
        <v>45.048538385650595</v>
      </c>
      <c r="R170" s="17">
        <f t="shared" si="56"/>
        <v>54.951461614349405</v>
      </c>
      <c r="S170" s="14">
        <f t="shared" si="72"/>
        <v>0.59456315452914466</v>
      </c>
      <c r="T170" s="13">
        <v>0</v>
      </c>
      <c r="U170" s="13">
        <f t="shared" si="73"/>
        <v>39.45849496732901</v>
      </c>
      <c r="V170" s="13">
        <f>IF($T170=1,$AU170,(VLOOKUP(U170,'Cortes naturales'!$A$35:$C$39,3,9)))</f>
        <v>2</v>
      </c>
      <c r="W170" s="13">
        <v>2</v>
      </c>
      <c r="X170" s="14" t="b">
        <f t="shared" si="57"/>
        <v>1</v>
      </c>
      <c r="Y170" s="17">
        <f>IF($T170=1,$AU170,VLOOKUP(U170,'Cortes naturales'!$A$45:$C$49,3,9))</f>
        <v>2</v>
      </c>
      <c r="Z170" s="14">
        <v>65.766902178910996</v>
      </c>
      <c r="AA170" s="14">
        <v>0.61350364702164895</v>
      </c>
      <c r="AB170" s="14">
        <v>40.34823434007793</v>
      </c>
      <c r="AC170" s="13">
        <v>2</v>
      </c>
      <c r="AD170" s="13">
        <f t="shared" si="58"/>
        <v>0</v>
      </c>
      <c r="AE170" s="14">
        <f t="shared" si="59"/>
        <v>0.59862125917956632</v>
      </c>
      <c r="AF170" s="14">
        <f t="shared" si="60"/>
        <v>-1.8940492492504291E-2</v>
      </c>
      <c r="AG170" s="13">
        <f t="shared" si="61"/>
        <v>-0.88973937274892023</v>
      </c>
      <c r="AH170" s="13">
        <f>IF($T170=1,$AU170,VLOOKUP(U170,'Cortes naturales'!$A$25:$C$29,3,9))</f>
        <v>2</v>
      </c>
      <c r="AI170" s="13" t="b">
        <f t="shared" si="62"/>
        <v>1</v>
      </c>
      <c r="AJ170" s="13">
        <f t="shared" si="63"/>
        <v>0</v>
      </c>
      <c r="AK170" s="28">
        <v>0.9741882058902549</v>
      </c>
      <c r="AL170" s="28">
        <v>64.069340440633198</v>
      </c>
      <c r="AM170" s="28">
        <v>0.63081390161974971</v>
      </c>
      <c r="AN170" s="13">
        <v>2</v>
      </c>
      <c r="AO170" s="33">
        <f t="shared" si="64"/>
        <v>0</v>
      </c>
      <c r="AP170" s="13">
        <f t="shared" si="74"/>
        <v>63.081390161974973</v>
      </c>
      <c r="AQ170" s="13">
        <f>IFERROR(VLOOKUP(U170,'Cortes naturales'!$E$15:$G$19,3,9),U170)</f>
        <v>3</v>
      </c>
      <c r="AR170" s="28">
        <f t="shared" si="65"/>
        <v>-0.37962505136111024</v>
      </c>
      <c r="AS170" s="13" t="b">
        <f t="shared" si="66"/>
        <v>0</v>
      </c>
      <c r="AT170" s="13">
        <f t="shared" si="75"/>
        <v>0</v>
      </c>
      <c r="AU170" s="13">
        <v>1</v>
      </c>
      <c r="AV170">
        <f t="shared" si="67"/>
        <v>-1</v>
      </c>
      <c r="AW170" s="13">
        <v>0</v>
      </c>
      <c r="AX170" s="13">
        <v>0</v>
      </c>
      <c r="AY170" s="13">
        <v>0</v>
      </c>
      <c r="AZ170" s="13">
        <v>0</v>
      </c>
      <c r="BA170">
        <v>1</v>
      </c>
      <c r="BB170" t="s">
        <v>2839</v>
      </c>
      <c r="BC170">
        <v>5</v>
      </c>
      <c r="BD170" t="s">
        <v>2919</v>
      </c>
      <c r="BE170">
        <v>1</v>
      </c>
      <c r="BF170" s="232" t="s">
        <v>2846</v>
      </c>
      <c r="BG170" s="232" t="s">
        <v>2845</v>
      </c>
      <c r="BH170" s="253">
        <v>29.6</v>
      </c>
      <c r="BI170" s="253">
        <v>11.168092058975281</v>
      </c>
      <c r="BJ170" s="25">
        <v>39.755937500000002</v>
      </c>
      <c r="BK170" t="s">
        <v>376</v>
      </c>
      <c r="BL170">
        <v>9.900086232848011</v>
      </c>
      <c r="BM170" t="s">
        <v>379</v>
      </c>
      <c r="BN170" s="322">
        <v>152502.32874699999</v>
      </c>
      <c r="BO170" s="322">
        <v>33774.461045999997</v>
      </c>
      <c r="BP170" s="10">
        <v>73899</v>
      </c>
      <c r="BQ170" s="254">
        <f t="shared" si="68"/>
        <v>2.0636588958849238</v>
      </c>
      <c r="BR170" s="254">
        <f t="shared" si="69"/>
        <v>0.45703542735355007</v>
      </c>
      <c r="BS170" s="25">
        <v>72.50203365670238</v>
      </c>
      <c r="BT170" s="25">
        <v>97.715555114573775</v>
      </c>
      <c r="BU170" s="25">
        <v>47.733009655922743</v>
      </c>
      <c r="BV170" s="25">
        <v>85.022567967193382</v>
      </c>
      <c r="BW170" s="25">
        <v>58.349738878460762</v>
      </c>
      <c r="BX170" s="25">
        <v>75.743291598598063</v>
      </c>
      <c r="BY170" s="25">
        <v>59.41921891736424</v>
      </c>
      <c r="BZ170">
        <v>63</v>
      </c>
      <c r="CA170">
        <v>1</v>
      </c>
      <c r="CB170">
        <v>7</v>
      </c>
      <c r="CC170">
        <v>34781.989496000002</v>
      </c>
      <c r="CD170" s="10">
        <v>383.60117600000001</v>
      </c>
      <c r="CE170" s="255">
        <v>1.1028730143343725E-2</v>
      </c>
      <c r="CF170" t="str">
        <f>IFERROR(VLOOKUP(CE170,'Rangos amb etnico'!$A$2:$C$6,3,9),"N.D.")</f>
        <v>0,1% - 30%</v>
      </c>
      <c r="CG170" s="256">
        <v>1.1160404257854276E-5</v>
      </c>
      <c r="CH170" s="232">
        <v>0</v>
      </c>
      <c r="CI170" s="311">
        <f t="shared" si="76"/>
        <v>0</v>
      </c>
      <c r="CJ170" s="232">
        <f>IFERROR(VLOOKUP(CI170,'Rangos amb etnico'!$A$2:$C$6,3,9),"N.D.")</f>
        <v>0</v>
      </c>
      <c r="CK170" s="311">
        <f t="shared" si="77"/>
        <v>0</v>
      </c>
      <c r="CL170" s="10">
        <v>0</v>
      </c>
      <c r="CM170" s="255">
        <f t="shared" si="78"/>
        <v>0</v>
      </c>
      <c r="CN170" s="232">
        <f>IFERROR(VLOOKUP(CM170,'Rangos amb etnico'!$A$2:$C$6,3,9),"N.D.")</f>
        <v>0</v>
      </c>
      <c r="CO170" s="311">
        <f t="shared" si="79"/>
        <v>0</v>
      </c>
      <c r="CP170">
        <v>0.91043618191655939</v>
      </c>
      <c r="CQ170" t="s">
        <v>2864</v>
      </c>
      <c r="CR170">
        <f t="shared" si="70"/>
        <v>2</v>
      </c>
      <c r="CS170" t="str">
        <f t="shared" si="80"/>
        <v>No es Candidato</v>
      </c>
      <c r="CT170">
        <v>0</v>
      </c>
      <c r="CU170">
        <v>0</v>
      </c>
      <c r="CV170" s="25">
        <v>39.854034423828118</v>
      </c>
      <c r="CW170" s="25">
        <v>39.334224700927727</v>
      </c>
      <c r="CX170" s="25">
        <v>60.78228759765625</v>
      </c>
      <c r="CY170" s="25">
        <v>61.755386352539063</v>
      </c>
      <c r="CZ170" s="25">
        <v>15.5573616027832</v>
      </c>
      <c r="DA170" s="25">
        <v>10.04964447021484</v>
      </c>
      <c r="DB170" s="25">
        <v>51.645290374755859</v>
      </c>
      <c r="DC170">
        <v>1018</v>
      </c>
      <c r="DD170" s="253" t="s">
        <v>380</v>
      </c>
    </row>
    <row r="171" spans="1:108" hidden="1">
      <c r="A171" s="13">
        <v>25019</v>
      </c>
      <c r="B171" s="13" t="s">
        <v>803</v>
      </c>
      <c r="C171" s="13" t="s">
        <v>461</v>
      </c>
      <c r="D171" s="13" t="s">
        <v>462</v>
      </c>
      <c r="E171" s="13" t="s">
        <v>759</v>
      </c>
      <c r="F171" s="14">
        <v>61.272066666666703</v>
      </c>
      <c r="G171" s="13">
        <v>88.09</v>
      </c>
      <c r="H171" s="13">
        <v>44.65</v>
      </c>
      <c r="I171" s="13">
        <v>61.59</v>
      </c>
      <c r="J171" s="14">
        <v>59.202681551809107</v>
      </c>
      <c r="K171" s="14">
        <v>69.658619267999839</v>
      </c>
      <c r="L171" s="14">
        <v>75.347457460788277</v>
      </c>
      <c r="M171" s="14">
        <v>54.227899999999998</v>
      </c>
      <c r="N171" s="14">
        <f t="shared" si="54"/>
        <v>63.900516666666675</v>
      </c>
      <c r="O171" s="14">
        <f t="shared" si="55"/>
        <v>64.609164570149304</v>
      </c>
      <c r="P171" s="14">
        <f t="shared" si="71"/>
        <v>64.254840618407997</v>
      </c>
      <c r="Q171" s="14">
        <v>45.070833457277629</v>
      </c>
      <c r="R171" s="17">
        <f t="shared" si="56"/>
        <v>54.929166542722371</v>
      </c>
      <c r="S171" s="14">
        <f t="shared" si="72"/>
        <v>0.59436249888450143</v>
      </c>
      <c r="T171" s="13">
        <v>0</v>
      </c>
      <c r="U171" s="13">
        <f t="shared" si="73"/>
        <v>38.19066763538234</v>
      </c>
      <c r="V171" s="13">
        <f>IF($T171=1,$AU171,(VLOOKUP(U171,'Cortes naturales'!$A$35:$C$39,3,9)))</f>
        <v>3</v>
      </c>
      <c r="W171" s="13">
        <v>3</v>
      </c>
      <c r="X171" s="14" t="b">
        <f t="shared" si="57"/>
        <v>1</v>
      </c>
      <c r="Y171" s="17">
        <f>IF($T171=1,$AU171,VLOOKUP(U171,'Cortes naturales'!$A$45:$C$49,3,9))</f>
        <v>2</v>
      </c>
      <c r="Z171" s="14">
        <v>63.761837659192537</v>
      </c>
      <c r="AA171" s="14">
        <v>0.61178518812061522</v>
      </c>
      <c r="AB171" s="14">
        <v>39.008547847245232</v>
      </c>
      <c r="AC171" s="13">
        <v>2</v>
      </c>
      <c r="AD171" s="13">
        <f t="shared" si="58"/>
        <v>0</v>
      </c>
      <c r="AE171" s="14">
        <f t="shared" si="59"/>
        <v>0.49300295921545967</v>
      </c>
      <c r="AF171" s="14">
        <f t="shared" si="60"/>
        <v>-1.7422689236113786E-2</v>
      </c>
      <c r="AG171" s="13">
        <f t="shared" si="61"/>
        <v>-0.81788021186289228</v>
      </c>
      <c r="AH171" s="13">
        <f>IF($T171=1,$AU171,VLOOKUP(U171,'Cortes naturales'!$A$25:$C$29,3,9))</f>
        <v>2</v>
      </c>
      <c r="AI171" s="13" t="b">
        <f t="shared" si="62"/>
        <v>1</v>
      </c>
      <c r="AJ171" s="13">
        <f t="shared" si="63"/>
        <v>0</v>
      </c>
      <c r="AK171" s="28">
        <v>0.9741882058902549</v>
      </c>
      <c r="AL171" s="28">
        <v>62.116030233474469</v>
      </c>
      <c r="AM171" s="28">
        <v>0.60638004991123018</v>
      </c>
      <c r="AN171" s="13">
        <v>2</v>
      </c>
      <c r="AO171" s="33">
        <f t="shared" si="64"/>
        <v>0</v>
      </c>
      <c r="AP171" s="13">
        <f t="shared" si="74"/>
        <v>60.638004991123019</v>
      </c>
      <c r="AQ171" s="13">
        <f>IFERROR(VLOOKUP(U171,'Cortes naturales'!$E$15:$G$19,3,9),U171)</f>
        <v>3</v>
      </c>
      <c r="AR171" s="28">
        <f t="shared" si="65"/>
        <v>-0.37982570700575347</v>
      </c>
      <c r="AS171" s="13" t="b">
        <f t="shared" si="66"/>
        <v>0</v>
      </c>
      <c r="AT171" s="13">
        <f t="shared" si="75"/>
        <v>0</v>
      </c>
      <c r="AU171" s="13">
        <v>2</v>
      </c>
      <c r="AV171">
        <f t="shared" si="67"/>
        <v>0</v>
      </c>
      <c r="AW171" s="13">
        <v>0</v>
      </c>
      <c r="AX171" s="13">
        <v>0</v>
      </c>
      <c r="AY171" s="13">
        <v>0</v>
      </c>
      <c r="AZ171" s="13">
        <v>0</v>
      </c>
      <c r="BA171">
        <v>0</v>
      </c>
      <c r="BB171" t="s">
        <v>2839</v>
      </c>
      <c r="BC171">
        <v>6</v>
      </c>
      <c r="BD171" t="s">
        <v>2919</v>
      </c>
      <c r="BE171">
        <v>0</v>
      </c>
      <c r="BF171" s="232" t="s">
        <v>2846</v>
      </c>
      <c r="BG171" s="232" t="s">
        <v>2846</v>
      </c>
      <c r="BH171" s="253">
        <v>25.8</v>
      </c>
      <c r="BI171" s="253">
        <v>9.9493243243243246</v>
      </c>
      <c r="BJ171" s="25">
        <v>10.975286922977499</v>
      </c>
      <c r="BK171" t="s">
        <v>377</v>
      </c>
      <c r="BL171">
        <v>4.927862129889387E-2</v>
      </c>
      <c r="BM171" t="s">
        <v>377</v>
      </c>
      <c r="BN171" s="322">
        <v>16118.600377999999</v>
      </c>
      <c r="BO171" s="322">
        <v>2762.0579950000001</v>
      </c>
      <c r="BP171" s="10">
        <v>6911</v>
      </c>
      <c r="BQ171" s="254">
        <f t="shared" si="68"/>
        <v>2.3323108635508607</v>
      </c>
      <c r="BR171" s="254">
        <f t="shared" si="69"/>
        <v>0.39966111923021275</v>
      </c>
      <c r="BS171" s="25">
        <v>52.108300181022138</v>
      </c>
      <c r="BT171" s="25">
        <v>76.147368415087058</v>
      </c>
      <c r="BU171" s="25">
        <v>46.836823899371069</v>
      </c>
      <c r="BV171" s="25">
        <v>91.461898974469662</v>
      </c>
      <c r="BW171" s="25">
        <v>62.832159510416673</v>
      </c>
      <c r="BX171" s="25">
        <v>66.638597867487491</v>
      </c>
      <c r="BY171" s="25">
        <v>65.489428663937787</v>
      </c>
      <c r="BZ171">
        <v>59</v>
      </c>
      <c r="CA171">
        <v>0</v>
      </c>
      <c r="CB171">
        <v>7</v>
      </c>
      <c r="CC171">
        <v>5075.0985149999997</v>
      </c>
      <c r="CD171" s="10">
        <v>3247.3863339999998</v>
      </c>
      <c r="CE171" s="255">
        <v>0.63986665961301048</v>
      </c>
      <c r="CF171" t="str">
        <f>IFERROR(VLOOKUP(CE171,'Rangos amb etnico'!$A$2:$C$6,3,9),"N.D.")</f>
        <v>51% - 70%</v>
      </c>
      <c r="CG171" s="256">
        <v>9.4478710015402523E-5</v>
      </c>
      <c r="CH171" s="232">
        <v>0</v>
      </c>
      <c r="CI171" s="311">
        <f t="shared" si="76"/>
        <v>0</v>
      </c>
      <c r="CJ171" s="232">
        <f>IFERROR(VLOOKUP(CI171,'Rangos amb etnico'!$A$2:$C$6,3,9),"N.D.")</f>
        <v>0</v>
      </c>
      <c r="CK171" s="311">
        <f t="shared" si="77"/>
        <v>0</v>
      </c>
      <c r="CL171" s="10">
        <v>0</v>
      </c>
      <c r="CM171" s="255">
        <f t="shared" si="78"/>
        <v>0</v>
      </c>
      <c r="CN171" s="232">
        <f>IFERROR(VLOOKUP(CM171,'Rangos amb etnico'!$A$2:$C$6,3,9),"N.D.")</f>
        <v>0</v>
      </c>
      <c r="CO171" s="311">
        <f t="shared" si="79"/>
        <v>0</v>
      </c>
      <c r="CP171">
        <v>0.95700554720694286</v>
      </c>
      <c r="CQ171" t="s">
        <v>2864</v>
      </c>
      <c r="CR171">
        <f t="shared" si="70"/>
        <v>3</v>
      </c>
      <c r="CS171" t="str">
        <f t="shared" si="80"/>
        <v>Candidato</v>
      </c>
      <c r="CT171">
        <v>0</v>
      </c>
      <c r="CU171">
        <v>0</v>
      </c>
      <c r="CV171" s="25">
        <v>49.623519897460938</v>
      </c>
      <c r="CW171" s="25">
        <v>40.047679901123047</v>
      </c>
      <c r="CX171" s="25">
        <v>45.893264770507813</v>
      </c>
      <c r="CY171" s="25">
        <v>65.323204040527344</v>
      </c>
      <c r="CZ171" s="25">
        <v>61.169715881347663</v>
      </c>
      <c r="DA171" s="25">
        <v>37.5</v>
      </c>
      <c r="DB171" s="25">
        <v>47.807262420654297</v>
      </c>
      <c r="DC171">
        <v>33</v>
      </c>
      <c r="DD171" s="253" t="s">
        <v>380</v>
      </c>
    </row>
    <row r="172" spans="1:108" hidden="1">
      <c r="A172" s="13">
        <v>25486</v>
      </c>
      <c r="B172" s="13" t="s">
        <v>804</v>
      </c>
      <c r="C172" s="13" t="s">
        <v>461</v>
      </c>
      <c r="D172" s="13" t="s">
        <v>462</v>
      </c>
      <c r="E172" s="13" t="s">
        <v>805</v>
      </c>
      <c r="F172" s="14">
        <v>68.3048</v>
      </c>
      <c r="G172" s="13">
        <v>91.23</v>
      </c>
      <c r="H172" s="13">
        <v>44.21</v>
      </c>
      <c r="I172" s="13">
        <v>64.97</v>
      </c>
      <c r="J172" s="14">
        <v>54.70370090748871</v>
      </c>
      <c r="K172" s="14">
        <v>53.452103303370514</v>
      </c>
      <c r="L172" s="14">
        <v>59.492878802808875</v>
      </c>
      <c r="M172" s="14">
        <v>52.83</v>
      </c>
      <c r="N172" s="14">
        <f t="shared" si="54"/>
        <v>67.178700000000006</v>
      </c>
      <c r="O172" s="14">
        <f t="shared" si="55"/>
        <v>55.119670753417026</v>
      </c>
      <c r="P172" s="14">
        <f t="shared" si="71"/>
        <v>61.149185376708516</v>
      </c>
      <c r="Q172" s="14">
        <v>45.09300607324861</v>
      </c>
      <c r="R172" s="17">
        <f t="shared" si="56"/>
        <v>54.90699392675139</v>
      </c>
      <c r="S172" s="14">
        <f t="shared" si="72"/>
        <v>0.59416294534076253</v>
      </c>
      <c r="T172" s="13">
        <v>0</v>
      </c>
      <c r="U172" s="13">
        <f t="shared" si="73"/>
        <v>36.332580088613419</v>
      </c>
      <c r="V172" s="13">
        <f>IF($T172=1,$AU172,(VLOOKUP(U172,'Cortes naturales'!$A$35:$C$39,3,9)))</f>
        <v>3</v>
      </c>
      <c r="W172" s="13">
        <v>3</v>
      </c>
      <c r="X172" s="14" t="b">
        <f t="shared" si="57"/>
        <v>1</v>
      </c>
      <c r="Y172" s="17">
        <f>IF($T172=1,$AU172,VLOOKUP(U172,'Cortes naturales'!$A$45:$C$49,3,9))</f>
        <v>2</v>
      </c>
      <c r="Z172" s="14">
        <v>61.073472516060981</v>
      </c>
      <c r="AA172" s="14">
        <v>0.6115274823795791</v>
      </c>
      <c r="AB172" s="14">
        <v>37.348106887925191</v>
      </c>
      <c r="AC172" s="13">
        <v>2</v>
      </c>
      <c r="AD172" s="13">
        <f t="shared" si="58"/>
        <v>0</v>
      </c>
      <c r="AE172" s="14">
        <f t="shared" si="59"/>
        <v>7.5712860647534796E-2</v>
      </c>
      <c r="AF172" s="14">
        <f t="shared" si="60"/>
        <v>-1.7364537038816574E-2</v>
      </c>
      <c r="AG172" s="13">
        <f t="shared" si="61"/>
        <v>-1.0155267993117718</v>
      </c>
      <c r="AH172" s="13">
        <f>IF($T172=1,$AU172,VLOOKUP(U172,'Cortes naturales'!$A$25:$C$29,3,9))</f>
        <v>2</v>
      </c>
      <c r="AI172" s="13" t="b">
        <f t="shared" si="62"/>
        <v>1</v>
      </c>
      <c r="AJ172" s="13">
        <f t="shared" si="63"/>
        <v>0</v>
      </c>
      <c r="AK172" s="28">
        <v>0.9741882058902549</v>
      </c>
      <c r="AL172" s="28">
        <v>59.497056617909237</v>
      </c>
      <c r="AM172" s="28">
        <v>0.57361945063891706</v>
      </c>
      <c r="AN172" s="13">
        <v>2</v>
      </c>
      <c r="AO172" s="33">
        <f t="shared" si="64"/>
        <v>0</v>
      </c>
      <c r="AP172" s="13">
        <f t="shared" si="74"/>
        <v>57.361945063891703</v>
      </c>
      <c r="AQ172" s="13">
        <f>IFERROR(VLOOKUP(U172,'Cortes naturales'!$E$15:$G$19,3,9),U172)</f>
        <v>3</v>
      </c>
      <c r="AR172" s="28">
        <f t="shared" si="65"/>
        <v>-0.38002526054949237</v>
      </c>
      <c r="AS172" s="13" t="b">
        <f t="shared" si="66"/>
        <v>0</v>
      </c>
      <c r="AT172" s="13">
        <f t="shared" si="75"/>
        <v>0</v>
      </c>
      <c r="AU172" s="13">
        <v>2</v>
      </c>
      <c r="AV172">
        <f t="shared" si="67"/>
        <v>0</v>
      </c>
      <c r="AW172" s="13">
        <v>0</v>
      </c>
      <c r="AX172" s="13">
        <v>0</v>
      </c>
      <c r="AY172" s="13">
        <v>0</v>
      </c>
      <c r="AZ172" s="13">
        <v>0</v>
      </c>
      <c r="BA172">
        <v>0</v>
      </c>
      <c r="BB172" t="s">
        <v>2838</v>
      </c>
      <c r="BC172">
        <v>6</v>
      </c>
      <c r="BD172" s="184" t="s">
        <v>2917</v>
      </c>
      <c r="BE172">
        <v>1</v>
      </c>
      <c r="BF172" s="232" t="s">
        <v>2846</v>
      </c>
      <c r="BG172" s="232" t="s">
        <v>2846</v>
      </c>
      <c r="BH172" s="253">
        <v>14.2</v>
      </c>
      <c r="BI172" s="253">
        <v>4.5007378258730943</v>
      </c>
      <c r="BJ172" s="25">
        <v>9.1942771701982231</v>
      </c>
      <c r="BK172" t="s">
        <v>377</v>
      </c>
      <c r="BL172">
        <v>0.54593281439700692</v>
      </c>
      <c r="BM172" t="s">
        <v>383</v>
      </c>
      <c r="BN172" s="322">
        <v>20107.531856000001</v>
      </c>
      <c r="BO172" s="322">
        <v>7652.7178400000003</v>
      </c>
      <c r="BP172" s="10">
        <v>14659</v>
      </c>
      <c r="BQ172" s="254">
        <f t="shared" si="68"/>
        <v>1.3716850983013849</v>
      </c>
      <c r="BR172" s="254">
        <f t="shared" si="69"/>
        <v>0.52204910566887242</v>
      </c>
      <c r="BS172" s="25">
        <v>70.553191891313034</v>
      </c>
      <c r="BT172" s="25">
        <v>91.529663233053654</v>
      </c>
      <c r="BU172" s="25">
        <v>66.903333333333322</v>
      </c>
      <c r="BV172" s="25">
        <v>81.000095316143373</v>
      </c>
      <c r="BW172" s="25">
        <v>66.995560208768367</v>
      </c>
      <c r="BX172" s="25">
        <v>77.496570943460839</v>
      </c>
      <c r="BY172" s="25">
        <v>67.950218489647128</v>
      </c>
      <c r="BZ172">
        <v>36</v>
      </c>
      <c r="CA172">
        <v>0</v>
      </c>
      <c r="CB172">
        <v>7</v>
      </c>
      <c r="CC172">
        <v>9822.9937549999995</v>
      </c>
      <c r="CD172" s="10">
        <v>2383.2346779999998</v>
      </c>
      <c r="CE172" s="255">
        <v>0.2426179571565858</v>
      </c>
      <c r="CF172" t="str">
        <f>IFERROR(VLOOKUP(CE172,'Rangos amb etnico'!$A$2:$C$6,3,9),"N.D.")</f>
        <v>0,1% - 30%</v>
      </c>
      <c r="CG172" s="256">
        <v>6.9337280779913877E-5</v>
      </c>
      <c r="CH172" s="232">
        <v>0</v>
      </c>
      <c r="CI172" s="311">
        <f t="shared" si="76"/>
        <v>0</v>
      </c>
      <c r="CJ172" s="232">
        <f>IFERROR(VLOOKUP(CI172,'Rangos amb etnico'!$A$2:$C$6,3,9),"N.D.")</f>
        <v>0</v>
      </c>
      <c r="CK172" s="311">
        <f t="shared" si="77"/>
        <v>0</v>
      </c>
      <c r="CL172" s="10">
        <v>0</v>
      </c>
      <c r="CM172" s="255">
        <f t="shared" si="78"/>
        <v>0</v>
      </c>
      <c r="CN172" s="232">
        <f>IFERROR(VLOOKUP(CM172,'Rangos amb etnico'!$A$2:$C$6,3,9),"N.D.")</f>
        <v>0</v>
      </c>
      <c r="CO172" s="311">
        <f t="shared" si="79"/>
        <v>0</v>
      </c>
      <c r="CP172">
        <v>0.9687383119642885</v>
      </c>
      <c r="CQ172" t="s">
        <v>2864</v>
      </c>
      <c r="CR172">
        <f t="shared" si="70"/>
        <v>3</v>
      </c>
      <c r="CS172" t="str">
        <f t="shared" si="80"/>
        <v>Candidato</v>
      </c>
      <c r="CT172">
        <v>0</v>
      </c>
      <c r="CU172">
        <v>0</v>
      </c>
      <c r="CV172" s="25">
        <v>54.665508270263672</v>
      </c>
      <c r="CW172" s="25">
        <v>33.096691131591797</v>
      </c>
      <c r="CX172" s="25">
        <v>66.160209655761719</v>
      </c>
      <c r="CY172" s="25">
        <v>65.362258911132813</v>
      </c>
      <c r="CZ172" s="25">
        <v>61.717731475830078</v>
      </c>
      <c r="DA172" s="25">
        <v>41.504020690917969</v>
      </c>
      <c r="DB172" s="25">
        <v>60.152130126953118</v>
      </c>
      <c r="DC172">
        <v>142</v>
      </c>
      <c r="DD172" s="253" t="s">
        <v>380</v>
      </c>
    </row>
    <row r="173" spans="1:108" hidden="1">
      <c r="A173" s="13">
        <v>23660</v>
      </c>
      <c r="B173" s="13" t="s">
        <v>806</v>
      </c>
      <c r="C173" s="13" t="s">
        <v>567</v>
      </c>
      <c r="D173" s="13" t="s">
        <v>568</v>
      </c>
      <c r="E173" s="13" t="s">
        <v>807</v>
      </c>
      <c r="F173" s="14">
        <v>64.136033333333302</v>
      </c>
      <c r="G173" s="13">
        <v>45</v>
      </c>
      <c r="H173" s="13">
        <v>51.85</v>
      </c>
      <c r="I173" s="13">
        <v>44.5</v>
      </c>
      <c r="J173" s="14">
        <v>56.843726850025242</v>
      </c>
      <c r="K173" s="14">
        <v>49.872561429425701</v>
      </c>
      <c r="L173" s="14">
        <v>55.919511946679599</v>
      </c>
      <c r="M173" s="14">
        <v>52.949599999999997</v>
      </c>
      <c r="N173" s="14">
        <f t="shared" si="54"/>
        <v>51.371508333333324</v>
      </c>
      <c r="O173" s="14">
        <f t="shared" si="55"/>
        <v>53.896350056532633</v>
      </c>
      <c r="P173" s="14">
        <f t="shared" si="71"/>
        <v>52.633929194932975</v>
      </c>
      <c r="Q173" s="14">
        <v>44.001254170306176</v>
      </c>
      <c r="R173" s="17">
        <f t="shared" si="56"/>
        <v>55.998745829693824</v>
      </c>
      <c r="S173" s="14">
        <f t="shared" si="72"/>
        <v>0.60398871246724439</v>
      </c>
      <c r="T173" s="13">
        <v>0</v>
      </c>
      <c r="U173" s="13">
        <f t="shared" si="73"/>
        <v>31.790299126539672</v>
      </c>
      <c r="V173" s="13">
        <f>IF($T173=1,$AU173,(VLOOKUP(U173,'Cortes naturales'!$A$35:$C$39,3,9)))</f>
        <v>3</v>
      </c>
      <c r="W173" s="13">
        <v>3</v>
      </c>
      <c r="X173" s="14" t="b">
        <f t="shared" si="57"/>
        <v>1</v>
      </c>
      <c r="Y173" s="17">
        <f>IF($T173=1,$AU173,VLOOKUP(U173,'Cortes naturales'!$A$45:$C$49,3,9))</f>
        <v>3</v>
      </c>
      <c r="Z173" s="14">
        <v>56.086466522384178</v>
      </c>
      <c r="AA173" s="14">
        <v>0.61341816590724985</v>
      </c>
      <c r="AB173" s="14">
        <v>34.404457426379274</v>
      </c>
      <c r="AC173" s="13">
        <v>3</v>
      </c>
      <c r="AD173" s="13">
        <f t="shared" si="58"/>
        <v>0</v>
      </c>
      <c r="AE173" s="14">
        <f t="shared" si="59"/>
        <v>-3.4525373274512035</v>
      </c>
      <c r="AF173" s="14">
        <f t="shared" si="60"/>
        <v>-9.429453440005453E-3</v>
      </c>
      <c r="AG173" s="13">
        <f t="shared" si="61"/>
        <v>-2.6141582998396018</v>
      </c>
      <c r="AH173" s="13">
        <f>IF($T173=1,$AU173,VLOOKUP(U173,'Cortes naturales'!$A$25:$C$29,3,9))</f>
        <v>3</v>
      </c>
      <c r="AI173" s="13" t="b">
        <f t="shared" si="62"/>
        <v>1</v>
      </c>
      <c r="AJ173" s="13">
        <f t="shared" si="63"/>
        <v>0</v>
      </c>
      <c r="AK173" s="28">
        <v>0.9741882058902549</v>
      </c>
      <c r="AL173" s="28">
        <v>54.638774196165286</v>
      </c>
      <c r="AM173" s="28">
        <v>0.51284745865528403</v>
      </c>
      <c r="AN173" s="13">
        <v>2</v>
      </c>
      <c r="AO173" s="33">
        <f t="shared" si="64"/>
        <v>-1</v>
      </c>
      <c r="AP173" s="13">
        <f t="shared" si="74"/>
        <v>51.2847458655284</v>
      </c>
      <c r="AQ173" s="13">
        <f>IFERROR(VLOOKUP(U173,'Cortes naturales'!$E$15:$G$19,3,9),U173)</f>
        <v>4</v>
      </c>
      <c r="AR173" s="28">
        <f t="shared" si="65"/>
        <v>-0.37019949342301051</v>
      </c>
      <c r="AS173" s="13" t="b">
        <f t="shared" si="66"/>
        <v>0</v>
      </c>
      <c r="AT173" s="13" t="str">
        <f t="shared" si="75"/>
        <v>Cambio en corte</v>
      </c>
      <c r="AU173" s="13">
        <v>2</v>
      </c>
      <c r="AV173">
        <f t="shared" si="67"/>
        <v>-1</v>
      </c>
      <c r="AW173" s="13">
        <v>0</v>
      </c>
      <c r="AX173" s="13">
        <v>1</v>
      </c>
      <c r="AY173" s="13">
        <v>0</v>
      </c>
      <c r="AZ173" s="13">
        <v>0</v>
      </c>
      <c r="BA173">
        <v>0</v>
      </c>
      <c r="BB173" t="s">
        <v>2839</v>
      </c>
      <c r="BC173">
        <v>6</v>
      </c>
      <c r="BD173" t="s">
        <v>2919</v>
      </c>
      <c r="BE173">
        <v>1</v>
      </c>
      <c r="BF173" s="232" t="s">
        <v>2845</v>
      </c>
      <c r="BG173" s="232" t="s">
        <v>2846</v>
      </c>
      <c r="BH173" s="253">
        <v>40.4</v>
      </c>
      <c r="BI173" s="253">
        <v>25.29092649718115</v>
      </c>
      <c r="BJ173" s="25">
        <v>0</v>
      </c>
      <c r="BK173" t="s">
        <v>381</v>
      </c>
      <c r="BL173">
        <v>2.1856205156083557</v>
      </c>
      <c r="BM173" t="s">
        <v>383</v>
      </c>
      <c r="BN173" s="322">
        <v>302385.57831700001</v>
      </c>
      <c r="BO173" s="322">
        <v>26516.234998</v>
      </c>
      <c r="BP173" s="10">
        <v>118572</v>
      </c>
      <c r="BQ173" s="254">
        <f t="shared" si="68"/>
        <v>2.5502275268781838</v>
      </c>
      <c r="BR173" s="254">
        <f t="shared" si="69"/>
        <v>0.22362981983942246</v>
      </c>
      <c r="BS173" s="25">
        <v>61.947491800276758</v>
      </c>
      <c r="BT173" s="25">
        <v>91.915733256543049</v>
      </c>
      <c r="BU173" s="25">
        <v>60.230235750190097</v>
      </c>
      <c r="BV173" s="25">
        <v>95.884340556620828</v>
      </c>
      <c r="BW173" s="25">
        <v>45.292759322590058</v>
      </c>
      <c r="BX173" s="25">
        <v>77.49445034090769</v>
      </c>
      <c r="BY173" s="25">
        <v>45.839221220774128</v>
      </c>
      <c r="BZ173">
        <v>10</v>
      </c>
      <c r="CA173">
        <v>1</v>
      </c>
      <c r="CB173">
        <v>4</v>
      </c>
      <c r="CC173">
        <v>96436.619133999993</v>
      </c>
      <c r="CD173" s="10">
        <v>484.75633199999999</v>
      </c>
      <c r="CE173" s="255">
        <v>5.0266831868755633E-3</v>
      </c>
      <c r="CF173" t="str">
        <f>IFERROR(VLOOKUP(CE173,'Rangos amb etnico'!$A$2:$C$6,3,9),"N.D.")</f>
        <v>0,1% - 30%</v>
      </c>
      <c r="CG173" s="256">
        <v>1.41033890669684E-5</v>
      </c>
      <c r="CH173" s="232">
        <v>0</v>
      </c>
      <c r="CI173" s="311">
        <f t="shared" si="76"/>
        <v>0</v>
      </c>
      <c r="CJ173" s="232">
        <f>IFERROR(VLOOKUP(CI173,'Rangos amb etnico'!$A$2:$C$6,3,9),"N.D.")</f>
        <v>0</v>
      </c>
      <c r="CK173" s="311">
        <f t="shared" si="77"/>
        <v>0</v>
      </c>
      <c r="CL173" s="10">
        <v>0</v>
      </c>
      <c r="CM173" s="255">
        <f t="shared" si="78"/>
        <v>0</v>
      </c>
      <c r="CN173" s="232">
        <f>IFERROR(VLOOKUP(CM173,'Rangos amb etnico'!$A$2:$C$6,3,9),"N.D.")</f>
        <v>0</v>
      </c>
      <c r="CO173" s="311">
        <f t="shared" si="79"/>
        <v>0</v>
      </c>
      <c r="CP173">
        <v>0.9017762170694682</v>
      </c>
      <c r="CQ173" t="s">
        <v>2864</v>
      </c>
      <c r="CR173">
        <f t="shared" si="70"/>
        <v>1</v>
      </c>
      <c r="CS173" t="str">
        <f t="shared" si="80"/>
        <v>No es Candidato</v>
      </c>
      <c r="CT173">
        <v>0</v>
      </c>
      <c r="CU173">
        <v>0</v>
      </c>
      <c r="CV173" s="25">
        <v>58.710063934326172</v>
      </c>
      <c r="CW173" s="25">
        <v>42.637290954589837</v>
      </c>
      <c r="CX173" s="25">
        <v>62.69378662109375</v>
      </c>
      <c r="CY173" s="25">
        <v>76.841728210449219</v>
      </c>
      <c r="CZ173" s="25">
        <v>30.247720718383789</v>
      </c>
      <c r="DA173" s="25">
        <v>83.656021118164063</v>
      </c>
      <c r="DB173" s="25">
        <v>56.183837890625</v>
      </c>
      <c r="DC173">
        <v>18869</v>
      </c>
      <c r="DD173" s="253" t="s">
        <v>380</v>
      </c>
    </row>
    <row r="174" spans="1:108" hidden="1">
      <c r="A174" s="13">
        <v>25312</v>
      </c>
      <c r="B174" s="13" t="s">
        <v>808</v>
      </c>
      <c r="C174" s="13" t="s">
        <v>461</v>
      </c>
      <c r="D174" s="13" t="s">
        <v>462</v>
      </c>
      <c r="E174" s="13" t="s">
        <v>802</v>
      </c>
      <c r="F174" s="14">
        <v>78.777433333333306</v>
      </c>
      <c r="G174" s="13">
        <v>92.13</v>
      </c>
      <c r="H174" s="13">
        <v>44.38</v>
      </c>
      <c r="I174" s="13">
        <v>82.28</v>
      </c>
      <c r="J174" s="14">
        <v>68.878308814424486</v>
      </c>
      <c r="K174" s="14">
        <v>68.337421517303383</v>
      </c>
      <c r="L174" s="14">
        <v>71.599118898077535</v>
      </c>
      <c r="M174" s="14">
        <v>69.758200000000002</v>
      </c>
      <c r="N174" s="14">
        <f t="shared" si="54"/>
        <v>74.391858333333317</v>
      </c>
      <c r="O174" s="14">
        <f t="shared" si="55"/>
        <v>69.643262307451351</v>
      </c>
      <c r="P174" s="14">
        <f t="shared" si="71"/>
        <v>72.017560320392334</v>
      </c>
      <c r="Q174" s="14">
        <v>45.083925484654223</v>
      </c>
      <c r="R174" s="17">
        <f t="shared" si="56"/>
        <v>54.916074515345777</v>
      </c>
      <c r="S174" s="14">
        <f t="shared" si="72"/>
        <v>0.59424467063811204</v>
      </c>
      <c r="T174" s="13">
        <v>0</v>
      </c>
      <c r="U174" s="13">
        <f t="shared" si="73"/>
        <v>42.796051412751908</v>
      </c>
      <c r="V174" s="13">
        <f>IF($T174=1,$AU174,(VLOOKUP(U174,'Cortes naturales'!$A$35:$C$39,3,9)))</f>
        <v>2</v>
      </c>
      <c r="W174" s="13">
        <v>2</v>
      </c>
      <c r="X174" s="14" t="b">
        <f t="shared" si="57"/>
        <v>1</v>
      </c>
      <c r="Y174" s="17">
        <f>IF($T174=1,$AU174,VLOOKUP(U174,'Cortes naturales'!$A$45:$C$49,3,9))</f>
        <v>2</v>
      </c>
      <c r="Z174" s="14">
        <v>71.131504176357694</v>
      </c>
      <c r="AA174" s="14">
        <v>0.61342781861500784</v>
      </c>
      <c r="AB174" s="14">
        <v>43.634043441707419</v>
      </c>
      <c r="AC174" s="13">
        <v>2</v>
      </c>
      <c r="AD174" s="13">
        <f t="shared" si="58"/>
        <v>0</v>
      </c>
      <c r="AE174" s="14">
        <f t="shared" si="59"/>
        <v>0.88605614403464017</v>
      </c>
      <c r="AF174" s="14">
        <f t="shared" si="60"/>
        <v>-1.9183147976895798E-2</v>
      </c>
      <c r="AG174" s="13">
        <f t="shared" si="61"/>
        <v>-0.83799202895551161</v>
      </c>
      <c r="AH174" s="13">
        <f>IF($T174=1,$AU174,VLOOKUP(U174,'Cortes naturales'!$A$25:$C$29,3,9))</f>
        <v>2</v>
      </c>
      <c r="AI174" s="13" t="b">
        <f t="shared" si="62"/>
        <v>1</v>
      </c>
      <c r="AJ174" s="13">
        <f t="shared" si="63"/>
        <v>0</v>
      </c>
      <c r="AK174" s="28">
        <v>0.9741882058902549</v>
      </c>
      <c r="AL174" s="28">
        <v>69.295472435841077</v>
      </c>
      <c r="AM174" s="28">
        <v>0.69618730401741713</v>
      </c>
      <c r="AN174" s="13">
        <v>1</v>
      </c>
      <c r="AO174" s="33">
        <f t="shared" si="64"/>
        <v>-1</v>
      </c>
      <c r="AP174" s="13">
        <f t="shared" si="74"/>
        <v>69.618730401741715</v>
      </c>
      <c r="AQ174" s="13">
        <f>IFERROR(VLOOKUP(U174,'Cortes naturales'!$E$15:$G$19,3,9),U174)</f>
        <v>3</v>
      </c>
      <c r="AR174" s="28">
        <f t="shared" si="65"/>
        <v>-0.37994353525214286</v>
      </c>
      <c r="AS174" s="13" t="b">
        <f t="shared" si="66"/>
        <v>0</v>
      </c>
      <c r="AT174" s="13" t="str">
        <f t="shared" si="75"/>
        <v>Cambio en corte</v>
      </c>
      <c r="AU174" s="13">
        <v>1</v>
      </c>
      <c r="AV174">
        <f t="shared" si="67"/>
        <v>-1</v>
      </c>
      <c r="AW174" s="13">
        <v>0</v>
      </c>
      <c r="AX174" s="13">
        <v>0</v>
      </c>
      <c r="AY174" s="13">
        <v>0</v>
      </c>
      <c r="AZ174" s="13">
        <v>0</v>
      </c>
      <c r="BA174">
        <v>0</v>
      </c>
      <c r="BB174" t="s">
        <v>2839</v>
      </c>
      <c r="BC174">
        <v>6</v>
      </c>
      <c r="BD174" t="s">
        <v>2919</v>
      </c>
      <c r="BE174">
        <v>1</v>
      </c>
      <c r="BF174" s="232" t="s">
        <v>2846</v>
      </c>
      <c r="BG174" s="232" t="s">
        <v>2846</v>
      </c>
      <c r="BH174" s="253">
        <v>19.899999999999999</v>
      </c>
      <c r="BI174" s="253">
        <v>4.9717350340629078</v>
      </c>
      <c r="BJ174" s="25">
        <v>2.6538529134229769</v>
      </c>
      <c r="BK174" t="s">
        <v>381</v>
      </c>
      <c r="BL174">
        <v>1.0555599981580051</v>
      </c>
      <c r="BM174" t="s">
        <v>383</v>
      </c>
      <c r="BN174" s="322">
        <v>16107.373294999999</v>
      </c>
      <c r="BO174" s="322">
        <v>4519.376604</v>
      </c>
      <c r="BP174" s="10">
        <v>7614</v>
      </c>
      <c r="BQ174" s="254">
        <f t="shared" si="68"/>
        <v>2.1154942599159443</v>
      </c>
      <c r="BR174" s="254">
        <f t="shared" si="69"/>
        <v>0.59356141371158389</v>
      </c>
      <c r="BS174" s="25">
        <v>68.750925755122395</v>
      </c>
      <c r="BT174" s="25">
        <v>83.720009775851494</v>
      </c>
      <c r="BU174" s="25">
        <v>44.131666666666668</v>
      </c>
      <c r="BV174" s="25">
        <v>66.849212287968271</v>
      </c>
      <c r="BW174" s="25">
        <v>57.831208274812859</v>
      </c>
      <c r="BX174" s="25">
        <v>65.862953621402198</v>
      </c>
      <c r="BY174" s="25">
        <v>56.8054142045372</v>
      </c>
      <c r="BZ174">
        <v>78</v>
      </c>
      <c r="CA174">
        <v>0</v>
      </c>
      <c r="CB174">
        <v>7</v>
      </c>
      <c r="CC174">
        <v>6063.927651</v>
      </c>
      <c r="CD174" s="10">
        <v>1833.5229220000001</v>
      </c>
      <c r="CE174" s="255">
        <v>0.30236556692717709</v>
      </c>
      <c r="CF174" t="str">
        <f>IFERROR(VLOOKUP(CE174,'Rangos amb etnico'!$A$2:$C$6,3,9),"N.D.")</f>
        <v>0,1% - 30%</v>
      </c>
      <c r="CG174" s="256">
        <v>5.3344093568582315E-5</v>
      </c>
      <c r="CH174" s="232">
        <v>0</v>
      </c>
      <c r="CI174" s="311">
        <f t="shared" si="76"/>
        <v>0</v>
      </c>
      <c r="CJ174" s="232">
        <f>IFERROR(VLOOKUP(CI174,'Rangos amb etnico'!$A$2:$C$6,3,9),"N.D.")</f>
        <v>0</v>
      </c>
      <c r="CK174" s="311">
        <f t="shared" si="77"/>
        <v>0</v>
      </c>
      <c r="CL174" s="10">
        <v>0</v>
      </c>
      <c r="CM174" s="255">
        <f t="shared" si="78"/>
        <v>0</v>
      </c>
      <c r="CN174" s="232">
        <f>IFERROR(VLOOKUP(CM174,'Rangos amb etnico'!$A$2:$C$6,3,9),"N.D.")</f>
        <v>0</v>
      </c>
      <c r="CO174" s="311">
        <f t="shared" si="79"/>
        <v>0</v>
      </c>
      <c r="CP174">
        <v>0.97513674670103978</v>
      </c>
      <c r="CQ174" t="s">
        <v>2864</v>
      </c>
      <c r="CR174">
        <f t="shared" si="70"/>
        <v>3</v>
      </c>
      <c r="CS174" t="str">
        <f t="shared" si="80"/>
        <v>Candidato</v>
      </c>
      <c r="CT174">
        <v>0</v>
      </c>
      <c r="CU174">
        <v>0</v>
      </c>
      <c r="CV174" s="25">
        <v>50.750720977783203</v>
      </c>
      <c r="CW174" s="25">
        <v>38.278499603271477</v>
      </c>
      <c r="CX174" s="25">
        <v>60.256153106689453</v>
      </c>
      <c r="CY174" s="25">
        <v>62.838520050048828</v>
      </c>
      <c r="CZ174" s="25">
        <v>41.987083435058587</v>
      </c>
      <c r="DA174" s="25">
        <v>43.482040405273438</v>
      </c>
      <c r="DB174" s="25">
        <v>57.662021636962891</v>
      </c>
      <c r="DC174">
        <v>45</v>
      </c>
      <c r="DD174" s="253" t="s">
        <v>380</v>
      </c>
    </row>
    <row r="175" spans="1:108" hidden="1">
      <c r="A175" s="13">
        <v>23464</v>
      </c>
      <c r="B175" s="13" t="s">
        <v>809</v>
      </c>
      <c r="C175" s="13" t="s">
        <v>567</v>
      </c>
      <c r="D175" s="13" t="s">
        <v>568</v>
      </c>
      <c r="E175" s="13" t="s">
        <v>810</v>
      </c>
      <c r="F175" s="14">
        <v>37.633033333333302</v>
      </c>
      <c r="G175" s="13">
        <v>31.29</v>
      </c>
      <c r="H175" s="13">
        <v>31.55</v>
      </c>
      <c r="I175" s="13">
        <v>21.63</v>
      </c>
      <c r="J175" s="14">
        <v>48.070814753778954</v>
      </c>
      <c r="K175" s="14">
        <v>56.167032294179876</v>
      </c>
      <c r="L175" s="14">
        <v>49.555304184800349</v>
      </c>
      <c r="M175" s="14">
        <v>48.2239</v>
      </c>
      <c r="N175" s="14">
        <f t="shared" si="54"/>
        <v>30.525758333333325</v>
      </c>
      <c r="O175" s="14">
        <f t="shared" si="55"/>
        <v>50.504262808189793</v>
      </c>
      <c r="P175" s="14">
        <f t="shared" si="71"/>
        <v>40.515010570761561</v>
      </c>
      <c r="Q175" s="14">
        <v>43.763037857805692</v>
      </c>
      <c r="R175" s="17">
        <f t="shared" si="56"/>
        <v>56.236962142194308</v>
      </c>
      <c r="S175" s="14">
        <f t="shared" si="72"/>
        <v>0.6061326592797488</v>
      </c>
      <c r="T175" s="13">
        <v>0</v>
      </c>
      <c r="U175" s="13">
        <f t="shared" si="73"/>
        <v>24.557471098002839</v>
      </c>
      <c r="V175" s="13">
        <f>IF($T175=1,$AU175,(VLOOKUP(U175,'Cortes naturales'!$A$35:$C$39,3,9)))</f>
        <v>4</v>
      </c>
      <c r="W175" s="13">
        <v>4</v>
      </c>
      <c r="X175" s="14" t="b">
        <f t="shared" si="57"/>
        <v>1</v>
      </c>
      <c r="Y175" s="17">
        <f>IF($T175=1,$AU175,VLOOKUP(U175,'Cortes naturales'!$A$45:$C$49,3,9))</f>
        <v>4</v>
      </c>
      <c r="Z175" s="14">
        <v>43.138211744366224</v>
      </c>
      <c r="AA175" s="14">
        <v>0.61356848730994029</v>
      </c>
      <c r="AB175" s="14">
        <v>26.468247325246686</v>
      </c>
      <c r="AC175" s="13">
        <v>4</v>
      </c>
      <c r="AD175" s="13">
        <f t="shared" si="58"/>
        <v>0</v>
      </c>
      <c r="AE175" s="14">
        <f t="shared" si="59"/>
        <v>-2.623201173604663</v>
      </c>
      <c r="AF175" s="14">
        <f t="shared" si="60"/>
        <v>-7.4358280301914936E-3</v>
      </c>
      <c r="AG175" s="13">
        <f t="shared" si="61"/>
        <v>-1.9107762272438471</v>
      </c>
      <c r="AH175" s="13">
        <f>IF($T175=1,$AU175,VLOOKUP(U175,'Cortes naturales'!$A$25:$C$29,3,9))</f>
        <v>4</v>
      </c>
      <c r="AI175" s="13" t="b">
        <f t="shared" si="62"/>
        <v>1</v>
      </c>
      <c r="AJ175" s="13">
        <f t="shared" si="63"/>
        <v>0</v>
      </c>
      <c r="AK175" s="28">
        <v>0.9741882058902549</v>
      </c>
      <c r="AL175" s="28">
        <v>42.024737104558056</v>
      </c>
      <c r="AM175" s="28">
        <v>0.35505915108768293</v>
      </c>
      <c r="AN175" s="13">
        <v>3</v>
      </c>
      <c r="AO175" s="33">
        <f t="shared" si="64"/>
        <v>-1</v>
      </c>
      <c r="AP175" s="13">
        <f t="shared" si="74"/>
        <v>35.505915108768292</v>
      </c>
      <c r="AQ175" s="13">
        <f>IFERROR(VLOOKUP(U175,'Cortes naturales'!$E$15:$G$19,3,9),U175)</f>
        <v>4</v>
      </c>
      <c r="AR175" s="28">
        <f t="shared" si="65"/>
        <v>-0.3680555466105061</v>
      </c>
      <c r="AS175" s="13" t="b">
        <f t="shared" si="66"/>
        <v>1</v>
      </c>
      <c r="AT175" s="13" t="str">
        <f t="shared" si="75"/>
        <v>Efecto ponderador</v>
      </c>
      <c r="AU175" s="13">
        <v>3</v>
      </c>
      <c r="AV175">
        <f t="shared" si="67"/>
        <v>-1</v>
      </c>
      <c r="AW175" s="13">
        <v>0</v>
      </c>
      <c r="AX175" s="13">
        <v>0</v>
      </c>
      <c r="AY175" s="13">
        <v>0</v>
      </c>
      <c r="AZ175" s="13">
        <v>0</v>
      </c>
      <c r="BA175">
        <v>0</v>
      </c>
      <c r="BB175" t="s">
        <v>2839</v>
      </c>
      <c r="BC175">
        <v>6</v>
      </c>
      <c r="BD175" t="s">
        <v>2919</v>
      </c>
      <c r="BE175">
        <v>1</v>
      </c>
      <c r="BF175" s="232" t="s">
        <v>2846</v>
      </c>
      <c r="BG175" s="232" t="s">
        <v>2845</v>
      </c>
      <c r="BH175" s="253">
        <v>42.1</v>
      </c>
      <c r="BI175" s="253">
        <v>26.666256763403837</v>
      </c>
      <c r="BJ175" s="25">
        <v>0</v>
      </c>
      <c r="BK175" t="s">
        <v>381</v>
      </c>
      <c r="BL175">
        <v>7.6196650347236421</v>
      </c>
      <c r="BM175" t="s">
        <v>379</v>
      </c>
      <c r="BN175" s="322">
        <v>35657.185737</v>
      </c>
      <c r="BO175" s="322">
        <v>3222.0798989999998</v>
      </c>
      <c r="BP175" s="10">
        <v>22186</v>
      </c>
      <c r="BQ175" s="254">
        <f t="shared" si="68"/>
        <v>1.6071930828901109</v>
      </c>
      <c r="BR175" s="254">
        <f t="shared" si="69"/>
        <v>0.14523032087803117</v>
      </c>
      <c r="BS175" s="25">
        <v>55.844107216908533</v>
      </c>
      <c r="BT175" s="25">
        <v>81.721390051684239</v>
      </c>
      <c r="BU175" s="25">
        <v>13.78379310344827</v>
      </c>
      <c r="BV175" s="25">
        <v>97.704718190700532</v>
      </c>
      <c r="BW175" s="25">
        <v>35.590622028445132</v>
      </c>
      <c r="BX175" s="25">
        <v>62.263502140685389</v>
      </c>
      <c r="BY175" s="25">
        <v>33.749305964545137</v>
      </c>
      <c r="BZ175">
        <v>10</v>
      </c>
      <c r="CA175">
        <v>0</v>
      </c>
      <c r="CB175">
        <v>7</v>
      </c>
      <c r="CC175">
        <v>15863.964726</v>
      </c>
      <c r="CD175" s="10">
        <v>6230.709484</v>
      </c>
      <c r="CE175" s="255">
        <v>0.3927586572219412</v>
      </c>
      <c r="CF175" t="str">
        <f>IFERROR(VLOOKUP(CE175,'Rangos amb etnico'!$A$2:$C$6,3,9),"N.D.")</f>
        <v>31% - 50%</v>
      </c>
      <c r="CG175" s="256">
        <v>1.8127482657844253E-4</v>
      </c>
      <c r="CH175" s="232">
        <v>4.8366610000000003</v>
      </c>
      <c r="CI175" s="311">
        <f t="shared" si="76"/>
        <v>3.0488349435579804E-4</v>
      </c>
      <c r="CJ175" s="232">
        <f>IFERROR(VLOOKUP(CI175,'Rangos amb etnico'!$A$2:$C$6,3,9),"N.D.")</f>
        <v>0</v>
      </c>
      <c r="CK175" s="311">
        <f t="shared" si="77"/>
        <v>1.9204710828923456E-7</v>
      </c>
      <c r="CL175" s="10">
        <v>0</v>
      </c>
      <c r="CM175" s="255">
        <f t="shared" si="78"/>
        <v>0</v>
      </c>
      <c r="CN175" s="232">
        <f>IFERROR(VLOOKUP(CM175,'Rangos amb etnico'!$A$2:$C$6,3,9),"N.D.")</f>
        <v>0</v>
      </c>
      <c r="CO175" s="311">
        <f t="shared" si="79"/>
        <v>0</v>
      </c>
      <c r="CP175">
        <v>0.92160797734042443</v>
      </c>
      <c r="CQ175" t="s">
        <v>2864</v>
      </c>
      <c r="CR175">
        <f t="shared" si="70"/>
        <v>1</v>
      </c>
      <c r="CS175" t="str">
        <f t="shared" si="80"/>
        <v>No es Candidato</v>
      </c>
      <c r="CT175">
        <v>0</v>
      </c>
      <c r="CU175">
        <v>0</v>
      </c>
      <c r="CV175" s="25">
        <v>58.429344177246087</v>
      </c>
      <c r="CW175" s="25">
        <v>29.011306762695309</v>
      </c>
      <c r="CX175" s="25">
        <v>63.310314178466797</v>
      </c>
      <c r="CY175" s="25">
        <v>67.955085754394531</v>
      </c>
      <c r="CZ175" s="25">
        <v>37.609020233154297</v>
      </c>
      <c r="DA175" s="25">
        <v>95.086441040039063</v>
      </c>
      <c r="DB175" s="25">
        <v>57.603889465332031</v>
      </c>
      <c r="DC175">
        <v>8056</v>
      </c>
      <c r="DD175" s="253" t="s">
        <v>380</v>
      </c>
    </row>
    <row r="176" spans="1:108" hidden="1">
      <c r="A176" s="13">
        <v>19807</v>
      </c>
      <c r="B176" s="13" t="s">
        <v>811</v>
      </c>
      <c r="C176" s="13" t="s">
        <v>557</v>
      </c>
      <c r="D176" s="13" t="s">
        <v>558</v>
      </c>
      <c r="E176" s="13" t="s">
        <v>812</v>
      </c>
      <c r="F176" s="14">
        <v>63.480133333333299</v>
      </c>
      <c r="G176" s="13">
        <v>63.91</v>
      </c>
      <c r="H176" s="13">
        <v>60.77</v>
      </c>
      <c r="I176" s="13">
        <v>42.35</v>
      </c>
      <c r="J176" s="14">
        <v>51.597366775897754</v>
      </c>
      <c r="K176" s="14">
        <v>56.431438257873822</v>
      </c>
      <c r="L176" s="14">
        <v>56.880176265957147</v>
      </c>
      <c r="M176" s="14">
        <v>54.949300000000001</v>
      </c>
      <c r="N176" s="14">
        <f t="shared" si="54"/>
        <v>57.627533333333325</v>
      </c>
      <c r="O176" s="14">
        <f t="shared" si="55"/>
        <v>54.964570324932183</v>
      </c>
      <c r="P176" s="14">
        <f t="shared" si="71"/>
        <v>56.29605182913275</v>
      </c>
      <c r="Q176" s="14">
        <v>44.189770828869975</v>
      </c>
      <c r="R176" s="17">
        <f t="shared" si="56"/>
        <v>55.810229171130025</v>
      </c>
      <c r="S176" s="14">
        <f t="shared" si="72"/>
        <v>0.6022920625401702</v>
      </c>
      <c r="T176" s="13">
        <v>0</v>
      </c>
      <c r="U176" s="13">
        <f t="shared" si="73"/>
        <v>33.906665169036685</v>
      </c>
      <c r="V176" s="13">
        <f>IF($T176=1,$AU176,(VLOOKUP(U176,'Cortes naturales'!$A$35:$C$39,3,9)))</f>
        <v>3</v>
      </c>
      <c r="W176" s="13">
        <v>3</v>
      </c>
      <c r="X176" s="14" t="b">
        <f t="shared" si="57"/>
        <v>1</v>
      </c>
      <c r="Y176" s="17">
        <f>IF($T176=1,$AU176,VLOOKUP(U176,'Cortes naturales'!$A$45:$C$49,3,9))</f>
        <v>3</v>
      </c>
      <c r="Z176" s="14">
        <v>58.156829608592631</v>
      </c>
      <c r="AA176" s="14">
        <v>0.61328058132033381</v>
      </c>
      <c r="AB176" s="14">
        <v>35.666454270105291</v>
      </c>
      <c r="AC176" s="13">
        <v>2</v>
      </c>
      <c r="AD176" s="13">
        <f t="shared" si="58"/>
        <v>-1</v>
      </c>
      <c r="AE176" s="14">
        <f t="shared" si="59"/>
        <v>-1.8607777794598803</v>
      </c>
      <c r="AF176" s="14">
        <f t="shared" si="60"/>
        <v>-1.0988518780163603E-2</v>
      </c>
      <c r="AG176" s="13">
        <f t="shared" si="61"/>
        <v>-1.7597891010686055</v>
      </c>
      <c r="AH176" s="13">
        <f>IF($T176=1,$AU176,VLOOKUP(U176,'Cortes naturales'!$A$25:$C$29,3,9))</f>
        <v>3</v>
      </c>
      <c r="AI176" s="13" t="b">
        <f t="shared" si="62"/>
        <v>1</v>
      </c>
      <c r="AJ176" s="13" t="str">
        <f t="shared" si="63"/>
        <v>Efecto ponderador</v>
      </c>
      <c r="AK176" s="28">
        <v>0.9741882058902549</v>
      </c>
      <c r="AL176" s="28">
        <v>56.65569749666011</v>
      </c>
      <c r="AM176" s="28">
        <v>0.53807704310691717</v>
      </c>
      <c r="AN176" s="13">
        <v>2</v>
      </c>
      <c r="AO176" s="33">
        <f t="shared" si="64"/>
        <v>-1</v>
      </c>
      <c r="AP176" s="13">
        <f t="shared" si="74"/>
        <v>53.807704310691719</v>
      </c>
      <c r="AQ176" s="13">
        <f>IFERROR(VLOOKUP(U176,'Cortes naturales'!$E$15:$G$19,3,9),U176)</f>
        <v>4</v>
      </c>
      <c r="AR176" s="28">
        <f t="shared" si="65"/>
        <v>-0.3718961433500847</v>
      </c>
      <c r="AS176" s="13" t="b">
        <f t="shared" si="66"/>
        <v>0</v>
      </c>
      <c r="AT176" s="13" t="str">
        <f t="shared" si="75"/>
        <v>Cambio en corte</v>
      </c>
      <c r="AU176" s="13">
        <v>2</v>
      </c>
      <c r="AV176">
        <f t="shared" si="67"/>
        <v>-1</v>
      </c>
      <c r="AW176" s="13">
        <v>0</v>
      </c>
      <c r="AX176" s="13">
        <v>0</v>
      </c>
      <c r="AY176" s="13">
        <v>0</v>
      </c>
      <c r="AZ176" s="13">
        <v>0</v>
      </c>
      <c r="BA176">
        <v>0</v>
      </c>
      <c r="BB176" t="s">
        <v>2839</v>
      </c>
      <c r="BC176">
        <v>6</v>
      </c>
      <c r="BD176" t="s">
        <v>2919</v>
      </c>
      <c r="BE176">
        <v>1</v>
      </c>
      <c r="BF176" s="232" t="s">
        <v>2846</v>
      </c>
      <c r="BG176" s="232" t="s">
        <v>2845</v>
      </c>
      <c r="BH176" s="253">
        <v>35.700000000000003</v>
      </c>
      <c r="BI176" s="253">
        <v>17.466583773702208</v>
      </c>
      <c r="BJ176" s="25">
        <v>4.1406376746913098</v>
      </c>
      <c r="BK176" t="s">
        <v>381</v>
      </c>
      <c r="BL176">
        <v>1.7905096837671699</v>
      </c>
      <c r="BM176" t="s">
        <v>383</v>
      </c>
      <c r="BN176" s="322">
        <v>57656.327897000003</v>
      </c>
      <c r="BO176" s="322">
        <v>3834.064378</v>
      </c>
      <c r="BP176" s="10">
        <v>38572</v>
      </c>
      <c r="BQ176" s="254">
        <f t="shared" si="68"/>
        <v>1.4947715414549414</v>
      </c>
      <c r="BR176" s="254">
        <f t="shared" si="69"/>
        <v>9.9400196463756099E-2</v>
      </c>
      <c r="BS176" s="25">
        <v>62.327736616772199</v>
      </c>
      <c r="BT176" s="25">
        <v>86.90609562169449</v>
      </c>
      <c r="BU176" s="25">
        <v>30.974011311966269</v>
      </c>
      <c r="BV176" s="25">
        <v>85.647377691466616</v>
      </c>
      <c r="BW176" s="25">
        <v>45.709533956538067</v>
      </c>
      <c r="BX176" s="25">
        <v>66.463805310474882</v>
      </c>
      <c r="BY176" s="25">
        <v>46.157208659124123</v>
      </c>
      <c r="BZ176">
        <v>46</v>
      </c>
      <c r="CA176">
        <v>0</v>
      </c>
      <c r="CB176">
        <v>7</v>
      </c>
      <c r="CC176">
        <v>20139.793691999999</v>
      </c>
      <c r="CD176" s="10">
        <v>5558.6947659999996</v>
      </c>
      <c r="CE176" s="255">
        <v>0.27600554658154441</v>
      </c>
      <c r="CF176" t="str">
        <f>IFERROR(VLOOKUP(CE176,'Rangos amb etnico'!$A$2:$C$6,3,9),"N.D.")</f>
        <v>0,1% - 30%</v>
      </c>
      <c r="CG176" s="256">
        <v>1.6172338516130794E-4</v>
      </c>
      <c r="CH176" s="232">
        <v>60.234518999999999</v>
      </c>
      <c r="CI176" s="311">
        <f t="shared" si="76"/>
        <v>2.9908210541365462E-3</v>
      </c>
      <c r="CJ176" s="232" t="str">
        <f>IFERROR(VLOOKUP(CI176,'Rangos amb etnico'!$A$2:$C$6,3,9),"N.D.")</f>
        <v>0,1% - 30%</v>
      </c>
      <c r="CK176" s="311">
        <f t="shared" si="77"/>
        <v>2.3917047717718803E-6</v>
      </c>
      <c r="CL176" s="10">
        <v>0</v>
      </c>
      <c r="CM176" s="255">
        <f t="shared" si="78"/>
        <v>0</v>
      </c>
      <c r="CN176" s="232">
        <f>IFERROR(VLOOKUP(CM176,'Rangos amb etnico'!$A$2:$C$6,3,9),"N.D.")</f>
        <v>0</v>
      </c>
      <c r="CO176" s="311">
        <f t="shared" si="79"/>
        <v>0</v>
      </c>
      <c r="CP176">
        <v>0.94519458293896585</v>
      </c>
      <c r="CQ176" t="s">
        <v>2864</v>
      </c>
      <c r="CR176">
        <f t="shared" si="70"/>
        <v>1</v>
      </c>
      <c r="CS176" t="str">
        <f t="shared" si="80"/>
        <v>No es Candidato</v>
      </c>
      <c r="CT176">
        <v>0</v>
      </c>
      <c r="CU176">
        <v>0</v>
      </c>
      <c r="CV176" s="25">
        <v>51.025886535644531</v>
      </c>
      <c r="CW176" s="25">
        <v>34.444969177246087</v>
      </c>
      <c r="CX176" s="25">
        <v>57.463447570800781</v>
      </c>
      <c r="CY176" s="25">
        <v>67.954551696777344</v>
      </c>
      <c r="CZ176" s="25">
        <v>46.718673706054688</v>
      </c>
      <c r="DA176" s="25">
        <v>50.435234069824219</v>
      </c>
      <c r="DB176" s="25">
        <v>49.138435363769531</v>
      </c>
      <c r="DC176">
        <v>1840</v>
      </c>
      <c r="DD176" s="253" t="s">
        <v>380</v>
      </c>
    </row>
    <row r="177" spans="1:108" hidden="1">
      <c r="A177" s="13">
        <v>76895</v>
      </c>
      <c r="B177" s="13" t="s">
        <v>813</v>
      </c>
      <c r="C177" s="13" t="s">
        <v>454</v>
      </c>
      <c r="D177" s="13" t="s">
        <v>455</v>
      </c>
      <c r="E177" s="13" t="s">
        <v>814</v>
      </c>
      <c r="F177" s="14">
        <v>82.6779333333333</v>
      </c>
      <c r="G177" s="13">
        <v>77.069999999999993</v>
      </c>
      <c r="H177" s="13">
        <v>81.8</v>
      </c>
      <c r="I177" s="13">
        <v>75.150000000000006</v>
      </c>
      <c r="J177" s="14">
        <v>60.133691759904508</v>
      </c>
      <c r="K177" s="14">
        <v>60.499319405997134</v>
      </c>
      <c r="L177" s="14">
        <v>71.437672704678661</v>
      </c>
      <c r="M177" s="14">
        <v>60.914700000000003</v>
      </c>
      <c r="N177" s="14">
        <f t="shared" si="54"/>
        <v>79.174483333333313</v>
      </c>
      <c r="O177" s="14">
        <f t="shared" si="55"/>
        <v>63.246345967645077</v>
      </c>
      <c r="P177" s="14">
        <f t="shared" si="71"/>
        <v>71.210414650489199</v>
      </c>
      <c r="Q177" s="14">
        <v>44.676801198710052</v>
      </c>
      <c r="R177" s="17">
        <f t="shared" si="56"/>
        <v>55.323198801289948</v>
      </c>
      <c r="S177" s="14">
        <f t="shared" si="72"/>
        <v>0.59790878921160961</v>
      </c>
      <c r="T177" s="13">
        <v>0</v>
      </c>
      <c r="U177" s="13">
        <f t="shared" si="73"/>
        <v>42.577332802930663</v>
      </c>
      <c r="V177" s="13">
        <f>IF($T177=1,$AU177,(VLOOKUP(U177,'Cortes naturales'!$A$35:$C$39,3,9)))</f>
        <v>2</v>
      </c>
      <c r="W177" s="13">
        <v>2</v>
      </c>
      <c r="X177" s="14" t="b">
        <f t="shared" si="57"/>
        <v>1</v>
      </c>
      <c r="Y177" s="17">
        <f>IF($T177=1,$AU177,VLOOKUP(U177,'Cortes naturales'!$A$45:$C$49,3,9))</f>
        <v>2</v>
      </c>
      <c r="Z177" s="14">
        <v>71.404128036630226</v>
      </c>
      <c r="AA177" s="14">
        <v>0.61248841873075521</v>
      </c>
      <c r="AB177" s="14">
        <v>43.734201472004031</v>
      </c>
      <c r="AC177" s="13">
        <v>2</v>
      </c>
      <c r="AD177" s="13">
        <f t="shared" si="58"/>
        <v>0</v>
      </c>
      <c r="AE177" s="14">
        <f t="shared" si="59"/>
        <v>-0.1937133861410274</v>
      </c>
      <c r="AF177" s="14">
        <f t="shared" si="60"/>
        <v>-1.4579629519145598E-2</v>
      </c>
      <c r="AG177" s="13">
        <f t="shared" si="61"/>
        <v>-1.1568686690733685</v>
      </c>
      <c r="AH177" s="13">
        <f>IF($T177=1,$AU177,VLOOKUP(U177,'Cortes naturales'!$A$25:$C$29,3,9))</f>
        <v>2</v>
      </c>
      <c r="AI177" s="13" t="b">
        <f t="shared" si="62"/>
        <v>1</v>
      </c>
      <c r="AJ177" s="13">
        <f t="shared" si="63"/>
        <v>0</v>
      </c>
      <c r="AK177" s="28">
        <v>0.9741882058902549</v>
      </c>
      <c r="AL177" s="28">
        <v>69.561059385162849</v>
      </c>
      <c r="AM177" s="28">
        <v>0.69950951679839957</v>
      </c>
      <c r="AN177" s="13">
        <v>1</v>
      </c>
      <c r="AO177" s="33">
        <f t="shared" si="64"/>
        <v>-1</v>
      </c>
      <c r="AP177" s="13">
        <f t="shared" si="74"/>
        <v>69.95095167983996</v>
      </c>
      <c r="AQ177" s="13">
        <f>IFERROR(VLOOKUP(U177,'Cortes naturales'!$E$15:$G$19,3,9),U177)</f>
        <v>3</v>
      </c>
      <c r="AR177" s="28">
        <f t="shared" si="65"/>
        <v>-0.37627941667864528</v>
      </c>
      <c r="AS177" s="13" t="b">
        <f t="shared" si="66"/>
        <v>0</v>
      </c>
      <c r="AT177" s="13" t="str">
        <f t="shared" si="75"/>
        <v>Cambio en corte</v>
      </c>
      <c r="AU177" s="13">
        <v>1</v>
      </c>
      <c r="AV177">
        <f t="shared" si="67"/>
        <v>-1</v>
      </c>
      <c r="AW177" s="13">
        <v>0</v>
      </c>
      <c r="AX177" s="13">
        <v>0</v>
      </c>
      <c r="AY177" s="13">
        <v>0</v>
      </c>
      <c r="AZ177" s="13">
        <v>0</v>
      </c>
      <c r="BA177">
        <v>0</v>
      </c>
      <c r="BB177" t="s">
        <v>2839</v>
      </c>
      <c r="BC177">
        <v>5</v>
      </c>
      <c r="BD177" t="s">
        <v>2919</v>
      </c>
      <c r="BE177">
        <v>1</v>
      </c>
      <c r="BF177" s="232" t="s">
        <v>2846</v>
      </c>
      <c r="BG177" s="232" t="s">
        <v>2846</v>
      </c>
      <c r="BH177" s="253">
        <v>17.2</v>
      </c>
      <c r="BI177" s="253">
        <v>6.0949230181956988</v>
      </c>
      <c r="BJ177" s="25">
        <v>1.2513431263601427</v>
      </c>
      <c r="BK177" t="s">
        <v>381</v>
      </c>
      <c r="BL177">
        <v>5.3035326183339189</v>
      </c>
      <c r="BM177" t="s">
        <v>383</v>
      </c>
      <c r="BN177" s="322">
        <v>80862.879197999995</v>
      </c>
      <c r="BO177" s="322">
        <v>34630.331457</v>
      </c>
      <c r="BP177" s="10">
        <v>43760</v>
      </c>
      <c r="BQ177" s="254">
        <f t="shared" si="68"/>
        <v>1.8478720109232174</v>
      </c>
      <c r="BR177" s="254">
        <f t="shared" si="69"/>
        <v>0.79136954883455213</v>
      </c>
      <c r="BS177" s="25">
        <v>60.328994648408667</v>
      </c>
      <c r="BT177" s="25">
        <v>95.001780420600099</v>
      </c>
      <c r="BU177" s="25">
        <v>54.201389658356398</v>
      </c>
      <c r="BV177" s="25">
        <v>80.823429471690005</v>
      </c>
      <c r="BW177" s="25">
        <v>70.913919440455032</v>
      </c>
      <c r="BX177" s="25">
        <v>72.588898549763798</v>
      </c>
      <c r="BY177" s="25">
        <v>70.973859124925482</v>
      </c>
      <c r="BZ177">
        <v>66</v>
      </c>
      <c r="CA177">
        <v>0</v>
      </c>
      <c r="CB177">
        <v>6</v>
      </c>
      <c r="CC177">
        <v>36795.292742999998</v>
      </c>
      <c r="CD177" s="10">
        <v>3116.1004090000001</v>
      </c>
      <c r="CE177" s="255">
        <v>8.4687474312670402E-2</v>
      </c>
      <c r="CF177" t="str">
        <f>IFERROR(VLOOKUP(CE177,'Rangos amb etnico'!$A$2:$C$6,3,9),"N.D.")</f>
        <v>0,1% - 30%</v>
      </c>
      <c r="CG177" s="256">
        <v>9.065910755316623E-5</v>
      </c>
      <c r="CH177" s="232">
        <v>0</v>
      </c>
      <c r="CI177" s="311">
        <f t="shared" si="76"/>
        <v>0</v>
      </c>
      <c r="CJ177" s="232">
        <f>IFERROR(VLOOKUP(CI177,'Rangos amb etnico'!$A$2:$C$6,3,9),"N.D.")</f>
        <v>0</v>
      </c>
      <c r="CK177" s="311">
        <f t="shared" si="77"/>
        <v>0</v>
      </c>
      <c r="CL177" s="10">
        <v>0</v>
      </c>
      <c r="CM177" s="255">
        <f t="shared" si="78"/>
        <v>0</v>
      </c>
      <c r="CN177" s="232">
        <f>IFERROR(VLOOKUP(CM177,'Rangos amb etnico'!$A$2:$C$6,3,9),"N.D.")</f>
        <v>0</v>
      </c>
      <c r="CO177" s="311">
        <f t="shared" si="79"/>
        <v>0</v>
      </c>
      <c r="CP177">
        <v>0.98101340272780946</v>
      </c>
      <c r="CQ177" t="s">
        <v>2864</v>
      </c>
      <c r="CR177">
        <f t="shared" si="70"/>
        <v>4</v>
      </c>
      <c r="CS177" t="str">
        <f t="shared" si="80"/>
        <v>Candidato</v>
      </c>
      <c r="CT177">
        <v>0</v>
      </c>
      <c r="CU177">
        <v>0</v>
      </c>
      <c r="CV177" s="25">
        <v>53.479820251464837</v>
      </c>
      <c r="CW177" s="25">
        <v>41.794361114501953</v>
      </c>
      <c r="CX177" s="25">
        <v>59.890598297119141</v>
      </c>
      <c r="CY177" s="25">
        <v>72.950447082519531</v>
      </c>
      <c r="CZ177" s="25">
        <v>71.599678039550781</v>
      </c>
      <c r="DA177" s="25">
        <v>25.576040267944339</v>
      </c>
      <c r="DB177" s="25">
        <v>49.067798614501953</v>
      </c>
      <c r="DC177">
        <v>9135</v>
      </c>
      <c r="DD177" s="253" t="s">
        <v>380</v>
      </c>
    </row>
    <row r="178" spans="1:108" hidden="1">
      <c r="A178" s="13">
        <v>52838</v>
      </c>
      <c r="B178" s="13" t="s">
        <v>815</v>
      </c>
      <c r="C178" s="13" t="s">
        <v>672</v>
      </c>
      <c r="D178" s="13" t="s">
        <v>673</v>
      </c>
      <c r="E178" s="13" t="s">
        <v>816</v>
      </c>
      <c r="F178" s="14">
        <v>54.001833333333302</v>
      </c>
      <c r="G178" s="13">
        <v>41.35</v>
      </c>
      <c r="H178" s="13">
        <v>48.64</v>
      </c>
      <c r="I178" s="13">
        <v>52.43</v>
      </c>
      <c r="J178" s="14">
        <v>56.053053135901209</v>
      </c>
      <c r="K178" s="14">
        <v>50.010760096350211</v>
      </c>
      <c r="L178" s="14">
        <v>52.232093641386307</v>
      </c>
      <c r="M178" s="14">
        <v>48.305799999999998</v>
      </c>
      <c r="N178" s="14">
        <f t="shared" si="54"/>
        <v>49.105458333333331</v>
      </c>
      <c r="O178" s="14">
        <f t="shared" si="55"/>
        <v>51.650426718409435</v>
      </c>
      <c r="P178" s="14">
        <f t="shared" si="71"/>
        <v>50.377942525871383</v>
      </c>
      <c r="Q178" s="14">
        <v>44.288312840390844</v>
      </c>
      <c r="R178" s="17">
        <f t="shared" si="56"/>
        <v>55.711687159609156</v>
      </c>
      <c r="S178" s="14">
        <f t="shared" si="72"/>
        <v>0.60140518443648239</v>
      </c>
      <c r="T178" s="13">
        <v>0</v>
      </c>
      <c r="U178" s="13">
        <f t="shared" si="73"/>
        <v>30.297555816302189</v>
      </c>
      <c r="V178" s="13">
        <f>IF($T178=1,$AU178,(VLOOKUP(U178,'Cortes naturales'!$A$35:$C$39,3,9)))</f>
        <v>3</v>
      </c>
      <c r="W178" s="13">
        <v>3</v>
      </c>
      <c r="X178" s="14" t="b">
        <f t="shared" si="57"/>
        <v>1</v>
      </c>
      <c r="Y178" s="17">
        <f>IF($T178=1,$AU178,VLOOKUP(U178,'Cortes naturales'!$A$45:$C$49,3,9))</f>
        <v>3</v>
      </c>
      <c r="Z178" s="14">
        <v>49.564092147330371</v>
      </c>
      <c r="AA178" s="14">
        <v>0.61286338516836081</v>
      </c>
      <c r="AB178" s="14">
        <v>30.376017296209461</v>
      </c>
      <c r="AC178" s="13">
        <v>3</v>
      </c>
      <c r="AD178" s="13">
        <f t="shared" si="58"/>
        <v>0</v>
      </c>
      <c r="AE178" s="14">
        <f t="shared" si="59"/>
        <v>0.81385037854101228</v>
      </c>
      <c r="AF178" s="14">
        <f t="shared" si="60"/>
        <v>-1.1458200731878421E-2</v>
      </c>
      <c r="AG178" s="13">
        <f t="shared" si="61"/>
        <v>-7.8461479907272036E-2</v>
      </c>
      <c r="AH178" s="13">
        <f>IF($T178=1,$AU178,VLOOKUP(U178,'Cortes naturales'!$A$25:$C$29,3,9))</f>
        <v>3</v>
      </c>
      <c r="AI178" s="13" t="b">
        <f t="shared" si="62"/>
        <v>1</v>
      </c>
      <c r="AJ178" s="13">
        <f t="shared" si="63"/>
        <v>0</v>
      </c>
      <c r="AK178" s="28">
        <v>0.9741882058902549</v>
      </c>
      <c r="AL178" s="28">
        <v>48.284754005587047</v>
      </c>
      <c r="AM178" s="28">
        <v>0.43336536383975655</v>
      </c>
      <c r="AN178" s="13">
        <v>3</v>
      </c>
      <c r="AO178" s="33">
        <f t="shared" si="64"/>
        <v>0</v>
      </c>
      <c r="AP178" s="13">
        <f t="shared" si="74"/>
        <v>43.336536383975655</v>
      </c>
      <c r="AQ178" s="13">
        <f>IFERROR(VLOOKUP(U178,'Cortes naturales'!$E$15:$G$19,3,9),U178)</f>
        <v>4</v>
      </c>
      <c r="AR178" s="28">
        <f t="shared" si="65"/>
        <v>-0.37278302145377251</v>
      </c>
      <c r="AS178" s="13" t="b">
        <f t="shared" si="66"/>
        <v>0</v>
      </c>
      <c r="AT178" s="13">
        <f t="shared" si="75"/>
        <v>0</v>
      </c>
      <c r="AU178" s="13">
        <v>2</v>
      </c>
      <c r="AV178">
        <f t="shared" si="67"/>
        <v>-1</v>
      </c>
      <c r="AW178" s="13">
        <v>0</v>
      </c>
      <c r="AX178" s="13">
        <v>0</v>
      </c>
      <c r="AY178" s="13">
        <v>0</v>
      </c>
      <c r="AZ178" s="13">
        <v>0</v>
      </c>
      <c r="BA178">
        <v>0</v>
      </c>
      <c r="BB178" t="s">
        <v>2839</v>
      </c>
      <c r="BC178">
        <v>6</v>
      </c>
      <c r="BD178" t="s">
        <v>2919</v>
      </c>
      <c r="BE178">
        <v>0</v>
      </c>
      <c r="BF178" s="232" t="s">
        <v>2846</v>
      </c>
      <c r="BG178" s="232" t="s">
        <v>2846</v>
      </c>
      <c r="BH178" s="253">
        <v>32.5</v>
      </c>
      <c r="BI178" s="253">
        <v>15.17573790832518</v>
      </c>
      <c r="BJ178" s="25">
        <v>38.533938409751862</v>
      </c>
      <c r="BK178" t="s">
        <v>376</v>
      </c>
      <c r="BL178">
        <v>8.360067088569096</v>
      </c>
      <c r="BM178" t="s">
        <v>379</v>
      </c>
      <c r="BN178" s="322">
        <v>77222.682686</v>
      </c>
      <c r="BO178" s="322">
        <v>5960.2714189999997</v>
      </c>
      <c r="BP178" s="10">
        <v>47014</v>
      </c>
      <c r="BQ178" s="254">
        <f t="shared" si="68"/>
        <v>1.642546532649849</v>
      </c>
      <c r="BR178" s="254">
        <f t="shared" si="69"/>
        <v>0.1267765222912324</v>
      </c>
      <c r="BS178" s="25">
        <v>62.675149657970167</v>
      </c>
      <c r="BT178" s="25">
        <v>89.70673421252792</v>
      </c>
      <c r="BU178" s="25">
        <v>68.31</v>
      </c>
      <c r="BV178" s="25">
        <v>89.775733042520471</v>
      </c>
      <c r="BW178" s="25">
        <v>35.703725180802323</v>
      </c>
      <c r="BX178" s="25">
        <v>77.61690422825464</v>
      </c>
      <c r="BY178" s="25">
        <v>36.385390483616661</v>
      </c>
      <c r="BZ178">
        <v>70</v>
      </c>
      <c r="CA178">
        <v>1</v>
      </c>
      <c r="CB178">
        <v>6</v>
      </c>
      <c r="CC178">
        <v>21651.509687000002</v>
      </c>
      <c r="CD178" s="10">
        <v>5956.6295099999998</v>
      </c>
      <c r="CE178" s="255">
        <v>0.27511381867179818</v>
      </c>
      <c r="CF178" t="str">
        <f>IFERROR(VLOOKUP(CE178,'Rangos amb etnico'!$A$2:$C$6,3,9),"N.D.")</f>
        <v>0,1% - 30%</v>
      </c>
      <c r="CG178" s="256">
        <v>1.7330080694503508E-4</v>
      </c>
      <c r="CH178" s="232">
        <v>0</v>
      </c>
      <c r="CI178" s="311">
        <f t="shared" si="76"/>
        <v>0</v>
      </c>
      <c r="CJ178" s="232">
        <f>IFERROR(VLOOKUP(CI178,'Rangos amb etnico'!$A$2:$C$6,3,9),"N.D.")</f>
        <v>0</v>
      </c>
      <c r="CK178" s="311">
        <f t="shared" si="77"/>
        <v>0</v>
      </c>
      <c r="CL178" s="10">
        <v>0</v>
      </c>
      <c r="CM178" s="255">
        <f t="shared" si="78"/>
        <v>0</v>
      </c>
      <c r="CN178" s="232">
        <f>IFERROR(VLOOKUP(CM178,'Rangos amb etnico'!$A$2:$C$6,3,9),"N.D.")</f>
        <v>0</v>
      </c>
      <c r="CO178" s="311">
        <f t="shared" si="79"/>
        <v>0</v>
      </c>
      <c r="CP178">
        <v>0.97240575648770977</v>
      </c>
      <c r="CQ178" t="s">
        <v>2864</v>
      </c>
      <c r="CR178">
        <f t="shared" si="70"/>
        <v>1</v>
      </c>
      <c r="CS178" t="str">
        <f t="shared" si="80"/>
        <v>No es Candidato</v>
      </c>
      <c r="CT178">
        <v>1</v>
      </c>
      <c r="CU178" t="s">
        <v>2835</v>
      </c>
      <c r="CV178" s="25">
        <v>49.901390075683587</v>
      </c>
      <c r="CW178" s="25">
        <v>35.041114807128913</v>
      </c>
      <c r="CX178" s="25">
        <v>43.530879974365227</v>
      </c>
      <c r="CY178" s="25">
        <v>60.664470672607422</v>
      </c>
      <c r="CZ178" s="25">
        <v>58.313282012939453</v>
      </c>
      <c r="DA178" s="25">
        <v>46.581428527832031</v>
      </c>
      <c r="DB178" s="25">
        <v>55.277156829833977</v>
      </c>
      <c r="DC178">
        <v>17712</v>
      </c>
      <c r="DD178" s="253" t="s">
        <v>380</v>
      </c>
    </row>
    <row r="179" spans="1:108" hidden="1">
      <c r="A179" s="13">
        <v>70418</v>
      </c>
      <c r="B179" s="13" t="s">
        <v>817</v>
      </c>
      <c r="C179" s="13" t="s">
        <v>494</v>
      </c>
      <c r="D179" s="13" t="s">
        <v>495</v>
      </c>
      <c r="E179" s="13" t="s">
        <v>818</v>
      </c>
      <c r="F179" s="14">
        <v>52.856533333333303</v>
      </c>
      <c r="G179" s="13">
        <v>59.6</v>
      </c>
      <c r="H179" s="13">
        <v>63.61</v>
      </c>
      <c r="I179" s="13">
        <v>61.68</v>
      </c>
      <c r="J179" s="14">
        <v>52.3002717340324</v>
      </c>
      <c r="K179" s="14">
        <v>56.058878221933753</v>
      </c>
      <c r="L179" s="14">
        <v>42.807858933876986</v>
      </c>
      <c r="M179" s="14">
        <v>53.1023</v>
      </c>
      <c r="N179" s="14">
        <f t="shared" si="54"/>
        <v>59.436633333333333</v>
      </c>
      <c r="O179" s="14">
        <f t="shared" si="55"/>
        <v>51.06732722246079</v>
      </c>
      <c r="P179" s="14">
        <f t="shared" si="71"/>
        <v>55.251980277897061</v>
      </c>
      <c r="Q179" s="14">
        <v>44.060652492354421</v>
      </c>
      <c r="R179" s="17">
        <f t="shared" si="56"/>
        <v>55.939347507645579</v>
      </c>
      <c r="S179" s="14">
        <f t="shared" si="72"/>
        <v>0.60345412756881023</v>
      </c>
      <c r="T179" s="13">
        <v>0</v>
      </c>
      <c r="U179" s="13">
        <f t="shared" si="73"/>
        <v>33.342035555047481</v>
      </c>
      <c r="V179" s="13">
        <f>IF($T179=1,$AU179,(VLOOKUP(U179,'Cortes naturales'!$A$35:$C$39,3,9)))</f>
        <v>3</v>
      </c>
      <c r="W179" s="13">
        <v>3</v>
      </c>
      <c r="X179" s="14" t="b">
        <f t="shared" si="57"/>
        <v>1</v>
      </c>
      <c r="Y179" s="17">
        <f>IF($T179=1,$AU179,VLOOKUP(U179,'Cortes naturales'!$A$45:$C$49,3,9))</f>
        <v>3</v>
      </c>
      <c r="Z179" s="14">
        <v>52.839131401985128</v>
      </c>
      <c r="AA179" s="14">
        <v>0.61235492266999969</v>
      </c>
      <c r="AB179" s="14">
        <v>32.356302223612552</v>
      </c>
      <c r="AC179" s="13">
        <v>3</v>
      </c>
      <c r="AD179" s="13">
        <f t="shared" si="58"/>
        <v>0</v>
      </c>
      <c r="AE179" s="14">
        <f t="shared" si="59"/>
        <v>2.4128488759119335</v>
      </c>
      <c r="AF179" s="14">
        <f t="shared" si="60"/>
        <v>-8.9007951011894626E-3</v>
      </c>
      <c r="AG179" s="13">
        <f t="shared" si="61"/>
        <v>0.98573333143492903</v>
      </c>
      <c r="AH179" s="13">
        <f>IF($T179=1,$AU179,VLOOKUP(U179,'Cortes naturales'!$A$25:$C$29,3,9))</f>
        <v>3</v>
      </c>
      <c r="AI179" s="13" t="b">
        <f t="shared" si="62"/>
        <v>1</v>
      </c>
      <c r="AJ179" s="13">
        <f t="shared" si="63"/>
        <v>0</v>
      </c>
      <c r="AK179" s="28">
        <v>0.9741882058902549</v>
      </c>
      <c r="AL179" s="28">
        <v>51.475258621299318</v>
      </c>
      <c r="AM179" s="28">
        <v>0.47327521347344859</v>
      </c>
      <c r="AN179" s="13">
        <v>3</v>
      </c>
      <c r="AO179" s="33">
        <f t="shared" si="64"/>
        <v>0</v>
      </c>
      <c r="AP179" s="13">
        <f t="shared" si="74"/>
        <v>47.327521347344856</v>
      </c>
      <c r="AQ179" s="13">
        <f>IFERROR(VLOOKUP(U179,'Cortes naturales'!$E$15:$G$19,3,9),U179)</f>
        <v>4</v>
      </c>
      <c r="AR179" s="28">
        <f t="shared" si="65"/>
        <v>-0.37073407832144467</v>
      </c>
      <c r="AS179" s="13" t="b">
        <f t="shared" si="66"/>
        <v>0</v>
      </c>
      <c r="AT179" s="13">
        <f t="shared" si="75"/>
        <v>0</v>
      </c>
      <c r="AU179" s="13">
        <v>3</v>
      </c>
      <c r="AV179">
        <f t="shared" si="67"/>
        <v>0</v>
      </c>
      <c r="AW179" s="13">
        <v>0</v>
      </c>
      <c r="AX179" s="13">
        <v>0</v>
      </c>
      <c r="AY179" s="13">
        <v>0</v>
      </c>
      <c r="AZ179" s="13">
        <v>1</v>
      </c>
      <c r="BA179">
        <v>1</v>
      </c>
      <c r="BB179" t="s">
        <v>2839</v>
      </c>
      <c r="BC179">
        <v>6</v>
      </c>
      <c r="BD179" t="s">
        <v>2919</v>
      </c>
      <c r="BE179">
        <v>1</v>
      </c>
      <c r="BF179" s="232" t="s">
        <v>2846</v>
      </c>
      <c r="BG179" s="232" t="s">
        <v>2845</v>
      </c>
      <c r="BH179" s="253">
        <v>41.6</v>
      </c>
      <c r="BI179" s="253">
        <v>22.234437268104987</v>
      </c>
      <c r="BJ179" s="25">
        <v>14.84375</v>
      </c>
      <c r="BK179" t="s">
        <v>379</v>
      </c>
      <c r="BL179">
        <v>6.5472237467966323</v>
      </c>
      <c r="BM179" t="s">
        <v>379</v>
      </c>
      <c r="BN179" s="322">
        <v>56997.520283999998</v>
      </c>
      <c r="BO179" s="322">
        <v>4354.0427460000001</v>
      </c>
      <c r="BP179" s="10">
        <v>25570</v>
      </c>
      <c r="BQ179" s="254">
        <f t="shared" si="68"/>
        <v>2.2290778366836137</v>
      </c>
      <c r="BR179" s="254">
        <f t="shared" si="69"/>
        <v>0.17027934086820493</v>
      </c>
      <c r="BS179" s="25">
        <v>65.968063846795744</v>
      </c>
      <c r="BT179" s="25">
        <v>93.954801766392904</v>
      </c>
      <c r="BU179" s="25">
        <v>40.379401709401698</v>
      </c>
      <c r="BV179" s="25">
        <v>94.935186118121791</v>
      </c>
      <c r="BW179" s="25">
        <v>26.364329685891981</v>
      </c>
      <c r="BX179" s="25">
        <v>73.80936336017804</v>
      </c>
      <c r="BY179" s="25">
        <v>26.752884854122549</v>
      </c>
      <c r="BZ179">
        <v>43</v>
      </c>
      <c r="CA179">
        <v>0</v>
      </c>
      <c r="CB179">
        <v>7</v>
      </c>
      <c r="CC179">
        <v>19876.472293999999</v>
      </c>
      <c r="CD179" s="10">
        <v>160.924387</v>
      </c>
      <c r="CE179" s="255">
        <v>8.0962247535533438E-3</v>
      </c>
      <c r="CF179" t="str">
        <f>IFERROR(VLOOKUP(CE179,'Rangos amb etnico'!$A$2:$C$6,3,9),"N.D.")</f>
        <v>0,1% - 30%</v>
      </c>
      <c r="CG179" s="256">
        <v>4.68189704889588E-6</v>
      </c>
      <c r="CH179" s="232">
        <v>0</v>
      </c>
      <c r="CI179" s="311">
        <f t="shared" si="76"/>
        <v>0</v>
      </c>
      <c r="CJ179" s="232">
        <f>IFERROR(VLOOKUP(CI179,'Rangos amb etnico'!$A$2:$C$6,3,9),"N.D.")</f>
        <v>0</v>
      </c>
      <c r="CK179" s="311">
        <f t="shared" si="77"/>
        <v>0</v>
      </c>
      <c r="CL179" s="10">
        <v>0</v>
      </c>
      <c r="CM179" s="255">
        <f t="shared" si="78"/>
        <v>0</v>
      </c>
      <c r="CN179" s="232">
        <f>IFERROR(VLOOKUP(CM179,'Rangos amb etnico'!$A$2:$C$6,3,9),"N.D.")</f>
        <v>0</v>
      </c>
      <c r="CO179" s="311">
        <f t="shared" si="79"/>
        <v>0</v>
      </c>
      <c r="CP179">
        <v>0.86912530064912485</v>
      </c>
      <c r="CQ179" t="s">
        <v>2864</v>
      </c>
      <c r="CR179">
        <f t="shared" si="70"/>
        <v>2</v>
      </c>
      <c r="CS179" t="str">
        <f t="shared" si="80"/>
        <v>No es Candidato</v>
      </c>
      <c r="CT179">
        <v>0</v>
      </c>
      <c r="CU179">
        <v>0</v>
      </c>
      <c r="CV179" s="25">
        <v>51.932056427001953</v>
      </c>
      <c r="CW179" s="25">
        <v>31.454343795776371</v>
      </c>
      <c r="CX179" s="25">
        <v>45.132347106933587</v>
      </c>
      <c r="CY179" s="25">
        <v>52.157302856445313</v>
      </c>
      <c r="CZ179" s="25">
        <v>38.338302612304688</v>
      </c>
      <c r="DA179" s="25">
        <v>84.085762023925781</v>
      </c>
      <c r="DB179" s="25">
        <v>60.424289703369141</v>
      </c>
      <c r="DC179">
        <v>1091</v>
      </c>
      <c r="DD179" s="253" t="s">
        <v>380</v>
      </c>
    </row>
    <row r="180" spans="1:108" hidden="1">
      <c r="A180" s="13">
        <v>8141</v>
      </c>
      <c r="B180" s="13" t="s">
        <v>819</v>
      </c>
      <c r="C180" s="13" t="s">
        <v>442</v>
      </c>
      <c r="D180" s="13" t="s">
        <v>443</v>
      </c>
      <c r="E180" s="13" t="s">
        <v>609</v>
      </c>
      <c r="F180" s="14">
        <v>75.525966666666704</v>
      </c>
      <c r="G180" s="13">
        <v>57.45</v>
      </c>
      <c r="H180" s="13">
        <v>66.91</v>
      </c>
      <c r="I180" s="13">
        <v>61.81</v>
      </c>
      <c r="J180" s="14">
        <v>37.997208220371981</v>
      </c>
      <c r="K180" s="14">
        <v>51.870440604476528</v>
      </c>
      <c r="L180" s="14">
        <v>43.22924638843719</v>
      </c>
      <c r="M180" s="14">
        <v>33.481400000000001</v>
      </c>
      <c r="N180" s="14">
        <f t="shared" si="54"/>
        <v>65.423991666666666</v>
      </c>
      <c r="O180" s="14">
        <f t="shared" si="55"/>
        <v>41.644573803321428</v>
      </c>
      <c r="P180" s="14">
        <f t="shared" si="71"/>
        <v>53.534282734994051</v>
      </c>
      <c r="Q180" s="14">
        <v>43.732007518742279</v>
      </c>
      <c r="R180" s="17">
        <f t="shared" si="56"/>
        <v>56.267992481257721</v>
      </c>
      <c r="S180" s="14">
        <f t="shared" si="72"/>
        <v>0.60641193233131951</v>
      </c>
      <c r="T180" s="13">
        <v>0</v>
      </c>
      <c r="U180" s="13">
        <f t="shared" si="73"/>
        <v>32.463827839298936</v>
      </c>
      <c r="V180" s="13">
        <f>IF($T180=1,$AU180,(VLOOKUP(U180,'Cortes naturales'!$A$35:$C$39,3,9)))</f>
        <v>3</v>
      </c>
      <c r="W180" s="13">
        <v>3</v>
      </c>
      <c r="X180" s="14" t="b">
        <f t="shared" si="57"/>
        <v>1</v>
      </c>
      <c r="Y180" s="17">
        <f>IF($T180=1,$AU180,VLOOKUP(U180,'Cortes naturales'!$A$45:$C$49,3,9))</f>
        <v>3</v>
      </c>
      <c r="Z180" s="14">
        <v>56.430611994279928</v>
      </c>
      <c r="AA180" s="14">
        <v>0.61233810953925061</v>
      </c>
      <c r="AB180" s="14">
        <v>34.554614268720329</v>
      </c>
      <c r="AC180" s="13">
        <v>3</v>
      </c>
      <c r="AD180" s="13">
        <f t="shared" si="58"/>
        <v>0</v>
      </c>
      <c r="AE180" s="14">
        <f t="shared" si="59"/>
        <v>-2.8963292592858778</v>
      </c>
      <c r="AF180" s="14">
        <f t="shared" si="60"/>
        <v>-5.9261772079310937E-3</v>
      </c>
      <c r="AG180" s="13">
        <f t="shared" si="61"/>
        <v>-2.0907864294213923</v>
      </c>
      <c r="AH180" s="13">
        <f>IF($T180=1,$AU180,VLOOKUP(U180,'Cortes naturales'!$A$25:$C$29,3,9))</f>
        <v>3</v>
      </c>
      <c r="AI180" s="13" t="b">
        <f t="shared" si="62"/>
        <v>1</v>
      </c>
      <c r="AJ180" s="13">
        <f t="shared" si="63"/>
        <v>0</v>
      </c>
      <c r="AK180" s="28">
        <v>0.9741882058902549</v>
      </c>
      <c r="AL180" s="28">
        <v>54.974036655996663</v>
      </c>
      <c r="AM180" s="28">
        <v>0.51704123862783069</v>
      </c>
      <c r="AN180" s="13">
        <v>2</v>
      </c>
      <c r="AO180" s="33">
        <f t="shared" si="64"/>
        <v>-1</v>
      </c>
      <c r="AP180" s="13">
        <f t="shared" si="74"/>
        <v>51.704123862783071</v>
      </c>
      <c r="AQ180" s="13">
        <f>IFERROR(VLOOKUP(U180,'Cortes naturales'!$E$15:$G$19,3,9),U180)</f>
        <v>4</v>
      </c>
      <c r="AR180" s="28">
        <f t="shared" si="65"/>
        <v>-0.36777627355893538</v>
      </c>
      <c r="AS180" s="13" t="b">
        <f t="shared" si="66"/>
        <v>0</v>
      </c>
      <c r="AT180" s="13" t="str">
        <f t="shared" si="75"/>
        <v>Cambio en corte</v>
      </c>
      <c r="AU180" s="13">
        <v>2</v>
      </c>
      <c r="AV180">
        <f t="shared" si="67"/>
        <v>-1</v>
      </c>
      <c r="AW180" s="13">
        <v>0</v>
      </c>
      <c r="AX180" s="13">
        <v>0</v>
      </c>
      <c r="AY180" s="13">
        <v>0</v>
      </c>
      <c r="AZ180" s="13">
        <v>0</v>
      </c>
      <c r="BA180">
        <v>0</v>
      </c>
      <c r="BB180" t="s">
        <v>2839</v>
      </c>
      <c r="BC180">
        <v>6</v>
      </c>
      <c r="BD180" t="s">
        <v>2919</v>
      </c>
      <c r="BE180">
        <v>1</v>
      </c>
      <c r="BF180" s="232" t="s">
        <v>2846</v>
      </c>
      <c r="BG180" s="232" t="s">
        <v>2846</v>
      </c>
      <c r="BH180" s="253">
        <v>52</v>
      </c>
      <c r="BI180" s="253">
        <v>32.960143304970892</v>
      </c>
      <c r="BJ180" s="25">
        <v>1.0732838501448922</v>
      </c>
      <c r="BK180" t="s">
        <v>381</v>
      </c>
      <c r="BL180">
        <v>0.96732034223592356</v>
      </c>
      <c r="BM180" t="s">
        <v>383</v>
      </c>
      <c r="BN180" s="322">
        <v>35145.488705000003</v>
      </c>
      <c r="BO180" s="322">
        <v>1793.590895</v>
      </c>
      <c r="BP180" s="10">
        <v>19104</v>
      </c>
      <c r="BQ180" s="254">
        <f t="shared" si="68"/>
        <v>1.8396926667190119</v>
      </c>
      <c r="BR180" s="254">
        <f t="shared" si="69"/>
        <v>9.3885620550670013E-2</v>
      </c>
      <c r="BS180" s="25">
        <v>57.432357292321868</v>
      </c>
      <c r="BT180" s="25">
        <v>90.738076035734238</v>
      </c>
      <c r="BU180" s="25">
        <v>52.402393641888729</v>
      </c>
      <c r="BV180" s="25">
        <v>94.10495482774293</v>
      </c>
      <c r="BW180" s="25">
        <v>43.139200493436221</v>
      </c>
      <c r="BX180" s="25">
        <v>73.669445449421943</v>
      </c>
      <c r="BY180" s="25">
        <v>44.253895403429603</v>
      </c>
      <c r="BZ180">
        <v>77</v>
      </c>
      <c r="CA180">
        <v>0</v>
      </c>
      <c r="CB180">
        <v>7</v>
      </c>
      <c r="CC180">
        <v>13568.066080000001</v>
      </c>
      <c r="CD180" s="10">
        <v>0</v>
      </c>
      <c r="CE180" s="255">
        <v>0</v>
      </c>
      <c r="CF180">
        <f>IFERROR(VLOOKUP(CE180,'Rangos amb etnico'!$A$2:$C$6,3,9),"N.D.")</f>
        <v>0</v>
      </c>
      <c r="CG180" s="256">
        <v>0</v>
      </c>
      <c r="CH180" s="232">
        <v>0</v>
      </c>
      <c r="CI180" s="311">
        <f t="shared" si="76"/>
        <v>0</v>
      </c>
      <c r="CJ180" s="232">
        <f>IFERROR(VLOOKUP(CI180,'Rangos amb etnico'!$A$2:$C$6,3,9),"N.D.")</f>
        <v>0</v>
      </c>
      <c r="CK180" s="311">
        <f t="shared" si="77"/>
        <v>0</v>
      </c>
      <c r="CL180" s="10">
        <v>0</v>
      </c>
      <c r="CM180" s="255">
        <f t="shared" si="78"/>
        <v>0</v>
      </c>
      <c r="CN180" s="232">
        <f>IFERROR(VLOOKUP(CM180,'Rangos amb etnico'!$A$2:$C$6,3,9),"N.D.")</f>
        <v>0</v>
      </c>
      <c r="CO180" s="311">
        <f t="shared" si="79"/>
        <v>0</v>
      </c>
      <c r="CP180">
        <v>0.94216867726099685</v>
      </c>
      <c r="CQ180" t="s">
        <v>2864</v>
      </c>
      <c r="CR180">
        <f t="shared" si="70"/>
        <v>2</v>
      </c>
      <c r="CS180" t="str">
        <f t="shared" si="80"/>
        <v>No es Candidato</v>
      </c>
      <c r="CT180">
        <v>0</v>
      </c>
      <c r="CU180">
        <v>0</v>
      </c>
      <c r="CV180" s="25">
        <v>53.943805694580078</v>
      </c>
      <c r="CW180" s="25">
        <v>24.95833587646484</v>
      </c>
      <c r="CX180" s="25">
        <v>59.126106262207031</v>
      </c>
      <c r="CY180" s="25">
        <v>61.000110626220703</v>
      </c>
      <c r="CZ180" s="25">
        <v>38.777515411376953</v>
      </c>
      <c r="DA180" s="25">
        <v>89.963470458984375</v>
      </c>
      <c r="DB180" s="25">
        <v>49.837299346923828</v>
      </c>
      <c r="DC180">
        <v>7749</v>
      </c>
      <c r="DD180" s="253" t="s">
        <v>380</v>
      </c>
    </row>
    <row r="181" spans="1:108" hidden="1">
      <c r="A181" s="13">
        <v>68327</v>
      </c>
      <c r="B181" s="13" t="s">
        <v>820</v>
      </c>
      <c r="C181" s="13" t="s">
        <v>431</v>
      </c>
      <c r="D181" s="13" t="s">
        <v>432</v>
      </c>
      <c r="E181" s="13" t="s">
        <v>821</v>
      </c>
      <c r="F181" s="14">
        <v>76.781599999999997</v>
      </c>
      <c r="G181" s="13">
        <v>66.040000000000006</v>
      </c>
      <c r="H181" s="13">
        <v>61.97</v>
      </c>
      <c r="I181" s="13">
        <v>71.010000000000005</v>
      </c>
      <c r="J181" s="14">
        <v>41.299066328359146</v>
      </c>
      <c r="K181" s="14">
        <v>41.58548583051266</v>
      </c>
      <c r="L181" s="14">
        <v>57.173986234690702</v>
      </c>
      <c r="M181" s="14">
        <v>56.351199999999999</v>
      </c>
      <c r="N181" s="14">
        <f t="shared" si="54"/>
        <v>68.950400000000002</v>
      </c>
      <c r="O181" s="14">
        <f t="shared" si="55"/>
        <v>49.10243459839063</v>
      </c>
      <c r="P181" s="14">
        <f t="shared" si="71"/>
        <v>59.026417299195316</v>
      </c>
      <c r="Q181" s="14">
        <v>44.698352055633194</v>
      </c>
      <c r="R181" s="17">
        <f t="shared" si="56"/>
        <v>55.301647944366806</v>
      </c>
      <c r="S181" s="14">
        <f t="shared" si="72"/>
        <v>0.59771483149930127</v>
      </c>
      <c r="T181" s="13">
        <v>0</v>
      </c>
      <c r="U181" s="13">
        <f t="shared" si="73"/>
        <v>35.280965069995972</v>
      </c>
      <c r="V181" s="13">
        <f>IF($T181=1,$AU181,(VLOOKUP(U181,'Cortes naturales'!$A$35:$C$39,3,9)))</f>
        <v>3</v>
      </c>
      <c r="W181" s="13">
        <v>3</v>
      </c>
      <c r="X181" s="14" t="b">
        <f t="shared" si="57"/>
        <v>1</v>
      </c>
      <c r="Y181" s="17">
        <f>IF($T181=1,$AU181,VLOOKUP(U181,'Cortes naturales'!$A$45:$C$49,3,9))</f>
        <v>3</v>
      </c>
      <c r="Z181" s="14">
        <v>59.268005856768148</v>
      </c>
      <c r="AA181" s="14">
        <v>0.60805464709293799</v>
      </c>
      <c r="AB181" s="14">
        <v>36.03818638513934</v>
      </c>
      <c r="AC181" s="13">
        <v>2</v>
      </c>
      <c r="AD181" s="13">
        <f t="shared" si="58"/>
        <v>-1</v>
      </c>
      <c r="AE181" s="14">
        <f t="shared" si="59"/>
        <v>-0.24158855757283249</v>
      </c>
      <c r="AF181" s="14">
        <f t="shared" si="60"/>
        <v>-1.0339815593636725E-2</v>
      </c>
      <c r="AG181" s="13">
        <f t="shared" si="61"/>
        <v>-0.75722131514336866</v>
      </c>
      <c r="AH181" s="13">
        <f>IF($T181=1,$AU181,VLOOKUP(U181,'Cortes naturales'!$A$25:$C$29,3,9))</f>
        <v>2</v>
      </c>
      <c r="AI181" s="13" t="b">
        <f t="shared" si="62"/>
        <v>0</v>
      </c>
      <c r="AJ181" s="13" t="str">
        <f t="shared" si="63"/>
        <v>Cambio en corte</v>
      </c>
      <c r="AK181" s="28">
        <v>0.9741882058902549</v>
      </c>
      <c r="AL181" s="28">
        <v>57.738192292298081</v>
      </c>
      <c r="AM181" s="28">
        <v>0.55161791194327869</v>
      </c>
      <c r="AN181" s="13">
        <v>2</v>
      </c>
      <c r="AO181" s="33">
        <f t="shared" si="64"/>
        <v>-1</v>
      </c>
      <c r="AP181" s="13">
        <f t="shared" si="74"/>
        <v>55.161791194327868</v>
      </c>
      <c r="AQ181" s="13">
        <f>IFERROR(VLOOKUP(U181,'Cortes naturales'!$E$15:$G$19,3,9),U181)</f>
        <v>3</v>
      </c>
      <c r="AR181" s="28">
        <f t="shared" si="65"/>
        <v>-0.37647337439095363</v>
      </c>
      <c r="AS181" s="13" t="b">
        <f t="shared" si="66"/>
        <v>1</v>
      </c>
      <c r="AT181" s="13" t="str">
        <f t="shared" si="75"/>
        <v>Efecto ponderador</v>
      </c>
      <c r="AU181" s="13">
        <v>2</v>
      </c>
      <c r="AV181">
        <f t="shared" si="67"/>
        <v>-1</v>
      </c>
      <c r="AW181" s="13">
        <v>0</v>
      </c>
      <c r="AX181" s="13">
        <v>0</v>
      </c>
      <c r="AY181" s="13">
        <v>0</v>
      </c>
      <c r="AZ181" s="13">
        <v>0</v>
      </c>
      <c r="BA181">
        <v>0</v>
      </c>
      <c r="BB181" t="s">
        <v>2839</v>
      </c>
      <c r="BC181">
        <v>6</v>
      </c>
      <c r="BD181" t="s">
        <v>2919</v>
      </c>
      <c r="BE181">
        <v>1</v>
      </c>
      <c r="BF181" s="232" t="s">
        <v>2846</v>
      </c>
      <c r="BG181" s="232" t="s">
        <v>2845</v>
      </c>
      <c r="BH181" s="253">
        <v>29.6</v>
      </c>
      <c r="BI181" s="253">
        <v>10.699681962744208</v>
      </c>
      <c r="BJ181" s="25">
        <v>0</v>
      </c>
      <c r="BK181" t="s">
        <v>381</v>
      </c>
      <c r="BL181">
        <v>0</v>
      </c>
      <c r="BM181" t="s">
        <v>377</v>
      </c>
      <c r="BN181" s="322">
        <v>13130.678288999999</v>
      </c>
      <c r="BO181" s="322">
        <v>1874.3702539999999</v>
      </c>
      <c r="BP181" s="10">
        <v>5560</v>
      </c>
      <c r="BQ181" s="254">
        <f t="shared" si="68"/>
        <v>2.3616327857913668</v>
      </c>
      <c r="BR181" s="254">
        <f t="shared" si="69"/>
        <v>0.33711695215827336</v>
      </c>
      <c r="BS181" s="25">
        <v>63.729500505781033</v>
      </c>
      <c r="BT181" s="25">
        <v>87.145134388489211</v>
      </c>
      <c r="BU181" s="25">
        <v>55.616666666666667</v>
      </c>
      <c r="BV181" s="25">
        <v>87.814184217611285</v>
      </c>
      <c r="BW181" s="25">
        <v>36.019727360306291</v>
      </c>
      <c r="BX181" s="25">
        <v>73.576371444637047</v>
      </c>
      <c r="BY181" s="25">
        <v>37.884095907113164</v>
      </c>
      <c r="BZ181">
        <v>20</v>
      </c>
      <c r="CA181">
        <v>0</v>
      </c>
      <c r="CB181">
        <v>7</v>
      </c>
      <c r="CC181">
        <v>3010.9312070000001</v>
      </c>
      <c r="CD181" s="10">
        <v>19.411439000000001</v>
      </c>
      <c r="CE181" s="255">
        <v>6.4469885445642468E-3</v>
      </c>
      <c r="CF181" t="str">
        <f>IFERROR(VLOOKUP(CE181,'Rangos amb etnico'!$A$2:$C$6,3,9),"N.D.")</f>
        <v>0,1% - 30%</v>
      </c>
      <c r="CG181" s="256">
        <v>5.6475193513660799E-7</v>
      </c>
      <c r="CH181" s="232">
        <v>0</v>
      </c>
      <c r="CI181" s="311">
        <f t="shared" si="76"/>
        <v>0</v>
      </c>
      <c r="CJ181" s="232">
        <f>IFERROR(VLOOKUP(CI181,'Rangos amb etnico'!$A$2:$C$6,3,9),"N.D.")</f>
        <v>0</v>
      </c>
      <c r="CK181" s="311">
        <f t="shared" si="77"/>
        <v>0</v>
      </c>
      <c r="CL181" s="10">
        <v>0</v>
      </c>
      <c r="CM181" s="255">
        <f t="shared" si="78"/>
        <v>0</v>
      </c>
      <c r="CN181" s="232">
        <f>IFERROR(VLOOKUP(CM181,'Rangos amb etnico'!$A$2:$C$6,3,9),"N.D.")</f>
        <v>0</v>
      </c>
      <c r="CO181" s="311">
        <f t="shared" si="79"/>
        <v>0</v>
      </c>
      <c r="CP181">
        <v>0.96563595955637971</v>
      </c>
      <c r="CQ181" t="s">
        <v>2864</v>
      </c>
      <c r="CR181">
        <f t="shared" si="70"/>
        <v>2</v>
      </c>
      <c r="CS181" t="str">
        <f t="shared" si="80"/>
        <v>No es Candidato</v>
      </c>
      <c r="CT181">
        <v>0</v>
      </c>
      <c r="CU181">
        <v>0</v>
      </c>
      <c r="CV181" s="25">
        <v>53.407684326171882</v>
      </c>
      <c r="CW181" s="25">
        <v>23.15285491943359</v>
      </c>
      <c r="CX181" s="25">
        <v>55.062267303466797</v>
      </c>
      <c r="CY181" s="25">
        <v>81.900321960449219</v>
      </c>
      <c r="CZ181" s="25">
        <v>47.902988433837891</v>
      </c>
      <c r="DA181" s="25">
        <v>64.541946411132813</v>
      </c>
      <c r="DB181" s="25">
        <v>47.885734558105469</v>
      </c>
      <c r="DC181">
        <v>76</v>
      </c>
      <c r="DD181" s="253" t="s">
        <v>380</v>
      </c>
    </row>
    <row r="182" spans="1:108" hidden="1">
      <c r="A182" s="13">
        <v>76869</v>
      </c>
      <c r="B182" s="13" t="s">
        <v>822</v>
      </c>
      <c r="C182" s="13" t="s">
        <v>454</v>
      </c>
      <c r="D182" s="13" t="s">
        <v>455</v>
      </c>
      <c r="E182" s="13" t="s">
        <v>823</v>
      </c>
      <c r="F182" s="14">
        <v>52.731999999999999</v>
      </c>
      <c r="G182" s="13">
        <v>50.19</v>
      </c>
      <c r="H182" s="13">
        <v>51.2</v>
      </c>
      <c r="I182" s="13">
        <v>38.619999999999997</v>
      </c>
      <c r="J182" s="14">
        <v>52.882321773699722</v>
      </c>
      <c r="K182" s="14">
        <v>55.81429741120786</v>
      </c>
      <c r="L182" s="14">
        <v>56.088258777574481</v>
      </c>
      <c r="M182" s="14">
        <v>53.6751</v>
      </c>
      <c r="N182" s="14">
        <f t="shared" si="54"/>
        <v>48.185500000000005</v>
      </c>
      <c r="O182" s="14">
        <f t="shared" si="55"/>
        <v>54.614994490620518</v>
      </c>
      <c r="P182" s="14">
        <f t="shared" si="71"/>
        <v>51.400247245310261</v>
      </c>
      <c r="Q182" s="14">
        <v>44.207345120004618</v>
      </c>
      <c r="R182" s="17">
        <f t="shared" si="56"/>
        <v>55.792654879995382</v>
      </c>
      <c r="S182" s="14">
        <f t="shared" si="72"/>
        <v>0.60213389391995842</v>
      </c>
      <c r="T182" s="13">
        <v>0</v>
      </c>
      <c r="U182" s="13">
        <f t="shared" si="73"/>
        <v>30.949831022267283</v>
      </c>
      <c r="V182" s="13">
        <f>IF($T182=1,$AU182,(VLOOKUP(U182,'Cortes naturales'!$A$35:$C$39,3,9)))</f>
        <v>3</v>
      </c>
      <c r="W182" s="13">
        <v>3</v>
      </c>
      <c r="X182" s="14" t="b">
        <f t="shared" si="57"/>
        <v>1</v>
      </c>
      <c r="Y182" s="17">
        <f>IF($T182=1,$AU182,VLOOKUP(U182,'Cortes naturales'!$A$45:$C$49,3,9))</f>
        <v>3</v>
      </c>
      <c r="Z182" s="14">
        <v>52.232264077886455</v>
      </c>
      <c r="AA182" s="14">
        <v>0.61195983423665512</v>
      </c>
      <c r="AB182" s="14">
        <v>31.964047666908591</v>
      </c>
      <c r="AC182" s="13">
        <v>3</v>
      </c>
      <c r="AD182" s="13">
        <f t="shared" si="58"/>
        <v>0</v>
      </c>
      <c r="AE182" s="14">
        <f t="shared" si="59"/>
        <v>-0.83201683257619408</v>
      </c>
      <c r="AF182" s="14">
        <f t="shared" si="60"/>
        <v>-9.8259403166967019E-3</v>
      </c>
      <c r="AG182" s="13">
        <f t="shared" si="61"/>
        <v>-1.0142166446413086</v>
      </c>
      <c r="AH182" s="13">
        <f>IF($T182=1,$AU182,VLOOKUP(U182,'Cortes naturales'!$A$25:$C$29,3,9))</f>
        <v>3</v>
      </c>
      <c r="AI182" s="13" t="b">
        <f t="shared" si="62"/>
        <v>1</v>
      </c>
      <c r="AJ182" s="13">
        <f t="shared" si="63"/>
        <v>0</v>
      </c>
      <c r="AK182" s="28">
        <v>0.9741882058902549</v>
      </c>
      <c r="AL182" s="28">
        <v>50.884055631622218</v>
      </c>
      <c r="AM182" s="28">
        <v>0.46587988725928015</v>
      </c>
      <c r="AN182" s="13">
        <v>3</v>
      </c>
      <c r="AO182" s="33">
        <f t="shared" si="64"/>
        <v>0</v>
      </c>
      <c r="AP182" s="13">
        <f t="shared" si="74"/>
        <v>46.587988725928014</v>
      </c>
      <c r="AQ182" s="13">
        <f>IFERROR(VLOOKUP(U182,'Cortes naturales'!$E$15:$G$19,3,9),U182)</f>
        <v>4</v>
      </c>
      <c r="AR182" s="28">
        <f t="shared" si="65"/>
        <v>-0.37205431197029648</v>
      </c>
      <c r="AS182" s="13" t="b">
        <f t="shared" si="66"/>
        <v>0</v>
      </c>
      <c r="AT182" s="13">
        <f t="shared" si="75"/>
        <v>0</v>
      </c>
      <c r="AU182" s="13">
        <v>3</v>
      </c>
      <c r="AV182">
        <f t="shared" si="67"/>
        <v>0</v>
      </c>
      <c r="AW182" s="13">
        <v>0</v>
      </c>
      <c r="AX182" s="13">
        <v>0</v>
      </c>
      <c r="AY182" s="13">
        <v>0</v>
      </c>
      <c r="AZ182" s="13">
        <v>0</v>
      </c>
      <c r="BA182">
        <v>0</v>
      </c>
      <c r="BB182" t="s">
        <v>2838</v>
      </c>
      <c r="BC182">
        <v>6</v>
      </c>
      <c r="BD182" s="184" t="s">
        <v>2917</v>
      </c>
      <c r="BE182">
        <v>0</v>
      </c>
      <c r="BF182" s="232" t="s">
        <v>2846</v>
      </c>
      <c r="BG182" s="232" t="s">
        <v>2845</v>
      </c>
      <c r="BH182" s="253">
        <v>19</v>
      </c>
      <c r="BI182" s="253">
        <v>7.1315519970207619</v>
      </c>
      <c r="BJ182" s="25">
        <v>20.065993955809695</v>
      </c>
      <c r="BK182" t="s">
        <v>379</v>
      </c>
      <c r="BL182">
        <v>1.3541043235737555</v>
      </c>
      <c r="BM182" t="s">
        <v>383</v>
      </c>
      <c r="BN182" s="322">
        <v>18786.003680999998</v>
      </c>
      <c r="BO182" s="322">
        <v>3217.6586440000001</v>
      </c>
      <c r="BP182" s="10">
        <v>13893</v>
      </c>
      <c r="BQ182" s="254">
        <f t="shared" si="68"/>
        <v>1.3521920161952061</v>
      </c>
      <c r="BR182" s="254">
        <f t="shared" si="69"/>
        <v>0.23160286791909596</v>
      </c>
      <c r="BS182" s="25">
        <v>58.295249333269417</v>
      </c>
      <c r="BT182" s="25">
        <v>83.919135808440714</v>
      </c>
      <c r="BU182" s="25">
        <v>50.457066027689031</v>
      </c>
      <c r="BV182" s="25">
        <v>87.118073078098973</v>
      </c>
      <c r="BW182" s="25">
        <v>56.717515609852192</v>
      </c>
      <c r="BX182" s="25">
        <v>69.947381061874523</v>
      </c>
      <c r="BY182" s="25">
        <v>57.084018965010763</v>
      </c>
      <c r="BZ182">
        <v>85</v>
      </c>
      <c r="CA182">
        <v>0</v>
      </c>
      <c r="CB182">
        <v>7</v>
      </c>
      <c r="CC182">
        <v>11297.115349</v>
      </c>
      <c r="CD182" s="10">
        <v>8019.1615529999999</v>
      </c>
      <c r="CE182" s="255">
        <v>0.70984152195187078</v>
      </c>
      <c r="CF182" t="str">
        <f>IFERROR(VLOOKUP(CE182,'Rangos amb etnico'!$A$2:$C$6,3,9),"N.D.")</f>
        <v>71% - 100%</v>
      </c>
      <c r="CG182" s="256">
        <v>2.3330763913122755E-4</v>
      </c>
      <c r="CH182" s="232">
        <v>48.701593000000003</v>
      </c>
      <c r="CI182" s="311">
        <f t="shared" si="76"/>
        <v>4.3109759877162784E-3</v>
      </c>
      <c r="CJ182" s="232" t="str">
        <f>IFERROR(VLOOKUP(CI182,'Rangos amb etnico'!$A$2:$C$6,3,9),"N.D.")</f>
        <v>0,1% - 30%</v>
      </c>
      <c r="CK182" s="311">
        <f t="shared" si="77"/>
        <v>1.9337721011932048E-6</v>
      </c>
      <c r="CL182" s="10">
        <v>0</v>
      </c>
      <c r="CM182" s="255">
        <f t="shared" si="78"/>
        <v>0</v>
      </c>
      <c r="CN182" s="232">
        <f>IFERROR(VLOOKUP(CM182,'Rangos amb etnico'!$A$2:$C$6,3,9),"N.D.")</f>
        <v>0</v>
      </c>
      <c r="CO182" s="311">
        <f t="shared" si="79"/>
        <v>0</v>
      </c>
      <c r="CP182">
        <v>0.92518056817303895</v>
      </c>
      <c r="CQ182" t="s">
        <v>2864</v>
      </c>
      <c r="CR182">
        <f t="shared" si="70"/>
        <v>1</v>
      </c>
      <c r="CS182" t="str">
        <f t="shared" si="80"/>
        <v>No es Candidato</v>
      </c>
      <c r="CT182">
        <v>0</v>
      </c>
      <c r="CU182">
        <v>0</v>
      </c>
      <c r="CV182" s="25">
        <v>50.077411651611328</v>
      </c>
      <c r="CW182" s="25">
        <v>41.237888336181641</v>
      </c>
      <c r="CX182" s="25">
        <v>51.597236633300781</v>
      </c>
      <c r="CY182" s="25">
        <v>59.444236755371087</v>
      </c>
      <c r="CZ182" s="25">
        <v>56.054218292236328</v>
      </c>
      <c r="DA182" s="25">
        <v>42.959735870361328</v>
      </c>
      <c r="DB182" s="25">
        <v>49.171154022216797</v>
      </c>
      <c r="DC182">
        <v>681</v>
      </c>
      <c r="DD182" s="253" t="s">
        <v>380</v>
      </c>
    </row>
    <row r="183" spans="1:108" hidden="1">
      <c r="A183" s="13">
        <v>23417</v>
      </c>
      <c r="B183" s="13" t="s">
        <v>824</v>
      </c>
      <c r="C183" s="13" t="s">
        <v>567</v>
      </c>
      <c r="D183" s="13" t="s">
        <v>568</v>
      </c>
      <c r="E183" s="13" t="s">
        <v>825</v>
      </c>
      <c r="F183" s="14">
        <v>64.372666666666703</v>
      </c>
      <c r="G183" s="13">
        <v>58.3</v>
      </c>
      <c r="H183" s="13">
        <v>59.71</v>
      </c>
      <c r="I183" s="13">
        <v>59.77</v>
      </c>
      <c r="J183" s="14">
        <v>52.022231681790856</v>
      </c>
      <c r="K183" s="14">
        <v>55.455237008432768</v>
      </c>
      <c r="L183" s="14">
        <v>57.178336556804496</v>
      </c>
      <c r="M183" s="14">
        <v>48.110599999999998</v>
      </c>
      <c r="N183" s="14">
        <f t="shared" si="54"/>
        <v>60.538166666666676</v>
      </c>
      <c r="O183" s="14">
        <f t="shared" si="55"/>
        <v>53.191601311757033</v>
      </c>
      <c r="P183" s="14">
        <f t="shared" si="71"/>
        <v>56.864883989211854</v>
      </c>
      <c r="Q183" s="14">
        <v>44.283889874770871</v>
      </c>
      <c r="R183" s="17">
        <f t="shared" si="56"/>
        <v>55.716110125229129</v>
      </c>
      <c r="S183" s="14">
        <f t="shared" si="72"/>
        <v>0.60144499112706207</v>
      </c>
      <c r="T183" s="13">
        <v>0</v>
      </c>
      <c r="U183" s="13">
        <f t="shared" si="73"/>
        <v>34.201099646332935</v>
      </c>
      <c r="V183" s="13">
        <f>IF($T183=1,$AU183,(VLOOKUP(U183,'Cortes naturales'!$A$35:$C$39,3,9)))</f>
        <v>3</v>
      </c>
      <c r="W183" s="13">
        <v>3</v>
      </c>
      <c r="X183" s="14" t="b">
        <f t="shared" si="57"/>
        <v>1</v>
      </c>
      <c r="Y183" s="17">
        <f>IF($T183=1,$AU183,VLOOKUP(U183,'Cortes naturales'!$A$45:$C$49,3,9))</f>
        <v>3</v>
      </c>
      <c r="Z183" s="14">
        <v>57.679729519479039</v>
      </c>
      <c r="AA183" s="14">
        <v>0.61131641790971558</v>
      </c>
      <c r="AB183" s="14">
        <v>35.260565635849204</v>
      </c>
      <c r="AC183" s="13">
        <v>2</v>
      </c>
      <c r="AD183" s="13">
        <f t="shared" si="58"/>
        <v>-1</v>
      </c>
      <c r="AE183" s="14">
        <f t="shared" si="59"/>
        <v>-0.81484553026718487</v>
      </c>
      <c r="AF183" s="14">
        <f t="shared" si="60"/>
        <v>-9.871426782653514E-3</v>
      </c>
      <c r="AG183" s="13">
        <f t="shared" si="61"/>
        <v>-1.0594659895162692</v>
      </c>
      <c r="AH183" s="13">
        <f>IF($T183=1,$AU183,VLOOKUP(U183,'Cortes naturales'!$A$25:$C$29,3,9))</f>
        <v>3</v>
      </c>
      <c r="AI183" s="13" t="b">
        <f t="shared" si="62"/>
        <v>1</v>
      </c>
      <c r="AJ183" s="13" t="str">
        <f t="shared" si="63"/>
        <v>Efecto ponderador</v>
      </c>
      <c r="AK183" s="28">
        <v>0.9741882058902549</v>
      </c>
      <c r="AL183" s="28">
        <v>56.190912216816457</v>
      </c>
      <c r="AM183" s="28">
        <v>0.53226306918593835</v>
      </c>
      <c r="AN183" s="13">
        <v>2</v>
      </c>
      <c r="AO183" s="33">
        <f t="shared" si="64"/>
        <v>-1</v>
      </c>
      <c r="AP183" s="13">
        <f t="shared" si="74"/>
        <v>53.226306918593835</v>
      </c>
      <c r="AQ183" s="13">
        <f>IFERROR(VLOOKUP(U183,'Cortes naturales'!$E$15:$G$19,3,9),U183)</f>
        <v>4</v>
      </c>
      <c r="AR183" s="28">
        <f t="shared" si="65"/>
        <v>-0.37274321476319283</v>
      </c>
      <c r="AS183" s="13" t="b">
        <f t="shared" si="66"/>
        <v>0</v>
      </c>
      <c r="AT183" s="13" t="str">
        <f t="shared" si="75"/>
        <v>Cambio en corte</v>
      </c>
      <c r="AU183" s="13">
        <v>2</v>
      </c>
      <c r="AV183">
        <f t="shared" si="67"/>
        <v>-1</v>
      </c>
      <c r="AW183" s="13">
        <v>0</v>
      </c>
      <c r="AX183" s="13">
        <v>1</v>
      </c>
      <c r="AY183" s="13">
        <v>0</v>
      </c>
      <c r="AZ183" s="13">
        <v>0</v>
      </c>
      <c r="BA183">
        <v>0</v>
      </c>
      <c r="BB183" t="s">
        <v>2839</v>
      </c>
      <c r="BC183">
        <v>6</v>
      </c>
      <c r="BD183" t="s">
        <v>2919</v>
      </c>
      <c r="BE183">
        <v>1</v>
      </c>
      <c r="BF183" s="232" t="s">
        <v>2845</v>
      </c>
      <c r="BG183" s="232" t="s">
        <v>2845</v>
      </c>
      <c r="BH183" s="253">
        <v>41.1</v>
      </c>
      <c r="BI183" s="253">
        <v>33.403429639562759</v>
      </c>
      <c r="BJ183" s="25">
        <v>0</v>
      </c>
      <c r="BK183" t="s">
        <v>381</v>
      </c>
      <c r="BL183">
        <v>1.6638745838773283</v>
      </c>
      <c r="BM183" t="s">
        <v>383</v>
      </c>
      <c r="BN183" s="322">
        <v>356561.56553299999</v>
      </c>
      <c r="BO183" s="322">
        <v>18398.901879000001</v>
      </c>
      <c r="BP183" s="10">
        <v>120346</v>
      </c>
      <c r="BQ183" s="254">
        <f t="shared" si="68"/>
        <v>2.9628036289781128</v>
      </c>
      <c r="BR183" s="254">
        <f t="shared" si="69"/>
        <v>0.15288336861216825</v>
      </c>
      <c r="BS183" s="25">
        <v>65.076778685605817</v>
      </c>
      <c r="BT183" s="25">
        <v>95.078806961868679</v>
      </c>
      <c r="BU183" s="25">
        <v>46.49739147469046</v>
      </c>
      <c r="BV183" s="25">
        <v>96.788290585830239</v>
      </c>
      <c r="BW183" s="25">
        <v>45.026511311747477</v>
      </c>
      <c r="BX183" s="25">
        <v>75.860316926998792</v>
      </c>
      <c r="BY183" s="25">
        <v>44.846185199764541</v>
      </c>
      <c r="BZ183">
        <v>56</v>
      </c>
      <c r="CA183">
        <v>0</v>
      </c>
      <c r="CB183">
        <v>6</v>
      </c>
      <c r="CC183">
        <v>95122.870303000003</v>
      </c>
      <c r="CD183" s="10">
        <v>23536.813392</v>
      </c>
      <c r="CE183" s="255">
        <v>0.24743590386861666</v>
      </c>
      <c r="CF183" t="str">
        <f>IFERROR(VLOOKUP(CE183,'Rangos amb etnico'!$A$2:$C$6,3,9),"N.D.")</f>
        <v>0,1% - 30%</v>
      </c>
      <c r="CG183" s="256">
        <v>6.8477462748028266E-4</v>
      </c>
      <c r="CH183" s="232">
        <v>0</v>
      </c>
      <c r="CI183" s="311">
        <f t="shared" si="76"/>
        <v>0</v>
      </c>
      <c r="CJ183" s="232">
        <f>IFERROR(VLOOKUP(CI183,'Rangos amb etnico'!$A$2:$C$6,3,9),"N.D.")</f>
        <v>0</v>
      </c>
      <c r="CK183" s="311">
        <f t="shared" si="77"/>
        <v>0</v>
      </c>
      <c r="CL183" s="10">
        <v>0</v>
      </c>
      <c r="CM183" s="255">
        <f t="shared" si="78"/>
        <v>0</v>
      </c>
      <c r="CN183" s="232">
        <f>IFERROR(VLOOKUP(CM183,'Rangos amb etnico'!$A$2:$C$6,3,9),"N.D.")</f>
        <v>0</v>
      </c>
      <c r="CO183" s="311">
        <f t="shared" si="79"/>
        <v>0</v>
      </c>
      <c r="CP183">
        <v>0.90016962909472831</v>
      </c>
      <c r="CQ183" t="s">
        <v>2864</v>
      </c>
      <c r="CR183">
        <f t="shared" si="70"/>
        <v>1</v>
      </c>
      <c r="CS183" t="str">
        <f t="shared" si="80"/>
        <v>No es Candidato</v>
      </c>
      <c r="CT183">
        <v>0</v>
      </c>
      <c r="CU183">
        <v>0</v>
      </c>
      <c r="CV183" s="25">
        <v>57.752899169921882</v>
      </c>
      <c r="CW183" s="25">
        <v>43.865821838378913</v>
      </c>
      <c r="CX183" s="25">
        <v>57.61590576171875</v>
      </c>
      <c r="CY183" s="25">
        <v>75.278785705566406</v>
      </c>
      <c r="CZ183" s="25">
        <v>18.946695327758789</v>
      </c>
      <c r="DA183" s="25">
        <v>88.886062622070313</v>
      </c>
      <c r="DB183" s="25">
        <v>61.92413330078125</v>
      </c>
      <c r="DC183">
        <v>11816</v>
      </c>
      <c r="DD183" s="253" t="s">
        <v>380</v>
      </c>
    </row>
    <row r="184" spans="1:108" hidden="1">
      <c r="A184" s="13">
        <v>23500</v>
      </c>
      <c r="B184" s="13" t="s">
        <v>826</v>
      </c>
      <c r="C184" s="13" t="s">
        <v>567</v>
      </c>
      <c r="D184" s="13" t="s">
        <v>568</v>
      </c>
      <c r="E184" s="13" t="s">
        <v>827</v>
      </c>
      <c r="F184" s="14">
        <v>72.960133333333303</v>
      </c>
      <c r="G184" s="13">
        <v>62.7</v>
      </c>
      <c r="H184" s="13">
        <v>52.74</v>
      </c>
      <c r="I184" s="13">
        <v>48.03</v>
      </c>
      <c r="J184" s="14">
        <v>49.506403743956</v>
      </c>
      <c r="K184" s="14">
        <v>41.067858464808602</v>
      </c>
      <c r="L184" s="14">
        <v>51.718703018074386</v>
      </c>
      <c r="M184" s="14">
        <v>49.653300000000002</v>
      </c>
      <c r="N184" s="14">
        <f t="shared" si="54"/>
        <v>59.107533333333329</v>
      </c>
      <c r="O184" s="14">
        <f t="shared" si="55"/>
        <v>47.986566306709747</v>
      </c>
      <c r="P184" s="14">
        <f t="shared" si="71"/>
        <v>53.547049820021542</v>
      </c>
      <c r="Q184" s="14">
        <v>44.363643087691152</v>
      </c>
      <c r="R184" s="17">
        <f t="shared" si="56"/>
        <v>55.636356912308848</v>
      </c>
      <c r="S184" s="14">
        <f t="shared" si="72"/>
        <v>0.60072721221077963</v>
      </c>
      <c r="T184" s="13">
        <v>0</v>
      </c>
      <c r="U184" s="13">
        <f t="shared" si="73"/>
        <v>32.167169960493268</v>
      </c>
      <c r="V184" s="13">
        <f>IF($T184=1,$AU184,(VLOOKUP(U184,'Cortes naturales'!$A$35:$C$39,3,9)))</f>
        <v>3</v>
      </c>
      <c r="W184" s="13">
        <v>3</v>
      </c>
      <c r="X184" s="14" t="b">
        <f t="shared" si="57"/>
        <v>1</v>
      </c>
      <c r="Y184" s="17">
        <f>IF($T184=1,$AU184,VLOOKUP(U184,'Cortes naturales'!$A$45:$C$49,3,9))</f>
        <v>3</v>
      </c>
      <c r="Z184" s="14">
        <v>56.406618882548436</v>
      </c>
      <c r="AA184" s="14">
        <v>0.61109817922978293</v>
      </c>
      <c r="AB184" s="14">
        <v>34.46998209563364</v>
      </c>
      <c r="AC184" s="13">
        <v>3</v>
      </c>
      <c r="AD184" s="13">
        <f t="shared" si="58"/>
        <v>0</v>
      </c>
      <c r="AE184" s="14">
        <f t="shared" si="59"/>
        <v>-2.8595690625268944</v>
      </c>
      <c r="AF184" s="14">
        <f t="shared" si="60"/>
        <v>-1.0370967019003308E-2</v>
      </c>
      <c r="AG184" s="13">
        <f t="shared" si="61"/>
        <v>-2.3028121351403712</v>
      </c>
      <c r="AH184" s="13">
        <f>IF($T184=1,$AU184,VLOOKUP(U184,'Cortes naturales'!$A$25:$C$29,3,9))</f>
        <v>3</v>
      </c>
      <c r="AI184" s="13" t="b">
        <f t="shared" si="62"/>
        <v>1</v>
      </c>
      <c r="AJ184" s="13">
        <f t="shared" si="63"/>
        <v>0</v>
      </c>
      <c r="AK184" s="28">
        <v>0.9741882058902549</v>
      </c>
      <c r="AL184" s="28">
        <v>54.950662849525237</v>
      </c>
      <c r="AM184" s="28">
        <v>0.51674885694718764</v>
      </c>
      <c r="AN184" s="13">
        <v>2</v>
      </c>
      <c r="AO184" s="33">
        <f t="shared" si="64"/>
        <v>-1</v>
      </c>
      <c r="AP184" s="13">
        <f t="shared" si="74"/>
        <v>51.674885694718768</v>
      </c>
      <c r="AQ184" s="13">
        <f>IFERROR(VLOOKUP(U184,'Cortes naturales'!$E$15:$G$19,3,9),U184)</f>
        <v>4</v>
      </c>
      <c r="AR184" s="28">
        <f t="shared" si="65"/>
        <v>-0.37346099367947527</v>
      </c>
      <c r="AS184" s="13" t="b">
        <f t="shared" si="66"/>
        <v>0</v>
      </c>
      <c r="AT184" s="13" t="str">
        <f t="shared" si="75"/>
        <v>Cambio en corte</v>
      </c>
      <c r="AU184" s="13">
        <v>2</v>
      </c>
      <c r="AV184">
        <f t="shared" si="67"/>
        <v>-1</v>
      </c>
      <c r="AW184" s="13">
        <v>0</v>
      </c>
      <c r="AX184" s="13">
        <v>0</v>
      </c>
      <c r="AY184" s="13">
        <v>0</v>
      </c>
      <c r="AZ184" s="13">
        <v>0</v>
      </c>
      <c r="BA184">
        <v>0</v>
      </c>
      <c r="BB184" t="s">
        <v>2839</v>
      </c>
      <c r="BC184">
        <v>6</v>
      </c>
      <c r="BD184" t="s">
        <v>2919</v>
      </c>
      <c r="BE184">
        <v>1</v>
      </c>
      <c r="BF184" s="232" t="s">
        <v>2846</v>
      </c>
      <c r="BG184" s="232" t="s">
        <v>2846</v>
      </c>
      <c r="BH184" s="253">
        <v>65.400000000000006</v>
      </c>
      <c r="BI184" s="253">
        <v>68.344291691572025</v>
      </c>
      <c r="BJ184" s="25">
        <v>0</v>
      </c>
      <c r="BK184" t="s">
        <v>381</v>
      </c>
      <c r="BL184">
        <v>1.483657602527013</v>
      </c>
      <c r="BM184" t="s">
        <v>383</v>
      </c>
      <c r="BN184" s="322">
        <v>85636.206806999995</v>
      </c>
      <c r="BO184" s="322">
        <v>3923.2042660000002</v>
      </c>
      <c r="BP184" s="10">
        <v>32846</v>
      </c>
      <c r="BQ184" s="254">
        <f t="shared" si="68"/>
        <v>2.6072035196675394</v>
      </c>
      <c r="BR184" s="254">
        <f t="shared" si="69"/>
        <v>0.11944237550995555</v>
      </c>
      <c r="BS184" s="25">
        <v>51.149385105416123</v>
      </c>
      <c r="BT184" s="25">
        <v>92.577274350199914</v>
      </c>
      <c r="BU184" s="25">
        <v>38.589437425615657</v>
      </c>
      <c r="BV184" s="25">
        <v>97.683640253024194</v>
      </c>
      <c r="BW184" s="25">
        <v>41.950319844537503</v>
      </c>
      <c r="BX184" s="25">
        <v>69.999934283563974</v>
      </c>
      <c r="BY184" s="25">
        <v>41.328856770270797</v>
      </c>
      <c r="BZ184">
        <v>56</v>
      </c>
      <c r="CA184">
        <v>0</v>
      </c>
      <c r="CB184">
        <v>7</v>
      </c>
      <c r="CC184">
        <v>20341.361346999998</v>
      </c>
      <c r="CD184" s="10">
        <v>300.38754399999999</v>
      </c>
      <c r="CE184" s="255">
        <v>1.4767327460327625E-2</v>
      </c>
      <c r="CF184" t="str">
        <f>IFERROR(VLOOKUP(CE184,'Rangos amb etnico'!$A$2:$C$6,3,9),"N.D.")</f>
        <v>0,1% - 30%</v>
      </c>
      <c r="CG184" s="256">
        <v>8.7394060154392976E-6</v>
      </c>
      <c r="CH184" s="232">
        <v>0</v>
      </c>
      <c r="CI184" s="311">
        <f t="shared" si="76"/>
        <v>0</v>
      </c>
      <c r="CJ184" s="232">
        <f>IFERROR(VLOOKUP(CI184,'Rangos amb etnico'!$A$2:$C$6,3,9),"N.D.")</f>
        <v>0</v>
      </c>
      <c r="CK184" s="311">
        <f t="shared" si="77"/>
        <v>0</v>
      </c>
      <c r="CL184" s="10">
        <v>0</v>
      </c>
      <c r="CM184" s="255">
        <f t="shared" si="78"/>
        <v>0</v>
      </c>
      <c r="CN184" s="232">
        <f>IFERROR(VLOOKUP(CM184,'Rangos amb etnico'!$A$2:$C$6,3,9),"N.D.")</f>
        <v>0</v>
      </c>
      <c r="CO184" s="311">
        <f t="shared" si="79"/>
        <v>0</v>
      </c>
      <c r="CP184">
        <v>0.93094095578789582</v>
      </c>
      <c r="CQ184" t="s">
        <v>2864</v>
      </c>
      <c r="CR184">
        <f t="shared" si="70"/>
        <v>1</v>
      </c>
      <c r="CS184" t="str">
        <f t="shared" si="80"/>
        <v>No es Candidato</v>
      </c>
      <c r="CT184">
        <v>0</v>
      </c>
      <c r="CU184">
        <v>0</v>
      </c>
      <c r="CV184" s="25">
        <v>53.141464233398438</v>
      </c>
      <c r="CW184" s="25">
        <v>26.178195953369141</v>
      </c>
      <c r="CX184" s="25">
        <v>56.335845947265618</v>
      </c>
      <c r="CY184" s="25">
        <v>59.611747741699219</v>
      </c>
      <c r="CZ184" s="25">
        <v>29.93459320068359</v>
      </c>
      <c r="DA184" s="25">
        <v>99.995697021484375</v>
      </c>
      <c r="DB184" s="25">
        <v>46.792701721191413</v>
      </c>
      <c r="DC184">
        <v>27428</v>
      </c>
      <c r="DD184" s="253" t="s">
        <v>380</v>
      </c>
    </row>
    <row r="185" spans="1:108">
      <c r="A185" s="13">
        <v>5679</v>
      </c>
      <c r="B185" s="13" t="s">
        <v>828</v>
      </c>
      <c r="C185" s="13" t="s">
        <v>435</v>
      </c>
      <c r="D185" s="13" t="s">
        <v>436</v>
      </c>
      <c r="E185" s="13" t="s">
        <v>829</v>
      </c>
      <c r="F185" s="14">
        <v>94.980266666666694</v>
      </c>
      <c r="G185" s="13">
        <v>80.14</v>
      </c>
      <c r="H185" s="13">
        <v>68</v>
      </c>
      <c r="I185" s="13">
        <v>66.95</v>
      </c>
      <c r="J185" s="14">
        <v>33.121756356189039</v>
      </c>
      <c r="K185" s="14">
        <v>44.032288908990814</v>
      </c>
      <c r="L185" s="14">
        <v>30.50267075446812</v>
      </c>
      <c r="M185" s="14">
        <v>49.307899999999997</v>
      </c>
      <c r="N185" s="14">
        <f t="shared" si="54"/>
        <v>77.517566666666667</v>
      </c>
      <c r="O185" s="14">
        <f t="shared" si="55"/>
        <v>39.241154004911991</v>
      </c>
      <c r="P185" s="14">
        <f t="shared" si="71"/>
        <v>58.379360335789329</v>
      </c>
      <c r="Q185" s="14">
        <v>43.856564515687587</v>
      </c>
      <c r="R185" s="17">
        <f t="shared" si="56"/>
        <v>56.143435484312413</v>
      </c>
      <c r="S185" s="14">
        <f t="shared" si="72"/>
        <v>0.60529091935881163</v>
      </c>
      <c r="T185" s="13">
        <v>0</v>
      </c>
      <c r="U185" s="13">
        <f t="shared" si="73"/>
        <v>35.336496689229264</v>
      </c>
      <c r="V185" s="13">
        <f>IF($T185=1,$AU185,(VLOOKUP(U185,'Cortes naturales'!$A$35:$C$39,3,9)))</f>
        <v>3</v>
      </c>
      <c r="W185" s="13">
        <v>3</v>
      </c>
      <c r="X185" s="14" t="b">
        <f t="shared" si="57"/>
        <v>1</v>
      </c>
      <c r="Y185" s="17">
        <f>IF($T185=1,$AU185,VLOOKUP(U185,'Cortes naturales'!$A$45:$C$49,3,9))</f>
        <v>3</v>
      </c>
      <c r="Z185" s="14">
        <v>60.934122447118796</v>
      </c>
      <c r="AA185" s="14">
        <v>0.61376286625813292</v>
      </c>
      <c r="AB185" s="14">
        <v>37.39910164606767</v>
      </c>
      <c r="AC185" s="13">
        <v>2</v>
      </c>
      <c r="AD185" s="13">
        <f t="shared" si="58"/>
        <v>-1</v>
      </c>
      <c r="AE185" s="14">
        <f t="shared" si="59"/>
        <v>-2.5547621113294667</v>
      </c>
      <c r="AF185" s="14">
        <f t="shared" si="60"/>
        <v>-8.4719468993212921E-3</v>
      </c>
      <c r="AG185" s="13">
        <f t="shared" si="61"/>
        <v>-2.0626049568384062</v>
      </c>
      <c r="AH185" s="13">
        <f>IF($T185=1,$AU185,VLOOKUP(U185,'Cortes naturales'!$A$25:$C$29,3,9))</f>
        <v>2</v>
      </c>
      <c r="AI185" s="13" t="b">
        <f t="shared" si="62"/>
        <v>0</v>
      </c>
      <c r="AJ185" s="13" t="str">
        <f t="shared" si="63"/>
        <v>Cambio en corte</v>
      </c>
      <c r="AK185" s="28">
        <v>0.9741882058902549</v>
      </c>
      <c r="AL185" s="28">
        <v>59.361303424255766</v>
      </c>
      <c r="AM185" s="28">
        <v>0.57192132128366646</v>
      </c>
      <c r="AN185" s="13">
        <v>2</v>
      </c>
      <c r="AO185" s="33">
        <f t="shared" si="64"/>
        <v>-1</v>
      </c>
      <c r="AP185" s="13">
        <f t="shared" si="74"/>
        <v>57.192132128366644</v>
      </c>
      <c r="AQ185" s="13">
        <f>IFERROR(VLOOKUP(U185,'Cortes naturales'!$E$15:$G$19,3,9),U185)</f>
        <v>3</v>
      </c>
      <c r="AR185" s="28">
        <f t="shared" si="65"/>
        <v>-0.36889728653144327</v>
      </c>
      <c r="AS185" s="13" t="b">
        <f t="shared" si="66"/>
        <v>1</v>
      </c>
      <c r="AT185" s="13" t="str">
        <f t="shared" si="75"/>
        <v>Efecto ponderador</v>
      </c>
      <c r="AU185" s="13">
        <v>1</v>
      </c>
      <c r="AV185">
        <f t="shared" si="67"/>
        <v>-2</v>
      </c>
      <c r="AW185" s="13">
        <v>0</v>
      </c>
      <c r="AX185" s="13">
        <v>0</v>
      </c>
      <c r="AY185" s="13">
        <v>0</v>
      </c>
      <c r="AZ185" s="13">
        <v>0</v>
      </c>
      <c r="BA185">
        <v>0</v>
      </c>
      <c r="BB185" t="s">
        <v>2839</v>
      </c>
      <c r="BC185">
        <v>6</v>
      </c>
      <c r="BD185" t="s">
        <v>2919</v>
      </c>
      <c r="BE185">
        <v>1</v>
      </c>
      <c r="BF185" s="232" t="s">
        <v>2846</v>
      </c>
      <c r="BG185" s="232" t="s">
        <v>2845</v>
      </c>
      <c r="BH185" s="253">
        <v>28.1</v>
      </c>
      <c r="BI185" s="253">
        <v>9.8140685107162486</v>
      </c>
      <c r="BJ185" s="25">
        <v>5.7586719630785348</v>
      </c>
      <c r="BK185" t="s">
        <v>377</v>
      </c>
      <c r="BL185">
        <v>3.3859011038820062</v>
      </c>
      <c r="BM185" t="s">
        <v>383</v>
      </c>
      <c r="BN185" s="322">
        <v>35691.122984000001</v>
      </c>
      <c r="BO185" s="322">
        <v>17769.242377999999</v>
      </c>
      <c r="BP185" s="10">
        <v>29171</v>
      </c>
      <c r="BQ185" s="254">
        <f t="shared" si="68"/>
        <v>1.2235138659627713</v>
      </c>
      <c r="BR185" s="254">
        <f t="shared" si="69"/>
        <v>0.60914066634671415</v>
      </c>
      <c r="BS185" s="25">
        <v>54.509008899971363</v>
      </c>
      <c r="BT185" s="25">
        <v>81.180381800646771</v>
      </c>
      <c r="BU185" s="25">
        <v>42.067930206342197</v>
      </c>
      <c r="BV185" s="25">
        <v>90.557752140217545</v>
      </c>
      <c r="BW185" s="25">
        <v>66.951151172031601</v>
      </c>
      <c r="BX185" s="25">
        <v>67.078768261794465</v>
      </c>
      <c r="BY185" s="25">
        <v>67.241336482086396</v>
      </c>
      <c r="BZ185">
        <v>65</v>
      </c>
      <c r="CA185">
        <v>0</v>
      </c>
      <c r="CB185">
        <v>6</v>
      </c>
      <c r="CC185">
        <v>19611.812807999999</v>
      </c>
      <c r="CD185" s="10">
        <v>3109.424771</v>
      </c>
      <c r="CE185" s="255">
        <v>0.15854856465546172</v>
      </c>
      <c r="CF185" t="str">
        <f>IFERROR(VLOOKUP(CE185,'Rangos amb etnico'!$A$2:$C$6,3,9),"N.D.")</f>
        <v>0,1% - 30%</v>
      </c>
      <c r="CG185" s="256">
        <v>9.046488807882579E-5</v>
      </c>
      <c r="CH185" s="232">
        <v>0</v>
      </c>
      <c r="CI185" s="311">
        <f t="shared" si="76"/>
        <v>0</v>
      </c>
      <c r="CJ185" s="232">
        <f>IFERROR(VLOOKUP(CI185,'Rangos amb etnico'!$A$2:$C$6,3,9),"N.D.")</f>
        <v>0</v>
      </c>
      <c r="CK185" s="311">
        <f t="shared" si="77"/>
        <v>0</v>
      </c>
      <c r="CL185" s="10">
        <v>0</v>
      </c>
      <c r="CM185" s="255">
        <f t="shared" si="78"/>
        <v>0</v>
      </c>
      <c r="CN185" s="232">
        <f>IFERROR(VLOOKUP(CM185,'Rangos amb etnico'!$A$2:$C$6,3,9),"N.D.")</f>
        <v>0</v>
      </c>
      <c r="CO185" s="311">
        <f t="shared" si="79"/>
        <v>0</v>
      </c>
      <c r="CP185">
        <v>0.82714714481719165</v>
      </c>
      <c r="CQ185" t="s">
        <v>2865</v>
      </c>
      <c r="CR185">
        <f t="shared" si="70"/>
        <v>3</v>
      </c>
      <c r="CS185" t="str">
        <f t="shared" si="80"/>
        <v>Candidato</v>
      </c>
      <c r="CT185">
        <v>0</v>
      </c>
      <c r="CU185">
        <v>0</v>
      </c>
      <c r="CV185" s="25">
        <v>45.514328002929688</v>
      </c>
      <c r="CW185" s="25">
        <v>37.829124450683587</v>
      </c>
      <c r="CX185" s="25">
        <v>66.249237060546875</v>
      </c>
      <c r="CY185" s="25">
        <v>47.968048095703118</v>
      </c>
      <c r="CZ185" s="25">
        <v>48.757431030273438</v>
      </c>
      <c r="DA185" s="25">
        <v>28.550249099731449</v>
      </c>
      <c r="DB185" s="25">
        <v>43.731887817382813</v>
      </c>
      <c r="DC185">
        <v>322</v>
      </c>
      <c r="DD185" s="253" t="s">
        <v>380</v>
      </c>
    </row>
    <row r="186" spans="1:108">
      <c r="A186" s="13">
        <v>5656</v>
      </c>
      <c r="B186" s="13" t="s">
        <v>830</v>
      </c>
      <c r="C186" s="13" t="s">
        <v>435</v>
      </c>
      <c r="D186" s="13" t="s">
        <v>436</v>
      </c>
      <c r="E186" s="13" t="s">
        <v>831</v>
      </c>
      <c r="F186" s="14">
        <v>67.755766666666702</v>
      </c>
      <c r="G186" s="13">
        <v>82</v>
      </c>
      <c r="H186" s="13">
        <v>79.86</v>
      </c>
      <c r="I186" s="13">
        <v>81.84</v>
      </c>
      <c r="J186" s="14">
        <v>52.674343948168982</v>
      </c>
      <c r="K186" s="14">
        <v>55.676478419716631</v>
      </c>
      <c r="L186" s="14">
        <v>58.567127704070202</v>
      </c>
      <c r="M186" s="14">
        <v>76.715999999999994</v>
      </c>
      <c r="N186" s="14">
        <f t="shared" si="54"/>
        <v>77.863941666666676</v>
      </c>
      <c r="O186" s="14">
        <f t="shared" si="55"/>
        <v>60.908487517988959</v>
      </c>
      <c r="P186" s="14">
        <f t="shared" si="71"/>
        <v>69.386214592327818</v>
      </c>
      <c r="Q186" s="14">
        <v>42.599931663646821</v>
      </c>
      <c r="R186" s="17">
        <f t="shared" si="56"/>
        <v>57.400068336353179</v>
      </c>
      <c r="S186" s="14">
        <f t="shared" si="72"/>
        <v>0.61660061502717867</v>
      </c>
      <c r="T186" s="13">
        <v>0</v>
      </c>
      <c r="U186" s="13">
        <f t="shared" si="73"/>
        <v>42.783582592037135</v>
      </c>
      <c r="V186" s="13">
        <f>IF($T186=1,$AU186,(VLOOKUP(U186,'Cortes naturales'!$A$35:$C$39,3,9)))</f>
        <v>2</v>
      </c>
      <c r="W186" s="13">
        <v>2</v>
      </c>
      <c r="X186" s="14" t="b">
        <f t="shared" si="57"/>
        <v>1</v>
      </c>
      <c r="Y186" s="17">
        <f>IF($T186=1,$AU186,VLOOKUP(U186,'Cortes naturales'!$A$45:$C$49,3,9))</f>
        <v>2</v>
      </c>
      <c r="Z186" s="14">
        <v>64.052318642592013</v>
      </c>
      <c r="AA186" s="14">
        <v>0.61134027694085646</v>
      </c>
      <c r="AB186" s="14">
        <v>39.157762217666182</v>
      </c>
      <c r="AC186" s="13">
        <v>2</v>
      </c>
      <c r="AD186" s="13">
        <f t="shared" si="58"/>
        <v>0</v>
      </c>
      <c r="AE186" s="14">
        <f t="shared" si="59"/>
        <v>5.3338959497358047</v>
      </c>
      <c r="AF186" s="14">
        <f t="shared" si="60"/>
        <v>5.2603380863222027E-3</v>
      </c>
      <c r="AG186" s="13">
        <f t="shared" si="61"/>
        <v>3.6258203743709529</v>
      </c>
      <c r="AH186" s="13">
        <f>IF($T186=1,$AU186,VLOOKUP(U186,'Cortes naturales'!$A$25:$C$29,3,9))</f>
        <v>2</v>
      </c>
      <c r="AI186" s="13" t="b">
        <f t="shared" si="62"/>
        <v>1</v>
      </c>
      <c r="AJ186" s="13">
        <f t="shared" si="63"/>
        <v>0</v>
      </c>
      <c r="AK186" s="28">
        <v>0.9741882058902549</v>
      </c>
      <c r="AL186" s="28">
        <v>62.399013381537642</v>
      </c>
      <c r="AM186" s="28">
        <v>0.60991987080114562</v>
      </c>
      <c r="AN186" s="13">
        <v>2</v>
      </c>
      <c r="AO186" s="33">
        <f t="shared" si="64"/>
        <v>0</v>
      </c>
      <c r="AP186" s="13">
        <f t="shared" si="74"/>
        <v>60.991987080114562</v>
      </c>
      <c r="AQ186" s="13">
        <f>IFERROR(VLOOKUP(U186,'Cortes naturales'!$E$15:$G$19,3,9),U186)</f>
        <v>3</v>
      </c>
      <c r="AR186" s="28">
        <f t="shared" si="65"/>
        <v>-0.35758759086307623</v>
      </c>
      <c r="AS186" s="13" t="b">
        <f t="shared" si="66"/>
        <v>0</v>
      </c>
      <c r="AT186" s="13">
        <f t="shared" si="75"/>
        <v>0</v>
      </c>
      <c r="AU186" s="13">
        <v>2</v>
      </c>
      <c r="AV186">
        <f t="shared" si="67"/>
        <v>0</v>
      </c>
      <c r="AW186" s="13">
        <v>0</v>
      </c>
      <c r="AX186" s="13">
        <v>0</v>
      </c>
      <c r="AY186" s="13">
        <v>0</v>
      </c>
      <c r="AZ186" s="13">
        <v>0</v>
      </c>
      <c r="BA186">
        <v>0</v>
      </c>
      <c r="BB186" t="s">
        <v>2839</v>
      </c>
      <c r="BC186">
        <v>6</v>
      </c>
      <c r="BD186" t="s">
        <v>2919</v>
      </c>
      <c r="BE186">
        <v>1</v>
      </c>
      <c r="BF186" s="232" t="s">
        <v>2846</v>
      </c>
      <c r="BG186" s="232" t="s">
        <v>2845</v>
      </c>
      <c r="BH186" s="253">
        <v>30.5</v>
      </c>
      <c r="BI186" s="253">
        <v>13.2871392674941</v>
      </c>
      <c r="BJ186" s="25">
        <v>33.670518598923351</v>
      </c>
      <c r="BK186" t="s">
        <v>379</v>
      </c>
      <c r="BL186">
        <v>5.0853676797186642</v>
      </c>
      <c r="BM186" t="s">
        <v>383</v>
      </c>
      <c r="BN186" s="322">
        <v>44157.219942999996</v>
      </c>
      <c r="BO186" s="322">
        <v>15064.991662</v>
      </c>
      <c r="BP186" s="10">
        <v>17982</v>
      </c>
      <c r="BQ186" s="254">
        <f t="shared" si="68"/>
        <v>2.4556345202424645</v>
      </c>
      <c r="BR186" s="254">
        <f t="shared" si="69"/>
        <v>0.83778176298520746</v>
      </c>
      <c r="BS186" s="25">
        <v>64.84595291697741</v>
      </c>
      <c r="BT186" s="25">
        <v>88.96437177399622</v>
      </c>
      <c r="BU186" s="25">
        <v>60.336666666666673</v>
      </c>
      <c r="BV186" s="25">
        <v>89.853047973883136</v>
      </c>
      <c r="BW186" s="25">
        <v>71.497379253486116</v>
      </c>
      <c r="BX186" s="25">
        <v>76.000009832880863</v>
      </c>
      <c r="BY186" s="25">
        <v>72.995262920506292</v>
      </c>
      <c r="BZ186">
        <v>90</v>
      </c>
      <c r="CA186">
        <v>0</v>
      </c>
      <c r="CB186">
        <v>7</v>
      </c>
      <c r="CC186">
        <v>15213.959889</v>
      </c>
      <c r="CD186" s="10">
        <v>4030.4912850000001</v>
      </c>
      <c r="CE186" s="255">
        <v>0.26492059361311493</v>
      </c>
      <c r="CF186" t="str">
        <f>IFERROR(VLOOKUP(CE186,'Rangos amb etnico'!$A$2:$C$6,3,9),"N.D.")</f>
        <v>0,1% - 30%</v>
      </c>
      <c r="CG186" s="256">
        <v>1.1726218508349554E-4</v>
      </c>
      <c r="CH186" s="232">
        <v>0</v>
      </c>
      <c r="CI186" s="311">
        <f t="shared" si="76"/>
        <v>0</v>
      </c>
      <c r="CJ186" s="232">
        <f>IFERROR(VLOOKUP(CI186,'Rangos amb etnico'!$A$2:$C$6,3,9),"N.D.")</f>
        <v>0</v>
      </c>
      <c r="CK186" s="311">
        <f t="shared" si="77"/>
        <v>0</v>
      </c>
      <c r="CL186" s="10">
        <v>0</v>
      </c>
      <c r="CM186" s="255">
        <f t="shared" si="78"/>
        <v>0</v>
      </c>
      <c r="CN186" s="232">
        <f>IFERROR(VLOOKUP(CM186,'Rangos amb etnico'!$A$2:$C$6,3,9),"N.D.")</f>
        <v>0</v>
      </c>
      <c r="CO186" s="311">
        <f t="shared" si="79"/>
        <v>0</v>
      </c>
      <c r="CP186">
        <v>0.96812798960931068</v>
      </c>
      <c r="CQ186" t="s">
        <v>2864</v>
      </c>
      <c r="CR186">
        <f t="shared" si="70"/>
        <v>4</v>
      </c>
      <c r="CS186" t="str">
        <f t="shared" si="80"/>
        <v>Candidato</v>
      </c>
      <c r="CT186">
        <v>0</v>
      </c>
      <c r="CU186">
        <v>0</v>
      </c>
      <c r="CV186" s="25">
        <v>52.053981781005859</v>
      </c>
      <c r="CW186" s="25">
        <v>39.006492614746087</v>
      </c>
      <c r="CX186" s="25">
        <v>66.392684936523438</v>
      </c>
      <c r="CY186" s="25">
        <v>59.523391723632813</v>
      </c>
      <c r="CZ186" s="25">
        <v>56.736843109130859</v>
      </c>
      <c r="DA186" s="25">
        <v>39.459575653076172</v>
      </c>
      <c r="DB186" s="25">
        <v>51.204906463623047</v>
      </c>
      <c r="DC186">
        <v>127</v>
      </c>
      <c r="DD186" s="253" t="s">
        <v>380</v>
      </c>
    </row>
    <row r="187" spans="1:108">
      <c r="A187" s="13">
        <v>5664</v>
      </c>
      <c r="B187" s="13" t="s">
        <v>832</v>
      </c>
      <c r="C187" s="13" t="s">
        <v>435</v>
      </c>
      <c r="D187" s="13" t="s">
        <v>436</v>
      </c>
      <c r="E187" s="13" t="s">
        <v>833</v>
      </c>
      <c r="F187" s="14">
        <v>63.296466666666703</v>
      </c>
      <c r="G187" s="13">
        <v>60.71</v>
      </c>
      <c r="H187" s="13">
        <v>63.87</v>
      </c>
      <c r="I187" s="13">
        <v>63.1</v>
      </c>
      <c r="J187" s="14">
        <v>58.989262799907223</v>
      </c>
      <c r="K187" s="14">
        <v>64.317308178421243</v>
      </c>
      <c r="L187" s="14">
        <v>13.784867693438001</v>
      </c>
      <c r="M187" s="14">
        <v>56.901400000000002</v>
      </c>
      <c r="N187" s="14">
        <f t="shared" si="54"/>
        <v>62.744116666666677</v>
      </c>
      <c r="O187" s="14">
        <f t="shared" si="55"/>
        <v>48.498209667941616</v>
      </c>
      <c r="P187" s="14">
        <f t="shared" si="71"/>
        <v>55.621163167304147</v>
      </c>
      <c r="Q187" s="14">
        <v>44.885101911276095</v>
      </c>
      <c r="R187" s="17">
        <f t="shared" si="56"/>
        <v>55.114898088723905</v>
      </c>
      <c r="S187" s="14">
        <f t="shared" si="72"/>
        <v>0.59603408279851522</v>
      </c>
      <c r="T187" s="13">
        <v>0</v>
      </c>
      <c r="U187" s="13">
        <f t="shared" si="73"/>
        <v>33.152108972610684</v>
      </c>
      <c r="V187" s="13">
        <f>IF($T187=1,$AU187,(VLOOKUP(U187,'Cortes naturales'!$A$35:$C$39,3,9)))</f>
        <v>3</v>
      </c>
      <c r="W187" s="13">
        <v>3</v>
      </c>
      <c r="X187" s="14" t="b">
        <f t="shared" si="57"/>
        <v>1</v>
      </c>
      <c r="Y187" s="17">
        <f>IF($T187=1,$AU187,VLOOKUP(U187,'Cortes naturales'!$A$45:$C$49,3,9))</f>
        <v>3</v>
      </c>
      <c r="Z187" s="14">
        <v>56.545355007634868</v>
      </c>
      <c r="AA187" s="14">
        <v>0.60987671083582728</v>
      </c>
      <c r="AB187" s="14">
        <v>34.485695125100527</v>
      </c>
      <c r="AC187" s="13">
        <v>3</v>
      </c>
      <c r="AD187" s="13">
        <f t="shared" si="58"/>
        <v>0</v>
      </c>
      <c r="AE187" s="14">
        <f t="shared" si="59"/>
        <v>-0.92419184033072099</v>
      </c>
      <c r="AF187" s="14">
        <f t="shared" si="60"/>
        <v>-1.3842628037312066E-2</v>
      </c>
      <c r="AG187" s="13">
        <f t="shared" si="61"/>
        <v>-1.3335861524898434</v>
      </c>
      <c r="AH187" s="13">
        <f>IF($T187=1,$AU187,VLOOKUP(U187,'Cortes naturales'!$A$25:$C$29,3,9))</f>
        <v>3</v>
      </c>
      <c r="AI187" s="13" t="b">
        <f t="shared" si="62"/>
        <v>1</v>
      </c>
      <c r="AJ187" s="13">
        <f t="shared" si="63"/>
        <v>0</v>
      </c>
      <c r="AK187" s="28">
        <v>0.9741882058902549</v>
      </c>
      <c r="AL187" s="28">
        <v>55.085817946315352</v>
      </c>
      <c r="AM187" s="28">
        <v>0.5184395047411311</v>
      </c>
      <c r="AN187" s="13">
        <v>2</v>
      </c>
      <c r="AO187" s="33">
        <f t="shared" si="64"/>
        <v>-1</v>
      </c>
      <c r="AP187" s="13">
        <f t="shared" si="74"/>
        <v>51.843950474113107</v>
      </c>
      <c r="AQ187" s="13">
        <f>IFERROR(VLOOKUP(U187,'Cortes naturales'!$E$15:$G$19,3,9),U187)</f>
        <v>4</v>
      </c>
      <c r="AR187" s="28">
        <f t="shared" si="65"/>
        <v>-0.37815412309173968</v>
      </c>
      <c r="AS187" s="13" t="b">
        <f t="shared" si="66"/>
        <v>0</v>
      </c>
      <c r="AT187" s="13" t="str">
        <f t="shared" si="75"/>
        <v>Cambio en corte</v>
      </c>
      <c r="AU187" s="13">
        <v>2</v>
      </c>
      <c r="AV187">
        <f t="shared" si="67"/>
        <v>-1</v>
      </c>
      <c r="AW187" s="13">
        <v>0</v>
      </c>
      <c r="AX187" s="13">
        <v>0</v>
      </c>
      <c r="AY187" s="13">
        <v>0</v>
      </c>
      <c r="AZ187" s="13">
        <v>0</v>
      </c>
      <c r="BA187">
        <v>0</v>
      </c>
      <c r="BB187" t="s">
        <v>2839</v>
      </c>
      <c r="BC187">
        <v>5</v>
      </c>
      <c r="BD187" t="s">
        <v>2919</v>
      </c>
      <c r="BE187">
        <v>0</v>
      </c>
      <c r="BF187" s="232" t="s">
        <v>2846</v>
      </c>
      <c r="BG187" s="232" t="s">
        <v>2845</v>
      </c>
      <c r="BH187" s="253">
        <v>19.5</v>
      </c>
      <c r="BI187" s="253">
        <v>6.6686251468860167</v>
      </c>
      <c r="BJ187" s="25">
        <v>1.5039829596155581</v>
      </c>
      <c r="BK187" t="s">
        <v>381</v>
      </c>
      <c r="BL187">
        <v>2.5920751394671036</v>
      </c>
      <c r="BM187" t="s">
        <v>383</v>
      </c>
      <c r="BN187" s="322">
        <v>66380.571121000001</v>
      </c>
      <c r="BO187" s="322">
        <v>23195.157401</v>
      </c>
      <c r="BP187" s="10">
        <v>22297</v>
      </c>
      <c r="BQ187" s="254">
        <f t="shared" si="68"/>
        <v>2.9771077329237117</v>
      </c>
      <c r="BR187" s="254">
        <f t="shared" si="69"/>
        <v>1.0402815356774455</v>
      </c>
      <c r="BS187" s="25">
        <v>83.7169752856895</v>
      </c>
      <c r="BT187" s="25">
        <v>93.823216666666667</v>
      </c>
      <c r="BU187" s="25">
        <v>55.29999999999999</v>
      </c>
      <c r="BV187" s="25">
        <v>85.844314310002616</v>
      </c>
      <c r="BW187" s="25">
        <v>67.914981379824852</v>
      </c>
      <c r="BX187" s="25">
        <v>79.671126565589688</v>
      </c>
      <c r="BY187" s="25">
        <v>69.260394359113121</v>
      </c>
      <c r="BZ187">
        <v>61</v>
      </c>
      <c r="CA187">
        <v>0</v>
      </c>
      <c r="CB187">
        <v>6</v>
      </c>
      <c r="CC187">
        <v>23536.616716</v>
      </c>
      <c r="CD187" s="10">
        <v>4943.5225920000003</v>
      </c>
      <c r="CE187" s="255">
        <v>0.21003539513134162</v>
      </c>
      <c r="CF187" t="str">
        <f>IFERROR(VLOOKUP(CE187,'Rangos amb etnico'!$A$2:$C$6,3,9),"N.D.")</f>
        <v>0,1% - 30%</v>
      </c>
      <c r="CG187" s="256">
        <v>1.4382570762649488E-4</v>
      </c>
      <c r="CH187" s="232">
        <v>0</v>
      </c>
      <c r="CI187" s="311">
        <f t="shared" si="76"/>
        <v>0</v>
      </c>
      <c r="CJ187" s="232">
        <f>IFERROR(VLOOKUP(CI187,'Rangos amb etnico'!$A$2:$C$6,3,9),"N.D.")</f>
        <v>0</v>
      </c>
      <c r="CK187" s="311">
        <f t="shared" si="77"/>
        <v>0</v>
      </c>
      <c r="CL187" s="10">
        <v>0</v>
      </c>
      <c r="CM187" s="255">
        <f t="shared" si="78"/>
        <v>0</v>
      </c>
      <c r="CN187" s="232">
        <f>IFERROR(VLOOKUP(CM187,'Rangos amb etnico'!$A$2:$C$6,3,9),"N.D.")</f>
        <v>0</v>
      </c>
      <c r="CO187" s="311">
        <f t="shared" si="79"/>
        <v>0</v>
      </c>
      <c r="CP187">
        <v>0.92256172677084347</v>
      </c>
      <c r="CQ187" t="s">
        <v>2864</v>
      </c>
      <c r="CR187">
        <f t="shared" si="70"/>
        <v>3</v>
      </c>
      <c r="CS187" t="str">
        <f t="shared" si="80"/>
        <v>Candidato</v>
      </c>
      <c r="CT187">
        <v>0</v>
      </c>
      <c r="CU187">
        <v>0</v>
      </c>
      <c r="CV187" s="25">
        <v>55.370819091796882</v>
      </c>
      <c r="CW187" s="25">
        <v>49.143890380859382</v>
      </c>
      <c r="CX187" s="25">
        <v>58.203323364257813</v>
      </c>
      <c r="CY187" s="25">
        <v>79.798980712890625</v>
      </c>
      <c r="CZ187" s="25">
        <v>54.381313323974609</v>
      </c>
      <c r="DA187" s="25">
        <v>26.633518218994141</v>
      </c>
      <c r="DB187" s="25">
        <v>64.063888549804688</v>
      </c>
      <c r="DC187">
        <v>275</v>
      </c>
      <c r="DD187" s="253" t="s">
        <v>380</v>
      </c>
    </row>
    <row r="188" spans="1:108" hidden="1">
      <c r="A188" s="13">
        <v>66088</v>
      </c>
      <c r="B188" s="13" t="s">
        <v>834</v>
      </c>
      <c r="C188" s="13" t="s">
        <v>467</v>
      </c>
      <c r="D188" s="13" t="s">
        <v>468</v>
      </c>
      <c r="E188" s="13" t="s">
        <v>835</v>
      </c>
      <c r="F188" s="14">
        <v>65.507366666666698</v>
      </c>
      <c r="G188" s="13">
        <v>46.09</v>
      </c>
      <c r="H188" s="13">
        <v>45.22</v>
      </c>
      <c r="I188" s="13">
        <v>58.54</v>
      </c>
      <c r="J188" s="14">
        <v>51.688693549672436</v>
      </c>
      <c r="K188" s="14">
        <v>55.721556011765436</v>
      </c>
      <c r="L188" s="14">
        <v>62.667546239163599</v>
      </c>
      <c r="M188" s="14">
        <v>53.6509</v>
      </c>
      <c r="N188" s="14">
        <f t="shared" si="54"/>
        <v>53.839341666666677</v>
      </c>
      <c r="O188" s="14">
        <f t="shared" si="55"/>
        <v>55.932173950150364</v>
      </c>
      <c r="P188" s="14">
        <f t="shared" si="71"/>
        <v>54.88575780840852</v>
      </c>
      <c r="Q188" s="14">
        <v>44.985049339106865</v>
      </c>
      <c r="R188" s="17">
        <f t="shared" si="56"/>
        <v>55.014950660893135</v>
      </c>
      <c r="S188" s="14">
        <f t="shared" si="72"/>
        <v>0.59513455594803821</v>
      </c>
      <c r="T188" s="13">
        <v>0</v>
      </c>
      <c r="U188" s="13">
        <f t="shared" si="73"/>
        <v>32.664411101178779</v>
      </c>
      <c r="V188" s="13">
        <f>IF($T188=1,$AU188,(VLOOKUP(U188,'Cortes naturales'!$A$35:$C$39,3,9)))</f>
        <v>3</v>
      </c>
      <c r="W188" s="13">
        <v>3</v>
      </c>
      <c r="X188" s="14" t="b">
        <f t="shared" si="57"/>
        <v>1</v>
      </c>
      <c r="Y188" s="17">
        <f>IF($T188=1,$AU188,VLOOKUP(U188,'Cortes naturales'!$A$45:$C$49,3,9))</f>
        <v>3</v>
      </c>
      <c r="Z188" s="14">
        <v>55.729026531637899</v>
      </c>
      <c r="AA188" s="14">
        <v>0.60855788210853601</v>
      </c>
      <c r="AB188" s="14">
        <v>33.914338358063972</v>
      </c>
      <c r="AC188" s="13">
        <v>3</v>
      </c>
      <c r="AD188" s="13">
        <f t="shared" si="58"/>
        <v>0</v>
      </c>
      <c r="AE188" s="14">
        <f t="shared" si="59"/>
        <v>-0.84326872322937874</v>
      </c>
      <c r="AF188" s="14">
        <f t="shared" si="60"/>
        <v>-1.3423326160497795E-2</v>
      </c>
      <c r="AG188" s="13">
        <f t="shared" si="61"/>
        <v>-1.2499272568851936</v>
      </c>
      <c r="AH188" s="13">
        <f>IF($T188=1,$AU188,VLOOKUP(U188,'Cortes naturales'!$A$25:$C$29,3,9))</f>
        <v>3</v>
      </c>
      <c r="AI188" s="13" t="b">
        <f t="shared" si="62"/>
        <v>1</v>
      </c>
      <c r="AJ188" s="13">
        <f t="shared" si="63"/>
        <v>0</v>
      </c>
      <c r="AK188" s="28">
        <v>0.9741882058902549</v>
      </c>
      <c r="AL188" s="28">
        <v>54.290560372866743</v>
      </c>
      <c r="AM188" s="28">
        <v>0.50849167077778701</v>
      </c>
      <c r="AN188" s="13">
        <v>2</v>
      </c>
      <c r="AO188" s="33">
        <f t="shared" si="64"/>
        <v>-1</v>
      </c>
      <c r="AP188" s="13">
        <f t="shared" si="74"/>
        <v>50.849167077778702</v>
      </c>
      <c r="AQ188" s="13">
        <f>IFERROR(VLOOKUP(U188,'Cortes naturales'!$E$15:$G$19,3,9),U188)</f>
        <v>4</v>
      </c>
      <c r="AR188" s="28">
        <f t="shared" si="65"/>
        <v>-0.37905364994221669</v>
      </c>
      <c r="AS188" s="13" t="b">
        <f t="shared" si="66"/>
        <v>0</v>
      </c>
      <c r="AT188" s="13" t="str">
        <f t="shared" si="75"/>
        <v>Cambio en corte</v>
      </c>
      <c r="AU188" s="13">
        <v>2</v>
      </c>
      <c r="AV188">
        <f t="shared" si="67"/>
        <v>-1</v>
      </c>
      <c r="AW188" s="13">
        <v>0</v>
      </c>
      <c r="AX188" s="13">
        <v>0</v>
      </c>
      <c r="AY188" s="13">
        <v>0</v>
      </c>
      <c r="AZ188" s="13">
        <v>0</v>
      </c>
      <c r="BA188">
        <v>0</v>
      </c>
      <c r="BB188" t="s">
        <v>2839</v>
      </c>
      <c r="BC188">
        <v>6</v>
      </c>
      <c r="BD188" t="s">
        <v>2919</v>
      </c>
      <c r="BE188">
        <v>1</v>
      </c>
      <c r="BF188" s="232" t="s">
        <v>2846</v>
      </c>
      <c r="BG188" s="232" t="s">
        <v>2845</v>
      </c>
      <c r="BH188" s="253">
        <v>35.6</v>
      </c>
      <c r="BI188" s="253">
        <v>13.024581736610898</v>
      </c>
      <c r="BJ188" s="25">
        <v>12.717806284011049</v>
      </c>
      <c r="BK188" t="s">
        <v>377</v>
      </c>
      <c r="BL188">
        <v>3.6079030665625393</v>
      </c>
      <c r="BM188" t="s">
        <v>383</v>
      </c>
      <c r="BN188" s="322">
        <v>51639.006415000003</v>
      </c>
      <c r="BO188" s="322">
        <v>9679.3565340000005</v>
      </c>
      <c r="BP188" s="10">
        <v>25391</v>
      </c>
      <c r="BQ188" s="254">
        <f t="shared" si="68"/>
        <v>2.0337523695403883</v>
      </c>
      <c r="BR188" s="254">
        <f t="shared" si="69"/>
        <v>0.38121210405261707</v>
      </c>
      <c r="BS188" s="25">
        <v>61.24032554470142</v>
      </c>
      <c r="BT188" s="25">
        <v>96.348637657234789</v>
      </c>
      <c r="BU188" s="25">
        <v>60.625221971407058</v>
      </c>
      <c r="BV188" s="25">
        <v>90.897535046582163</v>
      </c>
      <c r="BW188" s="25">
        <v>56.380799945914902</v>
      </c>
      <c r="BX188" s="25">
        <v>77.277930054981368</v>
      </c>
      <c r="BY188" s="25">
        <v>58.927741624573713</v>
      </c>
      <c r="BZ188">
        <v>31</v>
      </c>
      <c r="CA188">
        <v>0</v>
      </c>
      <c r="CB188">
        <v>6</v>
      </c>
      <c r="CC188">
        <v>18058.722401999999</v>
      </c>
      <c r="CD188" s="10">
        <v>2409.1099439999998</v>
      </c>
      <c r="CE188" s="255">
        <v>0.13340422928995196</v>
      </c>
      <c r="CF188" t="str">
        <f>IFERROR(VLOOKUP(CE188,'Rangos amb etnico'!$A$2:$C$6,3,9),"N.D.")</f>
        <v>0,1% - 30%</v>
      </c>
      <c r="CG188" s="256">
        <v>7.0090089808944367E-5</v>
      </c>
      <c r="CH188" s="232">
        <v>18.609175</v>
      </c>
      <c r="CI188" s="311">
        <f t="shared" si="76"/>
        <v>1.0304812591802751E-3</v>
      </c>
      <c r="CJ188" s="232" t="str">
        <f>IFERROR(VLOOKUP(CI188,'Rangos amb etnico'!$A$2:$C$6,3,9),"N.D.")</f>
        <v>0,1% - 30%</v>
      </c>
      <c r="CK188" s="311">
        <f t="shared" si="77"/>
        <v>7.3890608549954528E-7</v>
      </c>
      <c r="CL188" s="10">
        <v>0</v>
      </c>
      <c r="CM188" s="255">
        <f t="shared" si="78"/>
        <v>0</v>
      </c>
      <c r="CN188" s="232">
        <f>IFERROR(VLOOKUP(CM188,'Rangos amb etnico'!$A$2:$C$6,3,9),"N.D.")</f>
        <v>0</v>
      </c>
      <c r="CO188" s="311">
        <f t="shared" si="79"/>
        <v>0</v>
      </c>
      <c r="CP188">
        <v>0.91304653235723543</v>
      </c>
      <c r="CQ188" t="s">
        <v>2864</v>
      </c>
      <c r="CR188">
        <f t="shared" si="70"/>
        <v>1</v>
      </c>
      <c r="CS188" t="str">
        <f t="shared" si="80"/>
        <v>No es Candidato</v>
      </c>
      <c r="CT188">
        <v>0</v>
      </c>
      <c r="CU188">
        <v>0</v>
      </c>
      <c r="CV188" s="25">
        <v>49.645286560058587</v>
      </c>
      <c r="CW188" s="25">
        <v>31.61722564697266</v>
      </c>
      <c r="CX188" s="25">
        <v>53.574005126953118</v>
      </c>
      <c r="CY188" s="25">
        <v>56.781936645507813</v>
      </c>
      <c r="CZ188" s="25">
        <v>62.408748626708977</v>
      </c>
      <c r="DA188" s="25">
        <v>52.526630401611328</v>
      </c>
      <c r="DB188" s="25">
        <v>40.963169097900391</v>
      </c>
      <c r="DC188">
        <v>940</v>
      </c>
      <c r="DD188" s="253" t="s">
        <v>380</v>
      </c>
    </row>
    <row r="189" spans="1:108" hidden="1">
      <c r="A189" s="13">
        <v>76606</v>
      </c>
      <c r="B189" s="13" t="s">
        <v>836</v>
      </c>
      <c r="C189" s="13" t="s">
        <v>454</v>
      </c>
      <c r="D189" s="13" t="s">
        <v>455</v>
      </c>
      <c r="E189" s="13" t="s">
        <v>837</v>
      </c>
      <c r="F189" s="14">
        <v>50.624533333333297</v>
      </c>
      <c r="G189" s="13">
        <v>48.7</v>
      </c>
      <c r="H189" s="13">
        <v>47.92</v>
      </c>
      <c r="I189" s="13">
        <v>57.39</v>
      </c>
      <c r="J189" s="14">
        <v>58.488561686808964</v>
      </c>
      <c r="K189" s="14">
        <v>54.197214560562252</v>
      </c>
      <c r="L189" s="14">
        <v>52.515144504992008</v>
      </c>
      <c r="M189" s="14">
        <v>47.677700000000002</v>
      </c>
      <c r="N189" s="14">
        <f t="shared" si="54"/>
        <v>51.158633333333327</v>
      </c>
      <c r="O189" s="14">
        <f t="shared" si="55"/>
        <v>53.219655188090812</v>
      </c>
      <c r="P189" s="14">
        <f t="shared" si="71"/>
        <v>52.189144260712069</v>
      </c>
      <c r="Q189" s="14">
        <v>45.251208488895401</v>
      </c>
      <c r="R189" s="17">
        <f t="shared" si="56"/>
        <v>54.748791511104599</v>
      </c>
      <c r="S189" s="14">
        <f t="shared" si="72"/>
        <v>0.59273912359994141</v>
      </c>
      <c r="T189" s="13">
        <v>0</v>
      </c>
      <c r="U189" s="13">
        <f t="shared" si="73"/>
        <v>30.934547630525383</v>
      </c>
      <c r="V189" s="13">
        <f>IF($T189=1,$AU189,(VLOOKUP(U189,'Cortes naturales'!$A$35:$C$39,3,9)))</f>
        <v>3</v>
      </c>
      <c r="W189" s="13">
        <v>3</v>
      </c>
      <c r="X189" s="14" t="b">
        <f t="shared" si="57"/>
        <v>1</v>
      </c>
      <c r="Y189" s="17">
        <f>IF($T189=1,$AU189,VLOOKUP(U189,'Cortes naturales'!$A$45:$C$49,3,9))</f>
        <v>3</v>
      </c>
      <c r="Z189" s="14">
        <v>51.744358260156034</v>
      </c>
      <c r="AA189" s="14">
        <v>0.6089048804126086</v>
      </c>
      <c r="AB189" s="14">
        <v>31.507392278427485</v>
      </c>
      <c r="AC189" s="13">
        <v>3</v>
      </c>
      <c r="AD189" s="13">
        <f t="shared" si="58"/>
        <v>0</v>
      </c>
      <c r="AE189" s="14">
        <f t="shared" si="59"/>
        <v>0.44478600055603579</v>
      </c>
      <c r="AF189" s="14">
        <f t="shared" si="60"/>
        <v>-1.6165756812667187E-2</v>
      </c>
      <c r="AG189" s="13">
        <f t="shared" si="61"/>
        <v>-0.57284464790210166</v>
      </c>
      <c r="AH189" s="13">
        <f>IF($T189=1,$AU189,VLOOKUP(U189,'Cortes naturales'!$A$25:$C$29,3,9))</f>
        <v>3</v>
      </c>
      <c r="AI189" s="13" t="b">
        <f t="shared" si="62"/>
        <v>1</v>
      </c>
      <c r="AJ189" s="13">
        <f t="shared" si="63"/>
        <v>0</v>
      </c>
      <c r="AK189" s="28">
        <v>0.9741882058902549</v>
      </c>
      <c r="AL189" s="28">
        <v>50.408743538403996</v>
      </c>
      <c r="AM189" s="28">
        <v>0.45993423399929273</v>
      </c>
      <c r="AN189" s="13">
        <v>3</v>
      </c>
      <c r="AO189" s="33">
        <f t="shared" si="64"/>
        <v>0</v>
      </c>
      <c r="AP189" s="13">
        <f t="shared" si="74"/>
        <v>45.99342339992927</v>
      </c>
      <c r="AQ189" s="13">
        <f>IFERROR(VLOOKUP(U189,'Cortes naturales'!$E$15:$G$19,3,9),U189)</f>
        <v>4</v>
      </c>
      <c r="AR189" s="28">
        <f t="shared" si="65"/>
        <v>-0.38144908229031349</v>
      </c>
      <c r="AS189" s="13" t="b">
        <f t="shared" si="66"/>
        <v>0</v>
      </c>
      <c r="AT189" s="13">
        <f t="shared" si="75"/>
        <v>0</v>
      </c>
      <c r="AU189" s="13">
        <v>3</v>
      </c>
      <c r="AV189">
        <f t="shared" si="67"/>
        <v>0</v>
      </c>
      <c r="AW189" s="13">
        <v>0</v>
      </c>
      <c r="AX189" s="13">
        <v>0</v>
      </c>
      <c r="AY189" s="13">
        <v>0</v>
      </c>
      <c r="AZ189" s="13">
        <v>0</v>
      </c>
      <c r="BA189">
        <v>0</v>
      </c>
      <c r="BB189" t="s">
        <v>2839</v>
      </c>
      <c r="BC189">
        <v>6</v>
      </c>
      <c r="BD189" t="s">
        <v>2919</v>
      </c>
      <c r="BE189">
        <v>1</v>
      </c>
      <c r="BF189" s="232" t="s">
        <v>2846</v>
      </c>
      <c r="BG189" s="232" t="s">
        <v>2846</v>
      </c>
      <c r="BH189" s="253">
        <v>20.7</v>
      </c>
      <c r="BI189" s="253">
        <v>9.2436318174714796</v>
      </c>
      <c r="BJ189" s="25">
        <v>16.544997279487333</v>
      </c>
      <c r="BK189" t="s">
        <v>379</v>
      </c>
      <c r="BL189">
        <v>11.593770847380176</v>
      </c>
      <c r="BM189" t="s">
        <v>376</v>
      </c>
      <c r="BN189" s="322">
        <v>32317.037262000002</v>
      </c>
      <c r="BO189" s="322">
        <v>5973.3056880000004</v>
      </c>
      <c r="BP189" s="10">
        <v>15926</v>
      </c>
      <c r="BQ189" s="254">
        <f t="shared" si="68"/>
        <v>2.0291998783121938</v>
      </c>
      <c r="BR189" s="254">
        <f t="shared" si="69"/>
        <v>0.37506628707773454</v>
      </c>
      <c r="BS189" s="25">
        <v>66.000986163776858</v>
      </c>
      <c r="BT189" s="25">
        <v>95.375723333333326</v>
      </c>
      <c r="BU189" s="25">
        <v>54.931666666666672</v>
      </c>
      <c r="BV189" s="25">
        <v>77.574501922644444</v>
      </c>
      <c r="BW189" s="25">
        <v>61.72180294724933</v>
      </c>
      <c r="BX189" s="25">
        <v>73.470719521605332</v>
      </c>
      <c r="BY189" s="25">
        <v>62.540002417676497</v>
      </c>
      <c r="BZ189">
        <v>85</v>
      </c>
      <c r="CA189">
        <v>0</v>
      </c>
      <c r="CB189">
        <v>7</v>
      </c>
      <c r="CC189">
        <v>13724.335402999999</v>
      </c>
      <c r="CD189" s="10">
        <v>6128.2742909999997</v>
      </c>
      <c r="CE189" s="255">
        <v>0.44652612392877122</v>
      </c>
      <c r="CF189" t="str">
        <f>IFERROR(VLOOKUP(CE189,'Rangos amb etnico'!$A$2:$C$6,3,9),"N.D.")</f>
        <v>31% - 50%</v>
      </c>
      <c r="CG189" s="256">
        <v>1.7829460066768745E-4</v>
      </c>
      <c r="CH189" s="232">
        <v>37.255077999999997</v>
      </c>
      <c r="CI189" s="311">
        <f t="shared" si="76"/>
        <v>2.714526926517434E-3</v>
      </c>
      <c r="CJ189" s="232" t="str">
        <f>IFERROR(VLOOKUP(CI189,'Rangos amb etnico'!$A$2:$C$6,3,9),"N.D.")</f>
        <v>0,1% - 30%</v>
      </c>
      <c r="CK189" s="311">
        <f t="shared" si="77"/>
        <v>1.4792705130646697E-6</v>
      </c>
      <c r="CL189" s="10">
        <v>0</v>
      </c>
      <c r="CM189" s="255">
        <f t="shared" si="78"/>
        <v>0</v>
      </c>
      <c r="CN189" s="232">
        <f>IFERROR(VLOOKUP(CM189,'Rangos amb etnico'!$A$2:$C$6,3,9),"N.D.")</f>
        <v>0</v>
      </c>
      <c r="CO189" s="311">
        <f t="shared" si="79"/>
        <v>0</v>
      </c>
      <c r="CP189">
        <v>0.93712209070006391</v>
      </c>
      <c r="CQ189" t="s">
        <v>2864</v>
      </c>
      <c r="CR189">
        <f t="shared" si="70"/>
        <v>2</v>
      </c>
      <c r="CS189" t="str">
        <f t="shared" si="80"/>
        <v>No es Candidato</v>
      </c>
      <c r="CT189">
        <v>0</v>
      </c>
      <c r="CU189">
        <v>0</v>
      </c>
      <c r="CV189" s="25">
        <v>45.382991790771477</v>
      </c>
      <c r="CW189" s="25">
        <v>32.844093322753913</v>
      </c>
      <c r="CX189" s="25">
        <v>50.174976348876953</v>
      </c>
      <c r="CY189" s="25">
        <v>65.081504821777344</v>
      </c>
      <c r="CZ189" s="25">
        <v>51.828594207763672</v>
      </c>
      <c r="DA189" s="25">
        <v>12.20621871948242</v>
      </c>
      <c r="DB189" s="25">
        <v>60.162567138671882</v>
      </c>
      <c r="DC189">
        <v>462</v>
      </c>
      <c r="DD189" s="253" t="s">
        <v>380</v>
      </c>
    </row>
    <row r="190" spans="1:108" hidden="1">
      <c r="A190" s="13">
        <v>23686</v>
      </c>
      <c r="B190" s="13" t="s">
        <v>838</v>
      </c>
      <c r="C190" s="13" t="s">
        <v>567</v>
      </c>
      <c r="D190" s="13" t="s">
        <v>568</v>
      </c>
      <c r="E190" s="13" t="s">
        <v>839</v>
      </c>
      <c r="F190" s="14">
        <v>52.683666666666703</v>
      </c>
      <c r="G190" s="13">
        <v>48.99</v>
      </c>
      <c r="H190" s="13">
        <v>47.97</v>
      </c>
      <c r="I190" s="13">
        <v>51.37</v>
      </c>
      <c r="J190" s="14">
        <v>48.481867574528394</v>
      </c>
      <c r="K190" s="14">
        <v>66.146087969596238</v>
      </c>
      <c r="L190" s="14">
        <v>43.705703497651989</v>
      </c>
      <c r="M190" s="14">
        <v>56.104799999999997</v>
      </c>
      <c r="N190" s="14">
        <f t="shared" si="54"/>
        <v>50.253416666666681</v>
      </c>
      <c r="O190" s="14">
        <f t="shared" si="55"/>
        <v>53.60961476044416</v>
      </c>
      <c r="P190" s="14">
        <f t="shared" si="71"/>
        <v>51.93151571355542</v>
      </c>
      <c r="Q190" s="14">
        <v>44.383258774289388</v>
      </c>
      <c r="R190" s="17">
        <f t="shared" si="56"/>
        <v>55.616741225710612</v>
      </c>
      <c r="S190" s="14">
        <f t="shared" si="72"/>
        <v>0.60055067103139548</v>
      </c>
      <c r="T190" s="13">
        <v>0</v>
      </c>
      <c r="U190" s="13">
        <f t="shared" si="73"/>
        <v>31.187506609453166</v>
      </c>
      <c r="V190" s="13">
        <f>IF($T190=1,$AU190,(VLOOKUP(U190,'Cortes naturales'!$A$35:$C$39,3,9)))</f>
        <v>3</v>
      </c>
      <c r="W190" s="13">
        <v>3</v>
      </c>
      <c r="X190" s="14" t="b">
        <f t="shared" si="57"/>
        <v>1</v>
      </c>
      <c r="Y190" s="17">
        <f>IF($T190=1,$AU190,VLOOKUP(U190,'Cortes naturales'!$A$45:$C$49,3,9))</f>
        <v>3</v>
      </c>
      <c r="Z190" s="14">
        <v>51.879712537137394</v>
      </c>
      <c r="AA190" s="14">
        <v>0.60817202992566577</v>
      </c>
      <c r="AB190" s="14">
        <v>31.551790085670859</v>
      </c>
      <c r="AC190" s="13">
        <v>3</v>
      </c>
      <c r="AD190" s="13">
        <f t="shared" si="58"/>
        <v>0</v>
      </c>
      <c r="AE190" s="14">
        <f t="shared" si="59"/>
        <v>5.1803176418026453E-2</v>
      </c>
      <c r="AF190" s="14">
        <f t="shared" si="60"/>
        <v>-7.6213588942702915E-3</v>
      </c>
      <c r="AG190" s="13">
        <f t="shared" si="61"/>
        <v>-0.36428347621769319</v>
      </c>
      <c r="AH190" s="13">
        <f>IF($T190=1,$AU190,VLOOKUP(U190,'Cortes naturales'!$A$25:$C$29,3,9))</f>
        <v>3</v>
      </c>
      <c r="AI190" s="13" t="b">
        <f t="shared" si="62"/>
        <v>1</v>
      </c>
      <c r="AJ190" s="13">
        <f t="shared" si="63"/>
        <v>0</v>
      </c>
      <c r="AK190" s="28">
        <v>0.9741882058902549</v>
      </c>
      <c r="AL190" s="28">
        <v>50.540604078656038</v>
      </c>
      <c r="AM190" s="28">
        <v>0.46158367036373488</v>
      </c>
      <c r="AN190" s="13">
        <v>3</v>
      </c>
      <c r="AO190" s="33">
        <f t="shared" si="64"/>
        <v>0</v>
      </c>
      <c r="AP190" s="13">
        <f t="shared" si="74"/>
        <v>46.158367036373491</v>
      </c>
      <c r="AQ190" s="13">
        <f>IFERROR(VLOOKUP(U190,'Cortes naturales'!$E$15:$G$19,3,9),U190)</f>
        <v>4</v>
      </c>
      <c r="AR190" s="28">
        <f t="shared" si="65"/>
        <v>-0.37363753485885942</v>
      </c>
      <c r="AS190" s="13" t="b">
        <f t="shared" si="66"/>
        <v>0</v>
      </c>
      <c r="AT190" s="13">
        <f t="shared" si="75"/>
        <v>0</v>
      </c>
      <c r="AU190" s="13">
        <v>3</v>
      </c>
      <c r="AV190">
        <f t="shared" si="67"/>
        <v>0</v>
      </c>
      <c r="AW190" s="13">
        <v>0</v>
      </c>
      <c r="AX190" s="13">
        <v>0</v>
      </c>
      <c r="AY190" s="13">
        <v>0</v>
      </c>
      <c r="AZ190" s="13">
        <v>0</v>
      </c>
      <c r="BA190">
        <v>0</v>
      </c>
      <c r="BB190" t="s">
        <v>2839</v>
      </c>
      <c r="BC190">
        <v>6</v>
      </c>
      <c r="BD190" t="s">
        <v>2919</v>
      </c>
      <c r="BE190">
        <v>1</v>
      </c>
      <c r="BF190" s="232" t="s">
        <v>2846</v>
      </c>
      <c r="BG190" s="232" t="s">
        <v>2845</v>
      </c>
      <c r="BH190" s="253">
        <v>45.8</v>
      </c>
      <c r="BI190" s="253">
        <v>37.174373368789091</v>
      </c>
      <c r="BJ190" s="25">
        <v>10.87</v>
      </c>
      <c r="BK190" t="s">
        <v>377</v>
      </c>
      <c r="BL190">
        <v>3.4074230900585158</v>
      </c>
      <c r="BM190" t="s">
        <v>383</v>
      </c>
      <c r="BN190" s="322">
        <v>95405.126654000007</v>
      </c>
      <c r="BO190" s="322">
        <v>9037.3261949999996</v>
      </c>
      <c r="BP190" s="10">
        <v>57804</v>
      </c>
      <c r="BQ190" s="254">
        <f t="shared" si="68"/>
        <v>1.6504935065739397</v>
      </c>
      <c r="BR190" s="254">
        <f t="shared" si="69"/>
        <v>0.15634430480589578</v>
      </c>
      <c r="BS190" s="25">
        <v>48.231527105373829</v>
      </c>
      <c r="BT190" s="25">
        <v>88.327797384264059</v>
      </c>
      <c r="BU190" s="25">
        <v>36.640857710072098</v>
      </c>
      <c r="BV190" s="25">
        <v>98.307427975584702</v>
      </c>
      <c r="BW190" s="25">
        <v>44.207589073079717</v>
      </c>
      <c r="BX190" s="25">
        <v>67.876902543823675</v>
      </c>
      <c r="BY190" s="25">
        <v>45.490569356162048</v>
      </c>
      <c r="BZ190">
        <v>56</v>
      </c>
      <c r="CA190">
        <v>0</v>
      </c>
      <c r="CB190">
        <v>7</v>
      </c>
      <c r="CC190">
        <v>44558.548513000002</v>
      </c>
      <c r="CD190" s="10">
        <v>1707.5963509999999</v>
      </c>
      <c r="CE190" s="255">
        <v>3.8322530871978629E-2</v>
      </c>
      <c r="CF190" t="str">
        <f>IFERROR(VLOOKUP(CE190,'Rangos amb etnico'!$A$2:$C$6,3,9),"N.D.")</f>
        <v>0,1% - 30%</v>
      </c>
      <c r="CG190" s="256">
        <v>4.9680414917176435E-5</v>
      </c>
      <c r="CH190" s="232">
        <v>0</v>
      </c>
      <c r="CI190" s="311">
        <f t="shared" si="76"/>
        <v>0</v>
      </c>
      <c r="CJ190" s="232">
        <f>IFERROR(VLOOKUP(CI190,'Rangos amb etnico'!$A$2:$C$6,3,9),"N.D.")</f>
        <v>0</v>
      </c>
      <c r="CK190" s="311">
        <f t="shared" si="77"/>
        <v>0</v>
      </c>
      <c r="CL190" s="10">
        <v>0</v>
      </c>
      <c r="CM190" s="255">
        <f t="shared" si="78"/>
        <v>0</v>
      </c>
      <c r="CN190" s="232">
        <f>IFERROR(VLOOKUP(CM190,'Rangos amb etnico'!$A$2:$C$6,3,9),"N.D.")</f>
        <v>0</v>
      </c>
      <c r="CO190" s="311">
        <f t="shared" si="79"/>
        <v>0</v>
      </c>
      <c r="CP190">
        <v>0.94710903239099564</v>
      </c>
      <c r="CQ190" t="s">
        <v>2864</v>
      </c>
      <c r="CR190">
        <f t="shared" si="70"/>
        <v>1</v>
      </c>
      <c r="CS190" t="str">
        <f t="shared" si="80"/>
        <v>No es Candidato</v>
      </c>
      <c r="CT190">
        <v>0</v>
      </c>
      <c r="CU190">
        <v>0</v>
      </c>
      <c r="CV190" s="25">
        <v>50.99993896484375</v>
      </c>
      <c r="CW190" s="25">
        <v>34.636142730712891</v>
      </c>
      <c r="CX190" s="25">
        <v>51.717708587646477</v>
      </c>
      <c r="CY190" s="25">
        <v>52.558513641357422</v>
      </c>
      <c r="CZ190" s="25">
        <v>18.38388824462891</v>
      </c>
      <c r="DA190" s="25">
        <v>94.297950744628906</v>
      </c>
      <c r="DB190" s="25">
        <v>54.405437469482422</v>
      </c>
      <c r="DC190">
        <v>4041</v>
      </c>
      <c r="DD190" s="253" t="s">
        <v>380</v>
      </c>
    </row>
    <row r="191" spans="1:108" hidden="1">
      <c r="A191" s="13">
        <v>25035</v>
      </c>
      <c r="B191" s="13" t="s">
        <v>840</v>
      </c>
      <c r="C191" s="13" t="s">
        <v>461</v>
      </c>
      <c r="D191" s="13" t="s">
        <v>462</v>
      </c>
      <c r="E191" s="13" t="s">
        <v>841</v>
      </c>
      <c r="F191" s="14">
        <v>70.854366666666706</v>
      </c>
      <c r="G191" s="13">
        <v>75.7</v>
      </c>
      <c r="H191" s="13">
        <v>78.77</v>
      </c>
      <c r="I191" s="13">
        <v>79.989999999999995</v>
      </c>
      <c r="J191" s="14">
        <v>63.242340836731003</v>
      </c>
      <c r="K191" s="14">
        <v>63.8090783322383</v>
      </c>
      <c r="L191" s="14">
        <v>66.640516527648145</v>
      </c>
      <c r="M191" s="14">
        <v>60.794600000000003</v>
      </c>
      <c r="N191" s="14">
        <f t="shared" si="54"/>
        <v>76.328591666666682</v>
      </c>
      <c r="O191" s="14">
        <f t="shared" si="55"/>
        <v>63.621633924154366</v>
      </c>
      <c r="P191" s="14">
        <f t="shared" si="71"/>
        <v>69.975112795410524</v>
      </c>
      <c r="Q191" s="14">
        <v>45.00225162305928</v>
      </c>
      <c r="R191" s="17">
        <f t="shared" si="56"/>
        <v>54.99774837694072</v>
      </c>
      <c r="S191" s="14">
        <f t="shared" si="72"/>
        <v>0.59497973539246651</v>
      </c>
      <c r="T191" s="13">
        <v>0</v>
      </c>
      <c r="U191" s="13">
        <f t="shared" si="73"/>
        <v>41.633774095071352</v>
      </c>
      <c r="V191" s="13">
        <f>IF($T191=1,$AU191,(VLOOKUP(U191,'Cortes naturales'!$A$35:$C$39,3,9)))</f>
        <v>2</v>
      </c>
      <c r="W191" s="13">
        <v>2</v>
      </c>
      <c r="X191" s="14" t="b">
        <f t="shared" si="57"/>
        <v>1</v>
      </c>
      <c r="Y191" s="17">
        <f>IF($T191=1,$AU191,VLOOKUP(U191,'Cortes naturales'!$A$45:$C$49,3,9))</f>
        <v>2</v>
      </c>
      <c r="Z191" s="14">
        <v>69.220110945465379</v>
      </c>
      <c r="AA191" s="14">
        <v>0.6088687188811237</v>
      </c>
      <c r="AB191" s="14">
        <v>42.145960272174754</v>
      </c>
      <c r="AC191" s="13">
        <v>2</v>
      </c>
      <c r="AD191" s="13">
        <f t="shared" si="58"/>
        <v>0</v>
      </c>
      <c r="AE191" s="14">
        <f t="shared" si="59"/>
        <v>0.75500184994514541</v>
      </c>
      <c r="AF191" s="14">
        <f t="shared" si="60"/>
        <v>-1.3888983488657192E-2</v>
      </c>
      <c r="AG191" s="13">
        <f t="shared" si="61"/>
        <v>-0.51218617710340197</v>
      </c>
      <c r="AH191" s="13">
        <f>IF($T191=1,$AU191,VLOOKUP(U191,'Cortes naturales'!$A$25:$C$29,3,9))</f>
        <v>2</v>
      </c>
      <c r="AI191" s="13" t="b">
        <f t="shared" si="62"/>
        <v>1</v>
      </c>
      <c r="AJ191" s="13">
        <f t="shared" si="63"/>
        <v>0</v>
      </c>
      <c r="AK191" s="28">
        <v>0.9741882058902549</v>
      </c>
      <c r="AL191" s="28">
        <v>67.433415693487319</v>
      </c>
      <c r="AM191" s="28">
        <v>0.67289493696338909</v>
      </c>
      <c r="AN191" s="13">
        <v>1</v>
      </c>
      <c r="AO191" s="33">
        <f t="shared" si="64"/>
        <v>-1</v>
      </c>
      <c r="AP191" s="13">
        <f t="shared" si="74"/>
        <v>67.289493696338909</v>
      </c>
      <c r="AQ191" s="13">
        <f>IFERROR(VLOOKUP(U191,'Cortes naturales'!$E$15:$G$19,3,9),U191)</f>
        <v>3</v>
      </c>
      <c r="AR191" s="28">
        <f t="shared" si="65"/>
        <v>-0.37920847049778839</v>
      </c>
      <c r="AS191" s="13" t="b">
        <f t="shared" si="66"/>
        <v>0</v>
      </c>
      <c r="AT191" s="13" t="str">
        <f t="shared" si="75"/>
        <v>Cambio en corte</v>
      </c>
      <c r="AU191" s="13">
        <v>1</v>
      </c>
      <c r="AV191">
        <f t="shared" si="67"/>
        <v>-1</v>
      </c>
      <c r="AW191" s="13">
        <v>0</v>
      </c>
      <c r="AX191" s="13">
        <v>0</v>
      </c>
      <c r="AY191" s="13">
        <v>0</v>
      </c>
      <c r="AZ191" s="13">
        <v>0</v>
      </c>
      <c r="BA191">
        <v>0</v>
      </c>
      <c r="BB191" t="s">
        <v>2839</v>
      </c>
      <c r="BC191">
        <v>4</v>
      </c>
      <c r="BD191" t="s">
        <v>2919</v>
      </c>
      <c r="BE191">
        <v>0</v>
      </c>
      <c r="BF191" s="232" t="s">
        <v>2846</v>
      </c>
      <c r="BG191" s="232" t="s">
        <v>2846</v>
      </c>
      <c r="BH191" s="253">
        <v>22.6</v>
      </c>
      <c r="BI191" s="253">
        <v>10.33800494641385</v>
      </c>
      <c r="BJ191" s="25">
        <v>2.9871034268616268</v>
      </c>
      <c r="BK191" t="s">
        <v>381</v>
      </c>
      <c r="BL191">
        <v>6.0503891920324131</v>
      </c>
      <c r="BM191" t="s">
        <v>379</v>
      </c>
      <c r="BN191" s="322">
        <v>60519.42381</v>
      </c>
      <c r="BO191" s="322">
        <v>33455.577176999999</v>
      </c>
      <c r="BP191" s="10">
        <v>16635</v>
      </c>
      <c r="BQ191" s="254">
        <f t="shared" si="68"/>
        <v>3.6380777763751126</v>
      </c>
      <c r="BR191" s="254">
        <f t="shared" si="69"/>
        <v>2.0111558266907124</v>
      </c>
      <c r="BS191" s="25">
        <v>67.29891118606794</v>
      </c>
      <c r="BT191" s="25">
        <v>82.965515462378519</v>
      </c>
      <c r="BU191" s="25">
        <v>55.545286344891672</v>
      </c>
      <c r="BV191" s="25">
        <v>90.017865183187098</v>
      </c>
      <c r="BW191" s="25">
        <v>73.041756467035981</v>
      </c>
      <c r="BX191" s="25">
        <v>73.956894544131302</v>
      </c>
      <c r="BY191" s="25">
        <v>74.685697317575773</v>
      </c>
      <c r="BZ191">
        <v>93</v>
      </c>
      <c r="CA191">
        <v>0</v>
      </c>
      <c r="CB191">
        <v>7</v>
      </c>
      <c r="CC191">
        <v>12383.748530000001</v>
      </c>
      <c r="CD191" s="10">
        <v>5408.0519059999997</v>
      </c>
      <c r="CE191" s="255">
        <v>0.43670556559662305</v>
      </c>
      <c r="CF191" t="str">
        <f>IFERROR(VLOOKUP(CE191,'Rangos amb etnico'!$A$2:$C$6,3,9),"N.D.")</f>
        <v>31% - 50%</v>
      </c>
      <c r="CG191" s="256">
        <v>1.5734061649075686E-4</v>
      </c>
      <c r="CH191" s="232">
        <v>0</v>
      </c>
      <c r="CI191" s="311">
        <f t="shared" si="76"/>
        <v>0</v>
      </c>
      <c r="CJ191" s="232">
        <f>IFERROR(VLOOKUP(CI191,'Rangos amb etnico'!$A$2:$C$6,3,9),"N.D.")</f>
        <v>0</v>
      </c>
      <c r="CK191" s="311">
        <f t="shared" si="77"/>
        <v>0</v>
      </c>
      <c r="CL191" s="10">
        <v>0</v>
      </c>
      <c r="CM191" s="255">
        <f t="shared" si="78"/>
        <v>0</v>
      </c>
      <c r="CN191" s="232">
        <f>IFERROR(VLOOKUP(CM191,'Rangos amb etnico'!$A$2:$C$6,3,9),"N.D.")</f>
        <v>0</v>
      </c>
      <c r="CO191" s="311">
        <f t="shared" si="79"/>
        <v>0</v>
      </c>
      <c r="CP191">
        <v>0.97298780408960828</v>
      </c>
      <c r="CQ191" t="s">
        <v>2864</v>
      </c>
      <c r="CR191">
        <f t="shared" si="70"/>
        <v>4</v>
      </c>
      <c r="CS191" t="str">
        <f t="shared" si="80"/>
        <v>Candidato</v>
      </c>
      <c r="CT191">
        <v>0</v>
      </c>
      <c r="CU191">
        <v>0</v>
      </c>
      <c r="CV191" s="25">
        <v>56.290019989013672</v>
      </c>
      <c r="CW191" s="25">
        <v>32.840778350830078</v>
      </c>
      <c r="CX191" s="25">
        <v>63.753620147705078</v>
      </c>
      <c r="CY191" s="25">
        <v>76.223472595214844</v>
      </c>
      <c r="CZ191" s="25">
        <v>55.101089477539063</v>
      </c>
      <c r="DA191" s="25">
        <v>52.575511932373047</v>
      </c>
      <c r="DB191" s="25">
        <v>57.245635986328118</v>
      </c>
      <c r="DC191">
        <v>245</v>
      </c>
      <c r="DD191" s="253" t="s">
        <v>380</v>
      </c>
    </row>
    <row r="192" spans="1:108" hidden="1">
      <c r="A192" s="13">
        <v>25745</v>
      </c>
      <c r="B192" s="13" t="s">
        <v>842</v>
      </c>
      <c r="C192" s="13" t="s">
        <v>461</v>
      </c>
      <c r="D192" s="13" t="s">
        <v>462</v>
      </c>
      <c r="E192" s="13" t="s">
        <v>843</v>
      </c>
      <c r="F192" s="14">
        <v>60.173566666666702</v>
      </c>
      <c r="G192" s="13">
        <v>64.650000000000006</v>
      </c>
      <c r="H192" s="13">
        <v>33.69</v>
      </c>
      <c r="I192" s="13">
        <v>74.03</v>
      </c>
      <c r="J192" s="14">
        <v>61.625507131947295</v>
      </c>
      <c r="K192" s="14">
        <v>56.961891610431351</v>
      </c>
      <c r="L192" s="14">
        <v>69.441861654551872</v>
      </c>
      <c r="M192" s="14">
        <v>51.277299999999997</v>
      </c>
      <c r="N192" s="14">
        <f t="shared" si="54"/>
        <v>58.135891666666673</v>
      </c>
      <c r="O192" s="14">
        <f t="shared" si="55"/>
        <v>59.826640099232627</v>
      </c>
      <c r="P192" s="14">
        <f t="shared" si="71"/>
        <v>58.98126588294965</v>
      </c>
      <c r="Q192" s="14">
        <v>45.885765859522081</v>
      </c>
      <c r="R192" s="17">
        <f t="shared" si="56"/>
        <v>54.114234140477919</v>
      </c>
      <c r="S192" s="203">
        <f t="shared" si="72"/>
        <v>0.58702810726430132</v>
      </c>
      <c r="T192" s="13">
        <v>0</v>
      </c>
      <c r="U192" s="13">
        <f t="shared" si="73"/>
        <v>34.623660875320446</v>
      </c>
      <c r="V192" s="13">
        <f>IF($T192=1,$AU192,(VLOOKUP(U192,'Cortes naturales'!$A$35:$C$39,3,9)))</f>
        <v>3</v>
      </c>
      <c r="W192" s="13">
        <v>3</v>
      </c>
      <c r="X192" s="14" t="b">
        <f t="shared" si="57"/>
        <v>1</v>
      </c>
      <c r="Y192" s="17">
        <f>IF($T192=1,$AU192,VLOOKUP(U192,'Cortes naturales'!$A$45:$C$49,3,9))</f>
        <v>3</v>
      </c>
      <c r="Z192" s="14">
        <v>58.038596087808635</v>
      </c>
      <c r="AA192" s="203">
        <v>0.60478347272845601</v>
      </c>
      <c r="AB192" s="14">
        <v>35.10078369426909</v>
      </c>
      <c r="AC192" s="13">
        <v>2</v>
      </c>
      <c r="AD192" s="13">
        <f t="shared" si="58"/>
        <v>-1</v>
      </c>
      <c r="AE192" s="14">
        <f t="shared" si="59"/>
        <v>0.94266979514101479</v>
      </c>
      <c r="AF192" s="14">
        <f t="shared" si="60"/>
        <v>-1.7755365464154682E-2</v>
      </c>
      <c r="AG192" s="13">
        <f t="shared" si="61"/>
        <v>-0.47712281894864361</v>
      </c>
      <c r="AH192" s="13">
        <f>IF($T192=1,$AU192,VLOOKUP(U192,'Cortes naturales'!$A$25:$C$29,3,9))</f>
        <v>3</v>
      </c>
      <c r="AI192" s="13" t="b">
        <f t="shared" si="62"/>
        <v>1</v>
      </c>
      <c r="AJ192" s="13" t="str">
        <f t="shared" si="63"/>
        <v>Efecto ponderador</v>
      </c>
      <c r="AK192" s="28">
        <v>0.9741882058902549</v>
      </c>
      <c r="AL192" s="28">
        <v>56.540515795171459</v>
      </c>
      <c r="AM192" s="28">
        <v>0.53663624143425182</v>
      </c>
      <c r="AN192" s="13">
        <v>2</v>
      </c>
      <c r="AO192" s="33">
        <f t="shared" si="64"/>
        <v>-1</v>
      </c>
      <c r="AP192" s="13">
        <f t="shared" si="74"/>
        <v>53.663624143425182</v>
      </c>
      <c r="AQ192" s="13">
        <f>IFERROR(VLOOKUP(U192,'Cortes naturales'!$E$15:$G$19,3,9),U192)</f>
        <v>4</v>
      </c>
      <c r="AR192" s="28">
        <f t="shared" si="65"/>
        <v>-0.38716009862595357</v>
      </c>
      <c r="AS192" s="13" t="b">
        <f t="shared" si="66"/>
        <v>0</v>
      </c>
      <c r="AT192" s="13" t="str">
        <f t="shared" si="75"/>
        <v>Cambio en corte</v>
      </c>
      <c r="AU192" s="13">
        <v>2</v>
      </c>
      <c r="AV192">
        <f t="shared" si="67"/>
        <v>-1</v>
      </c>
      <c r="AW192" s="13">
        <v>0</v>
      </c>
      <c r="AX192" s="13">
        <v>0</v>
      </c>
      <c r="AY192" s="13">
        <v>0</v>
      </c>
      <c r="AZ192" s="13">
        <v>0</v>
      </c>
      <c r="BA192">
        <v>0</v>
      </c>
      <c r="BB192" t="s">
        <v>2839</v>
      </c>
      <c r="BC192">
        <v>6</v>
      </c>
      <c r="BD192" t="s">
        <v>2919</v>
      </c>
      <c r="BE192">
        <v>0</v>
      </c>
      <c r="BF192" s="232" t="s">
        <v>2846</v>
      </c>
      <c r="BG192" s="232" t="s">
        <v>2846</v>
      </c>
      <c r="BH192" s="253">
        <v>22.4</v>
      </c>
      <c r="BI192" s="253">
        <v>5.2397945861258597</v>
      </c>
      <c r="BJ192" s="25">
        <v>14.611737519188946</v>
      </c>
      <c r="BK192" t="s">
        <v>379</v>
      </c>
      <c r="BL192">
        <v>0</v>
      </c>
      <c r="BM192" t="s">
        <v>377</v>
      </c>
      <c r="BN192" s="322">
        <v>21813.713531000001</v>
      </c>
      <c r="BO192" s="322">
        <v>3986.8738669999998</v>
      </c>
      <c r="BP192" s="10">
        <v>14289</v>
      </c>
      <c r="BQ192" s="254">
        <f t="shared" si="68"/>
        <v>1.526608827139758</v>
      </c>
      <c r="BR192" s="254">
        <f t="shared" si="69"/>
        <v>0.27901699678074043</v>
      </c>
      <c r="BS192" s="25">
        <v>57.832120959521532</v>
      </c>
      <c r="BT192" s="25">
        <v>73.843016495905943</v>
      </c>
      <c r="BU192" s="25">
        <v>52.814835255354197</v>
      </c>
      <c r="BV192" s="25">
        <v>93.671349248319771</v>
      </c>
      <c r="BW192" s="25">
        <v>53.272490363296527</v>
      </c>
      <c r="BX192" s="25">
        <v>69.540330489775357</v>
      </c>
      <c r="BY192" s="25">
        <v>53.627398160079402</v>
      </c>
      <c r="BZ192">
        <v>86</v>
      </c>
      <c r="CA192">
        <v>0</v>
      </c>
      <c r="CB192">
        <v>7</v>
      </c>
      <c r="CC192">
        <v>9658.0264889999999</v>
      </c>
      <c r="CD192" s="10">
        <v>175.83782299999999</v>
      </c>
      <c r="CE192" s="255">
        <v>1.8206392703547698E-2</v>
      </c>
      <c r="CF192" t="str">
        <f>IFERROR(VLOOKUP(CE192,'Rangos amb etnico'!$A$2:$C$6,3,9),"N.D.")</f>
        <v>0,1% - 30%</v>
      </c>
      <c r="CG192" s="256">
        <v>5.1157851207969873E-6</v>
      </c>
      <c r="CH192" s="232">
        <v>0</v>
      </c>
      <c r="CI192" s="311">
        <f t="shared" si="76"/>
        <v>0</v>
      </c>
      <c r="CJ192" s="232">
        <f>IFERROR(VLOOKUP(CI192,'Rangos amb etnico'!$A$2:$C$6,3,9),"N.D.")</f>
        <v>0</v>
      </c>
      <c r="CK192" s="311">
        <f t="shared" si="77"/>
        <v>0</v>
      </c>
      <c r="CL192" s="10">
        <v>0</v>
      </c>
      <c r="CM192" s="255">
        <f t="shared" si="78"/>
        <v>0</v>
      </c>
      <c r="CN192" s="232">
        <f>IFERROR(VLOOKUP(CM192,'Rangos amb etnico'!$A$2:$C$6,3,9),"N.D.")</f>
        <v>0</v>
      </c>
      <c r="CO192" s="311">
        <f t="shared" si="79"/>
        <v>0</v>
      </c>
      <c r="CP192">
        <v>0.93363898626343589</v>
      </c>
      <c r="CQ192" t="s">
        <v>2864</v>
      </c>
      <c r="CR192">
        <f t="shared" si="70"/>
        <v>2</v>
      </c>
      <c r="CS192" t="str">
        <f t="shared" si="80"/>
        <v>No es Candidato</v>
      </c>
      <c r="CT192">
        <v>0</v>
      </c>
      <c r="CU192">
        <v>0</v>
      </c>
      <c r="CV192" s="25">
        <v>46.446811676025391</v>
      </c>
      <c r="CW192" s="25">
        <v>26.09814453125</v>
      </c>
      <c r="CX192" s="25">
        <v>40.646621704101563</v>
      </c>
      <c r="CY192" s="25">
        <v>63.260272979736328</v>
      </c>
      <c r="CZ192" s="25">
        <v>47.436992645263672</v>
      </c>
      <c r="DA192" s="25">
        <v>53.254371643066413</v>
      </c>
      <c r="DB192" s="25">
        <v>47.984470367431641</v>
      </c>
      <c r="DC192">
        <v>158</v>
      </c>
      <c r="DD192" s="253" t="s">
        <v>380</v>
      </c>
    </row>
    <row r="193" spans="1:108">
      <c r="A193" s="13">
        <v>5674</v>
      </c>
      <c r="B193" s="13" t="s">
        <v>844</v>
      </c>
      <c r="C193" s="13" t="s">
        <v>435</v>
      </c>
      <c r="D193" s="13" t="s">
        <v>436</v>
      </c>
      <c r="E193" s="13" t="s">
        <v>845</v>
      </c>
      <c r="F193" s="14">
        <v>60.160166666666697</v>
      </c>
      <c r="G193" s="13">
        <v>43.97</v>
      </c>
      <c r="H193" s="13">
        <v>41.56</v>
      </c>
      <c r="I193" s="13">
        <v>47.97</v>
      </c>
      <c r="J193" s="14">
        <v>71.138730421076147</v>
      </c>
      <c r="K193" s="14">
        <v>50.210524963073972</v>
      </c>
      <c r="L193" s="14">
        <v>64.612347899891773</v>
      </c>
      <c r="M193" s="14">
        <v>60.322099999999999</v>
      </c>
      <c r="N193" s="14">
        <f t="shared" si="54"/>
        <v>48.415041666666674</v>
      </c>
      <c r="O193" s="14">
        <f t="shared" si="55"/>
        <v>61.570925821010476</v>
      </c>
      <c r="P193" s="14">
        <f t="shared" si="71"/>
        <v>54.992983743838579</v>
      </c>
      <c r="Q193" s="14">
        <v>44.303727034272526</v>
      </c>
      <c r="R193" s="17">
        <f t="shared" si="56"/>
        <v>55.696272965727474</v>
      </c>
      <c r="S193" s="14">
        <f t="shared" si="72"/>
        <v>0.60126645669154732</v>
      </c>
      <c r="T193" s="13">
        <v>0</v>
      </c>
      <c r="U193" s="13">
        <f t="shared" si="73"/>
        <v>33.065436478553686</v>
      </c>
      <c r="V193" s="13">
        <f>IF($T193=1,$AU193,(VLOOKUP(U193,'Cortes naturales'!$A$35:$C$39,3,9)))</f>
        <v>3</v>
      </c>
      <c r="W193" s="13">
        <v>3</v>
      </c>
      <c r="X193" s="14" t="b">
        <f t="shared" si="57"/>
        <v>1</v>
      </c>
      <c r="Y193" s="17">
        <f>IF($T193=1,$AU193,VLOOKUP(U193,'Cortes naturales'!$A$45:$C$49,3,9))</f>
        <v>3</v>
      </c>
      <c r="Z193" s="14">
        <v>56.750207100884026</v>
      </c>
      <c r="AA193" s="14">
        <v>0.61009033754915376</v>
      </c>
      <c r="AB193" s="14">
        <v>34.622753006162718</v>
      </c>
      <c r="AC193" s="13">
        <v>3</v>
      </c>
      <c r="AD193" s="13">
        <f t="shared" si="58"/>
        <v>0</v>
      </c>
      <c r="AE193" s="14">
        <f t="shared" si="59"/>
        <v>-1.7572233570454472</v>
      </c>
      <c r="AF193" s="14">
        <f t="shared" si="60"/>
        <v>-8.8238808576064365E-3</v>
      </c>
      <c r="AG193" s="13">
        <f t="shared" si="61"/>
        <v>-1.5573165276090322</v>
      </c>
      <c r="AH193" s="13">
        <f>IF($T193=1,$AU193,VLOOKUP(U193,'Cortes naturales'!$A$25:$C$29,3,9))</f>
        <v>3</v>
      </c>
      <c r="AI193" s="13" t="b">
        <f t="shared" si="62"/>
        <v>1</v>
      </c>
      <c r="AJ193" s="13">
        <f t="shared" si="63"/>
        <v>0</v>
      </c>
      <c r="AK193" s="28">
        <v>0.9741882058902549</v>
      </c>
      <c r="AL193" s="28">
        <v>55.285382439510613</v>
      </c>
      <c r="AM193" s="28">
        <v>0.52093584619019961</v>
      </c>
      <c r="AN193" s="13">
        <v>2</v>
      </c>
      <c r="AO193" s="33">
        <f t="shared" si="64"/>
        <v>-1</v>
      </c>
      <c r="AP193" s="13">
        <f t="shared" si="74"/>
        <v>52.093584619019964</v>
      </c>
      <c r="AQ193" s="13">
        <f>IFERROR(VLOOKUP(U193,'Cortes naturales'!$E$15:$G$19,3,9),U193)</f>
        <v>4</v>
      </c>
      <c r="AR193" s="28">
        <f t="shared" si="65"/>
        <v>-0.37292174919870757</v>
      </c>
      <c r="AS193" s="13" t="b">
        <f t="shared" si="66"/>
        <v>0</v>
      </c>
      <c r="AT193" s="13" t="str">
        <f t="shared" si="75"/>
        <v>Cambio en corte</v>
      </c>
      <c r="AU193" s="13">
        <v>2</v>
      </c>
      <c r="AV193">
        <f t="shared" si="67"/>
        <v>-1</v>
      </c>
      <c r="AW193" s="13">
        <v>0</v>
      </c>
      <c r="AX193" s="13">
        <v>0</v>
      </c>
      <c r="AY193" s="13">
        <v>0</v>
      </c>
      <c r="AZ193" s="13">
        <v>0</v>
      </c>
      <c r="BA193">
        <v>0</v>
      </c>
      <c r="BB193" t="s">
        <v>2839</v>
      </c>
      <c r="BC193">
        <v>6</v>
      </c>
      <c r="BD193" t="s">
        <v>2919</v>
      </c>
      <c r="BE193">
        <v>1</v>
      </c>
      <c r="BF193" s="232" t="s">
        <v>2846</v>
      </c>
      <c r="BG193" s="232" t="s">
        <v>2845</v>
      </c>
      <c r="BH193" s="253">
        <v>27.8</v>
      </c>
      <c r="BI193" s="253">
        <v>10.974592761438817</v>
      </c>
      <c r="BJ193" s="25">
        <v>7.8542626853473703</v>
      </c>
      <c r="BK193" t="s">
        <v>377</v>
      </c>
      <c r="BL193">
        <v>3.0185625340980184</v>
      </c>
      <c r="BM193" t="s">
        <v>383</v>
      </c>
      <c r="BN193" s="322">
        <v>45401.839113000002</v>
      </c>
      <c r="BO193" s="322">
        <v>8244.300561</v>
      </c>
      <c r="BP193" s="10">
        <v>24534</v>
      </c>
      <c r="BQ193" s="254">
        <f t="shared" si="68"/>
        <v>1.8505681549278552</v>
      </c>
      <c r="BR193" s="254">
        <f t="shared" si="69"/>
        <v>0.33603572841770601</v>
      </c>
      <c r="BS193" s="25">
        <v>66.794933097726428</v>
      </c>
      <c r="BT193" s="25">
        <v>79.879436020760309</v>
      </c>
      <c r="BU193" s="25">
        <v>40.13116579489617</v>
      </c>
      <c r="BV193" s="25">
        <v>94.416972744675547</v>
      </c>
      <c r="BW193" s="25">
        <v>60.17163724372697</v>
      </c>
      <c r="BX193" s="25">
        <v>70.305626914514619</v>
      </c>
      <c r="BY193" s="25">
        <v>62.029288002056703</v>
      </c>
      <c r="BZ193">
        <v>22</v>
      </c>
      <c r="CA193">
        <v>0</v>
      </c>
      <c r="CB193">
        <v>7</v>
      </c>
      <c r="CC193">
        <v>23039.152050000001</v>
      </c>
      <c r="CD193" s="10">
        <v>954.56809999999996</v>
      </c>
      <c r="CE193" s="255">
        <v>4.1432431971818159E-2</v>
      </c>
      <c r="CF193" t="str">
        <f>IFERROR(VLOOKUP(CE193,'Rangos amb etnico'!$A$2:$C$6,3,9),"N.D.")</f>
        <v>0,1% - 30%</v>
      </c>
      <c r="CG193" s="256">
        <v>2.777198443117355E-5</v>
      </c>
      <c r="CH193" s="232">
        <v>0</v>
      </c>
      <c r="CI193" s="311">
        <f t="shared" si="76"/>
        <v>0</v>
      </c>
      <c r="CJ193" s="232">
        <f>IFERROR(VLOOKUP(CI193,'Rangos amb etnico'!$A$2:$C$6,3,9),"N.D.")</f>
        <v>0</v>
      </c>
      <c r="CK193" s="311">
        <f t="shared" si="77"/>
        <v>0</v>
      </c>
      <c r="CL193" s="10">
        <v>0</v>
      </c>
      <c r="CM193" s="255">
        <f t="shared" si="78"/>
        <v>0</v>
      </c>
      <c r="CN193" s="232">
        <f>IFERROR(VLOOKUP(CM193,'Rangos amb etnico'!$A$2:$C$6,3,9),"N.D.")</f>
        <v>0</v>
      </c>
      <c r="CO193" s="311">
        <f t="shared" si="79"/>
        <v>0</v>
      </c>
      <c r="CP193">
        <v>0.9034299991405772</v>
      </c>
      <c r="CQ193" t="s">
        <v>2864</v>
      </c>
      <c r="CR193">
        <f t="shared" si="70"/>
        <v>3</v>
      </c>
      <c r="CS193" t="str">
        <f t="shared" si="80"/>
        <v>Candidato</v>
      </c>
      <c r="CT193">
        <v>0</v>
      </c>
      <c r="CU193">
        <v>0</v>
      </c>
      <c r="CV193" s="25">
        <v>42.602840423583977</v>
      </c>
      <c r="CW193" s="25">
        <v>38.699520111083977</v>
      </c>
      <c r="CX193" s="25">
        <v>53.194801330566413</v>
      </c>
      <c r="CY193" s="25">
        <v>53.526470184326172</v>
      </c>
      <c r="CZ193" s="25">
        <v>43.938579559326172</v>
      </c>
      <c r="DA193" s="25">
        <v>25.877738952636719</v>
      </c>
      <c r="DB193" s="25">
        <v>40.379932403564453</v>
      </c>
      <c r="DC193">
        <v>189</v>
      </c>
      <c r="DD193" s="253" t="s">
        <v>380</v>
      </c>
    </row>
    <row r="194" spans="1:108" hidden="1">
      <c r="A194" s="13">
        <v>52683</v>
      </c>
      <c r="B194" s="13" t="s">
        <v>846</v>
      </c>
      <c r="C194" s="13" t="s">
        <v>672</v>
      </c>
      <c r="D194" s="13" t="s">
        <v>673</v>
      </c>
      <c r="E194" s="13" t="s">
        <v>847</v>
      </c>
      <c r="F194" s="14">
        <v>52.463999999999999</v>
      </c>
      <c r="G194" s="13">
        <v>55.04</v>
      </c>
      <c r="H194" s="13">
        <v>33</v>
      </c>
      <c r="I194" s="13">
        <v>59.02</v>
      </c>
      <c r="J194" s="14">
        <v>45.170398222438564</v>
      </c>
      <c r="K194" s="14">
        <v>54.543477093957236</v>
      </c>
      <c r="L194" s="14">
        <v>52.67747020137692</v>
      </c>
      <c r="M194" s="14">
        <v>54.971299999999999</v>
      </c>
      <c r="N194" s="14">
        <f t="shared" si="54"/>
        <v>49.881</v>
      </c>
      <c r="O194" s="14">
        <f t="shared" si="55"/>
        <v>51.840661379443176</v>
      </c>
      <c r="P194" s="14">
        <f t="shared" si="71"/>
        <v>50.860830689721588</v>
      </c>
      <c r="Q194" s="14">
        <v>45.268616494949484</v>
      </c>
      <c r="R194" s="17">
        <f t="shared" si="56"/>
        <v>54.731383505050516</v>
      </c>
      <c r="S194" s="14">
        <f t="shared" si="72"/>
        <v>0.59258245154545464</v>
      </c>
      <c r="T194" s="13">
        <v>0</v>
      </c>
      <c r="U194" s="13">
        <f t="shared" si="73"/>
        <v>30.139235737753516</v>
      </c>
      <c r="V194" s="13">
        <f>IF($T194=1,$AU194,(VLOOKUP(U194,'Cortes naturales'!$A$35:$C$39,3,9)))</f>
        <v>3</v>
      </c>
      <c r="W194" s="13">
        <v>3</v>
      </c>
      <c r="X194" s="14" t="b">
        <f t="shared" si="57"/>
        <v>1</v>
      </c>
      <c r="Y194" s="17">
        <f>IF($T194=1,$AU194,VLOOKUP(U194,'Cortes naturales'!$A$45:$C$49,3,9))</f>
        <v>3</v>
      </c>
      <c r="Z194" s="14">
        <v>49.813244750500616</v>
      </c>
      <c r="AA194" s="14">
        <v>0.6059029758716209</v>
      </c>
      <c r="AB194" s="14">
        <v>30.181993232149722</v>
      </c>
      <c r="AC194" s="13">
        <v>3</v>
      </c>
      <c r="AD194" s="13">
        <f t="shared" si="58"/>
        <v>0</v>
      </c>
      <c r="AE194" s="14">
        <f t="shared" si="59"/>
        <v>1.0475859392209728</v>
      </c>
      <c r="AF194" s="14">
        <f t="shared" si="60"/>
        <v>-1.3320524326166261E-2</v>
      </c>
      <c r="AG194" s="13">
        <f t="shared" si="61"/>
        <v>-4.2757494396205686E-2</v>
      </c>
      <c r="AH194" s="13">
        <f>IF($T194=1,$AU194,VLOOKUP(U194,'Cortes naturales'!$A$25:$C$29,3,9))</f>
        <v>3</v>
      </c>
      <c r="AI194" s="13" t="b">
        <f t="shared" si="62"/>
        <v>1</v>
      </c>
      <c r="AJ194" s="13">
        <f t="shared" si="63"/>
        <v>0</v>
      </c>
      <c r="AK194" s="28">
        <v>0.9741882058902549</v>
      </c>
      <c r="AL194" s="28">
        <v>48.527475533062351</v>
      </c>
      <c r="AM194" s="28">
        <v>0.43640155429586619</v>
      </c>
      <c r="AN194" s="13">
        <v>3</v>
      </c>
      <c r="AO194" s="33">
        <f t="shared" si="64"/>
        <v>0</v>
      </c>
      <c r="AP194" s="13">
        <f t="shared" si="74"/>
        <v>43.640155429586621</v>
      </c>
      <c r="AQ194" s="13">
        <f>IFERROR(VLOOKUP(U194,'Cortes naturales'!$E$15:$G$19,3,9),U194)</f>
        <v>4</v>
      </c>
      <c r="AR194" s="28">
        <f t="shared" si="65"/>
        <v>-0.38160575434480026</v>
      </c>
      <c r="AS194" s="13" t="b">
        <f t="shared" si="66"/>
        <v>0</v>
      </c>
      <c r="AT194" s="13">
        <f t="shared" si="75"/>
        <v>0</v>
      </c>
      <c r="AU194" s="13">
        <v>2</v>
      </c>
      <c r="AV194">
        <f t="shared" si="67"/>
        <v>-1</v>
      </c>
      <c r="AW194" s="13">
        <v>0</v>
      </c>
      <c r="AX194" s="13">
        <v>0</v>
      </c>
      <c r="AY194" s="13">
        <v>0</v>
      </c>
      <c r="AZ194" s="13">
        <v>0</v>
      </c>
      <c r="BA194">
        <v>0</v>
      </c>
      <c r="BB194" t="s">
        <v>2839</v>
      </c>
      <c r="BC194">
        <v>6</v>
      </c>
      <c r="BD194" t="s">
        <v>2919</v>
      </c>
      <c r="BE194">
        <v>0</v>
      </c>
      <c r="BF194" s="232" t="s">
        <v>2846</v>
      </c>
      <c r="BG194" s="232" t="s">
        <v>2845</v>
      </c>
      <c r="BH194" s="253">
        <v>28.9</v>
      </c>
      <c r="BI194" s="253">
        <v>14.657323352975526</v>
      </c>
      <c r="BJ194" s="25">
        <v>9.1127442727548846</v>
      </c>
      <c r="BK194" t="s">
        <v>377</v>
      </c>
      <c r="BL194">
        <v>2.816755481789138</v>
      </c>
      <c r="BM194" t="s">
        <v>383</v>
      </c>
      <c r="BN194" s="322">
        <v>39710.114264000003</v>
      </c>
      <c r="BO194" s="322">
        <v>2940.7760600000001</v>
      </c>
      <c r="BP194" s="10">
        <v>20826</v>
      </c>
      <c r="BQ194" s="254">
        <f t="shared" si="68"/>
        <v>1.9067566630173822</v>
      </c>
      <c r="BR194" s="254">
        <f t="shared" si="69"/>
        <v>0.14120695572841641</v>
      </c>
      <c r="BS194" s="25">
        <v>68.178488371843613</v>
      </c>
      <c r="BT194" s="25">
        <v>91.533891041326555</v>
      </c>
      <c r="BU194" s="25">
        <v>55.585700117492557</v>
      </c>
      <c r="BV194" s="25">
        <v>90.362588467165722</v>
      </c>
      <c r="BW194" s="25">
        <v>55.023856629241457</v>
      </c>
      <c r="BX194" s="25">
        <v>76.415166999457114</v>
      </c>
      <c r="BY194" s="25">
        <v>55.465633293461003</v>
      </c>
      <c r="BZ194">
        <v>80</v>
      </c>
      <c r="CA194">
        <v>0</v>
      </c>
      <c r="CB194">
        <v>7</v>
      </c>
      <c r="CC194">
        <v>10171.331704</v>
      </c>
      <c r="CD194" s="10">
        <v>1010.43852</v>
      </c>
      <c r="CE194" s="255">
        <v>9.9341811810407563E-2</v>
      </c>
      <c r="CF194" t="str">
        <f>IFERROR(VLOOKUP(CE194,'Rangos amb etnico'!$A$2:$C$6,3,9),"N.D.")</f>
        <v>0,1% - 30%</v>
      </c>
      <c r="CG194" s="256">
        <v>2.9397465561753056E-5</v>
      </c>
      <c r="CH194" s="232">
        <v>0</v>
      </c>
      <c r="CI194" s="311">
        <f t="shared" si="76"/>
        <v>0</v>
      </c>
      <c r="CJ194" s="232">
        <f>IFERROR(VLOOKUP(CI194,'Rangos amb etnico'!$A$2:$C$6,3,9),"N.D.")</f>
        <v>0</v>
      </c>
      <c r="CK194" s="311">
        <f t="shared" si="77"/>
        <v>0</v>
      </c>
      <c r="CL194" s="10">
        <v>0</v>
      </c>
      <c r="CM194" s="255">
        <f t="shared" si="78"/>
        <v>0</v>
      </c>
      <c r="CN194" s="232">
        <f>IFERROR(VLOOKUP(CM194,'Rangos amb etnico'!$A$2:$C$6,3,9),"N.D.")</f>
        <v>0</v>
      </c>
      <c r="CO194" s="311">
        <f t="shared" si="79"/>
        <v>0</v>
      </c>
      <c r="CP194">
        <v>0.962016447773544</v>
      </c>
      <c r="CQ194" t="s">
        <v>2864</v>
      </c>
      <c r="CR194">
        <f t="shared" si="70"/>
        <v>1</v>
      </c>
      <c r="CS194" t="str">
        <f t="shared" si="80"/>
        <v>No es Candidato</v>
      </c>
      <c r="CT194">
        <v>0</v>
      </c>
      <c r="CU194">
        <v>0</v>
      </c>
      <c r="CV194" s="25">
        <v>45.088603973388672</v>
      </c>
      <c r="CW194" s="25">
        <v>31.80130577087402</v>
      </c>
      <c r="CX194" s="25">
        <v>38.362480163574219</v>
      </c>
      <c r="CY194" s="25">
        <v>68.543876647949219</v>
      </c>
      <c r="CZ194" s="25">
        <v>56.343128204345703</v>
      </c>
      <c r="DA194" s="25">
        <v>33.213783264160163</v>
      </c>
      <c r="DB194" s="25">
        <v>42.267051696777337</v>
      </c>
      <c r="DC194">
        <v>531</v>
      </c>
      <c r="DD194" s="253" t="s">
        <v>380</v>
      </c>
    </row>
    <row r="195" spans="1:108" hidden="1">
      <c r="A195" s="13">
        <v>13430</v>
      </c>
      <c r="B195" s="13" t="s">
        <v>848</v>
      </c>
      <c r="C195" s="13" t="s">
        <v>480</v>
      </c>
      <c r="D195" s="13" t="s">
        <v>481</v>
      </c>
      <c r="E195" s="13" t="s">
        <v>849</v>
      </c>
      <c r="F195" s="14">
        <v>54.165100000000002</v>
      </c>
      <c r="G195" s="13">
        <v>44.54</v>
      </c>
      <c r="H195" s="13">
        <v>41.7</v>
      </c>
      <c r="I195" s="13">
        <v>56.93</v>
      </c>
      <c r="J195" s="14">
        <v>63.864805873693086</v>
      </c>
      <c r="K195" s="14">
        <v>55.618851255748822</v>
      </c>
      <c r="L195" s="14">
        <v>63.57928992619302</v>
      </c>
      <c r="M195" s="14">
        <v>65.048599999999993</v>
      </c>
      <c r="N195" s="14">
        <f t="shared" ref="N195:N258" si="81">IFERROR(AVERAGE(F195:I195),"N.D.")</f>
        <v>49.333775000000003</v>
      </c>
      <c r="O195" s="14">
        <f t="shared" ref="O195:O258" si="82">IFERROR(AVERAGE(J195:M195),"N.D.")</f>
        <v>62.027886763908732</v>
      </c>
      <c r="P195" s="14">
        <f t="shared" si="71"/>
        <v>55.680830881954364</v>
      </c>
      <c r="Q195" s="14">
        <v>44.932095666991302</v>
      </c>
      <c r="R195" s="17">
        <f t="shared" ref="R195:R258" si="83">IFERROR(MAX($Q$3:$Q$1105)-Q195,"N.D.")</f>
        <v>55.067904333008698</v>
      </c>
      <c r="S195" s="14">
        <f t="shared" si="72"/>
        <v>0.59561113899707829</v>
      </c>
      <c r="T195" s="13">
        <v>0</v>
      </c>
      <c r="U195" s="13">
        <f t="shared" si="73"/>
        <v>33.164123101904529</v>
      </c>
      <c r="V195" s="13">
        <f>IF($T195=1,$AU195,(VLOOKUP(U195,'Cortes naturales'!$A$35:$C$39,3,9)))</f>
        <v>3</v>
      </c>
      <c r="W195" s="13">
        <v>3</v>
      </c>
      <c r="X195" s="14" t="b">
        <f t="shared" ref="X195:X258" si="84">V195=W195</f>
        <v>1</v>
      </c>
      <c r="Y195" s="17">
        <f>IF($T195=1,$AU195,VLOOKUP(U195,'Cortes naturales'!$A$45:$C$49,3,9))</f>
        <v>3</v>
      </c>
      <c r="Z195" s="14">
        <v>56.023180857250523</v>
      </c>
      <c r="AA195" s="14">
        <v>0.60559759406617542</v>
      </c>
      <c r="AB195" s="14">
        <v>33.92750353908513</v>
      </c>
      <c r="AC195" s="13">
        <v>3</v>
      </c>
      <c r="AD195" s="13">
        <f t="shared" ref="AD195:AD258" si="85">IFERROR(AC195-Y195,)</f>
        <v>0</v>
      </c>
      <c r="AE195" s="14">
        <f t="shared" ref="AE195:AE258" si="86">IFERROR(P195-Z195,"N.D.")</f>
        <v>-0.34234997529615896</v>
      </c>
      <c r="AF195" s="14">
        <f t="shared" ref="AF195:AF258" si="87">IFERROR(S195-AA195,"N.D.")</f>
        <v>-9.9864550690971221E-3</v>
      </c>
      <c r="AG195" s="13">
        <f t="shared" ref="AG195:AG258" si="88">IFERROR(U195-AB195,0)</f>
        <v>-0.76338043718060078</v>
      </c>
      <c r="AH195" s="13">
        <f>IF($T195=1,$AU195,VLOOKUP(U195,'Cortes naturales'!$A$25:$C$29,3,9))</f>
        <v>3</v>
      </c>
      <c r="AI195" s="13" t="b">
        <f t="shared" ref="AI195:AI258" si="89">AH195=Y195</f>
        <v>1</v>
      </c>
      <c r="AJ195" s="13">
        <f t="shared" ref="AJ195:AJ258" si="90">IF(AD195=0,0,IF(AI195=TRUE,"Efecto ponderador","Cambio en corte"))</f>
        <v>0</v>
      </c>
      <c r="AK195" s="28">
        <v>0.9741882058902549</v>
      </c>
      <c r="AL195" s="28">
        <v>54.577122047590159</v>
      </c>
      <c r="AM195" s="28">
        <v>0.51207625526409939</v>
      </c>
      <c r="AN195" s="13">
        <v>2</v>
      </c>
      <c r="AO195" s="33">
        <f t="shared" ref="AO195:AO258" si="91">IF(AND(ISNUMBER(AN195),ISNUMBER(Y195)),AN195-Y195,IF(AN195="SC- Centro aglomeración",Y195,IF(OR(AN195="Bogotá",AN195="Ciudades grandes"),0,0)))</f>
        <v>-1</v>
      </c>
      <c r="AP195" s="13">
        <f t="shared" si="74"/>
        <v>51.207625526409942</v>
      </c>
      <c r="AQ195" s="13">
        <f>IFERROR(VLOOKUP(U195,'Cortes naturales'!$E$15:$G$19,3,9),U195)</f>
        <v>4</v>
      </c>
      <c r="AR195" s="28">
        <f t="shared" ref="AR195:AR258" si="92">IFERROR(S195-AK195,"N.D.")</f>
        <v>-0.37857706689317661</v>
      </c>
      <c r="AS195" s="13" t="b">
        <f t="shared" ref="AS195:AS258" si="93">AQ195=Y195</f>
        <v>0</v>
      </c>
      <c r="AT195" s="13" t="str">
        <f t="shared" si="75"/>
        <v>Cambio en corte</v>
      </c>
      <c r="AU195" s="13">
        <v>3</v>
      </c>
      <c r="AV195">
        <f t="shared" ref="AV195:AV258" si="94">IF(AND(ISNUMBER(AU195),ISNUMBER(Y195)),AU195-Y195,IF(AU195="SC- Centro aglomeración",Y195,IF(OR(AU195="Bogotá",AU195="Ciudades grandes"),0,0)))</f>
        <v>0</v>
      </c>
      <c r="AW195" s="13">
        <v>0</v>
      </c>
      <c r="AX195" s="13">
        <v>1</v>
      </c>
      <c r="AY195" s="13">
        <v>0</v>
      </c>
      <c r="AZ195" s="13">
        <v>0</v>
      </c>
      <c r="BA195">
        <v>0</v>
      </c>
      <c r="BB195" t="s">
        <v>2839</v>
      </c>
      <c r="BC195">
        <v>5</v>
      </c>
      <c r="BD195" t="s">
        <v>2919</v>
      </c>
      <c r="BE195">
        <v>0</v>
      </c>
      <c r="BF195" s="232" t="s">
        <v>2845</v>
      </c>
      <c r="BG195" s="232" t="s">
        <v>2845</v>
      </c>
      <c r="BH195" s="253">
        <v>49.1</v>
      </c>
      <c r="BI195" s="253">
        <v>26.45072212503236</v>
      </c>
      <c r="BJ195" s="25">
        <v>6.5357815014544354</v>
      </c>
      <c r="BK195" t="s">
        <v>377</v>
      </c>
      <c r="BL195">
        <v>2.2242479278320721</v>
      </c>
      <c r="BM195" t="s">
        <v>383</v>
      </c>
      <c r="BN195" s="322">
        <v>418651.794414</v>
      </c>
      <c r="BO195" s="322">
        <v>35260.804407000003</v>
      </c>
      <c r="BP195" s="10">
        <v>149065</v>
      </c>
      <c r="BQ195" s="254">
        <f t="shared" ref="BQ195:BQ258" si="95">BN195/BP195</f>
        <v>2.808518394083118</v>
      </c>
      <c r="BR195" s="254">
        <f t="shared" ref="BR195:BR258" si="96">BO195/BP195</f>
        <v>0.23654650257941168</v>
      </c>
      <c r="BS195" s="25">
        <v>59.876530194994388</v>
      </c>
      <c r="BT195" s="25">
        <v>93.703153399208858</v>
      </c>
      <c r="BU195" s="25">
        <v>52.109962921764897</v>
      </c>
      <c r="BV195" s="25">
        <v>90.68340539120932</v>
      </c>
      <c r="BW195" s="25">
        <v>59.937699946764617</v>
      </c>
      <c r="BX195" s="25">
        <v>74.093262976794364</v>
      </c>
      <c r="BY195" s="25">
        <v>60.294279707789677</v>
      </c>
      <c r="BZ195">
        <v>9</v>
      </c>
      <c r="CA195">
        <v>1</v>
      </c>
      <c r="CB195">
        <v>5</v>
      </c>
      <c r="CC195">
        <v>112998.750583</v>
      </c>
      <c r="CD195" s="10">
        <v>4917.5075390000002</v>
      </c>
      <c r="CE195" s="255">
        <v>4.3518247003872718E-2</v>
      </c>
      <c r="CF195" t="str">
        <f>IFERROR(VLOOKUP(CE195,'Rangos amb etnico'!$A$2:$C$6,3,9),"N.D.")</f>
        <v>0,1% - 30%</v>
      </c>
      <c r="CG195" s="256">
        <v>1.4306883166668422E-4</v>
      </c>
      <c r="CH195" s="232">
        <v>0</v>
      </c>
      <c r="CI195" s="311">
        <f t="shared" si="76"/>
        <v>0</v>
      </c>
      <c r="CJ195" s="232">
        <f>IFERROR(VLOOKUP(CI195,'Rangos amb etnico'!$A$2:$C$6,3,9),"N.D.")</f>
        <v>0</v>
      </c>
      <c r="CK195" s="311">
        <f t="shared" si="77"/>
        <v>0</v>
      </c>
      <c r="CL195" s="10">
        <v>0</v>
      </c>
      <c r="CM195" s="255">
        <f t="shared" si="78"/>
        <v>0</v>
      </c>
      <c r="CN195" s="232">
        <f>IFERROR(VLOOKUP(CM195,'Rangos amb etnico'!$A$2:$C$6,3,9),"N.D.")</f>
        <v>0</v>
      </c>
      <c r="CO195" s="311">
        <f t="shared" si="79"/>
        <v>0</v>
      </c>
      <c r="CP195">
        <v>0.8329532305085896</v>
      </c>
      <c r="CQ195" t="s">
        <v>2865</v>
      </c>
      <c r="CR195">
        <f t="shared" ref="CR195:CR258" si="97">IF(BY195&gt;=60,1,0)+IF(M195&gt;=60,1,0)+IF(I195&gt;=60,1,0)+IF(OR(CQ195="Crítico Bajo",CQ195="Aceptable"),1,0)</f>
        <v>3</v>
      </c>
      <c r="CS195" t="str">
        <f t="shared" si="80"/>
        <v>Candidato</v>
      </c>
      <c r="CT195">
        <v>0</v>
      </c>
      <c r="CU195">
        <v>0</v>
      </c>
      <c r="CV195" s="25">
        <v>47.794998168945313</v>
      </c>
      <c r="CW195" s="25">
        <v>42.329490661621087</v>
      </c>
      <c r="CX195" s="25">
        <v>58.465347290039063</v>
      </c>
      <c r="CY195" s="25">
        <v>54.974052429199219</v>
      </c>
      <c r="CZ195" s="25">
        <v>17.876724243164059</v>
      </c>
      <c r="DA195" s="25">
        <v>62.016582489013672</v>
      </c>
      <c r="DB195" s="25">
        <v>51.107795715332031</v>
      </c>
      <c r="DC195">
        <v>2878</v>
      </c>
      <c r="DD195" s="253" t="s">
        <v>380</v>
      </c>
    </row>
    <row r="196" spans="1:108" hidden="1">
      <c r="A196" s="13">
        <v>47189</v>
      </c>
      <c r="B196" s="13" t="s">
        <v>850</v>
      </c>
      <c r="C196" s="13" t="s">
        <v>638</v>
      </c>
      <c r="D196" s="13" t="s">
        <v>639</v>
      </c>
      <c r="E196" s="13" t="s">
        <v>851</v>
      </c>
      <c r="F196" s="14">
        <v>51.732599999999998</v>
      </c>
      <c r="G196" s="13">
        <v>38.950000000000003</v>
      </c>
      <c r="H196" s="13">
        <v>42.77</v>
      </c>
      <c r="I196" s="13">
        <v>51</v>
      </c>
      <c r="J196" s="14">
        <v>53.892509681568626</v>
      </c>
      <c r="K196" s="14">
        <v>61.260814088557133</v>
      </c>
      <c r="L196" s="14">
        <v>59.865644381506641</v>
      </c>
      <c r="M196" s="14">
        <v>54.395600000000002</v>
      </c>
      <c r="N196" s="14">
        <f t="shared" si="81"/>
        <v>46.113150000000005</v>
      </c>
      <c r="O196" s="14">
        <f t="shared" si="82"/>
        <v>57.353642037908102</v>
      </c>
      <c r="P196" s="14">
        <f t="shared" ref="P196:P259" si="98">IFERROR(AVERAGE(N196:O196),"N.D.")</f>
        <v>51.733396018954053</v>
      </c>
      <c r="Q196" s="14">
        <v>44.979445900366514</v>
      </c>
      <c r="R196" s="17">
        <f t="shared" si="83"/>
        <v>55.020554099633486</v>
      </c>
      <c r="S196" s="14">
        <f t="shared" ref="S196:S259" si="99">IFERROR((0.1+(1-0.1)*(R196%-0)/(1-0)),"N.D.")</f>
        <v>0.59518498689670141</v>
      </c>
      <c r="T196" s="13">
        <v>0</v>
      </c>
      <c r="U196" s="13">
        <f t="shared" ref="U196:U259" si="100">$P196*$S196</f>
        <v>30.790940631663034</v>
      </c>
      <c r="V196" s="13">
        <f>IF($T196=1,$AU196,(VLOOKUP(U196,'Cortes naturales'!$A$35:$C$39,3,9)))</f>
        <v>3</v>
      </c>
      <c r="W196" s="13">
        <v>3</v>
      </c>
      <c r="X196" s="14" t="b">
        <f t="shared" si="84"/>
        <v>1</v>
      </c>
      <c r="Y196" s="17">
        <f>IF($T196=1,$AU196,VLOOKUP(U196,'Cortes naturales'!$A$45:$C$49,3,9))</f>
        <v>3</v>
      </c>
      <c r="Z196" s="14">
        <v>52.480195705135884</v>
      </c>
      <c r="AA196" s="14">
        <v>0.60538556716224923</v>
      </c>
      <c r="AB196" s="14">
        <v>31.770753041739525</v>
      </c>
      <c r="AC196" s="13">
        <v>3</v>
      </c>
      <c r="AD196" s="13">
        <f t="shared" si="85"/>
        <v>0</v>
      </c>
      <c r="AE196" s="14">
        <f t="shared" si="86"/>
        <v>-0.74679968618183068</v>
      </c>
      <c r="AF196" s="14">
        <f t="shared" si="87"/>
        <v>-1.0200580265547821E-2</v>
      </c>
      <c r="AG196" s="13">
        <f t="shared" si="88"/>
        <v>-0.97981241007649089</v>
      </c>
      <c r="AH196" s="13">
        <f>IF($T196=1,$AU196,VLOOKUP(U196,'Cortes naturales'!$A$25:$C$29,3,9))</f>
        <v>3</v>
      </c>
      <c r="AI196" s="13" t="b">
        <f t="shared" si="89"/>
        <v>1</v>
      </c>
      <c r="AJ196" s="13">
        <f t="shared" si="90"/>
        <v>0</v>
      </c>
      <c r="AK196" s="28">
        <v>0.9741882058902549</v>
      </c>
      <c r="AL196" s="28">
        <v>51.125587698755787</v>
      </c>
      <c r="AM196" s="28">
        <v>0.46890119882032411</v>
      </c>
      <c r="AN196" s="13">
        <v>3</v>
      </c>
      <c r="AO196" s="33">
        <f t="shared" si="91"/>
        <v>0</v>
      </c>
      <c r="AP196" s="13">
        <f t="shared" ref="AP196:AP259" si="101">IFERROR(AM196*100,"N.D")</f>
        <v>46.890119882032408</v>
      </c>
      <c r="AQ196" s="13">
        <f>IFERROR(VLOOKUP(U196,'Cortes naturales'!$E$15:$G$19,3,9),U196)</f>
        <v>4</v>
      </c>
      <c r="AR196" s="28">
        <f t="shared" si="92"/>
        <v>-0.37900321899355349</v>
      </c>
      <c r="AS196" s="13" t="b">
        <f t="shared" si="93"/>
        <v>0</v>
      </c>
      <c r="AT196" s="13">
        <f t="shared" ref="AT196:AT259" si="102">IF(AO196=0,0,IF(AS196=TRUE,"Efecto ponderador","Cambio en corte"))</f>
        <v>0</v>
      </c>
      <c r="AU196" s="13">
        <v>2</v>
      </c>
      <c r="AV196">
        <f t="shared" si="94"/>
        <v>-1</v>
      </c>
      <c r="AW196" s="13">
        <v>0</v>
      </c>
      <c r="AX196" s="13">
        <v>1</v>
      </c>
      <c r="AY196" s="13">
        <v>0</v>
      </c>
      <c r="AZ196" s="13">
        <v>1</v>
      </c>
      <c r="BA196">
        <v>0</v>
      </c>
      <c r="BB196" t="s">
        <v>2838</v>
      </c>
      <c r="BC196">
        <v>5</v>
      </c>
      <c r="BD196" t="s">
        <v>2920</v>
      </c>
      <c r="BE196">
        <v>1</v>
      </c>
      <c r="BF196" s="232" t="s">
        <v>2845</v>
      </c>
      <c r="BG196" s="232" t="s">
        <v>2846</v>
      </c>
      <c r="BH196" s="253">
        <v>44.6</v>
      </c>
      <c r="BI196" s="253">
        <v>28.528061289204203</v>
      </c>
      <c r="BJ196" s="25">
        <v>5.918088187962665</v>
      </c>
      <c r="BK196" t="s">
        <v>377</v>
      </c>
      <c r="BL196">
        <v>5.7451782212224103</v>
      </c>
      <c r="BM196" t="s">
        <v>379</v>
      </c>
      <c r="BN196" s="322">
        <v>330897.90833599999</v>
      </c>
      <c r="BO196" s="322">
        <v>25687.210668</v>
      </c>
      <c r="BP196" s="10">
        <v>136851</v>
      </c>
      <c r="BQ196" s="254">
        <f t="shared" si="95"/>
        <v>2.4179429330878106</v>
      </c>
      <c r="BR196" s="254">
        <f t="shared" si="96"/>
        <v>0.18770203117258916</v>
      </c>
      <c r="BS196" s="25">
        <v>66.373961678695963</v>
      </c>
      <c r="BT196" s="25">
        <v>98.420468461801988</v>
      </c>
      <c r="BU196" s="25">
        <v>47.627040772066763</v>
      </c>
      <c r="BV196" s="25">
        <v>85.89751311280888</v>
      </c>
      <c r="BW196" s="25">
        <v>43.042581214758542</v>
      </c>
      <c r="BX196" s="25">
        <v>74.579746006343399</v>
      </c>
      <c r="BY196" s="25">
        <v>45.256999699893953</v>
      </c>
      <c r="BZ196">
        <v>42</v>
      </c>
      <c r="CA196">
        <v>0</v>
      </c>
      <c r="CB196">
        <v>5</v>
      </c>
      <c r="CC196">
        <v>134681.186338</v>
      </c>
      <c r="CD196" s="10">
        <v>58012.988036000002</v>
      </c>
      <c r="CE196" s="255">
        <v>0.43074307268432316</v>
      </c>
      <c r="CF196" t="str">
        <f>IFERROR(VLOOKUP(CE196,'Rangos amb etnico'!$A$2:$C$6,3,9),"N.D.")</f>
        <v>31% - 50%</v>
      </c>
      <c r="CG196" s="256">
        <v>1.6878165115109646E-3</v>
      </c>
      <c r="CH196" s="232">
        <v>42434.002157000003</v>
      </c>
      <c r="CI196" s="311">
        <f t="shared" ref="CI196:CI259" si="103">IFERROR(CH196/CC196,"N.D.")</f>
        <v>0.31507000577279104</v>
      </c>
      <c r="CJ196" s="232" t="str">
        <f>IFERROR(VLOOKUP(CI196,'Rangos amb etnico'!$A$2:$C$6,3,9),"N.D.")</f>
        <v>31% - 50%</v>
      </c>
      <c r="CK196" s="311">
        <f t="shared" ref="CK196:CK259" si="104">IFERROR(CH196/$CH$1,"N.D.")</f>
        <v>1.6849077095523112E-3</v>
      </c>
      <c r="CL196" s="10">
        <v>0</v>
      </c>
      <c r="CM196" s="255">
        <f t="shared" ref="CM196:CM259" si="105">IFERROR(CL196/CC196,"N.D.")</f>
        <v>0</v>
      </c>
      <c r="CN196" s="232">
        <f>IFERROR(VLOOKUP(CM196,'Rangos amb etnico'!$A$2:$C$6,3,9),"N.D.")</f>
        <v>0</v>
      </c>
      <c r="CO196" s="311">
        <f t="shared" ref="CO196:CO259" si="106">IFERROR(CL196/$CL$1,"N.D.")</f>
        <v>0</v>
      </c>
      <c r="CP196">
        <v>0.94640055346908858</v>
      </c>
      <c r="CQ196" t="s">
        <v>2864</v>
      </c>
      <c r="CR196">
        <f t="shared" si="97"/>
        <v>1</v>
      </c>
      <c r="CS196" t="str">
        <f t="shared" ref="CS196:CS259" si="107">IF(CR196&gt;=3,"Candidato","No es Candidato")</f>
        <v>No es Candidato</v>
      </c>
      <c r="CT196">
        <v>0</v>
      </c>
      <c r="CU196">
        <v>0</v>
      </c>
      <c r="CV196" s="25">
        <v>48.233444213867188</v>
      </c>
      <c r="CW196" s="25">
        <v>48.583450317382813</v>
      </c>
      <c r="CX196" s="25">
        <v>47.025074005126953</v>
      </c>
      <c r="CY196" s="25">
        <v>51.817211151123047</v>
      </c>
      <c r="CZ196" s="25">
        <v>42.846790313720703</v>
      </c>
      <c r="DA196" s="25">
        <v>43.684047698974609</v>
      </c>
      <c r="DB196" s="25">
        <v>55.444080352783203</v>
      </c>
      <c r="DC196">
        <v>9274</v>
      </c>
      <c r="DD196" s="253" t="s">
        <v>380</v>
      </c>
    </row>
    <row r="197" spans="1:108" hidden="1">
      <c r="A197" s="13">
        <v>63272</v>
      </c>
      <c r="B197" s="13" t="s">
        <v>852</v>
      </c>
      <c r="C197" s="13" t="s">
        <v>473</v>
      </c>
      <c r="D197" s="13" t="s">
        <v>474</v>
      </c>
      <c r="E197" s="13" t="s">
        <v>853</v>
      </c>
      <c r="F197" s="14">
        <v>68.563999999999993</v>
      </c>
      <c r="G197" s="13">
        <v>80.819999999999993</v>
      </c>
      <c r="H197" s="13">
        <v>76.67</v>
      </c>
      <c r="I197" s="13">
        <v>85.41</v>
      </c>
      <c r="J197" s="14">
        <v>52.352052424420258</v>
      </c>
      <c r="K197" s="14">
        <v>47.231663665737244</v>
      </c>
      <c r="L197" s="14">
        <v>55.255765029626872</v>
      </c>
      <c r="M197" s="14">
        <v>52.381999999999998</v>
      </c>
      <c r="N197" s="14">
        <f t="shared" si="81"/>
        <v>77.865999999999985</v>
      </c>
      <c r="O197" s="14">
        <f t="shared" si="82"/>
        <v>51.805370279946096</v>
      </c>
      <c r="P197" s="14">
        <f t="shared" si="98"/>
        <v>64.835685139973037</v>
      </c>
      <c r="Q197" s="14">
        <v>45.615485097341612</v>
      </c>
      <c r="R197" s="17">
        <f t="shared" si="83"/>
        <v>54.384514902658388</v>
      </c>
      <c r="S197" s="14">
        <f t="shared" si="99"/>
        <v>0.58946063412392546</v>
      </c>
      <c r="T197" s="13">
        <v>0</v>
      </c>
      <c r="U197" s="13">
        <f t="shared" si="100"/>
        <v>38.218084076467676</v>
      </c>
      <c r="V197" s="13">
        <f>IF($T197=1,$AU197,(VLOOKUP(U197,'Cortes naturales'!$A$35:$C$39,3,9)))</f>
        <v>3</v>
      </c>
      <c r="W197" s="13">
        <v>3</v>
      </c>
      <c r="X197" s="14" t="b">
        <f t="shared" si="84"/>
        <v>1</v>
      </c>
      <c r="Y197" s="17">
        <f>IF($T197=1,$AU197,VLOOKUP(U197,'Cortes naturales'!$A$45:$C$49,3,9))</f>
        <v>2</v>
      </c>
      <c r="Z197" s="14">
        <v>61.996987506519993</v>
      </c>
      <c r="AA197" s="14">
        <v>0.60435089938210773</v>
      </c>
      <c r="AB197" s="14">
        <v>37.467935158546652</v>
      </c>
      <c r="AC197" s="13">
        <v>2</v>
      </c>
      <c r="AD197" s="13">
        <f t="shared" si="85"/>
        <v>0</v>
      </c>
      <c r="AE197" s="14">
        <f t="shared" si="86"/>
        <v>2.8386976334530445</v>
      </c>
      <c r="AF197" s="14">
        <f t="shared" si="87"/>
        <v>-1.4890265258182267E-2</v>
      </c>
      <c r="AG197" s="13">
        <f t="shared" si="88"/>
        <v>0.75014891792102389</v>
      </c>
      <c r="AH197" s="13">
        <f>IF($T197=1,$AU197,VLOOKUP(U197,'Cortes naturales'!$A$25:$C$29,3,9))</f>
        <v>2</v>
      </c>
      <c r="AI197" s="13" t="b">
        <f t="shared" si="89"/>
        <v>1</v>
      </c>
      <c r="AJ197" s="13">
        <f t="shared" si="90"/>
        <v>0</v>
      </c>
      <c r="AK197" s="28">
        <v>0.9741882058902549</v>
      </c>
      <c r="AL197" s="28">
        <v>60.39673402957726</v>
      </c>
      <c r="AM197" s="28">
        <v>0.58487346670950158</v>
      </c>
      <c r="AN197" s="13">
        <v>2</v>
      </c>
      <c r="AO197" s="33">
        <f t="shared" si="91"/>
        <v>0</v>
      </c>
      <c r="AP197" s="13">
        <f t="shared" si="101"/>
        <v>58.48734667095016</v>
      </c>
      <c r="AQ197" s="13">
        <f>IFERROR(VLOOKUP(U197,'Cortes naturales'!$E$15:$G$19,3,9),U197)</f>
        <v>3</v>
      </c>
      <c r="AR197" s="28">
        <f t="shared" si="92"/>
        <v>-0.38472757176632943</v>
      </c>
      <c r="AS197" s="13" t="b">
        <f t="shared" si="93"/>
        <v>0</v>
      </c>
      <c r="AT197" s="13">
        <f t="shared" si="102"/>
        <v>0</v>
      </c>
      <c r="AU197" s="13">
        <v>2</v>
      </c>
      <c r="AV197">
        <f t="shared" si="94"/>
        <v>0</v>
      </c>
      <c r="AW197" s="13">
        <v>0</v>
      </c>
      <c r="AX197" s="13">
        <v>0</v>
      </c>
      <c r="AY197" s="13">
        <v>0</v>
      </c>
      <c r="AZ197" s="13">
        <v>0</v>
      </c>
      <c r="BA197">
        <v>0</v>
      </c>
      <c r="BB197" t="s">
        <v>2839</v>
      </c>
      <c r="BC197">
        <v>6</v>
      </c>
      <c r="BD197" t="s">
        <v>2919</v>
      </c>
      <c r="BE197">
        <v>1</v>
      </c>
      <c r="BF197" s="232" t="s">
        <v>2846</v>
      </c>
      <c r="BG197" s="232" t="s">
        <v>2846</v>
      </c>
      <c r="BH197" s="253">
        <v>18.100000000000001</v>
      </c>
      <c r="BI197" s="253">
        <v>6.2684431726728072</v>
      </c>
      <c r="BJ197" s="25">
        <v>0.83875</v>
      </c>
      <c r="BK197" t="s">
        <v>381</v>
      </c>
      <c r="BL197">
        <v>0</v>
      </c>
      <c r="BM197" t="s">
        <v>377</v>
      </c>
      <c r="BN197" s="322">
        <v>34970.654104000001</v>
      </c>
      <c r="BO197" s="322">
        <v>5054.5982629999999</v>
      </c>
      <c r="BP197" s="10">
        <v>12418</v>
      </c>
      <c r="BQ197" s="254">
        <f t="shared" si="95"/>
        <v>2.8161261156385891</v>
      </c>
      <c r="BR197" s="254">
        <f t="shared" si="96"/>
        <v>0.40703803052021259</v>
      </c>
      <c r="BS197" s="25">
        <v>61.105655119268867</v>
      </c>
      <c r="BT197" s="25">
        <v>89.757126751489764</v>
      </c>
      <c r="BU197" s="25">
        <v>55.716219677379613</v>
      </c>
      <c r="BV197" s="25">
        <v>89.284652866598606</v>
      </c>
      <c r="BW197" s="25">
        <v>61.354233884424232</v>
      </c>
      <c r="BX197" s="25">
        <v>73.965913603684214</v>
      </c>
      <c r="BY197" s="25">
        <v>61.467938216981878</v>
      </c>
      <c r="BZ197">
        <v>16</v>
      </c>
      <c r="CA197">
        <v>0</v>
      </c>
      <c r="CB197">
        <v>7</v>
      </c>
      <c r="CC197">
        <v>10660.875846000001</v>
      </c>
      <c r="CD197" s="10">
        <v>5441.9900900000002</v>
      </c>
      <c r="CE197" s="255">
        <v>0.51046369628644106</v>
      </c>
      <c r="CF197" t="str">
        <f>IFERROR(VLOOKUP(CE197,'Rangos amb etnico'!$A$2:$C$6,3,9),"N.D.")</f>
        <v>31% - 50%</v>
      </c>
      <c r="CG197" s="256">
        <v>1.5832800619890899E-4</v>
      </c>
      <c r="CH197" s="232">
        <v>0</v>
      </c>
      <c r="CI197" s="311">
        <f t="shared" si="103"/>
        <v>0</v>
      </c>
      <c r="CJ197" s="232">
        <f>IFERROR(VLOOKUP(CI197,'Rangos amb etnico'!$A$2:$C$6,3,9),"N.D.")</f>
        <v>0</v>
      </c>
      <c r="CK197" s="311">
        <f t="shared" si="104"/>
        <v>0</v>
      </c>
      <c r="CL197" s="10">
        <v>0</v>
      </c>
      <c r="CM197" s="255">
        <f t="shared" si="105"/>
        <v>0</v>
      </c>
      <c r="CN197" s="232">
        <f>IFERROR(VLOOKUP(CM197,'Rangos amb etnico'!$A$2:$C$6,3,9),"N.D.")</f>
        <v>0</v>
      </c>
      <c r="CO197" s="311">
        <f t="shared" si="106"/>
        <v>0</v>
      </c>
      <c r="CP197">
        <v>0.90864114627092429</v>
      </c>
      <c r="CQ197" t="s">
        <v>2864</v>
      </c>
      <c r="CR197">
        <f t="shared" si="97"/>
        <v>3</v>
      </c>
      <c r="CS197" t="str">
        <f t="shared" si="107"/>
        <v>Candidato</v>
      </c>
      <c r="CT197">
        <v>0</v>
      </c>
      <c r="CU197">
        <v>0</v>
      </c>
      <c r="CV197" s="25">
        <v>56.878536224365227</v>
      </c>
      <c r="CW197" s="25">
        <v>32.125682830810547</v>
      </c>
      <c r="CX197" s="25">
        <v>58.752250671386719</v>
      </c>
      <c r="CY197" s="25">
        <v>82.817245483398438</v>
      </c>
      <c r="CZ197" s="25">
        <v>57.042915344238281</v>
      </c>
      <c r="DA197" s="25">
        <v>56.590206146240227</v>
      </c>
      <c r="DB197" s="25">
        <v>53.942916870117188</v>
      </c>
      <c r="DC197">
        <v>78</v>
      </c>
      <c r="DD197" s="253" t="s">
        <v>380</v>
      </c>
    </row>
    <row r="198" spans="1:108" hidden="1">
      <c r="A198" s="13">
        <v>17614</v>
      </c>
      <c r="B198" s="13" t="s">
        <v>854</v>
      </c>
      <c r="C198" s="13" t="s">
        <v>506</v>
      </c>
      <c r="D198" s="13" t="s">
        <v>507</v>
      </c>
      <c r="E198" s="13" t="s">
        <v>855</v>
      </c>
      <c r="F198" s="14">
        <v>79.659166666666707</v>
      </c>
      <c r="G198" s="13">
        <v>74.790000000000006</v>
      </c>
      <c r="H198" s="13">
        <v>68.23</v>
      </c>
      <c r="I198" s="13">
        <v>63.95</v>
      </c>
      <c r="J198" s="14">
        <v>51.433312942333956</v>
      </c>
      <c r="K198" s="14">
        <v>56.296145167487595</v>
      </c>
      <c r="L198" s="14">
        <v>59.800395649896871</v>
      </c>
      <c r="M198" s="14">
        <v>61.111800000000002</v>
      </c>
      <c r="N198" s="14">
        <f t="shared" si="81"/>
        <v>71.65729166666668</v>
      </c>
      <c r="O198" s="14">
        <f t="shared" si="82"/>
        <v>57.160413439929613</v>
      </c>
      <c r="P198" s="14">
        <f t="shared" si="98"/>
        <v>64.408852553298146</v>
      </c>
      <c r="Q198" s="14">
        <v>45.603303206421963</v>
      </c>
      <c r="R198" s="17">
        <f t="shared" si="83"/>
        <v>54.396696793578037</v>
      </c>
      <c r="S198" s="14">
        <f t="shared" si="99"/>
        <v>0.5895702711422024</v>
      </c>
      <c r="T198" s="13">
        <v>0</v>
      </c>
      <c r="U198" s="13">
        <f t="shared" si="100"/>
        <v>37.973544663806123</v>
      </c>
      <c r="V198" s="13">
        <f>IF($T198=1,$AU198,(VLOOKUP(U198,'Cortes naturales'!$A$35:$C$39,3,9)))</f>
        <v>3</v>
      </c>
      <c r="W198" s="13">
        <v>3</v>
      </c>
      <c r="X198" s="14" t="b">
        <f t="shared" si="84"/>
        <v>1</v>
      </c>
      <c r="Y198" s="17">
        <f>IF($T198=1,$AU198,VLOOKUP(U198,'Cortes naturales'!$A$45:$C$49,3,9))</f>
        <v>2</v>
      </c>
      <c r="Z198" s="14">
        <v>65.872250530517277</v>
      </c>
      <c r="AA198" s="14">
        <v>0.60500779153741646</v>
      </c>
      <c r="AB198" s="14">
        <v>39.85322481706767</v>
      </c>
      <c r="AC198" s="13">
        <v>2</v>
      </c>
      <c r="AD198" s="13">
        <f t="shared" si="85"/>
        <v>0</v>
      </c>
      <c r="AE198" s="14">
        <f t="shared" si="86"/>
        <v>-1.463397977219131</v>
      </c>
      <c r="AF198" s="14">
        <f t="shared" si="87"/>
        <v>-1.5437520395214066E-2</v>
      </c>
      <c r="AG198" s="13">
        <f t="shared" si="88"/>
        <v>-1.8796801532615461</v>
      </c>
      <c r="AH198" s="13">
        <f>IF($T198=1,$AU198,VLOOKUP(U198,'Cortes naturales'!$A$25:$C$29,3,9))</f>
        <v>2</v>
      </c>
      <c r="AI198" s="13" t="b">
        <f t="shared" si="89"/>
        <v>1</v>
      </c>
      <c r="AJ198" s="13">
        <f t="shared" si="90"/>
        <v>0</v>
      </c>
      <c r="AK198" s="28">
        <v>0.9741882058902549</v>
      </c>
      <c r="AL198" s="28">
        <v>64.171969562278022</v>
      </c>
      <c r="AM198" s="28">
        <v>0.63209768375023523</v>
      </c>
      <c r="AN198" s="13">
        <v>2</v>
      </c>
      <c r="AO198" s="33">
        <f t="shared" si="91"/>
        <v>0</v>
      </c>
      <c r="AP198" s="13">
        <f t="shared" si="101"/>
        <v>63.209768375023522</v>
      </c>
      <c r="AQ198" s="13">
        <f>IFERROR(VLOOKUP(U198,'Cortes naturales'!$E$15:$G$19,3,9),U198)</f>
        <v>3</v>
      </c>
      <c r="AR198" s="28">
        <f t="shared" si="92"/>
        <v>-0.3846179347480525</v>
      </c>
      <c r="AS198" s="13" t="b">
        <f t="shared" si="93"/>
        <v>0</v>
      </c>
      <c r="AT198" s="13">
        <f t="shared" si="102"/>
        <v>0</v>
      </c>
      <c r="AU198" s="13">
        <v>1</v>
      </c>
      <c r="AV198">
        <f t="shared" si="94"/>
        <v>-1</v>
      </c>
      <c r="AW198" s="13">
        <v>0</v>
      </c>
      <c r="AX198" s="13">
        <v>0</v>
      </c>
      <c r="AY198" s="13">
        <v>0</v>
      </c>
      <c r="AZ198" s="13">
        <v>0</v>
      </c>
      <c r="BA198">
        <v>1</v>
      </c>
      <c r="BB198" t="s">
        <v>2839</v>
      </c>
      <c r="BC198">
        <v>6</v>
      </c>
      <c r="BD198" t="s">
        <v>2919</v>
      </c>
      <c r="BE198">
        <v>1</v>
      </c>
      <c r="BF198" s="232" t="s">
        <v>2846</v>
      </c>
      <c r="BG198" s="232" t="s">
        <v>2846</v>
      </c>
      <c r="BH198" s="253">
        <v>29.3</v>
      </c>
      <c r="BI198" s="253">
        <v>11.313838207114888</v>
      </c>
      <c r="BJ198" s="25">
        <v>41.852782706643666</v>
      </c>
      <c r="BK198" t="s">
        <v>376</v>
      </c>
      <c r="BL198">
        <v>3.0084049557674417</v>
      </c>
      <c r="BM198" t="s">
        <v>383</v>
      </c>
      <c r="BN198" s="322">
        <v>110268.914978</v>
      </c>
      <c r="BO198" s="322">
        <v>9581.7522260000005</v>
      </c>
      <c r="BP198" s="10">
        <v>52440</v>
      </c>
      <c r="BQ198" s="254">
        <f t="shared" si="95"/>
        <v>2.1027634435163995</v>
      </c>
      <c r="BR198" s="254">
        <f t="shared" si="96"/>
        <v>0.18271838722349354</v>
      </c>
      <c r="BS198" s="25">
        <v>62.987365032035598</v>
      </c>
      <c r="BT198" s="25">
        <v>93.636579732503719</v>
      </c>
      <c r="BU198" s="25">
        <v>63.123333333333328</v>
      </c>
      <c r="BV198" s="25">
        <v>97.072893344878466</v>
      </c>
      <c r="BW198" s="25">
        <v>59.325587353154233</v>
      </c>
      <c r="BX198" s="25">
        <v>79.205042860687783</v>
      </c>
      <c r="BY198" s="25">
        <v>60.167155605683639</v>
      </c>
      <c r="BZ198">
        <v>31</v>
      </c>
      <c r="CA198">
        <v>1</v>
      </c>
      <c r="CB198">
        <v>6</v>
      </c>
      <c r="CC198">
        <v>38409.536096000003</v>
      </c>
      <c r="CD198" s="10">
        <v>283.81611700000002</v>
      </c>
      <c r="CE198" s="255">
        <v>7.3892097079911578E-3</v>
      </c>
      <c r="CF198" t="str">
        <f>IFERROR(VLOOKUP(CE198,'Rangos amb etnico'!$A$2:$C$6,3,9),"N.D.")</f>
        <v>0,1% - 30%</v>
      </c>
      <c r="CG198" s="256">
        <v>8.2572807352771702E-6</v>
      </c>
      <c r="CH198" s="232">
        <v>5385.8760750000001</v>
      </c>
      <c r="CI198" s="311">
        <f t="shared" si="103"/>
        <v>0.14022236721471076</v>
      </c>
      <c r="CJ198" s="232" t="str">
        <f>IFERROR(VLOOKUP(CI198,'Rangos amb etnico'!$A$2:$C$6,3,9),"N.D.")</f>
        <v>0,1% - 30%</v>
      </c>
      <c r="CK198" s="311">
        <f t="shared" si="104"/>
        <v>2.1385454258793877E-4</v>
      </c>
      <c r="CL198" s="10">
        <v>0</v>
      </c>
      <c r="CM198" s="255">
        <f t="shared" si="105"/>
        <v>0</v>
      </c>
      <c r="CN198" s="232">
        <f>IFERROR(VLOOKUP(CM198,'Rangos amb etnico'!$A$2:$C$6,3,9),"N.D.")</f>
        <v>0</v>
      </c>
      <c r="CO198" s="311">
        <f t="shared" si="106"/>
        <v>0</v>
      </c>
      <c r="CP198">
        <v>0.95443336585836513</v>
      </c>
      <c r="CQ198" t="s">
        <v>2864</v>
      </c>
      <c r="CR198">
        <f t="shared" si="97"/>
        <v>4</v>
      </c>
      <c r="CS198" t="str">
        <f t="shared" si="107"/>
        <v>Candidato</v>
      </c>
      <c r="CT198">
        <v>0</v>
      </c>
      <c r="CU198">
        <v>0</v>
      </c>
      <c r="CV198" s="25">
        <v>52.667037963867188</v>
      </c>
      <c r="CW198" s="25">
        <v>32.212108612060547</v>
      </c>
      <c r="CX198" s="25">
        <v>53.205707550048828</v>
      </c>
      <c r="CY198" s="25">
        <v>57.737052917480469</v>
      </c>
      <c r="CZ198" s="25">
        <v>48.019222259521477</v>
      </c>
      <c r="DA198" s="25">
        <v>76.5592041015625</v>
      </c>
      <c r="DB198" s="25">
        <v>48.268936157226563</v>
      </c>
      <c r="DC198">
        <v>38783</v>
      </c>
      <c r="DD198" s="253" t="s">
        <v>380</v>
      </c>
    </row>
    <row r="199" spans="1:108" hidden="1">
      <c r="A199" s="13">
        <v>17616</v>
      </c>
      <c r="B199" s="13" t="s">
        <v>856</v>
      </c>
      <c r="C199" s="13" t="s">
        <v>506</v>
      </c>
      <c r="D199" s="13" t="s">
        <v>507</v>
      </c>
      <c r="E199" s="13" t="s">
        <v>468</v>
      </c>
      <c r="F199" s="14">
        <v>49.2642666666667</v>
      </c>
      <c r="G199" s="13">
        <v>71.83</v>
      </c>
      <c r="H199" s="13">
        <v>80.25</v>
      </c>
      <c r="I199" s="13">
        <v>84.04</v>
      </c>
      <c r="J199" s="14">
        <v>59.704880756457477</v>
      </c>
      <c r="K199" s="14">
        <v>54.108431113014824</v>
      </c>
      <c r="L199" s="14">
        <v>57.211726479117203</v>
      </c>
      <c r="M199" s="14">
        <v>60.002200000000002</v>
      </c>
      <c r="N199" s="14">
        <f t="shared" si="81"/>
        <v>71.346066666666673</v>
      </c>
      <c r="O199" s="14">
        <f t="shared" si="82"/>
        <v>57.756809587147373</v>
      </c>
      <c r="P199" s="14">
        <f t="shared" si="98"/>
        <v>64.551438126907016</v>
      </c>
      <c r="Q199" s="14">
        <v>45.663001697411367</v>
      </c>
      <c r="R199" s="17">
        <f t="shared" si="83"/>
        <v>54.336998302588633</v>
      </c>
      <c r="S199" s="14">
        <f t="shared" si="99"/>
        <v>0.58903298472329768</v>
      </c>
      <c r="T199" s="13">
        <v>0</v>
      </c>
      <c r="U199" s="13">
        <f t="shared" si="100"/>
        <v>38.022926268073313</v>
      </c>
      <c r="V199" s="13">
        <f>IF($T199=1,$AU199,(VLOOKUP(U199,'Cortes naturales'!$A$35:$C$39,3,9)))</f>
        <v>3</v>
      </c>
      <c r="W199" s="13">
        <v>3</v>
      </c>
      <c r="X199" s="14" t="b">
        <f t="shared" si="84"/>
        <v>1</v>
      </c>
      <c r="Y199" s="17">
        <f>IF($T199=1,$AU199,VLOOKUP(U199,'Cortes naturales'!$A$45:$C$49,3,9))</f>
        <v>2</v>
      </c>
      <c r="Z199" s="14">
        <v>58.881502647127263</v>
      </c>
      <c r="AA199" s="14">
        <v>0.60244994290057019</v>
      </c>
      <c r="AB199" s="14">
        <v>35.473157907661594</v>
      </c>
      <c r="AC199" s="13">
        <v>2</v>
      </c>
      <c r="AD199" s="13">
        <f t="shared" si="85"/>
        <v>0</v>
      </c>
      <c r="AE199" s="14">
        <f t="shared" si="86"/>
        <v>5.6699354797797525</v>
      </c>
      <c r="AF199" s="14">
        <f t="shared" si="87"/>
        <v>-1.3416958177272509E-2</v>
      </c>
      <c r="AG199" s="13">
        <f t="shared" si="88"/>
        <v>2.5497683604117185</v>
      </c>
      <c r="AH199" s="13">
        <f>IF($T199=1,$AU199,VLOOKUP(U199,'Cortes naturales'!$A$25:$C$29,3,9))</f>
        <v>2</v>
      </c>
      <c r="AI199" s="13" t="b">
        <f t="shared" si="89"/>
        <v>1</v>
      </c>
      <c r="AJ199" s="13">
        <f t="shared" si="90"/>
        <v>0</v>
      </c>
      <c r="AK199" s="28">
        <v>0.9741882058902549</v>
      </c>
      <c r="AL199" s="28">
        <v>57.361665423927207</v>
      </c>
      <c r="AM199" s="28">
        <v>0.54690795771668943</v>
      </c>
      <c r="AN199" s="13">
        <v>2</v>
      </c>
      <c r="AO199" s="33">
        <f t="shared" si="91"/>
        <v>0</v>
      </c>
      <c r="AP199" s="13">
        <f t="shared" si="101"/>
        <v>54.690795771668945</v>
      </c>
      <c r="AQ199" s="13">
        <f>IFERROR(VLOOKUP(U199,'Cortes naturales'!$E$15:$G$19,3,9),U199)</f>
        <v>3</v>
      </c>
      <c r="AR199" s="28">
        <f t="shared" si="92"/>
        <v>-0.38515522116695722</v>
      </c>
      <c r="AS199" s="13" t="b">
        <f t="shared" si="93"/>
        <v>0</v>
      </c>
      <c r="AT199" s="13">
        <f t="shared" si="102"/>
        <v>0</v>
      </c>
      <c r="AU199" s="13">
        <v>2</v>
      </c>
      <c r="AV199">
        <f t="shared" si="94"/>
        <v>0</v>
      </c>
      <c r="AW199" s="13">
        <v>0</v>
      </c>
      <c r="AX199" s="13">
        <v>0</v>
      </c>
      <c r="AY199" s="13">
        <v>0</v>
      </c>
      <c r="AZ199" s="13">
        <v>0</v>
      </c>
      <c r="BA199">
        <v>1</v>
      </c>
      <c r="BB199" t="s">
        <v>2839</v>
      </c>
      <c r="BC199">
        <v>6</v>
      </c>
      <c r="BD199" t="s">
        <v>2919</v>
      </c>
      <c r="BE199">
        <v>0</v>
      </c>
      <c r="BF199" s="232" t="s">
        <v>2846</v>
      </c>
      <c r="BG199" s="232" t="s">
        <v>2846</v>
      </c>
      <c r="BH199" s="253">
        <v>39.4</v>
      </c>
      <c r="BI199" s="253">
        <v>11.463414634146341</v>
      </c>
      <c r="BJ199" s="25">
        <v>34.7725374275714</v>
      </c>
      <c r="BK199" t="s">
        <v>379</v>
      </c>
      <c r="BL199">
        <v>17.823136601063148</v>
      </c>
      <c r="BM199" t="s">
        <v>376</v>
      </c>
      <c r="BN199" s="322">
        <v>27682.587986999999</v>
      </c>
      <c r="BO199" s="322">
        <v>2948.6176449999998</v>
      </c>
      <c r="BP199" s="10">
        <v>11157</v>
      </c>
      <c r="BQ199" s="254">
        <f t="shared" si="95"/>
        <v>2.4811856222102713</v>
      </c>
      <c r="BR199" s="254">
        <f t="shared" si="96"/>
        <v>0.26428409473872905</v>
      </c>
      <c r="BS199" s="25">
        <v>61.448960865627527</v>
      </c>
      <c r="BT199" s="25">
        <v>87.743867825879121</v>
      </c>
      <c r="BU199" s="25">
        <v>59.795226470136633</v>
      </c>
      <c r="BV199" s="25">
        <v>91.557062395509504</v>
      </c>
      <c r="BW199" s="25">
        <v>62.358749312063431</v>
      </c>
      <c r="BX199" s="25">
        <v>75.136279389288205</v>
      </c>
      <c r="BY199" s="25">
        <v>62.646069246103863</v>
      </c>
      <c r="BZ199">
        <v>19</v>
      </c>
      <c r="CA199">
        <v>0</v>
      </c>
      <c r="CB199">
        <v>7</v>
      </c>
      <c r="CC199">
        <v>8990.5933980000009</v>
      </c>
      <c r="CD199" s="10">
        <v>44.400210000000001</v>
      </c>
      <c r="CE199" s="255">
        <v>4.9385182973436473E-3</v>
      </c>
      <c r="CF199" t="str">
        <f>IFERROR(VLOOKUP(CE199,'Rangos amb etnico'!$A$2:$C$6,3,9),"N.D.")</f>
        <v>0,1% - 30%</v>
      </c>
      <c r="CG199" s="256">
        <v>1.2917694828277169E-6</v>
      </c>
      <c r="CH199" s="232">
        <v>67.452916999999999</v>
      </c>
      <c r="CI199" s="311">
        <f t="shared" si="103"/>
        <v>7.5026101185940866E-3</v>
      </c>
      <c r="CJ199" s="232" t="str">
        <f>IFERROR(VLOOKUP(CI199,'Rangos amb etnico'!$A$2:$C$6,3,9),"N.D.")</f>
        <v>0,1% - 30%</v>
      </c>
      <c r="CK199" s="311">
        <f t="shared" si="104"/>
        <v>2.6783224326707513E-6</v>
      </c>
      <c r="CL199" s="10">
        <v>0</v>
      </c>
      <c r="CM199" s="255">
        <f t="shared" si="105"/>
        <v>0</v>
      </c>
      <c r="CN199" s="232">
        <f>IFERROR(VLOOKUP(CM199,'Rangos amb etnico'!$A$2:$C$6,3,9),"N.D.")</f>
        <v>0</v>
      </c>
      <c r="CO199" s="311">
        <f t="shared" si="106"/>
        <v>0</v>
      </c>
      <c r="CP199">
        <v>0.96474970525338977</v>
      </c>
      <c r="CQ199" t="s">
        <v>2864</v>
      </c>
      <c r="CR199">
        <f t="shared" si="97"/>
        <v>4</v>
      </c>
      <c r="CS199" t="str">
        <f t="shared" si="107"/>
        <v>Candidato</v>
      </c>
      <c r="CT199">
        <v>0</v>
      </c>
      <c r="CU199">
        <v>0</v>
      </c>
      <c r="CV199" s="25">
        <v>52.244735717773438</v>
      </c>
      <c r="CW199" s="25">
        <v>32.225822448730469</v>
      </c>
      <c r="CX199" s="25">
        <v>52.068119049072273</v>
      </c>
      <c r="CY199" s="25">
        <v>62.154346466064453</v>
      </c>
      <c r="CZ199" s="25">
        <v>57.307224273681641</v>
      </c>
      <c r="DA199" s="25">
        <v>59.966415405273438</v>
      </c>
      <c r="DB199" s="25">
        <v>49.746479034423828</v>
      </c>
      <c r="DC199">
        <v>521</v>
      </c>
      <c r="DD199" s="253" t="s">
        <v>380</v>
      </c>
    </row>
    <row r="200" spans="1:108" hidden="1">
      <c r="A200" s="13">
        <v>23675</v>
      </c>
      <c r="B200" s="13" t="s">
        <v>857</v>
      </c>
      <c r="C200" s="13" t="s">
        <v>567</v>
      </c>
      <c r="D200" s="13" t="s">
        <v>568</v>
      </c>
      <c r="E200" s="13" t="s">
        <v>858</v>
      </c>
      <c r="F200" s="14">
        <v>56.869866666666702</v>
      </c>
      <c r="G200" s="13">
        <v>71.33</v>
      </c>
      <c r="H200" s="13">
        <v>65.03</v>
      </c>
      <c r="I200" s="13">
        <v>56.86</v>
      </c>
      <c r="J200" s="14">
        <v>60.076731506139907</v>
      </c>
      <c r="K200" s="14">
        <v>56.267754848893432</v>
      </c>
      <c r="L200" s="14">
        <v>61.135636818829511</v>
      </c>
      <c r="M200" s="14">
        <v>57.849499999999999</v>
      </c>
      <c r="N200" s="14">
        <f t="shared" si="81"/>
        <v>62.522466666666674</v>
      </c>
      <c r="O200" s="14">
        <f t="shared" si="82"/>
        <v>58.832405793465718</v>
      </c>
      <c r="P200" s="14">
        <f t="shared" si="98"/>
        <v>60.677436230066192</v>
      </c>
      <c r="Q200" s="14">
        <v>45.148295433337267</v>
      </c>
      <c r="R200" s="17">
        <f t="shared" si="83"/>
        <v>54.851704566662733</v>
      </c>
      <c r="S200" s="14">
        <f t="shared" si="99"/>
        <v>0.59366534109996461</v>
      </c>
      <c r="T200" s="13">
        <v>0</v>
      </c>
      <c r="U200" s="13">
        <f t="shared" si="100"/>
        <v>36.022090876593595</v>
      </c>
      <c r="V200" s="13">
        <f>IF($T200=1,$AU200,(VLOOKUP(U200,'Cortes naturales'!$A$35:$C$39,3,9)))</f>
        <v>3</v>
      </c>
      <c r="W200" s="13">
        <v>3</v>
      </c>
      <c r="X200" s="14" t="b">
        <f t="shared" si="84"/>
        <v>1</v>
      </c>
      <c r="Y200" s="17">
        <f>IF($T200=1,$AU200,VLOOKUP(U200,'Cortes naturales'!$A$45:$C$49,3,9))</f>
        <v>2</v>
      </c>
      <c r="Z200" s="14">
        <v>60.428309309606846</v>
      </c>
      <c r="AA200" s="14">
        <v>0.60283141605280033</v>
      </c>
      <c r="AB200" s="14">
        <v>36.428083270786914</v>
      </c>
      <c r="AC200" s="13">
        <v>2</v>
      </c>
      <c r="AD200" s="13">
        <f t="shared" si="85"/>
        <v>0</v>
      </c>
      <c r="AE200" s="14">
        <f t="shared" si="86"/>
        <v>0.24912692045934648</v>
      </c>
      <c r="AF200" s="14">
        <f t="shared" si="87"/>
        <v>-9.1660749528357233E-3</v>
      </c>
      <c r="AG200" s="13">
        <f t="shared" si="88"/>
        <v>-0.40599239419331923</v>
      </c>
      <c r="AH200" s="13">
        <f>IF($T200=1,$AU200,VLOOKUP(U200,'Cortes naturales'!$A$25:$C$29,3,9))</f>
        <v>2</v>
      </c>
      <c r="AI200" s="13" t="b">
        <f t="shared" si="89"/>
        <v>1</v>
      </c>
      <c r="AJ200" s="13">
        <f t="shared" si="90"/>
        <v>0</v>
      </c>
      <c r="AK200" s="28">
        <v>0.9741882058902549</v>
      </c>
      <c r="AL200" s="28">
        <v>58.868546231307278</v>
      </c>
      <c r="AM200" s="28">
        <v>0.5657574482149218</v>
      </c>
      <c r="AN200" s="13">
        <v>2</v>
      </c>
      <c r="AO200" s="33">
        <f t="shared" si="91"/>
        <v>0</v>
      </c>
      <c r="AP200" s="13">
        <f t="shared" si="101"/>
        <v>56.575744821492179</v>
      </c>
      <c r="AQ200" s="13">
        <f>IFERROR(VLOOKUP(U200,'Cortes naturales'!$E$15:$G$19,3,9),U200)</f>
        <v>3</v>
      </c>
      <c r="AR200" s="28">
        <f t="shared" si="92"/>
        <v>-0.38052286479029029</v>
      </c>
      <c r="AS200" s="13" t="b">
        <f t="shared" si="93"/>
        <v>0</v>
      </c>
      <c r="AT200" s="13">
        <f t="shared" si="102"/>
        <v>0</v>
      </c>
      <c r="AU200" s="13">
        <v>3</v>
      </c>
      <c r="AV200">
        <f t="shared" si="94"/>
        <v>1</v>
      </c>
      <c r="AW200" s="13">
        <v>0</v>
      </c>
      <c r="AX200" s="13">
        <v>0</v>
      </c>
      <c r="AY200" s="13">
        <v>0</v>
      </c>
      <c r="AZ200" s="13">
        <v>0</v>
      </c>
      <c r="BA200">
        <v>0</v>
      </c>
      <c r="BB200" t="s">
        <v>2839</v>
      </c>
      <c r="BC200">
        <v>6</v>
      </c>
      <c r="BD200" t="s">
        <v>2919</v>
      </c>
      <c r="BE200">
        <v>1</v>
      </c>
      <c r="BF200" s="232" t="s">
        <v>2846</v>
      </c>
      <c r="BG200" s="232" t="s">
        <v>2846</v>
      </c>
      <c r="BH200" s="253">
        <v>57</v>
      </c>
      <c r="BI200" s="253">
        <v>41.984577232734317</v>
      </c>
      <c r="BJ200" s="25">
        <v>32.61</v>
      </c>
      <c r="BK200" t="s">
        <v>379</v>
      </c>
      <c r="BL200">
        <v>1.9589913237550109</v>
      </c>
      <c r="BM200" t="s">
        <v>383</v>
      </c>
      <c r="BN200" s="322">
        <v>78522.256833000007</v>
      </c>
      <c r="BO200" s="322">
        <v>4484.6175999999996</v>
      </c>
      <c r="BP200" s="10">
        <v>40897</v>
      </c>
      <c r="BQ200" s="254">
        <f t="shared" si="95"/>
        <v>1.9200004115949827</v>
      </c>
      <c r="BR200" s="254">
        <f t="shared" si="96"/>
        <v>0.10965639533462111</v>
      </c>
      <c r="BS200" s="25">
        <v>51.17542471382086</v>
      </c>
      <c r="BT200" s="25">
        <v>89.098389985285849</v>
      </c>
      <c r="BU200" s="25">
        <v>20.250568173128372</v>
      </c>
      <c r="BV200" s="25">
        <v>98.984758979634123</v>
      </c>
      <c r="BW200" s="25">
        <v>41.452653056337809</v>
      </c>
      <c r="BX200" s="25">
        <v>64.877285462967293</v>
      </c>
      <c r="BY200" s="25">
        <v>39.992299707257111</v>
      </c>
      <c r="BZ200">
        <v>56</v>
      </c>
      <c r="CA200">
        <v>0</v>
      </c>
      <c r="CB200">
        <v>7</v>
      </c>
      <c r="CC200">
        <v>31579.774189</v>
      </c>
      <c r="CD200" s="10">
        <v>13155.069329</v>
      </c>
      <c r="CE200" s="255">
        <v>0.41656628860830264</v>
      </c>
      <c r="CF200" t="str">
        <f>IFERROR(VLOOKUP(CE200,'Rangos amb etnico'!$A$2:$C$6,3,9),"N.D.")</f>
        <v>31% - 50%</v>
      </c>
      <c r="CG200" s="256">
        <v>3.8273055698802077E-4</v>
      </c>
      <c r="CH200" s="232">
        <v>0</v>
      </c>
      <c r="CI200" s="311">
        <f t="shared" si="103"/>
        <v>0</v>
      </c>
      <c r="CJ200" s="232">
        <f>IFERROR(VLOOKUP(CI200,'Rangos amb etnico'!$A$2:$C$6,3,9),"N.D.")</f>
        <v>0</v>
      </c>
      <c r="CK200" s="311">
        <f t="shared" si="104"/>
        <v>0</v>
      </c>
      <c r="CL200" s="10">
        <v>0</v>
      </c>
      <c r="CM200" s="255">
        <f t="shared" si="105"/>
        <v>0</v>
      </c>
      <c r="CN200" s="232">
        <f>IFERROR(VLOOKUP(CM200,'Rangos amb etnico'!$A$2:$C$6,3,9),"N.D.")</f>
        <v>0</v>
      </c>
      <c r="CO200" s="311">
        <f t="shared" si="106"/>
        <v>0</v>
      </c>
      <c r="CP200">
        <v>0.97573658449664769</v>
      </c>
      <c r="CQ200" t="s">
        <v>2864</v>
      </c>
      <c r="CR200">
        <f t="shared" si="97"/>
        <v>1</v>
      </c>
      <c r="CS200" t="str">
        <f t="shared" si="107"/>
        <v>No es Candidato</v>
      </c>
      <c r="CT200">
        <v>0</v>
      </c>
      <c r="CU200">
        <v>0</v>
      </c>
      <c r="CV200" s="25">
        <v>51.077980041503913</v>
      </c>
      <c r="CW200" s="25">
        <v>27.1920051574707</v>
      </c>
      <c r="CX200" s="25">
        <v>48.64251708984375</v>
      </c>
      <c r="CY200" s="25">
        <v>47.321571350097663</v>
      </c>
      <c r="CZ200" s="25">
        <v>16.65042686462402</v>
      </c>
      <c r="DA200" s="25">
        <v>96.437286376953125</v>
      </c>
      <c r="DB200" s="25">
        <v>70.224067687988281</v>
      </c>
      <c r="DC200">
        <v>24847</v>
      </c>
      <c r="DD200" s="253" t="s">
        <v>380</v>
      </c>
    </row>
    <row r="201" spans="1:108" hidden="1">
      <c r="A201" s="13">
        <v>70820</v>
      </c>
      <c r="B201" s="13" t="s">
        <v>859</v>
      </c>
      <c r="C201" s="13" t="s">
        <v>494</v>
      </c>
      <c r="D201" s="13" t="s">
        <v>495</v>
      </c>
      <c r="E201" s="13" t="s">
        <v>860</v>
      </c>
      <c r="F201" s="14">
        <v>77.722966666666693</v>
      </c>
      <c r="G201" s="13">
        <v>67.510000000000005</v>
      </c>
      <c r="H201" s="13">
        <v>47.7</v>
      </c>
      <c r="I201" s="13">
        <v>68.47</v>
      </c>
      <c r="J201" s="14">
        <v>59.254645107713522</v>
      </c>
      <c r="K201" s="14">
        <v>62.423312146678413</v>
      </c>
      <c r="L201" s="14">
        <v>61.904912449859509</v>
      </c>
      <c r="M201" s="14">
        <v>53.532899999999998</v>
      </c>
      <c r="N201" s="14">
        <f t="shared" si="81"/>
        <v>65.350741666666664</v>
      </c>
      <c r="O201" s="14">
        <f t="shared" si="82"/>
        <v>59.278942426062855</v>
      </c>
      <c r="P201" s="14">
        <f t="shared" si="98"/>
        <v>62.31484204636476</v>
      </c>
      <c r="Q201" s="14">
        <v>44.752406621926461</v>
      </c>
      <c r="R201" s="17">
        <f t="shared" si="83"/>
        <v>55.247593378073539</v>
      </c>
      <c r="S201" s="14">
        <f t="shared" si="99"/>
        <v>0.59722834040266182</v>
      </c>
      <c r="T201" s="13">
        <v>0</v>
      </c>
      <c r="U201" s="13">
        <f t="shared" si="100"/>
        <v>37.216189697804438</v>
      </c>
      <c r="V201" s="13">
        <f>IF($T201=1,$AU201,(VLOOKUP(U201,'Cortes naturales'!$A$35:$C$39,3,9)))</f>
        <v>3</v>
      </c>
      <c r="W201" s="13">
        <v>3</v>
      </c>
      <c r="X201" s="14" t="b">
        <f t="shared" si="84"/>
        <v>1</v>
      </c>
      <c r="Y201" s="17">
        <f>IF($T201=1,$AU201,VLOOKUP(U201,'Cortes naturales'!$A$45:$C$49,3,9))</f>
        <v>2</v>
      </c>
      <c r="Z201" s="14">
        <v>64.388971991268775</v>
      </c>
      <c r="AA201" s="14">
        <v>0.6024423675112851</v>
      </c>
      <c r="AB201" s="14">
        <v>38.790644728037783</v>
      </c>
      <c r="AC201" s="13">
        <v>2</v>
      </c>
      <c r="AD201" s="13">
        <f t="shared" si="85"/>
        <v>0</v>
      </c>
      <c r="AE201" s="14">
        <f t="shared" si="86"/>
        <v>-2.0741299449040156</v>
      </c>
      <c r="AF201" s="14">
        <f t="shared" si="87"/>
        <v>-5.214027108623287E-3</v>
      </c>
      <c r="AG201" s="13">
        <f t="shared" si="88"/>
        <v>-1.5744550302333451</v>
      </c>
      <c r="AH201" s="13">
        <f>IF($T201=1,$AU201,VLOOKUP(U201,'Cortes naturales'!$A$25:$C$29,3,9))</f>
        <v>2</v>
      </c>
      <c r="AI201" s="13" t="b">
        <f t="shared" si="89"/>
        <v>1</v>
      </c>
      <c r="AJ201" s="13">
        <f t="shared" si="90"/>
        <v>0</v>
      </c>
      <c r="AK201" s="28">
        <v>0.9741882058902549</v>
      </c>
      <c r="AL201" s="28">
        <v>62.726977103292</v>
      </c>
      <c r="AM201" s="28">
        <v>0.614022351253944</v>
      </c>
      <c r="AN201" s="13">
        <v>2</v>
      </c>
      <c r="AO201" s="33">
        <f t="shared" si="91"/>
        <v>0</v>
      </c>
      <c r="AP201" s="13">
        <f t="shared" si="101"/>
        <v>61.402235125394398</v>
      </c>
      <c r="AQ201" s="13">
        <f>IFERROR(VLOOKUP(U201,'Cortes naturales'!$E$15:$G$19,3,9),U201)</f>
        <v>3</v>
      </c>
      <c r="AR201" s="28">
        <f t="shared" si="92"/>
        <v>-0.37695986548759308</v>
      </c>
      <c r="AS201" s="13" t="b">
        <f t="shared" si="93"/>
        <v>0</v>
      </c>
      <c r="AT201" s="13">
        <f t="shared" si="102"/>
        <v>0</v>
      </c>
      <c r="AU201" s="13">
        <v>2</v>
      </c>
      <c r="AV201">
        <f t="shared" si="94"/>
        <v>0</v>
      </c>
      <c r="AW201" s="13">
        <v>0</v>
      </c>
      <c r="AX201" s="13">
        <v>0</v>
      </c>
      <c r="AY201" s="13">
        <v>0</v>
      </c>
      <c r="AZ201" s="13">
        <v>0</v>
      </c>
      <c r="BA201">
        <v>0</v>
      </c>
      <c r="BB201" t="s">
        <v>2839</v>
      </c>
      <c r="BC201">
        <v>6</v>
      </c>
      <c r="BD201" t="s">
        <v>2919</v>
      </c>
      <c r="BE201">
        <v>0</v>
      </c>
      <c r="BF201" s="232" t="s">
        <v>2846</v>
      </c>
      <c r="BG201" s="232" t="s">
        <v>2846</v>
      </c>
      <c r="BH201" s="253">
        <v>42.7</v>
      </c>
      <c r="BI201" s="253">
        <v>23.750468574284643</v>
      </c>
      <c r="BJ201" s="25">
        <v>16.071428571428573</v>
      </c>
      <c r="BK201" t="s">
        <v>379</v>
      </c>
      <c r="BL201">
        <v>5.639504798614011</v>
      </c>
      <c r="BM201" t="s">
        <v>383</v>
      </c>
      <c r="BN201" s="322">
        <v>87866.454394999993</v>
      </c>
      <c r="BO201" s="322">
        <v>22280.276776999999</v>
      </c>
      <c r="BP201" s="10">
        <v>37512</v>
      </c>
      <c r="BQ201" s="254">
        <f t="shared" si="95"/>
        <v>2.3423558966464064</v>
      </c>
      <c r="BR201" s="254">
        <f t="shared" si="96"/>
        <v>0.59395064984538282</v>
      </c>
      <c r="BS201" s="25">
        <v>71.610990767177384</v>
      </c>
      <c r="BT201" s="25">
        <v>98.946825904599407</v>
      </c>
      <c r="BU201" s="25">
        <v>32.460582133457187</v>
      </c>
      <c r="BV201" s="25">
        <v>89.180973743949835</v>
      </c>
      <c r="BW201" s="25">
        <v>48.108652494629887</v>
      </c>
      <c r="BX201" s="25">
        <v>73.049843137295952</v>
      </c>
      <c r="BY201" s="25">
        <v>47.6785002229757</v>
      </c>
      <c r="BZ201">
        <v>43</v>
      </c>
      <c r="CA201">
        <v>0</v>
      </c>
      <c r="CB201">
        <v>6</v>
      </c>
      <c r="CC201">
        <v>30259.127983999999</v>
      </c>
      <c r="CD201" s="10">
        <v>4342.1321109999999</v>
      </c>
      <c r="CE201" s="255">
        <v>0.14349825656892598</v>
      </c>
      <c r="CF201" t="str">
        <f>IFERROR(VLOOKUP(CE201,'Rangos amb etnico'!$A$2:$C$6,3,9),"N.D.")</f>
        <v>0,1% - 30%</v>
      </c>
      <c r="CG201" s="256">
        <v>1.2632899149342069E-4</v>
      </c>
      <c r="CH201" s="232">
        <v>0</v>
      </c>
      <c r="CI201" s="311">
        <f t="shared" si="103"/>
        <v>0</v>
      </c>
      <c r="CJ201" s="232">
        <f>IFERROR(VLOOKUP(CI201,'Rangos amb etnico'!$A$2:$C$6,3,9),"N.D.")</f>
        <v>0</v>
      </c>
      <c r="CK201" s="311">
        <f t="shared" si="104"/>
        <v>0</v>
      </c>
      <c r="CL201" s="10">
        <v>0</v>
      </c>
      <c r="CM201" s="255">
        <f t="shared" si="105"/>
        <v>0</v>
      </c>
      <c r="CN201" s="232">
        <f>IFERROR(VLOOKUP(CM201,'Rangos amb etnico'!$A$2:$C$6,3,9),"N.D.")</f>
        <v>0</v>
      </c>
      <c r="CO201" s="311">
        <f t="shared" si="106"/>
        <v>0</v>
      </c>
      <c r="CP201">
        <v>0.94823830622707006</v>
      </c>
      <c r="CQ201" t="s">
        <v>2864</v>
      </c>
      <c r="CR201">
        <f t="shared" si="97"/>
        <v>2</v>
      </c>
      <c r="CS201" t="str">
        <f t="shared" si="107"/>
        <v>No es Candidato</v>
      </c>
      <c r="CT201">
        <v>0</v>
      </c>
      <c r="CU201">
        <v>0</v>
      </c>
      <c r="CV201" s="25">
        <v>49.773319244384773</v>
      </c>
      <c r="CW201" s="25">
        <v>41.484661102294922</v>
      </c>
      <c r="CX201" s="25">
        <v>49.329113006591797</v>
      </c>
      <c r="CY201" s="25">
        <v>59.509975433349609</v>
      </c>
      <c r="CZ201" s="25">
        <v>37.771469116210938</v>
      </c>
      <c r="DA201" s="25">
        <v>44.549503326416023</v>
      </c>
      <c r="DB201" s="25">
        <v>65.995193481445313</v>
      </c>
      <c r="DC201">
        <v>25020</v>
      </c>
      <c r="DD201" s="253" t="s">
        <v>380</v>
      </c>
    </row>
    <row r="202" spans="1:108" hidden="1">
      <c r="A202" s="13">
        <v>25612</v>
      </c>
      <c r="B202" s="13" t="s">
        <v>861</v>
      </c>
      <c r="C202" s="13" t="s">
        <v>461</v>
      </c>
      <c r="D202" s="13" t="s">
        <v>462</v>
      </c>
      <c r="E202" s="13" t="s">
        <v>862</v>
      </c>
      <c r="F202" s="14">
        <v>72.662199999999999</v>
      </c>
      <c r="G202" s="13">
        <v>62.74</v>
      </c>
      <c r="H202" s="13">
        <v>61.47</v>
      </c>
      <c r="I202" s="13">
        <v>65.02</v>
      </c>
      <c r="J202" s="14">
        <v>57.884862605052774</v>
      </c>
      <c r="K202" s="14">
        <v>66.05325267567585</v>
      </c>
      <c r="L202" s="14">
        <v>80.156691871501096</v>
      </c>
      <c r="M202" s="14">
        <v>56.064</v>
      </c>
      <c r="N202" s="14">
        <f t="shared" si="81"/>
        <v>65.473050000000001</v>
      </c>
      <c r="O202" s="14">
        <f t="shared" si="82"/>
        <v>65.039701788057428</v>
      </c>
      <c r="P202" s="14">
        <f t="shared" si="98"/>
        <v>65.256375894028707</v>
      </c>
      <c r="Q202" s="14">
        <v>45.570750235275582</v>
      </c>
      <c r="R202" s="17">
        <f t="shared" si="83"/>
        <v>54.429249764724418</v>
      </c>
      <c r="S202" s="14">
        <f t="shared" si="99"/>
        <v>0.58986324788251976</v>
      </c>
      <c r="T202" s="13">
        <v>0</v>
      </c>
      <c r="U202" s="13">
        <f t="shared" si="100"/>
        <v>38.492337829894339</v>
      </c>
      <c r="V202" s="13">
        <f>IF($T202=1,$AU202,(VLOOKUP(U202,'Cortes naturales'!$A$35:$C$39,3,9)))</f>
        <v>2</v>
      </c>
      <c r="W202" s="13">
        <v>2</v>
      </c>
      <c r="X202" s="14" t="b">
        <f t="shared" si="84"/>
        <v>1</v>
      </c>
      <c r="Y202" s="17">
        <f>IF($T202=1,$AU202,VLOOKUP(U202,'Cortes naturales'!$A$45:$C$49,3,9))</f>
        <v>2</v>
      </c>
      <c r="Z202" s="14">
        <v>66.696920405447045</v>
      </c>
      <c r="AA202" s="14">
        <v>0.60236660867408531</v>
      </c>
      <c r="AB202" s="14">
        <v>40.175997753634533</v>
      </c>
      <c r="AC202" s="13">
        <v>2</v>
      </c>
      <c r="AD202" s="13">
        <f t="shared" si="85"/>
        <v>0</v>
      </c>
      <c r="AE202" s="14">
        <f t="shared" si="86"/>
        <v>-1.4405445114183379</v>
      </c>
      <c r="AF202" s="14">
        <f t="shared" si="87"/>
        <v>-1.2503360791565554E-2</v>
      </c>
      <c r="AG202" s="13">
        <f t="shared" si="88"/>
        <v>-1.6836599237401941</v>
      </c>
      <c r="AH202" s="13">
        <f>IF($T202=1,$AU202,VLOOKUP(U202,'Cortes naturales'!$A$25:$C$29,3,9))</f>
        <v>2</v>
      </c>
      <c r="AI202" s="13" t="b">
        <f t="shared" si="89"/>
        <v>1</v>
      </c>
      <c r="AJ202" s="13">
        <f t="shared" si="90"/>
        <v>0</v>
      </c>
      <c r="AK202" s="28">
        <v>0.9741882058902549</v>
      </c>
      <c r="AL202" s="28">
        <v>64.975353228187586</v>
      </c>
      <c r="AM202" s="28">
        <v>0.64214716656455706</v>
      </c>
      <c r="AN202" s="13">
        <v>2</v>
      </c>
      <c r="AO202" s="33">
        <f t="shared" si="91"/>
        <v>0</v>
      </c>
      <c r="AP202" s="13">
        <f t="shared" si="101"/>
        <v>64.214716656455707</v>
      </c>
      <c r="AQ202" s="13">
        <f>IFERROR(VLOOKUP(U202,'Cortes naturales'!$E$15:$G$19,3,9),U202)</f>
        <v>3</v>
      </c>
      <c r="AR202" s="28">
        <f t="shared" si="92"/>
        <v>-0.38432495800773514</v>
      </c>
      <c r="AS202" s="13" t="b">
        <f t="shared" si="93"/>
        <v>0</v>
      </c>
      <c r="AT202" s="13">
        <f t="shared" si="102"/>
        <v>0</v>
      </c>
      <c r="AU202" s="13">
        <v>1</v>
      </c>
      <c r="AV202">
        <f t="shared" si="94"/>
        <v>-1</v>
      </c>
      <c r="AW202" s="13">
        <v>0</v>
      </c>
      <c r="AX202" s="13">
        <v>0</v>
      </c>
      <c r="AY202" s="13">
        <v>0</v>
      </c>
      <c r="AZ202" s="13">
        <v>0</v>
      </c>
      <c r="BA202">
        <v>0</v>
      </c>
      <c r="BB202" t="s">
        <v>2839</v>
      </c>
      <c r="BC202">
        <v>3</v>
      </c>
      <c r="BD202" s="184" t="s">
        <v>2917</v>
      </c>
      <c r="BE202">
        <v>0</v>
      </c>
      <c r="BF202" s="232" t="s">
        <v>2846</v>
      </c>
      <c r="BG202" s="232" t="s">
        <v>2845</v>
      </c>
      <c r="BH202" s="253">
        <v>17.5</v>
      </c>
      <c r="BI202" s="253">
        <v>9.3074997682395484</v>
      </c>
      <c r="BJ202" s="25">
        <v>0.23783099765984345</v>
      </c>
      <c r="BK202" t="s">
        <v>381</v>
      </c>
      <c r="BL202">
        <v>0</v>
      </c>
      <c r="BM202" t="s">
        <v>377</v>
      </c>
      <c r="BN202" s="322">
        <v>65617.170679000003</v>
      </c>
      <c r="BO202" s="322">
        <v>47317.803633000003</v>
      </c>
      <c r="BP202" s="10">
        <v>15191</v>
      </c>
      <c r="BQ202" s="254">
        <f t="shared" si="95"/>
        <v>4.319476708511619</v>
      </c>
      <c r="BR202" s="254">
        <f t="shared" si="96"/>
        <v>3.1148577205582253</v>
      </c>
      <c r="BS202" s="25">
        <v>57.042189053786991</v>
      </c>
      <c r="BT202" s="25">
        <v>78.500427884931867</v>
      </c>
      <c r="BU202" s="25">
        <v>53.840260757485588</v>
      </c>
      <c r="BV202" s="25">
        <v>73.277438134668259</v>
      </c>
      <c r="BW202" s="25">
        <v>71.282624326231982</v>
      </c>
      <c r="BX202" s="25">
        <v>65.66507895771818</v>
      </c>
      <c r="BY202" s="25">
        <v>74.077533240511187</v>
      </c>
      <c r="BZ202">
        <v>55</v>
      </c>
      <c r="CA202">
        <v>0</v>
      </c>
      <c r="CB202">
        <v>7</v>
      </c>
      <c r="CC202">
        <v>12791.838145</v>
      </c>
      <c r="CD202" s="10">
        <v>1803.5617970000001</v>
      </c>
      <c r="CE202" s="255">
        <v>0.14099316896883704</v>
      </c>
      <c r="CF202" t="str">
        <f>IFERROR(VLOOKUP(CE202,'Rangos amb etnico'!$A$2:$C$6,3,9),"N.D.")</f>
        <v>0,1% - 30%</v>
      </c>
      <c r="CG202" s="256">
        <v>5.2472411498921237E-5</v>
      </c>
      <c r="CH202" s="232">
        <v>0</v>
      </c>
      <c r="CI202" s="311">
        <f t="shared" si="103"/>
        <v>0</v>
      </c>
      <c r="CJ202" s="232">
        <f>IFERROR(VLOOKUP(CI202,'Rangos amb etnico'!$A$2:$C$6,3,9),"N.D.")</f>
        <v>0</v>
      </c>
      <c r="CK202" s="311">
        <f t="shared" si="104"/>
        <v>0</v>
      </c>
      <c r="CL202" s="10">
        <v>0</v>
      </c>
      <c r="CM202" s="255">
        <f t="shared" si="105"/>
        <v>0</v>
      </c>
      <c r="CN202" s="232">
        <f>IFERROR(VLOOKUP(CM202,'Rangos amb etnico'!$A$2:$C$6,3,9),"N.D.")</f>
        <v>0</v>
      </c>
      <c r="CO202" s="311">
        <f t="shared" si="106"/>
        <v>0</v>
      </c>
      <c r="CP202">
        <v>0.90119196089621534</v>
      </c>
      <c r="CQ202" t="s">
        <v>2864</v>
      </c>
      <c r="CR202">
        <f t="shared" si="97"/>
        <v>3</v>
      </c>
      <c r="CS202" t="str">
        <f t="shared" si="107"/>
        <v>Candidato</v>
      </c>
      <c r="CT202">
        <v>0</v>
      </c>
      <c r="CU202">
        <v>0</v>
      </c>
      <c r="CV202" s="25">
        <v>53.560997009277337</v>
      </c>
      <c r="CW202" s="25">
        <v>33.089805603027337</v>
      </c>
      <c r="CX202" s="25">
        <v>61.315498352050781</v>
      </c>
      <c r="CY202" s="25">
        <v>72.81292724609375</v>
      </c>
      <c r="CZ202" s="25">
        <v>49.092300415039063</v>
      </c>
      <c r="DA202" s="25">
        <v>47.316841125488281</v>
      </c>
      <c r="DB202" s="25">
        <v>57.738605499267578</v>
      </c>
      <c r="DC202">
        <v>157</v>
      </c>
      <c r="DD202" s="253" t="s">
        <v>380</v>
      </c>
    </row>
    <row r="203" spans="1:108" hidden="1">
      <c r="A203" s="13">
        <v>25040</v>
      </c>
      <c r="B203" s="13" t="s">
        <v>863</v>
      </c>
      <c r="C203" s="13" t="s">
        <v>461</v>
      </c>
      <c r="D203" s="13" t="s">
        <v>462</v>
      </c>
      <c r="E203" s="13" t="s">
        <v>864</v>
      </c>
      <c r="F203" s="14">
        <v>46.5062</v>
      </c>
      <c r="G203" s="13">
        <v>84.5</v>
      </c>
      <c r="H203" s="13">
        <v>58.46</v>
      </c>
      <c r="I203" s="13">
        <v>82.97</v>
      </c>
      <c r="J203" s="14">
        <v>58.184534110123806</v>
      </c>
      <c r="K203" s="14">
        <v>61.998700238698888</v>
      </c>
      <c r="L203" s="14">
        <v>64.946465011733906</v>
      </c>
      <c r="M203" s="14">
        <v>57.475900000000003</v>
      </c>
      <c r="N203" s="14">
        <f t="shared" si="81"/>
        <v>68.109049999999996</v>
      </c>
      <c r="O203" s="14">
        <f t="shared" si="82"/>
        <v>60.651399840139149</v>
      </c>
      <c r="P203" s="14">
        <f t="shared" si="98"/>
        <v>64.380224920069566</v>
      </c>
      <c r="Q203" s="14">
        <v>46.204979922552539</v>
      </c>
      <c r="R203" s="17">
        <f t="shared" si="83"/>
        <v>53.795020077447461</v>
      </c>
      <c r="S203" s="14">
        <f t="shared" si="99"/>
        <v>0.58415518069702721</v>
      </c>
      <c r="T203" s="13">
        <v>0</v>
      </c>
      <c r="U203" s="13">
        <f t="shared" si="100"/>
        <v>37.60804192149849</v>
      </c>
      <c r="V203" s="13">
        <f>IF($T203=1,$AU203,(VLOOKUP(U203,'Cortes naturales'!$A$35:$C$39,3,9)))</f>
        <v>3</v>
      </c>
      <c r="W203" s="13">
        <v>3</v>
      </c>
      <c r="X203" s="14" t="b">
        <f t="shared" si="84"/>
        <v>1</v>
      </c>
      <c r="Y203" s="17">
        <f>IF($T203=1,$AU203,VLOOKUP(U203,'Cortes naturales'!$A$45:$C$49,3,9))</f>
        <v>2</v>
      </c>
      <c r="Z203" s="14">
        <v>59.318350734558813</v>
      </c>
      <c r="AA203" s="14">
        <v>0.60231763420998086</v>
      </c>
      <c r="AB203" s="14">
        <v>35.728488679677341</v>
      </c>
      <c r="AC203" s="13">
        <v>2</v>
      </c>
      <c r="AD203" s="13">
        <f t="shared" si="85"/>
        <v>0</v>
      </c>
      <c r="AE203" s="14">
        <f t="shared" si="86"/>
        <v>5.061874185510753</v>
      </c>
      <c r="AF203" s="14">
        <f t="shared" si="87"/>
        <v>-1.8162453512953647E-2</v>
      </c>
      <c r="AG203" s="13">
        <f t="shared" si="88"/>
        <v>1.8795532418211494</v>
      </c>
      <c r="AH203" s="13">
        <f>IF($T203=1,$AU203,VLOOKUP(U203,'Cortes naturales'!$A$25:$C$29,3,9))</f>
        <v>2</v>
      </c>
      <c r="AI203" s="13" t="b">
        <f t="shared" si="89"/>
        <v>1</v>
      </c>
      <c r="AJ203" s="13">
        <f t="shared" si="90"/>
        <v>0</v>
      </c>
      <c r="AK203" s="28">
        <v>0.9741882058902549</v>
      </c>
      <c r="AL203" s="28">
        <v>57.787237678468735</v>
      </c>
      <c r="AM203" s="28">
        <v>0.55223141802556341</v>
      </c>
      <c r="AN203" s="13">
        <v>2</v>
      </c>
      <c r="AO203" s="33">
        <f t="shared" si="91"/>
        <v>0</v>
      </c>
      <c r="AP203" s="13">
        <f t="shared" si="101"/>
        <v>55.223141802556341</v>
      </c>
      <c r="AQ203" s="13">
        <f>IFERROR(VLOOKUP(U203,'Cortes naturales'!$E$15:$G$19,3,9),U203)</f>
        <v>3</v>
      </c>
      <c r="AR203" s="28">
        <f t="shared" si="92"/>
        <v>-0.39003302519322769</v>
      </c>
      <c r="AS203" s="13" t="b">
        <f t="shared" si="93"/>
        <v>0</v>
      </c>
      <c r="AT203" s="13">
        <f t="shared" si="102"/>
        <v>0</v>
      </c>
      <c r="AU203" s="13">
        <v>3</v>
      </c>
      <c r="AV203">
        <f t="shared" si="94"/>
        <v>1</v>
      </c>
      <c r="AW203" s="13">
        <v>0</v>
      </c>
      <c r="AX203" s="13">
        <v>0</v>
      </c>
      <c r="AY203" s="13">
        <v>0</v>
      </c>
      <c r="AZ203" s="13">
        <v>0</v>
      </c>
      <c r="BA203">
        <v>0</v>
      </c>
      <c r="BB203" t="s">
        <v>2839</v>
      </c>
      <c r="BC203">
        <v>6</v>
      </c>
      <c r="BD203" t="s">
        <v>2919</v>
      </c>
      <c r="BE203">
        <v>0</v>
      </c>
      <c r="BF203" s="232" t="s">
        <v>2846</v>
      </c>
      <c r="BG203" s="232" t="s">
        <v>2846</v>
      </c>
      <c r="BH203" s="253">
        <v>22.7</v>
      </c>
      <c r="BI203" s="253">
        <v>9.8019801980198018</v>
      </c>
      <c r="BJ203" s="25">
        <v>10.461009226626688</v>
      </c>
      <c r="BK203" t="s">
        <v>377</v>
      </c>
      <c r="BL203">
        <v>0.52992096088302765</v>
      </c>
      <c r="BM203" t="s">
        <v>383</v>
      </c>
      <c r="BN203" s="322">
        <v>26871.917816000001</v>
      </c>
      <c r="BO203" s="322">
        <v>5450.8749980000002</v>
      </c>
      <c r="BP203" s="10">
        <v>14581</v>
      </c>
      <c r="BQ203" s="254">
        <f t="shared" si="95"/>
        <v>1.8429406636033194</v>
      </c>
      <c r="BR203" s="254">
        <f t="shared" si="96"/>
        <v>0.37383409903298814</v>
      </c>
      <c r="BS203" s="25">
        <v>67.390304607209046</v>
      </c>
      <c r="BT203" s="25">
        <v>87.012589791966718</v>
      </c>
      <c r="BU203" s="25">
        <v>35.255210627512668</v>
      </c>
      <c r="BV203" s="25">
        <v>93.564289136173002</v>
      </c>
      <c r="BW203" s="25">
        <v>58.150170620151627</v>
      </c>
      <c r="BX203" s="25">
        <v>70.805598540715351</v>
      </c>
      <c r="BY203" s="25">
        <v>58.319767070653157</v>
      </c>
      <c r="BZ203">
        <v>59</v>
      </c>
      <c r="CA203">
        <v>0</v>
      </c>
      <c r="CB203">
        <v>7</v>
      </c>
      <c r="CC203">
        <v>12083.149561</v>
      </c>
      <c r="CD203" s="10">
        <v>7483.5117700000001</v>
      </c>
      <c r="CE203" s="255">
        <v>0.61933453130084948</v>
      </c>
      <c r="CF203" t="str">
        <f>IFERROR(VLOOKUP(CE203,'Rangos amb etnico'!$A$2:$C$6,3,9),"N.D.")</f>
        <v>51% - 70%</v>
      </c>
      <c r="CG203" s="256">
        <v>2.1772356772339663E-4</v>
      </c>
      <c r="CH203" s="232">
        <v>0</v>
      </c>
      <c r="CI203" s="311">
        <f t="shared" si="103"/>
        <v>0</v>
      </c>
      <c r="CJ203" s="232">
        <f>IFERROR(VLOOKUP(CI203,'Rangos amb etnico'!$A$2:$C$6,3,9),"N.D.")</f>
        <v>0</v>
      </c>
      <c r="CK203" s="311">
        <f t="shared" si="104"/>
        <v>0</v>
      </c>
      <c r="CL203" s="10">
        <v>0</v>
      </c>
      <c r="CM203" s="255">
        <f t="shared" si="105"/>
        <v>0</v>
      </c>
      <c r="CN203" s="232">
        <f>IFERROR(VLOOKUP(CM203,'Rangos amb etnico'!$A$2:$C$6,3,9),"N.D.")</f>
        <v>0</v>
      </c>
      <c r="CO203" s="311">
        <f t="shared" si="106"/>
        <v>0</v>
      </c>
      <c r="CP203">
        <v>0.9339437323399099</v>
      </c>
      <c r="CQ203" t="s">
        <v>2864</v>
      </c>
      <c r="CR203">
        <f t="shared" si="97"/>
        <v>2</v>
      </c>
      <c r="CS203" t="str">
        <f t="shared" si="107"/>
        <v>No es Candidato</v>
      </c>
      <c r="CT203">
        <v>0</v>
      </c>
      <c r="CU203">
        <v>0</v>
      </c>
      <c r="CV203" s="25">
        <v>50.680130004882813</v>
      </c>
      <c r="CW203" s="25">
        <v>26.529729843139648</v>
      </c>
      <c r="CX203" s="25">
        <v>60.784564971923828</v>
      </c>
      <c r="CY203" s="25">
        <v>65.552116394042969</v>
      </c>
      <c r="CZ203" s="25">
        <v>55.942188262939453</v>
      </c>
      <c r="DA203" s="25">
        <v>51.223781585693359</v>
      </c>
      <c r="DB203" s="25">
        <v>44.048389434814453</v>
      </c>
      <c r="DC203">
        <v>172</v>
      </c>
      <c r="DD203" s="253" t="s">
        <v>380</v>
      </c>
    </row>
    <row r="204" spans="1:108" hidden="1">
      <c r="A204" s="13">
        <v>66440</v>
      </c>
      <c r="B204" s="13" t="s">
        <v>865</v>
      </c>
      <c r="C204" s="13" t="s">
        <v>467</v>
      </c>
      <c r="D204" s="13" t="s">
        <v>468</v>
      </c>
      <c r="E204" s="13" t="s">
        <v>866</v>
      </c>
      <c r="F204" s="14">
        <v>66.0362333333333</v>
      </c>
      <c r="G204" s="13">
        <v>63.82</v>
      </c>
      <c r="H204" s="13">
        <v>53.17</v>
      </c>
      <c r="I204" s="13">
        <v>44.18</v>
      </c>
      <c r="J204" s="14">
        <v>50.906353854896544</v>
      </c>
      <c r="K204" s="14">
        <v>58.496859444012046</v>
      </c>
      <c r="L204" s="14">
        <v>52.912376283239119</v>
      </c>
      <c r="M204" s="14">
        <v>48.479900000000001</v>
      </c>
      <c r="N204" s="14">
        <f t="shared" si="81"/>
        <v>56.801558333333332</v>
      </c>
      <c r="O204" s="14">
        <f t="shared" si="82"/>
        <v>52.698872395536924</v>
      </c>
      <c r="P204" s="14">
        <f t="shared" si="98"/>
        <v>54.750215364435128</v>
      </c>
      <c r="Q204" s="14">
        <v>45.800193926498856</v>
      </c>
      <c r="R204" s="17">
        <f t="shared" si="83"/>
        <v>54.199806073501144</v>
      </c>
      <c r="S204" s="14">
        <f t="shared" si="99"/>
        <v>0.58779825466151037</v>
      </c>
      <c r="T204" s="13">
        <v>0</v>
      </c>
      <c r="U204" s="13">
        <f t="shared" si="100"/>
        <v>32.182081033556777</v>
      </c>
      <c r="V204" s="13">
        <f>IF($T204=1,$AU204,(VLOOKUP(U204,'Cortes naturales'!$A$35:$C$39,3,9)))</f>
        <v>3</v>
      </c>
      <c r="W204" s="13">
        <v>3</v>
      </c>
      <c r="X204" s="14" t="b">
        <f t="shared" si="84"/>
        <v>1</v>
      </c>
      <c r="Y204" s="17">
        <f>IF($T204=1,$AU204,VLOOKUP(U204,'Cortes naturales'!$A$45:$C$49,3,9))</f>
        <v>3</v>
      </c>
      <c r="Z204" s="14">
        <v>57.068542831667955</v>
      </c>
      <c r="AA204" s="14">
        <v>0.60198020174055877</v>
      </c>
      <c r="AB204" s="14">
        <v>34.354132926847193</v>
      </c>
      <c r="AC204" s="13">
        <v>3</v>
      </c>
      <c r="AD204" s="13">
        <f t="shared" si="85"/>
        <v>0</v>
      </c>
      <c r="AE204" s="14">
        <f t="shared" si="86"/>
        <v>-2.3183274672328267</v>
      </c>
      <c r="AF204" s="14">
        <f t="shared" si="87"/>
        <v>-1.4181947079048407E-2</v>
      </c>
      <c r="AG204" s="13">
        <f t="shared" si="88"/>
        <v>-2.1720518932904156</v>
      </c>
      <c r="AH204" s="13">
        <f>IF($T204=1,$AU204,VLOOKUP(U204,'Cortes naturales'!$A$25:$C$29,3,9))</f>
        <v>3</v>
      </c>
      <c r="AI204" s="13" t="b">
        <f t="shared" si="89"/>
        <v>1</v>
      </c>
      <c r="AJ204" s="13">
        <f t="shared" si="90"/>
        <v>0</v>
      </c>
      <c r="AK204" s="28">
        <v>0.9741882058902549</v>
      </c>
      <c r="AL204" s="28">
        <v>55.595501353953772</v>
      </c>
      <c r="AM204" s="28">
        <v>0.52481510691373479</v>
      </c>
      <c r="AN204" s="13">
        <v>2</v>
      </c>
      <c r="AO204" s="33">
        <f t="shared" si="91"/>
        <v>-1</v>
      </c>
      <c r="AP204" s="13">
        <f t="shared" si="101"/>
        <v>52.481510691373479</v>
      </c>
      <c r="AQ204" s="13">
        <f>IFERROR(VLOOKUP(U204,'Cortes naturales'!$E$15:$G$19,3,9),U204)</f>
        <v>4</v>
      </c>
      <c r="AR204" s="28">
        <f t="shared" si="92"/>
        <v>-0.38638995122874453</v>
      </c>
      <c r="AS204" s="13" t="b">
        <f t="shared" si="93"/>
        <v>0</v>
      </c>
      <c r="AT204" s="13" t="str">
        <f t="shared" si="102"/>
        <v>Cambio en corte</v>
      </c>
      <c r="AU204" s="13">
        <v>2</v>
      </c>
      <c r="AV204">
        <f t="shared" si="94"/>
        <v>-1</v>
      </c>
      <c r="AW204" s="13">
        <v>0</v>
      </c>
      <c r="AX204" s="13">
        <v>0</v>
      </c>
      <c r="AY204" s="13">
        <v>0</v>
      </c>
      <c r="AZ204" s="13">
        <v>0</v>
      </c>
      <c r="BA204">
        <v>0</v>
      </c>
      <c r="BB204" t="s">
        <v>2839</v>
      </c>
      <c r="BC204">
        <v>6</v>
      </c>
      <c r="BD204" t="s">
        <v>2919</v>
      </c>
      <c r="BE204">
        <v>1</v>
      </c>
      <c r="BF204" s="232" t="s">
        <v>2846</v>
      </c>
      <c r="BG204" s="232" t="s">
        <v>2846</v>
      </c>
      <c r="BH204" s="253">
        <v>33.299999999999997</v>
      </c>
      <c r="BI204" s="253">
        <v>17.293476851251459</v>
      </c>
      <c r="BJ204" s="25">
        <v>22.48540574590735</v>
      </c>
      <c r="BK204" t="s">
        <v>379</v>
      </c>
      <c r="BL204">
        <v>0.58037986185937773</v>
      </c>
      <c r="BM204" t="s">
        <v>383</v>
      </c>
      <c r="BN204" s="322">
        <v>32174.914385</v>
      </c>
      <c r="BO204" s="322">
        <v>4598.2897400000002</v>
      </c>
      <c r="BP204" s="10">
        <v>17421</v>
      </c>
      <c r="BQ204" s="254">
        <f t="shared" si="95"/>
        <v>1.8469039885770047</v>
      </c>
      <c r="BR204" s="254">
        <f t="shared" si="96"/>
        <v>0.26395096377934679</v>
      </c>
      <c r="BS204" s="25">
        <v>57.546741654967242</v>
      </c>
      <c r="BT204" s="25">
        <v>92.130130995159107</v>
      </c>
      <c r="BU204" s="25">
        <v>46.01869369369367</v>
      </c>
      <c r="BV204" s="25">
        <v>90.320602623349487</v>
      </c>
      <c r="BW204" s="25">
        <v>59.317014365026743</v>
      </c>
      <c r="BX204" s="25">
        <v>71.504042241792376</v>
      </c>
      <c r="BY204" s="25">
        <v>59.571503042203261</v>
      </c>
      <c r="BZ204">
        <v>49</v>
      </c>
      <c r="CA204">
        <v>0</v>
      </c>
      <c r="CB204">
        <v>7</v>
      </c>
      <c r="CC204">
        <v>14929.766884999999</v>
      </c>
      <c r="CD204" s="10">
        <v>780.46053600000005</v>
      </c>
      <c r="CE204" s="255">
        <v>5.2275466992330072E-2</v>
      </c>
      <c r="CF204" t="str">
        <f>IFERROR(VLOOKUP(CE204,'Rangos amb etnico'!$A$2:$C$6,3,9),"N.D.")</f>
        <v>0,1% - 30%</v>
      </c>
      <c r="CG204" s="256">
        <v>2.2706539067183753E-5</v>
      </c>
      <c r="CH204" s="232">
        <v>187.36663100000001</v>
      </c>
      <c r="CI204" s="311">
        <f t="shared" si="103"/>
        <v>1.2549869830067345E-2</v>
      </c>
      <c r="CJ204" s="232" t="str">
        <f>IFERROR(VLOOKUP(CI204,'Rangos amb etnico'!$A$2:$C$6,3,9),"N.D.")</f>
        <v>0,1% - 30%</v>
      </c>
      <c r="CK204" s="311">
        <f t="shared" si="104"/>
        <v>7.4396819775969518E-6</v>
      </c>
      <c r="CL204" s="10">
        <v>0</v>
      </c>
      <c r="CM204" s="255">
        <f t="shared" si="105"/>
        <v>0</v>
      </c>
      <c r="CN204" s="232">
        <f>IFERROR(VLOOKUP(CM204,'Rangos amb etnico'!$A$2:$C$6,3,9),"N.D.")</f>
        <v>0</v>
      </c>
      <c r="CO204" s="311">
        <f t="shared" si="106"/>
        <v>0</v>
      </c>
      <c r="CP204">
        <v>0.96815624207648932</v>
      </c>
      <c r="CQ204" t="s">
        <v>2864</v>
      </c>
      <c r="CR204">
        <f t="shared" si="97"/>
        <v>1</v>
      </c>
      <c r="CS204" t="str">
        <f t="shared" si="107"/>
        <v>No es Candidato</v>
      </c>
      <c r="CT204">
        <v>0</v>
      </c>
      <c r="CU204">
        <v>0</v>
      </c>
      <c r="CV204" s="25">
        <v>49.836044311523438</v>
      </c>
      <c r="CW204" s="25">
        <v>36.192806243896477</v>
      </c>
      <c r="CX204" s="25">
        <v>53.145088195800781</v>
      </c>
      <c r="CY204" s="25">
        <v>58.786319732666023</v>
      </c>
      <c r="CZ204" s="25">
        <v>54.029689788818359</v>
      </c>
      <c r="DA204" s="25">
        <v>57.031459808349609</v>
      </c>
      <c r="DB204" s="25">
        <v>39.830917358398438</v>
      </c>
      <c r="DC204">
        <v>1723</v>
      </c>
      <c r="DD204" s="253" t="s">
        <v>380</v>
      </c>
    </row>
    <row r="205" spans="1:108" hidden="1">
      <c r="A205" s="13">
        <v>76670</v>
      </c>
      <c r="B205" s="13" t="s">
        <v>867</v>
      </c>
      <c r="C205" s="13" t="s">
        <v>454</v>
      </c>
      <c r="D205" s="13" t="s">
        <v>455</v>
      </c>
      <c r="E205" s="13" t="s">
        <v>868</v>
      </c>
      <c r="F205" s="14">
        <v>70.693733333333299</v>
      </c>
      <c r="G205" s="13">
        <v>66.03</v>
      </c>
      <c r="H205" s="13">
        <v>66.19</v>
      </c>
      <c r="I205" s="13">
        <v>39.36</v>
      </c>
      <c r="J205" s="14">
        <v>57.24261662675621</v>
      </c>
      <c r="K205" s="14">
        <v>56.272122019367927</v>
      </c>
      <c r="L205" s="14">
        <v>61.588516916139803</v>
      </c>
      <c r="M205" s="14">
        <v>59.017899999999997</v>
      </c>
      <c r="N205" s="14">
        <f t="shared" si="81"/>
        <v>60.568433333333331</v>
      </c>
      <c r="O205" s="14">
        <f t="shared" si="82"/>
        <v>58.530288890565984</v>
      </c>
      <c r="P205" s="14">
        <f t="shared" si="98"/>
        <v>59.549361111949658</v>
      </c>
      <c r="Q205" s="14">
        <v>46.270014622921693</v>
      </c>
      <c r="R205" s="17">
        <f t="shared" si="83"/>
        <v>53.729985377078307</v>
      </c>
      <c r="S205" s="14">
        <f t="shared" si="99"/>
        <v>0.58356986839370473</v>
      </c>
      <c r="T205" s="13">
        <v>0</v>
      </c>
      <c r="U205" s="13">
        <f t="shared" si="100"/>
        <v>34.751212827029661</v>
      </c>
      <c r="V205" s="13">
        <f>IF($T205=1,$AU205,(VLOOKUP(U205,'Cortes naturales'!$A$35:$C$39,3,9)))</f>
        <v>3</v>
      </c>
      <c r="W205" s="13">
        <v>3</v>
      </c>
      <c r="X205" s="14" t="b">
        <f t="shared" si="84"/>
        <v>1</v>
      </c>
      <c r="Y205" s="17">
        <f>IF($T205=1,$AU205,VLOOKUP(U205,'Cortes naturales'!$A$45:$C$49,3,9))</f>
        <v>3</v>
      </c>
      <c r="Z205" s="14">
        <v>63.125829573850453</v>
      </c>
      <c r="AA205" s="14">
        <v>0.60113888069199239</v>
      </c>
      <c r="AB205" s="14">
        <v>37.947390532777931</v>
      </c>
      <c r="AC205" s="13">
        <v>2</v>
      </c>
      <c r="AD205" s="13">
        <f t="shared" si="85"/>
        <v>-1</v>
      </c>
      <c r="AE205" s="14">
        <f t="shared" si="86"/>
        <v>-3.5764684619007951</v>
      </c>
      <c r="AF205" s="14">
        <f t="shared" si="87"/>
        <v>-1.7569012298287667E-2</v>
      </c>
      <c r="AG205" s="13">
        <f t="shared" si="88"/>
        <v>-3.1961777057482692</v>
      </c>
      <c r="AH205" s="13">
        <f>IF($T205=1,$AU205,VLOOKUP(U205,'Cortes naturales'!$A$25:$C$29,3,9))</f>
        <v>3</v>
      </c>
      <c r="AI205" s="13" t="b">
        <f t="shared" si="89"/>
        <v>1</v>
      </c>
      <c r="AJ205" s="13" t="str">
        <f t="shared" si="90"/>
        <v>Efecto ponderador</v>
      </c>
      <c r="AK205" s="28">
        <v>0.9741882058902549</v>
      </c>
      <c r="AL205" s="28">
        <v>61.496438657883367</v>
      </c>
      <c r="AM205" s="28">
        <v>0.59862961241166779</v>
      </c>
      <c r="AN205" s="13">
        <v>2</v>
      </c>
      <c r="AO205" s="33">
        <f t="shared" si="91"/>
        <v>-1</v>
      </c>
      <c r="AP205" s="13">
        <f t="shared" si="101"/>
        <v>59.862961241166779</v>
      </c>
      <c r="AQ205" s="13">
        <f>IFERROR(VLOOKUP(U205,'Cortes naturales'!$E$15:$G$19,3,9),U205)</f>
        <v>4</v>
      </c>
      <c r="AR205" s="28">
        <f t="shared" si="92"/>
        <v>-0.39061833749655017</v>
      </c>
      <c r="AS205" s="13" t="b">
        <f t="shared" si="93"/>
        <v>0</v>
      </c>
      <c r="AT205" s="13" t="str">
        <f t="shared" si="102"/>
        <v>Cambio en corte</v>
      </c>
      <c r="AU205" s="13">
        <v>2</v>
      </c>
      <c r="AV205">
        <f t="shared" si="94"/>
        <v>-1</v>
      </c>
      <c r="AW205" s="13">
        <v>0</v>
      </c>
      <c r="AX205" s="13">
        <v>0</v>
      </c>
      <c r="AY205" s="13">
        <v>0</v>
      </c>
      <c r="AZ205" s="13">
        <v>0</v>
      </c>
      <c r="BA205">
        <v>0</v>
      </c>
      <c r="BB205" t="s">
        <v>2839</v>
      </c>
      <c r="BC205">
        <v>6</v>
      </c>
      <c r="BD205" t="s">
        <v>2919</v>
      </c>
      <c r="BE205">
        <v>1</v>
      </c>
      <c r="BF205" s="232" t="s">
        <v>2846</v>
      </c>
      <c r="BG205" s="232" t="s">
        <v>2846</v>
      </c>
      <c r="BH205" s="253">
        <v>18</v>
      </c>
      <c r="BI205" s="253">
        <v>7.5145631067961167</v>
      </c>
      <c r="BJ205" s="25">
        <v>6.9697299878045609</v>
      </c>
      <c r="BK205" t="s">
        <v>377</v>
      </c>
      <c r="BL205">
        <v>3.8980375315886633</v>
      </c>
      <c r="BM205" t="s">
        <v>383</v>
      </c>
      <c r="BN205" s="322">
        <v>29916.130314000002</v>
      </c>
      <c r="BO205" s="322">
        <v>9337.1787349999995</v>
      </c>
      <c r="BP205" s="10">
        <v>17270</v>
      </c>
      <c r="BQ205" s="254">
        <f t="shared" si="95"/>
        <v>1.7322600066010423</v>
      </c>
      <c r="BR205" s="254">
        <f t="shared" si="96"/>
        <v>0.54065887290098436</v>
      </c>
      <c r="BS205" s="25">
        <v>55.853210686900319</v>
      </c>
      <c r="BT205" s="25">
        <v>88.448176027793863</v>
      </c>
      <c r="BU205" s="25">
        <v>59.100910956741373</v>
      </c>
      <c r="BV205" s="25">
        <v>82.526437376102152</v>
      </c>
      <c r="BW205" s="25">
        <v>68.145010910577852</v>
      </c>
      <c r="BX205" s="25">
        <v>71.482183761884428</v>
      </c>
      <c r="BY205" s="25">
        <v>68.478395362857484</v>
      </c>
      <c r="BZ205">
        <v>66</v>
      </c>
      <c r="CA205">
        <v>0</v>
      </c>
      <c r="CB205">
        <v>7</v>
      </c>
      <c r="CC205">
        <v>20222.701067000002</v>
      </c>
      <c r="CD205" s="10">
        <v>5366.084527</v>
      </c>
      <c r="CE205" s="255">
        <v>0.26534954500991631</v>
      </c>
      <c r="CF205" t="str">
        <f>IFERROR(VLOOKUP(CE205,'Rangos amb etnico'!$A$2:$C$6,3,9),"N.D.")</f>
        <v>0,1% - 30%</v>
      </c>
      <c r="CG205" s="256">
        <v>1.5611962723267758E-4</v>
      </c>
      <c r="CH205" s="232">
        <v>0</v>
      </c>
      <c r="CI205" s="311">
        <f t="shared" si="103"/>
        <v>0</v>
      </c>
      <c r="CJ205" s="232">
        <f>IFERROR(VLOOKUP(CI205,'Rangos amb etnico'!$A$2:$C$6,3,9),"N.D.")</f>
        <v>0</v>
      </c>
      <c r="CK205" s="311">
        <f t="shared" si="104"/>
        <v>0</v>
      </c>
      <c r="CL205" s="10">
        <v>0</v>
      </c>
      <c r="CM205" s="255">
        <f t="shared" si="105"/>
        <v>0</v>
      </c>
      <c r="CN205" s="232">
        <f>IFERROR(VLOOKUP(CM205,'Rangos amb etnico'!$A$2:$C$6,3,9),"N.D.")</f>
        <v>0</v>
      </c>
      <c r="CO205" s="311">
        <f t="shared" si="106"/>
        <v>0</v>
      </c>
      <c r="CP205">
        <v>0.96304294511004795</v>
      </c>
      <c r="CQ205" t="s">
        <v>2864</v>
      </c>
      <c r="CR205">
        <f t="shared" si="97"/>
        <v>2</v>
      </c>
      <c r="CS205" t="str">
        <f t="shared" si="107"/>
        <v>No es Candidato</v>
      </c>
      <c r="CT205">
        <v>0</v>
      </c>
      <c r="CU205">
        <v>0</v>
      </c>
      <c r="CV205" s="25">
        <v>47.427597045898438</v>
      </c>
      <c r="CW205" s="25">
        <v>34.3343505859375</v>
      </c>
      <c r="CX205" s="25">
        <v>53.020904541015618</v>
      </c>
      <c r="CY205" s="25">
        <v>60.854221343994141</v>
      </c>
      <c r="CZ205" s="25">
        <v>49.807594299316413</v>
      </c>
      <c r="DA205" s="25">
        <v>34.161319732666023</v>
      </c>
      <c r="DB205" s="25">
        <v>52.387195587158203</v>
      </c>
      <c r="DC205">
        <v>288</v>
      </c>
      <c r="DD205" s="253" t="s">
        <v>380</v>
      </c>
    </row>
    <row r="206" spans="1:108" hidden="1">
      <c r="A206" s="13">
        <v>13760</v>
      </c>
      <c r="B206" s="13" t="s">
        <v>869</v>
      </c>
      <c r="C206" s="13" t="s">
        <v>480</v>
      </c>
      <c r="D206" s="13" t="s">
        <v>481</v>
      </c>
      <c r="E206" s="13" t="s">
        <v>870</v>
      </c>
      <c r="F206" s="14">
        <v>44.2068333333333</v>
      </c>
      <c r="G206" s="13">
        <v>30.98</v>
      </c>
      <c r="H206" s="13">
        <v>26.7</v>
      </c>
      <c r="I206" s="13">
        <v>25.77</v>
      </c>
      <c r="J206" s="14">
        <v>46.934754565837721</v>
      </c>
      <c r="K206" s="14">
        <v>39.855255774617802</v>
      </c>
      <c r="L206" s="14">
        <v>52.365998489445204</v>
      </c>
      <c r="M206" s="14">
        <v>65.955100000000002</v>
      </c>
      <c r="N206" s="14">
        <f t="shared" si="81"/>
        <v>31.914208333333324</v>
      </c>
      <c r="O206" s="14">
        <f t="shared" si="82"/>
        <v>51.277777207475182</v>
      </c>
      <c r="P206" s="14">
        <f t="shared" si="98"/>
        <v>41.595992770404251</v>
      </c>
      <c r="Q206" s="14">
        <v>44.639025921086876</v>
      </c>
      <c r="R206" s="17">
        <f t="shared" si="83"/>
        <v>55.360974078913124</v>
      </c>
      <c r="S206" s="14">
        <f t="shared" si="99"/>
        <v>0.5982487667102182</v>
      </c>
      <c r="T206" s="13">
        <v>0</v>
      </c>
      <c r="U206" s="13">
        <f t="shared" si="100"/>
        <v>24.884751374981494</v>
      </c>
      <c r="V206" s="13">
        <f>IF($T206=1,$AU206,(VLOOKUP(U206,'Cortes naturales'!$A$35:$C$39,3,9)))</f>
        <v>4</v>
      </c>
      <c r="W206" s="13">
        <v>4</v>
      </c>
      <c r="X206" s="14" t="b">
        <f t="shared" si="84"/>
        <v>1</v>
      </c>
      <c r="Y206" s="17">
        <f>IF($T206=1,$AU206,VLOOKUP(U206,'Cortes naturales'!$A$45:$C$49,3,9))</f>
        <v>4</v>
      </c>
      <c r="Z206" s="14">
        <v>41.852089626679899</v>
      </c>
      <c r="AA206" s="14">
        <v>0.60187420825966553</v>
      </c>
      <c r="AB206" s="14">
        <v>25.189693308070524</v>
      </c>
      <c r="AC206" s="13">
        <v>4</v>
      </c>
      <c r="AD206" s="13">
        <f t="shared" si="85"/>
        <v>0</v>
      </c>
      <c r="AE206" s="14">
        <f t="shared" si="86"/>
        <v>-0.25609685627564716</v>
      </c>
      <c r="AF206" s="14">
        <f t="shared" si="87"/>
        <v>-3.625441549447328E-3</v>
      </c>
      <c r="AG206" s="13">
        <f t="shared" si="88"/>
        <v>-0.3049419330890295</v>
      </c>
      <c r="AH206" s="13">
        <f>IF($T206=1,$AU206,VLOOKUP(U206,'Cortes naturales'!$A$25:$C$29,3,9))</f>
        <v>4</v>
      </c>
      <c r="AI206" s="13" t="b">
        <f t="shared" si="89"/>
        <v>1</v>
      </c>
      <c r="AJ206" s="13">
        <f t="shared" si="90"/>
        <v>0</v>
      </c>
      <c r="AK206" s="28">
        <v>0.9741882058902549</v>
      </c>
      <c r="AL206" s="28">
        <v>40.771812106173435</v>
      </c>
      <c r="AM206" s="28">
        <v>0.33938638006532829</v>
      </c>
      <c r="AN206" s="13">
        <v>4</v>
      </c>
      <c r="AO206" s="33">
        <f t="shared" si="91"/>
        <v>0</v>
      </c>
      <c r="AP206" s="13">
        <f t="shared" si="101"/>
        <v>33.938638006532827</v>
      </c>
      <c r="AQ206" s="13">
        <f>IFERROR(VLOOKUP(U206,'Cortes naturales'!$E$15:$G$19,3,9),U206)</f>
        <v>4</v>
      </c>
      <c r="AR206" s="28">
        <f t="shared" si="92"/>
        <v>-0.37593943918003669</v>
      </c>
      <c r="AS206" s="13" t="b">
        <f t="shared" si="93"/>
        <v>1</v>
      </c>
      <c r="AT206" s="13">
        <f t="shared" si="102"/>
        <v>0</v>
      </c>
      <c r="AU206" s="13">
        <v>3</v>
      </c>
      <c r="AV206">
        <f t="shared" si="94"/>
        <v>-1</v>
      </c>
      <c r="AW206" s="13">
        <v>0</v>
      </c>
      <c r="AX206" s="13">
        <v>0</v>
      </c>
      <c r="AY206" s="13">
        <v>0</v>
      </c>
      <c r="AZ206" s="13">
        <v>0</v>
      </c>
      <c r="BA206">
        <v>0</v>
      </c>
      <c r="BB206" t="s">
        <v>2839</v>
      </c>
      <c r="BC206">
        <v>6</v>
      </c>
      <c r="BD206" t="s">
        <v>2919</v>
      </c>
      <c r="BE206">
        <v>1</v>
      </c>
      <c r="BF206" s="232" t="s">
        <v>2846</v>
      </c>
      <c r="BG206" s="232" t="s">
        <v>2845</v>
      </c>
      <c r="BH206" s="253">
        <v>39.4</v>
      </c>
      <c r="BI206" s="253">
        <v>28.289974964623926</v>
      </c>
      <c r="BJ206" s="25">
        <v>0.97666666666666657</v>
      </c>
      <c r="BK206" t="s">
        <v>381</v>
      </c>
      <c r="BL206">
        <v>0.73457062674324891</v>
      </c>
      <c r="BM206" t="s">
        <v>383</v>
      </c>
      <c r="BN206" s="322">
        <v>45225.845650000003</v>
      </c>
      <c r="BO206" s="322">
        <v>509.15876400000002</v>
      </c>
      <c r="BP206" s="10">
        <v>12824</v>
      </c>
      <c r="BQ206" s="254">
        <f t="shared" si="95"/>
        <v>3.5266567100748598</v>
      </c>
      <c r="BR206" s="254">
        <f t="shared" si="96"/>
        <v>3.9703584217092955E-2</v>
      </c>
      <c r="BS206" s="25">
        <v>48.933028114657887</v>
      </c>
      <c r="BT206" s="25">
        <v>89.134955292160541</v>
      </c>
      <c r="BU206" s="25">
        <v>9.8483333333333345</v>
      </c>
      <c r="BV206" s="25">
        <v>98.233735010836924</v>
      </c>
      <c r="BW206" s="25">
        <v>36.149311213055412</v>
      </c>
      <c r="BX206" s="25">
        <v>61.537512937747167</v>
      </c>
      <c r="BY206" s="25">
        <v>36.163677144158648</v>
      </c>
      <c r="BZ206">
        <v>48</v>
      </c>
      <c r="CA206">
        <v>0</v>
      </c>
      <c r="CB206">
        <v>7</v>
      </c>
      <c r="CC206">
        <v>9256.4138079999993</v>
      </c>
      <c r="CD206" s="10">
        <v>290.42276800000002</v>
      </c>
      <c r="CE206" s="255">
        <v>3.137530084804524E-2</v>
      </c>
      <c r="CF206" t="str">
        <f>IFERROR(VLOOKUP(CE206,'Rangos amb etnico'!$A$2:$C$6,3,9),"N.D.")</f>
        <v>0,1% - 30%</v>
      </c>
      <c r="CG206" s="256">
        <v>8.4494931177297143E-6</v>
      </c>
      <c r="CH206" s="232">
        <v>0</v>
      </c>
      <c r="CI206" s="311">
        <f t="shared" si="103"/>
        <v>0</v>
      </c>
      <c r="CJ206" s="232">
        <f>IFERROR(VLOOKUP(CI206,'Rangos amb etnico'!$A$2:$C$6,3,9),"N.D.")</f>
        <v>0</v>
      </c>
      <c r="CK206" s="311">
        <f t="shared" si="104"/>
        <v>0</v>
      </c>
      <c r="CL206" s="10">
        <v>0</v>
      </c>
      <c r="CM206" s="255">
        <f t="shared" si="105"/>
        <v>0</v>
      </c>
      <c r="CN206" s="232">
        <f>IFERROR(VLOOKUP(CM206,'Rangos amb etnico'!$A$2:$C$6,3,9),"N.D.")</f>
        <v>0</v>
      </c>
      <c r="CO206" s="311">
        <f t="shared" si="106"/>
        <v>0</v>
      </c>
      <c r="CP206">
        <v>0.93225956773292529</v>
      </c>
      <c r="CQ206" t="s">
        <v>2864</v>
      </c>
      <c r="CR206">
        <f t="shared" si="97"/>
        <v>2</v>
      </c>
      <c r="CS206" t="str">
        <f t="shared" si="107"/>
        <v>No es Candidato</v>
      </c>
      <c r="CT206">
        <v>0</v>
      </c>
      <c r="CU206">
        <v>0</v>
      </c>
      <c r="CV206" s="25">
        <v>54.764354705810547</v>
      </c>
      <c r="CW206" s="25">
        <v>25.325193405151371</v>
      </c>
      <c r="CX206" s="25">
        <v>60.263904571533203</v>
      </c>
      <c r="CY206" s="25">
        <v>61.415443420410163</v>
      </c>
      <c r="CZ206" s="25">
        <v>15.297488212585449</v>
      </c>
      <c r="DA206" s="25">
        <v>99.713653564453125</v>
      </c>
      <c r="DB206" s="25">
        <v>66.5704345703125</v>
      </c>
      <c r="DC206">
        <v>2062</v>
      </c>
      <c r="DD206" s="253" t="s">
        <v>380</v>
      </c>
    </row>
    <row r="207" spans="1:108" hidden="1">
      <c r="A207" s="13">
        <v>17877</v>
      </c>
      <c r="B207" s="13" t="s">
        <v>871</v>
      </c>
      <c r="C207" s="13" t="s">
        <v>506</v>
      </c>
      <c r="D207" s="13" t="s">
        <v>507</v>
      </c>
      <c r="E207" s="13" t="s">
        <v>872</v>
      </c>
      <c r="F207" s="14">
        <v>63.152266666666698</v>
      </c>
      <c r="G207" s="13">
        <v>54.82</v>
      </c>
      <c r="H207" s="13">
        <v>55.69</v>
      </c>
      <c r="I207" s="13">
        <v>57.8</v>
      </c>
      <c r="J207" s="14">
        <v>67.605705592773504</v>
      </c>
      <c r="K207" s="14">
        <v>65.037459350253442</v>
      </c>
      <c r="L207" s="14">
        <v>52.146551011443606</v>
      </c>
      <c r="M207" s="14">
        <v>58.711199999999998</v>
      </c>
      <c r="N207" s="14">
        <f t="shared" si="81"/>
        <v>57.86556666666668</v>
      </c>
      <c r="O207" s="14">
        <f t="shared" si="82"/>
        <v>60.875228988617629</v>
      </c>
      <c r="P207" s="14">
        <f t="shared" si="98"/>
        <v>59.370397827642151</v>
      </c>
      <c r="Q207" s="14">
        <v>46.107825502047284</v>
      </c>
      <c r="R207" s="17">
        <f t="shared" si="83"/>
        <v>53.892174497952716</v>
      </c>
      <c r="S207" s="14">
        <f t="shared" si="99"/>
        <v>0.58502957048157445</v>
      </c>
      <c r="T207" s="13">
        <v>0</v>
      </c>
      <c r="U207" s="13">
        <f t="shared" si="100"/>
        <v>34.733438340425685</v>
      </c>
      <c r="V207" s="13">
        <f>IF($T207=1,$AU207,(VLOOKUP(U207,'Cortes naturales'!$A$35:$C$39,3,9)))</f>
        <v>3</v>
      </c>
      <c r="W207" s="13">
        <v>3</v>
      </c>
      <c r="X207" s="14" t="b">
        <f t="shared" si="84"/>
        <v>1</v>
      </c>
      <c r="Y207" s="17">
        <f>IF($T207=1,$AU207,VLOOKUP(U207,'Cortes naturales'!$A$45:$C$49,3,9))</f>
        <v>3</v>
      </c>
      <c r="Z207" s="14">
        <v>60.135696391892466</v>
      </c>
      <c r="AA207" s="14">
        <v>0.60123168973654084</v>
      </c>
      <c r="AB207" s="14">
        <v>36.155486355181111</v>
      </c>
      <c r="AC207" s="13">
        <v>2</v>
      </c>
      <c r="AD207" s="13">
        <f t="shared" si="85"/>
        <v>-1</v>
      </c>
      <c r="AE207" s="14">
        <f t="shared" si="86"/>
        <v>-0.76529856425031539</v>
      </c>
      <c r="AF207" s="14">
        <f t="shared" si="87"/>
        <v>-1.6202119254966396E-2</v>
      </c>
      <c r="AG207" s="13">
        <f t="shared" si="88"/>
        <v>-1.4220480147554255</v>
      </c>
      <c r="AH207" s="13">
        <f>IF($T207=1,$AU207,VLOOKUP(U207,'Cortes naturales'!$A$25:$C$29,3,9))</f>
        <v>3</v>
      </c>
      <c r="AI207" s="13" t="b">
        <f t="shared" si="89"/>
        <v>1</v>
      </c>
      <c r="AJ207" s="13" t="str">
        <f t="shared" si="90"/>
        <v>Efecto ponderador</v>
      </c>
      <c r="AK207" s="28">
        <v>0.9741882058902549</v>
      </c>
      <c r="AL207" s="28">
        <v>58.583486177978799</v>
      </c>
      <c r="AM207" s="28">
        <v>0.56219164742940186</v>
      </c>
      <c r="AN207" s="13">
        <v>2</v>
      </c>
      <c r="AO207" s="33">
        <f t="shared" si="91"/>
        <v>-1</v>
      </c>
      <c r="AP207" s="13">
        <f t="shared" si="101"/>
        <v>56.219164742940187</v>
      </c>
      <c r="AQ207" s="13">
        <f>IFERROR(VLOOKUP(U207,'Cortes naturales'!$E$15:$G$19,3,9),U207)</f>
        <v>4</v>
      </c>
      <c r="AR207" s="28">
        <f t="shared" si="92"/>
        <v>-0.38915863540868045</v>
      </c>
      <c r="AS207" s="13" t="b">
        <f t="shared" si="93"/>
        <v>0</v>
      </c>
      <c r="AT207" s="13" t="str">
        <f t="shared" si="102"/>
        <v>Cambio en corte</v>
      </c>
      <c r="AU207" s="13">
        <v>2</v>
      </c>
      <c r="AV207">
        <f t="shared" si="94"/>
        <v>-1</v>
      </c>
      <c r="AW207" s="13">
        <v>0</v>
      </c>
      <c r="AX207" s="13">
        <v>0</v>
      </c>
      <c r="AY207" s="13">
        <v>0</v>
      </c>
      <c r="AZ207" s="13">
        <v>0</v>
      </c>
      <c r="BA207">
        <v>0</v>
      </c>
      <c r="BB207" t="s">
        <v>2839</v>
      </c>
      <c r="BC207">
        <v>6</v>
      </c>
      <c r="BD207" t="s">
        <v>2919</v>
      </c>
      <c r="BE207">
        <v>0</v>
      </c>
      <c r="BF207" s="232" t="s">
        <v>2846</v>
      </c>
      <c r="BG207" s="232" t="s">
        <v>2846</v>
      </c>
      <c r="BH207" s="253">
        <v>26</v>
      </c>
      <c r="BI207" s="253">
        <v>8.7243460764587528</v>
      </c>
      <c r="BJ207" s="25">
        <v>10.617756248384467</v>
      </c>
      <c r="BK207" t="s">
        <v>377</v>
      </c>
      <c r="BL207">
        <v>2.7981533830016287</v>
      </c>
      <c r="BM207" t="s">
        <v>383</v>
      </c>
      <c r="BN207" s="322">
        <v>24567.770714999999</v>
      </c>
      <c r="BO207" s="322">
        <v>5496.8592360000002</v>
      </c>
      <c r="BP207" s="10">
        <v>12728</v>
      </c>
      <c r="BQ207" s="254">
        <f t="shared" si="95"/>
        <v>1.9302145439189189</v>
      </c>
      <c r="BR207" s="254">
        <f t="shared" si="96"/>
        <v>0.43187140446260214</v>
      </c>
      <c r="BS207" s="25">
        <v>70.795574776159256</v>
      </c>
      <c r="BT207" s="25">
        <v>94.441427054263571</v>
      </c>
      <c r="BU207" s="25">
        <v>70.091666666666654</v>
      </c>
      <c r="BV207" s="25">
        <v>94.596120807443484</v>
      </c>
      <c r="BW207" s="25">
        <v>59.848423169706713</v>
      </c>
      <c r="BX207" s="25">
        <v>82.481197326133241</v>
      </c>
      <c r="BY207" s="25">
        <v>60.952616025978358</v>
      </c>
      <c r="BZ207">
        <v>49</v>
      </c>
      <c r="CA207">
        <v>0</v>
      </c>
      <c r="CB207">
        <v>7</v>
      </c>
      <c r="CC207">
        <v>11289.618882999999</v>
      </c>
      <c r="CD207" s="10">
        <v>111.345046</v>
      </c>
      <c r="CE207" s="255">
        <v>9.8626045001097666E-3</v>
      </c>
      <c r="CF207" t="str">
        <f>IFERROR(VLOOKUP(CE207,'Rangos amb etnico'!$A$2:$C$6,3,9),"N.D.")</f>
        <v>0,1% - 30%</v>
      </c>
      <c r="CG207" s="256">
        <v>3.2394471216881258E-6</v>
      </c>
      <c r="CH207" s="232">
        <v>64.147582</v>
      </c>
      <c r="CI207" s="311">
        <f t="shared" si="103"/>
        <v>5.6819971218509385E-3</v>
      </c>
      <c r="CJ207" s="232" t="str">
        <f>IFERROR(VLOOKUP(CI207,'Rangos amb etnico'!$A$2:$C$6,3,9),"N.D.")</f>
        <v>0,1% - 30%</v>
      </c>
      <c r="CK207" s="311">
        <f t="shared" si="104"/>
        <v>2.5470789924798435E-6</v>
      </c>
      <c r="CL207" s="10">
        <v>0</v>
      </c>
      <c r="CM207" s="255">
        <f t="shared" si="105"/>
        <v>0</v>
      </c>
      <c r="CN207" s="232">
        <f>IFERROR(VLOOKUP(CM207,'Rangos amb etnico'!$A$2:$C$6,3,9),"N.D.")</f>
        <v>0</v>
      </c>
      <c r="CO207" s="311">
        <f t="shared" si="106"/>
        <v>0</v>
      </c>
      <c r="CP207">
        <v>0.89712804855017381</v>
      </c>
      <c r="CQ207" t="s">
        <v>2864</v>
      </c>
      <c r="CR207">
        <f t="shared" si="97"/>
        <v>2</v>
      </c>
      <c r="CS207" t="str">
        <f t="shared" si="107"/>
        <v>No es Candidato</v>
      </c>
      <c r="CT207">
        <v>0</v>
      </c>
      <c r="CU207">
        <v>0</v>
      </c>
      <c r="CV207" s="25">
        <v>53.242893218994141</v>
      </c>
      <c r="CW207" s="25">
        <v>35.026309967041023</v>
      </c>
      <c r="CX207" s="25">
        <v>54.223945617675781</v>
      </c>
      <c r="CY207" s="25">
        <v>62.273292541503913</v>
      </c>
      <c r="CZ207" s="25">
        <v>64.832611083984375</v>
      </c>
      <c r="DA207" s="25">
        <v>66.977630615234375</v>
      </c>
      <c r="DB207" s="25">
        <v>36.123580932617188</v>
      </c>
      <c r="DC207">
        <v>312</v>
      </c>
      <c r="DD207" s="253" t="s">
        <v>380</v>
      </c>
    </row>
    <row r="208" spans="1:108">
      <c r="A208" s="13">
        <v>5237</v>
      </c>
      <c r="B208" s="13" t="s">
        <v>873</v>
      </c>
      <c r="C208" s="13" t="s">
        <v>435</v>
      </c>
      <c r="D208" s="13" t="s">
        <v>436</v>
      </c>
      <c r="E208" s="13" t="s">
        <v>874</v>
      </c>
      <c r="F208" s="14">
        <v>65.793633333333304</v>
      </c>
      <c r="G208" s="13">
        <v>63.4</v>
      </c>
      <c r="H208" s="13">
        <v>43.64</v>
      </c>
      <c r="I208" s="13">
        <v>65.94</v>
      </c>
      <c r="J208" s="14">
        <v>50.317893178190047</v>
      </c>
      <c r="K208" s="14">
        <v>54.880055967667161</v>
      </c>
      <c r="L208" s="14">
        <v>75.734939646308092</v>
      </c>
      <c r="M208" s="14">
        <v>59.396599999999999</v>
      </c>
      <c r="N208" s="14">
        <f t="shared" si="81"/>
        <v>59.693408333333323</v>
      </c>
      <c r="O208" s="14">
        <f t="shared" si="82"/>
        <v>60.082372198041327</v>
      </c>
      <c r="P208" s="14">
        <f t="shared" si="98"/>
        <v>59.887890265687325</v>
      </c>
      <c r="Q208" s="14">
        <v>44.109097751287472</v>
      </c>
      <c r="R208" s="17">
        <f t="shared" si="83"/>
        <v>55.890902248712528</v>
      </c>
      <c r="S208" s="14">
        <f t="shared" si="99"/>
        <v>0.60301812023841272</v>
      </c>
      <c r="T208" s="13">
        <v>0</v>
      </c>
      <c r="U208" s="13">
        <f t="shared" si="100"/>
        <v>36.11348301305911</v>
      </c>
      <c r="V208" s="13">
        <f>IF($T208=1,$AU208,(VLOOKUP(U208,'Cortes naturales'!$A$35:$C$39,3,9)))</f>
        <v>3</v>
      </c>
      <c r="W208" s="13">
        <v>3</v>
      </c>
      <c r="X208" s="14" t="b">
        <f t="shared" si="84"/>
        <v>1</v>
      </c>
      <c r="Y208" s="17">
        <f>IF($T208=1,$AU208,VLOOKUP(U208,'Cortes naturales'!$A$45:$C$49,3,9))</f>
        <v>2</v>
      </c>
      <c r="Z208" s="14">
        <v>59.068691498058421</v>
      </c>
      <c r="AA208" s="14">
        <v>0.6085320169305064</v>
      </c>
      <c r="AB208" s="14">
        <v>35.945189974759344</v>
      </c>
      <c r="AC208" s="13">
        <v>2</v>
      </c>
      <c r="AD208" s="13">
        <f t="shared" si="85"/>
        <v>0</v>
      </c>
      <c r="AE208" s="14">
        <f t="shared" si="86"/>
        <v>0.81919876762890453</v>
      </c>
      <c r="AF208" s="14">
        <f t="shared" si="87"/>
        <v>-5.5138966920936783E-3</v>
      </c>
      <c r="AG208" s="13">
        <f t="shared" si="88"/>
        <v>0.16829303829976539</v>
      </c>
      <c r="AH208" s="13">
        <f>IF($T208=1,$AU208,VLOOKUP(U208,'Cortes naturales'!$A$25:$C$29,3,9))</f>
        <v>2</v>
      </c>
      <c r="AI208" s="13" t="b">
        <f t="shared" si="89"/>
        <v>1</v>
      </c>
      <c r="AJ208" s="13">
        <f t="shared" si="90"/>
        <v>0</v>
      </c>
      <c r="AK208" s="28">
        <v>0.9741882058902549</v>
      </c>
      <c r="AL208" s="28">
        <v>57.544022594778482</v>
      </c>
      <c r="AM208" s="28">
        <v>0.54918905370146209</v>
      </c>
      <c r="AN208" s="13">
        <v>2</v>
      </c>
      <c r="AO208" s="33">
        <f t="shared" si="91"/>
        <v>0</v>
      </c>
      <c r="AP208" s="13">
        <f t="shared" si="101"/>
        <v>54.918905370146206</v>
      </c>
      <c r="AQ208" s="13">
        <f>IFERROR(VLOOKUP(U208,'Cortes naturales'!$E$15:$G$19,3,9),U208)</f>
        <v>3</v>
      </c>
      <c r="AR208" s="28">
        <f t="shared" si="92"/>
        <v>-0.37117008565184217</v>
      </c>
      <c r="AS208" s="13" t="b">
        <f t="shared" si="93"/>
        <v>0</v>
      </c>
      <c r="AT208" s="13">
        <f t="shared" si="102"/>
        <v>0</v>
      </c>
      <c r="AU208" s="13">
        <v>2</v>
      </c>
      <c r="AV208">
        <f t="shared" si="94"/>
        <v>0</v>
      </c>
      <c r="AW208" s="13">
        <v>0</v>
      </c>
      <c r="AX208" s="13">
        <v>0</v>
      </c>
      <c r="AY208" s="13">
        <v>0</v>
      </c>
      <c r="AZ208" s="13">
        <v>0</v>
      </c>
      <c r="BA208">
        <v>0</v>
      </c>
      <c r="BB208" t="s">
        <v>2839</v>
      </c>
      <c r="BC208">
        <v>6</v>
      </c>
      <c r="BD208" t="s">
        <v>2919</v>
      </c>
      <c r="BE208">
        <v>0</v>
      </c>
      <c r="BF208" s="232" t="s">
        <v>2846</v>
      </c>
      <c r="BG208" s="232" t="s">
        <v>2845</v>
      </c>
      <c r="BH208" s="253">
        <v>19.7</v>
      </c>
      <c r="BI208" s="253">
        <v>6.1004024571065454</v>
      </c>
      <c r="BJ208" s="25">
        <v>24.732492794765982</v>
      </c>
      <c r="BK208" t="s">
        <v>379</v>
      </c>
      <c r="BL208">
        <v>1.6853155185306528</v>
      </c>
      <c r="BM208" t="s">
        <v>383</v>
      </c>
      <c r="BN208" s="322">
        <v>42769.98949</v>
      </c>
      <c r="BO208" s="322">
        <v>12224.875977</v>
      </c>
      <c r="BP208" s="10">
        <v>19689</v>
      </c>
      <c r="BQ208" s="254">
        <f t="shared" si="95"/>
        <v>2.1722784036771801</v>
      </c>
      <c r="BR208" s="254">
        <f t="shared" si="96"/>
        <v>0.62089877479811062</v>
      </c>
      <c r="BS208" s="25">
        <v>71.710499270482714</v>
      </c>
      <c r="BT208" s="25">
        <v>98.245614035087726</v>
      </c>
      <c r="BU208" s="25">
        <v>61.92166666666666</v>
      </c>
      <c r="BV208" s="25">
        <v>83.904253916204439</v>
      </c>
      <c r="BW208" s="25">
        <v>60.845582105140508</v>
      </c>
      <c r="BX208" s="25">
        <v>78.94550847211039</v>
      </c>
      <c r="BY208" s="25">
        <v>61.587275028201539</v>
      </c>
      <c r="BZ208">
        <v>61</v>
      </c>
      <c r="CA208">
        <v>0</v>
      </c>
      <c r="CB208">
        <v>7</v>
      </c>
      <c r="CC208">
        <v>19801.510092</v>
      </c>
      <c r="CD208" s="10">
        <v>317.37028099999998</v>
      </c>
      <c r="CE208" s="255">
        <v>1.6027579690915623E-2</v>
      </c>
      <c r="CF208" t="str">
        <f>IFERROR(VLOOKUP(CE208,'Rangos amb etnico'!$A$2:$C$6,3,9),"N.D.")</f>
        <v>0,1% - 30%</v>
      </c>
      <c r="CG208" s="256">
        <v>9.2334978540024283E-6</v>
      </c>
      <c r="CH208" s="232">
        <v>0</v>
      </c>
      <c r="CI208" s="311">
        <f t="shared" si="103"/>
        <v>0</v>
      </c>
      <c r="CJ208" s="232">
        <f>IFERROR(VLOOKUP(CI208,'Rangos amb etnico'!$A$2:$C$6,3,9),"N.D.")</f>
        <v>0</v>
      </c>
      <c r="CK208" s="311">
        <f t="shared" si="104"/>
        <v>0</v>
      </c>
      <c r="CL208" s="10">
        <v>0</v>
      </c>
      <c r="CM208" s="255">
        <f t="shared" si="105"/>
        <v>0</v>
      </c>
      <c r="CN208" s="232">
        <f>IFERROR(VLOOKUP(CM208,'Rangos amb etnico'!$A$2:$C$6,3,9),"N.D.")</f>
        <v>0</v>
      </c>
      <c r="CO208" s="311">
        <f t="shared" si="106"/>
        <v>0</v>
      </c>
      <c r="CP208">
        <v>0.85993574942826667</v>
      </c>
      <c r="CQ208" t="s">
        <v>2864</v>
      </c>
      <c r="CR208">
        <f t="shared" si="97"/>
        <v>3</v>
      </c>
      <c r="CS208" t="str">
        <f t="shared" si="107"/>
        <v>Candidato</v>
      </c>
      <c r="CT208">
        <v>0</v>
      </c>
      <c r="CU208">
        <v>0</v>
      </c>
      <c r="CV208" s="25">
        <v>47.318248748779297</v>
      </c>
      <c r="CW208" s="25">
        <v>44.301158905029297</v>
      </c>
      <c r="CX208" s="25">
        <v>36.102588653564453</v>
      </c>
      <c r="CY208" s="25">
        <v>64.181495666503906</v>
      </c>
      <c r="CZ208" s="25">
        <v>43.614151000976563</v>
      </c>
      <c r="DA208" s="25">
        <v>40.273429870605469</v>
      </c>
      <c r="DB208" s="25">
        <v>55.436656951904297</v>
      </c>
      <c r="DC208">
        <v>370</v>
      </c>
      <c r="DD208" s="253" t="s">
        <v>380</v>
      </c>
    </row>
    <row r="209" spans="1:108" hidden="1">
      <c r="A209" s="13">
        <v>25402</v>
      </c>
      <c r="B209" s="13" t="s">
        <v>875</v>
      </c>
      <c r="C209" s="13" t="s">
        <v>461</v>
      </c>
      <c r="D209" s="13" t="s">
        <v>462</v>
      </c>
      <c r="E209" s="13" t="s">
        <v>876</v>
      </c>
      <c r="F209" s="14">
        <v>77.0981666666667</v>
      </c>
      <c r="G209" s="13">
        <v>78.42</v>
      </c>
      <c r="H209" s="13">
        <v>86.83</v>
      </c>
      <c r="I209" s="13">
        <v>78.790000000000006</v>
      </c>
      <c r="J209" s="14">
        <v>50.355107302643468</v>
      </c>
      <c r="K209" s="14">
        <v>63.477947263257008</v>
      </c>
      <c r="L209" s="14">
        <v>66.2913531393516</v>
      </c>
      <c r="M209" s="14">
        <v>66.620400000000004</v>
      </c>
      <c r="N209" s="14">
        <f t="shared" si="81"/>
        <v>80.284541666666684</v>
      </c>
      <c r="O209" s="14">
        <f t="shared" si="82"/>
        <v>61.686201926313018</v>
      </c>
      <c r="P209" s="14">
        <f t="shared" si="98"/>
        <v>70.985371796489858</v>
      </c>
      <c r="Q209" s="14">
        <v>46.751732021452945</v>
      </c>
      <c r="R209" s="17">
        <f t="shared" si="83"/>
        <v>53.248267978547055</v>
      </c>
      <c r="S209" s="14">
        <f t="shared" si="99"/>
        <v>0.57923441180692359</v>
      </c>
      <c r="T209" s="13">
        <v>0</v>
      </c>
      <c r="U209" s="13">
        <f t="shared" si="100"/>
        <v>41.117170079435589</v>
      </c>
      <c r="V209" s="13">
        <f>IF($T209=1,$AU209,(VLOOKUP(U209,'Cortes naturales'!$A$35:$C$39,3,9)))</f>
        <v>2</v>
      </c>
      <c r="W209" s="13">
        <v>2</v>
      </c>
      <c r="X209" s="14" t="b">
        <f t="shared" si="84"/>
        <v>1</v>
      </c>
      <c r="Y209" s="17">
        <f>IF($T209=1,$AU209,VLOOKUP(U209,'Cortes naturales'!$A$45:$C$49,3,9))</f>
        <v>2</v>
      </c>
      <c r="Z209" s="14">
        <v>68.492010852003972</v>
      </c>
      <c r="AA209" s="14">
        <v>0.59711093625322886</v>
      </c>
      <c r="AB209" s="14">
        <v>40.897328725706402</v>
      </c>
      <c r="AC209" s="13">
        <v>2</v>
      </c>
      <c r="AD209" s="13">
        <f t="shared" si="85"/>
        <v>0</v>
      </c>
      <c r="AE209" s="14">
        <f t="shared" si="86"/>
        <v>2.493360944485886</v>
      </c>
      <c r="AF209" s="14">
        <f t="shared" si="87"/>
        <v>-1.7876524446305275E-2</v>
      </c>
      <c r="AG209" s="13">
        <f t="shared" si="88"/>
        <v>0.21984135372918701</v>
      </c>
      <c r="AH209" s="13">
        <f>IF($T209=1,$AU209,VLOOKUP(U209,'Cortes naturales'!$A$25:$C$29,3,9))</f>
        <v>2</v>
      </c>
      <c r="AI209" s="13" t="b">
        <f t="shared" si="89"/>
        <v>1</v>
      </c>
      <c r="AJ209" s="13">
        <f t="shared" si="90"/>
        <v>0</v>
      </c>
      <c r="AK209" s="28">
        <v>0.9741882058902549</v>
      </c>
      <c r="AL209" s="28">
        <v>66.724109169729616</v>
      </c>
      <c r="AM209" s="28">
        <v>0.66402226003073184</v>
      </c>
      <c r="AN209" s="13">
        <v>1</v>
      </c>
      <c r="AO209" s="33">
        <f t="shared" si="91"/>
        <v>-1</v>
      </c>
      <c r="AP209" s="13">
        <f t="shared" si="101"/>
        <v>66.402226003073181</v>
      </c>
      <c r="AQ209" s="13">
        <f>IFERROR(VLOOKUP(U209,'Cortes naturales'!$E$15:$G$19,3,9),U209)</f>
        <v>3</v>
      </c>
      <c r="AR209" s="28">
        <f t="shared" si="92"/>
        <v>-0.39495379408333131</v>
      </c>
      <c r="AS209" s="13" t="b">
        <f t="shared" si="93"/>
        <v>0</v>
      </c>
      <c r="AT209" s="13" t="str">
        <f t="shared" si="102"/>
        <v>Cambio en corte</v>
      </c>
      <c r="AU209" s="13">
        <v>1</v>
      </c>
      <c r="AV209">
        <f t="shared" si="94"/>
        <v>-1</v>
      </c>
      <c r="AW209" s="13">
        <v>0</v>
      </c>
      <c r="AX209" s="13">
        <v>0</v>
      </c>
      <c r="AY209" s="13">
        <v>0</v>
      </c>
      <c r="AZ209" s="13">
        <v>0</v>
      </c>
      <c r="BA209">
        <v>0</v>
      </c>
      <c r="BB209" t="s">
        <v>2839</v>
      </c>
      <c r="BC209">
        <v>6</v>
      </c>
      <c r="BD209" t="s">
        <v>2919</v>
      </c>
      <c r="BE209">
        <v>0</v>
      </c>
      <c r="BF209" s="232" t="s">
        <v>2846</v>
      </c>
      <c r="BG209" s="232" t="s">
        <v>2846</v>
      </c>
      <c r="BH209" s="253">
        <v>22.1</v>
      </c>
      <c r="BI209" s="253">
        <v>7.5302589244675957</v>
      </c>
      <c r="BJ209" s="25">
        <v>13.059274837691103</v>
      </c>
      <c r="BK209" t="s">
        <v>377</v>
      </c>
      <c r="BL209">
        <v>6.4599616008454337</v>
      </c>
      <c r="BM209" t="s">
        <v>379</v>
      </c>
      <c r="BN209" s="322">
        <v>42074.573023999998</v>
      </c>
      <c r="BO209" s="322">
        <v>14381.494252</v>
      </c>
      <c r="BP209" s="10">
        <v>18891</v>
      </c>
      <c r="BQ209" s="254">
        <f t="shared" si="95"/>
        <v>2.2272284698533693</v>
      </c>
      <c r="BR209" s="254">
        <f t="shared" si="96"/>
        <v>0.76128813996082789</v>
      </c>
      <c r="BS209" s="25">
        <v>61.782890613234279</v>
      </c>
      <c r="BT209" s="25">
        <v>91.450769685211654</v>
      </c>
      <c r="BU209" s="25">
        <v>40.406299713992773</v>
      </c>
      <c r="BV209" s="25">
        <v>89.349814952805673</v>
      </c>
      <c r="BW209" s="25">
        <v>68.05452966271163</v>
      </c>
      <c r="BX209" s="25">
        <v>70.747443741311088</v>
      </c>
      <c r="BY209" s="25">
        <v>69.61448016761338</v>
      </c>
      <c r="BZ209">
        <v>37</v>
      </c>
      <c r="CA209">
        <v>0</v>
      </c>
      <c r="CB209">
        <v>7</v>
      </c>
      <c r="CC209">
        <v>15527.047992</v>
      </c>
      <c r="CD209" s="10">
        <v>9324.1485940000002</v>
      </c>
      <c r="CE209" s="255">
        <v>0.60051006468222945</v>
      </c>
      <c r="CF209" t="str">
        <f>IFERROR(VLOOKUP(CE209,'Rangos amb etnico'!$A$2:$C$6,3,9),"N.D.")</f>
        <v>51% - 70%</v>
      </c>
      <c r="CG209" s="256">
        <v>2.7127463151818795E-4</v>
      </c>
      <c r="CH209" s="232">
        <v>0</v>
      </c>
      <c r="CI209" s="311">
        <f t="shared" si="103"/>
        <v>0</v>
      </c>
      <c r="CJ209" s="232">
        <f>IFERROR(VLOOKUP(CI209,'Rangos amb etnico'!$A$2:$C$6,3,9),"N.D.")</f>
        <v>0</v>
      </c>
      <c r="CK209" s="311">
        <f t="shared" si="104"/>
        <v>0</v>
      </c>
      <c r="CL209" s="10">
        <v>0</v>
      </c>
      <c r="CM209" s="255">
        <f t="shared" si="105"/>
        <v>0</v>
      </c>
      <c r="CN209" s="232">
        <f>IFERROR(VLOOKUP(CM209,'Rangos amb etnico'!$A$2:$C$6,3,9),"N.D.")</f>
        <v>0</v>
      </c>
      <c r="CO209" s="311">
        <f t="shared" si="106"/>
        <v>0</v>
      </c>
      <c r="CP209">
        <v>0.94426380104755214</v>
      </c>
      <c r="CQ209" t="s">
        <v>2864</v>
      </c>
      <c r="CR209">
        <f t="shared" si="97"/>
        <v>4</v>
      </c>
      <c r="CS209" t="str">
        <f t="shared" si="107"/>
        <v>Candidato</v>
      </c>
      <c r="CT209">
        <v>0</v>
      </c>
      <c r="CU209">
        <v>0</v>
      </c>
      <c r="CV209" s="25">
        <v>45.555438995361328</v>
      </c>
      <c r="CW209" s="25">
        <v>31.538251876831051</v>
      </c>
      <c r="CX209" s="25">
        <v>46.596443176269531</v>
      </c>
      <c r="CY209" s="25">
        <v>61.949333190917969</v>
      </c>
      <c r="CZ209" s="25">
        <v>48.122043609619141</v>
      </c>
      <c r="DA209" s="25">
        <v>25.57460784912109</v>
      </c>
      <c r="DB209" s="25">
        <v>59.551963806152337</v>
      </c>
      <c r="DC209">
        <v>245</v>
      </c>
      <c r="DD209" s="253" t="s">
        <v>380</v>
      </c>
    </row>
    <row r="210" spans="1:108">
      <c r="A210" s="13">
        <v>5282</v>
      </c>
      <c r="B210" s="13" t="s">
        <v>877</v>
      </c>
      <c r="C210" s="13" t="s">
        <v>435</v>
      </c>
      <c r="D210" s="13" t="s">
        <v>436</v>
      </c>
      <c r="E210" s="13" t="s">
        <v>878</v>
      </c>
      <c r="F210" s="14">
        <v>47.847633333333299</v>
      </c>
      <c r="G210" s="13">
        <v>55.1</v>
      </c>
      <c r="H210" s="13">
        <v>38.42</v>
      </c>
      <c r="I210" s="13">
        <v>53.11</v>
      </c>
      <c r="J210" s="14">
        <v>44.088121846281339</v>
      </c>
      <c r="K210" s="14">
        <v>40.045710628441661</v>
      </c>
      <c r="L210" s="14">
        <v>51.025814928970917</v>
      </c>
      <c r="M210" s="14">
        <v>51.252899999999997</v>
      </c>
      <c r="N210" s="14">
        <f t="shared" si="81"/>
        <v>48.619408333333325</v>
      </c>
      <c r="O210" s="14">
        <f t="shared" si="82"/>
        <v>46.603136850923477</v>
      </c>
      <c r="P210" s="14">
        <f t="shared" si="98"/>
        <v>47.611272592128401</v>
      </c>
      <c r="Q210" s="14">
        <v>45.101281542403257</v>
      </c>
      <c r="R210" s="17">
        <f t="shared" si="83"/>
        <v>54.898718457596743</v>
      </c>
      <c r="S210" s="14">
        <f t="shared" si="99"/>
        <v>0.59408846611837063</v>
      </c>
      <c r="T210" s="13">
        <v>0</v>
      </c>
      <c r="U210" s="13">
        <f t="shared" si="100"/>
        <v>28.285307904201183</v>
      </c>
      <c r="V210" s="13">
        <f>IF($T210=1,$AU210,(VLOOKUP(U210,'Cortes naturales'!$A$35:$C$39,3,9)))</f>
        <v>4</v>
      </c>
      <c r="W210" s="13">
        <v>4</v>
      </c>
      <c r="X210" s="14" t="b">
        <f t="shared" si="84"/>
        <v>1</v>
      </c>
      <c r="Y210" s="17">
        <f>IF($T210=1,$AU210,VLOOKUP(U210,'Cortes naturales'!$A$45:$C$49,3,9))</f>
        <v>4</v>
      </c>
      <c r="Z210" s="14">
        <v>46.039983077086369</v>
      </c>
      <c r="AA210" s="14">
        <v>0.60200669562123921</v>
      </c>
      <c r="AB210" s="14">
        <v>27.716378078694536</v>
      </c>
      <c r="AC210" s="13">
        <v>4</v>
      </c>
      <c r="AD210" s="13">
        <f t="shared" si="85"/>
        <v>0</v>
      </c>
      <c r="AE210" s="14">
        <f t="shared" si="86"/>
        <v>1.5712895150420323</v>
      </c>
      <c r="AF210" s="14">
        <f t="shared" si="87"/>
        <v>-7.918229502868579E-3</v>
      </c>
      <c r="AG210" s="13">
        <f t="shared" si="88"/>
        <v>0.56892982550664684</v>
      </c>
      <c r="AH210" s="13">
        <f>IF($T210=1,$AU210,VLOOKUP(U210,'Cortes naturales'!$A$25:$C$29,3,9))</f>
        <v>3</v>
      </c>
      <c r="AI210" s="13" t="b">
        <f t="shared" si="89"/>
        <v>0</v>
      </c>
      <c r="AJ210" s="13">
        <f t="shared" si="90"/>
        <v>0</v>
      </c>
      <c r="AK210" s="28">
        <v>0.9741882058902549</v>
      </c>
      <c r="AL210" s="28">
        <v>44.851608513084464</v>
      </c>
      <c r="AM210" s="28">
        <v>0.39042033260501025</v>
      </c>
      <c r="AN210" s="13">
        <v>3</v>
      </c>
      <c r="AO210" s="33">
        <f t="shared" si="91"/>
        <v>-1</v>
      </c>
      <c r="AP210" s="13">
        <f t="shared" si="101"/>
        <v>39.042033260501022</v>
      </c>
      <c r="AQ210" s="13">
        <f>IFERROR(VLOOKUP(U210,'Cortes naturales'!$E$15:$G$19,3,9),U210)</f>
        <v>4</v>
      </c>
      <c r="AR210" s="28">
        <f t="shared" si="92"/>
        <v>-0.38009973977188427</v>
      </c>
      <c r="AS210" s="13" t="b">
        <f t="shared" si="93"/>
        <v>1</v>
      </c>
      <c r="AT210" s="13" t="str">
        <f t="shared" si="102"/>
        <v>Efecto ponderador</v>
      </c>
      <c r="AU210" s="13">
        <v>2</v>
      </c>
      <c r="AV210">
        <f t="shared" si="94"/>
        <v>-2</v>
      </c>
      <c r="AW210" s="13">
        <v>0</v>
      </c>
      <c r="AX210" s="13">
        <v>0</v>
      </c>
      <c r="AY210" s="13">
        <v>0</v>
      </c>
      <c r="AZ210" s="13">
        <v>0</v>
      </c>
      <c r="BA210">
        <v>0</v>
      </c>
      <c r="BB210" t="s">
        <v>2839</v>
      </c>
      <c r="BC210">
        <v>6</v>
      </c>
      <c r="BD210" t="s">
        <v>2919</v>
      </c>
      <c r="BE210">
        <v>1</v>
      </c>
      <c r="BF210" s="232" t="s">
        <v>2846</v>
      </c>
      <c r="BG210" s="232" t="s">
        <v>2845</v>
      </c>
      <c r="BH210" s="253">
        <v>31.6</v>
      </c>
      <c r="BI210" s="253">
        <v>11.128894579598805</v>
      </c>
      <c r="BJ210" s="25">
        <v>7.0624270941585516</v>
      </c>
      <c r="BK210" t="s">
        <v>377</v>
      </c>
      <c r="BL210">
        <v>3.1519244390451258</v>
      </c>
      <c r="BM210" t="s">
        <v>383</v>
      </c>
      <c r="BN210" s="322">
        <v>39636.424213999999</v>
      </c>
      <c r="BO210" s="322">
        <v>11646.289837</v>
      </c>
      <c r="BP210" s="10">
        <v>26245</v>
      </c>
      <c r="BQ210" s="254">
        <f t="shared" si="95"/>
        <v>1.510246683711183</v>
      </c>
      <c r="BR210" s="254">
        <f t="shared" si="96"/>
        <v>0.4437527085921128</v>
      </c>
      <c r="BS210" s="25">
        <v>48.495084288545797</v>
      </c>
      <c r="BT210" s="25">
        <v>81.544213748650535</v>
      </c>
      <c r="BU210" s="25">
        <v>39.673404148460627</v>
      </c>
      <c r="BV210" s="25">
        <v>94.796027538136229</v>
      </c>
      <c r="BW210" s="25">
        <v>62.08449861606654</v>
      </c>
      <c r="BX210" s="25">
        <v>66.127182430948295</v>
      </c>
      <c r="BY210" s="25">
        <v>62.740926017338772</v>
      </c>
      <c r="BZ210">
        <v>65</v>
      </c>
      <c r="CA210">
        <v>0</v>
      </c>
      <c r="CB210">
        <v>6</v>
      </c>
      <c r="CC210">
        <v>25404.507624999998</v>
      </c>
      <c r="CD210" s="10">
        <v>1083.6816699999999</v>
      </c>
      <c r="CE210" s="255">
        <v>4.2657062518053825E-2</v>
      </c>
      <c r="CF210" t="str">
        <f>IFERROR(VLOOKUP(CE210,'Rangos amb etnico'!$A$2:$C$6,3,9),"N.D.")</f>
        <v>0,1% - 30%</v>
      </c>
      <c r="CG210" s="256">
        <v>3.1528384897408738E-5</v>
      </c>
      <c r="CH210" s="232">
        <v>0</v>
      </c>
      <c r="CI210" s="311">
        <f t="shared" si="103"/>
        <v>0</v>
      </c>
      <c r="CJ210" s="232">
        <f>IFERROR(VLOOKUP(CI210,'Rangos amb etnico'!$A$2:$C$6,3,9),"N.D.")</f>
        <v>0</v>
      </c>
      <c r="CK210" s="311">
        <f t="shared" si="104"/>
        <v>0</v>
      </c>
      <c r="CL210" s="10">
        <v>0</v>
      </c>
      <c r="CM210" s="255">
        <f t="shared" si="105"/>
        <v>0</v>
      </c>
      <c r="CN210" s="232">
        <f>IFERROR(VLOOKUP(CM210,'Rangos amb etnico'!$A$2:$C$6,3,9),"N.D.")</f>
        <v>0</v>
      </c>
      <c r="CO210" s="311">
        <f t="shared" si="106"/>
        <v>0</v>
      </c>
      <c r="CP210">
        <v>0.89303085028309082</v>
      </c>
      <c r="CQ210" t="s">
        <v>2864</v>
      </c>
      <c r="CR210">
        <f t="shared" si="97"/>
        <v>2</v>
      </c>
      <c r="CS210" t="str">
        <f t="shared" si="107"/>
        <v>No es Candidato</v>
      </c>
      <c r="CT210">
        <v>0</v>
      </c>
      <c r="CU210">
        <v>0</v>
      </c>
      <c r="CV210" s="25">
        <v>54.286125183105469</v>
      </c>
      <c r="CW210" s="25">
        <v>41.384616851806641</v>
      </c>
      <c r="CX210" s="25">
        <v>67.056968688964844</v>
      </c>
      <c r="CY210" s="25">
        <v>48.028911590576172</v>
      </c>
      <c r="CZ210" s="25">
        <v>57.198688507080078</v>
      </c>
      <c r="DA210" s="25">
        <v>62.344203948974609</v>
      </c>
      <c r="DB210" s="25">
        <v>49.703361511230469</v>
      </c>
      <c r="DC210">
        <v>375</v>
      </c>
      <c r="DD210" s="253" t="s">
        <v>380</v>
      </c>
    </row>
    <row r="211" spans="1:108" hidden="1">
      <c r="A211" s="13">
        <v>73520</v>
      </c>
      <c r="B211" s="13" t="s">
        <v>879</v>
      </c>
      <c r="C211" s="13" t="s">
        <v>595</v>
      </c>
      <c r="D211" s="13" t="s">
        <v>596</v>
      </c>
      <c r="E211" s="13" t="s">
        <v>880</v>
      </c>
      <c r="F211" s="14">
        <v>51.700466666666699</v>
      </c>
      <c r="G211" s="13">
        <v>39.880000000000003</v>
      </c>
      <c r="H211" s="13">
        <v>42.94</v>
      </c>
      <c r="I211" s="13">
        <v>61.19</v>
      </c>
      <c r="J211" s="14">
        <v>42.978972125139947</v>
      </c>
      <c r="K211" s="14">
        <v>59.528177658390952</v>
      </c>
      <c r="L211" s="14">
        <v>51.786771060709683</v>
      </c>
      <c r="M211" s="14">
        <v>54.551400000000001</v>
      </c>
      <c r="N211" s="14">
        <f t="shared" si="81"/>
        <v>48.927616666666673</v>
      </c>
      <c r="O211" s="14">
        <f t="shared" si="82"/>
        <v>52.211330211060144</v>
      </c>
      <c r="P211" s="14">
        <f t="shared" si="98"/>
        <v>50.569473438863412</v>
      </c>
      <c r="Q211" s="14">
        <v>45.823086152274314</v>
      </c>
      <c r="R211" s="17">
        <f t="shared" si="83"/>
        <v>54.176913847725686</v>
      </c>
      <c r="S211" s="14">
        <f t="shared" si="99"/>
        <v>0.5875922246295312</v>
      </c>
      <c r="T211" s="13">
        <v>0</v>
      </c>
      <c r="U211" s="13">
        <f t="shared" si="100"/>
        <v>29.714229396285742</v>
      </c>
      <c r="V211" s="13">
        <f>IF($T211=1,$AU211,(VLOOKUP(U211,'Cortes naturales'!$A$35:$C$39,3,9)))</f>
        <v>3</v>
      </c>
      <c r="W211" s="13">
        <v>3</v>
      </c>
      <c r="X211" s="14" t="b">
        <f t="shared" si="84"/>
        <v>1</v>
      </c>
      <c r="Y211" s="17">
        <f>IF($T211=1,$AU211,VLOOKUP(U211,'Cortes naturales'!$A$45:$C$49,3,9))</f>
        <v>3</v>
      </c>
      <c r="Z211" s="14">
        <v>49.119721645947976</v>
      </c>
      <c r="AA211" s="14">
        <v>0.59906231385782516</v>
      </c>
      <c r="AB211" s="14">
        <v>29.425774105273895</v>
      </c>
      <c r="AC211" s="13">
        <v>3</v>
      </c>
      <c r="AD211" s="13">
        <f t="shared" si="85"/>
        <v>0</v>
      </c>
      <c r="AE211" s="14">
        <f t="shared" si="86"/>
        <v>1.4497517929154355</v>
      </c>
      <c r="AF211" s="14">
        <f t="shared" si="87"/>
        <v>-1.1470089228293956E-2</v>
      </c>
      <c r="AG211" s="13">
        <f t="shared" si="88"/>
        <v>0.28845529101184653</v>
      </c>
      <c r="AH211" s="13">
        <f>IF($T211=1,$AU211,VLOOKUP(U211,'Cortes naturales'!$A$25:$C$29,3,9))</f>
        <v>3</v>
      </c>
      <c r="AI211" s="13" t="b">
        <f t="shared" si="89"/>
        <v>1</v>
      </c>
      <c r="AJ211" s="13">
        <f t="shared" si="90"/>
        <v>0</v>
      </c>
      <c r="AK211" s="28">
        <v>0.9741882058902549</v>
      </c>
      <c r="AL211" s="28">
        <v>47.851853504094777</v>
      </c>
      <c r="AM211" s="28">
        <v>0.42795023488622913</v>
      </c>
      <c r="AN211" s="13">
        <v>3</v>
      </c>
      <c r="AO211" s="33">
        <f t="shared" si="91"/>
        <v>0</v>
      </c>
      <c r="AP211" s="13">
        <f t="shared" si="101"/>
        <v>42.79502348862291</v>
      </c>
      <c r="AQ211" s="13">
        <f>IFERROR(VLOOKUP(U211,'Cortes naturales'!$E$15:$G$19,3,9),U211)</f>
        <v>4</v>
      </c>
      <c r="AR211" s="28">
        <f t="shared" si="92"/>
        <v>-0.3865959812607237</v>
      </c>
      <c r="AS211" s="13" t="b">
        <f t="shared" si="93"/>
        <v>0</v>
      </c>
      <c r="AT211" s="13">
        <f t="shared" si="102"/>
        <v>0</v>
      </c>
      <c r="AU211" s="13">
        <v>3</v>
      </c>
      <c r="AV211">
        <f t="shared" si="94"/>
        <v>0</v>
      </c>
      <c r="AW211" s="13">
        <v>0</v>
      </c>
      <c r="AX211" s="13">
        <v>0</v>
      </c>
      <c r="AY211" s="13">
        <v>0</v>
      </c>
      <c r="AZ211" s="13">
        <v>0</v>
      </c>
      <c r="BA211">
        <v>0</v>
      </c>
      <c r="BB211" t="s">
        <v>2839</v>
      </c>
      <c r="BC211">
        <v>6</v>
      </c>
      <c r="BD211" t="s">
        <v>2919</v>
      </c>
      <c r="BE211">
        <v>0</v>
      </c>
      <c r="BF211" s="232" t="s">
        <v>2846</v>
      </c>
      <c r="BG211" s="232" t="s">
        <v>2845</v>
      </c>
      <c r="BH211" s="253">
        <v>45.5</v>
      </c>
      <c r="BI211" s="253">
        <v>17.294296909011756</v>
      </c>
      <c r="BJ211" s="25">
        <v>2.02</v>
      </c>
      <c r="BK211" t="s">
        <v>381</v>
      </c>
      <c r="BL211">
        <v>2.7790880926648711</v>
      </c>
      <c r="BM211" t="s">
        <v>383</v>
      </c>
      <c r="BN211" s="322">
        <v>23523.212837999999</v>
      </c>
      <c r="BO211" s="322">
        <v>1648.6155369999999</v>
      </c>
      <c r="BP211" s="10">
        <v>10120</v>
      </c>
      <c r="BQ211" s="254">
        <f t="shared" si="95"/>
        <v>2.3244281460474308</v>
      </c>
      <c r="BR211" s="254">
        <f t="shared" si="96"/>
        <v>0.16290667361660077</v>
      </c>
      <c r="BS211" s="25">
        <v>72.090089026041042</v>
      </c>
      <c r="BT211" s="25">
        <v>95.837022397891971</v>
      </c>
      <c r="BU211" s="25">
        <v>51.826666666666682</v>
      </c>
      <c r="BV211" s="25">
        <v>93.740489176116782</v>
      </c>
      <c r="BW211" s="25">
        <v>48.681148730599091</v>
      </c>
      <c r="BX211" s="25">
        <v>78.373566816679116</v>
      </c>
      <c r="BY211" s="25">
        <v>50.923206149703887</v>
      </c>
      <c r="BZ211">
        <v>89</v>
      </c>
      <c r="CA211">
        <v>0</v>
      </c>
      <c r="CB211">
        <v>7</v>
      </c>
      <c r="CC211">
        <v>6497.2936810000001</v>
      </c>
      <c r="CD211" s="10">
        <v>4616.8226199999999</v>
      </c>
      <c r="CE211" s="255">
        <v>0.71057625631129295</v>
      </c>
      <c r="CF211" t="str">
        <f>IFERROR(VLOOKUP(CE211,'Rangos amb etnico'!$A$2:$C$6,3,9),"N.D.")</f>
        <v>71% - 100%</v>
      </c>
      <c r="CG211" s="256">
        <v>1.3432077389149071E-4</v>
      </c>
      <c r="CH211" s="232">
        <v>0</v>
      </c>
      <c r="CI211" s="311">
        <f t="shared" si="103"/>
        <v>0</v>
      </c>
      <c r="CJ211" s="232">
        <f>IFERROR(VLOOKUP(CI211,'Rangos amb etnico'!$A$2:$C$6,3,9),"N.D.")</f>
        <v>0</v>
      </c>
      <c r="CK211" s="311">
        <f t="shared" si="104"/>
        <v>0</v>
      </c>
      <c r="CL211" s="10">
        <v>0</v>
      </c>
      <c r="CM211" s="255">
        <f t="shared" si="105"/>
        <v>0</v>
      </c>
      <c r="CN211" s="232">
        <f>IFERROR(VLOOKUP(CM211,'Rangos amb etnico'!$A$2:$C$6,3,9),"N.D.")</f>
        <v>0</v>
      </c>
      <c r="CO211" s="311">
        <f t="shared" si="106"/>
        <v>0</v>
      </c>
      <c r="CP211">
        <v>0.93414938026575101</v>
      </c>
      <c r="CQ211" t="s">
        <v>2864</v>
      </c>
      <c r="CR211">
        <f t="shared" si="97"/>
        <v>2</v>
      </c>
      <c r="CS211" t="str">
        <f t="shared" si="107"/>
        <v>No es Candidato</v>
      </c>
      <c r="CT211">
        <v>0</v>
      </c>
      <c r="CU211">
        <v>0</v>
      </c>
      <c r="CV211" s="25">
        <v>42.318515777587891</v>
      </c>
      <c r="CW211" s="25">
        <v>26.995817184448239</v>
      </c>
      <c r="CX211" s="25">
        <v>48.435035705566413</v>
      </c>
      <c r="CY211" s="25">
        <v>59.687171936035163</v>
      </c>
      <c r="CZ211" s="25">
        <v>28.987432479858398</v>
      </c>
      <c r="DA211" s="25">
        <v>48.686439514160163</v>
      </c>
      <c r="DB211" s="25">
        <v>41.119197845458977</v>
      </c>
      <c r="DC211">
        <v>44</v>
      </c>
      <c r="DD211" s="253" t="s">
        <v>380</v>
      </c>
    </row>
    <row r="212" spans="1:108" hidden="1">
      <c r="A212" s="13">
        <v>19142</v>
      </c>
      <c r="B212" s="13" t="s">
        <v>881</v>
      </c>
      <c r="C212" s="13" t="s">
        <v>557</v>
      </c>
      <c r="D212" s="13" t="s">
        <v>558</v>
      </c>
      <c r="E212" s="13" t="s">
        <v>882</v>
      </c>
      <c r="F212" s="14">
        <v>56.820799999999998</v>
      </c>
      <c r="G212" s="13">
        <v>67.08</v>
      </c>
      <c r="H212" s="13">
        <v>72.59</v>
      </c>
      <c r="I212" s="13">
        <v>49.9</v>
      </c>
      <c r="J212" s="14">
        <v>47.115056827593548</v>
      </c>
      <c r="K212" s="14">
        <v>48.081061812973914</v>
      </c>
      <c r="L212" s="14">
        <v>57.560595406969554</v>
      </c>
      <c r="M212" s="14">
        <v>48.209899999999998</v>
      </c>
      <c r="N212" s="14">
        <f t="shared" si="81"/>
        <v>61.597700000000003</v>
      </c>
      <c r="O212" s="14">
        <f t="shared" si="82"/>
        <v>50.241653511884252</v>
      </c>
      <c r="P212" s="14">
        <f t="shared" si="98"/>
        <v>55.919676755942127</v>
      </c>
      <c r="Q212" s="14">
        <v>45.885671431545624</v>
      </c>
      <c r="R212" s="17">
        <f t="shared" si="83"/>
        <v>54.114328568454376</v>
      </c>
      <c r="S212" s="14">
        <f t="shared" si="99"/>
        <v>0.58702895711608938</v>
      </c>
      <c r="T212" s="13">
        <v>0</v>
      </c>
      <c r="U212" s="13">
        <f t="shared" si="100"/>
        <v>32.826469528309531</v>
      </c>
      <c r="V212" s="13">
        <f>IF($T212=1,$AU212,(VLOOKUP(U212,'Cortes naturales'!$A$35:$C$39,3,9)))</f>
        <v>3</v>
      </c>
      <c r="W212" s="13">
        <v>3</v>
      </c>
      <c r="X212" s="14" t="b">
        <f t="shared" si="84"/>
        <v>1</v>
      </c>
      <c r="Y212" s="17">
        <f>IF($T212=1,$AU212,VLOOKUP(U212,'Cortes naturales'!$A$45:$C$49,3,9))</f>
        <v>3</v>
      </c>
      <c r="Z212" s="14">
        <v>55.364924804626071</v>
      </c>
      <c r="AA212" s="14">
        <v>0.60042021744560747</v>
      </c>
      <c r="AB212" s="14">
        <v>33.242220190053295</v>
      </c>
      <c r="AC212" s="13">
        <v>3</v>
      </c>
      <c r="AD212" s="13">
        <f t="shared" si="85"/>
        <v>0</v>
      </c>
      <c r="AE212" s="14">
        <f t="shared" si="86"/>
        <v>0.55475195131605659</v>
      </c>
      <c r="AF212" s="14">
        <f t="shared" si="87"/>
        <v>-1.3391260329518095E-2</v>
      </c>
      <c r="AG212" s="13">
        <f t="shared" si="88"/>
        <v>-0.41575066174376474</v>
      </c>
      <c r="AH212" s="13">
        <f>IF($T212=1,$AU212,VLOOKUP(U212,'Cortes naturales'!$A$25:$C$29,3,9))</f>
        <v>3</v>
      </c>
      <c r="AI212" s="13" t="b">
        <f t="shared" si="89"/>
        <v>1</v>
      </c>
      <c r="AJ212" s="13">
        <f t="shared" si="90"/>
        <v>0</v>
      </c>
      <c r="AK212" s="28">
        <v>0.9741882058902549</v>
      </c>
      <c r="AL212" s="28">
        <v>53.935856764667541</v>
      </c>
      <c r="AM212" s="28">
        <v>0.50405470253206075</v>
      </c>
      <c r="AN212" s="13">
        <v>2</v>
      </c>
      <c r="AO212" s="33">
        <f t="shared" si="91"/>
        <v>-1</v>
      </c>
      <c r="AP212" s="13">
        <f t="shared" si="101"/>
        <v>50.405470253206076</v>
      </c>
      <c r="AQ212" s="13">
        <f>IFERROR(VLOOKUP(U212,'Cortes naturales'!$E$15:$G$19,3,9),U212)</f>
        <v>4</v>
      </c>
      <c r="AR212" s="28">
        <f t="shared" si="92"/>
        <v>-0.38715924877416552</v>
      </c>
      <c r="AS212" s="13" t="b">
        <f t="shared" si="93"/>
        <v>0</v>
      </c>
      <c r="AT212" s="13" t="str">
        <f t="shared" si="102"/>
        <v>Cambio en corte</v>
      </c>
      <c r="AU212" s="13">
        <v>2</v>
      </c>
      <c r="AV212">
        <f t="shared" si="94"/>
        <v>-1</v>
      </c>
      <c r="AW212" s="13">
        <v>0</v>
      </c>
      <c r="AX212" s="13">
        <v>0</v>
      </c>
      <c r="AY212" s="13">
        <v>0</v>
      </c>
      <c r="AZ212" s="13">
        <v>1</v>
      </c>
      <c r="BA212">
        <v>1</v>
      </c>
      <c r="BB212" t="s">
        <v>2839</v>
      </c>
      <c r="BC212">
        <v>5</v>
      </c>
      <c r="BD212" t="s">
        <v>2919</v>
      </c>
      <c r="BE212">
        <v>1</v>
      </c>
      <c r="BF212" s="232" t="s">
        <v>2846</v>
      </c>
      <c r="BG212" s="232" t="s">
        <v>2846</v>
      </c>
      <c r="BH212" s="253">
        <v>37.4</v>
      </c>
      <c r="BI212" s="253">
        <v>22.910069664344523</v>
      </c>
      <c r="BJ212" s="25">
        <v>0</v>
      </c>
      <c r="BK212" t="s">
        <v>381</v>
      </c>
      <c r="BL212">
        <v>34.629082878959593</v>
      </c>
      <c r="BM212" t="s">
        <v>384</v>
      </c>
      <c r="BN212" s="322">
        <v>60422.223014000003</v>
      </c>
      <c r="BO212" s="322">
        <v>16642.680109000001</v>
      </c>
      <c r="BP212" s="10">
        <v>31061</v>
      </c>
      <c r="BQ212" s="254">
        <f t="shared" si="95"/>
        <v>1.9452761667042273</v>
      </c>
      <c r="BR212" s="254">
        <f t="shared" si="96"/>
        <v>0.53580632011203766</v>
      </c>
      <c r="BS212" s="25">
        <v>56.469503542801498</v>
      </c>
      <c r="BT212" s="25">
        <v>88.157787305731745</v>
      </c>
      <c r="BU212" s="25">
        <v>50.391627200252572</v>
      </c>
      <c r="BV212" s="25">
        <v>88.596625169441623</v>
      </c>
      <c r="BW212" s="25">
        <v>48.024043406159322</v>
      </c>
      <c r="BX212" s="25">
        <v>70.903885804556865</v>
      </c>
      <c r="BY212" s="25">
        <v>49.43624979633033</v>
      </c>
      <c r="BZ212">
        <v>32</v>
      </c>
      <c r="CA212">
        <v>0</v>
      </c>
      <c r="CB212">
        <v>6</v>
      </c>
      <c r="CC212">
        <v>26502.242211000001</v>
      </c>
      <c r="CD212" s="10">
        <v>14937.47399</v>
      </c>
      <c r="CE212" s="255">
        <v>0.56363057401234007</v>
      </c>
      <c r="CF212" t="str">
        <f>IFERROR(VLOOKUP(CE212,'Rangos amb etnico'!$A$2:$C$6,3,9),"N.D.")</f>
        <v>51% - 70%</v>
      </c>
      <c r="CG212" s="256">
        <v>4.3458742764538211E-4</v>
      </c>
      <c r="CH212" s="232">
        <v>8958.9869199999994</v>
      </c>
      <c r="CI212" s="311">
        <f t="shared" si="103"/>
        <v>0.33804637542258553</v>
      </c>
      <c r="CJ212" s="232" t="str">
        <f>IFERROR(VLOOKUP(CI212,'Rangos amb etnico'!$A$2:$C$6,3,9),"N.D.")</f>
        <v>31% - 50%</v>
      </c>
      <c r="CK212" s="311">
        <f t="shared" si="104"/>
        <v>3.5573043700748837E-4</v>
      </c>
      <c r="CL212" s="10">
        <v>0</v>
      </c>
      <c r="CM212" s="255">
        <f t="shared" si="105"/>
        <v>0</v>
      </c>
      <c r="CN212" s="232">
        <f>IFERROR(VLOOKUP(CM212,'Rangos amb etnico'!$A$2:$C$6,3,9),"N.D.")</f>
        <v>0</v>
      </c>
      <c r="CO212" s="311">
        <f t="shared" si="106"/>
        <v>0</v>
      </c>
      <c r="CP212">
        <v>0.94205385225708982</v>
      </c>
      <c r="CQ212" t="s">
        <v>2864</v>
      </c>
      <c r="CR212">
        <f t="shared" si="97"/>
        <v>1</v>
      </c>
      <c r="CS212" t="str">
        <f t="shared" si="107"/>
        <v>No es Candidato</v>
      </c>
      <c r="CT212">
        <v>0</v>
      </c>
      <c r="CU212">
        <v>0</v>
      </c>
      <c r="CV212" s="25">
        <v>53.812076568603523</v>
      </c>
      <c r="CW212" s="25">
        <v>55.692348480224609</v>
      </c>
      <c r="CX212" s="25">
        <v>60.758922576904297</v>
      </c>
      <c r="CY212" s="25">
        <v>74.800849914550781</v>
      </c>
      <c r="CZ212" s="25">
        <v>40.084922790527337</v>
      </c>
      <c r="DA212" s="25">
        <v>33.68170166015625</v>
      </c>
      <c r="DB212" s="25">
        <v>57.853710174560547</v>
      </c>
      <c r="DC212">
        <v>24106</v>
      </c>
      <c r="DD212" s="253" t="s">
        <v>380</v>
      </c>
    </row>
    <row r="213" spans="1:108" hidden="1">
      <c r="A213" s="13">
        <v>25099</v>
      </c>
      <c r="B213" s="13" t="s">
        <v>883</v>
      </c>
      <c r="C213" s="13" t="s">
        <v>461</v>
      </c>
      <c r="D213" s="13" t="s">
        <v>462</v>
      </c>
      <c r="E213" s="13" t="s">
        <v>884</v>
      </c>
      <c r="F213" s="14">
        <v>78.996499999999997</v>
      </c>
      <c r="G213" s="13">
        <v>83.18</v>
      </c>
      <c r="H213" s="13">
        <v>76.44</v>
      </c>
      <c r="I213" s="13">
        <v>77.05</v>
      </c>
      <c r="J213" s="14">
        <v>71.816786911754463</v>
      </c>
      <c r="K213" s="14">
        <v>60.558159233863506</v>
      </c>
      <c r="L213" s="14">
        <v>66.336128390696217</v>
      </c>
      <c r="M213" s="14">
        <v>59.540900000000001</v>
      </c>
      <c r="N213" s="14">
        <f t="shared" si="81"/>
        <v>78.916624999999996</v>
      </c>
      <c r="O213" s="14">
        <f t="shared" si="82"/>
        <v>64.562993634078552</v>
      </c>
      <c r="P213" s="14">
        <f t="shared" si="98"/>
        <v>71.739809317039274</v>
      </c>
      <c r="Q213" s="14">
        <v>46.469000551899811</v>
      </c>
      <c r="R213" s="17">
        <f t="shared" si="83"/>
        <v>53.530999448100189</v>
      </c>
      <c r="S213" s="14">
        <f t="shared" si="99"/>
        <v>0.58177899503290176</v>
      </c>
      <c r="T213" s="13">
        <v>0</v>
      </c>
      <c r="U213" s="13">
        <f t="shared" si="100"/>
        <v>41.736714168319111</v>
      </c>
      <c r="V213" s="13">
        <f>IF($T213=1,$AU213,(VLOOKUP(U213,'Cortes naturales'!$A$35:$C$39,3,9)))</f>
        <v>2</v>
      </c>
      <c r="W213" s="13">
        <v>2</v>
      </c>
      <c r="X213" s="14" t="b">
        <f t="shared" si="84"/>
        <v>1</v>
      </c>
      <c r="Y213" s="17">
        <f>IF($T213=1,$AU213,VLOOKUP(U213,'Cortes naturales'!$A$45:$C$49,3,9))</f>
        <v>2</v>
      </c>
      <c r="Z213" s="14">
        <v>70.90883609678265</v>
      </c>
      <c r="AA213" s="14">
        <v>0.59897806468074144</v>
      </c>
      <c r="AB213" s="14">
        <v>42.472837414014769</v>
      </c>
      <c r="AC213" s="13">
        <v>2</v>
      </c>
      <c r="AD213" s="13">
        <f t="shared" si="85"/>
        <v>0</v>
      </c>
      <c r="AE213" s="14">
        <f t="shared" si="86"/>
        <v>0.83097322025662379</v>
      </c>
      <c r="AF213" s="14">
        <f t="shared" si="87"/>
        <v>-1.7199069647839682E-2</v>
      </c>
      <c r="AG213" s="13">
        <f t="shared" si="88"/>
        <v>-0.73612324569565857</v>
      </c>
      <c r="AH213" s="13">
        <f>IF($T213=1,$AU213,VLOOKUP(U213,'Cortes naturales'!$A$25:$C$29,3,9))</f>
        <v>2</v>
      </c>
      <c r="AI213" s="13" t="b">
        <f t="shared" si="89"/>
        <v>1</v>
      </c>
      <c r="AJ213" s="13">
        <f t="shared" si="90"/>
        <v>0</v>
      </c>
      <c r="AK213" s="28">
        <v>0.9741882058902549</v>
      </c>
      <c r="AL213" s="28">
        <v>69.07855181889083</v>
      </c>
      <c r="AM213" s="28">
        <v>0.69347385575525267</v>
      </c>
      <c r="AN213" s="13">
        <v>1</v>
      </c>
      <c r="AO213" s="33">
        <f t="shared" si="91"/>
        <v>-1</v>
      </c>
      <c r="AP213" s="13">
        <f t="shared" si="101"/>
        <v>69.347385575525266</v>
      </c>
      <c r="AQ213" s="13">
        <f>IFERROR(VLOOKUP(U213,'Cortes naturales'!$E$15:$G$19,3,9),U213)</f>
        <v>3</v>
      </c>
      <c r="AR213" s="28">
        <f t="shared" si="92"/>
        <v>-0.39240921085735314</v>
      </c>
      <c r="AS213" s="13" t="b">
        <f t="shared" si="93"/>
        <v>0</v>
      </c>
      <c r="AT213" s="13" t="str">
        <f t="shared" si="102"/>
        <v>Cambio en corte</v>
      </c>
      <c r="AU213" s="13">
        <v>1</v>
      </c>
      <c r="AV213">
        <f t="shared" si="94"/>
        <v>-1</v>
      </c>
      <c r="AW213" s="13">
        <v>0</v>
      </c>
      <c r="AX213" s="13">
        <v>0</v>
      </c>
      <c r="AY213" s="13">
        <v>0</v>
      </c>
      <c r="AZ213" s="13">
        <v>0</v>
      </c>
      <c r="BA213">
        <v>0</v>
      </c>
      <c r="BB213" t="s">
        <v>2838</v>
      </c>
      <c r="BC213">
        <v>6</v>
      </c>
      <c r="BD213" s="184" t="s">
        <v>2917</v>
      </c>
      <c r="BE213">
        <v>0</v>
      </c>
      <c r="BF213" s="232" t="s">
        <v>2846</v>
      </c>
      <c r="BG213" s="232" t="s">
        <v>2846</v>
      </c>
      <c r="BH213" s="253">
        <v>16.8</v>
      </c>
      <c r="BI213" s="253">
        <v>5.3351289754480469</v>
      </c>
      <c r="BJ213" s="25">
        <v>4.6008333333333331</v>
      </c>
      <c r="BK213" t="s">
        <v>381</v>
      </c>
      <c r="BL213">
        <v>0</v>
      </c>
      <c r="BM213" t="s">
        <v>377</v>
      </c>
      <c r="BN213" s="322">
        <v>21046.521218000002</v>
      </c>
      <c r="BO213" s="322">
        <v>5560.9529350000003</v>
      </c>
      <c r="BP213" s="10">
        <v>10793</v>
      </c>
      <c r="BQ213" s="254">
        <f t="shared" si="95"/>
        <v>1.9500158638006118</v>
      </c>
      <c r="BR213" s="254">
        <f t="shared" si="96"/>
        <v>0.51523699944408419</v>
      </c>
      <c r="BS213" s="25">
        <v>57.249814827043991</v>
      </c>
      <c r="BT213" s="25">
        <v>78.17400938880138</v>
      </c>
      <c r="BU213" s="25">
        <v>56.376839736933157</v>
      </c>
      <c r="BV213" s="25">
        <v>83.011945934771447</v>
      </c>
      <c r="BW213" s="25">
        <v>62.726969739043348</v>
      </c>
      <c r="BX213" s="25">
        <v>68.703152471887492</v>
      </c>
      <c r="BY213" s="25">
        <v>65.853650261667013</v>
      </c>
      <c r="BZ213">
        <v>59</v>
      </c>
      <c r="CA213">
        <v>0</v>
      </c>
      <c r="CB213">
        <v>7</v>
      </c>
      <c r="CC213">
        <v>10220.749075</v>
      </c>
      <c r="CD213" s="10">
        <v>5036.031097</v>
      </c>
      <c r="CE213" s="255">
        <v>0.49272622388491621</v>
      </c>
      <c r="CF213" t="str">
        <f>IFERROR(VLOOKUP(CE213,'Rangos amb etnico'!$A$2:$C$6,3,9),"N.D.")</f>
        <v>31% - 50%</v>
      </c>
      <c r="CG213" s="256">
        <v>1.4651712876303941E-4</v>
      </c>
      <c r="CH213" s="232">
        <v>0</v>
      </c>
      <c r="CI213" s="311">
        <f t="shared" si="103"/>
        <v>0</v>
      </c>
      <c r="CJ213" s="232">
        <f>IFERROR(VLOOKUP(CI213,'Rangos amb etnico'!$A$2:$C$6,3,9),"N.D.")</f>
        <v>0</v>
      </c>
      <c r="CK213" s="311">
        <f t="shared" si="104"/>
        <v>0</v>
      </c>
      <c r="CL213" s="10">
        <v>0</v>
      </c>
      <c r="CM213" s="255">
        <f t="shared" si="105"/>
        <v>0</v>
      </c>
      <c r="CN213" s="232">
        <f>IFERROR(VLOOKUP(CM213,'Rangos amb etnico'!$A$2:$C$6,3,9),"N.D.")</f>
        <v>0</v>
      </c>
      <c r="CO213" s="311">
        <f t="shared" si="106"/>
        <v>0</v>
      </c>
      <c r="CP213">
        <v>0.95731611691878027</v>
      </c>
      <c r="CQ213" t="s">
        <v>2864</v>
      </c>
      <c r="CR213">
        <f t="shared" si="97"/>
        <v>3</v>
      </c>
      <c r="CS213" t="str">
        <f t="shared" si="107"/>
        <v>Candidato</v>
      </c>
      <c r="CT213">
        <v>0</v>
      </c>
      <c r="CU213">
        <v>0</v>
      </c>
      <c r="CV213" s="25">
        <v>54.719699859619141</v>
      </c>
      <c r="CW213" s="25">
        <v>45.243602752685547</v>
      </c>
      <c r="CX213" s="25">
        <v>49.487781524658203</v>
      </c>
      <c r="CY213" s="25">
        <v>59.405868530273438</v>
      </c>
      <c r="CZ213" s="25">
        <v>65.002944946289063</v>
      </c>
      <c r="DA213" s="25">
        <v>53.333198547363281</v>
      </c>
      <c r="DB213" s="25">
        <v>55.844802856445313</v>
      </c>
      <c r="DC213">
        <v>56</v>
      </c>
      <c r="DD213" s="253" t="s">
        <v>380</v>
      </c>
    </row>
    <row r="214" spans="1:108" hidden="1">
      <c r="A214" s="13">
        <v>52480</v>
      </c>
      <c r="B214" s="13" t="s">
        <v>885</v>
      </c>
      <c r="C214" s="13" t="s">
        <v>672</v>
      </c>
      <c r="D214" s="13" t="s">
        <v>673</v>
      </c>
      <c r="E214" s="13" t="s">
        <v>673</v>
      </c>
      <c r="F214" s="14">
        <v>88.822966666666701</v>
      </c>
      <c r="G214" s="13">
        <v>85.56</v>
      </c>
      <c r="H214" s="13">
        <v>88.48</v>
      </c>
      <c r="I214" s="13">
        <v>85.48</v>
      </c>
      <c r="J214" s="14">
        <v>43.461159938094099</v>
      </c>
      <c r="K214" s="14">
        <v>62.326054497334383</v>
      </c>
      <c r="L214" s="14">
        <v>57.907496435238272</v>
      </c>
      <c r="M214" s="14">
        <v>79.986000000000004</v>
      </c>
      <c r="N214" s="14">
        <f t="shared" si="81"/>
        <v>87.085741666666678</v>
      </c>
      <c r="O214" s="14">
        <f t="shared" si="82"/>
        <v>60.920177717666689</v>
      </c>
      <c r="P214" s="14">
        <f t="shared" si="98"/>
        <v>74.002959692166684</v>
      </c>
      <c r="Q214" s="14">
        <v>45.960180457329493</v>
      </c>
      <c r="R214" s="17">
        <f t="shared" si="83"/>
        <v>54.039819542670507</v>
      </c>
      <c r="S214" s="14">
        <f t="shared" si="99"/>
        <v>0.58635837588403461</v>
      </c>
      <c r="T214" s="13">
        <v>0</v>
      </c>
      <c r="U214" s="13">
        <f t="shared" si="100"/>
        <v>43.392255255710538</v>
      </c>
      <c r="V214" s="13">
        <f>IF($T214=1,$AU214,(VLOOKUP(U214,'Cortes naturales'!$A$35:$C$39,3,9)))</f>
        <v>2</v>
      </c>
      <c r="W214" s="13">
        <v>2</v>
      </c>
      <c r="X214" s="14" t="b">
        <f t="shared" si="84"/>
        <v>1</v>
      </c>
      <c r="Y214" s="17">
        <f>IF($T214=1,$AU214,VLOOKUP(U214,'Cortes naturales'!$A$45:$C$49,3,9))</f>
        <v>2</v>
      </c>
      <c r="Z214" s="14">
        <v>72.1352553354983</v>
      </c>
      <c r="AA214" s="14">
        <v>0.59834134906959713</v>
      </c>
      <c r="AB214" s="14">
        <v>43.16150599292191</v>
      </c>
      <c r="AC214" s="13">
        <v>2</v>
      </c>
      <c r="AD214" s="13">
        <f t="shared" si="85"/>
        <v>0</v>
      </c>
      <c r="AE214" s="14">
        <f t="shared" si="86"/>
        <v>1.8677043566683835</v>
      </c>
      <c r="AF214" s="14">
        <f t="shared" si="87"/>
        <v>-1.1982973185562518E-2</v>
      </c>
      <c r="AG214" s="13">
        <f t="shared" si="88"/>
        <v>0.23074926278862762</v>
      </c>
      <c r="AH214" s="13">
        <f>IF($T214=1,$AU214,VLOOKUP(U214,'Cortes naturales'!$A$25:$C$29,3,9))</f>
        <v>2</v>
      </c>
      <c r="AI214" s="13" t="b">
        <f t="shared" si="89"/>
        <v>1</v>
      </c>
      <c r="AJ214" s="13">
        <f t="shared" si="90"/>
        <v>0</v>
      </c>
      <c r="AK214" s="28">
        <v>0.9741882058902549</v>
      </c>
      <c r="AL214" s="28">
        <v>70.273314976724521</v>
      </c>
      <c r="AM214" s="28">
        <v>0.70841908346067406</v>
      </c>
      <c r="AN214" s="13">
        <v>1</v>
      </c>
      <c r="AO214" s="33">
        <f t="shared" si="91"/>
        <v>-1</v>
      </c>
      <c r="AP214" s="13">
        <f t="shared" si="101"/>
        <v>70.841908346067413</v>
      </c>
      <c r="AQ214" s="13">
        <f>IFERROR(VLOOKUP(U214,'Cortes naturales'!$E$15:$G$19,3,9),U214)</f>
        <v>3</v>
      </c>
      <c r="AR214" s="28">
        <f t="shared" si="92"/>
        <v>-0.38782983000622029</v>
      </c>
      <c r="AS214" s="13" t="b">
        <f t="shared" si="93"/>
        <v>0</v>
      </c>
      <c r="AT214" s="13" t="str">
        <f t="shared" si="102"/>
        <v>Cambio en corte</v>
      </c>
      <c r="AU214" s="13">
        <v>1</v>
      </c>
      <c r="AV214">
        <f t="shared" si="94"/>
        <v>-1</v>
      </c>
      <c r="AW214" s="13">
        <v>0</v>
      </c>
      <c r="AX214" s="13">
        <v>0</v>
      </c>
      <c r="AY214" s="13">
        <v>0</v>
      </c>
      <c r="AZ214" s="13">
        <v>0</v>
      </c>
      <c r="BA214">
        <v>0</v>
      </c>
      <c r="BB214" t="s">
        <v>2838</v>
      </c>
      <c r="BC214">
        <v>6</v>
      </c>
      <c r="BD214" s="184" t="s">
        <v>2917</v>
      </c>
      <c r="BE214">
        <v>0</v>
      </c>
      <c r="BF214" s="232" t="s">
        <v>2846</v>
      </c>
      <c r="BG214" s="232" t="s">
        <v>2846</v>
      </c>
      <c r="BH214" s="253">
        <v>40.799999999999997</v>
      </c>
      <c r="BI214" s="253">
        <v>25.230846019465936</v>
      </c>
      <c r="BJ214" s="25">
        <v>6.5863962396239621</v>
      </c>
      <c r="BK214" t="s">
        <v>377</v>
      </c>
      <c r="BL214">
        <v>54.322274368123324</v>
      </c>
      <c r="BM214" t="s">
        <v>384</v>
      </c>
      <c r="BN214" s="322">
        <v>22193.398972999999</v>
      </c>
      <c r="BO214" s="322">
        <v>1615.471168</v>
      </c>
      <c r="BP214" s="10">
        <v>4530</v>
      </c>
      <c r="BQ214" s="254">
        <f t="shared" si="95"/>
        <v>4.8992050713024282</v>
      </c>
      <c r="BR214" s="254">
        <f t="shared" si="96"/>
        <v>0.35661615187637968</v>
      </c>
      <c r="BS214" s="25">
        <v>51.202492617682822</v>
      </c>
      <c r="BT214" s="25">
        <v>83.929358712288447</v>
      </c>
      <c r="BU214" s="25">
        <v>51.71</v>
      </c>
      <c r="BV214" s="25">
        <v>92.832642560734143</v>
      </c>
      <c r="BW214" s="25">
        <v>65.582284758021444</v>
      </c>
      <c r="BX214" s="25">
        <v>69.918623472676359</v>
      </c>
      <c r="BY214" s="25">
        <v>65.238744381402498</v>
      </c>
      <c r="BZ214">
        <v>80</v>
      </c>
      <c r="CA214">
        <v>0</v>
      </c>
      <c r="CB214">
        <v>7</v>
      </c>
      <c r="CC214">
        <v>2533.6198650000001</v>
      </c>
      <c r="CD214" s="10">
        <v>843.63076100000001</v>
      </c>
      <c r="CE214" s="255">
        <v>0.33297448155270126</v>
      </c>
      <c r="CF214" t="str">
        <f>IFERROR(VLOOKUP(CE214,'Rangos amb etnico'!$A$2:$C$6,3,9),"N.D.")</f>
        <v>31% - 50%</v>
      </c>
      <c r="CG214" s="256">
        <v>2.4544399043034328E-5</v>
      </c>
      <c r="CH214" s="232">
        <v>0</v>
      </c>
      <c r="CI214" s="311">
        <f t="shared" si="103"/>
        <v>0</v>
      </c>
      <c r="CJ214" s="232">
        <f>IFERROR(VLOOKUP(CI214,'Rangos amb etnico'!$A$2:$C$6,3,9),"N.D.")</f>
        <v>0</v>
      </c>
      <c r="CK214" s="311">
        <f t="shared" si="104"/>
        <v>0</v>
      </c>
      <c r="CL214" s="10">
        <v>0</v>
      </c>
      <c r="CM214" s="255">
        <f t="shared" si="105"/>
        <v>0</v>
      </c>
      <c r="CN214" s="232">
        <f>IFERROR(VLOOKUP(CM214,'Rangos amb etnico'!$A$2:$C$6,3,9),"N.D.")</f>
        <v>0</v>
      </c>
      <c r="CO214" s="311">
        <f t="shared" si="106"/>
        <v>0</v>
      </c>
      <c r="CP214">
        <v>0.98007487351229972</v>
      </c>
      <c r="CQ214" t="s">
        <v>2864</v>
      </c>
      <c r="CR214">
        <f t="shared" si="97"/>
        <v>4</v>
      </c>
      <c r="CS214" t="str">
        <f t="shared" si="107"/>
        <v>Candidato</v>
      </c>
      <c r="CT214">
        <v>0</v>
      </c>
      <c r="CU214">
        <v>0</v>
      </c>
      <c r="CV214" s="25">
        <v>60.966392517089837</v>
      </c>
      <c r="CW214" s="25">
        <v>35.211521148681641</v>
      </c>
      <c r="CX214" s="25">
        <v>54.2630615234375</v>
      </c>
      <c r="CY214" s="25">
        <v>69.146942138671875</v>
      </c>
      <c r="CZ214" s="25">
        <v>59.503738403320313</v>
      </c>
      <c r="DA214" s="25">
        <v>89.658157348632813</v>
      </c>
      <c r="DB214" s="25">
        <v>58.014923095703118</v>
      </c>
      <c r="DC214">
        <v>186</v>
      </c>
      <c r="DD214" s="253" t="s">
        <v>380</v>
      </c>
    </row>
    <row r="215" spans="1:108" hidden="1">
      <c r="A215" s="13">
        <v>8832</v>
      </c>
      <c r="B215" s="13" t="s">
        <v>886</v>
      </c>
      <c r="C215" s="13" t="s">
        <v>442</v>
      </c>
      <c r="D215" s="13" t="s">
        <v>443</v>
      </c>
      <c r="E215" s="13" t="s">
        <v>887</v>
      </c>
      <c r="F215" s="14">
        <v>72.168133333333301</v>
      </c>
      <c r="G215" s="13">
        <v>72.06</v>
      </c>
      <c r="H215" s="13">
        <v>77.47</v>
      </c>
      <c r="I215" s="13">
        <v>75.88</v>
      </c>
      <c r="J215" s="14">
        <v>65.822177615764446</v>
      </c>
      <c r="K215" s="14">
        <v>65.125136213547265</v>
      </c>
      <c r="L215" s="14">
        <v>62.646518417291801</v>
      </c>
      <c r="M215" s="14">
        <v>71.210999999999999</v>
      </c>
      <c r="N215" s="14">
        <f t="shared" si="81"/>
        <v>74.394533333333328</v>
      </c>
      <c r="O215" s="14">
        <f t="shared" si="82"/>
        <v>66.201208061650888</v>
      </c>
      <c r="P215" s="14">
        <f t="shared" si="98"/>
        <v>70.297870697492101</v>
      </c>
      <c r="Q215" s="14">
        <v>45.536141139144647</v>
      </c>
      <c r="R215" s="17">
        <f t="shared" si="83"/>
        <v>54.463858860855353</v>
      </c>
      <c r="S215" s="14">
        <f t="shared" si="99"/>
        <v>0.59017472974769813</v>
      </c>
      <c r="T215" s="13">
        <v>0</v>
      </c>
      <c r="U215" s="13">
        <f t="shared" si="100"/>
        <v>41.488026840731031</v>
      </c>
      <c r="V215" s="13">
        <f>IF($T215=1,$AU215,(VLOOKUP(U215,'Cortes naturales'!$A$35:$C$39,3,9)))</f>
        <v>2</v>
      </c>
      <c r="W215" s="13">
        <v>2</v>
      </c>
      <c r="X215" s="14" t="b">
        <f t="shared" si="84"/>
        <v>1</v>
      </c>
      <c r="Y215" s="17">
        <f>IF($T215=1,$AU215,VLOOKUP(U215,'Cortes naturales'!$A$45:$C$49,3,9))</f>
        <v>2</v>
      </c>
      <c r="Z215" s="14">
        <v>68.153778285803526</v>
      </c>
      <c r="AA215" s="14">
        <v>0.59825743576471058</v>
      </c>
      <c r="AB215" s="14">
        <v>40.773504634941432</v>
      </c>
      <c r="AC215" s="13">
        <v>2</v>
      </c>
      <c r="AD215" s="13">
        <f t="shared" si="85"/>
        <v>0</v>
      </c>
      <c r="AE215" s="14">
        <f t="shared" si="86"/>
        <v>2.1440924116885753</v>
      </c>
      <c r="AF215" s="14">
        <f t="shared" si="87"/>
        <v>-8.0827060170124421E-3</v>
      </c>
      <c r="AG215" s="13">
        <f t="shared" si="88"/>
        <v>0.71452220578959924</v>
      </c>
      <c r="AH215" s="13">
        <f>IF($T215=1,$AU215,VLOOKUP(U215,'Cortes naturales'!$A$25:$C$29,3,9))</f>
        <v>2</v>
      </c>
      <c r="AI215" s="13" t="b">
        <f t="shared" si="89"/>
        <v>1</v>
      </c>
      <c r="AJ215" s="13">
        <f t="shared" si="90"/>
        <v>0</v>
      </c>
      <c r="AK215" s="28">
        <v>0.9741882058902549</v>
      </c>
      <c r="AL215" s="28">
        <v>66.394606992889152</v>
      </c>
      <c r="AM215" s="28">
        <v>0.65990053512649083</v>
      </c>
      <c r="AN215" s="13">
        <v>1</v>
      </c>
      <c r="AO215" s="33">
        <f t="shared" si="91"/>
        <v>-1</v>
      </c>
      <c r="AP215" s="13">
        <f t="shared" si="101"/>
        <v>65.990053512649084</v>
      </c>
      <c r="AQ215" s="13">
        <f>IFERROR(VLOOKUP(U215,'Cortes naturales'!$E$15:$G$19,3,9),U215)</f>
        <v>3</v>
      </c>
      <c r="AR215" s="28">
        <f t="shared" si="92"/>
        <v>-0.38401347614255676</v>
      </c>
      <c r="AS215" s="13" t="b">
        <f t="shared" si="93"/>
        <v>0</v>
      </c>
      <c r="AT215" s="13" t="str">
        <f t="shared" si="102"/>
        <v>Cambio en corte</v>
      </c>
      <c r="AU215" s="13">
        <v>1</v>
      </c>
      <c r="AV215">
        <f t="shared" si="94"/>
        <v>-1</v>
      </c>
      <c r="AW215" s="13">
        <v>0</v>
      </c>
      <c r="AX215" s="13">
        <v>0</v>
      </c>
      <c r="AY215" s="13">
        <v>0</v>
      </c>
      <c r="AZ215" s="13">
        <v>0</v>
      </c>
      <c r="BA215">
        <v>0</v>
      </c>
      <c r="BB215" t="s">
        <v>2838</v>
      </c>
      <c r="BC215">
        <v>6</v>
      </c>
      <c r="BD215" s="184" t="s">
        <v>2917</v>
      </c>
      <c r="BE215">
        <v>1</v>
      </c>
      <c r="BF215" s="232" t="s">
        <v>2846</v>
      </c>
      <c r="BG215" s="232" t="s">
        <v>2846</v>
      </c>
      <c r="BH215" s="253">
        <v>32.799999999999997</v>
      </c>
      <c r="BI215" s="253">
        <v>16.13461236043403</v>
      </c>
      <c r="BJ215" s="25">
        <v>4.8285419947279475</v>
      </c>
      <c r="BK215" t="s">
        <v>381</v>
      </c>
      <c r="BL215">
        <v>0.95716759249894146</v>
      </c>
      <c r="BM215" t="s">
        <v>383</v>
      </c>
      <c r="BN215" s="322">
        <v>30073.65926</v>
      </c>
      <c r="BO215" s="322">
        <v>4168.0532370000001</v>
      </c>
      <c r="BP215" s="10">
        <v>20017</v>
      </c>
      <c r="BQ215" s="254">
        <f t="shared" si="95"/>
        <v>1.5024059179697258</v>
      </c>
      <c r="BR215" s="254">
        <f t="shared" si="96"/>
        <v>0.2082256700304741</v>
      </c>
      <c r="BS215" s="25">
        <v>44.802043550146927</v>
      </c>
      <c r="BT215" s="25">
        <v>83.562305373765625</v>
      </c>
      <c r="BU215" s="25">
        <v>53.403773384836768</v>
      </c>
      <c r="BV215" s="25">
        <v>94.72577974571891</v>
      </c>
      <c r="BW215" s="25">
        <v>59.836750713087987</v>
      </c>
      <c r="BX215" s="25">
        <v>69.123475513617052</v>
      </c>
      <c r="BY215" s="25">
        <v>60.767607514555387</v>
      </c>
      <c r="BZ215">
        <v>5</v>
      </c>
      <c r="CA215">
        <v>0</v>
      </c>
      <c r="CB215">
        <v>7</v>
      </c>
      <c r="CC215">
        <v>18300.111439</v>
      </c>
      <c r="CD215" s="10">
        <v>4256.216171</v>
      </c>
      <c r="CE215" s="255">
        <v>0.23257870233125633</v>
      </c>
      <c r="CF215" t="str">
        <f>IFERROR(VLOOKUP(CE215,'Rangos amb etnico'!$A$2:$C$6,3,9),"N.D.")</f>
        <v>0,1% - 30%</v>
      </c>
      <c r="CG215" s="256">
        <v>1.2382937292448922E-4</v>
      </c>
      <c r="CH215" s="232">
        <v>0</v>
      </c>
      <c r="CI215" s="311">
        <f t="shared" si="103"/>
        <v>0</v>
      </c>
      <c r="CJ215" s="232">
        <f>IFERROR(VLOOKUP(CI215,'Rangos amb etnico'!$A$2:$C$6,3,9),"N.D.")</f>
        <v>0</v>
      </c>
      <c r="CK215" s="311">
        <f t="shared" si="104"/>
        <v>0</v>
      </c>
      <c r="CL215" s="10">
        <v>0</v>
      </c>
      <c r="CM215" s="255">
        <f t="shared" si="105"/>
        <v>0</v>
      </c>
      <c r="CN215" s="232">
        <f>IFERROR(VLOOKUP(CM215,'Rangos amb etnico'!$A$2:$C$6,3,9),"N.D.")</f>
        <v>0</v>
      </c>
      <c r="CO215" s="311">
        <f t="shared" si="106"/>
        <v>0</v>
      </c>
      <c r="CP215">
        <v>0.94066146510283866</v>
      </c>
      <c r="CQ215" t="s">
        <v>2864</v>
      </c>
      <c r="CR215">
        <f t="shared" si="97"/>
        <v>4</v>
      </c>
      <c r="CS215" t="str">
        <f t="shared" si="107"/>
        <v>Candidato</v>
      </c>
      <c r="CT215">
        <v>0</v>
      </c>
      <c r="CU215">
        <v>0</v>
      </c>
      <c r="CV215" s="25">
        <v>58.013156890869141</v>
      </c>
      <c r="CW215" s="25">
        <v>35.478336334228523</v>
      </c>
      <c r="CX215" s="25">
        <v>59.267845153808587</v>
      </c>
      <c r="CY215" s="25">
        <v>60.347766876220703</v>
      </c>
      <c r="CZ215" s="25">
        <v>53.771934509277337</v>
      </c>
      <c r="DA215" s="25">
        <v>80.526817321777344</v>
      </c>
      <c r="DB215" s="25">
        <v>58.686233520507813</v>
      </c>
      <c r="DC215">
        <v>10702</v>
      </c>
      <c r="DD215" s="253" t="s">
        <v>380</v>
      </c>
    </row>
    <row r="216" spans="1:108" hidden="1">
      <c r="A216" s="13">
        <v>52210</v>
      </c>
      <c r="B216" s="13" t="s">
        <v>888</v>
      </c>
      <c r="C216" s="13" t="s">
        <v>672</v>
      </c>
      <c r="D216" s="13" t="s">
        <v>673</v>
      </c>
      <c r="E216" s="13" t="s">
        <v>889</v>
      </c>
      <c r="F216" s="14">
        <v>55.658633333333299</v>
      </c>
      <c r="G216" s="13">
        <v>43.78</v>
      </c>
      <c r="H216" s="13">
        <v>45.9</v>
      </c>
      <c r="I216" s="13">
        <v>54.85</v>
      </c>
      <c r="J216" s="14">
        <v>50.593623123255639</v>
      </c>
      <c r="K216" s="14">
        <v>53.101727081254694</v>
      </c>
      <c r="L216" s="14">
        <v>60.07508037161746</v>
      </c>
      <c r="M216" s="14">
        <v>58.772500000000001</v>
      </c>
      <c r="N216" s="14">
        <f t="shared" si="81"/>
        <v>50.047158333333321</v>
      </c>
      <c r="O216" s="14">
        <f t="shared" si="82"/>
        <v>55.635732644031954</v>
      </c>
      <c r="P216" s="14">
        <f t="shared" si="98"/>
        <v>52.841445488682638</v>
      </c>
      <c r="Q216" s="14">
        <v>46.066672857868703</v>
      </c>
      <c r="R216" s="17">
        <f t="shared" si="83"/>
        <v>53.933327142131297</v>
      </c>
      <c r="S216" s="14">
        <f t="shared" si="99"/>
        <v>0.58539994427918163</v>
      </c>
      <c r="T216" s="13">
        <v>0</v>
      </c>
      <c r="U216" s="13">
        <f t="shared" si="100"/>
        <v>30.933379244706231</v>
      </c>
      <c r="V216" s="13">
        <f>IF($T216=1,$AU216,(VLOOKUP(U216,'Cortes naturales'!$A$35:$C$39,3,9)))</f>
        <v>3</v>
      </c>
      <c r="W216" s="13">
        <v>3</v>
      </c>
      <c r="X216" s="14" t="b">
        <f t="shared" si="84"/>
        <v>1</v>
      </c>
      <c r="Y216" s="17">
        <f>IF($T216=1,$AU216,VLOOKUP(U216,'Cortes naturales'!$A$45:$C$49,3,9))</f>
        <v>3</v>
      </c>
      <c r="Z216" s="14">
        <v>52.406727933239004</v>
      </c>
      <c r="AA216" s="14">
        <v>0.59766035482171442</v>
      </c>
      <c r="AB216" s="14">
        <v>31.321423611624677</v>
      </c>
      <c r="AC216" s="13">
        <v>3</v>
      </c>
      <c r="AD216" s="13">
        <f t="shared" si="85"/>
        <v>0</v>
      </c>
      <c r="AE216" s="14">
        <f t="shared" si="86"/>
        <v>0.43471755544363333</v>
      </c>
      <c r="AF216" s="14">
        <f t="shared" si="87"/>
        <v>-1.2260410542532796E-2</v>
      </c>
      <c r="AG216" s="13">
        <f t="shared" si="88"/>
        <v>-0.38804436691844657</v>
      </c>
      <c r="AH216" s="13">
        <f>IF($T216=1,$AU216,VLOOKUP(U216,'Cortes naturales'!$A$25:$C$29,3,9))</f>
        <v>3</v>
      </c>
      <c r="AI216" s="13" t="b">
        <f t="shared" si="89"/>
        <v>1</v>
      </c>
      <c r="AJ216" s="13">
        <f t="shared" si="90"/>
        <v>0</v>
      </c>
      <c r="AK216" s="28">
        <v>0.9741882058902549</v>
      </c>
      <c r="AL216" s="28">
        <v>51.054016261860809</v>
      </c>
      <c r="AM216" s="28">
        <v>0.46800591558817367</v>
      </c>
      <c r="AN216" s="13">
        <v>3</v>
      </c>
      <c r="AO216" s="33">
        <f t="shared" si="91"/>
        <v>0</v>
      </c>
      <c r="AP216" s="13">
        <f t="shared" si="101"/>
        <v>46.800591558817366</v>
      </c>
      <c r="AQ216" s="13">
        <f>IFERROR(VLOOKUP(U216,'Cortes naturales'!$E$15:$G$19,3,9),U216)</f>
        <v>4</v>
      </c>
      <c r="AR216" s="28">
        <f t="shared" si="92"/>
        <v>-0.38878826161107327</v>
      </c>
      <c r="AS216" s="13" t="b">
        <f t="shared" si="93"/>
        <v>0</v>
      </c>
      <c r="AT216" s="13">
        <f t="shared" si="102"/>
        <v>0</v>
      </c>
      <c r="AU216" s="13">
        <v>2</v>
      </c>
      <c r="AV216">
        <f t="shared" si="94"/>
        <v>-1</v>
      </c>
      <c r="AW216" s="13">
        <v>0</v>
      </c>
      <c r="AX216" s="13">
        <v>0</v>
      </c>
      <c r="AY216" s="13">
        <v>0</v>
      </c>
      <c r="AZ216" s="13">
        <v>0</v>
      </c>
      <c r="BA216">
        <v>0</v>
      </c>
      <c r="BB216" t="s">
        <v>2839</v>
      </c>
      <c r="BC216">
        <v>6</v>
      </c>
      <c r="BD216" t="s">
        <v>2919</v>
      </c>
      <c r="BE216">
        <v>0</v>
      </c>
      <c r="BF216" s="232" t="s">
        <v>2846</v>
      </c>
      <c r="BG216" s="232" t="s">
        <v>2845</v>
      </c>
      <c r="BH216" s="253">
        <v>44</v>
      </c>
      <c r="BI216" s="253">
        <v>18.548512692726991</v>
      </c>
      <c r="BJ216" s="25">
        <v>41.591510835580806</v>
      </c>
      <c r="BK216" t="s">
        <v>376</v>
      </c>
      <c r="BL216">
        <v>0.17056333571505458</v>
      </c>
      <c r="BM216" t="s">
        <v>377</v>
      </c>
      <c r="BN216" s="322">
        <v>19648.817133</v>
      </c>
      <c r="BO216" s="322">
        <v>1673.0493369999999</v>
      </c>
      <c r="BP216" s="10">
        <v>7530</v>
      </c>
      <c r="BQ216" s="254">
        <f t="shared" si="95"/>
        <v>2.6094046657370518</v>
      </c>
      <c r="BR216" s="254">
        <f t="shared" si="96"/>
        <v>0.22218450690571048</v>
      </c>
      <c r="BS216" s="25">
        <v>49.722018117188391</v>
      </c>
      <c r="BT216" s="25">
        <v>84.677479601593632</v>
      </c>
      <c r="BU216" s="25">
        <v>58.47840848433767</v>
      </c>
      <c r="BV216" s="25">
        <v>95.992411818836175</v>
      </c>
      <c r="BW216" s="25">
        <v>62.88076582446935</v>
      </c>
      <c r="BX216" s="25">
        <v>72.21757950548897</v>
      </c>
      <c r="BY216" s="25">
        <v>63.616223622362718</v>
      </c>
      <c r="BZ216">
        <v>28</v>
      </c>
      <c r="CA216">
        <v>0</v>
      </c>
      <c r="CB216">
        <v>7</v>
      </c>
      <c r="CC216">
        <v>4325.3985869999997</v>
      </c>
      <c r="CD216" s="10">
        <v>360.07518199999998</v>
      </c>
      <c r="CE216" s="255">
        <v>8.3246705420907841E-2</v>
      </c>
      <c r="CF216" t="str">
        <f>IFERROR(VLOOKUP(CE216,'Rangos amb etnico'!$A$2:$C$6,3,9),"N.D.")</f>
        <v>0,1% - 30%</v>
      </c>
      <c r="CG216" s="256">
        <v>1.0475944407272758E-5</v>
      </c>
      <c r="CH216" s="232">
        <v>11.71861</v>
      </c>
      <c r="CI216" s="311">
        <f t="shared" si="103"/>
        <v>2.7092555204554611E-3</v>
      </c>
      <c r="CJ216" s="232" t="str">
        <f>IFERROR(VLOOKUP(CI216,'Rangos amb etnico'!$A$2:$C$6,3,9),"N.D.")</f>
        <v>0,1% - 30%</v>
      </c>
      <c r="CK216" s="311">
        <f t="shared" si="104"/>
        <v>4.6530554108905022E-7</v>
      </c>
      <c r="CL216" s="10">
        <v>0</v>
      </c>
      <c r="CM216" s="255">
        <f t="shared" si="105"/>
        <v>0</v>
      </c>
      <c r="CN216" s="232">
        <f>IFERROR(VLOOKUP(CM216,'Rangos amb etnico'!$A$2:$C$6,3,9),"N.D.")</f>
        <v>0</v>
      </c>
      <c r="CO216" s="311">
        <f t="shared" si="106"/>
        <v>0</v>
      </c>
      <c r="CP216">
        <v>0.89478929571664689</v>
      </c>
      <c r="CQ216" t="s">
        <v>2864</v>
      </c>
      <c r="CR216">
        <f t="shared" si="97"/>
        <v>2</v>
      </c>
      <c r="CS216" t="str">
        <f t="shared" si="107"/>
        <v>No es Candidato</v>
      </c>
      <c r="CT216">
        <v>0</v>
      </c>
      <c r="CU216">
        <v>0</v>
      </c>
      <c r="CV216" s="25">
        <v>55.850990295410163</v>
      </c>
      <c r="CW216" s="25">
        <v>28.625068664550781</v>
      </c>
      <c r="CX216" s="25">
        <v>50.922248840332031</v>
      </c>
      <c r="CY216" s="25">
        <v>62.582172393798828</v>
      </c>
      <c r="CZ216" s="25">
        <v>46.3143310546875</v>
      </c>
      <c r="DA216" s="25">
        <v>91.443374633789063</v>
      </c>
      <c r="DB216" s="25">
        <v>55.218746185302727</v>
      </c>
      <c r="DC216">
        <v>2891</v>
      </c>
      <c r="DD216" s="253" t="s">
        <v>380</v>
      </c>
    </row>
    <row r="217" spans="1:108" hidden="1">
      <c r="A217" s="13">
        <v>73443</v>
      </c>
      <c r="B217" s="13" t="s">
        <v>890</v>
      </c>
      <c r="C217" s="13" t="s">
        <v>595</v>
      </c>
      <c r="D217" s="13" t="s">
        <v>596</v>
      </c>
      <c r="E217" s="13" t="s">
        <v>891</v>
      </c>
      <c r="F217" s="14">
        <v>59.3588666666667</v>
      </c>
      <c r="G217" s="13">
        <v>75.040000000000006</v>
      </c>
      <c r="H217" s="13">
        <v>56.05</v>
      </c>
      <c r="I217" s="13">
        <v>54.84</v>
      </c>
      <c r="J217" s="14">
        <v>65.797217246942495</v>
      </c>
      <c r="K217" s="14">
        <v>65.265221694185584</v>
      </c>
      <c r="L217" s="14">
        <v>63.382975247653228</v>
      </c>
      <c r="M217" s="14">
        <v>55.443600000000004</v>
      </c>
      <c r="N217" s="14">
        <f t="shared" si="81"/>
        <v>61.322216666666684</v>
      </c>
      <c r="O217" s="14">
        <f t="shared" si="82"/>
        <v>62.472253547195329</v>
      </c>
      <c r="P217" s="14">
        <f t="shared" si="98"/>
        <v>61.897235106931006</v>
      </c>
      <c r="Q217" s="14">
        <v>46.396690691361734</v>
      </c>
      <c r="R217" s="17">
        <f t="shared" si="83"/>
        <v>53.603309308638266</v>
      </c>
      <c r="S217" s="14">
        <f t="shared" si="99"/>
        <v>0.58242978377774446</v>
      </c>
      <c r="T217" s="13">
        <v>0</v>
      </c>
      <c r="U217" s="13">
        <f t="shared" si="100"/>
        <v>36.050793259770039</v>
      </c>
      <c r="V217" s="13">
        <f>IF($T217=1,$AU217,(VLOOKUP(U217,'Cortes naturales'!$A$35:$C$39,3,9)))</f>
        <v>3</v>
      </c>
      <c r="W217" s="13">
        <v>3</v>
      </c>
      <c r="X217" s="14" t="b">
        <f t="shared" si="84"/>
        <v>1</v>
      </c>
      <c r="Y217" s="17">
        <f>IF($T217=1,$AU217,VLOOKUP(U217,'Cortes naturales'!$A$45:$C$49,3,9))</f>
        <v>2</v>
      </c>
      <c r="Z217" s="14">
        <v>62.499245613382463</v>
      </c>
      <c r="AA217" s="14">
        <v>0.59563244477931609</v>
      </c>
      <c r="AB217" s="14">
        <v>37.226578461561942</v>
      </c>
      <c r="AC217" s="13">
        <v>2</v>
      </c>
      <c r="AD217" s="13">
        <f t="shared" si="85"/>
        <v>0</v>
      </c>
      <c r="AE217" s="14">
        <f t="shared" si="86"/>
        <v>-0.60201050645145671</v>
      </c>
      <c r="AF217" s="14">
        <f t="shared" si="87"/>
        <v>-1.3202661001571636E-2</v>
      </c>
      <c r="AG217" s="13">
        <f t="shared" si="88"/>
        <v>-1.1757852017919035</v>
      </c>
      <c r="AH217" s="13">
        <f>IF($T217=1,$AU217,VLOOKUP(U217,'Cortes naturales'!$A$25:$C$29,3,9))</f>
        <v>2</v>
      </c>
      <c r="AI217" s="13" t="b">
        <f t="shared" si="89"/>
        <v>1</v>
      </c>
      <c r="AJ217" s="13">
        <f t="shared" si="90"/>
        <v>0</v>
      </c>
      <c r="AK217" s="28">
        <v>0.9741882058902549</v>
      </c>
      <c r="AL217" s="28">
        <v>60.886027953595445</v>
      </c>
      <c r="AM217" s="28">
        <v>0.59099401793455764</v>
      </c>
      <c r="AN217" s="13">
        <v>2</v>
      </c>
      <c r="AO217" s="33">
        <f t="shared" si="91"/>
        <v>0</v>
      </c>
      <c r="AP217" s="13">
        <f t="shared" si="101"/>
        <v>59.099401793455762</v>
      </c>
      <c r="AQ217" s="13">
        <f>IFERROR(VLOOKUP(U217,'Cortes naturales'!$E$15:$G$19,3,9),U217)</f>
        <v>3</v>
      </c>
      <c r="AR217" s="28">
        <f t="shared" si="92"/>
        <v>-0.39175842211251044</v>
      </c>
      <c r="AS217" s="13" t="b">
        <f t="shared" si="93"/>
        <v>0</v>
      </c>
      <c r="AT217" s="13">
        <f t="shared" si="102"/>
        <v>0</v>
      </c>
      <c r="AU217" s="13">
        <v>2</v>
      </c>
      <c r="AV217">
        <f t="shared" si="94"/>
        <v>0</v>
      </c>
      <c r="AW217" s="13">
        <v>0</v>
      </c>
      <c r="AX217" s="13">
        <v>0</v>
      </c>
      <c r="AY217" s="13">
        <v>0</v>
      </c>
      <c r="AZ217" s="13">
        <v>0</v>
      </c>
      <c r="BA217">
        <v>0</v>
      </c>
      <c r="BB217" t="s">
        <v>2839</v>
      </c>
      <c r="BC217">
        <v>6</v>
      </c>
      <c r="BD217" t="s">
        <v>2919</v>
      </c>
      <c r="BE217">
        <v>0</v>
      </c>
      <c r="BF217" s="232" t="s">
        <v>2846</v>
      </c>
      <c r="BG217" s="232" t="s">
        <v>2845</v>
      </c>
      <c r="BH217" s="253">
        <v>27.1</v>
      </c>
      <c r="BI217" s="253">
        <v>12.041397755683469</v>
      </c>
      <c r="BJ217" s="25">
        <v>23.519690229216209</v>
      </c>
      <c r="BK217" t="s">
        <v>379</v>
      </c>
      <c r="BL217">
        <v>4.7621716344826686</v>
      </c>
      <c r="BM217" t="s">
        <v>383</v>
      </c>
      <c r="BN217" s="322">
        <v>65325.739192000001</v>
      </c>
      <c r="BO217" s="322">
        <v>15514.674035</v>
      </c>
      <c r="BP217" s="10">
        <v>40114</v>
      </c>
      <c r="BQ217" s="254">
        <f t="shared" si="95"/>
        <v>1.6285022483920826</v>
      </c>
      <c r="BR217" s="254">
        <f t="shared" si="96"/>
        <v>0.38676457184524105</v>
      </c>
      <c r="BS217" s="25">
        <v>68.959004958466849</v>
      </c>
      <c r="BT217" s="25">
        <v>89.903015984278156</v>
      </c>
      <c r="BU217" s="25">
        <v>64.61333333333333</v>
      </c>
      <c r="BV217" s="25">
        <v>83.200760974612379</v>
      </c>
      <c r="BW217" s="25">
        <v>56.789089736749489</v>
      </c>
      <c r="BX217" s="25">
        <v>76.669028812672678</v>
      </c>
      <c r="BY217" s="25">
        <v>57.834763276998771</v>
      </c>
      <c r="BZ217">
        <v>89</v>
      </c>
      <c r="CA217">
        <v>0</v>
      </c>
      <c r="CB217">
        <v>6</v>
      </c>
      <c r="CC217">
        <v>29311.576115</v>
      </c>
      <c r="CD217" s="10">
        <v>4719.9710439999999</v>
      </c>
      <c r="CE217" s="255">
        <v>0.1610275416607361</v>
      </c>
      <c r="CF217" t="str">
        <f>IFERROR(VLOOKUP(CE217,'Rangos amb etnico'!$A$2:$C$6,3,9),"N.D.")</f>
        <v>0,1% - 30%</v>
      </c>
      <c r="CG217" s="256">
        <v>1.373217503806779E-4</v>
      </c>
      <c r="CH217" s="232">
        <v>0</v>
      </c>
      <c r="CI217" s="311">
        <f t="shared" si="103"/>
        <v>0</v>
      </c>
      <c r="CJ217" s="232">
        <f>IFERROR(VLOOKUP(CI217,'Rangos amb etnico'!$A$2:$C$6,3,9),"N.D.")</f>
        <v>0</v>
      </c>
      <c r="CK217" s="311">
        <f t="shared" si="104"/>
        <v>0</v>
      </c>
      <c r="CL217" s="10">
        <v>0</v>
      </c>
      <c r="CM217" s="255">
        <f t="shared" si="105"/>
        <v>0</v>
      </c>
      <c r="CN217" s="232">
        <f>IFERROR(VLOOKUP(CM217,'Rangos amb etnico'!$A$2:$C$6,3,9),"N.D.")</f>
        <v>0</v>
      </c>
      <c r="CO217" s="311">
        <f t="shared" si="106"/>
        <v>0</v>
      </c>
      <c r="CP217">
        <v>0.97131809393292512</v>
      </c>
      <c r="CQ217" t="s">
        <v>2864</v>
      </c>
      <c r="CR217">
        <f t="shared" si="97"/>
        <v>1</v>
      </c>
      <c r="CS217" t="str">
        <f t="shared" si="107"/>
        <v>No es Candidato</v>
      </c>
      <c r="CT217">
        <v>0</v>
      </c>
      <c r="CU217">
        <v>0</v>
      </c>
      <c r="CV217" s="25">
        <v>44.610183715820313</v>
      </c>
      <c r="CW217" s="25">
        <v>40.244781494140618</v>
      </c>
      <c r="CX217" s="25">
        <v>47.882503509521477</v>
      </c>
      <c r="CY217" s="25">
        <v>60.587760925292969</v>
      </c>
      <c r="CZ217" s="25">
        <v>50.706298828125</v>
      </c>
      <c r="DA217" s="25">
        <v>15.37640953063965</v>
      </c>
      <c r="DB217" s="25">
        <v>52.863353729248047</v>
      </c>
      <c r="DC217">
        <v>367</v>
      </c>
      <c r="DD217" s="253" t="s">
        <v>380</v>
      </c>
    </row>
    <row r="218" spans="1:108" hidden="1">
      <c r="A218" s="13">
        <v>20001</v>
      </c>
      <c r="B218" s="13" t="s">
        <v>892</v>
      </c>
      <c r="C218" s="13" t="s">
        <v>893</v>
      </c>
      <c r="D218" s="13" t="s">
        <v>894</v>
      </c>
      <c r="E218" s="13" t="s">
        <v>895</v>
      </c>
      <c r="F218" s="14">
        <v>55.495466666666701</v>
      </c>
      <c r="G218" s="13">
        <v>58.26</v>
      </c>
      <c r="H218" s="13">
        <v>71.97</v>
      </c>
      <c r="I218" s="13">
        <v>79.349999999999994</v>
      </c>
      <c r="J218" s="14">
        <v>62.591075821576915</v>
      </c>
      <c r="K218" s="14">
        <v>63.176481034710008</v>
      </c>
      <c r="L218" s="14">
        <v>61.098730407538191</v>
      </c>
      <c r="M218" s="14">
        <v>62.040700000000001</v>
      </c>
      <c r="N218" s="14">
        <f t="shared" si="81"/>
        <v>66.268866666666668</v>
      </c>
      <c r="O218" s="14">
        <f t="shared" si="82"/>
        <v>62.226746815956275</v>
      </c>
      <c r="P218" s="14">
        <f t="shared" si="98"/>
        <v>64.247806741311479</v>
      </c>
      <c r="Q218" s="14">
        <v>45.425359711528976</v>
      </c>
      <c r="R218" s="17">
        <f t="shared" si="83"/>
        <v>54.574640288471024</v>
      </c>
      <c r="S218" s="14">
        <f t="shared" si="99"/>
        <v>0.59117176259623916</v>
      </c>
      <c r="T218" s="13">
        <v>0</v>
      </c>
      <c r="U218" s="13">
        <f t="shared" si="100"/>
        <v>37.981489154203643</v>
      </c>
      <c r="V218" s="13">
        <f>IF($T218=1,$AU218,(VLOOKUP(U218,'Cortes naturales'!$A$35:$C$39,3,9)))</f>
        <v>3</v>
      </c>
      <c r="W218" s="13">
        <v>3</v>
      </c>
      <c r="X218" s="14" t="b">
        <f t="shared" si="84"/>
        <v>1</v>
      </c>
      <c r="Y218" s="17">
        <f>IF($T218=1,$AU218,VLOOKUP(U218,'Cortes naturales'!$A$45:$C$49,3,9))</f>
        <v>2</v>
      </c>
      <c r="Z218" s="14">
        <v>59.12774833461549</v>
      </c>
      <c r="AA218" s="14">
        <v>0.59724487204384835</v>
      </c>
      <c r="AB218" s="14">
        <v>35.313744488348298</v>
      </c>
      <c r="AC218" s="13">
        <v>2</v>
      </c>
      <c r="AD218" s="13">
        <f t="shared" si="85"/>
        <v>0</v>
      </c>
      <c r="AE218" s="14">
        <f t="shared" si="86"/>
        <v>5.1200584066959891</v>
      </c>
      <c r="AF218" s="14">
        <f t="shared" si="87"/>
        <v>-6.0731094476091929E-3</v>
      </c>
      <c r="AG218" s="13">
        <f t="shared" si="88"/>
        <v>2.667744665855345</v>
      </c>
      <c r="AH218" s="13">
        <f>IF($T218=1,$AU218,VLOOKUP(U218,'Cortes naturales'!$A$25:$C$29,3,9))</f>
        <v>2</v>
      </c>
      <c r="AI218" s="13" t="b">
        <f t="shared" si="89"/>
        <v>1</v>
      </c>
      <c r="AJ218" s="13">
        <f t="shared" si="90"/>
        <v>0</v>
      </c>
      <c r="AK218" s="28">
        <v>0.9741882058902549</v>
      </c>
      <c r="AL218" s="28">
        <v>57.601555068429569</v>
      </c>
      <c r="AM218" s="28">
        <v>0.54990872430189364</v>
      </c>
      <c r="AN218" s="13">
        <v>2</v>
      </c>
      <c r="AO218" s="33">
        <f t="shared" si="91"/>
        <v>0</v>
      </c>
      <c r="AP218" s="13">
        <f t="shared" si="101"/>
        <v>54.990872430189363</v>
      </c>
      <c r="AQ218" s="13">
        <f>IFERROR(VLOOKUP(U218,'Cortes naturales'!$E$15:$G$19,3,9),U218)</f>
        <v>3</v>
      </c>
      <c r="AR218" s="28">
        <f t="shared" si="92"/>
        <v>-0.38301644329401574</v>
      </c>
      <c r="AS218" s="13" t="b">
        <f t="shared" si="93"/>
        <v>0</v>
      </c>
      <c r="AT218" s="13">
        <f t="shared" si="102"/>
        <v>0</v>
      </c>
      <c r="AU218" s="13">
        <v>2</v>
      </c>
      <c r="AV218">
        <f t="shared" si="94"/>
        <v>0</v>
      </c>
      <c r="AW218" s="13">
        <v>1</v>
      </c>
      <c r="AX218" s="13">
        <v>0</v>
      </c>
      <c r="AY218" s="13">
        <v>0</v>
      </c>
      <c r="AZ218" s="13">
        <v>1</v>
      </c>
      <c r="BA218">
        <v>0</v>
      </c>
      <c r="BB218" t="s">
        <v>2838</v>
      </c>
      <c r="BC218">
        <v>1</v>
      </c>
      <c r="BD218" t="s">
        <v>2920</v>
      </c>
      <c r="BE218">
        <v>1</v>
      </c>
      <c r="BF218" s="232" t="s">
        <v>2845</v>
      </c>
      <c r="BG218" s="232" t="s">
        <v>2845</v>
      </c>
      <c r="BH218" s="253">
        <v>30.5</v>
      </c>
      <c r="BI218" s="253">
        <v>17.826291162243546</v>
      </c>
      <c r="BJ218" s="25">
        <v>2.3975862068965519</v>
      </c>
      <c r="BK218" t="s">
        <v>381</v>
      </c>
      <c r="BL218">
        <v>2.4447927804955869</v>
      </c>
      <c r="BM218" t="s">
        <v>383</v>
      </c>
      <c r="BN218" s="322">
        <v>1250280.6125169999</v>
      </c>
      <c r="BO218" s="322">
        <v>247851.93818299999</v>
      </c>
      <c r="BP218" s="10">
        <v>601259</v>
      </c>
      <c r="BQ218" s="254">
        <f t="shared" si="95"/>
        <v>2.0794376674893846</v>
      </c>
      <c r="BR218" s="254">
        <f t="shared" si="96"/>
        <v>0.41222158534508424</v>
      </c>
      <c r="BS218" s="25">
        <v>65.09110040678398</v>
      </c>
      <c r="BT218" s="25">
        <v>93.024434209661663</v>
      </c>
      <c r="BU218" s="25">
        <v>37.149087704151377</v>
      </c>
      <c r="BV218" s="25">
        <v>81.545319266295905</v>
      </c>
      <c r="BW218" s="25">
        <v>56.315909141748449</v>
      </c>
      <c r="BX218" s="25">
        <v>69.202485396723233</v>
      </c>
      <c r="BY218" s="25">
        <v>57.630065526554468</v>
      </c>
      <c r="BZ218">
        <v>47</v>
      </c>
      <c r="CA218">
        <v>1</v>
      </c>
      <c r="CB218">
        <v>3</v>
      </c>
      <c r="CC218">
        <v>418184.48237300001</v>
      </c>
      <c r="CD218" s="10">
        <v>129817.693876</v>
      </c>
      <c r="CE218" s="255">
        <v>0.31043163806400881</v>
      </c>
      <c r="CF218" t="str">
        <f>IFERROR(VLOOKUP(CE218,'Rangos amb etnico'!$A$2:$C$6,3,9),"N.D.")</f>
        <v>31% - 50%</v>
      </c>
      <c r="CG218" s="256">
        <v>3.7768860840993184E-3</v>
      </c>
      <c r="CH218" s="232">
        <v>102587.83641800001</v>
      </c>
      <c r="CI218" s="311">
        <f t="shared" si="103"/>
        <v>0.24531717637120906</v>
      </c>
      <c r="CJ218" s="232" t="str">
        <f>IFERROR(VLOOKUP(CI218,'Rangos amb etnico'!$A$2:$C$6,3,9),"N.D.")</f>
        <v>0,1% - 30%</v>
      </c>
      <c r="CK218" s="311">
        <f t="shared" si="104"/>
        <v>4.0734087689267302E-3</v>
      </c>
      <c r="CL218" s="10">
        <v>0</v>
      </c>
      <c r="CM218" s="255">
        <f t="shared" si="105"/>
        <v>0</v>
      </c>
      <c r="CN218" s="232">
        <f>IFERROR(VLOOKUP(CM218,'Rangos amb etnico'!$A$2:$C$6,3,9),"N.D.")</f>
        <v>0</v>
      </c>
      <c r="CO218" s="311">
        <f t="shared" si="106"/>
        <v>0</v>
      </c>
      <c r="CP218">
        <v>0.89503745270558221</v>
      </c>
      <c r="CQ218" t="s">
        <v>2864</v>
      </c>
      <c r="CR218">
        <f t="shared" si="97"/>
        <v>3</v>
      </c>
      <c r="CS218" t="str">
        <f t="shared" si="107"/>
        <v>Candidato</v>
      </c>
      <c r="CT218">
        <v>1</v>
      </c>
      <c r="CU218" t="s">
        <v>2835</v>
      </c>
      <c r="CV218" s="25">
        <v>50.65325927734375</v>
      </c>
      <c r="CW218" s="25">
        <v>52.753398895263672</v>
      </c>
      <c r="CX218" s="25">
        <v>47.256996154785163</v>
      </c>
      <c r="CY218" s="25">
        <v>70.048370361328125</v>
      </c>
      <c r="CZ218" s="25">
        <v>42.937355041503913</v>
      </c>
      <c r="DA218" s="25">
        <v>35.143428802490227</v>
      </c>
      <c r="DB218" s="25">
        <v>55.780021667480469</v>
      </c>
      <c r="DC218">
        <v>83459</v>
      </c>
      <c r="DD218" s="253">
        <v>4.6432989108320557</v>
      </c>
    </row>
    <row r="219" spans="1:108" hidden="1">
      <c r="A219" s="13">
        <v>73283</v>
      </c>
      <c r="B219" s="13" t="s">
        <v>896</v>
      </c>
      <c r="C219" s="13" t="s">
        <v>595</v>
      </c>
      <c r="D219" s="13" t="s">
        <v>596</v>
      </c>
      <c r="E219" s="13" t="s">
        <v>897</v>
      </c>
      <c r="F219" s="14">
        <v>54.4782333333333</v>
      </c>
      <c r="G219" s="13">
        <v>60.95</v>
      </c>
      <c r="H219" s="13">
        <v>41.19</v>
      </c>
      <c r="I219" s="13">
        <v>52.4</v>
      </c>
      <c r="J219" s="14">
        <v>55.442011589757094</v>
      </c>
      <c r="K219" s="14">
        <v>55.908267233328289</v>
      </c>
      <c r="L219" s="14">
        <v>56.146884105996328</v>
      </c>
      <c r="M219" s="14">
        <v>50.424700000000001</v>
      </c>
      <c r="N219" s="14">
        <f t="shared" si="81"/>
        <v>52.254558333333328</v>
      </c>
      <c r="O219" s="14">
        <f t="shared" si="82"/>
        <v>54.480465732270424</v>
      </c>
      <c r="P219" s="14">
        <f t="shared" si="98"/>
        <v>53.367512032801876</v>
      </c>
      <c r="Q219" s="14">
        <v>46.600582571850254</v>
      </c>
      <c r="R219" s="17">
        <f t="shared" si="83"/>
        <v>53.399417428149746</v>
      </c>
      <c r="S219" s="14">
        <f t="shared" si="99"/>
        <v>0.58059475685334772</v>
      </c>
      <c r="T219" s="13">
        <v>0</v>
      </c>
      <c r="U219" s="13">
        <f t="shared" si="100"/>
        <v>30.984897672552712</v>
      </c>
      <c r="V219" s="13">
        <f>IF($T219=1,$AU219,(VLOOKUP(U219,'Cortes naturales'!$A$35:$C$39,3,9)))</f>
        <v>3</v>
      </c>
      <c r="W219" s="13">
        <v>3</v>
      </c>
      <c r="X219" s="14" t="b">
        <f t="shared" si="84"/>
        <v>1</v>
      </c>
      <c r="Y219" s="17">
        <f>IF($T219=1,$AU219,VLOOKUP(U219,'Cortes naturales'!$A$45:$C$49,3,9))</f>
        <v>3</v>
      </c>
      <c r="Z219" s="14">
        <v>51.783426153217107</v>
      </c>
      <c r="AA219" s="14">
        <v>0.59833607679188616</v>
      </c>
      <c r="AB219" s="14">
        <v>30.983892047358278</v>
      </c>
      <c r="AC219" s="13">
        <v>3</v>
      </c>
      <c r="AD219" s="13">
        <f t="shared" si="85"/>
        <v>0</v>
      </c>
      <c r="AE219" s="14">
        <f t="shared" si="86"/>
        <v>1.5840858795847694</v>
      </c>
      <c r="AF219" s="14">
        <f t="shared" si="87"/>
        <v>-1.7741319938538447E-2</v>
      </c>
      <c r="AG219" s="13">
        <f t="shared" si="88"/>
        <v>1.0056251944341454E-3</v>
      </c>
      <c r="AH219" s="13">
        <f>IF($T219=1,$AU219,VLOOKUP(U219,'Cortes naturales'!$A$25:$C$29,3,9))</f>
        <v>3</v>
      </c>
      <c r="AI219" s="13" t="b">
        <f t="shared" si="89"/>
        <v>1</v>
      </c>
      <c r="AJ219" s="13">
        <f t="shared" si="90"/>
        <v>0</v>
      </c>
      <c r="AK219" s="28">
        <v>0.9741882058902549</v>
      </c>
      <c r="AL219" s="28">
        <v>50.446803019053078</v>
      </c>
      <c r="AM219" s="28">
        <v>0.4604103179837386</v>
      </c>
      <c r="AN219" s="13">
        <v>3</v>
      </c>
      <c r="AO219" s="33">
        <f t="shared" si="91"/>
        <v>0</v>
      </c>
      <c r="AP219" s="13">
        <f t="shared" si="101"/>
        <v>46.041031798373858</v>
      </c>
      <c r="AQ219" s="13">
        <f>IFERROR(VLOOKUP(U219,'Cortes naturales'!$E$15:$G$19,3,9),U219)</f>
        <v>4</v>
      </c>
      <c r="AR219" s="28">
        <f t="shared" si="92"/>
        <v>-0.39359344903690718</v>
      </c>
      <c r="AS219" s="13" t="b">
        <f t="shared" si="93"/>
        <v>0</v>
      </c>
      <c r="AT219" s="13">
        <f t="shared" si="102"/>
        <v>0</v>
      </c>
      <c r="AU219" s="13">
        <v>3</v>
      </c>
      <c r="AV219">
        <f t="shared" si="94"/>
        <v>0</v>
      </c>
      <c r="AW219" s="13">
        <v>0</v>
      </c>
      <c r="AX219" s="13">
        <v>0</v>
      </c>
      <c r="AY219" s="13">
        <v>0</v>
      </c>
      <c r="AZ219" s="13">
        <v>0</v>
      </c>
      <c r="BA219">
        <v>0</v>
      </c>
      <c r="BB219" t="s">
        <v>2839</v>
      </c>
      <c r="BC219">
        <v>6</v>
      </c>
      <c r="BD219" t="s">
        <v>2919</v>
      </c>
      <c r="BE219">
        <v>0</v>
      </c>
      <c r="BF219" s="232" t="s">
        <v>2846</v>
      </c>
      <c r="BG219" s="232" t="s">
        <v>2846</v>
      </c>
      <c r="BH219" s="253">
        <v>33.6</v>
      </c>
      <c r="BI219" s="253">
        <v>11.777175423964415</v>
      </c>
      <c r="BJ219" s="25">
        <v>45.521193429711381</v>
      </c>
      <c r="BK219" t="s">
        <v>376</v>
      </c>
      <c r="BL219">
        <v>10.367990596016604</v>
      </c>
      <c r="BM219" t="s">
        <v>379</v>
      </c>
      <c r="BN219" s="322">
        <v>56712.963298000002</v>
      </c>
      <c r="BO219" s="322">
        <v>7250.8851400000003</v>
      </c>
      <c r="BP219" s="10">
        <v>31821</v>
      </c>
      <c r="BQ219" s="254">
        <f t="shared" si="95"/>
        <v>1.7822495615474059</v>
      </c>
      <c r="BR219" s="254">
        <f t="shared" si="96"/>
        <v>0.2278647792338393</v>
      </c>
      <c r="BS219" s="25">
        <v>71.299669083045373</v>
      </c>
      <c r="BT219" s="25">
        <v>94.505350415300043</v>
      </c>
      <c r="BU219" s="25">
        <v>49.79</v>
      </c>
      <c r="BV219" s="25">
        <v>87.863200840292222</v>
      </c>
      <c r="BW219" s="25">
        <v>48.99928563524648</v>
      </c>
      <c r="BX219" s="25">
        <v>75.864555084659401</v>
      </c>
      <c r="BY219" s="25">
        <v>49.671370309556302</v>
      </c>
      <c r="BZ219">
        <v>89</v>
      </c>
      <c r="CA219">
        <v>0</v>
      </c>
      <c r="CB219">
        <v>6</v>
      </c>
      <c r="CC219">
        <v>21955.672682</v>
      </c>
      <c r="CD219" s="10">
        <v>4961.2564080000002</v>
      </c>
      <c r="CE219" s="255">
        <v>0.22596695076746182</v>
      </c>
      <c r="CF219" t="str">
        <f>IFERROR(VLOOKUP(CE219,'Rangos amb etnico'!$A$2:$C$6,3,9),"N.D.")</f>
        <v>0,1% - 30%</v>
      </c>
      <c r="CG219" s="256">
        <v>1.4434165118448441E-4</v>
      </c>
      <c r="CH219" s="232">
        <v>0</v>
      </c>
      <c r="CI219" s="311">
        <f t="shared" si="103"/>
        <v>0</v>
      </c>
      <c r="CJ219" s="232">
        <f>IFERROR(VLOOKUP(CI219,'Rangos amb etnico'!$A$2:$C$6,3,9),"N.D.")</f>
        <v>0</v>
      </c>
      <c r="CK219" s="311">
        <f t="shared" si="104"/>
        <v>0</v>
      </c>
      <c r="CL219" s="10">
        <v>0</v>
      </c>
      <c r="CM219" s="255">
        <f t="shared" si="105"/>
        <v>0</v>
      </c>
      <c r="CN219" s="232">
        <f>IFERROR(VLOOKUP(CM219,'Rangos amb etnico'!$A$2:$C$6,3,9),"N.D.")</f>
        <v>0</v>
      </c>
      <c r="CO219" s="311">
        <f t="shared" si="106"/>
        <v>0</v>
      </c>
      <c r="CP219">
        <v>0.94595359128213219</v>
      </c>
      <c r="CQ219" t="s">
        <v>2864</v>
      </c>
      <c r="CR219">
        <f t="shared" si="97"/>
        <v>1</v>
      </c>
      <c r="CS219" t="str">
        <f t="shared" si="107"/>
        <v>No es Candidato</v>
      </c>
      <c r="CT219">
        <v>0</v>
      </c>
      <c r="CU219">
        <v>0</v>
      </c>
      <c r="CV219" s="25">
        <v>41.814567565917969</v>
      </c>
      <c r="CW219" s="25">
        <v>35.660015106201172</v>
      </c>
      <c r="CX219" s="25">
        <v>45.370639801025391</v>
      </c>
      <c r="CY219" s="25">
        <v>62.239940643310547</v>
      </c>
      <c r="CZ219" s="25">
        <v>32.951717376708977</v>
      </c>
      <c r="DA219" s="25">
        <v>38.746982574462891</v>
      </c>
      <c r="DB219" s="25">
        <v>35.918106079101563</v>
      </c>
      <c r="DC219">
        <v>232</v>
      </c>
      <c r="DD219" s="253" t="s">
        <v>380</v>
      </c>
    </row>
    <row r="220" spans="1:108" hidden="1">
      <c r="A220" s="13">
        <v>66318</v>
      </c>
      <c r="B220" s="13" t="s">
        <v>898</v>
      </c>
      <c r="C220" s="13" t="s">
        <v>467</v>
      </c>
      <c r="D220" s="13" t="s">
        <v>468</v>
      </c>
      <c r="E220" s="13" t="s">
        <v>899</v>
      </c>
      <c r="F220" s="14">
        <v>88.166899999999998</v>
      </c>
      <c r="G220" s="13">
        <v>66.17</v>
      </c>
      <c r="H220" s="13">
        <v>51.35</v>
      </c>
      <c r="I220" s="13">
        <v>60.43</v>
      </c>
      <c r="J220" s="14">
        <v>47.264732797760395</v>
      </c>
      <c r="K220" s="14">
        <v>49.411599493335586</v>
      </c>
      <c r="L220" s="14">
        <v>52.448390510132114</v>
      </c>
      <c r="M220" s="14">
        <v>56.206899999999997</v>
      </c>
      <c r="N220" s="14">
        <f t="shared" si="81"/>
        <v>66.529224999999997</v>
      </c>
      <c r="O220" s="14">
        <f t="shared" si="82"/>
        <v>51.332905700307016</v>
      </c>
      <c r="P220" s="14">
        <f t="shared" si="98"/>
        <v>58.931065350153503</v>
      </c>
      <c r="Q220" s="14">
        <v>46.200828831852846</v>
      </c>
      <c r="R220" s="17">
        <f t="shared" si="83"/>
        <v>53.799171168147154</v>
      </c>
      <c r="S220" s="14">
        <f t="shared" si="99"/>
        <v>0.58419254051332437</v>
      </c>
      <c r="T220" s="13">
        <v>0</v>
      </c>
      <c r="U220" s="13">
        <f t="shared" si="100"/>
        <v>34.427088782062917</v>
      </c>
      <c r="V220" s="13">
        <f>IF($T220=1,$AU220,(VLOOKUP(U220,'Cortes naturales'!$A$35:$C$39,3,9)))</f>
        <v>3</v>
      </c>
      <c r="W220" s="13">
        <v>3</v>
      </c>
      <c r="X220" s="14" t="b">
        <f t="shared" si="84"/>
        <v>1</v>
      </c>
      <c r="Y220" s="17">
        <f>IF($T220=1,$AU220,VLOOKUP(U220,'Cortes naturales'!$A$45:$C$49,3,9))</f>
        <v>3</v>
      </c>
      <c r="Z220" s="14">
        <v>62.879014889960644</v>
      </c>
      <c r="AA220" s="14">
        <v>0.59693922453208759</v>
      </c>
      <c r="AB220" s="14">
        <v>37.534950387754698</v>
      </c>
      <c r="AC220" s="13">
        <v>2</v>
      </c>
      <c r="AD220" s="13">
        <f t="shared" si="85"/>
        <v>-1</v>
      </c>
      <c r="AE220" s="14">
        <f t="shared" si="86"/>
        <v>-3.9479495398071407</v>
      </c>
      <c r="AF220" s="14">
        <f t="shared" si="87"/>
        <v>-1.2746684018763221E-2</v>
      </c>
      <c r="AG220" s="13">
        <f t="shared" si="88"/>
        <v>-3.1078616056917809</v>
      </c>
      <c r="AH220" s="13">
        <f>IF($T220=1,$AU220,VLOOKUP(U220,'Cortes naturales'!$A$25:$C$29,3,9))</f>
        <v>3</v>
      </c>
      <c r="AI220" s="13" t="b">
        <f t="shared" si="89"/>
        <v>1</v>
      </c>
      <c r="AJ220" s="13" t="str">
        <f t="shared" si="90"/>
        <v>Efecto ponderador</v>
      </c>
      <c r="AK220" s="28">
        <v>0.9741882058902549</v>
      </c>
      <c r="AL220" s="28">
        <v>61.255994703797384</v>
      </c>
      <c r="AM220" s="28">
        <v>0.59562191199786996</v>
      </c>
      <c r="AN220" s="13">
        <v>2</v>
      </c>
      <c r="AO220" s="33">
        <f t="shared" si="91"/>
        <v>-1</v>
      </c>
      <c r="AP220" s="13">
        <f t="shared" si="101"/>
        <v>59.562191199786994</v>
      </c>
      <c r="AQ220" s="13">
        <f>IFERROR(VLOOKUP(U220,'Cortes naturales'!$E$15:$G$19,3,9),U220)</f>
        <v>4</v>
      </c>
      <c r="AR220" s="28">
        <f t="shared" si="92"/>
        <v>-0.38999566537693053</v>
      </c>
      <c r="AS220" s="13" t="b">
        <f t="shared" si="93"/>
        <v>0</v>
      </c>
      <c r="AT220" s="13" t="str">
        <f t="shared" si="102"/>
        <v>Cambio en corte</v>
      </c>
      <c r="AU220" s="13">
        <v>2</v>
      </c>
      <c r="AV220">
        <f t="shared" si="94"/>
        <v>-1</v>
      </c>
      <c r="AW220" s="13">
        <v>0</v>
      </c>
      <c r="AX220" s="13">
        <v>0</v>
      </c>
      <c r="AY220" s="13">
        <v>0</v>
      </c>
      <c r="AZ220" s="13">
        <v>0</v>
      </c>
      <c r="BA220">
        <v>0</v>
      </c>
      <c r="BB220" t="s">
        <v>2839</v>
      </c>
      <c r="BC220">
        <v>6</v>
      </c>
      <c r="BD220" t="s">
        <v>2919</v>
      </c>
      <c r="BE220">
        <v>1</v>
      </c>
      <c r="BF220" s="232" t="s">
        <v>2846</v>
      </c>
      <c r="BG220" s="232" t="s">
        <v>2846</v>
      </c>
      <c r="BH220" s="253">
        <v>36.5</v>
      </c>
      <c r="BI220" s="253">
        <v>10.958666203542897</v>
      </c>
      <c r="BJ220" s="25">
        <v>43.322732542554618</v>
      </c>
      <c r="BK220" t="s">
        <v>376</v>
      </c>
      <c r="BL220">
        <v>4.4589952670117422E-2</v>
      </c>
      <c r="BM220" t="s">
        <v>377</v>
      </c>
      <c r="BN220" s="322">
        <v>25053.128589</v>
      </c>
      <c r="BO220" s="322">
        <v>2626.8239520000002</v>
      </c>
      <c r="BP220" s="10">
        <v>12548</v>
      </c>
      <c r="BQ220" s="254">
        <f t="shared" si="95"/>
        <v>1.996583406837743</v>
      </c>
      <c r="BR220" s="254">
        <f t="shared" si="96"/>
        <v>0.20934204271597068</v>
      </c>
      <c r="BS220" s="25">
        <v>61.357324122614287</v>
      </c>
      <c r="BT220" s="25">
        <v>94.556535251301668</v>
      </c>
      <c r="BU220" s="25">
        <v>52.299558599695573</v>
      </c>
      <c r="BV220" s="25">
        <v>95.038325938644334</v>
      </c>
      <c r="BW220" s="25">
        <v>52.499189760345359</v>
      </c>
      <c r="BX220" s="25">
        <v>75.812935978063962</v>
      </c>
      <c r="BY220" s="25">
        <v>52.776616227580668</v>
      </c>
      <c r="BZ220">
        <v>31</v>
      </c>
      <c r="CA220">
        <v>0</v>
      </c>
      <c r="CB220">
        <v>7</v>
      </c>
      <c r="CC220">
        <v>10080.899643000001</v>
      </c>
      <c r="CD220" s="10">
        <v>2219.1803770000001</v>
      </c>
      <c r="CE220" s="255">
        <v>0.22013713612762328</v>
      </c>
      <c r="CF220" t="str">
        <f>IFERROR(VLOOKUP(CE220,'Rangos amb etnico'!$A$2:$C$6,3,9),"N.D.")</f>
        <v>0,1% - 30%</v>
      </c>
      <c r="CG220" s="256">
        <v>6.4564322734030039E-5</v>
      </c>
      <c r="CH220" s="232">
        <v>22.406237999999998</v>
      </c>
      <c r="CI220" s="311">
        <f t="shared" si="103"/>
        <v>2.2226426999061035E-3</v>
      </c>
      <c r="CJ220" s="232" t="str">
        <f>IFERROR(VLOOKUP(CI220,'Rangos amb etnico'!$A$2:$C$6,3,9),"N.D.")</f>
        <v>0,1% - 30%</v>
      </c>
      <c r="CK220" s="311">
        <f t="shared" si="104"/>
        <v>8.8967434673225219E-7</v>
      </c>
      <c r="CL220" s="10">
        <v>0</v>
      </c>
      <c r="CM220" s="255">
        <f t="shared" si="105"/>
        <v>0</v>
      </c>
      <c r="CN220" s="232">
        <f>IFERROR(VLOOKUP(CM220,'Rangos amb etnico'!$A$2:$C$6,3,9),"N.D.")</f>
        <v>0</v>
      </c>
      <c r="CO220" s="311">
        <f t="shared" si="106"/>
        <v>0</v>
      </c>
      <c r="CP220">
        <v>0.9507835764712298</v>
      </c>
      <c r="CQ220" t="s">
        <v>2864</v>
      </c>
      <c r="CR220">
        <f t="shared" si="97"/>
        <v>2</v>
      </c>
      <c r="CS220" t="str">
        <f t="shared" si="107"/>
        <v>No es Candidato</v>
      </c>
      <c r="CT220">
        <v>0</v>
      </c>
      <c r="CU220">
        <v>0</v>
      </c>
      <c r="CV220" s="25">
        <v>53.884265899658203</v>
      </c>
      <c r="CW220" s="25">
        <v>27.321609497070309</v>
      </c>
      <c r="CX220" s="25">
        <v>56.746364593505859</v>
      </c>
      <c r="CY220" s="25">
        <v>57.928600311279297</v>
      </c>
      <c r="CZ220" s="25">
        <v>51.074367523193359</v>
      </c>
      <c r="DA220" s="25">
        <v>83.444793701171875</v>
      </c>
      <c r="DB220" s="25">
        <v>46.789859771728523</v>
      </c>
      <c r="DC220">
        <v>2062</v>
      </c>
      <c r="DD220" s="253" t="s">
        <v>380</v>
      </c>
    </row>
    <row r="221" spans="1:108" hidden="1">
      <c r="A221" s="13">
        <v>20011</v>
      </c>
      <c r="B221" s="13" t="s">
        <v>900</v>
      </c>
      <c r="C221" s="13" t="s">
        <v>893</v>
      </c>
      <c r="D221" s="13" t="s">
        <v>894</v>
      </c>
      <c r="E221" s="13" t="s">
        <v>901</v>
      </c>
      <c r="F221" s="14">
        <v>49.656933333333299</v>
      </c>
      <c r="G221" s="13">
        <v>51.48</v>
      </c>
      <c r="H221" s="13">
        <v>47.26</v>
      </c>
      <c r="I221" s="13">
        <v>55.75</v>
      </c>
      <c r="J221" s="14">
        <v>51.369086559018001</v>
      </c>
      <c r="K221" s="14">
        <v>54.390044133205372</v>
      </c>
      <c r="L221" s="14">
        <v>53.57273719853066</v>
      </c>
      <c r="M221" s="14">
        <v>52.223599999999998</v>
      </c>
      <c r="N221" s="14">
        <f t="shared" si="81"/>
        <v>51.036733333333324</v>
      </c>
      <c r="O221" s="14">
        <f t="shared" si="82"/>
        <v>52.888866972688511</v>
      </c>
      <c r="P221" s="14">
        <f t="shared" si="98"/>
        <v>51.962800153010917</v>
      </c>
      <c r="Q221" s="14">
        <v>45.769725078741786</v>
      </c>
      <c r="R221" s="17">
        <f t="shared" si="83"/>
        <v>54.230274921258214</v>
      </c>
      <c r="S221" s="14">
        <f t="shared" si="99"/>
        <v>0.58807247429132392</v>
      </c>
      <c r="T221" s="13">
        <v>0</v>
      </c>
      <c r="U221" s="13">
        <f t="shared" si="100"/>
        <v>30.557892457086716</v>
      </c>
      <c r="V221" s="13">
        <f>IF($T221=1,$AU221,(VLOOKUP(U221,'Cortes naturales'!$A$35:$C$39,3,9)))</f>
        <v>3</v>
      </c>
      <c r="W221" s="13">
        <v>3</v>
      </c>
      <c r="X221" s="14" t="b">
        <f t="shared" si="84"/>
        <v>1</v>
      </c>
      <c r="Y221" s="17">
        <f>IF($T221=1,$AU221,VLOOKUP(U221,'Cortes naturales'!$A$45:$C$49,3,9))</f>
        <v>3</v>
      </c>
      <c r="Z221" s="14">
        <v>50.856801181721977</v>
      </c>
      <c r="AA221" s="14">
        <v>0.59615144601506043</v>
      </c>
      <c r="AB221" s="14">
        <v>30.318355564183989</v>
      </c>
      <c r="AC221" s="13">
        <v>3</v>
      </c>
      <c r="AD221" s="13">
        <f t="shared" si="85"/>
        <v>0</v>
      </c>
      <c r="AE221" s="14">
        <f t="shared" si="86"/>
        <v>1.1059989712889404</v>
      </c>
      <c r="AF221" s="14">
        <f t="shared" si="87"/>
        <v>-8.0789717237365055E-3</v>
      </c>
      <c r="AG221" s="13">
        <f t="shared" si="88"/>
        <v>0.23953689290272706</v>
      </c>
      <c r="AH221" s="13">
        <f>IF($T221=1,$AU221,VLOOKUP(U221,'Cortes naturales'!$A$25:$C$29,3,9))</f>
        <v>3</v>
      </c>
      <c r="AI221" s="13" t="b">
        <f t="shared" si="89"/>
        <v>1</v>
      </c>
      <c r="AJ221" s="13">
        <f t="shared" si="90"/>
        <v>0</v>
      </c>
      <c r="AK221" s="28">
        <v>0.9741882058902549</v>
      </c>
      <c r="AL221" s="28">
        <v>49.544095900539126</v>
      </c>
      <c r="AM221" s="28">
        <v>0.44911840347412352</v>
      </c>
      <c r="AN221" s="13">
        <v>3</v>
      </c>
      <c r="AO221" s="33">
        <f t="shared" si="91"/>
        <v>0</v>
      </c>
      <c r="AP221" s="13">
        <f t="shared" si="101"/>
        <v>44.911840347412351</v>
      </c>
      <c r="AQ221" s="13">
        <f>IFERROR(VLOOKUP(U221,'Cortes naturales'!$E$15:$G$19,3,9),U221)</f>
        <v>4</v>
      </c>
      <c r="AR221" s="28">
        <f t="shared" si="92"/>
        <v>-0.38611573159893098</v>
      </c>
      <c r="AS221" s="13" t="b">
        <f t="shared" si="93"/>
        <v>0</v>
      </c>
      <c r="AT221" s="13">
        <f t="shared" si="102"/>
        <v>0</v>
      </c>
      <c r="AU221" s="13">
        <v>2</v>
      </c>
      <c r="AV221">
        <f t="shared" si="94"/>
        <v>-1</v>
      </c>
      <c r="AW221" s="13">
        <v>0</v>
      </c>
      <c r="AX221" s="13">
        <v>1</v>
      </c>
      <c r="AY221" s="13">
        <v>0</v>
      </c>
      <c r="AZ221" s="13">
        <v>0</v>
      </c>
      <c r="BA221">
        <v>1</v>
      </c>
      <c r="BB221" t="s">
        <v>2838</v>
      </c>
      <c r="BC221">
        <v>4</v>
      </c>
      <c r="BD221" t="s">
        <v>2919</v>
      </c>
      <c r="BE221">
        <v>0</v>
      </c>
      <c r="BF221" s="232" t="s">
        <v>2846</v>
      </c>
      <c r="BG221" s="232" t="s">
        <v>2845</v>
      </c>
      <c r="BH221" s="253">
        <v>37</v>
      </c>
      <c r="BI221" s="253">
        <v>18.794741909825429</v>
      </c>
      <c r="BJ221" s="25">
        <v>1.487907759225187</v>
      </c>
      <c r="BK221" t="s">
        <v>381</v>
      </c>
      <c r="BL221">
        <v>2.9417835399439984</v>
      </c>
      <c r="BM221" t="s">
        <v>383</v>
      </c>
      <c r="BN221" s="322">
        <v>172829.13546200001</v>
      </c>
      <c r="BO221" s="322">
        <v>32194.157779000001</v>
      </c>
      <c r="BP221" s="10">
        <v>132237</v>
      </c>
      <c r="BQ221" s="254">
        <f t="shared" si="95"/>
        <v>1.3069650359732905</v>
      </c>
      <c r="BR221" s="254">
        <f t="shared" si="96"/>
        <v>0.24345801688634799</v>
      </c>
      <c r="BS221" s="25">
        <v>62.667531979562703</v>
      </c>
      <c r="BT221" s="25">
        <v>93.574069518547716</v>
      </c>
      <c r="BU221" s="25">
        <v>54.615396941005073</v>
      </c>
      <c r="BV221" s="25">
        <v>87.879534376242404</v>
      </c>
      <c r="BW221" s="25">
        <v>46.648326488903187</v>
      </c>
      <c r="BX221" s="25">
        <v>74.684133203839465</v>
      </c>
      <c r="BY221" s="25">
        <v>47.748176873269841</v>
      </c>
      <c r="BZ221">
        <v>8</v>
      </c>
      <c r="CA221">
        <v>1</v>
      </c>
      <c r="CB221">
        <v>5</v>
      </c>
      <c r="CC221">
        <v>87631.769069000002</v>
      </c>
      <c r="CD221" s="10">
        <v>6621.0733019999998</v>
      </c>
      <c r="CE221" s="255">
        <v>7.5555627512057424E-2</v>
      </c>
      <c r="CF221" t="str">
        <f>IFERROR(VLOOKUP(CE221,'Rangos amb etnico'!$A$2:$C$6,3,9),"N.D.")</f>
        <v>0,1% - 30%</v>
      </c>
      <c r="CG221" s="256">
        <v>1.9263198158497321E-4</v>
      </c>
      <c r="CH221" s="232">
        <v>0</v>
      </c>
      <c r="CI221" s="311">
        <f t="shared" si="103"/>
        <v>0</v>
      </c>
      <c r="CJ221" s="232">
        <f>IFERROR(VLOOKUP(CI221,'Rangos amb etnico'!$A$2:$C$6,3,9),"N.D.")</f>
        <v>0</v>
      </c>
      <c r="CK221" s="311">
        <f t="shared" si="104"/>
        <v>0</v>
      </c>
      <c r="CL221" s="10">
        <v>0</v>
      </c>
      <c r="CM221" s="255">
        <f t="shared" si="105"/>
        <v>0</v>
      </c>
      <c r="CN221" s="232">
        <f>IFERROR(VLOOKUP(CM221,'Rangos amb etnico'!$A$2:$C$6,3,9),"N.D.")</f>
        <v>0</v>
      </c>
      <c r="CO221" s="311">
        <f t="shared" si="106"/>
        <v>0</v>
      </c>
      <c r="CP221">
        <v>0.83586343155895126</v>
      </c>
      <c r="CQ221" t="s">
        <v>2865</v>
      </c>
      <c r="CR221">
        <f t="shared" si="97"/>
        <v>1</v>
      </c>
      <c r="CS221" t="str">
        <f t="shared" si="107"/>
        <v>No es Candidato</v>
      </c>
      <c r="CT221">
        <v>1</v>
      </c>
      <c r="CU221" t="s">
        <v>2835</v>
      </c>
      <c r="CV221" s="25">
        <v>48.430667877197273</v>
      </c>
      <c r="CW221" s="25">
        <v>50.886734008789063</v>
      </c>
      <c r="CX221" s="25">
        <v>51.447578430175781</v>
      </c>
      <c r="CY221" s="25">
        <v>76.650238037109375</v>
      </c>
      <c r="CZ221" s="25">
        <v>41.0377197265625</v>
      </c>
      <c r="DA221" s="25">
        <v>18.193315505981449</v>
      </c>
      <c r="DB221" s="25">
        <v>52.368415832519531</v>
      </c>
      <c r="DC221">
        <v>3398</v>
      </c>
      <c r="DD221" s="253" t="s">
        <v>380</v>
      </c>
    </row>
    <row r="222" spans="1:108" hidden="1">
      <c r="A222" s="13">
        <v>76306</v>
      </c>
      <c r="B222" s="13" t="s">
        <v>902</v>
      </c>
      <c r="C222" s="13" t="s">
        <v>454</v>
      </c>
      <c r="D222" s="13" t="s">
        <v>455</v>
      </c>
      <c r="E222" s="13" t="s">
        <v>903</v>
      </c>
      <c r="F222" s="14">
        <v>53.476300000000002</v>
      </c>
      <c r="G222" s="13">
        <v>44.69</v>
      </c>
      <c r="H222" s="13">
        <v>45.11</v>
      </c>
      <c r="I222" s="13">
        <v>38.92</v>
      </c>
      <c r="J222" s="14">
        <v>63.585469460940402</v>
      </c>
      <c r="K222" s="14">
        <v>62.690568335947063</v>
      </c>
      <c r="L222" s="14">
        <v>59.765483555479875</v>
      </c>
      <c r="M222" s="14">
        <v>57.168399999999998</v>
      </c>
      <c r="N222" s="14">
        <f t="shared" si="81"/>
        <v>45.549075000000002</v>
      </c>
      <c r="O222" s="14">
        <f t="shared" si="82"/>
        <v>60.802480338091833</v>
      </c>
      <c r="P222" s="14">
        <f t="shared" si="98"/>
        <v>53.175777669045914</v>
      </c>
      <c r="Q222" s="14">
        <v>46.649264298762958</v>
      </c>
      <c r="R222" s="17">
        <f t="shared" si="83"/>
        <v>53.350735701237042</v>
      </c>
      <c r="S222" s="14">
        <f t="shared" si="99"/>
        <v>0.58015662131113332</v>
      </c>
      <c r="T222" s="13">
        <v>0</v>
      </c>
      <c r="U222" s="13">
        <f t="shared" si="100"/>
        <v>30.85027950806569</v>
      </c>
      <c r="V222" s="13">
        <f>IF($T222=1,$AU222,(VLOOKUP(U222,'Cortes naturales'!$A$35:$C$39,3,9)))</f>
        <v>3</v>
      </c>
      <c r="W222" s="13">
        <v>3</v>
      </c>
      <c r="X222" s="14" t="b">
        <f t="shared" si="84"/>
        <v>1</v>
      </c>
      <c r="Y222" s="17">
        <f>IF($T222=1,$AU222,VLOOKUP(U222,'Cortes naturales'!$A$45:$C$49,3,9))</f>
        <v>3</v>
      </c>
      <c r="Z222" s="14">
        <v>55.203292398746207</v>
      </c>
      <c r="AA222" s="14">
        <v>0.59685285421996559</v>
      </c>
      <c r="AB222" s="14">
        <v>32.948242630531006</v>
      </c>
      <c r="AC222" s="13">
        <v>3</v>
      </c>
      <c r="AD222" s="13">
        <f t="shared" si="85"/>
        <v>0</v>
      </c>
      <c r="AE222" s="14">
        <f t="shared" si="86"/>
        <v>-2.0275147297002931</v>
      </c>
      <c r="AF222" s="14">
        <f t="shared" si="87"/>
        <v>-1.6696232908832265E-2</v>
      </c>
      <c r="AG222" s="13">
        <f t="shared" si="88"/>
        <v>-2.0979631224653161</v>
      </c>
      <c r="AH222" s="13">
        <f>IF($T222=1,$AU222,VLOOKUP(U222,'Cortes naturales'!$A$25:$C$29,3,9))</f>
        <v>3</v>
      </c>
      <c r="AI222" s="13" t="b">
        <f t="shared" si="89"/>
        <v>1</v>
      </c>
      <c r="AJ222" s="13">
        <f t="shared" si="90"/>
        <v>0</v>
      </c>
      <c r="AK222" s="28">
        <v>0.9741882058902549</v>
      </c>
      <c r="AL222" s="28">
        <v>53.778396381169713</v>
      </c>
      <c r="AM222" s="28">
        <v>0.5020850391133922</v>
      </c>
      <c r="AN222" s="13">
        <v>2</v>
      </c>
      <c r="AO222" s="33">
        <f t="shared" si="91"/>
        <v>-1</v>
      </c>
      <c r="AP222" s="13">
        <f t="shared" si="101"/>
        <v>50.208503911339221</v>
      </c>
      <c r="AQ222" s="13">
        <f>IFERROR(VLOOKUP(U222,'Cortes naturales'!$E$15:$G$19,3,9),U222)</f>
        <v>4</v>
      </c>
      <c r="AR222" s="28">
        <f t="shared" si="92"/>
        <v>-0.39403158457912157</v>
      </c>
      <c r="AS222" s="13" t="b">
        <f t="shared" si="93"/>
        <v>0</v>
      </c>
      <c r="AT222" s="13" t="str">
        <f t="shared" si="102"/>
        <v>Cambio en corte</v>
      </c>
      <c r="AU222" s="13">
        <v>2</v>
      </c>
      <c r="AV222">
        <f t="shared" si="94"/>
        <v>-1</v>
      </c>
      <c r="AW222" s="13">
        <v>0</v>
      </c>
      <c r="AX222" s="13">
        <v>0</v>
      </c>
      <c r="AY222" s="13">
        <v>0</v>
      </c>
      <c r="AZ222" s="13">
        <v>0</v>
      </c>
      <c r="BA222">
        <v>0</v>
      </c>
      <c r="BB222" t="s">
        <v>2839</v>
      </c>
      <c r="BC222">
        <v>6</v>
      </c>
      <c r="BD222" t="s">
        <v>2919</v>
      </c>
      <c r="BE222">
        <v>0</v>
      </c>
      <c r="BF222" s="232" t="s">
        <v>2846</v>
      </c>
      <c r="BG222" s="232" t="s">
        <v>2846</v>
      </c>
      <c r="BH222" s="253">
        <v>14.7</v>
      </c>
      <c r="BI222" s="253">
        <v>5.9822747415066466</v>
      </c>
      <c r="BJ222" s="25">
        <v>26.204415788809122</v>
      </c>
      <c r="BK222" t="s">
        <v>379</v>
      </c>
      <c r="BL222">
        <v>7.4080804514546887</v>
      </c>
      <c r="BM222" t="s">
        <v>379</v>
      </c>
      <c r="BN222" s="322">
        <v>28251.852741999999</v>
      </c>
      <c r="BO222" s="322">
        <v>9289.1203860000005</v>
      </c>
      <c r="BP222" s="10">
        <v>24240</v>
      </c>
      <c r="BQ222" s="254">
        <f t="shared" si="95"/>
        <v>1.1655054761551156</v>
      </c>
      <c r="BR222" s="254">
        <f t="shared" si="96"/>
        <v>0.38321453737623762</v>
      </c>
      <c r="BS222" s="25">
        <v>57.195097114266069</v>
      </c>
      <c r="BT222" s="25">
        <v>93.657937986798686</v>
      </c>
      <c r="BU222" s="25">
        <v>59.7434270205963</v>
      </c>
      <c r="BV222" s="25">
        <v>92.437962042488152</v>
      </c>
      <c r="BW222" s="25">
        <v>55.447877606241072</v>
      </c>
      <c r="BX222" s="25">
        <v>75.758606041037297</v>
      </c>
      <c r="BY222" s="25">
        <v>56.229269864182221</v>
      </c>
      <c r="BZ222">
        <v>85</v>
      </c>
      <c r="CA222">
        <v>0</v>
      </c>
      <c r="CB222">
        <v>6</v>
      </c>
      <c r="CC222">
        <v>26876.749552000001</v>
      </c>
      <c r="CD222" s="10">
        <v>19102.323214</v>
      </c>
      <c r="CE222" s="255">
        <v>0.71073785083429197</v>
      </c>
      <c r="CF222" t="str">
        <f>IFERROR(VLOOKUP(CE222,'Rangos amb etnico'!$A$2:$C$6,3,9),"N.D.")</f>
        <v>71% - 100%</v>
      </c>
      <c r="CG222" s="256">
        <v>5.557585916588383E-4</v>
      </c>
      <c r="CH222" s="232">
        <v>66.413163999999995</v>
      </c>
      <c r="CI222" s="311">
        <f t="shared" si="103"/>
        <v>2.4710266348059169E-3</v>
      </c>
      <c r="CJ222" s="232" t="str">
        <f>IFERROR(VLOOKUP(CI222,'Rangos amb etnico'!$A$2:$C$6,3,9),"N.D.")</f>
        <v>0,1% - 30%</v>
      </c>
      <c r="CK222" s="311">
        <f t="shared" si="104"/>
        <v>2.6370374310994076E-6</v>
      </c>
      <c r="CL222" s="10">
        <v>0</v>
      </c>
      <c r="CM222" s="255">
        <f t="shared" si="105"/>
        <v>0</v>
      </c>
      <c r="CN222" s="232">
        <f>IFERROR(VLOOKUP(CM222,'Rangos amb etnico'!$A$2:$C$6,3,9),"N.D.")</f>
        <v>0</v>
      </c>
      <c r="CO222" s="311">
        <f t="shared" si="106"/>
        <v>0</v>
      </c>
      <c r="CP222">
        <v>0.94810759742704576</v>
      </c>
      <c r="CQ222" t="s">
        <v>2864</v>
      </c>
      <c r="CR222">
        <f t="shared" si="97"/>
        <v>1</v>
      </c>
      <c r="CS222" t="str">
        <f t="shared" si="107"/>
        <v>No es Candidato</v>
      </c>
      <c r="CT222">
        <v>0</v>
      </c>
      <c r="CU222">
        <v>0</v>
      </c>
      <c r="CV222" s="25">
        <v>53.376361846923828</v>
      </c>
      <c r="CW222" s="25">
        <v>40.830356597900391</v>
      </c>
      <c r="CX222" s="25">
        <v>56.555194854736328</v>
      </c>
      <c r="CY222" s="25">
        <v>67.875419616699219</v>
      </c>
      <c r="CZ222" s="25">
        <v>56.783031463623047</v>
      </c>
      <c r="DA222" s="25">
        <v>32.899692535400391</v>
      </c>
      <c r="DB222" s="25">
        <v>65.314491271972656</v>
      </c>
      <c r="DC222">
        <v>872</v>
      </c>
      <c r="DD222" s="253" t="s">
        <v>380</v>
      </c>
    </row>
    <row r="223" spans="1:108" hidden="1">
      <c r="A223" s="13">
        <v>70473</v>
      </c>
      <c r="B223" s="13" t="s">
        <v>904</v>
      </c>
      <c r="C223" s="13" t="s">
        <v>494</v>
      </c>
      <c r="D223" s="13" t="s">
        <v>495</v>
      </c>
      <c r="E223" s="13" t="s">
        <v>905</v>
      </c>
      <c r="F223" s="14">
        <v>39.5276</v>
      </c>
      <c r="G223" s="13">
        <v>41.91</v>
      </c>
      <c r="H223" s="13">
        <v>41.01</v>
      </c>
      <c r="I223" s="13">
        <v>58.38</v>
      </c>
      <c r="J223" s="14">
        <v>53.576354194858631</v>
      </c>
      <c r="K223" s="14">
        <v>55.747977861559406</v>
      </c>
      <c r="L223" s="14">
        <v>60.510269834570877</v>
      </c>
      <c r="M223" s="14">
        <v>53.816000000000003</v>
      </c>
      <c r="N223" s="14">
        <f t="shared" si="81"/>
        <v>45.206899999999997</v>
      </c>
      <c r="O223" s="14">
        <f t="shared" si="82"/>
        <v>55.912650472747224</v>
      </c>
      <c r="P223" s="14">
        <f t="shared" si="98"/>
        <v>50.559775236373611</v>
      </c>
      <c r="Q223" s="14">
        <v>45.875860038723495</v>
      </c>
      <c r="R223" s="17">
        <f t="shared" si="83"/>
        <v>54.124139961276505</v>
      </c>
      <c r="S223" s="14">
        <f t="shared" si="99"/>
        <v>0.58711725965148853</v>
      </c>
      <c r="T223" s="13">
        <v>0</v>
      </c>
      <c r="U223" s="13">
        <f t="shared" si="100"/>
        <v>29.684516685374867</v>
      </c>
      <c r="V223" s="13">
        <f>IF($T223=1,$AU223,(VLOOKUP(U223,'Cortes naturales'!$A$35:$C$39,3,9)))</f>
        <v>3</v>
      </c>
      <c r="W223" s="13">
        <v>3</v>
      </c>
      <c r="X223" s="14" t="b">
        <f t="shared" si="84"/>
        <v>1</v>
      </c>
      <c r="Y223" s="17">
        <f>IF($T223=1,$AU223,VLOOKUP(U223,'Cortes naturales'!$A$45:$C$49,3,9))</f>
        <v>3</v>
      </c>
      <c r="Z223" s="14">
        <v>48.388583995512278</v>
      </c>
      <c r="AA223" s="14">
        <v>0.59532065097468978</v>
      </c>
      <c r="AB223" s="14">
        <v>28.806723323951825</v>
      </c>
      <c r="AC223" s="13">
        <v>3</v>
      </c>
      <c r="AD223" s="13">
        <f t="shared" si="85"/>
        <v>0</v>
      </c>
      <c r="AE223" s="14">
        <f t="shared" si="86"/>
        <v>2.171191240861333</v>
      </c>
      <c r="AF223" s="14">
        <f t="shared" si="87"/>
        <v>-8.2033913232012479E-3</v>
      </c>
      <c r="AG223" s="13">
        <f t="shared" si="88"/>
        <v>0.87779336142304132</v>
      </c>
      <c r="AH223" s="13">
        <f>IF($T223=1,$AU223,VLOOKUP(U223,'Cortes naturales'!$A$25:$C$29,3,9))</f>
        <v>3</v>
      </c>
      <c r="AI223" s="13" t="b">
        <f t="shared" si="89"/>
        <v>1</v>
      </c>
      <c r="AJ223" s="13">
        <f t="shared" si="90"/>
        <v>0</v>
      </c>
      <c r="AK223" s="28">
        <v>0.9741882058902549</v>
      </c>
      <c r="AL223" s="28">
        <v>47.139587828158007</v>
      </c>
      <c r="AM223" s="28">
        <v>0.41904054207905217</v>
      </c>
      <c r="AN223" s="13">
        <v>3</v>
      </c>
      <c r="AO223" s="33">
        <f t="shared" si="91"/>
        <v>0</v>
      </c>
      <c r="AP223" s="13">
        <f t="shared" si="101"/>
        <v>41.904054207905219</v>
      </c>
      <c r="AQ223" s="13">
        <f>IFERROR(VLOOKUP(U223,'Cortes naturales'!$E$15:$G$19,3,9),U223)</f>
        <v>4</v>
      </c>
      <c r="AR223" s="28">
        <f t="shared" si="92"/>
        <v>-0.38707094623876637</v>
      </c>
      <c r="AS223" s="13" t="b">
        <f t="shared" si="93"/>
        <v>0</v>
      </c>
      <c r="AT223" s="13">
        <f t="shared" si="102"/>
        <v>0</v>
      </c>
      <c r="AU223" s="13">
        <v>3</v>
      </c>
      <c r="AV223">
        <f t="shared" si="94"/>
        <v>0</v>
      </c>
      <c r="AW223" s="13">
        <v>0</v>
      </c>
      <c r="AX223" s="13">
        <v>0</v>
      </c>
      <c r="AY223" s="13">
        <v>0</v>
      </c>
      <c r="AZ223" s="13">
        <v>1</v>
      </c>
      <c r="BA223">
        <v>1</v>
      </c>
      <c r="BB223" t="s">
        <v>2839</v>
      </c>
      <c r="BC223">
        <v>6</v>
      </c>
      <c r="BD223" t="s">
        <v>2919</v>
      </c>
      <c r="BE223">
        <v>0</v>
      </c>
      <c r="BF223" s="232" t="s">
        <v>2846</v>
      </c>
      <c r="BG223" s="232" t="s">
        <v>2845</v>
      </c>
      <c r="BH223" s="253">
        <v>42.8</v>
      </c>
      <c r="BI223" s="253">
        <v>28.514436405436474</v>
      </c>
      <c r="BJ223" s="25">
        <v>32.991803278688522</v>
      </c>
      <c r="BK223" t="s">
        <v>379</v>
      </c>
      <c r="BL223">
        <v>14.807123416822176</v>
      </c>
      <c r="BM223" t="s">
        <v>376</v>
      </c>
      <c r="BN223" s="322">
        <v>42219.642671000001</v>
      </c>
      <c r="BO223" s="322">
        <v>2378.5529670000001</v>
      </c>
      <c r="BP223" s="10">
        <v>17030</v>
      </c>
      <c r="BQ223" s="254">
        <f t="shared" si="95"/>
        <v>2.4791334510275984</v>
      </c>
      <c r="BR223" s="254">
        <f t="shared" si="96"/>
        <v>0.13966840675278919</v>
      </c>
      <c r="BS223" s="25">
        <v>57.417136899229362</v>
      </c>
      <c r="BT223" s="25">
        <v>97.245839125073417</v>
      </c>
      <c r="BU223" s="25">
        <v>37.963876420060927</v>
      </c>
      <c r="BV223" s="25">
        <v>91.91054141483967</v>
      </c>
      <c r="BW223" s="25">
        <v>32.348311719457527</v>
      </c>
      <c r="BX223" s="25">
        <v>71.134348464800837</v>
      </c>
      <c r="BY223" s="25">
        <v>33.120923295812659</v>
      </c>
      <c r="BZ223">
        <v>43</v>
      </c>
      <c r="CA223">
        <v>0</v>
      </c>
      <c r="CB223">
        <v>7</v>
      </c>
      <c r="CC223">
        <v>17016.473289000001</v>
      </c>
      <c r="CD223" s="10">
        <v>1018.335518</v>
      </c>
      <c r="CE223" s="255">
        <v>5.9844099344503125E-2</v>
      </c>
      <c r="CF223" t="str">
        <f>IFERROR(VLOOKUP(CE223,'Rangos amb etnico'!$A$2:$C$6,3,9),"N.D.")</f>
        <v>0,1% - 30%</v>
      </c>
      <c r="CG223" s="256">
        <v>2.9627219002611814E-5</v>
      </c>
      <c r="CH223" s="232">
        <v>0</v>
      </c>
      <c r="CI223" s="311">
        <f t="shared" si="103"/>
        <v>0</v>
      </c>
      <c r="CJ223" s="232">
        <f>IFERROR(VLOOKUP(CI223,'Rangos amb etnico'!$A$2:$C$6,3,9),"N.D.")</f>
        <v>0</v>
      </c>
      <c r="CK223" s="311">
        <f t="shared" si="104"/>
        <v>0</v>
      </c>
      <c r="CL223" s="10">
        <v>0</v>
      </c>
      <c r="CM223" s="255">
        <f t="shared" si="105"/>
        <v>0</v>
      </c>
      <c r="CN223" s="232">
        <f>IFERROR(VLOOKUP(CM223,'Rangos amb etnico'!$A$2:$C$6,3,9),"N.D.")</f>
        <v>0</v>
      </c>
      <c r="CO223" s="311">
        <f t="shared" si="106"/>
        <v>0</v>
      </c>
      <c r="CP223">
        <v>0.94230134046650726</v>
      </c>
      <c r="CQ223" t="s">
        <v>2864</v>
      </c>
      <c r="CR223">
        <f t="shared" si="97"/>
        <v>1</v>
      </c>
      <c r="CS223" t="str">
        <f t="shared" si="107"/>
        <v>No es Candidato</v>
      </c>
      <c r="CT223">
        <v>0</v>
      </c>
      <c r="CU223">
        <v>0</v>
      </c>
      <c r="CV223" s="25">
        <v>37.152824401855469</v>
      </c>
      <c r="CW223" s="25">
        <v>28.676033020019531</v>
      </c>
      <c r="CX223" s="25">
        <v>38.737979888916023</v>
      </c>
      <c r="CY223" s="25">
        <v>51.288433074951172</v>
      </c>
      <c r="CZ223" s="25">
        <v>10.346305847167971</v>
      </c>
      <c r="DA223" s="25">
        <v>43.555526733398438</v>
      </c>
      <c r="DB223" s="25">
        <v>50.312671661376953</v>
      </c>
      <c r="DC223">
        <v>791</v>
      </c>
      <c r="DD223" s="253" t="s">
        <v>380</v>
      </c>
    </row>
    <row r="224" spans="1:108" hidden="1">
      <c r="A224" s="13">
        <v>8436</v>
      </c>
      <c r="B224" s="13" t="s">
        <v>906</v>
      </c>
      <c r="C224" s="13" t="s">
        <v>442</v>
      </c>
      <c r="D224" s="13" t="s">
        <v>443</v>
      </c>
      <c r="E224" s="13" t="s">
        <v>907</v>
      </c>
      <c r="F224" s="14">
        <v>68.058599999999998</v>
      </c>
      <c r="G224" s="13">
        <v>70.83</v>
      </c>
      <c r="H224" s="13">
        <v>73.09</v>
      </c>
      <c r="I224" s="13">
        <v>76.56</v>
      </c>
      <c r="J224" s="14">
        <v>32.708432052626776</v>
      </c>
      <c r="K224" s="14">
        <v>56.167640210549244</v>
      </c>
      <c r="L224" s="14">
        <v>51.309797953494467</v>
      </c>
      <c r="M224" s="14">
        <v>51.768300000000004</v>
      </c>
      <c r="N224" s="14">
        <f t="shared" si="81"/>
        <v>72.134649999999993</v>
      </c>
      <c r="O224" s="14">
        <f t="shared" si="82"/>
        <v>47.988542554167623</v>
      </c>
      <c r="P224" s="14">
        <f t="shared" si="98"/>
        <v>60.061596277083808</v>
      </c>
      <c r="Q224" s="14">
        <v>45.667456211255789</v>
      </c>
      <c r="R224" s="17">
        <f t="shared" si="83"/>
        <v>54.332543788744211</v>
      </c>
      <c r="S224" s="14">
        <f t="shared" si="99"/>
        <v>0.58899289409869793</v>
      </c>
      <c r="T224" s="13">
        <v>0</v>
      </c>
      <c r="U224" s="13">
        <f t="shared" si="100"/>
        <v>35.375853415427173</v>
      </c>
      <c r="V224" s="13">
        <f>IF($T224=1,$AU224,(VLOOKUP(U224,'Cortes naturales'!$A$35:$C$39,3,9)))</f>
        <v>3</v>
      </c>
      <c r="W224" s="13">
        <v>3</v>
      </c>
      <c r="X224" s="14" t="b">
        <f t="shared" si="84"/>
        <v>1</v>
      </c>
      <c r="Y224" s="17">
        <f>IF($T224=1,$AU224,VLOOKUP(U224,'Cortes naturales'!$A$45:$C$49,3,9))</f>
        <v>3</v>
      </c>
      <c r="Z224" s="14">
        <v>58.840963893034484</v>
      </c>
      <c r="AA224" s="14">
        <v>0.59489214570892002</v>
      </c>
      <c r="AB224" s="14">
        <v>35.00402726590837</v>
      </c>
      <c r="AC224" s="13">
        <v>2</v>
      </c>
      <c r="AD224" s="13">
        <f t="shared" si="85"/>
        <v>-1</v>
      </c>
      <c r="AE224" s="14">
        <f t="shared" si="86"/>
        <v>1.2206323840493241</v>
      </c>
      <c r="AF224" s="14">
        <f t="shared" si="87"/>
        <v>-5.8992516102220893E-3</v>
      </c>
      <c r="AG224" s="13">
        <f t="shared" si="88"/>
        <v>0.37182614951880311</v>
      </c>
      <c r="AH224" s="13">
        <f>IF($T224=1,$AU224,VLOOKUP(U224,'Cortes naturales'!$A$25:$C$29,3,9))</f>
        <v>2</v>
      </c>
      <c r="AI224" s="13" t="b">
        <f t="shared" si="89"/>
        <v>0</v>
      </c>
      <c r="AJ224" s="13" t="str">
        <f t="shared" si="90"/>
        <v>Cambio en corte</v>
      </c>
      <c r="AK224" s="28">
        <v>0.9741882058902549</v>
      </c>
      <c r="AL224" s="28">
        <v>57.322173047808533</v>
      </c>
      <c r="AM224" s="28">
        <v>0.54641394972033308</v>
      </c>
      <c r="AN224" s="13">
        <v>2</v>
      </c>
      <c r="AO224" s="33">
        <f t="shared" si="91"/>
        <v>-1</v>
      </c>
      <c r="AP224" s="13">
        <f t="shared" si="101"/>
        <v>54.641394972033311</v>
      </c>
      <c r="AQ224" s="13">
        <f>IFERROR(VLOOKUP(U224,'Cortes naturales'!$E$15:$G$19,3,9),U224)</f>
        <v>3</v>
      </c>
      <c r="AR224" s="28">
        <f t="shared" si="92"/>
        <v>-0.38519531179155697</v>
      </c>
      <c r="AS224" s="13" t="b">
        <f t="shared" si="93"/>
        <v>1</v>
      </c>
      <c r="AT224" s="13" t="str">
        <f t="shared" si="102"/>
        <v>Efecto ponderador</v>
      </c>
      <c r="AU224" s="13">
        <v>2</v>
      </c>
      <c r="AV224">
        <f t="shared" si="94"/>
        <v>-1</v>
      </c>
      <c r="AW224" s="13">
        <v>0</v>
      </c>
      <c r="AX224" s="13">
        <v>0</v>
      </c>
      <c r="AY224" s="13">
        <v>0</v>
      </c>
      <c r="AZ224" s="13">
        <v>0</v>
      </c>
      <c r="BA224">
        <v>0</v>
      </c>
      <c r="BB224" t="s">
        <v>2839</v>
      </c>
      <c r="BC224">
        <v>6</v>
      </c>
      <c r="BD224" t="s">
        <v>2919</v>
      </c>
      <c r="BE224">
        <v>1</v>
      </c>
      <c r="BF224" s="232" t="s">
        <v>2846</v>
      </c>
      <c r="BG224" s="232" t="s">
        <v>2846</v>
      </c>
      <c r="BH224" s="253">
        <v>48.4</v>
      </c>
      <c r="BI224" s="253">
        <v>23.865231633130556</v>
      </c>
      <c r="BJ224" s="25">
        <v>0</v>
      </c>
      <c r="BK224" t="s">
        <v>381</v>
      </c>
      <c r="BL224">
        <v>9.3582608462795216E-2</v>
      </c>
      <c r="BM224" t="s">
        <v>377</v>
      </c>
      <c r="BN224" s="322">
        <v>44835.876264999999</v>
      </c>
      <c r="BO224" s="322">
        <v>1643.0149039999999</v>
      </c>
      <c r="BP224" s="10">
        <v>23362</v>
      </c>
      <c r="BQ224" s="254">
        <f t="shared" si="95"/>
        <v>1.9191797048625974</v>
      </c>
      <c r="BR224" s="254">
        <f t="shared" si="96"/>
        <v>7.0328520845817991E-2</v>
      </c>
      <c r="BS224" s="25">
        <v>57.848382759114877</v>
      </c>
      <c r="BT224" s="25">
        <v>90.693020158662208</v>
      </c>
      <c r="BU224" s="25">
        <v>58.448788508134299</v>
      </c>
      <c r="BV224" s="25">
        <v>98.491424849326847</v>
      </c>
      <c r="BW224" s="25">
        <v>39.440432819586732</v>
      </c>
      <c r="BX224" s="25">
        <v>76.370404068809563</v>
      </c>
      <c r="BY224" s="25">
        <v>41.697749198332161</v>
      </c>
      <c r="BZ224">
        <v>77</v>
      </c>
      <c r="CA224">
        <v>0</v>
      </c>
      <c r="CB224">
        <v>7</v>
      </c>
      <c r="CC224">
        <v>21412.728627</v>
      </c>
      <c r="CD224" s="10">
        <v>371.068738</v>
      </c>
      <c r="CE224" s="255">
        <v>1.7329353230214083E-2</v>
      </c>
      <c r="CF224" t="str">
        <f>IFERROR(VLOOKUP(CE224,'Rangos amb etnico'!$A$2:$C$6,3,9),"N.D.")</f>
        <v>0,1% - 30%</v>
      </c>
      <c r="CG224" s="256">
        <v>1.0795788393338534E-5</v>
      </c>
      <c r="CH224" s="232">
        <v>0</v>
      </c>
      <c r="CI224" s="311">
        <f t="shared" si="103"/>
        <v>0</v>
      </c>
      <c r="CJ224" s="232">
        <f>IFERROR(VLOOKUP(CI224,'Rangos amb etnico'!$A$2:$C$6,3,9),"N.D.")</f>
        <v>0</v>
      </c>
      <c r="CK224" s="311">
        <f t="shared" si="104"/>
        <v>0</v>
      </c>
      <c r="CL224" s="10">
        <v>0</v>
      </c>
      <c r="CM224" s="255">
        <f t="shared" si="105"/>
        <v>0</v>
      </c>
      <c r="CN224" s="232">
        <f>IFERROR(VLOOKUP(CM224,'Rangos amb etnico'!$A$2:$C$6,3,9),"N.D.")</f>
        <v>0</v>
      </c>
      <c r="CO224" s="311">
        <f t="shared" si="106"/>
        <v>0</v>
      </c>
      <c r="CP224">
        <v>0.96149725561867072</v>
      </c>
      <c r="CQ224" t="s">
        <v>2864</v>
      </c>
      <c r="CR224">
        <f t="shared" si="97"/>
        <v>2</v>
      </c>
      <c r="CS224" t="str">
        <f t="shared" si="107"/>
        <v>No es Candidato</v>
      </c>
      <c r="CT224">
        <v>0</v>
      </c>
      <c r="CU224">
        <v>0</v>
      </c>
      <c r="CV224" s="25">
        <v>52.001190185546882</v>
      </c>
      <c r="CW224" s="25">
        <v>27.82082557678223</v>
      </c>
      <c r="CX224" s="25">
        <v>56.082096099853523</v>
      </c>
      <c r="CY224" s="25">
        <v>54.522529602050781</v>
      </c>
      <c r="CZ224" s="25">
        <v>22.395320892333981</v>
      </c>
      <c r="DA224" s="25">
        <v>86.153289794921875</v>
      </c>
      <c r="DB224" s="25">
        <v>65.0330810546875</v>
      </c>
      <c r="DC224">
        <v>6489</v>
      </c>
      <c r="DD224" s="253" t="s">
        <v>380</v>
      </c>
    </row>
    <row r="225" spans="1:108" hidden="1">
      <c r="A225" s="13">
        <v>23189</v>
      </c>
      <c r="B225" s="13" t="s">
        <v>908</v>
      </c>
      <c r="C225" s="13" t="s">
        <v>567</v>
      </c>
      <c r="D225" s="13" t="s">
        <v>568</v>
      </c>
      <c r="E225" s="13" t="s">
        <v>909</v>
      </c>
      <c r="F225" s="14">
        <v>56.895400000000002</v>
      </c>
      <c r="G225" s="13">
        <v>51.73</v>
      </c>
      <c r="H225" s="13">
        <v>43.79</v>
      </c>
      <c r="I225" s="13">
        <v>43.57</v>
      </c>
      <c r="J225" s="14">
        <v>56.788277073810917</v>
      </c>
      <c r="K225" s="14">
        <v>60.777725734621058</v>
      </c>
      <c r="L225" s="14">
        <v>51.036761118207139</v>
      </c>
      <c r="M225" s="14">
        <v>62.898400000000002</v>
      </c>
      <c r="N225" s="14">
        <f t="shared" si="81"/>
        <v>48.99635</v>
      </c>
      <c r="O225" s="14">
        <f t="shared" si="82"/>
        <v>57.875290981659781</v>
      </c>
      <c r="P225" s="14">
        <f t="shared" si="98"/>
        <v>53.43582049082989</v>
      </c>
      <c r="Q225" s="14">
        <v>46.304225119724101</v>
      </c>
      <c r="R225" s="17">
        <f t="shared" si="83"/>
        <v>53.695774880275899</v>
      </c>
      <c r="S225" s="14">
        <f t="shared" si="99"/>
        <v>0.58326197392248313</v>
      </c>
      <c r="T225" s="13">
        <v>0</v>
      </c>
      <c r="U225" s="13">
        <f t="shared" si="100"/>
        <v>31.167082137648912</v>
      </c>
      <c r="V225" s="13">
        <f>IF($T225=1,$AU225,(VLOOKUP(U225,'Cortes naturales'!$A$35:$C$39,3,9)))</f>
        <v>3</v>
      </c>
      <c r="W225" s="13">
        <v>3</v>
      </c>
      <c r="X225" s="14" t="b">
        <f t="shared" si="84"/>
        <v>1</v>
      </c>
      <c r="Y225" s="17">
        <f>IF($T225=1,$AU225,VLOOKUP(U225,'Cortes naturales'!$A$45:$C$49,3,9))</f>
        <v>3</v>
      </c>
      <c r="Z225" s="14">
        <v>55.752265151230041</v>
      </c>
      <c r="AA225" s="14">
        <v>0.59477658752933593</v>
      </c>
      <c r="AB225" s="14">
        <v>33.160142013679319</v>
      </c>
      <c r="AC225" s="13">
        <v>3</v>
      </c>
      <c r="AD225" s="13">
        <f t="shared" si="85"/>
        <v>0</v>
      </c>
      <c r="AE225" s="14">
        <f t="shared" si="86"/>
        <v>-2.3164446604001512</v>
      </c>
      <c r="AF225" s="14">
        <f t="shared" si="87"/>
        <v>-1.1514613606852797E-2</v>
      </c>
      <c r="AG225" s="13">
        <f t="shared" si="88"/>
        <v>-1.9930598760304079</v>
      </c>
      <c r="AH225" s="13">
        <f>IF($T225=1,$AU225,VLOOKUP(U225,'Cortes naturales'!$A$25:$C$29,3,9))</f>
        <v>3</v>
      </c>
      <c r="AI225" s="13" t="b">
        <f t="shared" si="89"/>
        <v>1</v>
      </c>
      <c r="AJ225" s="13">
        <f t="shared" si="90"/>
        <v>0</v>
      </c>
      <c r="AK225" s="28">
        <v>0.9741882058902549</v>
      </c>
      <c r="AL225" s="28">
        <v>54.313199161994575</v>
      </c>
      <c r="AM225" s="28">
        <v>0.50877485816624302</v>
      </c>
      <c r="AN225" s="13">
        <v>2</v>
      </c>
      <c r="AO225" s="33">
        <f t="shared" si="91"/>
        <v>-1</v>
      </c>
      <c r="AP225" s="13">
        <f t="shared" si="101"/>
        <v>50.877485816624301</v>
      </c>
      <c r="AQ225" s="13">
        <f>IFERROR(VLOOKUP(U225,'Cortes naturales'!$E$15:$G$19,3,9),U225)</f>
        <v>4</v>
      </c>
      <c r="AR225" s="28">
        <f t="shared" si="92"/>
        <v>-0.39092623196777176</v>
      </c>
      <c r="AS225" s="13" t="b">
        <f t="shared" si="93"/>
        <v>0</v>
      </c>
      <c r="AT225" s="13" t="str">
        <f t="shared" si="102"/>
        <v>Cambio en corte</v>
      </c>
      <c r="AU225" s="13">
        <v>3</v>
      </c>
      <c r="AV225">
        <f t="shared" si="94"/>
        <v>0</v>
      </c>
      <c r="AW225" s="13">
        <v>0</v>
      </c>
      <c r="AX225" s="13">
        <v>0</v>
      </c>
      <c r="AY225" s="13">
        <v>0</v>
      </c>
      <c r="AZ225" s="13">
        <v>0</v>
      </c>
      <c r="BA225">
        <v>0</v>
      </c>
      <c r="BB225" t="s">
        <v>2839</v>
      </c>
      <c r="BC225">
        <v>6</v>
      </c>
      <c r="BD225" t="s">
        <v>2919</v>
      </c>
      <c r="BE225">
        <v>1</v>
      </c>
      <c r="BF225" s="232" t="s">
        <v>2846</v>
      </c>
      <c r="BG225" s="232" t="s">
        <v>2846</v>
      </c>
      <c r="BH225" s="253">
        <v>52.3</v>
      </c>
      <c r="BI225" s="253">
        <v>36.872312448914322</v>
      </c>
      <c r="BJ225" s="25">
        <v>26.569999999999997</v>
      </c>
      <c r="BK225" t="s">
        <v>379</v>
      </c>
      <c r="BL225">
        <v>7.3415952866542815</v>
      </c>
      <c r="BM225" t="s">
        <v>379</v>
      </c>
      <c r="BN225" s="322">
        <v>124930.517313</v>
      </c>
      <c r="BO225" s="322">
        <v>15828.342817000001</v>
      </c>
      <c r="BP225" s="10">
        <v>62594</v>
      </c>
      <c r="BQ225" s="254">
        <f t="shared" si="95"/>
        <v>1.9958864637664953</v>
      </c>
      <c r="BR225" s="254">
        <f t="shared" si="96"/>
        <v>0.25287316383359426</v>
      </c>
      <c r="BS225" s="25">
        <v>59.38739849726656</v>
      </c>
      <c r="BT225" s="25">
        <v>95.588317789458003</v>
      </c>
      <c r="BU225" s="25">
        <v>42.622669313920127</v>
      </c>
      <c r="BV225" s="25">
        <v>95.454739093329252</v>
      </c>
      <c r="BW225" s="25">
        <v>48.213468010335411</v>
      </c>
      <c r="BX225" s="25">
        <v>73.263281173493482</v>
      </c>
      <c r="BY225" s="25">
        <v>47.928820247531341</v>
      </c>
      <c r="BZ225">
        <v>10</v>
      </c>
      <c r="CA225">
        <v>0</v>
      </c>
      <c r="CB225">
        <v>6</v>
      </c>
      <c r="CC225">
        <v>64106.945132000001</v>
      </c>
      <c r="CD225" s="10">
        <v>2921.5681479999998</v>
      </c>
      <c r="CE225" s="255">
        <v>4.5573348441176192E-2</v>
      </c>
      <c r="CF225" t="str">
        <f>IFERROR(VLOOKUP(CE225,'Rangos amb etnico'!$A$2:$C$6,3,9),"N.D.")</f>
        <v>0,1% - 30%</v>
      </c>
      <c r="CG225" s="256">
        <v>8.4999430759176366E-5</v>
      </c>
      <c r="CH225" s="232">
        <v>0</v>
      </c>
      <c r="CI225" s="311">
        <f t="shared" si="103"/>
        <v>0</v>
      </c>
      <c r="CJ225" s="232">
        <f>IFERROR(VLOOKUP(CI225,'Rangos amb etnico'!$A$2:$C$6,3,9),"N.D.")</f>
        <v>0</v>
      </c>
      <c r="CK225" s="311">
        <f t="shared" si="104"/>
        <v>0</v>
      </c>
      <c r="CL225" s="10">
        <v>0</v>
      </c>
      <c r="CM225" s="255">
        <f t="shared" si="105"/>
        <v>0</v>
      </c>
      <c r="CN225" s="232">
        <f>IFERROR(VLOOKUP(CM225,'Rangos amb etnico'!$A$2:$C$6,3,9),"N.D.")</f>
        <v>0</v>
      </c>
      <c r="CO225" s="311">
        <f t="shared" si="106"/>
        <v>0</v>
      </c>
      <c r="CP225">
        <v>0.93186298772372855</v>
      </c>
      <c r="CQ225" t="s">
        <v>2864</v>
      </c>
      <c r="CR225">
        <f t="shared" si="97"/>
        <v>2</v>
      </c>
      <c r="CS225" t="str">
        <f t="shared" si="107"/>
        <v>No es Candidato</v>
      </c>
      <c r="CT225">
        <v>0</v>
      </c>
      <c r="CU225">
        <v>0</v>
      </c>
      <c r="CV225" s="25">
        <v>51.285655975341797</v>
      </c>
      <c r="CW225" s="25">
        <v>46.199996948242188</v>
      </c>
      <c r="CX225" s="25">
        <v>58.649639129638672</v>
      </c>
      <c r="CY225" s="25">
        <v>46.038970947265618</v>
      </c>
      <c r="CZ225" s="25">
        <v>23.712770462036129</v>
      </c>
      <c r="DA225" s="25">
        <v>75.420204162597656</v>
      </c>
      <c r="DB225" s="25">
        <v>57.692363739013672</v>
      </c>
      <c r="DC225">
        <v>11265</v>
      </c>
      <c r="DD225" s="253" t="s">
        <v>380</v>
      </c>
    </row>
    <row r="226" spans="1:108" hidden="1">
      <c r="A226" s="13">
        <v>52224</v>
      </c>
      <c r="B226" s="13" t="s">
        <v>910</v>
      </c>
      <c r="C226" s="13" t="s">
        <v>672</v>
      </c>
      <c r="D226" s="13" t="s">
        <v>673</v>
      </c>
      <c r="E226" s="13" t="s">
        <v>911</v>
      </c>
      <c r="F226" s="14">
        <v>52.116666666666703</v>
      </c>
      <c r="G226" s="13">
        <v>45</v>
      </c>
      <c r="H226" s="13">
        <v>41.38</v>
      </c>
      <c r="I226" s="13">
        <v>41.18</v>
      </c>
      <c r="J226" s="14">
        <v>51.171184130848026</v>
      </c>
      <c r="K226" s="14">
        <v>51.728916076078448</v>
      </c>
      <c r="L226" s="14">
        <v>51.099123524330807</v>
      </c>
      <c r="M226" s="14">
        <v>52.463900000000002</v>
      </c>
      <c r="N226" s="14">
        <f t="shared" si="81"/>
        <v>44.919166666666676</v>
      </c>
      <c r="O226" s="14">
        <f t="shared" si="82"/>
        <v>51.615780932814324</v>
      </c>
      <c r="P226" s="14">
        <f t="shared" si="98"/>
        <v>48.2674737997405</v>
      </c>
      <c r="Q226" s="14">
        <v>46.248517303801478</v>
      </c>
      <c r="R226" s="17">
        <f t="shared" si="83"/>
        <v>53.751482696198522</v>
      </c>
      <c r="S226" s="14">
        <f t="shared" si="99"/>
        <v>0.5837633442657868</v>
      </c>
      <c r="T226" s="13">
        <v>0</v>
      </c>
      <c r="U226" s="13">
        <f t="shared" si="100"/>
        <v>28.176781924597758</v>
      </c>
      <c r="V226" s="13">
        <f>IF($T226=1,$AU226,(VLOOKUP(U226,'Cortes naturales'!$A$35:$C$39,3,9)))</f>
        <v>4</v>
      </c>
      <c r="W226" s="13">
        <v>4</v>
      </c>
      <c r="X226" s="14" t="b">
        <f t="shared" si="84"/>
        <v>1</v>
      </c>
      <c r="Y226" s="17">
        <f>IF($T226=1,$AU226,VLOOKUP(U226,'Cortes naturales'!$A$45:$C$49,3,9))</f>
        <v>4</v>
      </c>
      <c r="Z226" s="14">
        <v>49.496761879508846</v>
      </c>
      <c r="AA226" s="14">
        <v>0.59387587710054279</v>
      </c>
      <c r="AB226" s="14">
        <v>29.394932874830026</v>
      </c>
      <c r="AC226" s="13">
        <v>3</v>
      </c>
      <c r="AD226" s="13">
        <f t="shared" si="85"/>
        <v>-1</v>
      </c>
      <c r="AE226" s="14">
        <f t="shared" si="86"/>
        <v>-1.2292880797683452</v>
      </c>
      <c r="AF226" s="14">
        <f t="shared" si="87"/>
        <v>-1.0112532834755994E-2</v>
      </c>
      <c r="AG226" s="13">
        <f t="shared" si="88"/>
        <v>-1.2181509502322676</v>
      </c>
      <c r="AH226" s="13">
        <f>IF($T226=1,$AU226,VLOOKUP(U226,'Cortes naturales'!$A$25:$C$29,3,9))</f>
        <v>3</v>
      </c>
      <c r="AI226" s="13" t="b">
        <f t="shared" si="89"/>
        <v>0</v>
      </c>
      <c r="AJ226" s="13" t="str">
        <f t="shared" si="90"/>
        <v>Cambio en corte</v>
      </c>
      <c r="AK226" s="28">
        <v>0.9741882058902549</v>
      </c>
      <c r="AL226" s="28">
        <v>48.219161652775881</v>
      </c>
      <c r="AM226" s="28">
        <v>0.43254487264694585</v>
      </c>
      <c r="AN226" s="13">
        <v>3</v>
      </c>
      <c r="AO226" s="33">
        <f t="shared" si="91"/>
        <v>-1</v>
      </c>
      <c r="AP226" s="13">
        <f t="shared" si="101"/>
        <v>43.254487264694589</v>
      </c>
      <c r="AQ226" s="13">
        <f>IFERROR(VLOOKUP(U226,'Cortes naturales'!$E$15:$G$19,3,9),U226)</f>
        <v>4</v>
      </c>
      <c r="AR226" s="28">
        <f t="shared" si="92"/>
        <v>-0.3904248616244681</v>
      </c>
      <c r="AS226" s="13" t="b">
        <f t="shared" si="93"/>
        <v>1</v>
      </c>
      <c r="AT226" s="13" t="str">
        <f t="shared" si="102"/>
        <v>Efecto ponderador</v>
      </c>
      <c r="AU226" s="13">
        <v>3</v>
      </c>
      <c r="AV226">
        <f t="shared" si="94"/>
        <v>-1</v>
      </c>
      <c r="AW226" s="13">
        <v>0</v>
      </c>
      <c r="AX226" s="13">
        <v>0</v>
      </c>
      <c r="AY226" s="13">
        <v>0</v>
      </c>
      <c r="AZ226" s="13">
        <v>0</v>
      </c>
      <c r="BA226">
        <v>0</v>
      </c>
      <c r="BB226" t="s">
        <v>2839</v>
      </c>
      <c r="BC226">
        <v>6</v>
      </c>
      <c r="BD226" t="s">
        <v>2919</v>
      </c>
      <c r="BE226">
        <v>0</v>
      </c>
      <c r="BF226" s="232" t="s">
        <v>2846</v>
      </c>
      <c r="BG226" s="232" t="s">
        <v>2845</v>
      </c>
      <c r="BH226" s="253">
        <v>51.4</v>
      </c>
      <c r="BI226" s="253">
        <v>26.896935933147631</v>
      </c>
      <c r="BJ226" s="25">
        <v>49.252612888575676</v>
      </c>
      <c r="BK226" t="s">
        <v>376</v>
      </c>
      <c r="BL226">
        <v>2.6543982254586802</v>
      </c>
      <c r="BM226" t="s">
        <v>383</v>
      </c>
      <c r="BN226" s="322">
        <v>23455.849587000001</v>
      </c>
      <c r="BO226" s="322">
        <v>939.22180100000003</v>
      </c>
      <c r="BP226" s="10">
        <v>9889</v>
      </c>
      <c r="BQ226" s="254">
        <f t="shared" si="95"/>
        <v>2.3719131951663464</v>
      </c>
      <c r="BR226" s="254">
        <f t="shared" si="96"/>
        <v>9.4976418343614116E-2</v>
      </c>
      <c r="BS226" s="25">
        <v>49.811618372593983</v>
      </c>
      <c r="BT226" s="25">
        <v>90.535215268480144</v>
      </c>
      <c r="BU226" s="25">
        <v>48.168996973627287</v>
      </c>
      <c r="BV226" s="25">
        <v>95.879499423897684</v>
      </c>
      <c r="BW226" s="25">
        <v>47.784088224538053</v>
      </c>
      <c r="BX226" s="25">
        <v>71.098832509649768</v>
      </c>
      <c r="BY226" s="25">
        <v>48.077362194342783</v>
      </c>
      <c r="BZ226">
        <v>28</v>
      </c>
      <c r="CA226">
        <v>0</v>
      </c>
      <c r="CB226">
        <v>7</v>
      </c>
      <c r="CC226">
        <v>5739.4834110000002</v>
      </c>
      <c r="CD226" s="10">
        <v>2011.0209850000001</v>
      </c>
      <c r="CE226" s="255">
        <v>0.35038362183359223</v>
      </c>
      <c r="CF226" t="str">
        <f>IFERROR(VLOOKUP(CE226,'Rangos amb etnico'!$A$2:$C$6,3,9),"N.D.")</f>
        <v>31% - 50%</v>
      </c>
      <c r="CG226" s="256">
        <v>5.85081813295283E-5</v>
      </c>
      <c r="CH226" s="232">
        <v>268.09839799999997</v>
      </c>
      <c r="CI226" s="311">
        <f t="shared" si="103"/>
        <v>4.6711241901348878E-2</v>
      </c>
      <c r="CJ226" s="232" t="str">
        <f>IFERROR(VLOOKUP(CI226,'Rangos amb etnico'!$A$2:$C$6,3,9),"N.D.")</f>
        <v>0,1% - 30%</v>
      </c>
      <c r="CK226" s="311">
        <f t="shared" si="104"/>
        <v>1.0645261694560833E-5</v>
      </c>
      <c r="CL226" s="10">
        <v>0</v>
      </c>
      <c r="CM226" s="255">
        <f t="shared" si="105"/>
        <v>0</v>
      </c>
      <c r="CN226" s="232">
        <f>IFERROR(VLOOKUP(CM226,'Rangos amb etnico'!$A$2:$C$6,3,9),"N.D.")</f>
        <v>0</v>
      </c>
      <c r="CO226" s="311">
        <f t="shared" si="106"/>
        <v>0</v>
      </c>
      <c r="CP226">
        <v>0.90015107069148859</v>
      </c>
      <c r="CQ226" t="s">
        <v>2864</v>
      </c>
      <c r="CR226">
        <f t="shared" si="97"/>
        <v>1</v>
      </c>
      <c r="CS226" t="str">
        <f t="shared" si="107"/>
        <v>No es Candidato</v>
      </c>
      <c r="CT226">
        <v>1</v>
      </c>
      <c r="CU226" t="s">
        <v>2835</v>
      </c>
      <c r="CV226" s="25">
        <v>47.597286224365227</v>
      </c>
      <c r="CW226" s="25">
        <v>30.77086067199707</v>
      </c>
      <c r="CX226" s="25">
        <v>47.761322021484382</v>
      </c>
      <c r="CY226" s="25">
        <v>59.07769775390625</v>
      </c>
      <c r="CZ226" s="25">
        <v>38.305274963378913</v>
      </c>
      <c r="DA226" s="25">
        <v>72.320838928222656</v>
      </c>
      <c r="DB226" s="25">
        <v>37.347721099853523</v>
      </c>
      <c r="DC226">
        <v>8800</v>
      </c>
      <c r="DD226" s="253" t="s">
        <v>380</v>
      </c>
    </row>
    <row r="227" spans="1:108" hidden="1">
      <c r="A227" s="13">
        <v>13838</v>
      </c>
      <c r="B227" s="13" t="s">
        <v>912</v>
      </c>
      <c r="C227" s="13" t="s">
        <v>480</v>
      </c>
      <c r="D227" s="13" t="s">
        <v>481</v>
      </c>
      <c r="E227" s="13" t="s">
        <v>913</v>
      </c>
      <c r="F227" s="14">
        <v>48.208233333333297</v>
      </c>
      <c r="G227" s="14">
        <v>0</v>
      </c>
      <c r="H227" s="13">
        <v>41.1</v>
      </c>
      <c r="I227" s="13">
        <v>38.46</v>
      </c>
      <c r="J227" s="14">
        <v>43.300970104358825</v>
      </c>
      <c r="K227" s="14">
        <v>41.232492158693049</v>
      </c>
      <c r="L227" s="14">
        <v>57.710768067828695</v>
      </c>
      <c r="M227" s="14">
        <v>51.559100000000001</v>
      </c>
      <c r="N227" s="14">
        <f t="shared" si="81"/>
        <v>31.942058333333328</v>
      </c>
      <c r="O227" s="14">
        <f t="shared" si="82"/>
        <v>48.450832582720139</v>
      </c>
      <c r="P227" s="14">
        <f t="shared" si="98"/>
        <v>40.19644545802673</v>
      </c>
      <c r="Q227" s="14">
        <v>46.542846779149151</v>
      </c>
      <c r="R227" s="17">
        <f t="shared" si="83"/>
        <v>53.457153220850849</v>
      </c>
      <c r="S227" s="14">
        <f t="shared" si="99"/>
        <v>0.58111437898765772</v>
      </c>
      <c r="T227" s="13">
        <v>0</v>
      </c>
      <c r="U227" s="13">
        <f t="shared" si="100"/>
        <v>23.358732439852457</v>
      </c>
      <c r="V227" s="13">
        <f>IF($T227=1,$AU227,(VLOOKUP(U227,'Cortes naturales'!$A$35:$C$39,3,9)))</f>
        <v>4</v>
      </c>
      <c r="W227" s="13">
        <v>4</v>
      </c>
      <c r="X227" s="14" t="b">
        <f t="shared" si="84"/>
        <v>1</v>
      </c>
      <c r="Y227" s="17">
        <f>IF($T227=1,$AU227,VLOOKUP(U227,'Cortes naturales'!$A$45:$C$49,3,9))</f>
        <v>4</v>
      </c>
      <c r="Z227" s="14">
        <v>45.842599471551011</v>
      </c>
      <c r="AA227" s="14">
        <v>0.59313234512624757</v>
      </c>
      <c r="AB227" s="14">
        <v>27.190728531244329</v>
      </c>
      <c r="AC227" s="13">
        <v>4</v>
      </c>
      <c r="AD227" s="13">
        <f t="shared" si="85"/>
        <v>0</v>
      </c>
      <c r="AE227" s="14">
        <f t="shared" si="86"/>
        <v>-5.6461540135242814</v>
      </c>
      <c r="AF227" s="14">
        <f t="shared" si="87"/>
        <v>-1.2017966138589853E-2</v>
      </c>
      <c r="AG227" s="13">
        <f t="shared" si="88"/>
        <v>-3.831996091391872</v>
      </c>
      <c r="AH227" s="13">
        <f>IF($T227=1,$AU227,VLOOKUP(U227,'Cortes naturales'!$A$25:$C$29,3,9))</f>
        <v>4</v>
      </c>
      <c r="AI227" s="13" t="b">
        <f t="shared" si="89"/>
        <v>1</v>
      </c>
      <c r="AJ227" s="13">
        <f t="shared" si="90"/>
        <v>0</v>
      </c>
      <c r="AK227" s="28">
        <v>0.9741882058902549</v>
      </c>
      <c r="AL227" s="28">
        <v>44.659319732535828</v>
      </c>
      <c r="AM227" s="28">
        <v>0.38801500265182698</v>
      </c>
      <c r="AN227" s="13">
        <v>3</v>
      </c>
      <c r="AO227" s="33">
        <f t="shared" si="91"/>
        <v>-1</v>
      </c>
      <c r="AP227" s="13">
        <f t="shared" si="101"/>
        <v>38.801500265182696</v>
      </c>
      <c r="AQ227" s="13">
        <f>IFERROR(VLOOKUP(U227,'Cortes naturales'!$E$15:$G$19,3,9),U227)</f>
        <v>4</v>
      </c>
      <c r="AR227" s="28">
        <f t="shared" si="92"/>
        <v>-0.39307382690259718</v>
      </c>
      <c r="AS227" s="13" t="b">
        <f t="shared" si="93"/>
        <v>1</v>
      </c>
      <c r="AT227" s="13" t="str">
        <f t="shared" si="102"/>
        <v>Efecto ponderador</v>
      </c>
      <c r="AU227" s="13">
        <v>3</v>
      </c>
      <c r="AV227">
        <f t="shared" si="94"/>
        <v>-1</v>
      </c>
      <c r="AW227" s="13">
        <v>0</v>
      </c>
      <c r="AX227" s="13">
        <v>0</v>
      </c>
      <c r="AY227" s="13">
        <v>0</v>
      </c>
      <c r="AZ227" s="13">
        <v>0</v>
      </c>
      <c r="BA227">
        <v>0</v>
      </c>
      <c r="BB227" t="s">
        <v>2838</v>
      </c>
      <c r="BC227">
        <v>6</v>
      </c>
      <c r="BD227" s="184" t="s">
        <v>2917</v>
      </c>
      <c r="BE227">
        <v>0</v>
      </c>
      <c r="BF227" s="232" t="s">
        <v>2846</v>
      </c>
      <c r="BG227" s="232" t="s">
        <v>2845</v>
      </c>
      <c r="BH227" s="253">
        <v>42.8</v>
      </c>
      <c r="BI227" s="253">
        <v>48.565362840967573</v>
      </c>
      <c r="BJ227" s="25">
        <v>0</v>
      </c>
      <c r="BK227" t="s">
        <v>381</v>
      </c>
      <c r="BL227">
        <v>1.5608554264483034</v>
      </c>
      <c r="BM227" t="s">
        <v>383</v>
      </c>
      <c r="BN227" s="322">
        <v>49384.938365000002</v>
      </c>
      <c r="BO227" s="322">
        <v>5906.3288869999997</v>
      </c>
      <c r="BP227" s="10">
        <v>17726</v>
      </c>
      <c r="BQ227" s="254">
        <f t="shared" si="95"/>
        <v>2.7860170577118359</v>
      </c>
      <c r="BR227" s="254">
        <f t="shared" si="96"/>
        <v>0.33320144911429539</v>
      </c>
      <c r="BS227" s="25">
        <v>63.962311124358592</v>
      </c>
      <c r="BT227" s="25">
        <v>90.341075185603074</v>
      </c>
      <c r="BU227" s="25">
        <v>22.66785714285713</v>
      </c>
      <c r="BV227" s="25">
        <v>91.609390357909561</v>
      </c>
      <c r="BW227" s="25">
        <v>41.374464307815813</v>
      </c>
      <c r="BX227" s="25">
        <v>67.145158452682097</v>
      </c>
      <c r="BY227" s="25">
        <v>41.218347349202553</v>
      </c>
      <c r="BZ227">
        <v>48</v>
      </c>
      <c r="CA227">
        <v>0</v>
      </c>
      <c r="CB227">
        <v>7</v>
      </c>
      <c r="CC227">
        <v>19107.858669000001</v>
      </c>
      <c r="CD227" s="10">
        <v>2149.3778569999999</v>
      </c>
      <c r="CE227" s="255">
        <v>0.11248658964005653</v>
      </c>
      <c r="CF227" t="str">
        <f>IFERROR(VLOOKUP(CE227,'Rangos amb etnico'!$A$2:$C$6,3,9),"N.D.")</f>
        <v>0,1% - 30%</v>
      </c>
      <c r="CG227" s="256">
        <v>6.2533504295097617E-5</v>
      </c>
      <c r="CH227" s="232">
        <v>0</v>
      </c>
      <c r="CI227" s="311">
        <f t="shared" si="103"/>
        <v>0</v>
      </c>
      <c r="CJ227" s="232">
        <f>IFERROR(VLOOKUP(CI227,'Rangos amb etnico'!$A$2:$C$6,3,9),"N.D.")</f>
        <v>0</v>
      </c>
      <c r="CK227" s="311">
        <f t="shared" si="104"/>
        <v>0</v>
      </c>
      <c r="CL227" s="10">
        <v>0</v>
      </c>
      <c r="CM227" s="255">
        <f t="shared" si="105"/>
        <v>0</v>
      </c>
      <c r="CN227" s="232">
        <f>IFERROR(VLOOKUP(CM227,'Rangos amb etnico'!$A$2:$C$6,3,9),"N.D.")</f>
        <v>0</v>
      </c>
      <c r="CO227" s="311">
        <f t="shared" si="106"/>
        <v>0</v>
      </c>
      <c r="CP227">
        <v>0.86252843456076644</v>
      </c>
      <c r="CQ227" t="s">
        <v>2864</v>
      </c>
      <c r="CR227">
        <f t="shared" si="97"/>
        <v>1</v>
      </c>
      <c r="CS227" t="str">
        <f t="shared" si="107"/>
        <v>No es Candidato</v>
      </c>
      <c r="CT227">
        <v>0</v>
      </c>
      <c r="CU227">
        <v>0</v>
      </c>
      <c r="CV227" s="25">
        <v>48.698612213134773</v>
      </c>
      <c r="CW227" s="25">
        <v>41.181278228759773</v>
      </c>
      <c r="CX227" s="25">
        <v>47.918052673339837</v>
      </c>
      <c r="CY227" s="25">
        <v>69.635848999023438</v>
      </c>
      <c r="CZ227" s="25">
        <v>27.589143753051761</v>
      </c>
      <c r="DA227" s="25">
        <v>60.559154510498047</v>
      </c>
      <c r="DB227" s="25">
        <v>45.308197021484382</v>
      </c>
      <c r="DC227">
        <v>929</v>
      </c>
      <c r="DD227" s="253" t="s">
        <v>380</v>
      </c>
    </row>
    <row r="228" spans="1:108" hidden="1">
      <c r="A228" s="13">
        <v>17444</v>
      </c>
      <c r="B228" s="13" t="s">
        <v>914</v>
      </c>
      <c r="C228" s="13" t="s">
        <v>506</v>
      </c>
      <c r="D228" s="13" t="s">
        <v>507</v>
      </c>
      <c r="E228" s="13" t="s">
        <v>915</v>
      </c>
      <c r="F228" s="14">
        <v>62.250066666666697</v>
      </c>
      <c r="G228" s="13">
        <v>59.08</v>
      </c>
      <c r="H228" s="13">
        <v>59.19</v>
      </c>
      <c r="I228" s="13">
        <v>54.94</v>
      </c>
      <c r="J228" s="14">
        <v>54.449309913419931</v>
      </c>
      <c r="K228" s="14">
        <v>56.499093964304144</v>
      </c>
      <c r="L228" s="14">
        <v>45.016837963792312</v>
      </c>
      <c r="M228" s="14">
        <v>62.117600000000003</v>
      </c>
      <c r="N228" s="14">
        <f t="shared" si="81"/>
        <v>58.865016666666676</v>
      </c>
      <c r="O228" s="14">
        <f t="shared" si="82"/>
        <v>54.5207104603791</v>
      </c>
      <c r="P228" s="14">
        <f t="shared" si="98"/>
        <v>56.692863563522891</v>
      </c>
      <c r="Q228" s="14">
        <v>47.214466776569317</v>
      </c>
      <c r="R228" s="17">
        <f t="shared" si="83"/>
        <v>52.785533223430683</v>
      </c>
      <c r="S228" s="14">
        <f t="shared" si="99"/>
        <v>0.57506979901087618</v>
      </c>
      <c r="T228" s="13">
        <v>0</v>
      </c>
      <c r="U228" s="13">
        <f t="shared" si="100"/>
        <v>32.602353654826132</v>
      </c>
      <c r="V228" s="13">
        <f>IF($T228=1,$AU228,(VLOOKUP(U228,'Cortes naturales'!$A$35:$C$39,3,9)))</f>
        <v>3</v>
      </c>
      <c r="W228" s="13">
        <v>3</v>
      </c>
      <c r="X228" s="14" t="b">
        <f t="shared" si="84"/>
        <v>1</v>
      </c>
      <c r="Y228" s="17">
        <f>IF($T228=1,$AU228,VLOOKUP(U228,'Cortes naturales'!$A$45:$C$49,3,9))</f>
        <v>3</v>
      </c>
      <c r="Z228" s="14">
        <v>56.292895733282727</v>
      </c>
      <c r="AA228" s="14">
        <v>0.59327167144001913</v>
      </c>
      <c r="AB228" s="14">
        <v>33.396980341883364</v>
      </c>
      <c r="AC228" s="13">
        <v>3</v>
      </c>
      <c r="AD228" s="13">
        <f t="shared" si="85"/>
        <v>0</v>
      </c>
      <c r="AE228" s="14">
        <f t="shared" si="86"/>
        <v>0.3999678302401648</v>
      </c>
      <c r="AF228" s="14">
        <f t="shared" si="87"/>
        <v>-1.8201872429142951E-2</v>
      </c>
      <c r="AG228" s="13">
        <f t="shared" si="88"/>
        <v>-0.79462668705723161</v>
      </c>
      <c r="AH228" s="13">
        <f>IF($T228=1,$AU228,VLOOKUP(U228,'Cortes naturales'!$A$25:$C$29,3,9))</f>
        <v>3</v>
      </c>
      <c r="AI228" s="13" t="b">
        <f t="shared" si="89"/>
        <v>1</v>
      </c>
      <c r="AJ228" s="13">
        <f t="shared" si="90"/>
        <v>0</v>
      </c>
      <c r="AK228" s="28">
        <v>0.9741882058902549</v>
      </c>
      <c r="AL228" s="28">
        <v>54.839875098773888</v>
      </c>
      <c r="AM228" s="28">
        <v>0.51536301896658521</v>
      </c>
      <c r="AN228" s="13">
        <v>2</v>
      </c>
      <c r="AO228" s="33">
        <f t="shared" si="91"/>
        <v>-1</v>
      </c>
      <c r="AP228" s="13">
        <f t="shared" si="101"/>
        <v>51.536301896658522</v>
      </c>
      <c r="AQ228" s="13">
        <f>IFERROR(VLOOKUP(U228,'Cortes naturales'!$E$15:$G$19,3,9),U228)</f>
        <v>4</v>
      </c>
      <c r="AR228" s="28">
        <f t="shared" si="92"/>
        <v>-0.39911840687937872</v>
      </c>
      <c r="AS228" s="13" t="b">
        <f t="shared" si="93"/>
        <v>0</v>
      </c>
      <c r="AT228" s="13" t="str">
        <f t="shared" si="102"/>
        <v>Cambio en corte</v>
      </c>
      <c r="AU228" s="13">
        <v>2</v>
      </c>
      <c r="AV228">
        <f t="shared" si="94"/>
        <v>-1</v>
      </c>
      <c r="AW228" s="13">
        <v>0</v>
      </c>
      <c r="AX228" s="13">
        <v>0</v>
      </c>
      <c r="AY228" s="13">
        <v>0</v>
      </c>
      <c r="AZ228" s="13">
        <v>0</v>
      </c>
      <c r="BA228">
        <v>0</v>
      </c>
      <c r="BB228" t="s">
        <v>2839</v>
      </c>
      <c r="BC228">
        <v>6</v>
      </c>
      <c r="BD228" t="s">
        <v>2919</v>
      </c>
      <c r="BE228">
        <v>0</v>
      </c>
      <c r="BF228" s="232" t="s">
        <v>2846</v>
      </c>
      <c r="BG228" s="232" t="s">
        <v>2846</v>
      </c>
      <c r="BH228" s="253">
        <v>40.700000000000003</v>
      </c>
      <c r="BI228" s="253">
        <v>12.716284460634158</v>
      </c>
      <c r="BJ228" s="25">
        <v>35.333739721339896</v>
      </c>
      <c r="BK228" t="s">
        <v>376</v>
      </c>
      <c r="BL228">
        <v>1.2760912460303055</v>
      </c>
      <c r="BM228" t="s">
        <v>383</v>
      </c>
      <c r="BN228" s="322">
        <v>32975.139745</v>
      </c>
      <c r="BO228" s="322">
        <v>2824.3642829999999</v>
      </c>
      <c r="BP228" s="10">
        <v>13619</v>
      </c>
      <c r="BQ228" s="254">
        <f t="shared" si="95"/>
        <v>2.4212599856817683</v>
      </c>
      <c r="BR228" s="254">
        <f t="shared" si="96"/>
        <v>0.20738411652837946</v>
      </c>
      <c r="BS228" s="25">
        <v>59.602349661489448</v>
      </c>
      <c r="BT228" s="25">
        <v>90.498393082290875</v>
      </c>
      <c r="BU228" s="25">
        <v>56.603333333333332</v>
      </c>
      <c r="BV228" s="25">
        <v>94.974770475017522</v>
      </c>
      <c r="BW228" s="25">
        <v>61.053575579408623</v>
      </c>
      <c r="BX228" s="25">
        <v>75.419711638032794</v>
      </c>
      <c r="BY228" s="25">
        <v>60.235117884926552</v>
      </c>
      <c r="BZ228">
        <v>13</v>
      </c>
      <c r="CA228">
        <v>0</v>
      </c>
      <c r="CB228">
        <v>7</v>
      </c>
      <c r="CC228">
        <v>9027.7440279999992</v>
      </c>
      <c r="CD228" s="10">
        <v>2966.0925659999998</v>
      </c>
      <c r="CE228" s="255">
        <v>0.32855302020089577</v>
      </c>
      <c r="CF228" t="str">
        <f>IFERROR(VLOOKUP(CE228,'Rangos amb etnico'!$A$2:$C$6,3,9),"N.D.")</f>
        <v>31% - 50%</v>
      </c>
      <c r="CG228" s="256">
        <v>8.629481392094667E-5</v>
      </c>
      <c r="CH228" s="232">
        <v>0</v>
      </c>
      <c r="CI228" s="311">
        <f t="shared" si="103"/>
        <v>0</v>
      </c>
      <c r="CJ228" s="232">
        <f>IFERROR(VLOOKUP(CI228,'Rangos amb etnico'!$A$2:$C$6,3,9),"N.D.")</f>
        <v>0</v>
      </c>
      <c r="CK228" s="311">
        <f t="shared" si="104"/>
        <v>0</v>
      </c>
      <c r="CL228" s="10">
        <v>0</v>
      </c>
      <c r="CM228" s="255">
        <f t="shared" si="105"/>
        <v>0</v>
      </c>
      <c r="CN228" s="232">
        <f>IFERROR(VLOOKUP(CM228,'Rangos amb etnico'!$A$2:$C$6,3,9),"N.D.")</f>
        <v>0</v>
      </c>
      <c r="CO228" s="311">
        <f t="shared" si="106"/>
        <v>0</v>
      </c>
      <c r="CP228">
        <v>0.95765493827547399</v>
      </c>
      <c r="CQ228" t="s">
        <v>2864</v>
      </c>
      <c r="CR228">
        <f t="shared" si="97"/>
        <v>3</v>
      </c>
      <c r="CS228" t="str">
        <f t="shared" si="107"/>
        <v>Candidato</v>
      </c>
      <c r="CT228">
        <v>0</v>
      </c>
      <c r="CU228">
        <v>0</v>
      </c>
      <c r="CV228" s="25">
        <v>48.080101013183587</v>
      </c>
      <c r="CW228" s="25">
        <v>28.16212272644043</v>
      </c>
      <c r="CX228" s="25">
        <v>50.344242095947273</v>
      </c>
      <c r="CY228" s="25">
        <v>55.866729736328118</v>
      </c>
      <c r="CZ228" s="25">
        <v>10.50570678710938</v>
      </c>
      <c r="DA228" s="25">
        <v>91.925132751464844</v>
      </c>
      <c r="DB228" s="25">
        <v>51.676658630371087</v>
      </c>
      <c r="DC228">
        <v>81</v>
      </c>
      <c r="DD228" s="253" t="s">
        <v>380</v>
      </c>
    </row>
    <row r="229" spans="1:108" hidden="1">
      <c r="A229" s="13">
        <v>73411</v>
      </c>
      <c r="B229" s="13" t="s">
        <v>916</v>
      </c>
      <c r="C229" s="13" t="s">
        <v>595</v>
      </c>
      <c r="D229" s="13" t="s">
        <v>596</v>
      </c>
      <c r="E229" s="13" t="s">
        <v>917</v>
      </c>
      <c r="F229" s="14">
        <v>72.379066666666702</v>
      </c>
      <c r="G229" s="13">
        <v>74.819999999999993</v>
      </c>
      <c r="H229" s="13">
        <v>74.38</v>
      </c>
      <c r="I229" s="13">
        <v>76.94</v>
      </c>
      <c r="J229" s="14">
        <v>42.849790254103112</v>
      </c>
      <c r="K229" s="14">
        <v>49.76607889991142</v>
      </c>
      <c r="L229" s="14">
        <v>54.159382509316252</v>
      </c>
      <c r="M229" s="14">
        <v>47.873800000000003</v>
      </c>
      <c r="N229" s="14">
        <f t="shared" si="81"/>
        <v>74.629766666666669</v>
      </c>
      <c r="O229" s="14">
        <f t="shared" si="82"/>
        <v>48.662262915832699</v>
      </c>
      <c r="P229" s="14">
        <f t="shared" si="98"/>
        <v>61.646014791249684</v>
      </c>
      <c r="Q229" s="14">
        <v>46.583994977229089</v>
      </c>
      <c r="R229" s="17">
        <f t="shared" si="83"/>
        <v>53.416005022770911</v>
      </c>
      <c r="S229" s="14">
        <f t="shared" si="99"/>
        <v>0.58074404520493816</v>
      </c>
      <c r="T229" s="13">
        <v>0</v>
      </c>
      <c r="U229" s="13">
        <f t="shared" si="100"/>
        <v>35.80055600063379</v>
      </c>
      <c r="V229" s="13">
        <f>IF($T229=1,$AU229,(VLOOKUP(U229,'Cortes naturales'!$A$35:$C$39,3,9)))</f>
        <v>3</v>
      </c>
      <c r="W229" s="13">
        <v>3</v>
      </c>
      <c r="X229" s="14" t="b">
        <f t="shared" si="84"/>
        <v>1</v>
      </c>
      <c r="Y229" s="17">
        <f>IF($T229=1,$AU229,VLOOKUP(U229,'Cortes naturales'!$A$45:$C$49,3,9))</f>
        <v>2</v>
      </c>
      <c r="Z229" s="14">
        <v>60.554624237253307</v>
      </c>
      <c r="AA229" s="14">
        <v>0.59279810220466655</v>
      </c>
      <c r="AB229" s="14">
        <v>35.896666327560467</v>
      </c>
      <c r="AC229" s="13">
        <v>2</v>
      </c>
      <c r="AD229" s="13">
        <f t="shared" si="85"/>
        <v>0</v>
      </c>
      <c r="AE229" s="14">
        <f t="shared" si="86"/>
        <v>1.0913905539963764</v>
      </c>
      <c r="AF229" s="14">
        <f t="shared" si="87"/>
        <v>-1.2054056999728391E-2</v>
      </c>
      <c r="AG229" s="13">
        <f t="shared" si="88"/>
        <v>-9.6110326926677203E-2</v>
      </c>
      <c r="AH229" s="13">
        <f>IF($T229=1,$AU229,VLOOKUP(U229,'Cortes naturales'!$A$25:$C$29,3,9))</f>
        <v>2</v>
      </c>
      <c r="AI229" s="13" t="b">
        <f t="shared" si="89"/>
        <v>1</v>
      </c>
      <c r="AJ229" s="13">
        <f t="shared" si="90"/>
        <v>0</v>
      </c>
      <c r="AK229" s="28">
        <v>0.9741882058902549</v>
      </c>
      <c r="AL229" s="28">
        <v>58.991600744048341</v>
      </c>
      <c r="AM229" s="28">
        <v>0.56729673045762963</v>
      </c>
      <c r="AN229" s="13">
        <v>2</v>
      </c>
      <c r="AO229" s="33">
        <f t="shared" si="91"/>
        <v>0</v>
      </c>
      <c r="AP229" s="13">
        <f t="shared" si="101"/>
        <v>56.729673045762965</v>
      </c>
      <c r="AQ229" s="13">
        <f>IFERROR(VLOOKUP(U229,'Cortes naturales'!$E$15:$G$19,3,9),U229)</f>
        <v>3</v>
      </c>
      <c r="AR229" s="28">
        <f t="shared" si="92"/>
        <v>-0.39344416068531674</v>
      </c>
      <c r="AS229" s="13" t="b">
        <f t="shared" si="93"/>
        <v>0</v>
      </c>
      <c r="AT229" s="13">
        <f t="shared" si="102"/>
        <v>0</v>
      </c>
      <c r="AU229" s="13">
        <v>2</v>
      </c>
      <c r="AV229">
        <f t="shared" si="94"/>
        <v>0</v>
      </c>
      <c r="AW229" s="13">
        <v>0</v>
      </c>
      <c r="AX229" s="13">
        <v>0</v>
      </c>
      <c r="AY229" s="13">
        <v>0</v>
      </c>
      <c r="AZ229" s="13">
        <v>0</v>
      </c>
      <c r="BA229">
        <v>0</v>
      </c>
      <c r="BB229" t="s">
        <v>2839</v>
      </c>
      <c r="BC229">
        <v>6</v>
      </c>
      <c r="BD229" t="s">
        <v>2919</v>
      </c>
      <c r="BE229">
        <v>0</v>
      </c>
      <c r="BF229" s="232" t="s">
        <v>2846</v>
      </c>
      <c r="BG229" s="232" t="s">
        <v>2845</v>
      </c>
      <c r="BH229" s="253">
        <v>33.4</v>
      </c>
      <c r="BI229" s="253">
        <v>11.445599951347077</v>
      </c>
      <c r="BJ229" s="25">
        <v>2.0832869227131824E-2</v>
      </c>
      <c r="BK229" t="s">
        <v>381</v>
      </c>
      <c r="BL229">
        <v>2.2457838811620299</v>
      </c>
      <c r="BM229" t="s">
        <v>383</v>
      </c>
      <c r="BN229" s="322">
        <v>67608.787729000003</v>
      </c>
      <c r="BO229" s="322">
        <v>9164.8823429999993</v>
      </c>
      <c r="BP229" s="10">
        <v>37508</v>
      </c>
      <c r="BQ229" s="254">
        <f t="shared" si="95"/>
        <v>1.8025164692598914</v>
      </c>
      <c r="BR229" s="254">
        <f t="shared" si="96"/>
        <v>0.24434473560307132</v>
      </c>
      <c r="BS229" s="25">
        <v>69.932932563951411</v>
      </c>
      <c r="BT229" s="25">
        <v>96.969696666666664</v>
      </c>
      <c r="BU229" s="25">
        <v>35.726666666666667</v>
      </c>
      <c r="BV229" s="25">
        <v>90.383546653451717</v>
      </c>
      <c r="BW229" s="25">
        <v>59.33597753336096</v>
      </c>
      <c r="BX229" s="25">
        <v>73.253210637684106</v>
      </c>
      <c r="BY229" s="25">
        <v>58.557872211746442</v>
      </c>
      <c r="BZ229">
        <v>89</v>
      </c>
      <c r="CA229">
        <v>1</v>
      </c>
      <c r="CB229">
        <v>5</v>
      </c>
      <c r="CC229">
        <v>28220.024439000001</v>
      </c>
      <c r="CD229" s="10">
        <v>18326.759219</v>
      </c>
      <c r="CE229" s="255">
        <v>0.64942393152829681</v>
      </c>
      <c r="CF229" t="str">
        <f>IFERROR(VLOOKUP(CE229,'Rangos amb etnico'!$A$2:$C$6,3,9),"N.D.")</f>
        <v>51% - 70%</v>
      </c>
      <c r="CG229" s="256">
        <v>5.3319451142766494E-4</v>
      </c>
      <c r="CH229" s="232">
        <v>0</v>
      </c>
      <c r="CI229" s="311">
        <f t="shared" si="103"/>
        <v>0</v>
      </c>
      <c r="CJ229" s="232">
        <f>IFERROR(VLOOKUP(CI229,'Rangos amb etnico'!$A$2:$C$6,3,9),"N.D.")</f>
        <v>0</v>
      </c>
      <c r="CK229" s="311">
        <f t="shared" si="104"/>
        <v>0</v>
      </c>
      <c r="CL229" s="10">
        <v>0</v>
      </c>
      <c r="CM229" s="255">
        <f t="shared" si="105"/>
        <v>0</v>
      </c>
      <c r="CN229" s="232">
        <f>IFERROR(VLOOKUP(CM229,'Rangos amb etnico'!$A$2:$C$6,3,9),"N.D.")</f>
        <v>0</v>
      </c>
      <c r="CO229" s="311">
        <f t="shared" si="106"/>
        <v>0</v>
      </c>
      <c r="CP229">
        <v>0.95425100757642434</v>
      </c>
      <c r="CQ229" t="s">
        <v>2864</v>
      </c>
      <c r="CR229">
        <f t="shared" si="97"/>
        <v>2</v>
      </c>
      <c r="CS229" t="str">
        <f t="shared" si="107"/>
        <v>No es Candidato</v>
      </c>
      <c r="CT229">
        <v>0</v>
      </c>
      <c r="CU229">
        <v>0</v>
      </c>
      <c r="CV229" s="25">
        <v>45.446224212646477</v>
      </c>
      <c r="CW229" s="25">
        <v>32.582836151123047</v>
      </c>
      <c r="CX229" s="25">
        <v>45.366222381591797</v>
      </c>
      <c r="CY229" s="25">
        <v>79.357978820800781</v>
      </c>
      <c r="CZ229" s="25">
        <v>38.947925567626953</v>
      </c>
      <c r="DA229" s="25">
        <v>33.946708679199219</v>
      </c>
      <c r="DB229" s="25">
        <v>42.475673675537109</v>
      </c>
      <c r="DC229">
        <v>396</v>
      </c>
      <c r="DD229" s="253" t="s">
        <v>380</v>
      </c>
    </row>
    <row r="230" spans="1:108" hidden="1">
      <c r="A230" s="13">
        <v>17380</v>
      </c>
      <c r="B230" s="13" t="s">
        <v>918</v>
      </c>
      <c r="C230" s="13" t="s">
        <v>506</v>
      </c>
      <c r="D230" s="13" t="s">
        <v>507</v>
      </c>
      <c r="E230" s="13" t="s">
        <v>919</v>
      </c>
      <c r="F230" s="14">
        <v>77.032233333333295</v>
      </c>
      <c r="G230" s="13">
        <v>69.31</v>
      </c>
      <c r="H230" s="13">
        <v>58.94</v>
      </c>
      <c r="I230" s="13">
        <v>57.47</v>
      </c>
      <c r="J230" s="14">
        <v>58.760560557101726</v>
      </c>
      <c r="K230" s="14">
        <v>62.466781997631259</v>
      </c>
      <c r="L230" s="14">
        <v>64.079727594912711</v>
      </c>
      <c r="M230" s="14">
        <v>63.509599999999999</v>
      </c>
      <c r="N230" s="14">
        <f t="shared" si="81"/>
        <v>65.688058333333316</v>
      </c>
      <c r="O230" s="14">
        <f t="shared" si="82"/>
        <v>62.204167537411429</v>
      </c>
      <c r="P230" s="14">
        <f t="shared" si="98"/>
        <v>63.946112935372369</v>
      </c>
      <c r="Q230" s="14">
        <v>47.480424568394994</v>
      </c>
      <c r="R230" s="17">
        <f t="shared" si="83"/>
        <v>52.519575431605006</v>
      </c>
      <c r="S230" s="14">
        <f t="shared" si="99"/>
        <v>0.572676178884445</v>
      </c>
      <c r="T230" s="13">
        <v>0</v>
      </c>
      <c r="U230" s="13">
        <f t="shared" si="100"/>
        <v>36.620415610342228</v>
      </c>
      <c r="V230" s="13">
        <f>IF($T230=1,$AU230,(VLOOKUP(U230,'Cortes naturales'!$A$35:$C$39,3,9)))</f>
        <v>3</v>
      </c>
      <c r="W230" s="13">
        <v>3</v>
      </c>
      <c r="X230" s="14" t="b">
        <f t="shared" si="84"/>
        <v>1</v>
      </c>
      <c r="Y230" s="17">
        <f>IF($T230=1,$AU230,VLOOKUP(U230,'Cortes naturales'!$A$45:$C$49,3,9))</f>
        <v>2</v>
      </c>
      <c r="Z230" s="14">
        <v>65.841245007287938</v>
      </c>
      <c r="AA230" s="14">
        <v>0.59091697758572514</v>
      </c>
      <c r="AB230" s="14">
        <v>38.906709500187802</v>
      </c>
      <c r="AC230" s="13">
        <v>2</v>
      </c>
      <c r="AD230" s="13">
        <f t="shared" si="85"/>
        <v>0</v>
      </c>
      <c r="AE230" s="14">
        <f t="shared" si="86"/>
        <v>-1.8951320719155689</v>
      </c>
      <c r="AF230" s="14">
        <f t="shared" si="87"/>
        <v>-1.8240798701280148E-2</v>
      </c>
      <c r="AG230" s="13">
        <f t="shared" si="88"/>
        <v>-2.2862938898455738</v>
      </c>
      <c r="AH230" s="13">
        <f>IF($T230=1,$AU230,VLOOKUP(U230,'Cortes naturales'!$A$25:$C$29,3,9))</f>
        <v>2</v>
      </c>
      <c r="AI230" s="13" t="b">
        <f t="shared" si="89"/>
        <v>1</v>
      </c>
      <c r="AJ230" s="13">
        <f t="shared" si="90"/>
        <v>0</v>
      </c>
      <c r="AK230" s="28">
        <v>0.9741882058902549</v>
      </c>
      <c r="AL230" s="28">
        <v>64.141764347230534</v>
      </c>
      <c r="AM230" s="28">
        <v>0.63171984834928896</v>
      </c>
      <c r="AN230" s="13">
        <v>2</v>
      </c>
      <c r="AO230" s="33">
        <f t="shared" si="91"/>
        <v>0</v>
      </c>
      <c r="AP230" s="13">
        <f t="shared" si="101"/>
        <v>63.171984834928892</v>
      </c>
      <c r="AQ230" s="13">
        <f>IFERROR(VLOOKUP(U230,'Cortes naturales'!$E$15:$G$19,3,9),U230)</f>
        <v>3</v>
      </c>
      <c r="AR230" s="28">
        <f t="shared" si="92"/>
        <v>-0.4015120270058099</v>
      </c>
      <c r="AS230" s="13" t="b">
        <f t="shared" si="93"/>
        <v>0</v>
      </c>
      <c r="AT230" s="13">
        <f t="shared" si="102"/>
        <v>0</v>
      </c>
      <c r="AU230" s="13">
        <v>2</v>
      </c>
      <c r="AV230">
        <f t="shared" si="94"/>
        <v>0</v>
      </c>
      <c r="AW230" s="13">
        <v>0</v>
      </c>
      <c r="AX230" s="13">
        <v>1</v>
      </c>
      <c r="AY230" s="13">
        <v>0</v>
      </c>
      <c r="AZ230" s="13">
        <v>0</v>
      </c>
      <c r="BA230">
        <v>0</v>
      </c>
      <c r="BB230" t="s">
        <v>2839</v>
      </c>
      <c r="BC230">
        <v>5</v>
      </c>
      <c r="BD230" t="s">
        <v>2919</v>
      </c>
      <c r="BE230">
        <v>0</v>
      </c>
      <c r="BF230" s="232" t="s">
        <v>2846</v>
      </c>
      <c r="BG230" s="232" t="s">
        <v>2845</v>
      </c>
      <c r="BH230" s="253">
        <v>26.8</v>
      </c>
      <c r="BI230" s="253">
        <v>12.600237385287903</v>
      </c>
      <c r="BJ230" s="25">
        <v>2.322105443665142</v>
      </c>
      <c r="BK230" t="s">
        <v>381</v>
      </c>
      <c r="BL230">
        <v>3.949153541133072</v>
      </c>
      <c r="BM230" t="s">
        <v>383</v>
      </c>
      <c r="BN230" s="322">
        <v>138760.44283300001</v>
      </c>
      <c r="BO230" s="322">
        <v>34097.229313000003</v>
      </c>
      <c r="BP230" s="10">
        <v>72044</v>
      </c>
      <c r="BQ230" s="254">
        <f t="shared" si="95"/>
        <v>1.9260513413053135</v>
      </c>
      <c r="BR230" s="254">
        <f t="shared" si="96"/>
        <v>0.4732834006024097</v>
      </c>
      <c r="BS230" s="25">
        <v>56.970370536072842</v>
      </c>
      <c r="BT230" s="25">
        <v>98.914692460733463</v>
      </c>
      <c r="BU230" s="25">
        <v>61.374202226345062</v>
      </c>
      <c r="BV230" s="25">
        <v>85.43611487686934</v>
      </c>
      <c r="BW230" s="25">
        <v>66.676158083693494</v>
      </c>
      <c r="BX230" s="25">
        <v>75.673845025005178</v>
      </c>
      <c r="BY230" s="25">
        <v>67.255907694019086</v>
      </c>
      <c r="BZ230">
        <v>29</v>
      </c>
      <c r="CA230">
        <v>1</v>
      </c>
      <c r="CB230">
        <v>5</v>
      </c>
      <c r="CC230">
        <v>54908.284720000003</v>
      </c>
      <c r="CD230" s="10">
        <v>513.75272199999995</v>
      </c>
      <c r="CE230" s="255">
        <v>9.3565611204181123E-3</v>
      </c>
      <c r="CF230" t="str">
        <f>IFERROR(VLOOKUP(CE230,'Rangos amb etnico'!$A$2:$C$6,3,9),"N.D.")</f>
        <v>0,1% - 30%</v>
      </c>
      <c r="CG230" s="256">
        <v>1.4947003358751495E-5</v>
      </c>
      <c r="CH230" s="232">
        <v>0</v>
      </c>
      <c r="CI230" s="311">
        <f t="shared" si="103"/>
        <v>0</v>
      </c>
      <c r="CJ230" s="232">
        <f>IFERROR(VLOOKUP(CI230,'Rangos amb etnico'!$A$2:$C$6,3,9),"N.D.")</f>
        <v>0</v>
      </c>
      <c r="CK230" s="311">
        <f t="shared" si="104"/>
        <v>0</v>
      </c>
      <c r="CL230" s="10">
        <v>0</v>
      </c>
      <c r="CM230" s="255">
        <f t="shared" si="105"/>
        <v>0</v>
      </c>
      <c r="CN230" s="232">
        <f>IFERROR(VLOOKUP(CM230,'Rangos amb etnico'!$A$2:$C$6,3,9),"N.D.")</f>
        <v>0</v>
      </c>
      <c r="CO230" s="311">
        <f t="shared" si="106"/>
        <v>0</v>
      </c>
      <c r="CP230">
        <v>0.91617996178408068</v>
      </c>
      <c r="CQ230" t="s">
        <v>2864</v>
      </c>
      <c r="CR230">
        <f t="shared" si="97"/>
        <v>3</v>
      </c>
      <c r="CS230" t="str">
        <f t="shared" si="107"/>
        <v>Candidato</v>
      </c>
      <c r="CT230">
        <v>0</v>
      </c>
      <c r="CU230">
        <v>0</v>
      </c>
      <c r="CV230" s="25">
        <v>49.428825378417969</v>
      </c>
      <c r="CW230" s="25">
        <v>42.287826538085938</v>
      </c>
      <c r="CX230" s="25">
        <v>48.699943542480469</v>
      </c>
      <c r="CY230" s="25">
        <v>73.092506408691406</v>
      </c>
      <c r="CZ230" s="25">
        <v>57.114109039306641</v>
      </c>
      <c r="DA230" s="25">
        <v>19.609701156616211</v>
      </c>
      <c r="DB230" s="25">
        <v>55.768871307373047</v>
      </c>
      <c r="DC230">
        <v>2253</v>
      </c>
      <c r="DD230" s="253" t="s">
        <v>380</v>
      </c>
    </row>
    <row r="231" spans="1:108" hidden="1">
      <c r="A231" s="13">
        <v>52022</v>
      </c>
      <c r="B231" s="13" t="s">
        <v>920</v>
      </c>
      <c r="C231" s="13" t="s">
        <v>672</v>
      </c>
      <c r="D231" s="13" t="s">
        <v>673</v>
      </c>
      <c r="E231" s="13" t="s">
        <v>921</v>
      </c>
      <c r="F231" s="14">
        <v>63.165199999999999</v>
      </c>
      <c r="G231" s="13">
        <v>58.04</v>
      </c>
      <c r="H231" s="13">
        <v>35.28</v>
      </c>
      <c r="I231" s="13">
        <v>27.45</v>
      </c>
      <c r="J231" s="14">
        <v>62.839053039697149</v>
      </c>
      <c r="K231" s="14">
        <v>53.243778678791188</v>
      </c>
      <c r="L231" s="14">
        <v>54.835585052973499</v>
      </c>
      <c r="M231" s="14">
        <v>54.011099999999999</v>
      </c>
      <c r="N231" s="14">
        <f t="shared" si="81"/>
        <v>45.983799999999995</v>
      </c>
      <c r="O231" s="14">
        <f t="shared" si="82"/>
        <v>56.232379192865459</v>
      </c>
      <c r="P231" s="14">
        <f t="shared" si="98"/>
        <v>51.108089596432727</v>
      </c>
      <c r="Q231" s="14">
        <v>46.603233563238575</v>
      </c>
      <c r="R231" s="17">
        <f t="shared" si="83"/>
        <v>53.396766436761425</v>
      </c>
      <c r="S231" s="14">
        <f t="shared" si="99"/>
        <v>0.58057089793085281</v>
      </c>
      <c r="T231" s="13">
        <v>0</v>
      </c>
      <c r="U231" s="13">
        <f t="shared" si="100"/>
        <v>29.671869468531426</v>
      </c>
      <c r="V231" s="13">
        <f>IF($T231=1,$AU231,(VLOOKUP(U231,'Cortes naturales'!$A$35:$C$39,3,9)))</f>
        <v>3</v>
      </c>
      <c r="W231" s="13">
        <v>3</v>
      </c>
      <c r="X231" s="14" t="b">
        <f t="shared" si="84"/>
        <v>1</v>
      </c>
      <c r="Y231" s="17">
        <f>IF($T231=1,$AU231,VLOOKUP(U231,'Cortes naturales'!$A$45:$C$49,3,9))</f>
        <v>3</v>
      </c>
      <c r="Z231" s="14">
        <v>55.728242053092927</v>
      </c>
      <c r="AA231" s="14">
        <v>0.59219649670381269</v>
      </c>
      <c r="AB231" s="14">
        <v>33.002069711303719</v>
      </c>
      <c r="AC231" s="13">
        <v>3</v>
      </c>
      <c r="AD231" s="13">
        <f t="shared" si="85"/>
        <v>0</v>
      </c>
      <c r="AE231" s="14">
        <f t="shared" si="86"/>
        <v>-4.6201524566602004</v>
      </c>
      <c r="AF231" s="14">
        <f t="shared" si="87"/>
        <v>-1.1625598772959878E-2</v>
      </c>
      <c r="AG231" s="13">
        <f t="shared" si="88"/>
        <v>-3.3302002427722925</v>
      </c>
      <c r="AH231" s="13">
        <f>IF($T231=1,$AU231,VLOOKUP(U231,'Cortes naturales'!$A$25:$C$29,3,9))</f>
        <v>3</v>
      </c>
      <c r="AI231" s="13" t="b">
        <f t="shared" si="89"/>
        <v>1</v>
      </c>
      <c r="AJ231" s="13">
        <f t="shared" si="90"/>
        <v>0</v>
      </c>
      <c r="AK231" s="28">
        <v>0.9741882058902549</v>
      </c>
      <c r="AL231" s="28">
        <v>54.289796143120455</v>
      </c>
      <c r="AM231" s="28">
        <v>0.50848211106923502</v>
      </c>
      <c r="AN231" s="13">
        <v>2</v>
      </c>
      <c r="AO231" s="33">
        <f t="shared" si="91"/>
        <v>-1</v>
      </c>
      <c r="AP231" s="13">
        <f t="shared" si="101"/>
        <v>50.8482111069235</v>
      </c>
      <c r="AQ231" s="13">
        <f>IFERROR(VLOOKUP(U231,'Cortes naturales'!$E$15:$G$19,3,9),U231)</f>
        <v>4</v>
      </c>
      <c r="AR231" s="28">
        <f t="shared" si="92"/>
        <v>-0.39361730795940209</v>
      </c>
      <c r="AS231" s="13" t="b">
        <f t="shared" si="93"/>
        <v>0</v>
      </c>
      <c r="AT231" s="13" t="str">
        <f t="shared" si="102"/>
        <v>Cambio en corte</v>
      </c>
      <c r="AU231" s="13">
        <v>3</v>
      </c>
      <c r="AV231">
        <f t="shared" si="94"/>
        <v>0</v>
      </c>
      <c r="AW231" s="13">
        <v>0</v>
      </c>
      <c r="AX231" s="13">
        <v>0</v>
      </c>
      <c r="AY231" s="13">
        <v>0</v>
      </c>
      <c r="AZ231" s="13">
        <v>0</v>
      </c>
      <c r="BA231">
        <v>0</v>
      </c>
      <c r="BB231" t="s">
        <v>2839</v>
      </c>
      <c r="BC231">
        <v>6</v>
      </c>
      <c r="BD231" t="s">
        <v>2919</v>
      </c>
      <c r="BE231">
        <v>0</v>
      </c>
      <c r="BF231" s="232" t="s">
        <v>2846</v>
      </c>
      <c r="BG231" s="232" t="s">
        <v>2845</v>
      </c>
      <c r="BH231" s="253">
        <v>29.1</v>
      </c>
      <c r="BI231" s="253">
        <v>11.685098952270081</v>
      </c>
      <c r="BJ231" s="25">
        <v>23.890629810786461</v>
      </c>
      <c r="BK231" t="s">
        <v>379</v>
      </c>
      <c r="BL231">
        <v>9.5498833207631098E-2</v>
      </c>
      <c r="BM231" t="s">
        <v>377</v>
      </c>
      <c r="BN231" s="322">
        <v>17607.861856</v>
      </c>
      <c r="BO231" s="322">
        <v>777.44413899999995</v>
      </c>
      <c r="BP231" s="10">
        <v>7748</v>
      </c>
      <c r="BQ231" s="254">
        <f t="shared" si="95"/>
        <v>2.2725686442953021</v>
      </c>
      <c r="BR231" s="254">
        <f t="shared" si="96"/>
        <v>0.10034126729478575</v>
      </c>
      <c r="BS231" s="25">
        <v>72.899857632822105</v>
      </c>
      <c r="BT231" s="25">
        <v>91.826422266391319</v>
      </c>
      <c r="BU231" s="25">
        <v>56.069999999999993</v>
      </c>
      <c r="BV231" s="25">
        <v>90.558830445116413</v>
      </c>
      <c r="BW231" s="25">
        <v>49.991013121507358</v>
      </c>
      <c r="BX231" s="25">
        <v>77.838777586082458</v>
      </c>
      <c r="BY231" s="25">
        <v>50.459618208898888</v>
      </c>
      <c r="BZ231">
        <v>28</v>
      </c>
      <c r="CA231">
        <v>0</v>
      </c>
      <c r="CB231">
        <v>7</v>
      </c>
      <c r="CC231">
        <v>4769.1502849999997</v>
      </c>
      <c r="CD231" s="10">
        <v>3079.266599</v>
      </c>
      <c r="CE231" s="255">
        <v>0.645663570025242</v>
      </c>
      <c r="CF231" t="str">
        <f>IFERROR(VLOOKUP(CE231,'Rangos amb etnico'!$A$2:$C$6,3,9),"N.D.")</f>
        <v>51% - 70%</v>
      </c>
      <c r="CG231" s="256">
        <v>8.9587473169133494E-5</v>
      </c>
      <c r="CH231" s="232">
        <v>0</v>
      </c>
      <c r="CI231" s="311">
        <f t="shared" si="103"/>
        <v>0</v>
      </c>
      <c r="CJ231" s="232">
        <f>IFERROR(VLOOKUP(CI231,'Rangos amb etnico'!$A$2:$C$6,3,9),"N.D.")</f>
        <v>0</v>
      </c>
      <c r="CK231" s="311">
        <f t="shared" si="104"/>
        <v>0</v>
      </c>
      <c r="CL231" s="10">
        <v>0</v>
      </c>
      <c r="CM231" s="255">
        <f t="shared" si="105"/>
        <v>0</v>
      </c>
      <c r="CN231" s="232">
        <f>IFERROR(VLOOKUP(CM231,'Rangos amb etnico'!$A$2:$C$6,3,9),"N.D.")</f>
        <v>0</v>
      </c>
      <c r="CO231" s="311">
        <f t="shared" si="106"/>
        <v>0</v>
      </c>
      <c r="CP231">
        <v>0.98183070991519072</v>
      </c>
      <c r="CQ231" t="s">
        <v>2864</v>
      </c>
      <c r="CR231">
        <f t="shared" si="97"/>
        <v>1</v>
      </c>
      <c r="CS231" t="str">
        <f t="shared" si="107"/>
        <v>No es Candidato</v>
      </c>
      <c r="CT231">
        <v>1</v>
      </c>
      <c r="CU231" t="s">
        <v>2836</v>
      </c>
      <c r="CV231" s="25">
        <v>49.288005828857422</v>
      </c>
      <c r="CW231" s="25">
        <v>28.743894577026371</v>
      </c>
      <c r="CX231" s="25">
        <v>38.9342041015625</v>
      </c>
      <c r="CY231" s="25">
        <v>66.769706726074219</v>
      </c>
      <c r="CZ231" s="25">
        <v>54.117969512939453</v>
      </c>
      <c r="DA231" s="25">
        <v>66.157905578613281</v>
      </c>
      <c r="DB231" s="25">
        <v>41.004348754882813</v>
      </c>
      <c r="DC231">
        <v>5905</v>
      </c>
      <c r="DD231" s="253" t="s">
        <v>380</v>
      </c>
    </row>
    <row r="232" spans="1:108" hidden="1">
      <c r="A232" s="13">
        <v>15407</v>
      </c>
      <c r="B232" s="13" t="s">
        <v>922</v>
      </c>
      <c r="C232" s="13" t="s">
        <v>498</v>
      </c>
      <c r="D232" s="13" t="s">
        <v>499</v>
      </c>
      <c r="E232" s="13" t="s">
        <v>923</v>
      </c>
      <c r="F232" s="14">
        <v>76.523233333333295</v>
      </c>
      <c r="G232" s="13">
        <v>72.260000000000005</v>
      </c>
      <c r="H232" s="13">
        <v>55.74</v>
      </c>
      <c r="I232" s="13">
        <v>63.12</v>
      </c>
      <c r="J232" s="14">
        <v>63.893458319294638</v>
      </c>
      <c r="K232" s="14">
        <v>62.70839340265718</v>
      </c>
      <c r="L232" s="14">
        <v>65.810545611150303</v>
      </c>
      <c r="M232" s="14">
        <v>64.148499999999999</v>
      </c>
      <c r="N232" s="14">
        <f t="shared" si="81"/>
        <v>66.910808333333321</v>
      </c>
      <c r="O232" s="14">
        <f t="shared" si="82"/>
        <v>64.140224333275526</v>
      </c>
      <c r="P232" s="14">
        <f t="shared" si="98"/>
        <v>65.525516333304424</v>
      </c>
      <c r="Q232" s="14">
        <v>46.176530285854192</v>
      </c>
      <c r="R232" s="17">
        <f t="shared" si="83"/>
        <v>53.823469714145808</v>
      </c>
      <c r="S232" s="14">
        <f t="shared" si="99"/>
        <v>0.58441122742731233</v>
      </c>
      <c r="T232" s="13">
        <v>0</v>
      </c>
      <c r="U232" s="13">
        <f t="shared" si="100"/>
        <v>38.293847428154841</v>
      </c>
      <c r="V232" s="13">
        <f>IF($T232=1,$AU232,(VLOOKUP(U232,'Cortes naturales'!$A$35:$C$39,3,9)))</f>
        <v>3</v>
      </c>
      <c r="W232" s="13">
        <v>3</v>
      </c>
      <c r="X232" s="14" t="b">
        <f t="shared" si="84"/>
        <v>1</v>
      </c>
      <c r="Y232" s="17">
        <f>IF($T232=1,$AU232,VLOOKUP(U232,'Cortes naturales'!$A$45:$C$49,3,9))</f>
        <v>2</v>
      </c>
      <c r="Z232" s="14">
        <v>67.510623143366104</v>
      </c>
      <c r="AA232" s="14">
        <v>0.58986346014947</v>
      </c>
      <c r="AB232" s="14">
        <v>39.822049764192819</v>
      </c>
      <c r="AC232" s="13">
        <v>2</v>
      </c>
      <c r="AD232" s="13">
        <f t="shared" si="85"/>
        <v>0</v>
      </c>
      <c r="AE232" s="14">
        <f t="shared" si="86"/>
        <v>-1.98510681006168</v>
      </c>
      <c r="AF232" s="14">
        <f t="shared" si="87"/>
        <v>-5.4522327221576683E-3</v>
      </c>
      <c r="AG232" s="13">
        <f t="shared" si="88"/>
        <v>-1.5282023360379782</v>
      </c>
      <c r="AH232" s="13">
        <f>IF($T232=1,$AU232,VLOOKUP(U232,'Cortes naturales'!$A$25:$C$29,3,9))</f>
        <v>2</v>
      </c>
      <c r="AI232" s="13" t="b">
        <f t="shared" si="89"/>
        <v>1</v>
      </c>
      <c r="AJ232" s="13">
        <f t="shared" si="90"/>
        <v>0</v>
      </c>
      <c r="AK232" s="28">
        <v>0.9741882058902549</v>
      </c>
      <c r="AL232" s="28">
        <v>65.768052838568948</v>
      </c>
      <c r="AM232" s="28">
        <v>0.65206300310627718</v>
      </c>
      <c r="AN232" s="13">
        <v>1</v>
      </c>
      <c r="AO232" s="33">
        <f t="shared" si="91"/>
        <v>-1</v>
      </c>
      <c r="AP232" s="13">
        <f t="shared" si="101"/>
        <v>65.206300310627725</v>
      </c>
      <c r="AQ232" s="13">
        <f>IFERROR(VLOOKUP(U232,'Cortes naturales'!$E$15:$G$19,3,9),U232)</f>
        <v>3</v>
      </c>
      <c r="AR232" s="28">
        <f t="shared" si="92"/>
        <v>-0.38977697846294257</v>
      </c>
      <c r="AS232" s="13" t="b">
        <f t="shared" si="93"/>
        <v>0</v>
      </c>
      <c r="AT232" s="13" t="str">
        <f t="shared" si="102"/>
        <v>Cambio en corte</v>
      </c>
      <c r="AU232" s="13">
        <v>1</v>
      </c>
      <c r="AV232">
        <f t="shared" si="94"/>
        <v>-1</v>
      </c>
      <c r="AW232" s="13">
        <v>0</v>
      </c>
      <c r="AX232" s="13">
        <v>0</v>
      </c>
      <c r="AY232" s="13">
        <v>0</v>
      </c>
      <c r="AZ232" s="13">
        <v>0</v>
      </c>
      <c r="BA232">
        <v>0</v>
      </c>
      <c r="BB232" t="s">
        <v>2839</v>
      </c>
      <c r="BC232">
        <v>6</v>
      </c>
      <c r="BD232" t="s">
        <v>2919</v>
      </c>
      <c r="BE232">
        <v>0</v>
      </c>
      <c r="BF232" s="232" t="s">
        <v>2846</v>
      </c>
      <c r="BG232" s="232" t="s">
        <v>2846</v>
      </c>
      <c r="BH232" s="253">
        <v>15.2</v>
      </c>
      <c r="BI232" s="253">
        <v>8.2708347935795885</v>
      </c>
      <c r="BJ232" s="25">
        <v>5.3488372525103536</v>
      </c>
      <c r="BK232" t="s">
        <v>377</v>
      </c>
      <c r="BL232">
        <v>0.49780417409982236</v>
      </c>
      <c r="BM232" t="s">
        <v>383</v>
      </c>
      <c r="BN232" s="322">
        <v>40945.984105000003</v>
      </c>
      <c r="BO232" s="322">
        <v>17262.257913000001</v>
      </c>
      <c r="BP232" s="10">
        <v>19143</v>
      </c>
      <c r="BQ232" s="254">
        <f t="shared" si="95"/>
        <v>2.1389533565794285</v>
      </c>
      <c r="BR232" s="254">
        <f t="shared" si="96"/>
        <v>0.90175301222378945</v>
      </c>
      <c r="BS232" s="25">
        <v>80.434802571166202</v>
      </c>
      <c r="BT232" s="25">
        <v>89.344352535130341</v>
      </c>
      <c r="BU232" s="25">
        <v>63.771666666666668</v>
      </c>
      <c r="BV232" s="25">
        <v>86.097046207234612</v>
      </c>
      <c r="BW232" s="25">
        <v>68.112339702690235</v>
      </c>
      <c r="BX232" s="25">
        <v>79.911966995049454</v>
      </c>
      <c r="BY232" s="25">
        <v>70.318055930653401</v>
      </c>
      <c r="BZ232">
        <v>68</v>
      </c>
      <c r="CA232">
        <v>1</v>
      </c>
      <c r="CB232">
        <v>6</v>
      </c>
      <c r="CC232">
        <v>12638.40135</v>
      </c>
      <c r="CD232" s="10">
        <v>7147.3530000000001</v>
      </c>
      <c r="CE232" s="255">
        <v>0.56552666765880166</v>
      </c>
      <c r="CF232" t="str">
        <f>IFERROR(VLOOKUP(CE232,'Rangos amb etnico'!$A$2:$C$6,3,9),"N.D.")</f>
        <v>51% - 70%</v>
      </c>
      <c r="CG232" s="256">
        <v>2.0794344189807053E-4</v>
      </c>
      <c r="CH232" s="232">
        <v>0</v>
      </c>
      <c r="CI232" s="311">
        <f t="shared" si="103"/>
        <v>0</v>
      </c>
      <c r="CJ232" s="232">
        <f>IFERROR(VLOOKUP(CI232,'Rangos amb etnico'!$A$2:$C$6,3,9),"N.D.")</f>
        <v>0</v>
      </c>
      <c r="CK232" s="311">
        <f t="shared" si="104"/>
        <v>0</v>
      </c>
      <c r="CL232" s="10">
        <v>0</v>
      </c>
      <c r="CM232" s="255">
        <f t="shared" si="105"/>
        <v>0</v>
      </c>
      <c r="CN232" s="232">
        <f>IFERROR(VLOOKUP(CM232,'Rangos amb etnico'!$A$2:$C$6,3,9),"N.D.")</f>
        <v>0</v>
      </c>
      <c r="CO232" s="311">
        <f t="shared" si="106"/>
        <v>0</v>
      </c>
      <c r="CP232">
        <v>0.98089383412574471</v>
      </c>
      <c r="CQ232" t="s">
        <v>2864</v>
      </c>
      <c r="CR232">
        <f t="shared" si="97"/>
        <v>4</v>
      </c>
      <c r="CS232" t="str">
        <f t="shared" si="107"/>
        <v>Candidato</v>
      </c>
      <c r="CT232">
        <v>0</v>
      </c>
      <c r="CU232">
        <v>0</v>
      </c>
      <c r="CV232" s="25">
        <v>52.381305694580078</v>
      </c>
      <c r="CW232" s="25">
        <v>30.607479095458981</v>
      </c>
      <c r="CX232" s="25">
        <v>41.518848419189453</v>
      </c>
      <c r="CY232" s="25">
        <v>68.92236328125</v>
      </c>
      <c r="CZ232" s="25">
        <v>63.639854431152337</v>
      </c>
      <c r="DA232" s="25">
        <v>41.827667236328118</v>
      </c>
      <c r="DB232" s="25">
        <v>67.771621704101563</v>
      </c>
      <c r="DC232">
        <v>100</v>
      </c>
      <c r="DD232" s="253" t="s">
        <v>380</v>
      </c>
    </row>
    <row r="233" spans="1:108" hidden="1">
      <c r="A233" s="13">
        <v>15806</v>
      </c>
      <c r="B233" s="13" t="s">
        <v>924</v>
      </c>
      <c r="C233" s="13" t="s">
        <v>498</v>
      </c>
      <c r="D233" s="13" t="s">
        <v>499</v>
      </c>
      <c r="E233" s="13" t="s">
        <v>925</v>
      </c>
      <c r="F233" s="14">
        <v>95.602199999999996</v>
      </c>
      <c r="G233" s="13">
        <v>84.04</v>
      </c>
      <c r="H233" s="13">
        <v>66.510000000000005</v>
      </c>
      <c r="I233" s="13">
        <v>56.3</v>
      </c>
      <c r="J233" s="14">
        <v>57.455969461506569</v>
      </c>
      <c r="K233" s="14">
        <v>61.404912281904842</v>
      </c>
      <c r="L233" s="14">
        <v>66.696719230705654</v>
      </c>
      <c r="M233" s="14">
        <v>64.892499999999998</v>
      </c>
      <c r="N233" s="14">
        <f t="shared" si="81"/>
        <v>75.613050000000001</v>
      </c>
      <c r="O233" s="14">
        <f t="shared" si="82"/>
        <v>62.612525243529262</v>
      </c>
      <c r="P233" s="14">
        <f t="shared" si="98"/>
        <v>69.112787621764625</v>
      </c>
      <c r="Q233" s="14">
        <v>47.014941888996646</v>
      </c>
      <c r="R233" s="17">
        <f t="shared" si="83"/>
        <v>52.985058111003354</v>
      </c>
      <c r="S233" s="14">
        <f t="shared" si="99"/>
        <v>0.57686552299903027</v>
      </c>
      <c r="T233" s="13">
        <v>0</v>
      </c>
      <c r="U233" s="13">
        <f t="shared" si="100"/>
        <v>39.868784377350153</v>
      </c>
      <c r="V233" s="13">
        <f>IF($T233=1,$AU233,(VLOOKUP(U233,'Cortes naturales'!$A$35:$C$39,3,9)))</f>
        <v>2</v>
      </c>
      <c r="W233" s="13">
        <v>2</v>
      </c>
      <c r="X233" s="14" t="b">
        <f t="shared" si="84"/>
        <v>1</v>
      </c>
      <c r="Y233" s="17">
        <f>IF($T233=1,$AU233,VLOOKUP(U233,'Cortes naturales'!$A$45:$C$49,3,9))</f>
        <v>2</v>
      </c>
      <c r="Z233" s="14">
        <v>74.114332226013886</v>
      </c>
      <c r="AA233" s="14">
        <v>0.59205410206531128</v>
      </c>
      <c r="AB233" s="14">
        <v>43.879694416242813</v>
      </c>
      <c r="AC233" s="13">
        <v>2</v>
      </c>
      <c r="AD233" s="13">
        <f t="shared" si="85"/>
        <v>0</v>
      </c>
      <c r="AE233" s="14">
        <f t="shared" si="86"/>
        <v>-5.0015446042492613</v>
      </c>
      <c r="AF233" s="14">
        <f t="shared" si="87"/>
        <v>-1.5188579066281016E-2</v>
      </c>
      <c r="AG233" s="13">
        <f t="shared" si="88"/>
        <v>-4.0109100388926606</v>
      </c>
      <c r="AH233" s="13">
        <f>IF($T233=1,$AU233,VLOOKUP(U233,'Cortes naturales'!$A$25:$C$29,3,9))</f>
        <v>2</v>
      </c>
      <c r="AI233" s="13" t="b">
        <f t="shared" si="89"/>
        <v>1</v>
      </c>
      <c r="AJ233" s="13">
        <f t="shared" si="90"/>
        <v>0</v>
      </c>
      <c r="AK233" s="28">
        <v>0.9741882058902549</v>
      </c>
      <c r="AL233" s="28">
        <v>72.201308342014769</v>
      </c>
      <c r="AM233" s="28">
        <v>0.73253624816388563</v>
      </c>
      <c r="AN233" s="13">
        <v>1</v>
      </c>
      <c r="AO233" s="33">
        <f t="shared" si="91"/>
        <v>-1</v>
      </c>
      <c r="AP233" s="13">
        <f t="shared" si="101"/>
        <v>73.253624816388566</v>
      </c>
      <c r="AQ233" s="13">
        <f>IFERROR(VLOOKUP(U233,'Cortes naturales'!$E$15:$G$19,3,9),U233)</f>
        <v>3</v>
      </c>
      <c r="AR233" s="28">
        <f t="shared" si="92"/>
        <v>-0.39732268289122463</v>
      </c>
      <c r="AS233" s="13" t="b">
        <f t="shared" si="93"/>
        <v>0</v>
      </c>
      <c r="AT233" s="13" t="str">
        <f t="shared" si="102"/>
        <v>Cambio en corte</v>
      </c>
      <c r="AU233" s="13">
        <v>1</v>
      </c>
      <c r="AV233">
        <f t="shared" si="94"/>
        <v>-1</v>
      </c>
      <c r="AW233" s="13">
        <v>0</v>
      </c>
      <c r="AX233" s="13">
        <v>0</v>
      </c>
      <c r="AY233" s="13">
        <v>0</v>
      </c>
      <c r="AZ233" s="13">
        <v>0</v>
      </c>
      <c r="BA233">
        <v>0</v>
      </c>
      <c r="BB233" t="s">
        <v>2839</v>
      </c>
      <c r="BC233">
        <v>5</v>
      </c>
      <c r="BD233" s="184" t="s">
        <v>2917</v>
      </c>
      <c r="BE233">
        <v>1</v>
      </c>
      <c r="BF233" s="232" t="s">
        <v>2846</v>
      </c>
      <c r="BG233" s="232" t="s">
        <v>2846</v>
      </c>
      <c r="BH233" s="253">
        <v>14.3</v>
      </c>
      <c r="BI233" s="253">
        <v>6.9970051728832017</v>
      </c>
      <c r="BJ233" s="25">
        <v>26.88856430924784</v>
      </c>
      <c r="BK233" t="s">
        <v>379</v>
      </c>
      <c r="BL233">
        <v>0</v>
      </c>
      <c r="BM233" t="s">
        <v>377</v>
      </c>
      <c r="BN233" s="322">
        <v>37248.495043000003</v>
      </c>
      <c r="BO233" s="322">
        <v>21850.706228999999</v>
      </c>
      <c r="BP233" s="10">
        <v>13579</v>
      </c>
      <c r="BQ233" s="254">
        <f t="shared" si="95"/>
        <v>2.7430955919434421</v>
      </c>
      <c r="BR233" s="254">
        <f t="shared" si="96"/>
        <v>1.6091542992120185</v>
      </c>
      <c r="BS233" s="25">
        <v>60.122206841145207</v>
      </c>
      <c r="BT233" s="25">
        <v>84.473574391830525</v>
      </c>
      <c r="BU233" s="25">
        <v>59.733480006763038</v>
      </c>
      <c r="BV233" s="25">
        <v>87.978631111116314</v>
      </c>
      <c r="BW233" s="25">
        <v>57.092583697300867</v>
      </c>
      <c r="BX233" s="25">
        <v>73.076973087713782</v>
      </c>
      <c r="BY233" s="25">
        <v>58.399043238129607</v>
      </c>
      <c r="BZ233">
        <v>21</v>
      </c>
      <c r="CA233">
        <v>0</v>
      </c>
      <c r="CB233">
        <v>7</v>
      </c>
      <c r="CC233">
        <v>9356.7841900000003</v>
      </c>
      <c r="CD233" s="10">
        <v>545.94194700000003</v>
      </c>
      <c r="CE233" s="255">
        <v>5.8347177397066803E-2</v>
      </c>
      <c r="CF233" t="str">
        <f>IFERROR(VLOOKUP(CE233,'Rangos amb etnico'!$A$2:$C$6,3,9),"N.D.")</f>
        <v>0,1% - 30%</v>
      </c>
      <c r="CG233" s="256">
        <v>1.588350925660367E-5</v>
      </c>
      <c r="CH233" s="232">
        <v>0</v>
      </c>
      <c r="CI233" s="311">
        <f t="shared" si="103"/>
        <v>0</v>
      </c>
      <c r="CJ233" s="232">
        <f>IFERROR(VLOOKUP(CI233,'Rangos amb etnico'!$A$2:$C$6,3,9),"N.D.")</f>
        <v>0</v>
      </c>
      <c r="CK233" s="311">
        <f t="shared" si="104"/>
        <v>0</v>
      </c>
      <c r="CL233" s="10">
        <v>0</v>
      </c>
      <c r="CM233" s="255">
        <f t="shared" si="105"/>
        <v>0</v>
      </c>
      <c r="CN233" s="232">
        <f>IFERROR(VLOOKUP(CM233,'Rangos amb etnico'!$A$2:$C$6,3,9),"N.D.")</f>
        <v>0</v>
      </c>
      <c r="CO233" s="311">
        <f t="shared" si="106"/>
        <v>0</v>
      </c>
      <c r="CP233">
        <v>0.9647134508986217</v>
      </c>
      <c r="CQ233" t="s">
        <v>2864</v>
      </c>
      <c r="CR233">
        <f t="shared" si="97"/>
        <v>2</v>
      </c>
      <c r="CS233" t="str">
        <f t="shared" si="107"/>
        <v>No es Candidato</v>
      </c>
      <c r="CT233">
        <v>0</v>
      </c>
      <c r="CU233">
        <v>0</v>
      </c>
      <c r="CV233" s="25">
        <v>57.327552795410163</v>
      </c>
      <c r="CW233" s="25">
        <v>42.451633453369141</v>
      </c>
      <c r="CX233" s="25">
        <v>62.114631652832031</v>
      </c>
      <c r="CY233" s="25">
        <v>68.877410888671875</v>
      </c>
      <c r="CZ233" s="25">
        <v>60.963932037353523</v>
      </c>
      <c r="DA233" s="25">
        <v>46.519699096679688</v>
      </c>
      <c r="DB233" s="25">
        <v>63.038009643554688</v>
      </c>
      <c r="DC233">
        <v>112</v>
      </c>
      <c r="DD233" s="253" t="s">
        <v>380</v>
      </c>
    </row>
    <row r="234" spans="1:108" hidden="1">
      <c r="A234" s="13">
        <v>13140</v>
      </c>
      <c r="B234" s="13" t="s">
        <v>926</v>
      </c>
      <c r="C234" s="13" t="s">
        <v>480</v>
      </c>
      <c r="D234" s="13" t="s">
        <v>481</v>
      </c>
      <c r="E234" s="13" t="s">
        <v>927</v>
      </c>
      <c r="F234" s="14">
        <v>48.314866666666703</v>
      </c>
      <c r="G234" s="13">
        <v>35.96</v>
      </c>
      <c r="H234" s="13">
        <v>44.49</v>
      </c>
      <c r="I234" s="13">
        <v>40.81</v>
      </c>
      <c r="J234" s="14">
        <v>47.371186833885915</v>
      </c>
      <c r="K234" s="14">
        <v>49.171002987948278</v>
      </c>
      <c r="L234" s="14">
        <v>52.251491025945043</v>
      </c>
      <c r="M234" s="14">
        <v>59.768500000000003</v>
      </c>
      <c r="N234" s="14">
        <f t="shared" si="81"/>
        <v>42.393716666666677</v>
      </c>
      <c r="O234" s="14">
        <f t="shared" si="82"/>
        <v>52.140545211944811</v>
      </c>
      <c r="P234" s="14">
        <f t="shared" si="98"/>
        <v>47.267130939305744</v>
      </c>
      <c r="Q234" s="14">
        <v>46.544181018905896</v>
      </c>
      <c r="R234" s="17">
        <f t="shared" si="83"/>
        <v>53.455818981094104</v>
      </c>
      <c r="S234" s="14">
        <f t="shared" si="99"/>
        <v>0.58110237082984695</v>
      </c>
      <c r="T234" s="13">
        <v>0</v>
      </c>
      <c r="U234" s="13">
        <f t="shared" si="100"/>
        <v>27.467041851155379</v>
      </c>
      <c r="V234" s="13">
        <f>IF($T234=1,$AU234,(VLOOKUP(U234,'Cortes naturales'!$A$35:$C$39,3,9)))</f>
        <v>4</v>
      </c>
      <c r="W234" s="13">
        <v>4</v>
      </c>
      <c r="X234" s="14" t="b">
        <f t="shared" si="84"/>
        <v>1</v>
      </c>
      <c r="Y234" s="17">
        <f>IF($T234=1,$AU234,VLOOKUP(U234,'Cortes naturales'!$A$45:$C$49,3,9))</f>
        <v>4</v>
      </c>
      <c r="Z234" s="14">
        <v>45.978110280964387</v>
      </c>
      <c r="AA234" s="14">
        <v>0.59118426856449779</v>
      </c>
      <c r="AB234" s="14">
        <v>27.181535496429746</v>
      </c>
      <c r="AC234" s="13">
        <v>4</v>
      </c>
      <c r="AD234" s="13">
        <f t="shared" si="85"/>
        <v>0</v>
      </c>
      <c r="AE234" s="14">
        <f t="shared" si="86"/>
        <v>1.2890206583413573</v>
      </c>
      <c r="AF234" s="14">
        <f t="shared" si="87"/>
        <v>-1.0081897734650846E-2</v>
      </c>
      <c r="AG234" s="13">
        <f t="shared" si="88"/>
        <v>0.28550635472563357</v>
      </c>
      <c r="AH234" s="13">
        <f>IF($T234=1,$AU234,VLOOKUP(U234,'Cortes naturales'!$A$25:$C$29,3,9))</f>
        <v>4</v>
      </c>
      <c r="AI234" s="13" t="b">
        <f t="shared" si="89"/>
        <v>1</v>
      </c>
      <c r="AJ234" s="13">
        <f t="shared" si="90"/>
        <v>0</v>
      </c>
      <c r="AK234" s="28">
        <v>0.9741882058902549</v>
      </c>
      <c r="AL234" s="28">
        <v>44.79133276483698</v>
      </c>
      <c r="AM234" s="28">
        <v>0.38966634653106175</v>
      </c>
      <c r="AN234" s="13">
        <v>3</v>
      </c>
      <c r="AO234" s="33">
        <f t="shared" si="91"/>
        <v>-1</v>
      </c>
      <c r="AP234" s="13">
        <f t="shared" si="101"/>
        <v>38.966634653106176</v>
      </c>
      <c r="AQ234" s="13">
        <f>IFERROR(VLOOKUP(U234,'Cortes naturales'!$E$15:$G$19,3,9),U234)</f>
        <v>4</v>
      </c>
      <c r="AR234" s="28">
        <f t="shared" si="92"/>
        <v>-0.39308583506040795</v>
      </c>
      <c r="AS234" s="13" t="b">
        <f t="shared" si="93"/>
        <v>1</v>
      </c>
      <c r="AT234" s="13" t="str">
        <f t="shared" si="102"/>
        <v>Efecto ponderador</v>
      </c>
      <c r="AU234" s="13">
        <v>3</v>
      </c>
      <c r="AV234">
        <f t="shared" si="94"/>
        <v>-1</v>
      </c>
      <c r="AW234" s="13">
        <v>0</v>
      </c>
      <c r="AX234" s="13">
        <v>0</v>
      </c>
      <c r="AY234" s="13">
        <v>0</v>
      </c>
      <c r="AZ234" s="13">
        <v>0</v>
      </c>
      <c r="BA234">
        <v>0</v>
      </c>
      <c r="BB234" t="s">
        <v>2839</v>
      </c>
      <c r="BC234">
        <v>6</v>
      </c>
      <c r="BD234" t="s">
        <v>2919</v>
      </c>
      <c r="BE234">
        <v>1</v>
      </c>
      <c r="BF234" s="232" t="s">
        <v>2846</v>
      </c>
      <c r="BG234" s="232" t="s">
        <v>2846</v>
      </c>
      <c r="BH234" s="253">
        <v>62.5</v>
      </c>
      <c r="BI234" s="253">
        <v>40.802630393658227</v>
      </c>
      <c r="BJ234" s="25">
        <v>12.053571428571429</v>
      </c>
      <c r="BK234" t="s">
        <v>377</v>
      </c>
      <c r="BL234">
        <v>1.8735323480664958</v>
      </c>
      <c r="BM234" t="s">
        <v>383</v>
      </c>
      <c r="BN234" s="322">
        <v>58244.043682000003</v>
      </c>
      <c r="BO234" s="322">
        <v>3216.9443030000002</v>
      </c>
      <c r="BP234" s="10">
        <v>24810</v>
      </c>
      <c r="BQ234" s="254">
        <f t="shared" si="95"/>
        <v>2.3476035341394601</v>
      </c>
      <c r="BR234" s="254">
        <f t="shared" si="96"/>
        <v>0.12966321253526805</v>
      </c>
      <c r="BS234" s="25">
        <v>60.938572673639037</v>
      </c>
      <c r="BT234" s="25">
        <v>96.32850333333333</v>
      </c>
      <c r="BU234" s="25">
        <v>33.324211751018026</v>
      </c>
      <c r="BV234" s="25">
        <v>93.978750237034248</v>
      </c>
      <c r="BW234" s="25">
        <v>28.47370712710255</v>
      </c>
      <c r="BX234" s="25">
        <v>71.142509498756169</v>
      </c>
      <c r="BY234" s="25">
        <v>28.149018771512651</v>
      </c>
      <c r="BZ234">
        <v>48</v>
      </c>
      <c r="CA234">
        <v>0</v>
      </c>
      <c r="CB234">
        <v>7</v>
      </c>
      <c r="CC234">
        <v>25550.405217</v>
      </c>
      <c r="CD234" s="10">
        <v>2799.1060539999999</v>
      </c>
      <c r="CE234" s="255">
        <v>0.10955231552013157</v>
      </c>
      <c r="CF234" t="str">
        <f>IFERROR(VLOOKUP(CE234,'Rangos amb etnico'!$A$2:$C$6,3,9),"N.D.")</f>
        <v>0,1% - 30%</v>
      </c>
      <c r="CG234" s="256">
        <v>8.1436546803618969E-5</v>
      </c>
      <c r="CH234" s="232">
        <v>72.017472999999995</v>
      </c>
      <c r="CI234" s="311">
        <f t="shared" si="103"/>
        <v>2.8186430856322804E-3</v>
      </c>
      <c r="CJ234" s="232" t="str">
        <f>IFERROR(VLOOKUP(CI234,'Rangos amb etnico'!$A$2:$C$6,3,9),"N.D.")</f>
        <v>0,1% - 30%</v>
      </c>
      <c r="CK234" s="311">
        <f t="shared" si="104"/>
        <v>2.8595651909339985E-6</v>
      </c>
      <c r="CL234" s="10">
        <v>0</v>
      </c>
      <c r="CM234" s="255">
        <f t="shared" si="105"/>
        <v>0</v>
      </c>
      <c r="CN234" s="232">
        <f>IFERROR(VLOOKUP(CM234,'Rangos amb etnico'!$A$2:$C$6,3,9),"N.D.")</f>
        <v>0</v>
      </c>
      <c r="CO234" s="311">
        <f t="shared" si="106"/>
        <v>0</v>
      </c>
      <c r="CP234">
        <v>0.91068643274825856</v>
      </c>
      <c r="CQ234" t="s">
        <v>2864</v>
      </c>
      <c r="CR234">
        <f t="shared" si="97"/>
        <v>1</v>
      </c>
      <c r="CS234" t="str">
        <f t="shared" si="107"/>
        <v>No es Candidato</v>
      </c>
      <c r="CT234">
        <v>0</v>
      </c>
      <c r="CU234">
        <v>0</v>
      </c>
      <c r="CV234" s="25">
        <v>45.740028381347663</v>
      </c>
      <c r="CW234" s="25">
        <v>27.108400344848629</v>
      </c>
      <c r="CX234" s="25">
        <v>58.686061859130859</v>
      </c>
      <c r="CY234" s="25">
        <v>45.781032562255859</v>
      </c>
      <c r="CZ234" s="25">
        <v>13.33623123168945</v>
      </c>
      <c r="DA234" s="25">
        <v>84.589981079101563</v>
      </c>
      <c r="DB234" s="25">
        <v>44.938461303710938</v>
      </c>
      <c r="DC234">
        <v>313</v>
      </c>
      <c r="DD234" s="253" t="s">
        <v>380</v>
      </c>
    </row>
    <row r="235" spans="1:108">
      <c r="A235" s="13">
        <v>5576</v>
      </c>
      <c r="B235" s="13" t="s">
        <v>928</v>
      </c>
      <c r="C235" s="13" t="s">
        <v>435</v>
      </c>
      <c r="D235" s="13" t="s">
        <v>436</v>
      </c>
      <c r="E235" s="13" t="s">
        <v>929</v>
      </c>
      <c r="F235" s="14">
        <v>68.378533333333294</v>
      </c>
      <c r="G235" s="13">
        <v>66.290000000000006</v>
      </c>
      <c r="H235" s="13">
        <v>65.400000000000006</v>
      </c>
      <c r="I235" s="13">
        <v>71.209999999999994</v>
      </c>
      <c r="J235" s="14">
        <v>42.723422948309413</v>
      </c>
      <c r="K235" s="14">
        <v>50.435549463197376</v>
      </c>
      <c r="L235" s="14">
        <v>56.117302059483364</v>
      </c>
      <c r="M235" s="14">
        <v>50.971499999999999</v>
      </c>
      <c r="N235" s="14">
        <f t="shared" si="81"/>
        <v>67.819633333333329</v>
      </c>
      <c r="O235" s="14">
        <f t="shared" si="82"/>
        <v>50.061943617747538</v>
      </c>
      <c r="P235" s="14">
        <f t="shared" si="98"/>
        <v>58.94078847554043</v>
      </c>
      <c r="Q235" s="14">
        <v>46.140714605875502</v>
      </c>
      <c r="R235" s="17">
        <f t="shared" si="83"/>
        <v>53.859285394124498</v>
      </c>
      <c r="S235" s="14">
        <f t="shared" si="99"/>
        <v>0.58473356854712055</v>
      </c>
      <c r="T235" s="13">
        <v>0</v>
      </c>
      <c r="U235" s="13">
        <f t="shared" si="100"/>
        <v>34.464657578283756</v>
      </c>
      <c r="V235" s="13">
        <f>IF($T235=1,$AU235,(VLOOKUP(U235,'Cortes naturales'!$A$35:$C$39,3,9)))</f>
        <v>3</v>
      </c>
      <c r="W235" s="13">
        <v>3</v>
      </c>
      <c r="X235" s="14" t="b">
        <f t="shared" si="84"/>
        <v>1</v>
      </c>
      <c r="Y235" s="17">
        <f>IF($T235=1,$AU235,VLOOKUP(U235,'Cortes naturales'!$A$45:$C$49,3,9))</f>
        <v>3</v>
      </c>
      <c r="Z235" s="14">
        <v>59.245209710097939</v>
      </c>
      <c r="AA235" s="14">
        <v>0.59082741308817699</v>
      </c>
      <c r="AB235" s="14">
        <v>35.003693990883711</v>
      </c>
      <c r="AC235" s="13">
        <v>2</v>
      </c>
      <c r="AD235" s="13">
        <f t="shared" si="85"/>
        <v>-1</v>
      </c>
      <c r="AE235" s="14">
        <f t="shared" si="86"/>
        <v>-0.30442123455750902</v>
      </c>
      <c r="AF235" s="14">
        <f t="shared" si="87"/>
        <v>-6.0938445410564368E-3</v>
      </c>
      <c r="AG235" s="13">
        <f t="shared" si="88"/>
        <v>-0.53903641259995538</v>
      </c>
      <c r="AH235" s="13">
        <f>IF($T235=1,$AU235,VLOOKUP(U235,'Cortes naturales'!$A$25:$C$29,3,9))</f>
        <v>3</v>
      </c>
      <c r="AI235" s="13" t="b">
        <f t="shared" si="89"/>
        <v>1</v>
      </c>
      <c r="AJ235" s="13" t="str">
        <f t="shared" si="90"/>
        <v>Efecto ponderador</v>
      </c>
      <c r="AK235" s="28">
        <v>0.9741882058902549</v>
      </c>
      <c r="AL235" s="28">
        <v>57.715984555072218</v>
      </c>
      <c r="AM235" s="28">
        <v>0.55134011655974469</v>
      </c>
      <c r="AN235" s="13">
        <v>2</v>
      </c>
      <c r="AO235" s="33">
        <f t="shared" si="91"/>
        <v>-1</v>
      </c>
      <c r="AP235" s="13">
        <f t="shared" si="101"/>
        <v>55.134011655974469</v>
      </c>
      <c r="AQ235" s="13">
        <f>IFERROR(VLOOKUP(U235,'Cortes naturales'!$E$15:$G$19,3,9),U235)</f>
        <v>4</v>
      </c>
      <c r="AR235" s="28">
        <f t="shared" si="92"/>
        <v>-0.38945463734313435</v>
      </c>
      <c r="AS235" s="13" t="b">
        <f t="shared" si="93"/>
        <v>0</v>
      </c>
      <c r="AT235" s="13" t="str">
        <f t="shared" si="102"/>
        <v>Cambio en corte</v>
      </c>
      <c r="AU235" s="13">
        <v>2</v>
      </c>
      <c r="AV235">
        <f t="shared" si="94"/>
        <v>-1</v>
      </c>
      <c r="AW235" s="13">
        <v>0</v>
      </c>
      <c r="AX235" s="13">
        <v>0</v>
      </c>
      <c r="AY235" s="13">
        <v>0</v>
      </c>
      <c r="AZ235" s="13">
        <v>0</v>
      </c>
      <c r="BA235">
        <v>0</v>
      </c>
      <c r="BB235" t="s">
        <v>2839</v>
      </c>
      <c r="BC235">
        <v>6</v>
      </c>
      <c r="BD235" t="s">
        <v>2919</v>
      </c>
      <c r="BE235">
        <v>1</v>
      </c>
      <c r="BF235" s="232" t="s">
        <v>2846</v>
      </c>
      <c r="BG235" s="232" t="s">
        <v>2845</v>
      </c>
      <c r="BH235" s="253">
        <v>45.7</v>
      </c>
      <c r="BI235" s="253">
        <v>15.856706470424882</v>
      </c>
      <c r="BJ235" s="25">
        <v>24.14347611799667</v>
      </c>
      <c r="BK235" t="s">
        <v>379</v>
      </c>
      <c r="BL235">
        <v>2.1082601216269743</v>
      </c>
      <c r="BM235" t="s">
        <v>383</v>
      </c>
      <c r="BN235" s="322">
        <v>20738.088411000001</v>
      </c>
      <c r="BO235" s="322">
        <v>2537.2611710000001</v>
      </c>
      <c r="BP235" s="10">
        <v>9040</v>
      </c>
      <c r="BQ235" s="254">
        <f t="shared" si="95"/>
        <v>2.2940363286504426</v>
      </c>
      <c r="BR235" s="254">
        <f t="shared" si="96"/>
        <v>0.28067048351769913</v>
      </c>
      <c r="BS235" s="25">
        <v>55.205818826036428</v>
      </c>
      <c r="BT235" s="25">
        <v>88.861271740412974</v>
      </c>
      <c r="BU235" s="25">
        <v>59.139930897165613</v>
      </c>
      <c r="BV235" s="25">
        <v>74.433976462613415</v>
      </c>
      <c r="BW235" s="25">
        <v>51.631223295207469</v>
      </c>
      <c r="BX235" s="25">
        <v>69.410249481557102</v>
      </c>
      <c r="BY235" s="25">
        <v>52.286463977718277</v>
      </c>
      <c r="BZ235">
        <v>83</v>
      </c>
      <c r="CA235">
        <v>0</v>
      </c>
      <c r="CB235">
        <v>7</v>
      </c>
      <c r="CC235">
        <v>7542.6831359999996</v>
      </c>
      <c r="CD235" s="10">
        <v>2248.6427309999999</v>
      </c>
      <c r="CE235" s="255">
        <v>0.29812239099208526</v>
      </c>
      <c r="CF235" t="str">
        <f>IFERROR(VLOOKUP(CE235,'Rangos amb etnico'!$A$2:$C$6,3,9),"N.D.")</f>
        <v>0,1% - 30%</v>
      </c>
      <c r="CG235" s="256">
        <v>6.5421493675101418E-5</v>
      </c>
      <c r="CH235" s="232">
        <v>18.688934</v>
      </c>
      <c r="CI235" s="311">
        <f t="shared" si="103"/>
        <v>2.4777567429288866E-3</v>
      </c>
      <c r="CJ235" s="232" t="str">
        <f>IFERROR(VLOOKUP(CI235,'Rangos amb etnico'!$A$2:$C$6,3,9),"N.D.")</f>
        <v>0,1% - 30%</v>
      </c>
      <c r="CK235" s="311">
        <f t="shared" si="104"/>
        <v>7.4207303999770855E-7</v>
      </c>
      <c r="CL235" s="10">
        <v>0</v>
      </c>
      <c r="CM235" s="255">
        <f t="shared" si="105"/>
        <v>0</v>
      </c>
      <c r="CN235" s="232">
        <f>IFERROR(VLOOKUP(CM235,'Rangos amb etnico'!$A$2:$C$6,3,9),"N.D.")</f>
        <v>0</v>
      </c>
      <c r="CO235" s="311">
        <f t="shared" si="106"/>
        <v>0</v>
      </c>
      <c r="CP235">
        <v>0.88724897292941063</v>
      </c>
      <c r="CQ235" t="s">
        <v>2864</v>
      </c>
      <c r="CR235">
        <f t="shared" si="97"/>
        <v>2</v>
      </c>
      <c r="CS235" t="str">
        <f t="shared" si="107"/>
        <v>No es Candidato</v>
      </c>
      <c r="CT235">
        <v>0</v>
      </c>
      <c r="CU235">
        <v>0</v>
      </c>
      <c r="CV235" s="25">
        <v>45.453781127929688</v>
      </c>
      <c r="CW235" s="25">
        <v>22.15361213684082</v>
      </c>
      <c r="CX235" s="25">
        <v>51.915802001953118</v>
      </c>
      <c r="CY235" s="25">
        <v>51.094776153564453</v>
      </c>
      <c r="CZ235" s="25">
        <v>33.559833526611328</v>
      </c>
      <c r="DA235" s="25">
        <v>53.387542724609382</v>
      </c>
      <c r="DB235" s="25">
        <v>60.611125946044922</v>
      </c>
      <c r="DC235">
        <v>268</v>
      </c>
      <c r="DD235" s="253" t="s">
        <v>380</v>
      </c>
    </row>
    <row r="236" spans="1:108" hidden="1">
      <c r="A236" s="13">
        <v>25718</v>
      </c>
      <c r="B236" s="13" t="s">
        <v>930</v>
      </c>
      <c r="C236" s="13" t="s">
        <v>461</v>
      </c>
      <c r="D236" s="13" t="s">
        <v>462</v>
      </c>
      <c r="E236" s="13" t="s">
        <v>931</v>
      </c>
      <c r="F236" s="14">
        <v>72.180700000000002</v>
      </c>
      <c r="G236" s="13">
        <v>79.180000000000007</v>
      </c>
      <c r="H236" s="13">
        <v>78.540000000000006</v>
      </c>
      <c r="I236" s="13">
        <v>77.48</v>
      </c>
      <c r="J236" s="14">
        <v>51.353101097816037</v>
      </c>
      <c r="K236" s="14">
        <v>41.155151871859893</v>
      </c>
      <c r="L236" s="14">
        <v>53.529305556912917</v>
      </c>
      <c r="M236" s="14">
        <v>58.444800000000001</v>
      </c>
      <c r="N236" s="14">
        <f t="shared" si="81"/>
        <v>76.845175000000012</v>
      </c>
      <c r="O236" s="14">
        <f t="shared" si="82"/>
        <v>51.120589631647206</v>
      </c>
      <c r="P236" s="14">
        <f t="shared" si="98"/>
        <v>63.982882315823609</v>
      </c>
      <c r="Q236" s="14">
        <v>47.760006087250964</v>
      </c>
      <c r="R236" s="17">
        <f t="shared" si="83"/>
        <v>52.239993912749036</v>
      </c>
      <c r="S236" s="14">
        <f t="shared" si="99"/>
        <v>0.57015994521474134</v>
      </c>
      <c r="T236" s="13">
        <v>0</v>
      </c>
      <c r="U236" s="13">
        <f t="shared" si="100"/>
        <v>36.48047667587123</v>
      </c>
      <c r="V236" s="13">
        <f>IF($T236=1,$AU236,(VLOOKUP(U236,'Cortes naturales'!$A$35:$C$39,3,9)))</f>
        <v>3</v>
      </c>
      <c r="W236" s="13">
        <v>3</v>
      </c>
      <c r="X236" s="14" t="b">
        <f t="shared" si="84"/>
        <v>1</v>
      </c>
      <c r="Y236" s="17">
        <f>IF($T236=1,$AU236,VLOOKUP(U236,'Cortes naturales'!$A$45:$C$49,3,9))</f>
        <v>2</v>
      </c>
      <c r="Z236" s="14">
        <v>62.259451818911877</v>
      </c>
      <c r="AA236" s="14">
        <v>0.58916849535409432</v>
      </c>
      <c r="AB236" s="14">
        <v>36.681307549719044</v>
      </c>
      <c r="AC236" s="13">
        <v>2</v>
      </c>
      <c r="AD236" s="13">
        <f t="shared" si="85"/>
        <v>0</v>
      </c>
      <c r="AE236" s="14">
        <f t="shared" si="86"/>
        <v>1.7234304969117318</v>
      </c>
      <c r="AF236" s="14">
        <f t="shared" si="87"/>
        <v>-1.9008550139352987E-2</v>
      </c>
      <c r="AG236" s="13">
        <f t="shared" si="88"/>
        <v>-0.20083087384781351</v>
      </c>
      <c r="AH236" s="13">
        <f>IF($T236=1,$AU236,VLOOKUP(U236,'Cortes naturales'!$A$25:$C$29,3,9))</f>
        <v>2</v>
      </c>
      <c r="AI236" s="13" t="b">
        <f t="shared" si="89"/>
        <v>1</v>
      </c>
      <c r="AJ236" s="13">
        <f t="shared" si="90"/>
        <v>0</v>
      </c>
      <c r="AK236" s="28">
        <v>0.9741882058902549</v>
      </c>
      <c r="AL236" s="28">
        <v>60.652423667176528</v>
      </c>
      <c r="AM236" s="28">
        <v>0.58807187455358545</v>
      </c>
      <c r="AN236" s="13">
        <v>2</v>
      </c>
      <c r="AO236" s="33">
        <f t="shared" si="91"/>
        <v>0</v>
      </c>
      <c r="AP236" s="13">
        <f t="shared" si="101"/>
        <v>58.807187455358545</v>
      </c>
      <c r="AQ236" s="13">
        <f>IFERROR(VLOOKUP(U236,'Cortes naturales'!$E$15:$G$19,3,9),U236)</f>
        <v>3</v>
      </c>
      <c r="AR236" s="28">
        <f t="shared" si="92"/>
        <v>-0.40402826067551356</v>
      </c>
      <c r="AS236" s="13" t="b">
        <f t="shared" si="93"/>
        <v>0</v>
      </c>
      <c r="AT236" s="13">
        <f t="shared" si="102"/>
        <v>0</v>
      </c>
      <c r="AU236" s="13">
        <v>2</v>
      </c>
      <c r="AV236">
        <f t="shared" si="94"/>
        <v>0</v>
      </c>
      <c r="AW236" s="13">
        <v>0</v>
      </c>
      <c r="AX236" s="13">
        <v>0</v>
      </c>
      <c r="AY236" s="13">
        <v>0</v>
      </c>
      <c r="AZ236" s="13">
        <v>0</v>
      </c>
      <c r="BA236">
        <v>0</v>
      </c>
      <c r="BB236" t="s">
        <v>2839</v>
      </c>
      <c r="BC236">
        <v>6</v>
      </c>
      <c r="BD236" t="s">
        <v>2919</v>
      </c>
      <c r="BE236">
        <v>0</v>
      </c>
      <c r="BF236" s="232" t="s">
        <v>2846</v>
      </c>
      <c r="BG236" s="232" t="s">
        <v>2846</v>
      </c>
      <c r="BH236" s="253">
        <v>22.9</v>
      </c>
      <c r="BI236" s="253">
        <v>8.5170448435315631</v>
      </c>
      <c r="BJ236" s="25">
        <v>3.4613237869455924</v>
      </c>
      <c r="BK236" t="s">
        <v>381</v>
      </c>
      <c r="BL236">
        <v>0.67982111446081994</v>
      </c>
      <c r="BM236" t="s">
        <v>383</v>
      </c>
      <c r="BN236" s="322">
        <v>18629.088551000001</v>
      </c>
      <c r="BO236" s="322">
        <v>3363.6368240000002</v>
      </c>
      <c r="BP236" s="10">
        <v>11389</v>
      </c>
      <c r="BQ236" s="254">
        <f t="shared" si="95"/>
        <v>1.6357088902449732</v>
      </c>
      <c r="BR236" s="254">
        <f t="shared" si="96"/>
        <v>0.2953408397576609</v>
      </c>
      <c r="BS236" s="25">
        <v>53.732631433827748</v>
      </c>
      <c r="BT236" s="25">
        <v>86.266386758089268</v>
      </c>
      <c r="BU236" s="25">
        <v>46.356789413118499</v>
      </c>
      <c r="BV236" s="25">
        <v>92.201857221171792</v>
      </c>
      <c r="BW236" s="25">
        <v>54.410575566963253</v>
      </c>
      <c r="BX236" s="25">
        <v>69.639416206551829</v>
      </c>
      <c r="BY236" s="25">
        <v>54.293843756017672</v>
      </c>
      <c r="BZ236">
        <v>37</v>
      </c>
      <c r="CA236">
        <v>0</v>
      </c>
      <c r="CB236">
        <v>7</v>
      </c>
      <c r="CC236">
        <v>11150.661029000001</v>
      </c>
      <c r="CD236" s="10">
        <v>5939.0931579999997</v>
      </c>
      <c r="CE236" s="255">
        <v>0.53262251830218377</v>
      </c>
      <c r="CF236" t="str">
        <f>IFERROR(VLOOKUP(CE236,'Rangos amb etnico'!$A$2:$C$6,3,9),"N.D.")</f>
        <v>51% - 70%</v>
      </c>
      <c r="CG236" s="256">
        <v>1.7279060835917874E-4</v>
      </c>
      <c r="CH236" s="232">
        <v>0</v>
      </c>
      <c r="CI236" s="311">
        <f t="shared" si="103"/>
        <v>0</v>
      </c>
      <c r="CJ236" s="232">
        <f>IFERROR(VLOOKUP(CI236,'Rangos amb etnico'!$A$2:$C$6,3,9),"N.D.")</f>
        <v>0</v>
      </c>
      <c r="CK236" s="311">
        <f t="shared" si="104"/>
        <v>0</v>
      </c>
      <c r="CL236" s="10">
        <v>0</v>
      </c>
      <c r="CM236" s="255">
        <f t="shared" si="105"/>
        <v>0</v>
      </c>
      <c r="CN236" s="232">
        <f>IFERROR(VLOOKUP(CM236,'Rangos amb etnico'!$A$2:$C$6,3,9),"N.D.")</f>
        <v>0</v>
      </c>
      <c r="CO236" s="311">
        <f t="shared" si="106"/>
        <v>0</v>
      </c>
      <c r="CP236">
        <v>0.92553763744496986</v>
      </c>
      <c r="CQ236" t="s">
        <v>2864</v>
      </c>
      <c r="CR236">
        <f t="shared" si="97"/>
        <v>2</v>
      </c>
      <c r="CS236" t="str">
        <f t="shared" si="107"/>
        <v>No es Candidato</v>
      </c>
      <c r="CT236">
        <v>0</v>
      </c>
      <c r="CU236">
        <v>0</v>
      </c>
      <c r="CV236" s="25">
        <v>46.111610412597663</v>
      </c>
      <c r="CW236" s="25">
        <v>29.433086395263668</v>
      </c>
      <c r="CX236" s="25">
        <v>48.446144104003913</v>
      </c>
      <c r="CY236" s="25">
        <v>67.582427978515625</v>
      </c>
      <c r="CZ236" s="25">
        <v>37.696880340576172</v>
      </c>
      <c r="DA236" s="25">
        <v>52.697566986083977</v>
      </c>
      <c r="DB236" s="25">
        <v>40.813560485839837</v>
      </c>
      <c r="DC236">
        <v>114</v>
      </c>
      <c r="DD236" s="253" t="s">
        <v>380</v>
      </c>
    </row>
    <row r="237" spans="1:108" hidden="1">
      <c r="A237" s="13">
        <v>44430</v>
      </c>
      <c r="B237" s="13" t="s">
        <v>932</v>
      </c>
      <c r="C237" s="13" t="s">
        <v>933</v>
      </c>
      <c r="D237" s="13" t="s">
        <v>934</v>
      </c>
      <c r="E237" s="13" t="s">
        <v>935</v>
      </c>
      <c r="F237" s="14">
        <v>66.8309</v>
      </c>
      <c r="G237" s="13">
        <v>60.92</v>
      </c>
      <c r="H237" s="13">
        <v>57.71</v>
      </c>
      <c r="I237" s="13">
        <v>52.64</v>
      </c>
      <c r="J237" s="14">
        <v>42.692646512186386</v>
      </c>
      <c r="K237" s="14">
        <v>33.908931014159286</v>
      </c>
      <c r="L237" s="14">
        <v>56.686379490101402</v>
      </c>
      <c r="M237" s="14">
        <v>30.821000000000002</v>
      </c>
      <c r="N237" s="14">
        <f t="shared" si="81"/>
        <v>59.525225000000006</v>
      </c>
      <c r="O237" s="14">
        <f t="shared" si="82"/>
        <v>41.02723925411177</v>
      </c>
      <c r="P237" s="14">
        <f t="shared" si="98"/>
        <v>50.276232127055891</v>
      </c>
      <c r="Q237" s="14">
        <v>47.477280891203435</v>
      </c>
      <c r="R237" s="17">
        <f t="shared" si="83"/>
        <v>52.522719108796565</v>
      </c>
      <c r="S237" s="14">
        <f t="shared" si="99"/>
        <v>0.57270447197916907</v>
      </c>
      <c r="T237" s="13">
        <v>0</v>
      </c>
      <c r="U237" s="13">
        <f t="shared" si="100"/>
        <v>28.793422973427681</v>
      </c>
      <c r="V237" s="13">
        <f>IF($T237=1,$AU237,(VLOOKUP(U237,'Cortes naturales'!$A$35:$C$39,3,9)))</f>
        <v>4</v>
      </c>
      <c r="W237" s="13">
        <v>4</v>
      </c>
      <c r="X237" s="14" t="b">
        <f t="shared" si="84"/>
        <v>1</v>
      </c>
      <c r="Y237" s="17">
        <f>IF($T237=1,$AU237,VLOOKUP(U237,'Cortes naturales'!$A$45:$C$49,3,9))</f>
        <v>3</v>
      </c>
      <c r="Z237" s="14">
        <v>55.146191443462101</v>
      </c>
      <c r="AA237" s="14">
        <v>0.59029606195428819</v>
      </c>
      <c r="AB237" s="14">
        <v>32.55257964085294</v>
      </c>
      <c r="AC237" s="13">
        <v>3</v>
      </c>
      <c r="AD237" s="13">
        <f t="shared" si="85"/>
        <v>0</v>
      </c>
      <c r="AE237" s="14">
        <f t="shared" si="86"/>
        <v>-4.8699593164062094</v>
      </c>
      <c r="AF237" s="14">
        <f t="shared" si="87"/>
        <v>-1.7591589975119115E-2</v>
      </c>
      <c r="AG237" s="13">
        <f t="shared" si="88"/>
        <v>-3.759156667425259</v>
      </c>
      <c r="AH237" s="13">
        <f>IF($T237=1,$AU237,VLOOKUP(U237,'Cortes naturales'!$A$25:$C$29,3,9))</f>
        <v>3</v>
      </c>
      <c r="AI237" s="13" t="b">
        <f t="shared" si="89"/>
        <v>1</v>
      </c>
      <c r="AJ237" s="13">
        <f t="shared" si="90"/>
        <v>0</v>
      </c>
      <c r="AK237" s="28">
        <v>0.9741882058902549</v>
      </c>
      <c r="AL237" s="28">
        <v>53.722769303986873</v>
      </c>
      <c r="AM237" s="28">
        <v>0.50138920301430123</v>
      </c>
      <c r="AN237" s="13">
        <v>2</v>
      </c>
      <c r="AO237" s="33">
        <f t="shared" si="91"/>
        <v>-1</v>
      </c>
      <c r="AP237" s="13">
        <f t="shared" si="101"/>
        <v>50.138920301430126</v>
      </c>
      <c r="AQ237" s="13">
        <f>IFERROR(VLOOKUP(U237,'Cortes naturales'!$E$15:$G$19,3,9),U237)</f>
        <v>4</v>
      </c>
      <c r="AR237" s="28">
        <f t="shared" si="92"/>
        <v>-0.40148373391108583</v>
      </c>
      <c r="AS237" s="13" t="b">
        <f t="shared" si="93"/>
        <v>0</v>
      </c>
      <c r="AT237" s="13" t="str">
        <f t="shared" si="102"/>
        <v>Cambio en corte</v>
      </c>
      <c r="AU237" s="13">
        <v>2</v>
      </c>
      <c r="AV237">
        <f t="shared" si="94"/>
        <v>-1</v>
      </c>
      <c r="AW237" s="13">
        <v>0</v>
      </c>
      <c r="AX237" s="13">
        <v>1</v>
      </c>
      <c r="AY237" s="13">
        <v>0</v>
      </c>
      <c r="AZ237" s="13">
        <v>0</v>
      </c>
      <c r="BA237">
        <v>1</v>
      </c>
      <c r="BB237" t="s">
        <v>2838</v>
      </c>
      <c r="BC237">
        <v>4</v>
      </c>
      <c r="BD237" t="s">
        <v>2920</v>
      </c>
      <c r="BE237">
        <v>1</v>
      </c>
      <c r="BF237" s="232" t="s">
        <v>2845</v>
      </c>
      <c r="BG237" s="232" t="s">
        <v>2846</v>
      </c>
      <c r="BH237" s="253">
        <v>60</v>
      </c>
      <c r="BI237" s="253">
        <v>59.218888490768855</v>
      </c>
      <c r="BJ237" s="25">
        <v>8.1202000000000005</v>
      </c>
      <c r="BK237" t="s">
        <v>377</v>
      </c>
      <c r="BL237">
        <v>3.3578708568895603</v>
      </c>
      <c r="BM237" t="s">
        <v>383</v>
      </c>
      <c r="BN237" s="322">
        <v>442609.22274100001</v>
      </c>
      <c r="BO237" s="322">
        <v>31043.023788999999</v>
      </c>
      <c r="BP237" s="10">
        <v>208965</v>
      </c>
      <c r="BQ237" s="254">
        <f t="shared" si="95"/>
        <v>2.1181021833369225</v>
      </c>
      <c r="BR237" s="254">
        <f t="shared" si="96"/>
        <v>0.14855609211590456</v>
      </c>
      <c r="BS237" s="25">
        <v>76.774821405704031</v>
      </c>
      <c r="BT237" s="25">
        <v>96.321650487033523</v>
      </c>
      <c r="BU237" s="25">
        <v>28.262117393869971</v>
      </c>
      <c r="BV237" s="25">
        <v>92.083965159078573</v>
      </c>
      <c r="BW237" s="25">
        <v>57.068369193638901</v>
      </c>
      <c r="BX237" s="25">
        <v>73.360638611421521</v>
      </c>
      <c r="BY237" s="25">
        <v>58.904525120716052</v>
      </c>
      <c r="BZ237">
        <v>76</v>
      </c>
      <c r="CA237">
        <v>0</v>
      </c>
      <c r="CB237">
        <v>5</v>
      </c>
      <c r="CC237">
        <v>176724.92129699999</v>
      </c>
      <c r="CD237" s="10">
        <v>11350.997912999999</v>
      </c>
      <c r="CE237" s="255">
        <v>6.4229752259579526E-2</v>
      </c>
      <c r="CF237" t="str">
        <f>IFERROR(VLOOKUP(CE237,'Rangos amb etnico'!$A$2:$C$6,3,9),"N.D.")</f>
        <v>0,1% - 30%</v>
      </c>
      <c r="CG237" s="256">
        <v>3.3024331875129649E-4</v>
      </c>
      <c r="CH237" s="232">
        <v>89043.620676000006</v>
      </c>
      <c r="CI237" s="311">
        <f t="shared" si="103"/>
        <v>0.503854351850893</v>
      </c>
      <c r="CJ237" s="232" t="str">
        <f>IFERROR(VLOOKUP(CI237,'Rangos amb etnico'!$A$2:$C$6,3,9),"N.D.")</f>
        <v>31% - 50%</v>
      </c>
      <c r="CK237" s="311">
        <f t="shared" si="104"/>
        <v>3.5356147272734839E-3</v>
      </c>
      <c r="CL237" s="10">
        <v>0</v>
      </c>
      <c r="CM237" s="255">
        <f t="shared" si="105"/>
        <v>0</v>
      </c>
      <c r="CN237" s="232">
        <f>IFERROR(VLOOKUP(CM237,'Rangos amb etnico'!$A$2:$C$6,3,9),"N.D.")</f>
        <v>0</v>
      </c>
      <c r="CO237" s="311">
        <f t="shared" si="106"/>
        <v>0</v>
      </c>
      <c r="CP237">
        <v>0.72693825783771882</v>
      </c>
      <c r="CQ237" t="s">
        <v>2866</v>
      </c>
      <c r="CR237">
        <f t="shared" si="97"/>
        <v>0</v>
      </c>
      <c r="CS237" t="str">
        <f t="shared" si="107"/>
        <v>No es Candidato</v>
      </c>
      <c r="CT237">
        <v>1</v>
      </c>
      <c r="CU237" t="s">
        <v>2835</v>
      </c>
      <c r="CV237" s="25">
        <v>43.22088623046875</v>
      </c>
      <c r="CW237" s="25">
        <v>46.655498504638672</v>
      </c>
      <c r="CX237" s="25">
        <v>40.396385192871087</v>
      </c>
      <c r="CY237" s="25">
        <v>44.113712310791023</v>
      </c>
      <c r="CZ237" s="25">
        <v>17.008363723754879</v>
      </c>
      <c r="DA237" s="25">
        <v>60.677799224853523</v>
      </c>
      <c r="DB237" s="25">
        <v>50.473548889160163</v>
      </c>
      <c r="DC237">
        <v>82800</v>
      </c>
      <c r="DD237" s="253" t="s">
        <v>380</v>
      </c>
    </row>
    <row r="238" spans="1:108">
      <c r="A238" s="13">
        <v>5147</v>
      </c>
      <c r="B238" s="13" t="s">
        <v>936</v>
      </c>
      <c r="C238" s="13" t="s">
        <v>435</v>
      </c>
      <c r="D238" s="13" t="s">
        <v>436</v>
      </c>
      <c r="E238" s="13" t="s">
        <v>937</v>
      </c>
      <c r="F238" s="14">
        <v>53.224166666666697</v>
      </c>
      <c r="G238" s="13">
        <v>69.61</v>
      </c>
      <c r="H238" s="13">
        <v>38.520000000000003</v>
      </c>
      <c r="I238" s="13">
        <v>73.28</v>
      </c>
      <c r="J238" s="14">
        <v>48.532970559766191</v>
      </c>
      <c r="K238" s="14">
        <v>53.169227915439606</v>
      </c>
      <c r="L238" s="14">
        <v>55.829862171368035</v>
      </c>
      <c r="M238" s="14">
        <v>49.1813</v>
      </c>
      <c r="N238" s="14">
        <f t="shared" si="81"/>
        <v>58.658541666666679</v>
      </c>
      <c r="O238" s="14">
        <f t="shared" si="82"/>
        <v>51.678340161643455</v>
      </c>
      <c r="P238" s="14">
        <f t="shared" si="98"/>
        <v>55.16844091415507</v>
      </c>
      <c r="Q238" s="14">
        <v>46.985459116592331</v>
      </c>
      <c r="R238" s="17">
        <f t="shared" si="83"/>
        <v>53.014540883407669</v>
      </c>
      <c r="S238" s="14">
        <f t="shared" si="99"/>
        <v>0.57713086795066904</v>
      </c>
      <c r="T238" s="13">
        <v>0</v>
      </c>
      <c r="U238" s="13">
        <f t="shared" si="100"/>
        <v>31.839410188271518</v>
      </c>
      <c r="V238" s="13">
        <f>IF($T238=1,$AU238,(VLOOKUP(U238,'Cortes naturales'!$A$35:$C$39,3,9)))</f>
        <v>3</v>
      </c>
      <c r="W238" s="13">
        <v>3</v>
      </c>
      <c r="X238" s="14" t="b">
        <f t="shared" si="84"/>
        <v>1</v>
      </c>
      <c r="Y238" s="17">
        <f>IF($T238=1,$AU238,VLOOKUP(U238,'Cortes naturales'!$A$45:$C$49,3,9))</f>
        <v>3</v>
      </c>
      <c r="Z238" s="14">
        <v>53.583473981838146</v>
      </c>
      <c r="AA238" s="14">
        <v>0.58999232278709279</v>
      </c>
      <c r="AB238" s="14">
        <v>31.613838277546439</v>
      </c>
      <c r="AC238" s="13">
        <v>3</v>
      </c>
      <c r="AD238" s="13">
        <f t="shared" si="85"/>
        <v>0</v>
      </c>
      <c r="AE238" s="14">
        <f t="shared" si="86"/>
        <v>1.5849669323169238</v>
      </c>
      <c r="AF238" s="14">
        <f t="shared" si="87"/>
        <v>-1.2861454836423758E-2</v>
      </c>
      <c r="AG238" s="13">
        <f t="shared" si="88"/>
        <v>0.22557191072507976</v>
      </c>
      <c r="AH238" s="13">
        <f>IF($T238=1,$AU238,VLOOKUP(U238,'Cortes naturales'!$A$25:$C$29,3,9))</f>
        <v>3</v>
      </c>
      <c r="AI238" s="13" t="b">
        <f t="shared" si="89"/>
        <v>1</v>
      </c>
      <c r="AJ238" s="13">
        <f t="shared" si="90"/>
        <v>0</v>
      </c>
      <c r="AK238" s="28">
        <v>0.9741882058902549</v>
      </c>
      <c r="AL238" s="28">
        <v>52.200388383734058</v>
      </c>
      <c r="AM238" s="28">
        <v>0.48234582244268981</v>
      </c>
      <c r="AN238" s="13">
        <v>2</v>
      </c>
      <c r="AO238" s="33">
        <f t="shared" si="91"/>
        <v>-1</v>
      </c>
      <c r="AP238" s="13">
        <f t="shared" si="101"/>
        <v>48.234582244268978</v>
      </c>
      <c r="AQ238" s="13">
        <f>IFERROR(VLOOKUP(U238,'Cortes naturales'!$E$15:$G$19,3,9),U238)</f>
        <v>4</v>
      </c>
      <c r="AR238" s="28">
        <f t="shared" si="92"/>
        <v>-0.39705733793958586</v>
      </c>
      <c r="AS238" s="13" t="b">
        <f t="shared" si="93"/>
        <v>0</v>
      </c>
      <c r="AT238" s="13" t="str">
        <f t="shared" si="102"/>
        <v>Cambio en corte</v>
      </c>
      <c r="AU238" s="13">
        <v>2</v>
      </c>
      <c r="AV238">
        <f t="shared" si="94"/>
        <v>-1</v>
      </c>
      <c r="AW238" s="13">
        <v>0</v>
      </c>
      <c r="AX238" s="13">
        <v>0</v>
      </c>
      <c r="AY238" s="13">
        <v>0</v>
      </c>
      <c r="AZ238" s="13">
        <v>1</v>
      </c>
      <c r="BA238">
        <v>1</v>
      </c>
      <c r="BB238" t="s">
        <v>2839</v>
      </c>
      <c r="BC238">
        <v>6</v>
      </c>
      <c r="BD238" t="s">
        <v>2919</v>
      </c>
      <c r="BE238">
        <v>1</v>
      </c>
      <c r="BF238" s="232" t="s">
        <v>2846</v>
      </c>
      <c r="BG238" s="232" t="s">
        <v>2845</v>
      </c>
      <c r="BH238" s="253">
        <v>34.4</v>
      </c>
      <c r="BI238" s="253">
        <v>20.982339955849891</v>
      </c>
      <c r="BJ238" s="25">
        <v>14.209662274433395</v>
      </c>
      <c r="BK238" t="s">
        <v>379</v>
      </c>
      <c r="BL238">
        <v>4.2105055657475532</v>
      </c>
      <c r="BM238" t="s">
        <v>383</v>
      </c>
      <c r="BN238" s="322">
        <v>69188.729370000001</v>
      </c>
      <c r="BO238" s="322">
        <v>20872.422798</v>
      </c>
      <c r="BP238" s="10">
        <v>50543</v>
      </c>
      <c r="BQ238" s="254">
        <f t="shared" si="95"/>
        <v>1.368908243871555</v>
      </c>
      <c r="BR238" s="254">
        <f t="shared" si="96"/>
        <v>0.4129636704983875</v>
      </c>
      <c r="BS238" s="25">
        <v>61.792065410906133</v>
      </c>
      <c r="BT238" s="25">
        <v>97.255049523809518</v>
      </c>
      <c r="BU238" s="25">
        <v>63.733333333333327</v>
      </c>
      <c r="BV238" s="25">
        <v>91.610375073780759</v>
      </c>
      <c r="BW238" s="25">
        <v>51.93508932041842</v>
      </c>
      <c r="BX238" s="25">
        <v>78.597705835457432</v>
      </c>
      <c r="BY238" s="25">
        <v>52.705562404417641</v>
      </c>
      <c r="BZ238">
        <v>35</v>
      </c>
      <c r="CA238">
        <v>0</v>
      </c>
      <c r="CB238">
        <v>7</v>
      </c>
      <c r="CC238">
        <v>38743.533395999999</v>
      </c>
      <c r="CD238" s="10">
        <v>19639.943184</v>
      </c>
      <c r="CE238" s="255">
        <v>0.50692183862682194</v>
      </c>
      <c r="CF238" t="str">
        <f>IFERROR(VLOOKUP(CE238,'Rangos amb etnico'!$A$2:$C$6,3,9),"N.D.")</f>
        <v>31% - 50%</v>
      </c>
      <c r="CG238" s="256">
        <v>5.7139998323344464E-4</v>
      </c>
      <c r="CH238" s="232">
        <v>0.49729299999999999</v>
      </c>
      <c r="CI238" s="311">
        <f t="shared" si="103"/>
        <v>1.2835509733124704E-5</v>
      </c>
      <c r="CJ238" s="232">
        <f>IFERROR(VLOOKUP(CI238,'Rangos amb etnico'!$A$2:$C$6,3,9),"N.D.")</f>
        <v>0</v>
      </c>
      <c r="CK238" s="311">
        <f t="shared" si="104"/>
        <v>1.9745787976969712E-8</v>
      </c>
      <c r="CL238" s="10">
        <v>0</v>
      </c>
      <c r="CM238" s="255">
        <f t="shared" si="105"/>
        <v>0</v>
      </c>
      <c r="CN238" s="232">
        <f>IFERROR(VLOOKUP(CM238,'Rangos amb etnico'!$A$2:$C$6,3,9),"N.D.")</f>
        <v>0</v>
      </c>
      <c r="CO238" s="311">
        <f t="shared" si="106"/>
        <v>0</v>
      </c>
      <c r="CP238">
        <v>0.93428853401866852</v>
      </c>
      <c r="CQ238" t="s">
        <v>2864</v>
      </c>
      <c r="CR238">
        <f t="shared" si="97"/>
        <v>2</v>
      </c>
      <c r="CS238" t="str">
        <f t="shared" si="107"/>
        <v>No es Candidato</v>
      </c>
      <c r="CT238">
        <v>0</v>
      </c>
      <c r="CU238">
        <v>0</v>
      </c>
      <c r="CV238" s="25">
        <v>47.222747802734382</v>
      </c>
      <c r="CW238" s="25">
        <v>41.361618041992188</v>
      </c>
      <c r="CX238" s="25">
        <v>52.892208099365227</v>
      </c>
      <c r="CY238" s="25">
        <v>61.842628479003913</v>
      </c>
      <c r="CZ238" s="25">
        <v>21.18623161315918</v>
      </c>
      <c r="DA238" s="25">
        <v>54.403121948242188</v>
      </c>
      <c r="DB238" s="25">
        <v>51.650684356689453</v>
      </c>
      <c r="DC238">
        <v>13542</v>
      </c>
      <c r="DD238" s="253" t="s">
        <v>380</v>
      </c>
    </row>
    <row r="239" spans="1:108" hidden="1">
      <c r="A239" s="13">
        <v>13673</v>
      </c>
      <c r="B239" s="13" t="s">
        <v>938</v>
      </c>
      <c r="C239" s="13" t="s">
        <v>480</v>
      </c>
      <c r="D239" s="13" t="s">
        <v>481</v>
      </c>
      <c r="E239" s="13" t="s">
        <v>939</v>
      </c>
      <c r="F239" s="14">
        <v>61.6492</v>
      </c>
      <c r="G239" s="13">
        <v>53.02</v>
      </c>
      <c r="H239" s="13">
        <v>57.39</v>
      </c>
      <c r="I239" s="13">
        <v>68.8</v>
      </c>
      <c r="J239" s="14">
        <v>39.998040396278441</v>
      </c>
      <c r="K239" s="14">
        <v>45.974222532227529</v>
      </c>
      <c r="L239" s="14">
        <v>51.050777883096224</v>
      </c>
      <c r="M239" s="14">
        <v>46.779000000000003</v>
      </c>
      <c r="N239" s="14">
        <f t="shared" si="81"/>
        <v>60.214799999999997</v>
      </c>
      <c r="O239" s="14">
        <f t="shared" si="82"/>
        <v>45.950510202900546</v>
      </c>
      <c r="P239" s="14">
        <f t="shared" si="98"/>
        <v>53.082655101450271</v>
      </c>
      <c r="Q239" s="14">
        <v>47.052883989868398</v>
      </c>
      <c r="R239" s="17">
        <f t="shared" si="83"/>
        <v>52.947116010131602</v>
      </c>
      <c r="S239" s="14">
        <f t="shared" si="99"/>
        <v>0.57652404409118441</v>
      </c>
      <c r="T239" s="13">
        <v>0</v>
      </c>
      <c r="U239" s="13">
        <f t="shared" si="100"/>
        <v>30.60342699018565</v>
      </c>
      <c r="V239" s="13">
        <f>IF($T239=1,$AU239,(VLOOKUP(U239,'Cortes naturales'!$A$35:$C$39,3,9)))</f>
        <v>3</v>
      </c>
      <c r="W239" s="13">
        <v>3</v>
      </c>
      <c r="X239" s="14" t="b">
        <f t="shared" si="84"/>
        <v>1</v>
      </c>
      <c r="Y239" s="17">
        <f>IF($T239=1,$AU239,VLOOKUP(U239,'Cortes naturales'!$A$45:$C$49,3,9))</f>
        <v>3</v>
      </c>
      <c r="Z239" s="14">
        <v>50.106979720076602</v>
      </c>
      <c r="AA239" s="14">
        <v>0.59037961504695091</v>
      </c>
      <c r="AB239" s="14">
        <v>29.5821393983042</v>
      </c>
      <c r="AC239" s="13">
        <v>3</v>
      </c>
      <c r="AD239" s="13">
        <f t="shared" si="85"/>
        <v>0</v>
      </c>
      <c r="AE239" s="14">
        <f t="shared" si="86"/>
        <v>2.9756753813736694</v>
      </c>
      <c r="AF239" s="14">
        <f t="shared" si="87"/>
        <v>-1.3855570955766505E-2</v>
      </c>
      <c r="AG239" s="13">
        <f t="shared" si="88"/>
        <v>1.0212875918814497</v>
      </c>
      <c r="AH239" s="13">
        <f>IF($T239=1,$AU239,VLOOKUP(U239,'Cortes naturales'!$A$25:$C$29,3,9))</f>
        <v>3</v>
      </c>
      <c r="AI239" s="13" t="b">
        <f t="shared" si="89"/>
        <v>1</v>
      </c>
      <c r="AJ239" s="13">
        <f t="shared" si="90"/>
        <v>0</v>
      </c>
      <c r="AK239" s="28">
        <v>0.9741882058902549</v>
      </c>
      <c r="AL239" s="28">
        <v>48.81362867608081</v>
      </c>
      <c r="AM239" s="28">
        <v>0.43998102848118265</v>
      </c>
      <c r="AN239" s="13">
        <v>3</v>
      </c>
      <c r="AO239" s="33">
        <f t="shared" si="91"/>
        <v>0</v>
      </c>
      <c r="AP239" s="13">
        <f t="shared" si="101"/>
        <v>43.998102848118265</v>
      </c>
      <c r="AQ239" s="13">
        <f>IFERROR(VLOOKUP(U239,'Cortes naturales'!$E$15:$G$19,3,9),U239)</f>
        <v>4</v>
      </c>
      <c r="AR239" s="28">
        <f t="shared" si="92"/>
        <v>-0.39766416179907049</v>
      </c>
      <c r="AS239" s="13" t="b">
        <f t="shared" si="93"/>
        <v>0</v>
      </c>
      <c r="AT239" s="13">
        <f t="shared" si="102"/>
        <v>0</v>
      </c>
      <c r="AU239" s="13">
        <v>3</v>
      </c>
      <c r="AV239">
        <f t="shared" si="94"/>
        <v>0</v>
      </c>
      <c r="AW239" s="13">
        <v>0</v>
      </c>
      <c r="AX239" s="13">
        <v>0</v>
      </c>
      <c r="AY239" s="13">
        <v>0</v>
      </c>
      <c r="AZ239" s="13">
        <v>0</v>
      </c>
      <c r="BA239">
        <v>0</v>
      </c>
      <c r="BB239" t="s">
        <v>2839</v>
      </c>
      <c r="BC239">
        <v>6</v>
      </c>
      <c r="BD239" t="s">
        <v>2919</v>
      </c>
      <c r="BE239">
        <v>0</v>
      </c>
      <c r="BF239" s="232" t="s">
        <v>2846</v>
      </c>
      <c r="BG239" s="232" t="s">
        <v>2845</v>
      </c>
      <c r="BH239" s="253">
        <v>54.8</v>
      </c>
      <c r="BI239" s="253">
        <v>57.781893297243393</v>
      </c>
      <c r="BJ239" s="25">
        <v>35.989999999999995</v>
      </c>
      <c r="BK239" t="s">
        <v>376</v>
      </c>
      <c r="BL239">
        <v>4.3312098724017902</v>
      </c>
      <c r="BM239" t="s">
        <v>383</v>
      </c>
      <c r="BN239" s="322">
        <v>38594.439267000002</v>
      </c>
      <c r="BO239" s="322">
        <v>3006.2507460000002</v>
      </c>
      <c r="BP239" s="10">
        <v>15213</v>
      </c>
      <c r="BQ239" s="254">
        <f t="shared" si="95"/>
        <v>2.5369380968250841</v>
      </c>
      <c r="BR239" s="254">
        <f t="shared" si="96"/>
        <v>0.19761064523762573</v>
      </c>
      <c r="BS239" s="25">
        <v>60.981439947493449</v>
      </c>
      <c r="BT239" s="25">
        <v>90.43859082692434</v>
      </c>
      <c r="BU239" s="25">
        <v>38.906286061869999</v>
      </c>
      <c r="BV239" s="25">
        <v>80.62567623437576</v>
      </c>
      <c r="BW239" s="25">
        <v>55.946634241945539</v>
      </c>
      <c r="BX239" s="25">
        <v>67.737998267665887</v>
      </c>
      <c r="BY239" s="25">
        <v>55.482203133678418</v>
      </c>
      <c r="BZ239">
        <v>48</v>
      </c>
      <c r="CA239">
        <v>0</v>
      </c>
      <c r="CB239">
        <v>7</v>
      </c>
      <c r="CC239">
        <v>17273.837879999999</v>
      </c>
      <c r="CD239" s="10">
        <v>2494.9482710000002</v>
      </c>
      <c r="CE239" s="255">
        <v>0.14443508665139795</v>
      </c>
      <c r="CF239" t="str">
        <f>IFERROR(VLOOKUP(CE239,'Rangos amb etnico'!$A$2:$C$6,3,9),"N.D.")</f>
        <v>0,1% - 30%</v>
      </c>
      <c r="CG239" s="256">
        <v>7.2587450323130824E-5</v>
      </c>
      <c r="CH239" s="232">
        <v>0</v>
      </c>
      <c r="CI239" s="311">
        <f t="shared" si="103"/>
        <v>0</v>
      </c>
      <c r="CJ239" s="232">
        <f>IFERROR(VLOOKUP(CI239,'Rangos amb etnico'!$A$2:$C$6,3,9),"N.D.")</f>
        <v>0</v>
      </c>
      <c r="CK239" s="311">
        <f t="shared" si="104"/>
        <v>0</v>
      </c>
      <c r="CL239" s="10">
        <v>0</v>
      </c>
      <c r="CM239" s="255">
        <f t="shared" si="105"/>
        <v>0</v>
      </c>
      <c r="CN239" s="232">
        <f>IFERROR(VLOOKUP(CM239,'Rangos amb etnico'!$A$2:$C$6,3,9),"N.D.")</f>
        <v>0</v>
      </c>
      <c r="CO239" s="311">
        <f t="shared" si="106"/>
        <v>0</v>
      </c>
      <c r="CP239">
        <v>0.97353108796183707</v>
      </c>
      <c r="CQ239" t="s">
        <v>2864</v>
      </c>
      <c r="CR239">
        <f t="shared" si="97"/>
        <v>2</v>
      </c>
      <c r="CS239" t="str">
        <f t="shared" si="107"/>
        <v>No es Candidato</v>
      </c>
      <c r="CT239">
        <v>0</v>
      </c>
      <c r="CU239">
        <v>0</v>
      </c>
      <c r="CV239" s="25">
        <v>37.970905303955078</v>
      </c>
      <c r="CW239" s="25">
        <v>36.511375427246087</v>
      </c>
      <c r="CX239" s="25">
        <v>46.6640625</v>
      </c>
      <c r="CY239" s="25">
        <v>58.457347869873047</v>
      </c>
      <c r="CZ239" s="25">
        <v>26.347126007080082</v>
      </c>
      <c r="DA239" s="25">
        <v>17.020353317260739</v>
      </c>
      <c r="DB239" s="25">
        <v>42.825160980224609</v>
      </c>
      <c r="DC239">
        <v>4040</v>
      </c>
      <c r="DD239" s="253" t="s">
        <v>380</v>
      </c>
    </row>
    <row r="240" spans="1:108" hidden="1">
      <c r="A240" s="13">
        <v>19137</v>
      </c>
      <c r="B240" s="13" t="s">
        <v>940</v>
      </c>
      <c r="C240" s="13" t="s">
        <v>557</v>
      </c>
      <c r="D240" s="13" t="s">
        <v>558</v>
      </c>
      <c r="E240" s="13" t="s">
        <v>941</v>
      </c>
      <c r="F240" s="14">
        <v>58.591700000000003</v>
      </c>
      <c r="G240" s="13">
        <v>42.31</v>
      </c>
      <c r="H240" s="13">
        <v>42.49</v>
      </c>
      <c r="I240" s="13">
        <v>75.430000000000007</v>
      </c>
      <c r="J240" s="14">
        <v>25.915960477614732</v>
      </c>
      <c r="K240" s="14">
        <v>45.26281778266118</v>
      </c>
      <c r="L240" s="14">
        <v>45.011234953814593</v>
      </c>
      <c r="M240" s="14">
        <v>50.577300000000001</v>
      </c>
      <c r="N240" s="14">
        <f t="shared" si="81"/>
        <v>54.705425000000005</v>
      </c>
      <c r="O240" s="14">
        <f t="shared" si="82"/>
        <v>41.691828303522627</v>
      </c>
      <c r="P240" s="14">
        <f t="shared" si="98"/>
        <v>48.198626651761316</v>
      </c>
      <c r="Q240" s="14">
        <v>46.778259036059296</v>
      </c>
      <c r="R240" s="17">
        <f t="shared" si="83"/>
        <v>53.221740963940704</v>
      </c>
      <c r="S240" s="14">
        <f t="shared" si="99"/>
        <v>0.57899566867546637</v>
      </c>
      <c r="T240" s="13">
        <v>0</v>
      </c>
      <c r="U240" s="13">
        <f t="shared" si="100"/>
        <v>27.906796067475696</v>
      </c>
      <c r="V240" s="13">
        <f>IF($T240=1,$AU240,(VLOOKUP(U240,'Cortes naturales'!$A$35:$C$39,3,9)))</f>
        <v>4</v>
      </c>
      <c r="W240" s="13">
        <v>4</v>
      </c>
      <c r="X240" s="14" t="b">
        <f t="shared" si="84"/>
        <v>1</v>
      </c>
      <c r="Y240" s="17">
        <f>IF($T240=1,$AU240,VLOOKUP(U240,'Cortes naturales'!$A$45:$C$49,3,9))</f>
        <v>4</v>
      </c>
      <c r="Z240" s="14">
        <v>44.4356638787431</v>
      </c>
      <c r="AA240" s="14">
        <v>0.59112407696440195</v>
      </c>
      <c r="AB240" s="14">
        <v>26.26699079462243</v>
      </c>
      <c r="AC240" s="13">
        <v>4</v>
      </c>
      <c r="AD240" s="13">
        <f t="shared" si="85"/>
        <v>0</v>
      </c>
      <c r="AE240" s="14">
        <f t="shared" si="86"/>
        <v>3.7629627730182165</v>
      </c>
      <c r="AF240" s="14">
        <f t="shared" si="87"/>
        <v>-1.2128408288935577E-2</v>
      </c>
      <c r="AG240" s="13">
        <f t="shared" si="88"/>
        <v>1.6398052728532662</v>
      </c>
      <c r="AH240" s="13">
        <f>IF($T240=1,$AU240,VLOOKUP(U240,'Cortes naturales'!$A$25:$C$29,3,9))</f>
        <v>3</v>
      </c>
      <c r="AI240" s="13" t="b">
        <f t="shared" si="89"/>
        <v>0</v>
      </c>
      <c r="AJ240" s="13">
        <f t="shared" si="90"/>
        <v>0</v>
      </c>
      <c r="AK240" s="28">
        <v>0.9741882058902549</v>
      </c>
      <c r="AL240" s="28">
        <v>43.288699671575145</v>
      </c>
      <c r="AM240" s="28">
        <v>0.37086999045893576</v>
      </c>
      <c r="AN240" s="13">
        <v>3</v>
      </c>
      <c r="AO240" s="33">
        <f t="shared" si="91"/>
        <v>-1</v>
      </c>
      <c r="AP240" s="13">
        <f t="shared" si="101"/>
        <v>37.086999045893577</v>
      </c>
      <c r="AQ240" s="13">
        <f>IFERROR(VLOOKUP(U240,'Cortes naturales'!$E$15:$G$19,3,9),U240)</f>
        <v>4</v>
      </c>
      <c r="AR240" s="28">
        <f t="shared" si="92"/>
        <v>-0.39519253721478853</v>
      </c>
      <c r="AS240" s="13" t="b">
        <f t="shared" si="93"/>
        <v>1</v>
      </c>
      <c r="AT240" s="13" t="str">
        <f t="shared" si="102"/>
        <v>Efecto ponderador</v>
      </c>
      <c r="AU240" s="13">
        <v>2</v>
      </c>
      <c r="AV240">
        <f t="shared" si="94"/>
        <v>-2</v>
      </c>
      <c r="AW240" s="13">
        <v>0</v>
      </c>
      <c r="AX240" s="13">
        <v>0</v>
      </c>
      <c r="AY240" s="13">
        <v>0</v>
      </c>
      <c r="AZ240" s="13">
        <v>1</v>
      </c>
      <c r="BA240">
        <v>1</v>
      </c>
      <c r="BB240" t="s">
        <v>2839</v>
      </c>
      <c r="BC240">
        <v>6</v>
      </c>
      <c r="BD240" t="s">
        <v>2919</v>
      </c>
      <c r="BE240">
        <v>1</v>
      </c>
      <c r="BF240" s="232" t="s">
        <v>2846</v>
      </c>
      <c r="BG240" s="232" t="s">
        <v>2846</v>
      </c>
      <c r="BH240" s="253">
        <v>56</v>
      </c>
      <c r="BI240" s="253">
        <v>23.775288413308811</v>
      </c>
      <c r="BJ240" s="25">
        <v>32.257362344993524</v>
      </c>
      <c r="BK240" t="s">
        <v>379</v>
      </c>
      <c r="BL240">
        <v>24.749648603803013</v>
      </c>
      <c r="BM240" t="s">
        <v>384</v>
      </c>
      <c r="BN240" s="322">
        <v>69043.496761000002</v>
      </c>
      <c r="BO240" s="322">
        <v>2523.6655059999998</v>
      </c>
      <c r="BP240" s="10">
        <v>43991</v>
      </c>
      <c r="BQ240" s="254">
        <f t="shared" si="95"/>
        <v>1.56949141326635</v>
      </c>
      <c r="BR240" s="254">
        <f t="shared" si="96"/>
        <v>5.7367768543565727E-2</v>
      </c>
      <c r="BS240" s="25">
        <v>64.562633224341212</v>
      </c>
      <c r="BT240" s="25">
        <v>89.09822272040492</v>
      </c>
      <c r="BU240" s="25">
        <v>42.884369953279837</v>
      </c>
      <c r="BV240" s="25">
        <v>92.463962269141064</v>
      </c>
      <c r="BW240" s="25">
        <v>39.057344989798182</v>
      </c>
      <c r="BX240" s="25">
        <v>72.252297041791763</v>
      </c>
      <c r="BY240" s="25">
        <v>40.572275625469437</v>
      </c>
      <c r="BZ240">
        <v>32</v>
      </c>
      <c r="CA240">
        <v>0</v>
      </c>
      <c r="CB240">
        <v>7</v>
      </c>
      <c r="CC240">
        <v>35485.572945</v>
      </c>
      <c r="CD240" s="10">
        <v>163.455556</v>
      </c>
      <c r="CE240" s="255">
        <v>4.6062538218938709E-3</v>
      </c>
      <c r="CF240" t="str">
        <f>IFERROR(VLOOKUP(CE240,'Rangos amb etnico'!$A$2:$C$6,3,9),"N.D.")</f>
        <v>0,1% - 30%</v>
      </c>
      <c r="CG240" s="256">
        <v>4.7555382967656437E-6</v>
      </c>
      <c r="CH240" s="232">
        <v>564.93226400000003</v>
      </c>
      <c r="CI240" s="311">
        <f t="shared" si="103"/>
        <v>1.5920054746631909E-2</v>
      </c>
      <c r="CJ240" s="232" t="str">
        <f>IFERROR(VLOOKUP(CI240,'Rangos amb etnico'!$A$2:$C$6,3,9),"N.D.")</f>
        <v>0,1% - 30%</v>
      </c>
      <c r="CK240" s="311">
        <f t="shared" si="104"/>
        <v>2.2431509605591635E-5</v>
      </c>
      <c r="CL240" s="10">
        <v>0</v>
      </c>
      <c r="CM240" s="255">
        <f t="shared" si="105"/>
        <v>0</v>
      </c>
      <c r="CN240" s="232">
        <f>IFERROR(VLOOKUP(CM240,'Rangos amb etnico'!$A$2:$C$6,3,9),"N.D.")</f>
        <v>0</v>
      </c>
      <c r="CO240" s="311">
        <f t="shared" si="106"/>
        <v>0</v>
      </c>
      <c r="CP240">
        <v>0.97220682576487349</v>
      </c>
      <c r="CQ240" t="s">
        <v>2864</v>
      </c>
      <c r="CR240">
        <f t="shared" si="97"/>
        <v>2</v>
      </c>
      <c r="CS240" t="str">
        <f t="shared" si="107"/>
        <v>No es Candidato</v>
      </c>
      <c r="CT240">
        <v>0</v>
      </c>
      <c r="CU240">
        <v>0</v>
      </c>
      <c r="CV240" s="25">
        <v>47.238880157470703</v>
      </c>
      <c r="CW240" s="25">
        <v>29.175115585327148</v>
      </c>
      <c r="CX240" s="25">
        <v>46.756122589111328</v>
      </c>
      <c r="CY240" s="25">
        <v>51.094860076904297</v>
      </c>
      <c r="CZ240" s="25">
        <v>38.609958648681641</v>
      </c>
      <c r="DA240" s="25">
        <v>60.099288940429688</v>
      </c>
      <c r="DB240" s="25">
        <v>57.697940826416023</v>
      </c>
      <c r="DC240">
        <v>30369</v>
      </c>
      <c r="DD240" s="253" t="s">
        <v>380</v>
      </c>
    </row>
    <row r="241" spans="1:108" hidden="1">
      <c r="A241" s="13">
        <v>86749</v>
      </c>
      <c r="B241" s="13" t="s">
        <v>942</v>
      </c>
      <c r="C241" s="13" t="s">
        <v>943</v>
      </c>
      <c r="D241" s="13" t="s">
        <v>944</v>
      </c>
      <c r="E241" s="13" t="s">
        <v>945</v>
      </c>
      <c r="F241" s="14">
        <v>55.789466666666698</v>
      </c>
      <c r="G241" s="13">
        <v>54.41</v>
      </c>
      <c r="H241" s="13">
        <v>25.71</v>
      </c>
      <c r="I241" s="13">
        <v>48.47</v>
      </c>
      <c r="J241" s="14">
        <v>52.329926350137114</v>
      </c>
      <c r="K241" s="14">
        <v>49.309118195251713</v>
      </c>
      <c r="L241" s="14">
        <v>52.162985345103522</v>
      </c>
      <c r="M241" s="14">
        <v>51.499299999999998</v>
      </c>
      <c r="N241" s="14">
        <f t="shared" si="81"/>
        <v>46.094866666666675</v>
      </c>
      <c r="O241" s="14">
        <f t="shared" si="82"/>
        <v>51.325332472623089</v>
      </c>
      <c r="P241" s="14">
        <f t="shared" si="98"/>
        <v>48.710099569644882</v>
      </c>
      <c r="Q241" s="14">
        <v>47.227369261720504</v>
      </c>
      <c r="R241" s="17">
        <f t="shared" si="83"/>
        <v>52.772630738279496</v>
      </c>
      <c r="S241" s="14">
        <f t="shared" si="99"/>
        <v>0.57495367664451547</v>
      </c>
      <c r="T241" s="13">
        <v>0</v>
      </c>
      <c r="U241" s="13">
        <f t="shared" si="100"/>
        <v>28.006050837287756</v>
      </c>
      <c r="V241" s="13">
        <f>IF($T241=1,$AU241,(VLOOKUP(U241,'Cortes naturales'!$A$35:$C$39,3,9)))</f>
        <v>4</v>
      </c>
      <c r="W241" s="13">
        <v>4</v>
      </c>
      <c r="X241" s="14" t="b">
        <f t="shared" si="84"/>
        <v>1</v>
      </c>
      <c r="Y241" s="17">
        <f>IF($T241=1,$AU241,VLOOKUP(U241,'Cortes naturales'!$A$45:$C$49,3,9))</f>
        <v>4</v>
      </c>
      <c r="Z241" s="14">
        <v>50.220999965856009</v>
      </c>
      <c r="AA241" s="14">
        <v>0.58936349742039773</v>
      </c>
      <c r="AB241" s="14">
        <v>29.598424183826573</v>
      </c>
      <c r="AC241" s="13">
        <v>3</v>
      </c>
      <c r="AD241" s="13">
        <f t="shared" si="85"/>
        <v>-1</v>
      </c>
      <c r="AE241" s="14">
        <f t="shared" si="86"/>
        <v>-1.5109003962111274</v>
      </c>
      <c r="AF241" s="14">
        <f t="shared" si="87"/>
        <v>-1.4409820775882265E-2</v>
      </c>
      <c r="AG241" s="13">
        <f t="shared" si="88"/>
        <v>-1.5923733465388175</v>
      </c>
      <c r="AH241" s="13">
        <f>IF($T241=1,$AU241,VLOOKUP(U241,'Cortes naturales'!$A$25:$C$29,3,9))</f>
        <v>3</v>
      </c>
      <c r="AI241" s="13" t="b">
        <f t="shared" si="89"/>
        <v>0</v>
      </c>
      <c r="AJ241" s="13" t="str">
        <f t="shared" si="90"/>
        <v>Cambio en corte</v>
      </c>
      <c r="AK241" s="28">
        <v>0.9741882058902549</v>
      </c>
      <c r="AL241" s="28">
        <v>48.924705854751821</v>
      </c>
      <c r="AM241" s="28">
        <v>0.44137048689997421</v>
      </c>
      <c r="AN241" s="13">
        <v>3</v>
      </c>
      <c r="AO241" s="33">
        <f t="shared" si="91"/>
        <v>-1</v>
      </c>
      <c r="AP241" s="13">
        <f t="shared" si="101"/>
        <v>44.137048689997421</v>
      </c>
      <c r="AQ241" s="13">
        <f>IFERROR(VLOOKUP(U241,'Cortes naturales'!$E$15:$G$19,3,9),U241)</f>
        <v>4</v>
      </c>
      <c r="AR241" s="28">
        <f t="shared" si="92"/>
        <v>-0.39923452924573943</v>
      </c>
      <c r="AS241" s="13" t="b">
        <f t="shared" si="93"/>
        <v>1</v>
      </c>
      <c r="AT241" s="13" t="str">
        <f t="shared" si="102"/>
        <v>Efecto ponderador</v>
      </c>
      <c r="AU241" s="13">
        <v>2</v>
      </c>
      <c r="AV241">
        <f t="shared" si="94"/>
        <v>-2</v>
      </c>
      <c r="AW241" s="13">
        <v>0</v>
      </c>
      <c r="AX241" s="13">
        <v>0</v>
      </c>
      <c r="AY241" s="13">
        <v>0</v>
      </c>
      <c r="AZ241" s="13">
        <v>0</v>
      </c>
      <c r="BA241">
        <v>0</v>
      </c>
      <c r="BB241" t="s">
        <v>2839</v>
      </c>
      <c r="BC241">
        <v>6</v>
      </c>
      <c r="BD241" t="s">
        <v>2919</v>
      </c>
      <c r="BE241">
        <v>0</v>
      </c>
      <c r="BF241" s="232" t="s">
        <v>2846</v>
      </c>
      <c r="BG241" s="232" t="s">
        <v>2846</v>
      </c>
      <c r="BH241" s="253">
        <v>23</v>
      </c>
      <c r="BI241" s="253">
        <v>8.152096659559346</v>
      </c>
      <c r="BJ241" s="25">
        <v>19.655555555555555</v>
      </c>
      <c r="BK241" t="s">
        <v>379</v>
      </c>
      <c r="BL241">
        <v>2.2069801470979793E-2</v>
      </c>
      <c r="BM241" t="s">
        <v>377</v>
      </c>
      <c r="BN241" s="322">
        <v>36048.89</v>
      </c>
      <c r="BO241" s="322">
        <v>2121.909373</v>
      </c>
      <c r="BP241" s="10">
        <v>16037</v>
      </c>
      <c r="BQ241" s="254">
        <f t="shared" si="95"/>
        <v>2.2478574546361538</v>
      </c>
      <c r="BR241" s="254">
        <f t="shared" si="96"/>
        <v>0.13231336116480638</v>
      </c>
      <c r="BS241" s="25">
        <v>66.786392880554487</v>
      </c>
      <c r="BT241" s="25">
        <v>95.819467481449138</v>
      </c>
      <c r="BU241" s="25">
        <v>51.871179839633427</v>
      </c>
      <c r="BV241" s="25">
        <v>92.038537328837606</v>
      </c>
      <c r="BW241" s="25">
        <v>52.128457673023213</v>
      </c>
      <c r="BX241" s="25">
        <v>76.628894382618668</v>
      </c>
      <c r="BY241" s="25">
        <v>52.003713164926609</v>
      </c>
      <c r="BZ241">
        <v>80</v>
      </c>
      <c r="CA241">
        <v>0</v>
      </c>
      <c r="CB241">
        <v>6</v>
      </c>
      <c r="CC241">
        <v>9779.0851340000008</v>
      </c>
      <c r="CD241" s="10">
        <v>3073.2149690000001</v>
      </c>
      <c r="CE241" s="255">
        <v>0.3142640571064283</v>
      </c>
      <c r="CF241" t="str">
        <f>IFERROR(VLOOKUP(CE241,'Rangos amb etnico'!$A$2:$C$6,3,9),"N.D.")</f>
        <v>31% - 50%</v>
      </c>
      <c r="CG241" s="256">
        <v>8.941140843981432E-5</v>
      </c>
      <c r="CH241" s="232">
        <v>5193.5627270000005</v>
      </c>
      <c r="CI241" s="311">
        <f t="shared" si="103"/>
        <v>0.53108881412055409</v>
      </c>
      <c r="CJ241" s="232" t="str">
        <f>IFERROR(VLOOKUP(CI241,'Rangos amb etnico'!$A$2:$C$6,3,9),"N.D.")</f>
        <v>51% - 70%</v>
      </c>
      <c r="CK241" s="311">
        <f t="shared" si="104"/>
        <v>2.0621844355829389E-4</v>
      </c>
      <c r="CL241" s="10">
        <v>0</v>
      </c>
      <c r="CM241" s="255">
        <f t="shared" si="105"/>
        <v>0</v>
      </c>
      <c r="CN241" s="232">
        <f>IFERROR(VLOOKUP(CM241,'Rangos amb etnico'!$A$2:$C$6,3,9),"N.D.")</f>
        <v>0</v>
      </c>
      <c r="CO241" s="311">
        <f t="shared" si="106"/>
        <v>0</v>
      </c>
      <c r="CP241">
        <v>0.82228613677381324</v>
      </c>
      <c r="CQ241" t="s">
        <v>2865</v>
      </c>
      <c r="CR241">
        <f t="shared" si="97"/>
        <v>1</v>
      </c>
      <c r="CS241" t="str">
        <f t="shared" si="107"/>
        <v>No es Candidato</v>
      </c>
      <c r="CT241">
        <v>0</v>
      </c>
      <c r="CU241">
        <v>0</v>
      </c>
      <c r="CV241" s="25">
        <v>58.319503784179688</v>
      </c>
      <c r="CW241" s="25">
        <v>27.163991928100589</v>
      </c>
      <c r="CX241" s="25">
        <v>50.296371459960938</v>
      </c>
      <c r="CY241" s="25">
        <v>67.371330261230469</v>
      </c>
      <c r="CZ241" s="25">
        <v>50.279415130615227</v>
      </c>
      <c r="DA241" s="25">
        <v>84.154037475585938</v>
      </c>
      <c r="DB241" s="25">
        <v>70.651878356933594</v>
      </c>
      <c r="DC241">
        <v>6330</v>
      </c>
      <c r="DD241" s="253" t="s">
        <v>380</v>
      </c>
    </row>
    <row r="242" spans="1:108">
      <c r="A242" s="13">
        <v>5321</v>
      </c>
      <c r="B242" s="13" t="s">
        <v>946</v>
      </c>
      <c r="C242" s="13" t="s">
        <v>435</v>
      </c>
      <c r="D242" s="13" t="s">
        <v>436</v>
      </c>
      <c r="E242" s="13" t="s">
        <v>947</v>
      </c>
      <c r="F242" s="14">
        <v>68.5619333333333</v>
      </c>
      <c r="G242" s="13">
        <v>51.48</v>
      </c>
      <c r="H242" s="13">
        <v>52.67</v>
      </c>
      <c r="I242" s="13">
        <v>47.66</v>
      </c>
      <c r="J242" s="14">
        <v>75.844298413022045</v>
      </c>
      <c r="K242" s="14">
        <v>55.274776274710007</v>
      </c>
      <c r="L242" s="14">
        <v>57.35836769306804</v>
      </c>
      <c r="M242" s="14">
        <v>67.808300000000003</v>
      </c>
      <c r="N242" s="14">
        <f t="shared" si="81"/>
        <v>55.092983333333329</v>
      </c>
      <c r="O242" s="14">
        <f t="shared" si="82"/>
        <v>64.071435595200029</v>
      </c>
      <c r="P242" s="14">
        <f t="shared" si="98"/>
        <v>59.582209464266683</v>
      </c>
      <c r="Q242" s="14">
        <v>46.359751412920538</v>
      </c>
      <c r="R242" s="17">
        <f t="shared" si="83"/>
        <v>53.640248587079462</v>
      </c>
      <c r="S242" s="14">
        <f t="shared" si="99"/>
        <v>0.58276223728371523</v>
      </c>
      <c r="T242" s="13">
        <v>0</v>
      </c>
      <c r="U242" s="13">
        <f t="shared" si="100"/>
        <v>34.722261689703004</v>
      </c>
      <c r="V242" s="13">
        <f>IF($T242=1,$AU242,(VLOOKUP(U242,'Cortes naturales'!$A$35:$C$39,3,9)))</f>
        <v>3</v>
      </c>
      <c r="W242" s="13">
        <v>3</v>
      </c>
      <c r="X242" s="14" t="b">
        <f t="shared" si="84"/>
        <v>1</v>
      </c>
      <c r="Y242" s="17">
        <f>IF($T242=1,$AU242,VLOOKUP(U242,'Cortes naturales'!$A$45:$C$49,3,9))</f>
        <v>3</v>
      </c>
      <c r="Z242" s="14">
        <v>61.993860970074167</v>
      </c>
      <c r="AA242" s="14">
        <v>0.59015309389851489</v>
      </c>
      <c r="AB242" s="14">
        <v>36.58586885420366</v>
      </c>
      <c r="AC242" s="13">
        <v>2</v>
      </c>
      <c r="AD242" s="13">
        <f t="shared" si="85"/>
        <v>-1</v>
      </c>
      <c r="AE242" s="14">
        <f t="shared" si="86"/>
        <v>-2.4116515058074839</v>
      </c>
      <c r="AF242" s="14">
        <f t="shared" si="87"/>
        <v>-7.3908566147996568E-3</v>
      </c>
      <c r="AG242" s="13">
        <f t="shared" si="88"/>
        <v>-1.8636071645006567</v>
      </c>
      <c r="AH242" s="13">
        <f>IF($T242=1,$AU242,VLOOKUP(U242,'Cortes naturales'!$A$25:$C$29,3,9))</f>
        <v>3</v>
      </c>
      <c r="AI242" s="13" t="b">
        <f t="shared" si="89"/>
        <v>1</v>
      </c>
      <c r="AJ242" s="13" t="str">
        <f t="shared" si="90"/>
        <v>Efecto ponderador</v>
      </c>
      <c r="AK242" s="28">
        <v>0.9741882058902549</v>
      </c>
      <c r="AL242" s="28">
        <v>60.393688194646451</v>
      </c>
      <c r="AM242" s="28">
        <v>0.5848353665251298</v>
      </c>
      <c r="AN242" s="13">
        <v>2</v>
      </c>
      <c r="AO242" s="33">
        <f t="shared" si="91"/>
        <v>-1</v>
      </c>
      <c r="AP242" s="13">
        <f t="shared" si="101"/>
        <v>58.483536652512981</v>
      </c>
      <c r="AQ242" s="13">
        <f>IFERROR(VLOOKUP(U242,'Cortes naturales'!$E$15:$G$19,3,9),U242)</f>
        <v>4</v>
      </c>
      <c r="AR242" s="28">
        <f t="shared" si="92"/>
        <v>-0.39142596860653966</v>
      </c>
      <c r="AS242" s="13" t="b">
        <f t="shared" si="93"/>
        <v>0</v>
      </c>
      <c r="AT242" s="13" t="str">
        <f t="shared" si="102"/>
        <v>Cambio en corte</v>
      </c>
      <c r="AU242" s="13">
        <v>2</v>
      </c>
      <c r="AV242">
        <f t="shared" si="94"/>
        <v>-1</v>
      </c>
      <c r="AW242" s="13">
        <v>0</v>
      </c>
      <c r="AX242" s="13">
        <v>1</v>
      </c>
      <c r="AY242" s="13">
        <v>0</v>
      </c>
      <c r="AZ242" s="13">
        <v>0</v>
      </c>
      <c r="BA242">
        <v>0</v>
      </c>
      <c r="BB242" t="s">
        <v>2839</v>
      </c>
      <c r="BC242">
        <v>6</v>
      </c>
      <c r="BD242" t="s">
        <v>2919</v>
      </c>
      <c r="BE242">
        <v>1</v>
      </c>
      <c r="BF242" s="232" t="s">
        <v>2846</v>
      </c>
      <c r="BG242" s="232" t="s">
        <v>2845</v>
      </c>
      <c r="BH242" s="253">
        <v>11.4</v>
      </c>
      <c r="BI242" s="253">
        <v>4.3583881108888249</v>
      </c>
      <c r="BJ242" s="25">
        <v>1.3097228381374726</v>
      </c>
      <c r="BK242" t="s">
        <v>381</v>
      </c>
      <c r="BL242">
        <v>10.718241385765072</v>
      </c>
      <c r="BM242" t="s">
        <v>379</v>
      </c>
      <c r="BN242" s="322">
        <v>33930.577093</v>
      </c>
      <c r="BO242" s="322">
        <v>11556.971479</v>
      </c>
      <c r="BP242" s="10">
        <v>9518</v>
      </c>
      <c r="BQ242" s="254">
        <f t="shared" si="95"/>
        <v>3.5648851747215802</v>
      </c>
      <c r="BR242" s="254">
        <f t="shared" si="96"/>
        <v>1.2142226811304895</v>
      </c>
      <c r="BS242" s="25">
        <v>84.457971014492756</v>
      </c>
      <c r="BT242" s="25">
        <v>91.209637879106253</v>
      </c>
      <c r="BU242" s="25">
        <v>57.418333333333329</v>
      </c>
      <c r="BV242" s="25">
        <v>84.199465416614487</v>
      </c>
      <c r="BW242" s="25">
        <v>63.894356171512811</v>
      </c>
      <c r="BX242" s="25">
        <v>79.321351910886705</v>
      </c>
      <c r="BY242" s="25">
        <v>66.351708809992701</v>
      </c>
      <c r="BZ242">
        <v>84</v>
      </c>
      <c r="CA242">
        <v>0</v>
      </c>
      <c r="CB242">
        <v>7</v>
      </c>
      <c r="CC242">
        <v>8328.1661920000006</v>
      </c>
      <c r="CD242" s="10">
        <v>6463.952706</v>
      </c>
      <c r="CE242" s="255">
        <v>0.77615558539276563</v>
      </c>
      <c r="CF242" t="str">
        <f>IFERROR(VLOOKUP(CE242,'Rangos amb etnico'!$A$2:$C$6,3,9),"N.D.")</f>
        <v>71% - 100%</v>
      </c>
      <c r="CG242" s="256">
        <v>1.8806075115528599E-4</v>
      </c>
      <c r="CH242" s="232">
        <v>0</v>
      </c>
      <c r="CI242" s="311">
        <f t="shared" si="103"/>
        <v>0</v>
      </c>
      <c r="CJ242" s="232">
        <f>IFERROR(VLOOKUP(CI242,'Rangos amb etnico'!$A$2:$C$6,3,9),"N.D.")</f>
        <v>0</v>
      </c>
      <c r="CK242" s="311">
        <f t="shared" si="104"/>
        <v>0</v>
      </c>
      <c r="CL242" s="10">
        <v>0</v>
      </c>
      <c r="CM242" s="255">
        <f t="shared" si="105"/>
        <v>0</v>
      </c>
      <c r="CN242" s="232">
        <f>IFERROR(VLOOKUP(CM242,'Rangos amb etnico'!$A$2:$C$6,3,9),"N.D.")</f>
        <v>0</v>
      </c>
      <c r="CO242" s="311">
        <f t="shared" si="106"/>
        <v>0</v>
      </c>
      <c r="CP242">
        <v>0.86340645936369276</v>
      </c>
      <c r="CQ242" t="s">
        <v>2864</v>
      </c>
      <c r="CR242">
        <f t="shared" si="97"/>
        <v>3</v>
      </c>
      <c r="CS242" t="str">
        <f t="shared" si="107"/>
        <v>Candidato</v>
      </c>
      <c r="CT242">
        <v>0</v>
      </c>
      <c r="CU242">
        <v>0</v>
      </c>
      <c r="CV242" s="25">
        <v>50.003681182861328</v>
      </c>
      <c r="CW242" s="25">
        <v>41.093940734863281</v>
      </c>
      <c r="CX242" s="25">
        <v>51.470939636230469</v>
      </c>
      <c r="CY242" s="25">
        <v>76.742294311523438</v>
      </c>
      <c r="CZ242" s="25">
        <v>49.297172546386719</v>
      </c>
      <c r="DA242" s="25">
        <v>19.6909065246582</v>
      </c>
      <c r="DB242" s="25">
        <v>61.726825714111328</v>
      </c>
      <c r="DC242">
        <v>144</v>
      </c>
      <c r="DD242" s="253" t="s">
        <v>380</v>
      </c>
    </row>
    <row r="243" spans="1:108" hidden="1">
      <c r="A243" s="13">
        <v>25772</v>
      </c>
      <c r="B243" s="13" t="s">
        <v>948</v>
      </c>
      <c r="C243" s="13" t="s">
        <v>461</v>
      </c>
      <c r="D243" s="13" t="s">
        <v>462</v>
      </c>
      <c r="E243" s="13" t="s">
        <v>949</v>
      </c>
      <c r="F243" s="14">
        <v>57.4739</v>
      </c>
      <c r="G243" s="13">
        <v>60.53</v>
      </c>
      <c r="H243" s="13">
        <v>58.2</v>
      </c>
      <c r="I243" s="13">
        <v>54.91</v>
      </c>
      <c r="J243" s="14">
        <v>55.338196457370721</v>
      </c>
      <c r="K243" s="14">
        <v>60.654922096414467</v>
      </c>
      <c r="L243" s="14">
        <v>65.213550074804971</v>
      </c>
      <c r="M243" s="14">
        <v>59.841000000000001</v>
      </c>
      <c r="N243" s="14">
        <f t="shared" si="81"/>
        <v>57.778475</v>
      </c>
      <c r="O243" s="14">
        <f t="shared" si="82"/>
        <v>60.261917157147543</v>
      </c>
      <c r="P243" s="14">
        <f t="shared" si="98"/>
        <v>59.020196078573775</v>
      </c>
      <c r="Q243" s="14">
        <v>47.470939670496598</v>
      </c>
      <c r="R243" s="17">
        <f t="shared" si="83"/>
        <v>52.529060329503402</v>
      </c>
      <c r="S243" s="14">
        <f t="shared" si="99"/>
        <v>0.57276154296553061</v>
      </c>
      <c r="T243" s="13">
        <v>0</v>
      </c>
      <c r="U243" s="13">
        <f t="shared" si="100"/>
        <v>33.804498572092072</v>
      </c>
      <c r="V243" s="13">
        <f>IF($T243=1,$AU243,(VLOOKUP(U243,'Cortes naturales'!$A$35:$C$39,3,9)))</f>
        <v>3</v>
      </c>
      <c r="W243" s="13">
        <v>3</v>
      </c>
      <c r="X243" s="14" t="b">
        <f t="shared" si="84"/>
        <v>1</v>
      </c>
      <c r="Y243" s="17">
        <f>IF($T243=1,$AU243,VLOOKUP(U243,'Cortes naturales'!$A$45:$C$49,3,9))</f>
        <v>3</v>
      </c>
      <c r="Z243" s="14">
        <v>57.655986860255545</v>
      </c>
      <c r="AA243" s="14">
        <v>0.58724664179688069</v>
      </c>
      <c r="AB243" s="14">
        <v>33.858284663170146</v>
      </c>
      <c r="AC243" s="13">
        <v>3</v>
      </c>
      <c r="AD243" s="13">
        <f t="shared" si="85"/>
        <v>0</v>
      </c>
      <c r="AE243" s="14">
        <f t="shared" si="86"/>
        <v>1.3642092183182299</v>
      </c>
      <c r="AF243" s="14">
        <f t="shared" si="87"/>
        <v>-1.4485098831350074E-2</v>
      </c>
      <c r="AG243" s="13">
        <f t="shared" si="88"/>
        <v>-5.3786091078073639E-2</v>
      </c>
      <c r="AH243" s="13">
        <f>IF($T243=1,$AU243,VLOOKUP(U243,'Cortes naturales'!$A$25:$C$29,3,9))</f>
        <v>3</v>
      </c>
      <c r="AI243" s="13" t="b">
        <f t="shared" si="89"/>
        <v>1</v>
      </c>
      <c r="AJ243" s="13">
        <f t="shared" si="90"/>
        <v>0</v>
      </c>
      <c r="AK243" s="28">
        <v>0.9741882058902549</v>
      </c>
      <c r="AL243" s="28">
        <v>56.16778239822446</v>
      </c>
      <c r="AM243" s="28">
        <v>0.53197373953647942</v>
      </c>
      <c r="AN243" s="13">
        <v>2</v>
      </c>
      <c r="AO243" s="33">
        <f t="shared" si="91"/>
        <v>-1</v>
      </c>
      <c r="AP243" s="13">
        <f t="shared" si="101"/>
        <v>53.19737395364794</v>
      </c>
      <c r="AQ243" s="13">
        <f>IFERROR(VLOOKUP(U243,'Cortes naturales'!$E$15:$G$19,3,9),U243)</f>
        <v>4</v>
      </c>
      <c r="AR243" s="28">
        <f t="shared" si="92"/>
        <v>-0.40142666292472429</v>
      </c>
      <c r="AS243" s="13" t="b">
        <f t="shared" si="93"/>
        <v>0</v>
      </c>
      <c r="AT243" s="13" t="str">
        <f t="shared" si="102"/>
        <v>Cambio en corte</v>
      </c>
      <c r="AU243" s="13">
        <v>2</v>
      </c>
      <c r="AV243">
        <f t="shared" si="94"/>
        <v>-1</v>
      </c>
      <c r="AW243" s="13">
        <v>0</v>
      </c>
      <c r="AX243" s="13">
        <v>0</v>
      </c>
      <c r="AY243" s="13">
        <v>0</v>
      </c>
      <c r="AZ243" s="13">
        <v>0</v>
      </c>
      <c r="BA243">
        <v>0</v>
      </c>
      <c r="BB243" t="s">
        <v>2839</v>
      </c>
      <c r="BC243">
        <v>6</v>
      </c>
      <c r="BD243" t="s">
        <v>2919</v>
      </c>
      <c r="BE243">
        <v>0</v>
      </c>
      <c r="BF243" s="232" t="s">
        <v>2846</v>
      </c>
      <c r="BG243" s="232" t="s">
        <v>2845</v>
      </c>
      <c r="BH243" s="253">
        <v>14</v>
      </c>
      <c r="BI243" s="253">
        <v>4.982137057486197</v>
      </c>
      <c r="BJ243" s="25">
        <v>4.4702072667217179</v>
      </c>
      <c r="BK243" t="s">
        <v>381</v>
      </c>
      <c r="BL243">
        <v>0.84592452393842354</v>
      </c>
      <c r="BM243" t="s">
        <v>383</v>
      </c>
      <c r="BN243" s="322">
        <v>20166.093213</v>
      </c>
      <c r="BO243" s="322">
        <v>4505.9405800000004</v>
      </c>
      <c r="BP243" s="10">
        <v>19171</v>
      </c>
      <c r="BQ243" s="254">
        <f t="shared" si="95"/>
        <v>1.051906171456888</v>
      </c>
      <c r="BR243" s="254">
        <f t="shared" si="96"/>
        <v>0.23503941265453029</v>
      </c>
      <c r="BS243" s="25">
        <v>60.454925600086881</v>
      </c>
      <c r="BT243" s="25">
        <v>90.76425373115643</v>
      </c>
      <c r="BU243" s="25">
        <v>55.7880206523837</v>
      </c>
      <c r="BV243" s="25">
        <v>91.55110722765545</v>
      </c>
      <c r="BW243" s="25">
        <v>62.455818026886973</v>
      </c>
      <c r="BX243" s="25">
        <v>74.639576802820613</v>
      </c>
      <c r="BY243" s="25">
        <v>63.486880153893672</v>
      </c>
      <c r="BZ243">
        <v>96</v>
      </c>
      <c r="CA243">
        <v>0</v>
      </c>
      <c r="CB243">
        <v>6</v>
      </c>
      <c r="CC243">
        <v>17301.88205</v>
      </c>
      <c r="CD243" s="10">
        <v>7684.4705009999998</v>
      </c>
      <c r="CE243" s="255">
        <v>0.44414072866714521</v>
      </c>
      <c r="CF243" t="str">
        <f>IFERROR(VLOOKUP(CE243,'Rangos amb etnico'!$A$2:$C$6,3,9),"N.D.")</f>
        <v>31% - 50%</v>
      </c>
      <c r="CG243" s="256">
        <v>2.2357021475532697E-4</v>
      </c>
      <c r="CH243" s="232">
        <v>0</v>
      </c>
      <c r="CI243" s="311">
        <f t="shared" si="103"/>
        <v>0</v>
      </c>
      <c r="CJ243" s="232">
        <f>IFERROR(VLOOKUP(CI243,'Rangos amb etnico'!$A$2:$C$6,3,9),"N.D.")</f>
        <v>0</v>
      </c>
      <c r="CK243" s="311">
        <f t="shared" si="104"/>
        <v>0</v>
      </c>
      <c r="CL243" s="10">
        <v>0</v>
      </c>
      <c r="CM243" s="255">
        <f t="shared" si="105"/>
        <v>0</v>
      </c>
      <c r="CN243" s="232">
        <f>IFERROR(VLOOKUP(CM243,'Rangos amb etnico'!$A$2:$C$6,3,9),"N.D.")</f>
        <v>0</v>
      </c>
      <c r="CO243" s="311">
        <f t="shared" si="106"/>
        <v>0</v>
      </c>
      <c r="CP243">
        <v>0.95052383762385428</v>
      </c>
      <c r="CQ243" t="s">
        <v>2864</v>
      </c>
      <c r="CR243">
        <f t="shared" si="97"/>
        <v>2</v>
      </c>
      <c r="CS243" t="str">
        <f t="shared" si="107"/>
        <v>No es Candidato</v>
      </c>
      <c r="CT243">
        <v>0</v>
      </c>
      <c r="CU243">
        <v>0</v>
      </c>
      <c r="CV243" s="25">
        <v>56.794990539550781</v>
      </c>
      <c r="CW243" s="25">
        <v>33.917564392089837</v>
      </c>
      <c r="CX243" s="25">
        <v>47.807174682617188</v>
      </c>
      <c r="CY243" s="25">
        <v>65.847412109375</v>
      </c>
      <c r="CZ243" s="25">
        <v>68.805877685546875</v>
      </c>
      <c r="DA243" s="25">
        <v>64.55926513671875</v>
      </c>
      <c r="DB243" s="25">
        <v>59.832649230957031</v>
      </c>
      <c r="DC243">
        <v>118</v>
      </c>
      <c r="DD243" s="253" t="s">
        <v>380</v>
      </c>
    </row>
    <row r="244" spans="1:108" hidden="1">
      <c r="A244" s="13">
        <v>13188</v>
      </c>
      <c r="B244" s="13" t="s">
        <v>950</v>
      </c>
      <c r="C244" s="13" t="s">
        <v>480</v>
      </c>
      <c r="D244" s="13" t="s">
        <v>481</v>
      </c>
      <c r="E244" s="13" t="s">
        <v>951</v>
      </c>
      <c r="F244" s="14">
        <v>57.331666666666699</v>
      </c>
      <c r="G244" s="14">
        <v>0</v>
      </c>
      <c r="H244" s="13">
        <v>58.78</v>
      </c>
      <c r="I244" s="13">
        <v>66.84</v>
      </c>
      <c r="J244" s="14">
        <v>61.90942933288234</v>
      </c>
      <c r="K244" s="14">
        <v>70.415778714758659</v>
      </c>
      <c r="L244" s="14">
        <v>21.663008752493575</v>
      </c>
      <c r="M244" s="14">
        <v>56.470599999999997</v>
      </c>
      <c r="N244" s="14">
        <f t="shared" si="81"/>
        <v>45.737916666666678</v>
      </c>
      <c r="O244" s="14">
        <f t="shared" si="82"/>
        <v>52.614704200033643</v>
      </c>
      <c r="P244" s="14">
        <f t="shared" si="98"/>
        <v>49.17631043335016</v>
      </c>
      <c r="Q244" s="14">
        <v>46.304176886036515</v>
      </c>
      <c r="R244" s="17">
        <f t="shared" si="83"/>
        <v>53.695823113963485</v>
      </c>
      <c r="S244" s="14">
        <f t="shared" si="99"/>
        <v>0.58326240802567131</v>
      </c>
      <c r="T244" s="13">
        <v>0</v>
      </c>
      <c r="U244" s="13">
        <f t="shared" si="100"/>
        <v>28.682693241173759</v>
      </c>
      <c r="V244" s="13">
        <f>IF($T244=1,$AU244,(VLOOKUP(U244,'Cortes naturales'!$A$35:$C$39,3,9)))</f>
        <v>4</v>
      </c>
      <c r="W244" s="13">
        <v>4</v>
      </c>
      <c r="X244" s="14" t="b">
        <f t="shared" si="84"/>
        <v>1</v>
      </c>
      <c r="Y244" s="17">
        <f>IF($T244=1,$AU244,VLOOKUP(U244,'Cortes naturales'!$A$45:$C$49,3,9))</f>
        <v>3</v>
      </c>
      <c r="Z244" s="14">
        <v>55.136943100101121</v>
      </c>
      <c r="AA244" s="14">
        <v>0.58871727540804508</v>
      </c>
      <c r="AB244" s="14">
        <v>32.460070916219941</v>
      </c>
      <c r="AC244" s="13">
        <v>3</v>
      </c>
      <c r="AD244" s="13">
        <f t="shared" si="85"/>
        <v>0</v>
      </c>
      <c r="AE244" s="14">
        <f t="shared" si="86"/>
        <v>-5.9606326667509606</v>
      </c>
      <c r="AF244" s="14">
        <f t="shared" si="87"/>
        <v>-5.4548673823737737E-3</v>
      </c>
      <c r="AG244" s="13">
        <f t="shared" si="88"/>
        <v>-3.777377675046182</v>
      </c>
      <c r="AH244" s="13">
        <f>IF($T244=1,$AU244,VLOOKUP(U244,'Cortes naturales'!$A$25:$C$29,3,9))</f>
        <v>3</v>
      </c>
      <c r="AI244" s="13" t="b">
        <f t="shared" si="89"/>
        <v>1</v>
      </c>
      <c r="AJ244" s="13">
        <f t="shared" si="90"/>
        <v>0</v>
      </c>
      <c r="AK244" s="28">
        <v>0.9741882058902549</v>
      </c>
      <c r="AL244" s="28">
        <v>53.713759676960578</v>
      </c>
      <c r="AM244" s="28">
        <v>0.50127650207724428</v>
      </c>
      <c r="AN244" s="13">
        <v>2</v>
      </c>
      <c r="AO244" s="33">
        <f t="shared" si="91"/>
        <v>-1</v>
      </c>
      <c r="AP244" s="13">
        <f t="shared" si="101"/>
        <v>50.127650207724429</v>
      </c>
      <c r="AQ244" s="13">
        <f>IFERROR(VLOOKUP(U244,'Cortes naturales'!$E$15:$G$19,3,9),U244)</f>
        <v>4</v>
      </c>
      <c r="AR244" s="28">
        <f t="shared" si="92"/>
        <v>-0.39092579786458359</v>
      </c>
      <c r="AS244" s="13" t="b">
        <f t="shared" si="93"/>
        <v>0</v>
      </c>
      <c r="AT244" s="13" t="str">
        <f t="shared" si="102"/>
        <v>Cambio en corte</v>
      </c>
      <c r="AU244" s="13">
        <v>2</v>
      </c>
      <c r="AV244">
        <f t="shared" si="94"/>
        <v>-1</v>
      </c>
      <c r="AW244" s="13">
        <v>0</v>
      </c>
      <c r="AX244" s="13">
        <v>0</v>
      </c>
      <c r="AY244" s="13">
        <v>0</v>
      </c>
      <c r="AZ244" s="13">
        <v>0</v>
      </c>
      <c r="BA244">
        <v>0</v>
      </c>
      <c r="BB244" t="s">
        <v>2839</v>
      </c>
      <c r="BC244">
        <v>6</v>
      </c>
      <c r="BD244" t="s">
        <v>2919</v>
      </c>
      <c r="BE244">
        <v>0</v>
      </c>
      <c r="BF244" s="232" t="s">
        <v>2846</v>
      </c>
      <c r="BG244" s="232" t="s">
        <v>2845</v>
      </c>
      <c r="BH244" s="253">
        <v>61.3</v>
      </c>
      <c r="BI244" s="253">
        <v>33.940548780487802</v>
      </c>
      <c r="BJ244" s="25">
        <v>11.668571428571429</v>
      </c>
      <c r="BK244" t="s">
        <v>377</v>
      </c>
      <c r="BL244">
        <v>1.5648856968238878</v>
      </c>
      <c r="BM244" t="s">
        <v>383</v>
      </c>
      <c r="BN244" s="322">
        <v>33193.903352000001</v>
      </c>
      <c r="BO244" s="322">
        <v>2718.4842910000002</v>
      </c>
      <c r="BP244" s="10">
        <v>15697</v>
      </c>
      <c r="BQ244" s="254">
        <f t="shared" si="95"/>
        <v>2.1146654361979995</v>
      </c>
      <c r="BR244" s="254">
        <f t="shared" si="96"/>
        <v>0.17318495833598779</v>
      </c>
      <c r="BS244" s="25">
        <v>55.113117034399259</v>
      </c>
      <c r="BT244" s="25">
        <v>94.221369828204971</v>
      </c>
      <c r="BU244" s="25">
        <v>32.361004736973307</v>
      </c>
      <c r="BV244" s="25">
        <v>95.10685457209199</v>
      </c>
      <c r="BW244" s="25">
        <v>53.613705498397621</v>
      </c>
      <c r="BX244" s="25">
        <v>69.200586542917378</v>
      </c>
      <c r="BY244" s="25">
        <v>53.806801361506032</v>
      </c>
      <c r="BZ244">
        <v>9</v>
      </c>
      <c r="CA244">
        <v>0</v>
      </c>
      <c r="CB244">
        <v>7</v>
      </c>
      <c r="CC244">
        <v>13201.644721000001</v>
      </c>
      <c r="CD244" s="10">
        <v>46.301735999999998</v>
      </c>
      <c r="CE244" s="255">
        <v>3.5072702665863535E-3</v>
      </c>
      <c r="CF244" t="str">
        <f>IFERROR(VLOOKUP(CE244,'Rangos amb etnico'!$A$2:$C$6,3,9),"N.D.")</f>
        <v>0,1% - 30%</v>
      </c>
      <c r="CG244" s="256">
        <v>1.3470920422841577E-6</v>
      </c>
      <c r="CH244" s="232">
        <v>0</v>
      </c>
      <c r="CI244" s="311">
        <f t="shared" si="103"/>
        <v>0</v>
      </c>
      <c r="CJ244" s="232">
        <f>IFERROR(VLOOKUP(CI244,'Rangos amb etnico'!$A$2:$C$6,3,9),"N.D.")</f>
        <v>0</v>
      </c>
      <c r="CK244" s="311">
        <f t="shared" si="104"/>
        <v>0</v>
      </c>
      <c r="CL244" s="10">
        <v>0</v>
      </c>
      <c r="CM244" s="255">
        <f t="shared" si="105"/>
        <v>0</v>
      </c>
      <c r="CN244" s="232">
        <f>IFERROR(VLOOKUP(CM244,'Rangos amb etnico'!$A$2:$C$6,3,9),"N.D.")</f>
        <v>0</v>
      </c>
      <c r="CO244" s="311">
        <f t="shared" si="106"/>
        <v>0</v>
      </c>
      <c r="CP244">
        <v>0.9440855392692078</v>
      </c>
      <c r="CQ244" t="s">
        <v>2864</v>
      </c>
      <c r="CR244">
        <f t="shared" si="97"/>
        <v>2</v>
      </c>
      <c r="CS244" t="str">
        <f t="shared" si="107"/>
        <v>No es Candidato</v>
      </c>
      <c r="CT244">
        <v>0</v>
      </c>
      <c r="CU244">
        <v>0</v>
      </c>
      <c r="CV244" s="25">
        <v>46.853069305419922</v>
      </c>
      <c r="CW244" s="25">
        <v>25.623125076293949</v>
      </c>
      <c r="CX244" s="25">
        <v>51.029350280761719</v>
      </c>
      <c r="CY244" s="25">
        <v>50.530651092529297</v>
      </c>
      <c r="CZ244" s="25">
        <v>6.6883573532104492</v>
      </c>
      <c r="DA244" s="25">
        <v>79.142662048339844</v>
      </c>
      <c r="DB244" s="25">
        <v>68.104255676269531</v>
      </c>
      <c r="DC244">
        <v>803</v>
      </c>
      <c r="DD244" s="253" t="s">
        <v>380</v>
      </c>
    </row>
    <row r="245" spans="1:108">
      <c r="A245" s="13">
        <v>5861</v>
      </c>
      <c r="B245" s="13" t="s">
        <v>952</v>
      </c>
      <c r="C245" s="13" t="s">
        <v>435</v>
      </c>
      <c r="D245" s="13" t="s">
        <v>436</v>
      </c>
      <c r="E245" s="13" t="s">
        <v>953</v>
      </c>
      <c r="F245" s="14">
        <v>59.457233333333299</v>
      </c>
      <c r="G245" s="13">
        <v>65.260000000000005</v>
      </c>
      <c r="H245" s="13">
        <v>63.23</v>
      </c>
      <c r="I245" s="13">
        <v>61.34</v>
      </c>
      <c r="J245" s="14">
        <v>55.290735652875775</v>
      </c>
      <c r="K245" s="14">
        <v>49.464327093855957</v>
      </c>
      <c r="L245" s="14">
        <v>51.668881391170494</v>
      </c>
      <c r="M245" s="14">
        <v>49.581200000000003</v>
      </c>
      <c r="N245" s="14">
        <f t="shared" si="81"/>
        <v>62.321808333333323</v>
      </c>
      <c r="O245" s="14">
        <f t="shared" si="82"/>
        <v>51.501286034475555</v>
      </c>
      <c r="P245" s="14">
        <f t="shared" si="98"/>
        <v>56.911547183904439</v>
      </c>
      <c r="Q245" s="14">
        <v>46.35940804192569</v>
      </c>
      <c r="R245" s="17">
        <f t="shared" si="83"/>
        <v>53.64059195807431</v>
      </c>
      <c r="S245" s="14">
        <f t="shared" si="99"/>
        <v>0.58276532762266886</v>
      </c>
      <c r="T245" s="13">
        <v>0</v>
      </c>
      <c r="U245" s="13">
        <f t="shared" si="100"/>
        <v>33.166076440141047</v>
      </c>
      <c r="V245" s="13">
        <f>IF($T245=1,$AU245,(VLOOKUP(U245,'Cortes naturales'!$A$35:$C$39,3,9)))</f>
        <v>3</v>
      </c>
      <c r="W245" s="13">
        <v>3</v>
      </c>
      <c r="X245" s="14" t="b">
        <f t="shared" si="84"/>
        <v>1</v>
      </c>
      <c r="Y245" s="17">
        <f>IF($T245=1,$AU245,VLOOKUP(U245,'Cortes naturales'!$A$45:$C$49,3,9))</f>
        <v>3</v>
      </c>
      <c r="Z245" s="14">
        <v>56.469854698718059</v>
      </c>
      <c r="AA245" s="14">
        <v>0.59132162508866959</v>
      </c>
      <c r="AB245" s="14">
        <v>33.391846248967006</v>
      </c>
      <c r="AC245" s="13">
        <v>3</v>
      </c>
      <c r="AD245" s="13">
        <f t="shared" si="85"/>
        <v>0</v>
      </c>
      <c r="AE245" s="14">
        <f t="shared" si="86"/>
        <v>0.44169248518637971</v>
      </c>
      <c r="AF245" s="14">
        <f t="shared" si="87"/>
        <v>-8.5562974660007285E-3</v>
      </c>
      <c r="AG245" s="13">
        <f t="shared" si="88"/>
        <v>-0.22576980882595876</v>
      </c>
      <c r="AH245" s="13">
        <f>IF($T245=1,$AU245,VLOOKUP(U245,'Cortes naturales'!$A$25:$C$29,3,9))</f>
        <v>3</v>
      </c>
      <c r="AI245" s="13" t="b">
        <f t="shared" si="89"/>
        <v>1</v>
      </c>
      <c r="AJ245" s="13">
        <f t="shared" si="90"/>
        <v>0</v>
      </c>
      <c r="AK245" s="28">
        <v>0.9741882058902549</v>
      </c>
      <c r="AL245" s="28">
        <v>55.012266435827527</v>
      </c>
      <c r="AM245" s="28">
        <v>0.51751945287552847</v>
      </c>
      <c r="AN245" s="13">
        <v>2</v>
      </c>
      <c r="AO245" s="33">
        <f t="shared" si="91"/>
        <v>-1</v>
      </c>
      <c r="AP245" s="13">
        <f t="shared" si="101"/>
        <v>51.75194528755285</v>
      </c>
      <c r="AQ245" s="13">
        <f>IFERROR(VLOOKUP(U245,'Cortes naturales'!$E$15:$G$19,3,9),U245)</f>
        <v>4</v>
      </c>
      <c r="AR245" s="28">
        <f t="shared" si="92"/>
        <v>-0.39142287826758604</v>
      </c>
      <c r="AS245" s="13" t="b">
        <f t="shared" si="93"/>
        <v>0</v>
      </c>
      <c r="AT245" s="13" t="str">
        <f t="shared" si="102"/>
        <v>Cambio en corte</v>
      </c>
      <c r="AU245" s="13">
        <v>2</v>
      </c>
      <c r="AV245">
        <f t="shared" si="94"/>
        <v>-1</v>
      </c>
      <c r="AW245" s="13">
        <v>0</v>
      </c>
      <c r="AX245" s="13">
        <v>0</v>
      </c>
      <c r="AY245" s="13">
        <v>0</v>
      </c>
      <c r="AZ245" s="13">
        <v>0</v>
      </c>
      <c r="BA245">
        <v>0</v>
      </c>
      <c r="BB245" t="s">
        <v>2839</v>
      </c>
      <c r="BC245">
        <v>6</v>
      </c>
      <c r="BD245" t="s">
        <v>2919</v>
      </c>
      <c r="BE245">
        <v>1</v>
      </c>
      <c r="BF245" s="232" t="s">
        <v>2846</v>
      </c>
      <c r="BG245" s="232" t="s">
        <v>2845</v>
      </c>
      <c r="BH245" s="253">
        <v>25.8</v>
      </c>
      <c r="BI245" s="253">
        <v>9.6272380393307895</v>
      </c>
      <c r="BJ245" s="25">
        <v>21.141289500955136</v>
      </c>
      <c r="BK245" t="s">
        <v>379</v>
      </c>
      <c r="BL245">
        <v>10.879761344569349</v>
      </c>
      <c r="BM245" t="s">
        <v>379</v>
      </c>
      <c r="BN245" s="322">
        <v>26424.261842</v>
      </c>
      <c r="BO245" s="322">
        <v>7941.6139839999996</v>
      </c>
      <c r="BP245" s="10">
        <v>12343</v>
      </c>
      <c r="BQ245" s="254">
        <f t="shared" si="95"/>
        <v>2.1408297692619298</v>
      </c>
      <c r="BR245" s="254">
        <f t="shared" si="96"/>
        <v>0.64341035275054681</v>
      </c>
      <c r="BS245" s="25">
        <v>59.791866532238942</v>
      </c>
      <c r="BT245" s="25">
        <v>86.341693639039661</v>
      </c>
      <c r="BU245" s="25">
        <v>53.140000000000008</v>
      </c>
      <c r="BV245" s="25">
        <v>83.713726714039339</v>
      </c>
      <c r="BW245" s="25">
        <v>60.62258026845889</v>
      </c>
      <c r="BX245" s="25">
        <v>70.746821721329482</v>
      </c>
      <c r="BY245" s="25">
        <v>59.888497417965119</v>
      </c>
      <c r="BZ245">
        <v>83</v>
      </c>
      <c r="CA245">
        <v>0</v>
      </c>
      <c r="CB245">
        <v>7</v>
      </c>
      <c r="CC245">
        <v>14363.047355000001</v>
      </c>
      <c r="CD245" s="10">
        <v>2437.7755189999998</v>
      </c>
      <c r="CE245" s="255">
        <v>0.1697255087132587</v>
      </c>
      <c r="CF245" t="str">
        <f>IFERROR(VLOOKUP(CE245,'Rangos amb etnico'!$A$2:$C$6,3,9),"N.D.")</f>
        <v>0,1% - 30%</v>
      </c>
      <c r="CG245" s="256">
        <v>7.0924079445315656E-5</v>
      </c>
      <c r="CH245" s="232">
        <v>0</v>
      </c>
      <c r="CI245" s="311">
        <f t="shared" si="103"/>
        <v>0</v>
      </c>
      <c r="CJ245" s="232">
        <f>IFERROR(VLOOKUP(CI245,'Rangos amb etnico'!$A$2:$C$6,3,9),"N.D.")</f>
        <v>0</v>
      </c>
      <c r="CK245" s="311">
        <f t="shared" si="104"/>
        <v>0</v>
      </c>
      <c r="CL245" s="10">
        <v>0</v>
      </c>
      <c r="CM245" s="255">
        <f t="shared" si="105"/>
        <v>0</v>
      </c>
      <c r="CN245" s="232">
        <f>IFERROR(VLOOKUP(CM245,'Rangos amb etnico'!$A$2:$C$6,3,9),"N.D.")</f>
        <v>0</v>
      </c>
      <c r="CO245" s="311">
        <f t="shared" si="106"/>
        <v>0</v>
      </c>
      <c r="CP245">
        <v>0.97060058895990875</v>
      </c>
      <c r="CQ245" t="s">
        <v>2864</v>
      </c>
      <c r="CR245">
        <f t="shared" si="97"/>
        <v>2</v>
      </c>
      <c r="CS245" t="str">
        <f t="shared" si="107"/>
        <v>No es Candidato</v>
      </c>
      <c r="CT245">
        <v>0</v>
      </c>
      <c r="CU245">
        <v>0</v>
      </c>
      <c r="CV245" s="25">
        <v>48.881282806396477</v>
      </c>
      <c r="CW245" s="25">
        <v>39.327510833740227</v>
      </c>
      <c r="CX245" s="25">
        <v>59.801715850830078</v>
      </c>
      <c r="CY245" s="25">
        <v>57.349632263183587</v>
      </c>
      <c r="CZ245" s="25">
        <v>62.841888427734382</v>
      </c>
      <c r="DA245" s="25">
        <v>37.299850463867188</v>
      </c>
      <c r="DB245" s="25">
        <v>36.667110443115227</v>
      </c>
      <c r="DC245">
        <v>172</v>
      </c>
      <c r="DD245" s="253" t="s">
        <v>380</v>
      </c>
    </row>
    <row r="246" spans="1:108" hidden="1">
      <c r="A246" s="13">
        <v>70717</v>
      </c>
      <c r="B246" s="13" t="s">
        <v>954</v>
      </c>
      <c r="C246" s="13" t="s">
        <v>494</v>
      </c>
      <c r="D246" s="13" t="s">
        <v>495</v>
      </c>
      <c r="E246" s="13" t="s">
        <v>868</v>
      </c>
      <c r="F246" s="14">
        <v>50.574033333333297</v>
      </c>
      <c r="G246" s="13">
        <v>34.28</v>
      </c>
      <c r="H246" s="13">
        <v>39.56</v>
      </c>
      <c r="I246" s="13">
        <v>35.11</v>
      </c>
      <c r="J246" s="14">
        <v>40.818859190536905</v>
      </c>
      <c r="K246" s="14">
        <v>52.452366346272136</v>
      </c>
      <c r="L246" s="14">
        <v>57.323861384295256</v>
      </c>
      <c r="M246" s="14">
        <v>53.042400000000001</v>
      </c>
      <c r="N246" s="14">
        <f t="shared" si="81"/>
        <v>39.881008333333327</v>
      </c>
      <c r="O246" s="14">
        <f t="shared" si="82"/>
        <v>50.909371730276078</v>
      </c>
      <c r="P246" s="14">
        <f t="shared" si="98"/>
        <v>45.395190031804702</v>
      </c>
      <c r="Q246" s="14">
        <v>46.660667000806839</v>
      </c>
      <c r="R246" s="17">
        <f t="shared" si="83"/>
        <v>53.339332999193161</v>
      </c>
      <c r="S246" s="14">
        <f t="shared" si="99"/>
        <v>0.58005399699273841</v>
      </c>
      <c r="T246" s="13">
        <v>0</v>
      </c>
      <c r="U246" s="13">
        <f t="shared" si="100"/>
        <v>26.331661422193232</v>
      </c>
      <c r="V246" s="13">
        <f>IF($T246=1,$AU246,(VLOOKUP(U246,'Cortes naturales'!$A$35:$C$39,3,9)))</f>
        <v>4</v>
      </c>
      <c r="W246" s="13">
        <v>4</v>
      </c>
      <c r="X246" s="14" t="b">
        <f t="shared" si="84"/>
        <v>1</v>
      </c>
      <c r="Y246" s="17">
        <f>IF($T246=1,$AU246,VLOOKUP(U246,'Cortes naturales'!$A$45:$C$49,3,9))</f>
        <v>4</v>
      </c>
      <c r="Z246" s="14">
        <v>47.135212187135693</v>
      </c>
      <c r="AA246" s="14">
        <v>0.58856707487895343</v>
      </c>
      <c r="AB246" s="14">
        <v>27.742233960781252</v>
      </c>
      <c r="AC246" s="13">
        <v>4</v>
      </c>
      <c r="AD246" s="13">
        <f t="shared" si="85"/>
        <v>0</v>
      </c>
      <c r="AE246" s="14">
        <f t="shared" si="86"/>
        <v>-1.7400221553309905</v>
      </c>
      <c r="AF246" s="14">
        <f t="shared" si="87"/>
        <v>-8.5130778862150258E-3</v>
      </c>
      <c r="AG246" s="13">
        <f t="shared" si="88"/>
        <v>-1.4105725385880206</v>
      </c>
      <c r="AH246" s="13">
        <f>IF($T246=1,$AU246,VLOOKUP(U246,'Cortes naturales'!$A$25:$C$29,3,9))</f>
        <v>4</v>
      </c>
      <c r="AI246" s="13" t="b">
        <f t="shared" si="89"/>
        <v>1</v>
      </c>
      <c r="AJ246" s="13">
        <f t="shared" si="90"/>
        <v>0</v>
      </c>
      <c r="AK246" s="28">
        <v>0.9741882058902549</v>
      </c>
      <c r="AL246" s="28">
        <v>45.918567794842197</v>
      </c>
      <c r="AM246" s="28">
        <v>0.40376686853870508</v>
      </c>
      <c r="AN246" s="13">
        <v>3</v>
      </c>
      <c r="AO246" s="33">
        <f t="shared" si="91"/>
        <v>-1</v>
      </c>
      <c r="AP246" s="13">
        <f t="shared" si="101"/>
        <v>40.37668685387051</v>
      </c>
      <c r="AQ246" s="13">
        <f>IFERROR(VLOOKUP(U246,'Cortes naturales'!$E$15:$G$19,3,9),U246)</f>
        <v>4</v>
      </c>
      <c r="AR246" s="28">
        <f t="shared" si="92"/>
        <v>-0.39413420889751649</v>
      </c>
      <c r="AS246" s="13" t="b">
        <f t="shared" si="93"/>
        <v>1</v>
      </c>
      <c r="AT246" s="13" t="str">
        <f t="shared" si="102"/>
        <v>Efecto ponderador</v>
      </c>
      <c r="AU246" s="13">
        <v>3</v>
      </c>
      <c r="AV246">
        <f t="shared" si="94"/>
        <v>-1</v>
      </c>
      <c r="AW246" s="13">
        <v>0</v>
      </c>
      <c r="AX246" s="13">
        <v>0</v>
      </c>
      <c r="AY246" s="13">
        <v>0</v>
      </c>
      <c r="AZ246" s="13">
        <v>0</v>
      </c>
      <c r="BA246">
        <v>0</v>
      </c>
      <c r="BB246" t="s">
        <v>2839</v>
      </c>
      <c r="BC246">
        <v>6</v>
      </c>
      <c r="BD246" t="s">
        <v>2919</v>
      </c>
      <c r="BE246">
        <v>0</v>
      </c>
      <c r="BF246" s="232" t="s">
        <v>2846</v>
      </c>
      <c r="BG246" s="232" t="s">
        <v>2845</v>
      </c>
      <c r="BH246" s="253">
        <v>47.1</v>
      </c>
      <c r="BI246" s="253">
        <v>30.083287062742922</v>
      </c>
      <c r="BJ246" s="25">
        <v>13.157894736842104</v>
      </c>
      <c r="BK246" t="s">
        <v>377</v>
      </c>
      <c r="BL246">
        <v>2.3038477173058105</v>
      </c>
      <c r="BM246" t="s">
        <v>383</v>
      </c>
      <c r="BN246" s="322">
        <v>47189.844019999997</v>
      </c>
      <c r="BO246" s="322">
        <v>3087.7132900000001</v>
      </c>
      <c r="BP246" s="10">
        <v>20760</v>
      </c>
      <c r="BQ246" s="254">
        <f t="shared" si="95"/>
        <v>2.273113873795761</v>
      </c>
      <c r="BR246" s="254">
        <f t="shared" si="96"/>
        <v>0.14873378082851638</v>
      </c>
      <c r="BS246" s="25">
        <v>64.174927888747902</v>
      </c>
      <c r="BT246" s="25">
        <v>97.056840077071286</v>
      </c>
      <c r="BU246" s="25">
        <v>29.365711820534941</v>
      </c>
      <c r="BV246" s="25">
        <v>95.536040334773858</v>
      </c>
      <c r="BW246" s="25">
        <v>43.769339608741532</v>
      </c>
      <c r="BX246" s="25">
        <v>71.53338003028199</v>
      </c>
      <c r="BY246" s="25">
        <v>44.440587570815609</v>
      </c>
      <c r="BZ246">
        <v>9</v>
      </c>
      <c r="CA246">
        <v>0</v>
      </c>
      <c r="CB246">
        <v>7</v>
      </c>
      <c r="CC246">
        <v>21280.240109999999</v>
      </c>
      <c r="CD246" s="10">
        <v>105.325515</v>
      </c>
      <c r="CE246" s="255">
        <v>4.9494514373691432E-3</v>
      </c>
      <c r="CF246" t="str">
        <f>IFERROR(VLOOKUP(CE246,'Rangos amb etnico'!$A$2:$C$6,3,9),"N.D.")</f>
        <v>0,1% - 30%</v>
      </c>
      <c r="CG246" s="256">
        <v>3.064316273281431E-6</v>
      </c>
      <c r="CH246" s="232">
        <v>0</v>
      </c>
      <c r="CI246" s="311">
        <f t="shared" si="103"/>
        <v>0</v>
      </c>
      <c r="CJ246" s="232">
        <f>IFERROR(VLOOKUP(CI246,'Rangos amb etnico'!$A$2:$C$6,3,9),"N.D.")</f>
        <v>0</v>
      </c>
      <c r="CK246" s="311">
        <f t="shared" si="104"/>
        <v>0</v>
      </c>
      <c r="CL246" s="10">
        <v>0</v>
      </c>
      <c r="CM246" s="255">
        <f t="shared" si="105"/>
        <v>0</v>
      </c>
      <c r="CN246" s="232">
        <f>IFERROR(VLOOKUP(CM246,'Rangos amb etnico'!$A$2:$C$6,3,9),"N.D.")</f>
        <v>0</v>
      </c>
      <c r="CO246" s="311">
        <f t="shared" si="106"/>
        <v>0</v>
      </c>
      <c r="CP246">
        <v>0.70441251620027567</v>
      </c>
      <c r="CQ246" t="s">
        <v>2866</v>
      </c>
      <c r="CR246">
        <f t="shared" si="97"/>
        <v>0</v>
      </c>
      <c r="CS246" t="str">
        <f t="shared" si="107"/>
        <v>No es Candidato</v>
      </c>
      <c r="CT246">
        <v>0</v>
      </c>
      <c r="CU246">
        <v>0</v>
      </c>
      <c r="CV246" s="25">
        <v>42.562328338623047</v>
      </c>
      <c r="CW246" s="25">
        <v>33.724964141845703</v>
      </c>
      <c r="CX246" s="25">
        <v>51.926548004150391</v>
      </c>
      <c r="CY246" s="25">
        <v>52.672374725341797</v>
      </c>
      <c r="CZ246" s="25">
        <v>4.8299837112426758</v>
      </c>
      <c r="DA246" s="25">
        <v>64.133232116699219</v>
      </c>
      <c r="DB246" s="25">
        <v>48.086864471435547</v>
      </c>
      <c r="DC246">
        <v>3141</v>
      </c>
      <c r="DD246" s="253" t="s">
        <v>380</v>
      </c>
    </row>
    <row r="247" spans="1:108" hidden="1">
      <c r="A247" s="13">
        <v>44874</v>
      </c>
      <c r="B247" s="13" t="s">
        <v>955</v>
      </c>
      <c r="C247" s="13" t="s">
        <v>933</v>
      </c>
      <c r="D247" s="13" t="s">
        <v>934</v>
      </c>
      <c r="E247" s="13" t="s">
        <v>720</v>
      </c>
      <c r="F247" s="14">
        <v>75.061266666666697</v>
      </c>
      <c r="G247" s="13">
        <v>66.48</v>
      </c>
      <c r="H247" s="13">
        <v>80.38</v>
      </c>
      <c r="I247" s="13">
        <v>86.7</v>
      </c>
      <c r="J247" s="14">
        <v>48.449340576871407</v>
      </c>
      <c r="K247" s="14">
        <v>39.127334415061036</v>
      </c>
      <c r="L247" s="14">
        <v>49.227397000216847</v>
      </c>
      <c r="M247" s="14">
        <v>59.464599999999997</v>
      </c>
      <c r="N247" s="14">
        <f t="shared" si="81"/>
        <v>77.155316666666678</v>
      </c>
      <c r="O247" s="14">
        <f t="shared" si="82"/>
        <v>49.06716799803732</v>
      </c>
      <c r="P247" s="14">
        <f t="shared" si="98"/>
        <v>63.111242332351999</v>
      </c>
      <c r="Q247" s="14">
        <v>47.250136854308309</v>
      </c>
      <c r="R247" s="17">
        <f t="shared" si="83"/>
        <v>52.749863145691691</v>
      </c>
      <c r="S247" s="14">
        <f t="shared" si="99"/>
        <v>0.57474876831122523</v>
      </c>
      <c r="T247" s="13">
        <v>0</v>
      </c>
      <c r="U247" s="13">
        <f t="shared" si="100"/>
        <v>36.273108797110567</v>
      </c>
      <c r="V247" s="13">
        <f>IF($T247=1,$AU247,(VLOOKUP(U247,'Cortes naturales'!$A$35:$C$39,3,9)))</f>
        <v>3</v>
      </c>
      <c r="W247" s="13">
        <v>3</v>
      </c>
      <c r="X247" s="14" t="b">
        <f t="shared" si="84"/>
        <v>1</v>
      </c>
      <c r="Y247" s="17">
        <f>IF($T247=1,$AU247,VLOOKUP(U247,'Cortes naturales'!$A$45:$C$49,3,9))</f>
        <v>2</v>
      </c>
      <c r="Z247" s="14">
        <v>57.909537300026741</v>
      </c>
      <c r="AA247" s="14">
        <v>0.58933935829106565</v>
      </c>
      <c r="AB247" s="14">
        <v>34.128369551330287</v>
      </c>
      <c r="AC247" s="13">
        <v>3</v>
      </c>
      <c r="AD247" s="13">
        <f t="shared" si="85"/>
        <v>1</v>
      </c>
      <c r="AE247" s="14">
        <f t="shared" si="86"/>
        <v>5.2017050323252576</v>
      </c>
      <c r="AF247" s="14">
        <f t="shared" si="87"/>
        <v>-1.4590589979840418E-2</v>
      </c>
      <c r="AG247" s="13">
        <f t="shared" si="88"/>
        <v>2.1447392457802792</v>
      </c>
      <c r="AH247" s="13">
        <f>IF($T247=1,$AU247,VLOOKUP(U247,'Cortes naturales'!$A$25:$C$29,3,9))</f>
        <v>2</v>
      </c>
      <c r="AI247" s="13" t="b">
        <f t="shared" si="89"/>
        <v>1</v>
      </c>
      <c r="AJ247" s="13" t="str">
        <f t="shared" si="90"/>
        <v>Efecto ponderador</v>
      </c>
      <c r="AK247" s="28">
        <v>0.9741882058902549</v>
      </c>
      <c r="AL247" s="28">
        <v>56.414788246247845</v>
      </c>
      <c r="AM247" s="28">
        <v>0.53506352232654608</v>
      </c>
      <c r="AN247" s="13">
        <v>2</v>
      </c>
      <c r="AO247" s="33">
        <f t="shared" si="91"/>
        <v>0</v>
      </c>
      <c r="AP247" s="13">
        <f t="shared" si="101"/>
        <v>53.506352232654606</v>
      </c>
      <c r="AQ247" s="13">
        <f>IFERROR(VLOOKUP(U247,'Cortes naturales'!$E$15:$G$19,3,9),U247)</f>
        <v>3</v>
      </c>
      <c r="AR247" s="28">
        <f t="shared" si="92"/>
        <v>-0.39943943757902967</v>
      </c>
      <c r="AS247" s="13" t="b">
        <f t="shared" si="93"/>
        <v>0</v>
      </c>
      <c r="AT247" s="13">
        <f t="shared" si="102"/>
        <v>0</v>
      </c>
      <c r="AU247" s="13">
        <v>2</v>
      </c>
      <c r="AV247">
        <f t="shared" si="94"/>
        <v>0</v>
      </c>
      <c r="AW247" s="13">
        <v>0</v>
      </c>
      <c r="AX247" s="13">
        <v>0</v>
      </c>
      <c r="AY247" s="13">
        <v>0</v>
      </c>
      <c r="AZ247" s="13">
        <v>0</v>
      </c>
      <c r="BA247">
        <v>1</v>
      </c>
      <c r="BB247" t="s">
        <v>2839</v>
      </c>
      <c r="BC247">
        <v>6</v>
      </c>
      <c r="BD247" t="s">
        <v>2919</v>
      </c>
      <c r="BE247">
        <v>1</v>
      </c>
      <c r="BF247" s="232" t="s">
        <v>2846</v>
      </c>
      <c r="BG247" s="232" t="s">
        <v>2846</v>
      </c>
      <c r="BH247" s="253">
        <v>31</v>
      </c>
      <c r="BI247" s="253">
        <v>18.597292317551872</v>
      </c>
      <c r="BJ247" s="25">
        <v>13.774999999999997</v>
      </c>
      <c r="BK247" t="s">
        <v>377</v>
      </c>
      <c r="BL247">
        <v>1.5637129172414426</v>
      </c>
      <c r="BM247" t="s">
        <v>383</v>
      </c>
      <c r="BN247" s="322">
        <v>50902.614734000002</v>
      </c>
      <c r="BO247" s="322">
        <v>4183.223892</v>
      </c>
      <c r="BP247" s="10">
        <v>32651</v>
      </c>
      <c r="BQ247" s="254">
        <f t="shared" si="95"/>
        <v>1.5589909875348382</v>
      </c>
      <c r="BR247" s="254">
        <f t="shared" si="96"/>
        <v>0.12811931922452605</v>
      </c>
      <c r="BS247" s="25">
        <v>59.979026115065487</v>
      </c>
      <c r="BT247" s="25">
        <v>85.197594920973799</v>
      </c>
      <c r="BU247" s="25">
        <v>34.715871265446573</v>
      </c>
      <c r="BV247" s="25">
        <v>96.871691377787769</v>
      </c>
      <c r="BW247" s="25">
        <v>28.232807390571882</v>
      </c>
      <c r="BX247" s="25">
        <v>69.191045919818407</v>
      </c>
      <c r="BY247" s="25">
        <v>28.88717834942743</v>
      </c>
      <c r="BZ247">
        <v>76</v>
      </c>
      <c r="CA247">
        <v>0</v>
      </c>
      <c r="CB247">
        <v>6</v>
      </c>
      <c r="CC247">
        <v>25957.278762000002</v>
      </c>
      <c r="CD247" s="10">
        <v>15656.360113999999</v>
      </c>
      <c r="CE247" s="255">
        <v>0.60315876165416971</v>
      </c>
      <c r="CF247" t="str">
        <f>IFERROR(VLOOKUP(CE247,'Rangos amb etnico'!$A$2:$C$6,3,9),"N.D.")</f>
        <v>51% - 70%</v>
      </c>
      <c r="CG247" s="256">
        <v>4.5550253495256607E-4</v>
      </c>
      <c r="CH247" s="232">
        <v>0</v>
      </c>
      <c r="CI247" s="311">
        <f t="shared" si="103"/>
        <v>0</v>
      </c>
      <c r="CJ247" s="232">
        <f>IFERROR(VLOOKUP(CI247,'Rangos amb etnico'!$A$2:$C$6,3,9),"N.D.")</f>
        <v>0</v>
      </c>
      <c r="CK247" s="311">
        <f t="shared" si="104"/>
        <v>0</v>
      </c>
      <c r="CL247" s="10">
        <v>0</v>
      </c>
      <c r="CM247" s="255">
        <f t="shared" si="105"/>
        <v>0</v>
      </c>
      <c r="CN247" s="232">
        <f>IFERROR(VLOOKUP(CM247,'Rangos amb etnico'!$A$2:$C$6,3,9),"N.D.")</f>
        <v>0</v>
      </c>
      <c r="CO247" s="311">
        <f t="shared" si="106"/>
        <v>0</v>
      </c>
      <c r="CP247">
        <v>0.89981093322219419</v>
      </c>
      <c r="CQ247" t="s">
        <v>2864</v>
      </c>
      <c r="CR247">
        <f t="shared" si="97"/>
        <v>2</v>
      </c>
      <c r="CS247" t="str">
        <f t="shared" si="107"/>
        <v>No es Candidato</v>
      </c>
      <c r="CT247">
        <v>1</v>
      </c>
      <c r="CU247" t="s">
        <v>2836</v>
      </c>
      <c r="CV247" s="25">
        <v>55.309326171875</v>
      </c>
      <c r="CW247" s="25">
        <v>31.744003295898441</v>
      </c>
      <c r="CX247" s="25">
        <v>56.614864349365227</v>
      </c>
      <c r="CY247" s="25">
        <v>56.841403961181641</v>
      </c>
      <c r="CZ247" s="25">
        <v>44.38629150390625</v>
      </c>
      <c r="DA247" s="25">
        <v>81.608245849609375</v>
      </c>
      <c r="DB247" s="25">
        <v>60.661159515380859</v>
      </c>
      <c r="DC247">
        <v>1322</v>
      </c>
      <c r="DD247" s="253" t="s">
        <v>380</v>
      </c>
    </row>
    <row r="248" spans="1:108">
      <c r="A248" s="13">
        <v>5467</v>
      </c>
      <c r="B248" s="13" t="s">
        <v>956</v>
      </c>
      <c r="C248" s="13" t="s">
        <v>435</v>
      </c>
      <c r="D248" s="13" t="s">
        <v>436</v>
      </c>
      <c r="E248" s="13" t="s">
        <v>957</v>
      </c>
      <c r="F248" s="14">
        <v>46.476599999999998</v>
      </c>
      <c r="G248" s="13">
        <v>31.82</v>
      </c>
      <c r="H248" s="13">
        <v>49.46</v>
      </c>
      <c r="I248" s="13">
        <v>59.29</v>
      </c>
      <c r="J248" s="14">
        <v>58.555950494560072</v>
      </c>
      <c r="K248" s="14">
        <v>56.462775217754064</v>
      </c>
      <c r="L248" s="14">
        <v>33.122918027697672</v>
      </c>
      <c r="M248" s="14">
        <v>47.3279</v>
      </c>
      <c r="N248" s="14">
        <f t="shared" si="81"/>
        <v>46.761649999999996</v>
      </c>
      <c r="O248" s="14">
        <f t="shared" si="82"/>
        <v>48.86738593500295</v>
      </c>
      <c r="P248" s="14">
        <f t="shared" si="98"/>
        <v>47.814517967501473</v>
      </c>
      <c r="Q248" s="14">
        <v>47.51135386145566</v>
      </c>
      <c r="R248" s="17">
        <f t="shared" si="83"/>
        <v>52.48864613854434</v>
      </c>
      <c r="S248" s="14">
        <f t="shared" si="99"/>
        <v>0.57239781524689903</v>
      </c>
      <c r="T248" s="13">
        <v>0</v>
      </c>
      <c r="U248" s="13">
        <f t="shared" si="100"/>
        <v>27.368925621681441</v>
      </c>
      <c r="V248" s="13">
        <f>IF($T248=1,$AU248,(VLOOKUP(U248,'Cortes naturales'!$A$35:$C$39,3,9)))</f>
        <v>4</v>
      </c>
      <c r="W248" s="13">
        <v>4</v>
      </c>
      <c r="X248" s="14" t="b">
        <f t="shared" si="84"/>
        <v>1</v>
      </c>
      <c r="Y248" s="17">
        <f>IF($T248=1,$AU248,VLOOKUP(U248,'Cortes naturales'!$A$45:$C$49,3,9))</f>
        <v>4</v>
      </c>
      <c r="Z248" s="14">
        <v>46.827557100351441</v>
      </c>
      <c r="AA248" s="14">
        <v>0.59008876575333058</v>
      </c>
      <c r="AB248" s="14">
        <v>27.632415372589993</v>
      </c>
      <c r="AC248" s="13">
        <v>4</v>
      </c>
      <c r="AD248" s="13">
        <f t="shared" si="85"/>
        <v>0</v>
      </c>
      <c r="AE248" s="14">
        <f t="shared" si="86"/>
        <v>0.98696086715003162</v>
      </c>
      <c r="AF248" s="14">
        <f t="shared" si="87"/>
        <v>-1.7690950506431546E-2</v>
      </c>
      <c r="AG248" s="13">
        <f t="shared" si="88"/>
        <v>-0.2634897509085512</v>
      </c>
      <c r="AH248" s="13">
        <f>IF($T248=1,$AU248,VLOOKUP(U248,'Cortes naturales'!$A$25:$C$29,3,9))</f>
        <v>4</v>
      </c>
      <c r="AI248" s="13" t="b">
        <f t="shared" si="89"/>
        <v>1</v>
      </c>
      <c r="AJ248" s="13">
        <f t="shared" si="90"/>
        <v>0</v>
      </c>
      <c r="AK248" s="28">
        <v>0.9741882058902549</v>
      </c>
      <c r="AL248" s="28">
        <v>45.618853837814839</v>
      </c>
      <c r="AM248" s="28">
        <v>0.40001776286458268</v>
      </c>
      <c r="AN248" s="13">
        <v>3</v>
      </c>
      <c r="AO248" s="33">
        <f t="shared" si="91"/>
        <v>-1</v>
      </c>
      <c r="AP248" s="13">
        <f t="shared" si="101"/>
        <v>40.001776286458266</v>
      </c>
      <c r="AQ248" s="13">
        <f>IFERROR(VLOOKUP(U248,'Cortes naturales'!$E$15:$G$19,3,9),U248)</f>
        <v>4</v>
      </c>
      <c r="AR248" s="28">
        <f t="shared" si="92"/>
        <v>-0.40179039064335587</v>
      </c>
      <c r="AS248" s="13" t="b">
        <f t="shared" si="93"/>
        <v>1</v>
      </c>
      <c r="AT248" s="13" t="str">
        <f t="shared" si="102"/>
        <v>Efecto ponderador</v>
      </c>
      <c r="AU248" s="13">
        <v>3</v>
      </c>
      <c r="AV248">
        <f t="shared" si="94"/>
        <v>-1</v>
      </c>
      <c r="AW248" s="13">
        <v>0</v>
      </c>
      <c r="AX248" s="13">
        <v>0</v>
      </c>
      <c r="AY248" s="13">
        <v>0</v>
      </c>
      <c r="AZ248" s="13">
        <v>0</v>
      </c>
      <c r="BA248">
        <v>1</v>
      </c>
      <c r="BB248" t="s">
        <v>2839</v>
      </c>
      <c r="BC248">
        <v>6</v>
      </c>
      <c r="BD248" t="s">
        <v>2919</v>
      </c>
      <c r="BE248">
        <v>1</v>
      </c>
      <c r="BF248" s="232" t="s">
        <v>2846</v>
      </c>
      <c r="BG248" s="232" t="s">
        <v>2845</v>
      </c>
      <c r="BH248" s="253">
        <v>39.5</v>
      </c>
      <c r="BI248" s="253">
        <v>15.524570651249787</v>
      </c>
      <c r="BJ248" s="25">
        <v>52.550547909801637</v>
      </c>
      <c r="BK248" t="s">
        <v>376</v>
      </c>
      <c r="BL248">
        <v>0.23832252202245688</v>
      </c>
      <c r="BM248" t="s">
        <v>383</v>
      </c>
      <c r="BN248" s="322">
        <v>20234.355081999998</v>
      </c>
      <c r="BO248" s="322">
        <v>2165.8355230000002</v>
      </c>
      <c r="BP248" s="10">
        <v>6595</v>
      </c>
      <c r="BQ248" s="254">
        <f t="shared" si="95"/>
        <v>3.0681357213040181</v>
      </c>
      <c r="BR248" s="254">
        <f t="shared" si="96"/>
        <v>0.32840568961334349</v>
      </c>
      <c r="BS248" s="25">
        <v>63.716981396911137</v>
      </c>
      <c r="BT248" s="25">
        <v>83.819632001516297</v>
      </c>
      <c r="BU248" s="25">
        <v>43.414140550807197</v>
      </c>
      <c r="BV248" s="25">
        <v>84.864995644617593</v>
      </c>
      <c r="BW248" s="25">
        <v>62.422295457795443</v>
      </c>
      <c r="BX248" s="25">
        <v>68.953937398463054</v>
      </c>
      <c r="BY248" s="25">
        <v>63.894789767406706</v>
      </c>
      <c r="BZ248">
        <v>65</v>
      </c>
      <c r="CA248">
        <v>0</v>
      </c>
      <c r="CB248">
        <v>7</v>
      </c>
      <c r="CC248">
        <v>7600.5283449999997</v>
      </c>
      <c r="CD248" s="10">
        <v>2.4127450000000001</v>
      </c>
      <c r="CE248" s="255">
        <v>3.17444378927581E-4</v>
      </c>
      <c r="CF248">
        <f>IFERROR(VLOOKUP(CE248,'Rangos amb etnico'!$A$2:$C$6,3,9),"N.D.")</f>
        <v>0</v>
      </c>
      <c r="CG248" s="256">
        <v>7.019584729092857E-8</v>
      </c>
      <c r="CH248" s="232">
        <v>0</v>
      </c>
      <c r="CI248" s="311">
        <f t="shared" si="103"/>
        <v>0</v>
      </c>
      <c r="CJ248" s="232">
        <f>IFERROR(VLOOKUP(CI248,'Rangos amb etnico'!$A$2:$C$6,3,9),"N.D.")</f>
        <v>0</v>
      </c>
      <c r="CK248" s="311">
        <f t="shared" si="104"/>
        <v>0</v>
      </c>
      <c r="CL248" s="10">
        <v>0</v>
      </c>
      <c r="CM248" s="255">
        <f t="shared" si="105"/>
        <v>0</v>
      </c>
      <c r="CN248" s="232">
        <f>IFERROR(VLOOKUP(CM248,'Rangos amb etnico'!$A$2:$C$6,3,9),"N.D.")</f>
        <v>0</v>
      </c>
      <c r="CO248" s="311">
        <f t="shared" si="106"/>
        <v>0</v>
      </c>
      <c r="CP248">
        <v>0.95764689274633907</v>
      </c>
      <c r="CQ248" t="s">
        <v>2864</v>
      </c>
      <c r="CR248">
        <f t="shared" si="97"/>
        <v>2</v>
      </c>
      <c r="CS248" t="str">
        <f t="shared" si="107"/>
        <v>No es Candidato</v>
      </c>
      <c r="CT248">
        <v>0</v>
      </c>
      <c r="CU248">
        <v>0</v>
      </c>
      <c r="CV248" s="25">
        <v>47.959629058837891</v>
      </c>
      <c r="CW248" s="25">
        <v>34.694667816162109</v>
      </c>
      <c r="CX248" s="25">
        <v>60.23504638671875</v>
      </c>
      <c r="CY248" s="25">
        <v>46.848106384277337</v>
      </c>
      <c r="CZ248" s="25">
        <v>51.728038787841797</v>
      </c>
      <c r="DA248" s="25">
        <v>46.826309204101563</v>
      </c>
      <c r="DB248" s="25">
        <v>47.425594329833977</v>
      </c>
      <c r="DC248">
        <v>58</v>
      </c>
      <c r="DD248" s="253" t="s">
        <v>380</v>
      </c>
    </row>
    <row r="249" spans="1:108" hidden="1">
      <c r="A249" s="13">
        <v>15367</v>
      </c>
      <c r="B249" s="13" t="s">
        <v>958</v>
      </c>
      <c r="C249" s="13" t="s">
        <v>498</v>
      </c>
      <c r="D249" s="13" t="s">
        <v>499</v>
      </c>
      <c r="E249" s="13" t="s">
        <v>959</v>
      </c>
      <c r="F249" s="14">
        <v>70.143133333333296</v>
      </c>
      <c r="G249" s="13">
        <v>68.7</v>
      </c>
      <c r="H249" s="13">
        <v>78.900000000000006</v>
      </c>
      <c r="I249" s="13">
        <v>68.56</v>
      </c>
      <c r="J249" s="14">
        <v>56.747605235906335</v>
      </c>
      <c r="K249" s="14">
        <v>60.202377598378355</v>
      </c>
      <c r="L249" s="14">
        <v>62.931027960069329</v>
      </c>
      <c r="M249" s="14">
        <v>63.2089</v>
      </c>
      <c r="N249" s="14">
        <f t="shared" si="81"/>
        <v>71.575783333333334</v>
      </c>
      <c r="O249" s="14">
        <f t="shared" si="82"/>
        <v>60.77247769858851</v>
      </c>
      <c r="P249" s="14">
        <f t="shared" si="98"/>
        <v>66.174130515960925</v>
      </c>
      <c r="Q249" s="14">
        <v>47.455973125978019</v>
      </c>
      <c r="R249" s="17">
        <f t="shared" si="83"/>
        <v>52.544026874021981</v>
      </c>
      <c r="S249" s="14">
        <f t="shared" si="99"/>
        <v>0.57289624186619781</v>
      </c>
      <c r="T249" s="13">
        <v>0</v>
      </c>
      <c r="U249" s="13">
        <f t="shared" si="100"/>
        <v>37.910910681357294</v>
      </c>
      <c r="V249" s="13">
        <f>IF($T249=1,$AU249,(VLOOKUP(U249,'Cortes naturales'!$A$35:$C$39,3,9)))</f>
        <v>3</v>
      </c>
      <c r="W249" s="13">
        <v>3</v>
      </c>
      <c r="X249" s="14" t="b">
        <f t="shared" si="84"/>
        <v>1</v>
      </c>
      <c r="Y249" s="17">
        <f>IF($T249=1,$AU249,VLOOKUP(U249,'Cortes naturales'!$A$45:$C$49,3,9))</f>
        <v>2</v>
      </c>
      <c r="Z249" s="14">
        <v>65.349853476183185</v>
      </c>
      <c r="AA249" s="14">
        <v>0.58718046622004882</v>
      </c>
      <c r="AB249" s="14">
        <v>38.37215743155712</v>
      </c>
      <c r="AC249" s="13">
        <v>2</v>
      </c>
      <c r="AD249" s="13">
        <f t="shared" si="85"/>
        <v>0</v>
      </c>
      <c r="AE249" s="14">
        <f t="shared" si="86"/>
        <v>0.82427703977774058</v>
      </c>
      <c r="AF249" s="14">
        <f t="shared" si="87"/>
        <v>-1.4284224353851016E-2</v>
      </c>
      <c r="AG249" s="13">
        <f t="shared" si="88"/>
        <v>-0.46124675019982675</v>
      </c>
      <c r="AH249" s="13">
        <f>IF($T249=1,$AU249,VLOOKUP(U249,'Cortes naturales'!$A$25:$C$29,3,9))</f>
        <v>2</v>
      </c>
      <c r="AI249" s="13" t="b">
        <f t="shared" si="89"/>
        <v>1</v>
      </c>
      <c r="AJ249" s="13">
        <f t="shared" si="90"/>
        <v>0</v>
      </c>
      <c r="AK249" s="28">
        <v>0.9741882058902549</v>
      </c>
      <c r="AL249" s="28">
        <v>63.663056513153933</v>
      </c>
      <c r="AM249" s="28">
        <v>0.62573171795061144</v>
      </c>
      <c r="AN249" s="13">
        <v>2</v>
      </c>
      <c r="AO249" s="33">
        <f t="shared" si="91"/>
        <v>0</v>
      </c>
      <c r="AP249" s="13">
        <f t="shared" si="101"/>
        <v>62.573171795061143</v>
      </c>
      <c r="AQ249" s="13">
        <f>IFERROR(VLOOKUP(U249,'Cortes naturales'!$E$15:$G$19,3,9),U249)</f>
        <v>3</v>
      </c>
      <c r="AR249" s="28">
        <f t="shared" si="92"/>
        <v>-0.40129196402405709</v>
      </c>
      <c r="AS249" s="13" t="b">
        <f t="shared" si="93"/>
        <v>0</v>
      </c>
      <c r="AT249" s="13">
        <f t="shared" si="102"/>
        <v>0</v>
      </c>
      <c r="AU249" s="13">
        <v>1</v>
      </c>
      <c r="AV249">
        <f t="shared" si="94"/>
        <v>-1</v>
      </c>
      <c r="AW249" s="13">
        <v>0</v>
      </c>
      <c r="AX249" s="13">
        <v>0</v>
      </c>
      <c r="AY249" s="13">
        <v>0</v>
      </c>
      <c r="AZ249" s="13">
        <v>0</v>
      </c>
      <c r="BA249">
        <v>0</v>
      </c>
      <c r="BB249" t="s">
        <v>2839</v>
      </c>
      <c r="BC249">
        <v>6</v>
      </c>
      <c r="BD249" t="s">
        <v>2919</v>
      </c>
      <c r="BE249">
        <v>0</v>
      </c>
      <c r="BF249" s="232" t="s">
        <v>2846</v>
      </c>
      <c r="BG249" s="232" t="s">
        <v>2846</v>
      </c>
      <c r="BH249" s="253">
        <v>38.799999999999997</v>
      </c>
      <c r="BI249" s="253">
        <v>12.111604311984781</v>
      </c>
      <c r="BJ249" s="25">
        <v>11.848770189320671</v>
      </c>
      <c r="BK249" t="s">
        <v>377</v>
      </c>
      <c r="BL249">
        <v>0</v>
      </c>
      <c r="BM249" t="s">
        <v>377</v>
      </c>
      <c r="BN249" s="322">
        <v>26996.603063999999</v>
      </c>
      <c r="BO249" s="322">
        <v>7365.0029729999997</v>
      </c>
      <c r="BP249" s="10">
        <v>7401</v>
      </c>
      <c r="BQ249" s="254">
        <f t="shared" si="95"/>
        <v>3.6476966712606402</v>
      </c>
      <c r="BR249" s="254">
        <f t="shared" si="96"/>
        <v>0.99513619416295096</v>
      </c>
      <c r="BS249" s="25">
        <v>54.436035943982802</v>
      </c>
      <c r="BT249" s="25">
        <v>89.162889642390667</v>
      </c>
      <c r="BU249" s="25">
        <v>55.089160860345338</v>
      </c>
      <c r="BV249" s="25">
        <v>81.865473791469881</v>
      </c>
      <c r="BW249" s="25">
        <v>65.569339642402809</v>
      </c>
      <c r="BX249" s="25">
        <v>70.138390059547177</v>
      </c>
      <c r="BY249" s="25">
        <v>65.217695210637302</v>
      </c>
      <c r="BZ249">
        <v>0</v>
      </c>
      <c r="CA249">
        <v>0</v>
      </c>
      <c r="CB249">
        <v>7</v>
      </c>
      <c r="CC249">
        <v>5895.0185570000003</v>
      </c>
      <c r="CD249" s="10">
        <v>1271.650087</v>
      </c>
      <c r="CE249" s="255">
        <v>0.21571604477648126</v>
      </c>
      <c r="CF249" t="str">
        <f>IFERROR(VLOOKUP(CE249,'Rangos amb etnico'!$A$2:$C$6,3,9),"N.D.")</f>
        <v>0,1% - 30%</v>
      </c>
      <c r="CG249" s="256">
        <v>3.6997094725944114E-5</v>
      </c>
      <c r="CH249" s="232">
        <v>0</v>
      </c>
      <c r="CI249" s="311">
        <f t="shared" si="103"/>
        <v>0</v>
      </c>
      <c r="CJ249" s="232">
        <f>IFERROR(VLOOKUP(CI249,'Rangos amb etnico'!$A$2:$C$6,3,9),"N.D.")</f>
        <v>0</v>
      </c>
      <c r="CK249" s="311">
        <f t="shared" si="104"/>
        <v>0</v>
      </c>
      <c r="CL249" s="10">
        <v>0</v>
      </c>
      <c r="CM249" s="255">
        <f t="shared" si="105"/>
        <v>0</v>
      </c>
      <c r="CN249" s="232">
        <f>IFERROR(VLOOKUP(CM249,'Rangos amb etnico'!$A$2:$C$6,3,9),"N.D.")</f>
        <v>0</v>
      </c>
      <c r="CO249" s="311">
        <f t="shared" si="106"/>
        <v>0</v>
      </c>
      <c r="CP249">
        <v>0.9539721604254221</v>
      </c>
      <c r="CQ249" t="s">
        <v>2864</v>
      </c>
      <c r="CR249">
        <f t="shared" si="97"/>
        <v>4</v>
      </c>
      <c r="CS249" t="str">
        <f t="shared" si="107"/>
        <v>Candidato</v>
      </c>
      <c r="CT249">
        <v>0</v>
      </c>
      <c r="CU249">
        <v>0</v>
      </c>
      <c r="CV249" s="25">
        <v>57.256610870361328</v>
      </c>
      <c r="CW249" s="25">
        <v>26.63482666015625</v>
      </c>
      <c r="CX249" s="25">
        <v>49.081287384033203</v>
      </c>
      <c r="CY249" s="25">
        <v>68.506454467773438</v>
      </c>
      <c r="CZ249" s="25">
        <v>63.882022857666023</v>
      </c>
      <c r="DA249" s="25">
        <v>84.770477294921875</v>
      </c>
      <c r="DB249" s="25">
        <v>50.664596557617188</v>
      </c>
      <c r="DC249">
        <v>29</v>
      </c>
      <c r="DD249" s="253" t="s">
        <v>380</v>
      </c>
    </row>
    <row r="250" spans="1:108" hidden="1">
      <c r="A250" s="13">
        <v>25898</v>
      </c>
      <c r="B250" s="13" t="s">
        <v>960</v>
      </c>
      <c r="C250" s="13" t="s">
        <v>461</v>
      </c>
      <c r="D250" s="13" t="s">
        <v>462</v>
      </c>
      <c r="E250" s="13" t="s">
        <v>961</v>
      </c>
      <c r="F250" s="14">
        <v>95.932066666666699</v>
      </c>
      <c r="G250" s="13">
        <v>92.39</v>
      </c>
      <c r="H250" s="13">
        <v>86.78</v>
      </c>
      <c r="I250" s="13">
        <v>83.77</v>
      </c>
      <c r="J250" s="14">
        <v>50.548785677099524</v>
      </c>
      <c r="K250" s="14">
        <v>52.281953791019959</v>
      </c>
      <c r="L250" s="14">
        <v>58.725667508077507</v>
      </c>
      <c r="M250" s="14">
        <v>56.605699999999999</v>
      </c>
      <c r="N250" s="14">
        <f t="shared" si="81"/>
        <v>89.718016666666671</v>
      </c>
      <c r="O250" s="14">
        <f t="shared" si="82"/>
        <v>54.540526744049245</v>
      </c>
      <c r="P250" s="14">
        <f t="shared" si="98"/>
        <v>72.129271705357951</v>
      </c>
      <c r="Q250" s="14">
        <v>48.165695571128246</v>
      </c>
      <c r="R250" s="17">
        <f t="shared" si="83"/>
        <v>51.834304428871754</v>
      </c>
      <c r="S250" s="14">
        <f t="shared" si="99"/>
        <v>0.56650873985984584</v>
      </c>
      <c r="T250" s="13">
        <v>0</v>
      </c>
      <c r="U250" s="13">
        <f t="shared" si="100"/>
        <v>40.861862820810764</v>
      </c>
      <c r="V250" s="13">
        <f>IF($T250=1,$AU250,(VLOOKUP(U250,'Cortes naturales'!$A$35:$C$39,3,9)))</f>
        <v>2</v>
      </c>
      <c r="W250" s="13">
        <v>2</v>
      </c>
      <c r="X250" s="14" t="b">
        <f t="shared" si="84"/>
        <v>1</v>
      </c>
      <c r="Y250" s="17">
        <f>IF($T250=1,$AU250,VLOOKUP(U250,'Cortes naturales'!$A$45:$C$49,3,9))</f>
        <v>2</v>
      </c>
      <c r="Z250" s="14">
        <v>72.90091966703045</v>
      </c>
      <c r="AA250" s="14">
        <v>0.58795062850146085</v>
      </c>
      <c r="AB250" s="14">
        <v>42.862141536565062</v>
      </c>
      <c r="AC250" s="13">
        <v>2</v>
      </c>
      <c r="AD250" s="13">
        <f t="shared" si="85"/>
        <v>0</v>
      </c>
      <c r="AE250" s="14">
        <f t="shared" si="86"/>
        <v>-0.7716479616724996</v>
      </c>
      <c r="AF250" s="14">
        <f t="shared" si="87"/>
        <v>-2.1441888641615003E-2</v>
      </c>
      <c r="AG250" s="13">
        <f t="shared" si="88"/>
        <v>-2.0002787157542983</v>
      </c>
      <c r="AH250" s="13">
        <f>IF($T250=1,$AU250,VLOOKUP(U250,'Cortes naturales'!$A$25:$C$29,3,9))</f>
        <v>2</v>
      </c>
      <c r="AI250" s="13" t="b">
        <f t="shared" si="89"/>
        <v>1</v>
      </c>
      <c r="AJ250" s="13">
        <f t="shared" si="90"/>
        <v>0</v>
      </c>
      <c r="AK250" s="28">
        <v>0.9741882058902549</v>
      </c>
      <c r="AL250" s="28">
        <v>71.019216138173988</v>
      </c>
      <c r="AM250" s="28">
        <v>0.71774952073647114</v>
      </c>
      <c r="AN250" s="13">
        <v>1</v>
      </c>
      <c r="AO250" s="33">
        <f t="shared" si="91"/>
        <v>-1</v>
      </c>
      <c r="AP250" s="13">
        <f t="shared" si="101"/>
        <v>71.774952073647114</v>
      </c>
      <c r="AQ250" s="13">
        <f>IFERROR(VLOOKUP(U250,'Cortes naturales'!$E$15:$G$19,3,9),U250)</f>
        <v>3</v>
      </c>
      <c r="AR250" s="28">
        <f t="shared" si="92"/>
        <v>-0.40767946603040905</v>
      </c>
      <c r="AS250" s="13" t="b">
        <f t="shared" si="93"/>
        <v>0</v>
      </c>
      <c r="AT250" s="13" t="str">
        <f t="shared" si="102"/>
        <v>Cambio en corte</v>
      </c>
      <c r="AU250" s="13">
        <v>2</v>
      </c>
      <c r="AV250">
        <f t="shared" si="94"/>
        <v>0</v>
      </c>
      <c r="AW250" s="13">
        <v>0</v>
      </c>
      <c r="AX250" s="13">
        <v>0</v>
      </c>
      <c r="AY250" s="13">
        <v>0</v>
      </c>
      <c r="AZ250" s="13">
        <v>0</v>
      </c>
      <c r="BA250">
        <v>0</v>
      </c>
      <c r="BB250" t="s">
        <v>2839</v>
      </c>
      <c r="BC250">
        <v>6</v>
      </c>
      <c r="BD250" t="s">
        <v>2919</v>
      </c>
      <c r="BE250">
        <v>0</v>
      </c>
      <c r="BF250" s="232" t="s">
        <v>2846</v>
      </c>
      <c r="BG250" s="232" t="s">
        <v>2846</v>
      </c>
      <c r="BH250" s="253">
        <v>20.5</v>
      </c>
      <c r="BI250" s="253">
        <v>7.7178817383044409</v>
      </c>
      <c r="BJ250" s="25">
        <v>45.044696349065006</v>
      </c>
      <c r="BK250" t="s">
        <v>376</v>
      </c>
      <c r="BL250">
        <v>3.3911293665188851E-2</v>
      </c>
      <c r="BM250" t="s">
        <v>377</v>
      </c>
      <c r="BN250" s="322">
        <v>10228.800853000001</v>
      </c>
      <c r="BO250" s="322">
        <v>1429.486431</v>
      </c>
      <c r="BP250" s="10">
        <v>4679</v>
      </c>
      <c r="BQ250" s="254">
        <f t="shared" si="95"/>
        <v>2.1861083250694593</v>
      </c>
      <c r="BR250" s="254">
        <f t="shared" si="96"/>
        <v>0.3055110987390468</v>
      </c>
      <c r="BS250" s="25">
        <v>59.036681241788607</v>
      </c>
      <c r="BT250" s="25">
        <v>83.021328467621288</v>
      </c>
      <c r="BU250" s="25">
        <v>57.678333333333327</v>
      </c>
      <c r="BV250" s="25">
        <v>93.410303883970428</v>
      </c>
      <c r="BW250" s="25">
        <v>57.613691021949393</v>
      </c>
      <c r="BX250" s="25">
        <v>73.286661731678421</v>
      </c>
      <c r="BY250" s="25">
        <v>61.380865411707951</v>
      </c>
      <c r="BZ250">
        <v>59</v>
      </c>
      <c r="CA250">
        <v>0</v>
      </c>
      <c r="CB250">
        <v>7</v>
      </c>
      <c r="CC250">
        <v>5414.079882</v>
      </c>
      <c r="CD250" s="10">
        <v>2212.2682479999999</v>
      </c>
      <c r="CE250" s="255">
        <v>0.40861389122739949</v>
      </c>
      <c r="CF250" t="str">
        <f>IFERROR(VLOOKUP(CE250,'Rangos amb etnico'!$A$2:$C$6,3,9),"N.D.")</f>
        <v>31% - 50%</v>
      </c>
      <c r="CG250" s="256">
        <v>6.4363222845007699E-5</v>
      </c>
      <c r="CH250" s="232">
        <v>0</v>
      </c>
      <c r="CI250" s="311">
        <f t="shared" si="103"/>
        <v>0</v>
      </c>
      <c r="CJ250" s="232">
        <f>IFERROR(VLOOKUP(CI250,'Rangos amb etnico'!$A$2:$C$6,3,9),"N.D.")</f>
        <v>0</v>
      </c>
      <c r="CK250" s="311">
        <f t="shared" si="104"/>
        <v>0</v>
      </c>
      <c r="CL250" s="10">
        <v>0</v>
      </c>
      <c r="CM250" s="255">
        <f t="shared" si="105"/>
        <v>0</v>
      </c>
      <c r="CN250" s="232">
        <f>IFERROR(VLOOKUP(CM250,'Rangos amb etnico'!$A$2:$C$6,3,9),"N.D.")</f>
        <v>0</v>
      </c>
      <c r="CO250" s="311">
        <f t="shared" si="106"/>
        <v>0</v>
      </c>
      <c r="CP250">
        <v>0.98217852524475235</v>
      </c>
      <c r="CQ250" t="s">
        <v>2864</v>
      </c>
      <c r="CR250">
        <f t="shared" si="97"/>
        <v>3</v>
      </c>
      <c r="CS250" t="str">
        <f t="shared" si="107"/>
        <v>Candidato</v>
      </c>
      <c r="CT250">
        <v>0</v>
      </c>
      <c r="CU250">
        <v>0</v>
      </c>
      <c r="CV250" s="25">
        <v>52.194503784179688</v>
      </c>
      <c r="CW250" s="25">
        <v>37.663967132568359</v>
      </c>
      <c r="CX250" s="25">
        <v>45.934818267822273</v>
      </c>
      <c r="CY250" s="25">
        <v>55.189079284667969</v>
      </c>
      <c r="CZ250" s="25">
        <v>61.186748504638672</v>
      </c>
      <c r="DA250" s="25">
        <v>60.020393371582031</v>
      </c>
      <c r="DB250" s="25">
        <v>53.172016143798828</v>
      </c>
      <c r="DC250">
        <v>28</v>
      </c>
      <c r="DD250" s="253" t="s">
        <v>380</v>
      </c>
    </row>
    <row r="251" spans="1:108" hidden="1">
      <c r="A251" s="13">
        <v>70523</v>
      </c>
      <c r="B251" s="13" t="s">
        <v>962</v>
      </c>
      <c r="C251" s="13" t="s">
        <v>494</v>
      </c>
      <c r="D251" s="13" t="s">
        <v>495</v>
      </c>
      <c r="E251" s="13" t="s">
        <v>963</v>
      </c>
      <c r="F251" s="14">
        <v>49.107566666666699</v>
      </c>
      <c r="G251" s="13">
        <v>69.55</v>
      </c>
      <c r="H251" s="13">
        <v>54.67</v>
      </c>
      <c r="I251" s="13">
        <v>51.93</v>
      </c>
      <c r="J251" s="14">
        <v>43.519329667392412</v>
      </c>
      <c r="K251" s="14">
        <v>30.207824889895303</v>
      </c>
      <c r="L251" s="14">
        <v>31.219246102339881</v>
      </c>
      <c r="M251" s="14">
        <v>43.752699999999997</v>
      </c>
      <c r="N251" s="14">
        <f t="shared" si="81"/>
        <v>56.31439166666668</v>
      </c>
      <c r="O251" s="14">
        <f t="shared" si="82"/>
        <v>37.174775164906897</v>
      </c>
      <c r="P251" s="14">
        <f t="shared" si="98"/>
        <v>46.744583415786792</v>
      </c>
      <c r="Q251" s="14">
        <v>47.109450590178234</v>
      </c>
      <c r="R251" s="17">
        <f t="shared" si="83"/>
        <v>52.890549409821766</v>
      </c>
      <c r="S251" s="14">
        <f t="shared" si="99"/>
        <v>0.57601494468839587</v>
      </c>
      <c r="T251" s="13">
        <v>0</v>
      </c>
      <c r="U251" s="13">
        <f t="shared" si="100"/>
        <v>26.925578630726537</v>
      </c>
      <c r="V251" s="13">
        <f>IF($T251=1,$AU251,(VLOOKUP(U251,'Cortes naturales'!$A$35:$C$39,3,9)))</f>
        <v>4</v>
      </c>
      <c r="W251" s="13">
        <v>4</v>
      </c>
      <c r="X251" s="14" t="b">
        <f t="shared" si="84"/>
        <v>1</v>
      </c>
      <c r="Y251" s="17">
        <f>IF($T251=1,$AU251,VLOOKUP(U251,'Cortes naturales'!$A$45:$C$49,3,9))</f>
        <v>4</v>
      </c>
      <c r="Z251" s="14">
        <v>47.008224095869039</v>
      </c>
      <c r="AA251" s="14">
        <v>0.58734672224297768</v>
      </c>
      <c r="AB251" s="14">
        <v>27.610126341172045</v>
      </c>
      <c r="AC251" s="13">
        <v>4</v>
      </c>
      <c r="AD251" s="13">
        <f t="shared" si="85"/>
        <v>0</v>
      </c>
      <c r="AE251" s="14">
        <f t="shared" si="86"/>
        <v>-0.26364068008224706</v>
      </c>
      <c r="AF251" s="14">
        <f t="shared" si="87"/>
        <v>-1.1331777554581812E-2</v>
      </c>
      <c r="AG251" s="13">
        <f t="shared" si="88"/>
        <v>-0.68454771044550711</v>
      </c>
      <c r="AH251" s="13">
        <f>IF($T251=1,$AU251,VLOOKUP(U251,'Cortes naturales'!$A$25:$C$29,3,9))</f>
        <v>4</v>
      </c>
      <c r="AI251" s="13" t="b">
        <f t="shared" si="89"/>
        <v>1</v>
      </c>
      <c r="AJ251" s="13">
        <f t="shared" si="90"/>
        <v>0</v>
      </c>
      <c r="AK251" s="28">
        <v>0.9741882058902549</v>
      </c>
      <c r="AL251" s="28">
        <v>45.794857494041707</v>
      </c>
      <c r="AM251" s="28">
        <v>0.40221938307863969</v>
      </c>
      <c r="AN251" s="13">
        <v>3</v>
      </c>
      <c r="AO251" s="33">
        <f t="shared" si="91"/>
        <v>-1</v>
      </c>
      <c r="AP251" s="13">
        <f t="shared" si="101"/>
        <v>40.221938307863972</v>
      </c>
      <c r="AQ251" s="13">
        <f>IFERROR(VLOOKUP(U251,'Cortes naturales'!$E$15:$G$19,3,9),U251)</f>
        <v>4</v>
      </c>
      <c r="AR251" s="28">
        <f t="shared" si="92"/>
        <v>-0.39817326120185903</v>
      </c>
      <c r="AS251" s="13" t="b">
        <f t="shared" si="93"/>
        <v>1</v>
      </c>
      <c r="AT251" s="13" t="str">
        <f t="shared" si="102"/>
        <v>Efecto ponderador</v>
      </c>
      <c r="AU251" s="13">
        <v>3</v>
      </c>
      <c r="AV251">
        <f t="shared" si="94"/>
        <v>-1</v>
      </c>
      <c r="AW251" s="13">
        <v>0</v>
      </c>
      <c r="AX251" s="13">
        <v>0</v>
      </c>
      <c r="AY251" s="13">
        <v>0</v>
      </c>
      <c r="AZ251" s="13">
        <v>1</v>
      </c>
      <c r="BA251">
        <v>1</v>
      </c>
      <c r="BB251" t="s">
        <v>2839</v>
      </c>
      <c r="BC251">
        <v>6</v>
      </c>
      <c r="BD251" t="s">
        <v>2919</v>
      </c>
      <c r="BE251">
        <v>0</v>
      </c>
      <c r="BF251" s="232" t="s">
        <v>2846</v>
      </c>
      <c r="BG251" s="232" t="s">
        <v>2846</v>
      </c>
      <c r="BH251" s="253">
        <v>65.099999999999994</v>
      </c>
      <c r="BI251" s="253">
        <v>45.149194191798308</v>
      </c>
      <c r="BJ251" s="25">
        <v>25.78125</v>
      </c>
      <c r="BK251" t="s">
        <v>379</v>
      </c>
      <c r="BL251">
        <v>8.3235890387750242</v>
      </c>
      <c r="BM251" t="s">
        <v>379</v>
      </c>
      <c r="BN251" s="322">
        <v>41880.634001999999</v>
      </c>
      <c r="BO251" s="322">
        <v>3705.0132709999998</v>
      </c>
      <c r="BP251" s="10">
        <v>16081</v>
      </c>
      <c r="BQ251" s="254">
        <f t="shared" si="95"/>
        <v>2.6043550775449287</v>
      </c>
      <c r="BR251" s="254">
        <f t="shared" si="96"/>
        <v>0.23039694490392387</v>
      </c>
      <c r="BS251" s="25">
        <v>57.005784696867487</v>
      </c>
      <c r="BT251" s="25">
        <v>94.249942996911457</v>
      </c>
      <c r="BU251" s="25">
        <v>40.210463778325703</v>
      </c>
      <c r="BV251" s="25">
        <v>94.120588789079292</v>
      </c>
      <c r="BW251" s="25">
        <v>51.892361477493317</v>
      </c>
      <c r="BX251" s="25">
        <v>71.396695065295987</v>
      </c>
      <c r="BY251" s="25">
        <v>51.602344728561029</v>
      </c>
      <c r="BZ251">
        <v>43</v>
      </c>
      <c r="CA251">
        <v>0</v>
      </c>
      <c r="CB251">
        <v>7</v>
      </c>
      <c r="CC251">
        <v>17459.545900000001</v>
      </c>
      <c r="CD251" s="10">
        <v>685.699658</v>
      </c>
      <c r="CE251" s="255">
        <v>3.9273624980131927E-2</v>
      </c>
      <c r="CF251" t="str">
        <f>IFERROR(VLOOKUP(CE251,'Rangos amb etnico'!$A$2:$C$6,3,9),"N.D.")</f>
        <v>0,1% - 30%</v>
      </c>
      <c r="CG251" s="256">
        <v>1.9949587909377056E-5</v>
      </c>
      <c r="CH251" s="232">
        <v>1573.7146990000001</v>
      </c>
      <c r="CI251" s="311">
        <f t="shared" si="103"/>
        <v>9.0134915765478191E-2</v>
      </c>
      <c r="CJ251" s="232" t="str">
        <f>IFERROR(VLOOKUP(CI251,'Rangos amb etnico'!$A$2:$C$6,3,9),"N.D.")</f>
        <v>0,1% - 30%</v>
      </c>
      <c r="CK251" s="311">
        <f t="shared" si="104"/>
        <v>6.2486776975937146E-5</v>
      </c>
      <c r="CL251" s="10">
        <v>0</v>
      </c>
      <c r="CM251" s="255">
        <f t="shared" si="105"/>
        <v>0</v>
      </c>
      <c r="CN251" s="232">
        <f>IFERROR(VLOOKUP(CM251,'Rangos amb etnico'!$A$2:$C$6,3,9),"N.D.")</f>
        <v>0</v>
      </c>
      <c r="CO251" s="311">
        <f t="shared" si="106"/>
        <v>0</v>
      </c>
      <c r="CP251">
        <v>0.81130214802313239</v>
      </c>
      <c r="CQ251" t="s">
        <v>2865</v>
      </c>
      <c r="CR251">
        <f t="shared" si="97"/>
        <v>1</v>
      </c>
      <c r="CS251" t="str">
        <f t="shared" si="107"/>
        <v>No es Candidato</v>
      </c>
      <c r="CT251">
        <v>0</v>
      </c>
      <c r="CU251">
        <v>0</v>
      </c>
      <c r="CV251" s="25">
        <v>48.141792297363281</v>
      </c>
      <c r="CW251" s="25">
        <v>28.944047927856449</v>
      </c>
      <c r="CX251" s="25">
        <v>53.454559326171882</v>
      </c>
      <c r="CY251" s="25">
        <v>42.432876586914063</v>
      </c>
      <c r="CZ251" s="25">
        <v>28.40617561340332</v>
      </c>
      <c r="DA251" s="25">
        <v>79.62646484375</v>
      </c>
      <c r="DB251" s="25">
        <v>55.986637115478523</v>
      </c>
      <c r="DC251">
        <v>11627</v>
      </c>
      <c r="DD251" s="253" t="s">
        <v>380</v>
      </c>
    </row>
    <row r="252" spans="1:108" hidden="1">
      <c r="A252" s="13">
        <v>17088</v>
      </c>
      <c r="B252" s="13" t="s">
        <v>964</v>
      </c>
      <c r="C252" s="13" t="s">
        <v>506</v>
      </c>
      <c r="D252" s="13" t="s">
        <v>507</v>
      </c>
      <c r="E252" s="13" t="s">
        <v>965</v>
      </c>
      <c r="F252" s="14">
        <v>78.370266666666694</v>
      </c>
      <c r="G252" s="13">
        <v>54.61</v>
      </c>
      <c r="H252" s="13">
        <v>49.24</v>
      </c>
      <c r="I252" s="13">
        <v>55.1</v>
      </c>
      <c r="J252" s="14">
        <v>45.954325341880974</v>
      </c>
      <c r="K252" s="14">
        <v>46.749953556935957</v>
      </c>
      <c r="L252" s="14">
        <v>57.546994009478084</v>
      </c>
      <c r="M252" s="14">
        <v>52.956099999999999</v>
      </c>
      <c r="N252" s="14">
        <f t="shared" si="81"/>
        <v>59.330066666666674</v>
      </c>
      <c r="O252" s="14">
        <f t="shared" si="82"/>
        <v>50.801843227073753</v>
      </c>
      <c r="P252" s="14">
        <f t="shared" si="98"/>
        <v>55.065954946870214</v>
      </c>
      <c r="Q252" s="14">
        <v>47.76187138810424</v>
      </c>
      <c r="R252" s="17">
        <f t="shared" si="83"/>
        <v>52.23812861189576</v>
      </c>
      <c r="S252" s="14">
        <f t="shared" si="99"/>
        <v>0.5701431575070619</v>
      </c>
      <c r="T252" s="13">
        <v>0</v>
      </c>
      <c r="U252" s="13">
        <f t="shared" si="100"/>
        <v>31.395477424550197</v>
      </c>
      <c r="V252" s="13">
        <f>IF($T252=1,$AU252,(VLOOKUP(U252,'Cortes naturales'!$A$35:$C$39,3,9)))</f>
        <v>3</v>
      </c>
      <c r="W252" s="13">
        <v>3</v>
      </c>
      <c r="X252" s="14" t="b">
        <f t="shared" si="84"/>
        <v>1</v>
      </c>
      <c r="Y252" s="17">
        <f>IF($T252=1,$AU252,VLOOKUP(U252,'Cortes naturales'!$A$45:$C$49,3,9))</f>
        <v>3</v>
      </c>
      <c r="Z252" s="14">
        <v>56.743213010368308</v>
      </c>
      <c r="AA252" s="14">
        <v>0.58671141275280914</v>
      </c>
      <c r="AB252" s="14">
        <v>33.291890669446772</v>
      </c>
      <c r="AC252" s="13">
        <v>3</v>
      </c>
      <c r="AD252" s="13">
        <f t="shared" si="85"/>
        <v>0</v>
      </c>
      <c r="AE252" s="14">
        <f t="shared" si="86"/>
        <v>-1.677258063498094</v>
      </c>
      <c r="AF252" s="14">
        <f t="shared" si="87"/>
        <v>-1.6568255245747232E-2</v>
      </c>
      <c r="AG252" s="13">
        <f t="shared" si="88"/>
        <v>-1.8964132448965749</v>
      </c>
      <c r="AH252" s="13">
        <f>IF($T252=1,$AU252,VLOOKUP(U252,'Cortes naturales'!$A$25:$C$29,3,9))</f>
        <v>3</v>
      </c>
      <c r="AI252" s="13" t="b">
        <f t="shared" si="89"/>
        <v>1</v>
      </c>
      <c r="AJ252" s="13">
        <f t="shared" si="90"/>
        <v>0</v>
      </c>
      <c r="AK252" s="28">
        <v>0.9741882058902549</v>
      </c>
      <c r="AL252" s="28">
        <v>55.278568879019275</v>
      </c>
      <c r="AM252" s="28">
        <v>0.52085061573062275</v>
      </c>
      <c r="AN252" s="13">
        <v>2</v>
      </c>
      <c r="AO252" s="33">
        <f t="shared" si="91"/>
        <v>-1</v>
      </c>
      <c r="AP252" s="13">
        <f t="shared" si="101"/>
        <v>52.085061573062276</v>
      </c>
      <c r="AQ252" s="13">
        <f>IFERROR(VLOOKUP(U252,'Cortes naturales'!$E$15:$G$19,3,9),U252)</f>
        <v>4</v>
      </c>
      <c r="AR252" s="28">
        <f t="shared" si="92"/>
        <v>-0.404045048383193</v>
      </c>
      <c r="AS252" s="13" t="b">
        <f t="shared" si="93"/>
        <v>0</v>
      </c>
      <c r="AT252" s="13" t="str">
        <f t="shared" si="102"/>
        <v>Cambio en corte</v>
      </c>
      <c r="AU252" s="13">
        <v>2</v>
      </c>
      <c r="AV252">
        <f t="shared" si="94"/>
        <v>-1</v>
      </c>
      <c r="AW252" s="13">
        <v>0</v>
      </c>
      <c r="AX252" s="13">
        <v>0</v>
      </c>
      <c r="AY252" s="13">
        <v>0</v>
      </c>
      <c r="AZ252" s="13">
        <v>0</v>
      </c>
      <c r="BA252">
        <v>1</v>
      </c>
      <c r="BB252" t="s">
        <v>2839</v>
      </c>
      <c r="BC252">
        <v>6</v>
      </c>
      <c r="BD252" t="s">
        <v>2919</v>
      </c>
      <c r="BE252">
        <v>1</v>
      </c>
      <c r="BF252" s="232" t="s">
        <v>2846</v>
      </c>
      <c r="BG252" s="232" t="s">
        <v>2845</v>
      </c>
      <c r="BH252" s="253">
        <v>41.2</v>
      </c>
      <c r="BI252" s="253">
        <v>17.824241796915434</v>
      </c>
      <c r="BJ252" s="25">
        <v>34.758159321591648</v>
      </c>
      <c r="BK252" t="s">
        <v>379</v>
      </c>
      <c r="BL252">
        <v>1.7487716500566883</v>
      </c>
      <c r="BM252" t="s">
        <v>383</v>
      </c>
      <c r="BN252" s="322">
        <v>25556.807133999999</v>
      </c>
      <c r="BO252" s="322">
        <v>3324.6150200000002</v>
      </c>
      <c r="BP252" s="10">
        <v>10467</v>
      </c>
      <c r="BQ252" s="254">
        <f t="shared" si="95"/>
        <v>2.4416554059424858</v>
      </c>
      <c r="BR252" s="254">
        <f t="shared" si="96"/>
        <v>0.31762826215725615</v>
      </c>
      <c r="BS252" s="25">
        <v>64.496255868119661</v>
      </c>
      <c r="BT252" s="25">
        <v>88.117928528764182</v>
      </c>
      <c r="BU252" s="25">
        <v>55.875761096216841</v>
      </c>
      <c r="BV252" s="25">
        <v>95.248612727235169</v>
      </c>
      <c r="BW252" s="25">
        <v>31.672393376305109</v>
      </c>
      <c r="BX252" s="25">
        <v>75.934639555083962</v>
      </c>
      <c r="BY252" s="25">
        <v>32.27194019553589</v>
      </c>
      <c r="BZ252">
        <v>49</v>
      </c>
      <c r="CA252">
        <v>0</v>
      </c>
      <c r="CB252">
        <v>7</v>
      </c>
      <c r="CC252">
        <v>11331.6409</v>
      </c>
      <c r="CD252" s="10">
        <v>395.40096899999998</v>
      </c>
      <c r="CE252" s="255">
        <v>3.4893531527283042E-2</v>
      </c>
      <c r="CF252" t="str">
        <f>IFERROR(VLOOKUP(CE252,'Rangos amb etnico'!$A$2:$C$6,3,9),"N.D.")</f>
        <v>0,1% - 30%</v>
      </c>
      <c r="CG252" s="256">
        <v>1.1503704717493634E-5</v>
      </c>
      <c r="CH252" s="232">
        <v>53.776831999999999</v>
      </c>
      <c r="CI252" s="311">
        <f t="shared" si="103"/>
        <v>4.7457232782588442E-3</v>
      </c>
      <c r="CJ252" s="232" t="str">
        <f>IFERROR(VLOOKUP(CI252,'Rangos amb etnico'!$A$2:$C$6,3,9),"N.D.")</f>
        <v>0,1% - 30%</v>
      </c>
      <c r="CK252" s="311">
        <f t="shared" si="104"/>
        <v>2.1352923181004361E-6</v>
      </c>
      <c r="CL252" s="10">
        <v>0</v>
      </c>
      <c r="CM252" s="255">
        <f t="shared" si="105"/>
        <v>0</v>
      </c>
      <c r="CN252" s="232">
        <f>IFERROR(VLOOKUP(CM252,'Rangos amb etnico'!$A$2:$C$6,3,9),"N.D.")</f>
        <v>0</v>
      </c>
      <c r="CO252" s="311">
        <f t="shared" si="106"/>
        <v>0</v>
      </c>
      <c r="CP252">
        <v>0.95205038108179907</v>
      </c>
      <c r="CQ252" t="s">
        <v>2864</v>
      </c>
      <c r="CR252">
        <f t="shared" si="97"/>
        <v>1</v>
      </c>
      <c r="CS252" t="str">
        <f t="shared" si="107"/>
        <v>No es Candidato</v>
      </c>
      <c r="CT252">
        <v>0</v>
      </c>
      <c r="CU252">
        <v>0</v>
      </c>
      <c r="CV252" s="25">
        <v>55.3485107421875</v>
      </c>
      <c r="CW252" s="25">
        <v>33.983860015869141</v>
      </c>
      <c r="CX252" s="25">
        <v>58.224369049072273</v>
      </c>
      <c r="CY252" s="25">
        <v>61.549495697021477</v>
      </c>
      <c r="CZ252" s="25">
        <v>61.847354888916023</v>
      </c>
      <c r="DA252" s="25">
        <v>66.620651245117188</v>
      </c>
      <c r="DB252" s="25">
        <v>49.865345001220703</v>
      </c>
      <c r="DC252">
        <v>1233</v>
      </c>
      <c r="DD252" s="253" t="s">
        <v>380</v>
      </c>
    </row>
    <row r="253" spans="1:108" hidden="1">
      <c r="A253" s="13">
        <v>25377</v>
      </c>
      <c r="B253" s="13" t="s">
        <v>966</v>
      </c>
      <c r="C253" s="13" t="s">
        <v>461</v>
      </c>
      <c r="D253" s="13" t="s">
        <v>462</v>
      </c>
      <c r="E253" s="13" t="s">
        <v>967</v>
      </c>
      <c r="F253" s="14">
        <v>56.319133333333298</v>
      </c>
      <c r="G253" s="13">
        <v>62.05</v>
      </c>
      <c r="H253" s="13">
        <v>63.69</v>
      </c>
      <c r="I253" s="13">
        <v>64.66</v>
      </c>
      <c r="J253" s="14">
        <v>58.788224809496043</v>
      </c>
      <c r="K253" s="14">
        <v>63.142739738548286</v>
      </c>
      <c r="L253" s="14">
        <v>63.126159352453662</v>
      </c>
      <c r="M253" s="14">
        <v>61.032600000000002</v>
      </c>
      <c r="N253" s="14">
        <f t="shared" si="81"/>
        <v>61.679783333333326</v>
      </c>
      <c r="O253" s="14">
        <f t="shared" si="82"/>
        <v>61.5224309751245</v>
      </c>
      <c r="P253" s="14">
        <f t="shared" si="98"/>
        <v>61.601107154228913</v>
      </c>
      <c r="Q253" s="14">
        <v>45.815742523567188</v>
      </c>
      <c r="R253" s="17">
        <f t="shared" si="83"/>
        <v>54.184257476432812</v>
      </c>
      <c r="S253" s="14">
        <f t="shared" si="99"/>
        <v>0.5876583172878953</v>
      </c>
      <c r="T253" s="13">
        <v>0</v>
      </c>
      <c r="U253" s="13">
        <f t="shared" si="100"/>
        <v>36.200402973325495</v>
      </c>
      <c r="V253" s="13">
        <f>IF($T253=1,$AU253,(VLOOKUP(U253,'Cortes naturales'!$A$35:$C$39,3,9)))</f>
        <v>3</v>
      </c>
      <c r="W253" s="13">
        <v>3</v>
      </c>
      <c r="X253" s="14" t="b">
        <f t="shared" si="84"/>
        <v>1</v>
      </c>
      <c r="Y253" s="17">
        <f>IF($T253=1,$AU253,VLOOKUP(U253,'Cortes naturales'!$A$45:$C$49,3,9))</f>
        <v>2</v>
      </c>
      <c r="Z253" s="14">
        <v>60.044290222727994</v>
      </c>
      <c r="AA253" s="14">
        <v>0.58588012798637867</v>
      </c>
      <c r="AB253" s="14">
        <v>35.17875644054314</v>
      </c>
      <c r="AC253" s="13">
        <v>2</v>
      </c>
      <c r="AD253" s="13">
        <f t="shared" si="85"/>
        <v>0</v>
      </c>
      <c r="AE253" s="14">
        <f t="shared" si="86"/>
        <v>1.5568169315009186</v>
      </c>
      <c r="AF253" s="14">
        <f t="shared" si="87"/>
        <v>1.7781893015166306E-3</v>
      </c>
      <c r="AG253" s="13">
        <f t="shared" si="88"/>
        <v>1.0216465327823556</v>
      </c>
      <c r="AH253" s="13">
        <f>IF($T253=1,$AU253,VLOOKUP(U253,'Cortes naturales'!$A$25:$C$29,3,9))</f>
        <v>2</v>
      </c>
      <c r="AI253" s="13" t="b">
        <f t="shared" si="89"/>
        <v>1</v>
      </c>
      <c r="AJ253" s="13">
        <f t="shared" si="90"/>
        <v>0</v>
      </c>
      <c r="AK253" s="28">
        <v>0.9741882058902549</v>
      </c>
      <c r="AL253" s="28">
        <v>58.494439366033156</v>
      </c>
      <c r="AM253" s="28">
        <v>0.5610777656761492</v>
      </c>
      <c r="AN253" s="13">
        <v>2</v>
      </c>
      <c r="AO253" s="33">
        <f t="shared" si="91"/>
        <v>0</v>
      </c>
      <c r="AP253" s="13">
        <f t="shared" si="101"/>
        <v>56.10777656761492</v>
      </c>
      <c r="AQ253" s="13">
        <f>IFERROR(VLOOKUP(U253,'Cortes naturales'!$E$15:$G$19,3,9),U253)</f>
        <v>3</v>
      </c>
      <c r="AR253" s="28">
        <f t="shared" si="92"/>
        <v>-0.38652988860235959</v>
      </c>
      <c r="AS253" s="13" t="b">
        <f t="shared" si="93"/>
        <v>0</v>
      </c>
      <c r="AT253" s="13">
        <f t="shared" si="102"/>
        <v>0</v>
      </c>
      <c r="AU253" s="13">
        <v>2</v>
      </c>
      <c r="AV253">
        <f t="shared" si="94"/>
        <v>0</v>
      </c>
      <c r="AW253" s="13">
        <v>0</v>
      </c>
      <c r="AX253" s="13">
        <v>0</v>
      </c>
      <c r="AY253" s="13">
        <v>0</v>
      </c>
      <c r="AZ253" s="13">
        <v>0</v>
      </c>
      <c r="BA253">
        <v>0</v>
      </c>
      <c r="BB253" t="s">
        <v>2838</v>
      </c>
      <c r="BC253">
        <v>4</v>
      </c>
      <c r="BD253" s="184" t="s">
        <v>2917</v>
      </c>
      <c r="BE253">
        <v>0</v>
      </c>
      <c r="BF253" s="232" t="s">
        <v>2846</v>
      </c>
      <c r="BG253" s="232" t="s">
        <v>2846</v>
      </c>
      <c r="BH253" s="253">
        <v>9.8000000000000007</v>
      </c>
      <c r="BI253" s="253">
        <v>3.1402922020770991</v>
      </c>
      <c r="BJ253" s="25">
        <v>6.2444899012232566</v>
      </c>
      <c r="BK253" t="s">
        <v>377</v>
      </c>
      <c r="BL253">
        <v>0.48192092821137411</v>
      </c>
      <c r="BM253" t="s">
        <v>383</v>
      </c>
      <c r="BN253" s="322">
        <v>54088.619252999997</v>
      </c>
      <c r="BO253" s="322">
        <v>31989.504317999999</v>
      </c>
      <c r="BP253" s="10">
        <v>42445</v>
      </c>
      <c r="BQ253" s="254">
        <f t="shared" si="95"/>
        <v>1.2743225174461066</v>
      </c>
      <c r="BR253" s="254">
        <f t="shared" si="96"/>
        <v>0.75366955631994348</v>
      </c>
      <c r="BS253" s="25">
        <v>76.832137815803875</v>
      </c>
      <c r="BT253" s="25">
        <v>80.123493404405707</v>
      </c>
      <c r="BU253" s="25">
        <v>49.751621243046372</v>
      </c>
      <c r="BV253" s="25">
        <v>84.126131077901803</v>
      </c>
      <c r="BW253" s="25">
        <v>63.132810192148533</v>
      </c>
      <c r="BX253" s="25">
        <v>72.708345885289432</v>
      </c>
      <c r="BY253" s="25">
        <v>63.533657942635003</v>
      </c>
      <c r="BZ253">
        <v>94</v>
      </c>
      <c r="CA253">
        <v>0</v>
      </c>
      <c r="CB253">
        <v>6</v>
      </c>
      <c r="CC253">
        <v>32634.105521000001</v>
      </c>
      <c r="CD253" s="10">
        <v>15286.881762999999</v>
      </c>
      <c r="CE253" s="255">
        <v>0.4684326877953775</v>
      </c>
      <c r="CF253" t="str">
        <f>IFERROR(VLOOKUP(CE253,'Rangos amb etnico'!$A$2:$C$6,3,9),"N.D.")</f>
        <v>31% - 50%</v>
      </c>
      <c r="CG253" s="256">
        <v>4.4475301691228412E-4</v>
      </c>
      <c r="CH253" s="232">
        <v>0</v>
      </c>
      <c r="CI253" s="311">
        <f t="shared" si="103"/>
        <v>0</v>
      </c>
      <c r="CJ253" s="232">
        <f>IFERROR(VLOOKUP(CI253,'Rangos amb etnico'!$A$2:$C$6,3,9),"N.D.")</f>
        <v>0</v>
      </c>
      <c r="CK253" s="311">
        <f t="shared" si="104"/>
        <v>0</v>
      </c>
      <c r="CL253" s="10">
        <v>0</v>
      </c>
      <c r="CM253" s="255">
        <f t="shared" si="105"/>
        <v>0</v>
      </c>
      <c r="CN253" s="232">
        <f>IFERROR(VLOOKUP(CM253,'Rangos amb etnico'!$A$2:$C$6,3,9),"N.D.")</f>
        <v>0</v>
      </c>
      <c r="CO253" s="311">
        <f t="shared" si="106"/>
        <v>0</v>
      </c>
      <c r="CP253">
        <v>0.96043768122851558</v>
      </c>
      <c r="CQ253" t="s">
        <v>2864</v>
      </c>
      <c r="CR253">
        <f t="shared" si="97"/>
        <v>4</v>
      </c>
      <c r="CS253" t="str">
        <f t="shared" si="107"/>
        <v>Candidato</v>
      </c>
      <c r="CT253">
        <v>0</v>
      </c>
      <c r="CU253">
        <v>0</v>
      </c>
      <c r="CV253" s="25">
        <v>61.230495452880859</v>
      </c>
      <c r="CW253" s="25">
        <v>52.172061920166023</v>
      </c>
      <c r="CX253" s="25">
        <v>52.717273712158203</v>
      </c>
      <c r="CY253" s="25">
        <v>76.927078247070313</v>
      </c>
      <c r="CZ253" s="25">
        <v>65.571601867675781</v>
      </c>
      <c r="DA253" s="25">
        <v>48.782958984375</v>
      </c>
      <c r="DB253" s="25">
        <v>71.212005615234375</v>
      </c>
      <c r="DC253">
        <v>240</v>
      </c>
      <c r="DD253" s="253" t="s">
        <v>380</v>
      </c>
    </row>
    <row r="254" spans="1:108" hidden="1">
      <c r="A254" s="13">
        <v>23182</v>
      </c>
      <c r="B254" s="13" t="s">
        <v>968</v>
      </c>
      <c r="C254" s="13" t="s">
        <v>567</v>
      </c>
      <c r="D254" s="13" t="s">
        <v>568</v>
      </c>
      <c r="E254" s="13" t="s">
        <v>969</v>
      </c>
      <c r="F254" s="14">
        <v>62.301866666666697</v>
      </c>
      <c r="G254" s="13">
        <v>55.78</v>
      </c>
      <c r="H254" s="13">
        <v>51.78</v>
      </c>
      <c r="I254" s="13">
        <v>49.94</v>
      </c>
      <c r="J254" s="14">
        <v>56.057750717107581</v>
      </c>
      <c r="K254" s="14">
        <v>65.823754435913656</v>
      </c>
      <c r="L254" s="14">
        <v>68.905349803658694</v>
      </c>
      <c r="M254" s="14">
        <v>60.759799999999998</v>
      </c>
      <c r="N254" s="14">
        <f t="shared" si="81"/>
        <v>54.950466666666671</v>
      </c>
      <c r="O254" s="14">
        <f t="shared" si="82"/>
        <v>62.886663739169975</v>
      </c>
      <c r="P254" s="14">
        <f t="shared" si="98"/>
        <v>58.918565202918323</v>
      </c>
      <c r="Q254" s="14">
        <v>47.066008206997608</v>
      </c>
      <c r="R254" s="17">
        <f t="shared" si="83"/>
        <v>52.933991793002392</v>
      </c>
      <c r="S254" s="14">
        <f t="shared" si="99"/>
        <v>0.57640592613702146</v>
      </c>
      <c r="T254" s="13">
        <v>0</v>
      </c>
      <c r="U254" s="13">
        <f t="shared" si="100"/>
        <v>33.961010142452622</v>
      </c>
      <c r="V254" s="13">
        <f>IF($T254=1,$AU254,(VLOOKUP(U254,'Cortes naturales'!$A$35:$C$39,3,9)))</f>
        <v>3</v>
      </c>
      <c r="W254" s="13">
        <v>3</v>
      </c>
      <c r="X254" s="14" t="b">
        <f t="shared" si="84"/>
        <v>1</v>
      </c>
      <c r="Y254" s="17">
        <f>IF($T254=1,$AU254,VLOOKUP(U254,'Cortes naturales'!$A$45:$C$49,3,9))</f>
        <v>3</v>
      </c>
      <c r="Z254" s="14">
        <v>57.619955360783209</v>
      </c>
      <c r="AA254" s="14">
        <v>0.58570249661549445</v>
      </c>
      <c r="AB254" s="14">
        <v>33.748151709684066</v>
      </c>
      <c r="AC254" s="13">
        <v>3</v>
      </c>
      <c r="AD254" s="13">
        <f t="shared" si="85"/>
        <v>0</v>
      </c>
      <c r="AE254" s="14">
        <f t="shared" si="86"/>
        <v>1.2986098421351144</v>
      </c>
      <c r="AF254" s="14">
        <f t="shared" si="87"/>
        <v>-9.2965704784729875E-3</v>
      </c>
      <c r="AG254" s="13">
        <f t="shared" si="88"/>
        <v>0.21285843276855587</v>
      </c>
      <c r="AH254" s="13">
        <f>IF($T254=1,$AU254,VLOOKUP(U254,'Cortes naturales'!$A$25:$C$29,3,9))</f>
        <v>3</v>
      </c>
      <c r="AI254" s="13" t="b">
        <f t="shared" si="89"/>
        <v>1</v>
      </c>
      <c r="AJ254" s="13">
        <f t="shared" si="90"/>
        <v>0</v>
      </c>
      <c r="AK254" s="28">
        <v>0.9741882058902549</v>
      </c>
      <c r="AL254" s="28">
        <v>56.132680936397968</v>
      </c>
      <c r="AM254" s="28">
        <v>0.53153465724945848</v>
      </c>
      <c r="AN254" s="13">
        <v>2</v>
      </c>
      <c r="AO254" s="33">
        <f t="shared" si="91"/>
        <v>-1</v>
      </c>
      <c r="AP254" s="13">
        <f t="shared" si="101"/>
        <v>53.153465724945846</v>
      </c>
      <c r="AQ254" s="13">
        <f>IFERROR(VLOOKUP(U254,'Cortes naturales'!$E$15:$G$19,3,9),U254)</f>
        <v>4</v>
      </c>
      <c r="AR254" s="28">
        <f t="shared" si="92"/>
        <v>-0.39778227975323344</v>
      </c>
      <c r="AS254" s="13" t="b">
        <f t="shared" si="93"/>
        <v>0</v>
      </c>
      <c r="AT254" s="13" t="str">
        <f t="shared" si="102"/>
        <v>Cambio en corte</v>
      </c>
      <c r="AU254" s="13">
        <v>2</v>
      </c>
      <c r="AV254">
        <f t="shared" si="94"/>
        <v>-1</v>
      </c>
      <c r="AW254" s="13">
        <v>0</v>
      </c>
      <c r="AX254" s="13">
        <v>0</v>
      </c>
      <c r="AY254" s="13">
        <v>0</v>
      </c>
      <c r="AZ254" s="13">
        <v>0</v>
      </c>
      <c r="BA254">
        <v>0</v>
      </c>
      <c r="BB254" t="s">
        <v>2839</v>
      </c>
      <c r="BC254">
        <v>6</v>
      </c>
      <c r="BD254" t="s">
        <v>2919</v>
      </c>
      <c r="BE254">
        <v>1</v>
      </c>
      <c r="BF254" s="232" t="s">
        <v>2846</v>
      </c>
      <c r="BG254" s="232" t="s">
        <v>2845</v>
      </c>
      <c r="BH254" s="253">
        <v>45.3</v>
      </c>
      <c r="BI254" s="253">
        <v>25.016402661917706</v>
      </c>
      <c r="BJ254" s="25">
        <v>0</v>
      </c>
      <c r="BK254" t="s">
        <v>381</v>
      </c>
      <c r="BL254">
        <v>4.3232931452258265</v>
      </c>
      <c r="BM254" t="s">
        <v>383</v>
      </c>
      <c r="BN254" s="322">
        <v>98640.752439000004</v>
      </c>
      <c r="BO254" s="322">
        <v>12554.633995</v>
      </c>
      <c r="BP254" s="10">
        <v>52071</v>
      </c>
      <c r="BQ254" s="254">
        <f t="shared" si="95"/>
        <v>1.8943510291525034</v>
      </c>
      <c r="BR254" s="254">
        <f t="shared" si="96"/>
        <v>0.24110606662057577</v>
      </c>
      <c r="BS254" s="25">
        <v>62.11265045571789</v>
      </c>
      <c r="BT254" s="25">
        <v>93.541003917087565</v>
      </c>
      <c r="BU254" s="25">
        <v>46.445098543273332</v>
      </c>
      <c r="BV254" s="25">
        <v>96.226889177690865</v>
      </c>
      <c r="BW254" s="25">
        <v>52.684003988374073</v>
      </c>
      <c r="BX254" s="25">
        <v>74.581410523442415</v>
      </c>
      <c r="BY254" s="25">
        <v>53.641522165832647</v>
      </c>
      <c r="BZ254">
        <v>10</v>
      </c>
      <c r="CA254">
        <v>0</v>
      </c>
      <c r="CB254">
        <v>6</v>
      </c>
      <c r="CC254">
        <v>62599.868201999998</v>
      </c>
      <c r="CD254" s="10">
        <v>697.01944300000002</v>
      </c>
      <c r="CE254" s="255">
        <v>1.1134519337178588E-2</v>
      </c>
      <c r="CF254" t="str">
        <f>IFERROR(VLOOKUP(CE254,'Rangos amb etnico'!$A$2:$C$6,3,9),"N.D.")</f>
        <v>0,1% - 30%</v>
      </c>
      <c r="CG254" s="256">
        <v>2.0278923126826951E-5</v>
      </c>
      <c r="CH254" s="232">
        <v>72.889278000000004</v>
      </c>
      <c r="CI254" s="311">
        <f t="shared" si="103"/>
        <v>1.1643679147182496E-3</v>
      </c>
      <c r="CJ254" s="232" t="str">
        <f>IFERROR(VLOOKUP(CI254,'Rangos amb etnico'!$A$2:$C$6,3,9),"N.D.")</f>
        <v>0,1% - 30%</v>
      </c>
      <c r="CK254" s="311">
        <f t="shared" si="104"/>
        <v>2.8941815573161157E-6</v>
      </c>
      <c r="CL254" s="10">
        <v>0</v>
      </c>
      <c r="CM254" s="255">
        <f t="shared" si="105"/>
        <v>0</v>
      </c>
      <c r="CN254" s="232">
        <f>IFERROR(VLOOKUP(CM254,'Rangos amb etnico'!$A$2:$C$6,3,9),"N.D.")</f>
        <v>0</v>
      </c>
      <c r="CO254" s="311">
        <f t="shared" si="106"/>
        <v>0</v>
      </c>
      <c r="CP254">
        <v>0.89340966942113353</v>
      </c>
      <c r="CQ254" t="s">
        <v>2864</v>
      </c>
      <c r="CR254">
        <f t="shared" si="97"/>
        <v>2</v>
      </c>
      <c r="CS254" t="str">
        <f t="shared" si="107"/>
        <v>No es Candidato</v>
      </c>
      <c r="CT254">
        <v>0</v>
      </c>
      <c r="CU254">
        <v>0</v>
      </c>
      <c r="CV254" s="25">
        <v>55.232097625732422</v>
      </c>
      <c r="CW254" s="25">
        <v>35.448963165283203</v>
      </c>
      <c r="CX254" s="25">
        <v>61.037559509277337</v>
      </c>
      <c r="CY254" s="25">
        <v>77.854545593261719</v>
      </c>
      <c r="CZ254" s="25">
        <v>26.61286544799805</v>
      </c>
      <c r="DA254" s="25">
        <v>70.164299011230469</v>
      </c>
      <c r="DB254" s="25">
        <v>60.274360656738281</v>
      </c>
      <c r="DC254">
        <v>18559</v>
      </c>
      <c r="DD254" s="253" t="s">
        <v>380</v>
      </c>
    </row>
    <row r="255" spans="1:108">
      <c r="A255" s="13">
        <v>5034</v>
      </c>
      <c r="B255" s="13" t="s">
        <v>970</v>
      </c>
      <c r="C255" s="13" t="s">
        <v>435</v>
      </c>
      <c r="D255" s="13" t="s">
        <v>436</v>
      </c>
      <c r="E255" s="13" t="s">
        <v>971</v>
      </c>
      <c r="F255" s="14">
        <v>51.396666666666697</v>
      </c>
      <c r="G255" s="13">
        <v>39.9</v>
      </c>
      <c r="H255" s="13">
        <v>40.51</v>
      </c>
      <c r="I255" s="13">
        <v>50.79</v>
      </c>
      <c r="J255" s="14">
        <v>59.048263098827626</v>
      </c>
      <c r="K255" s="14">
        <v>61.830204222990346</v>
      </c>
      <c r="L255" s="14">
        <v>59.911954310935641</v>
      </c>
      <c r="M255" s="14">
        <v>63.1569</v>
      </c>
      <c r="N255" s="14">
        <f t="shared" si="81"/>
        <v>45.649166666666673</v>
      </c>
      <c r="O255" s="14">
        <f t="shared" si="82"/>
        <v>60.986830408188403</v>
      </c>
      <c r="P255" s="14">
        <f t="shared" si="98"/>
        <v>53.317998537427542</v>
      </c>
      <c r="Q255" s="14">
        <v>46.775776857219995</v>
      </c>
      <c r="R255" s="17">
        <f t="shared" si="83"/>
        <v>53.224223142780005</v>
      </c>
      <c r="S255" s="14">
        <f t="shared" si="99"/>
        <v>0.57901800828502004</v>
      </c>
      <c r="T255" s="13">
        <v>0</v>
      </c>
      <c r="U255" s="13">
        <f t="shared" si="100"/>
        <v>30.872081318884906</v>
      </c>
      <c r="V255" s="13">
        <f>IF($T255=1,$AU255,(VLOOKUP(U255,'Cortes naturales'!$A$35:$C$39,3,9)))</f>
        <v>3</v>
      </c>
      <c r="W255" s="13">
        <v>3</v>
      </c>
      <c r="X255" s="14" t="b">
        <f t="shared" si="84"/>
        <v>1</v>
      </c>
      <c r="Y255" s="17">
        <f>IF($T255=1,$AU255,VLOOKUP(U255,'Cortes naturales'!$A$45:$C$49,3,9))</f>
        <v>3</v>
      </c>
      <c r="Z255" s="14">
        <v>51.949779870642416</v>
      </c>
      <c r="AA255" s="14">
        <v>0.58558901504229732</v>
      </c>
      <c r="AB255" s="14">
        <v>30.421220426113656</v>
      </c>
      <c r="AC255" s="13">
        <v>3</v>
      </c>
      <c r="AD255" s="13">
        <f t="shared" si="85"/>
        <v>0</v>
      </c>
      <c r="AE255" s="14">
        <f t="shared" si="86"/>
        <v>1.3682186667851255</v>
      </c>
      <c r="AF255" s="14">
        <f t="shared" si="87"/>
        <v>-6.5710067572772868E-3</v>
      </c>
      <c r="AG255" s="13">
        <f t="shared" si="88"/>
        <v>0.45086089277124941</v>
      </c>
      <c r="AH255" s="13">
        <f>IF($T255=1,$AU255,VLOOKUP(U255,'Cortes naturales'!$A$25:$C$29,3,9))</f>
        <v>3</v>
      </c>
      <c r="AI255" s="13" t="b">
        <f t="shared" si="89"/>
        <v>1</v>
      </c>
      <c r="AJ255" s="13">
        <f t="shared" si="90"/>
        <v>0</v>
      </c>
      <c r="AK255" s="28">
        <v>0.9741882058902549</v>
      </c>
      <c r="AL255" s="28">
        <v>50.608862848574816</v>
      </c>
      <c r="AM255" s="28">
        <v>0.46243751562389324</v>
      </c>
      <c r="AN255" s="13">
        <v>3</v>
      </c>
      <c r="AO255" s="33">
        <f t="shared" si="91"/>
        <v>0</v>
      </c>
      <c r="AP255" s="13">
        <f t="shared" si="101"/>
        <v>46.24375156238932</v>
      </c>
      <c r="AQ255" s="13">
        <f>IFERROR(VLOOKUP(U255,'Cortes naturales'!$E$15:$G$19,3,9),U255)</f>
        <v>4</v>
      </c>
      <c r="AR255" s="28">
        <f t="shared" si="92"/>
        <v>-0.39517019760523486</v>
      </c>
      <c r="AS255" s="13" t="b">
        <f t="shared" si="93"/>
        <v>0</v>
      </c>
      <c r="AT255" s="13">
        <f t="shared" si="102"/>
        <v>0</v>
      </c>
      <c r="AU255" s="13">
        <v>3</v>
      </c>
      <c r="AV255">
        <f t="shared" si="94"/>
        <v>0</v>
      </c>
      <c r="AW255" s="13">
        <v>0</v>
      </c>
      <c r="AX255" s="13">
        <v>1</v>
      </c>
      <c r="AY255" s="13">
        <v>0</v>
      </c>
      <c r="AZ255" s="13">
        <v>0</v>
      </c>
      <c r="BA255">
        <v>0</v>
      </c>
      <c r="BB255" t="s">
        <v>2839</v>
      </c>
      <c r="BC255">
        <v>6</v>
      </c>
      <c r="BD255" t="s">
        <v>2919</v>
      </c>
      <c r="BE255">
        <v>1</v>
      </c>
      <c r="BF255" s="232" t="s">
        <v>2846</v>
      </c>
      <c r="BG255" s="232" t="s">
        <v>2845</v>
      </c>
      <c r="BH255" s="253">
        <v>40.1</v>
      </c>
      <c r="BI255" s="253">
        <v>12.288330137467254</v>
      </c>
      <c r="BJ255" s="25">
        <v>19.457057766082812</v>
      </c>
      <c r="BK255" t="s">
        <v>379</v>
      </c>
      <c r="BL255">
        <v>8.3401520238533013</v>
      </c>
      <c r="BM255" t="s">
        <v>379</v>
      </c>
      <c r="BN255" s="322">
        <v>88018.909648999994</v>
      </c>
      <c r="BO255" s="322">
        <v>18429.047718000002</v>
      </c>
      <c r="BP255" s="10">
        <v>45212</v>
      </c>
      <c r="BQ255" s="254">
        <f t="shared" si="95"/>
        <v>1.9468041592718746</v>
      </c>
      <c r="BR255" s="254">
        <f t="shared" si="96"/>
        <v>0.4076140785189773</v>
      </c>
      <c r="BS255" s="25">
        <v>59.338702502608669</v>
      </c>
      <c r="BT255" s="25">
        <v>93.348960290275173</v>
      </c>
      <c r="BU255" s="25">
        <v>53.026275117147158</v>
      </c>
      <c r="BV255" s="25">
        <v>88.339248015261106</v>
      </c>
      <c r="BW255" s="25">
        <v>62.44652604265687</v>
      </c>
      <c r="BX255" s="25">
        <v>73.513296481323025</v>
      </c>
      <c r="BY255" s="25">
        <v>65.120953272409068</v>
      </c>
      <c r="BZ255">
        <v>65</v>
      </c>
      <c r="CA255">
        <v>1</v>
      </c>
      <c r="CB255">
        <v>6</v>
      </c>
      <c r="CC255">
        <v>40248.7183</v>
      </c>
      <c r="CD255" s="10">
        <v>15769.912189000001</v>
      </c>
      <c r="CE255" s="255">
        <v>0.3918115372384417</v>
      </c>
      <c r="CF255" t="str">
        <f>IFERROR(VLOOKUP(CE255,'Rangos amb etnico'!$A$2:$C$6,3,9),"N.D.")</f>
        <v>31% - 50%</v>
      </c>
      <c r="CG255" s="256">
        <v>4.5880619286762467E-4</v>
      </c>
      <c r="CH255" s="232">
        <v>766.93492300000003</v>
      </c>
      <c r="CI255" s="311">
        <f t="shared" si="103"/>
        <v>1.9054890575236034E-2</v>
      </c>
      <c r="CJ255" s="232" t="str">
        <f>IFERROR(VLOOKUP(CI255,'Rangos amb etnico'!$A$2:$C$6,3,9),"N.D.")</f>
        <v>0,1% - 30%</v>
      </c>
      <c r="CK255" s="311">
        <f t="shared" si="104"/>
        <v>3.0452337719798174E-5</v>
      </c>
      <c r="CL255" s="10">
        <v>0</v>
      </c>
      <c r="CM255" s="255">
        <f t="shared" si="105"/>
        <v>0</v>
      </c>
      <c r="CN255" s="232">
        <f>IFERROR(VLOOKUP(CM255,'Rangos amb etnico'!$A$2:$C$6,3,9),"N.D.")</f>
        <v>0</v>
      </c>
      <c r="CO255" s="311">
        <f t="shared" si="106"/>
        <v>0</v>
      </c>
      <c r="CP255">
        <v>0.88386737832685347</v>
      </c>
      <c r="CQ255" t="s">
        <v>2864</v>
      </c>
      <c r="CR255">
        <f t="shared" si="97"/>
        <v>3</v>
      </c>
      <c r="CS255" t="str">
        <f t="shared" si="107"/>
        <v>Candidato</v>
      </c>
      <c r="CT255">
        <v>0</v>
      </c>
      <c r="CU255">
        <v>0</v>
      </c>
      <c r="CV255" s="25">
        <v>46.071769714355469</v>
      </c>
      <c r="CW255" s="25">
        <v>30.567607879638668</v>
      </c>
      <c r="CX255" s="25">
        <v>54.146110534667969</v>
      </c>
      <c r="CY255" s="25">
        <v>55.494796752929688</v>
      </c>
      <c r="CZ255" s="25">
        <v>32.93634033203125</v>
      </c>
      <c r="DA255" s="25">
        <v>47.4967041015625</v>
      </c>
      <c r="DB255" s="25">
        <v>55.789051055908203</v>
      </c>
      <c r="DC255">
        <v>924</v>
      </c>
      <c r="DD255" s="253" t="s">
        <v>380</v>
      </c>
    </row>
    <row r="256" spans="1:108" hidden="1">
      <c r="A256" s="13">
        <v>44378</v>
      </c>
      <c r="B256" s="13" t="s">
        <v>972</v>
      </c>
      <c r="C256" s="13" t="s">
        <v>933</v>
      </c>
      <c r="D256" s="13" t="s">
        <v>934</v>
      </c>
      <c r="E256" s="13" t="s">
        <v>973</v>
      </c>
      <c r="F256" s="14">
        <v>59.174266666666703</v>
      </c>
      <c r="G256" s="13">
        <v>80.38</v>
      </c>
      <c r="H256" s="13">
        <v>65.2</v>
      </c>
      <c r="I256" s="13">
        <v>79.13</v>
      </c>
      <c r="J256" s="14">
        <v>77.22558113750047</v>
      </c>
      <c r="K256" s="14">
        <v>67.885251144288631</v>
      </c>
      <c r="L256" s="14">
        <v>66.151280523989513</v>
      </c>
      <c r="M256" s="14">
        <v>76.330799999999996</v>
      </c>
      <c r="N256" s="14">
        <f t="shared" si="81"/>
        <v>70.971066666666673</v>
      </c>
      <c r="O256" s="14">
        <f t="shared" si="82"/>
        <v>71.898228201444653</v>
      </c>
      <c r="P256" s="14">
        <f t="shared" si="98"/>
        <v>71.434647434055663</v>
      </c>
      <c r="Q256" s="14">
        <v>48.221023735838315</v>
      </c>
      <c r="R256" s="17">
        <f t="shared" si="83"/>
        <v>51.778976264161685</v>
      </c>
      <c r="S256" s="14">
        <f t="shared" si="99"/>
        <v>0.56601078637745517</v>
      </c>
      <c r="T256" s="13">
        <v>0</v>
      </c>
      <c r="U256" s="13">
        <f t="shared" si="100"/>
        <v>40.432780968746108</v>
      </c>
      <c r="V256" s="13">
        <f>IF($T256=1,$AU256,(VLOOKUP(U256,'Cortes naturales'!$A$35:$C$39,3,9)))</f>
        <v>2</v>
      </c>
      <c r="W256" s="13">
        <v>2</v>
      </c>
      <c r="X256" s="14" t="b">
        <f t="shared" si="84"/>
        <v>1</v>
      </c>
      <c r="Y256" s="17">
        <f>IF($T256=1,$AU256,VLOOKUP(U256,'Cortes naturales'!$A$45:$C$49,3,9))</f>
        <v>2</v>
      </c>
      <c r="Z256" s="14">
        <v>67.044370942300944</v>
      </c>
      <c r="AA256" s="14">
        <v>0.5856089919740175</v>
      </c>
      <c r="AB256" s="14">
        <v>39.261786485052966</v>
      </c>
      <c r="AC256" s="13">
        <v>2</v>
      </c>
      <c r="AD256" s="13">
        <f t="shared" si="85"/>
        <v>0</v>
      </c>
      <c r="AE256" s="14">
        <f t="shared" si="86"/>
        <v>4.3902764917547188</v>
      </c>
      <c r="AF256" s="14">
        <f t="shared" si="87"/>
        <v>-1.9598205596562335E-2</v>
      </c>
      <c r="AG256" s="13">
        <f t="shared" si="88"/>
        <v>1.1709944836931427</v>
      </c>
      <c r="AH256" s="13">
        <f>IF($T256=1,$AU256,VLOOKUP(U256,'Cortes naturales'!$A$25:$C$29,3,9))</f>
        <v>2</v>
      </c>
      <c r="AI256" s="13" t="b">
        <f t="shared" si="89"/>
        <v>1</v>
      </c>
      <c r="AJ256" s="13">
        <f t="shared" si="90"/>
        <v>0</v>
      </c>
      <c r="AK256" s="28">
        <v>0.9741882058902549</v>
      </c>
      <c r="AL256" s="28">
        <v>65.313835443320897</v>
      </c>
      <c r="AM256" s="28">
        <v>0.64638122228198891</v>
      </c>
      <c r="AN256" s="13">
        <v>1</v>
      </c>
      <c r="AO256" s="33">
        <f t="shared" si="91"/>
        <v>-1</v>
      </c>
      <c r="AP256" s="13">
        <f t="shared" si="101"/>
        <v>64.638122228198895</v>
      </c>
      <c r="AQ256" s="13">
        <f>IFERROR(VLOOKUP(U256,'Cortes naturales'!$E$15:$G$19,3,9),U256)</f>
        <v>3</v>
      </c>
      <c r="AR256" s="28">
        <f t="shared" si="92"/>
        <v>-0.40817741951279973</v>
      </c>
      <c r="AS256" s="13" t="b">
        <f t="shared" si="93"/>
        <v>0</v>
      </c>
      <c r="AT256" s="13" t="str">
        <f t="shared" si="102"/>
        <v>Cambio en corte</v>
      </c>
      <c r="AU256" s="13">
        <v>2</v>
      </c>
      <c r="AV256">
        <f t="shared" si="94"/>
        <v>0</v>
      </c>
      <c r="AW256" s="13">
        <v>0</v>
      </c>
      <c r="AX256" s="13">
        <v>0</v>
      </c>
      <c r="AY256" s="13">
        <v>0</v>
      </c>
      <c r="AZ256" s="13">
        <v>0</v>
      </c>
      <c r="BA256">
        <v>0</v>
      </c>
      <c r="BB256" t="s">
        <v>2839</v>
      </c>
      <c r="BC256">
        <v>6</v>
      </c>
      <c r="BD256" t="s">
        <v>2919</v>
      </c>
      <c r="BE256">
        <v>0</v>
      </c>
      <c r="BF256" s="232" t="s">
        <v>2846</v>
      </c>
      <c r="BG256" s="232" t="s">
        <v>2846</v>
      </c>
      <c r="BH256" s="253">
        <v>43.3</v>
      </c>
      <c r="BI256" s="253">
        <v>30.047532820280669</v>
      </c>
      <c r="BJ256" s="25">
        <v>17.69590909090909</v>
      </c>
      <c r="BK256" t="s">
        <v>379</v>
      </c>
      <c r="BL256">
        <v>0.13900070645833193</v>
      </c>
      <c r="BM256" t="s">
        <v>377</v>
      </c>
      <c r="BN256" s="322">
        <v>52646.482408999997</v>
      </c>
      <c r="BO256" s="322">
        <v>5334.9176390000002</v>
      </c>
      <c r="BP256" s="10">
        <v>23232</v>
      </c>
      <c r="BQ256" s="254">
        <f t="shared" si="95"/>
        <v>2.2661192496986913</v>
      </c>
      <c r="BR256" s="254">
        <f t="shared" si="96"/>
        <v>0.2296366063619146</v>
      </c>
      <c r="BS256" s="25">
        <v>62.638085870978188</v>
      </c>
      <c r="BT256" s="25">
        <v>91.591378037955323</v>
      </c>
      <c r="BU256" s="25">
        <v>36.1081699346405</v>
      </c>
      <c r="BV256" s="25">
        <v>96.611329078733604</v>
      </c>
      <c r="BW256" s="25">
        <v>35.068557540580898</v>
      </c>
      <c r="BX256" s="25">
        <v>71.7372407305769</v>
      </c>
      <c r="BY256" s="25">
        <v>35.670242455689092</v>
      </c>
      <c r="BZ256">
        <v>76</v>
      </c>
      <c r="CA256">
        <v>0</v>
      </c>
      <c r="CB256">
        <v>7</v>
      </c>
      <c r="CC256">
        <v>21520.872080000001</v>
      </c>
      <c r="CD256" s="10">
        <v>2998.2853340000001</v>
      </c>
      <c r="CE256" s="255">
        <v>0.13931988085122246</v>
      </c>
      <c r="CF256" t="str">
        <f>IFERROR(VLOOKUP(CE256,'Rangos amb etnico'!$A$2:$C$6,3,9),"N.D.")</f>
        <v>0,1% - 30%</v>
      </c>
      <c r="CG256" s="256">
        <v>8.7231422898024764E-5</v>
      </c>
      <c r="CH256" s="232">
        <v>2757.3933339999999</v>
      </c>
      <c r="CI256" s="311">
        <f t="shared" si="103"/>
        <v>0.12812646828390051</v>
      </c>
      <c r="CJ256" s="232" t="str">
        <f>IFERROR(VLOOKUP(CI256,'Rangos amb etnico'!$A$2:$C$6,3,9),"N.D.")</f>
        <v>0,1% - 30%</v>
      </c>
      <c r="CK256" s="311">
        <f t="shared" si="104"/>
        <v>1.0948656856676774E-4</v>
      </c>
      <c r="CL256" s="10">
        <v>0</v>
      </c>
      <c r="CM256" s="255">
        <f t="shared" si="105"/>
        <v>0</v>
      </c>
      <c r="CN256" s="232">
        <f>IFERROR(VLOOKUP(CM256,'Rangos amb etnico'!$A$2:$C$6,3,9),"N.D.")</f>
        <v>0</v>
      </c>
      <c r="CO256" s="311">
        <f t="shared" si="106"/>
        <v>0</v>
      </c>
      <c r="CP256">
        <v>0.87031649699082092</v>
      </c>
      <c r="CQ256" t="s">
        <v>2864</v>
      </c>
      <c r="CR256">
        <f t="shared" si="97"/>
        <v>3</v>
      </c>
      <c r="CS256" t="str">
        <f t="shared" si="107"/>
        <v>Candidato</v>
      </c>
      <c r="CT256">
        <v>1</v>
      </c>
      <c r="CU256" t="s">
        <v>2836</v>
      </c>
      <c r="CV256" s="25">
        <v>46.779853820800781</v>
      </c>
      <c r="CW256" s="25">
        <v>37.896163940429688</v>
      </c>
      <c r="CX256" s="25">
        <v>58.462631225585938</v>
      </c>
      <c r="CY256" s="25">
        <v>45.737281799316413</v>
      </c>
      <c r="CZ256" s="25">
        <v>11.635698318481451</v>
      </c>
      <c r="DA256" s="25">
        <v>77.14422607421875</v>
      </c>
      <c r="DB256" s="25">
        <v>49.803119659423828</v>
      </c>
      <c r="DC256">
        <v>9943</v>
      </c>
      <c r="DD256" s="253" t="s">
        <v>380</v>
      </c>
    </row>
    <row r="257" spans="1:108" hidden="1">
      <c r="A257" s="13">
        <v>25658</v>
      </c>
      <c r="B257" s="13" t="s">
        <v>974</v>
      </c>
      <c r="C257" s="13" t="s">
        <v>461</v>
      </c>
      <c r="D257" s="13" t="s">
        <v>462</v>
      </c>
      <c r="E257" s="13" t="s">
        <v>975</v>
      </c>
      <c r="F257" s="14">
        <v>61.270899999999997</v>
      </c>
      <c r="G257" s="13">
        <v>62.32</v>
      </c>
      <c r="H257" s="13">
        <v>60.95</v>
      </c>
      <c r="I257" s="13">
        <v>67.709999999999994</v>
      </c>
      <c r="J257" s="14">
        <v>49.3002320247233</v>
      </c>
      <c r="K257" s="14">
        <v>64.761627217777601</v>
      </c>
      <c r="L257" s="14">
        <v>66.854377205112527</v>
      </c>
      <c r="M257" s="14">
        <v>57.887099999999997</v>
      </c>
      <c r="N257" s="14">
        <f t="shared" si="81"/>
        <v>63.062725</v>
      </c>
      <c r="O257" s="14">
        <f t="shared" si="82"/>
        <v>59.700834111903355</v>
      </c>
      <c r="P257" s="14">
        <f t="shared" si="98"/>
        <v>61.381779555951681</v>
      </c>
      <c r="Q257" s="14">
        <v>47.763513749896497</v>
      </c>
      <c r="R257" s="17">
        <f t="shared" si="83"/>
        <v>52.236486250103503</v>
      </c>
      <c r="S257" s="14">
        <f t="shared" si="99"/>
        <v>0.5701283762509316</v>
      </c>
      <c r="T257" s="13">
        <v>0</v>
      </c>
      <c r="U257" s="13">
        <f t="shared" si="100"/>
        <v>34.995494309627361</v>
      </c>
      <c r="V257" s="13">
        <f>IF($T257=1,$AU257,(VLOOKUP(U257,'Cortes naturales'!$A$35:$C$39,3,9)))</f>
        <v>3</v>
      </c>
      <c r="W257" s="13">
        <v>3</v>
      </c>
      <c r="X257" s="14" t="b">
        <f t="shared" si="84"/>
        <v>1</v>
      </c>
      <c r="Y257" s="17">
        <f>IF($T257=1,$AU257,VLOOKUP(U257,'Cortes naturales'!$A$45:$C$49,3,9))</f>
        <v>3</v>
      </c>
      <c r="Z257" s="14">
        <v>60.021472198766723</v>
      </c>
      <c r="AA257" s="14">
        <v>0.58382932159272916</v>
      </c>
      <c r="AB257" s="14">
        <v>35.042295394802828</v>
      </c>
      <c r="AC257" s="13">
        <v>2</v>
      </c>
      <c r="AD257" s="13">
        <f t="shared" si="85"/>
        <v>-1</v>
      </c>
      <c r="AE257" s="14">
        <f t="shared" si="86"/>
        <v>1.3603073571849578</v>
      </c>
      <c r="AF257" s="14">
        <f t="shared" si="87"/>
        <v>-1.3700945341797555E-2</v>
      </c>
      <c r="AG257" s="13">
        <f t="shared" si="88"/>
        <v>-4.6801085175466994E-2</v>
      </c>
      <c r="AH257" s="13">
        <f>IF($T257=1,$AU257,VLOOKUP(U257,'Cortes naturales'!$A$25:$C$29,3,9))</f>
        <v>2</v>
      </c>
      <c r="AI257" s="13" t="b">
        <f t="shared" si="89"/>
        <v>0</v>
      </c>
      <c r="AJ257" s="13" t="str">
        <f t="shared" si="90"/>
        <v>Cambio en corte</v>
      </c>
      <c r="AK257" s="28">
        <v>0.9741882058902549</v>
      </c>
      <c r="AL257" s="28">
        <v>58.472210316208368</v>
      </c>
      <c r="AM257" s="28">
        <v>0.5607997036944683</v>
      </c>
      <c r="AN257" s="13">
        <v>2</v>
      </c>
      <c r="AO257" s="33">
        <f t="shared" si="91"/>
        <v>-1</v>
      </c>
      <c r="AP257" s="13">
        <f t="shared" si="101"/>
        <v>56.079970369446826</v>
      </c>
      <c r="AQ257" s="13">
        <f>IFERROR(VLOOKUP(U257,'Cortes naturales'!$E$15:$G$19,3,9),U257)</f>
        <v>4</v>
      </c>
      <c r="AR257" s="28">
        <f t="shared" si="92"/>
        <v>-0.4040598296393233</v>
      </c>
      <c r="AS257" s="13" t="b">
        <f t="shared" si="93"/>
        <v>0</v>
      </c>
      <c r="AT257" s="13" t="str">
        <f t="shared" si="102"/>
        <v>Cambio en corte</v>
      </c>
      <c r="AU257" s="13">
        <v>2</v>
      </c>
      <c r="AV257">
        <f t="shared" si="94"/>
        <v>-1</v>
      </c>
      <c r="AW257" s="13">
        <v>0</v>
      </c>
      <c r="AX257" s="13">
        <v>0</v>
      </c>
      <c r="AY257" s="13">
        <v>0</v>
      </c>
      <c r="AZ257" s="13">
        <v>0</v>
      </c>
      <c r="BA257">
        <v>0</v>
      </c>
      <c r="BB257" t="s">
        <v>2839</v>
      </c>
      <c r="BC257">
        <v>6</v>
      </c>
      <c r="BD257" t="s">
        <v>2919</v>
      </c>
      <c r="BE257">
        <v>0</v>
      </c>
      <c r="BF257" s="232" t="s">
        <v>2846</v>
      </c>
      <c r="BG257" s="232" t="s">
        <v>2846</v>
      </c>
      <c r="BH257" s="253">
        <v>20.2</v>
      </c>
      <c r="BI257" s="253">
        <v>7.5085324232081909</v>
      </c>
      <c r="BJ257" s="25">
        <v>1.138441361563352</v>
      </c>
      <c r="BK257" t="s">
        <v>381</v>
      </c>
      <c r="BL257">
        <v>0.67087116364371635</v>
      </c>
      <c r="BM257" t="s">
        <v>383</v>
      </c>
      <c r="BN257" s="322">
        <v>18921.435226000001</v>
      </c>
      <c r="BO257" s="322">
        <v>5605.483956</v>
      </c>
      <c r="BP257" s="10">
        <v>12563</v>
      </c>
      <c r="BQ257" s="254">
        <f t="shared" si="95"/>
        <v>1.5061239533550905</v>
      </c>
      <c r="BR257" s="254">
        <f t="shared" si="96"/>
        <v>0.44618991928679458</v>
      </c>
      <c r="BS257" s="25">
        <v>58.489369376956233</v>
      </c>
      <c r="BT257" s="25">
        <v>78.932873532595707</v>
      </c>
      <c r="BU257" s="25">
        <v>43.660576131687243</v>
      </c>
      <c r="BV257" s="25">
        <v>92.482654643256424</v>
      </c>
      <c r="BW257" s="25">
        <v>58.493704057641267</v>
      </c>
      <c r="BX257" s="25">
        <v>68.3913684211239</v>
      </c>
      <c r="BY257" s="25">
        <v>59.624447560571497</v>
      </c>
      <c r="BZ257">
        <v>37</v>
      </c>
      <c r="CA257">
        <v>0</v>
      </c>
      <c r="CB257">
        <v>7</v>
      </c>
      <c r="CC257">
        <v>11861.559762000001</v>
      </c>
      <c r="CD257" s="10">
        <v>8472.0772300000008</v>
      </c>
      <c r="CE257" s="255">
        <v>0.7142464734816214</v>
      </c>
      <c r="CF257" t="str">
        <f>IFERROR(VLOOKUP(CE257,'Rangos amb etnico'!$A$2:$C$6,3,9),"N.D.")</f>
        <v>71% - 100%</v>
      </c>
      <c r="CG257" s="256">
        <v>2.4648466351563598E-4</v>
      </c>
      <c r="CH257" s="232">
        <v>0</v>
      </c>
      <c r="CI257" s="311">
        <f t="shared" si="103"/>
        <v>0</v>
      </c>
      <c r="CJ257" s="232">
        <f>IFERROR(VLOOKUP(CI257,'Rangos amb etnico'!$A$2:$C$6,3,9),"N.D.")</f>
        <v>0</v>
      </c>
      <c r="CK257" s="311">
        <f t="shared" si="104"/>
        <v>0</v>
      </c>
      <c r="CL257" s="10">
        <v>0</v>
      </c>
      <c r="CM257" s="255">
        <f t="shared" si="105"/>
        <v>0</v>
      </c>
      <c r="CN257" s="232">
        <f>IFERROR(VLOOKUP(CM257,'Rangos amb etnico'!$A$2:$C$6,3,9),"N.D.")</f>
        <v>0</v>
      </c>
      <c r="CO257" s="311">
        <f t="shared" si="106"/>
        <v>0</v>
      </c>
      <c r="CP257">
        <v>0.90500447107396953</v>
      </c>
      <c r="CQ257" t="s">
        <v>2864</v>
      </c>
      <c r="CR257">
        <f t="shared" si="97"/>
        <v>2</v>
      </c>
      <c r="CS257" t="str">
        <f t="shared" si="107"/>
        <v>No es Candidato</v>
      </c>
      <c r="CT257">
        <v>0</v>
      </c>
      <c r="CU257">
        <v>0</v>
      </c>
      <c r="CV257" s="25">
        <v>52.812824249267578</v>
      </c>
      <c r="CW257" s="25">
        <v>39.845455169677727</v>
      </c>
      <c r="CX257" s="25">
        <v>45.167095184326172</v>
      </c>
      <c r="CY257" s="25">
        <v>75.008834838867188</v>
      </c>
      <c r="CZ257" s="25">
        <v>51.604610443115227</v>
      </c>
      <c r="DA257" s="25">
        <v>55.455718994140618</v>
      </c>
      <c r="DB257" s="25">
        <v>49.795219421386719</v>
      </c>
      <c r="DC257">
        <v>115</v>
      </c>
      <c r="DD257" s="253" t="s">
        <v>380</v>
      </c>
    </row>
    <row r="258" spans="1:108" hidden="1">
      <c r="A258" s="13">
        <v>25781</v>
      </c>
      <c r="B258" s="13" t="s">
        <v>976</v>
      </c>
      <c r="C258" s="13" t="s">
        <v>461</v>
      </c>
      <c r="D258" s="13" t="s">
        <v>462</v>
      </c>
      <c r="E258" s="13" t="s">
        <v>977</v>
      </c>
      <c r="F258" s="14">
        <v>60.695066666666698</v>
      </c>
      <c r="G258" s="13">
        <v>85.19</v>
      </c>
      <c r="H258" s="13">
        <v>89</v>
      </c>
      <c r="I258" s="13">
        <v>77.2</v>
      </c>
      <c r="J258" s="14">
        <v>51.784162135290671</v>
      </c>
      <c r="K258" s="14">
        <v>57.116966781555703</v>
      </c>
      <c r="L258" s="14">
        <v>68.808867541539271</v>
      </c>
      <c r="M258" s="14">
        <v>64.686800000000005</v>
      </c>
      <c r="N258" s="14">
        <f t="shared" si="81"/>
        <v>78.021266666666676</v>
      </c>
      <c r="O258" s="14">
        <f t="shared" si="82"/>
        <v>60.599199114596416</v>
      </c>
      <c r="P258" s="14">
        <f t="shared" si="98"/>
        <v>69.310232890631539</v>
      </c>
      <c r="Q258" s="14">
        <v>48.076384451980395</v>
      </c>
      <c r="R258" s="17">
        <f t="shared" si="83"/>
        <v>51.923615548019605</v>
      </c>
      <c r="S258" s="14">
        <f t="shared" si="99"/>
        <v>0.56731253993217645</v>
      </c>
      <c r="T258" s="13">
        <v>0</v>
      </c>
      <c r="U258" s="13">
        <f t="shared" si="100"/>
        <v>39.320564264474854</v>
      </c>
      <c r="V258" s="13">
        <f>IF($T258=1,$AU258,(VLOOKUP(U258,'Cortes naturales'!$A$35:$C$39,3,9)))</f>
        <v>2</v>
      </c>
      <c r="W258" s="13">
        <v>2</v>
      </c>
      <c r="X258" s="14" t="b">
        <f t="shared" si="84"/>
        <v>1</v>
      </c>
      <c r="Y258" s="17">
        <f>IF($T258=1,$AU258,VLOOKUP(U258,'Cortes naturales'!$A$45:$C$49,3,9))</f>
        <v>2</v>
      </c>
      <c r="Z258" s="14">
        <v>64.5079603140682</v>
      </c>
      <c r="AA258" s="14">
        <v>0.58202285176672219</v>
      </c>
      <c r="AB258" s="14">
        <v>37.545107023648512</v>
      </c>
      <c r="AC258" s="13">
        <v>2</v>
      </c>
      <c r="AD258" s="13">
        <f t="shared" si="85"/>
        <v>0</v>
      </c>
      <c r="AE258" s="14">
        <f t="shared" si="86"/>
        <v>4.8022725765633396</v>
      </c>
      <c r="AF258" s="14">
        <f t="shared" si="87"/>
        <v>-1.4710311834545742E-2</v>
      </c>
      <c r="AG258" s="13">
        <f t="shared" si="88"/>
        <v>1.7754572408263414</v>
      </c>
      <c r="AH258" s="13">
        <f>IF($T258=1,$AU258,VLOOKUP(U258,'Cortes naturales'!$A$25:$C$29,3,9))</f>
        <v>2</v>
      </c>
      <c r="AI258" s="13" t="b">
        <f t="shared" si="89"/>
        <v>1</v>
      </c>
      <c r="AJ258" s="13">
        <f t="shared" si="90"/>
        <v>0</v>
      </c>
      <c r="AK258" s="28">
        <v>0.9741882058902549</v>
      </c>
      <c r="AL258" s="28">
        <v>62.842894124001866</v>
      </c>
      <c r="AM258" s="28">
        <v>0.61547235099496722</v>
      </c>
      <c r="AN258" s="13">
        <v>2</v>
      </c>
      <c r="AO258" s="33">
        <f t="shared" si="91"/>
        <v>0</v>
      </c>
      <c r="AP258" s="13">
        <f t="shared" si="101"/>
        <v>61.547235099496724</v>
      </c>
      <c r="AQ258" s="13">
        <f>IFERROR(VLOOKUP(U258,'Cortes naturales'!$E$15:$G$19,3,9),U258)</f>
        <v>3</v>
      </c>
      <c r="AR258" s="28">
        <f t="shared" si="92"/>
        <v>-0.40687566595807845</v>
      </c>
      <c r="AS258" s="13" t="b">
        <f t="shared" si="93"/>
        <v>0</v>
      </c>
      <c r="AT258" s="13">
        <f t="shared" si="102"/>
        <v>0</v>
      </c>
      <c r="AU258" s="13">
        <v>2</v>
      </c>
      <c r="AV258">
        <f t="shared" si="94"/>
        <v>0</v>
      </c>
      <c r="AW258" s="13">
        <v>0</v>
      </c>
      <c r="AX258" s="13">
        <v>0</v>
      </c>
      <c r="AY258" s="13">
        <v>0</v>
      </c>
      <c r="AZ258" s="13">
        <v>0</v>
      </c>
      <c r="BA258">
        <v>0</v>
      </c>
      <c r="BB258" t="s">
        <v>2838</v>
      </c>
      <c r="BC258">
        <v>6</v>
      </c>
      <c r="BD258" s="184" t="s">
        <v>2917</v>
      </c>
      <c r="BE258">
        <v>0</v>
      </c>
      <c r="BF258" s="232" t="s">
        <v>2846</v>
      </c>
      <c r="BG258" s="232" t="s">
        <v>2846</v>
      </c>
      <c r="BH258" s="253">
        <v>21.3</v>
      </c>
      <c r="BI258" s="253">
        <v>7.5884366679345758</v>
      </c>
      <c r="BJ258" s="25">
        <v>7.2706926866237209</v>
      </c>
      <c r="BK258" t="s">
        <v>377</v>
      </c>
      <c r="BL258">
        <v>1.229235983073889</v>
      </c>
      <c r="BM258" t="s">
        <v>383</v>
      </c>
      <c r="BN258" s="322">
        <v>16996.412044000001</v>
      </c>
      <c r="BO258" s="322">
        <v>3880.52754</v>
      </c>
      <c r="BP258" s="10">
        <v>6727</v>
      </c>
      <c r="BQ258" s="254">
        <f t="shared" si="95"/>
        <v>2.526596111788316</v>
      </c>
      <c r="BR258" s="254">
        <f t="shared" si="96"/>
        <v>0.57685856102274413</v>
      </c>
      <c r="BS258" s="25">
        <v>61.908026522255618</v>
      </c>
      <c r="BT258" s="25">
        <v>80.937942538526343</v>
      </c>
      <c r="BU258" s="25">
        <v>54.064662858956027</v>
      </c>
      <c r="BV258" s="25">
        <v>91.840308036323862</v>
      </c>
      <c r="BW258" s="25">
        <v>58.526625571700443</v>
      </c>
      <c r="BX258" s="25">
        <v>72.187734989015468</v>
      </c>
      <c r="BY258" s="25">
        <v>59.016829819250333</v>
      </c>
      <c r="BZ258">
        <v>36</v>
      </c>
      <c r="CA258">
        <v>0</v>
      </c>
      <c r="CB258">
        <v>7</v>
      </c>
      <c r="CC258">
        <v>6478.0622510000003</v>
      </c>
      <c r="CD258" s="10">
        <v>796.70746799999995</v>
      </c>
      <c r="CE258" s="255">
        <v>0.12298546033221809</v>
      </c>
      <c r="CF258" t="str">
        <f>IFERROR(VLOOKUP(CE258,'Rangos amb etnico'!$A$2:$C$6,3,9),"N.D.")</f>
        <v>0,1% - 30%</v>
      </c>
      <c r="CG258" s="256">
        <v>2.3179223564558358E-5</v>
      </c>
      <c r="CH258" s="232">
        <v>0</v>
      </c>
      <c r="CI258" s="311">
        <f t="shared" si="103"/>
        <v>0</v>
      </c>
      <c r="CJ258" s="232">
        <f>IFERROR(VLOOKUP(CI258,'Rangos amb etnico'!$A$2:$C$6,3,9),"N.D.")</f>
        <v>0</v>
      </c>
      <c r="CK258" s="311">
        <f t="shared" si="104"/>
        <v>0</v>
      </c>
      <c r="CL258" s="10">
        <v>0</v>
      </c>
      <c r="CM258" s="255">
        <f t="shared" si="105"/>
        <v>0</v>
      </c>
      <c r="CN258" s="232">
        <f>IFERROR(VLOOKUP(CM258,'Rangos amb etnico'!$A$2:$C$6,3,9),"N.D.")</f>
        <v>0</v>
      </c>
      <c r="CO258" s="311">
        <f t="shared" si="106"/>
        <v>0</v>
      </c>
      <c r="CP258">
        <v>0.98132085185641138</v>
      </c>
      <c r="CQ258" t="s">
        <v>2864</v>
      </c>
      <c r="CR258">
        <f t="shared" si="97"/>
        <v>3</v>
      </c>
      <c r="CS258" t="str">
        <f t="shared" si="107"/>
        <v>Candidato</v>
      </c>
      <c r="CT258">
        <v>0</v>
      </c>
      <c r="CU258">
        <v>0</v>
      </c>
      <c r="CV258" s="25">
        <v>51.427009582519531</v>
      </c>
      <c r="CW258" s="25">
        <v>31.67374229431152</v>
      </c>
      <c r="CX258" s="25">
        <v>62.429191589355469</v>
      </c>
      <c r="CY258" s="25">
        <v>63.742786407470703</v>
      </c>
      <c r="CZ258" s="25">
        <v>61.785572052001953</v>
      </c>
      <c r="DA258" s="25">
        <v>44.050559997558587</v>
      </c>
      <c r="DB258" s="25">
        <v>44.880214691162109</v>
      </c>
      <c r="DC258">
        <v>52</v>
      </c>
      <c r="DD258" s="253" t="s">
        <v>380</v>
      </c>
    </row>
    <row r="259" spans="1:108">
      <c r="A259" s="13">
        <v>5101</v>
      </c>
      <c r="B259" s="13" t="s">
        <v>978</v>
      </c>
      <c r="C259" s="13" t="s">
        <v>435</v>
      </c>
      <c r="D259" s="13" t="s">
        <v>436</v>
      </c>
      <c r="E259" s="13" t="s">
        <v>979</v>
      </c>
      <c r="F259" s="14">
        <v>59.024833333333298</v>
      </c>
      <c r="G259" s="13">
        <v>33.72</v>
      </c>
      <c r="H259" s="13">
        <v>38.64</v>
      </c>
      <c r="I259" s="13">
        <v>30.52</v>
      </c>
      <c r="J259" s="14">
        <v>56.767513041395262</v>
      </c>
      <c r="K259" s="14">
        <v>52.707091189121144</v>
      </c>
      <c r="L259" s="14">
        <v>59.889145312722491</v>
      </c>
      <c r="M259" s="14">
        <v>53.351399999999998</v>
      </c>
      <c r="N259" s="14">
        <f t="shared" ref="N259:N322" si="108">IFERROR(AVERAGE(F259:I259),"N.D.")</f>
        <v>40.476208333333325</v>
      </c>
      <c r="O259" s="14">
        <f t="shared" ref="O259:O322" si="109">IFERROR(AVERAGE(J259:M259),"N.D.")</f>
        <v>55.678787385809727</v>
      </c>
      <c r="P259" s="14">
        <f t="shared" si="98"/>
        <v>48.077497859571523</v>
      </c>
      <c r="Q259" s="14">
        <v>46.801296621884319</v>
      </c>
      <c r="R259" s="17">
        <f t="shared" ref="R259:R322" si="110">IFERROR(MAX($Q$3:$Q$1105)-Q259,"N.D.")</f>
        <v>53.198703378115681</v>
      </c>
      <c r="S259" s="14">
        <f t="shared" si="99"/>
        <v>0.57878833040304123</v>
      </c>
      <c r="T259" s="13">
        <v>0</v>
      </c>
      <c r="U259" s="13">
        <f t="shared" si="100"/>
        <v>27.82669471609719</v>
      </c>
      <c r="V259" s="13">
        <f>IF($T259=1,$AU259,(VLOOKUP(U259,'Cortes naturales'!$A$35:$C$39,3,9)))</f>
        <v>4</v>
      </c>
      <c r="W259" s="13">
        <v>4</v>
      </c>
      <c r="X259" s="14" t="b">
        <f t="shared" ref="X259:X322" si="111">V259=W259</f>
        <v>1</v>
      </c>
      <c r="Y259" s="17">
        <f>IF($T259=1,$AU259,VLOOKUP(U259,'Cortes naturales'!$A$45:$C$49,3,9))</f>
        <v>4</v>
      </c>
      <c r="Z259" s="14">
        <v>53.36418917744885</v>
      </c>
      <c r="AA259" s="14">
        <v>0.58473182884368824</v>
      </c>
      <c r="AB259" s="14">
        <v>31.203739932490222</v>
      </c>
      <c r="AC259" s="13">
        <v>3</v>
      </c>
      <c r="AD259" s="13">
        <f t="shared" ref="AD259:AD322" si="112">IFERROR(AC259-Y259,)</f>
        <v>-1</v>
      </c>
      <c r="AE259" s="14">
        <f t="shared" ref="AE259:AE322" si="113">IFERROR(P259-Z259,"N.D.")</f>
        <v>-5.2866913178773274</v>
      </c>
      <c r="AF259" s="14">
        <f t="shared" ref="AF259:AF322" si="114">IFERROR(S259-AA259,"N.D.")</f>
        <v>-5.9434984406470104E-3</v>
      </c>
      <c r="AG259" s="13">
        <f t="shared" ref="AG259:AG322" si="115">IFERROR(U259-AB259,0)</f>
        <v>-3.3770452163930322</v>
      </c>
      <c r="AH259" s="13">
        <f>IF($T259=1,$AU259,VLOOKUP(U259,'Cortes naturales'!$A$25:$C$29,3,9))</f>
        <v>3</v>
      </c>
      <c r="AI259" s="13" t="b">
        <f t="shared" ref="AI259:AI322" si="116">AH259=Y259</f>
        <v>0</v>
      </c>
      <c r="AJ259" s="13" t="str">
        <f t="shared" ref="AJ259:AJ322" si="117">IF(AD259=0,0,IF(AI259=TRUE,"Efecto ponderador","Cambio en corte"))</f>
        <v>Cambio en corte</v>
      </c>
      <c r="AK259" s="28">
        <v>0.9741882058902549</v>
      </c>
      <c r="AL259" s="28">
        <v>51.986763713567051</v>
      </c>
      <c r="AM259" s="28">
        <v>0.4796736030005283</v>
      </c>
      <c r="AN259" s="13">
        <v>2</v>
      </c>
      <c r="AO259" s="33">
        <f t="shared" ref="AO259:AO322" si="118">IF(AND(ISNUMBER(AN259),ISNUMBER(Y259)),AN259-Y259,IF(AN259="SC- Centro aglomeración",Y259,IF(OR(AN259="Bogotá",AN259="Ciudades grandes"),0,0)))</f>
        <v>-2</v>
      </c>
      <c r="AP259" s="13">
        <f t="shared" si="101"/>
        <v>47.967360300052832</v>
      </c>
      <c r="AQ259" s="13">
        <f>IFERROR(VLOOKUP(U259,'Cortes naturales'!$E$15:$G$19,3,9),U259)</f>
        <v>4</v>
      </c>
      <c r="AR259" s="28">
        <f t="shared" ref="AR259:AR322" si="119">IFERROR(S259-AK259,"N.D.")</f>
        <v>-0.39539987548721367</v>
      </c>
      <c r="AS259" s="13" t="b">
        <f t="shared" ref="AS259:AS322" si="120">AQ259=Y259</f>
        <v>1</v>
      </c>
      <c r="AT259" s="13" t="str">
        <f t="shared" si="102"/>
        <v>Efecto ponderador</v>
      </c>
      <c r="AU259" s="13">
        <v>2</v>
      </c>
      <c r="AV259">
        <f t="shared" ref="AV259:AV322" si="121">IF(AND(ISNUMBER(AU259),ISNUMBER(Y259)),AU259-Y259,IF(AU259="SC- Centro aglomeración",Y259,IF(OR(AU259="Bogotá",AU259="Ciudades grandes"),0,0)))</f>
        <v>-2</v>
      </c>
      <c r="AW259" s="13">
        <v>0</v>
      </c>
      <c r="AX259" s="13">
        <v>0</v>
      </c>
      <c r="AY259" s="13">
        <v>0</v>
      </c>
      <c r="AZ259" s="13">
        <v>0</v>
      </c>
      <c r="BA259">
        <v>0</v>
      </c>
      <c r="BB259" t="s">
        <v>2839</v>
      </c>
      <c r="BC259">
        <v>6</v>
      </c>
      <c r="BD259" t="s">
        <v>2919</v>
      </c>
      <c r="BE259">
        <v>1</v>
      </c>
      <c r="BF259" s="232" t="s">
        <v>2846</v>
      </c>
      <c r="BG259" s="232" t="s">
        <v>2845</v>
      </c>
      <c r="BH259" s="253">
        <v>40.4</v>
      </c>
      <c r="BI259" s="253">
        <v>11.847006843974704</v>
      </c>
      <c r="BJ259" s="25">
        <v>24.669750195439331</v>
      </c>
      <c r="BK259" t="s">
        <v>379</v>
      </c>
      <c r="BL259">
        <v>6.7298101370442094</v>
      </c>
      <c r="BM259" t="s">
        <v>379</v>
      </c>
      <c r="BN259" s="322">
        <v>52319.441197</v>
      </c>
      <c r="BO259" s="322">
        <v>10825.479861</v>
      </c>
      <c r="BP259" s="10">
        <v>27391</v>
      </c>
      <c r="BQ259" s="254">
        <f t="shared" ref="BQ259:BQ322" si="122">BN259/BP259</f>
        <v>1.9100960606403563</v>
      </c>
      <c r="BR259" s="254">
        <f t="shared" ref="BR259:BR322" si="123">BO259/BP259</f>
        <v>0.39522032277025299</v>
      </c>
      <c r="BS259" s="25">
        <v>58.039536045879267</v>
      </c>
      <c r="BT259" s="25">
        <v>98.295060421306275</v>
      </c>
      <c r="BU259" s="25">
        <v>58.191666666666663</v>
      </c>
      <c r="BV259" s="25">
        <v>79.650621429121244</v>
      </c>
      <c r="BW259" s="25">
        <v>64.208427329166426</v>
      </c>
      <c r="BX259" s="25">
        <v>73.54422114074336</v>
      </c>
      <c r="BY259" s="25">
        <v>66.379884840930131</v>
      </c>
      <c r="BZ259">
        <v>65</v>
      </c>
      <c r="CA259">
        <v>0</v>
      </c>
      <c r="CB259">
        <v>6</v>
      </c>
      <c r="CC259">
        <v>26379.091042</v>
      </c>
      <c r="CD259" s="10">
        <v>7848.9796180000003</v>
      </c>
      <c r="CE259" s="255">
        <v>0.29754549182544199</v>
      </c>
      <c r="CF259" t="str">
        <f>IFERROR(VLOOKUP(CE259,'Rangos amb etnico'!$A$2:$C$6,3,9),"N.D.")</f>
        <v>0,1% - 30%</v>
      </c>
      <c r="CG259" s="256">
        <v>2.2835640511315489E-4</v>
      </c>
      <c r="CH259" s="232">
        <v>117.867332</v>
      </c>
      <c r="CI259" s="311">
        <f t="shared" si="103"/>
        <v>4.4682105161370101E-3</v>
      </c>
      <c r="CJ259" s="232" t="str">
        <f>IFERROR(VLOOKUP(CI259,'Rangos amb etnico'!$A$2:$C$6,3,9),"N.D.")</f>
        <v>0,1% - 30%</v>
      </c>
      <c r="CK259" s="311">
        <f t="shared" si="104"/>
        <v>4.680104781452982E-6</v>
      </c>
      <c r="CL259" s="10">
        <v>0</v>
      </c>
      <c r="CM259" s="255">
        <f t="shared" si="105"/>
        <v>0</v>
      </c>
      <c r="CN259" s="232">
        <f>IFERROR(VLOOKUP(CM259,'Rangos amb etnico'!$A$2:$C$6,3,9),"N.D.")</f>
        <v>0</v>
      </c>
      <c r="CO259" s="311">
        <f t="shared" si="106"/>
        <v>0</v>
      </c>
      <c r="CP259">
        <v>0.8827821409142963</v>
      </c>
      <c r="CQ259" t="s">
        <v>2864</v>
      </c>
      <c r="CR259">
        <f t="shared" ref="CR259:CR322" si="124">IF(BY259&gt;=60,1,0)+IF(M259&gt;=60,1,0)+IF(I259&gt;=60,1,0)+IF(OR(CQ259="Crítico Bajo",CQ259="Aceptable"),1,0)</f>
        <v>2</v>
      </c>
      <c r="CS259" t="str">
        <f t="shared" si="107"/>
        <v>No es Candidato</v>
      </c>
      <c r="CT259">
        <v>0</v>
      </c>
      <c r="CU259">
        <v>0</v>
      </c>
      <c r="CV259" s="25">
        <v>44.278034210205078</v>
      </c>
      <c r="CW259" s="25">
        <v>27.603694915771481</v>
      </c>
      <c r="CX259" s="25">
        <v>47.381698608398438</v>
      </c>
      <c r="CY259" s="25">
        <v>50.696235656738281</v>
      </c>
      <c r="CZ259" s="25">
        <v>35.212589263916023</v>
      </c>
      <c r="DA259" s="25">
        <v>40.563488006591797</v>
      </c>
      <c r="DB259" s="25">
        <v>64.210502624511719</v>
      </c>
      <c r="DC259">
        <v>735</v>
      </c>
      <c r="DD259" s="253" t="s">
        <v>380</v>
      </c>
    </row>
    <row r="260" spans="1:108">
      <c r="A260" s="13">
        <v>5809</v>
      </c>
      <c r="B260" s="13" t="s">
        <v>980</v>
      </c>
      <c r="C260" s="13" t="s">
        <v>435</v>
      </c>
      <c r="D260" s="13" t="s">
        <v>436</v>
      </c>
      <c r="E260" s="13" t="s">
        <v>981</v>
      </c>
      <c r="F260" s="14">
        <v>62.213000000000001</v>
      </c>
      <c r="G260" s="13">
        <v>65.34</v>
      </c>
      <c r="H260" s="13">
        <v>76.37</v>
      </c>
      <c r="I260" s="13">
        <v>81.12</v>
      </c>
      <c r="J260" s="14">
        <v>48.452398900997139</v>
      </c>
      <c r="K260" s="14">
        <v>55.503993348925121</v>
      </c>
      <c r="L260" s="14">
        <v>55.267969073089517</v>
      </c>
      <c r="M260" s="14">
        <v>40.698799999999999</v>
      </c>
      <c r="N260" s="14">
        <f t="shared" si="108"/>
        <v>71.260750000000002</v>
      </c>
      <c r="O260" s="14">
        <f t="shared" si="109"/>
        <v>49.980790330752946</v>
      </c>
      <c r="P260" s="14">
        <f t="shared" ref="P260:P323" si="125">IFERROR(AVERAGE(N260:O260),"N.D.")</f>
        <v>60.62077016537647</v>
      </c>
      <c r="Q260" s="14">
        <v>46.617007518491931</v>
      </c>
      <c r="R260" s="17">
        <f t="shared" si="110"/>
        <v>53.382992481508069</v>
      </c>
      <c r="S260" s="14">
        <f t="shared" ref="S260:S323" si="126">IFERROR((0.1+(1-0.1)*(R260%-0)/(1-0)),"N.D.")</f>
        <v>0.5804469323335727</v>
      </c>
      <c r="T260" s="13">
        <v>0</v>
      </c>
      <c r="U260" s="13">
        <f t="shared" ref="U260:U323" si="127">$P260*$S260</f>
        <v>35.187140078191341</v>
      </c>
      <c r="V260" s="13">
        <f>IF($T260=1,$AU260,(VLOOKUP(U260,'Cortes naturales'!$A$35:$C$39,3,9)))</f>
        <v>3</v>
      </c>
      <c r="W260" s="13">
        <v>3</v>
      </c>
      <c r="X260" s="14" t="b">
        <f t="shared" si="111"/>
        <v>1</v>
      </c>
      <c r="Y260" s="17">
        <f>IF($T260=1,$AU260,VLOOKUP(U260,'Cortes naturales'!$A$45:$C$49,3,9))</f>
        <v>3</v>
      </c>
      <c r="Z260" s="14">
        <v>59.713842728949345</v>
      </c>
      <c r="AA260" s="14">
        <v>0.58614966431306137</v>
      </c>
      <c r="AB260" s="14">
        <v>35.001248870416596</v>
      </c>
      <c r="AC260" s="13">
        <v>2</v>
      </c>
      <c r="AD260" s="13">
        <f t="shared" si="112"/>
        <v>-1</v>
      </c>
      <c r="AE260" s="14">
        <f t="shared" si="113"/>
        <v>0.90692743642712514</v>
      </c>
      <c r="AF260" s="14">
        <f t="shared" si="114"/>
        <v>-5.7027319794886733E-3</v>
      </c>
      <c r="AG260" s="13">
        <f t="shared" si="115"/>
        <v>0.18589120777474477</v>
      </c>
      <c r="AH260" s="13">
        <f>IF($T260=1,$AU260,VLOOKUP(U260,'Cortes naturales'!$A$25:$C$29,3,9))</f>
        <v>2</v>
      </c>
      <c r="AI260" s="13" t="b">
        <f t="shared" si="116"/>
        <v>0</v>
      </c>
      <c r="AJ260" s="13" t="str">
        <f t="shared" si="117"/>
        <v>Cambio en corte</v>
      </c>
      <c r="AK260" s="28">
        <v>0.9741882058902549</v>
      </c>
      <c r="AL260" s="28">
        <v>58.172521314928005</v>
      </c>
      <c r="AM260" s="28">
        <v>0.55705091019043496</v>
      </c>
      <c r="AN260" s="13">
        <v>2</v>
      </c>
      <c r="AO260" s="33">
        <f t="shared" si="118"/>
        <v>-1</v>
      </c>
      <c r="AP260" s="13">
        <f t="shared" ref="AP260:AP323" si="128">IFERROR(AM260*100,"N.D")</f>
        <v>55.705091019043493</v>
      </c>
      <c r="AQ260" s="13">
        <f>IFERROR(VLOOKUP(U260,'Cortes naturales'!$E$15:$G$19,3,9),U260)</f>
        <v>4</v>
      </c>
      <c r="AR260" s="28">
        <f t="shared" si="119"/>
        <v>-0.3937412735566822</v>
      </c>
      <c r="AS260" s="13" t="b">
        <f t="shared" si="120"/>
        <v>0</v>
      </c>
      <c r="AT260" s="13" t="str">
        <f t="shared" ref="AT260:AT323" si="129">IF(AO260=0,0,IF(AS260=TRUE,"Efecto ponderador","Cambio en corte"))</f>
        <v>Cambio en corte</v>
      </c>
      <c r="AU260" s="13">
        <v>2</v>
      </c>
      <c r="AV260">
        <f t="shared" si="121"/>
        <v>-1</v>
      </c>
      <c r="AW260" s="13">
        <v>0</v>
      </c>
      <c r="AX260" s="13">
        <v>0</v>
      </c>
      <c r="AY260" s="13">
        <v>0</v>
      </c>
      <c r="AZ260" s="13">
        <v>0</v>
      </c>
      <c r="BA260">
        <v>0</v>
      </c>
      <c r="BB260" t="s">
        <v>2839</v>
      </c>
      <c r="BC260">
        <v>6</v>
      </c>
      <c r="BD260" t="s">
        <v>2919</v>
      </c>
      <c r="BE260">
        <v>1</v>
      </c>
      <c r="BF260" s="232" t="s">
        <v>2846</v>
      </c>
      <c r="BG260" s="232" t="s">
        <v>2845</v>
      </c>
      <c r="BH260" s="253">
        <v>30.3</v>
      </c>
      <c r="BI260" s="253">
        <v>11.2238659982883</v>
      </c>
      <c r="BJ260" s="25">
        <v>43.332035143680898</v>
      </c>
      <c r="BK260" t="s">
        <v>376</v>
      </c>
      <c r="BL260">
        <v>5.6024778276823719</v>
      </c>
      <c r="BM260" t="s">
        <v>383</v>
      </c>
      <c r="BN260" s="322">
        <v>23552.865045999999</v>
      </c>
      <c r="BO260" s="322">
        <v>5839.7041509999999</v>
      </c>
      <c r="BP260" s="10">
        <v>11449</v>
      </c>
      <c r="BQ260" s="254">
        <f t="shared" si="122"/>
        <v>2.0571984492968816</v>
      </c>
      <c r="BR260" s="254">
        <f t="shared" si="123"/>
        <v>0.51006237671412347</v>
      </c>
      <c r="BS260" s="25">
        <v>55.506514665301488</v>
      </c>
      <c r="BT260" s="25">
        <v>86.508341339855008</v>
      </c>
      <c r="BU260" s="25">
        <v>47.399667203435307</v>
      </c>
      <c r="BV260" s="25">
        <v>81.113760518843677</v>
      </c>
      <c r="BW260" s="25">
        <v>58.744957823393122</v>
      </c>
      <c r="BX260" s="25">
        <v>67.632070931858877</v>
      </c>
      <c r="BY260" s="25">
        <v>58.30241397701915</v>
      </c>
      <c r="BZ260">
        <v>83</v>
      </c>
      <c r="CA260">
        <v>0</v>
      </c>
      <c r="CB260">
        <v>6</v>
      </c>
      <c r="CC260">
        <v>14032.861226999999</v>
      </c>
      <c r="CD260" s="10">
        <v>3263.1475409999998</v>
      </c>
      <c r="CE260" s="255">
        <v>0.2325361512676776</v>
      </c>
      <c r="CF260" t="str">
        <f>IFERROR(VLOOKUP(CE260,'Rangos amb etnico'!$A$2:$C$6,3,9),"N.D.")</f>
        <v>0,1% - 30%</v>
      </c>
      <c r="CG260" s="256">
        <v>9.4937262941506488E-5</v>
      </c>
      <c r="CH260" s="232">
        <v>0</v>
      </c>
      <c r="CI260" s="311">
        <f t="shared" ref="CI260:CI323" si="130">IFERROR(CH260/CC260,"N.D.")</f>
        <v>0</v>
      </c>
      <c r="CJ260" s="232">
        <f>IFERROR(VLOOKUP(CI260,'Rangos amb etnico'!$A$2:$C$6,3,9),"N.D.")</f>
        <v>0</v>
      </c>
      <c r="CK260" s="311">
        <f t="shared" ref="CK260:CK323" si="131">IFERROR(CH260/$CH$1,"N.D.")</f>
        <v>0</v>
      </c>
      <c r="CL260" s="10">
        <v>0</v>
      </c>
      <c r="CM260" s="255">
        <f t="shared" ref="CM260:CM323" si="132">IFERROR(CL260/CC260,"N.D.")</f>
        <v>0</v>
      </c>
      <c r="CN260" s="232">
        <f>IFERROR(VLOOKUP(CM260,'Rangos amb etnico'!$A$2:$C$6,3,9),"N.D.")</f>
        <v>0</v>
      </c>
      <c r="CO260" s="311">
        <f t="shared" ref="CO260:CO323" si="133">IFERROR(CL260/$CL$1,"N.D.")</f>
        <v>0</v>
      </c>
      <c r="CP260">
        <v>0.93292915748135141</v>
      </c>
      <c r="CQ260" t="s">
        <v>2864</v>
      </c>
      <c r="CR260">
        <f t="shared" si="124"/>
        <v>2</v>
      </c>
      <c r="CS260" t="str">
        <f t="shared" ref="CS260:CS323" si="134">IF(CR260&gt;=3,"Candidato","No es Candidato")</f>
        <v>No es Candidato</v>
      </c>
      <c r="CT260">
        <v>0</v>
      </c>
      <c r="CU260">
        <v>0</v>
      </c>
      <c r="CV260" s="25">
        <v>44.776885986328118</v>
      </c>
      <c r="CW260" s="25">
        <v>39.065910339355469</v>
      </c>
      <c r="CX260" s="25">
        <v>57.589637756347663</v>
      </c>
      <c r="CY260" s="25">
        <v>56.144630432128913</v>
      </c>
      <c r="CZ260" s="25">
        <v>56.420417785644531</v>
      </c>
      <c r="DA260" s="25">
        <v>23.9869499206543</v>
      </c>
      <c r="DB260" s="25">
        <v>35.453758239746087</v>
      </c>
      <c r="DC260">
        <v>137</v>
      </c>
      <c r="DD260" s="253" t="s">
        <v>380</v>
      </c>
    </row>
    <row r="261" spans="1:108" hidden="1">
      <c r="A261" s="13">
        <v>52051</v>
      </c>
      <c r="B261" s="13" t="s">
        <v>982</v>
      </c>
      <c r="C261" s="13" t="s">
        <v>672</v>
      </c>
      <c r="D261" s="13" t="s">
        <v>673</v>
      </c>
      <c r="E261" s="13" t="s">
        <v>983</v>
      </c>
      <c r="F261" s="14">
        <v>53.464599999999997</v>
      </c>
      <c r="G261" s="13">
        <v>44.29</v>
      </c>
      <c r="H261" s="13">
        <v>45.37</v>
      </c>
      <c r="I261" s="13">
        <v>42.34</v>
      </c>
      <c r="J261" s="14">
        <v>53.517363664255335</v>
      </c>
      <c r="K261" s="14">
        <v>47.731121173178096</v>
      </c>
      <c r="L261" s="14">
        <v>64.068905547222286</v>
      </c>
      <c r="M261" s="14">
        <v>61.448300000000003</v>
      </c>
      <c r="N261" s="14">
        <f t="shared" si="108"/>
        <v>46.366149999999998</v>
      </c>
      <c r="O261" s="14">
        <f t="shared" si="109"/>
        <v>56.691422596163932</v>
      </c>
      <c r="P261" s="14">
        <f t="shared" si="125"/>
        <v>51.528786298081968</v>
      </c>
      <c r="Q261" s="14">
        <v>47.520164297295892</v>
      </c>
      <c r="R261" s="17">
        <f t="shared" si="110"/>
        <v>52.479835702704108</v>
      </c>
      <c r="S261" s="14">
        <f t="shared" si="126"/>
        <v>0.57231852132433692</v>
      </c>
      <c r="T261" s="13">
        <v>0</v>
      </c>
      <c r="U261" s="13">
        <f t="shared" si="127"/>
        <v>29.490878779756024</v>
      </c>
      <c r="V261" s="13">
        <f>IF($T261=1,$AU261,(VLOOKUP(U261,'Cortes naturales'!$A$35:$C$39,3,9)))</f>
        <v>4</v>
      </c>
      <c r="W261" s="13">
        <v>4</v>
      </c>
      <c r="X261" s="14" t="b">
        <f t="shared" si="111"/>
        <v>1</v>
      </c>
      <c r="Y261" s="17">
        <f>IF($T261=1,$AU261,VLOOKUP(U261,'Cortes naturales'!$A$45:$C$49,3,9))</f>
        <v>3</v>
      </c>
      <c r="Z261" s="14">
        <v>51.230351415448993</v>
      </c>
      <c r="AA261" s="14">
        <v>0.58342756345730384</v>
      </c>
      <c r="AB261" s="14">
        <v>29.889199101376843</v>
      </c>
      <c r="AC261" s="13">
        <v>3</v>
      </c>
      <c r="AD261" s="13">
        <f t="shared" si="112"/>
        <v>0</v>
      </c>
      <c r="AE261" s="14">
        <f t="shared" si="113"/>
        <v>0.29843488263297502</v>
      </c>
      <c r="AF261" s="14">
        <f t="shared" si="114"/>
        <v>-1.1109042132966929E-2</v>
      </c>
      <c r="AG261" s="13">
        <f t="shared" si="115"/>
        <v>-0.39832032162081887</v>
      </c>
      <c r="AH261" s="13">
        <f>IF($T261=1,$AU261,VLOOKUP(U261,'Cortes naturales'!$A$25:$C$29,3,9))</f>
        <v>3</v>
      </c>
      <c r="AI261" s="13" t="b">
        <f t="shared" si="116"/>
        <v>1</v>
      </c>
      <c r="AJ261" s="13">
        <f t="shared" si="117"/>
        <v>0</v>
      </c>
      <c r="AK261" s="28">
        <v>0.9741882058902549</v>
      </c>
      <c r="AL261" s="28">
        <v>49.908004132543532</v>
      </c>
      <c r="AM261" s="28">
        <v>0.45367051186106477</v>
      </c>
      <c r="AN261" s="13">
        <v>3</v>
      </c>
      <c r="AO261" s="33">
        <f t="shared" si="118"/>
        <v>0</v>
      </c>
      <c r="AP261" s="13">
        <f t="shared" si="128"/>
        <v>45.36705118610648</v>
      </c>
      <c r="AQ261" s="13">
        <f>IFERROR(VLOOKUP(U261,'Cortes naturales'!$E$15:$G$19,3,9),U261)</f>
        <v>4</v>
      </c>
      <c r="AR261" s="28">
        <f t="shared" si="119"/>
        <v>-0.40186968456591798</v>
      </c>
      <c r="AS261" s="13" t="b">
        <f t="shared" si="120"/>
        <v>0</v>
      </c>
      <c r="AT261" s="13">
        <f t="shared" si="129"/>
        <v>0</v>
      </c>
      <c r="AU261" s="13">
        <v>3</v>
      </c>
      <c r="AV261">
        <f t="shared" si="121"/>
        <v>0</v>
      </c>
      <c r="AW261" s="13">
        <v>0</v>
      </c>
      <c r="AX261" s="13">
        <v>0</v>
      </c>
      <c r="AY261" s="13">
        <v>0</v>
      </c>
      <c r="AZ261" s="13">
        <v>0</v>
      </c>
      <c r="BA261">
        <v>0</v>
      </c>
      <c r="BB261" t="s">
        <v>2839</v>
      </c>
      <c r="BC261">
        <v>6</v>
      </c>
      <c r="BD261" t="s">
        <v>2919</v>
      </c>
      <c r="BE261">
        <v>1</v>
      </c>
      <c r="BF261" s="232" t="s">
        <v>2846</v>
      </c>
      <c r="BG261" s="232" t="s">
        <v>2846</v>
      </c>
      <c r="BH261" s="253">
        <v>54.3</v>
      </c>
      <c r="BI261" s="253">
        <v>25.308156307369526</v>
      </c>
      <c r="BJ261" s="25">
        <v>64.83048443924325</v>
      </c>
      <c r="BK261" t="s">
        <v>376</v>
      </c>
      <c r="BL261">
        <v>1.1041654685324678</v>
      </c>
      <c r="BM261" t="s">
        <v>383</v>
      </c>
      <c r="BN261" s="322">
        <v>23817.924915</v>
      </c>
      <c r="BO261" s="322">
        <v>657.58133999999995</v>
      </c>
      <c r="BP261" s="10">
        <v>9049</v>
      </c>
      <c r="BQ261" s="254">
        <f t="shared" si="122"/>
        <v>2.6321057481489665</v>
      </c>
      <c r="BR261" s="254">
        <f t="shared" si="123"/>
        <v>7.2668951265333181E-2</v>
      </c>
      <c r="BS261" s="25">
        <v>54.136634409361683</v>
      </c>
      <c r="BT261" s="25">
        <v>89.03512440785353</v>
      </c>
      <c r="BU261" s="25">
        <v>41.12423076923077</v>
      </c>
      <c r="BV261" s="25">
        <v>96.185882018950636</v>
      </c>
      <c r="BW261" s="25">
        <v>41.143028102179308</v>
      </c>
      <c r="BX261" s="25">
        <v>70.120467901349159</v>
      </c>
      <c r="BY261" s="25">
        <v>40.972245731713741</v>
      </c>
      <c r="BZ261">
        <v>69</v>
      </c>
      <c r="CA261">
        <v>0</v>
      </c>
      <c r="CB261">
        <v>7</v>
      </c>
      <c r="CC261">
        <v>6023.2378339999996</v>
      </c>
      <c r="CD261" s="10">
        <v>9.3385590000000001</v>
      </c>
      <c r="CE261" s="255">
        <v>1.5504217594207656E-3</v>
      </c>
      <c r="CF261" t="str">
        <f>IFERROR(VLOOKUP(CE261,'Rangos amb etnico'!$A$2:$C$6,3,9),"N.D.")</f>
        <v>0,1% - 30%</v>
      </c>
      <c r="CG261" s="256">
        <v>2.7169388455113435E-7</v>
      </c>
      <c r="CH261" s="232">
        <v>0</v>
      </c>
      <c r="CI261" s="311">
        <f t="shared" si="130"/>
        <v>0</v>
      </c>
      <c r="CJ261" s="232">
        <f>IFERROR(VLOOKUP(CI261,'Rangos amb etnico'!$A$2:$C$6,3,9),"N.D.")</f>
        <v>0</v>
      </c>
      <c r="CK261" s="311">
        <f t="shared" si="131"/>
        <v>0</v>
      </c>
      <c r="CL261" s="10">
        <v>0</v>
      </c>
      <c r="CM261" s="255">
        <f t="shared" si="132"/>
        <v>0</v>
      </c>
      <c r="CN261" s="232">
        <f>IFERROR(VLOOKUP(CM261,'Rangos amb etnico'!$A$2:$C$6,3,9),"N.D.")</f>
        <v>0</v>
      </c>
      <c r="CO261" s="311">
        <f t="shared" si="133"/>
        <v>0</v>
      </c>
      <c r="CP261">
        <v>0.97905247428917752</v>
      </c>
      <c r="CQ261" t="s">
        <v>2864</v>
      </c>
      <c r="CR261">
        <f t="shared" si="124"/>
        <v>2</v>
      </c>
      <c r="CS261" t="str">
        <f t="shared" si="134"/>
        <v>No es Candidato</v>
      </c>
      <c r="CT261">
        <v>0</v>
      </c>
      <c r="CU261">
        <v>0</v>
      </c>
      <c r="CV261" s="25">
        <v>51.255088806152337</v>
      </c>
      <c r="CW261" s="25">
        <v>22.106939315795898</v>
      </c>
      <c r="CX261" s="25">
        <v>52.027591705322273</v>
      </c>
      <c r="CY261" s="25">
        <v>48.354587554931641</v>
      </c>
      <c r="CZ261" s="25">
        <v>39.793285369873047</v>
      </c>
      <c r="DA261" s="25">
        <v>96.381324768066406</v>
      </c>
      <c r="DB261" s="25">
        <v>48.866798400878913</v>
      </c>
      <c r="DC261">
        <v>128</v>
      </c>
      <c r="DD261" s="253" t="s">
        <v>380</v>
      </c>
    </row>
    <row r="262" spans="1:108">
      <c r="A262" s="13">
        <v>5353</v>
      </c>
      <c r="B262" s="13" t="s">
        <v>984</v>
      </c>
      <c r="C262" s="13" t="s">
        <v>435</v>
      </c>
      <c r="D262" s="13" t="s">
        <v>436</v>
      </c>
      <c r="E262" s="13" t="s">
        <v>985</v>
      </c>
      <c r="F262" s="14">
        <v>45.9069</v>
      </c>
      <c r="G262" s="13">
        <v>79.239999999999995</v>
      </c>
      <c r="H262" s="13">
        <v>26.67</v>
      </c>
      <c r="I262" s="13">
        <v>73.58</v>
      </c>
      <c r="J262" s="14">
        <v>62.294156586861604</v>
      </c>
      <c r="K262" s="14">
        <v>45.224841541819224</v>
      </c>
      <c r="L262" s="14">
        <v>60.257248142873337</v>
      </c>
      <c r="M262" s="14">
        <v>43.874699999999997</v>
      </c>
      <c r="N262" s="14">
        <f t="shared" si="108"/>
        <v>56.34922499999999</v>
      </c>
      <c r="O262" s="14">
        <f t="shared" si="109"/>
        <v>52.912736567888537</v>
      </c>
      <c r="P262" s="14">
        <f t="shared" si="125"/>
        <v>54.630980783944267</v>
      </c>
      <c r="Q262" s="14">
        <v>46.232637639139995</v>
      </c>
      <c r="R262" s="17">
        <f t="shared" si="110"/>
        <v>53.767362360860005</v>
      </c>
      <c r="S262" s="14">
        <f t="shared" si="126"/>
        <v>0.58390626124774003</v>
      </c>
      <c r="T262" s="13">
        <v>0</v>
      </c>
      <c r="U262" s="13">
        <f t="shared" si="127"/>
        <v>31.899371737850025</v>
      </c>
      <c r="V262" s="13">
        <f>IF($T262=1,$AU262,(VLOOKUP(U262,'Cortes naturales'!$A$35:$C$39,3,9)))</f>
        <v>3</v>
      </c>
      <c r="W262" s="13">
        <v>3</v>
      </c>
      <c r="X262" s="14" t="b">
        <f t="shared" si="111"/>
        <v>1</v>
      </c>
      <c r="Y262" s="17">
        <f>IF($T262=1,$AU262,VLOOKUP(U262,'Cortes naturales'!$A$45:$C$49,3,9))</f>
        <v>3</v>
      </c>
      <c r="Z262" s="14">
        <v>51.201357846383267</v>
      </c>
      <c r="AA262" s="14">
        <v>0.58332986959424837</v>
      </c>
      <c r="AB262" s="14">
        <v>29.867281395579198</v>
      </c>
      <c r="AC262" s="13">
        <v>3</v>
      </c>
      <c r="AD262" s="13">
        <f t="shared" si="112"/>
        <v>0</v>
      </c>
      <c r="AE262" s="14">
        <f t="shared" si="113"/>
        <v>3.4296229375609997</v>
      </c>
      <c r="AF262" s="14">
        <f t="shared" si="114"/>
        <v>5.7639165349165911E-4</v>
      </c>
      <c r="AG262" s="13">
        <f t="shared" si="115"/>
        <v>2.032090342270827</v>
      </c>
      <c r="AH262" s="13">
        <f>IF($T262=1,$AU262,VLOOKUP(U262,'Cortes naturales'!$A$25:$C$29,3,9))</f>
        <v>3</v>
      </c>
      <c r="AI262" s="13" t="b">
        <f t="shared" si="116"/>
        <v>1</v>
      </c>
      <c r="AJ262" s="13">
        <f t="shared" si="117"/>
        <v>0</v>
      </c>
      <c r="AK262" s="28">
        <v>0.9741882058902549</v>
      </c>
      <c r="AL262" s="28">
        <v>49.879758939513039</v>
      </c>
      <c r="AM262" s="28">
        <v>0.45331719426949313</v>
      </c>
      <c r="AN262" s="13">
        <v>3</v>
      </c>
      <c r="AO262" s="33">
        <f t="shared" si="118"/>
        <v>0</v>
      </c>
      <c r="AP262" s="13">
        <f t="shared" si="128"/>
        <v>45.331719426949313</v>
      </c>
      <c r="AQ262" s="13">
        <f>IFERROR(VLOOKUP(U262,'Cortes naturales'!$E$15:$G$19,3,9),U262)</f>
        <v>4</v>
      </c>
      <c r="AR262" s="28">
        <f t="shared" si="119"/>
        <v>-0.39028194464251487</v>
      </c>
      <c r="AS262" s="13" t="b">
        <f t="shared" si="120"/>
        <v>0</v>
      </c>
      <c r="AT262" s="13">
        <f t="shared" si="129"/>
        <v>0</v>
      </c>
      <c r="AU262" s="13">
        <v>3</v>
      </c>
      <c r="AV262">
        <f t="shared" si="121"/>
        <v>0</v>
      </c>
      <c r="AW262" s="13">
        <v>0</v>
      </c>
      <c r="AX262" s="13">
        <v>0</v>
      </c>
      <c r="AY262" s="13">
        <v>0</v>
      </c>
      <c r="AZ262" s="13">
        <v>0</v>
      </c>
      <c r="BA262">
        <v>0</v>
      </c>
      <c r="BB262" t="s">
        <v>2839</v>
      </c>
      <c r="BC262">
        <v>6</v>
      </c>
      <c r="BD262" t="s">
        <v>2919</v>
      </c>
      <c r="BE262">
        <v>1</v>
      </c>
      <c r="BF262" s="232" t="s">
        <v>2846</v>
      </c>
      <c r="BG262" s="232" t="s">
        <v>2845</v>
      </c>
      <c r="BH262" s="253">
        <v>36.9</v>
      </c>
      <c r="BI262" s="253">
        <v>12.121212121212121</v>
      </c>
      <c r="BJ262" s="25">
        <v>9.5691816816816804</v>
      </c>
      <c r="BK262" t="s">
        <v>377</v>
      </c>
      <c r="BL262">
        <v>3.0033325405276274</v>
      </c>
      <c r="BM262" t="s">
        <v>383</v>
      </c>
      <c r="BN262" s="322">
        <v>12208.165566</v>
      </c>
      <c r="BO262" s="322">
        <v>2118.3273290000002</v>
      </c>
      <c r="BP262" s="10">
        <v>5862</v>
      </c>
      <c r="BQ262" s="254">
        <f t="shared" si="122"/>
        <v>2.0825939211873079</v>
      </c>
      <c r="BR262" s="254">
        <f t="shared" si="123"/>
        <v>0.36136597219379057</v>
      </c>
      <c r="BS262" s="25">
        <v>58.577535705640287</v>
      </c>
      <c r="BT262" s="25">
        <v>78.553963379961331</v>
      </c>
      <c r="BU262" s="25">
        <v>46.084313725490198</v>
      </c>
      <c r="BV262" s="25">
        <v>68.587925484503714</v>
      </c>
      <c r="BW262" s="25">
        <v>44.155323315179388</v>
      </c>
      <c r="BX262" s="25">
        <v>62.950934573898877</v>
      </c>
      <c r="BY262" s="25">
        <v>43.019906496094563</v>
      </c>
      <c r="BZ262">
        <v>65</v>
      </c>
      <c r="CA262">
        <v>0</v>
      </c>
      <c r="CB262">
        <v>7</v>
      </c>
      <c r="CC262">
        <v>5417.8292730000003</v>
      </c>
      <c r="CD262" s="10">
        <v>1114.4683809999999</v>
      </c>
      <c r="CE262" s="255">
        <v>0.20570385754937018</v>
      </c>
      <c r="CF262" t="str">
        <f>IFERROR(VLOOKUP(CE262,'Rangos amb etnico'!$A$2:$C$6,3,9),"N.D.")</f>
        <v>0,1% - 30%</v>
      </c>
      <c r="CG262" s="256">
        <v>3.2424086375992655E-5</v>
      </c>
      <c r="CH262" s="232">
        <v>0</v>
      </c>
      <c r="CI262" s="311">
        <f t="shared" si="130"/>
        <v>0</v>
      </c>
      <c r="CJ262" s="232">
        <f>IFERROR(VLOOKUP(CI262,'Rangos amb etnico'!$A$2:$C$6,3,9),"N.D.")</f>
        <v>0</v>
      </c>
      <c r="CK262" s="311">
        <f t="shared" si="131"/>
        <v>0</v>
      </c>
      <c r="CL262" s="10">
        <v>0</v>
      </c>
      <c r="CM262" s="255">
        <f t="shared" si="132"/>
        <v>0</v>
      </c>
      <c r="CN262" s="232">
        <f>IFERROR(VLOOKUP(CM262,'Rangos amb etnico'!$A$2:$C$6,3,9),"N.D.")</f>
        <v>0</v>
      </c>
      <c r="CO262" s="311">
        <f t="shared" si="133"/>
        <v>0</v>
      </c>
      <c r="CP262">
        <v>0.8107869040988831</v>
      </c>
      <c r="CQ262" t="s">
        <v>2865</v>
      </c>
      <c r="CR262">
        <f t="shared" si="124"/>
        <v>2</v>
      </c>
      <c r="CS262" t="str">
        <f t="shared" si="134"/>
        <v>No es Candidato</v>
      </c>
      <c r="CT262">
        <v>0</v>
      </c>
      <c r="CU262">
        <v>0</v>
      </c>
      <c r="CV262" s="25">
        <v>45.049037933349609</v>
      </c>
      <c r="CW262" s="25">
        <v>22.218925476074219</v>
      </c>
      <c r="CX262" s="25">
        <v>60.940006256103523</v>
      </c>
      <c r="CY262" s="25">
        <v>63.804622650146477</v>
      </c>
      <c r="CZ262" s="25">
        <v>44.431266784667969</v>
      </c>
      <c r="DA262" s="25">
        <v>38.624137878417969</v>
      </c>
      <c r="DB262" s="25">
        <v>40.275260925292969</v>
      </c>
      <c r="DC262">
        <v>109</v>
      </c>
      <c r="DD262" s="253" t="s">
        <v>380</v>
      </c>
    </row>
    <row r="263" spans="1:108" hidden="1">
      <c r="A263" s="13">
        <v>15686</v>
      </c>
      <c r="B263" s="13" t="s">
        <v>986</v>
      </c>
      <c r="C263" s="13" t="s">
        <v>498</v>
      </c>
      <c r="D263" s="13" t="s">
        <v>499</v>
      </c>
      <c r="E263" s="13" t="s">
        <v>987</v>
      </c>
      <c r="F263" s="14">
        <v>66.414933333333295</v>
      </c>
      <c r="G263" s="13">
        <v>67.61</v>
      </c>
      <c r="H263" s="13">
        <v>64.349999999999994</v>
      </c>
      <c r="I263" s="13">
        <v>65.92</v>
      </c>
      <c r="J263" s="14">
        <v>55.14976899925913</v>
      </c>
      <c r="K263" s="14">
        <v>56.61963819403789</v>
      </c>
      <c r="L263" s="14">
        <v>60.97930779031482</v>
      </c>
      <c r="M263" s="14">
        <v>59.326999999999998</v>
      </c>
      <c r="N263" s="14">
        <f t="shared" si="108"/>
        <v>66.073733333333323</v>
      </c>
      <c r="O263" s="14">
        <f t="shared" si="109"/>
        <v>58.018928745902954</v>
      </c>
      <c r="P263" s="14">
        <f t="shared" si="125"/>
        <v>62.046331039618138</v>
      </c>
      <c r="Q263" s="14">
        <v>48.422996452586865</v>
      </c>
      <c r="R263" s="17">
        <f t="shared" si="110"/>
        <v>51.577003547413135</v>
      </c>
      <c r="S263" s="14">
        <f t="shared" si="126"/>
        <v>0.56419303192671821</v>
      </c>
      <c r="T263" s="13">
        <v>0</v>
      </c>
      <c r="U263" s="13">
        <f t="shared" si="127"/>
        <v>35.006107629171005</v>
      </c>
      <c r="V263" s="13">
        <f>IF($T263=1,$AU263,(VLOOKUP(U263,'Cortes naturales'!$A$35:$C$39,3,9)))</f>
        <v>3</v>
      </c>
      <c r="W263" s="13">
        <v>3</v>
      </c>
      <c r="X263" s="14" t="b">
        <f t="shared" si="111"/>
        <v>1</v>
      </c>
      <c r="Y263" s="17">
        <f>IF($T263=1,$AU263,VLOOKUP(U263,'Cortes naturales'!$A$45:$C$49,3,9))</f>
        <v>3</v>
      </c>
      <c r="Z263" s="14">
        <v>61.902734473400272</v>
      </c>
      <c r="AA263" s="14">
        <v>0.57870508854856539</v>
      </c>
      <c r="AB263" s="14">
        <v>35.823427434827437</v>
      </c>
      <c r="AC263" s="13">
        <v>2</v>
      </c>
      <c r="AD263" s="13">
        <f t="shared" si="112"/>
        <v>-1</v>
      </c>
      <c r="AE263" s="14">
        <f t="shared" si="113"/>
        <v>0.14359656621786598</v>
      </c>
      <c r="AF263" s="14">
        <f t="shared" si="114"/>
        <v>-1.451205662184718E-2</v>
      </c>
      <c r="AG263" s="13">
        <f t="shared" si="115"/>
        <v>-0.8173198056564317</v>
      </c>
      <c r="AH263" s="13">
        <f>IF($T263=1,$AU263,VLOOKUP(U263,'Cortes naturales'!$A$25:$C$29,3,9))</f>
        <v>2</v>
      </c>
      <c r="AI263" s="13" t="b">
        <f t="shared" si="116"/>
        <v>0</v>
      </c>
      <c r="AJ263" s="13" t="str">
        <f t="shared" si="117"/>
        <v>Cambio en corte</v>
      </c>
      <c r="AK263" s="28">
        <v>0.9741882058902549</v>
      </c>
      <c r="AL263" s="28">
        <v>60.304913836342642</v>
      </c>
      <c r="AM263" s="28">
        <v>0.58372489287974327</v>
      </c>
      <c r="AN263" s="13">
        <v>2</v>
      </c>
      <c r="AO263" s="33">
        <f t="shared" si="118"/>
        <v>-1</v>
      </c>
      <c r="AP263" s="13">
        <f t="shared" si="128"/>
        <v>58.372489287974325</v>
      </c>
      <c r="AQ263" s="13">
        <f>IFERROR(VLOOKUP(U263,'Cortes naturales'!$E$15:$G$19,3,9),U263)</f>
        <v>4</v>
      </c>
      <c r="AR263" s="28">
        <f t="shared" si="119"/>
        <v>-0.40999517396353669</v>
      </c>
      <c r="AS263" s="13" t="b">
        <f t="shared" si="120"/>
        <v>0</v>
      </c>
      <c r="AT263" s="13" t="str">
        <f t="shared" si="129"/>
        <v>Cambio en corte</v>
      </c>
      <c r="AU263" s="13">
        <v>2</v>
      </c>
      <c r="AV263">
        <f t="shared" si="121"/>
        <v>-1</v>
      </c>
      <c r="AW263" s="13">
        <v>0</v>
      </c>
      <c r="AX263" s="13">
        <v>0</v>
      </c>
      <c r="AY263" s="13">
        <v>0</v>
      </c>
      <c r="AZ263" s="13">
        <v>0</v>
      </c>
      <c r="BA263">
        <v>0</v>
      </c>
      <c r="BB263" t="s">
        <v>2839</v>
      </c>
      <c r="BC263">
        <v>6</v>
      </c>
      <c r="BD263" t="s">
        <v>2919</v>
      </c>
      <c r="BE263">
        <v>0</v>
      </c>
      <c r="BF263" s="232" t="s">
        <v>2846</v>
      </c>
      <c r="BG263" s="232" t="s">
        <v>2846</v>
      </c>
      <c r="BH263" s="253">
        <v>40.5</v>
      </c>
      <c r="BI263" s="253">
        <v>15.357509910438996</v>
      </c>
      <c r="BJ263" s="25">
        <v>25.503422167555009</v>
      </c>
      <c r="BK263" t="s">
        <v>379</v>
      </c>
      <c r="BL263">
        <v>2.1043523023789636</v>
      </c>
      <c r="BM263" t="s">
        <v>383</v>
      </c>
      <c r="BN263" s="322">
        <v>18427.393330999999</v>
      </c>
      <c r="BO263" s="322">
        <v>1976.3048409999999</v>
      </c>
      <c r="BP263" s="10">
        <v>7746</v>
      </c>
      <c r="BQ263" s="254">
        <f t="shared" si="122"/>
        <v>2.3789560200103277</v>
      </c>
      <c r="BR263" s="254">
        <f t="shared" si="123"/>
        <v>0.25513876077975728</v>
      </c>
      <c r="BS263" s="25">
        <v>66.716380347959301</v>
      </c>
      <c r="BT263" s="25">
        <v>94.262296666666657</v>
      </c>
      <c r="BU263" s="25">
        <v>54.816666666666663</v>
      </c>
      <c r="BV263" s="25">
        <v>90.919724851297659</v>
      </c>
      <c r="BW263" s="25">
        <v>54.064315794992467</v>
      </c>
      <c r="BX263" s="25">
        <v>76.678767133147574</v>
      </c>
      <c r="BY263" s="25">
        <v>55.812261292437881</v>
      </c>
      <c r="BZ263">
        <v>20</v>
      </c>
      <c r="CA263">
        <v>0</v>
      </c>
      <c r="CB263">
        <v>7</v>
      </c>
      <c r="CC263">
        <v>6785.2949250000001</v>
      </c>
      <c r="CD263" s="10">
        <v>31.869730000000001</v>
      </c>
      <c r="CE263" s="255">
        <v>4.6968820592569894E-3</v>
      </c>
      <c r="CF263" t="str">
        <f>IFERROR(VLOOKUP(CE263,'Rangos amb etnico'!$A$2:$C$6,3,9),"N.D.")</f>
        <v>0,1% - 30%</v>
      </c>
      <c r="CG263" s="256">
        <v>9.2721058391298087E-7</v>
      </c>
      <c r="CH263" s="232">
        <v>0</v>
      </c>
      <c r="CI263" s="311">
        <f t="shared" si="130"/>
        <v>0</v>
      </c>
      <c r="CJ263" s="232">
        <f>IFERROR(VLOOKUP(CI263,'Rangos amb etnico'!$A$2:$C$6,3,9),"N.D.")</f>
        <v>0</v>
      </c>
      <c r="CK263" s="311">
        <f t="shared" si="131"/>
        <v>0</v>
      </c>
      <c r="CL263" s="10">
        <v>0</v>
      </c>
      <c r="CM263" s="255">
        <f t="shared" si="132"/>
        <v>0</v>
      </c>
      <c r="CN263" s="232">
        <f>IFERROR(VLOOKUP(CM263,'Rangos amb etnico'!$A$2:$C$6,3,9),"N.D.")</f>
        <v>0</v>
      </c>
      <c r="CO263" s="311">
        <f t="shared" si="133"/>
        <v>0</v>
      </c>
      <c r="CP263">
        <v>0.91315848815953926</v>
      </c>
      <c r="CQ263" t="s">
        <v>2864</v>
      </c>
      <c r="CR263">
        <f t="shared" si="124"/>
        <v>2</v>
      </c>
      <c r="CS263" t="str">
        <f t="shared" si="134"/>
        <v>No es Candidato</v>
      </c>
      <c r="CT263">
        <v>0</v>
      </c>
      <c r="CU263">
        <v>0</v>
      </c>
      <c r="CV263" s="25">
        <v>45.990139007568359</v>
      </c>
      <c r="CW263" s="25">
        <v>21.60052490234375</v>
      </c>
      <c r="CX263" s="25">
        <v>45.491718292236328</v>
      </c>
      <c r="CY263" s="25">
        <v>61.195926666259773</v>
      </c>
      <c r="CZ263" s="25">
        <v>50.740489959716797</v>
      </c>
      <c r="DA263" s="25">
        <v>53.889415740966797</v>
      </c>
      <c r="DB263" s="25">
        <v>43.022750854492188</v>
      </c>
      <c r="DC263">
        <v>40</v>
      </c>
      <c r="DD263" s="253" t="s">
        <v>380</v>
      </c>
    </row>
    <row r="264" spans="1:108">
      <c r="A264" s="13">
        <v>5036</v>
      </c>
      <c r="B264" s="13" t="s">
        <v>988</v>
      </c>
      <c r="C264" s="13" t="s">
        <v>435</v>
      </c>
      <c r="D264" s="13" t="s">
        <v>436</v>
      </c>
      <c r="E264" s="13" t="s">
        <v>989</v>
      </c>
      <c r="F264" s="14">
        <v>56.986466666666701</v>
      </c>
      <c r="G264" s="13">
        <v>41.65</v>
      </c>
      <c r="H264" s="13">
        <v>39.119999999999997</v>
      </c>
      <c r="I264" s="13">
        <v>36.08</v>
      </c>
      <c r="J264" s="14">
        <v>60.032250426824739</v>
      </c>
      <c r="K264" s="14">
        <v>47.117796536248406</v>
      </c>
      <c r="L264" s="14">
        <v>72.063844399635883</v>
      </c>
      <c r="M264" s="14">
        <v>42.923200000000001</v>
      </c>
      <c r="N264" s="14">
        <f t="shared" si="108"/>
        <v>43.459116666666674</v>
      </c>
      <c r="O264" s="14">
        <f t="shared" si="109"/>
        <v>55.534272840677261</v>
      </c>
      <c r="P264" s="14">
        <f t="shared" si="125"/>
        <v>49.496694753671967</v>
      </c>
      <c r="Q264" s="14">
        <v>46.517686988347364</v>
      </c>
      <c r="R264" s="17">
        <f t="shared" si="110"/>
        <v>53.482313011652636</v>
      </c>
      <c r="S264" s="14">
        <f t="shared" si="126"/>
        <v>0.58134081710487373</v>
      </c>
      <c r="T264" s="13">
        <v>0</v>
      </c>
      <c r="U264" s="13">
        <f t="shared" si="127"/>
        <v>28.774448972090177</v>
      </c>
      <c r="V264" s="13">
        <f>IF($T264=1,$AU264,(VLOOKUP(U264,'Cortes naturales'!$A$35:$C$39,3,9)))</f>
        <v>4</v>
      </c>
      <c r="W264" s="13">
        <v>4</v>
      </c>
      <c r="X264" s="14" t="b">
        <f t="shared" si="111"/>
        <v>1</v>
      </c>
      <c r="Y264" s="17">
        <f>IF($T264=1,$AU264,VLOOKUP(U264,'Cortes naturales'!$A$45:$C$49,3,9))</f>
        <v>3</v>
      </c>
      <c r="Z264" s="14">
        <v>52.472239178989824</v>
      </c>
      <c r="AA264" s="14">
        <v>0.58473532327488698</v>
      </c>
      <c r="AB264" s="14">
        <v>30.682371739283806</v>
      </c>
      <c r="AC264" s="13">
        <v>3</v>
      </c>
      <c r="AD264" s="13">
        <f t="shared" si="112"/>
        <v>0</v>
      </c>
      <c r="AE264" s="14">
        <f t="shared" si="113"/>
        <v>-2.9755444253178567</v>
      </c>
      <c r="AF264" s="14">
        <f t="shared" si="114"/>
        <v>-3.3945061700132451E-3</v>
      </c>
      <c r="AG264" s="13">
        <f t="shared" si="115"/>
        <v>-1.9079227671936287</v>
      </c>
      <c r="AH264" s="13">
        <f>IF($T264=1,$AU264,VLOOKUP(U264,'Cortes naturales'!$A$25:$C$29,3,9))</f>
        <v>3</v>
      </c>
      <c r="AI264" s="13" t="b">
        <f t="shared" si="116"/>
        <v>1</v>
      </c>
      <c r="AJ264" s="13">
        <f t="shared" si="117"/>
        <v>0</v>
      </c>
      <c r="AK264" s="28">
        <v>0.9741882058902549</v>
      </c>
      <c r="AL264" s="28">
        <v>51.117836544824435</v>
      </c>
      <c r="AM264" s="28">
        <v>0.46880424005512927</v>
      </c>
      <c r="AN264" s="13">
        <v>3</v>
      </c>
      <c r="AO264" s="33">
        <f t="shared" si="118"/>
        <v>0</v>
      </c>
      <c r="AP264" s="13">
        <f t="shared" si="128"/>
        <v>46.880424005512928</v>
      </c>
      <c r="AQ264" s="13">
        <f>IFERROR(VLOOKUP(U264,'Cortes naturales'!$E$15:$G$19,3,9),U264)</f>
        <v>4</v>
      </c>
      <c r="AR264" s="28">
        <f t="shared" si="119"/>
        <v>-0.39284738878538117</v>
      </c>
      <c r="AS264" s="13" t="b">
        <f t="shared" si="120"/>
        <v>0</v>
      </c>
      <c r="AT264" s="13">
        <f t="shared" si="129"/>
        <v>0</v>
      </c>
      <c r="AU264" s="13">
        <v>2</v>
      </c>
      <c r="AV264">
        <f t="shared" si="121"/>
        <v>-1</v>
      </c>
      <c r="AW264" s="13">
        <v>0</v>
      </c>
      <c r="AX264" s="13">
        <v>0</v>
      </c>
      <c r="AY264" s="13">
        <v>0</v>
      </c>
      <c r="AZ264" s="13">
        <v>0</v>
      </c>
      <c r="BA264">
        <v>0</v>
      </c>
      <c r="BB264" t="s">
        <v>2839</v>
      </c>
      <c r="BC264">
        <v>6</v>
      </c>
      <c r="BD264" t="s">
        <v>2919</v>
      </c>
      <c r="BE264">
        <v>1</v>
      </c>
      <c r="BF264" s="232" t="s">
        <v>2846</v>
      </c>
      <c r="BG264" s="232" t="s">
        <v>2845</v>
      </c>
      <c r="BH264" s="253">
        <v>30.7</v>
      </c>
      <c r="BI264" s="253">
        <v>13.026132056652703</v>
      </c>
      <c r="BJ264" s="25">
        <v>36.549137338353255</v>
      </c>
      <c r="BK264" t="s">
        <v>376</v>
      </c>
      <c r="BL264">
        <v>7.4514482841510921</v>
      </c>
      <c r="BM264" t="s">
        <v>379</v>
      </c>
      <c r="BN264" s="322">
        <v>14053.832420000001</v>
      </c>
      <c r="BO264" s="322">
        <v>2074.3340739999999</v>
      </c>
      <c r="BP264" s="10">
        <v>6149</v>
      </c>
      <c r="BQ264" s="254">
        <f t="shared" si="122"/>
        <v>2.2855476370141488</v>
      </c>
      <c r="BR264" s="254">
        <f t="shared" si="123"/>
        <v>0.33734494617010896</v>
      </c>
      <c r="BS264" s="25">
        <v>68.170152438993981</v>
      </c>
      <c r="BT264" s="25">
        <v>79.696979812435629</v>
      </c>
      <c r="BU264" s="25">
        <v>48.476666666666667</v>
      </c>
      <c r="BV264" s="25">
        <v>74.225841519096775</v>
      </c>
      <c r="BW264" s="25">
        <v>49.855871319279203</v>
      </c>
      <c r="BX264" s="25">
        <v>67.642410109298254</v>
      </c>
      <c r="BY264" s="25">
        <v>50.862060487055167</v>
      </c>
      <c r="BZ264">
        <v>83</v>
      </c>
      <c r="CA264">
        <v>0</v>
      </c>
      <c r="CB264">
        <v>7</v>
      </c>
      <c r="CC264">
        <v>8185.9933360000005</v>
      </c>
      <c r="CD264" s="10">
        <v>3663.0048400000001</v>
      </c>
      <c r="CE264" s="255">
        <v>0.44747224797887375</v>
      </c>
      <c r="CF264" t="str">
        <f>IFERROR(VLOOKUP(CE264,'Rangos amb etnico'!$A$2:$C$6,3,9),"N.D.")</f>
        <v>31% - 50%</v>
      </c>
      <c r="CG264" s="256">
        <v>1.0657061909757237E-4</v>
      </c>
      <c r="CH264" s="232">
        <v>0</v>
      </c>
      <c r="CI264" s="311">
        <f t="shared" si="130"/>
        <v>0</v>
      </c>
      <c r="CJ264" s="232">
        <f>IFERROR(VLOOKUP(CI264,'Rangos amb etnico'!$A$2:$C$6,3,9),"N.D.")</f>
        <v>0</v>
      </c>
      <c r="CK264" s="311">
        <f t="shared" si="131"/>
        <v>0</v>
      </c>
      <c r="CL264" s="10">
        <v>0</v>
      </c>
      <c r="CM264" s="255">
        <f t="shared" si="132"/>
        <v>0</v>
      </c>
      <c r="CN264" s="232">
        <f>IFERROR(VLOOKUP(CM264,'Rangos amb etnico'!$A$2:$C$6,3,9),"N.D.")</f>
        <v>0</v>
      </c>
      <c r="CO264" s="311">
        <f t="shared" si="133"/>
        <v>0</v>
      </c>
      <c r="CP264">
        <v>0.9493977346460436</v>
      </c>
      <c r="CQ264" t="s">
        <v>2864</v>
      </c>
      <c r="CR264">
        <f t="shared" si="124"/>
        <v>1</v>
      </c>
      <c r="CS264" t="str">
        <f t="shared" si="134"/>
        <v>No es Candidato</v>
      </c>
      <c r="CT264">
        <v>0</v>
      </c>
      <c r="CU264">
        <v>0</v>
      </c>
      <c r="CV264" s="25">
        <v>52.147880554199219</v>
      </c>
      <c r="CW264" s="25">
        <v>37.829139709472663</v>
      </c>
      <c r="CX264" s="25">
        <v>53.869377136230469</v>
      </c>
      <c r="CY264" s="25">
        <v>50.314125061035163</v>
      </c>
      <c r="CZ264" s="25">
        <v>53.565261840820313</v>
      </c>
      <c r="DA264" s="25">
        <v>46.620075225830078</v>
      </c>
      <c r="DB264" s="25">
        <v>70.689308166503906</v>
      </c>
      <c r="DC264">
        <v>72</v>
      </c>
      <c r="DD264" s="253" t="s">
        <v>380</v>
      </c>
    </row>
    <row r="265" spans="1:108" hidden="1">
      <c r="A265" s="13">
        <v>15646</v>
      </c>
      <c r="B265" s="13" t="s">
        <v>990</v>
      </c>
      <c r="C265" s="13" t="s">
        <v>498</v>
      </c>
      <c r="D265" s="13" t="s">
        <v>499</v>
      </c>
      <c r="E265" s="13" t="s">
        <v>991</v>
      </c>
      <c r="F265" s="14">
        <v>65.828766666666695</v>
      </c>
      <c r="G265" s="13">
        <v>54.97</v>
      </c>
      <c r="H265" s="13">
        <v>76.64</v>
      </c>
      <c r="I265" s="13">
        <v>80.33</v>
      </c>
      <c r="J265" s="14">
        <v>65.237164034413155</v>
      </c>
      <c r="K265" s="14">
        <v>74.922606591823907</v>
      </c>
      <c r="L265" s="14">
        <v>77.853580468006854</v>
      </c>
      <c r="M265" s="14">
        <v>81.096100000000007</v>
      </c>
      <c r="N265" s="14">
        <f t="shared" si="108"/>
        <v>69.442191666666673</v>
      </c>
      <c r="O265" s="14">
        <f t="shared" si="109"/>
        <v>74.777362773560981</v>
      </c>
      <c r="P265" s="14">
        <f t="shared" si="125"/>
        <v>72.109777220113827</v>
      </c>
      <c r="Q265" s="14">
        <v>47.943429937272228</v>
      </c>
      <c r="R265" s="17">
        <f t="shared" si="110"/>
        <v>52.056570062727772</v>
      </c>
      <c r="S265" s="14">
        <f t="shared" si="126"/>
        <v>0.56850913056454999</v>
      </c>
      <c r="T265" s="13">
        <v>0</v>
      </c>
      <c r="U265" s="13">
        <f t="shared" si="127"/>
        <v>40.995066752610306</v>
      </c>
      <c r="V265" s="13">
        <f>IF($T265=1,$AU265,(VLOOKUP(U265,'Cortes naturales'!$A$35:$C$39,3,9)))</f>
        <v>2</v>
      </c>
      <c r="W265" s="13">
        <v>2</v>
      </c>
      <c r="X265" s="14" t="b">
        <f t="shared" si="111"/>
        <v>1</v>
      </c>
      <c r="Y265" s="17">
        <f>IF($T265=1,$AU265,VLOOKUP(U265,'Cortes naturales'!$A$45:$C$49,3,9))</f>
        <v>2</v>
      </c>
      <c r="Z265" s="14">
        <v>67.607437327280849</v>
      </c>
      <c r="AA265" s="14">
        <v>0.58125285832152962</v>
      </c>
      <c r="AB265" s="14">
        <v>39.29701619027567</v>
      </c>
      <c r="AC265" s="13">
        <v>2</v>
      </c>
      <c r="AD265" s="13">
        <f t="shared" si="112"/>
        <v>0</v>
      </c>
      <c r="AE265" s="14">
        <f t="shared" si="113"/>
        <v>4.5023398928329783</v>
      </c>
      <c r="AF265" s="14">
        <f t="shared" si="114"/>
        <v>-1.2743727756979628E-2</v>
      </c>
      <c r="AG265" s="13">
        <f t="shared" si="115"/>
        <v>1.698050562334636</v>
      </c>
      <c r="AH265" s="13">
        <f>IF($T265=1,$AU265,VLOOKUP(U265,'Cortes naturales'!$A$25:$C$29,3,9))</f>
        <v>2</v>
      </c>
      <c r="AI265" s="13" t="b">
        <f t="shared" si="116"/>
        <v>1</v>
      </c>
      <c r="AJ265" s="13">
        <f t="shared" si="117"/>
        <v>0</v>
      </c>
      <c r="AK265" s="28">
        <v>0.9741882058902549</v>
      </c>
      <c r="AL265" s="28">
        <v>65.862368074701578</v>
      </c>
      <c r="AM265" s="28">
        <v>0.65324278729266649</v>
      </c>
      <c r="AN265" s="13">
        <v>1</v>
      </c>
      <c r="AO265" s="33">
        <f t="shared" si="118"/>
        <v>-1</v>
      </c>
      <c r="AP265" s="13">
        <f t="shared" si="128"/>
        <v>65.324278729266652</v>
      </c>
      <c r="AQ265" s="13">
        <f>IFERROR(VLOOKUP(U265,'Cortes naturales'!$E$15:$G$19,3,9),U265)</f>
        <v>3</v>
      </c>
      <c r="AR265" s="28">
        <f t="shared" si="119"/>
        <v>-0.40567907532570491</v>
      </c>
      <c r="AS265" s="13" t="b">
        <f t="shared" si="120"/>
        <v>0</v>
      </c>
      <c r="AT265" s="13" t="str">
        <f t="shared" si="129"/>
        <v>Cambio en corte</v>
      </c>
      <c r="AU265" s="13">
        <v>1</v>
      </c>
      <c r="AV265">
        <f t="shared" si="121"/>
        <v>-1</v>
      </c>
      <c r="AW265" s="13">
        <v>0</v>
      </c>
      <c r="AX265" s="13">
        <v>0</v>
      </c>
      <c r="AY265" s="13">
        <v>0</v>
      </c>
      <c r="AZ265" s="13">
        <v>0</v>
      </c>
      <c r="BA265">
        <v>0</v>
      </c>
      <c r="BB265" t="s">
        <v>2839</v>
      </c>
      <c r="BC265">
        <v>6</v>
      </c>
      <c r="BD265" t="s">
        <v>2919</v>
      </c>
      <c r="BE265">
        <v>0</v>
      </c>
      <c r="BF265" s="232" t="s">
        <v>2846</v>
      </c>
      <c r="BG265" s="232" t="s">
        <v>2846</v>
      </c>
      <c r="BH265" s="253">
        <v>21.5</v>
      </c>
      <c r="BI265" s="253">
        <v>9.2822419216471257</v>
      </c>
      <c r="BJ265" s="25">
        <v>18.954529654741389</v>
      </c>
      <c r="BK265" t="s">
        <v>379</v>
      </c>
      <c r="BL265">
        <v>0.86637828565238351</v>
      </c>
      <c r="BM265" t="s">
        <v>383</v>
      </c>
      <c r="BN265" s="322">
        <v>48330.349462999999</v>
      </c>
      <c r="BO265" s="322">
        <v>14126.799644000001</v>
      </c>
      <c r="BP265" s="10">
        <v>19327</v>
      </c>
      <c r="BQ265" s="254">
        <f t="shared" si="122"/>
        <v>2.5006648451906659</v>
      </c>
      <c r="BR265" s="254">
        <f t="shared" si="123"/>
        <v>0.73093597785481457</v>
      </c>
      <c r="BS265" s="25">
        <v>84.367065757966472</v>
      </c>
      <c r="BT265" s="25">
        <v>100</v>
      </c>
      <c r="BU265" s="25">
        <v>57.261666666666663</v>
      </c>
      <c r="BV265" s="25">
        <v>83.543041239372599</v>
      </c>
      <c r="BW265" s="25">
        <v>66.4774142513632</v>
      </c>
      <c r="BX265" s="25">
        <v>81.292943416001435</v>
      </c>
      <c r="BY265" s="25">
        <v>69.11003725813589</v>
      </c>
      <c r="BZ265">
        <v>79</v>
      </c>
      <c r="CA265">
        <v>0</v>
      </c>
      <c r="CB265">
        <v>7</v>
      </c>
      <c r="CC265">
        <v>16731.627647000001</v>
      </c>
      <c r="CD265" s="10">
        <v>8552.2872129999996</v>
      </c>
      <c r="CE265" s="255">
        <v>0.51114496410236776</v>
      </c>
      <c r="CF265" t="str">
        <f>IFERROR(VLOOKUP(CE265,'Rangos amb etnico'!$A$2:$C$6,3,9),"N.D.")</f>
        <v>31% - 50%</v>
      </c>
      <c r="CG265" s="256">
        <v>2.4881827428588978E-4</v>
      </c>
      <c r="CH265" s="232">
        <v>0</v>
      </c>
      <c r="CI265" s="311">
        <f t="shared" si="130"/>
        <v>0</v>
      </c>
      <c r="CJ265" s="232">
        <f>IFERROR(VLOOKUP(CI265,'Rangos amb etnico'!$A$2:$C$6,3,9),"N.D.")</f>
        <v>0</v>
      </c>
      <c r="CK265" s="311">
        <f t="shared" si="131"/>
        <v>0</v>
      </c>
      <c r="CL265" s="10">
        <v>4808.4977531900004</v>
      </c>
      <c r="CM265" s="255">
        <f t="shared" si="132"/>
        <v>0.28738971812178532</v>
      </c>
      <c r="CN265" s="232" t="str">
        <f>IFERROR(VLOOKUP(CM265,'Rangos amb etnico'!$A$2:$C$6,3,9),"N.D.")</f>
        <v>0,1% - 30%</v>
      </c>
      <c r="CO265" s="311">
        <f t="shared" si="133"/>
        <v>3.0154423415411856E-3</v>
      </c>
      <c r="CP265">
        <v>0.91559405762915724</v>
      </c>
      <c r="CQ265" t="s">
        <v>2864</v>
      </c>
      <c r="CR265">
        <f t="shared" si="124"/>
        <v>4</v>
      </c>
      <c r="CS265" t="str">
        <f t="shared" si="134"/>
        <v>Candidato</v>
      </c>
      <c r="CT265">
        <v>0</v>
      </c>
      <c r="CU265">
        <v>0</v>
      </c>
      <c r="CV265" s="25">
        <v>52.412067413330078</v>
      </c>
      <c r="CW265" s="25">
        <v>41.998573303222663</v>
      </c>
      <c r="CX265" s="25">
        <v>43.964633941650391</v>
      </c>
      <c r="CY265" s="25">
        <v>68.543907165527344</v>
      </c>
      <c r="CZ265" s="25">
        <v>62.046745300292969</v>
      </c>
      <c r="DA265" s="25">
        <v>38.848190307617188</v>
      </c>
      <c r="DB265" s="25">
        <v>59.070365905761719</v>
      </c>
      <c r="DC265">
        <v>105</v>
      </c>
      <c r="DD265" s="253" t="s">
        <v>380</v>
      </c>
    </row>
    <row r="266" spans="1:108" hidden="1">
      <c r="A266" s="13">
        <v>70702</v>
      </c>
      <c r="B266" s="13" t="s">
        <v>992</v>
      </c>
      <c r="C266" s="13" t="s">
        <v>494</v>
      </c>
      <c r="D266" s="13" t="s">
        <v>495</v>
      </c>
      <c r="E266" s="13" t="s">
        <v>993</v>
      </c>
      <c r="F266" s="14">
        <v>55.595366666666699</v>
      </c>
      <c r="G266" s="13">
        <v>28.44</v>
      </c>
      <c r="H266" s="13">
        <v>21.04</v>
      </c>
      <c r="I266" s="13">
        <v>21.02</v>
      </c>
      <c r="J266" s="14">
        <v>47.722987820200018</v>
      </c>
      <c r="K266" s="14">
        <v>39.884569870647155</v>
      </c>
      <c r="L266" s="14">
        <v>50.935414735308768</v>
      </c>
      <c r="M266" s="14">
        <v>51.682000000000002</v>
      </c>
      <c r="N266" s="14">
        <f t="shared" si="108"/>
        <v>31.523841666666673</v>
      </c>
      <c r="O266" s="14">
        <f t="shared" si="109"/>
        <v>47.556243106538986</v>
      </c>
      <c r="P266" s="14">
        <f t="shared" si="125"/>
        <v>39.540042386602828</v>
      </c>
      <c r="Q266" s="14">
        <v>47.385276885736964</v>
      </c>
      <c r="R266" s="17">
        <f t="shared" si="110"/>
        <v>52.614723114263036</v>
      </c>
      <c r="S266" s="14">
        <f t="shared" si="126"/>
        <v>0.57353250802836742</v>
      </c>
      <c r="T266" s="13">
        <v>0</v>
      </c>
      <c r="U266" s="13">
        <f t="shared" si="127"/>
        <v>22.677499677536275</v>
      </c>
      <c r="V266" s="13">
        <f>IF($T266=1,$AU266,(VLOOKUP(U266,'Cortes naturales'!$A$35:$C$39,3,9)))</f>
        <v>4</v>
      </c>
      <c r="W266" s="13">
        <v>4</v>
      </c>
      <c r="X266" s="14" t="b">
        <f t="shared" si="111"/>
        <v>1</v>
      </c>
      <c r="Y266" s="17">
        <f>IF($T266=1,$AU266,VLOOKUP(U266,'Cortes naturales'!$A$45:$C$49,3,9))</f>
        <v>4</v>
      </c>
      <c r="Z266" s="14">
        <v>44.196154489342241</v>
      </c>
      <c r="AA266" s="14">
        <v>0.58212045507910326</v>
      </c>
      <c r="AB266" s="14">
        <v>25.727485564082258</v>
      </c>
      <c r="AC266" s="13">
        <v>4</v>
      </c>
      <c r="AD266" s="13">
        <f t="shared" si="112"/>
        <v>0</v>
      </c>
      <c r="AE266" s="14">
        <f t="shared" si="113"/>
        <v>-4.6561121027394137</v>
      </c>
      <c r="AF266" s="14">
        <f t="shared" si="114"/>
        <v>-8.5879470507358446E-3</v>
      </c>
      <c r="AG266" s="13">
        <f t="shared" si="115"/>
        <v>-3.0499858865459828</v>
      </c>
      <c r="AH266" s="13">
        <f>IF($T266=1,$AU266,VLOOKUP(U266,'Cortes naturales'!$A$25:$C$29,3,9))</f>
        <v>4</v>
      </c>
      <c r="AI266" s="13" t="b">
        <f t="shared" si="116"/>
        <v>1</v>
      </c>
      <c r="AJ266" s="13">
        <f t="shared" si="117"/>
        <v>0</v>
      </c>
      <c r="AK266" s="28">
        <v>0.9741882058902549</v>
      </c>
      <c r="AL266" s="28">
        <v>43.055372449220854</v>
      </c>
      <c r="AM266" s="28">
        <v>0.36795131285735899</v>
      </c>
      <c r="AN266" s="13">
        <v>3</v>
      </c>
      <c r="AO266" s="33">
        <f t="shared" si="118"/>
        <v>-1</v>
      </c>
      <c r="AP266" s="13">
        <f t="shared" si="128"/>
        <v>36.795131285735899</v>
      </c>
      <c r="AQ266" s="13">
        <f>IFERROR(VLOOKUP(U266,'Cortes naturales'!$E$15:$G$19,3,9),U266)</f>
        <v>4</v>
      </c>
      <c r="AR266" s="28">
        <f t="shared" si="119"/>
        <v>-0.40065569786188748</v>
      </c>
      <c r="AS266" s="13" t="b">
        <f t="shared" si="120"/>
        <v>1</v>
      </c>
      <c r="AT266" s="13" t="str">
        <f t="shared" si="129"/>
        <v>Efecto ponderador</v>
      </c>
      <c r="AU266" s="13">
        <v>3</v>
      </c>
      <c r="AV266">
        <f t="shared" si="121"/>
        <v>-1</v>
      </c>
      <c r="AW266" s="13">
        <v>0</v>
      </c>
      <c r="AX266" s="13">
        <v>0</v>
      </c>
      <c r="AY266" s="13">
        <v>0</v>
      </c>
      <c r="AZ266" s="13">
        <v>0</v>
      </c>
      <c r="BA266">
        <v>0</v>
      </c>
      <c r="BB266" t="s">
        <v>2839</v>
      </c>
      <c r="BC266">
        <v>6</v>
      </c>
      <c r="BD266" t="s">
        <v>2919</v>
      </c>
      <c r="BE266">
        <v>0</v>
      </c>
      <c r="BF266" s="232" t="s">
        <v>2846</v>
      </c>
      <c r="BG266" s="232" t="s">
        <v>2846</v>
      </c>
      <c r="BH266" s="253">
        <v>44.8</v>
      </c>
      <c r="BI266" s="253">
        <v>25.396352809825085</v>
      </c>
      <c r="BJ266" s="25">
        <v>44.31818181818182</v>
      </c>
      <c r="BK266" t="s">
        <v>376</v>
      </c>
      <c r="BL266">
        <v>2.7514530753867268</v>
      </c>
      <c r="BM266" t="s">
        <v>383</v>
      </c>
      <c r="BN266" s="322">
        <v>37548.380066999998</v>
      </c>
      <c r="BO266" s="322">
        <v>2500.5292559999998</v>
      </c>
      <c r="BP266" s="10">
        <v>14694</v>
      </c>
      <c r="BQ266" s="254">
        <f t="shared" si="122"/>
        <v>2.5553545710494077</v>
      </c>
      <c r="BR266" s="254">
        <f t="shared" si="123"/>
        <v>0.17017348958758677</v>
      </c>
      <c r="BS266" s="25">
        <v>64.133681524711207</v>
      </c>
      <c r="BT266" s="25">
        <v>93.738242295267909</v>
      </c>
      <c r="BU266" s="25">
        <v>53.718895455185041</v>
      </c>
      <c r="BV266" s="25">
        <v>94.674719992069257</v>
      </c>
      <c r="BW266" s="25">
        <v>28.304769059753781</v>
      </c>
      <c r="BX266" s="25">
        <v>76.566384816808352</v>
      </c>
      <c r="BY266" s="25">
        <v>28.715250499469299</v>
      </c>
      <c r="BZ266">
        <v>43</v>
      </c>
      <c r="CA266">
        <v>0</v>
      </c>
      <c r="CB266">
        <v>7</v>
      </c>
      <c r="CC266">
        <v>16802.617426000001</v>
      </c>
      <c r="CD266" s="10">
        <v>59.325251999999999</v>
      </c>
      <c r="CE266" s="255">
        <v>3.5307149175581067E-3</v>
      </c>
      <c r="CF266" t="str">
        <f>IFERROR(VLOOKUP(CE266,'Rangos amb etnico'!$A$2:$C$6,3,9),"N.D.")</f>
        <v>0,1% - 30%</v>
      </c>
      <c r="CG266" s="256">
        <v>1.7259952170195586E-6</v>
      </c>
      <c r="CH266" s="232">
        <v>0</v>
      </c>
      <c r="CI266" s="311">
        <f t="shared" si="130"/>
        <v>0</v>
      </c>
      <c r="CJ266" s="232">
        <f>IFERROR(VLOOKUP(CI266,'Rangos amb etnico'!$A$2:$C$6,3,9),"N.D.")</f>
        <v>0</v>
      </c>
      <c r="CK266" s="311">
        <f t="shared" si="131"/>
        <v>0</v>
      </c>
      <c r="CL266" s="10">
        <v>0</v>
      </c>
      <c r="CM266" s="255">
        <f t="shared" si="132"/>
        <v>0</v>
      </c>
      <c r="CN266" s="232">
        <f>IFERROR(VLOOKUP(CM266,'Rangos amb etnico'!$A$2:$C$6,3,9),"N.D.")</f>
        <v>0</v>
      </c>
      <c r="CO266" s="311">
        <f t="shared" si="133"/>
        <v>0</v>
      </c>
      <c r="CP266">
        <v>0.90108370386175496</v>
      </c>
      <c r="CQ266" t="s">
        <v>2864</v>
      </c>
      <c r="CR266">
        <f t="shared" si="124"/>
        <v>1</v>
      </c>
      <c r="CS266" t="str">
        <f t="shared" si="134"/>
        <v>No es Candidato</v>
      </c>
      <c r="CT266">
        <v>0</v>
      </c>
      <c r="CU266">
        <v>0</v>
      </c>
      <c r="CV266" s="25">
        <v>49.017597198486328</v>
      </c>
      <c r="CW266" s="25">
        <v>28.740482330322269</v>
      </c>
      <c r="CX266" s="25">
        <v>53.081382751464837</v>
      </c>
      <c r="CY266" s="25">
        <v>56.830913543701172</v>
      </c>
      <c r="CZ266" s="25">
        <v>34.475200653076172</v>
      </c>
      <c r="DA266" s="25">
        <v>61.362758636474609</v>
      </c>
      <c r="DB266" s="25">
        <v>59.614837646484382</v>
      </c>
      <c r="DC266">
        <v>686</v>
      </c>
      <c r="DD266" s="253" t="s">
        <v>380</v>
      </c>
    </row>
    <row r="267" spans="1:108" hidden="1">
      <c r="A267" s="13">
        <v>13442</v>
      </c>
      <c r="B267" s="13" t="s">
        <v>994</v>
      </c>
      <c r="C267" s="13" t="s">
        <v>480</v>
      </c>
      <c r="D267" s="13" t="s">
        <v>481</v>
      </c>
      <c r="E267" s="13" t="s">
        <v>995</v>
      </c>
      <c r="F267" s="14">
        <v>55.512900000000002</v>
      </c>
      <c r="G267" s="13">
        <v>39.74</v>
      </c>
      <c r="H267" s="13">
        <v>49.6</v>
      </c>
      <c r="I267" s="13">
        <v>39.33</v>
      </c>
      <c r="J267" s="14">
        <v>59.871836650075537</v>
      </c>
      <c r="K267" s="14">
        <v>43.984768894361437</v>
      </c>
      <c r="L267" s="14">
        <v>43.983024534382189</v>
      </c>
      <c r="M267" s="14">
        <v>57.729399999999998</v>
      </c>
      <c r="N267" s="14">
        <f t="shared" si="108"/>
        <v>46.045725000000004</v>
      </c>
      <c r="O267" s="14">
        <f t="shared" si="109"/>
        <v>51.392257519704792</v>
      </c>
      <c r="P267" s="14">
        <f t="shared" si="125"/>
        <v>48.718991259852402</v>
      </c>
      <c r="Q267" s="14">
        <v>47.84789496355895</v>
      </c>
      <c r="R267" s="17">
        <f t="shared" si="110"/>
        <v>52.15210503644105</v>
      </c>
      <c r="S267" s="14">
        <f t="shared" si="126"/>
        <v>0.56936894532796956</v>
      </c>
      <c r="T267" s="13">
        <v>0</v>
      </c>
      <c r="U267" s="13">
        <f t="shared" si="127"/>
        <v>27.73908067106473</v>
      </c>
      <c r="V267" s="13">
        <f>IF($T267=1,$AU267,(VLOOKUP(U267,'Cortes naturales'!$A$35:$C$39,3,9)))</f>
        <v>4</v>
      </c>
      <c r="W267" s="13">
        <v>4</v>
      </c>
      <c r="X267" s="14" t="b">
        <f t="shared" si="111"/>
        <v>1</v>
      </c>
      <c r="Y267" s="17">
        <f>IF($T267=1,$AU267,VLOOKUP(U267,'Cortes naturales'!$A$45:$C$49,3,9))</f>
        <v>4</v>
      </c>
      <c r="Z267" s="14">
        <v>50.358310400434391</v>
      </c>
      <c r="AA267" s="14">
        <v>0.58220446167761986</v>
      </c>
      <c r="AB267" s="14">
        <v>29.31883299767939</v>
      </c>
      <c r="AC267" s="13">
        <v>3</v>
      </c>
      <c r="AD267" s="13">
        <f t="shared" si="112"/>
        <v>-1</v>
      </c>
      <c r="AE267" s="14">
        <f t="shared" si="113"/>
        <v>-1.6393191405819891</v>
      </c>
      <c r="AF267" s="14">
        <f t="shared" si="114"/>
        <v>-1.28355163496503E-2</v>
      </c>
      <c r="AG267" s="13">
        <f t="shared" si="115"/>
        <v>-1.5797523266146598</v>
      </c>
      <c r="AH267" s="13">
        <f>IF($T267=1,$AU267,VLOOKUP(U267,'Cortes naturales'!$A$25:$C$29,3,9))</f>
        <v>4</v>
      </c>
      <c r="AI267" s="13" t="b">
        <f t="shared" si="116"/>
        <v>1</v>
      </c>
      <c r="AJ267" s="13" t="str">
        <f t="shared" si="117"/>
        <v>Efecto ponderador</v>
      </c>
      <c r="AK267" s="28">
        <v>0.9741882058902549</v>
      </c>
      <c r="AL267" s="28">
        <v>49.058472060663746</v>
      </c>
      <c r="AM267" s="28">
        <v>0.4430437611330606</v>
      </c>
      <c r="AN267" s="13">
        <v>3</v>
      </c>
      <c r="AO267" s="33">
        <f t="shared" si="118"/>
        <v>-1</v>
      </c>
      <c r="AP267" s="13">
        <f t="shared" si="128"/>
        <v>44.304376113306063</v>
      </c>
      <c r="AQ267" s="13">
        <f>IFERROR(VLOOKUP(U267,'Cortes naturales'!$E$15:$G$19,3,9),U267)</f>
        <v>4</v>
      </c>
      <c r="AR267" s="28">
        <f t="shared" si="119"/>
        <v>-0.40481926056228534</v>
      </c>
      <c r="AS267" s="13" t="b">
        <f t="shared" si="120"/>
        <v>1</v>
      </c>
      <c r="AT267" s="13" t="str">
        <f t="shared" si="129"/>
        <v>Efecto ponderador</v>
      </c>
      <c r="AU267" s="13">
        <v>3</v>
      </c>
      <c r="AV267">
        <f t="shared" si="121"/>
        <v>-1</v>
      </c>
      <c r="AW267" s="13">
        <v>0</v>
      </c>
      <c r="AX267" s="13">
        <v>0</v>
      </c>
      <c r="AY267" s="13">
        <v>0</v>
      </c>
      <c r="AZ267" s="13">
        <v>1</v>
      </c>
      <c r="BA267">
        <v>1</v>
      </c>
      <c r="BB267" t="s">
        <v>2839</v>
      </c>
      <c r="BC267">
        <v>6</v>
      </c>
      <c r="BD267" t="s">
        <v>2919</v>
      </c>
      <c r="BE267">
        <v>0</v>
      </c>
      <c r="BF267" s="232" t="s">
        <v>2846</v>
      </c>
      <c r="BG267" s="232" t="s">
        <v>2846</v>
      </c>
      <c r="BH267" s="253">
        <v>63.2</v>
      </c>
      <c r="BI267" s="253">
        <v>46.598707001169437</v>
      </c>
      <c r="BJ267" s="25">
        <v>0.66844018311491848</v>
      </c>
      <c r="BK267" t="s">
        <v>381</v>
      </c>
      <c r="BL267">
        <v>4.4272204677370466</v>
      </c>
      <c r="BM267" t="s">
        <v>383</v>
      </c>
      <c r="BN267" s="322">
        <v>93426.356520000001</v>
      </c>
      <c r="BO267" s="322">
        <v>8109.8529699999999</v>
      </c>
      <c r="BP267" s="10">
        <v>48970</v>
      </c>
      <c r="BQ267" s="254">
        <f t="shared" si="122"/>
        <v>1.9078283953440882</v>
      </c>
      <c r="BR267" s="254">
        <f t="shared" si="123"/>
        <v>0.1656085964876455</v>
      </c>
      <c r="BS267" s="25">
        <v>60.83213822658869</v>
      </c>
      <c r="BT267" s="25">
        <v>97.536946666666665</v>
      </c>
      <c r="BU267" s="25">
        <v>19.8276119402985</v>
      </c>
      <c r="BV267" s="25">
        <v>94.767047905854042</v>
      </c>
      <c r="BW267" s="25">
        <v>30.03926054896564</v>
      </c>
      <c r="BX267" s="25">
        <v>68.240936184851975</v>
      </c>
      <c r="BY267" s="25">
        <v>29.910056934294289</v>
      </c>
      <c r="BZ267">
        <v>12</v>
      </c>
      <c r="CA267">
        <v>0</v>
      </c>
      <c r="CB267">
        <v>7</v>
      </c>
      <c r="CC267">
        <v>56101.990099000002</v>
      </c>
      <c r="CD267" s="10">
        <v>1794.328162</v>
      </c>
      <c r="CE267" s="255">
        <v>3.1983324634895317E-2</v>
      </c>
      <c r="CF267" t="str">
        <f>IFERROR(VLOOKUP(CE267,'Rangos amb etnico'!$A$2:$C$6,3,9),"N.D.")</f>
        <v>0,1% - 30%</v>
      </c>
      <c r="CG267" s="256">
        <v>5.2203770249058459E-5</v>
      </c>
      <c r="CH267" s="232">
        <v>0</v>
      </c>
      <c r="CI267" s="311">
        <f t="shared" si="130"/>
        <v>0</v>
      </c>
      <c r="CJ267" s="232">
        <f>IFERROR(VLOOKUP(CI267,'Rangos amb etnico'!$A$2:$C$6,3,9),"N.D.")</f>
        <v>0</v>
      </c>
      <c r="CK267" s="311">
        <f t="shared" si="131"/>
        <v>0</v>
      </c>
      <c r="CL267" s="10">
        <v>0</v>
      </c>
      <c r="CM267" s="255">
        <f t="shared" si="132"/>
        <v>0</v>
      </c>
      <c r="CN267" s="232">
        <f>IFERROR(VLOOKUP(CM267,'Rangos amb etnico'!$A$2:$C$6,3,9),"N.D.")</f>
        <v>0</v>
      </c>
      <c r="CO267" s="311">
        <f t="shared" si="133"/>
        <v>0</v>
      </c>
      <c r="CP267">
        <v>0.89335543459142519</v>
      </c>
      <c r="CQ267" t="s">
        <v>2864</v>
      </c>
      <c r="CR267">
        <f t="shared" si="124"/>
        <v>1</v>
      </c>
      <c r="CS267" t="str">
        <f t="shared" si="134"/>
        <v>No es Candidato</v>
      </c>
      <c r="CT267">
        <v>0</v>
      </c>
      <c r="CU267">
        <v>0</v>
      </c>
      <c r="CV267" s="25">
        <v>48.972587585449219</v>
      </c>
      <c r="CW267" s="25">
        <v>34.549514770507813</v>
      </c>
      <c r="CX267" s="25">
        <v>54.565055847167969</v>
      </c>
      <c r="CY267" s="25">
        <v>64.222457885742188</v>
      </c>
      <c r="CZ267" s="25">
        <v>21.601633071899411</v>
      </c>
      <c r="DA267" s="25">
        <v>54.227973937988281</v>
      </c>
      <c r="DB267" s="25">
        <v>64.668891906738281</v>
      </c>
      <c r="DC267">
        <v>43603</v>
      </c>
      <c r="DD267" s="253" t="s">
        <v>380</v>
      </c>
    </row>
    <row r="268" spans="1:108" hidden="1">
      <c r="A268" s="13">
        <v>52083</v>
      </c>
      <c r="B268" s="13" t="s">
        <v>996</v>
      </c>
      <c r="C268" s="13" t="s">
        <v>672</v>
      </c>
      <c r="D268" s="13" t="s">
        <v>673</v>
      </c>
      <c r="E268" s="13" t="s">
        <v>997</v>
      </c>
      <c r="F268" s="14">
        <v>50.876033333333297</v>
      </c>
      <c r="G268" s="13">
        <v>47.02</v>
      </c>
      <c r="H268" s="13">
        <v>37.89</v>
      </c>
      <c r="I268" s="13">
        <v>54.49</v>
      </c>
      <c r="J268" s="14">
        <v>59.15437231227957</v>
      </c>
      <c r="K268" s="14">
        <v>48.307195313082303</v>
      </c>
      <c r="L268" s="14">
        <v>56.282532975253226</v>
      </c>
      <c r="M268" s="14">
        <v>56.545499999999997</v>
      </c>
      <c r="N268" s="14">
        <f t="shared" si="108"/>
        <v>47.569008333333329</v>
      </c>
      <c r="O268" s="14">
        <f t="shared" si="109"/>
        <v>55.072400150153776</v>
      </c>
      <c r="P268" s="14">
        <f t="shared" si="125"/>
        <v>51.320704241743556</v>
      </c>
      <c r="Q268" s="14">
        <v>48.091751123711148</v>
      </c>
      <c r="R268" s="17">
        <f t="shared" si="110"/>
        <v>51.908248876288852</v>
      </c>
      <c r="S268" s="14">
        <f t="shared" si="126"/>
        <v>0.56717423988659965</v>
      </c>
      <c r="T268" s="13">
        <v>0</v>
      </c>
      <c r="U268" s="13">
        <f t="shared" si="127"/>
        <v>29.107781418755891</v>
      </c>
      <c r="V268" s="13">
        <f>IF($T268=1,$AU268,(VLOOKUP(U268,'Cortes naturales'!$A$35:$C$39,3,9)))</f>
        <v>4</v>
      </c>
      <c r="W268" s="13">
        <v>4</v>
      </c>
      <c r="X268" s="14" t="b">
        <f t="shared" si="111"/>
        <v>1</v>
      </c>
      <c r="Y268" s="17">
        <f>IF($T268=1,$AU268,VLOOKUP(U268,'Cortes naturales'!$A$45:$C$49,3,9))</f>
        <v>3</v>
      </c>
      <c r="Z268" s="14">
        <v>50.902538114365058</v>
      </c>
      <c r="AA268" s="14">
        <v>0.58181333790833323</v>
      </c>
      <c r="AB268" s="14">
        <v>29.615775608324888</v>
      </c>
      <c r="AC268" s="13">
        <v>3</v>
      </c>
      <c r="AD268" s="13">
        <f t="shared" si="112"/>
        <v>0</v>
      </c>
      <c r="AE268" s="14">
        <f t="shared" si="113"/>
        <v>0.41816612737849823</v>
      </c>
      <c r="AF268" s="14">
        <f t="shared" si="114"/>
        <v>-1.4639098021733576E-2</v>
      </c>
      <c r="AG268" s="13">
        <f t="shared" si="115"/>
        <v>-0.507994189568997</v>
      </c>
      <c r="AH268" s="13">
        <f>IF($T268=1,$AU268,VLOOKUP(U268,'Cortes naturales'!$A$25:$C$29,3,9))</f>
        <v>3</v>
      </c>
      <c r="AI268" s="13" t="b">
        <f t="shared" si="116"/>
        <v>1</v>
      </c>
      <c r="AJ268" s="13">
        <f t="shared" si="117"/>
        <v>0</v>
      </c>
      <c r="AK268" s="28">
        <v>0.9741882058902549</v>
      </c>
      <c r="AL268" s="28">
        <v>49.588652280893612</v>
      </c>
      <c r="AM268" s="28">
        <v>0.4496757568255062</v>
      </c>
      <c r="AN268" s="13">
        <v>3</v>
      </c>
      <c r="AO268" s="33">
        <f t="shared" si="118"/>
        <v>0</v>
      </c>
      <c r="AP268" s="13">
        <f t="shared" si="128"/>
        <v>44.967575682550617</v>
      </c>
      <c r="AQ268" s="13">
        <f>IFERROR(VLOOKUP(U268,'Cortes naturales'!$E$15:$G$19,3,9),U268)</f>
        <v>4</v>
      </c>
      <c r="AR268" s="28">
        <f t="shared" si="119"/>
        <v>-0.40701396600365525</v>
      </c>
      <c r="AS268" s="13" t="b">
        <f t="shared" si="120"/>
        <v>0</v>
      </c>
      <c r="AT268" s="13">
        <f t="shared" si="129"/>
        <v>0</v>
      </c>
      <c r="AU268" s="13">
        <v>3</v>
      </c>
      <c r="AV268">
        <f t="shared" si="121"/>
        <v>0</v>
      </c>
      <c r="AW268" s="13">
        <v>0</v>
      </c>
      <c r="AX268" s="13">
        <v>0</v>
      </c>
      <c r="AY268" s="13">
        <v>0</v>
      </c>
      <c r="AZ268" s="13">
        <v>0</v>
      </c>
      <c r="BA268">
        <v>0</v>
      </c>
      <c r="BB268" t="s">
        <v>2839</v>
      </c>
      <c r="BC268">
        <v>6</v>
      </c>
      <c r="BD268" t="s">
        <v>2919</v>
      </c>
      <c r="BE268">
        <v>0</v>
      </c>
      <c r="BF268" s="232" t="s">
        <v>2846</v>
      </c>
      <c r="BG268" s="232" t="s">
        <v>2845</v>
      </c>
      <c r="BH268" s="253">
        <v>34.1</v>
      </c>
      <c r="BI268" s="253">
        <v>13.370239892635464</v>
      </c>
      <c r="BJ268" s="25">
        <v>55.088816200354962</v>
      </c>
      <c r="BK268" t="s">
        <v>376</v>
      </c>
      <c r="BL268">
        <v>1.6175087830242174</v>
      </c>
      <c r="BM268" t="s">
        <v>383</v>
      </c>
      <c r="BN268" s="322">
        <v>24648.446348000001</v>
      </c>
      <c r="BO268" s="322">
        <v>1107.7143980000001</v>
      </c>
      <c r="BP268" s="10">
        <v>6288</v>
      </c>
      <c r="BQ268" s="254">
        <f t="shared" si="122"/>
        <v>3.9199183123409673</v>
      </c>
      <c r="BR268" s="254">
        <f t="shared" si="123"/>
        <v>0.17616323123409672</v>
      </c>
      <c r="BS268" s="25">
        <v>65.192564106757303</v>
      </c>
      <c r="BT268" s="25">
        <v>86.494971738761663</v>
      </c>
      <c r="BU268" s="25">
        <v>49.103333333333332</v>
      </c>
      <c r="BV268" s="25">
        <v>92.77015191554392</v>
      </c>
      <c r="BW268" s="25">
        <v>30.155741583242001</v>
      </c>
      <c r="BX268" s="25">
        <v>73.390255273599053</v>
      </c>
      <c r="BY268" s="25">
        <v>30.06611868654403</v>
      </c>
      <c r="BZ268">
        <v>69</v>
      </c>
      <c r="CA268">
        <v>0</v>
      </c>
      <c r="CB268">
        <v>7</v>
      </c>
      <c r="CC268">
        <v>4187.5394310000001</v>
      </c>
      <c r="CD268" s="10">
        <v>1892.4467179999999</v>
      </c>
      <c r="CE268" s="255">
        <v>0.45192331897590671</v>
      </c>
      <c r="CF268" t="str">
        <f>IFERROR(VLOOKUP(CE268,'Rangos amb etnico'!$A$2:$C$6,3,9),"N.D.")</f>
        <v>31% - 50%</v>
      </c>
      <c r="CG268" s="256">
        <v>5.505840891720715E-5</v>
      </c>
      <c r="CH268" s="232">
        <v>0</v>
      </c>
      <c r="CI268" s="311">
        <f t="shared" si="130"/>
        <v>0</v>
      </c>
      <c r="CJ268" s="232">
        <f>IFERROR(VLOOKUP(CI268,'Rangos amb etnico'!$A$2:$C$6,3,9),"N.D.")</f>
        <v>0</v>
      </c>
      <c r="CK268" s="311">
        <f t="shared" si="131"/>
        <v>0</v>
      </c>
      <c r="CL268" s="10">
        <v>0</v>
      </c>
      <c r="CM268" s="255">
        <f t="shared" si="132"/>
        <v>0</v>
      </c>
      <c r="CN268" s="232">
        <f>IFERROR(VLOOKUP(CM268,'Rangos amb etnico'!$A$2:$C$6,3,9),"N.D.")</f>
        <v>0</v>
      </c>
      <c r="CO268" s="311">
        <f t="shared" si="133"/>
        <v>0</v>
      </c>
      <c r="CP268">
        <v>0.91367550310060963</v>
      </c>
      <c r="CQ268" t="s">
        <v>2864</v>
      </c>
      <c r="CR268">
        <f t="shared" si="124"/>
        <v>1</v>
      </c>
      <c r="CS268" t="str">
        <f t="shared" si="134"/>
        <v>No es Candidato</v>
      </c>
      <c r="CT268">
        <v>0</v>
      </c>
      <c r="CU268">
        <v>0</v>
      </c>
      <c r="CV268" s="25">
        <v>47.503829956054688</v>
      </c>
      <c r="CW268" s="25">
        <v>19.18693923950195</v>
      </c>
      <c r="CX268" s="25">
        <v>47.933143615722663</v>
      </c>
      <c r="CY268" s="25">
        <v>58.536239624023438</v>
      </c>
      <c r="CZ268" s="25">
        <v>38.920429229736328</v>
      </c>
      <c r="DA268" s="25">
        <v>70.17926025390625</v>
      </c>
      <c r="DB268" s="25">
        <v>50.266975402832031</v>
      </c>
      <c r="DC268">
        <v>140</v>
      </c>
      <c r="DD268" s="253" t="s">
        <v>380</v>
      </c>
    </row>
    <row r="269" spans="1:108" hidden="1">
      <c r="A269" s="13">
        <v>15764</v>
      </c>
      <c r="B269" s="13" t="s">
        <v>998</v>
      </c>
      <c r="C269" s="13" t="s">
        <v>498</v>
      </c>
      <c r="D269" s="13" t="s">
        <v>499</v>
      </c>
      <c r="E269" s="13" t="s">
        <v>999</v>
      </c>
      <c r="F269" s="14">
        <v>53.5264666666667</v>
      </c>
      <c r="G269" s="13">
        <v>56.47</v>
      </c>
      <c r="H269" s="13">
        <v>85.65</v>
      </c>
      <c r="I269" s="13">
        <v>76.06</v>
      </c>
      <c r="J269" s="14">
        <v>63.784017512328901</v>
      </c>
      <c r="K269" s="14">
        <v>52.369898176716049</v>
      </c>
      <c r="L269" s="14">
        <v>66.626133260752198</v>
      </c>
      <c r="M269" s="14">
        <v>57.828899999999997</v>
      </c>
      <c r="N269" s="14">
        <f t="shared" si="108"/>
        <v>67.926616666666675</v>
      </c>
      <c r="O269" s="14">
        <f t="shared" si="109"/>
        <v>60.152237237449292</v>
      </c>
      <c r="P269" s="14">
        <f t="shared" si="125"/>
        <v>64.03942695205798</v>
      </c>
      <c r="Q269" s="14">
        <v>48.096658151924395</v>
      </c>
      <c r="R269" s="17">
        <f t="shared" si="110"/>
        <v>51.903341848075605</v>
      </c>
      <c r="S269" s="14">
        <f t="shared" si="126"/>
        <v>0.56713007663268045</v>
      </c>
      <c r="T269" s="13">
        <v>0</v>
      </c>
      <c r="U269" s="13">
        <f t="shared" si="127"/>
        <v>36.318685114833585</v>
      </c>
      <c r="V269" s="13">
        <f>IF($T269=1,$AU269,(VLOOKUP(U269,'Cortes naturales'!$A$35:$C$39,3,9)))</f>
        <v>3</v>
      </c>
      <c r="W269" s="13">
        <v>3</v>
      </c>
      <c r="X269" s="14" t="b">
        <f t="shared" si="111"/>
        <v>1</v>
      </c>
      <c r="Y269" s="17">
        <f>IF($T269=1,$AU269,VLOOKUP(U269,'Cortes naturales'!$A$45:$C$49,3,9))</f>
        <v>2</v>
      </c>
      <c r="Z269" s="14">
        <v>59.819775120765989</v>
      </c>
      <c r="AA269" s="14">
        <v>0.58069403138297859</v>
      </c>
      <c r="AB269" s="14">
        <v>34.736986371300809</v>
      </c>
      <c r="AC269" s="13">
        <v>3</v>
      </c>
      <c r="AD269" s="13">
        <f t="shared" si="112"/>
        <v>1</v>
      </c>
      <c r="AE269" s="14">
        <f t="shared" si="113"/>
        <v>4.2196518312919906</v>
      </c>
      <c r="AF269" s="14">
        <f t="shared" si="114"/>
        <v>-1.3563954750298146E-2</v>
      </c>
      <c r="AG269" s="13">
        <f t="shared" si="115"/>
        <v>1.5816987435327761</v>
      </c>
      <c r="AH269" s="13">
        <f>IF($T269=1,$AU269,VLOOKUP(U269,'Cortes naturales'!$A$25:$C$29,3,9))</f>
        <v>2</v>
      </c>
      <c r="AI269" s="13" t="b">
        <f t="shared" si="116"/>
        <v>1</v>
      </c>
      <c r="AJ269" s="13" t="str">
        <f t="shared" si="117"/>
        <v>Efecto ponderador</v>
      </c>
      <c r="AK269" s="28">
        <v>0.9741882058902549</v>
      </c>
      <c r="AL269" s="28">
        <v>58.275719401657526</v>
      </c>
      <c r="AM269" s="28">
        <v>0.55834180947438417</v>
      </c>
      <c r="AN269" s="13">
        <v>2</v>
      </c>
      <c r="AO269" s="33">
        <f t="shared" si="118"/>
        <v>0</v>
      </c>
      <c r="AP269" s="13">
        <f t="shared" si="128"/>
        <v>55.834180947438419</v>
      </c>
      <c r="AQ269" s="13">
        <f>IFERROR(VLOOKUP(U269,'Cortes naturales'!$E$15:$G$19,3,9),U269)</f>
        <v>3</v>
      </c>
      <c r="AR269" s="28">
        <f t="shared" si="119"/>
        <v>-0.40705812925757445</v>
      </c>
      <c r="AS269" s="13" t="b">
        <f t="shared" si="120"/>
        <v>0</v>
      </c>
      <c r="AT269" s="13">
        <f t="shared" si="129"/>
        <v>0</v>
      </c>
      <c r="AU269" s="13">
        <v>2</v>
      </c>
      <c r="AV269">
        <f t="shared" si="121"/>
        <v>0</v>
      </c>
      <c r="AW269" s="13">
        <v>0</v>
      </c>
      <c r="AX269" s="13">
        <v>0</v>
      </c>
      <c r="AY269" s="13">
        <v>0</v>
      </c>
      <c r="AZ269" s="13">
        <v>0</v>
      </c>
      <c r="BA269">
        <v>0</v>
      </c>
      <c r="BB269" t="s">
        <v>2839</v>
      </c>
      <c r="BC269">
        <v>6</v>
      </c>
      <c r="BD269" t="s">
        <v>2919</v>
      </c>
      <c r="BE269">
        <v>0</v>
      </c>
      <c r="BF269" s="232" t="s">
        <v>2846</v>
      </c>
      <c r="BG269" s="232" t="s">
        <v>2846</v>
      </c>
      <c r="BH269" s="253">
        <v>38.5</v>
      </c>
      <c r="BI269" s="253">
        <v>11.300785250938887</v>
      </c>
      <c r="BJ269" s="25">
        <v>23.451027860475449</v>
      </c>
      <c r="BK269" t="s">
        <v>379</v>
      </c>
      <c r="BL269">
        <v>1.3397356282777912</v>
      </c>
      <c r="BM269" t="s">
        <v>383</v>
      </c>
      <c r="BN269" s="322">
        <v>18236.462603</v>
      </c>
      <c r="BO269" s="322">
        <v>2530.984348</v>
      </c>
      <c r="BP269" s="10">
        <v>6179</v>
      </c>
      <c r="BQ269" s="254">
        <f t="shared" si="122"/>
        <v>2.9513614829260399</v>
      </c>
      <c r="BR269" s="254">
        <f t="shared" si="123"/>
        <v>0.40961067292442144</v>
      </c>
      <c r="BS269" s="25">
        <v>73.765414350520729</v>
      </c>
      <c r="BT269" s="25">
        <v>97.604790419161688</v>
      </c>
      <c r="BU269" s="25">
        <v>35.516666666666673</v>
      </c>
      <c r="BV269" s="25">
        <v>79.099354725597166</v>
      </c>
      <c r="BW269" s="25">
        <v>51.861932117820558</v>
      </c>
      <c r="BX269" s="25">
        <v>71.496556540486552</v>
      </c>
      <c r="BY269" s="25">
        <v>51.443473742650482</v>
      </c>
      <c r="BZ269">
        <v>79</v>
      </c>
      <c r="CA269">
        <v>0</v>
      </c>
      <c r="CB269">
        <v>7</v>
      </c>
      <c r="CC269">
        <v>5566.0549199999996</v>
      </c>
      <c r="CD269" s="10">
        <v>874.73641699999996</v>
      </c>
      <c r="CE269" s="255">
        <v>0.15715554905088863</v>
      </c>
      <c r="CF269" t="str">
        <f>IFERROR(VLOOKUP(CE269,'Rangos amb etnico'!$A$2:$C$6,3,9),"N.D.")</f>
        <v>0,1% - 30%</v>
      </c>
      <c r="CG269" s="256">
        <v>2.544937983398412E-5</v>
      </c>
      <c r="CH269" s="232">
        <v>0</v>
      </c>
      <c r="CI269" s="311">
        <f t="shared" si="130"/>
        <v>0</v>
      </c>
      <c r="CJ269" s="232">
        <f>IFERROR(VLOOKUP(CI269,'Rangos amb etnico'!$A$2:$C$6,3,9),"N.D.")</f>
        <v>0</v>
      </c>
      <c r="CK269" s="311">
        <f t="shared" si="131"/>
        <v>0</v>
      </c>
      <c r="CL269" s="10">
        <v>0</v>
      </c>
      <c r="CM269" s="255">
        <f t="shared" si="132"/>
        <v>0</v>
      </c>
      <c r="CN269" s="232">
        <f>IFERROR(VLOOKUP(CM269,'Rangos amb etnico'!$A$2:$C$6,3,9),"N.D.")</f>
        <v>0</v>
      </c>
      <c r="CO269" s="311">
        <f t="shared" si="133"/>
        <v>0</v>
      </c>
      <c r="CP269">
        <v>0.95695541325982703</v>
      </c>
      <c r="CQ269" t="s">
        <v>2864</v>
      </c>
      <c r="CR269">
        <f t="shared" si="124"/>
        <v>2</v>
      </c>
      <c r="CS269" t="str">
        <f t="shared" si="134"/>
        <v>No es Candidato</v>
      </c>
      <c r="CT269">
        <v>0</v>
      </c>
      <c r="CU269">
        <v>0</v>
      </c>
      <c r="CV269" s="25">
        <v>51.177425384521477</v>
      </c>
      <c r="CW269" s="25">
        <v>30.8892936706543</v>
      </c>
      <c r="CX269" s="25">
        <v>49.117176055908203</v>
      </c>
      <c r="CY269" s="25">
        <v>74.460731506347656</v>
      </c>
      <c r="CZ269" s="25">
        <v>50.357715606689453</v>
      </c>
      <c r="DA269" s="25">
        <v>58.315616607666023</v>
      </c>
      <c r="DB269" s="25">
        <v>43.924022674560547</v>
      </c>
      <c r="DC269">
        <v>27</v>
      </c>
      <c r="DD269" s="253" t="s">
        <v>380</v>
      </c>
    </row>
    <row r="270" spans="1:108" hidden="1">
      <c r="A270" s="13">
        <v>13647</v>
      </c>
      <c r="B270" s="13" t="s">
        <v>1000</v>
      </c>
      <c r="C270" s="13" t="s">
        <v>480</v>
      </c>
      <c r="D270" s="13" t="s">
        <v>481</v>
      </c>
      <c r="E270" s="13" t="s">
        <v>1001</v>
      </c>
      <c r="F270" s="14">
        <v>38.632666666666701</v>
      </c>
      <c r="G270" s="13">
        <v>25.92</v>
      </c>
      <c r="H270" s="13">
        <v>23.8</v>
      </c>
      <c r="I270" s="13">
        <v>29.51</v>
      </c>
      <c r="J270" s="14">
        <v>52.045784006391351</v>
      </c>
      <c r="K270" s="14">
        <v>59.499988011420456</v>
      </c>
      <c r="L270" s="14">
        <v>55.010445237026055</v>
      </c>
      <c r="M270" s="14">
        <v>62.454599999999999</v>
      </c>
      <c r="N270" s="14">
        <f t="shared" si="108"/>
        <v>29.465666666666678</v>
      </c>
      <c r="O270" s="14">
        <f t="shared" si="109"/>
        <v>57.252704313709465</v>
      </c>
      <c r="P270" s="14">
        <f t="shared" si="125"/>
        <v>43.359185490188068</v>
      </c>
      <c r="Q270" s="14">
        <v>47.168273322923902</v>
      </c>
      <c r="R270" s="17">
        <f t="shared" si="110"/>
        <v>52.831726677076098</v>
      </c>
      <c r="S270" s="14">
        <f t="shared" si="126"/>
        <v>0.57548554009368491</v>
      </c>
      <c r="T270" s="13">
        <v>0</v>
      </c>
      <c r="U270" s="13">
        <f t="shared" si="127"/>
        <v>24.952584279843148</v>
      </c>
      <c r="V270" s="13">
        <f>IF($T270=1,$AU270,(VLOOKUP(U270,'Cortes naturales'!$A$35:$C$39,3,9)))</f>
        <v>4</v>
      </c>
      <c r="W270" s="13">
        <v>4</v>
      </c>
      <c r="X270" s="14" t="b">
        <f t="shared" si="111"/>
        <v>1</v>
      </c>
      <c r="Y270" s="17">
        <f>IF($T270=1,$AU270,VLOOKUP(U270,'Cortes naturales'!$A$45:$C$49,3,9))</f>
        <v>4</v>
      </c>
      <c r="Z270" s="14">
        <v>43.864797943856331</v>
      </c>
      <c r="AA270" s="14">
        <v>0.58131378019388347</v>
      </c>
      <c r="AB270" s="14">
        <v>25.499211510184011</v>
      </c>
      <c r="AC270" s="13">
        <v>4</v>
      </c>
      <c r="AD270" s="13">
        <f t="shared" si="112"/>
        <v>0</v>
      </c>
      <c r="AE270" s="14">
        <f t="shared" si="113"/>
        <v>-0.50561245366826313</v>
      </c>
      <c r="AF270" s="14">
        <f t="shared" si="114"/>
        <v>-5.8282401001985562E-3</v>
      </c>
      <c r="AG270" s="13">
        <f t="shared" si="115"/>
        <v>-0.54662723034086369</v>
      </c>
      <c r="AH270" s="13">
        <f>IF($T270=1,$AU270,VLOOKUP(U270,'Cortes naturales'!$A$25:$C$29,3,9))</f>
        <v>4</v>
      </c>
      <c r="AI270" s="13" t="b">
        <f t="shared" si="116"/>
        <v>1</v>
      </c>
      <c r="AJ270" s="13">
        <f t="shared" si="117"/>
        <v>0</v>
      </c>
      <c r="AK270" s="28">
        <v>0.9741882058902549</v>
      </c>
      <c r="AL270" s="28">
        <v>42.732568810663942</v>
      </c>
      <c r="AM270" s="28">
        <v>0.3639133796061203</v>
      </c>
      <c r="AN270" s="13">
        <v>3</v>
      </c>
      <c r="AO270" s="33">
        <f t="shared" si="118"/>
        <v>-1</v>
      </c>
      <c r="AP270" s="13">
        <f t="shared" si="128"/>
        <v>36.391337960612027</v>
      </c>
      <c r="AQ270" s="13">
        <f>IFERROR(VLOOKUP(U270,'Cortes naturales'!$E$15:$G$19,3,9),U270)</f>
        <v>4</v>
      </c>
      <c r="AR270" s="28">
        <f t="shared" si="119"/>
        <v>-0.39870266579656999</v>
      </c>
      <c r="AS270" s="13" t="b">
        <f t="shared" si="120"/>
        <v>1</v>
      </c>
      <c r="AT270" s="13" t="str">
        <f t="shared" si="129"/>
        <v>Efecto ponderador</v>
      </c>
      <c r="AU270" s="13">
        <v>4</v>
      </c>
      <c r="AV270">
        <f t="shared" si="121"/>
        <v>0</v>
      </c>
      <c r="AW270" s="13">
        <v>0</v>
      </c>
      <c r="AX270" s="13">
        <v>0</v>
      </c>
      <c r="AY270" s="13">
        <v>0</v>
      </c>
      <c r="AZ270" s="13">
        <v>0</v>
      </c>
      <c r="BA270">
        <v>0</v>
      </c>
      <c r="BB270" t="s">
        <v>2839</v>
      </c>
      <c r="BC270">
        <v>6</v>
      </c>
      <c r="BD270" t="s">
        <v>2919</v>
      </c>
      <c r="BE270">
        <v>1</v>
      </c>
      <c r="BF270" s="232" t="s">
        <v>2846</v>
      </c>
      <c r="BG270" s="232" t="s">
        <v>2845</v>
      </c>
      <c r="BH270" s="253">
        <v>50.7</v>
      </c>
      <c r="BI270" s="253">
        <v>32.855067199418819</v>
      </c>
      <c r="BJ270" s="25">
        <v>12.586</v>
      </c>
      <c r="BK270" t="s">
        <v>377</v>
      </c>
      <c r="BL270">
        <v>1.4094879417920874</v>
      </c>
      <c r="BM270" t="s">
        <v>383</v>
      </c>
      <c r="BN270" s="322">
        <v>47312.598489000004</v>
      </c>
      <c r="BO270" s="322">
        <v>2875.7247130000001</v>
      </c>
      <c r="BP270" s="10">
        <v>21053</v>
      </c>
      <c r="BQ270" s="254">
        <f t="shared" si="122"/>
        <v>2.2473091003182448</v>
      </c>
      <c r="BR270" s="254">
        <f t="shared" si="123"/>
        <v>0.13659453346316439</v>
      </c>
      <c r="BS270" s="25">
        <v>56.450631478359611</v>
      </c>
      <c r="BT270" s="25">
        <v>93.424531737361278</v>
      </c>
      <c r="BU270" s="25">
        <v>30.35214285714283</v>
      </c>
      <c r="BV270" s="25">
        <v>93.284275668572761</v>
      </c>
      <c r="BW270" s="25">
        <v>31.99718594727679</v>
      </c>
      <c r="BX270" s="25">
        <v>68.377895435359122</v>
      </c>
      <c r="BY270" s="25">
        <v>31.28609241907446</v>
      </c>
      <c r="BZ270">
        <v>48</v>
      </c>
      <c r="CA270">
        <v>0</v>
      </c>
      <c r="CB270">
        <v>7</v>
      </c>
      <c r="CC270">
        <v>21151.133825000001</v>
      </c>
      <c r="CD270" s="10">
        <v>7441.6526670000003</v>
      </c>
      <c r="CE270" s="255">
        <v>0.35183232863876979</v>
      </c>
      <c r="CF270" t="str">
        <f>IFERROR(VLOOKUP(CE270,'Rangos amb etnico'!$A$2:$C$6,3,9),"N.D.")</f>
        <v>31% - 50%</v>
      </c>
      <c r="CG270" s="256">
        <v>2.165057286223216E-4</v>
      </c>
      <c r="CH270" s="232">
        <v>202.64389299999999</v>
      </c>
      <c r="CI270" s="311">
        <f t="shared" si="130"/>
        <v>9.5807579242149672E-3</v>
      </c>
      <c r="CJ270" s="232" t="str">
        <f>IFERROR(VLOOKUP(CI270,'Rangos amb etnico'!$A$2:$C$6,3,9),"N.D.")</f>
        <v>0,1% - 30%</v>
      </c>
      <c r="CK270" s="311">
        <f t="shared" si="131"/>
        <v>8.0462893022940948E-6</v>
      </c>
      <c r="CL270" s="10">
        <v>0</v>
      </c>
      <c r="CM270" s="255">
        <f t="shared" si="132"/>
        <v>0</v>
      </c>
      <c r="CN270" s="232">
        <f>IFERROR(VLOOKUP(CM270,'Rangos amb etnico'!$A$2:$C$6,3,9),"N.D.")</f>
        <v>0</v>
      </c>
      <c r="CO270" s="311">
        <f t="shared" si="133"/>
        <v>0</v>
      </c>
      <c r="CP270">
        <v>0.91608767550438053</v>
      </c>
      <c r="CQ270" t="s">
        <v>2864</v>
      </c>
      <c r="CR270">
        <f t="shared" si="124"/>
        <v>2</v>
      </c>
      <c r="CS270" t="str">
        <f t="shared" si="134"/>
        <v>No es Candidato</v>
      </c>
      <c r="CT270">
        <v>0</v>
      </c>
      <c r="CU270">
        <v>0</v>
      </c>
      <c r="CV270" s="25">
        <v>52.095142364501953</v>
      </c>
      <c r="CW270" s="25">
        <v>34.966796875</v>
      </c>
      <c r="CX270" s="25">
        <v>59.197223663330078</v>
      </c>
      <c r="CY270" s="25">
        <v>51.702861785888672</v>
      </c>
      <c r="CZ270" s="25">
        <v>31.409549713134769</v>
      </c>
      <c r="DA270" s="25">
        <v>85.757308959960938</v>
      </c>
      <c r="DB270" s="25">
        <v>49.537109375</v>
      </c>
      <c r="DC270">
        <v>7535</v>
      </c>
      <c r="DD270" s="253" t="s">
        <v>380</v>
      </c>
    </row>
    <row r="271" spans="1:108" hidden="1">
      <c r="A271" s="13">
        <v>52585</v>
      </c>
      <c r="B271" s="13" t="s">
        <v>1002</v>
      </c>
      <c r="C271" s="13" t="s">
        <v>672</v>
      </c>
      <c r="D271" s="13" t="s">
        <v>673</v>
      </c>
      <c r="E271" s="13" t="s">
        <v>1003</v>
      </c>
      <c r="F271" s="14">
        <v>67.061066666666704</v>
      </c>
      <c r="G271" s="13">
        <v>62.75</v>
      </c>
      <c r="H271" s="13">
        <v>59.89</v>
      </c>
      <c r="I271" s="13">
        <v>63.69</v>
      </c>
      <c r="J271" s="14">
        <v>52.296704114096897</v>
      </c>
      <c r="K271" s="14">
        <v>55.3942814531257</v>
      </c>
      <c r="L271" s="14">
        <v>56.307600046364662</v>
      </c>
      <c r="M271" s="14">
        <v>58.581899999999997</v>
      </c>
      <c r="N271" s="14">
        <f t="shared" si="108"/>
        <v>63.347766666666672</v>
      </c>
      <c r="O271" s="14">
        <f t="shared" si="109"/>
        <v>55.645121403396814</v>
      </c>
      <c r="P271" s="14">
        <f t="shared" si="125"/>
        <v>59.496444035031743</v>
      </c>
      <c r="Q271" s="14">
        <v>48.157693699581543</v>
      </c>
      <c r="R271" s="17">
        <f t="shared" si="110"/>
        <v>51.842306300418457</v>
      </c>
      <c r="S271" s="14">
        <f t="shared" si="126"/>
        <v>0.56658075670376618</v>
      </c>
      <c r="T271" s="13">
        <v>0</v>
      </c>
      <c r="U271" s="13">
        <f t="shared" si="127"/>
        <v>33.709540282551558</v>
      </c>
      <c r="V271" s="13">
        <f>IF($T271=1,$AU271,(VLOOKUP(U271,'Cortes naturales'!$A$35:$C$39,3,9)))</f>
        <v>3</v>
      </c>
      <c r="W271" s="13">
        <v>3</v>
      </c>
      <c r="X271" s="14" t="b">
        <f t="shared" si="111"/>
        <v>1</v>
      </c>
      <c r="Y271" s="17">
        <f>IF($T271=1,$AU271,VLOOKUP(U271,'Cortes naturales'!$A$45:$C$49,3,9))</f>
        <v>3</v>
      </c>
      <c r="Z271" s="14">
        <v>60.342172161441738</v>
      </c>
      <c r="AA271" s="14">
        <v>0.5811888622937551</v>
      </c>
      <c r="AB271" s="14">
        <v>35.070198386842222</v>
      </c>
      <c r="AC271" s="13">
        <v>2</v>
      </c>
      <c r="AD271" s="13">
        <f t="shared" si="112"/>
        <v>-1</v>
      </c>
      <c r="AE271" s="14">
        <f t="shared" si="113"/>
        <v>-0.84572812640999473</v>
      </c>
      <c r="AF271" s="14">
        <f t="shared" si="114"/>
        <v>-1.4608105589988929E-2</v>
      </c>
      <c r="AG271" s="13">
        <f t="shared" si="115"/>
        <v>-1.360658104290664</v>
      </c>
      <c r="AH271" s="13">
        <f>IF($T271=1,$AU271,VLOOKUP(U271,'Cortes naturales'!$A$25:$C$29,3,9))</f>
        <v>3</v>
      </c>
      <c r="AI271" s="13" t="b">
        <f t="shared" si="116"/>
        <v>1</v>
      </c>
      <c r="AJ271" s="13" t="str">
        <f t="shared" si="117"/>
        <v>Efecto ponderador</v>
      </c>
      <c r="AK271" s="28">
        <v>0.9741882058902549</v>
      </c>
      <c r="AL271" s="28">
        <v>58.784632437475814</v>
      </c>
      <c r="AM271" s="28">
        <v>0.56470777510756642</v>
      </c>
      <c r="AN271" s="13">
        <v>2</v>
      </c>
      <c r="AO271" s="33">
        <f t="shared" si="118"/>
        <v>-1</v>
      </c>
      <c r="AP271" s="13">
        <f t="shared" si="128"/>
        <v>56.470777510756641</v>
      </c>
      <c r="AQ271" s="13">
        <f>IFERROR(VLOOKUP(U271,'Cortes naturales'!$E$15:$G$19,3,9),U271)</f>
        <v>4</v>
      </c>
      <c r="AR271" s="28">
        <f t="shared" si="119"/>
        <v>-0.40760744918648872</v>
      </c>
      <c r="AS271" s="13" t="b">
        <f t="shared" si="120"/>
        <v>0</v>
      </c>
      <c r="AT271" s="13" t="str">
        <f t="shared" si="129"/>
        <v>Cambio en corte</v>
      </c>
      <c r="AU271" s="13">
        <v>2</v>
      </c>
      <c r="AV271">
        <f t="shared" si="121"/>
        <v>-1</v>
      </c>
      <c r="AW271" s="13">
        <v>0</v>
      </c>
      <c r="AX271" s="13">
        <v>0</v>
      </c>
      <c r="AY271" s="13">
        <v>0</v>
      </c>
      <c r="AZ271" s="13">
        <v>0</v>
      </c>
      <c r="BA271">
        <v>0</v>
      </c>
      <c r="BB271" t="s">
        <v>2839</v>
      </c>
      <c r="BC271">
        <v>6</v>
      </c>
      <c r="BD271" t="s">
        <v>2919</v>
      </c>
      <c r="BE271">
        <v>0</v>
      </c>
      <c r="BF271" s="232" t="s">
        <v>2846</v>
      </c>
      <c r="BG271" s="232" t="s">
        <v>2845</v>
      </c>
      <c r="BH271" s="253">
        <v>32.200000000000003</v>
      </c>
      <c r="BI271" s="253">
        <v>14.709999391394316</v>
      </c>
      <c r="BJ271" s="25">
        <v>40.168641886646483</v>
      </c>
      <c r="BK271" t="s">
        <v>376</v>
      </c>
      <c r="BL271">
        <v>7.3840537565528637</v>
      </c>
      <c r="BM271" t="s">
        <v>379</v>
      </c>
      <c r="BN271" s="322">
        <v>39915.701655999997</v>
      </c>
      <c r="BO271" s="322">
        <v>1550.1325019999999</v>
      </c>
      <c r="BP271" s="10">
        <v>17327</v>
      </c>
      <c r="BQ271" s="254">
        <f t="shared" si="122"/>
        <v>2.3036706675131295</v>
      </c>
      <c r="BR271" s="254">
        <f t="shared" si="123"/>
        <v>8.9463409822819875E-2</v>
      </c>
      <c r="BS271" s="25">
        <v>67.035223630298859</v>
      </c>
      <c r="BT271" s="25">
        <v>76.091844239241269</v>
      </c>
      <c r="BU271" s="25">
        <v>55.515000000000008</v>
      </c>
      <c r="BV271" s="25">
        <v>90.90805651126999</v>
      </c>
      <c r="BW271" s="25">
        <v>54.000694398719482</v>
      </c>
      <c r="BX271" s="25">
        <v>72.387531095202533</v>
      </c>
      <c r="BY271" s="25">
        <v>53.805812868586948</v>
      </c>
      <c r="BZ271">
        <v>28</v>
      </c>
      <c r="CA271">
        <v>0</v>
      </c>
      <c r="CB271">
        <v>7</v>
      </c>
      <c r="CC271">
        <v>12980.373899</v>
      </c>
      <c r="CD271" s="10">
        <v>3071.2144149999999</v>
      </c>
      <c r="CE271" s="255">
        <v>0.23660446447051917</v>
      </c>
      <c r="CF271" t="str">
        <f>IFERROR(VLOOKUP(CE271,'Rangos amb etnico'!$A$2:$C$6,3,9),"N.D.")</f>
        <v>0,1% - 30%</v>
      </c>
      <c r="CG271" s="256">
        <v>8.9353204782535462E-5</v>
      </c>
      <c r="CH271" s="232">
        <v>0</v>
      </c>
      <c r="CI271" s="311">
        <f t="shared" si="130"/>
        <v>0</v>
      </c>
      <c r="CJ271" s="232">
        <f>IFERROR(VLOOKUP(CI271,'Rangos amb etnico'!$A$2:$C$6,3,9),"N.D.")</f>
        <v>0</v>
      </c>
      <c r="CK271" s="311">
        <f t="shared" si="131"/>
        <v>0</v>
      </c>
      <c r="CL271" s="10">
        <v>0</v>
      </c>
      <c r="CM271" s="255">
        <f t="shared" si="132"/>
        <v>0</v>
      </c>
      <c r="CN271" s="232">
        <f>IFERROR(VLOOKUP(CM271,'Rangos amb etnico'!$A$2:$C$6,3,9),"N.D.")</f>
        <v>0</v>
      </c>
      <c r="CO271" s="311">
        <f t="shared" si="133"/>
        <v>0</v>
      </c>
      <c r="CP271">
        <v>0.89659180558410112</v>
      </c>
      <c r="CQ271" t="s">
        <v>2864</v>
      </c>
      <c r="CR271">
        <f t="shared" si="124"/>
        <v>2</v>
      </c>
      <c r="CS271" t="str">
        <f t="shared" si="134"/>
        <v>No es Candidato</v>
      </c>
      <c r="CT271">
        <v>0</v>
      </c>
      <c r="CU271">
        <v>0</v>
      </c>
      <c r="CV271" s="25">
        <v>47.454357147216797</v>
      </c>
      <c r="CW271" s="25">
        <v>31.451669692993161</v>
      </c>
      <c r="CX271" s="25">
        <v>46.60247802734375</v>
      </c>
      <c r="CY271" s="25">
        <v>60.449302673339837</v>
      </c>
      <c r="CZ271" s="25">
        <v>50.409481048583977</v>
      </c>
      <c r="DA271" s="25">
        <v>49.714633941650391</v>
      </c>
      <c r="DB271" s="25">
        <v>46.098564147949219</v>
      </c>
      <c r="DC271">
        <v>1902</v>
      </c>
      <c r="DD271" s="253" t="s">
        <v>380</v>
      </c>
    </row>
    <row r="272" spans="1:108" hidden="1">
      <c r="A272" s="13">
        <v>76823</v>
      </c>
      <c r="B272" s="13" t="s">
        <v>1004</v>
      </c>
      <c r="C272" s="13" t="s">
        <v>454</v>
      </c>
      <c r="D272" s="13" t="s">
        <v>455</v>
      </c>
      <c r="E272" s="13" t="s">
        <v>1005</v>
      </c>
      <c r="F272" s="14">
        <v>52.986800000000002</v>
      </c>
      <c r="G272" s="13">
        <v>58.27</v>
      </c>
      <c r="H272" s="13">
        <v>55.32</v>
      </c>
      <c r="I272" s="13">
        <v>52.06</v>
      </c>
      <c r="J272" s="14">
        <v>59.686889617856657</v>
      </c>
      <c r="K272" s="14">
        <v>55.785243465562772</v>
      </c>
      <c r="L272" s="14">
        <v>53.916781657365689</v>
      </c>
      <c r="M272" s="14">
        <v>51.241300000000003</v>
      </c>
      <c r="N272" s="14">
        <f t="shared" si="108"/>
        <v>54.659199999999998</v>
      </c>
      <c r="O272" s="14">
        <f t="shared" si="109"/>
        <v>55.157553685196284</v>
      </c>
      <c r="P272" s="14">
        <f t="shared" si="125"/>
        <v>54.908376842598145</v>
      </c>
      <c r="Q272" s="14">
        <v>48.137784801664402</v>
      </c>
      <c r="R272" s="17">
        <f t="shared" si="110"/>
        <v>51.862215198335598</v>
      </c>
      <c r="S272" s="14">
        <f t="shared" si="126"/>
        <v>0.56675993678502035</v>
      </c>
      <c r="T272" s="13">
        <v>0</v>
      </c>
      <c r="U272" s="13">
        <f t="shared" si="127"/>
        <v>31.119868188279</v>
      </c>
      <c r="V272" s="13">
        <f>IF($T272=1,$AU272,(VLOOKUP(U272,'Cortes naturales'!$A$35:$C$39,3,9)))</f>
        <v>3</v>
      </c>
      <c r="W272" s="13">
        <v>3</v>
      </c>
      <c r="X272" s="14" t="b">
        <f t="shared" si="111"/>
        <v>1</v>
      </c>
      <c r="Y272" s="17">
        <f>IF($T272=1,$AU272,VLOOKUP(U272,'Cortes naturales'!$A$45:$C$49,3,9))</f>
        <v>3</v>
      </c>
      <c r="Z272" s="14">
        <v>54.866331070005032</v>
      </c>
      <c r="AA272" s="14">
        <v>0.58043183198219162</v>
      </c>
      <c r="AB272" s="14">
        <v>31.846165057104461</v>
      </c>
      <c r="AC272" s="13">
        <v>3</v>
      </c>
      <c r="AD272" s="13">
        <f t="shared" si="112"/>
        <v>0</v>
      </c>
      <c r="AE272" s="14">
        <f t="shared" si="113"/>
        <v>4.2045772593112929E-2</v>
      </c>
      <c r="AF272" s="14">
        <f t="shared" si="114"/>
        <v>-1.3671895197171269E-2</v>
      </c>
      <c r="AG272" s="13">
        <f t="shared" si="115"/>
        <v>-0.72629686882546096</v>
      </c>
      <c r="AH272" s="13">
        <f>IF($T272=1,$AU272,VLOOKUP(U272,'Cortes naturales'!$A$25:$C$29,3,9))</f>
        <v>3</v>
      </c>
      <c r="AI272" s="13" t="b">
        <f t="shared" si="116"/>
        <v>1</v>
      </c>
      <c r="AJ272" s="13">
        <f t="shared" si="117"/>
        <v>0</v>
      </c>
      <c r="AK272" s="28">
        <v>0.9741882058902549</v>
      </c>
      <c r="AL272" s="28">
        <v>53.45013262886895</v>
      </c>
      <c r="AM272" s="28">
        <v>0.4979788055947203</v>
      </c>
      <c r="AN272" s="13">
        <v>2</v>
      </c>
      <c r="AO272" s="33">
        <f t="shared" si="118"/>
        <v>-1</v>
      </c>
      <c r="AP272" s="13">
        <f t="shared" si="128"/>
        <v>49.797880559472027</v>
      </c>
      <c r="AQ272" s="13">
        <f>IFERROR(VLOOKUP(U272,'Cortes naturales'!$E$15:$G$19,3,9),U272)</f>
        <v>4</v>
      </c>
      <c r="AR272" s="28">
        <f t="shared" si="119"/>
        <v>-0.40742826910523455</v>
      </c>
      <c r="AS272" s="13" t="b">
        <f t="shared" si="120"/>
        <v>0</v>
      </c>
      <c r="AT272" s="13" t="str">
        <f t="shared" si="129"/>
        <v>Cambio en corte</v>
      </c>
      <c r="AU272" s="13">
        <v>2</v>
      </c>
      <c r="AV272">
        <f t="shared" si="121"/>
        <v>-1</v>
      </c>
      <c r="AW272" s="13">
        <v>0</v>
      </c>
      <c r="AX272" s="13">
        <v>0</v>
      </c>
      <c r="AY272" s="13">
        <v>0</v>
      </c>
      <c r="AZ272" s="13">
        <v>0</v>
      </c>
      <c r="BA272">
        <v>0</v>
      </c>
      <c r="BB272" t="s">
        <v>2839</v>
      </c>
      <c r="BC272">
        <v>6</v>
      </c>
      <c r="BD272" t="s">
        <v>2919</v>
      </c>
      <c r="BE272">
        <v>0</v>
      </c>
      <c r="BF272" s="232" t="s">
        <v>2846</v>
      </c>
      <c r="BG272" s="232" t="s">
        <v>2846</v>
      </c>
      <c r="BH272" s="253">
        <v>32.1</v>
      </c>
      <c r="BI272" s="253">
        <v>10.855154126615844</v>
      </c>
      <c r="BJ272" s="25">
        <v>11.779532567998858</v>
      </c>
      <c r="BK272" t="s">
        <v>377</v>
      </c>
      <c r="BL272">
        <v>9.9450309166628088</v>
      </c>
      <c r="BM272" t="s">
        <v>379</v>
      </c>
      <c r="BN272" s="322">
        <v>29746.255064000001</v>
      </c>
      <c r="BO272" s="322">
        <v>3589.446488</v>
      </c>
      <c r="BP272" s="10">
        <v>14973</v>
      </c>
      <c r="BQ272" s="254">
        <f t="shared" si="122"/>
        <v>1.9866596583183063</v>
      </c>
      <c r="BR272" s="254">
        <f t="shared" si="123"/>
        <v>0.23972794283042811</v>
      </c>
      <c r="BS272" s="25">
        <v>50.238011238991227</v>
      </c>
      <c r="BT272" s="25">
        <v>88.239720385582928</v>
      </c>
      <c r="BU272" s="25">
        <v>47.917899543378972</v>
      </c>
      <c r="BV272" s="25">
        <v>77.665629906891013</v>
      </c>
      <c r="BW272" s="25">
        <v>66.035187913560975</v>
      </c>
      <c r="BX272" s="25">
        <v>66.015315268711035</v>
      </c>
      <c r="BY272" s="25">
        <v>64.973351882932931</v>
      </c>
      <c r="BZ272">
        <v>91</v>
      </c>
      <c r="CA272">
        <v>0</v>
      </c>
      <c r="CB272">
        <v>7</v>
      </c>
      <c r="CC272">
        <v>17575.564189000001</v>
      </c>
      <c r="CD272" s="10">
        <v>2757.3645280000001</v>
      </c>
      <c r="CE272" s="255">
        <v>0.15688625971539216</v>
      </c>
      <c r="CF272" t="str">
        <f>IFERROR(VLOOKUP(CE272,'Rangos amb etnico'!$A$2:$C$6,3,9),"N.D.")</f>
        <v>0,1% - 30%</v>
      </c>
      <c r="CG272" s="256">
        <v>8.0222128460699887E-5</v>
      </c>
      <c r="CH272" s="232">
        <v>0</v>
      </c>
      <c r="CI272" s="311">
        <f t="shared" si="130"/>
        <v>0</v>
      </c>
      <c r="CJ272" s="232">
        <f>IFERROR(VLOOKUP(CI272,'Rangos amb etnico'!$A$2:$C$6,3,9),"N.D.")</f>
        <v>0</v>
      </c>
      <c r="CK272" s="311">
        <f t="shared" si="131"/>
        <v>0</v>
      </c>
      <c r="CL272" s="10">
        <v>0</v>
      </c>
      <c r="CM272" s="255">
        <f t="shared" si="132"/>
        <v>0</v>
      </c>
      <c r="CN272" s="232">
        <f>IFERROR(VLOOKUP(CM272,'Rangos amb etnico'!$A$2:$C$6,3,9),"N.D.")</f>
        <v>0</v>
      </c>
      <c r="CO272" s="311">
        <f t="shared" si="133"/>
        <v>0</v>
      </c>
      <c r="CP272">
        <v>0.93085555607332582</v>
      </c>
      <c r="CQ272" t="s">
        <v>2864</v>
      </c>
      <c r="CR272">
        <f t="shared" si="124"/>
        <v>2</v>
      </c>
      <c r="CS272" t="str">
        <f t="shared" si="134"/>
        <v>No es Candidato</v>
      </c>
      <c r="CT272">
        <v>0</v>
      </c>
      <c r="CU272">
        <v>0</v>
      </c>
      <c r="CV272" s="25">
        <v>51.6624755859375</v>
      </c>
      <c r="CW272" s="25">
        <v>29.6971321105957</v>
      </c>
      <c r="CX272" s="25">
        <v>49.350433349609382</v>
      </c>
      <c r="CY272" s="25">
        <v>50.994476318359382</v>
      </c>
      <c r="CZ272" s="25">
        <v>67.133567810058594</v>
      </c>
      <c r="DA272" s="25">
        <v>58.393955230712891</v>
      </c>
      <c r="DB272" s="25">
        <v>54.405292510986328</v>
      </c>
      <c r="DC272">
        <v>575</v>
      </c>
      <c r="DD272" s="253" t="s">
        <v>380</v>
      </c>
    </row>
    <row r="273" spans="1:108" hidden="1">
      <c r="A273" s="13">
        <v>25491</v>
      </c>
      <c r="B273" s="13" t="s">
        <v>1006</v>
      </c>
      <c r="C273" s="13" t="s">
        <v>461</v>
      </c>
      <c r="D273" s="13" t="s">
        <v>462</v>
      </c>
      <c r="E273" s="13" t="s">
        <v>1007</v>
      </c>
      <c r="F273" s="14">
        <v>59.719466666666698</v>
      </c>
      <c r="G273" s="13">
        <v>60.23</v>
      </c>
      <c r="H273" s="13">
        <v>58.5</v>
      </c>
      <c r="I273" s="13">
        <v>78.84</v>
      </c>
      <c r="J273" s="14">
        <v>67.036676414616394</v>
      </c>
      <c r="K273" s="14">
        <v>49.474711132627959</v>
      </c>
      <c r="L273" s="14">
        <v>64.980280418926938</v>
      </c>
      <c r="M273" s="14">
        <v>49.1995</v>
      </c>
      <c r="N273" s="14">
        <f t="shared" si="108"/>
        <v>64.322366666666682</v>
      </c>
      <c r="O273" s="14">
        <f t="shared" si="109"/>
        <v>57.672791991542823</v>
      </c>
      <c r="P273" s="14">
        <f t="shared" si="125"/>
        <v>60.997579329104752</v>
      </c>
      <c r="Q273" s="14">
        <v>50.031157979645272</v>
      </c>
      <c r="R273" s="17">
        <f t="shared" si="110"/>
        <v>49.968842020354728</v>
      </c>
      <c r="S273" s="14">
        <f t="shared" si="126"/>
        <v>0.5497195781831925</v>
      </c>
      <c r="T273" s="13">
        <v>0</v>
      </c>
      <c r="U273" s="13">
        <f t="shared" si="127"/>
        <v>33.531563578991289</v>
      </c>
      <c r="V273" s="13">
        <f>IF($T273=1,$AU273,(VLOOKUP(U273,'Cortes naturales'!$A$35:$C$39,3,9)))</f>
        <v>3</v>
      </c>
      <c r="W273" s="13">
        <v>3</v>
      </c>
      <c r="X273" s="14" t="b">
        <f t="shared" si="111"/>
        <v>1</v>
      </c>
      <c r="Y273" s="17">
        <f>IF($T273=1,$AU273,VLOOKUP(U273,'Cortes naturales'!$A$45:$C$49,3,9))</f>
        <v>3</v>
      </c>
      <c r="Z273" s="14">
        <v>58.835380833726902</v>
      </c>
      <c r="AA273" s="14">
        <v>0.57817916315731344</v>
      </c>
      <c r="AB273" s="14">
        <v>34.017391254486057</v>
      </c>
      <c r="AC273" s="13">
        <v>3</v>
      </c>
      <c r="AD273" s="13">
        <f t="shared" si="112"/>
        <v>0</v>
      </c>
      <c r="AE273" s="14">
        <f t="shared" si="113"/>
        <v>2.1621984953778508</v>
      </c>
      <c r="AF273" s="14">
        <f t="shared" si="114"/>
        <v>-2.8459584974120933E-2</v>
      </c>
      <c r="AG273" s="13">
        <f t="shared" si="115"/>
        <v>-0.48582767549476813</v>
      </c>
      <c r="AH273" s="13">
        <f>IF($T273=1,$AU273,VLOOKUP(U273,'Cortes naturales'!$A$25:$C$29,3,9))</f>
        <v>3</v>
      </c>
      <c r="AI273" s="13" t="b">
        <f t="shared" si="116"/>
        <v>1</v>
      </c>
      <c r="AJ273" s="13">
        <f t="shared" si="117"/>
        <v>0</v>
      </c>
      <c r="AK273" s="28">
        <v>0.9741882058902549</v>
      </c>
      <c r="AL273" s="28">
        <v>57.316734097278299</v>
      </c>
      <c r="AM273" s="28">
        <v>0.5463459141823942</v>
      </c>
      <c r="AN273" s="13">
        <v>2</v>
      </c>
      <c r="AO273" s="33">
        <f t="shared" si="118"/>
        <v>-1</v>
      </c>
      <c r="AP273" s="13">
        <f t="shared" si="128"/>
        <v>54.634591418239417</v>
      </c>
      <c r="AQ273" s="13">
        <f>IFERROR(VLOOKUP(U273,'Cortes naturales'!$E$15:$G$19,3,9),U273)</f>
        <v>4</v>
      </c>
      <c r="AR273" s="28">
        <f t="shared" si="119"/>
        <v>-0.4244686277070624</v>
      </c>
      <c r="AS273" s="13" t="b">
        <f t="shared" si="120"/>
        <v>0</v>
      </c>
      <c r="AT273" s="13" t="str">
        <f t="shared" si="129"/>
        <v>Cambio en corte</v>
      </c>
      <c r="AU273" s="13">
        <v>2</v>
      </c>
      <c r="AV273">
        <f t="shared" si="121"/>
        <v>-1</v>
      </c>
      <c r="AW273" s="13">
        <v>0</v>
      </c>
      <c r="AX273" s="13">
        <v>0</v>
      </c>
      <c r="AY273" s="13">
        <v>0</v>
      </c>
      <c r="AZ273" s="13">
        <v>0</v>
      </c>
      <c r="BA273">
        <v>0</v>
      </c>
      <c r="BB273" t="s">
        <v>2839</v>
      </c>
      <c r="BC273">
        <v>6</v>
      </c>
      <c r="BD273" t="s">
        <v>2919</v>
      </c>
      <c r="BE273">
        <v>0</v>
      </c>
      <c r="BF273" s="232" t="s">
        <v>2846</v>
      </c>
      <c r="BG273" s="232" t="s">
        <v>2846</v>
      </c>
      <c r="BH273" s="253">
        <v>26.2</v>
      </c>
      <c r="BI273" s="253">
        <v>10.916442048517521</v>
      </c>
      <c r="BJ273" s="25">
        <v>35.045253116865318</v>
      </c>
      <c r="BK273" t="s">
        <v>376</v>
      </c>
      <c r="BL273">
        <v>2.4059939810066524</v>
      </c>
      <c r="BM273" t="s">
        <v>383</v>
      </c>
      <c r="BN273" s="322">
        <v>16837.807398000001</v>
      </c>
      <c r="BO273" s="322">
        <v>3414.983197</v>
      </c>
      <c r="BP273" s="10">
        <v>5654</v>
      </c>
      <c r="BQ273" s="254">
        <f t="shared" si="122"/>
        <v>2.9780345592500885</v>
      </c>
      <c r="BR273" s="254">
        <f t="shared" si="123"/>
        <v>0.60399419826671386</v>
      </c>
      <c r="BS273" s="25">
        <v>47.716755710585197</v>
      </c>
      <c r="BT273" s="25">
        <v>87.383563259049652</v>
      </c>
      <c r="BU273" s="25">
        <v>41.834082736339361</v>
      </c>
      <c r="BV273" s="25">
        <v>94.468832965893753</v>
      </c>
      <c r="BW273" s="25">
        <v>76.016418221444354</v>
      </c>
      <c r="BX273" s="25">
        <v>67.850808667966987</v>
      </c>
      <c r="BY273" s="25">
        <v>77.231279005912995</v>
      </c>
      <c r="BZ273">
        <v>37</v>
      </c>
      <c r="CA273">
        <v>0</v>
      </c>
      <c r="CB273">
        <v>7</v>
      </c>
      <c r="CC273">
        <v>6886.6395320000001</v>
      </c>
      <c r="CD273" s="10">
        <v>3574.3213740000001</v>
      </c>
      <c r="CE273" s="255">
        <v>0.51902257369378457</v>
      </c>
      <c r="CF273" t="str">
        <f>IFERROR(VLOOKUP(CE273,'Rangos amb etnico'!$A$2:$C$6,3,9),"N.D.")</f>
        <v>51% - 70%</v>
      </c>
      <c r="CG273" s="256">
        <v>1.0399048276465437E-4</v>
      </c>
      <c r="CH273" s="232">
        <v>0</v>
      </c>
      <c r="CI273" s="311">
        <f t="shared" si="130"/>
        <v>0</v>
      </c>
      <c r="CJ273" s="232">
        <f>IFERROR(VLOOKUP(CI273,'Rangos amb etnico'!$A$2:$C$6,3,9),"N.D.")</f>
        <v>0</v>
      </c>
      <c r="CK273" s="311">
        <f t="shared" si="131"/>
        <v>0</v>
      </c>
      <c r="CL273" s="10">
        <v>0</v>
      </c>
      <c r="CM273" s="255">
        <f t="shared" si="132"/>
        <v>0</v>
      </c>
      <c r="CN273" s="232">
        <f>IFERROR(VLOOKUP(CM273,'Rangos amb etnico'!$A$2:$C$6,3,9),"N.D.")</f>
        <v>0</v>
      </c>
      <c r="CO273" s="311">
        <f t="shared" si="133"/>
        <v>0</v>
      </c>
      <c r="CP273">
        <v>0.93587350420669702</v>
      </c>
      <c r="CQ273" t="s">
        <v>2864</v>
      </c>
      <c r="CR273">
        <f t="shared" si="124"/>
        <v>3</v>
      </c>
      <c r="CS273" t="str">
        <f t="shared" si="134"/>
        <v>Candidato</v>
      </c>
      <c r="CT273">
        <v>0</v>
      </c>
      <c r="CU273">
        <v>0</v>
      </c>
      <c r="CV273" s="25">
        <v>46.773700714111328</v>
      </c>
      <c r="CW273" s="25">
        <v>25.489625930786129</v>
      </c>
      <c r="CX273" s="25">
        <v>53.770431518554688</v>
      </c>
      <c r="CY273" s="25">
        <v>59.778583526611328</v>
      </c>
      <c r="CZ273" s="25">
        <v>48.793792724609382</v>
      </c>
      <c r="DA273" s="25">
        <v>38.755863189697273</v>
      </c>
      <c r="DB273" s="25">
        <v>54.053901672363281</v>
      </c>
      <c r="DC273">
        <v>51</v>
      </c>
      <c r="DD273" s="253" t="s">
        <v>380</v>
      </c>
    </row>
    <row r="274" spans="1:108" hidden="1">
      <c r="A274" s="13">
        <v>41298</v>
      </c>
      <c r="B274" s="13" t="s">
        <v>1008</v>
      </c>
      <c r="C274" s="13" t="s">
        <v>676</v>
      </c>
      <c r="D274" s="13" t="s">
        <v>677</v>
      </c>
      <c r="E274" s="13" t="s">
        <v>1009</v>
      </c>
      <c r="F274" s="14">
        <v>61.975266666666698</v>
      </c>
      <c r="G274" s="13">
        <v>70.319999999999993</v>
      </c>
      <c r="H274" s="13">
        <v>75.87</v>
      </c>
      <c r="I274" s="13">
        <v>69.819999999999993</v>
      </c>
      <c r="J274" s="14">
        <v>57.721008105760973</v>
      </c>
      <c r="K274" s="14">
        <v>59.242321975664879</v>
      </c>
      <c r="L274" s="14">
        <v>60.751243350670492</v>
      </c>
      <c r="M274" s="14">
        <v>63.148800000000001</v>
      </c>
      <c r="N274" s="14">
        <f t="shared" si="108"/>
        <v>69.496316666666672</v>
      </c>
      <c r="O274" s="14">
        <f t="shared" si="109"/>
        <v>60.215843358024088</v>
      </c>
      <c r="P274" s="14">
        <f t="shared" si="125"/>
        <v>64.856080012345387</v>
      </c>
      <c r="Q274" s="14">
        <v>47.936245661754441</v>
      </c>
      <c r="R274" s="17">
        <f t="shared" si="110"/>
        <v>52.063754338245559</v>
      </c>
      <c r="S274" s="14">
        <f t="shared" si="126"/>
        <v>0.56857378904421008</v>
      </c>
      <c r="T274" s="13">
        <v>0</v>
      </c>
      <c r="U274" s="13">
        <f t="shared" si="127"/>
        <v>36.875467155173673</v>
      </c>
      <c r="V274" s="13">
        <f>IF($T274=1,$AU274,(VLOOKUP(U274,'Cortes naturales'!$A$35:$C$39,3,9)))</f>
        <v>3</v>
      </c>
      <c r="W274" s="13">
        <v>3</v>
      </c>
      <c r="X274" s="14" t="b">
        <f t="shared" si="111"/>
        <v>1</v>
      </c>
      <c r="Y274" s="17">
        <f>IF($T274=1,$AU274,VLOOKUP(U274,'Cortes naturales'!$A$45:$C$49,3,9))</f>
        <v>2</v>
      </c>
      <c r="Z274" s="14">
        <v>62.059424360017672</v>
      </c>
      <c r="AA274" s="14">
        <v>0.58081626532655473</v>
      </c>
      <c r="AB274" s="14">
        <v>36.045123085101281</v>
      </c>
      <c r="AC274" s="13">
        <v>2</v>
      </c>
      <c r="AD274" s="13">
        <f t="shared" si="112"/>
        <v>0</v>
      </c>
      <c r="AE274" s="14">
        <f t="shared" si="113"/>
        <v>2.7966556523277148</v>
      </c>
      <c r="AF274" s="14">
        <f t="shared" si="114"/>
        <v>-1.224247628234465E-2</v>
      </c>
      <c r="AG274" s="13">
        <f t="shared" si="115"/>
        <v>0.83034407007239253</v>
      </c>
      <c r="AH274" s="13">
        <f>IF($T274=1,$AU274,VLOOKUP(U274,'Cortes naturales'!$A$25:$C$29,3,9))</f>
        <v>2</v>
      </c>
      <c r="AI274" s="13" t="b">
        <f t="shared" si="116"/>
        <v>1</v>
      </c>
      <c r="AJ274" s="13">
        <f t="shared" si="117"/>
        <v>0</v>
      </c>
      <c r="AK274" s="28">
        <v>0.9741882058902549</v>
      </c>
      <c r="AL274" s="28">
        <v>60.457559275867595</v>
      </c>
      <c r="AM274" s="28">
        <v>0.58563432642474056</v>
      </c>
      <c r="AN274" s="13">
        <v>2</v>
      </c>
      <c r="AO274" s="33">
        <f t="shared" si="118"/>
        <v>0</v>
      </c>
      <c r="AP274" s="13">
        <f t="shared" si="128"/>
        <v>58.563432642474055</v>
      </c>
      <c r="AQ274" s="13">
        <f>IFERROR(VLOOKUP(U274,'Cortes naturales'!$E$15:$G$19,3,9),U274)</f>
        <v>3</v>
      </c>
      <c r="AR274" s="28">
        <f t="shared" si="119"/>
        <v>-0.40561441684604482</v>
      </c>
      <c r="AS274" s="13" t="b">
        <f t="shared" si="120"/>
        <v>0</v>
      </c>
      <c r="AT274" s="13">
        <f t="shared" si="129"/>
        <v>0</v>
      </c>
      <c r="AU274" s="13">
        <v>2</v>
      </c>
      <c r="AV274">
        <f t="shared" si="121"/>
        <v>0</v>
      </c>
      <c r="AW274" s="13">
        <v>0</v>
      </c>
      <c r="AX274" s="13">
        <v>0</v>
      </c>
      <c r="AY274" s="13">
        <v>0</v>
      </c>
      <c r="AZ274" s="13">
        <v>0</v>
      </c>
      <c r="BA274">
        <v>0</v>
      </c>
      <c r="BB274" t="s">
        <v>2839</v>
      </c>
      <c r="BC274">
        <v>5</v>
      </c>
      <c r="BD274" t="s">
        <v>2919</v>
      </c>
      <c r="BE274">
        <v>0</v>
      </c>
      <c r="BF274" s="232" t="s">
        <v>2846</v>
      </c>
      <c r="BG274" s="232" t="s">
        <v>2845</v>
      </c>
      <c r="BH274" s="253">
        <v>32</v>
      </c>
      <c r="BI274" s="253">
        <v>12.370060778640212</v>
      </c>
      <c r="BJ274" s="25">
        <v>0</v>
      </c>
      <c r="BK274" t="s">
        <v>381</v>
      </c>
      <c r="BL274">
        <v>2.0873060200287421</v>
      </c>
      <c r="BM274" t="s">
        <v>383</v>
      </c>
      <c r="BN274" s="322">
        <v>135590.10673699999</v>
      </c>
      <c r="BO274" s="322">
        <v>22860.629604000002</v>
      </c>
      <c r="BP274" s="10">
        <v>76079</v>
      </c>
      <c r="BQ274" s="254">
        <f t="shared" si="122"/>
        <v>1.7822277729333982</v>
      </c>
      <c r="BR274" s="254">
        <f t="shared" si="123"/>
        <v>0.30048541126986422</v>
      </c>
      <c r="BS274" s="25">
        <v>68.718728772591589</v>
      </c>
      <c r="BT274" s="25">
        <v>98.404279542519831</v>
      </c>
      <c r="BU274" s="25">
        <v>57.986560349293264</v>
      </c>
      <c r="BV274" s="25">
        <v>84.728814184367906</v>
      </c>
      <c r="BW274" s="25">
        <v>62.7175177520853</v>
      </c>
      <c r="BX274" s="25">
        <v>77.459595712193135</v>
      </c>
      <c r="BY274" s="25">
        <v>64.298144028460712</v>
      </c>
      <c r="BZ274">
        <v>30</v>
      </c>
      <c r="CA274">
        <v>1</v>
      </c>
      <c r="CB274">
        <v>6</v>
      </c>
      <c r="CC274">
        <v>60640.399485000002</v>
      </c>
      <c r="CD274" s="10">
        <v>21117.263771000002</v>
      </c>
      <c r="CE274" s="255">
        <v>0.3482375437883381</v>
      </c>
      <c r="CF274" t="str">
        <f>IFERROR(VLOOKUP(CE274,'Rangos amb etnico'!$A$2:$C$6,3,9),"N.D.")</f>
        <v>31% - 50%</v>
      </c>
      <c r="CG274" s="256">
        <v>6.1438080811332093E-4</v>
      </c>
      <c r="CH274" s="232">
        <v>0</v>
      </c>
      <c r="CI274" s="311">
        <f t="shared" si="130"/>
        <v>0</v>
      </c>
      <c r="CJ274" s="232">
        <f>IFERROR(VLOOKUP(CI274,'Rangos amb etnico'!$A$2:$C$6,3,9),"N.D.")</f>
        <v>0</v>
      </c>
      <c r="CK274" s="311">
        <f t="shared" si="131"/>
        <v>0</v>
      </c>
      <c r="CL274" s="10">
        <v>0</v>
      </c>
      <c r="CM274" s="255">
        <f t="shared" si="132"/>
        <v>0</v>
      </c>
      <c r="CN274" s="232">
        <f>IFERROR(VLOOKUP(CM274,'Rangos amb etnico'!$A$2:$C$6,3,9),"N.D.")</f>
        <v>0</v>
      </c>
      <c r="CO274" s="311">
        <f t="shared" si="133"/>
        <v>0</v>
      </c>
      <c r="CP274">
        <v>0.93705168975501829</v>
      </c>
      <c r="CQ274" t="s">
        <v>2864</v>
      </c>
      <c r="CR274">
        <f t="shared" si="124"/>
        <v>4</v>
      </c>
      <c r="CS274" t="str">
        <f t="shared" si="134"/>
        <v>Candidato</v>
      </c>
      <c r="CT274">
        <v>0</v>
      </c>
      <c r="CU274">
        <v>0</v>
      </c>
      <c r="CV274" s="25">
        <v>45.324840545654297</v>
      </c>
      <c r="CW274" s="25">
        <v>36.447017669677727</v>
      </c>
      <c r="CX274" s="25">
        <v>42.276744842529297</v>
      </c>
      <c r="CY274" s="25">
        <v>81.542556762695313</v>
      </c>
      <c r="CZ274" s="25">
        <v>48.267997741699219</v>
      </c>
      <c r="DA274" s="25">
        <v>10.209860801696779</v>
      </c>
      <c r="DB274" s="25">
        <v>53.204860687255859</v>
      </c>
      <c r="DC274">
        <v>886</v>
      </c>
      <c r="DD274" s="253" t="s">
        <v>380</v>
      </c>
    </row>
    <row r="275" spans="1:108" hidden="1">
      <c r="A275" s="13">
        <v>52685</v>
      </c>
      <c r="B275" s="13" t="s">
        <v>1010</v>
      </c>
      <c r="C275" s="13" t="s">
        <v>672</v>
      </c>
      <c r="D275" s="13" t="s">
        <v>673</v>
      </c>
      <c r="E275" s="13" t="s">
        <v>1011</v>
      </c>
      <c r="F275" s="14">
        <v>67.339933333333306</v>
      </c>
      <c r="G275" s="13">
        <v>56.2</v>
      </c>
      <c r="H275" s="13">
        <v>48.52</v>
      </c>
      <c r="I275" s="13">
        <v>48.88</v>
      </c>
      <c r="J275" s="14">
        <v>55.73398244037773</v>
      </c>
      <c r="K275" s="14">
        <v>57.000436922869241</v>
      </c>
      <c r="L275" s="14">
        <v>62.770349796707933</v>
      </c>
      <c r="M275" s="14">
        <v>46.729900000000001</v>
      </c>
      <c r="N275" s="14">
        <f t="shared" si="108"/>
        <v>55.234983333333325</v>
      </c>
      <c r="O275" s="14">
        <f t="shared" si="109"/>
        <v>55.558667289988719</v>
      </c>
      <c r="P275" s="14">
        <f t="shared" si="125"/>
        <v>55.396825311661019</v>
      </c>
      <c r="Q275" s="14">
        <v>48.165752195614573</v>
      </c>
      <c r="R275" s="17">
        <f t="shared" si="110"/>
        <v>51.834247804385427</v>
      </c>
      <c r="S275" s="14">
        <f t="shared" si="126"/>
        <v>0.56650823023946884</v>
      </c>
      <c r="T275" s="13">
        <v>0</v>
      </c>
      <c r="U275" s="13">
        <f t="shared" si="127"/>
        <v>31.382757468194097</v>
      </c>
      <c r="V275" s="13">
        <f>IF($T275=1,$AU275,(VLOOKUP(U275,'Cortes naturales'!$A$35:$C$39,3,9)))</f>
        <v>3</v>
      </c>
      <c r="W275" s="13">
        <v>3</v>
      </c>
      <c r="X275" s="14" t="b">
        <f t="shared" si="111"/>
        <v>1</v>
      </c>
      <c r="Y275" s="17">
        <f>IF($T275=1,$AU275,VLOOKUP(U275,'Cortes naturales'!$A$45:$C$49,3,9))</f>
        <v>3</v>
      </c>
      <c r="Z275" s="14">
        <v>59.250594195641384</v>
      </c>
      <c r="AA275" s="14">
        <v>0.58043699123519155</v>
      </c>
      <c r="AB275" s="14">
        <v>34.391236623815388</v>
      </c>
      <c r="AC275" s="13">
        <v>3</v>
      </c>
      <c r="AD275" s="13">
        <f t="shared" si="112"/>
        <v>0</v>
      </c>
      <c r="AE275" s="14">
        <f t="shared" si="113"/>
        <v>-3.853768883980365</v>
      </c>
      <c r="AF275" s="14">
        <f t="shared" si="114"/>
        <v>-1.3928760995722711E-2</v>
      </c>
      <c r="AG275" s="13">
        <f t="shared" si="115"/>
        <v>-3.0084791556212913</v>
      </c>
      <c r="AH275" s="13">
        <f>IF($T275=1,$AU275,VLOOKUP(U275,'Cortes naturales'!$A$25:$C$29,3,9))</f>
        <v>3</v>
      </c>
      <c r="AI275" s="13" t="b">
        <f t="shared" si="116"/>
        <v>1</v>
      </c>
      <c r="AJ275" s="13">
        <f t="shared" si="117"/>
        <v>0</v>
      </c>
      <c r="AK275" s="28">
        <v>0.9741882058902549</v>
      </c>
      <c r="AL275" s="28">
        <v>57.72123005738343</v>
      </c>
      <c r="AM275" s="28">
        <v>0.55140573226437728</v>
      </c>
      <c r="AN275" s="13">
        <v>2</v>
      </c>
      <c r="AO275" s="33">
        <f t="shared" si="118"/>
        <v>-1</v>
      </c>
      <c r="AP275" s="13">
        <f t="shared" si="128"/>
        <v>55.140573226437731</v>
      </c>
      <c r="AQ275" s="13">
        <f>IFERROR(VLOOKUP(U275,'Cortes naturales'!$E$15:$G$19,3,9),U275)</f>
        <v>4</v>
      </c>
      <c r="AR275" s="28">
        <f t="shared" si="119"/>
        <v>-0.40767997565078606</v>
      </c>
      <c r="AS275" s="13" t="b">
        <f t="shared" si="120"/>
        <v>0</v>
      </c>
      <c r="AT275" s="13" t="str">
        <f t="shared" si="129"/>
        <v>Cambio en corte</v>
      </c>
      <c r="AU275" s="13">
        <v>2</v>
      </c>
      <c r="AV275">
        <f t="shared" si="121"/>
        <v>-1</v>
      </c>
      <c r="AW275" s="13">
        <v>0</v>
      </c>
      <c r="AX275" s="13">
        <v>0</v>
      </c>
      <c r="AY275" s="13">
        <v>0</v>
      </c>
      <c r="AZ275" s="13">
        <v>0</v>
      </c>
      <c r="BA275">
        <v>0</v>
      </c>
      <c r="BB275" t="s">
        <v>2839</v>
      </c>
      <c r="BC275">
        <v>6</v>
      </c>
      <c r="BD275" t="s">
        <v>2919</v>
      </c>
      <c r="BE275">
        <v>0</v>
      </c>
      <c r="BF275" s="232" t="s">
        <v>2846</v>
      </c>
      <c r="BG275" s="232" t="s">
        <v>2846</v>
      </c>
      <c r="BH275" s="253">
        <v>59.4</v>
      </c>
      <c r="BI275" s="253">
        <v>21.241830065359476</v>
      </c>
      <c r="BJ275" s="25">
        <v>28.245705792893688</v>
      </c>
      <c r="BK275" t="s">
        <v>379</v>
      </c>
      <c r="BL275">
        <v>3.5835080222551605</v>
      </c>
      <c r="BM275" t="s">
        <v>383</v>
      </c>
      <c r="BN275" s="322">
        <v>21463.295608</v>
      </c>
      <c r="BO275" s="322">
        <v>537.26114600000005</v>
      </c>
      <c r="BP275" s="10">
        <v>9192</v>
      </c>
      <c r="BQ275" s="254">
        <f t="shared" si="122"/>
        <v>2.3349973463881635</v>
      </c>
      <c r="BR275" s="254">
        <f t="shared" si="123"/>
        <v>5.8448775674499569E-2</v>
      </c>
      <c r="BS275" s="25">
        <v>55.793966163175853</v>
      </c>
      <c r="BT275" s="25">
        <v>90.461851995938503</v>
      </c>
      <c r="BU275" s="25">
        <v>48.657777777777767</v>
      </c>
      <c r="BV275" s="25">
        <v>98.698301764040153</v>
      </c>
      <c r="BW275" s="25">
        <v>53.961334940534172</v>
      </c>
      <c r="BX275" s="25">
        <v>73.402974425233069</v>
      </c>
      <c r="BY275" s="25">
        <v>54.919424569371493</v>
      </c>
      <c r="BZ275">
        <v>69</v>
      </c>
      <c r="CA275">
        <v>0</v>
      </c>
      <c r="CB275">
        <v>7</v>
      </c>
      <c r="CC275">
        <v>6521.0264029999998</v>
      </c>
      <c r="CD275" s="10">
        <v>2115.6474349999999</v>
      </c>
      <c r="CE275" s="255">
        <v>0.32443472917494948</v>
      </c>
      <c r="CF275" t="str">
        <f>IFERROR(VLOOKUP(CE275,'Rangos amb etnico'!$A$2:$C$6,3,9),"N.D.")</f>
        <v>31% - 50%</v>
      </c>
      <c r="CG275" s="256">
        <v>6.1552159166718701E-5</v>
      </c>
      <c r="CH275" s="232">
        <v>0</v>
      </c>
      <c r="CI275" s="311">
        <f t="shared" si="130"/>
        <v>0</v>
      </c>
      <c r="CJ275" s="232">
        <f>IFERROR(VLOOKUP(CI275,'Rangos amb etnico'!$A$2:$C$6,3,9),"N.D.")</f>
        <v>0</v>
      </c>
      <c r="CK275" s="311">
        <f t="shared" si="131"/>
        <v>0</v>
      </c>
      <c r="CL275" s="10">
        <v>0</v>
      </c>
      <c r="CM275" s="255">
        <f t="shared" si="132"/>
        <v>0</v>
      </c>
      <c r="CN275" s="232">
        <f>IFERROR(VLOOKUP(CM275,'Rangos amb etnico'!$A$2:$C$6,3,9),"N.D.")</f>
        <v>0</v>
      </c>
      <c r="CO275" s="311">
        <f t="shared" si="133"/>
        <v>0</v>
      </c>
      <c r="CP275">
        <v>0.92616787733769868</v>
      </c>
      <c r="CQ275" t="s">
        <v>2864</v>
      </c>
      <c r="CR275">
        <f t="shared" si="124"/>
        <v>1</v>
      </c>
      <c r="CS275" t="str">
        <f t="shared" si="134"/>
        <v>No es Candidato</v>
      </c>
      <c r="CT275">
        <v>0</v>
      </c>
      <c r="CU275">
        <v>0</v>
      </c>
      <c r="CV275" s="25">
        <v>52.839229583740227</v>
      </c>
      <c r="CW275" s="25">
        <v>25.614749908447269</v>
      </c>
      <c r="CX275" s="25">
        <v>49.692600250244141</v>
      </c>
      <c r="CY275" s="25">
        <v>64.442779541015625</v>
      </c>
      <c r="CZ275" s="25">
        <v>40.543468475341797</v>
      </c>
      <c r="DA275" s="25">
        <v>86.312629699707031</v>
      </c>
      <c r="DB275" s="25">
        <v>50.429141998291023</v>
      </c>
      <c r="DC275">
        <v>180</v>
      </c>
      <c r="DD275" s="253" t="s">
        <v>380</v>
      </c>
    </row>
    <row r="276" spans="1:108" hidden="1">
      <c r="A276" s="13">
        <v>44279</v>
      </c>
      <c r="B276" s="13" t="s">
        <v>1012</v>
      </c>
      <c r="C276" s="13" t="s">
        <v>933</v>
      </c>
      <c r="D276" s="13" t="s">
        <v>934</v>
      </c>
      <c r="E276" s="13" t="s">
        <v>1013</v>
      </c>
      <c r="F276" s="14">
        <v>73.132900000000006</v>
      </c>
      <c r="G276" s="13">
        <v>78.22</v>
      </c>
      <c r="H276" s="13">
        <v>47.82</v>
      </c>
      <c r="I276" s="13">
        <v>40.14</v>
      </c>
      <c r="J276" s="14">
        <v>63.104481900175777</v>
      </c>
      <c r="K276" s="14">
        <v>54.580520918253875</v>
      </c>
      <c r="L276" s="14">
        <v>68.985426608880488</v>
      </c>
      <c r="M276" s="14">
        <v>66.813000000000002</v>
      </c>
      <c r="N276" s="14">
        <f t="shared" si="108"/>
        <v>59.828225000000003</v>
      </c>
      <c r="O276" s="14">
        <f t="shared" si="109"/>
        <v>63.370857356827528</v>
      </c>
      <c r="P276" s="14">
        <f t="shared" si="125"/>
        <v>61.599541178413766</v>
      </c>
      <c r="Q276" s="14">
        <v>48.005843816002496</v>
      </c>
      <c r="R276" s="17">
        <f t="shared" si="110"/>
        <v>51.994156183997504</v>
      </c>
      <c r="S276" s="14">
        <f t="shared" si="126"/>
        <v>0.56794740565597757</v>
      </c>
      <c r="T276" s="13">
        <v>0</v>
      </c>
      <c r="U276" s="13">
        <f t="shared" si="127"/>
        <v>34.985299601878658</v>
      </c>
      <c r="V276" s="13">
        <f>IF($T276=1,$AU276,(VLOOKUP(U276,'Cortes naturales'!$A$35:$C$39,3,9)))</f>
        <v>3</v>
      </c>
      <c r="W276" s="13">
        <v>3</v>
      </c>
      <c r="X276" s="14" t="b">
        <f t="shared" si="111"/>
        <v>1</v>
      </c>
      <c r="Y276" s="17">
        <f>IF($T276=1,$AU276,VLOOKUP(U276,'Cortes naturales'!$A$45:$C$49,3,9))</f>
        <v>3</v>
      </c>
      <c r="Z276" s="14">
        <v>63.156789091906042</v>
      </c>
      <c r="AA276" s="14">
        <v>0.57948211485263912</v>
      </c>
      <c r="AB276" s="14">
        <v>36.598229710279803</v>
      </c>
      <c r="AC276" s="13">
        <v>2</v>
      </c>
      <c r="AD276" s="13">
        <f t="shared" si="112"/>
        <v>-1</v>
      </c>
      <c r="AE276" s="14">
        <f t="shared" si="113"/>
        <v>-1.5572479134922759</v>
      </c>
      <c r="AF276" s="14">
        <f t="shared" si="114"/>
        <v>-1.1534709196661552E-2</v>
      </c>
      <c r="AG276" s="13">
        <f t="shared" si="115"/>
        <v>-1.6129301084011445</v>
      </c>
      <c r="AH276" s="13">
        <f>IF($T276=1,$AU276,VLOOKUP(U276,'Cortes naturales'!$A$25:$C$29,3,9))</f>
        <v>2</v>
      </c>
      <c r="AI276" s="13" t="b">
        <f t="shared" si="116"/>
        <v>0</v>
      </c>
      <c r="AJ276" s="13" t="str">
        <f t="shared" si="117"/>
        <v>Cambio en corte</v>
      </c>
      <c r="AK276" s="28">
        <v>0.9741882058902549</v>
      </c>
      <c r="AL276" s="28">
        <v>61.52659905523317</v>
      </c>
      <c r="AM276" s="28">
        <v>0.59900688719045836</v>
      </c>
      <c r="AN276" s="13">
        <v>2</v>
      </c>
      <c r="AO276" s="33">
        <f t="shared" si="118"/>
        <v>-1</v>
      </c>
      <c r="AP276" s="13">
        <f t="shared" si="128"/>
        <v>59.900688719045839</v>
      </c>
      <c r="AQ276" s="13">
        <f>IFERROR(VLOOKUP(U276,'Cortes naturales'!$E$15:$G$19,3,9),U276)</f>
        <v>4</v>
      </c>
      <c r="AR276" s="28">
        <f t="shared" si="119"/>
        <v>-0.40624080023427733</v>
      </c>
      <c r="AS276" s="13" t="b">
        <f t="shared" si="120"/>
        <v>0</v>
      </c>
      <c r="AT276" s="13" t="str">
        <f t="shared" si="129"/>
        <v>Cambio en corte</v>
      </c>
      <c r="AU276" s="13">
        <v>2</v>
      </c>
      <c r="AV276">
        <f t="shared" si="121"/>
        <v>-1</v>
      </c>
      <c r="AW276" s="13">
        <v>0</v>
      </c>
      <c r="AX276" s="13">
        <v>0</v>
      </c>
      <c r="AY276" s="13">
        <v>0</v>
      </c>
      <c r="AZ276" s="13">
        <v>1</v>
      </c>
      <c r="BA276">
        <v>1</v>
      </c>
      <c r="BB276" t="s">
        <v>2839</v>
      </c>
      <c r="BC276">
        <v>6</v>
      </c>
      <c r="BD276" t="s">
        <v>2919</v>
      </c>
      <c r="BE276">
        <v>0</v>
      </c>
      <c r="BF276" s="232" t="s">
        <v>2846</v>
      </c>
      <c r="BG276" s="232" t="s">
        <v>2846</v>
      </c>
      <c r="BH276" s="253">
        <v>36</v>
      </c>
      <c r="BI276" s="253">
        <v>19.428459485270711</v>
      </c>
      <c r="BJ276" s="25">
        <v>7.9339753374116704</v>
      </c>
      <c r="BK276" t="s">
        <v>377</v>
      </c>
      <c r="BL276">
        <v>1.5685237515518542</v>
      </c>
      <c r="BM276" t="s">
        <v>383</v>
      </c>
      <c r="BN276" s="322">
        <v>122152.96357599999</v>
      </c>
      <c r="BO276" s="322">
        <v>7990.6537580000004</v>
      </c>
      <c r="BP276" s="10">
        <v>53775</v>
      </c>
      <c r="BQ276" s="254">
        <f t="shared" si="122"/>
        <v>2.2715567378149695</v>
      </c>
      <c r="BR276" s="254">
        <f t="shared" si="123"/>
        <v>0.14859421214318921</v>
      </c>
      <c r="BS276" s="25">
        <v>68.409427688769938</v>
      </c>
      <c r="BT276" s="25">
        <v>93.906281018131111</v>
      </c>
      <c r="BU276" s="25">
        <v>50.655045469855168</v>
      </c>
      <c r="BV276" s="25">
        <v>91.711830077218181</v>
      </c>
      <c r="BW276" s="25">
        <v>44.787171856782152</v>
      </c>
      <c r="BX276" s="25">
        <v>76.170646063493592</v>
      </c>
      <c r="BY276" s="25">
        <v>47.08694920158586</v>
      </c>
      <c r="BZ276">
        <v>76</v>
      </c>
      <c r="CA276">
        <v>0</v>
      </c>
      <c r="CB276">
        <v>7</v>
      </c>
      <c r="CC276">
        <v>47251.710445999997</v>
      </c>
      <c r="CD276" s="10">
        <v>30995.219163000002</v>
      </c>
      <c r="CE276" s="255">
        <v>0.6559597286625598</v>
      </c>
      <c r="CF276" t="str">
        <f>IFERROR(VLOOKUP(CE276,'Rangos amb etnico'!$A$2:$C$6,3,9),"N.D.")</f>
        <v>51% - 70%</v>
      </c>
      <c r="CG276" s="256">
        <v>9.0176776705155784E-4</v>
      </c>
      <c r="CH276" s="232">
        <v>1279.6990499999999</v>
      </c>
      <c r="CI276" s="311">
        <f t="shared" si="130"/>
        <v>2.7082597390044965E-2</v>
      </c>
      <c r="CJ276" s="232" t="str">
        <f>IFERROR(VLOOKUP(CI276,'Rangos amb etnico'!$A$2:$C$6,3,9),"N.D.")</f>
        <v>0,1% - 30%</v>
      </c>
      <c r="CK276" s="311">
        <f t="shared" si="131"/>
        <v>5.0812430731238052E-5</v>
      </c>
      <c r="CL276" s="10">
        <v>0</v>
      </c>
      <c r="CM276" s="255">
        <f t="shared" si="132"/>
        <v>0</v>
      </c>
      <c r="CN276" s="232">
        <f>IFERROR(VLOOKUP(CM276,'Rangos amb etnico'!$A$2:$C$6,3,9),"N.D.")</f>
        <v>0</v>
      </c>
      <c r="CO276" s="311">
        <f t="shared" si="133"/>
        <v>0</v>
      </c>
      <c r="CP276">
        <v>0.89763400380260894</v>
      </c>
      <c r="CQ276" t="s">
        <v>2864</v>
      </c>
      <c r="CR276">
        <f t="shared" si="124"/>
        <v>2</v>
      </c>
      <c r="CS276" t="str">
        <f t="shared" si="134"/>
        <v>No es Candidato</v>
      </c>
      <c r="CT276">
        <v>1</v>
      </c>
      <c r="CU276" t="s">
        <v>2836</v>
      </c>
      <c r="CV276" s="25">
        <v>43.146549224853523</v>
      </c>
      <c r="CW276" s="25">
        <v>31.275522232055661</v>
      </c>
      <c r="CX276" s="25">
        <v>38.553623199462891</v>
      </c>
      <c r="CY276" s="25">
        <v>51.838363647460938</v>
      </c>
      <c r="CZ276" s="25">
        <v>25.13029861450195</v>
      </c>
      <c r="DA276" s="25">
        <v>51.428562164306641</v>
      </c>
      <c r="DB276" s="25">
        <v>60.652931213378913</v>
      </c>
      <c r="DC276">
        <v>5672</v>
      </c>
      <c r="DD276" s="253" t="s">
        <v>380</v>
      </c>
    </row>
    <row r="277" spans="1:108" hidden="1">
      <c r="A277" s="13">
        <v>54172</v>
      </c>
      <c r="B277" s="13" t="s">
        <v>1014</v>
      </c>
      <c r="C277" s="13" t="s">
        <v>517</v>
      </c>
      <c r="D277" s="13" t="s">
        <v>518</v>
      </c>
      <c r="E277" s="13" t="s">
        <v>1015</v>
      </c>
      <c r="F277" s="14">
        <v>82.559899999999999</v>
      </c>
      <c r="G277" s="13">
        <v>90.28</v>
      </c>
      <c r="H277" s="13">
        <v>88.45</v>
      </c>
      <c r="I277" s="13">
        <v>85.65</v>
      </c>
      <c r="J277" s="14">
        <v>54.300280184952399</v>
      </c>
      <c r="K277" s="14">
        <v>56.010500236598602</v>
      </c>
      <c r="L277" s="14">
        <v>63.934938122387734</v>
      </c>
      <c r="M277" s="14">
        <v>56.838999999999999</v>
      </c>
      <c r="N277" s="14">
        <f t="shared" si="108"/>
        <v>86.734974999999991</v>
      </c>
      <c r="O277" s="14">
        <f t="shared" si="109"/>
        <v>57.77117963598468</v>
      </c>
      <c r="P277" s="14">
        <f t="shared" si="125"/>
        <v>72.253077317992336</v>
      </c>
      <c r="Q277" s="14">
        <v>47.580410919482233</v>
      </c>
      <c r="R277" s="17">
        <f t="shared" si="110"/>
        <v>52.419589080517767</v>
      </c>
      <c r="S277" s="14">
        <f t="shared" si="126"/>
        <v>0.57177630172465999</v>
      </c>
      <c r="T277" s="13">
        <v>0</v>
      </c>
      <c r="U277" s="13">
        <f t="shared" si="127"/>
        <v>41.312597337107576</v>
      </c>
      <c r="V277" s="13">
        <f>IF($T277=1,$AU277,(VLOOKUP(U277,'Cortes naturales'!$A$35:$C$39,3,9)))</f>
        <v>2</v>
      </c>
      <c r="W277" s="13">
        <v>2</v>
      </c>
      <c r="X277" s="14" t="b">
        <f t="shared" si="111"/>
        <v>1</v>
      </c>
      <c r="Y277" s="17">
        <f>IF($T277=1,$AU277,VLOOKUP(U277,'Cortes naturales'!$A$45:$C$49,3,9))</f>
        <v>2</v>
      </c>
      <c r="Z277" s="14">
        <v>69.850070539898155</v>
      </c>
      <c r="AA277" s="14">
        <v>0.5805376446416074</v>
      </c>
      <c r="AB277" s="14">
        <v>40.550595429282602</v>
      </c>
      <c r="AC277" s="13">
        <v>2</v>
      </c>
      <c r="AD277" s="13">
        <f t="shared" si="112"/>
        <v>0</v>
      </c>
      <c r="AE277" s="14">
        <f t="shared" si="113"/>
        <v>2.4030067780941806</v>
      </c>
      <c r="AF277" s="14">
        <f t="shared" si="114"/>
        <v>-8.7613429169474122E-3</v>
      </c>
      <c r="AG277" s="13">
        <f t="shared" si="115"/>
        <v>0.76200190782497401</v>
      </c>
      <c r="AH277" s="13">
        <f>IF($T277=1,$AU277,VLOOKUP(U277,'Cortes naturales'!$A$25:$C$29,3,9))</f>
        <v>2</v>
      </c>
      <c r="AI277" s="13" t="b">
        <f t="shared" si="116"/>
        <v>1</v>
      </c>
      <c r="AJ277" s="13">
        <f t="shared" si="117"/>
        <v>0</v>
      </c>
      <c r="AK277" s="28">
        <v>0.9741882058902549</v>
      </c>
      <c r="AL277" s="28">
        <v>68.047114900571131</v>
      </c>
      <c r="AM277" s="28">
        <v>0.68057166714406714</v>
      </c>
      <c r="AN277" s="13">
        <v>1</v>
      </c>
      <c r="AO277" s="33">
        <f t="shared" si="118"/>
        <v>-1</v>
      </c>
      <c r="AP277" s="13">
        <f t="shared" si="128"/>
        <v>68.057166714406719</v>
      </c>
      <c r="AQ277" s="13">
        <f>IFERROR(VLOOKUP(U277,'Cortes naturales'!$E$15:$G$19,3,9),U277)</f>
        <v>3</v>
      </c>
      <c r="AR277" s="28">
        <f t="shared" si="119"/>
        <v>-0.40241190416559491</v>
      </c>
      <c r="AS277" s="13" t="b">
        <f t="shared" si="120"/>
        <v>0</v>
      </c>
      <c r="AT277" s="13" t="str">
        <f t="shared" si="129"/>
        <v>Cambio en corte</v>
      </c>
      <c r="AU277" s="13">
        <v>2</v>
      </c>
      <c r="AV277">
        <f t="shared" si="121"/>
        <v>0</v>
      </c>
      <c r="AW277" s="13">
        <v>0</v>
      </c>
      <c r="AX277" s="13">
        <v>0</v>
      </c>
      <c r="AY277" s="13">
        <v>0</v>
      </c>
      <c r="AZ277" s="13">
        <v>0</v>
      </c>
      <c r="BA277">
        <v>0</v>
      </c>
      <c r="BB277" t="s">
        <v>2839</v>
      </c>
      <c r="BC277">
        <v>6</v>
      </c>
      <c r="BD277" t="s">
        <v>2919</v>
      </c>
      <c r="BE277">
        <v>0</v>
      </c>
      <c r="BF277" s="232" t="s">
        <v>2846</v>
      </c>
      <c r="BG277" s="232" t="s">
        <v>2846</v>
      </c>
      <c r="BH277" s="253">
        <v>30.3</v>
      </c>
      <c r="BI277" s="253">
        <v>15.116570569064928</v>
      </c>
      <c r="BJ277" s="25">
        <v>24.481193583606284</v>
      </c>
      <c r="BK277" t="s">
        <v>379</v>
      </c>
      <c r="BL277">
        <v>1.5112867580886942</v>
      </c>
      <c r="BM277" t="s">
        <v>383</v>
      </c>
      <c r="BN277" s="322">
        <v>38266.574941999999</v>
      </c>
      <c r="BO277" s="322">
        <v>9506.1046829999996</v>
      </c>
      <c r="BP277" s="10">
        <v>20021</v>
      </c>
      <c r="BQ277" s="254">
        <f t="shared" si="122"/>
        <v>1.9113218591478947</v>
      </c>
      <c r="BR277" s="254">
        <f t="shared" si="123"/>
        <v>0.47480668712851504</v>
      </c>
      <c r="BS277" s="25">
        <v>67.264159637213524</v>
      </c>
      <c r="BT277" s="25">
        <v>88.983989783227614</v>
      </c>
      <c r="BU277" s="25">
        <v>49.762600849256899</v>
      </c>
      <c r="BV277" s="25">
        <v>90.440821153135843</v>
      </c>
      <c r="BW277" s="25">
        <v>65.336300706782168</v>
      </c>
      <c r="BX277" s="25">
        <v>74.112892855708466</v>
      </c>
      <c r="BY277" s="25">
        <v>66.657358524295162</v>
      </c>
      <c r="BZ277">
        <v>24</v>
      </c>
      <c r="CA277">
        <v>0</v>
      </c>
      <c r="CB277">
        <v>7</v>
      </c>
      <c r="CC277">
        <v>16589.175975999999</v>
      </c>
      <c r="CD277" s="10">
        <v>9105.3504690000009</v>
      </c>
      <c r="CE277" s="255">
        <v>0.5488729809227989</v>
      </c>
      <c r="CF277" t="str">
        <f>IFERROR(VLOOKUP(CE277,'Rangos amb etnico'!$A$2:$C$6,3,9),"N.D.")</f>
        <v>51% - 70%</v>
      </c>
      <c r="CG277" s="256">
        <v>2.6490896926625439E-4</v>
      </c>
      <c r="CH277" s="232">
        <v>0</v>
      </c>
      <c r="CI277" s="311">
        <f t="shared" si="130"/>
        <v>0</v>
      </c>
      <c r="CJ277" s="232">
        <f>IFERROR(VLOOKUP(CI277,'Rangos amb etnico'!$A$2:$C$6,3,9),"N.D.")</f>
        <v>0</v>
      </c>
      <c r="CK277" s="311">
        <f t="shared" si="131"/>
        <v>0</v>
      </c>
      <c r="CL277" s="10">
        <v>0</v>
      </c>
      <c r="CM277" s="255">
        <f t="shared" si="132"/>
        <v>0</v>
      </c>
      <c r="CN277" s="232">
        <f>IFERROR(VLOOKUP(CM277,'Rangos amb etnico'!$A$2:$C$6,3,9),"N.D.")</f>
        <v>0</v>
      </c>
      <c r="CO277" s="311">
        <f t="shared" si="133"/>
        <v>0</v>
      </c>
      <c r="CP277">
        <v>0.81481737530418963</v>
      </c>
      <c r="CQ277" t="s">
        <v>2865</v>
      </c>
      <c r="CR277">
        <f t="shared" si="124"/>
        <v>3</v>
      </c>
      <c r="CS277" t="str">
        <f t="shared" si="134"/>
        <v>Candidato</v>
      </c>
      <c r="CT277">
        <v>1</v>
      </c>
      <c r="CU277" t="s">
        <v>2836</v>
      </c>
      <c r="CV277" s="25">
        <v>51.352928161621087</v>
      </c>
      <c r="CW277" s="25">
        <v>33.998249053955078</v>
      </c>
      <c r="CX277" s="25">
        <v>46.921440124511719</v>
      </c>
      <c r="CY277" s="25">
        <v>67.496177673339844</v>
      </c>
      <c r="CZ277" s="25">
        <v>42.311851501464837</v>
      </c>
      <c r="DA277" s="25">
        <v>56.461326599121087</v>
      </c>
      <c r="DB277" s="25">
        <v>60.928524017333977</v>
      </c>
      <c r="DC277">
        <v>172</v>
      </c>
      <c r="DD277" s="253" t="s">
        <v>380</v>
      </c>
    </row>
    <row r="278" spans="1:108" hidden="1">
      <c r="A278" s="13">
        <v>15104</v>
      </c>
      <c r="B278" s="13" t="s">
        <v>1016</v>
      </c>
      <c r="C278" s="13" t="s">
        <v>498</v>
      </c>
      <c r="D278" s="13" t="s">
        <v>499</v>
      </c>
      <c r="E278" s="13" t="s">
        <v>499</v>
      </c>
      <c r="F278" s="14">
        <v>75.767766666666702</v>
      </c>
      <c r="G278" s="13">
        <v>80.459999999999994</v>
      </c>
      <c r="H278" s="13">
        <v>76.14</v>
      </c>
      <c r="I278" s="13">
        <v>66.63</v>
      </c>
      <c r="J278" s="14">
        <v>60.587412665377201</v>
      </c>
      <c r="K278" s="14">
        <v>67.80703573778527</v>
      </c>
      <c r="L278" s="14">
        <v>60.460422558621616</v>
      </c>
      <c r="M278" s="14">
        <v>67.406999999999996</v>
      </c>
      <c r="N278" s="14">
        <f t="shared" si="108"/>
        <v>74.749441666666669</v>
      </c>
      <c r="O278" s="14">
        <f t="shared" si="109"/>
        <v>64.065467740446024</v>
      </c>
      <c r="P278" s="14">
        <f t="shared" si="125"/>
        <v>69.40745470355634</v>
      </c>
      <c r="Q278" s="14">
        <v>48.310227524668065</v>
      </c>
      <c r="R278" s="17">
        <f t="shared" si="110"/>
        <v>51.689772475331935</v>
      </c>
      <c r="S278" s="14">
        <f t="shared" si="126"/>
        <v>0.56520795227798737</v>
      </c>
      <c r="T278" s="13">
        <v>0</v>
      </c>
      <c r="U278" s="13">
        <f t="shared" si="127"/>
        <v>39.229645345824238</v>
      </c>
      <c r="V278" s="13">
        <f>IF($T278=1,$AU278,(VLOOKUP(U278,'Cortes naturales'!$A$35:$C$39,3,9)))</f>
        <v>2</v>
      </c>
      <c r="W278" s="13">
        <v>2</v>
      </c>
      <c r="X278" s="14" t="b">
        <f t="shared" si="111"/>
        <v>1</v>
      </c>
      <c r="Y278" s="17">
        <f>IF($T278=1,$AU278,VLOOKUP(U278,'Cortes naturales'!$A$45:$C$49,3,9))</f>
        <v>2</v>
      </c>
      <c r="Z278" s="14">
        <v>68.980584515019117</v>
      </c>
      <c r="AA278" s="14">
        <v>0.57791061388500009</v>
      </c>
      <c r="AB278" s="14">
        <v>39.864611943220829</v>
      </c>
      <c r="AC278" s="13">
        <v>2</v>
      </c>
      <c r="AD278" s="13">
        <f t="shared" si="112"/>
        <v>0</v>
      </c>
      <c r="AE278" s="14">
        <f t="shared" si="113"/>
        <v>0.42687018853722236</v>
      </c>
      <c r="AF278" s="14">
        <f t="shared" si="114"/>
        <v>-1.2702661607012722E-2</v>
      </c>
      <c r="AG278" s="13">
        <f t="shared" si="115"/>
        <v>-0.63496659739659123</v>
      </c>
      <c r="AH278" s="13">
        <f>IF($T278=1,$AU278,VLOOKUP(U278,'Cortes naturales'!$A$25:$C$29,3,9))</f>
        <v>2</v>
      </c>
      <c r="AI278" s="13" t="b">
        <f t="shared" si="116"/>
        <v>1</v>
      </c>
      <c r="AJ278" s="13">
        <f t="shared" si="117"/>
        <v>0</v>
      </c>
      <c r="AK278" s="28">
        <v>0.9741882058902549</v>
      </c>
      <c r="AL278" s="28">
        <v>67.200071869947578</v>
      </c>
      <c r="AM278" s="28">
        <v>0.66997605169848162</v>
      </c>
      <c r="AN278" s="13">
        <v>1</v>
      </c>
      <c r="AO278" s="33">
        <f t="shared" si="118"/>
        <v>-1</v>
      </c>
      <c r="AP278" s="13">
        <f t="shared" si="128"/>
        <v>66.997605169848157</v>
      </c>
      <c r="AQ278" s="13">
        <f>IFERROR(VLOOKUP(U278,'Cortes naturales'!$E$15:$G$19,3,9),U278)</f>
        <v>3</v>
      </c>
      <c r="AR278" s="28">
        <f t="shared" si="119"/>
        <v>-0.40898025361226753</v>
      </c>
      <c r="AS278" s="13" t="b">
        <f t="shared" si="120"/>
        <v>0</v>
      </c>
      <c r="AT278" s="13" t="str">
        <f t="shared" si="129"/>
        <v>Cambio en corte</v>
      </c>
      <c r="AU278" s="13">
        <v>2</v>
      </c>
      <c r="AV278">
        <f t="shared" si="121"/>
        <v>0</v>
      </c>
      <c r="AW278" s="13">
        <v>0</v>
      </c>
      <c r="AX278" s="13">
        <v>0</v>
      </c>
      <c r="AY278" s="13">
        <v>0</v>
      </c>
      <c r="AZ278" s="13">
        <v>0</v>
      </c>
      <c r="BA278">
        <v>0</v>
      </c>
      <c r="BB278" t="s">
        <v>2839</v>
      </c>
      <c r="BC278">
        <v>6</v>
      </c>
      <c r="BD278" t="s">
        <v>2919</v>
      </c>
      <c r="BE278">
        <v>0</v>
      </c>
      <c r="BF278" s="232" t="s">
        <v>2846</v>
      </c>
      <c r="BG278" s="232" t="s">
        <v>2846</v>
      </c>
      <c r="BH278" s="253">
        <v>39.700000000000003</v>
      </c>
      <c r="BI278" s="253">
        <v>11.225402504472273</v>
      </c>
      <c r="BJ278" s="25">
        <v>38.748169114047975</v>
      </c>
      <c r="BK278" t="s">
        <v>376</v>
      </c>
      <c r="BL278">
        <v>0</v>
      </c>
      <c r="BM278" t="s">
        <v>377</v>
      </c>
      <c r="BN278" s="322">
        <v>18343.025986000001</v>
      </c>
      <c r="BO278" s="322">
        <v>2263.1691940000001</v>
      </c>
      <c r="BP278" s="10">
        <v>5297</v>
      </c>
      <c r="BQ278" s="254">
        <f t="shared" si="122"/>
        <v>3.4629084360959035</v>
      </c>
      <c r="BR278" s="254">
        <f t="shared" si="123"/>
        <v>0.427254897866717</v>
      </c>
      <c r="BS278" s="25">
        <v>53.807635467980298</v>
      </c>
      <c r="BT278" s="25">
        <v>90.59863782266693</v>
      </c>
      <c r="BU278" s="25">
        <v>43.885460152973103</v>
      </c>
      <c r="BV278" s="25">
        <v>91.271457674861367</v>
      </c>
      <c r="BW278" s="25">
        <v>59.618360503528827</v>
      </c>
      <c r="BX278" s="25">
        <v>69.890797779620428</v>
      </c>
      <c r="BY278" s="25">
        <v>61.452335577097763</v>
      </c>
      <c r="BZ278">
        <v>0</v>
      </c>
      <c r="CA278">
        <v>0</v>
      </c>
      <c r="CB278">
        <v>7</v>
      </c>
      <c r="CC278">
        <v>4794.1120870000004</v>
      </c>
      <c r="CD278" s="10">
        <v>798.40022399999998</v>
      </c>
      <c r="CE278" s="255">
        <v>0.16653766318167434</v>
      </c>
      <c r="CF278" t="str">
        <f>IFERROR(VLOOKUP(CE278,'Rangos amb etnico'!$A$2:$C$6,3,9),"N.D.")</f>
        <v>0,1% - 30%</v>
      </c>
      <c r="CG278" s="256">
        <v>2.3228472217721792E-5</v>
      </c>
      <c r="CH278" s="232">
        <v>0</v>
      </c>
      <c r="CI278" s="311">
        <f t="shared" si="130"/>
        <v>0</v>
      </c>
      <c r="CJ278" s="232">
        <f>IFERROR(VLOOKUP(CI278,'Rangos amb etnico'!$A$2:$C$6,3,9),"N.D.")</f>
        <v>0</v>
      </c>
      <c r="CK278" s="311">
        <f t="shared" si="131"/>
        <v>0</v>
      </c>
      <c r="CL278" s="10">
        <v>0</v>
      </c>
      <c r="CM278" s="255">
        <f t="shared" si="132"/>
        <v>0</v>
      </c>
      <c r="CN278" s="232">
        <f>IFERROR(VLOOKUP(CM278,'Rangos amb etnico'!$A$2:$C$6,3,9),"N.D.")</f>
        <v>0</v>
      </c>
      <c r="CO278" s="311">
        <f t="shared" si="133"/>
        <v>0</v>
      </c>
      <c r="CP278">
        <v>0.970083810322107</v>
      </c>
      <c r="CQ278" t="s">
        <v>2864</v>
      </c>
      <c r="CR278">
        <f t="shared" si="124"/>
        <v>4</v>
      </c>
      <c r="CS278" t="str">
        <f t="shared" si="134"/>
        <v>Candidato</v>
      </c>
      <c r="CT278">
        <v>0</v>
      </c>
      <c r="CU278">
        <v>0</v>
      </c>
      <c r="CV278" s="25">
        <v>58.607093811035163</v>
      </c>
      <c r="CW278" s="25">
        <v>31.182281494140621</v>
      </c>
      <c r="CX278" s="25">
        <v>57.317047119140618</v>
      </c>
      <c r="CY278" s="25">
        <v>61.154422760009773</v>
      </c>
      <c r="CZ278" s="25">
        <v>76.898902893066406</v>
      </c>
      <c r="DA278" s="25">
        <v>78.195991516113281</v>
      </c>
      <c r="DB278" s="25">
        <v>46.893917083740227</v>
      </c>
      <c r="DC278">
        <v>22</v>
      </c>
      <c r="DD278" s="253" t="s">
        <v>380</v>
      </c>
    </row>
    <row r="279" spans="1:108" hidden="1">
      <c r="A279" s="13">
        <v>15516</v>
      </c>
      <c r="B279" s="13" t="s">
        <v>1017</v>
      </c>
      <c r="C279" s="13" t="s">
        <v>498</v>
      </c>
      <c r="D279" s="13" t="s">
        <v>499</v>
      </c>
      <c r="E279" s="13" t="s">
        <v>1018</v>
      </c>
      <c r="F279" s="14">
        <v>83.654466666666707</v>
      </c>
      <c r="G279" s="13">
        <v>83.95</v>
      </c>
      <c r="H279" s="13">
        <v>68.06</v>
      </c>
      <c r="I279" s="13">
        <v>82.04</v>
      </c>
      <c r="J279" s="14">
        <v>74.278053702437575</v>
      </c>
      <c r="K279" s="14">
        <v>68.672628394533646</v>
      </c>
      <c r="L279" s="14">
        <v>69.487966084375856</v>
      </c>
      <c r="M279" s="14">
        <v>63.533099999999997</v>
      </c>
      <c r="N279" s="14">
        <f t="shared" si="108"/>
        <v>79.426116666666687</v>
      </c>
      <c r="O279" s="14">
        <f t="shared" si="109"/>
        <v>68.99293704533676</v>
      </c>
      <c r="P279" s="14">
        <f t="shared" si="125"/>
        <v>74.20952685600173</v>
      </c>
      <c r="Q279" s="14">
        <v>47.899653690911379</v>
      </c>
      <c r="R279" s="17">
        <f t="shared" si="110"/>
        <v>52.100346309088621</v>
      </c>
      <c r="S279" s="14">
        <f t="shared" si="126"/>
        <v>0.56890311678179761</v>
      </c>
      <c r="T279" s="13">
        <v>0</v>
      </c>
      <c r="U279" s="13">
        <f t="shared" si="127"/>
        <v>42.218031123281897</v>
      </c>
      <c r="V279" s="13">
        <f>IF($T279=1,$AU279,(VLOOKUP(U279,'Cortes naturales'!$A$35:$C$39,3,9)))</f>
        <v>2</v>
      </c>
      <c r="W279" s="13">
        <v>2</v>
      </c>
      <c r="X279" s="14" t="b">
        <f t="shared" si="111"/>
        <v>1</v>
      </c>
      <c r="Y279" s="17">
        <f>IF($T279=1,$AU279,VLOOKUP(U279,'Cortes naturales'!$A$45:$C$49,3,9))</f>
        <v>2</v>
      </c>
      <c r="Z279" s="14">
        <v>73.132755070747095</v>
      </c>
      <c r="AA279" s="14">
        <v>0.5787610963585581</v>
      </c>
      <c r="AB279" s="14">
        <v>42.326393504467489</v>
      </c>
      <c r="AC279" s="13">
        <v>2</v>
      </c>
      <c r="AD279" s="13">
        <f t="shared" si="112"/>
        <v>0</v>
      </c>
      <c r="AE279" s="14">
        <f t="shared" si="113"/>
        <v>1.0767717852546355</v>
      </c>
      <c r="AF279" s="14">
        <f t="shared" si="114"/>
        <v>-9.8579795767604894E-3</v>
      </c>
      <c r="AG279" s="13">
        <f t="shared" si="115"/>
        <v>-0.10836238118559294</v>
      </c>
      <c r="AH279" s="13">
        <f>IF($T279=1,$AU279,VLOOKUP(U279,'Cortes naturales'!$A$25:$C$29,3,9))</f>
        <v>2</v>
      </c>
      <c r="AI279" s="13" t="b">
        <f t="shared" si="116"/>
        <v>1</v>
      </c>
      <c r="AJ279" s="13">
        <f t="shared" si="117"/>
        <v>0</v>
      </c>
      <c r="AK279" s="28">
        <v>0.9741882058902549</v>
      </c>
      <c r="AL279" s="28">
        <v>71.245067454182561</v>
      </c>
      <c r="AM279" s="28">
        <v>0.72057468263001101</v>
      </c>
      <c r="AN279" s="13">
        <v>1</v>
      </c>
      <c r="AO279" s="33">
        <f t="shared" si="118"/>
        <v>-1</v>
      </c>
      <c r="AP279" s="13">
        <f t="shared" si="128"/>
        <v>72.057468263001098</v>
      </c>
      <c r="AQ279" s="13">
        <f>IFERROR(VLOOKUP(U279,'Cortes naturales'!$E$15:$G$19,3,9),U279)</f>
        <v>3</v>
      </c>
      <c r="AR279" s="28">
        <f t="shared" si="119"/>
        <v>-0.40528508910845729</v>
      </c>
      <c r="AS279" s="13" t="b">
        <f t="shared" si="120"/>
        <v>0</v>
      </c>
      <c r="AT279" s="13" t="str">
        <f t="shared" si="129"/>
        <v>Cambio en corte</v>
      </c>
      <c r="AU279" s="13">
        <v>1</v>
      </c>
      <c r="AV279">
        <f t="shared" si="121"/>
        <v>-1</v>
      </c>
      <c r="AW279" s="13">
        <v>0</v>
      </c>
      <c r="AX279" s="13">
        <v>1</v>
      </c>
      <c r="AY279" s="13">
        <v>0</v>
      </c>
      <c r="AZ279" s="13">
        <v>0</v>
      </c>
      <c r="BA279">
        <v>0</v>
      </c>
      <c r="BB279" t="s">
        <v>2839</v>
      </c>
      <c r="BC279">
        <v>5</v>
      </c>
      <c r="BD279" t="s">
        <v>2919</v>
      </c>
      <c r="BE279">
        <v>0</v>
      </c>
      <c r="BF279" s="232" t="s">
        <v>2846</v>
      </c>
      <c r="BG279" s="232" t="s">
        <v>2846</v>
      </c>
      <c r="BH279" s="253">
        <v>16.2</v>
      </c>
      <c r="BI279" s="253">
        <v>5.1162491558671253</v>
      </c>
      <c r="BJ279" s="25">
        <v>9.1659269858263137</v>
      </c>
      <c r="BK279" t="s">
        <v>377</v>
      </c>
      <c r="BL279">
        <v>0.23587783998061293</v>
      </c>
      <c r="BM279" t="s">
        <v>383</v>
      </c>
      <c r="BN279" s="322">
        <v>67680.088185999994</v>
      </c>
      <c r="BO279" s="322">
        <v>22815.438480000001</v>
      </c>
      <c r="BP279" s="10">
        <v>37880</v>
      </c>
      <c r="BQ279" s="254">
        <f t="shared" si="122"/>
        <v>1.7866971538014782</v>
      </c>
      <c r="BR279" s="254">
        <f t="shared" si="123"/>
        <v>0.60230830200633578</v>
      </c>
      <c r="BS279" s="25">
        <v>77.701577909211451</v>
      </c>
      <c r="BT279" s="25">
        <v>96.052580932770141</v>
      </c>
      <c r="BU279" s="25">
        <v>40.700000000000003</v>
      </c>
      <c r="BV279" s="25">
        <v>85.607440143428775</v>
      </c>
      <c r="BW279" s="25">
        <v>65.33923328981848</v>
      </c>
      <c r="BX279" s="25">
        <v>75.015399746352585</v>
      </c>
      <c r="BY279" s="25">
        <v>66.246287613674752</v>
      </c>
      <c r="BZ279">
        <v>21</v>
      </c>
      <c r="CA279">
        <v>0</v>
      </c>
      <c r="CB279">
        <v>6</v>
      </c>
      <c r="CC279">
        <v>30454.372267999999</v>
      </c>
      <c r="CD279" s="10">
        <v>9429.7177040000006</v>
      </c>
      <c r="CE279" s="255">
        <v>0.3096342824280866</v>
      </c>
      <c r="CF279" t="str">
        <f>IFERROR(VLOOKUP(CE279,'Rangos amb etnico'!$A$2:$C$6,3,9),"N.D.")</f>
        <v>31% - 50%</v>
      </c>
      <c r="CG279" s="256">
        <v>2.7434603488829101E-4</v>
      </c>
      <c r="CH279" s="232">
        <v>0</v>
      </c>
      <c r="CI279" s="311">
        <f t="shared" si="130"/>
        <v>0</v>
      </c>
      <c r="CJ279" s="232">
        <f>IFERROR(VLOOKUP(CI279,'Rangos amb etnico'!$A$2:$C$6,3,9),"N.D.")</f>
        <v>0</v>
      </c>
      <c r="CK279" s="311">
        <f t="shared" si="131"/>
        <v>0</v>
      </c>
      <c r="CL279" s="10">
        <v>0</v>
      </c>
      <c r="CM279" s="255">
        <f t="shared" si="132"/>
        <v>0</v>
      </c>
      <c r="CN279" s="232">
        <f>IFERROR(VLOOKUP(CM279,'Rangos amb etnico'!$A$2:$C$6,3,9),"N.D.")</f>
        <v>0</v>
      </c>
      <c r="CO279" s="311">
        <f t="shared" si="133"/>
        <v>0</v>
      </c>
      <c r="CP279">
        <v>0.90188380651009203</v>
      </c>
      <c r="CQ279" t="s">
        <v>2864</v>
      </c>
      <c r="CR279">
        <f t="shared" si="124"/>
        <v>4</v>
      </c>
      <c r="CS279" t="str">
        <f t="shared" si="134"/>
        <v>Candidato</v>
      </c>
      <c r="CT279">
        <v>0</v>
      </c>
      <c r="CU279">
        <v>0</v>
      </c>
      <c r="CV279" s="25">
        <v>56.950962066650391</v>
      </c>
      <c r="CW279" s="25">
        <v>37.539237976074219</v>
      </c>
      <c r="CX279" s="25">
        <v>47.211170196533203</v>
      </c>
      <c r="CY279" s="25">
        <v>70.478462219238281</v>
      </c>
      <c r="CZ279" s="25">
        <v>61.304485321044922</v>
      </c>
      <c r="DA279" s="25">
        <v>53.352573394775391</v>
      </c>
      <c r="DB279" s="25">
        <v>71.819854736328125</v>
      </c>
      <c r="DC279">
        <v>171</v>
      </c>
      <c r="DD279" s="253" t="s">
        <v>380</v>
      </c>
    </row>
    <row r="280" spans="1:108" hidden="1">
      <c r="A280" s="13">
        <v>68406</v>
      </c>
      <c r="B280" s="13" t="s">
        <v>1019</v>
      </c>
      <c r="C280" s="13" t="s">
        <v>431</v>
      </c>
      <c r="D280" s="13" t="s">
        <v>432</v>
      </c>
      <c r="E280" s="13" t="s">
        <v>1020</v>
      </c>
      <c r="F280" s="14">
        <v>61.915033333333298</v>
      </c>
      <c r="G280" s="13">
        <v>63.96</v>
      </c>
      <c r="H280" s="13">
        <v>66.55</v>
      </c>
      <c r="I280" s="13">
        <v>71.47</v>
      </c>
      <c r="J280" s="14">
        <v>60.602091033193553</v>
      </c>
      <c r="K280" s="14">
        <v>67.944023716846502</v>
      </c>
      <c r="L280" s="14">
        <v>71.621676497190691</v>
      </c>
      <c r="M280" s="14">
        <v>60.393300000000004</v>
      </c>
      <c r="N280" s="14">
        <f t="shared" si="108"/>
        <v>65.973758333333336</v>
      </c>
      <c r="O280" s="14">
        <f t="shared" si="109"/>
        <v>65.140272811807691</v>
      </c>
      <c r="P280" s="14">
        <f t="shared" si="125"/>
        <v>65.557015572570521</v>
      </c>
      <c r="Q280" s="14">
        <v>47.066289970477406</v>
      </c>
      <c r="R280" s="17">
        <f t="shared" si="110"/>
        <v>52.933710029522594</v>
      </c>
      <c r="S280" s="14">
        <f t="shared" si="126"/>
        <v>0.57640339026570342</v>
      </c>
      <c r="T280" s="13">
        <v>0</v>
      </c>
      <c r="U280" s="13">
        <f t="shared" si="127"/>
        <v>37.787286031731163</v>
      </c>
      <c r="V280" s="13">
        <f>IF($T280=1,$AU280,(VLOOKUP(U280,'Cortes naturales'!$A$35:$C$39,3,9)))</f>
        <v>3</v>
      </c>
      <c r="W280" s="13">
        <v>3</v>
      </c>
      <c r="X280" s="14" t="b">
        <f t="shared" si="111"/>
        <v>1</v>
      </c>
      <c r="Y280" s="17">
        <f>IF($T280=1,$AU280,VLOOKUP(U280,'Cortes naturales'!$A$45:$C$49,3,9))</f>
        <v>2</v>
      </c>
      <c r="Z280" s="14">
        <v>63.969140784772556</v>
      </c>
      <c r="AA280" s="14">
        <v>0.57970486305417912</v>
      </c>
      <c r="AB280" s="14">
        <v>37.083221998330082</v>
      </c>
      <c r="AC280" s="13">
        <v>2</v>
      </c>
      <c r="AD280" s="13">
        <f t="shared" si="112"/>
        <v>0</v>
      </c>
      <c r="AE280" s="14">
        <f t="shared" si="113"/>
        <v>1.5878747877979649</v>
      </c>
      <c r="AF280" s="14">
        <f t="shared" si="114"/>
        <v>-3.3014727884757011E-3</v>
      </c>
      <c r="AG280" s="13">
        <f t="shared" si="115"/>
        <v>0.7040640334010817</v>
      </c>
      <c r="AH280" s="13">
        <f>IF($T280=1,$AU280,VLOOKUP(U280,'Cortes naturales'!$A$25:$C$29,3,9))</f>
        <v>2</v>
      </c>
      <c r="AI280" s="13" t="b">
        <f t="shared" si="116"/>
        <v>1</v>
      </c>
      <c r="AJ280" s="13">
        <f t="shared" si="117"/>
        <v>0</v>
      </c>
      <c r="AK280" s="28">
        <v>0.9741882058902549</v>
      </c>
      <c r="AL280" s="28">
        <v>62.317982493458707</v>
      </c>
      <c r="AM280" s="28">
        <v>0.60890625980588531</v>
      </c>
      <c r="AN280" s="13">
        <v>2</v>
      </c>
      <c r="AO280" s="33">
        <f t="shared" si="118"/>
        <v>0</v>
      </c>
      <c r="AP280" s="13">
        <f t="shared" si="128"/>
        <v>60.890625980588531</v>
      </c>
      <c r="AQ280" s="13">
        <f>IFERROR(VLOOKUP(U280,'Cortes naturales'!$E$15:$G$19,3,9),U280)</f>
        <v>3</v>
      </c>
      <c r="AR280" s="28">
        <f t="shared" si="119"/>
        <v>-0.39778481562455148</v>
      </c>
      <c r="AS280" s="13" t="b">
        <f t="shared" si="120"/>
        <v>0</v>
      </c>
      <c r="AT280" s="13">
        <f t="shared" si="129"/>
        <v>0</v>
      </c>
      <c r="AU280" s="13">
        <v>2</v>
      </c>
      <c r="AV280">
        <f t="shared" si="121"/>
        <v>0</v>
      </c>
      <c r="AW280" s="13">
        <v>0</v>
      </c>
      <c r="AX280" s="13">
        <v>1</v>
      </c>
      <c r="AY280" s="13">
        <v>0</v>
      </c>
      <c r="AZ280" s="13">
        <v>0</v>
      </c>
      <c r="BA280">
        <v>0</v>
      </c>
      <c r="BB280" t="s">
        <v>2839</v>
      </c>
      <c r="BC280">
        <v>5</v>
      </c>
      <c r="BD280" t="s">
        <v>2919</v>
      </c>
      <c r="BE280">
        <v>0</v>
      </c>
      <c r="BF280" s="232" t="s">
        <v>2846</v>
      </c>
      <c r="BG280" s="232" t="s">
        <v>2846</v>
      </c>
      <c r="BH280" s="253">
        <v>27</v>
      </c>
      <c r="BI280" s="253">
        <v>10.215227333871402</v>
      </c>
      <c r="BJ280" s="25">
        <v>7.1495304495617571</v>
      </c>
      <c r="BK280" t="s">
        <v>377</v>
      </c>
      <c r="BL280">
        <v>3.8291345285467342</v>
      </c>
      <c r="BM280" t="s">
        <v>383</v>
      </c>
      <c r="BN280" s="322">
        <v>78845.063271999999</v>
      </c>
      <c r="BO280" s="322">
        <v>26875.087135000002</v>
      </c>
      <c r="BP280" s="10">
        <v>50221</v>
      </c>
      <c r="BQ280" s="254">
        <f t="shared" si="122"/>
        <v>1.5699620332530215</v>
      </c>
      <c r="BR280" s="254">
        <f t="shared" si="123"/>
        <v>0.53513643963680535</v>
      </c>
      <c r="BS280" s="25">
        <v>66.925234573945076</v>
      </c>
      <c r="BT280" s="25">
        <v>90.09150985643457</v>
      </c>
      <c r="BU280" s="25">
        <v>52.97</v>
      </c>
      <c r="BV280" s="25">
        <v>90.348174391745843</v>
      </c>
      <c r="BW280" s="25">
        <v>62.502789975952162</v>
      </c>
      <c r="BX280" s="25">
        <v>75.083729705531368</v>
      </c>
      <c r="BY280" s="25">
        <v>63.066026056381951</v>
      </c>
      <c r="BZ280">
        <v>39</v>
      </c>
      <c r="CA280">
        <v>0</v>
      </c>
      <c r="CB280">
        <v>6</v>
      </c>
      <c r="CC280">
        <v>54946.776767000003</v>
      </c>
      <c r="CD280" s="10">
        <v>15660.448779</v>
      </c>
      <c r="CE280" s="255">
        <v>0.28501123633525616</v>
      </c>
      <c r="CF280" t="str">
        <f>IFERROR(VLOOKUP(CE280,'Rangos amb etnico'!$A$2:$C$6,3,9),"N.D.")</f>
        <v>0,1% - 30%</v>
      </c>
      <c r="CG280" s="256">
        <v>4.5562148963031434E-4</v>
      </c>
      <c r="CH280" s="232">
        <v>0</v>
      </c>
      <c r="CI280" s="311">
        <f t="shared" si="130"/>
        <v>0</v>
      </c>
      <c r="CJ280" s="232">
        <f>IFERROR(VLOOKUP(CI280,'Rangos amb etnico'!$A$2:$C$6,3,9),"N.D.")</f>
        <v>0</v>
      </c>
      <c r="CK280" s="311">
        <f t="shared" si="131"/>
        <v>0</v>
      </c>
      <c r="CL280" s="10">
        <v>0</v>
      </c>
      <c r="CM280" s="255">
        <f t="shared" si="132"/>
        <v>0</v>
      </c>
      <c r="CN280" s="232">
        <f>IFERROR(VLOOKUP(CM280,'Rangos amb etnico'!$A$2:$C$6,3,9),"N.D.")</f>
        <v>0</v>
      </c>
      <c r="CO280" s="311">
        <f t="shared" si="133"/>
        <v>0</v>
      </c>
      <c r="CP280">
        <v>0.94492254234004247</v>
      </c>
      <c r="CQ280" t="s">
        <v>2864</v>
      </c>
      <c r="CR280">
        <f t="shared" si="124"/>
        <v>4</v>
      </c>
      <c r="CS280" t="str">
        <f t="shared" si="134"/>
        <v>Candidato</v>
      </c>
      <c r="CT280">
        <v>0</v>
      </c>
      <c r="CU280">
        <v>0</v>
      </c>
      <c r="CV280" s="25">
        <v>50.475906372070313</v>
      </c>
      <c r="CW280" s="25">
        <v>47.555343627929688</v>
      </c>
      <c r="CX280" s="25">
        <v>48.158584594726563</v>
      </c>
      <c r="CY280" s="25">
        <v>67.341415405273438</v>
      </c>
      <c r="CZ280" s="25">
        <v>45.331771850585938</v>
      </c>
      <c r="DA280" s="25">
        <v>49.518039703369141</v>
      </c>
      <c r="DB280" s="25">
        <v>44.950294494628913</v>
      </c>
      <c r="DC280">
        <v>358</v>
      </c>
      <c r="DD280" s="253" t="s">
        <v>380</v>
      </c>
    </row>
    <row r="281" spans="1:108" hidden="1">
      <c r="A281" s="13">
        <v>70823</v>
      </c>
      <c r="B281" s="13" t="s">
        <v>1021</v>
      </c>
      <c r="C281" s="13" t="s">
        <v>494</v>
      </c>
      <c r="D281" s="13" t="s">
        <v>495</v>
      </c>
      <c r="E281" s="13" t="s">
        <v>1022</v>
      </c>
      <c r="F281" s="14">
        <v>53.316333333333297</v>
      </c>
      <c r="G281" s="13">
        <v>55.28</v>
      </c>
      <c r="H281" s="13">
        <v>62.93</v>
      </c>
      <c r="I281" s="13">
        <v>11.57</v>
      </c>
      <c r="J281" s="14">
        <v>36.995785519607047</v>
      </c>
      <c r="K281" s="14">
        <v>59.117419057436386</v>
      </c>
      <c r="L281" s="14">
        <v>62.637045812356362</v>
      </c>
      <c r="M281" s="14">
        <v>53.225000000000001</v>
      </c>
      <c r="N281" s="14">
        <f t="shared" si="108"/>
        <v>45.774083333333323</v>
      </c>
      <c r="O281" s="14">
        <f t="shared" si="109"/>
        <v>52.993812597349951</v>
      </c>
      <c r="P281" s="14">
        <f t="shared" si="125"/>
        <v>49.383947965341633</v>
      </c>
      <c r="Q281" s="14">
        <v>48.016886624205355</v>
      </c>
      <c r="R281" s="17">
        <f t="shared" si="110"/>
        <v>51.983113375794645</v>
      </c>
      <c r="S281" s="14">
        <f t="shared" si="126"/>
        <v>0.56784802038215176</v>
      </c>
      <c r="T281" s="13">
        <v>0</v>
      </c>
      <c r="U281" s="13">
        <f t="shared" si="127"/>
        <v>28.042577090774436</v>
      </c>
      <c r="V281" s="13">
        <f>IF($T281=1,$AU281,(VLOOKUP(U281,'Cortes naturales'!$A$35:$C$39,3,9)))</f>
        <v>4</v>
      </c>
      <c r="W281" s="13">
        <v>4</v>
      </c>
      <c r="X281" s="14" t="b">
        <f t="shared" si="111"/>
        <v>1</v>
      </c>
      <c r="Y281" s="17">
        <f>IF($T281=1,$AU281,VLOOKUP(U281,'Cortes naturales'!$A$45:$C$49,3,9))</f>
        <v>4</v>
      </c>
      <c r="Z281" s="14">
        <v>55.421279579858322</v>
      </c>
      <c r="AA281" s="14">
        <v>0.57781573017522436</v>
      </c>
      <c r="AB281" s="14">
        <v>32.023287127681087</v>
      </c>
      <c r="AC281" s="13">
        <v>3</v>
      </c>
      <c r="AD281" s="13">
        <f t="shared" si="112"/>
        <v>-1</v>
      </c>
      <c r="AE281" s="14">
        <f t="shared" si="113"/>
        <v>-6.0373316145166882</v>
      </c>
      <c r="AF281" s="14">
        <f t="shared" si="114"/>
        <v>-9.9677097930725989E-3</v>
      </c>
      <c r="AG281" s="13">
        <f t="shared" si="115"/>
        <v>-3.9807100369066504</v>
      </c>
      <c r="AH281" s="13">
        <f>IF($T281=1,$AU281,VLOOKUP(U281,'Cortes naturales'!$A$25:$C$29,3,9))</f>
        <v>3</v>
      </c>
      <c r="AI281" s="13" t="b">
        <f t="shared" si="116"/>
        <v>0</v>
      </c>
      <c r="AJ281" s="13" t="str">
        <f t="shared" si="117"/>
        <v>Cambio en corte</v>
      </c>
      <c r="AK281" s="28">
        <v>0.9741882058902549</v>
      </c>
      <c r="AL281" s="28">
        <v>53.990756922044397</v>
      </c>
      <c r="AM281" s="28">
        <v>0.50474144563062462</v>
      </c>
      <c r="AN281" s="13">
        <v>2</v>
      </c>
      <c r="AO281" s="33">
        <f t="shared" si="118"/>
        <v>-2</v>
      </c>
      <c r="AP281" s="13">
        <f t="shared" si="128"/>
        <v>50.47414456306246</v>
      </c>
      <c r="AQ281" s="13">
        <f>IFERROR(VLOOKUP(U281,'Cortes naturales'!$E$15:$G$19,3,9),U281)</f>
        <v>4</v>
      </c>
      <c r="AR281" s="28">
        <f t="shared" si="119"/>
        <v>-0.40634018550810314</v>
      </c>
      <c r="AS281" s="13" t="b">
        <f t="shared" si="120"/>
        <v>1</v>
      </c>
      <c r="AT281" s="13" t="str">
        <f t="shared" si="129"/>
        <v>Efecto ponderador</v>
      </c>
      <c r="AU281" s="13">
        <v>3</v>
      </c>
      <c r="AV281">
        <f t="shared" si="121"/>
        <v>-1</v>
      </c>
      <c r="AW281" s="13">
        <v>0</v>
      </c>
      <c r="AX281" s="13">
        <v>0</v>
      </c>
      <c r="AY281" s="13">
        <v>0</v>
      </c>
      <c r="AZ281" s="13">
        <v>1</v>
      </c>
      <c r="BA281">
        <v>1</v>
      </c>
      <c r="BB281" t="s">
        <v>2840</v>
      </c>
      <c r="BC281">
        <v>6</v>
      </c>
      <c r="BD281" t="s">
        <v>2919</v>
      </c>
      <c r="BE281">
        <v>0</v>
      </c>
      <c r="BF281" s="232" t="s">
        <v>2846</v>
      </c>
      <c r="BG281" s="232" t="s">
        <v>2846</v>
      </c>
      <c r="BH281" s="253">
        <v>45.8</v>
      </c>
      <c r="BI281" s="253">
        <v>30.649428443068935</v>
      </c>
      <c r="BJ281" s="25">
        <v>52.573529411764703</v>
      </c>
      <c r="BK281" t="s">
        <v>376</v>
      </c>
      <c r="BL281">
        <v>13.440429231580591</v>
      </c>
      <c r="BM281" t="s">
        <v>376</v>
      </c>
      <c r="BN281" s="322">
        <v>61413.407734</v>
      </c>
      <c r="BO281" s="322">
        <v>7266.0849200000002</v>
      </c>
      <c r="BP281" s="10">
        <v>23190</v>
      </c>
      <c r="BQ281" s="254">
        <f t="shared" si="122"/>
        <v>2.6482711398878829</v>
      </c>
      <c r="BR281" s="254">
        <f t="shared" si="123"/>
        <v>0.3133283708495041</v>
      </c>
      <c r="BS281" s="25">
        <v>72.851186195165511</v>
      </c>
      <c r="BT281" s="25">
        <v>93.817707964639922</v>
      </c>
      <c r="BU281" s="25">
        <v>55.715990557472303</v>
      </c>
      <c r="BV281" s="25">
        <v>91.33988221475208</v>
      </c>
      <c r="BW281" s="25">
        <v>37.340228526859299</v>
      </c>
      <c r="BX281" s="25">
        <v>78.431191733007452</v>
      </c>
      <c r="BY281" s="25">
        <v>37.567145337290079</v>
      </c>
      <c r="BZ281">
        <v>43</v>
      </c>
      <c r="CA281">
        <v>0</v>
      </c>
      <c r="CB281">
        <v>6</v>
      </c>
      <c r="CC281">
        <v>28470.232997999999</v>
      </c>
      <c r="CD281" s="10">
        <v>3319.332144</v>
      </c>
      <c r="CE281" s="255">
        <v>0.11658956722388536</v>
      </c>
      <c r="CF281" t="str">
        <f>IFERROR(VLOOKUP(CE281,'Rangos amb etnico'!$A$2:$C$6,3,9),"N.D.")</f>
        <v>0,1% - 30%</v>
      </c>
      <c r="CG281" s="256">
        <v>9.6571884839920716E-5</v>
      </c>
      <c r="CH281" s="232">
        <v>39.661135000000002</v>
      </c>
      <c r="CI281" s="311">
        <f t="shared" si="130"/>
        <v>1.3930737764873983E-3</v>
      </c>
      <c r="CJ281" s="232" t="str">
        <f>IFERROR(VLOOKUP(CI281,'Rangos amb etnico'!$A$2:$C$6,3,9),"N.D.")</f>
        <v>0,1% - 30%</v>
      </c>
      <c r="CK281" s="311">
        <f t="shared" si="131"/>
        <v>1.5748067289022222E-6</v>
      </c>
      <c r="CL281" s="10">
        <v>0</v>
      </c>
      <c r="CM281" s="255">
        <f t="shared" si="132"/>
        <v>0</v>
      </c>
      <c r="CN281" s="232">
        <f>IFERROR(VLOOKUP(CM281,'Rangos amb etnico'!$A$2:$C$6,3,9),"N.D.")</f>
        <v>0</v>
      </c>
      <c r="CO281" s="311">
        <f t="shared" si="133"/>
        <v>0</v>
      </c>
      <c r="CP281">
        <v>0.89797470775068966</v>
      </c>
      <c r="CQ281" t="s">
        <v>2864</v>
      </c>
      <c r="CR281">
        <f t="shared" si="124"/>
        <v>1</v>
      </c>
      <c r="CS281" t="str">
        <f t="shared" si="134"/>
        <v>No es Candidato</v>
      </c>
      <c r="CT281">
        <v>0</v>
      </c>
      <c r="CU281">
        <v>0</v>
      </c>
      <c r="CV281" s="25">
        <v>45.119239807128913</v>
      </c>
      <c r="CW281" s="25">
        <v>38.647022247314453</v>
      </c>
      <c r="CX281" s="25">
        <v>48.178890228271477</v>
      </c>
      <c r="CY281" s="25">
        <v>53.156993865966797</v>
      </c>
      <c r="CZ281" s="25">
        <v>26.973699569702148</v>
      </c>
      <c r="DA281" s="25">
        <v>44.514556884765618</v>
      </c>
      <c r="DB281" s="25">
        <v>59.244266510009773</v>
      </c>
      <c r="DC281">
        <v>10705</v>
      </c>
      <c r="DD281" s="253" t="s">
        <v>380</v>
      </c>
    </row>
    <row r="282" spans="1:108" hidden="1">
      <c r="A282" s="13">
        <v>41807</v>
      </c>
      <c r="B282" s="13" t="s">
        <v>1023</v>
      </c>
      <c r="C282" s="13" t="s">
        <v>676</v>
      </c>
      <c r="D282" s="13" t="s">
        <v>677</v>
      </c>
      <c r="E282" s="13" t="s">
        <v>1024</v>
      </c>
      <c r="F282" s="14">
        <v>67.644599999999997</v>
      </c>
      <c r="G282" s="13">
        <v>22.46</v>
      </c>
      <c r="H282" s="13">
        <v>22.47</v>
      </c>
      <c r="I282" s="13">
        <v>80.33</v>
      </c>
      <c r="J282" s="14">
        <v>62.335248005888658</v>
      </c>
      <c r="K282" s="14">
        <v>60.991793489038713</v>
      </c>
      <c r="L282" s="14">
        <v>62.125803926991736</v>
      </c>
      <c r="M282" s="14">
        <v>50.6751</v>
      </c>
      <c r="N282" s="14">
        <f t="shared" si="108"/>
        <v>48.226150000000004</v>
      </c>
      <c r="O282" s="14">
        <f t="shared" si="109"/>
        <v>59.031986355479773</v>
      </c>
      <c r="P282" s="14">
        <f t="shared" si="125"/>
        <v>53.629068177739889</v>
      </c>
      <c r="Q282" s="14">
        <v>48.240900585881683</v>
      </c>
      <c r="R282" s="17">
        <f t="shared" si="110"/>
        <v>51.759099414118317</v>
      </c>
      <c r="S282" s="14">
        <f t="shared" si="126"/>
        <v>0.56583189472706485</v>
      </c>
      <c r="T282" s="13">
        <v>0</v>
      </c>
      <c r="U282" s="13">
        <f t="shared" si="127"/>
        <v>30.345037259457502</v>
      </c>
      <c r="V282" s="13">
        <f>IF($T282=1,$AU282,(VLOOKUP(U282,'Cortes naturales'!$A$35:$C$39,3,9)))</f>
        <v>3</v>
      </c>
      <c r="W282" s="13">
        <v>3</v>
      </c>
      <c r="X282" s="14" t="b">
        <f t="shared" si="111"/>
        <v>1</v>
      </c>
      <c r="Y282" s="17">
        <f>IF($T282=1,$AU282,VLOOKUP(U282,'Cortes naturales'!$A$45:$C$49,3,9))</f>
        <v>3</v>
      </c>
      <c r="Z282" s="14">
        <v>52.338776260470709</v>
      </c>
      <c r="AA282" s="14">
        <v>0.57683440829434285</v>
      </c>
      <c r="AB282" s="14">
        <v>30.190807035058619</v>
      </c>
      <c r="AC282" s="13">
        <v>3</v>
      </c>
      <c r="AD282" s="13">
        <f t="shared" si="112"/>
        <v>0</v>
      </c>
      <c r="AE282" s="14">
        <f t="shared" si="113"/>
        <v>1.2902919172691796</v>
      </c>
      <c r="AF282" s="14">
        <f t="shared" si="114"/>
        <v>-1.1002513567277994E-2</v>
      </c>
      <c r="AG282" s="13">
        <f t="shared" si="115"/>
        <v>0.15423022439888356</v>
      </c>
      <c r="AH282" s="13">
        <f>IF($T282=1,$AU282,VLOOKUP(U282,'Cortes naturales'!$A$25:$C$29,3,9))</f>
        <v>3</v>
      </c>
      <c r="AI282" s="13" t="b">
        <f t="shared" si="116"/>
        <v>1</v>
      </c>
      <c r="AJ282" s="13">
        <f t="shared" si="117"/>
        <v>0</v>
      </c>
      <c r="AK282" s="28">
        <v>0.9741882058902549</v>
      </c>
      <c r="AL282" s="28">
        <v>50.987818543679424</v>
      </c>
      <c r="AM282" s="28">
        <v>0.46717785191269678</v>
      </c>
      <c r="AN282" s="13">
        <v>3</v>
      </c>
      <c r="AO282" s="33">
        <f t="shared" si="118"/>
        <v>0</v>
      </c>
      <c r="AP282" s="13">
        <f t="shared" si="128"/>
        <v>46.717785191269677</v>
      </c>
      <c r="AQ282" s="13">
        <f>IFERROR(VLOOKUP(U282,'Cortes naturales'!$E$15:$G$19,3,9),U282)</f>
        <v>4</v>
      </c>
      <c r="AR282" s="28">
        <f t="shared" si="119"/>
        <v>-0.40835631116319004</v>
      </c>
      <c r="AS282" s="13" t="b">
        <f t="shared" si="120"/>
        <v>0</v>
      </c>
      <c r="AT282" s="13">
        <f t="shared" si="129"/>
        <v>0</v>
      </c>
      <c r="AU282" s="13">
        <v>2</v>
      </c>
      <c r="AV282">
        <f t="shared" si="121"/>
        <v>-1</v>
      </c>
      <c r="AW282" s="13">
        <v>0</v>
      </c>
      <c r="AX282" s="13">
        <v>0</v>
      </c>
      <c r="AY282" s="13">
        <v>0</v>
      </c>
      <c r="AZ282" s="13">
        <v>0</v>
      </c>
      <c r="BA282">
        <v>0</v>
      </c>
      <c r="BB282" t="s">
        <v>2839</v>
      </c>
      <c r="BC282">
        <v>6</v>
      </c>
      <c r="BD282" t="s">
        <v>2919</v>
      </c>
      <c r="BE282">
        <v>0</v>
      </c>
      <c r="BF282" s="232" t="s">
        <v>2846</v>
      </c>
      <c r="BG282" s="232" t="s">
        <v>2845</v>
      </c>
      <c r="BH282" s="253">
        <v>40.799999999999997</v>
      </c>
      <c r="BI282" s="253">
        <v>11.118024313199962</v>
      </c>
      <c r="BJ282" s="25">
        <v>0</v>
      </c>
      <c r="BK282" t="s">
        <v>381</v>
      </c>
      <c r="BL282">
        <v>1.6996819686897928</v>
      </c>
      <c r="BM282" t="s">
        <v>383</v>
      </c>
      <c r="BN282" s="322">
        <v>44873.029071999998</v>
      </c>
      <c r="BO282" s="322">
        <v>3075.402697</v>
      </c>
      <c r="BP282" s="10">
        <v>23228</v>
      </c>
      <c r="BQ282" s="254">
        <f t="shared" si="122"/>
        <v>1.931850743585328</v>
      </c>
      <c r="BR282" s="254">
        <f t="shared" si="123"/>
        <v>0.13240066716893403</v>
      </c>
      <c r="BS282" s="25">
        <v>63.673430042623202</v>
      </c>
      <c r="BT282" s="25">
        <v>94.773549164801111</v>
      </c>
      <c r="BU282" s="25">
        <v>62.011051012245403</v>
      </c>
      <c r="BV282" s="25">
        <v>87.036301669847447</v>
      </c>
      <c r="BW282" s="25">
        <v>58.251538752048397</v>
      </c>
      <c r="BX282" s="25">
        <v>76.873582972379282</v>
      </c>
      <c r="BY282" s="25">
        <v>59.134773261355988</v>
      </c>
      <c r="BZ282">
        <v>54</v>
      </c>
      <c r="CA282">
        <v>0</v>
      </c>
      <c r="CB282">
        <v>7</v>
      </c>
      <c r="CC282">
        <v>18572.167468</v>
      </c>
      <c r="CD282" s="10">
        <v>7530.3508519999996</v>
      </c>
      <c r="CE282" s="255">
        <v>0.40546429839031212</v>
      </c>
      <c r="CF282" t="str">
        <f>IFERROR(VLOOKUP(CE282,'Rangos amb etnico'!$A$2:$C$6,3,9),"N.D.")</f>
        <v>31% - 50%</v>
      </c>
      <c r="CG282" s="256">
        <v>2.1908629318643529E-4</v>
      </c>
      <c r="CH282" s="232">
        <v>0</v>
      </c>
      <c r="CI282" s="311">
        <f t="shared" si="130"/>
        <v>0</v>
      </c>
      <c r="CJ282" s="232">
        <f>IFERROR(VLOOKUP(CI282,'Rangos amb etnico'!$A$2:$C$6,3,9),"N.D.")</f>
        <v>0</v>
      </c>
      <c r="CK282" s="311">
        <f t="shared" si="131"/>
        <v>0</v>
      </c>
      <c r="CL282" s="10">
        <v>0</v>
      </c>
      <c r="CM282" s="255">
        <f t="shared" si="132"/>
        <v>0</v>
      </c>
      <c r="CN282" s="232">
        <f>IFERROR(VLOOKUP(CM282,'Rangos amb etnico'!$A$2:$C$6,3,9),"N.D.")</f>
        <v>0</v>
      </c>
      <c r="CO282" s="311">
        <f t="shared" si="133"/>
        <v>0</v>
      </c>
      <c r="CP282">
        <v>0.90265683138092834</v>
      </c>
      <c r="CQ282" t="s">
        <v>2864</v>
      </c>
      <c r="CR282">
        <f t="shared" si="124"/>
        <v>2</v>
      </c>
      <c r="CS282" t="str">
        <f t="shared" si="134"/>
        <v>No es Candidato</v>
      </c>
      <c r="CT282">
        <v>0</v>
      </c>
      <c r="CU282">
        <v>0</v>
      </c>
      <c r="CV282" s="25">
        <v>48.774623870849609</v>
      </c>
      <c r="CW282" s="25">
        <v>26.559457778930661</v>
      </c>
      <c r="CX282" s="25">
        <v>47.360404968261719</v>
      </c>
      <c r="CY282" s="25">
        <v>79.857353210449219</v>
      </c>
      <c r="CZ282" s="25">
        <v>31.160968780517582</v>
      </c>
      <c r="DA282" s="25">
        <v>46.681793212890618</v>
      </c>
      <c r="DB282" s="25">
        <v>61.027767181396477</v>
      </c>
      <c r="DC282">
        <v>581</v>
      </c>
      <c r="DD282" s="253" t="s">
        <v>380</v>
      </c>
    </row>
    <row r="283" spans="1:108" hidden="1">
      <c r="A283" s="13">
        <v>15469</v>
      </c>
      <c r="B283" s="13" t="s">
        <v>1025</v>
      </c>
      <c r="C283" s="13" t="s">
        <v>498</v>
      </c>
      <c r="D283" s="13" t="s">
        <v>499</v>
      </c>
      <c r="E283" s="13" t="s">
        <v>1026</v>
      </c>
      <c r="F283" s="14">
        <v>53.723133333333301</v>
      </c>
      <c r="G283" s="13">
        <v>68.150000000000006</v>
      </c>
      <c r="H283" s="13">
        <v>57.04</v>
      </c>
      <c r="I283" s="13">
        <v>49.94</v>
      </c>
      <c r="J283" s="14">
        <v>60.561321329111145</v>
      </c>
      <c r="K283" s="14">
        <v>61.439309263861105</v>
      </c>
      <c r="L283" s="14">
        <v>67.642235841440353</v>
      </c>
      <c r="M283" s="14">
        <v>68.956000000000003</v>
      </c>
      <c r="N283" s="14">
        <f t="shared" si="108"/>
        <v>57.213283333333322</v>
      </c>
      <c r="O283" s="14">
        <f t="shared" si="109"/>
        <v>64.649716608603157</v>
      </c>
      <c r="P283" s="14">
        <f t="shared" si="125"/>
        <v>60.93149997096824</v>
      </c>
      <c r="Q283" s="14">
        <v>48.665663001619201</v>
      </c>
      <c r="R283" s="17">
        <f t="shared" si="110"/>
        <v>51.334336998380799</v>
      </c>
      <c r="S283" s="14">
        <f t="shared" si="126"/>
        <v>0.56200903298542726</v>
      </c>
      <c r="T283" s="13">
        <v>0</v>
      </c>
      <c r="U283" s="13">
        <f t="shared" si="127"/>
        <v>34.244053377035449</v>
      </c>
      <c r="V283" s="13">
        <f>IF($T283=1,$AU283,(VLOOKUP(U283,'Cortes naturales'!$A$35:$C$39,3,9)))</f>
        <v>3</v>
      </c>
      <c r="W283" s="13">
        <v>3</v>
      </c>
      <c r="X283" s="14" t="b">
        <f t="shared" si="111"/>
        <v>1</v>
      </c>
      <c r="Y283" s="17">
        <f>IF($T283=1,$AU283,VLOOKUP(U283,'Cortes naturales'!$A$45:$C$49,3,9))</f>
        <v>3</v>
      </c>
      <c r="Z283" s="14">
        <v>60.091173584591502</v>
      </c>
      <c r="AA283" s="14">
        <v>0.57478605538548855</v>
      </c>
      <c r="AB283" s="14">
        <v>34.53956862817202</v>
      </c>
      <c r="AC283" s="13">
        <v>3</v>
      </c>
      <c r="AD283" s="13">
        <f t="shared" si="112"/>
        <v>0</v>
      </c>
      <c r="AE283" s="14">
        <f t="shared" si="113"/>
        <v>0.84032638637673784</v>
      </c>
      <c r="AF283" s="14">
        <f t="shared" si="114"/>
        <v>-1.2777022400061289E-2</v>
      </c>
      <c r="AG283" s="13">
        <f t="shared" si="115"/>
        <v>-0.29551525113657107</v>
      </c>
      <c r="AH283" s="13">
        <f>IF($T283=1,$AU283,VLOOKUP(U283,'Cortes naturales'!$A$25:$C$29,3,9))</f>
        <v>3</v>
      </c>
      <c r="AI283" s="13" t="b">
        <f t="shared" si="116"/>
        <v>1</v>
      </c>
      <c r="AJ283" s="13">
        <f t="shared" si="117"/>
        <v>0</v>
      </c>
      <c r="AK283" s="28">
        <v>0.9741882058902549</v>
      </c>
      <c r="AL283" s="28">
        <v>58.54011258421307</v>
      </c>
      <c r="AM283" s="28">
        <v>0.56164908949146997</v>
      </c>
      <c r="AN283" s="13">
        <v>2</v>
      </c>
      <c r="AO283" s="33">
        <f t="shared" si="118"/>
        <v>-1</v>
      </c>
      <c r="AP283" s="13">
        <f t="shared" si="128"/>
        <v>56.164908949146998</v>
      </c>
      <c r="AQ283" s="13">
        <f>IFERROR(VLOOKUP(U283,'Cortes naturales'!$E$15:$G$19,3,9),U283)</f>
        <v>4</v>
      </c>
      <c r="AR283" s="28">
        <f t="shared" si="119"/>
        <v>-0.41217917290482764</v>
      </c>
      <c r="AS283" s="13" t="b">
        <f t="shared" si="120"/>
        <v>0</v>
      </c>
      <c r="AT283" s="13" t="str">
        <f t="shared" si="129"/>
        <v>Cambio en corte</v>
      </c>
      <c r="AU283" s="13">
        <v>2</v>
      </c>
      <c r="AV283">
        <f t="shared" si="121"/>
        <v>-1</v>
      </c>
      <c r="AW283" s="13">
        <v>0</v>
      </c>
      <c r="AX283" s="13">
        <v>0</v>
      </c>
      <c r="AY283" s="13">
        <v>0</v>
      </c>
      <c r="AZ283" s="13">
        <v>0</v>
      </c>
      <c r="BA283">
        <v>0</v>
      </c>
      <c r="BB283" t="s">
        <v>2839</v>
      </c>
      <c r="BC283">
        <v>6</v>
      </c>
      <c r="BD283" t="s">
        <v>2919</v>
      </c>
      <c r="BE283">
        <v>0</v>
      </c>
      <c r="BF283" s="232" t="s">
        <v>2846</v>
      </c>
      <c r="BG283" s="232" t="s">
        <v>2846</v>
      </c>
      <c r="BH283" s="253">
        <v>27.1</v>
      </c>
      <c r="BI283" s="253">
        <v>9.8320994822664147</v>
      </c>
      <c r="BJ283" s="25">
        <v>33.209505519768548</v>
      </c>
      <c r="BK283" t="s">
        <v>379</v>
      </c>
      <c r="BL283">
        <v>0.3533613217132644</v>
      </c>
      <c r="BM283" t="s">
        <v>383</v>
      </c>
      <c r="BN283" s="322">
        <v>55721.399117000001</v>
      </c>
      <c r="BO283" s="322">
        <v>11566.620958</v>
      </c>
      <c r="BP283" s="10">
        <v>23763</v>
      </c>
      <c r="BQ283" s="254">
        <f t="shared" si="122"/>
        <v>2.3448806597230991</v>
      </c>
      <c r="BR283" s="254">
        <f t="shared" si="123"/>
        <v>0.48674918814964441</v>
      </c>
      <c r="BS283" s="25">
        <v>70.33395328888642</v>
      </c>
      <c r="BT283" s="25">
        <v>98.552487928325959</v>
      </c>
      <c r="BU283" s="25">
        <v>50.76238441277453</v>
      </c>
      <c r="BV283" s="25">
        <v>81.670612719414336</v>
      </c>
      <c r="BW283" s="25">
        <v>53.335760586362099</v>
      </c>
      <c r="BX283" s="25">
        <v>75.329859587350313</v>
      </c>
      <c r="BY283" s="25">
        <v>54.644372220953123</v>
      </c>
      <c r="BZ283">
        <v>20</v>
      </c>
      <c r="CA283">
        <v>0</v>
      </c>
      <c r="CB283">
        <v>6</v>
      </c>
      <c r="CC283">
        <v>21793.006829000002</v>
      </c>
      <c r="CD283" s="10">
        <v>5006.1051520000001</v>
      </c>
      <c r="CE283" s="255">
        <v>0.22971153963657576</v>
      </c>
      <c r="CF283" t="str">
        <f>IFERROR(VLOOKUP(CE283,'Rangos amb etnico'!$A$2:$C$6,3,9),"N.D.")</f>
        <v>0,1% - 30%</v>
      </c>
      <c r="CG283" s="256">
        <v>1.4564647021219514E-4</v>
      </c>
      <c r="CH283" s="232">
        <v>0</v>
      </c>
      <c r="CI283" s="311">
        <f t="shared" si="130"/>
        <v>0</v>
      </c>
      <c r="CJ283" s="232">
        <f>IFERROR(VLOOKUP(CI283,'Rangos amb etnico'!$A$2:$C$6,3,9),"N.D.")</f>
        <v>0</v>
      </c>
      <c r="CK283" s="311">
        <f t="shared" si="131"/>
        <v>0</v>
      </c>
      <c r="CL283" s="10">
        <v>0</v>
      </c>
      <c r="CM283" s="255">
        <f t="shared" si="132"/>
        <v>0</v>
      </c>
      <c r="CN283" s="232">
        <f>IFERROR(VLOOKUP(CM283,'Rangos amb etnico'!$A$2:$C$6,3,9),"N.D.")</f>
        <v>0</v>
      </c>
      <c r="CO283" s="311">
        <f t="shared" si="133"/>
        <v>0</v>
      </c>
      <c r="CP283">
        <v>0.94574528010390946</v>
      </c>
      <c r="CQ283" t="s">
        <v>2864</v>
      </c>
      <c r="CR283">
        <f t="shared" si="124"/>
        <v>2</v>
      </c>
      <c r="CS283" t="str">
        <f t="shared" si="134"/>
        <v>No es Candidato</v>
      </c>
      <c r="CT283">
        <v>0</v>
      </c>
      <c r="CU283">
        <v>0</v>
      </c>
      <c r="CV283" s="25">
        <v>47.331443786621087</v>
      </c>
      <c r="CW283" s="25">
        <v>31.849611282348629</v>
      </c>
      <c r="CX283" s="25">
        <v>44.666652679443359</v>
      </c>
      <c r="CY283" s="25">
        <v>66.82940673828125</v>
      </c>
      <c r="CZ283" s="25">
        <v>47.144718170166023</v>
      </c>
      <c r="DA283" s="25">
        <v>43.522186279296882</v>
      </c>
      <c r="DB283" s="25">
        <v>49.976078033447273</v>
      </c>
      <c r="DC283">
        <v>127</v>
      </c>
      <c r="DD283" s="253" t="s">
        <v>380</v>
      </c>
    </row>
    <row r="284" spans="1:108" hidden="1">
      <c r="A284" s="13">
        <v>52565</v>
      </c>
      <c r="B284" s="13" t="s">
        <v>1027</v>
      </c>
      <c r="C284" s="13" t="s">
        <v>672</v>
      </c>
      <c r="D284" s="13" t="s">
        <v>673</v>
      </c>
      <c r="E284" s="13" t="s">
        <v>1028</v>
      </c>
      <c r="F284" s="14">
        <v>46.616500000000002</v>
      </c>
      <c r="G284" s="13">
        <v>37.33</v>
      </c>
      <c r="H284" s="13">
        <v>24.38</v>
      </c>
      <c r="I284" s="13">
        <v>34.1</v>
      </c>
      <c r="J284" s="14">
        <v>52.579246144651634</v>
      </c>
      <c r="K284" s="14">
        <v>55.769644716930387</v>
      </c>
      <c r="L284" s="14">
        <v>62.031335126814952</v>
      </c>
      <c r="M284" s="14">
        <v>59.368000000000002</v>
      </c>
      <c r="N284" s="14">
        <f t="shared" si="108"/>
        <v>35.606625000000001</v>
      </c>
      <c r="O284" s="14">
        <f t="shared" si="109"/>
        <v>57.437056497099242</v>
      </c>
      <c r="P284" s="14">
        <f t="shared" si="125"/>
        <v>46.521840748549621</v>
      </c>
      <c r="Q284" s="14">
        <v>48.55006374784427</v>
      </c>
      <c r="R284" s="17">
        <f t="shared" si="110"/>
        <v>51.44993625215573</v>
      </c>
      <c r="S284" s="14">
        <f t="shared" si="126"/>
        <v>0.56304942626940158</v>
      </c>
      <c r="T284" s="13">
        <v>0</v>
      </c>
      <c r="U284" s="13">
        <f t="shared" si="127"/>
        <v>26.194095742467333</v>
      </c>
      <c r="V284" s="13">
        <f>IF($T284=1,$AU284,(VLOOKUP(U284,'Cortes naturales'!$A$35:$C$39,3,9)))</f>
        <v>4</v>
      </c>
      <c r="W284" s="13">
        <v>4</v>
      </c>
      <c r="X284" s="14" t="b">
        <f t="shared" si="111"/>
        <v>1</v>
      </c>
      <c r="Y284" s="17">
        <f>IF($T284=1,$AU284,VLOOKUP(U284,'Cortes naturales'!$A$45:$C$49,3,9))</f>
        <v>4</v>
      </c>
      <c r="Z284" s="14">
        <v>46.257709796522704</v>
      </c>
      <c r="AA284" s="14">
        <v>0.57706100852995523</v>
      </c>
      <c r="AB284" s="14">
        <v>26.693520667467382</v>
      </c>
      <c r="AC284" s="13">
        <v>4</v>
      </c>
      <c r="AD284" s="13">
        <f t="shared" si="112"/>
        <v>0</v>
      </c>
      <c r="AE284" s="14">
        <f t="shared" si="113"/>
        <v>0.2641309520269175</v>
      </c>
      <c r="AF284" s="14">
        <f t="shared" si="114"/>
        <v>-1.4011582260553657E-2</v>
      </c>
      <c r="AG284" s="13">
        <f t="shared" si="115"/>
        <v>-0.49942492500004931</v>
      </c>
      <c r="AH284" s="13">
        <f>IF($T284=1,$AU284,VLOOKUP(U284,'Cortes naturales'!$A$25:$C$29,3,9))</f>
        <v>4</v>
      </c>
      <c r="AI284" s="13" t="b">
        <f t="shared" si="116"/>
        <v>1</v>
      </c>
      <c r="AJ284" s="13">
        <f t="shared" si="117"/>
        <v>0</v>
      </c>
      <c r="AK284" s="28">
        <v>0.9741882058902549</v>
      </c>
      <c r="AL284" s="28">
        <v>45.063715315266521</v>
      </c>
      <c r="AM284" s="28">
        <v>0.39307356511866365</v>
      </c>
      <c r="AN284" s="13">
        <v>3</v>
      </c>
      <c r="AO284" s="33">
        <f t="shared" si="118"/>
        <v>-1</v>
      </c>
      <c r="AP284" s="13">
        <f t="shared" si="128"/>
        <v>39.307356511866367</v>
      </c>
      <c r="AQ284" s="13">
        <f>IFERROR(VLOOKUP(U284,'Cortes naturales'!$E$15:$G$19,3,9),U284)</f>
        <v>4</v>
      </c>
      <c r="AR284" s="28">
        <f t="shared" si="119"/>
        <v>-0.41113877962085332</v>
      </c>
      <c r="AS284" s="13" t="b">
        <f t="shared" si="120"/>
        <v>1</v>
      </c>
      <c r="AT284" s="13" t="str">
        <f t="shared" si="129"/>
        <v>Efecto ponderador</v>
      </c>
      <c r="AU284" s="13">
        <v>4</v>
      </c>
      <c r="AV284">
        <f t="shared" si="121"/>
        <v>0</v>
      </c>
      <c r="AW284" s="13">
        <v>0</v>
      </c>
      <c r="AX284" s="13">
        <v>0</v>
      </c>
      <c r="AY284" s="13">
        <v>0</v>
      </c>
      <c r="AZ284" s="13">
        <v>0</v>
      </c>
      <c r="BA284">
        <v>0</v>
      </c>
      <c r="BB284" t="s">
        <v>2839</v>
      </c>
      <c r="BC284">
        <v>6</v>
      </c>
      <c r="BD284" t="s">
        <v>2919</v>
      </c>
      <c r="BE284">
        <v>0</v>
      </c>
      <c r="BF284" s="232" t="s">
        <v>2846</v>
      </c>
      <c r="BG284" s="232" t="s">
        <v>2845</v>
      </c>
      <c r="BH284" s="253">
        <v>55.3</v>
      </c>
      <c r="BI284" s="253">
        <v>22.753842823121889</v>
      </c>
      <c r="BJ284" s="25">
        <v>58.610684221056346</v>
      </c>
      <c r="BK284" t="s">
        <v>376</v>
      </c>
      <c r="BL284">
        <v>3.0639388194735813</v>
      </c>
      <c r="BM284" t="s">
        <v>383</v>
      </c>
      <c r="BN284" s="322">
        <v>15364.253047</v>
      </c>
      <c r="BO284" s="322">
        <v>361.70341400000001</v>
      </c>
      <c r="BP284" s="10">
        <v>5555</v>
      </c>
      <c r="BQ284" s="254">
        <f t="shared" si="122"/>
        <v>2.7658421326732672</v>
      </c>
      <c r="BR284" s="254">
        <f t="shared" si="123"/>
        <v>6.511312583258326E-2</v>
      </c>
      <c r="BS284" s="25">
        <v>49.886643130543987</v>
      </c>
      <c r="BT284" s="25">
        <v>91.823989774977505</v>
      </c>
      <c r="BU284" s="25">
        <v>35.685741733690769</v>
      </c>
      <c r="BV284" s="25">
        <v>96.007949143909613</v>
      </c>
      <c r="BW284" s="25">
        <v>52.161786918181043</v>
      </c>
      <c r="BX284" s="25">
        <v>68.351080945780467</v>
      </c>
      <c r="BY284" s="25">
        <v>52.454052936599481</v>
      </c>
      <c r="BZ284">
        <v>70</v>
      </c>
      <c r="CA284">
        <v>0</v>
      </c>
      <c r="CB284">
        <v>7</v>
      </c>
      <c r="CC284">
        <v>4000.1385919999998</v>
      </c>
      <c r="CD284" s="10">
        <v>110.412336</v>
      </c>
      <c r="CE284" s="255">
        <v>2.760212764148148E-2</v>
      </c>
      <c r="CF284" t="str">
        <f>IFERROR(VLOOKUP(CE284,'Rangos amb etnico'!$A$2:$C$6,3,9),"N.D.")</f>
        <v>0,1% - 30%</v>
      </c>
      <c r="CG284" s="256">
        <v>3.2123110717836717E-6</v>
      </c>
      <c r="CH284" s="232">
        <v>0</v>
      </c>
      <c r="CI284" s="311">
        <f t="shared" si="130"/>
        <v>0</v>
      </c>
      <c r="CJ284" s="232">
        <f>IFERROR(VLOOKUP(CI284,'Rangos amb etnico'!$A$2:$C$6,3,9),"N.D.")</f>
        <v>0</v>
      </c>
      <c r="CK284" s="311">
        <f t="shared" si="131"/>
        <v>0</v>
      </c>
      <c r="CL284" s="10">
        <v>0</v>
      </c>
      <c r="CM284" s="255">
        <f t="shared" si="132"/>
        <v>0</v>
      </c>
      <c r="CN284" s="232">
        <f>IFERROR(VLOOKUP(CM284,'Rangos amb etnico'!$A$2:$C$6,3,9),"N.D.")</f>
        <v>0</v>
      </c>
      <c r="CO284" s="311">
        <f t="shared" si="133"/>
        <v>0</v>
      </c>
      <c r="CP284">
        <v>0.8834242124156203</v>
      </c>
      <c r="CQ284" t="s">
        <v>2864</v>
      </c>
      <c r="CR284">
        <f t="shared" si="124"/>
        <v>1</v>
      </c>
      <c r="CS284" t="str">
        <f t="shared" si="134"/>
        <v>No es Candidato</v>
      </c>
      <c r="CT284">
        <v>0</v>
      </c>
      <c r="CU284">
        <v>0</v>
      </c>
      <c r="CV284" s="25">
        <v>48.627796173095703</v>
      </c>
      <c r="CW284" s="25">
        <v>20.59296989440918</v>
      </c>
      <c r="CX284" s="25">
        <v>49.595066070556641</v>
      </c>
      <c r="CY284" s="25">
        <v>55.028087615966797</v>
      </c>
      <c r="CZ284" s="25">
        <v>32.653591156005859</v>
      </c>
      <c r="DA284" s="25">
        <v>80.869674682617188</v>
      </c>
      <c r="DB284" s="25">
        <v>53.027378082275391</v>
      </c>
      <c r="DC284">
        <v>610</v>
      </c>
      <c r="DD284" s="253" t="s">
        <v>380</v>
      </c>
    </row>
    <row r="285" spans="1:108" hidden="1">
      <c r="A285" s="13">
        <v>15861</v>
      </c>
      <c r="B285" s="13" t="s">
        <v>1029</v>
      </c>
      <c r="C285" s="13" t="s">
        <v>498</v>
      </c>
      <c r="D285" s="13" t="s">
        <v>499</v>
      </c>
      <c r="E285" s="13" t="s">
        <v>1030</v>
      </c>
      <c r="F285" s="14">
        <v>63.345100000000002</v>
      </c>
      <c r="G285" s="13">
        <v>70.48</v>
      </c>
      <c r="H285" s="13">
        <v>60.24</v>
      </c>
      <c r="I285" s="13">
        <v>85.7</v>
      </c>
      <c r="J285" s="14">
        <v>57.312116511760166</v>
      </c>
      <c r="K285" s="14">
        <v>53.306212333735957</v>
      </c>
      <c r="L285" s="14">
        <v>64.442979133234104</v>
      </c>
      <c r="M285" s="14">
        <v>62.674799999999998</v>
      </c>
      <c r="N285" s="14">
        <f t="shared" si="108"/>
        <v>69.941275000000005</v>
      </c>
      <c r="O285" s="14">
        <f t="shared" si="109"/>
        <v>59.434026994682554</v>
      </c>
      <c r="P285" s="14">
        <f t="shared" si="125"/>
        <v>64.687650997341279</v>
      </c>
      <c r="Q285" s="14">
        <v>48.320348391088011</v>
      </c>
      <c r="R285" s="17">
        <f t="shared" si="110"/>
        <v>51.679651608911989</v>
      </c>
      <c r="S285" s="14">
        <f t="shared" si="126"/>
        <v>0.56511686448020793</v>
      </c>
      <c r="T285" s="13">
        <v>0</v>
      </c>
      <c r="U285" s="13">
        <f t="shared" si="127"/>
        <v>36.556082502207502</v>
      </c>
      <c r="V285" s="13">
        <f>IF($T285=1,$AU285,(VLOOKUP(U285,'Cortes naturales'!$A$35:$C$39,3,9)))</f>
        <v>3</v>
      </c>
      <c r="W285" s="13">
        <v>3</v>
      </c>
      <c r="X285" s="14" t="b">
        <f t="shared" si="111"/>
        <v>1</v>
      </c>
      <c r="Y285" s="17">
        <f>IF($T285=1,$AU285,VLOOKUP(U285,'Cortes naturales'!$A$45:$C$49,3,9))</f>
        <v>2</v>
      </c>
      <c r="Z285" s="14">
        <v>61.125279904473587</v>
      </c>
      <c r="AA285" s="14">
        <v>0.57636326021435047</v>
      </c>
      <c r="AB285" s="14">
        <v>35.23036560725712</v>
      </c>
      <c r="AC285" s="13">
        <v>2</v>
      </c>
      <c r="AD285" s="13">
        <f t="shared" si="112"/>
        <v>0</v>
      </c>
      <c r="AE285" s="14">
        <f t="shared" si="113"/>
        <v>3.5623710928676928</v>
      </c>
      <c r="AF285" s="14">
        <f t="shared" si="114"/>
        <v>-1.1246395734142545E-2</v>
      </c>
      <c r="AG285" s="13">
        <f t="shared" si="115"/>
        <v>1.3257168949503821</v>
      </c>
      <c r="AH285" s="13">
        <f>IF($T285=1,$AU285,VLOOKUP(U285,'Cortes naturales'!$A$25:$C$29,3,9))</f>
        <v>2</v>
      </c>
      <c r="AI285" s="13" t="b">
        <f t="shared" si="116"/>
        <v>1</v>
      </c>
      <c r="AJ285" s="13">
        <f t="shared" si="117"/>
        <v>0</v>
      </c>
      <c r="AK285" s="28">
        <v>0.9741882058902549</v>
      </c>
      <c r="AL285" s="28">
        <v>59.547526764678771</v>
      </c>
      <c r="AM285" s="28">
        <v>0.57425077897445453</v>
      </c>
      <c r="AN285" s="13">
        <v>2</v>
      </c>
      <c r="AO285" s="33">
        <f t="shared" si="118"/>
        <v>0</v>
      </c>
      <c r="AP285" s="13">
        <f t="shared" si="128"/>
        <v>57.425077897445455</v>
      </c>
      <c r="AQ285" s="13">
        <f>IFERROR(VLOOKUP(U285,'Cortes naturales'!$E$15:$G$19,3,9),U285)</f>
        <v>3</v>
      </c>
      <c r="AR285" s="28">
        <f t="shared" si="119"/>
        <v>-0.40907134141004697</v>
      </c>
      <c r="AS285" s="13" t="b">
        <f t="shared" si="120"/>
        <v>0</v>
      </c>
      <c r="AT285" s="13">
        <f t="shared" si="129"/>
        <v>0</v>
      </c>
      <c r="AU285" s="13">
        <v>2</v>
      </c>
      <c r="AV285">
        <f t="shared" si="121"/>
        <v>0</v>
      </c>
      <c r="AW285" s="13">
        <v>0</v>
      </c>
      <c r="AX285" s="13">
        <v>0</v>
      </c>
      <c r="AY285" s="13">
        <v>0</v>
      </c>
      <c r="AZ285" s="13">
        <v>0</v>
      </c>
      <c r="BA285">
        <v>0</v>
      </c>
      <c r="BB285" t="s">
        <v>2839</v>
      </c>
      <c r="BC285">
        <v>6</v>
      </c>
      <c r="BD285" t="s">
        <v>2919</v>
      </c>
      <c r="BE285">
        <v>0</v>
      </c>
      <c r="BF285" s="232" t="s">
        <v>2846</v>
      </c>
      <c r="BG285" s="232" t="s">
        <v>2845</v>
      </c>
      <c r="BH285" s="253">
        <v>25.7</v>
      </c>
      <c r="BI285" s="253">
        <v>6.705309861170746</v>
      </c>
      <c r="BJ285" s="25">
        <v>19.045463930222922</v>
      </c>
      <c r="BK285" t="s">
        <v>379</v>
      </c>
      <c r="BL285">
        <v>0</v>
      </c>
      <c r="BM285" t="s">
        <v>377</v>
      </c>
      <c r="BN285" s="322">
        <v>26757.341552999998</v>
      </c>
      <c r="BO285" s="322">
        <v>6392.5070210000003</v>
      </c>
      <c r="BP285" s="10">
        <v>16977</v>
      </c>
      <c r="BQ285" s="254">
        <f t="shared" si="122"/>
        <v>1.5760936297932495</v>
      </c>
      <c r="BR285" s="254">
        <f t="shared" si="123"/>
        <v>0.37653926023443485</v>
      </c>
      <c r="BS285" s="25">
        <v>61.563190398879442</v>
      </c>
      <c r="BT285" s="25">
        <v>89.406494913903131</v>
      </c>
      <c r="BU285" s="25">
        <v>52.228653583284498</v>
      </c>
      <c r="BV285" s="25">
        <v>90.794318942426671</v>
      </c>
      <c r="BW285" s="25">
        <v>59.373552605447571</v>
      </c>
      <c r="BX285" s="25">
        <v>73.498164459623439</v>
      </c>
      <c r="BY285" s="25">
        <v>60.287888778885772</v>
      </c>
      <c r="BZ285">
        <v>96</v>
      </c>
      <c r="CA285">
        <v>0</v>
      </c>
      <c r="CB285">
        <v>7</v>
      </c>
      <c r="CC285">
        <v>15975.372968</v>
      </c>
      <c r="CD285" s="10">
        <v>8260.9364420000002</v>
      </c>
      <c r="CE285" s="255">
        <v>0.51710444936386413</v>
      </c>
      <c r="CF285" t="str">
        <f>IFERROR(VLOOKUP(CE285,'Rangos amb etnico'!$A$2:$C$6,3,9),"N.D.")</f>
        <v>51% - 70%</v>
      </c>
      <c r="CG285" s="256">
        <v>2.4034178206262943E-4</v>
      </c>
      <c r="CH285" s="232">
        <v>0</v>
      </c>
      <c r="CI285" s="311">
        <f t="shared" si="130"/>
        <v>0</v>
      </c>
      <c r="CJ285" s="232">
        <f>IFERROR(VLOOKUP(CI285,'Rangos amb etnico'!$A$2:$C$6,3,9),"N.D.")</f>
        <v>0</v>
      </c>
      <c r="CK285" s="311">
        <f t="shared" si="131"/>
        <v>0</v>
      </c>
      <c r="CL285" s="10">
        <v>3068.8362067399898</v>
      </c>
      <c r="CM285" s="255">
        <f t="shared" si="132"/>
        <v>0.19209793805046829</v>
      </c>
      <c r="CN285" s="232" t="str">
        <f>IFERROR(VLOOKUP(CM285,'Rangos amb etnico'!$A$2:$C$6,3,9),"N.D.")</f>
        <v>0,1% - 30%</v>
      </c>
      <c r="CO285" s="311">
        <f t="shared" si="133"/>
        <v>1.9244885018235239E-3</v>
      </c>
      <c r="CP285">
        <v>0.95894154602710069</v>
      </c>
      <c r="CQ285" t="s">
        <v>2864</v>
      </c>
      <c r="CR285">
        <f t="shared" si="124"/>
        <v>4</v>
      </c>
      <c r="CS285" t="str">
        <f t="shared" si="134"/>
        <v>Candidato</v>
      </c>
      <c r="CT285">
        <v>0</v>
      </c>
      <c r="CU285">
        <v>0</v>
      </c>
      <c r="CV285" s="25">
        <v>54.012672424316413</v>
      </c>
      <c r="CW285" s="25">
        <v>31.890438079833981</v>
      </c>
      <c r="CX285" s="25">
        <v>46.744625091552727</v>
      </c>
      <c r="CY285" s="25">
        <v>63.594043731689453</v>
      </c>
      <c r="CZ285" s="25">
        <v>63.363620758056641</v>
      </c>
      <c r="DA285" s="25">
        <v>59.397819519042969</v>
      </c>
      <c r="DB285" s="25">
        <v>59.085475921630859</v>
      </c>
      <c r="DC285">
        <v>50</v>
      </c>
      <c r="DD285" s="253" t="s">
        <v>380</v>
      </c>
    </row>
    <row r="286" spans="1:108" hidden="1">
      <c r="A286" s="13">
        <v>52693</v>
      </c>
      <c r="B286" s="13" t="s">
        <v>1031</v>
      </c>
      <c r="C286" s="13" t="s">
        <v>672</v>
      </c>
      <c r="D286" s="13" t="s">
        <v>673</v>
      </c>
      <c r="E286" s="13" t="s">
        <v>1032</v>
      </c>
      <c r="F286" s="14">
        <v>48.950433333333301</v>
      </c>
      <c r="G286" s="13">
        <v>52.01</v>
      </c>
      <c r="H286" s="13">
        <v>46.03</v>
      </c>
      <c r="I286" s="13">
        <v>54.57</v>
      </c>
      <c r="J286" s="14">
        <v>50.426446705114635</v>
      </c>
      <c r="K286" s="14">
        <v>60.400752525431358</v>
      </c>
      <c r="L286" s="14">
        <v>64.387250776283878</v>
      </c>
      <c r="M286" s="14">
        <v>63.293300000000002</v>
      </c>
      <c r="N286" s="14">
        <f t="shared" si="108"/>
        <v>50.390108333333323</v>
      </c>
      <c r="O286" s="14">
        <f t="shared" si="109"/>
        <v>59.626937501707474</v>
      </c>
      <c r="P286" s="14">
        <f t="shared" si="125"/>
        <v>55.008522917520395</v>
      </c>
      <c r="Q286" s="14">
        <v>48.457521853033377</v>
      </c>
      <c r="R286" s="17">
        <f t="shared" si="110"/>
        <v>51.542478146966623</v>
      </c>
      <c r="S286" s="14">
        <f t="shared" si="126"/>
        <v>0.56388230332269962</v>
      </c>
      <c r="T286" s="13">
        <v>0</v>
      </c>
      <c r="U286" s="13">
        <f t="shared" si="127"/>
        <v>31.01833260511091</v>
      </c>
      <c r="V286" s="13">
        <f>IF($T286=1,$AU286,(VLOOKUP(U286,'Cortes naturales'!$A$35:$C$39,3,9)))</f>
        <v>3</v>
      </c>
      <c r="W286" s="13">
        <v>3</v>
      </c>
      <c r="X286" s="14" t="b">
        <f t="shared" si="111"/>
        <v>1</v>
      </c>
      <c r="Y286" s="17">
        <f>IF($T286=1,$AU286,VLOOKUP(U286,'Cortes naturales'!$A$45:$C$49,3,9))</f>
        <v>3</v>
      </c>
      <c r="Z286" s="14">
        <v>53.546284504881584</v>
      </c>
      <c r="AA286" s="14">
        <v>0.57669098953838527</v>
      </c>
      <c r="AB286" s="14">
        <v>30.879659797224068</v>
      </c>
      <c r="AC286" s="13">
        <v>3</v>
      </c>
      <c r="AD286" s="13">
        <f t="shared" si="112"/>
        <v>0</v>
      </c>
      <c r="AE286" s="14">
        <f t="shared" si="113"/>
        <v>1.4622384126388113</v>
      </c>
      <c r="AF286" s="14">
        <f t="shared" si="114"/>
        <v>-1.280868621568565E-2</v>
      </c>
      <c r="AG286" s="13">
        <f t="shared" si="115"/>
        <v>0.13867280788684155</v>
      </c>
      <c r="AH286" s="13">
        <f>IF($T286=1,$AU286,VLOOKUP(U286,'Cortes naturales'!$A$25:$C$29,3,9))</f>
        <v>3</v>
      </c>
      <c r="AI286" s="13" t="b">
        <f t="shared" si="116"/>
        <v>1</v>
      </c>
      <c r="AJ286" s="13">
        <f t="shared" si="117"/>
        <v>0</v>
      </c>
      <c r="AK286" s="28">
        <v>0.9741882058902549</v>
      </c>
      <c r="AL286" s="28">
        <v>52.164158833899748</v>
      </c>
      <c r="AM286" s="28">
        <v>0.48189262896380786</v>
      </c>
      <c r="AN286" s="13">
        <v>2</v>
      </c>
      <c r="AO286" s="33">
        <f t="shared" si="118"/>
        <v>-1</v>
      </c>
      <c r="AP286" s="13">
        <f t="shared" si="128"/>
        <v>48.189262896380782</v>
      </c>
      <c r="AQ286" s="13">
        <f>IFERROR(VLOOKUP(U286,'Cortes naturales'!$E$15:$G$19,3,9),U286)</f>
        <v>4</v>
      </c>
      <c r="AR286" s="28">
        <f t="shared" si="119"/>
        <v>-0.41030590256755528</v>
      </c>
      <c r="AS286" s="13" t="b">
        <f t="shared" si="120"/>
        <v>0</v>
      </c>
      <c r="AT286" s="13" t="str">
        <f t="shared" si="129"/>
        <v>Cambio en corte</v>
      </c>
      <c r="AU286" s="13">
        <v>2</v>
      </c>
      <c r="AV286">
        <f t="shared" si="121"/>
        <v>-1</v>
      </c>
      <c r="AW286" s="13">
        <v>0</v>
      </c>
      <c r="AX286" s="13">
        <v>0</v>
      </c>
      <c r="AY286" s="13">
        <v>0</v>
      </c>
      <c r="AZ286" s="13">
        <v>0</v>
      </c>
      <c r="BA286">
        <v>0</v>
      </c>
      <c r="BB286" t="s">
        <v>2839</v>
      </c>
      <c r="BC286">
        <v>6</v>
      </c>
      <c r="BD286" t="s">
        <v>2919</v>
      </c>
      <c r="BE286">
        <v>1</v>
      </c>
      <c r="BF286" s="232" t="s">
        <v>2846</v>
      </c>
      <c r="BG286" s="232" t="s">
        <v>2845</v>
      </c>
      <c r="BH286" s="253">
        <v>41.1</v>
      </c>
      <c r="BI286" s="253">
        <v>11.5304145679969</v>
      </c>
      <c r="BJ286" s="25">
        <v>44.905991906631115</v>
      </c>
      <c r="BK286" t="s">
        <v>376</v>
      </c>
      <c r="BL286">
        <v>5.8034920381337249</v>
      </c>
      <c r="BM286" t="s">
        <v>379</v>
      </c>
      <c r="BN286" s="322">
        <v>30279.514832000001</v>
      </c>
      <c r="BO286" s="322">
        <v>1691.8413439999999</v>
      </c>
      <c r="BP286" s="10">
        <v>15407</v>
      </c>
      <c r="BQ286" s="254">
        <f t="shared" si="122"/>
        <v>1.9653089395729215</v>
      </c>
      <c r="BR286" s="254">
        <f t="shared" si="123"/>
        <v>0.10980991393522424</v>
      </c>
      <c r="BS286" s="25">
        <v>59.714858394655927</v>
      </c>
      <c r="BT286" s="25">
        <v>88.928505353627131</v>
      </c>
      <c r="BU286" s="25">
        <v>48.581666666666671</v>
      </c>
      <c r="BV286" s="25">
        <v>94.46278402771172</v>
      </c>
      <c r="BW286" s="25">
        <v>48.780277486442031</v>
      </c>
      <c r="BX286" s="25">
        <v>72.921953610665369</v>
      </c>
      <c r="BY286" s="25">
        <v>49.448444189337224</v>
      </c>
      <c r="BZ286">
        <v>69</v>
      </c>
      <c r="CA286">
        <v>0</v>
      </c>
      <c r="CB286">
        <v>7</v>
      </c>
      <c r="CC286">
        <v>11193.413522999999</v>
      </c>
      <c r="CD286" s="10">
        <v>657.168904</v>
      </c>
      <c r="CE286" s="255">
        <v>5.8710321266132327E-2</v>
      </c>
      <c r="CF286" t="str">
        <f>IFERROR(VLOOKUP(CE286,'Rangos amb etnico'!$A$2:$C$6,3,9),"N.D.")</f>
        <v>0,1% - 30%</v>
      </c>
      <c r="CG286" s="256">
        <v>1.9119520724125797E-5</v>
      </c>
      <c r="CH286" s="232">
        <v>0</v>
      </c>
      <c r="CI286" s="311">
        <f t="shared" si="130"/>
        <v>0</v>
      </c>
      <c r="CJ286" s="232">
        <f>IFERROR(VLOOKUP(CI286,'Rangos amb etnico'!$A$2:$C$6,3,9),"N.D.")</f>
        <v>0</v>
      </c>
      <c r="CK286" s="311">
        <f t="shared" si="131"/>
        <v>0</v>
      </c>
      <c r="CL286" s="10">
        <v>0</v>
      </c>
      <c r="CM286" s="255">
        <f t="shared" si="132"/>
        <v>0</v>
      </c>
      <c r="CN286" s="232">
        <f>IFERROR(VLOOKUP(CM286,'Rangos amb etnico'!$A$2:$C$6,3,9),"N.D.")</f>
        <v>0</v>
      </c>
      <c r="CO286" s="311">
        <f t="shared" si="133"/>
        <v>0</v>
      </c>
      <c r="CP286">
        <v>0.98112794337432407</v>
      </c>
      <c r="CQ286" t="s">
        <v>2864</v>
      </c>
      <c r="CR286">
        <f t="shared" si="124"/>
        <v>2</v>
      </c>
      <c r="CS286" t="str">
        <f t="shared" si="134"/>
        <v>No es Candidato</v>
      </c>
      <c r="CT286">
        <v>0</v>
      </c>
      <c r="CU286">
        <v>0</v>
      </c>
      <c r="CV286" s="25">
        <v>45.993007659912109</v>
      </c>
      <c r="CW286" s="25">
        <v>19.335458755493161</v>
      </c>
      <c r="CX286" s="25">
        <v>43.334159851074219</v>
      </c>
      <c r="CY286" s="25">
        <v>58.044902801513672</v>
      </c>
      <c r="CZ286" s="25">
        <v>34.45355224609375</v>
      </c>
      <c r="DA286" s="25">
        <v>72.047805786132813</v>
      </c>
      <c r="DB286" s="25">
        <v>48.742179870605469</v>
      </c>
      <c r="DC286">
        <v>441</v>
      </c>
      <c r="DD286" s="253" t="s">
        <v>380</v>
      </c>
    </row>
    <row r="287" spans="1:108" hidden="1">
      <c r="A287" s="13">
        <v>15693</v>
      </c>
      <c r="B287" s="13" t="s">
        <v>1033</v>
      </c>
      <c r="C287" s="13" t="s">
        <v>498</v>
      </c>
      <c r="D287" s="13" t="s">
        <v>499</v>
      </c>
      <c r="E287" s="13" t="s">
        <v>1034</v>
      </c>
      <c r="F287" s="14">
        <v>62.690266666666702</v>
      </c>
      <c r="G287" s="13">
        <v>25.72</v>
      </c>
      <c r="H287" s="13">
        <v>24.6</v>
      </c>
      <c r="I287" s="13">
        <v>29.86</v>
      </c>
      <c r="J287" s="14">
        <v>50.162956171510814</v>
      </c>
      <c r="K287" s="14">
        <v>63.950722223777049</v>
      </c>
      <c r="L287" s="14">
        <v>59.306883190706891</v>
      </c>
      <c r="M287" s="14">
        <v>58.440199999999997</v>
      </c>
      <c r="N287" s="14">
        <f t="shared" si="108"/>
        <v>35.71756666666667</v>
      </c>
      <c r="O287" s="14">
        <f t="shared" si="109"/>
        <v>57.965190396498691</v>
      </c>
      <c r="P287" s="14">
        <f t="shared" si="125"/>
        <v>46.841378531582677</v>
      </c>
      <c r="Q287" s="14">
        <v>48.740593365781017</v>
      </c>
      <c r="R287" s="17">
        <f t="shared" si="110"/>
        <v>51.259406634218983</v>
      </c>
      <c r="S287" s="14">
        <f t="shared" si="126"/>
        <v>0.56133465970797092</v>
      </c>
      <c r="T287" s="13">
        <v>0</v>
      </c>
      <c r="U287" s="13">
        <f t="shared" si="127"/>
        <v>26.293689278278215</v>
      </c>
      <c r="V287" s="13">
        <f>IF($T287=1,$AU287,(VLOOKUP(U287,'Cortes naturales'!$A$35:$C$39,3,9)))</f>
        <v>4</v>
      </c>
      <c r="W287" s="13">
        <v>4</v>
      </c>
      <c r="X287" s="14" t="b">
        <f t="shared" si="111"/>
        <v>1</v>
      </c>
      <c r="Y287" s="17">
        <f>IF($T287=1,$AU287,VLOOKUP(U287,'Cortes naturales'!$A$45:$C$49,3,9))</f>
        <v>4</v>
      </c>
      <c r="Z287" s="14">
        <v>53.09914208187233</v>
      </c>
      <c r="AA287" s="14">
        <v>0.57765082970477699</v>
      </c>
      <c r="AB287" s="14">
        <v>30.67276348020539</v>
      </c>
      <c r="AC287" s="13">
        <v>3</v>
      </c>
      <c r="AD287" s="13">
        <f t="shared" si="112"/>
        <v>-1</v>
      </c>
      <c r="AE287" s="14">
        <f t="shared" si="113"/>
        <v>-6.2577635502896527</v>
      </c>
      <c r="AF287" s="14">
        <f t="shared" si="114"/>
        <v>-1.6316169996806074E-2</v>
      </c>
      <c r="AG287" s="13">
        <f t="shared" si="115"/>
        <v>-4.3790742019271747</v>
      </c>
      <c r="AH287" s="13">
        <f>IF($T287=1,$AU287,VLOOKUP(U287,'Cortes naturales'!$A$25:$C$29,3,9))</f>
        <v>4</v>
      </c>
      <c r="AI287" s="13" t="b">
        <f t="shared" si="116"/>
        <v>1</v>
      </c>
      <c r="AJ287" s="13" t="str">
        <f t="shared" si="117"/>
        <v>Efecto ponderador</v>
      </c>
      <c r="AK287" s="28">
        <v>0.9741882058902549</v>
      </c>
      <c r="AL287" s="28">
        <v>51.728557959050939</v>
      </c>
      <c r="AM287" s="28">
        <v>0.47644372118605194</v>
      </c>
      <c r="AN287" s="13">
        <v>3</v>
      </c>
      <c r="AO287" s="33">
        <f t="shared" si="118"/>
        <v>-1</v>
      </c>
      <c r="AP287" s="13">
        <f t="shared" si="128"/>
        <v>47.64437211860519</v>
      </c>
      <c r="AQ287" s="13">
        <f>IFERROR(VLOOKUP(U287,'Cortes naturales'!$E$15:$G$19,3,9),U287)</f>
        <v>4</v>
      </c>
      <c r="AR287" s="28">
        <f t="shared" si="119"/>
        <v>-0.41285354618228398</v>
      </c>
      <c r="AS287" s="13" t="b">
        <f t="shared" si="120"/>
        <v>1</v>
      </c>
      <c r="AT287" s="13" t="str">
        <f t="shared" si="129"/>
        <v>Efecto ponderador</v>
      </c>
      <c r="AU287" s="13">
        <v>2</v>
      </c>
      <c r="AV287">
        <f t="shared" si="121"/>
        <v>-2</v>
      </c>
      <c r="AW287" s="13">
        <v>0</v>
      </c>
      <c r="AX287" s="13">
        <v>0</v>
      </c>
      <c r="AY287" s="13">
        <v>0</v>
      </c>
      <c r="AZ287" s="13">
        <v>0</v>
      </c>
      <c r="BA287">
        <v>0</v>
      </c>
      <c r="BB287" t="s">
        <v>2839</v>
      </c>
      <c r="BC287">
        <v>6</v>
      </c>
      <c r="BD287" t="s">
        <v>2919</v>
      </c>
      <c r="BE287">
        <v>0</v>
      </c>
      <c r="BF287" s="232" t="s">
        <v>2846</v>
      </c>
      <c r="BG287" s="232" t="s">
        <v>2846</v>
      </c>
      <c r="BH287" s="253">
        <v>19</v>
      </c>
      <c r="BI287" s="253">
        <v>6.2955111070144714</v>
      </c>
      <c r="BJ287" s="25">
        <v>14.433529161947904</v>
      </c>
      <c r="BK287" t="s">
        <v>379</v>
      </c>
      <c r="BL287">
        <v>0</v>
      </c>
      <c r="BM287" t="s">
        <v>377</v>
      </c>
      <c r="BN287" s="322">
        <v>19593.056032</v>
      </c>
      <c r="BO287" s="322">
        <v>2435.0889969999998</v>
      </c>
      <c r="BP287" s="10">
        <v>13452</v>
      </c>
      <c r="BQ287" s="254">
        <f t="shared" si="122"/>
        <v>1.4565162081474874</v>
      </c>
      <c r="BR287" s="254">
        <f t="shared" si="123"/>
        <v>0.18102059151055605</v>
      </c>
      <c r="BS287" s="25">
        <v>62.05883084094134</v>
      </c>
      <c r="BT287" s="25">
        <v>76.055605640796912</v>
      </c>
      <c r="BU287" s="25">
        <v>56.93370875995447</v>
      </c>
      <c r="BV287" s="25">
        <v>93.37365087456088</v>
      </c>
      <c r="BW287" s="25">
        <v>57.487174972896653</v>
      </c>
      <c r="BX287" s="25">
        <v>72.105449029063408</v>
      </c>
      <c r="BY287" s="25">
        <v>58.152198872775386</v>
      </c>
      <c r="BZ287">
        <v>21</v>
      </c>
      <c r="CA287">
        <v>0</v>
      </c>
      <c r="CB287">
        <v>6</v>
      </c>
      <c r="CC287">
        <v>11648.160372</v>
      </c>
      <c r="CD287" s="10">
        <v>5683.9468390000002</v>
      </c>
      <c r="CE287" s="255">
        <v>0.48796948680953478</v>
      </c>
      <c r="CF287" t="str">
        <f>IFERROR(VLOOKUP(CE287,'Rangos amb etnico'!$A$2:$C$6,3,9),"N.D.")</f>
        <v>31% - 50%</v>
      </c>
      <c r="CG287" s="256">
        <v>1.6536744012326217E-4</v>
      </c>
      <c r="CH287" s="232">
        <v>0</v>
      </c>
      <c r="CI287" s="311">
        <f t="shared" si="130"/>
        <v>0</v>
      </c>
      <c r="CJ287" s="232">
        <f>IFERROR(VLOOKUP(CI287,'Rangos amb etnico'!$A$2:$C$6,3,9),"N.D.")</f>
        <v>0</v>
      </c>
      <c r="CK287" s="311">
        <f t="shared" si="131"/>
        <v>0</v>
      </c>
      <c r="CL287" s="10">
        <v>0</v>
      </c>
      <c r="CM287" s="255">
        <f t="shared" si="132"/>
        <v>0</v>
      </c>
      <c r="CN287" s="232">
        <f>IFERROR(VLOOKUP(CM287,'Rangos amb etnico'!$A$2:$C$6,3,9),"N.D.")</f>
        <v>0</v>
      </c>
      <c r="CO287" s="311">
        <f t="shared" si="133"/>
        <v>0</v>
      </c>
      <c r="CP287">
        <v>0.89965367590943046</v>
      </c>
      <c r="CQ287" t="s">
        <v>2864</v>
      </c>
      <c r="CR287">
        <f t="shared" si="124"/>
        <v>1</v>
      </c>
      <c r="CS287" t="str">
        <f t="shared" si="134"/>
        <v>No es Candidato</v>
      </c>
      <c r="CT287">
        <v>0</v>
      </c>
      <c r="CU287">
        <v>0</v>
      </c>
      <c r="CV287" s="25">
        <v>50.497875213623047</v>
      </c>
      <c r="CW287" s="25">
        <v>27.7962760925293</v>
      </c>
      <c r="CX287" s="25">
        <v>46.182540893554688</v>
      </c>
      <c r="CY287" s="25">
        <v>66.893569946289063</v>
      </c>
      <c r="CZ287" s="25">
        <v>57.228031158447273</v>
      </c>
      <c r="DA287" s="25">
        <v>48.189418792724609</v>
      </c>
      <c r="DB287" s="25">
        <v>56.697422027587891</v>
      </c>
      <c r="DC287">
        <v>182</v>
      </c>
      <c r="DD287" s="253" t="s">
        <v>380</v>
      </c>
    </row>
    <row r="288" spans="1:108">
      <c r="A288" s="13">
        <v>5761</v>
      </c>
      <c r="B288" s="13" t="s">
        <v>1035</v>
      </c>
      <c r="C288" s="13" t="s">
        <v>435</v>
      </c>
      <c r="D288" s="13" t="s">
        <v>436</v>
      </c>
      <c r="E288" s="13" t="s">
        <v>1036</v>
      </c>
      <c r="F288" s="14">
        <v>48.732066666666697</v>
      </c>
      <c r="G288" s="13">
        <v>58.45</v>
      </c>
      <c r="H288" s="13">
        <v>63.1</v>
      </c>
      <c r="I288" s="13">
        <v>54.68</v>
      </c>
      <c r="J288" s="14">
        <v>56.477086388725731</v>
      </c>
      <c r="K288" s="14">
        <v>55.74891660288062</v>
      </c>
      <c r="L288" s="14">
        <v>68.983917638564165</v>
      </c>
      <c r="M288" s="14">
        <v>55.972799999999999</v>
      </c>
      <c r="N288" s="14">
        <f t="shared" si="108"/>
        <v>56.240516666666679</v>
      </c>
      <c r="O288" s="14">
        <f t="shared" si="109"/>
        <v>59.295680157542634</v>
      </c>
      <c r="P288" s="14">
        <f t="shared" si="125"/>
        <v>57.768098412104656</v>
      </c>
      <c r="Q288" s="14">
        <v>47.487444943507526</v>
      </c>
      <c r="R288" s="17">
        <f t="shared" si="110"/>
        <v>52.512555056492474</v>
      </c>
      <c r="S288" s="14">
        <f t="shared" si="126"/>
        <v>0.57261299550843225</v>
      </c>
      <c r="T288" s="13">
        <v>0</v>
      </c>
      <c r="U288" s="13">
        <f t="shared" si="127"/>
        <v>33.078763876581156</v>
      </c>
      <c r="V288" s="13">
        <f>IF($T288=1,$AU288,(VLOOKUP(U288,'Cortes naturales'!$A$35:$C$39,3,9)))</f>
        <v>3</v>
      </c>
      <c r="W288" s="13">
        <v>3</v>
      </c>
      <c r="X288" s="14" t="b">
        <f t="shared" si="111"/>
        <v>1</v>
      </c>
      <c r="Y288" s="17">
        <f>IF($T288=1,$AU288,VLOOKUP(U288,'Cortes naturales'!$A$45:$C$49,3,9))</f>
        <v>3</v>
      </c>
      <c r="Z288" s="14">
        <v>55.751482067257811</v>
      </c>
      <c r="AA288" s="14">
        <v>0.57625857681360881</v>
      </c>
      <c r="AB288" s="14">
        <v>32.127269711327422</v>
      </c>
      <c r="AC288" s="13">
        <v>3</v>
      </c>
      <c r="AD288" s="13">
        <f t="shared" si="112"/>
        <v>0</v>
      </c>
      <c r="AE288" s="14">
        <f t="shared" si="113"/>
        <v>2.0166163448468453</v>
      </c>
      <c r="AF288" s="14">
        <f t="shared" si="114"/>
        <v>-3.6455813051765595E-3</v>
      </c>
      <c r="AG288" s="13">
        <f t="shared" si="115"/>
        <v>0.95149416525373454</v>
      </c>
      <c r="AH288" s="13">
        <f>IF($T288=1,$AU288,VLOOKUP(U288,'Cortes naturales'!$A$25:$C$29,3,9))</f>
        <v>3</v>
      </c>
      <c r="AI288" s="13" t="b">
        <f t="shared" si="116"/>
        <v>1</v>
      </c>
      <c r="AJ288" s="13">
        <f t="shared" si="117"/>
        <v>0</v>
      </c>
      <c r="AK288" s="28">
        <v>0.9741882058902549</v>
      </c>
      <c r="AL288" s="28">
        <v>54.312436290824607</v>
      </c>
      <c r="AM288" s="28">
        <v>0.50876531545204873</v>
      </c>
      <c r="AN288" s="13">
        <v>2</v>
      </c>
      <c r="AO288" s="33">
        <f t="shared" si="118"/>
        <v>-1</v>
      </c>
      <c r="AP288" s="13">
        <f t="shared" si="128"/>
        <v>50.87653154520487</v>
      </c>
      <c r="AQ288" s="13">
        <f>IFERROR(VLOOKUP(U288,'Cortes naturales'!$E$15:$G$19,3,9),U288)</f>
        <v>4</v>
      </c>
      <c r="AR288" s="28">
        <f t="shared" si="119"/>
        <v>-0.40157521038182264</v>
      </c>
      <c r="AS288" s="13" t="b">
        <f t="shared" si="120"/>
        <v>0</v>
      </c>
      <c r="AT288" s="13" t="str">
        <f t="shared" si="129"/>
        <v>Cambio en corte</v>
      </c>
      <c r="AU288" s="13">
        <v>2</v>
      </c>
      <c r="AV288">
        <f t="shared" si="121"/>
        <v>-1</v>
      </c>
      <c r="AW288" s="13">
        <v>0</v>
      </c>
      <c r="AX288" s="13">
        <v>0</v>
      </c>
      <c r="AY288" s="13">
        <v>0</v>
      </c>
      <c r="AZ288" s="13">
        <v>0</v>
      </c>
      <c r="BA288">
        <v>0</v>
      </c>
      <c r="BB288" t="s">
        <v>2839</v>
      </c>
      <c r="BC288">
        <v>6</v>
      </c>
      <c r="BD288" t="s">
        <v>2919</v>
      </c>
      <c r="BE288">
        <v>1</v>
      </c>
      <c r="BF288" s="232" t="s">
        <v>2846</v>
      </c>
      <c r="BG288" s="232" t="s">
        <v>2846</v>
      </c>
      <c r="BH288" s="253">
        <v>28.7</v>
      </c>
      <c r="BI288" s="253">
        <v>11.306441024144723</v>
      </c>
      <c r="BJ288" s="25">
        <v>0</v>
      </c>
      <c r="BK288" t="s">
        <v>381</v>
      </c>
      <c r="BL288">
        <v>4.9874197944382725</v>
      </c>
      <c r="BM288" t="s">
        <v>383</v>
      </c>
      <c r="BN288" s="322">
        <v>41154.256540000002</v>
      </c>
      <c r="BO288" s="322">
        <v>12375.031222</v>
      </c>
      <c r="BP288" s="10">
        <v>16366</v>
      </c>
      <c r="BQ288" s="254">
        <f t="shared" si="122"/>
        <v>2.5146191213491385</v>
      </c>
      <c r="BR288" s="254">
        <f t="shared" si="123"/>
        <v>0.75614268740070878</v>
      </c>
      <c r="BS288" s="25">
        <v>72.73482774773187</v>
      </c>
      <c r="BT288" s="25">
        <v>89.451427381156051</v>
      </c>
      <c r="BU288" s="25">
        <v>54.640000000000008</v>
      </c>
      <c r="BV288" s="25">
        <v>82.096140191647976</v>
      </c>
      <c r="BW288" s="25">
        <v>58.411392983283399</v>
      </c>
      <c r="BX288" s="25">
        <v>74.730598830133971</v>
      </c>
      <c r="BY288" s="25">
        <v>59.195240361959343</v>
      </c>
      <c r="BZ288">
        <v>90</v>
      </c>
      <c r="CA288">
        <v>0</v>
      </c>
      <c r="CB288">
        <v>6</v>
      </c>
      <c r="CC288">
        <v>21903.648524</v>
      </c>
      <c r="CD288" s="10">
        <v>17636.787007999999</v>
      </c>
      <c r="CE288" s="255">
        <v>0.80519859459373777</v>
      </c>
      <c r="CF288" t="str">
        <f>IFERROR(VLOOKUP(CE288,'Rangos amb etnico'!$A$2:$C$6,3,9),"N.D.")</f>
        <v>71% - 100%</v>
      </c>
      <c r="CG288" s="256">
        <v>5.131206188454233E-4</v>
      </c>
      <c r="CH288" s="232">
        <v>29.984427</v>
      </c>
      <c r="CI288" s="311">
        <f t="shared" si="130"/>
        <v>1.368923856093921E-3</v>
      </c>
      <c r="CJ288" s="232" t="str">
        <f>IFERROR(VLOOKUP(CI288,'Rangos amb etnico'!$A$2:$C$6,3,9),"N.D.")</f>
        <v>0,1% - 30%</v>
      </c>
      <c r="CK288" s="311">
        <f t="shared" si="131"/>
        <v>1.1905780659549321E-6</v>
      </c>
      <c r="CL288" s="10">
        <v>0</v>
      </c>
      <c r="CM288" s="255">
        <f t="shared" si="132"/>
        <v>0</v>
      </c>
      <c r="CN288" s="232">
        <f>IFERROR(VLOOKUP(CM288,'Rangos amb etnico'!$A$2:$C$6,3,9),"N.D.")</f>
        <v>0</v>
      </c>
      <c r="CO288" s="311">
        <f t="shared" si="133"/>
        <v>0</v>
      </c>
      <c r="CP288">
        <v>0.85565811297961869</v>
      </c>
      <c r="CQ288" t="s">
        <v>2864</v>
      </c>
      <c r="CR288">
        <f t="shared" si="124"/>
        <v>1</v>
      </c>
      <c r="CS288" t="str">
        <f t="shared" si="134"/>
        <v>No es Candidato</v>
      </c>
      <c r="CT288">
        <v>0</v>
      </c>
      <c r="CU288">
        <v>0</v>
      </c>
      <c r="CV288" s="25">
        <v>51.709384918212891</v>
      </c>
      <c r="CW288" s="25">
        <v>38.919296264648438</v>
      </c>
      <c r="CX288" s="25">
        <v>51.729423522949219</v>
      </c>
      <c r="CY288" s="25">
        <v>77.798530578613281</v>
      </c>
      <c r="CZ288" s="25">
        <v>54.513156890869141</v>
      </c>
      <c r="DA288" s="25">
        <v>37.345996856689453</v>
      </c>
      <c r="DB288" s="25">
        <v>49.949901580810547</v>
      </c>
      <c r="DC288">
        <v>2703</v>
      </c>
      <c r="DD288" s="253" t="s">
        <v>380</v>
      </c>
    </row>
    <row r="289" spans="1:108" hidden="1">
      <c r="A289" s="13">
        <v>52317</v>
      </c>
      <c r="B289" s="13" t="s">
        <v>1037</v>
      </c>
      <c r="C289" s="13" t="s">
        <v>672</v>
      </c>
      <c r="D289" s="13" t="s">
        <v>673</v>
      </c>
      <c r="E289" s="13" t="s">
        <v>1038</v>
      </c>
      <c r="F289" s="14">
        <v>63.007599999999996</v>
      </c>
      <c r="G289" s="13">
        <v>56.93</v>
      </c>
      <c r="H289" s="13">
        <v>53.55</v>
      </c>
      <c r="I289" s="13">
        <v>48.42</v>
      </c>
      <c r="J289" s="14">
        <v>40.90777702062362</v>
      </c>
      <c r="K289" s="14">
        <v>41.65128939562112</v>
      </c>
      <c r="L289" s="14">
        <v>50.59495313975625</v>
      </c>
      <c r="M289" s="14">
        <v>59.645200000000003</v>
      </c>
      <c r="N289" s="14">
        <f t="shared" si="108"/>
        <v>55.476900000000001</v>
      </c>
      <c r="O289" s="14">
        <f t="shared" si="109"/>
        <v>48.199804889000248</v>
      </c>
      <c r="P289" s="14">
        <f t="shared" si="125"/>
        <v>51.838352444500124</v>
      </c>
      <c r="Q289" s="14">
        <v>48.289323908580833</v>
      </c>
      <c r="R289" s="17">
        <f t="shared" si="110"/>
        <v>51.710676091419167</v>
      </c>
      <c r="S289" s="14">
        <f t="shared" si="126"/>
        <v>0.56539608482277259</v>
      </c>
      <c r="T289" s="13">
        <v>0</v>
      </c>
      <c r="U289" s="13">
        <f t="shared" si="127"/>
        <v>29.309201515783375</v>
      </c>
      <c r="V289" s="13">
        <f>IF($T289=1,$AU289,(VLOOKUP(U289,'Cortes naturales'!$A$35:$C$39,3,9)))</f>
        <v>4</v>
      </c>
      <c r="W289" s="13">
        <v>4</v>
      </c>
      <c r="X289" s="14" t="b">
        <f t="shared" si="111"/>
        <v>1</v>
      </c>
      <c r="Y289" s="17">
        <f>IF($T289=1,$AU289,VLOOKUP(U289,'Cortes naturales'!$A$45:$C$49,3,9))</f>
        <v>3</v>
      </c>
      <c r="Z289" s="14">
        <v>52.184216259701174</v>
      </c>
      <c r="AA289" s="14">
        <v>0.57602907549416049</v>
      </c>
      <c r="AB289" s="14">
        <v>30.059625847463003</v>
      </c>
      <c r="AC289" s="13">
        <v>3</v>
      </c>
      <c r="AD289" s="13">
        <f t="shared" si="112"/>
        <v>0</v>
      </c>
      <c r="AE289" s="14">
        <f t="shared" si="113"/>
        <v>-0.34586381520104936</v>
      </c>
      <c r="AF289" s="14">
        <f t="shared" si="114"/>
        <v>-1.0632990671387899E-2</v>
      </c>
      <c r="AG289" s="13">
        <f t="shared" si="115"/>
        <v>-0.75042433167962841</v>
      </c>
      <c r="AH289" s="13">
        <f>IF($T289=1,$AU289,VLOOKUP(U289,'Cortes naturales'!$A$25:$C$29,3,9))</f>
        <v>3</v>
      </c>
      <c r="AI289" s="13" t="b">
        <f t="shared" si="116"/>
        <v>1</v>
      </c>
      <c r="AJ289" s="13">
        <f t="shared" si="117"/>
        <v>0</v>
      </c>
      <c r="AK289" s="28">
        <v>0.9741882058902549</v>
      </c>
      <c r="AL289" s="28">
        <v>50.837248013827356</v>
      </c>
      <c r="AM289" s="28">
        <v>0.46529437330054635</v>
      </c>
      <c r="AN289" s="13">
        <v>3</v>
      </c>
      <c r="AO289" s="33">
        <f t="shared" si="118"/>
        <v>0</v>
      </c>
      <c r="AP289" s="13">
        <f t="shared" si="128"/>
        <v>46.529437330054634</v>
      </c>
      <c r="AQ289" s="13">
        <f>IFERROR(VLOOKUP(U289,'Cortes naturales'!$E$15:$G$19,3,9),U289)</f>
        <v>4</v>
      </c>
      <c r="AR289" s="28">
        <f t="shared" si="119"/>
        <v>-0.40879212106748231</v>
      </c>
      <c r="AS289" s="13" t="b">
        <f t="shared" si="120"/>
        <v>0</v>
      </c>
      <c r="AT289" s="13">
        <f t="shared" si="129"/>
        <v>0</v>
      </c>
      <c r="AU289" s="13">
        <v>2</v>
      </c>
      <c r="AV289">
        <f t="shared" si="121"/>
        <v>-1</v>
      </c>
      <c r="AW289" s="13">
        <v>0</v>
      </c>
      <c r="AX289" s="13">
        <v>0</v>
      </c>
      <c r="AY289" s="13">
        <v>0</v>
      </c>
      <c r="AZ289" s="13">
        <v>0</v>
      </c>
      <c r="BA289">
        <v>0</v>
      </c>
      <c r="BB289" t="s">
        <v>2839</v>
      </c>
      <c r="BC289">
        <v>6</v>
      </c>
      <c r="BD289" t="s">
        <v>2919</v>
      </c>
      <c r="BE289">
        <v>0</v>
      </c>
      <c r="BF289" s="232" t="s">
        <v>2846</v>
      </c>
      <c r="BG289" s="232" t="s">
        <v>2845</v>
      </c>
      <c r="BH289" s="253">
        <v>30.4</v>
      </c>
      <c r="BI289" s="253">
        <v>14.009020960466968</v>
      </c>
      <c r="BJ289" s="25">
        <v>46.94474550004459</v>
      </c>
      <c r="BK289" t="s">
        <v>376</v>
      </c>
      <c r="BL289">
        <v>1.9829529757593427</v>
      </c>
      <c r="BM289" t="s">
        <v>383</v>
      </c>
      <c r="BN289" s="322">
        <v>37340.670371</v>
      </c>
      <c r="BO289" s="322">
        <v>1884.8830399999999</v>
      </c>
      <c r="BP289" s="10">
        <v>20468</v>
      </c>
      <c r="BQ289" s="254">
        <f t="shared" si="122"/>
        <v>1.8243438719464531</v>
      </c>
      <c r="BR289" s="254">
        <f t="shared" si="123"/>
        <v>9.2089263240179783E-2</v>
      </c>
      <c r="BS289" s="25">
        <v>60.497471832771829</v>
      </c>
      <c r="BT289" s="25">
        <v>90.207753134649195</v>
      </c>
      <c r="BU289" s="25">
        <v>47.676499450750633</v>
      </c>
      <c r="BV289" s="25">
        <v>93.817581767761638</v>
      </c>
      <c r="BW289" s="25">
        <v>28.182843215370099</v>
      </c>
      <c r="BX289" s="25">
        <v>73.049826546483331</v>
      </c>
      <c r="BY289" s="25">
        <v>28.11197934015556</v>
      </c>
      <c r="BZ289">
        <v>28</v>
      </c>
      <c r="CA289">
        <v>0</v>
      </c>
      <c r="CB289">
        <v>7</v>
      </c>
      <c r="CC289">
        <v>15585.048897999999</v>
      </c>
      <c r="CD289" s="10">
        <v>13112.863036000001</v>
      </c>
      <c r="CE289" s="255">
        <v>0.84137452001724233</v>
      </c>
      <c r="CF289" t="str">
        <f>IFERROR(VLOOKUP(CE289,'Rangos amb etnico'!$A$2:$C$6,3,9),"N.D.")</f>
        <v>71% - 100%</v>
      </c>
      <c r="CG289" s="256">
        <v>3.8150261682105569E-4</v>
      </c>
      <c r="CH289" s="232">
        <v>305.82587999999998</v>
      </c>
      <c r="CI289" s="311">
        <f t="shared" si="130"/>
        <v>1.9623029866736322E-2</v>
      </c>
      <c r="CJ289" s="232" t="str">
        <f>IFERROR(VLOOKUP(CI289,'Rangos amb etnico'!$A$2:$C$6,3,9),"N.D.")</f>
        <v>0,1% - 30%</v>
      </c>
      <c r="CK289" s="311">
        <f t="shared" si="131"/>
        <v>1.2143289739349201E-5</v>
      </c>
      <c r="CL289" s="10">
        <v>0</v>
      </c>
      <c r="CM289" s="255">
        <f t="shared" si="132"/>
        <v>0</v>
      </c>
      <c r="CN289" s="232">
        <f>IFERROR(VLOOKUP(CM289,'Rangos amb etnico'!$A$2:$C$6,3,9),"N.D.")</f>
        <v>0</v>
      </c>
      <c r="CO289" s="311">
        <f t="shared" si="133"/>
        <v>0</v>
      </c>
      <c r="CP289">
        <v>0.96097140760413757</v>
      </c>
      <c r="CQ289" t="s">
        <v>2864</v>
      </c>
      <c r="CR289">
        <f t="shared" si="124"/>
        <v>1</v>
      </c>
      <c r="CS289" t="str">
        <f t="shared" si="134"/>
        <v>No es Candidato</v>
      </c>
      <c r="CT289">
        <v>1</v>
      </c>
      <c r="CU289" t="s">
        <v>2836</v>
      </c>
      <c r="CV289" s="25">
        <v>50.016326904296882</v>
      </c>
      <c r="CW289" s="25">
        <v>31.673553466796879</v>
      </c>
      <c r="CX289" s="25">
        <v>47.344989776611328</v>
      </c>
      <c r="CY289" s="25">
        <v>62.871562957763672</v>
      </c>
      <c r="CZ289" s="25">
        <v>42.291488647460938</v>
      </c>
      <c r="DA289" s="25">
        <v>72.976318359375</v>
      </c>
      <c r="DB289" s="25">
        <v>42.940044403076172</v>
      </c>
      <c r="DC289">
        <v>16181</v>
      </c>
      <c r="DD289" s="253" t="s">
        <v>380</v>
      </c>
    </row>
    <row r="290" spans="1:108" hidden="1">
      <c r="A290" s="13">
        <v>52203</v>
      </c>
      <c r="B290" s="13" t="s">
        <v>1039</v>
      </c>
      <c r="C290" s="13" t="s">
        <v>672</v>
      </c>
      <c r="D290" s="13" t="s">
        <v>673</v>
      </c>
      <c r="E290" s="13" t="s">
        <v>1040</v>
      </c>
      <c r="F290" s="14">
        <v>58.852233333333302</v>
      </c>
      <c r="G290" s="13">
        <v>52.12</v>
      </c>
      <c r="H290" s="13">
        <v>61.8</v>
      </c>
      <c r="I290" s="13">
        <v>61.49</v>
      </c>
      <c r="J290" s="14">
        <v>55.872185967056637</v>
      </c>
      <c r="K290" s="14">
        <v>55.872887421747208</v>
      </c>
      <c r="L290" s="14">
        <v>51.478173350468893</v>
      </c>
      <c r="M290" s="14">
        <v>55.552100000000003</v>
      </c>
      <c r="N290" s="14">
        <f t="shared" si="108"/>
        <v>58.565558333333328</v>
      </c>
      <c r="O290" s="14">
        <f t="shared" si="109"/>
        <v>54.69383668481818</v>
      </c>
      <c r="P290" s="14">
        <f t="shared" si="125"/>
        <v>56.629697509075754</v>
      </c>
      <c r="Q290" s="14">
        <v>48.642208962238655</v>
      </c>
      <c r="R290" s="17">
        <f t="shared" si="110"/>
        <v>51.357791037761345</v>
      </c>
      <c r="S290" s="14">
        <f t="shared" si="126"/>
        <v>0.56222011933985216</v>
      </c>
      <c r="T290" s="13">
        <v>0</v>
      </c>
      <c r="U290" s="13">
        <f t="shared" si="127"/>
        <v>31.838355291732299</v>
      </c>
      <c r="V290" s="13">
        <f>IF($T290=1,$AU290,(VLOOKUP(U290,'Cortes naturales'!$A$35:$C$39,3,9)))</f>
        <v>3</v>
      </c>
      <c r="W290" s="13">
        <v>3</v>
      </c>
      <c r="X290" s="14" t="b">
        <f t="shared" si="111"/>
        <v>1</v>
      </c>
      <c r="Y290" s="17">
        <f>IF($T290=1,$AU290,VLOOKUP(U290,'Cortes naturales'!$A$45:$C$49,3,9))</f>
        <v>3</v>
      </c>
      <c r="Z290" s="14">
        <v>55.737511806217377</v>
      </c>
      <c r="AA290" s="14">
        <v>0.57570148140037647</v>
      </c>
      <c r="AB290" s="14">
        <v>32.088168116410316</v>
      </c>
      <c r="AC290" s="13">
        <v>3</v>
      </c>
      <c r="AD290" s="13">
        <f t="shared" si="112"/>
        <v>0</v>
      </c>
      <c r="AE290" s="14">
        <f t="shared" si="113"/>
        <v>0.89218570285837728</v>
      </c>
      <c r="AF290" s="14">
        <f t="shared" si="114"/>
        <v>-1.3481362060524305E-2</v>
      </c>
      <c r="AG290" s="13">
        <f t="shared" si="115"/>
        <v>-0.24981282467801691</v>
      </c>
      <c r="AH290" s="13">
        <f>IF($T290=1,$AU290,VLOOKUP(U290,'Cortes naturales'!$A$25:$C$29,3,9))</f>
        <v>3</v>
      </c>
      <c r="AI290" s="13" t="b">
        <f t="shared" si="116"/>
        <v>1</v>
      </c>
      <c r="AJ290" s="13">
        <f t="shared" si="117"/>
        <v>0</v>
      </c>
      <c r="AK290" s="28">
        <v>0.9741882058902549</v>
      </c>
      <c r="AL290" s="28">
        <v>54.298826627285806</v>
      </c>
      <c r="AM290" s="28">
        <v>0.50859507290711592</v>
      </c>
      <c r="AN290" s="13">
        <v>2</v>
      </c>
      <c r="AO290" s="33">
        <f t="shared" si="118"/>
        <v>-1</v>
      </c>
      <c r="AP290" s="13">
        <f t="shared" si="128"/>
        <v>50.859507290711591</v>
      </c>
      <c r="AQ290" s="13">
        <f>IFERROR(VLOOKUP(U290,'Cortes naturales'!$E$15:$G$19,3,9),U290)</f>
        <v>4</v>
      </c>
      <c r="AR290" s="28">
        <f t="shared" si="119"/>
        <v>-0.41196808655040273</v>
      </c>
      <c r="AS290" s="13" t="b">
        <f t="shared" si="120"/>
        <v>0</v>
      </c>
      <c r="AT290" s="13" t="str">
        <f t="shared" si="129"/>
        <v>Cambio en corte</v>
      </c>
      <c r="AU290" s="13">
        <v>3</v>
      </c>
      <c r="AV290">
        <f t="shared" si="121"/>
        <v>0</v>
      </c>
      <c r="AW290" s="13">
        <v>0</v>
      </c>
      <c r="AX290" s="13">
        <v>0</v>
      </c>
      <c r="AY290" s="13">
        <v>0</v>
      </c>
      <c r="AZ290" s="13">
        <v>0</v>
      </c>
      <c r="BA290">
        <v>0</v>
      </c>
      <c r="BB290" t="s">
        <v>2839</v>
      </c>
      <c r="BC290">
        <v>6</v>
      </c>
      <c r="BD290" t="s">
        <v>2919</v>
      </c>
      <c r="BE290">
        <v>0</v>
      </c>
      <c r="BF290" s="232" t="s">
        <v>2846</v>
      </c>
      <c r="BG290" s="232" t="s">
        <v>2845</v>
      </c>
      <c r="BH290" s="253">
        <v>42.4</v>
      </c>
      <c r="BI290" s="253">
        <v>12.982998454404946</v>
      </c>
      <c r="BJ290" s="25">
        <v>50.168621967654992</v>
      </c>
      <c r="BK290" t="s">
        <v>376</v>
      </c>
      <c r="BL290">
        <v>1.8194912763172515</v>
      </c>
      <c r="BM290" t="s">
        <v>383</v>
      </c>
      <c r="BN290" s="322">
        <v>18518.573725999999</v>
      </c>
      <c r="BO290" s="322">
        <v>598.76349400000004</v>
      </c>
      <c r="BP290" s="10">
        <v>8501</v>
      </c>
      <c r="BQ290" s="254">
        <f t="shared" si="122"/>
        <v>2.1783994501823312</v>
      </c>
      <c r="BR290" s="254">
        <f t="shared" si="123"/>
        <v>7.0434477590871666E-2</v>
      </c>
      <c r="BS290" s="25">
        <v>61.166545922884971</v>
      </c>
      <c r="BT290" s="25">
        <v>95.56996417754776</v>
      </c>
      <c r="BU290" s="25">
        <v>40.069117647058803</v>
      </c>
      <c r="BV290" s="25">
        <v>97.801891545813305</v>
      </c>
      <c r="BW290" s="25">
        <v>57.581020350434187</v>
      </c>
      <c r="BX290" s="25">
        <v>73.651879823326212</v>
      </c>
      <c r="BY290" s="25">
        <v>58.321912191542353</v>
      </c>
      <c r="BZ290">
        <v>69</v>
      </c>
      <c r="CA290">
        <v>0</v>
      </c>
      <c r="CB290">
        <v>7</v>
      </c>
      <c r="CC290">
        <v>6179.4957270000004</v>
      </c>
      <c r="CD290" s="10">
        <v>656.81684700000005</v>
      </c>
      <c r="CE290" s="255">
        <v>0.10628971618673959</v>
      </c>
      <c r="CF290" t="str">
        <f>IFERROR(VLOOKUP(CE290,'Rangos amb etnico'!$A$2:$C$6,3,9),"N.D.")</f>
        <v>0,1% - 30%</v>
      </c>
      <c r="CG290" s="256">
        <v>1.9109278058858768E-5</v>
      </c>
      <c r="CH290" s="232">
        <v>0</v>
      </c>
      <c r="CI290" s="311">
        <f t="shared" si="130"/>
        <v>0</v>
      </c>
      <c r="CJ290" s="232">
        <f>IFERROR(VLOOKUP(CI290,'Rangos amb etnico'!$A$2:$C$6,3,9),"N.D.")</f>
        <v>0</v>
      </c>
      <c r="CK290" s="311">
        <f t="shared" si="131"/>
        <v>0</v>
      </c>
      <c r="CL290" s="10">
        <v>0</v>
      </c>
      <c r="CM290" s="255">
        <f t="shared" si="132"/>
        <v>0</v>
      </c>
      <c r="CN290" s="232">
        <f>IFERROR(VLOOKUP(CM290,'Rangos amb etnico'!$A$2:$C$6,3,9),"N.D.")</f>
        <v>0</v>
      </c>
      <c r="CO290" s="311">
        <f t="shared" si="133"/>
        <v>0</v>
      </c>
      <c r="CP290">
        <v>0.9595711177085966</v>
      </c>
      <c r="CQ290" t="s">
        <v>2864</v>
      </c>
      <c r="CR290">
        <f t="shared" si="124"/>
        <v>2</v>
      </c>
      <c r="CS290" t="str">
        <f t="shared" si="134"/>
        <v>No es Candidato</v>
      </c>
      <c r="CT290">
        <v>0</v>
      </c>
      <c r="CU290">
        <v>0</v>
      </c>
      <c r="CV290" s="25">
        <v>49.301280975341797</v>
      </c>
      <c r="CW290" s="25">
        <v>15.34428691864014</v>
      </c>
      <c r="CX290" s="25">
        <v>47.849849700927727</v>
      </c>
      <c r="CY290" s="25">
        <v>58.254772186279297</v>
      </c>
      <c r="CZ290" s="25">
        <v>36.152950286865227</v>
      </c>
      <c r="DA290" s="25">
        <v>98.48162841796875</v>
      </c>
      <c r="DB290" s="25">
        <v>39.724197387695313</v>
      </c>
      <c r="DC290">
        <v>154</v>
      </c>
      <c r="DD290" s="253" t="s">
        <v>380</v>
      </c>
    </row>
    <row r="291" spans="1:108" hidden="1">
      <c r="A291" s="13">
        <v>13244</v>
      </c>
      <c r="B291" s="13" t="s">
        <v>1041</v>
      </c>
      <c r="C291" s="13" t="s">
        <v>480</v>
      </c>
      <c r="D291" s="13" t="s">
        <v>481</v>
      </c>
      <c r="E291" s="13" t="s">
        <v>1042</v>
      </c>
      <c r="F291" s="14">
        <v>62.640599999999999</v>
      </c>
      <c r="G291" s="13">
        <v>51.48</v>
      </c>
      <c r="H291" s="13">
        <v>55.22</v>
      </c>
      <c r="I291" s="13">
        <v>52.38</v>
      </c>
      <c r="J291" s="14">
        <v>59.485243782753926</v>
      </c>
      <c r="K291" s="14">
        <v>55.542711740519124</v>
      </c>
      <c r="L291" s="14">
        <v>55.376619661532118</v>
      </c>
      <c r="M291" s="14">
        <v>66.381200000000007</v>
      </c>
      <c r="N291" s="14">
        <f t="shared" si="108"/>
        <v>55.430149999999998</v>
      </c>
      <c r="O291" s="14">
        <f t="shared" si="109"/>
        <v>59.196443796201294</v>
      </c>
      <c r="P291" s="14">
        <f t="shared" si="125"/>
        <v>57.313296898100646</v>
      </c>
      <c r="Q291" s="14">
        <v>48.2820459346555</v>
      </c>
      <c r="R291" s="17">
        <f t="shared" si="110"/>
        <v>51.7179540653445</v>
      </c>
      <c r="S291" s="14">
        <f t="shared" si="126"/>
        <v>0.56546158658810053</v>
      </c>
      <c r="T291" s="13">
        <v>0</v>
      </c>
      <c r="U291" s="13">
        <f t="shared" si="127"/>
        <v>32.408467796594849</v>
      </c>
      <c r="V291" s="13">
        <f>IF($T291=1,$AU291,(VLOOKUP(U291,'Cortes naturales'!$A$35:$C$39,3,9)))</f>
        <v>3</v>
      </c>
      <c r="W291" s="13">
        <v>3</v>
      </c>
      <c r="X291" s="14" t="b">
        <f t="shared" si="111"/>
        <v>1</v>
      </c>
      <c r="Y291" s="17">
        <f>IF($T291=1,$AU291,VLOOKUP(U291,'Cortes naturales'!$A$45:$C$49,3,9))</f>
        <v>3</v>
      </c>
      <c r="Z291" s="14">
        <v>55.410035367662935</v>
      </c>
      <c r="AA291" s="14">
        <v>0.57541637404786339</v>
      </c>
      <c r="AB291" s="14">
        <v>31.883841637124476</v>
      </c>
      <c r="AC291" s="13">
        <v>3</v>
      </c>
      <c r="AD291" s="13">
        <f t="shared" si="112"/>
        <v>0</v>
      </c>
      <c r="AE291" s="14">
        <f t="shared" si="113"/>
        <v>1.9032615304377103</v>
      </c>
      <c r="AF291" s="14">
        <f t="shared" si="114"/>
        <v>-9.9547874597628594E-3</v>
      </c>
      <c r="AG291" s="13">
        <f t="shared" si="115"/>
        <v>0.5246261594703725</v>
      </c>
      <c r="AH291" s="13">
        <f>IF($T291=1,$AU291,VLOOKUP(U291,'Cortes naturales'!$A$25:$C$29,3,9))</f>
        <v>3</v>
      </c>
      <c r="AI291" s="13" t="b">
        <f t="shared" si="116"/>
        <v>1</v>
      </c>
      <c r="AJ291" s="13">
        <f t="shared" si="117"/>
        <v>0</v>
      </c>
      <c r="AK291" s="28">
        <v>0.9741882058902549</v>
      </c>
      <c r="AL291" s="28">
        <v>53.979802943139127</v>
      </c>
      <c r="AM291" s="28">
        <v>0.50460442290110175</v>
      </c>
      <c r="AN291" s="13">
        <v>2</v>
      </c>
      <c r="AO291" s="33">
        <f t="shared" si="118"/>
        <v>-1</v>
      </c>
      <c r="AP291" s="13">
        <f t="shared" si="128"/>
        <v>50.460442290110173</v>
      </c>
      <c r="AQ291" s="13">
        <f>IFERROR(VLOOKUP(U291,'Cortes naturales'!$E$15:$G$19,3,9),U291)</f>
        <v>4</v>
      </c>
      <c r="AR291" s="28">
        <f t="shared" si="119"/>
        <v>-0.40872661930215437</v>
      </c>
      <c r="AS291" s="13" t="b">
        <f t="shared" si="120"/>
        <v>0</v>
      </c>
      <c r="AT291" s="13" t="str">
        <f t="shared" si="129"/>
        <v>Cambio en corte</v>
      </c>
      <c r="AU291" s="13">
        <v>3</v>
      </c>
      <c r="AV291">
        <f t="shared" si="121"/>
        <v>0</v>
      </c>
      <c r="AW291" s="13">
        <v>0</v>
      </c>
      <c r="AX291" s="13">
        <v>0</v>
      </c>
      <c r="AY291" s="13">
        <v>0</v>
      </c>
      <c r="AZ291" s="13">
        <v>1</v>
      </c>
      <c r="BA291">
        <v>1</v>
      </c>
      <c r="BB291" t="s">
        <v>2839</v>
      </c>
      <c r="BC291">
        <v>6</v>
      </c>
      <c r="BD291" t="s">
        <v>2919</v>
      </c>
      <c r="BE291">
        <v>0</v>
      </c>
      <c r="BF291" s="232" t="s">
        <v>2846</v>
      </c>
      <c r="BG291" s="232" t="s">
        <v>2846</v>
      </c>
      <c r="BH291" s="253">
        <v>58.4</v>
      </c>
      <c r="BI291" s="253">
        <v>41.545951080503443</v>
      </c>
      <c r="BJ291" s="25">
        <v>0</v>
      </c>
      <c r="BK291" t="s">
        <v>381</v>
      </c>
      <c r="BL291">
        <v>10.965429645051374</v>
      </c>
      <c r="BM291" t="s">
        <v>379</v>
      </c>
      <c r="BN291" s="322">
        <v>157073.345554</v>
      </c>
      <c r="BO291" s="322">
        <v>8384.0777529999996</v>
      </c>
      <c r="BP291" s="10">
        <v>76463</v>
      </c>
      <c r="BQ291" s="254">
        <f t="shared" si="122"/>
        <v>2.0542399010501811</v>
      </c>
      <c r="BR291" s="254">
        <f t="shared" si="123"/>
        <v>0.109648820383715</v>
      </c>
      <c r="BS291" s="25">
        <v>65.574521421442441</v>
      </c>
      <c r="BT291" s="25">
        <v>99.007589999999993</v>
      </c>
      <c r="BU291" s="25">
        <v>19.813252890899928</v>
      </c>
      <c r="BV291" s="25">
        <v>89.891183935479873</v>
      </c>
      <c r="BW291" s="25">
        <v>46.718871198191657</v>
      </c>
      <c r="BX291" s="25">
        <v>68.57163706195557</v>
      </c>
      <c r="BY291" s="25">
        <v>47.633641069125481</v>
      </c>
      <c r="BZ291">
        <v>12</v>
      </c>
      <c r="CA291">
        <v>1</v>
      </c>
      <c r="CB291">
        <v>6</v>
      </c>
      <c r="CC291">
        <v>94574.429212000003</v>
      </c>
      <c r="CD291" s="10">
        <v>8768.6910150000003</v>
      </c>
      <c r="CE291" s="255">
        <v>9.2717355928672016E-2</v>
      </c>
      <c r="CF291" t="str">
        <f>IFERROR(VLOOKUP(CE291,'Rangos amb etnico'!$A$2:$C$6,3,9),"N.D.")</f>
        <v>0,1% - 30%</v>
      </c>
      <c r="CG291" s="256">
        <v>2.5511427665595723E-4</v>
      </c>
      <c r="CH291" s="232">
        <v>168.37121300000001</v>
      </c>
      <c r="CI291" s="311">
        <f t="shared" si="130"/>
        <v>1.7803037713563737E-3</v>
      </c>
      <c r="CJ291" s="232" t="str">
        <f>IFERROR(VLOOKUP(CI291,'Rangos amb etnico'!$A$2:$C$6,3,9),"N.D.")</f>
        <v>0,1% - 30%</v>
      </c>
      <c r="CK291" s="311">
        <f t="shared" si="131"/>
        <v>6.6854395161870505E-6</v>
      </c>
      <c r="CL291" s="10">
        <v>0</v>
      </c>
      <c r="CM291" s="255">
        <f t="shared" si="132"/>
        <v>0</v>
      </c>
      <c r="CN291" s="232">
        <f>IFERROR(VLOOKUP(CM291,'Rangos amb etnico'!$A$2:$C$6,3,9),"N.D.")</f>
        <v>0</v>
      </c>
      <c r="CO291" s="311">
        <f t="shared" si="133"/>
        <v>0</v>
      </c>
      <c r="CP291">
        <v>0.92219328202701623</v>
      </c>
      <c r="CQ291" t="s">
        <v>2864</v>
      </c>
      <c r="CR291">
        <f t="shared" si="124"/>
        <v>2</v>
      </c>
      <c r="CS291" t="str">
        <f t="shared" si="134"/>
        <v>No es Candidato</v>
      </c>
      <c r="CT291">
        <v>0</v>
      </c>
      <c r="CU291">
        <v>0</v>
      </c>
      <c r="CV291" s="25">
        <v>46.050247192382813</v>
      </c>
      <c r="CW291" s="25">
        <v>38.019729614257813</v>
      </c>
      <c r="CX291" s="25">
        <v>57.116153717041023</v>
      </c>
      <c r="CY291" s="25">
        <v>68.232147216796875</v>
      </c>
      <c r="CZ291" s="25">
        <v>14.684684753417971</v>
      </c>
      <c r="DA291" s="25">
        <v>55.514289855957031</v>
      </c>
      <c r="DB291" s="25">
        <v>42.734474182128913</v>
      </c>
      <c r="DC291">
        <v>5034</v>
      </c>
      <c r="DD291" s="253" t="s">
        <v>380</v>
      </c>
    </row>
    <row r="292" spans="1:108" hidden="1">
      <c r="A292" s="13">
        <v>25736</v>
      </c>
      <c r="B292" s="13" t="s">
        <v>1043</v>
      </c>
      <c r="C292" s="13" t="s">
        <v>461</v>
      </c>
      <c r="D292" s="13" t="s">
        <v>462</v>
      </c>
      <c r="E292" s="13" t="s">
        <v>1044</v>
      </c>
      <c r="F292" s="14">
        <v>69.034099999999995</v>
      </c>
      <c r="G292" s="13">
        <v>66.02</v>
      </c>
      <c r="H292" s="13">
        <v>68.95</v>
      </c>
      <c r="I292" s="13">
        <v>66.87</v>
      </c>
      <c r="J292" s="14">
        <v>70.979070386584652</v>
      </c>
      <c r="K292" s="14">
        <v>64.298228272229011</v>
      </c>
      <c r="L292" s="14">
        <v>59.997746798796825</v>
      </c>
      <c r="M292" s="14">
        <v>66.246899999999997</v>
      </c>
      <c r="N292" s="14">
        <f t="shared" si="108"/>
        <v>67.718525</v>
      </c>
      <c r="O292" s="14">
        <f t="shared" si="109"/>
        <v>65.380486364402614</v>
      </c>
      <c r="P292" s="14">
        <f t="shared" si="125"/>
        <v>66.5495056822013</v>
      </c>
      <c r="Q292" s="14">
        <v>49.103501153487947</v>
      </c>
      <c r="R292" s="17">
        <f t="shared" si="110"/>
        <v>50.896498846512053</v>
      </c>
      <c r="S292" s="14">
        <f t="shared" si="126"/>
        <v>0.55806848961860844</v>
      </c>
      <c r="T292" s="13">
        <v>0</v>
      </c>
      <c r="U292" s="13">
        <f t="shared" si="127"/>
        <v>37.139182120931082</v>
      </c>
      <c r="V292" s="13">
        <f>IF($T292=1,$AU292,(VLOOKUP(U292,'Cortes naturales'!$A$35:$C$39,3,9)))</f>
        <v>3</v>
      </c>
      <c r="W292" s="13">
        <v>3</v>
      </c>
      <c r="X292" s="14" t="b">
        <f t="shared" si="111"/>
        <v>1</v>
      </c>
      <c r="Y292" s="17">
        <f>IF($T292=1,$AU292,VLOOKUP(U292,'Cortes naturales'!$A$45:$C$49,3,9))</f>
        <v>2</v>
      </c>
      <c r="Z292" s="14">
        <v>66.294916574896007</v>
      </c>
      <c r="AA292" s="14">
        <v>0.57313192109897226</v>
      </c>
      <c r="AB292" s="14">
        <v>37.995732895666244</v>
      </c>
      <c r="AC292" s="13">
        <v>2</v>
      </c>
      <c r="AD292" s="13">
        <f t="shared" si="112"/>
        <v>0</v>
      </c>
      <c r="AE292" s="14">
        <f t="shared" si="113"/>
        <v>0.25458910730529283</v>
      </c>
      <c r="AF292" s="14">
        <f t="shared" si="114"/>
        <v>-1.506343148036382E-2</v>
      </c>
      <c r="AG292" s="13">
        <f t="shared" si="115"/>
        <v>-0.85655077473516172</v>
      </c>
      <c r="AH292" s="13">
        <f>IF($T292=1,$AU292,VLOOKUP(U292,'Cortes naturales'!$A$25:$C$29,3,9))</f>
        <v>2</v>
      </c>
      <c r="AI292" s="13" t="b">
        <f t="shared" si="116"/>
        <v>1</v>
      </c>
      <c r="AJ292" s="13">
        <f t="shared" si="117"/>
        <v>0</v>
      </c>
      <c r="AK292" s="28">
        <v>0.9741882058902549</v>
      </c>
      <c r="AL292" s="28">
        <v>64.583725837742065</v>
      </c>
      <c r="AM292" s="28">
        <v>0.63724832072426463</v>
      </c>
      <c r="AN292" s="13">
        <v>2</v>
      </c>
      <c r="AO292" s="33">
        <f t="shared" si="118"/>
        <v>0</v>
      </c>
      <c r="AP292" s="13">
        <f t="shared" si="128"/>
        <v>63.724832072426466</v>
      </c>
      <c r="AQ292" s="13">
        <f>IFERROR(VLOOKUP(U292,'Cortes naturales'!$E$15:$G$19,3,9),U292)</f>
        <v>3</v>
      </c>
      <c r="AR292" s="28">
        <f t="shared" si="119"/>
        <v>-0.41611971627164646</v>
      </c>
      <c r="AS292" s="13" t="b">
        <f t="shared" si="120"/>
        <v>0</v>
      </c>
      <c r="AT292" s="13">
        <f t="shared" si="129"/>
        <v>0</v>
      </c>
      <c r="AU292" s="13">
        <v>1</v>
      </c>
      <c r="AV292">
        <f t="shared" si="121"/>
        <v>-1</v>
      </c>
      <c r="AW292" s="13">
        <v>0</v>
      </c>
      <c r="AX292" s="13">
        <v>0</v>
      </c>
      <c r="AY292" s="13">
        <v>0</v>
      </c>
      <c r="AZ292" s="13">
        <v>0</v>
      </c>
      <c r="BA292">
        <v>0</v>
      </c>
      <c r="BB292" t="s">
        <v>2838</v>
      </c>
      <c r="BC292">
        <v>6</v>
      </c>
      <c r="BD292" s="184" t="s">
        <v>2917</v>
      </c>
      <c r="BE292">
        <v>0</v>
      </c>
      <c r="BF292" s="232" t="s">
        <v>2846</v>
      </c>
      <c r="BG292" s="232" t="s">
        <v>2846</v>
      </c>
      <c r="BH292" s="253">
        <v>17.7</v>
      </c>
      <c r="BI292" s="253">
        <v>5.7566980448950034</v>
      </c>
      <c r="BJ292" s="25">
        <v>7.6946407329478612</v>
      </c>
      <c r="BK292" t="s">
        <v>377</v>
      </c>
      <c r="BL292">
        <v>0.63009038285358698</v>
      </c>
      <c r="BM292" t="s">
        <v>383</v>
      </c>
      <c r="BN292" s="322">
        <v>36162.441060999998</v>
      </c>
      <c r="BO292" s="322">
        <v>21044.239117000001</v>
      </c>
      <c r="BP292" s="10">
        <v>12723</v>
      </c>
      <c r="BQ292" s="254">
        <f t="shared" si="122"/>
        <v>2.8422888517645206</v>
      </c>
      <c r="BR292" s="254">
        <f t="shared" si="123"/>
        <v>1.6540312125284917</v>
      </c>
      <c r="BS292" s="25">
        <v>68.555945622625188</v>
      </c>
      <c r="BT292" s="25">
        <v>91.608373287222619</v>
      </c>
      <c r="BU292" s="25">
        <v>56.158988111953569</v>
      </c>
      <c r="BV292" s="25">
        <v>90.3667858198679</v>
      </c>
      <c r="BW292" s="25">
        <v>76.441939482922052</v>
      </c>
      <c r="BX292" s="25">
        <v>76.67252321041731</v>
      </c>
      <c r="BY292" s="25">
        <v>78.424671850338044</v>
      </c>
      <c r="BZ292">
        <v>96</v>
      </c>
      <c r="CA292">
        <v>0</v>
      </c>
      <c r="CB292">
        <v>7</v>
      </c>
      <c r="CC292">
        <v>14098.732724</v>
      </c>
      <c r="CD292" s="10">
        <v>7526.3771660000002</v>
      </c>
      <c r="CE292" s="255">
        <v>0.53383359436185307</v>
      </c>
      <c r="CF292" t="str">
        <f>IFERROR(VLOOKUP(CE292,'Rangos amb etnico'!$A$2:$C$6,3,9),"N.D.")</f>
        <v>51% - 70%</v>
      </c>
      <c r="CG292" s="256">
        <v>2.1897068368122939E-4</v>
      </c>
      <c r="CH292" s="232">
        <v>204.26276799999999</v>
      </c>
      <c r="CI292" s="311">
        <f t="shared" si="130"/>
        <v>1.4488023285404045E-2</v>
      </c>
      <c r="CJ292" s="232" t="str">
        <f>IFERROR(VLOOKUP(CI292,'Rangos amb etnico'!$A$2:$C$6,3,9),"N.D.")</f>
        <v>0,1% - 30%</v>
      </c>
      <c r="CK292" s="311">
        <f t="shared" si="131"/>
        <v>8.1105692388932762E-6</v>
      </c>
      <c r="CL292" s="10">
        <v>0</v>
      </c>
      <c r="CM292" s="255">
        <f t="shared" si="132"/>
        <v>0</v>
      </c>
      <c r="CN292" s="232">
        <f>IFERROR(VLOOKUP(CM292,'Rangos amb etnico'!$A$2:$C$6,3,9),"N.D.")</f>
        <v>0</v>
      </c>
      <c r="CO292" s="311">
        <f t="shared" si="133"/>
        <v>0</v>
      </c>
      <c r="CP292">
        <v>0.97949893487990236</v>
      </c>
      <c r="CQ292" t="s">
        <v>2864</v>
      </c>
      <c r="CR292">
        <f t="shared" si="124"/>
        <v>4</v>
      </c>
      <c r="CS292" t="str">
        <f t="shared" si="134"/>
        <v>Candidato</v>
      </c>
      <c r="CT292">
        <v>0</v>
      </c>
      <c r="CU292">
        <v>0</v>
      </c>
      <c r="CV292" s="25">
        <v>58.152725219726563</v>
      </c>
      <c r="CW292" s="25">
        <v>36.426002502441413</v>
      </c>
      <c r="CX292" s="25">
        <v>64.495002746582031</v>
      </c>
      <c r="CY292" s="25">
        <v>68.060844421386719</v>
      </c>
      <c r="CZ292" s="25">
        <v>67.827980041503906</v>
      </c>
      <c r="DA292" s="25">
        <v>46.439533233642578</v>
      </c>
      <c r="DB292" s="25">
        <v>65.6669921875</v>
      </c>
      <c r="DC292">
        <v>560</v>
      </c>
      <c r="DD292" s="253" t="s">
        <v>380</v>
      </c>
    </row>
    <row r="293" spans="1:108" hidden="1">
      <c r="A293" s="13">
        <v>15494</v>
      </c>
      <c r="B293" s="13" t="s">
        <v>1045</v>
      </c>
      <c r="C293" s="13" t="s">
        <v>498</v>
      </c>
      <c r="D293" s="13" t="s">
        <v>499</v>
      </c>
      <c r="E293" s="13" t="s">
        <v>1046</v>
      </c>
      <c r="F293" s="14">
        <v>56.201266666666697</v>
      </c>
      <c r="G293" s="13">
        <v>49.83</v>
      </c>
      <c r="H293" s="13">
        <v>46.67</v>
      </c>
      <c r="I293" s="13">
        <v>46.12</v>
      </c>
      <c r="J293" s="14">
        <v>44.59112685588147</v>
      </c>
      <c r="K293" s="14">
        <v>56.202164036477313</v>
      </c>
      <c r="L293" s="14">
        <v>58.77669754110088</v>
      </c>
      <c r="M293" s="14">
        <v>57.597499999999997</v>
      </c>
      <c r="N293" s="14">
        <f t="shared" si="108"/>
        <v>49.705316666666675</v>
      </c>
      <c r="O293" s="14">
        <f t="shared" si="109"/>
        <v>54.291872108364913</v>
      </c>
      <c r="P293" s="14">
        <f t="shared" si="125"/>
        <v>51.998594387515794</v>
      </c>
      <c r="Q293" s="14">
        <v>48.952711408602525</v>
      </c>
      <c r="R293" s="17">
        <f t="shared" si="110"/>
        <v>51.047288591397475</v>
      </c>
      <c r="S293" s="14">
        <f t="shared" si="126"/>
        <v>0.55942559732257735</v>
      </c>
      <c r="T293" s="13">
        <v>0</v>
      </c>
      <c r="U293" s="13">
        <f t="shared" si="127"/>
        <v>29.089344725170442</v>
      </c>
      <c r="V293" s="13">
        <f>IF($T293=1,$AU293,(VLOOKUP(U293,'Cortes naturales'!$A$35:$C$39,3,9)))</f>
        <v>4</v>
      </c>
      <c r="W293" s="13">
        <v>4</v>
      </c>
      <c r="X293" s="14" t="b">
        <f t="shared" si="111"/>
        <v>1</v>
      </c>
      <c r="Y293" s="17">
        <f>IF($T293=1,$AU293,VLOOKUP(U293,'Cortes naturales'!$A$45:$C$49,3,9))</f>
        <v>3</v>
      </c>
      <c r="Z293" s="14">
        <v>51.730089571368943</v>
      </c>
      <c r="AA293" s="14">
        <v>0.57361141976575258</v>
      </c>
      <c r="AB293" s="14">
        <v>29.672970123642489</v>
      </c>
      <c r="AC293" s="13">
        <v>3</v>
      </c>
      <c r="AD293" s="13">
        <f t="shared" si="112"/>
        <v>0</v>
      </c>
      <c r="AE293" s="14">
        <f t="shared" si="113"/>
        <v>0.26850481614685151</v>
      </c>
      <c r="AF293" s="14">
        <f t="shared" si="114"/>
        <v>-1.4185822443175233E-2</v>
      </c>
      <c r="AG293" s="13">
        <f t="shared" si="115"/>
        <v>-0.58362539847204786</v>
      </c>
      <c r="AH293" s="13">
        <f>IF($T293=1,$AU293,VLOOKUP(U293,'Cortes naturales'!$A$25:$C$29,3,9))</f>
        <v>3</v>
      </c>
      <c r="AI293" s="13" t="b">
        <f t="shared" si="116"/>
        <v>1</v>
      </c>
      <c r="AJ293" s="13">
        <f t="shared" si="117"/>
        <v>0</v>
      </c>
      <c r="AK293" s="28">
        <v>0.9741882058902549</v>
      </c>
      <c r="AL293" s="28">
        <v>50.394843150074095</v>
      </c>
      <c r="AM293" s="28">
        <v>0.45976035479367611</v>
      </c>
      <c r="AN293" s="13">
        <v>3</v>
      </c>
      <c r="AO293" s="33">
        <f t="shared" si="118"/>
        <v>0</v>
      </c>
      <c r="AP293" s="13">
        <f t="shared" si="128"/>
        <v>45.97603547936761</v>
      </c>
      <c r="AQ293" s="13">
        <f>IFERROR(VLOOKUP(U293,'Cortes naturales'!$E$15:$G$19,3,9),U293)</f>
        <v>4</v>
      </c>
      <c r="AR293" s="28">
        <f t="shared" si="119"/>
        <v>-0.41476260856767755</v>
      </c>
      <c r="AS293" s="13" t="b">
        <f t="shared" si="120"/>
        <v>0</v>
      </c>
      <c r="AT293" s="13">
        <f t="shared" si="129"/>
        <v>0</v>
      </c>
      <c r="AU293" s="13">
        <v>2</v>
      </c>
      <c r="AV293">
        <f t="shared" si="121"/>
        <v>-1</v>
      </c>
      <c r="AW293" s="13">
        <v>0</v>
      </c>
      <c r="AX293" s="13">
        <v>0</v>
      </c>
      <c r="AY293" s="13">
        <v>0</v>
      </c>
      <c r="AZ293" s="13">
        <v>0</v>
      </c>
      <c r="BA293">
        <v>0</v>
      </c>
      <c r="BB293" t="s">
        <v>2839</v>
      </c>
      <c r="BC293">
        <v>6</v>
      </c>
      <c r="BD293" t="s">
        <v>2919</v>
      </c>
      <c r="BE293">
        <v>0</v>
      </c>
      <c r="BF293" s="232" t="s">
        <v>2846</v>
      </c>
      <c r="BG293" s="232" t="s">
        <v>2846</v>
      </c>
      <c r="BH293" s="253">
        <v>46.2</v>
      </c>
      <c r="BI293" s="253">
        <v>15.215654952076678</v>
      </c>
      <c r="BJ293" s="25">
        <v>23.021436729453342</v>
      </c>
      <c r="BK293" t="s">
        <v>379</v>
      </c>
      <c r="BL293">
        <v>0.16999354999719629</v>
      </c>
      <c r="BM293" t="s">
        <v>377</v>
      </c>
      <c r="BN293" s="322">
        <v>17782.449966</v>
      </c>
      <c r="BO293" s="322">
        <v>1476.5827509999999</v>
      </c>
      <c r="BP293" s="10">
        <v>5229</v>
      </c>
      <c r="BQ293" s="254">
        <f t="shared" si="122"/>
        <v>3.4007362719449228</v>
      </c>
      <c r="BR293" s="254">
        <f t="shared" si="123"/>
        <v>0.28238339089692099</v>
      </c>
      <c r="BS293" s="25">
        <v>70.991474147414735</v>
      </c>
      <c r="BT293" s="25">
        <v>85.928694781666351</v>
      </c>
      <c r="BU293" s="25">
        <v>56.183333333333337</v>
      </c>
      <c r="BV293" s="25">
        <v>95.513289074366625</v>
      </c>
      <c r="BW293" s="25">
        <v>53.429174370880453</v>
      </c>
      <c r="BX293" s="25">
        <v>77.154197834195259</v>
      </c>
      <c r="BY293" s="25">
        <v>54.613560197762759</v>
      </c>
      <c r="BZ293">
        <v>0</v>
      </c>
      <c r="CA293">
        <v>0</v>
      </c>
      <c r="CB293">
        <v>7</v>
      </c>
      <c r="CC293">
        <v>5131.156962</v>
      </c>
      <c r="CD293" s="10">
        <v>2712.61429</v>
      </c>
      <c r="CE293" s="255">
        <v>0.52865548843835974</v>
      </c>
      <c r="CF293" t="str">
        <f>IFERROR(VLOOKUP(CE293,'Rangos amb etnico'!$A$2:$C$6,3,9),"N.D.")</f>
        <v>51% - 70%</v>
      </c>
      <c r="CG293" s="256">
        <v>7.8920175343863788E-5</v>
      </c>
      <c r="CH293" s="232">
        <v>0</v>
      </c>
      <c r="CI293" s="311">
        <f t="shared" si="130"/>
        <v>0</v>
      </c>
      <c r="CJ293" s="232">
        <f>IFERROR(VLOOKUP(CI293,'Rangos amb etnico'!$A$2:$C$6,3,9),"N.D.")</f>
        <v>0</v>
      </c>
      <c r="CK293" s="311">
        <f t="shared" si="131"/>
        <v>0</v>
      </c>
      <c r="CL293" s="10">
        <v>0</v>
      </c>
      <c r="CM293" s="255">
        <f t="shared" si="132"/>
        <v>0</v>
      </c>
      <c r="CN293" s="232">
        <f>IFERROR(VLOOKUP(CM293,'Rangos amb etnico'!$A$2:$C$6,3,9),"N.D.")</f>
        <v>0</v>
      </c>
      <c r="CO293" s="311">
        <f t="shared" si="133"/>
        <v>0</v>
      </c>
      <c r="CP293">
        <v>0.96535287660852154</v>
      </c>
      <c r="CQ293" t="s">
        <v>2864</v>
      </c>
      <c r="CR293">
        <f t="shared" si="124"/>
        <v>1</v>
      </c>
      <c r="CS293" t="str">
        <f t="shared" si="134"/>
        <v>No es Candidato</v>
      </c>
      <c r="CT293">
        <v>0</v>
      </c>
      <c r="CU293">
        <v>0</v>
      </c>
      <c r="CV293" s="25">
        <v>53.781925201416023</v>
      </c>
      <c r="CW293" s="25">
        <v>26.397932052612301</v>
      </c>
      <c r="CX293" s="25">
        <v>47.926006317138672</v>
      </c>
      <c r="CY293" s="25">
        <v>62.231948852539063</v>
      </c>
      <c r="CZ293" s="25">
        <v>52.425380706787109</v>
      </c>
      <c r="DA293" s="25">
        <v>73.960960388183594</v>
      </c>
      <c r="DB293" s="25">
        <v>59.749317169189453</v>
      </c>
      <c r="DC293">
        <v>17</v>
      </c>
      <c r="DD293" s="253" t="s">
        <v>380</v>
      </c>
    </row>
    <row r="294" spans="1:108" hidden="1">
      <c r="A294" s="13">
        <v>76113</v>
      </c>
      <c r="B294" s="13" t="s">
        <v>1047</v>
      </c>
      <c r="C294" s="13" t="s">
        <v>454</v>
      </c>
      <c r="D294" s="13" t="s">
        <v>455</v>
      </c>
      <c r="E294" s="13" t="s">
        <v>1048</v>
      </c>
      <c r="F294" s="14">
        <v>64.996366666666702</v>
      </c>
      <c r="G294" s="13">
        <v>56.31</v>
      </c>
      <c r="H294" s="13">
        <v>58.43</v>
      </c>
      <c r="I294" s="13">
        <v>64.59</v>
      </c>
      <c r="J294" s="14">
        <v>47.996785647031437</v>
      </c>
      <c r="K294" s="14">
        <v>60.41250921115703</v>
      </c>
      <c r="L294" s="14">
        <v>66.507256385963487</v>
      </c>
      <c r="M294" s="14">
        <v>61.8461</v>
      </c>
      <c r="N294" s="14">
        <f t="shared" si="108"/>
        <v>61.081591666666675</v>
      </c>
      <c r="O294" s="14">
        <f t="shared" si="109"/>
        <v>59.190662811037988</v>
      </c>
      <c r="P294" s="14">
        <f t="shared" si="125"/>
        <v>60.136127238852332</v>
      </c>
      <c r="Q294" s="14">
        <v>48.925492881168083</v>
      </c>
      <c r="R294" s="17">
        <f t="shared" si="110"/>
        <v>51.074507118831917</v>
      </c>
      <c r="S294" s="14">
        <f t="shared" si="126"/>
        <v>0.55967056406948723</v>
      </c>
      <c r="T294" s="13">
        <v>0</v>
      </c>
      <c r="U294" s="13">
        <f t="shared" si="127"/>
        <v>33.656420252722938</v>
      </c>
      <c r="V294" s="13">
        <f>IF($T294=1,$AU294,(VLOOKUP(U294,'Cortes naturales'!$A$35:$C$39,3,9)))</f>
        <v>3</v>
      </c>
      <c r="W294" s="13">
        <v>3</v>
      </c>
      <c r="X294" s="14" t="b">
        <f t="shared" si="111"/>
        <v>1</v>
      </c>
      <c r="Y294" s="17">
        <f>IF($T294=1,$AU294,VLOOKUP(U294,'Cortes naturales'!$A$45:$C$49,3,9))</f>
        <v>3</v>
      </c>
      <c r="Z294" s="14">
        <v>60.387207211013752</v>
      </c>
      <c r="AA294" s="14">
        <v>0.57440032165863308</v>
      </c>
      <c r="AB294" s="14">
        <v>34.686431246072829</v>
      </c>
      <c r="AC294" s="13">
        <v>3</v>
      </c>
      <c r="AD294" s="13">
        <f t="shared" si="112"/>
        <v>0</v>
      </c>
      <c r="AE294" s="14">
        <f t="shared" si="113"/>
        <v>-0.25107997216142053</v>
      </c>
      <c r="AF294" s="14">
        <f t="shared" si="114"/>
        <v>-1.4729757589145853E-2</v>
      </c>
      <c r="AG294" s="13">
        <f t="shared" si="115"/>
        <v>-1.0300109933498902</v>
      </c>
      <c r="AH294" s="13">
        <f>IF($T294=1,$AU294,VLOOKUP(U294,'Cortes naturales'!$A$25:$C$29,3,9))</f>
        <v>3</v>
      </c>
      <c r="AI294" s="13" t="b">
        <f t="shared" si="116"/>
        <v>1</v>
      </c>
      <c r="AJ294" s="13">
        <f t="shared" si="117"/>
        <v>0</v>
      </c>
      <c r="AK294" s="28">
        <v>0.9741882058902549</v>
      </c>
      <c r="AL294" s="28">
        <v>58.828505051620553</v>
      </c>
      <c r="AM294" s="28">
        <v>0.56525657526442274</v>
      </c>
      <c r="AN294" s="13">
        <v>2</v>
      </c>
      <c r="AO294" s="33">
        <f t="shared" si="118"/>
        <v>-1</v>
      </c>
      <c r="AP294" s="13">
        <f t="shared" si="128"/>
        <v>56.525657526442274</v>
      </c>
      <c r="AQ294" s="13">
        <f>IFERROR(VLOOKUP(U294,'Cortes naturales'!$E$15:$G$19,3,9),U294)</f>
        <v>4</v>
      </c>
      <c r="AR294" s="28">
        <f t="shared" si="119"/>
        <v>-0.41451764182076767</v>
      </c>
      <c r="AS294" s="13" t="b">
        <f t="shared" si="120"/>
        <v>0</v>
      </c>
      <c r="AT294" s="13" t="str">
        <f t="shared" si="129"/>
        <v>Cambio en corte</v>
      </c>
      <c r="AU294" s="13">
        <v>2</v>
      </c>
      <c r="AV294">
        <f t="shared" si="121"/>
        <v>-1</v>
      </c>
      <c r="AW294" s="13">
        <v>0</v>
      </c>
      <c r="AX294" s="13">
        <v>0</v>
      </c>
      <c r="AY294" s="13">
        <v>0</v>
      </c>
      <c r="AZ294" s="13">
        <v>0</v>
      </c>
      <c r="BA294">
        <v>0</v>
      </c>
      <c r="BB294" t="s">
        <v>2839</v>
      </c>
      <c r="BC294">
        <v>5</v>
      </c>
      <c r="BD294" t="s">
        <v>2919</v>
      </c>
      <c r="BE294">
        <v>1</v>
      </c>
      <c r="BF294" s="232" t="s">
        <v>2846</v>
      </c>
      <c r="BG294" s="232" t="s">
        <v>2846</v>
      </c>
      <c r="BH294" s="253">
        <v>25.8</v>
      </c>
      <c r="BI294" s="253">
        <v>10.444847934634589</v>
      </c>
      <c r="BJ294" s="25">
        <v>13.047150223957734</v>
      </c>
      <c r="BK294" t="s">
        <v>377</v>
      </c>
      <c r="BL294">
        <v>7.9977465390983102</v>
      </c>
      <c r="BM294" t="s">
        <v>379</v>
      </c>
      <c r="BN294" s="322">
        <v>47601.782303</v>
      </c>
      <c r="BO294" s="322">
        <v>20945.242649</v>
      </c>
      <c r="BP294" s="10">
        <v>25391</v>
      </c>
      <c r="BQ294" s="254">
        <f t="shared" si="122"/>
        <v>1.8747501990075224</v>
      </c>
      <c r="BR294" s="254">
        <f t="shared" si="123"/>
        <v>0.82490814260958611</v>
      </c>
      <c r="BS294" s="25">
        <v>55.898773940768557</v>
      </c>
      <c r="BT294" s="25">
        <v>80.465927361969904</v>
      </c>
      <c r="BU294" s="25">
        <v>52.380749354005168</v>
      </c>
      <c r="BV294" s="25">
        <v>85.902856736014073</v>
      </c>
      <c r="BW294" s="25">
        <v>61.049852215369917</v>
      </c>
      <c r="BX294" s="25">
        <v>68.662076848189429</v>
      </c>
      <c r="BY294" s="25">
        <v>61.323512474621211</v>
      </c>
      <c r="BZ294">
        <v>66</v>
      </c>
      <c r="CA294">
        <v>0</v>
      </c>
      <c r="CB294">
        <v>6</v>
      </c>
      <c r="CC294">
        <v>39681.203908000003</v>
      </c>
      <c r="CD294" s="10">
        <v>17070.157296000001</v>
      </c>
      <c r="CE294" s="255">
        <v>0.43018244445346931</v>
      </c>
      <c r="CF294" t="str">
        <f>IFERROR(VLOOKUP(CE294,'Rangos amb etnico'!$A$2:$C$6,3,9),"N.D.")</f>
        <v>31% - 50%</v>
      </c>
      <c r="CG294" s="256">
        <v>4.9663522451902137E-4</v>
      </c>
      <c r="CH294" s="232">
        <v>354.02380900000003</v>
      </c>
      <c r="CI294" s="311">
        <f t="shared" si="130"/>
        <v>8.9217003047789688E-3</v>
      </c>
      <c r="CJ294" s="232" t="str">
        <f>IFERROR(VLOOKUP(CI294,'Rangos amb etnico'!$A$2:$C$6,3,9),"N.D.")</f>
        <v>0,1% - 30%</v>
      </c>
      <c r="CK294" s="311">
        <f t="shared" si="131"/>
        <v>1.4057063082153224E-5</v>
      </c>
      <c r="CL294" s="10">
        <v>0</v>
      </c>
      <c r="CM294" s="255">
        <f t="shared" si="132"/>
        <v>0</v>
      </c>
      <c r="CN294" s="232">
        <f>IFERROR(VLOOKUP(CM294,'Rangos amb etnico'!$A$2:$C$6,3,9),"N.D.")</f>
        <v>0</v>
      </c>
      <c r="CO294" s="311">
        <f t="shared" si="133"/>
        <v>0</v>
      </c>
      <c r="CP294">
        <v>0.89423962282837</v>
      </c>
      <c r="CQ294" t="s">
        <v>2864</v>
      </c>
      <c r="CR294">
        <f t="shared" si="124"/>
        <v>4</v>
      </c>
      <c r="CS294" t="str">
        <f t="shared" si="134"/>
        <v>Candidato</v>
      </c>
      <c r="CT294">
        <v>0</v>
      </c>
      <c r="CU294">
        <v>0</v>
      </c>
      <c r="CV294" s="25">
        <v>48.190788269042969</v>
      </c>
      <c r="CW294" s="25">
        <v>44.373302459716797</v>
      </c>
      <c r="CX294" s="25">
        <v>55.756977081298828</v>
      </c>
      <c r="CY294" s="25">
        <v>62.028373718261719</v>
      </c>
      <c r="CZ294" s="25">
        <v>58.978710174560547</v>
      </c>
      <c r="DA294" s="25">
        <v>19.854196548461911</v>
      </c>
      <c r="DB294" s="25">
        <v>48.153163909912109</v>
      </c>
      <c r="DC294">
        <v>1157</v>
      </c>
      <c r="DD294" s="253" t="s">
        <v>380</v>
      </c>
    </row>
    <row r="295" spans="1:108" hidden="1">
      <c r="A295" s="13">
        <v>19212</v>
      </c>
      <c r="B295" s="13" t="s">
        <v>1049</v>
      </c>
      <c r="C295" s="13" t="s">
        <v>557</v>
      </c>
      <c r="D295" s="13" t="s">
        <v>558</v>
      </c>
      <c r="E295" s="13" t="s">
        <v>1050</v>
      </c>
      <c r="F295" s="14">
        <v>53.8618666666667</v>
      </c>
      <c r="G295" s="13">
        <v>39.630000000000003</v>
      </c>
      <c r="H295" s="13">
        <v>52.38</v>
      </c>
      <c r="I295" s="13">
        <v>59.08</v>
      </c>
      <c r="J295" s="14">
        <v>57.423622353774249</v>
      </c>
      <c r="K295" s="14">
        <v>58.252749855900092</v>
      </c>
      <c r="L295" s="14">
        <v>54.925216053912706</v>
      </c>
      <c r="M295" s="14">
        <v>47.252899999999997</v>
      </c>
      <c r="N295" s="14">
        <f t="shared" si="108"/>
        <v>51.237966666666679</v>
      </c>
      <c r="O295" s="14">
        <f t="shared" si="109"/>
        <v>54.463622065896757</v>
      </c>
      <c r="P295" s="14">
        <f t="shared" si="125"/>
        <v>52.850794366281718</v>
      </c>
      <c r="Q295" s="14">
        <v>48.426860555699683</v>
      </c>
      <c r="R295" s="17">
        <f t="shared" si="110"/>
        <v>51.573139444300317</v>
      </c>
      <c r="S295" s="14">
        <f t="shared" si="126"/>
        <v>0.56415825499870287</v>
      </c>
      <c r="T295" s="13">
        <v>0</v>
      </c>
      <c r="U295" s="13">
        <f t="shared" si="127"/>
        <v>29.81621192497677</v>
      </c>
      <c r="V295" s="13">
        <f>IF($T295=1,$AU295,(VLOOKUP(U295,'Cortes naturales'!$A$35:$C$39,3,9)))</f>
        <v>3</v>
      </c>
      <c r="W295" s="13">
        <v>3</v>
      </c>
      <c r="X295" s="14" t="b">
        <f t="shared" si="111"/>
        <v>1</v>
      </c>
      <c r="Y295" s="17">
        <f>IF($T295=1,$AU295,VLOOKUP(U295,'Cortes naturales'!$A$45:$C$49,3,9))</f>
        <v>3</v>
      </c>
      <c r="Z295" s="14">
        <v>51.880361202838102</v>
      </c>
      <c r="AA295" s="14">
        <v>0.57545565985231961</v>
      </c>
      <c r="AB295" s="14">
        <v>29.854847489355883</v>
      </c>
      <c r="AC295" s="13">
        <v>3</v>
      </c>
      <c r="AD295" s="13">
        <f t="shared" si="112"/>
        <v>0</v>
      </c>
      <c r="AE295" s="14">
        <f t="shared" si="113"/>
        <v>0.97043316344361585</v>
      </c>
      <c r="AF295" s="14">
        <f t="shared" si="114"/>
        <v>-1.1297404853616744E-2</v>
      </c>
      <c r="AG295" s="13">
        <f t="shared" si="115"/>
        <v>-3.8635564379113418E-2</v>
      </c>
      <c r="AH295" s="13">
        <f>IF($T295=1,$AU295,VLOOKUP(U295,'Cortes naturales'!$A$25:$C$29,3,9))</f>
        <v>3</v>
      </c>
      <c r="AI295" s="13" t="b">
        <f t="shared" si="116"/>
        <v>1</v>
      </c>
      <c r="AJ295" s="13">
        <f t="shared" si="117"/>
        <v>0</v>
      </c>
      <c r="AK295" s="28">
        <v>0.9741882058902549</v>
      </c>
      <c r="AL295" s="28">
        <v>50.541236001131239</v>
      </c>
      <c r="AM295" s="28">
        <v>0.46159157504779058</v>
      </c>
      <c r="AN295" s="13">
        <v>3</v>
      </c>
      <c r="AO295" s="33">
        <f t="shared" si="118"/>
        <v>0</v>
      </c>
      <c r="AP295" s="13">
        <f t="shared" si="128"/>
        <v>46.15915750477906</v>
      </c>
      <c r="AQ295" s="13">
        <f>IFERROR(VLOOKUP(U295,'Cortes naturales'!$E$15:$G$19,3,9),U295)</f>
        <v>4</v>
      </c>
      <c r="AR295" s="28">
        <f t="shared" si="119"/>
        <v>-0.41002995089155203</v>
      </c>
      <c r="AS295" s="13" t="b">
        <f t="shared" si="120"/>
        <v>0</v>
      </c>
      <c r="AT295" s="13">
        <f t="shared" si="129"/>
        <v>0</v>
      </c>
      <c r="AU295" s="13">
        <v>3</v>
      </c>
      <c r="AV295">
        <f t="shared" si="121"/>
        <v>0</v>
      </c>
      <c r="AW295" s="13">
        <v>0</v>
      </c>
      <c r="AX295" s="13">
        <v>0</v>
      </c>
      <c r="AY295" s="13">
        <v>0</v>
      </c>
      <c r="AZ295" s="13">
        <v>1</v>
      </c>
      <c r="BA295">
        <v>1</v>
      </c>
      <c r="BB295" t="s">
        <v>2839</v>
      </c>
      <c r="BC295">
        <v>6</v>
      </c>
      <c r="BD295" t="s">
        <v>2919</v>
      </c>
      <c r="BE295">
        <v>1</v>
      </c>
      <c r="BF295" s="232" t="s">
        <v>2846</v>
      </c>
      <c r="BG295" s="232" t="s">
        <v>2846</v>
      </c>
      <c r="BH295" s="253">
        <v>33.700000000000003</v>
      </c>
      <c r="BI295" s="253">
        <v>18.84158461609578</v>
      </c>
      <c r="BJ295" s="25">
        <v>0</v>
      </c>
      <c r="BK295" t="s">
        <v>381</v>
      </c>
      <c r="BL295">
        <v>29.892189419452215</v>
      </c>
      <c r="BM295" t="s">
        <v>384</v>
      </c>
      <c r="BN295" s="322">
        <v>51610.658471000002</v>
      </c>
      <c r="BO295" s="322">
        <v>4284.0587599999999</v>
      </c>
      <c r="BP295" s="10">
        <v>27157</v>
      </c>
      <c r="BQ295" s="254">
        <f t="shared" si="122"/>
        <v>1.9004550749714624</v>
      </c>
      <c r="BR295" s="254">
        <f t="shared" si="123"/>
        <v>0.15775154693080973</v>
      </c>
      <c r="BS295" s="25">
        <v>68.806219772697844</v>
      </c>
      <c r="BT295" s="25">
        <v>93.459416666666655</v>
      </c>
      <c r="BU295" s="25">
        <v>53.844999999999999</v>
      </c>
      <c r="BV295" s="25">
        <v>79.898213398999118</v>
      </c>
      <c r="BW295" s="25">
        <v>49.194698898447101</v>
      </c>
      <c r="BX295" s="25">
        <v>74.002212459590908</v>
      </c>
      <c r="BY295" s="25">
        <v>50.510672936289779</v>
      </c>
      <c r="BZ295">
        <v>32</v>
      </c>
      <c r="CA295">
        <v>0</v>
      </c>
      <c r="CB295">
        <v>7</v>
      </c>
      <c r="CC295">
        <v>32596.788230999999</v>
      </c>
      <c r="CD295" s="10">
        <v>14656.694489</v>
      </c>
      <c r="CE295" s="255">
        <v>0.44963615387915057</v>
      </c>
      <c r="CF295" t="str">
        <f>IFERROR(VLOOKUP(CE295,'Rangos amb etnico'!$A$2:$C$6,3,9),"N.D.")</f>
        <v>31% - 50%</v>
      </c>
      <c r="CG295" s="256">
        <v>4.2641849351657068E-4</v>
      </c>
      <c r="CH295" s="232">
        <v>766.60171600000001</v>
      </c>
      <c r="CI295" s="311">
        <f t="shared" si="130"/>
        <v>2.3517707038110923E-2</v>
      </c>
      <c r="CJ295" s="232" t="str">
        <f>IFERROR(VLOOKUP(CI295,'Rangos amb etnico'!$A$2:$C$6,3,9),"N.D.")</f>
        <v>0,1% - 30%</v>
      </c>
      <c r="CK295" s="311">
        <f t="shared" si="131"/>
        <v>3.0439107220325142E-5</v>
      </c>
      <c r="CL295" s="10">
        <v>0</v>
      </c>
      <c r="CM295" s="255">
        <f t="shared" si="132"/>
        <v>0</v>
      </c>
      <c r="CN295" s="232">
        <f>IFERROR(VLOOKUP(CM295,'Rangos amb etnico'!$A$2:$C$6,3,9),"N.D.")</f>
        <v>0</v>
      </c>
      <c r="CO295" s="311">
        <f t="shared" si="133"/>
        <v>0</v>
      </c>
      <c r="CP295">
        <v>0.94973328076563912</v>
      </c>
      <c r="CQ295" t="s">
        <v>2864</v>
      </c>
      <c r="CR295">
        <f t="shared" si="124"/>
        <v>1</v>
      </c>
      <c r="CS295" t="str">
        <f t="shared" si="134"/>
        <v>No es Candidato</v>
      </c>
      <c r="CT295">
        <v>0</v>
      </c>
      <c r="CU295">
        <v>0</v>
      </c>
      <c r="CV295" s="25">
        <v>52.292129516601563</v>
      </c>
      <c r="CW295" s="25">
        <v>38.023677825927727</v>
      </c>
      <c r="CX295" s="25">
        <v>46.942779541015618</v>
      </c>
      <c r="CY295" s="25">
        <v>76.344772338867188</v>
      </c>
      <c r="CZ295" s="25">
        <v>43.833259582519531</v>
      </c>
      <c r="DA295" s="25">
        <v>46.994110107421882</v>
      </c>
      <c r="DB295" s="25">
        <v>61.614173889160163</v>
      </c>
      <c r="DC295">
        <v>14868</v>
      </c>
      <c r="DD295" s="253" t="s">
        <v>380</v>
      </c>
    </row>
    <row r="296" spans="1:108" hidden="1">
      <c r="A296" s="13">
        <v>25053</v>
      </c>
      <c r="B296" s="13" t="s">
        <v>1051</v>
      </c>
      <c r="C296" s="13" t="s">
        <v>461</v>
      </c>
      <c r="D296" s="13" t="s">
        <v>462</v>
      </c>
      <c r="E296" s="13" t="s">
        <v>1052</v>
      </c>
      <c r="F296" s="14">
        <v>60.577933333333299</v>
      </c>
      <c r="G296" s="13">
        <v>43.53</v>
      </c>
      <c r="H296" s="13">
        <v>40.53</v>
      </c>
      <c r="I296" s="13">
        <v>56.74</v>
      </c>
      <c r="J296" s="14">
        <v>47.65363065781473</v>
      </c>
      <c r="K296" s="14">
        <v>61.329483955013416</v>
      </c>
      <c r="L296" s="14">
        <v>62.313998730355877</v>
      </c>
      <c r="M296" s="14">
        <v>53.351599999999998</v>
      </c>
      <c r="N296" s="14">
        <f t="shared" si="108"/>
        <v>50.344483333333329</v>
      </c>
      <c r="O296" s="14">
        <f t="shared" si="109"/>
        <v>56.162178335796007</v>
      </c>
      <c r="P296" s="14">
        <f t="shared" si="125"/>
        <v>53.253330834564665</v>
      </c>
      <c r="Q296" s="14">
        <v>49.652008915331777</v>
      </c>
      <c r="R296" s="17">
        <f t="shared" si="110"/>
        <v>50.347991084668223</v>
      </c>
      <c r="S296" s="14">
        <f t="shared" si="126"/>
        <v>0.55313191976201403</v>
      </c>
      <c r="T296" s="13">
        <v>0</v>
      </c>
      <c r="U296" s="13">
        <f t="shared" si="127"/>
        <v>29.456117118244411</v>
      </c>
      <c r="V296" s="13">
        <f>IF($T296=1,$AU296,(VLOOKUP(U296,'Cortes naturales'!$A$35:$C$39,3,9)))</f>
        <v>4</v>
      </c>
      <c r="W296" s="13">
        <v>4</v>
      </c>
      <c r="X296" s="14" t="b">
        <f t="shared" si="111"/>
        <v>1</v>
      </c>
      <c r="Y296" s="17">
        <f>IF($T296=1,$AU296,VLOOKUP(U296,'Cortes naturales'!$A$45:$C$49,3,9))</f>
        <v>3</v>
      </c>
      <c r="Z296" s="14">
        <v>53.690562159437086</v>
      </c>
      <c r="AA296" s="14">
        <v>0.57327443937997835</v>
      </c>
      <c r="AB296" s="14">
        <v>30.779426921947174</v>
      </c>
      <c r="AC296" s="13">
        <v>3</v>
      </c>
      <c r="AD296" s="13">
        <f t="shared" si="112"/>
        <v>0</v>
      </c>
      <c r="AE296" s="14">
        <f t="shared" si="113"/>
        <v>-0.43723132487242111</v>
      </c>
      <c r="AF296" s="14">
        <f t="shared" si="114"/>
        <v>-2.0142519617964316E-2</v>
      </c>
      <c r="AG296" s="13">
        <f t="shared" si="115"/>
        <v>-1.3233098037027631</v>
      </c>
      <c r="AH296" s="13">
        <f>IF($T296=1,$AU296,VLOOKUP(U296,'Cortes naturales'!$A$25:$C$29,3,9))</f>
        <v>3</v>
      </c>
      <c r="AI296" s="13" t="b">
        <f t="shared" si="116"/>
        <v>1</v>
      </c>
      <c r="AJ296" s="13">
        <f t="shared" si="117"/>
        <v>0</v>
      </c>
      <c r="AK296" s="28">
        <v>0.9741882058902549</v>
      </c>
      <c r="AL296" s="28">
        <v>52.304712423341222</v>
      </c>
      <c r="AM296" s="28">
        <v>0.48365080621027223</v>
      </c>
      <c r="AN296" s="13">
        <v>2</v>
      </c>
      <c r="AO296" s="33">
        <f t="shared" si="118"/>
        <v>-1</v>
      </c>
      <c r="AP296" s="13">
        <f t="shared" si="128"/>
        <v>48.365080621027225</v>
      </c>
      <c r="AQ296" s="13">
        <f>IFERROR(VLOOKUP(U296,'Cortes naturales'!$E$15:$G$19,3,9),U296)</f>
        <v>4</v>
      </c>
      <c r="AR296" s="28">
        <f t="shared" si="119"/>
        <v>-0.42105628612824086</v>
      </c>
      <c r="AS296" s="13" t="b">
        <f t="shared" si="120"/>
        <v>0</v>
      </c>
      <c r="AT296" s="13" t="str">
        <f t="shared" si="129"/>
        <v>Cambio en corte</v>
      </c>
      <c r="AU296" s="13">
        <v>2</v>
      </c>
      <c r="AV296">
        <f t="shared" si="121"/>
        <v>-1</v>
      </c>
      <c r="AW296" s="13">
        <v>0</v>
      </c>
      <c r="AX296" s="13">
        <v>0</v>
      </c>
      <c r="AY296" s="13">
        <v>0</v>
      </c>
      <c r="AZ296" s="13">
        <v>0</v>
      </c>
      <c r="BA296">
        <v>0</v>
      </c>
      <c r="BB296" t="s">
        <v>2839</v>
      </c>
      <c r="BC296">
        <v>6</v>
      </c>
      <c r="BD296" t="s">
        <v>2919</v>
      </c>
      <c r="BE296">
        <v>1</v>
      </c>
      <c r="BF296" s="232" t="s">
        <v>2846</v>
      </c>
      <c r="BG296" s="232" t="s">
        <v>2846</v>
      </c>
      <c r="BH296" s="253">
        <v>20</v>
      </c>
      <c r="BI296" s="253">
        <v>10.142515343805263</v>
      </c>
      <c r="BJ296" s="25">
        <v>19.163095420789894</v>
      </c>
      <c r="BK296" t="s">
        <v>379</v>
      </c>
      <c r="BL296">
        <v>7.5668795183572529E-2</v>
      </c>
      <c r="BM296" t="s">
        <v>377</v>
      </c>
      <c r="BN296" s="322">
        <v>23315.499371000002</v>
      </c>
      <c r="BO296" s="322">
        <v>4357.6532960000004</v>
      </c>
      <c r="BP296" s="10">
        <v>10753</v>
      </c>
      <c r="BQ296" s="254">
        <f t="shared" si="122"/>
        <v>2.1682785614247186</v>
      </c>
      <c r="BR296" s="254">
        <f t="shared" si="123"/>
        <v>0.405250004277876</v>
      </c>
      <c r="BS296" s="25">
        <v>62.010688442640593</v>
      </c>
      <c r="BT296" s="25">
        <v>90.084883420750813</v>
      </c>
      <c r="BU296" s="25">
        <v>48.836078431372528</v>
      </c>
      <c r="BV296" s="25">
        <v>84.186875312409882</v>
      </c>
      <c r="BW296" s="25">
        <v>58.452008552459382</v>
      </c>
      <c r="BX296" s="25">
        <v>71.279631401793452</v>
      </c>
      <c r="BY296" s="25">
        <v>61.875386743612019</v>
      </c>
      <c r="BZ296">
        <v>78</v>
      </c>
      <c r="CA296">
        <v>0</v>
      </c>
      <c r="CB296">
        <v>7</v>
      </c>
      <c r="CC296">
        <v>14231.224831</v>
      </c>
      <c r="CD296" s="10">
        <v>6475.2440390000002</v>
      </c>
      <c r="CE296" s="255">
        <v>0.45500258170996782</v>
      </c>
      <c r="CF296" t="str">
        <f>IFERROR(VLOOKUP(CE296,'Rangos amb etnico'!$A$2:$C$6,3,9),"N.D.")</f>
        <v>31% - 50%</v>
      </c>
      <c r="CG296" s="256">
        <v>1.8838925859680138E-4</v>
      </c>
      <c r="CH296" s="232">
        <v>0</v>
      </c>
      <c r="CI296" s="311">
        <f t="shared" si="130"/>
        <v>0</v>
      </c>
      <c r="CJ296" s="232">
        <f>IFERROR(VLOOKUP(CI296,'Rangos amb etnico'!$A$2:$C$6,3,9),"N.D.")</f>
        <v>0</v>
      </c>
      <c r="CK296" s="311">
        <f t="shared" si="131"/>
        <v>0</v>
      </c>
      <c r="CL296" s="10">
        <v>0</v>
      </c>
      <c r="CM296" s="255">
        <f t="shared" si="132"/>
        <v>0</v>
      </c>
      <c r="CN296" s="232">
        <f>IFERROR(VLOOKUP(CM296,'Rangos amb etnico'!$A$2:$C$6,3,9),"N.D.")</f>
        <v>0</v>
      </c>
      <c r="CO296" s="311">
        <f t="shared" si="133"/>
        <v>0</v>
      </c>
      <c r="CP296">
        <v>0.96015825569775859</v>
      </c>
      <c r="CQ296" t="s">
        <v>2864</v>
      </c>
      <c r="CR296">
        <f t="shared" si="124"/>
        <v>2</v>
      </c>
      <c r="CS296" t="str">
        <f t="shared" si="134"/>
        <v>No es Candidato</v>
      </c>
      <c r="CT296">
        <v>0</v>
      </c>
      <c r="CU296">
        <v>0</v>
      </c>
      <c r="CV296" s="25">
        <v>51.840961456298828</v>
      </c>
      <c r="CW296" s="25">
        <v>29.722259521484379</v>
      </c>
      <c r="CX296" s="25">
        <v>61.804325103759773</v>
      </c>
      <c r="CY296" s="25">
        <v>64.282325744628906</v>
      </c>
      <c r="CZ296" s="25">
        <v>46.292430877685547</v>
      </c>
      <c r="DA296" s="25">
        <v>53.218425750732422</v>
      </c>
      <c r="DB296" s="25">
        <v>55.726001739501953</v>
      </c>
      <c r="DC296">
        <v>134</v>
      </c>
      <c r="DD296" s="253" t="s">
        <v>380</v>
      </c>
    </row>
    <row r="297" spans="1:108" hidden="1">
      <c r="A297" s="13">
        <v>76736</v>
      </c>
      <c r="B297" s="13" t="s">
        <v>1053</v>
      </c>
      <c r="C297" s="13" t="s">
        <v>454</v>
      </c>
      <c r="D297" s="13" t="s">
        <v>455</v>
      </c>
      <c r="E297" s="13" t="s">
        <v>1054</v>
      </c>
      <c r="F297" s="14">
        <v>76.189666666666696</v>
      </c>
      <c r="G297" s="13">
        <v>70.98</v>
      </c>
      <c r="H297" s="13">
        <v>68.36</v>
      </c>
      <c r="I297" s="13">
        <v>61.23</v>
      </c>
      <c r="J297" s="14">
        <v>45.684663929056157</v>
      </c>
      <c r="K297" s="14">
        <v>52.109492208063521</v>
      </c>
      <c r="L297" s="14">
        <v>56.128674047872984</v>
      </c>
      <c r="M297" s="14">
        <v>50.615900000000003</v>
      </c>
      <c r="N297" s="14">
        <f t="shared" si="108"/>
        <v>69.189916666666676</v>
      </c>
      <c r="O297" s="14">
        <f t="shared" si="109"/>
        <v>51.134682546248165</v>
      </c>
      <c r="P297" s="14">
        <f t="shared" si="125"/>
        <v>60.162299606457424</v>
      </c>
      <c r="Q297" s="14">
        <v>48.719092427045894</v>
      </c>
      <c r="R297" s="17">
        <f t="shared" si="110"/>
        <v>51.280907572954106</v>
      </c>
      <c r="S297" s="14">
        <f t="shared" si="126"/>
        <v>0.5615281681565869</v>
      </c>
      <c r="T297" s="13">
        <v>0</v>
      </c>
      <c r="U297" s="13">
        <f t="shared" si="127"/>
        <v>33.782825890101783</v>
      </c>
      <c r="V297" s="13">
        <f>IF($T297=1,$AU297,(VLOOKUP(U297,'Cortes naturales'!$A$35:$C$39,3,9)))</f>
        <v>3</v>
      </c>
      <c r="W297" s="13">
        <v>3</v>
      </c>
      <c r="X297" s="14" t="b">
        <f t="shared" si="111"/>
        <v>1</v>
      </c>
      <c r="Y297" s="17">
        <f>IF($T297=1,$AU297,VLOOKUP(U297,'Cortes naturales'!$A$45:$C$49,3,9))</f>
        <v>3</v>
      </c>
      <c r="Z297" s="14">
        <v>62.223456989924934</v>
      </c>
      <c r="AA297" s="14">
        <v>0.57337650073463231</v>
      </c>
      <c r="AB297" s="14">
        <v>35.677468032495057</v>
      </c>
      <c r="AC297" s="13">
        <v>2</v>
      </c>
      <c r="AD297" s="13">
        <f t="shared" si="112"/>
        <v>-1</v>
      </c>
      <c r="AE297" s="14">
        <f t="shared" si="113"/>
        <v>-2.0611573834675099</v>
      </c>
      <c r="AF297" s="14">
        <f t="shared" si="114"/>
        <v>-1.1848332578045406E-2</v>
      </c>
      <c r="AG297" s="13">
        <f t="shared" si="115"/>
        <v>-1.8946421423932733</v>
      </c>
      <c r="AH297" s="13">
        <f>IF($T297=1,$AU297,VLOOKUP(U297,'Cortes naturales'!$A$25:$C$29,3,9))</f>
        <v>3</v>
      </c>
      <c r="AI297" s="13" t="b">
        <f t="shared" si="116"/>
        <v>1</v>
      </c>
      <c r="AJ297" s="13" t="str">
        <f t="shared" si="117"/>
        <v>Efecto ponderador</v>
      </c>
      <c r="AK297" s="28">
        <v>0.9741882058902549</v>
      </c>
      <c r="AL297" s="28">
        <v>60.617357929304411</v>
      </c>
      <c r="AM297" s="28">
        <v>0.58763323913557708</v>
      </c>
      <c r="AN297" s="13">
        <v>2</v>
      </c>
      <c r="AO297" s="33">
        <f t="shared" si="118"/>
        <v>-1</v>
      </c>
      <c r="AP297" s="13">
        <f t="shared" si="128"/>
        <v>58.763323913557706</v>
      </c>
      <c r="AQ297" s="13">
        <f>IFERROR(VLOOKUP(U297,'Cortes naturales'!$E$15:$G$19,3,9),U297)</f>
        <v>4</v>
      </c>
      <c r="AR297" s="28">
        <f t="shared" si="119"/>
        <v>-0.41266003773366799</v>
      </c>
      <c r="AS297" s="13" t="b">
        <f t="shared" si="120"/>
        <v>0</v>
      </c>
      <c r="AT297" s="13" t="str">
        <f t="shared" si="129"/>
        <v>Cambio en corte</v>
      </c>
      <c r="AU297" s="13">
        <v>2</v>
      </c>
      <c r="AV297">
        <f t="shared" si="121"/>
        <v>-1</v>
      </c>
      <c r="AW297" s="13">
        <v>0</v>
      </c>
      <c r="AX297" s="13">
        <v>0</v>
      </c>
      <c r="AY297" s="13">
        <v>0</v>
      </c>
      <c r="AZ297" s="13">
        <v>0</v>
      </c>
      <c r="BA297">
        <v>0</v>
      </c>
      <c r="BB297" t="s">
        <v>2839</v>
      </c>
      <c r="BC297">
        <v>6</v>
      </c>
      <c r="BD297" t="s">
        <v>2919</v>
      </c>
      <c r="BE297">
        <v>1</v>
      </c>
      <c r="BF297" s="232" t="s">
        <v>2846</v>
      </c>
      <c r="BG297" s="232" t="s">
        <v>2845</v>
      </c>
      <c r="BH297" s="253">
        <v>27.4</v>
      </c>
      <c r="BI297" s="253">
        <v>10.188224994528344</v>
      </c>
      <c r="BJ297" s="25">
        <v>9.2750684861408246</v>
      </c>
      <c r="BK297" t="s">
        <v>377</v>
      </c>
      <c r="BL297">
        <v>5.0149451033858607</v>
      </c>
      <c r="BM297" t="s">
        <v>383</v>
      </c>
      <c r="BN297" s="322">
        <v>70792.891627000005</v>
      </c>
      <c r="BO297" s="322">
        <v>9077.1046549999992</v>
      </c>
      <c r="BP297" s="10">
        <v>43923</v>
      </c>
      <c r="BQ297" s="254">
        <f t="shared" si="122"/>
        <v>1.6117499175147418</v>
      </c>
      <c r="BR297" s="254">
        <f t="shared" si="123"/>
        <v>0.20665948717073057</v>
      </c>
      <c r="BS297" s="25">
        <v>57.860545871432038</v>
      </c>
      <c r="BT297" s="25">
        <v>96.598560701303043</v>
      </c>
      <c r="BU297" s="25">
        <v>49.570650884994343</v>
      </c>
      <c r="BV297" s="25">
        <v>85.318965049449602</v>
      </c>
      <c r="BW297" s="25">
        <v>49.779138952144997</v>
      </c>
      <c r="BX297" s="25">
        <v>72.337180626794762</v>
      </c>
      <c r="BY297" s="25">
        <v>51.000410273380773</v>
      </c>
      <c r="BZ297">
        <v>66</v>
      </c>
      <c r="CA297">
        <v>0</v>
      </c>
      <c r="CB297">
        <v>5</v>
      </c>
      <c r="CC297">
        <v>53717.039459</v>
      </c>
      <c r="CD297" s="10">
        <v>36820.633573999999</v>
      </c>
      <c r="CE297" s="255">
        <v>0.68545537775036303</v>
      </c>
      <c r="CF297" t="str">
        <f>IFERROR(VLOOKUP(CE297,'Rangos amb etnico'!$A$2:$C$6,3,9),"N.D.")</f>
        <v>51% - 70%</v>
      </c>
      <c r="CG297" s="256">
        <v>1.071251032129687E-3</v>
      </c>
      <c r="CH297" s="232">
        <v>17.742535</v>
      </c>
      <c r="CI297" s="311">
        <f t="shared" si="130"/>
        <v>3.3029621845675512E-4</v>
      </c>
      <c r="CJ297" s="232">
        <f>IFERROR(VLOOKUP(CI297,'Rangos amb etnico'!$A$2:$C$6,3,9),"N.D.")</f>
        <v>0</v>
      </c>
      <c r="CK297" s="311">
        <f t="shared" si="131"/>
        <v>7.0449480343371886E-7</v>
      </c>
      <c r="CL297" s="10">
        <v>0</v>
      </c>
      <c r="CM297" s="255">
        <f t="shared" si="132"/>
        <v>0</v>
      </c>
      <c r="CN297" s="232">
        <f>IFERROR(VLOOKUP(CM297,'Rangos amb etnico'!$A$2:$C$6,3,9),"N.D.")</f>
        <v>0</v>
      </c>
      <c r="CO297" s="311">
        <f t="shared" si="133"/>
        <v>0</v>
      </c>
      <c r="CP297">
        <v>0.96722401424583992</v>
      </c>
      <c r="CQ297" t="s">
        <v>2864</v>
      </c>
      <c r="CR297">
        <f t="shared" si="124"/>
        <v>2</v>
      </c>
      <c r="CS297" t="str">
        <f t="shared" si="134"/>
        <v>No es Candidato</v>
      </c>
      <c r="CT297">
        <v>0</v>
      </c>
      <c r="CU297">
        <v>0</v>
      </c>
      <c r="CV297" s="25">
        <v>46.060947418212891</v>
      </c>
      <c r="CW297" s="25">
        <v>37.863288879394531</v>
      </c>
      <c r="CX297" s="25">
        <v>57.83447265625</v>
      </c>
      <c r="CY297" s="25">
        <v>62.320980072021477</v>
      </c>
      <c r="CZ297" s="25">
        <v>62.573135375976563</v>
      </c>
      <c r="DA297" s="25">
        <v>6.880913257598877</v>
      </c>
      <c r="DB297" s="25">
        <v>48.892890930175781</v>
      </c>
      <c r="DC297">
        <v>1232</v>
      </c>
      <c r="DD297" s="253" t="s">
        <v>380</v>
      </c>
    </row>
    <row r="298" spans="1:108" hidden="1">
      <c r="A298" s="13">
        <v>68549</v>
      </c>
      <c r="B298" s="13" t="s">
        <v>1055</v>
      </c>
      <c r="C298" s="13" t="s">
        <v>431</v>
      </c>
      <c r="D298" s="13" t="s">
        <v>432</v>
      </c>
      <c r="E298" s="13" t="s">
        <v>1056</v>
      </c>
      <c r="F298" s="14">
        <v>64.627833333333299</v>
      </c>
      <c r="G298" s="13">
        <v>64.05</v>
      </c>
      <c r="H298" s="13">
        <v>64.72</v>
      </c>
      <c r="I298" s="13">
        <v>67.37</v>
      </c>
      <c r="J298" s="14">
        <v>41.998670618969534</v>
      </c>
      <c r="K298" s="14">
        <v>68.674710229324788</v>
      </c>
      <c r="L298" s="14">
        <v>66.791193942653166</v>
      </c>
      <c r="M298" s="14">
        <v>69.664199999999994</v>
      </c>
      <c r="N298" s="14">
        <f t="shared" si="108"/>
        <v>65.191958333333332</v>
      </c>
      <c r="O298" s="14">
        <f t="shared" si="109"/>
        <v>61.782193697736872</v>
      </c>
      <c r="P298" s="14">
        <f t="shared" si="125"/>
        <v>63.487076015535102</v>
      </c>
      <c r="Q298" s="14">
        <v>47.55111667443493</v>
      </c>
      <c r="R298" s="17">
        <f t="shared" si="110"/>
        <v>52.44888332556507</v>
      </c>
      <c r="S298" s="14">
        <f t="shared" si="126"/>
        <v>0.57203994993008556</v>
      </c>
      <c r="T298" s="13">
        <v>0</v>
      </c>
      <c r="U298" s="13">
        <f t="shared" si="127"/>
        <v>36.317143785134235</v>
      </c>
      <c r="V298" s="13">
        <f>IF($T298=1,$AU298,(VLOOKUP(U298,'Cortes naturales'!$A$35:$C$39,3,9)))</f>
        <v>3</v>
      </c>
      <c r="W298" s="13">
        <v>3</v>
      </c>
      <c r="X298" s="14" t="b">
        <f t="shared" si="111"/>
        <v>1</v>
      </c>
      <c r="Y298" s="17">
        <f>IF($T298=1,$AU298,VLOOKUP(U298,'Cortes naturales'!$A$45:$C$49,3,9))</f>
        <v>2</v>
      </c>
      <c r="Z298" s="14">
        <v>60.692851204414595</v>
      </c>
      <c r="AA298" s="14">
        <v>0.57735066702897664</v>
      </c>
      <c r="AB298" s="14">
        <v>35.041058126759197</v>
      </c>
      <c r="AC298" s="13">
        <v>2</v>
      </c>
      <c r="AD298" s="13">
        <f t="shared" si="112"/>
        <v>0</v>
      </c>
      <c r="AE298" s="14">
        <f t="shared" si="113"/>
        <v>2.7942248111205075</v>
      </c>
      <c r="AF298" s="14">
        <f t="shared" si="114"/>
        <v>-5.3107170988910823E-3</v>
      </c>
      <c r="AG298" s="13">
        <f t="shared" si="115"/>
        <v>1.2760856583750382</v>
      </c>
      <c r="AH298" s="13">
        <f>IF($T298=1,$AU298,VLOOKUP(U298,'Cortes naturales'!$A$25:$C$29,3,9))</f>
        <v>2</v>
      </c>
      <c r="AI298" s="13" t="b">
        <f t="shared" si="116"/>
        <v>1</v>
      </c>
      <c r="AJ298" s="13">
        <f t="shared" si="117"/>
        <v>0</v>
      </c>
      <c r="AK298" s="28">
        <v>0.9741882058902549</v>
      </c>
      <c r="AL298" s="28">
        <v>59.126259825192854</v>
      </c>
      <c r="AM298" s="28">
        <v>0.56898117361869638</v>
      </c>
      <c r="AN298" s="13">
        <v>2</v>
      </c>
      <c r="AO298" s="33">
        <f t="shared" si="118"/>
        <v>0</v>
      </c>
      <c r="AP298" s="13">
        <f t="shared" si="128"/>
        <v>56.898117361869637</v>
      </c>
      <c r="AQ298" s="13">
        <f>IFERROR(VLOOKUP(U298,'Cortes naturales'!$E$15:$G$19,3,9),U298)</f>
        <v>3</v>
      </c>
      <c r="AR298" s="28">
        <f t="shared" si="119"/>
        <v>-0.40214825596016934</v>
      </c>
      <c r="AS298" s="13" t="b">
        <f t="shared" si="120"/>
        <v>0</v>
      </c>
      <c r="AT298" s="13">
        <f t="shared" si="129"/>
        <v>0</v>
      </c>
      <c r="AU298" s="13">
        <v>2</v>
      </c>
      <c r="AV298">
        <f t="shared" si="121"/>
        <v>0</v>
      </c>
      <c r="AW298" s="13">
        <v>0</v>
      </c>
      <c r="AX298" s="13">
        <v>0</v>
      </c>
      <c r="AY298" s="13">
        <v>0</v>
      </c>
      <c r="AZ298" s="13">
        <v>0</v>
      </c>
      <c r="BA298">
        <v>0</v>
      </c>
      <c r="BB298" t="s">
        <v>2840</v>
      </c>
      <c r="BC298">
        <v>6</v>
      </c>
      <c r="BD298" t="s">
        <v>2919</v>
      </c>
      <c r="BE298">
        <v>0</v>
      </c>
      <c r="BF298" s="232" t="s">
        <v>2846</v>
      </c>
      <c r="BG298" s="232" t="s">
        <v>2845</v>
      </c>
      <c r="BH298" s="253">
        <v>23.8</v>
      </c>
      <c r="BI298" s="253">
        <v>7.0675342158402517</v>
      </c>
      <c r="BJ298" s="25">
        <v>0</v>
      </c>
      <c r="BK298" t="s">
        <v>381</v>
      </c>
      <c r="BL298">
        <v>1.5515042316901606</v>
      </c>
      <c r="BM298" t="s">
        <v>383</v>
      </c>
      <c r="BN298" s="322">
        <v>12685.27102</v>
      </c>
      <c r="BO298" s="322">
        <v>3581.9654190000001</v>
      </c>
      <c r="BP298" s="10">
        <v>6013</v>
      </c>
      <c r="BQ298" s="254">
        <f t="shared" si="122"/>
        <v>2.1096409479461169</v>
      </c>
      <c r="BR298" s="254">
        <f t="shared" si="123"/>
        <v>0.59570354548478299</v>
      </c>
      <c r="BS298" s="25">
        <v>51.882058371735788</v>
      </c>
      <c r="BT298" s="25">
        <v>62.044459227229893</v>
      </c>
      <c r="BU298" s="25">
        <v>58.435756843800313</v>
      </c>
      <c r="BV298" s="25">
        <v>92.984483433276651</v>
      </c>
      <c r="BW298" s="25">
        <v>63.952452842037268</v>
      </c>
      <c r="BX298" s="25">
        <v>66.336689469010651</v>
      </c>
      <c r="BY298" s="25">
        <v>64.683440032673232</v>
      </c>
      <c r="BZ298">
        <v>4</v>
      </c>
      <c r="CA298">
        <v>0</v>
      </c>
      <c r="CB298">
        <v>7</v>
      </c>
      <c r="CC298">
        <v>5545.5414280000005</v>
      </c>
      <c r="CD298" s="10">
        <v>2794.8306640000001</v>
      </c>
      <c r="CE298" s="255">
        <v>0.50397796144640028</v>
      </c>
      <c r="CF298" t="str">
        <f>IFERROR(VLOOKUP(CE298,'Rangos amb etnico'!$A$2:$C$6,3,9),"N.D.")</f>
        <v>31% - 50%</v>
      </c>
      <c r="CG298" s="256">
        <v>8.1312159591729965E-5</v>
      </c>
      <c r="CH298" s="232">
        <v>0</v>
      </c>
      <c r="CI298" s="311">
        <f t="shared" si="130"/>
        <v>0</v>
      </c>
      <c r="CJ298" s="232">
        <f>IFERROR(VLOOKUP(CI298,'Rangos amb etnico'!$A$2:$C$6,3,9),"N.D.")</f>
        <v>0</v>
      </c>
      <c r="CK298" s="311">
        <f t="shared" si="131"/>
        <v>0</v>
      </c>
      <c r="CL298" s="10">
        <v>0</v>
      </c>
      <c r="CM298" s="255">
        <f t="shared" si="132"/>
        <v>0</v>
      </c>
      <c r="CN298" s="232">
        <f>IFERROR(VLOOKUP(CM298,'Rangos amb etnico'!$A$2:$C$6,3,9),"N.D.")</f>
        <v>0</v>
      </c>
      <c r="CO298" s="311">
        <f t="shared" si="133"/>
        <v>0</v>
      </c>
      <c r="CP298">
        <v>0.93515093319713283</v>
      </c>
      <c r="CQ298" t="s">
        <v>2864</v>
      </c>
      <c r="CR298">
        <f t="shared" si="124"/>
        <v>4</v>
      </c>
      <c r="CS298" t="str">
        <f t="shared" si="134"/>
        <v>Candidato</v>
      </c>
      <c r="CT298">
        <v>0</v>
      </c>
      <c r="CU298">
        <v>0</v>
      </c>
      <c r="CV298" s="25">
        <v>55.881359100341797</v>
      </c>
      <c r="CW298" s="25">
        <v>23.73554611206055</v>
      </c>
      <c r="CX298" s="25">
        <v>54.951763153076172</v>
      </c>
      <c r="CY298" s="25">
        <v>76.612442016601563</v>
      </c>
      <c r="CZ298" s="25">
        <v>36.992965698242188</v>
      </c>
      <c r="DA298" s="25">
        <v>78.522979736328125</v>
      </c>
      <c r="DB298" s="25">
        <v>64.472457885742188</v>
      </c>
      <c r="DC298">
        <v>35</v>
      </c>
      <c r="DD298" s="253" t="s">
        <v>380</v>
      </c>
    </row>
    <row r="299" spans="1:108" hidden="1">
      <c r="A299" s="13">
        <v>52694</v>
      </c>
      <c r="B299" s="13" t="s">
        <v>1057</v>
      </c>
      <c r="C299" s="13" t="s">
        <v>672</v>
      </c>
      <c r="D299" s="13" t="s">
        <v>673</v>
      </c>
      <c r="E299" s="13" t="s">
        <v>1058</v>
      </c>
      <c r="F299" s="14">
        <v>62.288866666666699</v>
      </c>
      <c r="G299" s="13">
        <v>48.64</v>
      </c>
      <c r="H299" s="13">
        <v>47.64</v>
      </c>
      <c r="I299" s="13">
        <v>50.14</v>
      </c>
      <c r="J299" s="14">
        <v>60.538787884747599</v>
      </c>
      <c r="K299" s="14">
        <v>50.86928359783392</v>
      </c>
      <c r="L299" s="14">
        <v>71.101944013050357</v>
      </c>
      <c r="M299" s="14">
        <v>57.115900000000003</v>
      </c>
      <c r="N299" s="14">
        <f t="shared" si="108"/>
        <v>52.177216666666666</v>
      </c>
      <c r="O299" s="14">
        <f t="shared" si="109"/>
        <v>59.906478873907972</v>
      </c>
      <c r="P299" s="14">
        <f t="shared" si="125"/>
        <v>56.041847770287319</v>
      </c>
      <c r="Q299" s="14">
        <v>48.869244881787033</v>
      </c>
      <c r="R299" s="17">
        <f t="shared" si="110"/>
        <v>51.130755118212967</v>
      </c>
      <c r="S299" s="14">
        <f t="shared" si="126"/>
        <v>0.56017679606391668</v>
      </c>
      <c r="T299" s="13">
        <v>0</v>
      </c>
      <c r="U299" s="13">
        <f t="shared" si="127"/>
        <v>31.393342729461303</v>
      </c>
      <c r="V299" s="13">
        <f>IF($T299=1,$AU299,(VLOOKUP(U299,'Cortes naturales'!$A$35:$C$39,3,9)))</f>
        <v>3</v>
      </c>
      <c r="W299" s="13">
        <v>3</v>
      </c>
      <c r="X299" s="14" t="b">
        <f t="shared" si="111"/>
        <v>1</v>
      </c>
      <c r="Y299" s="17">
        <f>IF($T299=1,$AU299,VLOOKUP(U299,'Cortes naturales'!$A$45:$C$49,3,9))</f>
        <v>3</v>
      </c>
      <c r="Z299" s="14">
        <v>58.485243726285049</v>
      </c>
      <c r="AA299" s="14">
        <v>0.57360517609746298</v>
      </c>
      <c r="AB299" s="14">
        <v>33.547438526718778</v>
      </c>
      <c r="AC299" s="13">
        <v>3</v>
      </c>
      <c r="AD299" s="13">
        <f t="shared" si="112"/>
        <v>0</v>
      </c>
      <c r="AE299" s="14">
        <f t="shared" si="113"/>
        <v>-2.4433959559977296</v>
      </c>
      <c r="AF299" s="14">
        <f t="shared" si="114"/>
        <v>-1.3428380033546294E-2</v>
      </c>
      <c r="AG299" s="13">
        <f t="shared" si="115"/>
        <v>-2.1540957972574759</v>
      </c>
      <c r="AH299" s="13">
        <f>IF($T299=1,$AU299,VLOOKUP(U299,'Cortes naturales'!$A$25:$C$29,3,9))</f>
        <v>3</v>
      </c>
      <c r="AI299" s="13" t="b">
        <f t="shared" si="116"/>
        <v>1</v>
      </c>
      <c r="AJ299" s="13">
        <f t="shared" si="117"/>
        <v>0</v>
      </c>
      <c r="AK299" s="28">
        <v>0.9741882058902549</v>
      </c>
      <c r="AL299" s="28">
        <v>56.975634656763916</v>
      </c>
      <c r="AM299" s="28">
        <v>0.54207911973426059</v>
      </c>
      <c r="AN299" s="13">
        <v>2</v>
      </c>
      <c r="AO299" s="33">
        <f t="shared" si="118"/>
        <v>-1</v>
      </c>
      <c r="AP299" s="13">
        <f t="shared" si="128"/>
        <v>54.207911973426057</v>
      </c>
      <c r="AQ299" s="13">
        <f>IFERROR(VLOOKUP(U299,'Cortes naturales'!$E$15:$G$19,3,9),U299)</f>
        <v>4</v>
      </c>
      <c r="AR299" s="28">
        <f t="shared" si="119"/>
        <v>-0.41401140982633822</v>
      </c>
      <c r="AS299" s="13" t="b">
        <f t="shared" si="120"/>
        <v>0</v>
      </c>
      <c r="AT299" s="13" t="str">
        <f t="shared" si="129"/>
        <v>Cambio en corte</v>
      </c>
      <c r="AU299" s="13">
        <v>3</v>
      </c>
      <c r="AV299">
        <f t="shared" si="121"/>
        <v>0</v>
      </c>
      <c r="AW299" s="13">
        <v>0</v>
      </c>
      <c r="AX299" s="13">
        <v>0</v>
      </c>
      <c r="AY299" s="13">
        <v>0</v>
      </c>
      <c r="AZ299" s="13">
        <v>0</v>
      </c>
      <c r="BA299">
        <v>0</v>
      </c>
      <c r="BB299" t="s">
        <v>2839</v>
      </c>
      <c r="BC299">
        <v>6</v>
      </c>
      <c r="BD299" t="s">
        <v>2919</v>
      </c>
      <c r="BE299">
        <v>1</v>
      </c>
      <c r="BF299" s="232" t="s">
        <v>2846</v>
      </c>
      <c r="BG299" s="232" t="s">
        <v>2845</v>
      </c>
      <c r="BH299" s="253">
        <v>54.6</v>
      </c>
      <c r="BI299" s="253">
        <v>22.48934875228241</v>
      </c>
      <c r="BJ299" s="25">
        <v>63.690035208559166</v>
      </c>
      <c r="BK299" t="s">
        <v>376</v>
      </c>
      <c r="BL299">
        <v>1.4326512192793128</v>
      </c>
      <c r="BM299" t="s">
        <v>383</v>
      </c>
      <c r="BN299" s="322">
        <v>16963.229055</v>
      </c>
      <c r="BO299" s="322">
        <v>792.74775199999999</v>
      </c>
      <c r="BP299" s="10">
        <v>6842</v>
      </c>
      <c r="BQ299" s="254">
        <f t="shared" si="122"/>
        <v>2.4792793123355743</v>
      </c>
      <c r="BR299" s="254">
        <f t="shared" si="123"/>
        <v>0.11586491552177726</v>
      </c>
      <c r="BS299" s="25">
        <v>58.506060028424109</v>
      </c>
      <c r="BT299" s="25">
        <v>94.527930946117124</v>
      </c>
      <c r="BU299" s="25">
        <v>37.473439213461887</v>
      </c>
      <c r="BV299" s="25">
        <v>91.159396298231357</v>
      </c>
      <c r="BW299" s="25">
        <v>40.572273488873748</v>
      </c>
      <c r="BX299" s="25">
        <v>70.416706621558617</v>
      </c>
      <c r="BY299" s="25">
        <v>40.929025601079701</v>
      </c>
      <c r="BZ299">
        <v>69</v>
      </c>
      <c r="CA299">
        <v>0</v>
      </c>
      <c r="CB299">
        <v>7</v>
      </c>
      <c r="CC299">
        <v>5568.9323130000002</v>
      </c>
      <c r="CD299" s="10">
        <v>2004.4165949999999</v>
      </c>
      <c r="CE299" s="255">
        <v>0.35992834574787907</v>
      </c>
      <c r="CF299" t="str">
        <f>IFERROR(VLOOKUP(CE299,'Rangos amb etnico'!$A$2:$C$6,3,9),"N.D.")</f>
        <v>31% - 50%</v>
      </c>
      <c r="CG299" s="256">
        <v>5.8316034728088964E-5</v>
      </c>
      <c r="CH299" s="232">
        <v>0</v>
      </c>
      <c r="CI299" s="311">
        <f t="shared" si="130"/>
        <v>0</v>
      </c>
      <c r="CJ299" s="232">
        <f>IFERROR(VLOOKUP(CI299,'Rangos amb etnico'!$A$2:$C$6,3,9),"N.D.")</f>
        <v>0</v>
      </c>
      <c r="CK299" s="311">
        <f t="shared" si="131"/>
        <v>0</v>
      </c>
      <c r="CL299" s="10">
        <v>0</v>
      </c>
      <c r="CM299" s="255">
        <f t="shared" si="132"/>
        <v>0</v>
      </c>
      <c r="CN299" s="232">
        <f>IFERROR(VLOOKUP(CM299,'Rangos amb etnico'!$A$2:$C$6,3,9),"N.D.")</f>
        <v>0</v>
      </c>
      <c r="CO299" s="311">
        <f t="shared" si="133"/>
        <v>0</v>
      </c>
      <c r="CP299">
        <v>0.94532968428269171</v>
      </c>
      <c r="CQ299" t="s">
        <v>2864</v>
      </c>
      <c r="CR299">
        <f t="shared" si="124"/>
        <v>1</v>
      </c>
      <c r="CS299" t="str">
        <f t="shared" si="134"/>
        <v>No es Candidato</v>
      </c>
      <c r="CT299">
        <v>0</v>
      </c>
      <c r="CU299">
        <v>0</v>
      </c>
      <c r="CV299" s="25">
        <v>43.576190948486328</v>
      </c>
      <c r="CW299" s="25">
        <v>22.73117637634277</v>
      </c>
      <c r="CX299" s="25">
        <v>46.009769439697273</v>
      </c>
      <c r="CY299" s="25">
        <v>55.758880615234382</v>
      </c>
      <c r="CZ299" s="25">
        <v>30.893941879272461</v>
      </c>
      <c r="DA299" s="25">
        <v>60.138923645019531</v>
      </c>
      <c r="DB299" s="25">
        <v>45.924449920654297</v>
      </c>
      <c r="DC299">
        <v>60</v>
      </c>
      <c r="DD299" s="253" t="s">
        <v>380</v>
      </c>
    </row>
    <row r="300" spans="1:108" hidden="1">
      <c r="A300" s="13">
        <v>41615</v>
      </c>
      <c r="B300" s="13" t="s">
        <v>1059</v>
      </c>
      <c r="C300" s="13" t="s">
        <v>676</v>
      </c>
      <c r="D300" s="13" t="s">
        <v>677</v>
      </c>
      <c r="E300" s="13" t="s">
        <v>1060</v>
      </c>
      <c r="F300" s="14">
        <v>69.2453</v>
      </c>
      <c r="G300" s="13">
        <v>59.6</v>
      </c>
      <c r="H300" s="13">
        <v>64.489999999999995</v>
      </c>
      <c r="I300" s="13">
        <v>85.97</v>
      </c>
      <c r="J300" s="14">
        <v>55.46594442428335</v>
      </c>
      <c r="K300" s="14">
        <v>61.551287188714909</v>
      </c>
      <c r="L300" s="14">
        <v>63.028907415208337</v>
      </c>
      <c r="M300" s="14">
        <v>59.9833</v>
      </c>
      <c r="N300" s="14">
        <f t="shared" si="108"/>
        <v>69.826324999999997</v>
      </c>
      <c r="O300" s="14">
        <f t="shared" si="109"/>
        <v>60.007359757051645</v>
      </c>
      <c r="P300" s="14">
        <f t="shared" si="125"/>
        <v>64.916842378525814</v>
      </c>
      <c r="Q300" s="14">
        <v>48.027729087458482</v>
      </c>
      <c r="R300" s="17">
        <f t="shared" si="110"/>
        <v>51.972270912541518</v>
      </c>
      <c r="S300" s="14">
        <f t="shared" si="126"/>
        <v>0.56775043821287363</v>
      </c>
      <c r="T300" s="13">
        <v>0</v>
      </c>
      <c r="U300" s="13">
        <f t="shared" si="127"/>
        <v>36.85656570780408</v>
      </c>
      <c r="V300" s="13">
        <f>IF($T300=1,$AU300,(VLOOKUP(U300,'Cortes naturales'!$A$35:$C$39,3,9)))</f>
        <v>3</v>
      </c>
      <c r="W300" s="13">
        <v>3</v>
      </c>
      <c r="X300" s="14" t="b">
        <f t="shared" si="111"/>
        <v>1</v>
      </c>
      <c r="Y300" s="17">
        <f>IF($T300=1,$AU300,VLOOKUP(U300,'Cortes naturales'!$A$45:$C$49,3,9))</f>
        <v>2</v>
      </c>
      <c r="Z300" s="14">
        <v>62.69349629260541</v>
      </c>
      <c r="AA300" s="14">
        <v>0.57228721629564039</v>
      </c>
      <c r="AB300" s="14">
        <v>35.878686473136199</v>
      </c>
      <c r="AC300" s="13">
        <v>2</v>
      </c>
      <c r="AD300" s="13">
        <f t="shared" si="112"/>
        <v>0</v>
      </c>
      <c r="AE300" s="14">
        <f t="shared" si="113"/>
        <v>2.2233460859204044</v>
      </c>
      <c r="AF300" s="14">
        <f t="shared" si="114"/>
        <v>-4.536778082766757E-3</v>
      </c>
      <c r="AG300" s="13">
        <f t="shared" si="115"/>
        <v>0.97787923466788129</v>
      </c>
      <c r="AH300" s="13">
        <f>IF($T300=1,$AU300,VLOOKUP(U300,'Cortes naturales'!$A$25:$C$29,3,9))</f>
        <v>2</v>
      </c>
      <c r="AI300" s="13" t="b">
        <f t="shared" si="116"/>
        <v>1</v>
      </c>
      <c r="AJ300" s="13">
        <f t="shared" si="117"/>
        <v>0</v>
      </c>
      <c r="AK300" s="28">
        <v>0.9741882058902549</v>
      </c>
      <c r="AL300" s="28">
        <v>61.075264674280611</v>
      </c>
      <c r="AM300" s="28">
        <v>0.59336116983602327</v>
      </c>
      <c r="AN300" s="13">
        <v>2</v>
      </c>
      <c r="AO300" s="33">
        <f t="shared" si="118"/>
        <v>0</v>
      </c>
      <c r="AP300" s="13">
        <f t="shared" si="128"/>
        <v>59.336116983602324</v>
      </c>
      <c r="AQ300" s="13">
        <f>IFERROR(VLOOKUP(U300,'Cortes naturales'!$E$15:$G$19,3,9),U300)</f>
        <v>3</v>
      </c>
      <c r="AR300" s="28">
        <f t="shared" si="119"/>
        <v>-0.40643776767738127</v>
      </c>
      <c r="AS300" s="13" t="b">
        <f t="shared" si="120"/>
        <v>0</v>
      </c>
      <c r="AT300" s="13">
        <f t="shared" si="129"/>
        <v>0</v>
      </c>
      <c r="AU300" s="13">
        <v>2</v>
      </c>
      <c r="AV300">
        <f t="shared" si="121"/>
        <v>0</v>
      </c>
      <c r="AW300" s="13">
        <v>0</v>
      </c>
      <c r="AX300" s="13">
        <v>0</v>
      </c>
      <c r="AY300" s="13">
        <v>0</v>
      </c>
      <c r="AZ300" s="13">
        <v>0</v>
      </c>
      <c r="BA300">
        <v>0</v>
      </c>
      <c r="BB300" t="s">
        <v>2839</v>
      </c>
      <c r="BC300">
        <v>6</v>
      </c>
      <c r="BD300" t="s">
        <v>2919</v>
      </c>
      <c r="BE300">
        <v>0</v>
      </c>
      <c r="BF300" s="232" t="s">
        <v>2846</v>
      </c>
      <c r="BG300" s="232" t="s">
        <v>2845</v>
      </c>
      <c r="BH300" s="253">
        <v>27.4</v>
      </c>
      <c r="BI300" s="253">
        <v>12.594350818893901</v>
      </c>
      <c r="BJ300" s="25">
        <v>0.64818310421908587</v>
      </c>
      <c r="BK300" t="s">
        <v>381</v>
      </c>
      <c r="BL300">
        <v>1.8740736567256544</v>
      </c>
      <c r="BM300" t="s">
        <v>383</v>
      </c>
      <c r="BN300" s="322">
        <v>47089.712017999998</v>
      </c>
      <c r="BO300" s="322">
        <v>13375.362244</v>
      </c>
      <c r="BP300" s="10">
        <v>28367</v>
      </c>
      <c r="BQ300" s="254">
        <f t="shared" si="122"/>
        <v>1.6600173447315543</v>
      </c>
      <c r="BR300" s="254">
        <f t="shared" si="123"/>
        <v>0.47151134219339375</v>
      </c>
      <c r="BS300" s="25">
        <v>73.285230599390843</v>
      </c>
      <c r="BT300" s="25">
        <v>88.13923487585339</v>
      </c>
      <c r="BU300" s="25">
        <v>51.656666666666673</v>
      </c>
      <c r="BV300" s="25">
        <v>85.895487944335969</v>
      </c>
      <c r="BW300" s="25">
        <v>62.181574195116298</v>
      </c>
      <c r="BX300" s="25">
        <v>74.74415502156171</v>
      </c>
      <c r="BY300" s="25">
        <v>65.24896884636884</v>
      </c>
      <c r="BZ300">
        <v>71</v>
      </c>
      <c r="CA300">
        <v>0</v>
      </c>
      <c r="CB300">
        <v>7</v>
      </c>
      <c r="CC300">
        <v>25110.922895</v>
      </c>
      <c r="CD300" s="10">
        <v>10347.340856000001</v>
      </c>
      <c r="CE300" s="255">
        <v>0.41206533504430964</v>
      </c>
      <c r="CF300" t="str">
        <f>IFERROR(VLOOKUP(CE300,'Rangos amb etnico'!$A$2:$C$6,3,9),"N.D.")</f>
        <v>31% - 50%</v>
      </c>
      <c r="CG300" s="256">
        <v>3.0104315151205873E-4</v>
      </c>
      <c r="CH300" s="232">
        <v>950.10120199999994</v>
      </c>
      <c r="CI300" s="311">
        <f t="shared" si="130"/>
        <v>3.7836172169887904E-2</v>
      </c>
      <c r="CJ300" s="232" t="str">
        <f>IFERROR(VLOOKUP(CI300,'Rangos amb etnico'!$A$2:$C$6,3,9),"N.D.")</f>
        <v>0,1% - 30%</v>
      </c>
      <c r="CK300" s="311">
        <f t="shared" si="131"/>
        <v>3.7725238222448484E-5</v>
      </c>
      <c r="CL300" s="10">
        <v>0</v>
      </c>
      <c r="CM300" s="255">
        <f t="shared" si="132"/>
        <v>0</v>
      </c>
      <c r="CN300" s="232">
        <f>IFERROR(VLOOKUP(CM300,'Rangos amb etnico'!$A$2:$C$6,3,9),"N.D.")</f>
        <v>0</v>
      </c>
      <c r="CO300" s="311">
        <f t="shared" si="133"/>
        <v>0</v>
      </c>
      <c r="CP300">
        <v>0.88314404568745597</v>
      </c>
      <c r="CQ300" t="s">
        <v>2864</v>
      </c>
      <c r="CR300">
        <f t="shared" si="124"/>
        <v>3</v>
      </c>
      <c r="CS300" t="str">
        <f t="shared" si="134"/>
        <v>Candidato</v>
      </c>
      <c r="CT300">
        <v>0</v>
      </c>
      <c r="CU300">
        <v>0</v>
      </c>
      <c r="CV300" s="25">
        <v>51.333381652832031</v>
      </c>
      <c r="CW300" s="25">
        <v>35.904407501220703</v>
      </c>
      <c r="CX300" s="25">
        <v>46.540359497070313</v>
      </c>
      <c r="CY300" s="25">
        <v>84.147109985351563</v>
      </c>
      <c r="CZ300" s="25">
        <v>56.146419525146477</v>
      </c>
      <c r="DA300" s="25">
        <v>23.84427452087402</v>
      </c>
      <c r="DB300" s="25">
        <v>61.417716979980469</v>
      </c>
      <c r="DC300">
        <v>561</v>
      </c>
      <c r="DD300" s="253" t="s">
        <v>380</v>
      </c>
    </row>
    <row r="301" spans="1:108" hidden="1">
      <c r="A301" s="13">
        <v>66045</v>
      </c>
      <c r="B301" s="13" t="s">
        <v>1061</v>
      </c>
      <c r="C301" s="13" t="s">
        <v>467</v>
      </c>
      <c r="D301" s="13" t="s">
        <v>468</v>
      </c>
      <c r="E301" s="13" t="s">
        <v>1062</v>
      </c>
      <c r="F301" s="14">
        <v>60.474566666666703</v>
      </c>
      <c r="G301" s="13">
        <v>54.47</v>
      </c>
      <c r="H301" s="13">
        <v>52.93</v>
      </c>
      <c r="I301" s="13">
        <v>65.010000000000005</v>
      </c>
      <c r="J301" s="14">
        <v>57.818707727933301</v>
      </c>
      <c r="K301" s="14">
        <v>54.1835884650827</v>
      </c>
      <c r="L301" s="14">
        <v>55.537399162111342</v>
      </c>
      <c r="M301" s="14">
        <v>47.854599999999998</v>
      </c>
      <c r="N301" s="14">
        <f t="shared" si="108"/>
        <v>58.221141666666682</v>
      </c>
      <c r="O301" s="14">
        <f t="shared" si="109"/>
        <v>53.848573838781839</v>
      </c>
      <c r="P301" s="14">
        <f t="shared" si="125"/>
        <v>56.034857752724264</v>
      </c>
      <c r="Q301" s="14">
        <v>48.905371825062389</v>
      </c>
      <c r="R301" s="17">
        <f t="shared" si="110"/>
        <v>51.094628174937611</v>
      </c>
      <c r="S301" s="14">
        <f t="shared" si="126"/>
        <v>0.55985165357443845</v>
      </c>
      <c r="T301" s="13">
        <v>0</v>
      </c>
      <c r="U301" s="13">
        <f t="shared" si="127"/>
        <v>31.37120777067112</v>
      </c>
      <c r="V301" s="13">
        <f>IF($T301=1,$AU301,(VLOOKUP(U301,'Cortes naturales'!$A$35:$C$39,3,9)))</f>
        <v>3</v>
      </c>
      <c r="W301" s="13">
        <v>3</v>
      </c>
      <c r="X301" s="14" t="b">
        <f t="shared" si="111"/>
        <v>1</v>
      </c>
      <c r="Y301" s="17">
        <f>IF($T301=1,$AU301,VLOOKUP(U301,'Cortes naturales'!$A$45:$C$49,3,9))</f>
        <v>3</v>
      </c>
      <c r="Z301" s="14">
        <v>56.705319396915456</v>
      </c>
      <c r="AA301" s="14">
        <v>0.57217104677758257</v>
      </c>
      <c r="AB301" s="14">
        <v>32.445141957190273</v>
      </c>
      <c r="AC301" s="13">
        <v>3</v>
      </c>
      <c r="AD301" s="13">
        <f t="shared" si="112"/>
        <v>0</v>
      </c>
      <c r="AE301" s="14">
        <f t="shared" si="113"/>
        <v>-0.67046164419119236</v>
      </c>
      <c r="AF301" s="14">
        <f t="shared" si="114"/>
        <v>-1.2319393203144124E-2</v>
      </c>
      <c r="AG301" s="13">
        <f t="shared" si="115"/>
        <v>-1.0739341865191534</v>
      </c>
      <c r="AH301" s="13">
        <f>IF($T301=1,$AU301,VLOOKUP(U301,'Cortes naturales'!$A$25:$C$29,3,9))</f>
        <v>3</v>
      </c>
      <c r="AI301" s="13" t="b">
        <f t="shared" si="116"/>
        <v>1</v>
      </c>
      <c r="AJ301" s="13">
        <f t="shared" si="117"/>
        <v>0</v>
      </c>
      <c r="AK301" s="28">
        <v>0.9741882058902549</v>
      </c>
      <c r="AL301" s="28">
        <v>55.241653367714939</v>
      </c>
      <c r="AM301" s="28">
        <v>0.52038884159682219</v>
      </c>
      <c r="AN301" s="13">
        <v>2</v>
      </c>
      <c r="AO301" s="33">
        <f t="shared" si="118"/>
        <v>-1</v>
      </c>
      <c r="AP301" s="13">
        <f t="shared" si="128"/>
        <v>52.038884159682219</v>
      </c>
      <c r="AQ301" s="13">
        <f>IFERROR(VLOOKUP(U301,'Cortes naturales'!$E$15:$G$19,3,9),U301)</f>
        <v>4</v>
      </c>
      <c r="AR301" s="28">
        <f t="shared" si="119"/>
        <v>-0.41433655231581645</v>
      </c>
      <c r="AS301" s="13" t="b">
        <f t="shared" si="120"/>
        <v>0</v>
      </c>
      <c r="AT301" s="13" t="str">
        <f t="shared" si="129"/>
        <v>Cambio en corte</v>
      </c>
      <c r="AU301" s="13">
        <v>2</v>
      </c>
      <c r="AV301">
        <f t="shared" si="121"/>
        <v>-1</v>
      </c>
      <c r="AW301" s="13">
        <v>0</v>
      </c>
      <c r="AX301" s="13">
        <v>0</v>
      </c>
      <c r="AY301" s="13">
        <v>0</v>
      </c>
      <c r="AZ301" s="13">
        <v>0</v>
      </c>
      <c r="BA301">
        <v>0</v>
      </c>
      <c r="BB301" t="s">
        <v>2839</v>
      </c>
      <c r="BC301">
        <v>6</v>
      </c>
      <c r="BD301" t="s">
        <v>2919</v>
      </c>
      <c r="BE301">
        <v>1</v>
      </c>
      <c r="BF301" s="232" t="s">
        <v>2846</v>
      </c>
      <c r="BG301" s="232" t="s">
        <v>2845</v>
      </c>
      <c r="BH301" s="253">
        <v>33.6</v>
      </c>
      <c r="BI301" s="253">
        <v>9.5666854248733824</v>
      </c>
      <c r="BJ301" s="25">
        <v>37.854354370509164</v>
      </c>
      <c r="BK301" t="s">
        <v>376</v>
      </c>
      <c r="BL301">
        <v>2.8744760779644465</v>
      </c>
      <c r="BM301" t="s">
        <v>383</v>
      </c>
      <c r="BN301" s="322">
        <v>27072.945159999999</v>
      </c>
      <c r="BO301" s="322">
        <v>3029.1153519999998</v>
      </c>
      <c r="BP301" s="10">
        <v>12754</v>
      </c>
      <c r="BQ301" s="254">
        <f t="shared" si="122"/>
        <v>2.1227023020228946</v>
      </c>
      <c r="BR301" s="254">
        <f t="shared" si="123"/>
        <v>0.23750316387015838</v>
      </c>
      <c r="BS301" s="25">
        <v>58.111598186001061</v>
      </c>
      <c r="BT301" s="25">
        <v>90.990138046625887</v>
      </c>
      <c r="BU301" s="25">
        <v>38.561342250381301</v>
      </c>
      <c r="BV301" s="25">
        <v>90.750573378046752</v>
      </c>
      <c r="BW301" s="25">
        <v>56.574548768584208</v>
      </c>
      <c r="BX301" s="25">
        <v>69.603412965263743</v>
      </c>
      <c r="BY301" s="25">
        <v>57.673345775358349</v>
      </c>
      <c r="BZ301">
        <v>31</v>
      </c>
      <c r="CA301">
        <v>0</v>
      </c>
      <c r="CB301">
        <v>6</v>
      </c>
      <c r="CC301">
        <v>14997.960969</v>
      </c>
      <c r="CD301" s="10">
        <v>8901.9951390000006</v>
      </c>
      <c r="CE301" s="255">
        <v>0.59354702665248682</v>
      </c>
      <c r="CF301" t="str">
        <f>IFERROR(VLOOKUP(CE301,'Rangos amb etnico'!$A$2:$C$6,3,9),"N.D.")</f>
        <v>51% - 70%</v>
      </c>
      <c r="CG301" s="256">
        <v>2.5899259613503808E-4</v>
      </c>
      <c r="CH301" s="232">
        <v>0</v>
      </c>
      <c r="CI301" s="311">
        <f t="shared" si="130"/>
        <v>0</v>
      </c>
      <c r="CJ301" s="232">
        <f>IFERROR(VLOOKUP(CI301,'Rangos amb etnico'!$A$2:$C$6,3,9),"N.D.")</f>
        <v>0</v>
      </c>
      <c r="CK301" s="311">
        <f t="shared" si="131"/>
        <v>0</v>
      </c>
      <c r="CL301" s="10">
        <v>0</v>
      </c>
      <c r="CM301" s="255">
        <f t="shared" si="132"/>
        <v>0</v>
      </c>
      <c r="CN301" s="232">
        <f>IFERROR(VLOOKUP(CM301,'Rangos amb etnico'!$A$2:$C$6,3,9),"N.D.")</f>
        <v>0</v>
      </c>
      <c r="CO301" s="311">
        <f t="shared" si="133"/>
        <v>0</v>
      </c>
      <c r="CP301">
        <v>0.96927324730128195</v>
      </c>
      <c r="CQ301" t="s">
        <v>2864</v>
      </c>
      <c r="CR301">
        <f t="shared" si="124"/>
        <v>2</v>
      </c>
      <c r="CS301" t="str">
        <f t="shared" si="134"/>
        <v>No es Candidato</v>
      </c>
      <c r="CT301">
        <v>0</v>
      </c>
      <c r="CU301">
        <v>0</v>
      </c>
      <c r="CV301" s="25">
        <v>50.751335144042969</v>
      </c>
      <c r="CW301" s="25">
        <v>29.392190933227539</v>
      </c>
      <c r="CX301" s="25">
        <v>55.249237060546882</v>
      </c>
      <c r="CY301" s="25">
        <v>52.833358764648438</v>
      </c>
      <c r="CZ301" s="25">
        <v>58.065677642822273</v>
      </c>
      <c r="DA301" s="25">
        <v>56.654117584228523</v>
      </c>
      <c r="DB301" s="25">
        <v>52.313426971435547</v>
      </c>
      <c r="DC301">
        <v>312</v>
      </c>
      <c r="DD301" s="253" t="s">
        <v>380</v>
      </c>
    </row>
    <row r="302" spans="1:108" hidden="1">
      <c r="A302" s="13">
        <v>63111</v>
      </c>
      <c r="B302" s="13" t="s">
        <v>1063</v>
      </c>
      <c r="C302" s="13" t="s">
        <v>473</v>
      </c>
      <c r="D302" s="13" t="s">
        <v>474</v>
      </c>
      <c r="E302" s="13" t="s">
        <v>1064</v>
      </c>
      <c r="F302" s="14">
        <v>53.2383666666667</v>
      </c>
      <c r="G302" s="13">
        <v>43.94</v>
      </c>
      <c r="H302" s="13">
        <v>48.35</v>
      </c>
      <c r="I302" s="13">
        <v>47.76</v>
      </c>
      <c r="J302" s="14">
        <v>47.922091718936471</v>
      </c>
      <c r="K302" s="14">
        <v>42.304750870841332</v>
      </c>
      <c r="L302" s="14">
        <v>50.524331908697121</v>
      </c>
      <c r="M302" s="14">
        <v>42.949800000000003</v>
      </c>
      <c r="N302" s="14">
        <f t="shared" si="108"/>
        <v>48.322091666666672</v>
      </c>
      <c r="O302" s="14">
        <f t="shared" si="109"/>
        <v>45.925243624618737</v>
      </c>
      <c r="P302" s="14">
        <f t="shared" si="125"/>
        <v>47.123667645642705</v>
      </c>
      <c r="Q302" s="14">
        <v>48.890025193336079</v>
      </c>
      <c r="R302" s="17">
        <f t="shared" si="110"/>
        <v>51.109974806663921</v>
      </c>
      <c r="S302" s="14">
        <f t="shared" si="126"/>
        <v>0.55998977325997523</v>
      </c>
      <c r="T302" s="13">
        <v>0</v>
      </c>
      <c r="U302" s="13">
        <f t="shared" si="127"/>
        <v>26.388771960061888</v>
      </c>
      <c r="V302" s="13">
        <f>IF($T302=1,$AU302,(VLOOKUP(U302,'Cortes naturales'!$A$35:$C$39,3,9)))</f>
        <v>4</v>
      </c>
      <c r="W302" s="13">
        <v>4</v>
      </c>
      <c r="X302" s="14" t="b">
        <f t="shared" si="111"/>
        <v>1</v>
      </c>
      <c r="Y302" s="17">
        <f>IF($T302=1,$AU302,VLOOKUP(U302,'Cortes naturales'!$A$45:$C$49,3,9))</f>
        <v>4</v>
      </c>
      <c r="Z302" s="14">
        <v>49.023855294888669</v>
      </c>
      <c r="AA302" s="14">
        <v>0.57046285027599131</v>
      </c>
      <c r="AB302" s="14">
        <v>27.966288223039939</v>
      </c>
      <c r="AC302" s="13">
        <v>3</v>
      </c>
      <c r="AD302" s="13">
        <f t="shared" si="112"/>
        <v>-1</v>
      </c>
      <c r="AE302" s="14">
        <f t="shared" si="113"/>
        <v>-1.9001876492459644</v>
      </c>
      <c r="AF302" s="14">
        <f t="shared" si="114"/>
        <v>-1.0473077016016075E-2</v>
      </c>
      <c r="AG302" s="13">
        <f t="shared" si="115"/>
        <v>-1.577516262978051</v>
      </c>
      <c r="AH302" s="13">
        <f>IF($T302=1,$AU302,VLOOKUP(U302,'Cortes naturales'!$A$25:$C$29,3,9))</f>
        <v>4</v>
      </c>
      <c r="AI302" s="13" t="b">
        <f t="shared" si="116"/>
        <v>1</v>
      </c>
      <c r="AJ302" s="13" t="str">
        <f t="shared" si="117"/>
        <v>Efecto ponderador</v>
      </c>
      <c r="AK302" s="28">
        <v>0.9741882058902549</v>
      </c>
      <c r="AL302" s="28">
        <v>47.758461635551065</v>
      </c>
      <c r="AM302" s="28">
        <v>0.42678200105505598</v>
      </c>
      <c r="AN302" s="13">
        <v>3</v>
      </c>
      <c r="AO302" s="33">
        <f t="shared" si="118"/>
        <v>-1</v>
      </c>
      <c r="AP302" s="13">
        <f t="shared" si="128"/>
        <v>42.678200105505596</v>
      </c>
      <c r="AQ302" s="13">
        <f>IFERROR(VLOOKUP(U302,'Cortes naturales'!$E$15:$G$19,3,9),U302)</f>
        <v>4</v>
      </c>
      <c r="AR302" s="28">
        <f t="shared" si="119"/>
        <v>-0.41419843263027967</v>
      </c>
      <c r="AS302" s="13" t="b">
        <f t="shared" si="120"/>
        <v>1</v>
      </c>
      <c r="AT302" s="13" t="str">
        <f t="shared" si="129"/>
        <v>Efecto ponderador</v>
      </c>
      <c r="AU302" s="13">
        <v>2</v>
      </c>
      <c r="AV302">
        <f t="shared" si="121"/>
        <v>-2</v>
      </c>
      <c r="AW302" s="13">
        <v>0</v>
      </c>
      <c r="AX302" s="13">
        <v>0</v>
      </c>
      <c r="AY302" s="13">
        <v>0</v>
      </c>
      <c r="AZ302" s="13">
        <v>0</v>
      </c>
      <c r="BA302">
        <v>0</v>
      </c>
      <c r="BB302" t="s">
        <v>2839</v>
      </c>
      <c r="BC302">
        <v>6</v>
      </c>
      <c r="BD302" t="s">
        <v>2919</v>
      </c>
      <c r="BE302">
        <v>0</v>
      </c>
      <c r="BF302" s="232" t="s">
        <v>2846</v>
      </c>
      <c r="BG302" s="232" t="s">
        <v>2846</v>
      </c>
      <c r="BH302" s="253">
        <v>29</v>
      </c>
      <c r="BI302" s="253">
        <v>11.637448713166728</v>
      </c>
      <c r="BJ302" s="25">
        <v>0</v>
      </c>
      <c r="BK302" t="s">
        <v>381</v>
      </c>
      <c r="BL302">
        <v>0</v>
      </c>
      <c r="BM302" t="s">
        <v>377</v>
      </c>
      <c r="BN302" s="322">
        <v>5848.532518</v>
      </c>
      <c r="BO302" s="322">
        <v>800.78239299999996</v>
      </c>
      <c r="BP302" s="10">
        <v>3199</v>
      </c>
      <c r="BQ302" s="254">
        <f t="shared" si="122"/>
        <v>1.8282377361675524</v>
      </c>
      <c r="BR302" s="254">
        <f t="shared" si="123"/>
        <v>0.25032272366364489</v>
      </c>
      <c r="BS302" s="25">
        <v>48.970862164608327</v>
      </c>
      <c r="BT302" s="25">
        <v>79.390814023132236</v>
      </c>
      <c r="BU302" s="25">
        <v>35.521614950634657</v>
      </c>
      <c r="BV302" s="25">
        <v>97.421980249523543</v>
      </c>
      <c r="BW302" s="25">
        <v>60.306565954142151</v>
      </c>
      <c r="BX302" s="25">
        <v>65.326317846974689</v>
      </c>
      <c r="BY302" s="25">
        <v>61.422772747435957</v>
      </c>
      <c r="BZ302">
        <v>16</v>
      </c>
      <c r="CA302">
        <v>0</v>
      </c>
      <c r="CB302">
        <v>7</v>
      </c>
      <c r="CC302">
        <v>3826.2992020000002</v>
      </c>
      <c r="CD302" s="10">
        <v>2927.0902740000001</v>
      </c>
      <c r="CE302" s="255">
        <v>0.76499252135588747</v>
      </c>
      <c r="CF302" t="str">
        <f>IFERROR(VLOOKUP(CE302,'Rangos amb etnico'!$A$2:$C$6,3,9),"N.D.")</f>
        <v>71% - 100%</v>
      </c>
      <c r="CG302" s="256">
        <v>8.5160090221082739E-5</v>
      </c>
      <c r="CH302" s="232">
        <v>19.343146999999998</v>
      </c>
      <c r="CI302" s="311">
        <f t="shared" si="130"/>
        <v>5.055314803894418E-3</v>
      </c>
      <c r="CJ302" s="232" t="str">
        <f>IFERROR(VLOOKUP(CI302,'Rangos amb etnico'!$A$2:$C$6,3,9),"N.D.")</f>
        <v>0,1% - 30%</v>
      </c>
      <c r="CK302" s="311">
        <f t="shared" si="131"/>
        <v>7.6804957936137798E-7</v>
      </c>
      <c r="CL302" s="10">
        <v>0</v>
      </c>
      <c r="CM302" s="255">
        <f t="shared" si="132"/>
        <v>0</v>
      </c>
      <c r="CN302" s="232">
        <f>IFERROR(VLOOKUP(CM302,'Rangos amb etnico'!$A$2:$C$6,3,9),"N.D.")</f>
        <v>0</v>
      </c>
      <c r="CO302" s="311">
        <f t="shared" si="133"/>
        <v>0</v>
      </c>
      <c r="CP302">
        <v>0.82526695303003272</v>
      </c>
      <c r="CQ302" t="s">
        <v>2865</v>
      </c>
      <c r="CR302">
        <f t="shared" si="124"/>
        <v>2</v>
      </c>
      <c r="CS302" t="str">
        <f t="shared" si="134"/>
        <v>No es Candidato</v>
      </c>
      <c r="CT302">
        <v>0</v>
      </c>
      <c r="CU302">
        <v>0</v>
      </c>
      <c r="CV302" s="25">
        <v>54.825641632080078</v>
      </c>
      <c r="CW302" s="25">
        <v>28.873453140258789</v>
      </c>
      <c r="CX302" s="25">
        <v>62.517158508300781</v>
      </c>
      <c r="CY302" s="25">
        <v>70.96875</v>
      </c>
      <c r="CZ302" s="25">
        <v>57.803607940673828</v>
      </c>
      <c r="DA302" s="25">
        <v>55.526729583740227</v>
      </c>
      <c r="DB302" s="25">
        <v>53.264156341552727</v>
      </c>
      <c r="DC302">
        <v>133</v>
      </c>
      <c r="DD302" s="253" t="s">
        <v>380</v>
      </c>
    </row>
    <row r="303" spans="1:108" hidden="1">
      <c r="A303" s="13">
        <v>15476</v>
      </c>
      <c r="B303" s="13" t="s">
        <v>1065</v>
      </c>
      <c r="C303" s="13" t="s">
        <v>498</v>
      </c>
      <c r="D303" s="13" t="s">
        <v>499</v>
      </c>
      <c r="E303" s="13" t="s">
        <v>1066</v>
      </c>
      <c r="F303" s="14">
        <v>81.145133333333305</v>
      </c>
      <c r="G303" s="13">
        <v>85.91</v>
      </c>
      <c r="H303" s="13">
        <v>52.87</v>
      </c>
      <c r="I303" s="13">
        <v>53.76</v>
      </c>
      <c r="J303" s="14">
        <v>62.345935740143879</v>
      </c>
      <c r="K303" s="14">
        <v>69.586485860265327</v>
      </c>
      <c r="L303" s="14">
        <v>60.778348465153869</v>
      </c>
      <c r="M303" s="14">
        <v>67.001900000000006</v>
      </c>
      <c r="N303" s="14">
        <f t="shared" si="108"/>
        <v>68.421283333333321</v>
      </c>
      <c r="O303" s="14">
        <f t="shared" si="109"/>
        <v>64.928167516390772</v>
      </c>
      <c r="P303" s="14">
        <f t="shared" si="125"/>
        <v>66.674725424862046</v>
      </c>
      <c r="Q303" s="14">
        <v>49.868511764231812</v>
      </c>
      <c r="R303" s="17">
        <f t="shared" si="110"/>
        <v>50.131488235768188</v>
      </c>
      <c r="S303" s="14">
        <f t="shared" si="126"/>
        <v>0.55118339412191364</v>
      </c>
      <c r="T303" s="13">
        <v>0</v>
      </c>
      <c r="U303" s="13">
        <f t="shared" si="127"/>
        <v>36.750001461822116</v>
      </c>
      <c r="V303" s="13">
        <f>IF($T303=1,$AU303,(VLOOKUP(U303,'Cortes naturales'!$A$35:$C$39,3,9)))</f>
        <v>3</v>
      </c>
      <c r="W303" s="13">
        <v>3</v>
      </c>
      <c r="X303" s="14" t="b">
        <f t="shared" si="111"/>
        <v>1</v>
      </c>
      <c r="Y303" s="17">
        <f>IF($T303=1,$AU303,VLOOKUP(U303,'Cortes naturales'!$A$45:$C$49,3,9))</f>
        <v>2</v>
      </c>
      <c r="Z303" s="14">
        <v>68.586326383722934</v>
      </c>
      <c r="AA303" s="14">
        <v>0.5708996998680268</v>
      </c>
      <c r="AB303" s="14">
        <v>39.15591314751795</v>
      </c>
      <c r="AC303" s="13">
        <v>2</v>
      </c>
      <c r="AD303" s="13">
        <f t="shared" si="112"/>
        <v>0</v>
      </c>
      <c r="AE303" s="14">
        <f t="shared" si="113"/>
        <v>-1.9116009588608875</v>
      </c>
      <c r="AF303" s="14">
        <f t="shared" si="114"/>
        <v>-1.9716305746113161E-2</v>
      </c>
      <c r="AG303" s="13">
        <f t="shared" si="115"/>
        <v>-2.405911685695834</v>
      </c>
      <c r="AH303" s="13">
        <f>IF($T303=1,$AU303,VLOOKUP(U303,'Cortes naturales'!$A$25:$C$29,3,9))</f>
        <v>2</v>
      </c>
      <c r="AI303" s="13" t="b">
        <f t="shared" si="116"/>
        <v>1</v>
      </c>
      <c r="AJ303" s="13">
        <f t="shared" si="117"/>
        <v>0</v>
      </c>
      <c r="AK303" s="28">
        <v>0.9741882058902549</v>
      </c>
      <c r="AL303" s="28">
        <v>66.815990248362496</v>
      </c>
      <c r="AM303" s="28">
        <v>0.66517159547264315</v>
      </c>
      <c r="AN303" s="13">
        <v>1</v>
      </c>
      <c r="AO303" s="33">
        <f t="shared" si="118"/>
        <v>-1</v>
      </c>
      <c r="AP303" s="13">
        <f t="shared" si="128"/>
        <v>66.517159547264313</v>
      </c>
      <c r="AQ303" s="13">
        <f>IFERROR(VLOOKUP(U303,'Cortes naturales'!$E$15:$G$19,3,9),U303)</f>
        <v>3</v>
      </c>
      <c r="AR303" s="28">
        <f t="shared" si="119"/>
        <v>-0.42300481176834126</v>
      </c>
      <c r="AS303" s="13" t="b">
        <f t="shared" si="120"/>
        <v>0</v>
      </c>
      <c r="AT303" s="13" t="str">
        <f t="shared" si="129"/>
        <v>Cambio en corte</v>
      </c>
      <c r="AU303" s="13">
        <v>2</v>
      </c>
      <c r="AV303">
        <f t="shared" si="121"/>
        <v>0</v>
      </c>
      <c r="AW303" s="13">
        <v>0</v>
      </c>
      <c r="AX303" s="13">
        <v>0</v>
      </c>
      <c r="AY303" s="13">
        <v>0</v>
      </c>
      <c r="AZ303" s="13">
        <v>0</v>
      </c>
      <c r="BA303">
        <v>0</v>
      </c>
      <c r="BB303" t="s">
        <v>2839</v>
      </c>
      <c r="BC303">
        <v>6</v>
      </c>
      <c r="BD303" s="184" t="s">
        <v>2917</v>
      </c>
      <c r="BE303">
        <v>1</v>
      </c>
      <c r="BF303" s="232" t="s">
        <v>2846</v>
      </c>
      <c r="BG303" s="232" t="s">
        <v>2846</v>
      </c>
      <c r="BH303" s="253">
        <v>49.8</v>
      </c>
      <c r="BI303" s="253">
        <v>15.269804822043628</v>
      </c>
      <c r="BJ303" s="25">
        <v>11.808773756139225</v>
      </c>
      <c r="BK303" t="s">
        <v>377</v>
      </c>
      <c r="BL303">
        <v>0</v>
      </c>
      <c r="BM303" t="s">
        <v>377</v>
      </c>
      <c r="BN303" s="322">
        <v>18951.431648999998</v>
      </c>
      <c r="BO303" s="322">
        <v>1449.000595</v>
      </c>
      <c r="BP303" s="10">
        <v>5281</v>
      </c>
      <c r="BQ303" s="254">
        <f t="shared" si="122"/>
        <v>3.5886066368112095</v>
      </c>
      <c r="BR303" s="254">
        <f t="shared" si="123"/>
        <v>0.27437996496875594</v>
      </c>
      <c r="BS303" s="25">
        <v>45.9570947953301</v>
      </c>
      <c r="BT303" s="25">
        <v>93.492394117275765</v>
      </c>
      <c r="BU303" s="25">
        <v>49.598646080760098</v>
      </c>
      <c r="BV303" s="25">
        <v>77.081442183540858</v>
      </c>
      <c r="BW303" s="25">
        <v>57.808072003256633</v>
      </c>
      <c r="BX303" s="25">
        <v>66.532394294226705</v>
      </c>
      <c r="BY303" s="25">
        <v>59.44402634962178</v>
      </c>
      <c r="BZ303">
        <v>79</v>
      </c>
      <c r="CA303">
        <v>0</v>
      </c>
      <c r="CB303">
        <v>7</v>
      </c>
      <c r="CC303">
        <v>5994.7279420000004</v>
      </c>
      <c r="CD303" s="10">
        <v>673.37899500000003</v>
      </c>
      <c r="CE303" s="255">
        <v>0.11232853292343788</v>
      </c>
      <c r="CF303" t="str">
        <f>IFERROR(VLOOKUP(CE303,'Rangos amb etnico'!$A$2:$C$6,3,9),"N.D.")</f>
        <v>0,1% - 30%</v>
      </c>
      <c r="CG303" s="256">
        <v>1.9591133377932172E-5</v>
      </c>
      <c r="CH303" s="232">
        <v>0</v>
      </c>
      <c r="CI303" s="311">
        <f t="shared" si="130"/>
        <v>0</v>
      </c>
      <c r="CJ303" s="232">
        <f>IFERROR(VLOOKUP(CI303,'Rangos amb etnico'!$A$2:$C$6,3,9),"N.D.")</f>
        <v>0</v>
      </c>
      <c r="CK303" s="311">
        <f t="shared" si="131"/>
        <v>0</v>
      </c>
      <c r="CL303" s="10">
        <v>0</v>
      </c>
      <c r="CM303" s="255">
        <f t="shared" si="132"/>
        <v>0</v>
      </c>
      <c r="CN303" s="232">
        <f>IFERROR(VLOOKUP(CM303,'Rangos amb etnico'!$A$2:$C$6,3,9),"N.D.")</f>
        <v>0</v>
      </c>
      <c r="CO303" s="311">
        <f t="shared" si="133"/>
        <v>0</v>
      </c>
      <c r="CP303">
        <v>0.95119953158631687</v>
      </c>
      <c r="CQ303" t="s">
        <v>2864</v>
      </c>
      <c r="CR303">
        <f t="shared" si="124"/>
        <v>2</v>
      </c>
      <c r="CS303" t="str">
        <f t="shared" si="134"/>
        <v>No es Candidato</v>
      </c>
      <c r="CT303">
        <v>0</v>
      </c>
      <c r="CU303">
        <v>0</v>
      </c>
      <c r="CV303" s="25">
        <v>52.488536834716797</v>
      </c>
      <c r="CW303" s="25">
        <v>27.41677093505859</v>
      </c>
      <c r="CX303" s="25">
        <v>53.138896942138672</v>
      </c>
      <c r="CY303" s="25">
        <v>60.592124938964837</v>
      </c>
      <c r="CZ303" s="25">
        <v>56.273635864257813</v>
      </c>
      <c r="DA303" s="25">
        <v>52.475131988525391</v>
      </c>
      <c r="DB303" s="25">
        <v>65.034645080566406</v>
      </c>
      <c r="DC303">
        <v>23</v>
      </c>
      <c r="DD303" s="253" t="s">
        <v>380</v>
      </c>
    </row>
    <row r="304" spans="1:108" hidden="1">
      <c r="A304" s="13">
        <v>17665</v>
      </c>
      <c r="B304" s="13" t="s">
        <v>1067</v>
      </c>
      <c r="C304" s="13" t="s">
        <v>506</v>
      </c>
      <c r="D304" s="13" t="s">
        <v>507</v>
      </c>
      <c r="E304" s="13" t="s">
        <v>1068</v>
      </c>
      <c r="F304" s="14">
        <v>64.395033333333302</v>
      </c>
      <c r="G304" s="13">
        <v>78.77</v>
      </c>
      <c r="H304" s="13">
        <v>68.150000000000006</v>
      </c>
      <c r="I304" s="13">
        <v>59.3</v>
      </c>
      <c r="J304" s="14">
        <v>52.361551800967128</v>
      </c>
      <c r="K304" s="14">
        <v>57.033669354025498</v>
      </c>
      <c r="L304" s="14">
        <v>57.394112371157277</v>
      </c>
      <c r="M304" s="14">
        <v>55.933199999999999</v>
      </c>
      <c r="N304" s="14">
        <f t="shared" si="108"/>
        <v>67.653758333333329</v>
      </c>
      <c r="O304" s="14">
        <f t="shared" si="109"/>
        <v>55.680633381537476</v>
      </c>
      <c r="P304" s="14">
        <f t="shared" si="125"/>
        <v>61.667195857435402</v>
      </c>
      <c r="Q304" s="14">
        <v>48.845473035182657</v>
      </c>
      <c r="R304" s="17">
        <f t="shared" si="110"/>
        <v>51.154526964817343</v>
      </c>
      <c r="S304" s="14">
        <f t="shared" si="126"/>
        <v>0.5603907426833562</v>
      </c>
      <c r="T304" s="13">
        <v>0</v>
      </c>
      <c r="U304" s="13">
        <f t="shared" si="127"/>
        <v>34.55772568574821</v>
      </c>
      <c r="V304" s="13">
        <f>IF($T304=1,$AU304,(VLOOKUP(U304,'Cortes naturales'!$A$35:$C$39,3,9)))</f>
        <v>3</v>
      </c>
      <c r="W304" s="13">
        <v>3</v>
      </c>
      <c r="X304" s="14" t="b">
        <f t="shared" si="111"/>
        <v>1</v>
      </c>
      <c r="Y304" s="17">
        <f>IF($T304=1,$AU304,VLOOKUP(U304,'Cortes naturales'!$A$45:$C$49,3,9))</f>
        <v>3</v>
      </c>
      <c r="Z304" s="14">
        <v>61.163102424707901</v>
      </c>
      <c r="AA304" s="14">
        <v>0.57080472313285036</v>
      </c>
      <c r="AB304" s="14">
        <v>34.91218774548156</v>
      </c>
      <c r="AC304" s="13">
        <v>3</v>
      </c>
      <c r="AD304" s="13">
        <f t="shared" si="112"/>
        <v>0</v>
      </c>
      <c r="AE304" s="14">
        <f t="shared" si="113"/>
        <v>0.50409343272750107</v>
      </c>
      <c r="AF304" s="14">
        <f t="shared" si="114"/>
        <v>-1.0413980449494153E-2</v>
      </c>
      <c r="AG304" s="13">
        <f t="shared" si="115"/>
        <v>-0.35446205973335054</v>
      </c>
      <c r="AH304" s="13">
        <f>IF($T304=1,$AU304,VLOOKUP(U304,'Cortes naturales'!$A$25:$C$29,3,9))</f>
        <v>3</v>
      </c>
      <c r="AI304" s="13" t="b">
        <f t="shared" si="116"/>
        <v>1</v>
      </c>
      <c r="AJ304" s="13">
        <f t="shared" si="117"/>
        <v>0</v>
      </c>
      <c r="AK304" s="28">
        <v>0.9741882058902549</v>
      </c>
      <c r="AL304" s="28">
        <v>59.58437301780809</v>
      </c>
      <c r="AM304" s="28">
        <v>0.57471168676149054</v>
      </c>
      <c r="AN304" s="13">
        <v>2</v>
      </c>
      <c r="AO304" s="33">
        <f t="shared" si="118"/>
        <v>-1</v>
      </c>
      <c r="AP304" s="13">
        <f t="shared" si="128"/>
        <v>57.471168676149055</v>
      </c>
      <c r="AQ304" s="13">
        <f>IFERROR(VLOOKUP(U304,'Cortes naturales'!$E$15:$G$19,3,9),U304)</f>
        <v>4</v>
      </c>
      <c r="AR304" s="28">
        <f t="shared" si="119"/>
        <v>-0.4137974632068987</v>
      </c>
      <c r="AS304" s="13" t="b">
        <f t="shared" si="120"/>
        <v>0</v>
      </c>
      <c r="AT304" s="13" t="str">
        <f t="shared" si="129"/>
        <v>Cambio en corte</v>
      </c>
      <c r="AU304" s="13">
        <v>2</v>
      </c>
      <c r="AV304">
        <f t="shared" si="121"/>
        <v>-1</v>
      </c>
      <c r="AW304" s="13">
        <v>0</v>
      </c>
      <c r="AX304" s="13">
        <v>0</v>
      </c>
      <c r="AY304" s="13">
        <v>0</v>
      </c>
      <c r="AZ304" s="13">
        <v>0</v>
      </c>
      <c r="BA304">
        <v>0</v>
      </c>
      <c r="BB304" t="s">
        <v>2839</v>
      </c>
      <c r="BC304">
        <v>6</v>
      </c>
      <c r="BD304" t="s">
        <v>2919</v>
      </c>
      <c r="BE304">
        <v>0</v>
      </c>
      <c r="BF304" s="232" t="s">
        <v>2846</v>
      </c>
      <c r="BG304" s="232" t="s">
        <v>2846</v>
      </c>
      <c r="BH304" s="253">
        <v>39.9</v>
      </c>
      <c r="BI304" s="253">
        <v>13.7511071744907</v>
      </c>
      <c r="BJ304" s="25">
        <v>49.307564928509805</v>
      </c>
      <c r="BK304" t="s">
        <v>376</v>
      </c>
      <c r="BL304">
        <v>0</v>
      </c>
      <c r="BM304" t="s">
        <v>377</v>
      </c>
      <c r="BN304" s="322">
        <v>13261.749196000001</v>
      </c>
      <c r="BO304" s="322">
        <v>1867.445688</v>
      </c>
      <c r="BP304" s="10">
        <v>5002</v>
      </c>
      <c r="BQ304" s="254">
        <f t="shared" si="122"/>
        <v>2.6512893234706119</v>
      </c>
      <c r="BR304" s="254">
        <f t="shared" si="123"/>
        <v>0.37333980167932829</v>
      </c>
      <c r="BS304" s="25">
        <v>57.856384064181732</v>
      </c>
      <c r="BT304" s="25">
        <v>88.447010189257639</v>
      </c>
      <c r="BU304" s="25">
        <v>44.1310023310023</v>
      </c>
      <c r="BV304" s="25">
        <v>90.075121533622124</v>
      </c>
      <c r="BW304" s="25">
        <v>54.549535378860533</v>
      </c>
      <c r="BX304" s="25">
        <v>70.127379529515949</v>
      </c>
      <c r="BY304" s="25">
        <v>54.447262654991171</v>
      </c>
      <c r="BZ304">
        <v>49</v>
      </c>
      <c r="CA304">
        <v>0</v>
      </c>
      <c r="CB304">
        <v>7</v>
      </c>
      <c r="CC304">
        <v>6096.0310440000003</v>
      </c>
      <c r="CD304" s="10">
        <v>0</v>
      </c>
      <c r="CE304" s="255">
        <v>0</v>
      </c>
      <c r="CF304">
        <f>IFERROR(VLOOKUP(CE304,'Rangos amb etnico'!$A$2:$C$6,3,9),"N.D.")</f>
        <v>0</v>
      </c>
      <c r="CG304" s="256">
        <v>0</v>
      </c>
      <c r="CH304" s="232">
        <v>61.454152000000001</v>
      </c>
      <c r="CI304" s="311">
        <f t="shared" si="130"/>
        <v>1.0081010342046413E-2</v>
      </c>
      <c r="CJ304" s="232" t="str">
        <f>IFERROR(VLOOKUP(CI304,'Rangos amb etnico'!$A$2:$C$6,3,9),"N.D.")</f>
        <v>0,1% - 30%</v>
      </c>
      <c r="CK304" s="311">
        <f t="shared" si="131"/>
        <v>2.440132187053647E-6</v>
      </c>
      <c r="CL304" s="10">
        <v>0</v>
      </c>
      <c r="CM304" s="255">
        <f t="shared" si="132"/>
        <v>0</v>
      </c>
      <c r="CN304" s="232">
        <f>IFERROR(VLOOKUP(CM304,'Rangos amb etnico'!$A$2:$C$6,3,9),"N.D.")</f>
        <v>0</v>
      </c>
      <c r="CO304" s="311">
        <f t="shared" si="133"/>
        <v>0</v>
      </c>
      <c r="CP304">
        <v>0.95726243129135535</v>
      </c>
      <c r="CQ304" t="s">
        <v>2864</v>
      </c>
      <c r="CR304">
        <f t="shared" si="124"/>
        <v>1</v>
      </c>
      <c r="CS304" t="str">
        <f t="shared" si="134"/>
        <v>No es Candidato</v>
      </c>
      <c r="CT304">
        <v>0</v>
      </c>
      <c r="CU304">
        <v>0</v>
      </c>
      <c r="CV304" s="25">
        <v>54.272640228271477</v>
      </c>
      <c r="CW304" s="25">
        <v>30.871297836303711</v>
      </c>
      <c r="CX304" s="25">
        <v>62.259845733642578</v>
      </c>
      <c r="CY304" s="25">
        <v>55.451156616210938</v>
      </c>
      <c r="CZ304" s="25">
        <v>58.587604522705078</v>
      </c>
      <c r="DA304" s="25">
        <v>69.173210144042969</v>
      </c>
      <c r="DB304" s="25">
        <v>49.292736053466797</v>
      </c>
      <c r="DC304">
        <v>326</v>
      </c>
      <c r="DD304" s="253" t="s">
        <v>380</v>
      </c>
    </row>
    <row r="305" spans="1:108" hidden="1">
      <c r="A305" s="13">
        <v>70742</v>
      </c>
      <c r="B305" s="204" t="s">
        <v>1069</v>
      </c>
      <c r="C305" s="13" t="s">
        <v>494</v>
      </c>
      <c r="D305" s="13" t="s">
        <v>495</v>
      </c>
      <c r="E305" s="13" t="s">
        <v>1070</v>
      </c>
      <c r="F305" s="14">
        <v>22.172633333333302</v>
      </c>
      <c r="G305" s="13">
        <v>37.79</v>
      </c>
      <c r="H305" s="13">
        <v>33.950000000000003</v>
      </c>
      <c r="I305" s="13">
        <v>0</v>
      </c>
      <c r="J305" s="14">
        <v>52.030605567363544</v>
      </c>
      <c r="K305" s="14">
        <v>82.836508552576248</v>
      </c>
      <c r="L305" s="14">
        <v>56.018003814791761</v>
      </c>
      <c r="M305" s="14">
        <v>54.218200000000003</v>
      </c>
      <c r="N305" s="14">
        <f t="shared" si="108"/>
        <v>23.478158333333326</v>
      </c>
      <c r="O305" s="14">
        <f t="shared" si="109"/>
        <v>61.275829483682891</v>
      </c>
      <c r="P305" s="14">
        <f t="shared" si="125"/>
        <v>42.376993908508112</v>
      </c>
      <c r="Q305" s="14">
        <v>48.873092361251381</v>
      </c>
      <c r="R305" s="17">
        <f t="shared" si="110"/>
        <v>51.126907638748619</v>
      </c>
      <c r="S305" s="14">
        <f t="shared" si="126"/>
        <v>0.56014216874873757</v>
      </c>
      <c r="T305" s="13">
        <v>0</v>
      </c>
      <c r="U305" s="13">
        <f t="shared" si="127"/>
        <v>23.737141272963775</v>
      </c>
      <c r="V305" s="13">
        <f>IF($T305=1,$AU305,(VLOOKUP(U305,'Cortes naturales'!$A$35:$C$39,3,9)))</f>
        <v>4</v>
      </c>
      <c r="W305" s="13">
        <v>4</v>
      </c>
      <c r="X305" s="14" t="b">
        <f t="shared" si="111"/>
        <v>1</v>
      </c>
      <c r="Y305" s="17">
        <f>IF($T305=1,$AU305,VLOOKUP(U305,'Cortes naturales'!$A$45:$C$49,3,9))</f>
        <v>4</v>
      </c>
      <c r="Z305" s="14">
        <v>44.758483883220684</v>
      </c>
      <c r="AA305" s="14">
        <v>0.57122729324977051</v>
      </c>
      <c r="AB305" s="14">
        <v>25.567267598575629</v>
      </c>
      <c r="AC305" s="13">
        <v>4</v>
      </c>
      <c r="AD305" s="13">
        <f t="shared" si="112"/>
        <v>0</v>
      </c>
      <c r="AE305" s="14">
        <f t="shared" si="113"/>
        <v>-2.3814899747125722</v>
      </c>
      <c r="AF305" s="14">
        <f t="shared" si="114"/>
        <v>-1.1085124501032939E-2</v>
      </c>
      <c r="AG305" s="13">
        <f t="shared" si="115"/>
        <v>-1.8301263256118538</v>
      </c>
      <c r="AH305" s="13">
        <f>IF($T305=1,$AU305,VLOOKUP(U305,'Cortes naturales'!$A$25:$C$29,3,9))</f>
        <v>4</v>
      </c>
      <c r="AI305" s="13" t="b">
        <f t="shared" si="116"/>
        <v>1</v>
      </c>
      <c r="AJ305" s="13">
        <f t="shared" si="117"/>
        <v>0</v>
      </c>
      <c r="AK305" s="28">
        <v>0.9741882058902549</v>
      </c>
      <c r="AL305" s="28">
        <v>43.603187112562651</v>
      </c>
      <c r="AM305" s="28">
        <v>0.37480389684467968</v>
      </c>
      <c r="AN305" s="13">
        <v>3</v>
      </c>
      <c r="AO305" s="33">
        <f t="shared" si="118"/>
        <v>-1</v>
      </c>
      <c r="AP305" s="13">
        <f t="shared" si="128"/>
        <v>37.480389684467966</v>
      </c>
      <c r="AQ305" s="13">
        <f>IFERROR(VLOOKUP(U305,'Cortes naturales'!$E$15:$G$19,3,9),U305)</f>
        <v>4</v>
      </c>
      <c r="AR305" s="28">
        <f t="shared" si="119"/>
        <v>-0.41404603714151733</v>
      </c>
      <c r="AS305" s="13" t="b">
        <f t="shared" si="120"/>
        <v>1</v>
      </c>
      <c r="AT305" s="13" t="str">
        <f t="shared" si="129"/>
        <v>Efecto ponderador</v>
      </c>
      <c r="AU305" s="13">
        <v>3</v>
      </c>
      <c r="AV305">
        <f t="shared" si="121"/>
        <v>-1</v>
      </c>
      <c r="AW305" s="13">
        <v>0</v>
      </c>
      <c r="AX305" s="13">
        <v>0</v>
      </c>
      <c r="AY305" s="13">
        <v>0</v>
      </c>
      <c r="AZ305" s="13">
        <v>0</v>
      </c>
      <c r="BA305">
        <v>0</v>
      </c>
      <c r="BB305" t="s">
        <v>2839</v>
      </c>
      <c r="BC305">
        <v>6</v>
      </c>
      <c r="BD305" t="s">
        <v>2919</v>
      </c>
      <c r="BE305">
        <v>0</v>
      </c>
      <c r="BF305" s="232" t="s">
        <v>2846</v>
      </c>
      <c r="BG305" s="232" t="s">
        <v>2845</v>
      </c>
      <c r="BH305" s="253">
        <v>51.1</v>
      </c>
      <c r="BI305" s="253">
        <v>30.717503643831986</v>
      </c>
      <c r="BJ305" s="25">
        <v>5.0999999999999996</v>
      </c>
      <c r="BK305" t="s">
        <v>377</v>
      </c>
      <c r="BL305">
        <v>4.062967514178931</v>
      </c>
      <c r="BM305" t="s">
        <v>383</v>
      </c>
      <c r="BN305" s="322">
        <v>109837.552929</v>
      </c>
      <c r="BO305" s="322">
        <v>6499.1074280000003</v>
      </c>
      <c r="BP305" s="10">
        <v>32683</v>
      </c>
      <c r="BQ305" s="254">
        <f t="shared" si="122"/>
        <v>3.3606937223939051</v>
      </c>
      <c r="BR305" s="254">
        <f t="shared" si="123"/>
        <v>0.19885284178319004</v>
      </c>
      <c r="BS305" s="25">
        <v>66.867194696298739</v>
      </c>
      <c r="BT305" s="25">
        <v>96.041775030851909</v>
      </c>
      <c r="BU305" s="25">
        <v>17.188821346173128</v>
      </c>
      <c r="BV305" s="25">
        <v>95.337559945364262</v>
      </c>
      <c r="BW305" s="25">
        <v>46.839964665243279</v>
      </c>
      <c r="BX305" s="25">
        <v>68.85883775467201</v>
      </c>
      <c r="BY305" s="25">
        <v>48.152660339277823</v>
      </c>
      <c r="BZ305">
        <v>9</v>
      </c>
      <c r="CA305">
        <v>0</v>
      </c>
      <c r="CB305">
        <v>6</v>
      </c>
      <c r="CC305">
        <v>41871.906745</v>
      </c>
      <c r="CD305" s="10">
        <v>472.75748399999998</v>
      </c>
      <c r="CE305" s="255">
        <v>1.1290564981410903E-2</v>
      </c>
      <c r="CF305" t="str">
        <f>IFERROR(VLOOKUP(CE305,'Rangos amb etnico'!$A$2:$C$6,3,9),"N.D.")</f>
        <v>0,1% - 30%</v>
      </c>
      <c r="CG305" s="256">
        <v>1.3754297347008328E-5</v>
      </c>
      <c r="CH305" s="232">
        <v>0</v>
      </c>
      <c r="CI305" s="311">
        <f t="shared" si="130"/>
        <v>0</v>
      </c>
      <c r="CJ305" s="232">
        <f>IFERROR(VLOOKUP(CI305,'Rangos amb etnico'!$A$2:$C$6,3,9),"N.D.")</f>
        <v>0</v>
      </c>
      <c r="CK305" s="311">
        <f t="shared" si="131"/>
        <v>0</v>
      </c>
      <c r="CL305" s="10">
        <v>0</v>
      </c>
      <c r="CM305" s="255">
        <f t="shared" si="132"/>
        <v>0</v>
      </c>
      <c r="CN305" s="232">
        <f>IFERROR(VLOOKUP(CM305,'Rangos amb etnico'!$A$2:$C$6,3,9),"N.D.")</f>
        <v>0</v>
      </c>
      <c r="CO305" s="311">
        <f t="shared" si="133"/>
        <v>0</v>
      </c>
      <c r="CP305">
        <v>0.87885964587628296</v>
      </c>
      <c r="CQ305" t="s">
        <v>2864</v>
      </c>
      <c r="CR305">
        <f t="shared" si="124"/>
        <v>1</v>
      </c>
      <c r="CS305" t="str">
        <f t="shared" si="134"/>
        <v>No es Candidato</v>
      </c>
      <c r="CT305">
        <v>0</v>
      </c>
      <c r="CU305">
        <v>0</v>
      </c>
      <c r="CV305" s="25">
        <v>42.393989562988281</v>
      </c>
      <c r="CW305" s="25">
        <v>31.8642463684082</v>
      </c>
      <c r="CX305" s="25">
        <v>51.468421936035163</v>
      </c>
      <c r="CY305" s="25">
        <v>55.268436431884773</v>
      </c>
      <c r="CZ305" s="25">
        <v>7.0970792770385742</v>
      </c>
      <c r="DA305" s="25">
        <v>51.687141418457031</v>
      </c>
      <c r="DB305" s="25">
        <v>56.978622436523438</v>
      </c>
      <c r="DC305">
        <v>1826</v>
      </c>
      <c r="DD305" s="253" t="s">
        <v>380</v>
      </c>
    </row>
    <row r="306" spans="1:108" hidden="1">
      <c r="A306" s="13">
        <v>52036</v>
      </c>
      <c r="B306" s="13" t="s">
        <v>1071</v>
      </c>
      <c r="C306" s="13" t="s">
        <v>672</v>
      </c>
      <c r="D306" s="13" t="s">
        <v>673</v>
      </c>
      <c r="E306" s="13" t="s">
        <v>1072</v>
      </c>
      <c r="F306" s="14">
        <v>57.875866666666703</v>
      </c>
      <c r="G306" s="13">
        <v>27.44</v>
      </c>
      <c r="H306" s="13">
        <v>29.55</v>
      </c>
      <c r="I306" s="13">
        <v>59.62</v>
      </c>
      <c r="J306" s="14">
        <v>58.386914359301024</v>
      </c>
      <c r="K306" s="14">
        <v>41.96085109011787</v>
      </c>
      <c r="L306" s="14">
        <v>62.453593001270512</v>
      </c>
      <c r="M306" s="14">
        <v>63.522599999999997</v>
      </c>
      <c r="N306" s="14">
        <f t="shared" si="108"/>
        <v>43.621466666666677</v>
      </c>
      <c r="O306" s="14">
        <f t="shared" si="109"/>
        <v>56.580989612672354</v>
      </c>
      <c r="P306" s="14">
        <f t="shared" si="125"/>
        <v>50.101228139669516</v>
      </c>
      <c r="Q306" s="14">
        <v>49.019861517390453</v>
      </c>
      <c r="R306" s="17">
        <f t="shared" si="110"/>
        <v>50.980138482609547</v>
      </c>
      <c r="S306" s="14">
        <f t="shared" si="126"/>
        <v>0.55882124634348596</v>
      </c>
      <c r="T306" s="13">
        <v>0</v>
      </c>
      <c r="U306" s="13">
        <f t="shared" si="127"/>
        <v>27.997630752349448</v>
      </c>
      <c r="V306" s="13">
        <f>IF($T306=1,$AU306,(VLOOKUP(U306,'Cortes naturales'!$A$35:$C$39,3,9)))</f>
        <v>4</v>
      </c>
      <c r="W306" s="13">
        <v>4</v>
      </c>
      <c r="X306" s="14" t="b">
        <f t="shared" si="111"/>
        <v>1</v>
      </c>
      <c r="Y306" s="17">
        <f>IF($T306=1,$AU306,VLOOKUP(U306,'Cortes naturales'!$A$45:$C$49,3,9))</f>
        <v>4</v>
      </c>
      <c r="Z306" s="14">
        <v>49.340951922797927</v>
      </c>
      <c r="AA306" s="14">
        <v>0.57149044341308319</v>
      </c>
      <c r="AB306" s="14">
        <v>28.197882492783407</v>
      </c>
      <c r="AC306" s="13">
        <v>3</v>
      </c>
      <c r="AD306" s="13">
        <f t="shared" si="112"/>
        <v>-1</v>
      </c>
      <c r="AE306" s="14">
        <f t="shared" si="113"/>
        <v>0.76027621687158842</v>
      </c>
      <c r="AF306" s="14">
        <f t="shared" si="114"/>
        <v>-1.2669197069597238E-2</v>
      </c>
      <c r="AG306" s="13">
        <f t="shared" si="115"/>
        <v>-0.20025174043395921</v>
      </c>
      <c r="AH306" s="13">
        <f>IF($T306=1,$AU306,VLOOKUP(U306,'Cortes naturales'!$A$25:$C$29,3,9))</f>
        <v>3</v>
      </c>
      <c r="AI306" s="13" t="b">
        <f t="shared" si="116"/>
        <v>0</v>
      </c>
      <c r="AJ306" s="13" t="str">
        <f t="shared" si="117"/>
        <v>Cambio en corte</v>
      </c>
      <c r="AK306" s="28">
        <v>0.9741882058902549</v>
      </c>
      <c r="AL306" s="28">
        <v>48.067373430587836</v>
      </c>
      <c r="AM306" s="28">
        <v>0.43064616198724104</v>
      </c>
      <c r="AN306" s="13">
        <v>3</v>
      </c>
      <c r="AO306" s="33">
        <f t="shared" si="118"/>
        <v>-1</v>
      </c>
      <c r="AP306" s="13">
        <f t="shared" si="128"/>
        <v>43.064616198724103</v>
      </c>
      <c r="AQ306" s="13">
        <f>IFERROR(VLOOKUP(U306,'Cortes naturales'!$E$15:$G$19,3,9),U306)</f>
        <v>4</v>
      </c>
      <c r="AR306" s="28">
        <f t="shared" si="119"/>
        <v>-0.41536695954676894</v>
      </c>
      <c r="AS306" s="13" t="b">
        <f t="shared" si="120"/>
        <v>1</v>
      </c>
      <c r="AT306" s="13" t="str">
        <f t="shared" si="129"/>
        <v>Efecto ponderador</v>
      </c>
      <c r="AU306" s="13">
        <v>3</v>
      </c>
      <c r="AV306">
        <f t="shared" si="121"/>
        <v>-1</v>
      </c>
      <c r="AW306" s="13">
        <v>0</v>
      </c>
      <c r="AX306" s="13">
        <v>0</v>
      </c>
      <c r="AY306" s="13">
        <v>0</v>
      </c>
      <c r="AZ306" s="13">
        <v>0</v>
      </c>
      <c r="BA306">
        <v>0</v>
      </c>
      <c r="BB306" t="s">
        <v>2839</v>
      </c>
      <c r="BC306">
        <v>6</v>
      </c>
      <c r="BD306" t="s">
        <v>2919</v>
      </c>
      <c r="BE306">
        <v>0</v>
      </c>
      <c r="BF306" s="232" t="s">
        <v>2846</v>
      </c>
      <c r="BG306" s="232" t="s">
        <v>2845</v>
      </c>
      <c r="BH306" s="253">
        <v>22.2</v>
      </c>
      <c r="BI306" s="253">
        <v>10.800695094238739</v>
      </c>
      <c r="BJ306" s="25">
        <v>50.231905233716176</v>
      </c>
      <c r="BK306" t="s">
        <v>376</v>
      </c>
      <c r="BL306">
        <v>28.116604118234513</v>
      </c>
      <c r="BM306" t="s">
        <v>384</v>
      </c>
      <c r="BN306" s="322">
        <v>18835.907714000001</v>
      </c>
      <c r="BO306" s="322">
        <v>1343.906557</v>
      </c>
      <c r="BP306" s="10">
        <v>8823</v>
      </c>
      <c r="BQ306" s="254">
        <f t="shared" si="122"/>
        <v>2.1348642994446334</v>
      </c>
      <c r="BR306" s="254">
        <f t="shared" si="123"/>
        <v>0.15231854890626773</v>
      </c>
      <c r="BS306" s="25">
        <v>52.911579123892828</v>
      </c>
      <c r="BT306" s="25">
        <v>85.755780928255703</v>
      </c>
      <c r="BU306" s="25">
        <v>49.112353795105768</v>
      </c>
      <c r="BV306" s="25">
        <v>93.348695157708178</v>
      </c>
      <c r="BW306" s="25">
        <v>53.093638642587827</v>
      </c>
      <c r="BX306" s="25">
        <v>70.282102251240616</v>
      </c>
      <c r="BY306" s="25">
        <v>53.351292390413363</v>
      </c>
      <c r="BZ306">
        <v>70</v>
      </c>
      <c r="CA306">
        <v>0</v>
      </c>
      <c r="CB306">
        <v>7</v>
      </c>
      <c r="CC306">
        <v>6897.8111010000002</v>
      </c>
      <c r="CD306" s="10">
        <v>6.5870290000000002</v>
      </c>
      <c r="CE306" s="255">
        <v>9.5494482286490208E-4</v>
      </c>
      <c r="CF306">
        <f>IFERROR(VLOOKUP(CE306,'Rangos amb etnico'!$A$2:$C$6,3,9),"N.D.")</f>
        <v>0</v>
      </c>
      <c r="CG306" s="256">
        <v>1.9164150450417179E-7</v>
      </c>
      <c r="CH306" s="232">
        <v>0</v>
      </c>
      <c r="CI306" s="311">
        <f t="shared" si="130"/>
        <v>0</v>
      </c>
      <c r="CJ306" s="232">
        <f>IFERROR(VLOOKUP(CI306,'Rangos amb etnico'!$A$2:$C$6,3,9),"N.D.")</f>
        <v>0</v>
      </c>
      <c r="CK306" s="311">
        <f t="shared" si="131"/>
        <v>0</v>
      </c>
      <c r="CL306" s="10">
        <v>0</v>
      </c>
      <c r="CM306" s="255">
        <f t="shared" si="132"/>
        <v>0</v>
      </c>
      <c r="CN306" s="232">
        <f>IFERROR(VLOOKUP(CM306,'Rangos amb etnico'!$A$2:$C$6,3,9),"N.D.")</f>
        <v>0</v>
      </c>
      <c r="CO306" s="311">
        <f t="shared" si="133"/>
        <v>0</v>
      </c>
      <c r="CP306">
        <v>0.92798396539445083</v>
      </c>
      <c r="CQ306" t="s">
        <v>2864</v>
      </c>
      <c r="CR306">
        <f t="shared" si="124"/>
        <v>2</v>
      </c>
      <c r="CS306" t="str">
        <f t="shared" si="134"/>
        <v>No es Candidato</v>
      </c>
      <c r="CT306">
        <v>0</v>
      </c>
      <c r="CU306">
        <v>0</v>
      </c>
      <c r="CV306" s="25">
        <v>51.305290222167969</v>
      </c>
      <c r="CW306" s="25">
        <v>26.96639442443848</v>
      </c>
      <c r="CX306" s="25">
        <v>47.013694763183587</v>
      </c>
      <c r="CY306" s="25">
        <v>66.056068420410156</v>
      </c>
      <c r="CZ306" s="25">
        <v>50.262592315673828</v>
      </c>
      <c r="DA306" s="25">
        <v>69.620529174804688</v>
      </c>
      <c r="DB306" s="25">
        <v>47.912456512451172</v>
      </c>
      <c r="DC306">
        <v>127</v>
      </c>
      <c r="DD306" s="253" t="s">
        <v>380</v>
      </c>
    </row>
    <row r="307" spans="1:108" hidden="1">
      <c r="A307" s="13">
        <v>8606</v>
      </c>
      <c r="B307" s="13" t="s">
        <v>1073</v>
      </c>
      <c r="C307" s="13" t="s">
        <v>442</v>
      </c>
      <c r="D307" s="13" t="s">
        <v>443</v>
      </c>
      <c r="E307" s="13" t="s">
        <v>1074</v>
      </c>
      <c r="F307" s="14">
        <v>53.815166666666698</v>
      </c>
      <c r="G307" s="13">
        <v>26.38</v>
      </c>
      <c r="H307" s="13">
        <v>34.9</v>
      </c>
      <c r="I307" s="13">
        <v>49.43</v>
      </c>
      <c r="J307" s="14">
        <v>39.712173074632332</v>
      </c>
      <c r="K307" s="14">
        <v>46.358902105358915</v>
      </c>
      <c r="L307" s="14">
        <v>50.235180460617855</v>
      </c>
      <c r="M307" s="14">
        <v>53.614199999999997</v>
      </c>
      <c r="N307" s="14">
        <f t="shared" si="108"/>
        <v>41.131291666666677</v>
      </c>
      <c r="O307" s="14">
        <f t="shared" si="109"/>
        <v>47.480113910152269</v>
      </c>
      <c r="P307" s="14">
        <f t="shared" si="125"/>
        <v>44.305702788409477</v>
      </c>
      <c r="Q307" s="14">
        <v>48.540718071413217</v>
      </c>
      <c r="R307" s="17">
        <f t="shared" si="110"/>
        <v>51.459281928586783</v>
      </c>
      <c r="S307" s="14">
        <f t="shared" si="126"/>
        <v>0.56313353735728111</v>
      </c>
      <c r="T307" s="13">
        <v>0</v>
      </c>
      <c r="U307" s="13">
        <f t="shared" si="127"/>
        <v>24.950027136337383</v>
      </c>
      <c r="V307" s="13">
        <f>IF($T307=1,$AU307,(VLOOKUP(U307,'Cortes naturales'!$A$35:$C$39,3,9)))</f>
        <v>4</v>
      </c>
      <c r="W307" s="13">
        <v>4</v>
      </c>
      <c r="X307" s="14" t="b">
        <f t="shared" si="111"/>
        <v>1</v>
      </c>
      <c r="Y307" s="17">
        <f>IF($T307=1,$AU307,VLOOKUP(U307,'Cortes naturales'!$A$45:$C$49,3,9))</f>
        <v>4</v>
      </c>
      <c r="Z307" s="14">
        <v>41.405705621389828</v>
      </c>
      <c r="AA307" s="14">
        <v>0.57073413985608756</v>
      </c>
      <c r="AB307" s="14">
        <v>23.631649782958291</v>
      </c>
      <c r="AC307" s="13">
        <v>4</v>
      </c>
      <c r="AD307" s="13">
        <f t="shared" si="112"/>
        <v>0</v>
      </c>
      <c r="AE307" s="14">
        <f t="shared" si="113"/>
        <v>2.8999971670196487</v>
      </c>
      <c r="AF307" s="14">
        <f t="shared" si="114"/>
        <v>-7.6006024988064524E-3</v>
      </c>
      <c r="AG307" s="13">
        <f t="shared" si="115"/>
        <v>1.3183773533790912</v>
      </c>
      <c r="AH307" s="13">
        <f>IF($T307=1,$AU307,VLOOKUP(U307,'Cortes naturales'!$A$25:$C$29,3,9))</f>
        <v>4</v>
      </c>
      <c r="AI307" s="13" t="b">
        <f t="shared" si="116"/>
        <v>1</v>
      </c>
      <c r="AJ307" s="13">
        <f t="shared" si="117"/>
        <v>0</v>
      </c>
      <c r="AK307" s="28">
        <v>0.9741882058902549</v>
      </c>
      <c r="AL307" s="28">
        <v>40.336950072921795</v>
      </c>
      <c r="AM307" s="28">
        <v>0.33394671441714052</v>
      </c>
      <c r="AN307" s="13">
        <v>4</v>
      </c>
      <c r="AO307" s="33">
        <f t="shared" si="118"/>
        <v>0</v>
      </c>
      <c r="AP307" s="13">
        <f t="shared" si="128"/>
        <v>33.394671441714053</v>
      </c>
      <c r="AQ307" s="13">
        <f>IFERROR(VLOOKUP(U307,'Cortes naturales'!$E$15:$G$19,3,9),U307)</f>
        <v>4</v>
      </c>
      <c r="AR307" s="28">
        <f t="shared" si="119"/>
        <v>-0.41105466853297379</v>
      </c>
      <c r="AS307" s="13" t="b">
        <f t="shared" si="120"/>
        <v>1</v>
      </c>
      <c r="AT307" s="13">
        <f t="shared" si="129"/>
        <v>0</v>
      </c>
      <c r="AU307" s="13">
        <v>3</v>
      </c>
      <c r="AV307">
        <f t="shared" si="121"/>
        <v>-1</v>
      </c>
      <c r="AW307" s="13">
        <v>0</v>
      </c>
      <c r="AX307" s="13">
        <v>0</v>
      </c>
      <c r="AY307" s="13">
        <v>0</v>
      </c>
      <c r="AZ307" s="13">
        <v>0</v>
      </c>
      <c r="BA307">
        <v>0</v>
      </c>
      <c r="BB307" t="s">
        <v>2839</v>
      </c>
      <c r="BC307">
        <v>6</v>
      </c>
      <c r="BD307" t="s">
        <v>2919</v>
      </c>
      <c r="BE307">
        <v>1</v>
      </c>
      <c r="BF307" s="232" t="s">
        <v>2846</v>
      </c>
      <c r="BG307" s="232" t="s">
        <v>2846</v>
      </c>
      <c r="BH307" s="253">
        <v>54.6</v>
      </c>
      <c r="BI307" s="253">
        <v>29.532335964188949</v>
      </c>
      <c r="BJ307" s="25">
        <v>2.0968598605695381</v>
      </c>
      <c r="BK307" t="s">
        <v>381</v>
      </c>
      <c r="BL307">
        <v>0.8223520919350743</v>
      </c>
      <c r="BM307" t="s">
        <v>383</v>
      </c>
      <c r="BN307" s="322">
        <v>53193.415489999999</v>
      </c>
      <c r="BO307" s="322">
        <v>6042.9012339999999</v>
      </c>
      <c r="BP307" s="10">
        <v>29894</v>
      </c>
      <c r="BQ307" s="254">
        <f t="shared" si="122"/>
        <v>1.7794010667692512</v>
      </c>
      <c r="BR307" s="254">
        <f t="shared" si="123"/>
        <v>0.20214428427109118</v>
      </c>
      <c r="BS307" s="25">
        <v>62.89135218407619</v>
      </c>
      <c r="BT307" s="25">
        <v>90.901654851066368</v>
      </c>
      <c r="BU307" s="25">
        <v>46.986069014585532</v>
      </c>
      <c r="BV307" s="25">
        <v>89.930892919301485</v>
      </c>
      <c r="BW307" s="25">
        <v>56.345899499671333</v>
      </c>
      <c r="BX307" s="25">
        <v>72.677492242257387</v>
      </c>
      <c r="BY307" s="25">
        <v>56.912499732621171</v>
      </c>
      <c r="BZ307">
        <v>77</v>
      </c>
      <c r="CA307">
        <v>0</v>
      </c>
      <c r="CB307">
        <v>7</v>
      </c>
      <c r="CC307">
        <v>35834.406061000002</v>
      </c>
      <c r="CD307" s="10">
        <v>4378.1628090000004</v>
      </c>
      <c r="CE307" s="255">
        <v>0.12217763011188645</v>
      </c>
      <c r="CF307" t="str">
        <f>IFERROR(VLOOKUP(CE307,'Rangos amb etnico'!$A$2:$C$6,3,9),"N.D.")</f>
        <v>0,1% - 30%</v>
      </c>
      <c r="CG307" s="256">
        <v>1.2737726032191008E-4</v>
      </c>
      <c r="CH307" s="232">
        <v>315.716296</v>
      </c>
      <c r="CI307" s="311">
        <f t="shared" si="130"/>
        <v>8.8104235762290622E-3</v>
      </c>
      <c r="CJ307" s="232" t="str">
        <f>IFERROR(VLOOKUP(CI307,'Rangos amb etnico'!$A$2:$C$6,3,9),"N.D.")</f>
        <v>0,1% - 30%</v>
      </c>
      <c r="CK307" s="311">
        <f t="shared" si="131"/>
        <v>1.2536004009085612E-5</v>
      </c>
      <c r="CL307" s="10">
        <v>0</v>
      </c>
      <c r="CM307" s="255">
        <f t="shared" si="132"/>
        <v>0</v>
      </c>
      <c r="CN307" s="232">
        <f>IFERROR(VLOOKUP(CM307,'Rangos amb etnico'!$A$2:$C$6,3,9),"N.D.")</f>
        <v>0</v>
      </c>
      <c r="CO307" s="311">
        <f t="shared" si="133"/>
        <v>0</v>
      </c>
      <c r="CP307">
        <v>0.95511778404356273</v>
      </c>
      <c r="CQ307" t="s">
        <v>2864</v>
      </c>
      <c r="CR307">
        <f t="shared" si="124"/>
        <v>1</v>
      </c>
      <c r="CS307" t="str">
        <f t="shared" si="134"/>
        <v>No es Candidato</v>
      </c>
      <c r="CT307">
        <v>0</v>
      </c>
      <c r="CU307">
        <v>0</v>
      </c>
      <c r="CV307" s="25">
        <v>48.853656768798828</v>
      </c>
      <c r="CW307" s="25">
        <v>27.343290328979489</v>
      </c>
      <c r="CX307" s="25">
        <v>57.672698974609382</v>
      </c>
      <c r="CY307" s="25">
        <v>53.014949798583977</v>
      </c>
      <c r="CZ307" s="25">
        <v>32.245433807373047</v>
      </c>
      <c r="DA307" s="25">
        <v>63.633918762207031</v>
      </c>
      <c r="DB307" s="25">
        <v>59.211650848388672</v>
      </c>
      <c r="DC307">
        <v>22719</v>
      </c>
      <c r="DD307" s="253" t="s">
        <v>380</v>
      </c>
    </row>
    <row r="308" spans="1:108">
      <c r="A308" s="13">
        <v>5209</v>
      </c>
      <c r="B308" s="13" t="s">
        <v>1075</v>
      </c>
      <c r="C308" s="13" t="s">
        <v>435</v>
      </c>
      <c r="D308" s="13" t="s">
        <v>436</v>
      </c>
      <c r="E308" s="13" t="s">
        <v>1076</v>
      </c>
      <c r="F308" s="14">
        <v>67.549633333333304</v>
      </c>
      <c r="G308" s="13">
        <v>65.56</v>
      </c>
      <c r="H308" s="13">
        <v>65.47</v>
      </c>
      <c r="I308" s="13">
        <v>74.55</v>
      </c>
      <c r="J308" s="14">
        <v>40.817729292811926</v>
      </c>
      <c r="K308" s="14">
        <v>45.642947356700027</v>
      </c>
      <c r="L308" s="14">
        <v>54.756986592024937</v>
      </c>
      <c r="M308" s="14">
        <v>46.758200000000002</v>
      </c>
      <c r="N308" s="14">
        <f t="shared" si="108"/>
        <v>68.282408333333322</v>
      </c>
      <c r="O308" s="14">
        <f t="shared" si="109"/>
        <v>46.993965810384225</v>
      </c>
      <c r="P308" s="14">
        <f t="shared" si="125"/>
        <v>57.638187071858773</v>
      </c>
      <c r="Q308" s="14">
        <v>48.309158543355409</v>
      </c>
      <c r="R308" s="17">
        <f t="shared" si="110"/>
        <v>51.690841456644591</v>
      </c>
      <c r="S308" s="14">
        <f t="shared" si="126"/>
        <v>0.56521757310980125</v>
      </c>
      <c r="T308" s="13">
        <v>0</v>
      </c>
      <c r="U308" s="13">
        <f t="shared" si="127"/>
        <v>32.578116215204737</v>
      </c>
      <c r="V308" s="13">
        <f>IF($T308=1,$AU308,(VLOOKUP(U308,'Cortes naturales'!$A$35:$C$39,3,9)))</f>
        <v>3</v>
      </c>
      <c r="W308" s="13">
        <v>3</v>
      </c>
      <c r="X308" s="14" t="b">
        <f t="shared" si="111"/>
        <v>1</v>
      </c>
      <c r="Y308" s="17">
        <f>IF($T308=1,$AU308,VLOOKUP(U308,'Cortes naturales'!$A$45:$C$49,3,9))</f>
        <v>3</v>
      </c>
      <c r="Z308" s="14">
        <v>56.894294018872039</v>
      </c>
      <c r="AA308" s="14">
        <v>0.57124544915183162</v>
      </c>
      <c r="AB308" s="14">
        <v>32.500606540986922</v>
      </c>
      <c r="AC308" s="13">
        <v>3</v>
      </c>
      <c r="AD308" s="13">
        <f t="shared" si="112"/>
        <v>0</v>
      </c>
      <c r="AE308" s="14">
        <f t="shared" si="113"/>
        <v>0.74389305298673492</v>
      </c>
      <c r="AF308" s="14">
        <f t="shared" si="114"/>
        <v>-6.0278760420303668E-3</v>
      </c>
      <c r="AG308" s="13">
        <f t="shared" si="115"/>
        <v>7.7509674217814961E-2</v>
      </c>
      <c r="AH308" s="13">
        <f>IF($T308=1,$AU308,VLOOKUP(U308,'Cortes naturales'!$A$25:$C$29,3,9))</f>
        <v>3</v>
      </c>
      <c r="AI308" s="13" t="b">
        <f t="shared" si="116"/>
        <v>1</v>
      </c>
      <c r="AJ308" s="13">
        <f t="shared" si="117"/>
        <v>0</v>
      </c>
      <c r="AK308" s="28">
        <v>0.9741882058902549</v>
      </c>
      <c r="AL308" s="28">
        <v>55.425750215637613</v>
      </c>
      <c r="AM308" s="28">
        <v>0.52269169910796565</v>
      </c>
      <c r="AN308" s="13">
        <v>2</v>
      </c>
      <c r="AO308" s="33">
        <f t="shared" si="118"/>
        <v>-1</v>
      </c>
      <c r="AP308" s="13">
        <f t="shared" si="128"/>
        <v>52.269169910796563</v>
      </c>
      <c r="AQ308" s="13">
        <f>IFERROR(VLOOKUP(U308,'Cortes naturales'!$E$15:$G$19,3,9),U308)</f>
        <v>4</v>
      </c>
      <c r="AR308" s="28">
        <f t="shared" si="119"/>
        <v>-0.40897063278045365</v>
      </c>
      <c r="AS308" s="13" t="b">
        <f t="shared" si="120"/>
        <v>0</v>
      </c>
      <c r="AT308" s="13" t="str">
        <f t="shared" si="129"/>
        <v>Cambio en corte</v>
      </c>
      <c r="AU308" s="13">
        <v>2</v>
      </c>
      <c r="AV308">
        <f t="shared" si="121"/>
        <v>-1</v>
      </c>
      <c r="AW308" s="13">
        <v>0</v>
      </c>
      <c r="AX308" s="13">
        <v>0</v>
      </c>
      <c r="AY308" s="13">
        <v>0</v>
      </c>
      <c r="AZ308" s="13">
        <v>0</v>
      </c>
      <c r="BA308">
        <v>0</v>
      </c>
      <c r="BB308" t="s">
        <v>2839</v>
      </c>
      <c r="BC308">
        <v>6</v>
      </c>
      <c r="BD308" t="s">
        <v>2919</v>
      </c>
      <c r="BE308">
        <v>1</v>
      </c>
      <c r="BF308" s="232" t="s">
        <v>2846</v>
      </c>
      <c r="BG308" s="232" t="s">
        <v>2845</v>
      </c>
      <c r="BH308" s="253">
        <v>48.5</v>
      </c>
      <c r="BI308" s="253">
        <v>18.539500715931023</v>
      </c>
      <c r="BJ308" s="25">
        <v>0.57540540540540552</v>
      </c>
      <c r="BK308" t="s">
        <v>381</v>
      </c>
      <c r="BL308">
        <v>7.5257246782559459</v>
      </c>
      <c r="BM308" t="s">
        <v>379</v>
      </c>
      <c r="BN308" s="322">
        <v>47428.492294000003</v>
      </c>
      <c r="BO308" s="322">
        <v>6412.56167</v>
      </c>
      <c r="BP308" s="10">
        <v>22182</v>
      </c>
      <c r="BQ308" s="254">
        <f t="shared" si="122"/>
        <v>2.1381522087277975</v>
      </c>
      <c r="BR308" s="254">
        <f t="shared" si="123"/>
        <v>0.28908852538093949</v>
      </c>
      <c r="BS308" s="25">
        <v>52.094876828332772</v>
      </c>
      <c r="BT308" s="25">
        <v>82.927314631683359</v>
      </c>
      <c r="BU308" s="25">
        <v>46.610653459898202</v>
      </c>
      <c r="BV308" s="25">
        <v>86.291510772238055</v>
      </c>
      <c r="BW308" s="25">
        <v>63.432052451182699</v>
      </c>
      <c r="BX308" s="25">
        <v>66.981088923038101</v>
      </c>
      <c r="BY308" s="25">
        <v>64.2832607460943</v>
      </c>
      <c r="BZ308">
        <v>83</v>
      </c>
      <c r="CA308">
        <v>0</v>
      </c>
      <c r="CB308">
        <v>6</v>
      </c>
      <c r="CC308">
        <v>24788.694582</v>
      </c>
      <c r="CD308" s="10">
        <v>1102.3835630000001</v>
      </c>
      <c r="CE308" s="255">
        <v>4.447122293404196E-2</v>
      </c>
      <c r="CF308" t="str">
        <f>IFERROR(VLOOKUP(CE308,'Rangos amb etnico'!$A$2:$C$6,3,9),"N.D.")</f>
        <v>0,1% - 30%</v>
      </c>
      <c r="CG308" s="256">
        <v>3.2072493464654468E-5</v>
      </c>
      <c r="CH308" s="232">
        <v>0</v>
      </c>
      <c r="CI308" s="311">
        <f t="shared" si="130"/>
        <v>0</v>
      </c>
      <c r="CJ308" s="232">
        <f>IFERROR(VLOOKUP(CI308,'Rangos amb etnico'!$A$2:$C$6,3,9),"N.D.")</f>
        <v>0</v>
      </c>
      <c r="CK308" s="311">
        <f t="shared" si="131"/>
        <v>0</v>
      </c>
      <c r="CL308" s="10">
        <v>0</v>
      </c>
      <c r="CM308" s="255">
        <f t="shared" si="132"/>
        <v>0</v>
      </c>
      <c r="CN308" s="232">
        <f>IFERROR(VLOOKUP(CM308,'Rangos amb etnico'!$A$2:$C$6,3,9),"N.D.")</f>
        <v>0</v>
      </c>
      <c r="CO308" s="311">
        <f t="shared" si="133"/>
        <v>0</v>
      </c>
      <c r="CP308">
        <v>0.92645023395656434</v>
      </c>
      <c r="CQ308" t="s">
        <v>2864</v>
      </c>
      <c r="CR308">
        <f t="shared" si="124"/>
        <v>3</v>
      </c>
      <c r="CS308" t="str">
        <f t="shared" si="134"/>
        <v>Candidato</v>
      </c>
      <c r="CT308">
        <v>0</v>
      </c>
      <c r="CU308">
        <v>0</v>
      </c>
      <c r="CV308" s="25">
        <v>45.170772552490227</v>
      </c>
      <c r="CW308" s="25">
        <v>25.72065353393555</v>
      </c>
      <c r="CX308" s="25">
        <v>33.708545684814453</v>
      </c>
      <c r="CY308" s="25">
        <v>66.014144897460938</v>
      </c>
      <c r="CZ308" s="25">
        <v>37.457992553710938</v>
      </c>
      <c r="DA308" s="25">
        <v>59.015853881835938</v>
      </c>
      <c r="DB308" s="25">
        <v>49.107448577880859</v>
      </c>
      <c r="DC308">
        <v>320</v>
      </c>
      <c r="DD308" s="253" t="s">
        <v>380</v>
      </c>
    </row>
    <row r="309" spans="1:108" hidden="1">
      <c r="A309" s="13">
        <v>25328</v>
      </c>
      <c r="B309" s="13" t="s">
        <v>1077</v>
      </c>
      <c r="C309" s="13" t="s">
        <v>461</v>
      </c>
      <c r="D309" s="13" t="s">
        <v>462</v>
      </c>
      <c r="E309" s="13" t="s">
        <v>1078</v>
      </c>
      <c r="F309" s="14">
        <v>63.3046333333333</v>
      </c>
      <c r="G309" s="13">
        <v>66.42</v>
      </c>
      <c r="H309" s="13">
        <v>62.02</v>
      </c>
      <c r="I309" s="13">
        <v>69.739999999999995</v>
      </c>
      <c r="J309" s="14">
        <v>67.895948610165604</v>
      </c>
      <c r="K309" s="14">
        <v>58.880807903162612</v>
      </c>
      <c r="L309" s="14">
        <v>65.604145749694752</v>
      </c>
      <c r="M309" s="14">
        <v>51.347200000000001</v>
      </c>
      <c r="N309" s="14">
        <f t="shared" si="108"/>
        <v>65.371158333333327</v>
      </c>
      <c r="O309" s="14">
        <f t="shared" si="109"/>
        <v>60.932025565755737</v>
      </c>
      <c r="P309" s="14">
        <f t="shared" si="125"/>
        <v>63.151591949544532</v>
      </c>
      <c r="Q309" s="14">
        <v>49.238234353750308</v>
      </c>
      <c r="R309" s="17">
        <f t="shared" si="110"/>
        <v>50.761765646249692</v>
      </c>
      <c r="S309" s="14">
        <f t="shared" si="126"/>
        <v>0.5568558908162472</v>
      </c>
      <c r="T309" s="13">
        <v>0</v>
      </c>
      <c r="U309" s="13">
        <f t="shared" si="127"/>
        <v>35.166335991527767</v>
      </c>
      <c r="V309" s="13">
        <f>IF($T309=1,$AU309,(VLOOKUP(U309,'Cortes naturales'!$A$35:$C$39,3,9)))</f>
        <v>3</v>
      </c>
      <c r="W309" s="13">
        <v>3</v>
      </c>
      <c r="X309" s="14" t="b">
        <f t="shared" si="111"/>
        <v>1</v>
      </c>
      <c r="Y309" s="17">
        <f>IF($T309=1,$AU309,VLOOKUP(U309,'Cortes naturales'!$A$45:$C$49,3,9))</f>
        <v>3</v>
      </c>
      <c r="Z309" s="14">
        <v>63.189956343955323</v>
      </c>
      <c r="AA309" s="14">
        <v>0.56839026701988149</v>
      </c>
      <c r="AB309" s="14">
        <v>35.916556159315419</v>
      </c>
      <c r="AC309" s="13">
        <v>2</v>
      </c>
      <c r="AD309" s="13">
        <f t="shared" si="112"/>
        <v>-1</v>
      </c>
      <c r="AE309" s="14">
        <f t="shared" si="113"/>
        <v>-3.8364394410791647E-2</v>
      </c>
      <c r="AF309" s="14">
        <f t="shared" si="114"/>
        <v>-1.1534376203634289E-2</v>
      </c>
      <c r="AG309" s="13">
        <f t="shared" si="115"/>
        <v>-0.75022016778765277</v>
      </c>
      <c r="AH309" s="13">
        <f>IF($T309=1,$AU309,VLOOKUP(U309,'Cortes naturales'!$A$25:$C$29,3,9))</f>
        <v>2</v>
      </c>
      <c r="AI309" s="13" t="b">
        <f t="shared" si="116"/>
        <v>0</v>
      </c>
      <c r="AJ309" s="13" t="str">
        <f t="shared" si="117"/>
        <v>Cambio en corte</v>
      </c>
      <c r="AK309" s="28">
        <v>0.81759069605862034</v>
      </c>
      <c r="AL309" s="28">
        <v>51.663520391168262</v>
      </c>
      <c r="AM309" s="28">
        <v>0.47563016976789824</v>
      </c>
      <c r="AN309" s="13">
        <v>3</v>
      </c>
      <c r="AO309" s="33">
        <f t="shared" si="118"/>
        <v>0</v>
      </c>
      <c r="AP309" s="13">
        <f t="shared" si="128"/>
        <v>47.563016976789825</v>
      </c>
      <c r="AQ309" s="13">
        <f>IFERROR(VLOOKUP(U309,'Cortes naturales'!$E$15:$G$19,3,9),U309)</f>
        <v>4</v>
      </c>
      <c r="AR309" s="28">
        <f t="shared" si="119"/>
        <v>-0.26073480524237314</v>
      </c>
      <c r="AS309" s="13" t="b">
        <f t="shared" si="120"/>
        <v>0</v>
      </c>
      <c r="AT309" s="13">
        <f t="shared" si="129"/>
        <v>0</v>
      </c>
      <c r="AU309" s="13">
        <v>2</v>
      </c>
      <c r="AV309">
        <f t="shared" si="121"/>
        <v>-1</v>
      </c>
      <c r="AW309" s="13">
        <v>0</v>
      </c>
      <c r="AX309" s="13">
        <v>0</v>
      </c>
      <c r="AY309" s="13">
        <v>0</v>
      </c>
      <c r="AZ309" s="13">
        <v>0</v>
      </c>
      <c r="BA309">
        <v>1</v>
      </c>
      <c r="BB309" t="s">
        <v>2839</v>
      </c>
      <c r="BC309">
        <v>6</v>
      </c>
      <c r="BD309" t="s">
        <v>2919</v>
      </c>
      <c r="BE309">
        <v>0</v>
      </c>
      <c r="BF309" s="232" t="s">
        <v>2846</v>
      </c>
      <c r="BG309" s="232" t="s">
        <v>2846</v>
      </c>
      <c r="BH309" s="253">
        <v>29.4</v>
      </c>
      <c r="BI309" s="253">
        <v>10.321864594894562</v>
      </c>
      <c r="BJ309" s="25">
        <v>0.70725548060708265</v>
      </c>
      <c r="BK309" t="s">
        <v>381</v>
      </c>
      <c r="BL309">
        <v>1.6524273224894241</v>
      </c>
      <c r="BM309" t="s">
        <v>383</v>
      </c>
      <c r="BN309" s="322">
        <v>11414.947917</v>
      </c>
      <c r="BO309" s="322">
        <v>1566.2980279999999</v>
      </c>
      <c r="BP309" s="10">
        <v>5062</v>
      </c>
      <c r="BQ309" s="254">
        <f t="shared" si="122"/>
        <v>2.2550272455551164</v>
      </c>
      <c r="BR309" s="254">
        <f t="shared" si="123"/>
        <v>0.3094227633346503</v>
      </c>
      <c r="BS309" s="25">
        <v>60.594972063060709</v>
      </c>
      <c r="BT309" s="25">
        <v>69.268091609377066</v>
      </c>
      <c r="BU309" s="25">
        <v>36.067513521866772</v>
      </c>
      <c r="BV309" s="25">
        <v>83.494707444157598</v>
      </c>
      <c r="BW309" s="25">
        <v>55.680409277145927</v>
      </c>
      <c r="BX309" s="25">
        <v>62.356321159615533</v>
      </c>
      <c r="BY309" s="25">
        <v>56.163372709601951</v>
      </c>
      <c r="BZ309">
        <v>59</v>
      </c>
      <c r="CA309">
        <v>0</v>
      </c>
      <c r="CB309">
        <v>7</v>
      </c>
      <c r="CC309">
        <v>6183.9740259999999</v>
      </c>
      <c r="CD309" s="10">
        <v>3290.0013739999999</v>
      </c>
      <c r="CE309" s="255">
        <v>0.53202056803076225</v>
      </c>
      <c r="CF309" t="str">
        <f>IFERROR(VLOOKUP(CE309,'Rangos amb etnico'!$A$2:$C$6,3,9),"N.D.")</f>
        <v>51% - 70%</v>
      </c>
      <c r="CG309" s="256">
        <v>9.5718542173436972E-5</v>
      </c>
      <c r="CH309" s="232">
        <v>0</v>
      </c>
      <c r="CI309" s="311">
        <f t="shared" si="130"/>
        <v>0</v>
      </c>
      <c r="CJ309" s="232">
        <f>IFERROR(VLOOKUP(CI309,'Rangos amb etnico'!$A$2:$C$6,3,9),"N.D.")</f>
        <v>0</v>
      </c>
      <c r="CK309" s="311">
        <f t="shared" si="131"/>
        <v>0</v>
      </c>
      <c r="CL309" s="10">
        <v>0</v>
      </c>
      <c r="CM309" s="255">
        <f t="shared" si="132"/>
        <v>0</v>
      </c>
      <c r="CN309" s="232">
        <f>IFERROR(VLOOKUP(CM309,'Rangos amb etnico'!$A$2:$C$6,3,9),"N.D.")</f>
        <v>0</v>
      </c>
      <c r="CO309" s="311">
        <f t="shared" si="133"/>
        <v>0</v>
      </c>
      <c r="CP309">
        <v>0.9670146581070721</v>
      </c>
      <c r="CQ309" t="s">
        <v>2864</v>
      </c>
      <c r="CR309">
        <f t="shared" si="124"/>
        <v>2</v>
      </c>
      <c r="CS309" t="str">
        <f t="shared" si="134"/>
        <v>No es Candidato</v>
      </c>
      <c r="CT309">
        <v>0</v>
      </c>
      <c r="CU309">
        <v>0</v>
      </c>
      <c r="CV309" s="25">
        <v>50.392265319824219</v>
      </c>
      <c r="CW309" s="25">
        <v>25.06410980224609</v>
      </c>
      <c r="CX309" s="25">
        <v>47.77777099609375</v>
      </c>
      <c r="CY309" s="25">
        <v>80.365348815917969</v>
      </c>
      <c r="CZ309" s="25">
        <v>47.065544128417969</v>
      </c>
      <c r="DA309" s="25">
        <v>48.950222015380859</v>
      </c>
      <c r="DB309" s="25">
        <v>53.130596160888672</v>
      </c>
      <c r="DC309">
        <v>25</v>
      </c>
      <c r="DD309" s="253" t="s">
        <v>380</v>
      </c>
    </row>
    <row r="310" spans="1:108" hidden="1">
      <c r="A310" s="13">
        <v>66383</v>
      </c>
      <c r="B310" s="13" t="s">
        <v>1079</v>
      </c>
      <c r="C310" s="13" t="s">
        <v>467</v>
      </c>
      <c r="D310" s="13" t="s">
        <v>468</v>
      </c>
      <c r="E310" s="13" t="s">
        <v>1080</v>
      </c>
      <c r="F310" s="14">
        <v>54.124233333333301</v>
      </c>
      <c r="G310" s="13">
        <v>58.22</v>
      </c>
      <c r="H310" s="13">
        <v>53.14</v>
      </c>
      <c r="I310" s="13">
        <v>54.07</v>
      </c>
      <c r="J310" s="14">
        <v>52.990977884702296</v>
      </c>
      <c r="K310" s="14">
        <v>62.569126143334998</v>
      </c>
      <c r="L310" s="14">
        <v>58.196904263269147</v>
      </c>
      <c r="M310" s="14">
        <v>52.644399999999997</v>
      </c>
      <c r="N310" s="14">
        <f t="shared" si="108"/>
        <v>54.888558333333322</v>
      </c>
      <c r="O310" s="14">
        <f t="shared" si="109"/>
        <v>56.60035207282661</v>
      </c>
      <c r="P310" s="14">
        <f t="shared" si="125"/>
        <v>55.744455203079966</v>
      </c>
      <c r="Q310" s="14">
        <v>49.174681661279493</v>
      </c>
      <c r="R310" s="17">
        <f t="shared" si="110"/>
        <v>50.825318338720507</v>
      </c>
      <c r="S310" s="14">
        <f t="shared" si="126"/>
        <v>0.55742786504848452</v>
      </c>
      <c r="T310" s="13">
        <v>0</v>
      </c>
      <c r="U310" s="13">
        <f t="shared" si="127"/>
        <v>31.073512652143748</v>
      </c>
      <c r="V310" s="13">
        <f>IF($T310=1,$AU310,(VLOOKUP(U310,'Cortes naturales'!$A$35:$C$39,3,9)))</f>
        <v>3</v>
      </c>
      <c r="W310" s="13">
        <v>3</v>
      </c>
      <c r="X310" s="14" t="b">
        <f t="shared" si="111"/>
        <v>1</v>
      </c>
      <c r="Y310" s="17">
        <f>IF($T310=1,$AU310,VLOOKUP(U310,'Cortes naturales'!$A$45:$C$49,3,9))</f>
        <v>3</v>
      </c>
      <c r="Z310" s="14">
        <v>54.772385708099492</v>
      </c>
      <c r="AA310" s="14">
        <v>0.56942683677489792</v>
      </c>
      <c r="AB310" s="14">
        <v>31.188866336377721</v>
      </c>
      <c r="AC310" s="13">
        <v>3</v>
      </c>
      <c r="AD310" s="13">
        <f t="shared" si="112"/>
        <v>0</v>
      </c>
      <c r="AE310" s="14">
        <f t="shared" si="113"/>
        <v>0.97206949498047379</v>
      </c>
      <c r="AF310" s="14">
        <f t="shared" si="114"/>
        <v>-1.1998971726413399E-2</v>
      </c>
      <c r="AG310" s="13">
        <f t="shared" si="115"/>
        <v>-0.1153536842339733</v>
      </c>
      <c r="AH310" s="13">
        <f>IF($T310=1,$AU310,VLOOKUP(U310,'Cortes naturales'!$A$25:$C$29,3,9))</f>
        <v>3</v>
      </c>
      <c r="AI310" s="13" t="b">
        <f t="shared" si="116"/>
        <v>1</v>
      </c>
      <c r="AJ310" s="13">
        <f t="shared" si="117"/>
        <v>0</v>
      </c>
      <c r="AK310" s="28">
        <v>0.9741882058902549</v>
      </c>
      <c r="AL310" s="28">
        <v>53.358612165302482</v>
      </c>
      <c r="AM310" s="28">
        <v>0.49683398106716575</v>
      </c>
      <c r="AN310" s="13">
        <v>2</v>
      </c>
      <c r="AO310" s="33">
        <f t="shared" si="118"/>
        <v>-1</v>
      </c>
      <c r="AP310" s="13">
        <f t="shared" si="128"/>
        <v>49.683398106716574</v>
      </c>
      <c r="AQ310" s="13">
        <f>IFERROR(VLOOKUP(U310,'Cortes naturales'!$E$15:$G$19,3,9),U310)</f>
        <v>4</v>
      </c>
      <c r="AR310" s="28">
        <f t="shared" si="119"/>
        <v>-0.41676034084177038</v>
      </c>
      <c r="AS310" s="13" t="b">
        <f t="shared" si="120"/>
        <v>0</v>
      </c>
      <c r="AT310" s="13" t="str">
        <f t="shared" si="129"/>
        <v>Cambio en corte</v>
      </c>
      <c r="AU310" s="13">
        <v>3</v>
      </c>
      <c r="AV310">
        <f t="shared" si="121"/>
        <v>0</v>
      </c>
      <c r="AW310" s="13">
        <v>0</v>
      </c>
      <c r="AX310" s="13">
        <v>0</v>
      </c>
      <c r="AY310" s="13">
        <v>0</v>
      </c>
      <c r="AZ310" s="13">
        <v>0</v>
      </c>
      <c r="BA310">
        <v>0</v>
      </c>
      <c r="BB310" t="s">
        <v>2839</v>
      </c>
      <c r="BC310">
        <v>6</v>
      </c>
      <c r="BD310" t="s">
        <v>2919</v>
      </c>
      <c r="BE310">
        <v>1</v>
      </c>
      <c r="BF310" s="232" t="s">
        <v>2846</v>
      </c>
      <c r="BG310" s="232" t="s">
        <v>2846</v>
      </c>
      <c r="BH310" s="253">
        <v>37.5</v>
      </c>
      <c r="BI310" s="253">
        <v>12.138446538836529</v>
      </c>
      <c r="BJ310" s="25">
        <v>39.655453002610969</v>
      </c>
      <c r="BK310" t="s">
        <v>376</v>
      </c>
      <c r="BL310">
        <v>2.3963007563059064</v>
      </c>
      <c r="BM310" t="s">
        <v>383</v>
      </c>
      <c r="BN310" s="322">
        <v>16879.477906</v>
      </c>
      <c r="BO310" s="322">
        <v>1339.5390070000001</v>
      </c>
      <c r="BP310" s="10">
        <v>7749</v>
      </c>
      <c r="BQ310" s="254">
        <f t="shared" si="122"/>
        <v>2.1782782173183635</v>
      </c>
      <c r="BR310" s="254">
        <f t="shared" si="123"/>
        <v>0.17286604813524326</v>
      </c>
      <c r="BS310" s="25">
        <v>65.145197803188736</v>
      </c>
      <c r="BT310" s="25">
        <v>93.423980978620889</v>
      </c>
      <c r="BU310" s="25">
        <v>45.73451683237397</v>
      </c>
      <c r="BV310" s="25">
        <v>91.495247062204371</v>
      </c>
      <c r="BW310" s="25">
        <v>59.001583401176617</v>
      </c>
      <c r="BX310" s="25">
        <v>73.949735669096995</v>
      </c>
      <c r="BY310" s="25">
        <v>60.442571465474749</v>
      </c>
      <c r="BZ310">
        <v>49</v>
      </c>
      <c r="CA310">
        <v>0</v>
      </c>
      <c r="CB310">
        <v>7</v>
      </c>
      <c r="CC310">
        <v>9247.5512909999998</v>
      </c>
      <c r="CD310" s="10">
        <v>558.65329899999995</v>
      </c>
      <c r="CE310" s="255">
        <v>6.0410943548234057E-2</v>
      </c>
      <c r="CF310" t="str">
        <f>IFERROR(VLOOKUP(CE310,'Rangos amb etnico'!$A$2:$C$6,3,9),"N.D.")</f>
        <v>0,1% - 30%</v>
      </c>
      <c r="CG310" s="256">
        <v>1.6253330403825293E-5</v>
      </c>
      <c r="CH310" s="232">
        <v>0</v>
      </c>
      <c r="CI310" s="311">
        <f t="shared" si="130"/>
        <v>0</v>
      </c>
      <c r="CJ310" s="232">
        <f>IFERROR(VLOOKUP(CI310,'Rangos amb etnico'!$A$2:$C$6,3,9),"N.D.")</f>
        <v>0</v>
      </c>
      <c r="CK310" s="311">
        <f t="shared" si="131"/>
        <v>0</v>
      </c>
      <c r="CL310" s="10">
        <v>0</v>
      </c>
      <c r="CM310" s="255">
        <f t="shared" si="132"/>
        <v>0</v>
      </c>
      <c r="CN310" s="232">
        <f>IFERROR(VLOOKUP(CM310,'Rangos amb etnico'!$A$2:$C$6,3,9),"N.D.")</f>
        <v>0</v>
      </c>
      <c r="CO310" s="311">
        <f t="shared" si="133"/>
        <v>0</v>
      </c>
      <c r="CP310">
        <v>0.88044299978414409</v>
      </c>
      <c r="CQ310" t="s">
        <v>2864</v>
      </c>
      <c r="CR310">
        <f t="shared" si="124"/>
        <v>2</v>
      </c>
      <c r="CS310" t="str">
        <f t="shared" si="134"/>
        <v>No es Candidato</v>
      </c>
      <c r="CT310">
        <v>0</v>
      </c>
      <c r="CU310">
        <v>0</v>
      </c>
      <c r="CV310" s="25">
        <v>54.884132385253913</v>
      </c>
      <c r="CW310" s="25">
        <v>25.756402969360352</v>
      </c>
      <c r="CX310" s="25">
        <v>54.499607086181641</v>
      </c>
      <c r="CY310" s="25">
        <v>61.191692352294922</v>
      </c>
      <c r="CZ310" s="25">
        <v>62.288600921630859</v>
      </c>
      <c r="DA310" s="25">
        <v>66.343719482421875</v>
      </c>
      <c r="DB310" s="25">
        <v>59.224781036376953</v>
      </c>
      <c r="DC310">
        <v>96</v>
      </c>
      <c r="DD310" s="253" t="s">
        <v>380</v>
      </c>
    </row>
    <row r="311" spans="1:108" hidden="1">
      <c r="A311" s="13">
        <v>15820</v>
      </c>
      <c r="B311" s="13" t="s">
        <v>1081</v>
      </c>
      <c r="C311" s="13" t="s">
        <v>498</v>
      </c>
      <c r="D311" s="13" t="s">
        <v>499</v>
      </c>
      <c r="E311" s="13" t="s">
        <v>1082</v>
      </c>
      <c r="F311" s="14">
        <v>51.3975333333333</v>
      </c>
      <c r="G311" s="13">
        <v>70.92</v>
      </c>
      <c r="H311" s="13">
        <v>66.14</v>
      </c>
      <c r="I311" s="13">
        <v>90.85</v>
      </c>
      <c r="J311" s="14">
        <v>51.635402947787142</v>
      </c>
      <c r="K311" s="14">
        <v>58.05914869996608</v>
      </c>
      <c r="L311" s="14">
        <v>54.088996887795979</v>
      </c>
      <c r="M311" s="14">
        <v>53.583399999999997</v>
      </c>
      <c r="N311" s="14">
        <f t="shared" si="108"/>
        <v>69.826883333333313</v>
      </c>
      <c r="O311" s="14">
        <f t="shared" si="109"/>
        <v>54.341737133887307</v>
      </c>
      <c r="P311" s="14">
        <f t="shared" si="125"/>
        <v>62.08431023361031</v>
      </c>
      <c r="Q311" s="14">
        <v>49.425509551820063</v>
      </c>
      <c r="R311" s="17">
        <f t="shared" si="110"/>
        <v>50.574490448179937</v>
      </c>
      <c r="S311" s="14">
        <f t="shared" si="126"/>
        <v>0.55517041403361944</v>
      </c>
      <c r="T311" s="13">
        <v>0</v>
      </c>
      <c r="U311" s="13">
        <f t="shared" si="127"/>
        <v>34.467372217385112</v>
      </c>
      <c r="V311" s="13">
        <f>IF($T311=1,$AU311,(VLOOKUP(U311,'Cortes naturales'!$A$35:$C$39,3,9)))</f>
        <v>3</v>
      </c>
      <c r="W311" s="13">
        <v>3</v>
      </c>
      <c r="X311" s="14" t="b">
        <f t="shared" si="111"/>
        <v>1</v>
      </c>
      <c r="Y311" s="17">
        <f>IF($T311=1,$AU311,VLOOKUP(U311,'Cortes naturales'!$A$45:$C$49,3,9))</f>
        <v>3</v>
      </c>
      <c r="Z311" s="14">
        <v>55.316653066586916</v>
      </c>
      <c r="AA311" s="14">
        <v>0.56986573780907201</v>
      </c>
      <c r="AB311" s="14">
        <v>31.523065312919019</v>
      </c>
      <c r="AC311" s="13">
        <v>3</v>
      </c>
      <c r="AD311" s="13">
        <f t="shared" si="112"/>
        <v>0</v>
      </c>
      <c r="AE311" s="14">
        <f t="shared" si="113"/>
        <v>6.767657167023394</v>
      </c>
      <c r="AF311" s="14">
        <f t="shared" si="114"/>
        <v>-1.4695323775452573E-2</v>
      </c>
      <c r="AG311" s="13">
        <f t="shared" si="115"/>
        <v>2.9443069044660923</v>
      </c>
      <c r="AH311" s="13">
        <f>IF($T311=1,$AU311,VLOOKUP(U311,'Cortes naturales'!$A$25:$C$29,3,9))</f>
        <v>3</v>
      </c>
      <c r="AI311" s="13" t="b">
        <f t="shared" si="116"/>
        <v>1</v>
      </c>
      <c r="AJ311" s="13">
        <f t="shared" si="117"/>
        <v>0</v>
      </c>
      <c r="AK311" s="28">
        <v>0.9741882058902549</v>
      </c>
      <c r="AL311" s="28">
        <v>53.888831006791975</v>
      </c>
      <c r="AM311" s="28">
        <v>0.5034664598708587</v>
      </c>
      <c r="AN311" s="13">
        <v>2</v>
      </c>
      <c r="AO311" s="33">
        <f t="shared" si="118"/>
        <v>-1</v>
      </c>
      <c r="AP311" s="13">
        <f t="shared" si="128"/>
        <v>50.346645987085871</v>
      </c>
      <c r="AQ311" s="13">
        <f>IFERROR(VLOOKUP(U311,'Cortes naturales'!$E$15:$G$19,3,9),U311)</f>
        <v>4</v>
      </c>
      <c r="AR311" s="28">
        <f t="shared" si="119"/>
        <v>-0.41901779185663546</v>
      </c>
      <c r="AS311" s="13" t="b">
        <f t="shared" si="120"/>
        <v>0</v>
      </c>
      <c r="AT311" s="13" t="str">
        <f t="shared" si="129"/>
        <v>Cambio en corte</v>
      </c>
      <c r="AU311" s="13">
        <v>2</v>
      </c>
      <c r="AV311">
        <f t="shared" si="121"/>
        <v>-1</v>
      </c>
      <c r="AW311" s="13">
        <v>0</v>
      </c>
      <c r="AX311" s="13">
        <v>0</v>
      </c>
      <c r="AY311" s="13">
        <v>0</v>
      </c>
      <c r="AZ311" s="13">
        <v>0</v>
      </c>
      <c r="BA311">
        <v>0</v>
      </c>
      <c r="BB311" t="s">
        <v>2839</v>
      </c>
      <c r="BC311">
        <v>6</v>
      </c>
      <c r="BD311" s="184" t="s">
        <v>2917</v>
      </c>
      <c r="BE311">
        <v>1</v>
      </c>
      <c r="BF311" s="232" t="s">
        <v>2846</v>
      </c>
      <c r="BG311" s="232" t="s">
        <v>2846</v>
      </c>
      <c r="BH311" s="253">
        <v>28.7</v>
      </c>
      <c r="BI311" s="253">
        <v>12.149532710280374</v>
      </c>
      <c r="BJ311" s="25">
        <v>39.450291462470972</v>
      </c>
      <c r="BK311" t="s">
        <v>376</v>
      </c>
      <c r="BL311">
        <v>0</v>
      </c>
      <c r="BM311" t="s">
        <v>377</v>
      </c>
      <c r="BN311" s="322">
        <v>9309.5765420000007</v>
      </c>
      <c r="BO311" s="322">
        <v>1135.4158689999999</v>
      </c>
      <c r="BP311" s="10">
        <v>3720</v>
      </c>
      <c r="BQ311" s="254">
        <f t="shared" si="122"/>
        <v>2.5025743392473121</v>
      </c>
      <c r="BR311" s="254">
        <f t="shared" si="123"/>
        <v>0.30521931962365589</v>
      </c>
      <c r="BS311" s="25">
        <v>58.376229605811602</v>
      </c>
      <c r="BT311" s="25">
        <v>77.556912831541226</v>
      </c>
      <c r="BU311" s="25">
        <v>61.12943191673893</v>
      </c>
      <c r="BV311" s="25">
        <v>91.185090431350943</v>
      </c>
      <c r="BW311" s="25">
        <v>63.270103730891982</v>
      </c>
      <c r="BX311" s="25">
        <v>72.06191619636067</v>
      </c>
      <c r="BY311" s="25">
        <v>65.567469234603379</v>
      </c>
      <c r="BZ311">
        <v>62</v>
      </c>
      <c r="CA311">
        <v>0</v>
      </c>
      <c r="CB311">
        <v>7</v>
      </c>
      <c r="CC311">
        <v>3355.898545</v>
      </c>
      <c r="CD311" s="10">
        <v>1125.2805860000001</v>
      </c>
      <c r="CE311" s="255">
        <v>0.33531424472786026</v>
      </c>
      <c r="CF311" t="str">
        <f>IFERROR(VLOOKUP(CE311,'Rangos amb etnico'!$A$2:$C$6,3,9),"N.D.")</f>
        <v>31% - 50%</v>
      </c>
      <c r="CG311" s="256">
        <v>3.2738654177835875E-5</v>
      </c>
      <c r="CH311" s="232">
        <v>0</v>
      </c>
      <c r="CI311" s="311">
        <f t="shared" si="130"/>
        <v>0</v>
      </c>
      <c r="CJ311" s="232">
        <f>IFERROR(VLOOKUP(CI311,'Rangos amb etnico'!$A$2:$C$6,3,9),"N.D.")</f>
        <v>0</v>
      </c>
      <c r="CK311" s="311">
        <f t="shared" si="131"/>
        <v>0</v>
      </c>
      <c r="CL311" s="10">
        <v>0</v>
      </c>
      <c r="CM311" s="255">
        <f t="shared" si="132"/>
        <v>0</v>
      </c>
      <c r="CN311" s="232">
        <f>IFERROR(VLOOKUP(CM311,'Rangos amb etnico'!$A$2:$C$6,3,9),"N.D.")</f>
        <v>0</v>
      </c>
      <c r="CO311" s="311">
        <f t="shared" si="133"/>
        <v>0</v>
      </c>
      <c r="CP311">
        <v>0.97062506411992699</v>
      </c>
      <c r="CQ311" t="s">
        <v>2864</v>
      </c>
      <c r="CR311">
        <f t="shared" si="124"/>
        <v>3</v>
      </c>
      <c r="CS311" t="str">
        <f t="shared" si="134"/>
        <v>Candidato</v>
      </c>
      <c r="CT311">
        <v>0</v>
      </c>
      <c r="CU311">
        <v>0</v>
      </c>
      <c r="CV311" s="25">
        <v>48.922340393066413</v>
      </c>
      <c r="CW311" s="25">
        <v>28.34873008728027</v>
      </c>
      <c r="CX311" s="25">
        <v>52.875312805175781</v>
      </c>
      <c r="CY311" s="25">
        <v>67.358001708984375</v>
      </c>
      <c r="CZ311" s="25">
        <v>45.566516876220703</v>
      </c>
      <c r="DA311" s="25">
        <v>50</v>
      </c>
      <c r="DB311" s="25">
        <v>49.385475158691413</v>
      </c>
      <c r="DC311">
        <v>14</v>
      </c>
      <c r="DD311" s="253" t="s">
        <v>380</v>
      </c>
    </row>
    <row r="312" spans="1:108" hidden="1">
      <c r="A312" s="13">
        <v>47205</v>
      </c>
      <c r="B312" s="13" t="s">
        <v>1083</v>
      </c>
      <c r="C312" s="13" t="s">
        <v>638</v>
      </c>
      <c r="D312" s="13" t="s">
        <v>639</v>
      </c>
      <c r="E312" s="13" t="s">
        <v>1076</v>
      </c>
      <c r="F312" s="14">
        <v>71.805599999999998</v>
      </c>
      <c r="G312" s="13">
        <v>40.89</v>
      </c>
      <c r="H312" s="13">
        <v>32.130000000000003</v>
      </c>
      <c r="I312" s="13">
        <v>48.41</v>
      </c>
      <c r="J312" s="14">
        <v>41.785665201152433</v>
      </c>
      <c r="K312" s="14">
        <v>46.600784729039724</v>
      </c>
      <c r="L312" s="14">
        <v>51.20415134250608</v>
      </c>
      <c r="M312" s="14">
        <v>55.2881</v>
      </c>
      <c r="N312" s="14">
        <f t="shared" si="108"/>
        <v>48.308900000000001</v>
      </c>
      <c r="O312" s="14">
        <f t="shared" si="109"/>
        <v>48.719675318174552</v>
      </c>
      <c r="P312" s="14">
        <f t="shared" si="125"/>
        <v>48.514287659087273</v>
      </c>
      <c r="Q312" s="14">
        <v>49.244049179670171</v>
      </c>
      <c r="R312" s="17">
        <f t="shared" si="110"/>
        <v>50.755950820329829</v>
      </c>
      <c r="S312" s="14">
        <f t="shared" si="126"/>
        <v>0.55680355738296849</v>
      </c>
      <c r="T312" s="13">
        <v>0</v>
      </c>
      <c r="U312" s="13">
        <f t="shared" si="127"/>
        <v>27.012927952480442</v>
      </c>
      <c r="V312" s="13">
        <f>IF($T312=1,$AU312,(VLOOKUP(U312,'Cortes naturales'!$A$35:$C$39,3,9)))</f>
        <v>4</v>
      </c>
      <c r="W312" s="13">
        <v>4</v>
      </c>
      <c r="X312" s="14" t="b">
        <f t="shared" si="111"/>
        <v>1</v>
      </c>
      <c r="Y312" s="17">
        <f>IF($T312=1,$AU312,VLOOKUP(U312,'Cortes naturales'!$A$45:$C$49,3,9))</f>
        <v>4</v>
      </c>
      <c r="Z312" s="14">
        <v>50.120104103127311</v>
      </c>
      <c r="AA312" s="14">
        <v>0.5688400643200564</v>
      </c>
      <c r="AB312" s="14">
        <v>28.510323241750861</v>
      </c>
      <c r="AC312" s="13">
        <v>3</v>
      </c>
      <c r="AD312" s="13">
        <f t="shared" si="112"/>
        <v>-1</v>
      </c>
      <c r="AE312" s="14">
        <f t="shared" si="113"/>
        <v>-1.6058164440400375</v>
      </c>
      <c r="AF312" s="14">
        <f t="shared" si="114"/>
        <v>-1.203650693708791E-2</v>
      </c>
      <c r="AG312" s="13">
        <f t="shared" si="115"/>
        <v>-1.4973952892704183</v>
      </c>
      <c r="AH312" s="13">
        <f>IF($T312=1,$AU312,VLOOKUP(U312,'Cortes naturales'!$A$25:$C$29,3,9))</f>
        <v>4</v>
      </c>
      <c r="AI312" s="13" t="b">
        <f t="shared" si="116"/>
        <v>1</v>
      </c>
      <c r="AJ312" s="13" t="str">
        <f t="shared" si="117"/>
        <v>Efecto ponderador</v>
      </c>
      <c r="AK312" s="28">
        <v>0.9741882058902549</v>
      </c>
      <c r="AL312" s="28">
        <v>48.826414295258395</v>
      </c>
      <c r="AM312" s="28">
        <v>0.44014096309978129</v>
      </c>
      <c r="AN312" s="13">
        <v>3</v>
      </c>
      <c r="AO312" s="33">
        <f t="shared" si="118"/>
        <v>-1</v>
      </c>
      <c r="AP312" s="13">
        <f t="shared" si="128"/>
        <v>44.014096309978129</v>
      </c>
      <c r="AQ312" s="13">
        <f>IFERROR(VLOOKUP(U312,'Cortes naturales'!$E$15:$G$19,3,9),U312)</f>
        <v>4</v>
      </c>
      <c r="AR312" s="28">
        <f t="shared" si="119"/>
        <v>-0.4173846485072864</v>
      </c>
      <c r="AS312" s="13" t="b">
        <f t="shared" si="120"/>
        <v>1</v>
      </c>
      <c r="AT312" s="13" t="str">
        <f t="shared" si="129"/>
        <v>Efecto ponderador</v>
      </c>
      <c r="AU312" s="13">
        <v>3</v>
      </c>
      <c r="AV312">
        <f t="shared" si="121"/>
        <v>-1</v>
      </c>
      <c r="AW312" s="13">
        <v>0</v>
      </c>
      <c r="AX312" s="13">
        <v>0</v>
      </c>
      <c r="AY312" s="13">
        <v>0</v>
      </c>
      <c r="AZ312" s="13">
        <v>0</v>
      </c>
      <c r="BA312">
        <v>0</v>
      </c>
      <c r="BB312" t="s">
        <v>2839</v>
      </c>
      <c r="BC312">
        <v>6</v>
      </c>
      <c r="BD312" t="s">
        <v>2919</v>
      </c>
      <c r="BE312">
        <v>0</v>
      </c>
      <c r="BF312" s="232" t="s">
        <v>2846</v>
      </c>
      <c r="BG312" s="232" t="s">
        <v>2846</v>
      </c>
      <c r="BH312" s="253">
        <v>67.900000000000006</v>
      </c>
      <c r="BI312" s="253">
        <v>31.721929552732156</v>
      </c>
      <c r="BJ312" s="25">
        <v>45</v>
      </c>
      <c r="BK312" t="s">
        <v>376</v>
      </c>
      <c r="BL312">
        <v>0.72542841282248249</v>
      </c>
      <c r="BM312" t="s">
        <v>383</v>
      </c>
      <c r="BN312" s="322">
        <v>27526.290734999999</v>
      </c>
      <c r="BO312" s="322">
        <v>588.303043</v>
      </c>
      <c r="BP312" s="10">
        <v>11170</v>
      </c>
      <c r="BQ312" s="254">
        <f t="shared" si="122"/>
        <v>2.4643053478066248</v>
      </c>
      <c r="BR312" s="254">
        <f t="shared" si="123"/>
        <v>5.2668132766338409E-2</v>
      </c>
      <c r="BS312" s="25">
        <v>55.692637021871597</v>
      </c>
      <c r="BT312" s="25">
        <v>89.32615496866606</v>
      </c>
      <c r="BU312" s="25">
        <v>46.986402486402461</v>
      </c>
      <c r="BV312" s="25">
        <v>99.52205476249344</v>
      </c>
      <c r="BW312" s="25">
        <v>48.726311786588248</v>
      </c>
      <c r="BX312" s="25">
        <v>72.88181230985839</v>
      </c>
      <c r="BY312" s="25">
        <v>49.014198512994959</v>
      </c>
      <c r="BZ312">
        <v>74</v>
      </c>
      <c r="CA312">
        <v>0</v>
      </c>
      <c r="CB312">
        <v>7</v>
      </c>
      <c r="CC312">
        <v>10939.500173</v>
      </c>
      <c r="CD312" s="10">
        <v>10693.309678</v>
      </c>
      <c r="CE312" s="255">
        <v>0.97749527024940053</v>
      </c>
      <c r="CF312" t="str">
        <f>IFERROR(VLOOKUP(CE312,'Rangos amb etnico'!$A$2:$C$6,3,9),"N.D.")</f>
        <v>71% - 100%</v>
      </c>
      <c r="CG312" s="256">
        <v>3.111086887306767E-4</v>
      </c>
      <c r="CH312" s="232">
        <v>0</v>
      </c>
      <c r="CI312" s="311">
        <f t="shared" si="130"/>
        <v>0</v>
      </c>
      <c r="CJ312" s="232">
        <f>IFERROR(VLOOKUP(CI312,'Rangos amb etnico'!$A$2:$C$6,3,9),"N.D.")</f>
        <v>0</v>
      </c>
      <c r="CK312" s="311">
        <f t="shared" si="131"/>
        <v>0</v>
      </c>
      <c r="CL312" s="10">
        <v>0</v>
      </c>
      <c r="CM312" s="255">
        <f t="shared" si="132"/>
        <v>0</v>
      </c>
      <c r="CN312" s="232">
        <f>IFERROR(VLOOKUP(CM312,'Rangos amb etnico'!$A$2:$C$6,3,9),"N.D.")</f>
        <v>0</v>
      </c>
      <c r="CO312" s="311">
        <f t="shared" si="133"/>
        <v>0</v>
      </c>
      <c r="CP312">
        <v>0.91187706754336428</v>
      </c>
      <c r="CQ312" t="s">
        <v>2864</v>
      </c>
      <c r="CR312">
        <f t="shared" si="124"/>
        <v>1</v>
      </c>
      <c r="CS312" t="str">
        <f t="shared" si="134"/>
        <v>No es Candidato</v>
      </c>
      <c r="CT312">
        <v>0</v>
      </c>
      <c r="CU312">
        <v>0</v>
      </c>
      <c r="CV312" s="25">
        <v>41.837001800537109</v>
      </c>
      <c r="CW312" s="25">
        <v>17.315412521362301</v>
      </c>
      <c r="CX312" s="25">
        <v>43.928352355957031</v>
      </c>
      <c r="CY312" s="25">
        <v>43.788917541503913</v>
      </c>
      <c r="CZ312" s="25">
        <v>18.394138336181641</v>
      </c>
      <c r="DA312" s="25">
        <v>94.099739074707031</v>
      </c>
      <c r="DB312" s="25">
        <v>33.495452880859382</v>
      </c>
      <c r="DC312">
        <v>258</v>
      </c>
      <c r="DD312" s="253" t="s">
        <v>380</v>
      </c>
    </row>
    <row r="313" spans="1:108" hidden="1">
      <c r="A313" s="13">
        <v>25769</v>
      </c>
      <c r="B313" s="13" t="s">
        <v>1084</v>
      </c>
      <c r="C313" s="13" t="s">
        <v>461</v>
      </c>
      <c r="D313" s="13" t="s">
        <v>462</v>
      </c>
      <c r="E313" s="13" t="s">
        <v>1085</v>
      </c>
      <c r="F313" s="14">
        <v>91.3136333333333</v>
      </c>
      <c r="G313" s="13">
        <v>82.44</v>
      </c>
      <c r="H313" s="13">
        <v>74.17</v>
      </c>
      <c r="I313" s="13">
        <v>69.86</v>
      </c>
      <c r="J313" s="14">
        <v>67.688691876790386</v>
      </c>
      <c r="K313" s="14">
        <v>65.739722945168381</v>
      </c>
      <c r="L313" s="14">
        <v>67.995238932455891</v>
      </c>
      <c r="M313" s="14">
        <v>74.325800000000001</v>
      </c>
      <c r="N313" s="14">
        <f t="shared" si="108"/>
        <v>79.445908333333335</v>
      </c>
      <c r="O313" s="14">
        <f t="shared" si="109"/>
        <v>68.937363438603668</v>
      </c>
      <c r="P313" s="14">
        <f t="shared" si="125"/>
        <v>74.191635885968509</v>
      </c>
      <c r="Q313" s="14">
        <v>49.211887288017621</v>
      </c>
      <c r="R313" s="17">
        <f t="shared" si="110"/>
        <v>50.788112711982379</v>
      </c>
      <c r="S313" s="14">
        <f t="shared" si="126"/>
        <v>0.55709301440784142</v>
      </c>
      <c r="T313" s="13">
        <v>0</v>
      </c>
      <c r="U313" s="13">
        <f t="shared" si="127"/>
        <v>41.331642079563181</v>
      </c>
      <c r="V313" s="13">
        <f>IF($T313=1,$AU313,(VLOOKUP(U313,'Cortes naturales'!$A$35:$C$39,3,9)))</f>
        <v>2</v>
      </c>
      <c r="W313" s="13">
        <v>2</v>
      </c>
      <c r="X313" s="14" t="b">
        <f t="shared" si="111"/>
        <v>1</v>
      </c>
      <c r="Y313" s="17">
        <f>IF($T313=1,$AU313,VLOOKUP(U313,'Cortes naturales'!$A$45:$C$49,3,9))</f>
        <v>2</v>
      </c>
      <c r="Z313" s="14">
        <v>74.901953236761571</v>
      </c>
      <c r="AA313" s="14">
        <v>0.56756906825438813</v>
      </c>
      <c r="AB313" s="14">
        <v>42.512031809022517</v>
      </c>
      <c r="AC313" s="13">
        <v>2</v>
      </c>
      <c r="AD313" s="13">
        <f t="shared" si="112"/>
        <v>0</v>
      </c>
      <c r="AE313" s="14">
        <f t="shared" si="113"/>
        <v>-0.71031735079306202</v>
      </c>
      <c r="AF313" s="14">
        <f t="shared" si="114"/>
        <v>-1.0476053846546707E-2</v>
      </c>
      <c r="AG313" s="13">
        <f t="shared" si="115"/>
        <v>-1.1803897294593355</v>
      </c>
      <c r="AH313" s="13">
        <f>IF($T313=1,$AU313,VLOOKUP(U313,'Cortes naturales'!$A$25:$C$29,3,9))</f>
        <v>2</v>
      </c>
      <c r="AI313" s="13" t="b">
        <f t="shared" si="116"/>
        <v>1</v>
      </c>
      <c r="AJ313" s="13">
        <f t="shared" si="117"/>
        <v>0</v>
      </c>
      <c r="AK313" s="28">
        <v>0.81759069605862034</v>
      </c>
      <c r="AL313" s="28">
        <v>61.239140082994126</v>
      </c>
      <c r="AM313" s="28">
        <v>0.59541107845806618</v>
      </c>
      <c r="AN313" s="13">
        <v>2</v>
      </c>
      <c r="AO313" s="33">
        <f t="shared" si="118"/>
        <v>0</v>
      </c>
      <c r="AP313" s="13">
        <f t="shared" si="128"/>
        <v>59.541107845806621</v>
      </c>
      <c r="AQ313" s="13">
        <f>IFERROR(VLOOKUP(U313,'Cortes naturales'!$E$15:$G$19,3,9),U313)</f>
        <v>3</v>
      </c>
      <c r="AR313" s="28">
        <f t="shared" si="119"/>
        <v>-0.26049768165077891</v>
      </c>
      <c r="AS313" s="13" t="b">
        <f t="shared" si="120"/>
        <v>0</v>
      </c>
      <c r="AT313" s="13">
        <f t="shared" si="129"/>
        <v>0</v>
      </c>
      <c r="AU313" s="13">
        <v>1</v>
      </c>
      <c r="AV313">
        <f t="shared" si="121"/>
        <v>-1</v>
      </c>
      <c r="AW313" s="13">
        <v>0</v>
      </c>
      <c r="AX313" s="13">
        <v>0</v>
      </c>
      <c r="AY313" s="13">
        <v>0</v>
      </c>
      <c r="AZ313" s="13">
        <v>0</v>
      </c>
      <c r="BA313">
        <v>0</v>
      </c>
      <c r="BB313" t="s">
        <v>2839</v>
      </c>
      <c r="BC313">
        <v>6</v>
      </c>
      <c r="BD313" t="s">
        <v>2919</v>
      </c>
      <c r="BE313">
        <v>0</v>
      </c>
      <c r="BF313" s="232" t="s">
        <v>2846</v>
      </c>
      <c r="BG313" s="232" t="s">
        <v>2846</v>
      </c>
      <c r="BH313" s="253">
        <v>12.6</v>
      </c>
      <c r="BI313" s="253">
        <v>3.7483176312247646</v>
      </c>
      <c r="BJ313" s="25">
        <v>6.8841575253798464</v>
      </c>
      <c r="BK313" t="s">
        <v>377</v>
      </c>
      <c r="BL313">
        <v>0.4850661599874907</v>
      </c>
      <c r="BM313" t="s">
        <v>383</v>
      </c>
      <c r="BN313" s="322">
        <v>22364.262124000001</v>
      </c>
      <c r="BO313" s="322">
        <v>10295.686994</v>
      </c>
      <c r="BP313" s="10">
        <v>17703</v>
      </c>
      <c r="BQ313" s="254">
        <f t="shared" si="122"/>
        <v>1.2633035148844829</v>
      </c>
      <c r="BR313" s="254">
        <f t="shared" si="123"/>
        <v>0.58157865864542735</v>
      </c>
      <c r="BS313" s="25">
        <v>66.435411427642023</v>
      </c>
      <c r="BT313" s="25">
        <v>72.984916710538712</v>
      </c>
      <c r="BU313" s="25">
        <v>69.29096810539086</v>
      </c>
      <c r="BV313" s="25">
        <v>89.658903475461742</v>
      </c>
      <c r="BW313" s="25">
        <v>70.886995904326454</v>
      </c>
      <c r="BX313" s="25">
        <v>74.592549929758334</v>
      </c>
      <c r="BY313" s="25">
        <v>73.340165074370205</v>
      </c>
      <c r="BZ313">
        <v>59</v>
      </c>
      <c r="CA313">
        <v>0</v>
      </c>
      <c r="CB313">
        <v>7</v>
      </c>
      <c r="CC313">
        <v>20896.738284999999</v>
      </c>
      <c r="CD313" s="10">
        <v>13632.749578999999</v>
      </c>
      <c r="CE313" s="255">
        <v>0.6523864821901797</v>
      </c>
      <c r="CF313" t="str">
        <f>IFERROR(VLOOKUP(CE313,'Rangos amb etnico'!$A$2:$C$6,3,9),"N.D.")</f>
        <v>51% - 70%</v>
      </c>
      <c r="CG313" s="256">
        <v>3.9662807615514892E-4</v>
      </c>
      <c r="CH313" s="232">
        <v>0</v>
      </c>
      <c r="CI313" s="311">
        <f t="shared" si="130"/>
        <v>0</v>
      </c>
      <c r="CJ313" s="232">
        <f>IFERROR(VLOOKUP(CI313,'Rangos amb etnico'!$A$2:$C$6,3,9),"N.D.")</f>
        <v>0</v>
      </c>
      <c r="CK313" s="311">
        <f t="shared" si="131"/>
        <v>0</v>
      </c>
      <c r="CL313" s="10">
        <v>0</v>
      </c>
      <c r="CM313" s="255">
        <f t="shared" si="132"/>
        <v>0</v>
      </c>
      <c r="CN313" s="232">
        <f>IFERROR(VLOOKUP(CM313,'Rangos amb etnico'!$A$2:$C$6,3,9),"N.D.")</f>
        <v>0</v>
      </c>
      <c r="CO313" s="311">
        <f t="shared" si="133"/>
        <v>0</v>
      </c>
      <c r="CP313">
        <v>0.99711995712636903</v>
      </c>
      <c r="CQ313" t="s">
        <v>2864</v>
      </c>
      <c r="CR313">
        <f t="shared" si="124"/>
        <v>4</v>
      </c>
      <c r="CS313" t="str">
        <f t="shared" si="134"/>
        <v>Candidato</v>
      </c>
      <c r="CT313">
        <v>0</v>
      </c>
      <c r="CU313">
        <v>0</v>
      </c>
      <c r="CV313" s="25">
        <v>58.756793975830078</v>
      </c>
      <c r="CW313" s="25">
        <v>41.551837921142578</v>
      </c>
      <c r="CX313" s="25">
        <v>55.648952484130859</v>
      </c>
      <c r="CY313" s="25">
        <v>71.049980163574219</v>
      </c>
      <c r="CZ313" s="25">
        <v>67.038383483886719</v>
      </c>
      <c r="DA313" s="25">
        <v>55.441303253173828</v>
      </c>
      <c r="DB313" s="25">
        <v>61.810310363769531</v>
      </c>
      <c r="DC313">
        <v>150</v>
      </c>
      <c r="DD313" s="253" t="s">
        <v>380</v>
      </c>
    </row>
    <row r="314" spans="1:108" hidden="1">
      <c r="A314" s="13">
        <v>19780</v>
      </c>
      <c r="B314" s="13" t="s">
        <v>1086</v>
      </c>
      <c r="C314" s="13" t="s">
        <v>557</v>
      </c>
      <c r="D314" s="13" t="s">
        <v>558</v>
      </c>
      <c r="E314" s="13" t="s">
        <v>1087</v>
      </c>
      <c r="F314" s="14">
        <v>49.210566666666701</v>
      </c>
      <c r="G314" s="13">
        <v>79.89</v>
      </c>
      <c r="H314" s="13">
        <v>26.42</v>
      </c>
      <c r="I314" s="13">
        <v>36.68</v>
      </c>
      <c r="J314" s="14">
        <v>55.033613691260847</v>
      </c>
      <c r="K314" s="14">
        <v>57.350608996626889</v>
      </c>
      <c r="L314" s="14">
        <v>53.082712363078414</v>
      </c>
      <c r="M314" s="14">
        <v>51.084000000000003</v>
      </c>
      <c r="N314" s="14">
        <f t="shared" si="108"/>
        <v>48.050141666666676</v>
      </c>
      <c r="O314" s="14">
        <f t="shared" si="109"/>
        <v>54.137733762741533</v>
      </c>
      <c r="P314" s="14">
        <f t="shared" si="125"/>
        <v>51.093937714704104</v>
      </c>
      <c r="Q314" s="14">
        <v>48.439429654124744</v>
      </c>
      <c r="R314" s="17">
        <f t="shared" si="110"/>
        <v>51.560570345875256</v>
      </c>
      <c r="S314" s="14">
        <f t="shared" si="126"/>
        <v>0.56404513311287729</v>
      </c>
      <c r="T314" s="13">
        <v>0</v>
      </c>
      <c r="U314" s="13">
        <f t="shared" si="127"/>
        <v>28.819286899551336</v>
      </c>
      <c r="V314" s="13">
        <f>IF($T314=1,$AU314,(VLOOKUP(U314,'Cortes naturales'!$A$35:$C$39,3,9)))</f>
        <v>4</v>
      </c>
      <c r="W314" s="13">
        <v>4</v>
      </c>
      <c r="X314" s="14" t="b">
        <f t="shared" si="111"/>
        <v>1</v>
      </c>
      <c r="Y314" s="17">
        <f>IF($T314=1,$AU314,VLOOKUP(U314,'Cortes naturales'!$A$45:$C$49,3,9))</f>
        <v>3</v>
      </c>
      <c r="Z314" s="14">
        <v>53.539331843871182</v>
      </c>
      <c r="AA314" s="14">
        <v>0.56949279508545148</v>
      </c>
      <c r="AB314" s="14">
        <v>30.490263738773717</v>
      </c>
      <c r="AC314" s="13">
        <v>3</v>
      </c>
      <c r="AD314" s="13">
        <f t="shared" si="112"/>
        <v>0</v>
      </c>
      <c r="AE314" s="14">
        <f t="shared" si="113"/>
        <v>-2.4453941291670773</v>
      </c>
      <c r="AF314" s="14">
        <f t="shared" si="114"/>
        <v>-5.4476619725741804E-3</v>
      </c>
      <c r="AG314" s="13">
        <f t="shared" si="115"/>
        <v>-1.6709768392223801</v>
      </c>
      <c r="AH314" s="13">
        <f>IF($T314=1,$AU314,VLOOKUP(U314,'Cortes naturales'!$A$25:$C$29,3,9))</f>
        <v>3</v>
      </c>
      <c r="AI314" s="13" t="b">
        <f t="shared" si="116"/>
        <v>1</v>
      </c>
      <c r="AJ314" s="13">
        <f t="shared" si="117"/>
        <v>0</v>
      </c>
      <c r="AK314" s="28">
        <v>0.9741882058902549</v>
      </c>
      <c r="AL314" s="28">
        <v>52.157385633543861</v>
      </c>
      <c r="AM314" s="28">
        <v>0.48180790336698182</v>
      </c>
      <c r="AN314" s="13">
        <v>2</v>
      </c>
      <c r="AO314" s="33">
        <f t="shared" si="118"/>
        <v>-1</v>
      </c>
      <c r="AP314" s="13">
        <f t="shared" si="128"/>
        <v>48.18079033669818</v>
      </c>
      <c r="AQ314" s="13">
        <f>IFERROR(VLOOKUP(U314,'Cortes naturales'!$E$15:$G$19,3,9),U314)</f>
        <v>4</v>
      </c>
      <c r="AR314" s="28">
        <f t="shared" si="119"/>
        <v>-0.4101430727773776</v>
      </c>
      <c r="AS314" s="13" t="b">
        <f t="shared" si="120"/>
        <v>0</v>
      </c>
      <c r="AT314" s="13" t="str">
        <f t="shared" si="129"/>
        <v>Cambio en corte</v>
      </c>
      <c r="AU314" s="13">
        <v>3</v>
      </c>
      <c r="AV314">
        <f t="shared" si="121"/>
        <v>0</v>
      </c>
      <c r="AW314" s="13">
        <v>0</v>
      </c>
      <c r="AX314" s="13">
        <v>0</v>
      </c>
      <c r="AY314" s="13">
        <v>0</v>
      </c>
      <c r="AZ314" s="13">
        <v>1</v>
      </c>
      <c r="BA314">
        <v>1</v>
      </c>
      <c r="BB314" t="s">
        <v>2840</v>
      </c>
      <c r="BC314">
        <v>6</v>
      </c>
      <c r="BD314" t="s">
        <v>2919</v>
      </c>
      <c r="BE314">
        <v>1</v>
      </c>
      <c r="BF314" s="232" t="s">
        <v>2846</v>
      </c>
      <c r="BG314" s="232" t="s">
        <v>2846</v>
      </c>
      <c r="BH314" s="253">
        <v>44.1</v>
      </c>
      <c r="BI314" s="253">
        <v>28.57215654300856</v>
      </c>
      <c r="BJ314" s="25">
        <v>2.3287499999999999</v>
      </c>
      <c r="BK314" t="s">
        <v>381</v>
      </c>
      <c r="BL314">
        <v>50.050259517901807</v>
      </c>
      <c r="BM314" t="s">
        <v>384</v>
      </c>
      <c r="BN314" s="322">
        <v>46178.912484</v>
      </c>
      <c r="BO314" s="322">
        <v>4153.9518719999996</v>
      </c>
      <c r="BP314" s="10">
        <v>37158</v>
      </c>
      <c r="BQ314" s="254">
        <f t="shared" si="122"/>
        <v>1.2427717445502988</v>
      </c>
      <c r="BR314" s="254">
        <f t="shared" si="123"/>
        <v>0.11179158921362828</v>
      </c>
      <c r="BS314" s="25">
        <v>50.592227467404342</v>
      </c>
      <c r="BT314" s="25">
        <v>85.211969137368797</v>
      </c>
      <c r="BU314" s="25">
        <v>40.77266612005053</v>
      </c>
      <c r="BV314" s="25">
        <v>87.303628129501178</v>
      </c>
      <c r="BW314" s="25">
        <v>40.150832714961943</v>
      </c>
      <c r="BX314" s="25">
        <v>65.970122713581205</v>
      </c>
      <c r="BY314" s="25">
        <v>40.804504288560238</v>
      </c>
      <c r="BZ314">
        <v>32</v>
      </c>
      <c r="CA314">
        <v>0</v>
      </c>
      <c r="CB314">
        <v>7</v>
      </c>
      <c r="CC314">
        <v>39258.508769</v>
      </c>
      <c r="CD314" s="10">
        <v>9417.5022430000008</v>
      </c>
      <c r="CE314" s="255">
        <v>0.23988435980625977</v>
      </c>
      <c r="CF314" t="str">
        <f>IFERROR(VLOOKUP(CE314,'Rangos amb etnico'!$A$2:$C$6,3,9),"N.D.")</f>
        <v>0,1% - 30%</v>
      </c>
      <c r="CG314" s="256">
        <v>2.7399064107960243E-4</v>
      </c>
      <c r="CH314" s="232">
        <v>594.78389200000004</v>
      </c>
      <c r="CI314" s="311">
        <f t="shared" si="130"/>
        <v>1.515044535949526E-2</v>
      </c>
      <c r="CJ314" s="232" t="str">
        <f>IFERROR(VLOOKUP(CI314,'Rangos amb etnico'!$A$2:$C$6,3,9),"N.D.")</f>
        <v>0,1% - 30%</v>
      </c>
      <c r="CK314" s="311">
        <f t="shared" si="131"/>
        <v>2.3616814681784892E-5</v>
      </c>
      <c r="CL314" s="10">
        <v>0</v>
      </c>
      <c r="CM314" s="255">
        <f t="shared" si="132"/>
        <v>0</v>
      </c>
      <c r="CN314" s="232">
        <f>IFERROR(VLOOKUP(CM314,'Rangos amb etnico'!$A$2:$C$6,3,9),"N.D.")</f>
        <v>0</v>
      </c>
      <c r="CO314" s="311">
        <f t="shared" si="133"/>
        <v>0</v>
      </c>
      <c r="CP314">
        <v>0.93745746677486985</v>
      </c>
      <c r="CQ314" t="s">
        <v>2864</v>
      </c>
      <c r="CR314">
        <f t="shared" si="124"/>
        <v>1</v>
      </c>
      <c r="CS314" t="str">
        <f t="shared" si="134"/>
        <v>No es Candidato</v>
      </c>
      <c r="CT314">
        <v>0</v>
      </c>
      <c r="CU314">
        <v>0</v>
      </c>
      <c r="CV314" s="25">
        <v>48.51116943359375</v>
      </c>
      <c r="CW314" s="25">
        <v>23.35828971862793</v>
      </c>
      <c r="CX314" s="25">
        <v>45.990997314453118</v>
      </c>
      <c r="CY314" s="25">
        <v>57.960334777832031</v>
      </c>
      <c r="CZ314" s="25">
        <v>38.705131530761719</v>
      </c>
      <c r="DA314" s="25">
        <v>66.610366821289063</v>
      </c>
      <c r="DB314" s="25">
        <v>58.441890716552727</v>
      </c>
      <c r="DC314">
        <v>21567</v>
      </c>
      <c r="DD314" s="253" t="s">
        <v>380</v>
      </c>
    </row>
    <row r="315" spans="1:108" hidden="1">
      <c r="A315" s="13">
        <v>15778</v>
      </c>
      <c r="B315" s="13" t="s">
        <v>1088</v>
      </c>
      <c r="C315" s="13" t="s">
        <v>498</v>
      </c>
      <c r="D315" s="13" t="s">
        <v>499</v>
      </c>
      <c r="E315" s="13" t="s">
        <v>1089</v>
      </c>
      <c r="F315" s="14">
        <v>75.674766666666699</v>
      </c>
      <c r="G315" s="13">
        <v>57.58</v>
      </c>
      <c r="H315" s="13">
        <v>62.77</v>
      </c>
      <c r="I315" s="13">
        <v>57.26</v>
      </c>
      <c r="J315" s="14">
        <v>47.813523517134918</v>
      </c>
      <c r="K315" s="14">
        <v>42.849072309845326</v>
      </c>
      <c r="L315" s="14">
        <v>47.930746981359128</v>
      </c>
      <c r="M315" s="14">
        <v>62.290100000000002</v>
      </c>
      <c r="N315" s="14">
        <f t="shared" si="108"/>
        <v>63.321191666666671</v>
      </c>
      <c r="O315" s="14">
        <f t="shared" si="109"/>
        <v>50.220860702084842</v>
      </c>
      <c r="P315" s="14">
        <f t="shared" si="125"/>
        <v>56.771026184375756</v>
      </c>
      <c r="Q315" s="14">
        <v>49.451541471675881</v>
      </c>
      <c r="R315" s="17">
        <f t="shared" si="110"/>
        <v>50.548458528324119</v>
      </c>
      <c r="S315" s="14">
        <f t="shared" si="126"/>
        <v>0.55493612675491699</v>
      </c>
      <c r="T315" s="13">
        <v>0</v>
      </c>
      <c r="U315" s="13">
        <f t="shared" si="127"/>
        <v>31.504293382659455</v>
      </c>
      <c r="V315" s="13">
        <f>IF($T315=1,$AU315,(VLOOKUP(U315,'Cortes naturales'!$A$35:$C$39,3,9)))</f>
        <v>3</v>
      </c>
      <c r="W315" s="13">
        <v>3</v>
      </c>
      <c r="X315" s="14" t="b">
        <f t="shared" si="111"/>
        <v>1</v>
      </c>
      <c r="Y315" s="17">
        <f>IF($T315=1,$AU315,VLOOKUP(U315,'Cortes naturales'!$A$45:$C$49,3,9))</f>
        <v>3</v>
      </c>
      <c r="Z315" s="14">
        <v>58.70219920188633</v>
      </c>
      <c r="AA315" s="14">
        <v>0.56951742324544263</v>
      </c>
      <c r="AB315" s="14">
        <v>33.431925228298979</v>
      </c>
      <c r="AC315" s="13">
        <v>3</v>
      </c>
      <c r="AD315" s="13">
        <f t="shared" si="112"/>
        <v>0</v>
      </c>
      <c r="AE315" s="14">
        <f t="shared" si="113"/>
        <v>-1.9311730175105737</v>
      </c>
      <c r="AF315" s="14">
        <f t="shared" si="114"/>
        <v>-1.4581296490525641E-2</v>
      </c>
      <c r="AG315" s="13">
        <f t="shared" si="115"/>
        <v>-1.9276318456395245</v>
      </c>
      <c r="AH315" s="13">
        <f>IF($T315=1,$AU315,VLOOKUP(U315,'Cortes naturales'!$A$25:$C$29,3,9))</f>
        <v>3</v>
      </c>
      <c r="AI315" s="13" t="b">
        <f t="shared" si="116"/>
        <v>1</v>
      </c>
      <c r="AJ315" s="13">
        <f t="shared" si="117"/>
        <v>0</v>
      </c>
      <c r="AK315" s="28">
        <v>0.9741882058902549</v>
      </c>
      <c r="AL315" s="28">
        <v>57.186990122297999</v>
      </c>
      <c r="AM315" s="28">
        <v>0.54472295381843139</v>
      </c>
      <c r="AN315" s="13">
        <v>2</v>
      </c>
      <c r="AO315" s="33">
        <f t="shared" si="118"/>
        <v>-1</v>
      </c>
      <c r="AP315" s="13">
        <f t="shared" si="128"/>
        <v>54.472295381843139</v>
      </c>
      <c r="AQ315" s="13">
        <f>IFERROR(VLOOKUP(U315,'Cortes naturales'!$E$15:$G$19,3,9),U315)</f>
        <v>4</v>
      </c>
      <c r="AR315" s="28">
        <f t="shared" si="119"/>
        <v>-0.41925207913533791</v>
      </c>
      <c r="AS315" s="13" t="b">
        <f t="shared" si="120"/>
        <v>0</v>
      </c>
      <c r="AT315" s="13" t="str">
        <f t="shared" si="129"/>
        <v>Cambio en corte</v>
      </c>
      <c r="AU315" s="13">
        <v>2</v>
      </c>
      <c r="AV315">
        <f t="shared" si="121"/>
        <v>-1</v>
      </c>
      <c r="AW315" s="13">
        <v>0</v>
      </c>
      <c r="AX315" s="13">
        <v>0</v>
      </c>
      <c r="AY315" s="13">
        <v>0</v>
      </c>
      <c r="AZ315" s="13">
        <v>0</v>
      </c>
      <c r="BA315">
        <v>0</v>
      </c>
      <c r="BB315" t="s">
        <v>2839</v>
      </c>
      <c r="BC315">
        <v>6</v>
      </c>
      <c r="BD315" t="s">
        <v>2919</v>
      </c>
      <c r="BE315">
        <v>0</v>
      </c>
      <c r="BF315" s="232" t="s">
        <v>2846</v>
      </c>
      <c r="BG315" s="232" t="s">
        <v>2846</v>
      </c>
      <c r="BH315" s="253">
        <v>47.4</v>
      </c>
      <c r="BI315" s="253">
        <v>11.749497270899166</v>
      </c>
      <c r="BJ315" s="25">
        <v>23.109634353741502</v>
      </c>
      <c r="BK315" t="s">
        <v>379</v>
      </c>
      <c r="BL315">
        <v>0</v>
      </c>
      <c r="BM315" t="s">
        <v>377</v>
      </c>
      <c r="BN315" s="322">
        <v>15286.281138</v>
      </c>
      <c r="BO315" s="322">
        <v>1764.9947090000001</v>
      </c>
      <c r="BP315" s="10">
        <v>4257</v>
      </c>
      <c r="BQ315" s="254">
        <f t="shared" si="122"/>
        <v>3.5908576786469344</v>
      </c>
      <c r="BR315" s="254">
        <f t="shared" si="123"/>
        <v>0.4146099856706601</v>
      </c>
      <c r="BS315" s="25">
        <v>54.414484985913553</v>
      </c>
      <c r="BT315" s="25">
        <v>87.314328376008163</v>
      </c>
      <c r="BU315" s="25">
        <v>43.92196494775866</v>
      </c>
      <c r="BV315" s="25">
        <v>96.294178616825363</v>
      </c>
      <c r="BW315" s="25">
        <v>63.758246615389268</v>
      </c>
      <c r="BX315" s="25">
        <v>70.486239231626428</v>
      </c>
      <c r="BY315" s="25">
        <v>64.779036875716741</v>
      </c>
      <c r="BZ315">
        <v>98</v>
      </c>
      <c r="CA315">
        <v>0</v>
      </c>
      <c r="CB315">
        <v>7</v>
      </c>
      <c r="CC315">
        <v>4106.3501100000003</v>
      </c>
      <c r="CD315" s="10">
        <v>259.68096000000003</v>
      </c>
      <c r="CE315" s="255">
        <v>6.3238874680366694E-2</v>
      </c>
      <c r="CF315" t="str">
        <f>IFERROR(VLOOKUP(CE315,'Rangos amb etnico'!$A$2:$C$6,3,9),"N.D.")</f>
        <v>0,1% - 30%</v>
      </c>
      <c r="CG315" s="256">
        <v>7.5550980366850751E-6</v>
      </c>
      <c r="CH315" s="232">
        <v>0</v>
      </c>
      <c r="CI315" s="311">
        <f t="shared" si="130"/>
        <v>0</v>
      </c>
      <c r="CJ315" s="232">
        <f>IFERROR(VLOOKUP(CI315,'Rangos amb etnico'!$A$2:$C$6,3,9),"N.D.")</f>
        <v>0</v>
      </c>
      <c r="CK315" s="311">
        <f t="shared" si="131"/>
        <v>0</v>
      </c>
      <c r="CL315" s="10">
        <v>0</v>
      </c>
      <c r="CM315" s="255">
        <f t="shared" si="132"/>
        <v>0</v>
      </c>
      <c r="CN315" s="232">
        <f>IFERROR(VLOOKUP(CM315,'Rangos amb etnico'!$A$2:$C$6,3,9),"N.D.")</f>
        <v>0</v>
      </c>
      <c r="CO315" s="311">
        <f t="shared" si="133"/>
        <v>0</v>
      </c>
      <c r="CP315">
        <v>0.90297959461521882</v>
      </c>
      <c r="CQ315" t="s">
        <v>2864</v>
      </c>
      <c r="CR315">
        <f t="shared" si="124"/>
        <v>3</v>
      </c>
      <c r="CS315" t="str">
        <f t="shared" si="134"/>
        <v>Candidato</v>
      </c>
      <c r="CT315">
        <v>0</v>
      </c>
      <c r="CU315">
        <v>0</v>
      </c>
      <c r="CV315" s="25">
        <v>46.110671997070313</v>
      </c>
      <c r="CW315" s="25">
        <v>19.173406600952148</v>
      </c>
      <c r="CX315" s="25">
        <v>47.611980438232422</v>
      </c>
      <c r="CY315" s="25">
        <v>57.073028564453118</v>
      </c>
      <c r="CZ315" s="25">
        <v>43.469585418701172</v>
      </c>
      <c r="DA315" s="25">
        <v>66.340408325195313</v>
      </c>
      <c r="DB315" s="25">
        <v>42.995624542236328</v>
      </c>
      <c r="DC315">
        <v>23</v>
      </c>
      <c r="DD315" s="253" t="s">
        <v>380</v>
      </c>
    </row>
    <row r="316" spans="1:108" hidden="1">
      <c r="A316" s="13">
        <v>70110</v>
      </c>
      <c r="B316" s="13" t="s">
        <v>1090</v>
      </c>
      <c r="C316" s="13" t="s">
        <v>494</v>
      </c>
      <c r="D316" s="13" t="s">
        <v>495</v>
      </c>
      <c r="E316" s="13" t="s">
        <v>1064</v>
      </c>
      <c r="F316" s="14">
        <v>47.211433333333297</v>
      </c>
      <c r="G316" s="13">
        <v>60.72</v>
      </c>
      <c r="H316" s="13">
        <v>57.04</v>
      </c>
      <c r="I316" s="13">
        <v>63.71</v>
      </c>
      <c r="J316" s="14">
        <v>48.433273008138855</v>
      </c>
      <c r="K316" s="14">
        <v>63.046281139229784</v>
      </c>
      <c r="L316" s="14">
        <v>55.398077337434231</v>
      </c>
      <c r="M316" s="14">
        <v>59.131300000000003</v>
      </c>
      <c r="N316" s="14">
        <f t="shared" si="108"/>
        <v>57.170358333333326</v>
      </c>
      <c r="O316" s="14">
        <f t="shared" si="109"/>
        <v>56.502232871200718</v>
      </c>
      <c r="P316" s="14">
        <f t="shared" si="125"/>
        <v>56.836295602267022</v>
      </c>
      <c r="Q316" s="14">
        <v>48.678434844081259</v>
      </c>
      <c r="R316" s="17">
        <f t="shared" si="110"/>
        <v>51.321565155918741</v>
      </c>
      <c r="S316" s="14">
        <f t="shared" si="126"/>
        <v>0.56189408640326866</v>
      </c>
      <c r="T316" s="13">
        <v>0</v>
      </c>
      <c r="U316" s="13">
        <f t="shared" si="127"/>
        <v>31.935978391981944</v>
      </c>
      <c r="V316" s="13">
        <f>IF($T316=1,$AU316,(VLOOKUP(U316,'Cortes naturales'!$A$35:$C$39,3,9)))</f>
        <v>3</v>
      </c>
      <c r="W316" s="13">
        <v>3</v>
      </c>
      <c r="X316" s="14" t="b">
        <f t="shared" si="111"/>
        <v>1</v>
      </c>
      <c r="Y316" s="17">
        <f>IF($T316=1,$AU316,VLOOKUP(U316,'Cortes naturales'!$A$45:$C$49,3,9))</f>
        <v>3</v>
      </c>
      <c r="Z316" s="14">
        <v>55.25351061480329</v>
      </c>
      <c r="AA316" s="14">
        <v>0.56788636349790156</v>
      </c>
      <c r="AB316" s="14">
        <v>31.377715213533342</v>
      </c>
      <c r="AC316" s="13">
        <v>3</v>
      </c>
      <c r="AD316" s="13">
        <f t="shared" si="112"/>
        <v>0</v>
      </c>
      <c r="AE316" s="14">
        <f t="shared" si="113"/>
        <v>1.5827849874637323</v>
      </c>
      <c r="AF316" s="14">
        <f t="shared" si="114"/>
        <v>-5.9922770946329029E-3</v>
      </c>
      <c r="AG316" s="13">
        <f t="shared" si="115"/>
        <v>0.55826317844860185</v>
      </c>
      <c r="AH316" s="13">
        <f>IF($T316=1,$AU316,VLOOKUP(U316,'Cortes naturales'!$A$25:$C$29,3,9))</f>
        <v>3</v>
      </c>
      <c r="AI316" s="13" t="b">
        <f t="shared" si="116"/>
        <v>1</v>
      </c>
      <c r="AJ316" s="13">
        <f t="shared" si="117"/>
        <v>0</v>
      </c>
      <c r="AK316" s="28">
        <v>0.81759069605862034</v>
      </c>
      <c r="AL316" s="28">
        <v>45.17475620323939</v>
      </c>
      <c r="AM316" s="28">
        <v>0.39446256957907549</v>
      </c>
      <c r="AN316" s="13">
        <v>3</v>
      </c>
      <c r="AO316" s="33">
        <f t="shared" si="118"/>
        <v>0</v>
      </c>
      <c r="AP316" s="13">
        <f t="shared" si="128"/>
        <v>39.446256957907551</v>
      </c>
      <c r="AQ316" s="13">
        <f>IFERROR(VLOOKUP(U316,'Cortes naturales'!$E$15:$G$19,3,9),U316)</f>
        <v>4</v>
      </c>
      <c r="AR316" s="28">
        <f t="shared" si="119"/>
        <v>-0.25569660965535168</v>
      </c>
      <c r="AS316" s="13" t="b">
        <f t="shared" si="120"/>
        <v>0</v>
      </c>
      <c r="AT316" s="13">
        <f t="shared" si="129"/>
        <v>0</v>
      </c>
      <c r="AU316" s="13">
        <v>3</v>
      </c>
      <c r="AV316">
        <f t="shared" si="121"/>
        <v>0</v>
      </c>
      <c r="AW316" s="13">
        <v>0</v>
      </c>
      <c r="AX316" s="13">
        <v>0</v>
      </c>
      <c r="AY316" s="13">
        <v>0</v>
      </c>
      <c r="AZ316" s="13">
        <v>0</v>
      </c>
      <c r="BA316">
        <v>0</v>
      </c>
      <c r="BB316" t="s">
        <v>2839</v>
      </c>
      <c r="BC316">
        <v>6</v>
      </c>
      <c r="BD316" t="s">
        <v>2919</v>
      </c>
      <c r="BE316">
        <v>0</v>
      </c>
      <c r="BF316" s="232" t="s">
        <v>2846</v>
      </c>
      <c r="BG316" s="232" t="s">
        <v>2846</v>
      </c>
      <c r="BH316" s="253">
        <v>49.1</v>
      </c>
      <c r="BI316" s="253">
        <v>36.571714142928535</v>
      </c>
      <c r="BJ316" s="25">
        <v>9.2017583373460283</v>
      </c>
      <c r="BK316" t="s">
        <v>377</v>
      </c>
      <c r="BL316">
        <v>2.6348709821578291</v>
      </c>
      <c r="BM316" t="s">
        <v>383</v>
      </c>
      <c r="BN316" s="322">
        <v>39784.053284000001</v>
      </c>
      <c r="BO316" s="322">
        <v>2485.7107679999999</v>
      </c>
      <c r="BP316" s="10">
        <v>11927</v>
      </c>
      <c r="BQ316" s="254">
        <f t="shared" si="122"/>
        <v>3.335629519912803</v>
      </c>
      <c r="BR316" s="254">
        <f t="shared" si="123"/>
        <v>0.20841039389620189</v>
      </c>
      <c r="BS316" s="25">
        <v>63.813117081073301</v>
      </c>
      <c r="BT316" s="25">
        <v>95.307565467706311</v>
      </c>
      <c r="BU316" s="25">
        <v>12.36626358219417</v>
      </c>
      <c r="BV316" s="25">
        <v>96.2856856467954</v>
      </c>
      <c r="BW316" s="25">
        <v>57.279294991472803</v>
      </c>
      <c r="BX316" s="25">
        <v>66.943157944442291</v>
      </c>
      <c r="BY316" s="25">
        <v>58.199128440540292</v>
      </c>
      <c r="BZ316">
        <v>9</v>
      </c>
      <c r="CA316">
        <v>0</v>
      </c>
      <c r="CB316">
        <v>7</v>
      </c>
      <c r="CC316">
        <v>14640.010668999999</v>
      </c>
      <c r="CD316" s="10">
        <v>93.420837000000006</v>
      </c>
      <c r="CE316" s="255">
        <v>6.3812000627716213E-3</v>
      </c>
      <c r="CF316" t="str">
        <f>IFERROR(VLOOKUP(CE316,'Rangos amb etnico'!$A$2:$C$6,3,9),"N.D.")</f>
        <v>0,1% - 30%</v>
      </c>
      <c r="CG316" s="256">
        <v>2.7179643136107337E-6</v>
      </c>
      <c r="CH316" s="232">
        <v>0</v>
      </c>
      <c r="CI316" s="311">
        <f t="shared" si="130"/>
        <v>0</v>
      </c>
      <c r="CJ316" s="232">
        <f>IFERROR(VLOOKUP(CI316,'Rangos amb etnico'!$A$2:$C$6,3,9),"N.D.")</f>
        <v>0</v>
      </c>
      <c r="CK316" s="311">
        <f t="shared" si="131"/>
        <v>0</v>
      </c>
      <c r="CL316" s="10">
        <v>0</v>
      </c>
      <c r="CM316" s="255">
        <f t="shared" si="132"/>
        <v>0</v>
      </c>
      <c r="CN316" s="232">
        <f>IFERROR(VLOOKUP(CM316,'Rangos amb etnico'!$A$2:$C$6,3,9),"N.D.")</f>
        <v>0</v>
      </c>
      <c r="CO316" s="311">
        <f t="shared" si="133"/>
        <v>0</v>
      </c>
      <c r="CP316">
        <v>0.98248282275779353</v>
      </c>
      <c r="CQ316" t="s">
        <v>2864</v>
      </c>
      <c r="CR316">
        <f t="shared" si="124"/>
        <v>2</v>
      </c>
      <c r="CS316" t="str">
        <f t="shared" si="134"/>
        <v>No es Candidato</v>
      </c>
      <c r="CT316">
        <v>0</v>
      </c>
      <c r="CU316">
        <v>0</v>
      </c>
      <c r="CV316" s="25">
        <v>51.106586456298828</v>
      </c>
      <c r="CW316" s="25">
        <v>28.66777420043945</v>
      </c>
      <c r="CX316" s="25">
        <v>50.832981109619141</v>
      </c>
      <c r="CY316" s="25">
        <v>54.468669891357422</v>
      </c>
      <c r="CZ316" s="25">
        <v>31.938137054443359</v>
      </c>
      <c r="DA316" s="25">
        <v>76.674911499023438</v>
      </c>
      <c r="DB316" s="25">
        <v>64.057037353515625</v>
      </c>
      <c r="DC316">
        <v>718</v>
      </c>
      <c r="DD316" s="253" t="s">
        <v>380</v>
      </c>
    </row>
    <row r="317" spans="1:108" hidden="1">
      <c r="A317" s="13">
        <v>15204</v>
      </c>
      <c r="B317" s="13" t="s">
        <v>1091</v>
      </c>
      <c r="C317" s="13" t="s">
        <v>498</v>
      </c>
      <c r="D317" s="13" t="s">
        <v>499</v>
      </c>
      <c r="E317" s="13" t="s">
        <v>1092</v>
      </c>
      <c r="F317" s="14">
        <v>67.388999999999996</v>
      </c>
      <c r="G317" s="13">
        <v>84.75</v>
      </c>
      <c r="H317" s="13">
        <v>85.99</v>
      </c>
      <c r="I317" s="13">
        <v>89.77</v>
      </c>
      <c r="J317" s="14">
        <v>69.458743415022468</v>
      </c>
      <c r="K317" s="14">
        <v>66.491821400284891</v>
      </c>
      <c r="L317" s="14">
        <v>61.369204168814107</v>
      </c>
      <c r="M317" s="14">
        <v>58.732199999999999</v>
      </c>
      <c r="N317" s="14">
        <f t="shared" si="108"/>
        <v>81.97475</v>
      </c>
      <c r="O317" s="14">
        <f t="shared" si="109"/>
        <v>64.012992246030365</v>
      </c>
      <c r="P317" s="14">
        <f t="shared" si="125"/>
        <v>72.993871123015182</v>
      </c>
      <c r="Q317" s="14">
        <v>49.205179105838027</v>
      </c>
      <c r="R317" s="17">
        <f t="shared" si="110"/>
        <v>50.794820894161973</v>
      </c>
      <c r="S317" s="14">
        <f t="shared" si="126"/>
        <v>0.55715338804745773</v>
      </c>
      <c r="T317" s="13">
        <v>0</v>
      </c>
      <c r="U317" s="13">
        <f t="shared" si="127"/>
        <v>40.668782602887397</v>
      </c>
      <c r="V317" s="13">
        <f>IF($T317=1,$AU317,(VLOOKUP(U317,'Cortes naturales'!$A$35:$C$39,3,9)))</f>
        <v>2</v>
      </c>
      <c r="W317" s="13">
        <v>2</v>
      </c>
      <c r="X317" s="14" t="b">
        <f t="shared" si="111"/>
        <v>1</v>
      </c>
      <c r="Y317" s="17">
        <f>IF($T317=1,$AU317,VLOOKUP(U317,'Cortes naturales'!$A$45:$C$49,3,9))</f>
        <v>2</v>
      </c>
      <c r="Z317" s="14">
        <v>68.477301945905268</v>
      </c>
      <c r="AA317" s="14">
        <v>0.56690946831920286</v>
      </c>
      <c r="AB317" s="14">
        <v>38.820430838086672</v>
      </c>
      <c r="AC317" s="13">
        <v>2</v>
      </c>
      <c r="AD317" s="13">
        <f t="shared" si="112"/>
        <v>0</v>
      </c>
      <c r="AE317" s="14">
        <f t="shared" si="113"/>
        <v>4.5165691771099148</v>
      </c>
      <c r="AF317" s="14">
        <f t="shared" si="114"/>
        <v>-9.7560802717451267E-3</v>
      </c>
      <c r="AG317" s="13">
        <f t="shared" si="115"/>
        <v>1.8483517648007251</v>
      </c>
      <c r="AH317" s="13">
        <f>IF($T317=1,$AU317,VLOOKUP(U317,'Cortes naturales'!$A$25:$C$29,3,9))</f>
        <v>2</v>
      </c>
      <c r="AI317" s="13" t="b">
        <f t="shared" si="116"/>
        <v>1</v>
      </c>
      <c r="AJ317" s="13">
        <f t="shared" si="117"/>
        <v>0</v>
      </c>
      <c r="AK317" s="28">
        <v>0.81759069605862034</v>
      </c>
      <c r="AL317" s="28">
        <v>55.986404962169004</v>
      </c>
      <c r="AM317" s="28">
        <v>0.52970489900126472</v>
      </c>
      <c r="AN317" s="13">
        <v>2</v>
      </c>
      <c r="AO317" s="33">
        <f t="shared" si="118"/>
        <v>0</v>
      </c>
      <c r="AP317" s="13">
        <f t="shared" si="128"/>
        <v>52.970489900126474</v>
      </c>
      <c r="AQ317" s="13">
        <f>IFERROR(VLOOKUP(U317,'Cortes naturales'!$E$15:$G$19,3,9),U317)</f>
        <v>3</v>
      </c>
      <c r="AR317" s="28">
        <f t="shared" si="119"/>
        <v>-0.2604373080111626</v>
      </c>
      <c r="AS317" s="13" t="b">
        <f t="shared" si="120"/>
        <v>0</v>
      </c>
      <c r="AT317" s="13">
        <f t="shared" si="129"/>
        <v>0</v>
      </c>
      <c r="AU317" s="13">
        <v>2</v>
      </c>
      <c r="AV317">
        <f t="shared" si="121"/>
        <v>0</v>
      </c>
      <c r="AW317" s="13">
        <v>0</v>
      </c>
      <c r="AX317" s="13">
        <v>0</v>
      </c>
      <c r="AY317" s="13">
        <v>0</v>
      </c>
      <c r="AZ317" s="13">
        <v>0</v>
      </c>
      <c r="BA317">
        <v>0</v>
      </c>
      <c r="BB317" t="s">
        <v>2839</v>
      </c>
      <c r="BC317">
        <v>6</v>
      </c>
      <c r="BD317" s="184" t="s">
        <v>2917</v>
      </c>
      <c r="BE317">
        <v>0</v>
      </c>
      <c r="BF317" s="232" t="s">
        <v>2846</v>
      </c>
      <c r="BG317" s="232" t="s">
        <v>2846</v>
      </c>
      <c r="BH317" s="253">
        <v>36.1</v>
      </c>
      <c r="BI317" s="253">
        <v>10.523498554758591</v>
      </c>
      <c r="BJ317" s="25">
        <v>6.2155434947768287</v>
      </c>
      <c r="BK317" t="s">
        <v>377</v>
      </c>
      <c r="BL317">
        <v>1.2248129981031279</v>
      </c>
      <c r="BM317" t="s">
        <v>383</v>
      </c>
      <c r="BN317" s="322">
        <v>23305.447970000001</v>
      </c>
      <c r="BO317" s="322">
        <v>5360.1657759999998</v>
      </c>
      <c r="BP317" s="10">
        <v>13473</v>
      </c>
      <c r="BQ317" s="254">
        <f t="shared" si="122"/>
        <v>1.7297890573740073</v>
      </c>
      <c r="BR317" s="254">
        <f t="shared" si="123"/>
        <v>0.39784500675424922</v>
      </c>
      <c r="BS317" s="25">
        <v>65.730154859486447</v>
      </c>
      <c r="BT317" s="25">
        <v>82.246818772854354</v>
      </c>
      <c r="BU317" s="25">
        <v>40.865000000000002</v>
      </c>
      <c r="BV317" s="25">
        <v>93.0363554798178</v>
      </c>
      <c r="BW317" s="25">
        <v>60.15517951896463</v>
      </c>
      <c r="BX317" s="25">
        <v>70.469582278039653</v>
      </c>
      <c r="BY317" s="25">
        <v>61.221774002742023</v>
      </c>
      <c r="BZ317">
        <v>79</v>
      </c>
      <c r="CA317">
        <v>0</v>
      </c>
      <c r="CB317">
        <v>7</v>
      </c>
      <c r="CC317">
        <v>13800.257235999999</v>
      </c>
      <c r="CD317" s="10">
        <v>2558.3389120000002</v>
      </c>
      <c r="CE317" s="255">
        <v>0.18538342208043754</v>
      </c>
      <c r="CF317" t="str">
        <f>IFERROR(VLOOKUP(CE317,'Rangos amb etnico'!$A$2:$C$6,3,9),"N.D.")</f>
        <v>0,1% - 30%</v>
      </c>
      <c r="CG317" s="256">
        <v>7.4431723031315937E-5</v>
      </c>
      <c r="CH317" s="232">
        <v>0</v>
      </c>
      <c r="CI317" s="311">
        <f t="shared" si="130"/>
        <v>0</v>
      </c>
      <c r="CJ317" s="232">
        <f>IFERROR(VLOOKUP(CI317,'Rangos amb etnico'!$A$2:$C$6,3,9),"N.D.")</f>
        <v>0</v>
      </c>
      <c r="CK317" s="311">
        <f t="shared" si="131"/>
        <v>0</v>
      </c>
      <c r="CL317" s="10">
        <v>0</v>
      </c>
      <c r="CM317" s="255">
        <f t="shared" si="132"/>
        <v>0</v>
      </c>
      <c r="CN317" s="232">
        <f>IFERROR(VLOOKUP(CM317,'Rangos amb etnico'!$A$2:$C$6,3,9),"N.D.")</f>
        <v>0</v>
      </c>
      <c r="CO317" s="311">
        <f t="shared" si="133"/>
        <v>0</v>
      </c>
      <c r="CP317">
        <v>0.93622630756114289</v>
      </c>
      <c r="CQ317" t="s">
        <v>2864</v>
      </c>
      <c r="CR317">
        <f t="shared" si="124"/>
        <v>3</v>
      </c>
      <c r="CS317" t="str">
        <f t="shared" si="134"/>
        <v>Candidato</v>
      </c>
      <c r="CT317">
        <v>0</v>
      </c>
      <c r="CU317">
        <v>0</v>
      </c>
      <c r="CV317" s="25">
        <v>47.729774475097663</v>
      </c>
      <c r="CW317" s="25">
        <v>30.295400619506839</v>
      </c>
      <c r="CX317" s="25">
        <v>53.014533996582031</v>
      </c>
      <c r="CY317" s="25">
        <v>66.105995178222656</v>
      </c>
      <c r="CZ317" s="25">
        <v>56.718173980712891</v>
      </c>
      <c r="DA317" s="25">
        <v>30.212884902954102</v>
      </c>
      <c r="DB317" s="25">
        <v>50.031658172607422</v>
      </c>
      <c r="DC317">
        <v>299</v>
      </c>
      <c r="DD317" s="253" t="s">
        <v>380</v>
      </c>
    </row>
    <row r="318" spans="1:108" hidden="1">
      <c r="A318" s="13">
        <v>52207</v>
      </c>
      <c r="B318" s="13" t="s">
        <v>1093</v>
      </c>
      <c r="C318" s="13" t="s">
        <v>672</v>
      </c>
      <c r="D318" s="13" t="s">
        <v>673</v>
      </c>
      <c r="E318" s="13" t="s">
        <v>1094</v>
      </c>
      <c r="F318" s="14">
        <v>58.561966666666699</v>
      </c>
      <c r="G318" s="13">
        <v>57.97</v>
      </c>
      <c r="H318" s="13">
        <v>51.32</v>
      </c>
      <c r="I318" s="13">
        <v>51.21</v>
      </c>
      <c r="J318" s="14">
        <v>44.130580106218865</v>
      </c>
      <c r="K318" s="14">
        <v>54.259536433536404</v>
      </c>
      <c r="L318" s="14">
        <v>63.862613278650969</v>
      </c>
      <c r="M318" s="14">
        <v>69.960099999999997</v>
      </c>
      <c r="N318" s="14">
        <f t="shared" si="108"/>
        <v>54.765491666666676</v>
      </c>
      <c r="O318" s="14">
        <f t="shared" si="109"/>
        <v>58.053207454601562</v>
      </c>
      <c r="P318" s="14">
        <f t="shared" si="125"/>
        <v>56.409349560634119</v>
      </c>
      <c r="Q318" s="14">
        <v>48.829686765155536</v>
      </c>
      <c r="R318" s="17">
        <f t="shared" si="110"/>
        <v>51.170313234844464</v>
      </c>
      <c r="S318" s="14">
        <f t="shared" si="126"/>
        <v>0.5605328191136002</v>
      </c>
      <c r="T318" s="13">
        <v>0</v>
      </c>
      <c r="U318" s="13">
        <f t="shared" si="127"/>
        <v>31.619291733586767</v>
      </c>
      <c r="V318" s="13">
        <f>IF($T318=1,$AU318,(VLOOKUP(U318,'Cortes naturales'!$A$35:$C$39,3,9)))</f>
        <v>3</v>
      </c>
      <c r="W318" s="13">
        <v>3</v>
      </c>
      <c r="X318" s="14" t="b">
        <f t="shared" si="111"/>
        <v>1</v>
      </c>
      <c r="Y318" s="17">
        <f>IF($T318=1,$AU318,VLOOKUP(U318,'Cortes naturales'!$A$45:$C$49,3,9))</f>
        <v>3</v>
      </c>
      <c r="Z318" s="14">
        <v>55.801661322753993</v>
      </c>
      <c r="AA318" s="14">
        <v>0.56762880764236978</v>
      </c>
      <c r="AB318" s="14">
        <v>31.674630481098191</v>
      </c>
      <c r="AC318" s="13">
        <v>3</v>
      </c>
      <c r="AD318" s="13">
        <f t="shared" si="112"/>
        <v>0</v>
      </c>
      <c r="AE318" s="14">
        <f t="shared" si="113"/>
        <v>0.60768823788012583</v>
      </c>
      <c r="AF318" s="14">
        <f t="shared" si="114"/>
        <v>-7.0959885287695812E-3</v>
      </c>
      <c r="AG318" s="13">
        <f t="shared" si="115"/>
        <v>-5.5338747511424202E-2</v>
      </c>
      <c r="AH318" s="13">
        <f>IF($T318=1,$AU318,VLOOKUP(U318,'Cortes naturales'!$A$25:$C$29,3,9))</f>
        <v>3</v>
      </c>
      <c r="AI318" s="13" t="b">
        <f t="shared" si="116"/>
        <v>1</v>
      </c>
      <c r="AJ318" s="13">
        <f t="shared" si="117"/>
        <v>0</v>
      </c>
      <c r="AK318" s="28">
        <v>0.81759069605862034</v>
      </c>
      <c r="AL318" s="28">
        <v>45.622919122097834</v>
      </c>
      <c r="AM318" s="28">
        <v>0.40006861528574938</v>
      </c>
      <c r="AN318" s="13">
        <v>3</v>
      </c>
      <c r="AO318" s="33">
        <f t="shared" si="118"/>
        <v>0</v>
      </c>
      <c r="AP318" s="13">
        <f t="shared" si="128"/>
        <v>40.006861528574937</v>
      </c>
      <c r="AQ318" s="13">
        <f>IFERROR(VLOOKUP(U318,'Cortes naturales'!$E$15:$G$19,3,9),U318)</f>
        <v>4</v>
      </c>
      <c r="AR318" s="28">
        <f t="shared" si="119"/>
        <v>-0.25705787694502014</v>
      </c>
      <c r="AS318" s="13" t="b">
        <f t="shared" si="120"/>
        <v>0</v>
      </c>
      <c r="AT318" s="13">
        <f t="shared" si="129"/>
        <v>0</v>
      </c>
      <c r="AU318" s="13">
        <v>3</v>
      </c>
      <c r="AV318">
        <f t="shared" si="121"/>
        <v>0</v>
      </c>
      <c r="AW318" s="13">
        <v>0</v>
      </c>
      <c r="AX318" s="13">
        <v>0</v>
      </c>
      <c r="AY318" s="13">
        <v>0</v>
      </c>
      <c r="AZ318" s="13">
        <v>0</v>
      </c>
      <c r="BA318">
        <v>0</v>
      </c>
      <c r="BB318" t="s">
        <v>2839</v>
      </c>
      <c r="BC318">
        <v>6</v>
      </c>
      <c r="BD318" t="s">
        <v>2919</v>
      </c>
      <c r="BE318">
        <v>0</v>
      </c>
      <c r="BF318" s="232" t="s">
        <v>2846</v>
      </c>
      <c r="BG318" s="232" t="s">
        <v>2845</v>
      </c>
      <c r="BH318" s="253">
        <v>34.9</v>
      </c>
      <c r="BI318" s="253">
        <v>13.428401663695782</v>
      </c>
      <c r="BJ318" s="25">
        <v>33.710069497364586</v>
      </c>
      <c r="BK318" t="s">
        <v>379</v>
      </c>
      <c r="BL318">
        <v>1.2717034985895654</v>
      </c>
      <c r="BM318" t="s">
        <v>383</v>
      </c>
      <c r="BN318" s="322">
        <v>32176.835180999999</v>
      </c>
      <c r="BO318" s="322">
        <v>1193.3875599999999</v>
      </c>
      <c r="BP318" s="10">
        <v>15175</v>
      </c>
      <c r="BQ318" s="254">
        <f t="shared" si="122"/>
        <v>2.120384525930807</v>
      </c>
      <c r="BR318" s="254">
        <f t="shared" si="123"/>
        <v>7.8641684349258639E-2</v>
      </c>
      <c r="BS318" s="25">
        <v>53.678553885450427</v>
      </c>
      <c r="BT318" s="25">
        <v>78.223124415156505</v>
      </c>
      <c r="BU318" s="25">
        <v>53.620189228529831</v>
      </c>
      <c r="BV318" s="25">
        <v>95.637166070601367</v>
      </c>
      <c r="BW318" s="25">
        <v>50.459488162463323</v>
      </c>
      <c r="BX318" s="25">
        <v>70.289758399934527</v>
      </c>
      <c r="BY318" s="25">
        <v>51.027627096992383</v>
      </c>
      <c r="BZ318">
        <v>80</v>
      </c>
      <c r="CA318">
        <v>0</v>
      </c>
      <c r="CB318">
        <v>7</v>
      </c>
      <c r="CC318">
        <v>11947.078231</v>
      </c>
      <c r="CD318" s="10">
        <v>4487.873681</v>
      </c>
      <c r="CE318" s="255">
        <v>0.37564612821861082</v>
      </c>
      <c r="CF318" t="str">
        <f>IFERROR(VLOOKUP(CE318,'Rangos amb etnico'!$A$2:$C$6,3,9),"N.D.")</f>
        <v>31% - 50%</v>
      </c>
      <c r="CG318" s="256">
        <v>1.3056916316164929E-4</v>
      </c>
      <c r="CH318" s="232">
        <v>0</v>
      </c>
      <c r="CI318" s="311">
        <f t="shared" si="130"/>
        <v>0</v>
      </c>
      <c r="CJ318" s="232">
        <f>IFERROR(VLOOKUP(CI318,'Rangos amb etnico'!$A$2:$C$6,3,9),"N.D.")</f>
        <v>0</v>
      </c>
      <c r="CK318" s="311">
        <f t="shared" si="131"/>
        <v>0</v>
      </c>
      <c r="CL318" s="10">
        <v>0</v>
      </c>
      <c r="CM318" s="255">
        <f t="shared" si="132"/>
        <v>0</v>
      </c>
      <c r="CN318" s="232">
        <f>IFERROR(VLOOKUP(CM318,'Rangos amb etnico'!$A$2:$C$6,3,9),"N.D.")</f>
        <v>0</v>
      </c>
      <c r="CO318" s="311">
        <f t="shared" si="133"/>
        <v>0</v>
      </c>
      <c r="CP318">
        <v>0.95418785158682196</v>
      </c>
      <c r="CQ318" t="s">
        <v>2864</v>
      </c>
      <c r="CR318">
        <f t="shared" si="124"/>
        <v>2</v>
      </c>
      <c r="CS318" t="str">
        <f t="shared" si="134"/>
        <v>No es Candidato</v>
      </c>
      <c r="CT318">
        <v>0</v>
      </c>
      <c r="CU318">
        <v>0</v>
      </c>
      <c r="CV318" s="25">
        <v>59.325229644775391</v>
      </c>
      <c r="CW318" s="25">
        <v>28.783185958862301</v>
      </c>
      <c r="CX318" s="25">
        <v>48.247123718261719</v>
      </c>
      <c r="CY318" s="25">
        <v>68.091423034667969</v>
      </c>
      <c r="CZ318" s="25">
        <v>61.448097229003913</v>
      </c>
      <c r="DA318" s="25">
        <v>87.063461303710938</v>
      </c>
      <c r="DB318" s="25">
        <v>62.318088531494141</v>
      </c>
      <c r="DC318">
        <v>797</v>
      </c>
      <c r="DD318" s="253" t="s">
        <v>380</v>
      </c>
    </row>
    <row r="319" spans="1:108" hidden="1">
      <c r="A319" s="13">
        <v>25599</v>
      </c>
      <c r="B319" s="13" t="s">
        <v>1095</v>
      </c>
      <c r="C319" s="13" t="s">
        <v>461</v>
      </c>
      <c r="D319" s="13" t="s">
        <v>462</v>
      </c>
      <c r="E319" s="13" t="s">
        <v>1096</v>
      </c>
      <c r="F319" s="14">
        <v>61.6327</v>
      </c>
      <c r="G319" s="13">
        <v>50.71</v>
      </c>
      <c r="H319" s="13">
        <v>51.28</v>
      </c>
      <c r="I319" s="13">
        <v>54.63</v>
      </c>
      <c r="J319" s="14">
        <v>47.209754890212487</v>
      </c>
      <c r="K319" s="14">
        <v>43.828874663458151</v>
      </c>
      <c r="L319" s="14">
        <v>66.263279937602363</v>
      </c>
      <c r="M319" s="14">
        <v>57.762099999999997</v>
      </c>
      <c r="N319" s="14">
        <f t="shared" si="108"/>
        <v>54.563175000000001</v>
      </c>
      <c r="O319" s="14">
        <f t="shared" si="109"/>
        <v>53.766002372818249</v>
      </c>
      <c r="P319" s="14">
        <f t="shared" si="125"/>
        <v>54.164588686409125</v>
      </c>
      <c r="Q319" s="14">
        <v>49.942205187208671</v>
      </c>
      <c r="R319" s="17">
        <f t="shared" si="110"/>
        <v>50.057794812791329</v>
      </c>
      <c r="S319" s="14">
        <f t="shared" si="126"/>
        <v>0.55052015331512205</v>
      </c>
      <c r="T319" s="13">
        <v>0</v>
      </c>
      <c r="U319" s="13">
        <f t="shared" si="127"/>
        <v>29.818697667892476</v>
      </c>
      <c r="V319" s="13">
        <f>IF($T319=1,$AU319,(VLOOKUP(U319,'Cortes naturales'!$A$35:$C$39,3,9)))</f>
        <v>3</v>
      </c>
      <c r="W319" s="13">
        <v>3</v>
      </c>
      <c r="X319" s="14" t="b">
        <f t="shared" si="111"/>
        <v>1</v>
      </c>
      <c r="Y319" s="17">
        <f>IF($T319=1,$AU319,VLOOKUP(U319,'Cortes naturales'!$A$45:$C$49,3,9))</f>
        <v>3</v>
      </c>
      <c r="Z319" s="14">
        <v>54.512887272406019</v>
      </c>
      <c r="AA319" s="14">
        <v>0.56804643321686854</v>
      </c>
      <c r="AB319" s="14">
        <v>30.965851179443469</v>
      </c>
      <c r="AC319" s="13">
        <v>3</v>
      </c>
      <c r="AD319" s="13">
        <f t="shared" si="112"/>
        <v>0</v>
      </c>
      <c r="AE319" s="14">
        <f t="shared" si="113"/>
        <v>-0.34829858599689345</v>
      </c>
      <c r="AF319" s="14">
        <f t="shared" si="114"/>
        <v>-1.7526279901746489E-2</v>
      </c>
      <c r="AG319" s="13">
        <f t="shared" si="115"/>
        <v>-1.147153511550993</v>
      </c>
      <c r="AH319" s="13">
        <f>IF($T319=1,$AU319,VLOOKUP(U319,'Cortes naturales'!$A$25:$C$29,3,9))</f>
        <v>3</v>
      </c>
      <c r="AI319" s="13" t="b">
        <f t="shared" si="116"/>
        <v>1</v>
      </c>
      <c r="AJ319" s="13">
        <f t="shared" si="117"/>
        <v>0</v>
      </c>
      <c r="AK319" s="28">
        <v>0.81759069605862034</v>
      </c>
      <c r="AL319" s="28">
        <v>44.569229449211541</v>
      </c>
      <c r="AM319" s="28">
        <v>0.38688806817155003</v>
      </c>
      <c r="AN319" s="13">
        <v>3</v>
      </c>
      <c r="AO319" s="33">
        <f t="shared" si="118"/>
        <v>0</v>
      </c>
      <c r="AP319" s="13">
        <f t="shared" si="128"/>
        <v>38.688806817155005</v>
      </c>
      <c r="AQ319" s="13">
        <f>IFERROR(VLOOKUP(U319,'Cortes naturales'!$E$15:$G$19,3,9),U319)</f>
        <v>4</v>
      </c>
      <c r="AR319" s="28">
        <f t="shared" si="119"/>
        <v>-0.26707054274349828</v>
      </c>
      <c r="AS319" s="13" t="b">
        <f t="shared" si="120"/>
        <v>0</v>
      </c>
      <c r="AT319" s="13">
        <f t="shared" si="129"/>
        <v>0</v>
      </c>
      <c r="AU319" s="13">
        <v>2</v>
      </c>
      <c r="AV319">
        <f t="shared" si="121"/>
        <v>-1</v>
      </c>
      <c r="AW319" s="13">
        <v>0</v>
      </c>
      <c r="AX319" s="13">
        <v>0</v>
      </c>
      <c r="AY319" s="13">
        <v>0</v>
      </c>
      <c r="AZ319" s="13">
        <v>0</v>
      </c>
      <c r="BA319">
        <v>0</v>
      </c>
      <c r="BB319" t="s">
        <v>2839</v>
      </c>
      <c r="BC319">
        <v>6</v>
      </c>
      <c r="BD319" t="s">
        <v>2919</v>
      </c>
      <c r="BE319">
        <v>0</v>
      </c>
      <c r="BF319" s="232" t="s">
        <v>2846</v>
      </c>
      <c r="BG319" s="232" t="s">
        <v>2846</v>
      </c>
      <c r="BH319" s="253">
        <v>28.4</v>
      </c>
      <c r="BI319" s="253">
        <v>18.406374501992033</v>
      </c>
      <c r="BJ319" s="25">
        <v>23.26</v>
      </c>
      <c r="BK319" t="s">
        <v>379</v>
      </c>
      <c r="BL319">
        <v>2.6702230030814338</v>
      </c>
      <c r="BM319" t="s">
        <v>383</v>
      </c>
      <c r="BN319" s="322">
        <v>21148.442493999999</v>
      </c>
      <c r="BO319" s="322">
        <v>6638.4716859999999</v>
      </c>
      <c r="BP319" s="10">
        <v>8624</v>
      </c>
      <c r="BQ319" s="254">
        <f t="shared" si="122"/>
        <v>2.4522776546846008</v>
      </c>
      <c r="BR319" s="254">
        <f t="shared" si="123"/>
        <v>0.769767125</v>
      </c>
      <c r="BS319" s="25">
        <v>50.588796620046622</v>
      </c>
      <c r="BT319" s="25">
        <v>87.42597424860854</v>
      </c>
      <c r="BU319" s="25">
        <v>41.774506790564658</v>
      </c>
      <c r="BV319" s="25">
        <v>89.378624435584413</v>
      </c>
      <c r="BW319" s="25">
        <v>60.736839015158949</v>
      </c>
      <c r="BX319" s="25">
        <v>67.291975523701055</v>
      </c>
      <c r="BY319" s="25">
        <v>62.442375313049013</v>
      </c>
      <c r="BZ319">
        <v>93</v>
      </c>
      <c r="CA319">
        <v>0</v>
      </c>
      <c r="CB319">
        <v>7</v>
      </c>
      <c r="CC319">
        <v>12187.188063</v>
      </c>
      <c r="CD319" s="10">
        <v>7113.1636680000001</v>
      </c>
      <c r="CE319" s="255">
        <v>0.58365913705683992</v>
      </c>
      <c r="CF319" t="str">
        <f>IFERROR(VLOOKUP(CE319,'Rangos amb etnico'!$A$2:$C$6,3,9),"N.D.")</f>
        <v>51% - 70%</v>
      </c>
      <c r="CG319" s="256">
        <v>2.0694874534785455E-4</v>
      </c>
      <c r="CH319" s="232">
        <v>0</v>
      </c>
      <c r="CI319" s="311">
        <f t="shared" si="130"/>
        <v>0</v>
      </c>
      <c r="CJ319" s="232">
        <f>IFERROR(VLOOKUP(CI319,'Rangos amb etnico'!$A$2:$C$6,3,9),"N.D.")</f>
        <v>0</v>
      </c>
      <c r="CK319" s="311">
        <f t="shared" si="131"/>
        <v>0</v>
      </c>
      <c r="CL319" s="10">
        <v>0</v>
      </c>
      <c r="CM319" s="255">
        <f t="shared" si="132"/>
        <v>0</v>
      </c>
      <c r="CN319" s="232">
        <f>IFERROR(VLOOKUP(CM319,'Rangos amb etnico'!$A$2:$C$6,3,9),"N.D.")</f>
        <v>0</v>
      </c>
      <c r="CO319" s="311">
        <f t="shared" si="133"/>
        <v>0</v>
      </c>
      <c r="CP319">
        <v>0.947278820802824</v>
      </c>
      <c r="CQ319" t="s">
        <v>2864</v>
      </c>
      <c r="CR319">
        <f t="shared" si="124"/>
        <v>2</v>
      </c>
      <c r="CS319" t="str">
        <f t="shared" si="134"/>
        <v>No es Candidato</v>
      </c>
      <c r="CT319">
        <v>0</v>
      </c>
      <c r="CU319">
        <v>0</v>
      </c>
      <c r="CV319" s="25">
        <v>41.105949401855469</v>
      </c>
      <c r="CW319" s="25">
        <v>26.895364761352539</v>
      </c>
      <c r="CX319" s="25">
        <v>55.021633148193359</v>
      </c>
      <c r="CY319" s="25">
        <v>61.853366851806641</v>
      </c>
      <c r="CZ319" s="25">
        <v>27.155830383300781</v>
      </c>
      <c r="DA319" s="25">
        <v>27.705190658569339</v>
      </c>
      <c r="DB319" s="25">
        <v>48.004302978515618</v>
      </c>
      <c r="DC319">
        <v>54</v>
      </c>
      <c r="DD319" s="253" t="s">
        <v>380</v>
      </c>
    </row>
    <row r="320" spans="1:108" hidden="1">
      <c r="A320" s="13">
        <v>47268</v>
      </c>
      <c r="B320" s="13" t="s">
        <v>1097</v>
      </c>
      <c r="C320" s="13" t="s">
        <v>638</v>
      </c>
      <c r="D320" s="13" t="s">
        <v>639</v>
      </c>
      <c r="E320" s="13" t="s">
        <v>1098</v>
      </c>
      <c r="F320" s="14">
        <v>52.131999999999998</v>
      </c>
      <c r="G320" s="13">
        <v>72.67</v>
      </c>
      <c r="H320" s="13">
        <v>33.68</v>
      </c>
      <c r="I320" s="13">
        <v>69.959999999999994</v>
      </c>
      <c r="J320" s="14">
        <v>60.018644506686357</v>
      </c>
      <c r="K320" s="14">
        <v>53.414022208329158</v>
      </c>
      <c r="L320" s="14">
        <v>48.503733093946231</v>
      </c>
      <c r="M320" s="14">
        <v>53.950899999999997</v>
      </c>
      <c r="N320" s="14">
        <f t="shared" si="108"/>
        <v>57.110500000000002</v>
      </c>
      <c r="O320" s="14">
        <f t="shared" si="109"/>
        <v>53.971824952240432</v>
      </c>
      <c r="P320" s="14">
        <f t="shared" si="125"/>
        <v>55.541162476120221</v>
      </c>
      <c r="Q320" s="14">
        <v>49.400760116857249</v>
      </c>
      <c r="R320" s="17">
        <f t="shared" si="110"/>
        <v>50.599239883142751</v>
      </c>
      <c r="S320" s="14">
        <f t="shared" si="126"/>
        <v>0.55539315894828478</v>
      </c>
      <c r="T320" s="13">
        <v>0</v>
      </c>
      <c r="U320" s="13">
        <f t="shared" si="127"/>
        <v>30.847181679272349</v>
      </c>
      <c r="V320" s="13">
        <f>IF($T320=1,$AU320,(VLOOKUP(U320,'Cortes naturales'!$A$35:$C$39,3,9)))</f>
        <v>3</v>
      </c>
      <c r="W320" s="13">
        <v>3</v>
      </c>
      <c r="X320" s="14" t="b">
        <f t="shared" si="111"/>
        <v>1</v>
      </c>
      <c r="Y320" s="17">
        <f>IF($T320=1,$AU320,VLOOKUP(U320,'Cortes naturales'!$A$45:$C$49,3,9))</f>
        <v>3</v>
      </c>
      <c r="Z320" s="14">
        <v>53.715502693393177</v>
      </c>
      <c r="AA320" s="14">
        <v>0.56666071292094111</v>
      </c>
      <c r="AB320" s="14">
        <v>30.43846505114491</v>
      </c>
      <c r="AC320" s="13">
        <v>3</v>
      </c>
      <c r="AD320" s="13">
        <f t="shared" si="112"/>
        <v>0</v>
      </c>
      <c r="AE320" s="14">
        <f t="shared" si="113"/>
        <v>1.825659782727044</v>
      </c>
      <c r="AF320" s="14">
        <f t="shared" si="114"/>
        <v>-1.126755397265633E-2</v>
      </c>
      <c r="AG320" s="13">
        <f t="shared" si="115"/>
        <v>0.40871662812743992</v>
      </c>
      <c r="AH320" s="13">
        <f>IF($T320=1,$AU320,VLOOKUP(U320,'Cortes naturales'!$A$25:$C$29,3,9))</f>
        <v>3</v>
      </c>
      <c r="AI320" s="13" t="b">
        <f t="shared" si="116"/>
        <v>1</v>
      </c>
      <c r="AJ320" s="13">
        <f t="shared" si="117"/>
        <v>0</v>
      </c>
      <c r="AK320" s="28">
        <v>0.81759069605862034</v>
      </c>
      <c r="AL320" s="28">
        <v>43.917295236230025</v>
      </c>
      <c r="AM320" s="28">
        <v>0.37873305837058691</v>
      </c>
      <c r="AN320" s="13">
        <v>3</v>
      </c>
      <c r="AO320" s="33">
        <f t="shared" si="118"/>
        <v>0</v>
      </c>
      <c r="AP320" s="13">
        <f t="shared" si="128"/>
        <v>37.873305837058687</v>
      </c>
      <c r="AQ320" s="13">
        <f>IFERROR(VLOOKUP(U320,'Cortes naturales'!$E$15:$G$19,3,9),U320)</f>
        <v>4</v>
      </c>
      <c r="AR320" s="28">
        <f t="shared" si="119"/>
        <v>-0.26219753711033555</v>
      </c>
      <c r="AS320" s="13" t="b">
        <f t="shared" si="120"/>
        <v>0</v>
      </c>
      <c r="AT320" s="13">
        <f t="shared" si="129"/>
        <v>0</v>
      </c>
      <c r="AU320" s="13">
        <v>3</v>
      </c>
      <c r="AV320">
        <f t="shared" si="121"/>
        <v>0</v>
      </c>
      <c r="AW320" s="13">
        <v>0</v>
      </c>
      <c r="AX320" s="13">
        <v>0</v>
      </c>
      <c r="AY320" s="13">
        <v>0</v>
      </c>
      <c r="AZ320" s="13">
        <v>0</v>
      </c>
      <c r="BA320">
        <v>0</v>
      </c>
      <c r="BB320" t="s">
        <v>2839</v>
      </c>
      <c r="BC320">
        <v>6</v>
      </c>
      <c r="BD320" t="s">
        <v>2919</v>
      </c>
      <c r="BE320">
        <v>1</v>
      </c>
      <c r="BF320" s="232" t="s">
        <v>2846</v>
      </c>
      <c r="BG320" s="232" t="s">
        <v>2846</v>
      </c>
      <c r="BH320" s="253">
        <v>63.6</v>
      </c>
      <c r="BI320" s="253">
        <v>35.466528818816229</v>
      </c>
      <c r="BJ320" s="25">
        <v>2.6785714285714284</v>
      </c>
      <c r="BK320" t="s">
        <v>381</v>
      </c>
      <c r="BL320">
        <v>4.4713306707332618</v>
      </c>
      <c r="BM320" t="s">
        <v>383</v>
      </c>
      <c r="BN320" s="322">
        <v>38828.056496999998</v>
      </c>
      <c r="BO320" s="322">
        <v>3651.2446970000001</v>
      </c>
      <c r="BP320" s="10">
        <v>21274</v>
      </c>
      <c r="BQ320" s="254">
        <f t="shared" si="122"/>
        <v>1.8251413226003572</v>
      </c>
      <c r="BR320" s="254">
        <f t="shared" si="123"/>
        <v>0.17162943955062518</v>
      </c>
      <c r="BS320" s="25">
        <v>59.888859230787482</v>
      </c>
      <c r="BT320" s="25">
        <v>84.239716151205258</v>
      </c>
      <c r="BU320" s="25">
        <v>32.210451627693701</v>
      </c>
      <c r="BV320" s="25">
        <v>89.810072163056262</v>
      </c>
      <c r="BW320" s="25">
        <v>66.266241733432892</v>
      </c>
      <c r="BX320" s="25">
        <v>66.537274793185674</v>
      </c>
      <c r="BY320" s="25">
        <v>69.966784385938141</v>
      </c>
      <c r="BZ320">
        <v>42</v>
      </c>
      <c r="CA320">
        <v>0</v>
      </c>
      <c r="CB320">
        <v>7</v>
      </c>
      <c r="CC320">
        <v>26190.228928</v>
      </c>
      <c r="CD320" s="10">
        <v>26190.228944999999</v>
      </c>
      <c r="CE320" s="255">
        <v>1.000000000649097</v>
      </c>
      <c r="CF320" t="str">
        <f>IFERROR(VLOOKUP(CE320,'Rangos amb etnico'!$A$2:$C$6,3,9),"N.D.")</f>
        <v>71% - 100%</v>
      </c>
      <c r="CG320" s="256">
        <v>7.6197248840539607E-4</v>
      </c>
      <c r="CH320" s="232">
        <v>0</v>
      </c>
      <c r="CI320" s="311">
        <f t="shared" si="130"/>
        <v>0</v>
      </c>
      <c r="CJ320" s="232">
        <f>IFERROR(VLOOKUP(CI320,'Rangos amb etnico'!$A$2:$C$6,3,9),"N.D.")</f>
        <v>0</v>
      </c>
      <c r="CK320" s="311">
        <f t="shared" si="131"/>
        <v>0</v>
      </c>
      <c r="CL320" s="10">
        <v>0</v>
      </c>
      <c r="CM320" s="255">
        <f t="shared" si="132"/>
        <v>0</v>
      </c>
      <c r="CN320" s="232">
        <f>IFERROR(VLOOKUP(CM320,'Rangos amb etnico'!$A$2:$C$6,3,9),"N.D.")</f>
        <v>0</v>
      </c>
      <c r="CO320" s="311">
        <f t="shared" si="133"/>
        <v>0</v>
      </c>
      <c r="CP320">
        <v>0.92586890253007681</v>
      </c>
      <c r="CQ320" t="s">
        <v>2864</v>
      </c>
      <c r="CR320">
        <f t="shared" si="124"/>
        <v>3</v>
      </c>
      <c r="CS320" t="str">
        <f t="shared" si="134"/>
        <v>Candidato</v>
      </c>
      <c r="CT320">
        <v>0</v>
      </c>
      <c r="CU320">
        <v>0</v>
      </c>
      <c r="CV320" s="25">
        <v>48.851749420166023</v>
      </c>
      <c r="CW320" s="25">
        <v>31.938581466674801</v>
      </c>
      <c r="CX320" s="25">
        <v>57.400272369384773</v>
      </c>
      <c r="CY320" s="25">
        <v>63.279552459716797</v>
      </c>
      <c r="CZ320" s="25">
        <v>21.3262939453125</v>
      </c>
      <c r="DA320" s="25">
        <v>55.604240417480469</v>
      </c>
      <c r="DB320" s="25">
        <v>63.561553955078118</v>
      </c>
      <c r="DC320">
        <v>5512</v>
      </c>
      <c r="DD320" s="253" t="s">
        <v>380</v>
      </c>
    </row>
    <row r="321" spans="1:108" hidden="1">
      <c r="A321" s="13">
        <v>19110</v>
      </c>
      <c r="B321" s="13" t="s">
        <v>1099</v>
      </c>
      <c r="C321" s="13" t="s">
        <v>557</v>
      </c>
      <c r="D321" s="13" t="s">
        <v>558</v>
      </c>
      <c r="E321" s="13" t="s">
        <v>1100</v>
      </c>
      <c r="F321" s="14">
        <v>48.712699999999998</v>
      </c>
      <c r="G321" s="13">
        <v>56.39</v>
      </c>
      <c r="H321" s="13">
        <v>32.06</v>
      </c>
      <c r="I321" s="13">
        <v>51.8</v>
      </c>
      <c r="J321" s="14">
        <v>46.915558095165579</v>
      </c>
      <c r="K321" s="14">
        <v>54.644077945954315</v>
      </c>
      <c r="L321" s="14">
        <v>56.624554909888793</v>
      </c>
      <c r="M321" s="14">
        <v>51.113999999999997</v>
      </c>
      <c r="N321" s="14">
        <f t="shared" si="108"/>
        <v>47.240674999999996</v>
      </c>
      <c r="O321" s="14">
        <f t="shared" si="109"/>
        <v>52.324547737752169</v>
      </c>
      <c r="P321" s="14">
        <f t="shared" si="125"/>
        <v>49.782611368876083</v>
      </c>
      <c r="Q321" s="14">
        <v>49.954869242699914</v>
      </c>
      <c r="R321" s="17">
        <f t="shared" si="110"/>
        <v>50.045130757300086</v>
      </c>
      <c r="S321" s="14">
        <f t="shared" si="126"/>
        <v>0.55040617681570081</v>
      </c>
      <c r="T321" s="13">
        <v>0</v>
      </c>
      <c r="U321" s="13">
        <f t="shared" si="127"/>
        <v>27.400656795444927</v>
      </c>
      <c r="V321" s="13">
        <f>IF($T321=1,$AU321,(VLOOKUP(U321,'Cortes naturales'!$A$35:$C$39,3,9)))</f>
        <v>4</v>
      </c>
      <c r="W321" s="13">
        <v>4</v>
      </c>
      <c r="X321" s="14" t="b">
        <f t="shared" si="111"/>
        <v>1</v>
      </c>
      <c r="Y321" s="17">
        <f>IF($T321=1,$AU321,VLOOKUP(U321,'Cortes naturales'!$A$45:$C$49,3,9))</f>
        <v>4</v>
      </c>
      <c r="Z321" s="14">
        <v>47.195549907733593</v>
      </c>
      <c r="AA321" s="14">
        <v>0.56643824868271342</v>
      </c>
      <c r="AB321" s="14">
        <v>26.733364635354214</v>
      </c>
      <c r="AC321" s="13">
        <v>4</v>
      </c>
      <c r="AD321" s="13">
        <f t="shared" si="112"/>
        <v>0</v>
      </c>
      <c r="AE321" s="14">
        <f t="shared" si="113"/>
        <v>2.5870614611424898</v>
      </c>
      <c r="AF321" s="14">
        <f t="shared" si="114"/>
        <v>-1.6032071867012609E-2</v>
      </c>
      <c r="AG321" s="13">
        <f t="shared" si="115"/>
        <v>0.66729216009071379</v>
      </c>
      <c r="AH321" s="13">
        <f>IF($T321=1,$AU321,VLOOKUP(U321,'Cortes naturales'!$A$25:$C$29,3,9))</f>
        <v>4</v>
      </c>
      <c r="AI321" s="13" t="b">
        <f t="shared" si="116"/>
        <v>1</v>
      </c>
      <c r="AJ321" s="13">
        <f t="shared" si="117"/>
        <v>0</v>
      </c>
      <c r="AK321" s="28">
        <v>0.81759069605862034</v>
      </c>
      <c r="AL321" s="28">
        <v>38.586642499933262</v>
      </c>
      <c r="AM321" s="28">
        <v>0.3120522116771437</v>
      </c>
      <c r="AN321" s="13">
        <v>4</v>
      </c>
      <c r="AO321" s="33">
        <f t="shared" si="118"/>
        <v>0</v>
      </c>
      <c r="AP321" s="13">
        <f t="shared" si="128"/>
        <v>31.20522116771437</v>
      </c>
      <c r="AQ321" s="13">
        <f>IFERROR(VLOOKUP(U321,'Cortes naturales'!$E$15:$G$19,3,9),U321)</f>
        <v>4</v>
      </c>
      <c r="AR321" s="28">
        <f t="shared" si="119"/>
        <v>-0.26718451924291953</v>
      </c>
      <c r="AS321" s="13" t="b">
        <f t="shared" si="120"/>
        <v>1</v>
      </c>
      <c r="AT321" s="13">
        <f t="shared" si="129"/>
        <v>0</v>
      </c>
      <c r="AU321" s="13">
        <v>3</v>
      </c>
      <c r="AV321">
        <f t="shared" si="121"/>
        <v>-1</v>
      </c>
      <c r="AW321" s="13">
        <v>0</v>
      </c>
      <c r="AX321" s="13">
        <v>0</v>
      </c>
      <c r="AY321" s="13">
        <v>0</v>
      </c>
      <c r="AZ321" s="13">
        <v>1</v>
      </c>
      <c r="BA321">
        <v>1</v>
      </c>
      <c r="BB321" t="s">
        <v>2840</v>
      </c>
      <c r="BC321">
        <v>6</v>
      </c>
      <c r="BD321" t="s">
        <v>2919</v>
      </c>
      <c r="BE321">
        <v>1</v>
      </c>
      <c r="BF321" s="232" t="s">
        <v>2846</v>
      </c>
      <c r="BG321" s="232" t="s">
        <v>2846</v>
      </c>
      <c r="BH321" s="253">
        <v>42.5</v>
      </c>
      <c r="BI321" s="253">
        <v>15.180694246314788</v>
      </c>
      <c r="BJ321" s="25">
        <v>0</v>
      </c>
      <c r="BK321" t="s">
        <v>381</v>
      </c>
      <c r="BL321">
        <v>22.267466870031516</v>
      </c>
      <c r="BM321" t="s">
        <v>376</v>
      </c>
      <c r="BN321" s="322">
        <v>45115.516899000002</v>
      </c>
      <c r="BO321" s="322">
        <v>2120.0137679999998</v>
      </c>
      <c r="BP321" s="10">
        <v>33003</v>
      </c>
      <c r="BQ321" s="254">
        <f t="shared" si="122"/>
        <v>1.3670126018543769</v>
      </c>
      <c r="BR321" s="254">
        <f t="shared" si="123"/>
        <v>6.4237001727115717E-2</v>
      </c>
      <c r="BS321" s="25">
        <v>49.418158773296312</v>
      </c>
      <c r="BT321" s="25">
        <v>85.739544129680226</v>
      </c>
      <c r="BU321" s="25">
        <v>35.16104954754487</v>
      </c>
      <c r="BV321" s="25">
        <v>87.426539485994738</v>
      </c>
      <c r="BW321" s="25">
        <v>56.414966604871708</v>
      </c>
      <c r="BX321" s="25">
        <v>64.436322984129049</v>
      </c>
      <c r="BY321" s="25">
        <v>56.908910027449558</v>
      </c>
      <c r="BZ321">
        <v>32</v>
      </c>
      <c r="CA321">
        <v>0</v>
      </c>
      <c r="CB321">
        <v>7</v>
      </c>
      <c r="CC321">
        <v>43525.033330999999</v>
      </c>
      <c r="CD321" s="10">
        <v>30682.179764</v>
      </c>
      <c r="CE321" s="255">
        <v>0.70493179248520221</v>
      </c>
      <c r="CF321" t="str">
        <f>IFERROR(VLOOKUP(CE321,'Rangos amb etnico'!$A$2:$C$6,3,9),"N.D.")</f>
        <v>51% - 70%</v>
      </c>
      <c r="CG321" s="256">
        <v>8.9266027088091067E-4</v>
      </c>
      <c r="CH321" s="232">
        <v>2098.468781</v>
      </c>
      <c r="CI321" s="311">
        <f t="shared" si="130"/>
        <v>4.8212916117525401E-2</v>
      </c>
      <c r="CJ321" s="232" t="str">
        <f>IFERROR(VLOOKUP(CI321,'Rangos amb etnico'!$A$2:$C$6,3,9),"N.D.")</f>
        <v>0,1% - 30%</v>
      </c>
      <c r="CK321" s="311">
        <f t="shared" si="131"/>
        <v>8.3322949701516199E-5</v>
      </c>
      <c r="CL321" s="10">
        <v>0</v>
      </c>
      <c r="CM321" s="255">
        <f t="shared" si="132"/>
        <v>0</v>
      </c>
      <c r="CN321" s="232">
        <f>IFERROR(VLOOKUP(CM321,'Rangos amb etnico'!$A$2:$C$6,3,9),"N.D.")</f>
        <v>0</v>
      </c>
      <c r="CO321" s="311">
        <f t="shared" si="133"/>
        <v>0</v>
      </c>
      <c r="CP321">
        <v>0.9357163273950907</v>
      </c>
      <c r="CQ321" t="s">
        <v>2864</v>
      </c>
      <c r="CR321">
        <f t="shared" si="124"/>
        <v>1</v>
      </c>
      <c r="CS321" t="str">
        <f t="shared" si="134"/>
        <v>No es Candidato</v>
      </c>
      <c r="CT321">
        <v>0</v>
      </c>
      <c r="CU321">
        <v>0</v>
      </c>
      <c r="CV321" s="25">
        <v>53.025466918945313</v>
      </c>
      <c r="CW321" s="25">
        <v>33.107662200927727</v>
      </c>
      <c r="CX321" s="25">
        <v>50.314365386962891</v>
      </c>
      <c r="CY321" s="25">
        <v>68.394012451171875</v>
      </c>
      <c r="CZ321" s="25">
        <v>41.054157257080078</v>
      </c>
      <c r="DA321" s="25">
        <v>68.275604248046875</v>
      </c>
      <c r="DB321" s="25">
        <v>57.007007598876953</v>
      </c>
      <c r="DC321">
        <v>29426</v>
      </c>
      <c r="DD321" s="253" t="s">
        <v>380</v>
      </c>
    </row>
    <row r="322" spans="1:108" hidden="1">
      <c r="A322" s="13">
        <v>73671</v>
      </c>
      <c r="B322" s="13" t="s">
        <v>1101</v>
      </c>
      <c r="C322" s="13" t="s">
        <v>595</v>
      </c>
      <c r="D322" s="13" t="s">
        <v>596</v>
      </c>
      <c r="E322" s="13" t="s">
        <v>1102</v>
      </c>
      <c r="F322" s="14">
        <v>83.166166666666697</v>
      </c>
      <c r="G322" s="13">
        <v>74.38</v>
      </c>
      <c r="H322" s="13">
        <v>63.56</v>
      </c>
      <c r="I322" s="13">
        <v>38.229999999999997</v>
      </c>
      <c r="J322" s="14">
        <v>46.503841191017322</v>
      </c>
      <c r="K322" s="14">
        <v>59.139363823261945</v>
      </c>
      <c r="L322" s="14">
        <v>41.28098145277616</v>
      </c>
      <c r="M322" s="14">
        <v>46.410800000000002</v>
      </c>
      <c r="N322" s="14">
        <f t="shared" si="108"/>
        <v>64.834041666666678</v>
      </c>
      <c r="O322" s="14">
        <f t="shared" si="109"/>
        <v>48.333746616763854</v>
      </c>
      <c r="P322" s="14">
        <f t="shared" si="125"/>
        <v>56.583894141715263</v>
      </c>
      <c r="Q322" s="14">
        <v>49.338483100244943</v>
      </c>
      <c r="R322" s="17">
        <f t="shared" si="110"/>
        <v>50.661516899755057</v>
      </c>
      <c r="S322" s="14">
        <f t="shared" si="126"/>
        <v>0.55595365209779546</v>
      </c>
      <c r="T322" s="13">
        <v>0</v>
      </c>
      <c r="U322" s="13">
        <f t="shared" si="127"/>
        <v>31.458022598001655</v>
      </c>
      <c r="V322" s="13">
        <f>IF($T322=1,$AU322,(VLOOKUP(U322,'Cortes naturales'!$A$35:$C$39,3,9)))</f>
        <v>3</v>
      </c>
      <c r="W322" s="13">
        <v>3</v>
      </c>
      <c r="X322" s="14" t="b">
        <f t="shared" si="111"/>
        <v>1</v>
      </c>
      <c r="Y322" s="17">
        <f>IF($T322=1,$AU322,VLOOKUP(U322,'Cortes naturales'!$A$45:$C$49,3,9))</f>
        <v>3</v>
      </c>
      <c r="Z322" s="14">
        <v>62.541164145557261</v>
      </c>
      <c r="AA322" s="14">
        <v>0.56653810625912937</v>
      </c>
      <c r="AB322" s="14">
        <v>35.43195269826537</v>
      </c>
      <c r="AC322" s="13">
        <v>2</v>
      </c>
      <c r="AD322" s="13">
        <f t="shared" si="112"/>
        <v>-1</v>
      </c>
      <c r="AE322" s="14">
        <f t="shared" si="113"/>
        <v>-5.9572700038419981</v>
      </c>
      <c r="AF322" s="14">
        <f t="shared" si="114"/>
        <v>-1.0584454161333912E-2</v>
      </c>
      <c r="AG322" s="13">
        <f t="shared" si="115"/>
        <v>-3.9739301002637148</v>
      </c>
      <c r="AH322" s="13">
        <f>IF($T322=1,$AU322,VLOOKUP(U322,'Cortes naturales'!$A$25:$C$29,3,9))</f>
        <v>3</v>
      </c>
      <c r="AI322" s="13" t="b">
        <f t="shared" si="116"/>
        <v>1</v>
      </c>
      <c r="AJ322" s="13" t="str">
        <f t="shared" si="117"/>
        <v>Efecto ponderador</v>
      </c>
      <c r="AK322" s="28">
        <v>0.81759069605862034</v>
      </c>
      <c r="AL322" s="28">
        <v>51.133073926082588</v>
      </c>
      <c r="AM322" s="28">
        <v>0.46899484363295496</v>
      </c>
      <c r="AN322" s="13">
        <v>3</v>
      </c>
      <c r="AO322" s="33">
        <f t="shared" si="118"/>
        <v>0</v>
      </c>
      <c r="AP322" s="13">
        <f t="shared" si="128"/>
        <v>46.8994843632955</v>
      </c>
      <c r="AQ322" s="13">
        <f>IFERROR(VLOOKUP(U322,'Cortes naturales'!$E$15:$G$19,3,9),U322)</f>
        <v>4</v>
      </c>
      <c r="AR322" s="28">
        <f t="shared" si="119"/>
        <v>-0.26163704396082488</v>
      </c>
      <c r="AS322" s="13" t="b">
        <f t="shared" si="120"/>
        <v>0</v>
      </c>
      <c r="AT322" s="13">
        <f t="shared" si="129"/>
        <v>0</v>
      </c>
      <c r="AU322" s="13">
        <v>2</v>
      </c>
      <c r="AV322">
        <f t="shared" si="121"/>
        <v>-1</v>
      </c>
      <c r="AW322" s="13">
        <v>0</v>
      </c>
      <c r="AX322" s="13">
        <v>0</v>
      </c>
      <c r="AY322" s="13">
        <v>0</v>
      </c>
      <c r="AZ322" s="13">
        <v>0</v>
      </c>
      <c r="BA322">
        <v>0</v>
      </c>
      <c r="BB322" t="s">
        <v>2839</v>
      </c>
      <c r="BC322">
        <v>6</v>
      </c>
      <c r="BD322" t="s">
        <v>2919</v>
      </c>
      <c r="BE322">
        <v>0</v>
      </c>
      <c r="BF322" s="232" t="s">
        <v>2846</v>
      </c>
      <c r="BG322" s="232" t="s">
        <v>2846</v>
      </c>
      <c r="BH322" s="253">
        <v>36.299999999999997</v>
      </c>
      <c r="BI322" s="253">
        <v>19.946015058957236</v>
      </c>
      <c r="BJ322" s="25">
        <v>7.2404347826086957</v>
      </c>
      <c r="BK322" t="s">
        <v>377</v>
      </c>
      <c r="BL322">
        <v>2.3741789948481919</v>
      </c>
      <c r="BM322" t="s">
        <v>383</v>
      </c>
      <c r="BN322" s="322">
        <v>36750.880345999998</v>
      </c>
      <c r="BO322" s="322">
        <v>8115.1940519999998</v>
      </c>
      <c r="BP322" s="10">
        <v>14768</v>
      </c>
      <c r="BQ322" s="254">
        <f t="shared" si="122"/>
        <v>2.488548235780065</v>
      </c>
      <c r="BR322" s="254">
        <f t="shared" si="123"/>
        <v>0.54951205660888403</v>
      </c>
      <c r="BS322" s="25">
        <v>60.360177311312832</v>
      </c>
      <c r="BT322" s="25">
        <v>90.40444598049838</v>
      </c>
      <c r="BU322" s="25">
        <v>60.343333333333327</v>
      </c>
      <c r="BV322" s="25">
        <v>84.281074977215113</v>
      </c>
      <c r="BW322" s="25">
        <v>65.604304777558582</v>
      </c>
      <c r="BX322" s="25">
        <v>73.847257900589909</v>
      </c>
      <c r="BY322" s="25">
        <v>66.352980083982899</v>
      </c>
      <c r="BZ322">
        <v>6</v>
      </c>
      <c r="CA322">
        <v>0</v>
      </c>
      <c r="CB322">
        <v>6</v>
      </c>
      <c r="CC322">
        <v>19310.562943000001</v>
      </c>
      <c r="CD322" s="10">
        <v>2328.1081330000002</v>
      </c>
      <c r="CE322" s="255">
        <v>0.12056138082934188</v>
      </c>
      <c r="CF322" t="str">
        <f>IFERROR(VLOOKUP(CE322,'Rangos amb etnico'!$A$2:$C$6,3,9),"N.D.")</f>
        <v>0,1% - 30%</v>
      </c>
      <c r="CG322" s="256">
        <v>6.773344177724411E-5</v>
      </c>
      <c r="CH322" s="232">
        <v>60.442751999999999</v>
      </c>
      <c r="CI322" s="311">
        <f t="shared" si="130"/>
        <v>3.1300357311390679E-3</v>
      </c>
      <c r="CJ322" s="232" t="str">
        <f>IFERROR(VLOOKUP(CI322,'Rangos amb etnico'!$A$2:$C$6,3,9),"N.D.")</f>
        <v>0,1% - 30%</v>
      </c>
      <c r="CK322" s="311">
        <f t="shared" si="131"/>
        <v>2.3999729852150787E-6</v>
      </c>
      <c r="CL322" s="10">
        <v>0</v>
      </c>
      <c r="CM322" s="255">
        <f t="shared" si="132"/>
        <v>0</v>
      </c>
      <c r="CN322" s="232">
        <f>IFERROR(VLOOKUP(CM322,'Rangos amb etnico'!$A$2:$C$6,3,9),"N.D.")</f>
        <v>0</v>
      </c>
      <c r="CO322" s="311">
        <f t="shared" si="133"/>
        <v>0</v>
      </c>
      <c r="CP322">
        <v>0.94369972809607017</v>
      </c>
      <c r="CQ322" t="s">
        <v>2864</v>
      </c>
      <c r="CR322">
        <f t="shared" si="124"/>
        <v>2</v>
      </c>
      <c r="CS322" t="str">
        <f t="shared" si="134"/>
        <v>No es Candidato</v>
      </c>
      <c r="CT322">
        <v>0</v>
      </c>
      <c r="CU322">
        <v>0</v>
      </c>
      <c r="CV322" s="25">
        <v>40.772792816162109</v>
      </c>
      <c r="CW322" s="25">
        <v>32.761184692382813</v>
      </c>
      <c r="CX322" s="25">
        <v>42.290790557861328</v>
      </c>
      <c r="CY322" s="25">
        <v>60.474620819091797</v>
      </c>
      <c r="CZ322" s="25">
        <v>38.571239471435547</v>
      </c>
      <c r="DA322" s="25">
        <v>23.33005332946777</v>
      </c>
      <c r="DB322" s="25">
        <v>47.208877563476563</v>
      </c>
      <c r="DC322">
        <v>992</v>
      </c>
      <c r="DD322" s="253" t="s">
        <v>380</v>
      </c>
    </row>
    <row r="323" spans="1:108" hidden="1">
      <c r="A323" s="13">
        <v>52885</v>
      </c>
      <c r="B323" s="13" t="s">
        <v>1103</v>
      </c>
      <c r="C323" s="13" t="s">
        <v>672</v>
      </c>
      <c r="D323" s="13" t="s">
        <v>673</v>
      </c>
      <c r="E323" s="13" t="s">
        <v>1104</v>
      </c>
      <c r="F323" s="14">
        <v>60.508466666666699</v>
      </c>
      <c r="G323" s="13">
        <v>46.62</v>
      </c>
      <c r="H323" s="13">
        <v>49.11</v>
      </c>
      <c r="I323" s="13">
        <v>58.14</v>
      </c>
      <c r="J323" s="14">
        <v>52.947505353691497</v>
      </c>
      <c r="K323" s="14">
        <v>52.489124998035294</v>
      </c>
      <c r="L323" s="14">
        <v>61.82622099370834</v>
      </c>
      <c r="M323" s="14">
        <v>57.642200000000003</v>
      </c>
      <c r="N323" s="14">
        <f t="shared" ref="N323:N386" si="135">IFERROR(AVERAGE(F323:I323),"N.D.")</f>
        <v>53.594616666666667</v>
      </c>
      <c r="O323" s="14">
        <f t="shared" ref="O323:O386" si="136">IFERROR(AVERAGE(J323:M323),"N.D.")</f>
        <v>56.226262836358785</v>
      </c>
      <c r="P323" s="14">
        <f t="shared" si="125"/>
        <v>54.910439751512726</v>
      </c>
      <c r="Q323" s="14">
        <v>49.270368447204447</v>
      </c>
      <c r="R323" s="17">
        <f t="shared" ref="R323:R386" si="137">IFERROR(MAX($Q$3:$Q$1105)-Q323,"N.D.")</f>
        <v>50.729631552795553</v>
      </c>
      <c r="S323" s="14">
        <f t="shared" si="126"/>
        <v>0.55656668397515996</v>
      </c>
      <c r="T323" s="13">
        <v>0</v>
      </c>
      <c r="U323" s="13">
        <f t="shared" si="127"/>
        <v>30.561321368117245</v>
      </c>
      <c r="V323" s="13">
        <f>IF($T323=1,$AU323,(VLOOKUP(U323,'Cortes naturales'!$A$35:$C$39,3,9)))</f>
        <v>3</v>
      </c>
      <c r="W323" s="13">
        <v>3</v>
      </c>
      <c r="X323" s="14" t="b">
        <f t="shared" ref="X323:X386" si="138">V323=W323</f>
        <v>1</v>
      </c>
      <c r="Y323" s="17">
        <f>IF($T323=1,$AU323,VLOOKUP(U323,'Cortes naturales'!$A$45:$C$49,3,9))</f>
        <v>3</v>
      </c>
      <c r="Z323" s="14">
        <v>54.181413368250119</v>
      </c>
      <c r="AA323" s="14">
        <v>0.56615399229462138</v>
      </c>
      <c r="AB323" s="14">
        <v>30.675023486599972</v>
      </c>
      <c r="AC323" s="13">
        <v>3</v>
      </c>
      <c r="AD323" s="13">
        <f t="shared" ref="AD323:AD386" si="139">IFERROR(AC323-Y323,)</f>
        <v>0</v>
      </c>
      <c r="AE323" s="14">
        <f t="shared" ref="AE323:AE386" si="140">IFERROR(P323-Z323,"N.D.")</f>
        <v>0.72902638326260671</v>
      </c>
      <c r="AF323" s="14">
        <f t="shared" ref="AF323:AF386" si="141">IFERROR(S323-AA323,"N.D.")</f>
        <v>-9.5873083194614184E-3</v>
      </c>
      <c r="AG323" s="13">
        <f t="shared" ref="AG323:AG386" si="142">IFERROR(U323-AB323,0)</f>
        <v>-0.1137021184827276</v>
      </c>
      <c r="AH323" s="13">
        <f>IF($T323=1,$AU323,VLOOKUP(U323,'Cortes naturales'!$A$25:$C$29,3,9))</f>
        <v>3</v>
      </c>
      <c r="AI323" s="13" t="b">
        <f t="shared" ref="AI323:AI386" si="143">AH323=Y323</f>
        <v>1</v>
      </c>
      <c r="AJ323" s="13">
        <f t="shared" ref="AJ323:AJ386" si="144">IF(AD323=0,0,IF(AI323=TRUE,"Efecto ponderador","Cambio en corte"))</f>
        <v>0</v>
      </c>
      <c r="AK323" s="28">
        <v>0.81759069605862034</v>
      </c>
      <c r="AL323" s="28">
        <v>44.298219469187451</v>
      </c>
      <c r="AM323" s="28">
        <v>0.38349801899289471</v>
      </c>
      <c r="AN323" s="13">
        <v>3</v>
      </c>
      <c r="AO323" s="33">
        <f t="shared" ref="AO323:AO386" si="145">IF(AND(ISNUMBER(AN323),ISNUMBER(Y323)),AN323-Y323,IF(AN323="SC- Centro aglomeración",Y323,IF(OR(AN323="Bogotá",AN323="Ciudades grandes"),0,0)))</f>
        <v>0</v>
      </c>
      <c r="AP323" s="13">
        <f t="shared" si="128"/>
        <v>38.349801899289474</v>
      </c>
      <c r="AQ323" s="13">
        <f>IFERROR(VLOOKUP(U323,'Cortes naturales'!$E$15:$G$19,3,9),U323)</f>
        <v>4</v>
      </c>
      <c r="AR323" s="28">
        <f t="shared" ref="AR323:AR386" si="146">IFERROR(S323-AK323,"N.D.")</f>
        <v>-0.26102401208346038</v>
      </c>
      <c r="AS323" s="13" t="b">
        <f t="shared" ref="AS323:AS386" si="147">AQ323=Y323</f>
        <v>0</v>
      </c>
      <c r="AT323" s="13">
        <f t="shared" si="129"/>
        <v>0</v>
      </c>
      <c r="AU323" s="13">
        <v>2</v>
      </c>
      <c r="AV323">
        <f t="shared" ref="AV323:AV386" si="148">IF(AND(ISNUMBER(AU323),ISNUMBER(Y323)),AU323-Y323,IF(AU323="SC- Centro aglomeración",Y323,IF(OR(AU323="Bogotá",AU323="Ciudades grandes"),0,0)))</f>
        <v>-1</v>
      </c>
      <c r="AW323" s="13">
        <v>0</v>
      </c>
      <c r="AX323" s="13">
        <v>0</v>
      </c>
      <c r="AY323" s="13">
        <v>0</v>
      </c>
      <c r="AZ323" s="13">
        <v>0</v>
      </c>
      <c r="BA323">
        <v>0</v>
      </c>
      <c r="BB323" t="s">
        <v>2839</v>
      </c>
      <c r="BC323">
        <v>6</v>
      </c>
      <c r="BD323" t="s">
        <v>2919</v>
      </c>
      <c r="BE323">
        <v>0</v>
      </c>
      <c r="BF323" s="232" t="s">
        <v>2846</v>
      </c>
      <c r="BG323" s="232" t="s">
        <v>2845</v>
      </c>
      <c r="BH323" s="253">
        <v>44.2</v>
      </c>
      <c r="BI323" s="253">
        <v>18.205879572738443</v>
      </c>
      <c r="BJ323" s="25">
        <v>43.232896922235383</v>
      </c>
      <c r="BK323" t="s">
        <v>376</v>
      </c>
      <c r="BL323">
        <v>1.492458911052355</v>
      </c>
      <c r="BM323" t="s">
        <v>383</v>
      </c>
      <c r="BN323" s="322">
        <v>22070.005003999999</v>
      </c>
      <c r="BO323" s="322">
        <v>1197.698318</v>
      </c>
      <c r="BP323" s="10">
        <v>11573</v>
      </c>
      <c r="BQ323" s="254">
        <f t="shared" ref="BQ323:BQ386" si="149">BN323/BP323</f>
        <v>1.9070254043031192</v>
      </c>
      <c r="BR323" s="254">
        <f t="shared" ref="BR323:BR386" si="150">BO323/BP323</f>
        <v>0.10349073861574354</v>
      </c>
      <c r="BS323" s="25">
        <v>60.932192324583632</v>
      </c>
      <c r="BT323" s="25">
        <v>86.448270095048827</v>
      </c>
      <c r="BU323" s="25">
        <v>45.151625344352603</v>
      </c>
      <c r="BV323" s="25">
        <v>94.288637592948632</v>
      </c>
      <c r="BW323" s="25">
        <v>49.532502856871488</v>
      </c>
      <c r="BX323" s="25">
        <v>71.70518133923342</v>
      </c>
      <c r="BY323" s="25">
        <v>50.019849440302487</v>
      </c>
      <c r="BZ323">
        <v>80</v>
      </c>
      <c r="CA323">
        <v>0</v>
      </c>
      <c r="CB323">
        <v>7</v>
      </c>
      <c r="CC323">
        <v>10283.49195</v>
      </c>
      <c r="CD323" s="10">
        <v>1407.276091</v>
      </c>
      <c r="CE323" s="255">
        <v>0.13684807629960755</v>
      </c>
      <c r="CF323" t="str">
        <f>IFERROR(VLOOKUP(CE323,'Rangos amb etnico'!$A$2:$C$6,3,9),"N.D.")</f>
        <v>0,1% - 30%</v>
      </c>
      <c r="CG323" s="256">
        <v>4.0942966446935293E-5</v>
      </c>
      <c r="CH323" s="232">
        <v>0</v>
      </c>
      <c r="CI323" s="311">
        <f t="shared" si="130"/>
        <v>0</v>
      </c>
      <c r="CJ323" s="232">
        <f>IFERROR(VLOOKUP(CI323,'Rangos amb etnico'!$A$2:$C$6,3,9),"N.D.")</f>
        <v>0</v>
      </c>
      <c r="CK323" s="311">
        <f t="shared" si="131"/>
        <v>0</v>
      </c>
      <c r="CL323" s="10">
        <v>0</v>
      </c>
      <c r="CM323" s="255">
        <f t="shared" si="132"/>
        <v>0</v>
      </c>
      <c r="CN323" s="232">
        <f>IFERROR(VLOOKUP(CM323,'Rangos amb etnico'!$A$2:$C$6,3,9),"N.D.")</f>
        <v>0</v>
      </c>
      <c r="CO323" s="311">
        <f t="shared" si="133"/>
        <v>0</v>
      </c>
      <c r="CP323">
        <v>0.96537448797904646</v>
      </c>
      <c r="CQ323" t="s">
        <v>2864</v>
      </c>
      <c r="CR323">
        <f t="shared" ref="CR323:CR386" si="151">IF(BY323&gt;=60,1,0)+IF(M323&gt;=60,1,0)+IF(I323&gt;=60,1,0)+IF(OR(CQ323="Crítico Bajo",CQ323="Aceptable"),1,0)</f>
        <v>1</v>
      </c>
      <c r="CS323" t="str">
        <f t="shared" si="134"/>
        <v>No es Candidato</v>
      </c>
      <c r="CT323">
        <v>0</v>
      </c>
      <c r="CU323">
        <v>0</v>
      </c>
      <c r="CV323" s="25">
        <v>55.508708953857422</v>
      </c>
      <c r="CW323" s="25">
        <v>28.84151458740234</v>
      </c>
      <c r="CX323" s="25">
        <v>48.277439117431641</v>
      </c>
      <c r="CY323" s="25">
        <v>65.096504211425781</v>
      </c>
      <c r="CZ323" s="25">
        <v>63.122188568115227</v>
      </c>
      <c r="DA323" s="25">
        <v>75.962966918945313</v>
      </c>
      <c r="DB323" s="25">
        <v>51.751628875732422</v>
      </c>
      <c r="DC323">
        <v>285</v>
      </c>
      <c r="DD323" s="253" t="s">
        <v>380</v>
      </c>
    </row>
    <row r="324" spans="1:108" hidden="1">
      <c r="A324" s="13">
        <v>25317</v>
      </c>
      <c r="B324" s="13" t="s">
        <v>1105</v>
      </c>
      <c r="C324" s="13" t="s">
        <v>461</v>
      </c>
      <c r="D324" s="13" t="s">
        <v>462</v>
      </c>
      <c r="E324" s="13" t="s">
        <v>1106</v>
      </c>
      <c r="F324" s="14">
        <v>61.910499999999999</v>
      </c>
      <c r="G324" s="13">
        <v>66.41</v>
      </c>
      <c r="H324" s="13">
        <v>55.76</v>
      </c>
      <c r="I324" s="13">
        <v>55.49</v>
      </c>
      <c r="J324" s="14">
        <v>58.258083728479704</v>
      </c>
      <c r="K324" s="14">
        <v>64.540622405180031</v>
      </c>
      <c r="L324" s="14">
        <v>76.49918808684339</v>
      </c>
      <c r="M324" s="14">
        <v>64.575900000000004</v>
      </c>
      <c r="N324" s="14">
        <f t="shared" si="135"/>
        <v>59.892624999999995</v>
      </c>
      <c r="O324" s="14">
        <f t="shared" si="136"/>
        <v>65.968448555125775</v>
      </c>
      <c r="P324" s="14">
        <f t="shared" ref="P324:P387" si="152">IFERROR(AVERAGE(N324:O324),"N.D.")</f>
        <v>62.930536777562885</v>
      </c>
      <c r="Q324" s="14">
        <v>50.26501900644935</v>
      </c>
      <c r="R324" s="17">
        <f t="shared" si="137"/>
        <v>49.73498099355065</v>
      </c>
      <c r="S324" s="14">
        <f t="shared" ref="S324:S387" si="153">IFERROR((0.1+(1-0.1)*(R324%-0)/(1-0)),"N.D.")</f>
        <v>0.5476148289419559</v>
      </c>
      <c r="T324" s="13">
        <v>0</v>
      </c>
      <c r="U324" s="13">
        <f t="shared" ref="U324:U387" si="154">$P324*$S324</f>
        <v>34.461695132670563</v>
      </c>
      <c r="V324" s="13">
        <f>IF($T324=1,$AU324,(VLOOKUP(U324,'Cortes naturales'!$A$35:$C$39,3,9)))</f>
        <v>3</v>
      </c>
      <c r="W324" s="13">
        <v>3</v>
      </c>
      <c r="X324" s="14" t="b">
        <f t="shared" si="138"/>
        <v>1</v>
      </c>
      <c r="Y324" s="17">
        <f>IF($T324=1,$AU324,VLOOKUP(U324,'Cortes naturales'!$A$45:$C$49,3,9))</f>
        <v>3</v>
      </c>
      <c r="Z324" s="14">
        <v>62.017878117056547</v>
      </c>
      <c r="AA324" s="14">
        <v>0.56349077324581887</v>
      </c>
      <c r="AB324" s="14">
        <v>34.946502095245144</v>
      </c>
      <c r="AC324" s="13">
        <v>3</v>
      </c>
      <c r="AD324" s="13">
        <f t="shared" si="139"/>
        <v>0</v>
      </c>
      <c r="AE324" s="14">
        <f t="shared" si="140"/>
        <v>0.91265866050633804</v>
      </c>
      <c r="AF324" s="14">
        <f t="shared" si="141"/>
        <v>-1.5875944303862966E-2</v>
      </c>
      <c r="AG324" s="13">
        <f t="shared" si="142"/>
        <v>-0.48480696257458078</v>
      </c>
      <c r="AH324" s="13">
        <f>IF($T324=1,$AU324,VLOOKUP(U324,'Cortes naturales'!$A$25:$C$29,3,9))</f>
        <v>3</v>
      </c>
      <c r="AI324" s="13" t="b">
        <f t="shared" si="143"/>
        <v>1</v>
      </c>
      <c r="AJ324" s="13">
        <f t="shared" si="144"/>
        <v>0</v>
      </c>
      <c r="AK324" s="28">
        <v>0.81759069605862034</v>
      </c>
      <c r="AL324" s="28">
        <v>50.705240137802939</v>
      </c>
      <c r="AM324" s="28">
        <v>0.46364309392089831</v>
      </c>
      <c r="AN324" s="13">
        <v>3</v>
      </c>
      <c r="AO324" s="33">
        <f t="shared" si="145"/>
        <v>0</v>
      </c>
      <c r="AP324" s="13">
        <f t="shared" ref="AP324:AP387" si="155">IFERROR(AM324*100,"N.D")</f>
        <v>46.364309392089829</v>
      </c>
      <c r="AQ324" s="13">
        <f>IFERROR(VLOOKUP(U324,'Cortes naturales'!$E$15:$G$19,3,9),U324)</f>
        <v>4</v>
      </c>
      <c r="AR324" s="28">
        <f t="shared" si="146"/>
        <v>-0.26997586711666444</v>
      </c>
      <c r="AS324" s="13" t="b">
        <f t="shared" si="147"/>
        <v>0</v>
      </c>
      <c r="AT324" s="13">
        <f t="shared" ref="AT324:AT387" si="156">IF(AO324=0,0,IF(AS324=TRUE,"Efecto ponderador","Cambio en corte"))</f>
        <v>0</v>
      </c>
      <c r="AU324" s="13">
        <v>2</v>
      </c>
      <c r="AV324">
        <f t="shared" si="148"/>
        <v>-1</v>
      </c>
      <c r="AW324" s="13">
        <v>0</v>
      </c>
      <c r="AX324" s="13">
        <v>0</v>
      </c>
      <c r="AY324" s="13">
        <v>0</v>
      </c>
      <c r="AZ324" s="13">
        <v>0</v>
      </c>
      <c r="BA324">
        <v>0</v>
      </c>
      <c r="BB324" t="s">
        <v>2839</v>
      </c>
      <c r="BC324">
        <v>6</v>
      </c>
      <c r="BD324" t="s">
        <v>2919</v>
      </c>
      <c r="BE324">
        <v>0</v>
      </c>
      <c r="BF324" s="232" t="s">
        <v>2846</v>
      </c>
      <c r="BG324" s="232" t="s">
        <v>2846</v>
      </c>
      <c r="BH324" s="253">
        <v>25.7</v>
      </c>
      <c r="BI324" s="253">
        <v>11.892284124808514</v>
      </c>
      <c r="BJ324" s="25">
        <v>5.909272745244933</v>
      </c>
      <c r="BK324" t="s">
        <v>377</v>
      </c>
      <c r="BL324">
        <v>0</v>
      </c>
      <c r="BM324" t="s">
        <v>377</v>
      </c>
      <c r="BN324" s="322">
        <v>40981.195334999997</v>
      </c>
      <c r="BO324" s="322">
        <v>7909.7542430000003</v>
      </c>
      <c r="BP324" s="10">
        <v>14716</v>
      </c>
      <c r="BQ324" s="254">
        <f t="shared" si="149"/>
        <v>2.7848053367083443</v>
      </c>
      <c r="BR324" s="254">
        <f t="shared" si="150"/>
        <v>0.5374934930008155</v>
      </c>
      <c r="BS324" s="25">
        <v>56.548275710079317</v>
      </c>
      <c r="BT324" s="25">
        <v>94.625875557669659</v>
      </c>
      <c r="BU324" s="25">
        <v>54.432434332223437</v>
      </c>
      <c r="BV324" s="25">
        <v>95.001614879153223</v>
      </c>
      <c r="BW324" s="25">
        <v>53.07917879791249</v>
      </c>
      <c r="BX324" s="25">
        <v>75.152050119781407</v>
      </c>
      <c r="BY324" s="25">
        <v>55.955224014782281</v>
      </c>
      <c r="BZ324">
        <v>36</v>
      </c>
      <c r="CA324">
        <v>0</v>
      </c>
      <c r="CB324">
        <v>7</v>
      </c>
      <c r="CC324">
        <v>16991.833072000001</v>
      </c>
      <c r="CD324" s="10">
        <v>6940.5744969999996</v>
      </c>
      <c r="CE324" s="255">
        <v>0.40846531787303325</v>
      </c>
      <c r="CF324" t="str">
        <f>IFERROR(VLOOKUP(CE324,'Rangos amb etnico'!$A$2:$C$6,3,9),"N.D.")</f>
        <v>31% - 50%</v>
      </c>
      <c r="CG324" s="256">
        <v>2.0192747576006803E-4</v>
      </c>
      <c r="CH324" s="232">
        <v>0</v>
      </c>
      <c r="CI324" s="311">
        <f t="shared" ref="CI324:CI387" si="157">IFERROR(CH324/CC324,"N.D.")</f>
        <v>0</v>
      </c>
      <c r="CJ324" s="232">
        <f>IFERROR(VLOOKUP(CI324,'Rangos amb etnico'!$A$2:$C$6,3,9),"N.D.")</f>
        <v>0</v>
      </c>
      <c r="CK324" s="311">
        <f t="shared" ref="CK324:CK387" si="158">IFERROR(CH324/$CH$1,"N.D.")</f>
        <v>0</v>
      </c>
      <c r="CL324" s="10">
        <v>0</v>
      </c>
      <c r="CM324" s="255">
        <f t="shared" ref="CM324:CM387" si="159">IFERROR(CL324/CC324,"N.D.")</f>
        <v>0</v>
      </c>
      <c r="CN324" s="232">
        <f>IFERROR(VLOOKUP(CM324,'Rangos amb etnico'!$A$2:$C$6,3,9),"N.D.")</f>
        <v>0</v>
      </c>
      <c r="CO324" s="311">
        <f t="shared" ref="CO324:CO387" si="160">IFERROR(CL324/$CL$1,"N.D.")</f>
        <v>0</v>
      </c>
      <c r="CP324">
        <v>0.94192722686542973</v>
      </c>
      <c r="CQ324" t="s">
        <v>2864</v>
      </c>
      <c r="CR324">
        <f t="shared" si="151"/>
        <v>2</v>
      </c>
      <c r="CS324" t="str">
        <f t="shared" ref="CS324:CS387" si="161">IF(CR324&gt;=3,"Candidato","No es Candidato")</f>
        <v>No es Candidato</v>
      </c>
      <c r="CT324">
        <v>0</v>
      </c>
      <c r="CU324">
        <v>0</v>
      </c>
      <c r="CV324" s="25">
        <v>48.962192535400391</v>
      </c>
      <c r="CW324" s="25">
        <v>36.395530700683587</v>
      </c>
      <c r="CX324" s="25">
        <v>46.722751617431641</v>
      </c>
      <c r="CY324" s="25">
        <v>61.809425354003913</v>
      </c>
      <c r="CZ324" s="25">
        <v>35.923488616943359</v>
      </c>
      <c r="DA324" s="25">
        <v>61.915428161621087</v>
      </c>
      <c r="DB324" s="25">
        <v>51.006534576416023</v>
      </c>
      <c r="DC324">
        <v>132</v>
      </c>
      <c r="DD324" s="253" t="s">
        <v>380</v>
      </c>
    </row>
    <row r="325" spans="1:108" hidden="1">
      <c r="A325" s="13">
        <v>76377</v>
      </c>
      <c r="B325" s="13" t="s">
        <v>1107</v>
      </c>
      <c r="C325" s="13" t="s">
        <v>454</v>
      </c>
      <c r="D325" s="13" t="s">
        <v>455</v>
      </c>
      <c r="E325" s="13" t="s">
        <v>1108</v>
      </c>
      <c r="F325" s="14">
        <v>54.781333333333301</v>
      </c>
      <c r="G325" s="13">
        <v>65.23</v>
      </c>
      <c r="H325" s="13">
        <v>56.17</v>
      </c>
      <c r="I325" s="13">
        <v>66.430000000000007</v>
      </c>
      <c r="J325" s="14">
        <v>63.670243600477235</v>
      </c>
      <c r="K325" s="14">
        <v>64.345907888858534</v>
      </c>
      <c r="L325" s="14">
        <v>12.180237076747249</v>
      </c>
      <c r="M325" s="14">
        <v>61.192799999999998</v>
      </c>
      <c r="N325" s="14">
        <f t="shared" si="135"/>
        <v>60.652833333333334</v>
      </c>
      <c r="O325" s="14">
        <f t="shared" si="136"/>
        <v>50.347297141520755</v>
      </c>
      <c r="P325" s="14">
        <f t="shared" si="152"/>
        <v>55.500065237427044</v>
      </c>
      <c r="Q325" s="14">
        <v>49.083007362634945</v>
      </c>
      <c r="R325" s="17">
        <f t="shared" si="137"/>
        <v>50.916992637365055</v>
      </c>
      <c r="S325" s="14">
        <f t="shared" si="153"/>
        <v>0.55825293373628548</v>
      </c>
      <c r="T325" s="13">
        <v>0</v>
      </c>
      <c r="U325" s="13">
        <f t="shared" si="154"/>
        <v>30.983074241348881</v>
      </c>
      <c r="V325" s="13">
        <f>IF($T325=1,$AU325,(VLOOKUP(U325,'Cortes naturales'!$A$35:$C$39,3,9)))</f>
        <v>3</v>
      </c>
      <c r="W325" s="13">
        <v>3</v>
      </c>
      <c r="X325" s="14" t="b">
        <f t="shared" si="138"/>
        <v>1</v>
      </c>
      <c r="Y325" s="17">
        <f>IF($T325=1,$AU325,VLOOKUP(U325,'Cortes naturales'!$A$45:$C$49,3,9))</f>
        <v>3</v>
      </c>
      <c r="Z325" s="14">
        <v>54.240106204536517</v>
      </c>
      <c r="AA325" s="14">
        <v>0.56598408294582636</v>
      </c>
      <c r="AB325" s="14">
        <v>30.699036769058825</v>
      </c>
      <c r="AC325" s="13">
        <v>3</v>
      </c>
      <c r="AD325" s="13">
        <f t="shared" si="139"/>
        <v>0</v>
      </c>
      <c r="AE325" s="14">
        <f t="shared" si="140"/>
        <v>1.2599590328905279</v>
      </c>
      <c r="AF325" s="14">
        <f t="shared" si="141"/>
        <v>-7.7311492095408774E-3</v>
      </c>
      <c r="AG325" s="13">
        <f t="shared" si="142"/>
        <v>0.2840374722900556</v>
      </c>
      <c r="AH325" s="13">
        <f>IF($T325=1,$AU325,VLOOKUP(U325,'Cortes naturales'!$A$25:$C$29,3,9))</f>
        <v>3</v>
      </c>
      <c r="AI325" s="13" t="b">
        <f t="shared" si="143"/>
        <v>1</v>
      </c>
      <c r="AJ325" s="13">
        <f t="shared" si="144"/>
        <v>0</v>
      </c>
      <c r="AK325" s="28">
        <v>0.81759069605862034</v>
      </c>
      <c r="AL325" s="28">
        <v>44.346206186060499</v>
      </c>
      <c r="AM325" s="28">
        <v>0.38409828223820908</v>
      </c>
      <c r="AN325" s="13">
        <v>3</v>
      </c>
      <c r="AO325" s="33">
        <f t="shared" si="145"/>
        <v>0</v>
      </c>
      <c r="AP325" s="13">
        <f t="shared" si="155"/>
        <v>38.409828223820909</v>
      </c>
      <c r="AQ325" s="13">
        <f>IFERROR(VLOOKUP(U325,'Cortes naturales'!$E$15:$G$19,3,9),U325)</f>
        <v>4</v>
      </c>
      <c r="AR325" s="28">
        <f t="shared" si="146"/>
        <v>-0.25933776232233485</v>
      </c>
      <c r="AS325" s="13" t="b">
        <f t="shared" si="147"/>
        <v>0</v>
      </c>
      <c r="AT325" s="13">
        <f t="shared" si="156"/>
        <v>0</v>
      </c>
      <c r="AU325" s="13">
        <v>3</v>
      </c>
      <c r="AV325">
        <f t="shared" si="148"/>
        <v>0</v>
      </c>
      <c r="AW325" s="13">
        <v>0</v>
      </c>
      <c r="AX325" s="13">
        <v>0</v>
      </c>
      <c r="AY325" s="13">
        <v>0</v>
      </c>
      <c r="AZ325" s="13">
        <v>0</v>
      </c>
      <c r="BA325">
        <v>0</v>
      </c>
      <c r="BB325" t="s">
        <v>2840</v>
      </c>
      <c r="BC325">
        <v>6</v>
      </c>
      <c r="BD325" t="s">
        <v>2919</v>
      </c>
      <c r="BE325">
        <v>0</v>
      </c>
      <c r="BF325" s="232" t="s">
        <v>2846</v>
      </c>
      <c r="BG325" s="232" t="s">
        <v>2845</v>
      </c>
      <c r="BH325" s="253">
        <v>25.3</v>
      </c>
      <c r="BI325" s="253">
        <v>9.2374795544824355</v>
      </c>
      <c r="BJ325" s="25">
        <v>21.29489697458963</v>
      </c>
      <c r="BK325" t="s">
        <v>379</v>
      </c>
      <c r="BL325">
        <v>1.594972168202436</v>
      </c>
      <c r="BM325" t="s">
        <v>383</v>
      </c>
      <c r="BN325" s="322">
        <v>26697.298793999998</v>
      </c>
      <c r="BO325" s="322">
        <v>5480.1435439999996</v>
      </c>
      <c r="BP325" s="10">
        <v>18290</v>
      </c>
      <c r="BQ325" s="254">
        <f t="shared" si="149"/>
        <v>1.4596664184800436</v>
      </c>
      <c r="BR325" s="254">
        <f t="shared" si="150"/>
        <v>0.29962512542372877</v>
      </c>
      <c r="BS325" s="25">
        <v>55.882100752179703</v>
      </c>
      <c r="BT325" s="25">
        <v>83.603198008018964</v>
      </c>
      <c r="BU325" s="25">
        <v>43.016463742166501</v>
      </c>
      <c r="BV325" s="25">
        <v>91.207927027915787</v>
      </c>
      <c r="BW325" s="25">
        <v>45.364656089808364</v>
      </c>
      <c r="BX325" s="25">
        <v>68.427422382570228</v>
      </c>
      <c r="BY325" s="25">
        <v>45.746640213283293</v>
      </c>
      <c r="BZ325">
        <v>85</v>
      </c>
      <c r="CA325">
        <v>0</v>
      </c>
      <c r="CB325">
        <v>7</v>
      </c>
      <c r="CC325">
        <v>25555.014039999998</v>
      </c>
      <c r="CD325" s="10">
        <v>16905.420701999999</v>
      </c>
      <c r="CE325" s="255">
        <v>0.66153047991047009</v>
      </c>
      <c r="CF325" t="str">
        <f>IFERROR(VLOOKUP(CE325,'Rangos amb etnico'!$A$2:$C$6,3,9),"N.D.")</f>
        <v>51% - 70%</v>
      </c>
      <c r="CG325" s="256">
        <v>4.9184241599775126E-4</v>
      </c>
      <c r="CH325" s="232">
        <v>0</v>
      </c>
      <c r="CI325" s="311">
        <f t="shared" si="157"/>
        <v>0</v>
      </c>
      <c r="CJ325" s="232">
        <f>IFERROR(VLOOKUP(CI325,'Rangos amb etnico'!$A$2:$C$6,3,9),"N.D.")</f>
        <v>0</v>
      </c>
      <c r="CK325" s="311">
        <f t="shared" si="158"/>
        <v>0</v>
      </c>
      <c r="CL325" s="10">
        <v>0</v>
      </c>
      <c r="CM325" s="255">
        <f t="shared" si="159"/>
        <v>0</v>
      </c>
      <c r="CN325" s="232">
        <f>IFERROR(VLOOKUP(CM325,'Rangos amb etnico'!$A$2:$C$6,3,9),"N.D.")</f>
        <v>0</v>
      </c>
      <c r="CO325" s="311">
        <f t="shared" si="160"/>
        <v>0</v>
      </c>
      <c r="CP325">
        <v>0.65558896331929184</v>
      </c>
      <c r="CQ325" t="s">
        <v>2866</v>
      </c>
      <c r="CR325">
        <f t="shared" si="151"/>
        <v>2</v>
      </c>
      <c r="CS325" t="str">
        <f t="shared" si="161"/>
        <v>No es Candidato</v>
      </c>
      <c r="CT325">
        <v>0</v>
      </c>
      <c r="CU325">
        <v>0</v>
      </c>
      <c r="CV325" s="25">
        <v>53.569450378417969</v>
      </c>
      <c r="CW325" s="25">
        <v>31.723051071166989</v>
      </c>
      <c r="CX325" s="25">
        <v>63.612274169921882</v>
      </c>
      <c r="CY325" s="25">
        <v>60.125026702880859</v>
      </c>
      <c r="CZ325" s="25">
        <v>55.944431304931641</v>
      </c>
      <c r="DA325" s="25">
        <v>60.151710510253913</v>
      </c>
      <c r="DB325" s="25">
        <v>49.860214233398438</v>
      </c>
      <c r="DC325">
        <v>617</v>
      </c>
      <c r="DD325" s="253" t="s">
        <v>380</v>
      </c>
    </row>
    <row r="326" spans="1:108" hidden="1">
      <c r="A326" s="13">
        <v>15224</v>
      </c>
      <c r="B326" s="13" t="s">
        <v>1109</v>
      </c>
      <c r="C326" s="13" t="s">
        <v>498</v>
      </c>
      <c r="D326" s="13" t="s">
        <v>499</v>
      </c>
      <c r="E326" s="13" t="s">
        <v>1110</v>
      </c>
      <c r="F326" s="14">
        <v>78.933166666666693</v>
      </c>
      <c r="G326" s="13">
        <v>64.62</v>
      </c>
      <c r="H326" s="13">
        <v>33.479999999999997</v>
      </c>
      <c r="I326" s="13">
        <v>55.99</v>
      </c>
      <c r="J326" s="14">
        <v>54.704011510647753</v>
      </c>
      <c r="K326" s="14">
        <v>50.180203265519026</v>
      </c>
      <c r="L326" s="14">
        <v>44.439316747869334</v>
      </c>
      <c r="M326" s="14">
        <v>48.676299999999998</v>
      </c>
      <c r="N326" s="14">
        <f t="shared" si="135"/>
        <v>58.255791666666674</v>
      </c>
      <c r="O326" s="14">
        <f t="shared" si="136"/>
        <v>49.499957881009024</v>
      </c>
      <c r="P326" s="14">
        <f t="shared" si="152"/>
        <v>53.877874773837846</v>
      </c>
      <c r="Q326" s="14">
        <v>49.957305802678242</v>
      </c>
      <c r="R326" s="17">
        <f t="shared" si="137"/>
        <v>50.042694197321758</v>
      </c>
      <c r="S326" s="14">
        <f t="shared" si="153"/>
        <v>0.55038424777589579</v>
      </c>
      <c r="T326" s="13">
        <v>0</v>
      </c>
      <c r="U326" s="13">
        <f t="shared" si="154"/>
        <v>29.653533579162655</v>
      </c>
      <c r="V326" s="13">
        <f>IF($T326=1,$AU326,(VLOOKUP(U326,'Cortes naturales'!$A$35:$C$39,3,9)))</f>
        <v>3</v>
      </c>
      <c r="W326" s="13">
        <v>3</v>
      </c>
      <c r="X326" s="14" t="b">
        <f t="shared" si="138"/>
        <v>1</v>
      </c>
      <c r="Y326" s="17">
        <f>IF($T326=1,$AU326,VLOOKUP(U326,'Cortes naturales'!$A$45:$C$49,3,9))</f>
        <v>3</v>
      </c>
      <c r="Z326" s="14">
        <v>57.542041124270504</v>
      </c>
      <c r="AA326" s="14">
        <v>0.56458562435552162</v>
      </c>
      <c r="AB326" s="14">
        <v>32.487409214837363</v>
      </c>
      <c r="AC326" s="13">
        <v>3</v>
      </c>
      <c r="AD326" s="13">
        <f t="shared" si="139"/>
        <v>0</v>
      </c>
      <c r="AE326" s="14">
        <f t="shared" si="140"/>
        <v>-3.6641663504326587</v>
      </c>
      <c r="AF326" s="14">
        <f t="shared" si="141"/>
        <v>-1.4201376579625835E-2</v>
      </c>
      <c r="AG326" s="13">
        <f t="shared" si="142"/>
        <v>-2.8338756356747083</v>
      </c>
      <c r="AH326" s="13">
        <f>IF($T326=1,$AU326,VLOOKUP(U326,'Cortes naturales'!$A$25:$C$29,3,9))</f>
        <v>3</v>
      </c>
      <c r="AI326" s="13" t="b">
        <f t="shared" si="143"/>
        <v>1</v>
      </c>
      <c r="AJ326" s="13">
        <f t="shared" si="144"/>
        <v>0</v>
      </c>
      <c r="AK326" s="28">
        <v>0.81759069605862034</v>
      </c>
      <c r="AL326" s="28">
        <v>47.045837455426081</v>
      </c>
      <c r="AM326" s="28">
        <v>0.41786782373838349</v>
      </c>
      <c r="AN326" s="13">
        <v>3</v>
      </c>
      <c r="AO326" s="33">
        <f t="shared" si="145"/>
        <v>0</v>
      </c>
      <c r="AP326" s="13">
        <f t="shared" si="155"/>
        <v>41.786782373838349</v>
      </c>
      <c r="AQ326" s="13">
        <f>IFERROR(VLOOKUP(U326,'Cortes naturales'!$E$15:$G$19,3,9),U326)</f>
        <v>4</v>
      </c>
      <c r="AR326" s="28">
        <f t="shared" si="146"/>
        <v>-0.26720644828272455</v>
      </c>
      <c r="AS326" s="13" t="b">
        <f t="shared" si="147"/>
        <v>0</v>
      </c>
      <c r="AT326" s="13">
        <f t="shared" si="156"/>
        <v>0</v>
      </c>
      <c r="AU326" s="13">
        <v>2</v>
      </c>
      <c r="AV326">
        <f t="shared" si="148"/>
        <v>-1</v>
      </c>
      <c r="AW326" s="13">
        <v>0</v>
      </c>
      <c r="AX326" s="13">
        <v>0</v>
      </c>
      <c r="AY326" s="13">
        <v>0</v>
      </c>
      <c r="AZ326" s="13">
        <v>0</v>
      </c>
      <c r="BA326">
        <v>0</v>
      </c>
      <c r="BB326" t="s">
        <v>2839</v>
      </c>
      <c r="BC326">
        <v>6</v>
      </c>
      <c r="BD326" t="s">
        <v>2919</v>
      </c>
      <c r="BE326">
        <v>0</v>
      </c>
      <c r="BF326" s="232" t="s">
        <v>2846</v>
      </c>
      <c r="BG326" s="232" t="s">
        <v>2846</v>
      </c>
      <c r="BH326" s="253">
        <v>25.9</v>
      </c>
      <c r="BI326" s="253">
        <v>10.962962962962964</v>
      </c>
      <c r="BJ326" s="25">
        <v>20.848086318407962</v>
      </c>
      <c r="BK326" t="s">
        <v>379</v>
      </c>
      <c r="BL326">
        <v>0</v>
      </c>
      <c r="BM326" t="s">
        <v>377</v>
      </c>
      <c r="BN326" s="322">
        <v>12765.225573</v>
      </c>
      <c r="BO326" s="322">
        <v>1870.1318080000001</v>
      </c>
      <c r="BP326" s="10">
        <v>3801</v>
      </c>
      <c r="BQ326" s="254">
        <f t="shared" si="149"/>
        <v>3.3583861018153116</v>
      </c>
      <c r="BR326" s="254">
        <f t="shared" si="150"/>
        <v>0.49201047303341228</v>
      </c>
      <c r="BS326" s="25">
        <v>52.231207160894662</v>
      </c>
      <c r="BT326" s="25">
        <v>94.396211523283341</v>
      </c>
      <c r="BU326" s="25">
        <v>54.481902356902332</v>
      </c>
      <c r="BV326" s="25">
        <v>89.579687325910427</v>
      </c>
      <c r="BW326" s="25">
        <v>60.374864505310903</v>
      </c>
      <c r="BX326" s="25">
        <v>72.672252091747694</v>
      </c>
      <c r="BY326" s="25">
        <v>61.575266412218653</v>
      </c>
      <c r="BZ326">
        <v>79</v>
      </c>
      <c r="CA326">
        <v>0</v>
      </c>
      <c r="CB326">
        <v>7</v>
      </c>
      <c r="CC326">
        <v>4205.8087480000004</v>
      </c>
      <c r="CD326" s="10">
        <v>1119.447529</v>
      </c>
      <c r="CE326" s="255">
        <v>0.26616700760164952</v>
      </c>
      <c r="CF326" t="str">
        <f>IFERROR(VLOOKUP(CE326,'Rangos amb etnico'!$A$2:$C$6,3,9),"N.D.")</f>
        <v>0,1% - 30%</v>
      </c>
      <c r="CG326" s="256">
        <v>3.2568948561033733E-5</v>
      </c>
      <c r="CH326" s="232">
        <v>0</v>
      </c>
      <c r="CI326" s="311">
        <f t="shared" si="157"/>
        <v>0</v>
      </c>
      <c r="CJ326" s="232">
        <f>IFERROR(VLOOKUP(CI326,'Rangos amb etnico'!$A$2:$C$6,3,9),"N.D.")</f>
        <v>0</v>
      </c>
      <c r="CK326" s="311">
        <f t="shared" si="158"/>
        <v>0</v>
      </c>
      <c r="CL326" s="10">
        <v>0</v>
      </c>
      <c r="CM326" s="255">
        <f t="shared" si="159"/>
        <v>0</v>
      </c>
      <c r="CN326" s="232">
        <f>IFERROR(VLOOKUP(CM326,'Rangos amb etnico'!$A$2:$C$6,3,9),"N.D.")</f>
        <v>0</v>
      </c>
      <c r="CO326" s="311">
        <f t="shared" si="160"/>
        <v>0</v>
      </c>
      <c r="CP326">
        <v>0.92699796389388323</v>
      </c>
      <c r="CQ326" t="s">
        <v>2864</v>
      </c>
      <c r="CR326">
        <f t="shared" si="151"/>
        <v>2</v>
      </c>
      <c r="CS326" t="str">
        <f t="shared" si="161"/>
        <v>No es Candidato</v>
      </c>
      <c r="CT326">
        <v>0</v>
      </c>
      <c r="CU326">
        <v>0</v>
      </c>
      <c r="CV326" s="25">
        <v>51.799816131591797</v>
      </c>
      <c r="CW326" s="25">
        <v>27.542692184448239</v>
      </c>
      <c r="CX326" s="25">
        <v>50.879787445068359</v>
      </c>
      <c r="CY326" s="25">
        <v>65.295509338378906</v>
      </c>
      <c r="CZ326" s="25">
        <v>59.026031494140618</v>
      </c>
      <c r="DA326" s="25">
        <v>58.653228759765618</v>
      </c>
      <c r="DB326" s="25">
        <v>49.401649475097663</v>
      </c>
      <c r="DC326">
        <v>16</v>
      </c>
      <c r="DD326" s="253" t="s">
        <v>380</v>
      </c>
    </row>
    <row r="327" spans="1:108" hidden="1">
      <c r="A327" s="13">
        <v>70204</v>
      </c>
      <c r="B327" s="13" t="s">
        <v>1111</v>
      </c>
      <c r="C327" s="13" t="s">
        <v>494</v>
      </c>
      <c r="D327" s="13" t="s">
        <v>495</v>
      </c>
      <c r="E327" s="13" t="s">
        <v>1112</v>
      </c>
      <c r="F327" s="14">
        <v>48.616500000000002</v>
      </c>
      <c r="G327" s="13">
        <v>50.42</v>
      </c>
      <c r="H327" s="13">
        <v>37.31</v>
      </c>
      <c r="I327" s="13">
        <v>51.84</v>
      </c>
      <c r="J327" s="14">
        <v>51.940623685784963</v>
      </c>
      <c r="K327" s="14">
        <v>54.839443514859717</v>
      </c>
      <c r="L327" s="14">
        <v>56.82276191277407</v>
      </c>
      <c r="M327" s="14">
        <v>51.069699999999997</v>
      </c>
      <c r="N327" s="14">
        <f t="shared" si="135"/>
        <v>47.046624999999999</v>
      </c>
      <c r="O327" s="14">
        <f t="shared" si="136"/>
        <v>53.66813227835469</v>
      </c>
      <c r="P327" s="14">
        <f t="shared" si="152"/>
        <v>50.357378639177341</v>
      </c>
      <c r="Q327" s="14">
        <v>48.896931664984628</v>
      </c>
      <c r="R327" s="17">
        <f t="shared" si="137"/>
        <v>51.103068335015372</v>
      </c>
      <c r="S327" s="14">
        <f t="shared" si="153"/>
        <v>0.55992761501513832</v>
      </c>
      <c r="T327" s="13">
        <v>0</v>
      </c>
      <c r="U327" s="13">
        <f t="shared" si="154"/>
        <v>28.196486919848841</v>
      </c>
      <c r="V327" s="13">
        <f>IF($T327=1,$AU327,(VLOOKUP(U327,'Cortes naturales'!$A$35:$C$39,3,9)))</f>
        <v>4</v>
      </c>
      <c r="W327" s="13">
        <v>4</v>
      </c>
      <c r="X327" s="14" t="b">
        <f t="shared" si="138"/>
        <v>1</v>
      </c>
      <c r="Y327" s="17">
        <f>IF($T327=1,$AU327,VLOOKUP(U327,'Cortes naturales'!$A$45:$C$49,3,9))</f>
        <v>4</v>
      </c>
      <c r="Z327" s="14">
        <v>49.653076118231681</v>
      </c>
      <c r="AA327" s="14">
        <v>0.56460608701002202</v>
      </c>
      <c r="AB327" s="14">
        <v>28.034429015125564</v>
      </c>
      <c r="AC327" s="13">
        <v>3</v>
      </c>
      <c r="AD327" s="13">
        <f t="shared" si="139"/>
        <v>-1</v>
      </c>
      <c r="AE327" s="14">
        <f t="shared" si="140"/>
        <v>0.70430252094566015</v>
      </c>
      <c r="AF327" s="14">
        <f t="shared" si="141"/>
        <v>-4.6784719948836928E-3</v>
      </c>
      <c r="AG327" s="13">
        <f t="shared" si="142"/>
        <v>0.16205790472327664</v>
      </c>
      <c r="AH327" s="13">
        <f>IF($T327=1,$AU327,VLOOKUP(U327,'Cortes naturales'!$A$25:$C$29,3,9))</f>
        <v>3</v>
      </c>
      <c r="AI327" s="13" t="b">
        <f t="shared" si="143"/>
        <v>0</v>
      </c>
      <c r="AJ327" s="13" t="str">
        <f t="shared" si="144"/>
        <v>Cambio en corte</v>
      </c>
      <c r="AK327" s="28">
        <v>0.81759069605862034</v>
      </c>
      <c r="AL327" s="28">
        <v>40.595893064956698</v>
      </c>
      <c r="AM327" s="28">
        <v>0.33718581829585537</v>
      </c>
      <c r="AN327" s="13">
        <v>4</v>
      </c>
      <c r="AO327" s="33">
        <f t="shared" si="145"/>
        <v>0</v>
      </c>
      <c r="AP327" s="13">
        <f t="shared" si="155"/>
        <v>33.718581829585538</v>
      </c>
      <c r="AQ327" s="13">
        <f>IFERROR(VLOOKUP(U327,'Cortes naturales'!$E$15:$G$19,3,9),U327)</f>
        <v>4</v>
      </c>
      <c r="AR327" s="28">
        <f t="shared" si="146"/>
        <v>-0.25766308104348201</v>
      </c>
      <c r="AS327" s="13" t="b">
        <f t="shared" si="147"/>
        <v>1</v>
      </c>
      <c r="AT327" s="13">
        <f t="shared" si="156"/>
        <v>0</v>
      </c>
      <c r="AU327" s="13">
        <v>4</v>
      </c>
      <c r="AV327">
        <f t="shared" si="148"/>
        <v>0</v>
      </c>
      <c r="AW327" s="13">
        <v>0</v>
      </c>
      <c r="AX327" s="13">
        <v>0</v>
      </c>
      <c r="AY327" s="13">
        <v>0</v>
      </c>
      <c r="AZ327" s="13">
        <v>1</v>
      </c>
      <c r="BA327">
        <v>1</v>
      </c>
      <c r="BB327" t="s">
        <v>2839</v>
      </c>
      <c r="BC327">
        <v>6</v>
      </c>
      <c r="BD327" t="s">
        <v>2919</v>
      </c>
      <c r="BE327">
        <v>0</v>
      </c>
      <c r="BF327" s="232" t="s">
        <v>2846</v>
      </c>
      <c r="BG327" s="232" t="s">
        <v>2846</v>
      </c>
      <c r="BH327" s="253">
        <v>59.6</v>
      </c>
      <c r="BI327" s="253">
        <v>61.027809816737154</v>
      </c>
      <c r="BJ327" s="25">
        <v>49.715909090909093</v>
      </c>
      <c r="BK327" t="s">
        <v>376</v>
      </c>
      <c r="BL327">
        <v>8.0032025256633492</v>
      </c>
      <c r="BM327" t="s">
        <v>379</v>
      </c>
      <c r="BN327" s="322">
        <v>41772.021252999999</v>
      </c>
      <c r="BO327" s="322">
        <v>2084.6882919999998</v>
      </c>
      <c r="BP327" s="10">
        <v>10048</v>
      </c>
      <c r="BQ327" s="254">
        <f t="shared" si="149"/>
        <v>4.1572473380772292</v>
      </c>
      <c r="BR327" s="254">
        <f t="shared" si="150"/>
        <v>0.20747295899681528</v>
      </c>
      <c r="BS327" s="25">
        <v>56.451628386381877</v>
      </c>
      <c r="BT327" s="25">
        <v>93.458067940552027</v>
      </c>
      <c r="BU327" s="25">
        <v>56.698403361344539</v>
      </c>
      <c r="BV327" s="25">
        <v>96.694878868146972</v>
      </c>
      <c r="BW327" s="25">
        <v>44.77775320965636</v>
      </c>
      <c r="BX327" s="25">
        <v>75.825744639106347</v>
      </c>
      <c r="BY327" s="25">
        <v>44.950051966975238</v>
      </c>
      <c r="BZ327">
        <v>43</v>
      </c>
      <c r="CA327">
        <v>0</v>
      </c>
      <c r="CB327">
        <v>7</v>
      </c>
      <c r="CC327">
        <v>13109.28472</v>
      </c>
      <c r="CD327" s="10">
        <v>5743.0247449999997</v>
      </c>
      <c r="CE327" s="255">
        <v>0.43808833721020896</v>
      </c>
      <c r="CF327" t="str">
        <f>IFERROR(VLOOKUP(CE327,'Rangos amb etnico'!$A$2:$C$6,3,9),"N.D.")</f>
        <v>31% - 50%</v>
      </c>
      <c r="CG327" s="256">
        <v>1.670862391127301E-4</v>
      </c>
      <c r="CH327" s="232">
        <v>0.32261800000000002</v>
      </c>
      <c r="CI327" s="311">
        <f t="shared" si="157"/>
        <v>2.4609885809238874E-5</v>
      </c>
      <c r="CJ327" s="232">
        <f>IFERROR(VLOOKUP(CI327,'Rangos amb etnico'!$A$2:$C$6,3,9),"N.D.")</f>
        <v>0</v>
      </c>
      <c r="CK327" s="311">
        <f t="shared" si="158"/>
        <v>1.2810046844725375E-8</v>
      </c>
      <c r="CL327" s="10">
        <v>0</v>
      </c>
      <c r="CM327" s="255">
        <f t="shared" si="159"/>
        <v>0</v>
      </c>
      <c r="CN327" s="232">
        <f>IFERROR(VLOOKUP(CM327,'Rangos amb etnico'!$A$2:$C$6,3,9),"N.D.")</f>
        <v>0</v>
      </c>
      <c r="CO327" s="311">
        <f t="shared" si="160"/>
        <v>0</v>
      </c>
      <c r="CP327">
        <v>0.9491449346999703</v>
      </c>
      <c r="CQ327" t="s">
        <v>2864</v>
      </c>
      <c r="CR327">
        <f t="shared" si="151"/>
        <v>1</v>
      </c>
      <c r="CS327" t="str">
        <f t="shared" si="161"/>
        <v>No es Candidato</v>
      </c>
      <c r="CT327">
        <v>0</v>
      </c>
      <c r="CU327">
        <v>0</v>
      </c>
      <c r="CV327" s="25">
        <v>50.126285552978523</v>
      </c>
      <c r="CW327" s="25">
        <v>28.933671951293949</v>
      </c>
      <c r="CX327" s="25">
        <v>53.078445434570313</v>
      </c>
      <c r="CY327" s="25">
        <v>46.025962829589837</v>
      </c>
      <c r="CZ327" s="25">
        <v>35.553768157958977</v>
      </c>
      <c r="DA327" s="25">
        <v>79.197647094726563</v>
      </c>
      <c r="DB327" s="25">
        <v>57.968231201171882</v>
      </c>
      <c r="DC327">
        <v>1379</v>
      </c>
      <c r="DD327" s="253" t="s">
        <v>380</v>
      </c>
    </row>
    <row r="328" spans="1:108" hidden="1">
      <c r="A328" s="13">
        <v>73349</v>
      </c>
      <c r="B328" s="13" t="s">
        <v>1113</v>
      </c>
      <c r="C328" s="13" t="s">
        <v>595</v>
      </c>
      <c r="D328" s="13" t="s">
        <v>596</v>
      </c>
      <c r="E328" s="13" t="s">
        <v>1114</v>
      </c>
      <c r="F328" s="14">
        <v>54.262999999999998</v>
      </c>
      <c r="G328" s="13">
        <v>38.28</v>
      </c>
      <c r="H328" s="13">
        <v>40.33</v>
      </c>
      <c r="I328" s="13">
        <v>43.3</v>
      </c>
      <c r="J328" s="14">
        <v>47.295507506020158</v>
      </c>
      <c r="K328" s="14">
        <v>48.027687962380796</v>
      </c>
      <c r="L328" s="14">
        <v>51.656218627744437</v>
      </c>
      <c r="M328" s="14">
        <v>45.437199999999997</v>
      </c>
      <c r="N328" s="14">
        <f t="shared" si="135"/>
        <v>44.04325</v>
      </c>
      <c r="O328" s="14">
        <f t="shared" si="136"/>
        <v>48.104153524036342</v>
      </c>
      <c r="P328" s="14">
        <f t="shared" si="152"/>
        <v>46.073701762018175</v>
      </c>
      <c r="Q328" s="14">
        <v>50.705929589023569</v>
      </c>
      <c r="R328" s="17">
        <f t="shared" si="137"/>
        <v>49.294070410976431</v>
      </c>
      <c r="S328" s="14">
        <f t="shared" si="153"/>
        <v>0.54364663369878785</v>
      </c>
      <c r="T328" s="13">
        <v>0</v>
      </c>
      <c r="U328" s="13">
        <f t="shared" si="154"/>
        <v>25.047812864963092</v>
      </c>
      <c r="V328" s="13">
        <f>IF($T328=1,$AU328,(VLOOKUP(U328,'Cortes naturales'!$A$35:$C$39,3,9)))</f>
        <v>4</v>
      </c>
      <c r="W328" s="13">
        <v>4</v>
      </c>
      <c r="X328" s="14" t="b">
        <f t="shared" si="138"/>
        <v>1</v>
      </c>
      <c r="Y328" s="17">
        <f>IF($T328=1,$AU328,VLOOKUP(U328,'Cortes naturales'!$A$45:$C$49,3,9))</f>
        <v>4</v>
      </c>
      <c r="Z328" s="14">
        <v>48.275938722498658</v>
      </c>
      <c r="AA328" s="14">
        <v>0.56255896171742947</v>
      </c>
      <c r="AB328" s="14">
        <v>27.158061963663094</v>
      </c>
      <c r="AC328" s="13">
        <v>4</v>
      </c>
      <c r="AD328" s="13">
        <f t="shared" si="139"/>
        <v>0</v>
      </c>
      <c r="AE328" s="14">
        <f t="shared" si="140"/>
        <v>-2.2022369604804837</v>
      </c>
      <c r="AF328" s="14">
        <f t="shared" si="141"/>
        <v>-1.8912328018641622E-2</v>
      </c>
      <c r="AG328" s="13">
        <f t="shared" si="142"/>
        <v>-2.1102490987000024</v>
      </c>
      <c r="AH328" s="13">
        <f>IF($T328=1,$AU328,VLOOKUP(U328,'Cortes naturales'!$A$25:$C$29,3,9))</f>
        <v>4</v>
      </c>
      <c r="AI328" s="13" t="b">
        <f t="shared" si="143"/>
        <v>1</v>
      </c>
      <c r="AJ328" s="13">
        <f t="shared" si="144"/>
        <v>0</v>
      </c>
      <c r="AK328" s="28">
        <v>0.81759069605862034</v>
      </c>
      <c r="AL328" s="28">
        <v>39.46995834301098</v>
      </c>
      <c r="AM328" s="28">
        <v>0.3231015617713825</v>
      </c>
      <c r="AN328" s="13">
        <v>4</v>
      </c>
      <c r="AO328" s="33">
        <f t="shared" si="145"/>
        <v>0</v>
      </c>
      <c r="AP328" s="13">
        <f t="shared" si="155"/>
        <v>32.310156177138246</v>
      </c>
      <c r="AQ328" s="13">
        <f>IFERROR(VLOOKUP(U328,'Cortes naturales'!$E$15:$G$19,3,9),U328)</f>
        <v>4</v>
      </c>
      <c r="AR328" s="28">
        <f t="shared" si="146"/>
        <v>-0.27394406235983249</v>
      </c>
      <c r="AS328" s="13" t="b">
        <f t="shared" si="147"/>
        <v>1</v>
      </c>
      <c r="AT328" s="13">
        <f t="shared" si="156"/>
        <v>0</v>
      </c>
      <c r="AU328" s="13">
        <v>2</v>
      </c>
      <c r="AV328">
        <f t="shared" si="148"/>
        <v>-2</v>
      </c>
      <c r="AW328" s="13">
        <v>0</v>
      </c>
      <c r="AX328" s="13">
        <v>0</v>
      </c>
      <c r="AY328" s="13">
        <v>0</v>
      </c>
      <c r="AZ328" s="13">
        <v>0</v>
      </c>
      <c r="BA328">
        <v>0</v>
      </c>
      <c r="BB328" t="s">
        <v>2838</v>
      </c>
      <c r="BC328">
        <v>6</v>
      </c>
      <c r="BD328" t="s">
        <v>2920</v>
      </c>
      <c r="BE328">
        <v>0</v>
      </c>
      <c r="BF328" s="232" t="s">
        <v>2846</v>
      </c>
      <c r="BG328" s="232" t="s">
        <v>2846</v>
      </c>
      <c r="BH328" s="253">
        <v>25.8</v>
      </c>
      <c r="BI328" s="253">
        <v>10.301938205950863</v>
      </c>
      <c r="BJ328" s="25">
        <v>1.9666666666666666</v>
      </c>
      <c r="BK328" t="s">
        <v>381</v>
      </c>
      <c r="BL328">
        <v>9.6847793475812587</v>
      </c>
      <c r="BM328" t="s">
        <v>379</v>
      </c>
      <c r="BN328" s="322">
        <v>38507.567794000002</v>
      </c>
      <c r="BO328" s="322">
        <v>10037.634625000001</v>
      </c>
      <c r="BP328" s="10">
        <v>24953</v>
      </c>
      <c r="BQ328" s="254">
        <f t="shared" si="149"/>
        <v>1.5432039351580973</v>
      </c>
      <c r="BR328" s="254">
        <f t="shared" si="150"/>
        <v>0.40226163687732941</v>
      </c>
      <c r="BS328" s="25">
        <v>64.77089536175481</v>
      </c>
      <c r="BT328" s="25">
        <v>93.672506082725064</v>
      </c>
      <c r="BU328" s="25">
        <v>51.946358885017411</v>
      </c>
      <c r="BV328" s="25">
        <v>83.187749220323411</v>
      </c>
      <c r="BW328" s="25">
        <v>49.665418930759508</v>
      </c>
      <c r="BX328" s="25">
        <v>73.394377387455179</v>
      </c>
      <c r="BY328" s="25">
        <v>50.436925606991991</v>
      </c>
      <c r="BZ328">
        <v>52</v>
      </c>
      <c r="CA328">
        <v>0</v>
      </c>
      <c r="CB328">
        <v>5</v>
      </c>
      <c r="CC328">
        <v>30471.219269000001</v>
      </c>
      <c r="CD328" s="10">
        <v>9808.2910859999993</v>
      </c>
      <c r="CE328" s="255">
        <v>0.32188705674729917</v>
      </c>
      <c r="CF328" t="str">
        <f>IFERROR(VLOOKUP(CE328,'Rangos amb etnico'!$A$2:$C$6,3,9),"N.D.")</f>
        <v>31% - 50%</v>
      </c>
      <c r="CG328" s="256">
        <v>2.8536016166558502E-4</v>
      </c>
      <c r="CH328" s="232">
        <v>0</v>
      </c>
      <c r="CI328" s="311">
        <f t="shared" si="157"/>
        <v>0</v>
      </c>
      <c r="CJ328" s="232">
        <f>IFERROR(VLOOKUP(CI328,'Rangos amb etnico'!$A$2:$C$6,3,9),"N.D.")</f>
        <v>0</v>
      </c>
      <c r="CK328" s="311">
        <f t="shared" si="158"/>
        <v>0</v>
      </c>
      <c r="CL328" s="10">
        <v>0</v>
      </c>
      <c r="CM328" s="255">
        <f t="shared" si="159"/>
        <v>0</v>
      </c>
      <c r="CN328" s="232">
        <f>IFERROR(VLOOKUP(CM328,'Rangos amb etnico'!$A$2:$C$6,3,9),"N.D.")</f>
        <v>0</v>
      </c>
      <c r="CO328" s="311">
        <f t="shared" si="160"/>
        <v>0</v>
      </c>
      <c r="CP328">
        <v>0.7186931048184837</v>
      </c>
      <c r="CQ328" t="s">
        <v>2866</v>
      </c>
      <c r="CR328">
        <f t="shared" si="151"/>
        <v>0</v>
      </c>
      <c r="CS328" t="str">
        <f t="shared" si="161"/>
        <v>No es Candidato</v>
      </c>
      <c r="CT328">
        <v>0</v>
      </c>
      <c r="CU328">
        <v>0</v>
      </c>
      <c r="CV328" s="25">
        <v>45.514293670654297</v>
      </c>
      <c r="CW328" s="25">
        <v>35.148128509521477</v>
      </c>
      <c r="CX328" s="25">
        <v>51.922927856445313</v>
      </c>
      <c r="CY328" s="25">
        <v>74.537803649902344</v>
      </c>
      <c r="CZ328" s="25">
        <v>45.571723937988281</v>
      </c>
      <c r="DA328" s="25">
        <v>13.021064758300779</v>
      </c>
      <c r="DB328" s="25">
        <v>52.884117126464837</v>
      </c>
      <c r="DC328">
        <v>282</v>
      </c>
      <c r="DD328" s="253" t="s">
        <v>380</v>
      </c>
    </row>
    <row r="329" spans="1:108" hidden="1">
      <c r="A329" s="13">
        <v>13433</v>
      </c>
      <c r="B329" s="13" t="s">
        <v>1115</v>
      </c>
      <c r="C329" s="13" t="s">
        <v>480</v>
      </c>
      <c r="D329" s="13" t="s">
        <v>481</v>
      </c>
      <c r="E329" s="13" t="s">
        <v>1116</v>
      </c>
      <c r="F329" s="14">
        <v>62.552566666666699</v>
      </c>
      <c r="G329" s="13">
        <v>66.02</v>
      </c>
      <c r="H329" s="13">
        <v>44.44</v>
      </c>
      <c r="I329" s="13">
        <v>63.91</v>
      </c>
      <c r="J329" s="14">
        <v>38.618292097863403</v>
      </c>
      <c r="K329" s="14">
        <v>38.109537734073548</v>
      </c>
      <c r="L329" s="14">
        <v>33.563755388038459</v>
      </c>
      <c r="M329" s="14">
        <v>52.517600000000002</v>
      </c>
      <c r="N329" s="14">
        <f t="shared" si="135"/>
        <v>59.230641666666671</v>
      </c>
      <c r="O329" s="14">
        <f t="shared" si="136"/>
        <v>40.702296304993851</v>
      </c>
      <c r="P329" s="14">
        <f t="shared" si="152"/>
        <v>49.966468985830261</v>
      </c>
      <c r="Q329" s="14">
        <v>49.074406716685694</v>
      </c>
      <c r="R329" s="17">
        <f t="shared" si="137"/>
        <v>50.925593283314306</v>
      </c>
      <c r="S329" s="14">
        <f t="shared" si="153"/>
        <v>0.5583303395498288</v>
      </c>
      <c r="T329" s="13">
        <v>0</v>
      </c>
      <c r="U329" s="13">
        <f t="shared" si="154"/>
        <v>27.897795594964599</v>
      </c>
      <c r="V329" s="13">
        <f>IF($T329=1,$AU329,(VLOOKUP(U329,'Cortes naturales'!$A$35:$C$39,3,9)))</f>
        <v>4</v>
      </c>
      <c r="W329" s="13">
        <v>4</v>
      </c>
      <c r="X329" s="14" t="b">
        <f t="shared" si="138"/>
        <v>1</v>
      </c>
      <c r="Y329" s="17">
        <f>IF($T329=1,$AU329,VLOOKUP(U329,'Cortes naturales'!$A$45:$C$49,3,9))</f>
        <v>4</v>
      </c>
      <c r="Z329" s="14">
        <v>47.69428473297846</v>
      </c>
      <c r="AA329" s="14">
        <v>0.56476637851104838</v>
      </c>
      <c r="AB329" s="14">
        <v>26.93612846431903</v>
      </c>
      <c r="AC329" s="13">
        <v>4</v>
      </c>
      <c r="AD329" s="13">
        <f t="shared" si="139"/>
        <v>0</v>
      </c>
      <c r="AE329" s="14">
        <f t="shared" si="140"/>
        <v>2.272184252851801</v>
      </c>
      <c r="AF329" s="14">
        <f t="shared" si="141"/>
        <v>-6.4360389612195812E-3</v>
      </c>
      <c r="AG329" s="13">
        <f t="shared" si="142"/>
        <v>0.9616671306455693</v>
      </c>
      <c r="AH329" s="13">
        <f>IF($T329=1,$AU329,VLOOKUP(U329,'Cortes naturales'!$A$25:$C$29,3,9))</f>
        <v>3</v>
      </c>
      <c r="AI329" s="13" t="b">
        <f t="shared" si="143"/>
        <v>0</v>
      </c>
      <c r="AJ329" s="13">
        <f t="shared" si="144"/>
        <v>0</v>
      </c>
      <c r="AK329" s="28">
        <v>0.81759069605862034</v>
      </c>
      <c r="AL329" s="28">
        <v>38.994403452853888</v>
      </c>
      <c r="AM329" s="28">
        <v>0.31715287137762188</v>
      </c>
      <c r="AN329" s="13">
        <v>4</v>
      </c>
      <c r="AO329" s="33">
        <f t="shared" si="145"/>
        <v>0</v>
      </c>
      <c r="AP329" s="13">
        <f t="shared" si="155"/>
        <v>31.715287137762189</v>
      </c>
      <c r="AQ329" s="13">
        <f>IFERROR(VLOOKUP(U329,'Cortes naturales'!$E$15:$G$19,3,9),U329)</f>
        <v>4</v>
      </c>
      <c r="AR329" s="28">
        <f t="shared" si="146"/>
        <v>-0.25926035650879153</v>
      </c>
      <c r="AS329" s="13" t="b">
        <f t="shared" si="147"/>
        <v>1</v>
      </c>
      <c r="AT329" s="13">
        <f t="shared" si="156"/>
        <v>0</v>
      </c>
      <c r="AU329" s="13">
        <v>3</v>
      </c>
      <c r="AV329">
        <f t="shared" si="148"/>
        <v>-1</v>
      </c>
      <c r="AW329" s="13">
        <v>0</v>
      </c>
      <c r="AX329" s="13">
        <v>0</v>
      </c>
      <c r="AY329" s="13">
        <v>0</v>
      </c>
      <c r="AZ329" s="13">
        <v>0</v>
      </c>
      <c r="BA329">
        <v>0</v>
      </c>
      <c r="BB329" t="s">
        <v>2839</v>
      </c>
      <c r="BC329">
        <v>6</v>
      </c>
      <c r="BD329" t="s">
        <v>2919</v>
      </c>
      <c r="BE329">
        <v>0</v>
      </c>
      <c r="BF329" s="232" t="s">
        <v>2846</v>
      </c>
      <c r="BG329" s="232" t="s">
        <v>2845</v>
      </c>
      <c r="BH329" s="253">
        <v>54.3</v>
      </c>
      <c r="BI329" s="253">
        <v>28.639608877851931</v>
      </c>
      <c r="BJ329" s="25">
        <v>23.595040548677655</v>
      </c>
      <c r="BK329" t="s">
        <v>379</v>
      </c>
      <c r="BL329">
        <v>1.5851753715884056</v>
      </c>
      <c r="BM329" t="s">
        <v>383</v>
      </c>
      <c r="BN329" s="322">
        <v>52248.050540999997</v>
      </c>
      <c r="BO329" s="322">
        <v>3215.8185269999999</v>
      </c>
      <c r="BP329" s="10">
        <v>31676</v>
      </c>
      <c r="BQ329" s="254">
        <f t="shared" si="149"/>
        <v>1.6494522837795176</v>
      </c>
      <c r="BR329" s="254">
        <f t="shared" si="150"/>
        <v>0.10152224166561434</v>
      </c>
      <c r="BS329" s="25">
        <v>57.688955992262933</v>
      </c>
      <c r="BT329" s="25">
        <v>86.677592169512607</v>
      </c>
      <c r="BU329" s="25">
        <v>19.785830216479631</v>
      </c>
      <c r="BV329" s="25">
        <v>95.858990517817276</v>
      </c>
      <c r="BW329" s="25">
        <v>43.285189680390047</v>
      </c>
      <c r="BX329" s="25">
        <v>65.00284222401811</v>
      </c>
      <c r="BY329" s="25">
        <v>41.512255251239132</v>
      </c>
      <c r="BZ329">
        <v>48</v>
      </c>
      <c r="CA329">
        <v>0</v>
      </c>
      <c r="CB329">
        <v>7</v>
      </c>
      <c r="CC329">
        <v>43209.796339</v>
      </c>
      <c r="CD329" s="10">
        <v>8331.4704419999998</v>
      </c>
      <c r="CE329" s="255">
        <v>0.1928143881224508</v>
      </c>
      <c r="CF329" t="str">
        <f>IFERROR(VLOOKUP(CE329,'Rangos amb etnico'!$A$2:$C$6,3,9),"N.D.")</f>
        <v>0,1% - 30%</v>
      </c>
      <c r="CG329" s="256">
        <v>2.4239388201219655E-4</v>
      </c>
      <c r="CH329" s="232">
        <v>3186.5328490000002</v>
      </c>
      <c r="CI329" s="311">
        <f t="shared" si="157"/>
        <v>7.3745611388682283E-2</v>
      </c>
      <c r="CJ329" s="232" t="str">
        <f>IFERROR(VLOOKUP(CI329,'Rangos amb etnico'!$A$2:$C$6,3,9),"N.D.")</f>
        <v>0,1% - 30%</v>
      </c>
      <c r="CK329" s="311">
        <f t="shared" si="158"/>
        <v>1.2652621697470758E-4</v>
      </c>
      <c r="CL329" s="10">
        <v>0</v>
      </c>
      <c r="CM329" s="255">
        <f t="shared" si="159"/>
        <v>0</v>
      </c>
      <c r="CN329" s="232">
        <f>IFERROR(VLOOKUP(CM329,'Rangos amb etnico'!$A$2:$C$6,3,9),"N.D.")</f>
        <v>0</v>
      </c>
      <c r="CO329" s="311">
        <f t="shared" si="160"/>
        <v>0</v>
      </c>
      <c r="CP329">
        <v>0.86601396682999687</v>
      </c>
      <c r="CQ329" t="s">
        <v>2864</v>
      </c>
      <c r="CR329">
        <f t="shared" si="151"/>
        <v>2</v>
      </c>
      <c r="CS329" t="str">
        <f t="shared" si="161"/>
        <v>No es Candidato</v>
      </c>
      <c r="CT329">
        <v>0</v>
      </c>
      <c r="CU329">
        <v>0</v>
      </c>
      <c r="CV329" s="25">
        <v>51.158397674560547</v>
      </c>
      <c r="CW329" s="25">
        <v>38.378791809082031</v>
      </c>
      <c r="CX329" s="25">
        <v>55.235767364501953</v>
      </c>
      <c r="CY329" s="25">
        <v>59.264255523681641</v>
      </c>
      <c r="CZ329" s="25">
        <v>15.98301792144775</v>
      </c>
      <c r="DA329" s="25">
        <v>82.710968017578125</v>
      </c>
      <c r="DB329" s="25">
        <v>55.377582550048828</v>
      </c>
      <c r="DC329">
        <v>20917</v>
      </c>
      <c r="DD329" s="253" t="s">
        <v>380</v>
      </c>
    </row>
    <row r="330" spans="1:108" hidden="1">
      <c r="A330" s="13">
        <v>52506</v>
      </c>
      <c r="B330" s="13" t="s">
        <v>1117</v>
      </c>
      <c r="C330" s="13" t="s">
        <v>672</v>
      </c>
      <c r="D330" s="13" t="s">
        <v>673</v>
      </c>
      <c r="E330" s="13" t="s">
        <v>1118</v>
      </c>
      <c r="F330" s="14">
        <v>63.491866666666702</v>
      </c>
      <c r="G330" s="13">
        <v>62.09</v>
      </c>
      <c r="H330" s="13">
        <v>57.59</v>
      </c>
      <c r="I330" s="13">
        <v>51.57</v>
      </c>
      <c r="J330" s="14">
        <v>58.626021319934324</v>
      </c>
      <c r="K330" s="14">
        <v>72.701235285578719</v>
      </c>
      <c r="L330" s="14">
        <v>68.728488493440807</v>
      </c>
      <c r="M330" s="14">
        <v>42.149099999999997</v>
      </c>
      <c r="N330" s="14">
        <f t="shared" si="135"/>
        <v>58.685466666666677</v>
      </c>
      <c r="O330" s="14">
        <f t="shared" si="136"/>
        <v>60.551211274738463</v>
      </c>
      <c r="P330" s="14">
        <f t="shared" si="152"/>
        <v>59.618338970702567</v>
      </c>
      <c r="Q330" s="14">
        <v>49.8411288980965</v>
      </c>
      <c r="R330" s="17">
        <f t="shared" si="137"/>
        <v>50.1588711019035</v>
      </c>
      <c r="S330" s="14">
        <f t="shared" si="153"/>
        <v>0.55142983991713157</v>
      </c>
      <c r="T330" s="13">
        <v>0</v>
      </c>
      <c r="U330" s="13">
        <f t="shared" si="154"/>
        <v>32.875331114739801</v>
      </c>
      <c r="V330" s="13">
        <f>IF($T330=1,$AU330,(VLOOKUP(U330,'Cortes naturales'!$A$35:$C$39,3,9)))</f>
        <v>3</v>
      </c>
      <c r="W330" s="13">
        <v>3</v>
      </c>
      <c r="X330" s="14" t="b">
        <f t="shared" si="138"/>
        <v>1</v>
      </c>
      <c r="Y330" s="17">
        <f>IF($T330=1,$AU330,VLOOKUP(U330,'Cortes naturales'!$A$45:$C$49,3,9))</f>
        <v>3</v>
      </c>
      <c r="Z330" s="14">
        <v>63.317774733968491</v>
      </c>
      <c r="AA330" s="14">
        <v>0.56481460364514735</v>
      </c>
      <c r="AB330" s="14">
        <v>35.762803840059142</v>
      </c>
      <c r="AC330" s="13">
        <v>2</v>
      </c>
      <c r="AD330" s="13">
        <f t="shared" si="139"/>
        <v>-1</v>
      </c>
      <c r="AE330" s="14">
        <f t="shared" si="140"/>
        <v>-3.6994357632659245</v>
      </c>
      <c r="AF330" s="14">
        <f t="shared" si="141"/>
        <v>-1.3384763728015781E-2</v>
      </c>
      <c r="AG330" s="13">
        <f t="shared" si="142"/>
        <v>-2.8874727253193413</v>
      </c>
      <c r="AH330" s="13">
        <f>IF($T330=1,$AU330,VLOOKUP(U330,'Cortes naturales'!$A$25:$C$29,3,9))</f>
        <v>3</v>
      </c>
      <c r="AI330" s="13" t="b">
        <f t="shared" si="143"/>
        <v>1</v>
      </c>
      <c r="AJ330" s="13" t="str">
        <f t="shared" si="144"/>
        <v>Efecto ponderador</v>
      </c>
      <c r="AK330" s="28">
        <v>0.81759069605862034</v>
      </c>
      <c r="AL330" s="28">
        <v>51.768023517628222</v>
      </c>
      <c r="AM330" s="28">
        <v>0.47693739372323379</v>
      </c>
      <c r="AN330" s="13">
        <v>3</v>
      </c>
      <c r="AO330" s="33">
        <f t="shared" si="145"/>
        <v>0</v>
      </c>
      <c r="AP330" s="13">
        <f t="shared" si="155"/>
        <v>47.693739372323378</v>
      </c>
      <c r="AQ330" s="13">
        <f>IFERROR(VLOOKUP(U330,'Cortes naturales'!$E$15:$G$19,3,9),U330)</f>
        <v>4</v>
      </c>
      <c r="AR330" s="28">
        <f t="shared" si="146"/>
        <v>-0.26616085614148877</v>
      </c>
      <c r="AS330" s="13" t="b">
        <f t="shared" si="147"/>
        <v>0</v>
      </c>
      <c r="AT330" s="13">
        <f t="shared" si="156"/>
        <v>0</v>
      </c>
      <c r="AU330" s="13">
        <v>3</v>
      </c>
      <c r="AV330">
        <f t="shared" si="148"/>
        <v>0</v>
      </c>
      <c r="AW330" s="13">
        <v>0</v>
      </c>
      <c r="AX330" s="13">
        <v>0</v>
      </c>
      <c r="AY330" s="13">
        <v>0</v>
      </c>
      <c r="AZ330" s="13">
        <v>0</v>
      </c>
      <c r="BA330">
        <v>0</v>
      </c>
      <c r="BB330" t="s">
        <v>2839</v>
      </c>
      <c r="BC330">
        <v>6</v>
      </c>
      <c r="BD330" t="s">
        <v>2919</v>
      </c>
      <c r="BE330">
        <v>0</v>
      </c>
      <c r="BF330" s="232" t="s">
        <v>2846</v>
      </c>
      <c r="BG330" s="232" t="s">
        <v>2845</v>
      </c>
      <c r="BH330" s="253">
        <v>28.9</v>
      </c>
      <c r="BI330" s="253">
        <v>15.844636251541306</v>
      </c>
      <c r="BJ330" s="25">
        <v>52.80220062569505</v>
      </c>
      <c r="BK330" t="s">
        <v>376</v>
      </c>
      <c r="BL330">
        <v>2.3271538503514146</v>
      </c>
      <c r="BM330" t="s">
        <v>383</v>
      </c>
      <c r="BN330" s="322">
        <v>16566.017748999999</v>
      </c>
      <c r="BO330" s="322">
        <v>914.436418</v>
      </c>
      <c r="BP330" s="10">
        <v>7111</v>
      </c>
      <c r="BQ330" s="254">
        <f t="shared" si="149"/>
        <v>2.3296326464632258</v>
      </c>
      <c r="BR330" s="254">
        <f t="shared" si="150"/>
        <v>0.12859463057235268</v>
      </c>
      <c r="BS330" s="25">
        <v>54.804660141869441</v>
      </c>
      <c r="BT330" s="25">
        <v>86.786735983218492</v>
      </c>
      <c r="BU330" s="25">
        <v>45.803859242072697</v>
      </c>
      <c r="BV330" s="25">
        <v>97.025256796840665</v>
      </c>
      <c r="BW330" s="25">
        <v>51.238546668375832</v>
      </c>
      <c r="BX330" s="25">
        <v>71.105128041000313</v>
      </c>
      <c r="BY330" s="25">
        <v>51.436129786944853</v>
      </c>
      <c r="BZ330">
        <v>70</v>
      </c>
      <c r="CA330">
        <v>0</v>
      </c>
      <c r="CB330">
        <v>7</v>
      </c>
      <c r="CC330">
        <v>6491.1709300000002</v>
      </c>
      <c r="CD330" s="10">
        <v>726.39680999999996</v>
      </c>
      <c r="CE330" s="255">
        <v>0.11190535849900966</v>
      </c>
      <c r="CF330" t="str">
        <f>IFERROR(VLOOKUP(CE330,'Rangos amb etnico'!$A$2:$C$6,3,9),"N.D.")</f>
        <v>0,1% - 30%</v>
      </c>
      <c r="CG330" s="256">
        <v>2.1133621475695795E-5</v>
      </c>
      <c r="CH330" s="232">
        <v>0</v>
      </c>
      <c r="CI330" s="311">
        <f t="shared" si="157"/>
        <v>0</v>
      </c>
      <c r="CJ330" s="232">
        <f>IFERROR(VLOOKUP(CI330,'Rangos amb etnico'!$A$2:$C$6,3,9),"N.D.")</f>
        <v>0</v>
      </c>
      <c r="CK330" s="311">
        <f t="shared" si="158"/>
        <v>0</v>
      </c>
      <c r="CL330" s="10">
        <v>0</v>
      </c>
      <c r="CM330" s="255">
        <f t="shared" si="159"/>
        <v>0</v>
      </c>
      <c r="CN330" s="232">
        <f>IFERROR(VLOOKUP(CM330,'Rangos amb etnico'!$A$2:$C$6,3,9),"N.D.")</f>
        <v>0</v>
      </c>
      <c r="CO330" s="311">
        <f t="shared" si="160"/>
        <v>0</v>
      </c>
      <c r="CP330">
        <v>0.95327045256470599</v>
      </c>
      <c r="CQ330" t="s">
        <v>2864</v>
      </c>
      <c r="CR330">
        <f t="shared" si="151"/>
        <v>1</v>
      </c>
      <c r="CS330" t="str">
        <f t="shared" si="161"/>
        <v>No es Candidato</v>
      </c>
      <c r="CT330">
        <v>0</v>
      </c>
      <c r="CU330">
        <v>0</v>
      </c>
      <c r="CV330" s="25">
        <v>53.092239379882813</v>
      </c>
      <c r="CW330" s="25">
        <v>28.2192497253418</v>
      </c>
      <c r="CX330" s="25">
        <v>48.821224212646477</v>
      </c>
      <c r="CY330" s="25">
        <v>63.617218017578118</v>
      </c>
      <c r="CZ330" s="25">
        <v>53.136493682861328</v>
      </c>
      <c r="DA330" s="25">
        <v>71.565452575683594</v>
      </c>
      <c r="DB330" s="25">
        <v>53.193801879882813</v>
      </c>
      <c r="DC330">
        <v>553</v>
      </c>
      <c r="DD330" s="253" t="s">
        <v>380</v>
      </c>
    </row>
    <row r="331" spans="1:108" hidden="1">
      <c r="A331" s="13">
        <v>25524</v>
      </c>
      <c r="B331" s="13" t="s">
        <v>1119</v>
      </c>
      <c r="C331" s="13" t="s">
        <v>461</v>
      </c>
      <c r="D331" s="13" t="s">
        <v>462</v>
      </c>
      <c r="E331" s="13" t="s">
        <v>1120</v>
      </c>
      <c r="F331" s="14">
        <v>67.052533333333301</v>
      </c>
      <c r="G331" s="13">
        <v>42.2</v>
      </c>
      <c r="H331" s="13">
        <v>59.76</v>
      </c>
      <c r="I331" s="13">
        <v>56.47</v>
      </c>
      <c r="J331" s="14">
        <v>54.046146421866972</v>
      </c>
      <c r="K331" s="14">
        <v>57.826933269166986</v>
      </c>
      <c r="L331" s="14">
        <v>65.499525269850082</v>
      </c>
      <c r="M331" s="14">
        <v>57.155900000000003</v>
      </c>
      <c r="N331" s="14">
        <f t="shared" si="135"/>
        <v>56.370633333333323</v>
      </c>
      <c r="O331" s="14">
        <f t="shared" si="136"/>
        <v>58.632126240221005</v>
      </c>
      <c r="P331" s="14">
        <f t="shared" si="152"/>
        <v>57.501379786777164</v>
      </c>
      <c r="Q331" s="14">
        <v>50.793607450824609</v>
      </c>
      <c r="R331" s="17">
        <f t="shared" si="137"/>
        <v>49.206392549175391</v>
      </c>
      <c r="S331" s="14">
        <f t="shared" si="153"/>
        <v>0.54285753294257855</v>
      </c>
      <c r="T331" s="13">
        <v>0</v>
      </c>
      <c r="U331" s="13">
        <f t="shared" si="154"/>
        <v>31.215057171844105</v>
      </c>
      <c r="V331" s="13">
        <f>IF($T331=1,$AU331,(VLOOKUP(U331,'Cortes naturales'!$A$35:$C$39,3,9)))</f>
        <v>3</v>
      </c>
      <c r="W331" s="13">
        <v>3</v>
      </c>
      <c r="X331" s="14" t="b">
        <f t="shared" si="138"/>
        <v>1</v>
      </c>
      <c r="Y331" s="17">
        <f>IF($T331=1,$AU331,VLOOKUP(U331,'Cortes naturales'!$A$45:$C$49,3,9))</f>
        <v>3</v>
      </c>
      <c r="Z331" s="14">
        <v>59.115893963674182</v>
      </c>
      <c r="AA331" s="14">
        <v>0.56418109968447983</v>
      </c>
      <c r="AB331" s="14">
        <v>33.352070065256804</v>
      </c>
      <c r="AC331" s="13">
        <v>3</v>
      </c>
      <c r="AD331" s="13">
        <f t="shared" si="139"/>
        <v>0</v>
      </c>
      <c r="AE331" s="14">
        <f t="shared" si="140"/>
        <v>-1.6145141768970177</v>
      </c>
      <c r="AF331" s="14">
        <f t="shared" si="141"/>
        <v>-2.1323566741901279E-2</v>
      </c>
      <c r="AG331" s="13">
        <f t="shared" si="142"/>
        <v>-2.1370128934126988</v>
      </c>
      <c r="AH331" s="13">
        <f>IF($T331=1,$AU331,VLOOKUP(U331,'Cortes naturales'!$A$25:$C$29,3,9))</f>
        <v>3</v>
      </c>
      <c r="AI331" s="13" t="b">
        <f t="shared" si="143"/>
        <v>1</v>
      </c>
      <c r="AJ331" s="13">
        <f t="shared" si="144"/>
        <v>0</v>
      </c>
      <c r="AK331" s="28">
        <v>0.81759069605862034</v>
      </c>
      <c r="AL331" s="28">
        <v>48.332604893887968</v>
      </c>
      <c r="AM331" s="28">
        <v>0.43396392801281042</v>
      </c>
      <c r="AN331" s="13">
        <v>3</v>
      </c>
      <c r="AO331" s="33">
        <f t="shared" si="145"/>
        <v>0</v>
      </c>
      <c r="AP331" s="13">
        <f t="shared" si="155"/>
        <v>43.396392801281038</v>
      </c>
      <c r="AQ331" s="13">
        <f>IFERROR(VLOOKUP(U331,'Cortes naturales'!$E$15:$G$19,3,9),U331)</f>
        <v>4</v>
      </c>
      <c r="AR331" s="28">
        <f t="shared" si="146"/>
        <v>-0.27473316311604179</v>
      </c>
      <c r="AS331" s="13" t="b">
        <f t="shared" si="147"/>
        <v>0</v>
      </c>
      <c r="AT331" s="13">
        <f t="shared" si="156"/>
        <v>0</v>
      </c>
      <c r="AU331" s="13">
        <v>2</v>
      </c>
      <c r="AV331">
        <f t="shared" si="148"/>
        <v>-1</v>
      </c>
      <c r="AW331" s="13">
        <v>0</v>
      </c>
      <c r="AX331" s="13">
        <v>0</v>
      </c>
      <c r="AY331" s="13">
        <v>0</v>
      </c>
      <c r="AZ331" s="13">
        <v>0</v>
      </c>
      <c r="BA331">
        <v>0</v>
      </c>
      <c r="BB331" t="s">
        <v>2839</v>
      </c>
      <c r="BC331">
        <v>6</v>
      </c>
      <c r="BD331" t="s">
        <v>2919</v>
      </c>
      <c r="BE331">
        <v>1</v>
      </c>
      <c r="BF331" s="232" t="s">
        <v>2846</v>
      </c>
      <c r="BG331" s="232" t="s">
        <v>2846</v>
      </c>
      <c r="BH331" s="253">
        <v>36.700000000000003</v>
      </c>
      <c r="BI331" s="253">
        <v>12.864385297845374</v>
      </c>
      <c r="BJ331" s="25">
        <v>5.4785511363636363</v>
      </c>
      <c r="BK331" t="s">
        <v>377</v>
      </c>
      <c r="BL331">
        <v>1.6605460419306379</v>
      </c>
      <c r="BM331" t="s">
        <v>383</v>
      </c>
      <c r="BN331" s="322">
        <v>9158.4252340000003</v>
      </c>
      <c r="BO331" s="322">
        <v>1431.4392270000001</v>
      </c>
      <c r="BP331" s="10">
        <v>4941</v>
      </c>
      <c r="BQ331" s="254">
        <f t="shared" si="149"/>
        <v>1.8535570196316535</v>
      </c>
      <c r="BR331" s="254">
        <f t="shared" si="150"/>
        <v>0.28970638069216759</v>
      </c>
      <c r="BS331" s="25">
        <v>55.747707716180003</v>
      </c>
      <c r="BT331" s="25">
        <v>79.262870868245287</v>
      </c>
      <c r="BU331" s="25">
        <v>27.45764147857377</v>
      </c>
      <c r="BV331" s="25">
        <v>88.80788872656592</v>
      </c>
      <c r="BW331" s="25">
        <v>48.72198393325521</v>
      </c>
      <c r="BX331" s="25">
        <v>62.819027197391243</v>
      </c>
      <c r="BY331" s="25">
        <v>47.824561087622229</v>
      </c>
      <c r="BZ331">
        <v>78</v>
      </c>
      <c r="CA331">
        <v>0</v>
      </c>
      <c r="CB331">
        <v>7</v>
      </c>
      <c r="CC331">
        <v>7162.6785479999999</v>
      </c>
      <c r="CD331" s="10">
        <v>2141.8936640000002</v>
      </c>
      <c r="CE331" s="255">
        <v>0.2990352910082878</v>
      </c>
      <c r="CF331" t="str">
        <f>IFERROR(VLOOKUP(CE331,'Rangos amb etnico'!$A$2:$C$6,3,9),"N.D.")</f>
        <v>0,1% - 30%</v>
      </c>
      <c r="CG331" s="256">
        <v>6.2315760907825519E-5</v>
      </c>
      <c r="CH331" s="232">
        <v>0</v>
      </c>
      <c r="CI331" s="311">
        <f t="shared" si="157"/>
        <v>0</v>
      </c>
      <c r="CJ331" s="232">
        <f>IFERROR(VLOOKUP(CI331,'Rangos amb etnico'!$A$2:$C$6,3,9),"N.D.")</f>
        <v>0</v>
      </c>
      <c r="CK331" s="311">
        <f t="shared" si="158"/>
        <v>0</v>
      </c>
      <c r="CL331" s="10">
        <v>0</v>
      </c>
      <c r="CM331" s="255">
        <f t="shared" si="159"/>
        <v>0</v>
      </c>
      <c r="CN331" s="232">
        <f>IFERROR(VLOOKUP(CM331,'Rangos amb etnico'!$A$2:$C$6,3,9),"N.D.")</f>
        <v>0</v>
      </c>
      <c r="CO331" s="311">
        <f t="shared" si="160"/>
        <v>0</v>
      </c>
      <c r="CP331">
        <v>0.91990592457835629</v>
      </c>
      <c r="CQ331" t="s">
        <v>2864</v>
      </c>
      <c r="CR331">
        <f t="shared" si="151"/>
        <v>1</v>
      </c>
      <c r="CS331" t="str">
        <f t="shared" si="161"/>
        <v>No es Candidato</v>
      </c>
      <c r="CT331">
        <v>0</v>
      </c>
      <c r="CU331">
        <v>0</v>
      </c>
      <c r="CV331" s="25">
        <v>38.932731628417969</v>
      </c>
      <c r="CW331" s="25">
        <v>26.55326080322266</v>
      </c>
      <c r="CX331" s="25">
        <v>49.56292724609375</v>
      </c>
      <c r="CY331" s="25">
        <v>53.384601593017578</v>
      </c>
      <c r="CZ331" s="25">
        <v>23.723794937133789</v>
      </c>
      <c r="DA331" s="25">
        <v>40.570827484130859</v>
      </c>
      <c r="DB331" s="25">
        <v>39.800968170166023</v>
      </c>
      <c r="DC331">
        <v>38</v>
      </c>
      <c r="DD331" s="253" t="s">
        <v>380</v>
      </c>
    </row>
    <row r="332" spans="1:108" hidden="1">
      <c r="A332" s="13">
        <v>76497</v>
      </c>
      <c r="B332" s="13" t="s">
        <v>1121</v>
      </c>
      <c r="C332" s="13" t="s">
        <v>454</v>
      </c>
      <c r="D332" s="13" t="s">
        <v>455</v>
      </c>
      <c r="E332" s="13" t="s">
        <v>1122</v>
      </c>
      <c r="F332" s="14">
        <v>77.034599999999998</v>
      </c>
      <c r="G332" s="13">
        <v>82.2</v>
      </c>
      <c r="H332" s="13">
        <v>70.56</v>
      </c>
      <c r="I332" s="13">
        <v>62.34</v>
      </c>
      <c r="J332" s="14">
        <v>53.535713012927914</v>
      </c>
      <c r="K332" s="14">
        <v>66.084586283779757</v>
      </c>
      <c r="L332" s="14">
        <v>61.130026403868229</v>
      </c>
      <c r="M332" s="14">
        <v>50.61</v>
      </c>
      <c r="N332" s="14">
        <f t="shared" si="135"/>
        <v>73.033649999999994</v>
      </c>
      <c r="O332" s="14">
        <f t="shared" si="136"/>
        <v>57.840081425143978</v>
      </c>
      <c r="P332" s="14">
        <f t="shared" si="152"/>
        <v>65.436865712571986</v>
      </c>
      <c r="Q332" s="14">
        <v>50.091018708346844</v>
      </c>
      <c r="R332" s="17">
        <f t="shared" si="137"/>
        <v>49.908981291653156</v>
      </c>
      <c r="S332" s="14">
        <f t="shared" si="153"/>
        <v>0.54918083162487841</v>
      </c>
      <c r="T332" s="13">
        <v>0</v>
      </c>
      <c r="U332" s="13">
        <f t="shared" si="154"/>
        <v>35.936672330955773</v>
      </c>
      <c r="V332" s="13">
        <f>IF($T332=1,$AU332,(VLOOKUP(U332,'Cortes naturales'!$A$35:$C$39,3,9)))</f>
        <v>3</v>
      </c>
      <c r="W332" s="13">
        <v>3</v>
      </c>
      <c r="X332" s="14" t="b">
        <f t="shared" si="138"/>
        <v>1</v>
      </c>
      <c r="Y332" s="17">
        <f>IF($T332=1,$AU332,VLOOKUP(U332,'Cortes naturales'!$A$45:$C$49,3,9))</f>
        <v>2</v>
      </c>
      <c r="Z332" s="14">
        <v>67.974493325312949</v>
      </c>
      <c r="AA332" s="14">
        <v>0.56412482941031228</v>
      </c>
      <c r="AB332" s="14">
        <v>38.346099451394579</v>
      </c>
      <c r="AC332" s="13">
        <v>2</v>
      </c>
      <c r="AD332" s="13">
        <f t="shared" si="139"/>
        <v>0</v>
      </c>
      <c r="AE332" s="14">
        <f t="shared" si="140"/>
        <v>-2.5376276127409625</v>
      </c>
      <c r="AF332" s="14">
        <f t="shared" si="141"/>
        <v>-1.4943997785433871E-2</v>
      </c>
      <c r="AG332" s="13">
        <f t="shared" si="142"/>
        <v>-2.4094271204388065</v>
      </c>
      <c r="AH332" s="13">
        <f>IF($T332=1,$AU332,VLOOKUP(U332,'Cortes naturales'!$A$25:$C$29,3,9))</f>
        <v>2</v>
      </c>
      <c r="AI332" s="13" t="b">
        <f t="shared" si="143"/>
        <v>1</v>
      </c>
      <c r="AJ332" s="13">
        <f t="shared" si="144"/>
        <v>0</v>
      </c>
      <c r="AK332" s="28">
        <v>0.81759069605862034</v>
      </c>
      <c r="AL332" s="28">
        <v>55.575313312074655</v>
      </c>
      <c r="AM332" s="28">
        <v>0.52456257579002896</v>
      </c>
      <c r="AN332" s="13">
        <v>2</v>
      </c>
      <c r="AO332" s="33">
        <f t="shared" si="145"/>
        <v>0</v>
      </c>
      <c r="AP332" s="13">
        <f t="shared" si="155"/>
        <v>52.456257579002894</v>
      </c>
      <c r="AQ332" s="13">
        <f>IFERROR(VLOOKUP(U332,'Cortes naturales'!$E$15:$G$19,3,9),U332)</f>
        <v>3</v>
      </c>
      <c r="AR332" s="28">
        <f t="shared" si="146"/>
        <v>-0.26840986443374193</v>
      </c>
      <c r="AS332" s="13" t="b">
        <f t="shared" si="147"/>
        <v>0</v>
      </c>
      <c r="AT332" s="13">
        <f t="shared" si="156"/>
        <v>0</v>
      </c>
      <c r="AU332" s="13">
        <v>2</v>
      </c>
      <c r="AV332">
        <f t="shared" si="148"/>
        <v>0</v>
      </c>
      <c r="AW332" s="13">
        <v>0</v>
      </c>
      <c r="AX332" s="13">
        <v>0</v>
      </c>
      <c r="AY332" s="13">
        <v>0</v>
      </c>
      <c r="AZ332" s="13">
        <v>0</v>
      </c>
      <c r="BA332">
        <v>0</v>
      </c>
      <c r="BB332" t="s">
        <v>2839</v>
      </c>
      <c r="BC332">
        <v>6</v>
      </c>
      <c r="BD332" t="s">
        <v>2919</v>
      </c>
      <c r="BE332">
        <v>1</v>
      </c>
      <c r="BF332" s="232" t="s">
        <v>2846</v>
      </c>
      <c r="BG332" s="232" t="s">
        <v>2846</v>
      </c>
      <c r="BH332" s="253">
        <v>31.2</v>
      </c>
      <c r="BI332" s="253">
        <v>12.342752962625342</v>
      </c>
      <c r="BJ332" s="25">
        <v>16.80140770042194</v>
      </c>
      <c r="BK332" t="s">
        <v>379</v>
      </c>
      <c r="BL332">
        <v>15.148442529702544</v>
      </c>
      <c r="BM332" t="s">
        <v>376</v>
      </c>
      <c r="BN332" s="322">
        <v>21727.049658</v>
      </c>
      <c r="BO332" s="322">
        <v>4650.3372099999997</v>
      </c>
      <c r="BP332" s="10">
        <v>12572</v>
      </c>
      <c r="BQ332" s="254">
        <f t="shared" si="149"/>
        <v>1.7282094860006363</v>
      </c>
      <c r="BR332" s="254">
        <f t="shared" si="150"/>
        <v>0.36989637368755962</v>
      </c>
      <c r="BS332" s="25">
        <v>48.596141040901173</v>
      </c>
      <c r="BT332" s="25">
        <v>86.07084603033195</v>
      </c>
      <c r="BU332" s="25">
        <v>46.288797216699798</v>
      </c>
      <c r="BV332" s="25">
        <v>78.748471095705398</v>
      </c>
      <c r="BW332" s="25">
        <v>68.840761201144147</v>
      </c>
      <c r="BX332" s="25">
        <v>64.926063845909582</v>
      </c>
      <c r="BY332" s="25">
        <v>70.003742538236708</v>
      </c>
      <c r="BZ332">
        <v>91</v>
      </c>
      <c r="CA332">
        <v>0</v>
      </c>
      <c r="CB332">
        <v>7</v>
      </c>
      <c r="CC332">
        <v>21467.490404</v>
      </c>
      <c r="CD332" s="10">
        <v>1319.145137</v>
      </c>
      <c r="CE332" s="255">
        <v>6.144850246464794E-2</v>
      </c>
      <c r="CF332" t="str">
        <f>IFERROR(VLOOKUP(CE332,'Rangos amb etnico'!$A$2:$C$6,3,9),"N.D.")</f>
        <v>0,1% - 30%</v>
      </c>
      <c r="CG332" s="256">
        <v>3.8378904770882561E-5</v>
      </c>
      <c r="CH332" s="232">
        <v>0</v>
      </c>
      <c r="CI332" s="311">
        <f t="shared" si="157"/>
        <v>0</v>
      </c>
      <c r="CJ332" s="232">
        <f>IFERROR(VLOOKUP(CI332,'Rangos amb etnico'!$A$2:$C$6,3,9),"N.D.")</f>
        <v>0</v>
      </c>
      <c r="CK332" s="311">
        <f t="shared" si="158"/>
        <v>0</v>
      </c>
      <c r="CL332" s="10">
        <v>0</v>
      </c>
      <c r="CM332" s="255">
        <f t="shared" si="159"/>
        <v>0</v>
      </c>
      <c r="CN332" s="232">
        <f>IFERROR(VLOOKUP(CM332,'Rangos amb etnico'!$A$2:$C$6,3,9),"N.D.")</f>
        <v>0</v>
      </c>
      <c r="CO332" s="311">
        <f t="shared" si="160"/>
        <v>0</v>
      </c>
      <c r="CP332">
        <v>0.93819082234572626</v>
      </c>
      <c r="CQ332" t="s">
        <v>2864</v>
      </c>
      <c r="CR332">
        <f t="shared" si="151"/>
        <v>3</v>
      </c>
      <c r="CS332" t="str">
        <f t="shared" si="161"/>
        <v>Candidato</v>
      </c>
      <c r="CT332">
        <v>0</v>
      </c>
      <c r="CU332">
        <v>0</v>
      </c>
      <c r="CV332" s="25">
        <v>47.165096282958977</v>
      </c>
      <c r="CW332" s="25">
        <v>36.612945556640618</v>
      </c>
      <c r="CX332" s="25">
        <v>56.589763641357422</v>
      </c>
      <c r="CY332" s="25">
        <v>44.878719329833977</v>
      </c>
      <c r="CZ332" s="25">
        <v>66.977790832519531</v>
      </c>
      <c r="DA332" s="25">
        <v>35.563854217529297</v>
      </c>
      <c r="DB332" s="25">
        <v>42.367507934570313</v>
      </c>
      <c r="DC332">
        <v>812</v>
      </c>
      <c r="DD332" s="253" t="s">
        <v>380</v>
      </c>
    </row>
    <row r="333" spans="1:108" hidden="1">
      <c r="A333" s="13">
        <v>25873</v>
      </c>
      <c r="B333" s="13" t="s">
        <v>1123</v>
      </c>
      <c r="C333" s="13" t="s">
        <v>461</v>
      </c>
      <c r="D333" s="13" t="s">
        <v>462</v>
      </c>
      <c r="E333" s="13" t="s">
        <v>1124</v>
      </c>
      <c r="F333" s="14">
        <v>66.123233333333303</v>
      </c>
      <c r="G333" s="13">
        <v>64.599999999999994</v>
      </c>
      <c r="H333" s="13">
        <v>60.17</v>
      </c>
      <c r="I333" s="13">
        <v>69.28</v>
      </c>
      <c r="J333" s="14">
        <v>57.812649635412598</v>
      </c>
      <c r="K333" s="14">
        <v>62.962053668648672</v>
      </c>
      <c r="L333" s="14">
        <v>70.940527924604623</v>
      </c>
      <c r="M333" s="14">
        <v>64.069100000000006</v>
      </c>
      <c r="N333" s="14">
        <f t="shared" si="135"/>
        <v>65.043308333333329</v>
      </c>
      <c r="O333" s="14">
        <f t="shared" si="136"/>
        <v>63.946082807166476</v>
      </c>
      <c r="P333" s="14">
        <f t="shared" si="152"/>
        <v>64.494695570249903</v>
      </c>
      <c r="Q333" s="14">
        <v>50.455232328835208</v>
      </c>
      <c r="R333" s="17">
        <f t="shared" si="137"/>
        <v>49.544767671164792</v>
      </c>
      <c r="S333" s="14">
        <f t="shared" si="153"/>
        <v>0.54590290904048311</v>
      </c>
      <c r="T333" s="13">
        <v>0</v>
      </c>
      <c r="U333" s="13">
        <f t="shared" si="154"/>
        <v>35.207841929479784</v>
      </c>
      <c r="V333" s="13">
        <f>IF($T333=1,$AU333,(VLOOKUP(U333,'Cortes naturales'!$A$35:$C$39,3,9)))</f>
        <v>3</v>
      </c>
      <c r="W333" s="13">
        <v>3</v>
      </c>
      <c r="X333" s="14" t="b">
        <f t="shared" si="138"/>
        <v>1</v>
      </c>
      <c r="Y333" s="17">
        <f>IF($T333=1,$AU333,VLOOKUP(U333,'Cortes naturales'!$A$45:$C$49,3,9))</f>
        <v>3</v>
      </c>
      <c r="Z333" s="14">
        <v>62.784008875864721</v>
      </c>
      <c r="AA333" s="14">
        <v>0.56410968733408717</v>
      </c>
      <c r="AB333" s="14">
        <v>35.4170676165446</v>
      </c>
      <c r="AC333" s="13">
        <v>2</v>
      </c>
      <c r="AD333" s="13">
        <f t="shared" si="139"/>
        <v>-1</v>
      </c>
      <c r="AE333" s="14">
        <f t="shared" si="140"/>
        <v>1.7106866943851813</v>
      </c>
      <c r="AF333" s="14">
        <f t="shared" si="141"/>
        <v>-1.8206778293604065E-2</v>
      </c>
      <c r="AG333" s="13">
        <f t="shared" si="142"/>
        <v>-0.2092256870648157</v>
      </c>
      <c r="AH333" s="13">
        <f>IF($T333=1,$AU333,VLOOKUP(U333,'Cortes naturales'!$A$25:$C$29,3,9))</f>
        <v>2</v>
      </c>
      <c r="AI333" s="13" t="b">
        <f t="shared" si="143"/>
        <v>0</v>
      </c>
      <c r="AJ333" s="13" t="str">
        <f t="shared" si="144"/>
        <v>Cambio en corte</v>
      </c>
      <c r="AK333" s="28">
        <v>0.81759069605862034</v>
      </c>
      <c r="AL333" s="28">
        <v>51.331621518168838</v>
      </c>
      <c r="AM333" s="28">
        <v>0.47147846472106453</v>
      </c>
      <c r="AN333" s="13">
        <v>3</v>
      </c>
      <c r="AO333" s="33">
        <f t="shared" si="145"/>
        <v>0</v>
      </c>
      <c r="AP333" s="13">
        <f t="shared" si="155"/>
        <v>47.147846472106451</v>
      </c>
      <c r="AQ333" s="13">
        <f>IFERROR(VLOOKUP(U333,'Cortes naturales'!$E$15:$G$19,3,9),U333)</f>
        <v>4</v>
      </c>
      <c r="AR333" s="28">
        <f t="shared" si="146"/>
        <v>-0.27168778701813723</v>
      </c>
      <c r="AS333" s="13" t="b">
        <f t="shared" si="147"/>
        <v>0</v>
      </c>
      <c r="AT333" s="13">
        <f t="shared" si="156"/>
        <v>0</v>
      </c>
      <c r="AU333" s="13">
        <v>2</v>
      </c>
      <c r="AV333">
        <f t="shared" si="148"/>
        <v>-1</v>
      </c>
      <c r="AW333" s="13">
        <v>0</v>
      </c>
      <c r="AX333" s="13">
        <v>0</v>
      </c>
      <c r="AY333" s="13">
        <v>0</v>
      </c>
      <c r="AZ333" s="13">
        <v>0</v>
      </c>
      <c r="BA333">
        <v>0</v>
      </c>
      <c r="BB333" t="s">
        <v>2839</v>
      </c>
      <c r="BC333">
        <v>6</v>
      </c>
      <c r="BD333" t="s">
        <v>2919</v>
      </c>
      <c r="BE333">
        <v>0</v>
      </c>
      <c r="BF333" s="232" t="s">
        <v>2846</v>
      </c>
      <c r="BG333" s="232" t="s">
        <v>2846</v>
      </c>
      <c r="BH333" s="253">
        <v>31.4</v>
      </c>
      <c r="BI333" s="253">
        <v>8.7580624762868347</v>
      </c>
      <c r="BJ333" s="25">
        <v>3.7217538461538457</v>
      </c>
      <c r="BK333" t="s">
        <v>381</v>
      </c>
      <c r="BL333">
        <v>0.84837012369858822</v>
      </c>
      <c r="BM333" t="s">
        <v>383</v>
      </c>
      <c r="BN333" s="322">
        <v>36334.092238999998</v>
      </c>
      <c r="BO333" s="322">
        <v>8290.3390679999993</v>
      </c>
      <c r="BP333" s="10">
        <v>18129</v>
      </c>
      <c r="BQ333" s="254">
        <f t="shared" si="149"/>
        <v>2.0041972662033207</v>
      </c>
      <c r="BR333" s="254">
        <f t="shared" si="150"/>
        <v>0.45729709680622205</v>
      </c>
      <c r="BS333" s="25">
        <v>64.585048482213764</v>
      </c>
      <c r="BT333" s="25">
        <v>92.132980264769159</v>
      </c>
      <c r="BU333" s="25">
        <v>55.969476235892543</v>
      </c>
      <c r="BV333" s="25">
        <v>91.497312785399558</v>
      </c>
      <c r="BW333" s="25">
        <v>64.08047526761429</v>
      </c>
      <c r="BX333" s="25">
        <v>76.046204442068756</v>
      </c>
      <c r="BY333" s="25">
        <v>64.929912124153148</v>
      </c>
      <c r="BZ333">
        <v>96</v>
      </c>
      <c r="CA333">
        <v>1</v>
      </c>
      <c r="CB333">
        <v>7</v>
      </c>
      <c r="CC333">
        <v>22580.392517</v>
      </c>
      <c r="CD333" s="10">
        <v>13728.984780999999</v>
      </c>
      <c r="CE333" s="255">
        <v>0.60800470012485031</v>
      </c>
      <c r="CF333" t="str">
        <f>IFERROR(VLOOKUP(CE333,'Rangos amb etnico'!$A$2:$C$6,3,9),"N.D.")</f>
        <v>51% - 70%</v>
      </c>
      <c r="CG333" s="256">
        <v>3.9942792095582348E-4</v>
      </c>
      <c r="CH333" s="232">
        <v>0</v>
      </c>
      <c r="CI333" s="311">
        <f t="shared" si="157"/>
        <v>0</v>
      </c>
      <c r="CJ333" s="232">
        <f>IFERROR(VLOOKUP(CI333,'Rangos amb etnico'!$A$2:$C$6,3,9),"N.D.")</f>
        <v>0</v>
      </c>
      <c r="CK333" s="311">
        <f t="shared" si="158"/>
        <v>0</v>
      </c>
      <c r="CL333" s="10">
        <v>0</v>
      </c>
      <c r="CM333" s="255">
        <f t="shared" si="159"/>
        <v>0</v>
      </c>
      <c r="CN333" s="232">
        <f>IFERROR(VLOOKUP(CM333,'Rangos amb etnico'!$A$2:$C$6,3,9),"N.D.")</f>
        <v>0</v>
      </c>
      <c r="CO333" s="311">
        <f t="shared" si="160"/>
        <v>0</v>
      </c>
      <c r="CP333">
        <v>0.94913807578889386</v>
      </c>
      <c r="CQ333" t="s">
        <v>2864</v>
      </c>
      <c r="CR333">
        <f t="shared" si="151"/>
        <v>4</v>
      </c>
      <c r="CS333" t="str">
        <f t="shared" si="161"/>
        <v>Candidato</v>
      </c>
      <c r="CT333">
        <v>0</v>
      </c>
      <c r="CU333">
        <v>0</v>
      </c>
      <c r="CV333" s="25">
        <v>55.215461730957031</v>
      </c>
      <c r="CW333" s="25">
        <v>35.391670227050781</v>
      </c>
      <c r="CX333" s="25">
        <v>47.977348327636719</v>
      </c>
      <c r="CY333" s="25">
        <v>74.241012573242188</v>
      </c>
      <c r="CZ333" s="25">
        <v>55.632259368896477</v>
      </c>
      <c r="DA333" s="25">
        <v>63.366500854492188</v>
      </c>
      <c r="DB333" s="25">
        <v>54.683979034423828</v>
      </c>
      <c r="DC333">
        <v>96</v>
      </c>
      <c r="DD333" s="253" t="s">
        <v>380</v>
      </c>
    </row>
    <row r="334" spans="1:108" hidden="1">
      <c r="A334" s="13">
        <v>25878</v>
      </c>
      <c r="B334" s="13" t="s">
        <v>1125</v>
      </c>
      <c r="C334" s="13" t="s">
        <v>461</v>
      </c>
      <c r="D334" s="13" t="s">
        <v>462</v>
      </c>
      <c r="E334" s="13" t="s">
        <v>1126</v>
      </c>
      <c r="F334" s="14">
        <v>50.927333333333301</v>
      </c>
      <c r="G334" s="13">
        <v>61.1</v>
      </c>
      <c r="H334" s="13">
        <v>30.79</v>
      </c>
      <c r="I334" s="13">
        <v>66.81</v>
      </c>
      <c r="J334" s="14">
        <v>51.738822265138459</v>
      </c>
      <c r="K334" s="14">
        <v>63.73820446006507</v>
      </c>
      <c r="L334" s="14">
        <v>67.299052732703871</v>
      </c>
      <c r="M334" s="14">
        <v>69.276399999999995</v>
      </c>
      <c r="N334" s="14">
        <f t="shared" si="135"/>
        <v>52.406833333333324</v>
      </c>
      <c r="O334" s="14">
        <f t="shared" si="136"/>
        <v>63.013119864476849</v>
      </c>
      <c r="P334" s="14">
        <f t="shared" si="152"/>
        <v>57.709976598905087</v>
      </c>
      <c r="Q334" s="14">
        <v>50.416011339795475</v>
      </c>
      <c r="R334" s="17">
        <f t="shared" si="137"/>
        <v>49.583988660204525</v>
      </c>
      <c r="S334" s="14">
        <f t="shared" si="153"/>
        <v>0.54625589794184071</v>
      </c>
      <c r="T334" s="13">
        <v>0</v>
      </c>
      <c r="U334" s="13">
        <f t="shared" si="154"/>
        <v>31.524415087237511</v>
      </c>
      <c r="V334" s="13">
        <f>IF($T334=1,$AU334,(VLOOKUP(U334,'Cortes naturales'!$A$35:$C$39,3,9)))</f>
        <v>3</v>
      </c>
      <c r="W334" s="13">
        <v>3</v>
      </c>
      <c r="X334" s="14" t="b">
        <f t="shared" si="138"/>
        <v>1</v>
      </c>
      <c r="Y334" s="17">
        <f>IF($T334=1,$AU334,VLOOKUP(U334,'Cortes naturales'!$A$45:$C$49,3,9))</f>
        <v>3</v>
      </c>
      <c r="Z334" s="14">
        <v>53.852462761279241</v>
      </c>
      <c r="AA334" s="14">
        <v>0.56520476864041069</v>
      </c>
      <c r="AB334" s="14">
        <v>30.437668755705165</v>
      </c>
      <c r="AC334" s="13">
        <v>3</v>
      </c>
      <c r="AD334" s="13">
        <f t="shared" si="139"/>
        <v>0</v>
      </c>
      <c r="AE334" s="14">
        <f t="shared" si="140"/>
        <v>3.8575138376258451</v>
      </c>
      <c r="AF334" s="14">
        <f t="shared" si="141"/>
        <v>-1.8948870698569986E-2</v>
      </c>
      <c r="AG334" s="13">
        <f t="shared" si="142"/>
        <v>1.0867463315323462</v>
      </c>
      <c r="AH334" s="13">
        <f>IF($T334=1,$AU334,VLOOKUP(U334,'Cortes naturales'!$A$25:$C$29,3,9))</f>
        <v>3</v>
      </c>
      <c r="AI334" s="13" t="b">
        <f t="shared" si="143"/>
        <v>1</v>
      </c>
      <c r="AJ334" s="13">
        <f t="shared" si="144"/>
        <v>0</v>
      </c>
      <c r="AK334" s="28">
        <v>0.81759069605862034</v>
      </c>
      <c r="AL334" s="28">
        <v>44.029272513465223</v>
      </c>
      <c r="AM334" s="28">
        <v>0.38013377607362314</v>
      </c>
      <c r="AN334" s="13">
        <v>3</v>
      </c>
      <c r="AO334" s="33">
        <f t="shared" si="145"/>
        <v>0</v>
      </c>
      <c r="AP334" s="13">
        <f t="shared" si="155"/>
        <v>38.013377607362315</v>
      </c>
      <c r="AQ334" s="13">
        <f>IFERROR(VLOOKUP(U334,'Cortes naturales'!$E$15:$G$19,3,9),U334)</f>
        <v>4</v>
      </c>
      <c r="AR334" s="28">
        <f t="shared" si="146"/>
        <v>-0.27133479811677963</v>
      </c>
      <c r="AS334" s="13" t="b">
        <f t="shared" si="147"/>
        <v>0</v>
      </c>
      <c r="AT334" s="13">
        <f t="shared" si="156"/>
        <v>0</v>
      </c>
      <c r="AU334" s="13">
        <v>2</v>
      </c>
      <c r="AV334">
        <f t="shared" si="148"/>
        <v>-1</v>
      </c>
      <c r="AW334" s="13">
        <v>0</v>
      </c>
      <c r="AX334" s="13">
        <v>0</v>
      </c>
      <c r="AY334" s="13">
        <v>0</v>
      </c>
      <c r="AZ334" s="13">
        <v>0</v>
      </c>
      <c r="BA334">
        <v>1</v>
      </c>
      <c r="BB334" t="s">
        <v>2839</v>
      </c>
      <c r="BC334">
        <v>6</v>
      </c>
      <c r="BD334" t="s">
        <v>2919</v>
      </c>
      <c r="BE334">
        <v>0</v>
      </c>
      <c r="BF334" s="232" t="s">
        <v>2846</v>
      </c>
      <c r="BG334" s="232" t="s">
        <v>2846</v>
      </c>
      <c r="BH334" s="253">
        <v>36.299999999999997</v>
      </c>
      <c r="BI334" s="253">
        <v>14.587653533258893</v>
      </c>
      <c r="BJ334" s="25">
        <v>10.007272727272728</v>
      </c>
      <c r="BK334" t="s">
        <v>377</v>
      </c>
      <c r="BL334">
        <v>16.11037001379033</v>
      </c>
      <c r="BM334" t="s">
        <v>376</v>
      </c>
      <c r="BN334" s="322">
        <v>31475.700814</v>
      </c>
      <c r="BO334" s="322">
        <v>4357.6071490000004</v>
      </c>
      <c r="BP334" s="10">
        <v>13500</v>
      </c>
      <c r="BQ334" s="254">
        <f t="shared" si="149"/>
        <v>2.3315333936296296</v>
      </c>
      <c r="BR334" s="254">
        <f t="shared" si="150"/>
        <v>0.32278571474074075</v>
      </c>
      <c r="BS334" s="25">
        <v>61.98466073548439</v>
      </c>
      <c r="BT334" s="25">
        <v>91.513580246913577</v>
      </c>
      <c r="BU334" s="25">
        <v>49.501666666666672</v>
      </c>
      <c r="BV334" s="25">
        <v>89.962341339456245</v>
      </c>
      <c r="BW334" s="25">
        <v>56.623264706141242</v>
      </c>
      <c r="BX334" s="25">
        <v>73.240562247130214</v>
      </c>
      <c r="BY334" s="25">
        <v>57.549183427884437</v>
      </c>
      <c r="BZ334">
        <v>93</v>
      </c>
      <c r="CA334">
        <v>0</v>
      </c>
      <c r="CB334">
        <v>7</v>
      </c>
      <c r="CC334">
        <v>20110.380123999999</v>
      </c>
      <c r="CD334" s="10">
        <v>9969.4979289999992</v>
      </c>
      <c r="CE334" s="255">
        <v>0.49573891033030576</v>
      </c>
      <c r="CF334" t="str">
        <f>IFERROR(VLOOKUP(CE334,'Rangos amb etnico'!$A$2:$C$6,3,9),"N.D.")</f>
        <v>31% - 50%</v>
      </c>
      <c r="CG334" s="256">
        <v>2.9005027642428546E-4</v>
      </c>
      <c r="CH334" s="232">
        <v>0</v>
      </c>
      <c r="CI334" s="311">
        <f t="shared" si="157"/>
        <v>0</v>
      </c>
      <c r="CJ334" s="232">
        <f>IFERROR(VLOOKUP(CI334,'Rangos amb etnico'!$A$2:$C$6,3,9),"N.D.")</f>
        <v>0</v>
      </c>
      <c r="CK334" s="311">
        <f t="shared" si="158"/>
        <v>0</v>
      </c>
      <c r="CL334" s="10">
        <v>0</v>
      </c>
      <c r="CM334" s="255">
        <f t="shared" si="159"/>
        <v>0</v>
      </c>
      <c r="CN334" s="232">
        <f>IFERROR(VLOOKUP(CM334,'Rangos amb etnico'!$A$2:$C$6,3,9),"N.D.")</f>
        <v>0</v>
      </c>
      <c r="CO334" s="311">
        <f t="shared" si="160"/>
        <v>0</v>
      </c>
      <c r="CP334">
        <v>0.90778540692439691</v>
      </c>
      <c r="CQ334" t="s">
        <v>2864</v>
      </c>
      <c r="CR334">
        <f t="shared" si="151"/>
        <v>3</v>
      </c>
      <c r="CS334" t="str">
        <f t="shared" si="161"/>
        <v>Candidato</v>
      </c>
      <c r="CT334">
        <v>0</v>
      </c>
      <c r="CU334">
        <v>0</v>
      </c>
      <c r="CV334" s="25">
        <v>44.495552062988281</v>
      </c>
      <c r="CW334" s="25">
        <v>31.84342193603516</v>
      </c>
      <c r="CX334" s="25">
        <v>47.438064575195313</v>
      </c>
      <c r="CY334" s="25">
        <v>64.225746154785156</v>
      </c>
      <c r="CZ334" s="25">
        <v>45.264602661132813</v>
      </c>
      <c r="DA334" s="25">
        <v>31.728208541870121</v>
      </c>
      <c r="DB334" s="25">
        <v>46.473262786865227</v>
      </c>
      <c r="DC334">
        <v>77</v>
      </c>
      <c r="DD334" s="253" t="s">
        <v>380</v>
      </c>
    </row>
    <row r="335" spans="1:108" hidden="1">
      <c r="A335" s="13">
        <v>76041</v>
      </c>
      <c r="B335" s="13" t="s">
        <v>1127</v>
      </c>
      <c r="C335" s="13" t="s">
        <v>454</v>
      </c>
      <c r="D335" s="13" t="s">
        <v>455</v>
      </c>
      <c r="E335" s="13" t="s">
        <v>1128</v>
      </c>
      <c r="F335" s="14">
        <v>70.033000000000001</v>
      </c>
      <c r="G335" s="13">
        <v>58.46</v>
      </c>
      <c r="H335" s="13">
        <v>49.81</v>
      </c>
      <c r="I335" s="13">
        <v>86.4</v>
      </c>
      <c r="J335" s="14">
        <v>52.395850738035087</v>
      </c>
      <c r="K335" s="14">
        <v>60.604363246180057</v>
      </c>
      <c r="L335" s="14">
        <v>55.39700030954473</v>
      </c>
      <c r="M335" s="14">
        <v>52.372999999999998</v>
      </c>
      <c r="N335" s="14">
        <f t="shared" si="135"/>
        <v>66.175749999999994</v>
      </c>
      <c r="O335" s="14">
        <f t="shared" si="136"/>
        <v>55.192553573439966</v>
      </c>
      <c r="P335" s="14">
        <f t="shared" si="152"/>
        <v>60.68415178671998</v>
      </c>
      <c r="Q335" s="14">
        <v>50.348920720539112</v>
      </c>
      <c r="R335" s="17">
        <f t="shared" si="137"/>
        <v>49.651079279460888</v>
      </c>
      <c r="S335" s="14">
        <f t="shared" si="153"/>
        <v>0.54685971351514795</v>
      </c>
      <c r="T335" s="13">
        <v>0</v>
      </c>
      <c r="U335" s="13">
        <f t="shared" si="154"/>
        <v>33.185717860995439</v>
      </c>
      <c r="V335" s="13">
        <f>IF($T335=1,$AU335,(VLOOKUP(U335,'Cortes naturales'!$A$35:$C$39,3,9)))</f>
        <v>3</v>
      </c>
      <c r="W335" s="13">
        <v>3</v>
      </c>
      <c r="X335" s="14" t="b">
        <f t="shared" si="138"/>
        <v>1</v>
      </c>
      <c r="Y335" s="17">
        <f>IF($T335=1,$AU335,VLOOKUP(U335,'Cortes naturales'!$A$45:$C$49,3,9))</f>
        <v>3</v>
      </c>
      <c r="Z335" s="14">
        <v>58.297837568444706</v>
      </c>
      <c r="AA335" s="14">
        <v>0.5635346625321801</v>
      </c>
      <c r="AB335" s="14">
        <v>32.852852220489339</v>
      </c>
      <c r="AC335" s="13">
        <v>3</v>
      </c>
      <c r="AD335" s="13">
        <f t="shared" si="139"/>
        <v>0</v>
      </c>
      <c r="AE335" s="14">
        <f t="shared" si="140"/>
        <v>2.3863142182752739</v>
      </c>
      <c r="AF335" s="14">
        <f t="shared" si="141"/>
        <v>-1.6674949017032148E-2</v>
      </c>
      <c r="AG335" s="13">
        <f t="shared" si="142"/>
        <v>0.33286564050609968</v>
      </c>
      <c r="AH335" s="13">
        <f>IF($T335=1,$AU335,VLOOKUP(U335,'Cortes naturales'!$A$25:$C$29,3,9))</f>
        <v>3</v>
      </c>
      <c r="AI335" s="13" t="b">
        <f t="shared" si="143"/>
        <v>1</v>
      </c>
      <c r="AJ335" s="13">
        <f t="shared" si="144"/>
        <v>0</v>
      </c>
      <c r="AK335" s="28">
        <v>0.81759069605862034</v>
      </c>
      <c r="AL335" s="28">
        <v>47.663769596297094</v>
      </c>
      <c r="AM335" s="28">
        <v>0.42559750345880665</v>
      </c>
      <c r="AN335" s="13">
        <v>3</v>
      </c>
      <c r="AO335" s="33">
        <f t="shared" si="145"/>
        <v>0</v>
      </c>
      <c r="AP335" s="13">
        <f t="shared" si="155"/>
        <v>42.559750345880666</v>
      </c>
      <c r="AQ335" s="13">
        <f>IFERROR(VLOOKUP(U335,'Cortes naturales'!$E$15:$G$19,3,9),U335)</f>
        <v>4</v>
      </c>
      <c r="AR335" s="28">
        <f t="shared" si="146"/>
        <v>-0.27073098254347239</v>
      </c>
      <c r="AS335" s="13" t="b">
        <f t="shared" si="147"/>
        <v>0</v>
      </c>
      <c r="AT335" s="13">
        <f t="shared" si="156"/>
        <v>0</v>
      </c>
      <c r="AU335" s="13">
        <v>2</v>
      </c>
      <c r="AV335">
        <f t="shared" si="148"/>
        <v>-1</v>
      </c>
      <c r="AW335" s="13">
        <v>0</v>
      </c>
      <c r="AX335" s="13">
        <v>0</v>
      </c>
      <c r="AY335" s="13">
        <v>0</v>
      </c>
      <c r="AZ335" s="13">
        <v>0</v>
      </c>
      <c r="BA335">
        <v>1</v>
      </c>
      <c r="BB335" t="s">
        <v>2839</v>
      </c>
      <c r="BC335">
        <v>6</v>
      </c>
      <c r="BD335" t="s">
        <v>2919</v>
      </c>
      <c r="BE335">
        <v>0</v>
      </c>
      <c r="BF335" s="232" t="s">
        <v>2846</v>
      </c>
      <c r="BG335" s="232" t="s">
        <v>2846</v>
      </c>
      <c r="BH335" s="253">
        <v>31.3</v>
      </c>
      <c r="BI335" s="253">
        <v>12.759568078717015</v>
      </c>
      <c r="BJ335" s="25">
        <v>18.991926767605573</v>
      </c>
      <c r="BK335" t="s">
        <v>379</v>
      </c>
      <c r="BL335">
        <v>20.514126233038667</v>
      </c>
      <c r="BM335" t="s">
        <v>376</v>
      </c>
      <c r="BN335" s="322">
        <v>33269.176807999997</v>
      </c>
      <c r="BO335" s="322">
        <v>4915.9458889999996</v>
      </c>
      <c r="BP335" s="10">
        <v>17894</v>
      </c>
      <c r="BQ335" s="254">
        <f t="shared" si="149"/>
        <v>1.8592364372415333</v>
      </c>
      <c r="BR335" s="254">
        <f t="shared" si="150"/>
        <v>0.27472593545322455</v>
      </c>
      <c r="BS335" s="25">
        <v>53.8313499883132</v>
      </c>
      <c r="BT335" s="25">
        <v>92.663935082522997</v>
      </c>
      <c r="BU335" s="25">
        <v>36.69802451673737</v>
      </c>
      <c r="BV335" s="25">
        <v>68.661615710308666</v>
      </c>
      <c r="BW335" s="25">
        <v>65.598831402341446</v>
      </c>
      <c r="BX335" s="25">
        <v>62.963731324470558</v>
      </c>
      <c r="BY335" s="25">
        <v>66.639791000407044</v>
      </c>
      <c r="BZ335">
        <v>91</v>
      </c>
      <c r="CA335">
        <v>0</v>
      </c>
      <c r="CB335">
        <v>7</v>
      </c>
      <c r="CC335">
        <v>30546.048154</v>
      </c>
      <c r="CD335" s="10">
        <v>1774.241401</v>
      </c>
      <c r="CE335" s="255">
        <v>5.808415517631086E-2</v>
      </c>
      <c r="CF335" t="str">
        <f>IFERROR(VLOOKUP(CE335,'Rangos amb etnico'!$A$2:$C$6,3,9),"N.D.")</f>
        <v>0,1% - 30%</v>
      </c>
      <c r="CG335" s="256">
        <v>5.1619370651203985E-5</v>
      </c>
      <c r="CH335" s="232">
        <v>64.795883000000003</v>
      </c>
      <c r="CI335" s="311">
        <f t="shared" si="157"/>
        <v>2.1212525650888491E-3</v>
      </c>
      <c r="CJ335" s="232" t="str">
        <f>IFERROR(VLOOKUP(CI335,'Rangos amb etnico'!$A$2:$C$6,3,9),"N.D.")</f>
        <v>0,1% - 30%</v>
      </c>
      <c r="CK335" s="311">
        <f t="shared" si="158"/>
        <v>2.5728207867364638E-6</v>
      </c>
      <c r="CL335" s="10">
        <v>0</v>
      </c>
      <c r="CM335" s="255">
        <f t="shared" si="159"/>
        <v>0</v>
      </c>
      <c r="CN335" s="232">
        <f>IFERROR(VLOOKUP(CM335,'Rangos amb etnico'!$A$2:$C$6,3,9),"N.D.")</f>
        <v>0</v>
      </c>
      <c r="CO335" s="311">
        <f t="shared" si="160"/>
        <v>0</v>
      </c>
      <c r="CP335">
        <v>0.96996216669140689</v>
      </c>
      <c r="CQ335" t="s">
        <v>2864</v>
      </c>
      <c r="CR335">
        <f t="shared" si="151"/>
        <v>3</v>
      </c>
      <c r="CS335" t="str">
        <f t="shared" si="161"/>
        <v>Candidato</v>
      </c>
      <c r="CT335">
        <v>0</v>
      </c>
      <c r="CU335">
        <v>0</v>
      </c>
      <c r="CV335" s="25">
        <v>51.406997680664063</v>
      </c>
      <c r="CW335" s="25">
        <v>36.808231353759773</v>
      </c>
      <c r="CX335" s="25">
        <v>56.644203186035163</v>
      </c>
      <c r="CY335" s="25">
        <v>51.938373565673828</v>
      </c>
      <c r="CZ335" s="25">
        <v>66.7845458984375</v>
      </c>
      <c r="DA335" s="25">
        <v>49.507816314697273</v>
      </c>
      <c r="DB335" s="25">
        <v>46.758811950683587</v>
      </c>
      <c r="DC335">
        <v>674</v>
      </c>
      <c r="DD335" s="253" t="s">
        <v>380</v>
      </c>
    </row>
    <row r="336" spans="1:108" hidden="1">
      <c r="A336" s="13">
        <v>70235</v>
      </c>
      <c r="B336" s="13" t="s">
        <v>1129</v>
      </c>
      <c r="C336" s="13" t="s">
        <v>494</v>
      </c>
      <c r="D336" s="13" t="s">
        <v>495</v>
      </c>
      <c r="E336" s="13" t="s">
        <v>1130</v>
      </c>
      <c r="F336" s="14">
        <v>43.072233333333301</v>
      </c>
      <c r="G336" s="13">
        <v>33.36</v>
      </c>
      <c r="H336" s="13">
        <v>44.58</v>
      </c>
      <c r="I336" s="13">
        <v>37.369999999999997</v>
      </c>
      <c r="J336" s="14">
        <v>50.123062937837467</v>
      </c>
      <c r="K336" s="14">
        <v>54.671659708492818</v>
      </c>
      <c r="L336" s="14">
        <v>56.919834500187761</v>
      </c>
      <c r="M336" s="14">
        <v>51.436199999999999</v>
      </c>
      <c r="N336" s="14">
        <f t="shared" si="135"/>
        <v>39.595558333333322</v>
      </c>
      <c r="O336" s="14">
        <f t="shared" si="136"/>
        <v>53.287689286629515</v>
      </c>
      <c r="P336" s="14">
        <f t="shared" si="152"/>
        <v>46.441623809981422</v>
      </c>
      <c r="Q336" s="14">
        <v>49.509579930279848</v>
      </c>
      <c r="R336" s="17">
        <f t="shared" si="137"/>
        <v>50.490420069720152</v>
      </c>
      <c r="S336" s="14">
        <f t="shared" si="153"/>
        <v>0.55441378062748137</v>
      </c>
      <c r="T336" s="13">
        <v>0</v>
      </c>
      <c r="U336" s="13">
        <f t="shared" si="154"/>
        <v>25.747876234971056</v>
      </c>
      <c r="V336" s="13">
        <f>IF($T336=1,$AU336,(VLOOKUP(U336,'Cortes naturales'!$A$35:$C$39,3,9)))</f>
        <v>4</v>
      </c>
      <c r="W336" s="13">
        <v>4</v>
      </c>
      <c r="X336" s="14" t="b">
        <f t="shared" si="138"/>
        <v>1</v>
      </c>
      <c r="Y336" s="17">
        <f>IF($T336=1,$AU336,VLOOKUP(U336,'Cortes naturales'!$A$45:$C$49,3,9))</f>
        <v>4</v>
      </c>
      <c r="Z336" s="14">
        <v>46.76909850146032</v>
      </c>
      <c r="AA336" s="14">
        <v>0.56338810166478692</v>
      </c>
      <c r="AB336" s="14">
        <v>26.34915362131116</v>
      </c>
      <c r="AC336" s="13">
        <v>4</v>
      </c>
      <c r="AD336" s="13">
        <f t="shared" si="139"/>
        <v>0</v>
      </c>
      <c r="AE336" s="14">
        <f t="shared" si="140"/>
        <v>-0.32747469147889774</v>
      </c>
      <c r="AF336" s="14">
        <f t="shared" si="141"/>
        <v>-8.9743210373055549E-3</v>
      </c>
      <c r="AG336" s="13">
        <f t="shared" si="142"/>
        <v>-0.60127738634010441</v>
      </c>
      <c r="AH336" s="13">
        <f>IF($T336=1,$AU336,VLOOKUP(U336,'Cortes naturales'!$A$25:$C$29,3,9))</f>
        <v>4</v>
      </c>
      <c r="AI336" s="13" t="b">
        <f t="shared" si="143"/>
        <v>1</v>
      </c>
      <c r="AJ336" s="13">
        <f t="shared" si="144"/>
        <v>0</v>
      </c>
      <c r="AK336" s="28">
        <v>0.81759069605862034</v>
      </c>
      <c r="AL336" s="28">
        <v>38.237979797843117</v>
      </c>
      <c r="AM336" s="28">
        <v>0.30769080879912658</v>
      </c>
      <c r="AN336" s="13">
        <v>4</v>
      </c>
      <c r="AO336" s="33">
        <f t="shared" si="145"/>
        <v>0</v>
      </c>
      <c r="AP336" s="13">
        <f t="shared" si="155"/>
        <v>30.769080879912657</v>
      </c>
      <c r="AQ336" s="13">
        <f>IFERROR(VLOOKUP(U336,'Cortes naturales'!$E$15:$G$19,3,9),U336)</f>
        <v>4</v>
      </c>
      <c r="AR336" s="28">
        <f t="shared" si="146"/>
        <v>-0.26317691543113897</v>
      </c>
      <c r="AS336" s="13" t="b">
        <f t="shared" si="147"/>
        <v>1</v>
      </c>
      <c r="AT336" s="13">
        <f t="shared" si="156"/>
        <v>0</v>
      </c>
      <c r="AU336" s="13">
        <v>4</v>
      </c>
      <c r="AV336">
        <f t="shared" si="148"/>
        <v>0</v>
      </c>
      <c r="AW336" s="13">
        <v>0</v>
      </c>
      <c r="AX336" s="13">
        <v>0</v>
      </c>
      <c r="AY336" s="13">
        <v>0</v>
      </c>
      <c r="AZ336" s="13">
        <v>0</v>
      </c>
      <c r="BA336">
        <v>0</v>
      </c>
      <c r="BB336" t="s">
        <v>2839</v>
      </c>
      <c r="BC336">
        <v>6</v>
      </c>
      <c r="BD336" t="s">
        <v>2919</v>
      </c>
      <c r="BE336">
        <v>0</v>
      </c>
      <c r="BF336" s="232" t="s">
        <v>2846</v>
      </c>
      <c r="BG336" s="232" t="s">
        <v>2845</v>
      </c>
      <c r="BH336" s="253">
        <v>46.1</v>
      </c>
      <c r="BI336" s="253">
        <v>26.992440337961362</v>
      </c>
      <c r="BJ336" s="25">
        <v>3.125</v>
      </c>
      <c r="BK336" t="s">
        <v>381</v>
      </c>
      <c r="BL336">
        <v>5.4168976231376025</v>
      </c>
      <c r="BM336" t="s">
        <v>383</v>
      </c>
      <c r="BN336" s="322">
        <v>47716.371196</v>
      </c>
      <c r="BO336" s="322">
        <v>2329.3079870000001</v>
      </c>
      <c r="BP336" s="10">
        <v>25175</v>
      </c>
      <c r="BQ336" s="254">
        <f t="shared" si="149"/>
        <v>1.8953871378748759</v>
      </c>
      <c r="BR336" s="254">
        <f t="shared" si="150"/>
        <v>9.2524646951340619E-2</v>
      </c>
      <c r="BS336" s="25">
        <v>61.574590748118233</v>
      </c>
      <c r="BT336" s="25">
        <v>93.228290852918462</v>
      </c>
      <c r="BU336" s="25">
        <v>42.77501103752757</v>
      </c>
      <c r="BV336" s="25">
        <v>97.876585673548632</v>
      </c>
      <c r="BW336" s="25">
        <v>30.204736975833779</v>
      </c>
      <c r="BX336" s="25">
        <v>73.863619578028221</v>
      </c>
      <c r="BY336" s="25">
        <v>30.082922584264288</v>
      </c>
      <c r="BZ336">
        <v>9</v>
      </c>
      <c r="CA336">
        <v>0</v>
      </c>
      <c r="CB336">
        <v>7</v>
      </c>
      <c r="CC336">
        <v>32163.589693999998</v>
      </c>
      <c r="CD336" s="10">
        <v>1989.294813</v>
      </c>
      <c r="CE336" s="255">
        <v>6.1849278389815292E-2</v>
      </c>
      <c r="CF336" t="str">
        <f>IFERROR(VLOOKUP(CE336,'Rangos amb etnico'!$A$2:$C$6,3,9),"N.D.")</f>
        <v>0,1% - 30%</v>
      </c>
      <c r="CG336" s="256">
        <v>5.787608508565319E-5</v>
      </c>
      <c r="CH336" s="232">
        <v>0</v>
      </c>
      <c r="CI336" s="311">
        <f t="shared" si="157"/>
        <v>0</v>
      </c>
      <c r="CJ336" s="232">
        <f>IFERROR(VLOOKUP(CI336,'Rangos amb etnico'!$A$2:$C$6,3,9),"N.D.")</f>
        <v>0</v>
      </c>
      <c r="CK336" s="311">
        <f t="shared" si="158"/>
        <v>0</v>
      </c>
      <c r="CL336" s="10">
        <v>0</v>
      </c>
      <c r="CM336" s="255">
        <f t="shared" si="159"/>
        <v>0</v>
      </c>
      <c r="CN336" s="232">
        <f>IFERROR(VLOOKUP(CM336,'Rangos amb etnico'!$A$2:$C$6,3,9),"N.D.")</f>
        <v>0</v>
      </c>
      <c r="CO336" s="311">
        <f t="shared" si="160"/>
        <v>0</v>
      </c>
      <c r="CP336">
        <v>0.89530376178986937</v>
      </c>
      <c r="CQ336" t="s">
        <v>2864</v>
      </c>
      <c r="CR336">
        <f t="shared" si="151"/>
        <v>1</v>
      </c>
      <c r="CS336" t="str">
        <f t="shared" si="161"/>
        <v>No es Candidato</v>
      </c>
      <c r="CT336">
        <v>0</v>
      </c>
      <c r="CU336">
        <v>0</v>
      </c>
      <c r="CV336" s="25">
        <v>50.450153350830078</v>
      </c>
      <c r="CW336" s="25">
        <v>31.436676025390621</v>
      </c>
      <c r="CX336" s="25">
        <v>48.427890777587891</v>
      </c>
      <c r="CY336" s="25">
        <v>61.796604156494141</v>
      </c>
      <c r="CZ336" s="25">
        <v>17.708539962768551</v>
      </c>
      <c r="DA336" s="25">
        <v>91.823509216308594</v>
      </c>
      <c r="DB336" s="25">
        <v>51.507701873779297</v>
      </c>
      <c r="DC336">
        <v>2470</v>
      </c>
      <c r="DD336" s="253" t="s">
        <v>380</v>
      </c>
    </row>
    <row r="337" spans="1:108" hidden="1">
      <c r="A337" s="13">
        <v>13657</v>
      </c>
      <c r="B337" s="13" t="s">
        <v>1131</v>
      </c>
      <c r="C337" s="13" t="s">
        <v>480</v>
      </c>
      <c r="D337" s="13" t="s">
        <v>481</v>
      </c>
      <c r="E337" s="13" t="s">
        <v>1132</v>
      </c>
      <c r="F337" s="14">
        <v>56.449833333333302</v>
      </c>
      <c r="G337" s="13">
        <v>68.92</v>
      </c>
      <c r="H337" s="13">
        <v>77.569999999999993</v>
      </c>
      <c r="I337" s="13">
        <v>93.58</v>
      </c>
      <c r="J337" s="14">
        <v>57.695631040892771</v>
      </c>
      <c r="K337" s="14">
        <v>51.380262744385853</v>
      </c>
      <c r="L337" s="14">
        <v>56.189011839772341</v>
      </c>
      <c r="M337" s="14">
        <v>53.883699999999997</v>
      </c>
      <c r="N337" s="14">
        <f t="shared" si="135"/>
        <v>74.12995833333332</v>
      </c>
      <c r="O337" s="14">
        <f t="shared" si="136"/>
        <v>54.787151406262744</v>
      </c>
      <c r="P337" s="14">
        <f t="shared" si="152"/>
        <v>64.458554869798036</v>
      </c>
      <c r="Q337" s="14">
        <v>49.274660955558872</v>
      </c>
      <c r="R337" s="17">
        <f t="shared" si="137"/>
        <v>50.725339044441128</v>
      </c>
      <c r="S337" s="14">
        <f t="shared" si="153"/>
        <v>0.55652805139997019</v>
      </c>
      <c r="T337" s="13">
        <v>0</v>
      </c>
      <c r="U337" s="13">
        <f t="shared" si="154"/>
        <v>35.872993937746763</v>
      </c>
      <c r="V337" s="13">
        <f>IF($T337=1,$AU337,(VLOOKUP(U337,'Cortes naturales'!$A$35:$C$39,3,9)))</f>
        <v>3</v>
      </c>
      <c r="W337" s="13">
        <v>3</v>
      </c>
      <c r="X337" s="14" t="b">
        <f t="shared" si="138"/>
        <v>1</v>
      </c>
      <c r="Y337" s="17">
        <f>IF($T337=1,$AU337,VLOOKUP(U337,'Cortes naturales'!$A$45:$C$49,3,9))</f>
        <v>2</v>
      </c>
      <c r="Z337" s="14">
        <v>59.449390760744336</v>
      </c>
      <c r="AA337" s="14">
        <v>0.56300537157961228</v>
      </c>
      <c r="AB337" s="14">
        <v>33.470326335434436</v>
      </c>
      <c r="AC337" s="13">
        <v>3</v>
      </c>
      <c r="AD337" s="13">
        <f t="shared" si="139"/>
        <v>1</v>
      </c>
      <c r="AE337" s="14">
        <f t="shared" si="140"/>
        <v>5.0091641090536996</v>
      </c>
      <c r="AF337" s="14">
        <f t="shared" si="141"/>
        <v>-6.4773201796420876E-3</v>
      </c>
      <c r="AG337" s="13">
        <f t="shared" si="142"/>
        <v>2.4026676023123272</v>
      </c>
      <c r="AH337" s="13">
        <f>IF($T337=1,$AU337,VLOOKUP(U337,'Cortes naturales'!$A$25:$C$29,3,9))</f>
        <v>2</v>
      </c>
      <c r="AI337" s="13" t="b">
        <f t="shared" si="143"/>
        <v>1</v>
      </c>
      <c r="AJ337" s="13" t="str">
        <f t="shared" si="144"/>
        <v>Efecto ponderador</v>
      </c>
      <c r="AK337" s="28">
        <v>0.81759069605862034</v>
      </c>
      <c r="AL337" s="28">
        <v>48.605268772337872</v>
      </c>
      <c r="AM337" s="28">
        <v>0.43737466571739936</v>
      </c>
      <c r="AN337" s="13">
        <v>3</v>
      </c>
      <c r="AO337" s="33">
        <f t="shared" si="145"/>
        <v>1</v>
      </c>
      <c r="AP337" s="13">
        <f t="shared" si="155"/>
        <v>43.737466571739937</v>
      </c>
      <c r="AQ337" s="13">
        <f>IFERROR(VLOOKUP(U337,'Cortes naturales'!$E$15:$G$19,3,9),U337)</f>
        <v>3</v>
      </c>
      <c r="AR337" s="28">
        <f t="shared" si="146"/>
        <v>-0.26106264465865014</v>
      </c>
      <c r="AS337" s="13" t="b">
        <f t="shared" si="147"/>
        <v>0</v>
      </c>
      <c r="AT337" s="13" t="str">
        <f t="shared" si="156"/>
        <v>Cambio en corte</v>
      </c>
      <c r="AU337" s="13">
        <v>3</v>
      </c>
      <c r="AV337">
        <f t="shared" si="148"/>
        <v>1</v>
      </c>
      <c r="AW337" s="13">
        <v>0</v>
      </c>
      <c r="AX337" s="13">
        <v>0</v>
      </c>
      <c r="AY337" s="13">
        <v>0</v>
      </c>
      <c r="AZ337" s="13">
        <v>1</v>
      </c>
      <c r="BA337">
        <v>1</v>
      </c>
      <c r="BB337" t="s">
        <v>2839</v>
      </c>
      <c r="BC337">
        <v>6</v>
      </c>
      <c r="BD337" t="s">
        <v>2919</v>
      </c>
      <c r="BE337">
        <v>1</v>
      </c>
      <c r="BF337" s="232" t="s">
        <v>2846</v>
      </c>
      <c r="BG337" s="232" t="s">
        <v>2845</v>
      </c>
      <c r="BH337" s="253">
        <v>56.2</v>
      </c>
      <c r="BI337" s="253">
        <v>38.390940923980573</v>
      </c>
      <c r="BJ337" s="25">
        <v>33.333333333333336</v>
      </c>
      <c r="BK337" t="s">
        <v>379</v>
      </c>
      <c r="BL337">
        <v>1.5703381786198642</v>
      </c>
      <c r="BM337" t="s">
        <v>383</v>
      </c>
      <c r="BN337" s="322">
        <v>72416.426793000006</v>
      </c>
      <c r="BO337" s="322">
        <v>6623.6231790000002</v>
      </c>
      <c r="BP337" s="10">
        <v>42048</v>
      </c>
      <c r="BQ337" s="254">
        <f t="shared" si="149"/>
        <v>1.72223237236016</v>
      </c>
      <c r="BR337" s="254">
        <f t="shared" si="150"/>
        <v>0.15752528488869863</v>
      </c>
      <c r="BS337" s="25">
        <v>61.758477795066042</v>
      </c>
      <c r="BT337" s="25">
        <v>91.225448528665652</v>
      </c>
      <c r="BU337" s="25">
        <v>12.76067898000173</v>
      </c>
      <c r="BV337" s="25">
        <v>96.503467526316982</v>
      </c>
      <c r="BW337" s="25">
        <v>40.093617628856357</v>
      </c>
      <c r="BX337" s="25">
        <v>65.562018207512594</v>
      </c>
      <c r="BY337" s="25">
        <v>39.322955595999787</v>
      </c>
      <c r="BZ337">
        <v>12</v>
      </c>
      <c r="CA337">
        <v>0</v>
      </c>
      <c r="CB337">
        <v>7</v>
      </c>
      <c r="CC337">
        <v>63080.722253</v>
      </c>
      <c r="CD337" s="10">
        <v>14394.502586000001</v>
      </c>
      <c r="CE337" s="255">
        <v>0.22819178461951464</v>
      </c>
      <c r="CF337" t="str">
        <f>IFERROR(VLOOKUP(CE337,'Rangos amb etnico'!$A$2:$C$6,3,9),"N.D.")</f>
        <v>0,1% - 30%</v>
      </c>
      <c r="CG337" s="256">
        <v>4.1879034268260115E-4</v>
      </c>
      <c r="CH337" s="232">
        <v>30.333366999999999</v>
      </c>
      <c r="CI337" s="311">
        <f t="shared" si="157"/>
        <v>4.8086587972694626E-4</v>
      </c>
      <c r="CJ337" s="232">
        <f>IFERROR(VLOOKUP(CI337,'Rangos amb etnico'!$A$2:$C$6,3,9),"N.D.")</f>
        <v>0</v>
      </c>
      <c r="CK337" s="311">
        <f t="shared" si="158"/>
        <v>1.2044332685350686E-6</v>
      </c>
      <c r="CL337" s="10">
        <v>269.91314196299902</v>
      </c>
      <c r="CM337" s="255">
        <f t="shared" si="159"/>
        <v>4.2788530683026934E-3</v>
      </c>
      <c r="CN337" s="232" t="str">
        <f>IFERROR(VLOOKUP(CM337,'Rangos amb etnico'!$A$2:$C$6,3,9),"N.D.")</f>
        <v>0,1% - 30%</v>
      </c>
      <c r="CO337" s="311">
        <f t="shared" si="160"/>
        <v>1.6926440618043144E-4</v>
      </c>
      <c r="CP337">
        <v>0.78258786945865944</v>
      </c>
      <c r="CQ337" t="s">
        <v>2865</v>
      </c>
      <c r="CR337">
        <f t="shared" si="151"/>
        <v>2</v>
      </c>
      <c r="CS337" t="str">
        <f t="shared" si="161"/>
        <v>No es Candidato</v>
      </c>
      <c r="CT337">
        <v>0</v>
      </c>
      <c r="CU337">
        <v>0</v>
      </c>
      <c r="CV337" s="25">
        <v>48.387504577636719</v>
      </c>
      <c r="CW337" s="25">
        <v>31.69752311706543</v>
      </c>
      <c r="CX337" s="25">
        <v>57.657596588134773</v>
      </c>
      <c r="CY337" s="25">
        <v>51.431167602539063</v>
      </c>
      <c r="CZ337" s="25">
        <v>14.26515579223633</v>
      </c>
      <c r="DA337" s="25">
        <v>86.052848815917969</v>
      </c>
      <c r="DB337" s="25">
        <v>49.220745086669922</v>
      </c>
      <c r="DC337">
        <v>3683</v>
      </c>
      <c r="DD337" s="253" t="s">
        <v>380</v>
      </c>
    </row>
    <row r="338" spans="1:108" hidden="1">
      <c r="A338" s="13">
        <v>15638</v>
      </c>
      <c r="B338" s="13" t="s">
        <v>1133</v>
      </c>
      <c r="C338" s="13" t="s">
        <v>498</v>
      </c>
      <c r="D338" s="13" t="s">
        <v>499</v>
      </c>
      <c r="E338" s="13" t="s">
        <v>1134</v>
      </c>
      <c r="F338" s="14">
        <v>68.601666666666702</v>
      </c>
      <c r="G338" s="13">
        <v>55.66</v>
      </c>
      <c r="H338" s="13">
        <v>57.33</v>
      </c>
      <c r="I338" s="13">
        <v>40.71</v>
      </c>
      <c r="J338" s="14">
        <v>60.209033814077934</v>
      </c>
      <c r="K338" s="14">
        <v>73.051737029861897</v>
      </c>
      <c r="L338" s="14">
        <v>61.221330679868338</v>
      </c>
      <c r="M338" s="14">
        <v>68.261600000000001</v>
      </c>
      <c r="N338" s="14">
        <f t="shared" si="135"/>
        <v>55.575416666666676</v>
      </c>
      <c r="O338" s="14">
        <f t="shared" si="136"/>
        <v>65.685925380952042</v>
      </c>
      <c r="P338" s="14">
        <f t="shared" si="152"/>
        <v>60.630671023809356</v>
      </c>
      <c r="Q338" s="14">
        <v>49.39916206578355</v>
      </c>
      <c r="R338" s="17">
        <f t="shared" si="137"/>
        <v>50.60083793421645</v>
      </c>
      <c r="S338" s="14">
        <f t="shared" si="153"/>
        <v>0.55540754140794801</v>
      </c>
      <c r="T338" s="13">
        <v>0</v>
      </c>
      <c r="U338" s="13">
        <f t="shared" si="154"/>
        <v>33.674731927248068</v>
      </c>
      <c r="V338" s="13">
        <f>IF($T338=1,$AU338,(VLOOKUP(U338,'Cortes naturales'!$A$35:$C$39,3,9)))</f>
        <v>3</v>
      </c>
      <c r="W338" s="13">
        <v>3</v>
      </c>
      <c r="X338" s="14" t="b">
        <f t="shared" si="138"/>
        <v>1</v>
      </c>
      <c r="Y338" s="17">
        <f>IF($T338=1,$AU338,VLOOKUP(U338,'Cortes naturales'!$A$45:$C$49,3,9))</f>
        <v>3</v>
      </c>
      <c r="Z338" s="14">
        <v>64.200024269380208</v>
      </c>
      <c r="AA338" s="14">
        <v>0.56189359817711326</v>
      </c>
      <c r="AB338" s="14">
        <v>36.073582639780042</v>
      </c>
      <c r="AC338" s="13">
        <v>2</v>
      </c>
      <c r="AD338" s="13">
        <f t="shared" si="139"/>
        <v>-1</v>
      </c>
      <c r="AE338" s="14">
        <f t="shared" si="140"/>
        <v>-3.5693532455708521</v>
      </c>
      <c r="AF338" s="14">
        <f t="shared" si="141"/>
        <v>-6.4860567691652493E-3</v>
      </c>
      <c r="AG338" s="13">
        <f t="shared" si="142"/>
        <v>-2.3988507125319742</v>
      </c>
      <c r="AH338" s="13">
        <f>IF($T338=1,$AU338,VLOOKUP(U338,'Cortes naturales'!$A$25:$C$29,3,9))</f>
        <v>3</v>
      </c>
      <c r="AI338" s="13" t="b">
        <f t="shared" si="143"/>
        <v>1</v>
      </c>
      <c r="AJ338" s="13" t="str">
        <f t="shared" si="144"/>
        <v>Efecto ponderador</v>
      </c>
      <c r="AK338" s="28">
        <v>0.81759069605862034</v>
      </c>
      <c r="AL338" s="28">
        <v>52.489342529382881</v>
      </c>
      <c r="AM338" s="28">
        <v>0.48596033421837703</v>
      </c>
      <c r="AN338" s="13">
        <v>2</v>
      </c>
      <c r="AO338" s="33">
        <f t="shared" si="145"/>
        <v>-1</v>
      </c>
      <c r="AP338" s="13">
        <f t="shared" si="155"/>
        <v>48.596033421837703</v>
      </c>
      <c r="AQ338" s="13">
        <f>IFERROR(VLOOKUP(U338,'Cortes naturales'!$E$15:$G$19,3,9),U338)</f>
        <v>4</v>
      </c>
      <c r="AR338" s="28">
        <f t="shared" si="146"/>
        <v>-0.26218315465067232</v>
      </c>
      <c r="AS338" s="13" t="b">
        <f t="shared" si="147"/>
        <v>0</v>
      </c>
      <c r="AT338" s="13" t="str">
        <f t="shared" si="156"/>
        <v>Cambio en corte</v>
      </c>
      <c r="AU338" s="13">
        <v>1</v>
      </c>
      <c r="AV338">
        <f t="shared" si="148"/>
        <v>-2</v>
      </c>
      <c r="AW338" s="13">
        <v>0</v>
      </c>
      <c r="AX338" s="13">
        <v>0</v>
      </c>
      <c r="AY338" s="13">
        <v>0</v>
      </c>
      <c r="AZ338" s="13">
        <v>0</v>
      </c>
      <c r="BA338">
        <v>0</v>
      </c>
      <c r="BB338" t="s">
        <v>2839</v>
      </c>
      <c r="BC338">
        <v>6</v>
      </c>
      <c r="BD338" t="s">
        <v>2919</v>
      </c>
      <c r="BE338">
        <v>0</v>
      </c>
      <c r="BF338" s="232" t="s">
        <v>2846</v>
      </c>
      <c r="BG338" s="232" t="s">
        <v>2846</v>
      </c>
      <c r="BH338" s="253">
        <v>23.8</v>
      </c>
      <c r="BI338" s="253">
        <v>9.0192826041882643</v>
      </c>
      <c r="BJ338" s="25">
        <v>12.69303985412868</v>
      </c>
      <c r="BK338" t="s">
        <v>377</v>
      </c>
      <c r="BL338">
        <v>0</v>
      </c>
      <c r="BM338" t="s">
        <v>377</v>
      </c>
      <c r="BN338" s="322">
        <v>15752.461995</v>
      </c>
      <c r="BO338" s="322">
        <v>4393.6984359999997</v>
      </c>
      <c r="BP338" s="10">
        <v>6250</v>
      </c>
      <c r="BQ338" s="254">
        <f t="shared" si="149"/>
        <v>2.5203939192</v>
      </c>
      <c r="BR338" s="254">
        <f t="shared" si="150"/>
        <v>0.7029917497599999</v>
      </c>
      <c r="BS338" s="25">
        <v>69.462528115159685</v>
      </c>
      <c r="BT338" s="25">
        <v>88.681649999999991</v>
      </c>
      <c r="BU338" s="25">
        <v>55.455485937064871</v>
      </c>
      <c r="BV338" s="25">
        <v>91.737532234433544</v>
      </c>
      <c r="BW338" s="25">
        <v>57.649434996152991</v>
      </c>
      <c r="BX338" s="25">
        <v>76.334299071664518</v>
      </c>
      <c r="BY338" s="25">
        <v>59.198856905633988</v>
      </c>
      <c r="BZ338">
        <v>68</v>
      </c>
      <c r="CA338">
        <v>0</v>
      </c>
      <c r="CB338">
        <v>7</v>
      </c>
      <c r="CC338">
        <v>6382.5221449999999</v>
      </c>
      <c r="CD338" s="10">
        <v>1009.697399</v>
      </c>
      <c r="CE338" s="255">
        <v>0.15819724178959352</v>
      </c>
      <c r="CF338" t="str">
        <f>IFERROR(VLOOKUP(CE338,'Rangos amb etnico'!$A$2:$C$6,3,9),"N.D.")</f>
        <v>0,1% - 30%</v>
      </c>
      <c r="CG338" s="256">
        <v>2.9375903558084994E-5</v>
      </c>
      <c r="CH338" s="232">
        <v>0</v>
      </c>
      <c r="CI338" s="311">
        <f t="shared" si="157"/>
        <v>0</v>
      </c>
      <c r="CJ338" s="232">
        <f>IFERROR(VLOOKUP(CI338,'Rangos amb etnico'!$A$2:$C$6,3,9),"N.D.")</f>
        <v>0</v>
      </c>
      <c r="CK338" s="311">
        <f t="shared" si="158"/>
        <v>0</v>
      </c>
      <c r="CL338" s="10">
        <v>0</v>
      </c>
      <c r="CM338" s="255">
        <f t="shared" si="159"/>
        <v>0</v>
      </c>
      <c r="CN338" s="232">
        <f>IFERROR(VLOOKUP(CM338,'Rangos amb etnico'!$A$2:$C$6,3,9),"N.D.")</f>
        <v>0</v>
      </c>
      <c r="CO338" s="311">
        <f t="shared" si="160"/>
        <v>0</v>
      </c>
      <c r="CP338">
        <v>0.80427279037614952</v>
      </c>
      <c r="CQ338" t="s">
        <v>2865</v>
      </c>
      <c r="CR338">
        <f t="shared" si="151"/>
        <v>2</v>
      </c>
      <c r="CS338" t="str">
        <f t="shared" si="161"/>
        <v>No es Candidato</v>
      </c>
      <c r="CT338">
        <v>0</v>
      </c>
      <c r="CU338">
        <v>0</v>
      </c>
      <c r="CV338" s="25">
        <v>52.191593170166023</v>
      </c>
      <c r="CW338" s="25">
        <v>26.6592903137207</v>
      </c>
      <c r="CX338" s="25">
        <v>51.665401458740227</v>
      </c>
      <c r="CY338" s="25">
        <v>67.5491943359375</v>
      </c>
      <c r="CZ338" s="25">
        <v>58.896446228027337</v>
      </c>
      <c r="DA338" s="25">
        <v>53.628582000732422</v>
      </c>
      <c r="DB338" s="25">
        <v>54.750640869140618</v>
      </c>
      <c r="DC338">
        <v>54</v>
      </c>
      <c r="DD338" s="253" t="s">
        <v>380</v>
      </c>
    </row>
    <row r="339" spans="1:108" hidden="1">
      <c r="A339" s="13">
        <v>25815</v>
      </c>
      <c r="B339" s="13" t="s">
        <v>1135</v>
      </c>
      <c r="C339" s="13" t="s">
        <v>461</v>
      </c>
      <c r="D339" s="13" t="s">
        <v>462</v>
      </c>
      <c r="E339" s="13" t="s">
        <v>1136</v>
      </c>
      <c r="F339" s="14">
        <v>70.6143</v>
      </c>
      <c r="G339" s="13">
        <v>61.57</v>
      </c>
      <c r="H339" s="13">
        <v>61.1</v>
      </c>
      <c r="I339" s="13">
        <v>58.42</v>
      </c>
      <c r="J339" s="14">
        <v>66.957319659631423</v>
      </c>
      <c r="K339" s="14">
        <v>64.396705819585833</v>
      </c>
      <c r="L339" s="14">
        <v>71.105219200134243</v>
      </c>
      <c r="M339" s="14">
        <v>55.674599999999998</v>
      </c>
      <c r="N339" s="14">
        <f t="shared" si="135"/>
        <v>62.926074999999997</v>
      </c>
      <c r="O339" s="14">
        <f t="shared" si="136"/>
        <v>64.533461169837878</v>
      </c>
      <c r="P339" s="14">
        <f t="shared" si="152"/>
        <v>63.729768084918938</v>
      </c>
      <c r="Q339" s="14">
        <v>50.626091807206677</v>
      </c>
      <c r="R339" s="17">
        <f t="shared" si="137"/>
        <v>49.373908192793323</v>
      </c>
      <c r="S339" s="14">
        <f t="shared" si="153"/>
        <v>0.54436517373513993</v>
      </c>
      <c r="T339" s="13">
        <v>0</v>
      </c>
      <c r="U339" s="13">
        <f t="shared" si="154"/>
        <v>34.692266275647071</v>
      </c>
      <c r="V339" s="13">
        <f>IF($T339=1,$AU339,(VLOOKUP(U339,'Cortes naturales'!$A$35:$C$39,3,9)))</f>
        <v>3</v>
      </c>
      <c r="W339" s="13">
        <v>3</v>
      </c>
      <c r="X339" s="14" t="b">
        <f t="shared" si="138"/>
        <v>1</v>
      </c>
      <c r="Y339" s="17">
        <f>IF($T339=1,$AU339,VLOOKUP(U339,'Cortes naturales'!$A$45:$C$49,3,9))</f>
        <v>3</v>
      </c>
      <c r="Z339" s="14">
        <v>65.754624068572468</v>
      </c>
      <c r="AA339" s="14">
        <v>0.56366841249493882</v>
      </c>
      <c r="AB339" s="14">
        <v>37.06380456293374</v>
      </c>
      <c r="AC339" s="13">
        <v>2</v>
      </c>
      <c r="AD339" s="13">
        <f t="shared" si="139"/>
        <v>-1</v>
      </c>
      <c r="AE339" s="14">
        <f t="shared" si="140"/>
        <v>-2.0248559836535307</v>
      </c>
      <c r="AF339" s="14">
        <f t="shared" si="141"/>
        <v>-1.9303238759798891E-2</v>
      </c>
      <c r="AG339" s="13">
        <f t="shared" si="142"/>
        <v>-2.3715382872866684</v>
      </c>
      <c r="AH339" s="13">
        <f>IF($T339=1,$AU339,VLOOKUP(U339,'Cortes naturales'!$A$25:$C$29,3,9))</f>
        <v>3</v>
      </c>
      <c r="AI339" s="13" t="b">
        <f t="shared" si="143"/>
        <v>1</v>
      </c>
      <c r="AJ339" s="13" t="str">
        <f t="shared" si="144"/>
        <v>Efecto ponderador</v>
      </c>
      <c r="AK339" s="28">
        <v>0.81759069605862034</v>
      </c>
      <c r="AL339" s="28">
        <v>53.760368861297074</v>
      </c>
      <c r="AM339" s="28">
        <v>0.50185953384258264</v>
      </c>
      <c r="AN339" s="13">
        <v>2</v>
      </c>
      <c r="AO339" s="33">
        <f t="shared" si="145"/>
        <v>-1</v>
      </c>
      <c r="AP339" s="13">
        <f t="shared" si="155"/>
        <v>50.185953384258262</v>
      </c>
      <c r="AQ339" s="13">
        <f>IFERROR(VLOOKUP(U339,'Cortes naturales'!$E$15:$G$19,3,9),U339)</f>
        <v>4</v>
      </c>
      <c r="AR339" s="28">
        <f t="shared" si="146"/>
        <v>-0.27322552232348041</v>
      </c>
      <c r="AS339" s="13" t="b">
        <f t="shared" si="147"/>
        <v>0</v>
      </c>
      <c r="AT339" s="13" t="str">
        <f t="shared" si="156"/>
        <v>Cambio en corte</v>
      </c>
      <c r="AU339" s="13">
        <v>2</v>
      </c>
      <c r="AV339">
        <f t="shared" si="148"/>
        <v>-1</v>
      </c>
      <c r="AW339" s="13">
        <v>0</v>
      </c>
      <c r="AX339" s="13">
        <v>0</v>
      </c>
      <c r="AY339" s="13">
        <v>0</v>
      </c>
      <c r="AZ339" s="13">
        <v>0</v>
      </c>
      <c r="BA339">
        <v>0</v>
      </c>
      <c r="BB339" t="s">
        <v>2839</v>
      </c>
      <c r="BC339">
        <v>6</v>
      </c>
      <c r="BD339" t="s">
        <v>2919</v>
      </c>
      <c r="BE339">
        <v>0</v>
      </c>
      <c r="BF339" s="232" t="s">
        <v>2846</v>
      </c>
      <c r="BG339" s="232" t="s">
        <v>2846</v>
      </c>
      <c r="BH339" s="253">
        <v>24.4</v>
      </c>
      <c r="BI339" s="253">
        <v>11.171439196727407</v>
      </c>
      <c r="BJ339" s="25">
        <v>1.1818141382049245</v>
      </c>
      <c r="BK339" t="s">
        <v>381</v>
      </c>
      <c r="BL339">
        <v>1.9101419259897774</v>
      </c>
      <c r="BM339" t="s">
        <v>383</v>
      </c>
      <c r="BN339" s="322">
        <v>34707.785484</v>
      </c>
      <c r="BO339" s="322">
        <v>11342.459122</v>
      </c>
      <c r="BP339" s="10">
        <v>16059</v>
      </c>
      <c r="BQ339" s="254">
        <f t="shared" si="149"/>
        <v>2.1612669209788904</v>
      </c>
      <c r="BR339" s="254">
        <f t="shared" si="150"/>
        <v>0.70629921676318574</v>
      </c>
      <c r="BS339" s="25">
        <v>52.637518855788727</v>
      </c>
      <c r="BT339" s="25">
        <v>80.740004726114122</v>
      </c>
      <c r="BU339" s="25">
        <v>44.628471949967299</v>
      </c>
      <c r="BV339" s="25">
        <v>85.244565335409163</v>
      </c>
      <c r="BW339" s="25">
        <v>72.093307984844316</v>
      </c>
      <c r="BX339" s="25">
        <v>65.81264021681983</v>
      </c>
      <c r="BY339" s="25">
        <v>72.629200033716643</v>
      </c>
      <c r="BZ339">
        <v>55</v>
      </c>
      <c r="CA339">
        <v>0</v>
      </c>
      <c r="CB339">
        <v>7</v>
      </c>
      <c r="CC339">
        <v>24558.097679999999</v>
      </c>
      <c r="CD339" s="10">
        <v>9619.447349</v>
      </c>
      <c r="CE339" s="255">
        <v>0.3917016486514765</v>
      </c>
      <c r="CF339" t="str">
        <f>IFERROR(VLOOKUP(CE339,'Rangos amb etnico'!$A$2:$C$6,3,9),"N.D.")</f>
        <v>31% - 50%</v>
      </c>
      <c r="CG339" s="256">
        <v>2.7986598547858629E-4</v>
      </c>
      <c r="CH339" s="232">
        <v>0</v>
      </c>
      <c r="CI339" s="311">
        <f t="shared" si="157"/>
        <v>0</v>
      </c>
      <c r="CJ339" s="232">
        <f>IFERROR(VLOOKUP(CI339,'Rangos amb etnico'!$A$2:$C$6,3,9),"N.D.")</f>
        <v>0</v>
      </c>
      <c r="CK339" s="311">
        <f t="shared" si="158"/>
        <v>0</v>
      </c>
      <c r="CL339" s="10">
        <v>0</v>
      </c>
      <c r="CM339" s="255">
        <f t="shared" si="159"/>
        <v>0</v>
      </c>
      <c r="CN339" s="232">
        <f>IFERROR(VLOOKUP(CM339,'Rangos amb etnico'!$A$2:$C$6,3,9),"N.D.")</f>
        <v>0</v>
      </c>
      <c r="CO339" s="311">
        <f t="shared" si="160"/>
        <v>0</v>
      </c>
      <c r="CP339">
        <v>0.97836849467778186</v>
      </c>
      <c r="CQ339" t="s">
        <v>2864</v>
      </c>
      <c r="CR339">
        <f t="shared" si="151"/>
        <v>2</v>
      </c>
      <c r="CS339" t="str">
        <f t="shared" si="161"/>
        <v>No es Candidato</v>
      </c>
      <c r="CT339">
        <v>0</v>
      </c>
      <c r="CU339">
        <v>0</v>
      </c>
      <c r="CV339" s="25">
        <v>50.676990509033203</v>
      </c>
      <c r="CW339" s="25">
        <v>29.877128601074219</v>
      </c>
      <c r="CX339" s="25">
        <v>60.040470123291023</v>
      </c>
      <c r="CY339" s="25">
        <v>71.606246948242188</v>
      </c>
      <c r="CZ339" s="25">
        <v>38.830905914306641</v>
      </c>
      <c r="DA339" s="25">
        <v>58.547008514404297</v>
      </c>
      <c r="DB339" s="25">
        <v>45.160182952880859</v>
      </c>
      <c r="DC339">
        <v>104</v>
      </c>
      <c r="DD339" s="253" t="s">
        <v>380</v>
      </c>
    </row>
    <row r="340" spans="1:108" hidden="1">
      <c r="A340" s="13">
        <v>47288</v>
      </c>
      <c r="B340" s="13" t="s">
        <v>1137</v>
      </c>
      <c r="C340" s="13" t="s">
        <v>638</v>
      </c>
      <c r="D340" s="13" t="s">
        <v>639</v>
      </c>
      <c r="E340" s="13" t="s">
        <v>1138</v>
      </c>
      <c r="F340" s="14">
        <v>63.101233333333298</v>
      </c>
      <c r="G340" s="13">
        <v>57.53</v>
      </c>
      <c r="H340" s="13">
        <v>59.21</v>
      </c>
      <c r="I340" s="13">
        <v>66.599999999999994</v>
      </c>
      <c r="J340" s="14">
        <v>59.976181320312108</v>
      </c>
      <c r="K340" s="14">
        <v>56.862856340184351</v>
      </c>
      <c r="L340" s="14">
        <v>54.302477282439604</v>
      </c>
      <c r="M340" s="14">
        <v>54.433399999999999</v>
      </c>
      <c r="N340" s="14">
        <f t="shared" si="135"/>
        <v>61.610308333333322</v>
      </c>
      <c r="O340" s="14">
        <f t="shared" si="136"/>
        <v>56.393728735734015</v>
      </c>
      <c r="P340" s="14">
        <f t="shared" si="152"/>
        <v>59.002018534533669</v>
      </c>
      <c r="Q340" s="14">
        <v>49.597114328186471</v>
      </c>
      <c r="R340" s="17">
        <f t="shared" si="137"/>
        <v>50.402885671813529</v>
      </c>
      <c r="S340" s="14">
        <f t="shared" si="153"/>
        <v>0.55362597104632172</v>
      </c>
      <c r="T340" s="13">
        <v>0</v>
      </c>
      <c r="U340" s="13">
        <f t="shared" si="154"/>
        <v>32.665049804874272</v>
      </c>
      <c r="V340" s="13">
        <f>IF($T340=1,$AU340,(VLOOKUP(U340,'Cortes naturales'!$A$35:$C$39,3,9)))</f>
        <v>3</v>
      </c>
      <c r="W340" s="13">
        <v>3</v>
      </c>
      <c r="X340" s="14" t="b">
        <f t="shared" si="138"/>
        <v>1</v>
      </c>
      <c r="Y340" s="17">
        <f>IF($T340=1,$AU340,VLOOKUP(U340,'Cortes naturales'!$A$45:$C$49,3,9))</f>
        <v>3</v>
      </c>
      <c r="Z340" s="14">
        <v>59.283491263537485</v>
      </c>
      <c r="AA340" s="14">
        <v>0.56244355739616791</v>
      </c>
      <c r="AB340" s="14">
        <v>33.343617721128666</v>
      </c>
      <c r="AC340" s="13">
        <v>3</v>
      </c>
      <c r="AD340" s="13">
        <f t="shared" si="139"/>
        <v>0</v>
      </c>
      <c r="AE340" s="14">
        <f t="shared" si="140"/>
        <v>-0.28147272900381637</v>
      </c>
      <c r="AF340" s="14">
        <f t="shared" si="141"/>
        <v>-8.8175863498461959E-3</v>
      </c>
      <c r="AG340" s="13">
        <f t="shared" si="142"/>
        <v>-0.67856791625439428</v>
      </c>
      <c r="AH340" s="13">
        <f>IF($T340=1,$AU340,VLOOKUP(U340,'Cortes naturales'!$A$25:$C$29,3,9))</f>
        <v>3</v>
      </c>
      <c r="AI340" s="13" t="b">
        <f t="shared" si="143"/>
        <v>1</v>
      </c>
      <c r="AJ340" s="13">
        <f t="shared" si="144"/>
        <v>0</v>
      </c>
      <c r="AK340" s="28">
        <v>0.81759069605862034</v>
      </c>
      <c r="AL340" s="28">
        <v>48.469630886940749</v>
      </c>
      <c r="AM340" s="28">
        <v>0.43567797874688929</v>
      </c>
      <c r="AN340" s="13">
        <v>3</v>
      </c>
      <c r="AO340" s="33">
        <f t="shared" si="145"/>
        <v>0</v>
      </c>
      <c r="AP340" s="13">
        <f t="shared" si="155"/>
        <v>43.567797874688928</v>
      </c>
      <c r="AQ340" s="13">
        <f>IFERROR(VLOOKUP(U340,'Cortes naturales'!$E$15:$G$19,3,9),U340)</f>
        <v>4</v>
      </c>
      <c r="AR340" s="28">
        <f t="shared" si="146"/>
        <v>-0.26396472501229862</v>
      </c>
      <c r="AS340" s="13" t="b">
        <f t="shared" si="147"/>
        <v>0</v>
      </c>
      <c r="AT340" s="13">
        <f t="shared" si="156"/>
        <v>0</v>
      </c>
      <c r="AU340" s="13">
        <v>2</v>
      </c>
      <c r="AV340">
        <f t="shared" si="148"/>
        <v>-1</v>
      </c>
      <c r="AW340" s="13">
        <v>0</v>
      </c>
      <c r="AX340" s="13">
        <v>0</v>
      </c>
      <c r="AY340" s="13">
        <v>0</v>
      </c>
      <c r="AZ340" s="13">
        <v>1</v>
      </c>
      <c r="BA340">
        <v>1</v>
      </c>
      <c r="BB340" t="s">
        <v>2839</v>
      </c>
      <c r="BC340">
        <v>6</v>
      </c>
      <c r="BD340" t="s">
        <v>2919</v>
      </c>
      <c r="BE340">
        <v>0</v>
      </c>
      <c r="BF340" s="232" t="s">
        <v>2846</v>
      </c>
      <c r="BG340" s="232" t="s">
        <v>2845</v>
      </c>
      <c r="BH340" s="253">
        <v>43.9</v>
      </c>
      <c r="BI340" s="253">
        <v>25.233731370915486</v>
      </c>
      <c r="BJ340" s="25">
        <v>1.6599381745289996</v>
      </c>
      <c r="BK340" t="s">
        <v>381</v>
      </c>
      <c r="BL340">
        <v>2.0395662405823809</v>
      </c>
      <c r="BM340" t="s">
        <v>383</v>
      </c>
      <c r="BN340" s="322">
        <v>121744.27791600001</v>
      </c>
      <c r="BO340" s="322">
        <v>12660.920995</v>
      </c>
      <c r="BP340" s="10">
        <v>75360</v>
      </c>
      <c r="BQ340" s="254">
        <f t="shared" si="149"/>
        <v>1.6155026262738854</v>
      </c>
      <c r="BR340" s="254">
        <f t="shared" si="150"/>
        <v>0.16800585184447983</v>
      </c>
      <c r="BS340" s="25">
        <v>63.099891395229889</v>
      </c>
      <c r="BT340" s="25">
        <v>95.245967623762382</v>
      </c>
      <c r="BU340" s="25">
        <v>64.4301179941003</v>
      </c>
      <c r="BV340" s="25">
        <v>85.579942880790043</v>
      </c>
      <c r="BW340" s="25">
        <v>47.051504241528953</v>
      </c>
      <c r="BX340" s="25">
        <v>77.088979973470657</v>
      </c>
      <c r="BY340" s="25">
        <v>49.906417292990419</v>
      </c>
      <c r="BZ340">
        <v>42</v>
      </c>
      <c r="CA340">
        <v>0</v>
      </c>
      <c r="CB340">
        <v>6</v>
      </c>
      <c r="CC340">
        <v>97056.788379000005</v>
      </c>
      <c r="CD340" s="10">
        <v>76675.745280999996</v>
      </c>
      <c r="CE340" s="255">
        <v>0.79000909221915061</v>
      </c>
      <c r="CF340" t="str">
        <f>IFERROR(VLOOKUP(CE340,'Rangos amb etnico'!$A$2:$C$6,3,9),"N.D.")</f>
        <v>71% - 100%</v>
      </c>
      <c r="CG340" s="256">
        <v>2.2307864721150443E-3</v>
      </c>
      <c r="CH340" s="232">
        <v>39171.608910000003</v>
      </c>
      <c r="CI340" s="311">
        <f t="shared" si="157"/>
        <v>0.40359473627993536</v>
      </c>
      <c r="CJ340" s="232" t="str">
        <f>IFERROR(VLOOKUP(CI340,'Rangos amb etnico'!$A$2:$C$6,3,9),"N.D.")</f>
        <v>31% - 50%</v>
      </c>
      <c r="CK340" s="311">
        <f t="shared" si="158"/>
        <v>1.5553693381037694E-3</v>
      </c>
      <c r="CL340" s="10">
        <v>0</v>
      </c>
      <c r="CM340" s="255">
        <f t="shared" si="159"/>
        <v>0</v>
      </c>
      <c r="CN340" s="232">
        <f>IFERROR(VLOOKUP(CM340,'Rangos amb etnico'!$A$2:$C$6,3,9),"N.D.")</f>
        <v>0</v>
      </c>
      <c r="CO340" s="311">
        <f t="shared" si="160"/>
        <v>0</v>
      </c>
      <c r="CP340">
        <v>0.94053248074827811</v>
      </c>
      <c r="CQ340" t="s">
        <v>2864</v>
      </c>
      <c r="CR340">
        <f t="shared" si="151"/>
        <v>2</v>
      </c>
      <c r="CS340" t="str">
        <f t="shared" si="161"/>
        <v>No es Candidato</v>
      </c>
      <c r="CT340">
        <v>0</v>
      </c>
      <c r="CU340">
        <v>0</v>
      </c>
      <c r="CV340" s="25">
        <v>44.330680847167969</v>
      </c>
      <c r="CW340" s="25">
        <v>37.518653869628913</v>
      </c>
      <c r="CX340" s="25">
        <v>49.899410247802727</v>
      </c>
      <c r="CY340" s="25">
        <v>67.873626708984375</v>
      </c>
      <c r="CZ340" s="25">
        <v>23.181577682495121</v>
      </c>
      <c r="DA340" s="25">
        <v>33.279579162597663</v>
      </c>
      <c r="DB340" s="25">
        <v>54.231235504150391</v>
      </c>
      <c r="DC340">
        <v>8756</v>
      </c>
      <c r="DD340" s="253" t="s">
        <v>380</v>
      </c>
    </row>
    <row r="341" spans="1:108" hidden="1">
      <c r="A341" s="13">
        <v>25178</v>
      </c>
      <c r="B341" s="13" t="s">
        <v>1139</v>
      </c>
      <c r="C341" s="13" t="s">
        <v>461</v>
      </c>
      <c r="D341" s="13" t="s">
        <v>462</v>
      </c>
      <c r="E341" s="13" t="s">
        <v>1140</v>
      </c>
      <c r="F341" s="14">
        <v>79.084766666666695</v>
      </c>
      <c r="G341" s="13">
        <v>97.18</v>
      </c>
      <c r="H341" s="13">
        <v>86.73</v>
      </c>
      <c r="I341" s="13">
        <v>45.27</v>
      </c>
      <c r="J341" s="14">
        <v>77.13940704162107</v>
      </c>
      <c r="K341" s="14">
        <v>79.372124193900703</v>
      </c>
      <c r="L341" s="14">
        <v>79.425877887916869</v>
      </c>
      <c r="M341" s="14">
        <v>58.454500000000003</v>
      </c>
      <c r="N341" s="14">
        <f t="shared" si="135"/>
        <v>77.066191666666668</v>
      </c>
      <c r="O341" s="14">
        <f t="shared" si="136"/>
        <v>73.597977280859666</v>
      </c>
      <c r="P341" s="14">
        <f t="shared" si="152"/>
        <v>75.33208447376316</v>
      </c>
      <c r="Q341" s="14">
        <v>50.566871525987409</v>
      </c>
      <c r="R341" s="17">
        <f t="shared" si="137"/>
        <v>49.433128474012591</v>
      </c>
      <c r="S341" s="14">
        <f t="shared" si="153"/>
        <v>0.54489815626611326</v>
      </c>
      <c r="T341" s="13">
        <v>0</v>
      </c>
      <c r="U341" s="13">
        <f t="shared" si="154"/>
        <v>41.048313937436646</v>
      </c>
      <c r="V341" s="13">
        <f>IF($T341=1,$AU341,(VLOOKUP(U341,'Cortes naturales'!$A$35:$C$39,3,9)))</f>
        <v>2</v>
      </c>
      <c r="W341" s="13">
        <v>2</v>
      </c>
      <c r="X341" s="14" t="b">
        <f t="shared" si="138"/>
        <v>1</v>
      </c>
      <c r="Y341" s="17">
        <f>IF($T341=1,$AU341,VLOOKUP(U341,'Cortes naturales'!$A$45:$C$49,3,9))</f>
        <v>2</v>
      </c>
      <c r="Z341" s="14">
        <v>80.428583234121405</v>
      </c>
      <c r="AA341" s="14">
        <v>0.56094902930280355</v>
      </c>
      <c r="AB341" s="14">
        <v>45.116335693380144</v>
      </c>
      <c r="AC341" s="13">
        <v>2</v>
      </c>
      <c r="AD341" s="13">
        <f t="shared" si="139"/>
        <v>0</v>
      </c>
      <c r="AE341" s="14">
        <f t="shared" si="140"/>
        <v>-5.0964987603582443</v>
      </c>
      <c r="AF341" s="14">
        <f t="shared" si="141"/>
        <v>-1.6050873036690283E-2</v>
      </c>
      <c r="AG341" s="13">
        <f t="shared" si="142"/>
        <v>-4.0680217559434979</v>
      </c>
      <c r="AH341" s="13">
        <f>IF($T341=1,$AU341,VLOOKUP(U341,'Cortes naturales'!$A$25:$C$29,3,9))</f>
        <v>2</v>
      </c>
      <c r="AI341" s="13" t="b">
        <f t="shared" si="143"/>
        <v>1</v>
      </c>
      <c r="AJ341" s="13">
        <f t="shared" si="144"/>
        <v>0</v>
      </c>
      <c r="AK341" s="28">
        <v>0.81759069605862034</v>
      </c>
      <c r="AL341" s="28">
        <v>65.757661349393999</v>
      </c>
      <c r="AM341" s="28">
        <v>0.65193301653036062</v>
      </c>
      <c r="AN341" s="13">
        <v>1</v>
      </c>
      <c r="AO341" s="33">
        <f t="shared" si="145"/>
        <v>-1</v>
      </c>
      <c r="AP341" s="13">
        <f t="shared" si="155"/>
        <v>65.193301653036059</v>
      </c>
      <c r="AQ341" s="13">
        <f>IFERROR(VLOOKUP(U341,'Cortes naturales'!$E$15:$G$19,3,9),U341)</f>
        <v>3</v>
      </c>
      <c r="AR341" s="28">
        <f t="shared" si="146"/>
        <v>-0.27269253979250707</v>
      </c>
      <c r="AS341" s="13" t="b">
        <f t="shared" si="147"/>
        <v>0</v>
      </c>
      <c r="AT341" s="13" t="str">
        <f t="shared" si="156"/>
        <v>Cambio en corte</v>
      </c>
      <c r="AU341" s="13">
        <v>2</v>
      </c>
      <c r="AV341">
        <f t="shared" si="148"/>
        <v>0</v>
      </c>
      <c r="AW341" s="13">
        <v>0</v>
      </c>
      <c r="AX341" s="13">
        <v>0</v>
      </c>
      <c r="AY341" s="13">
        <v>0</v>
      </c>
      <c r="AZ341" s="13">
        <v>0</v>
      </c>
      <c r="BA341">
        <v>0</v>
      </c>
      <c r="BB341" t="s">
        <v>2839</v>
      </c>
      <c r="BC341">
        <v>6</v>
      </c>
      <c r="BD341" t="s">
        <v>2919</v>
      </c>
      <c r="BE341">
        <v>0</v>
      </c>
      <c r="BF341" s="232" t="s">
        <v>2846</v>
      </c>
      <c r="BG341" s="232" t="s">
        <v>2846</v>
      </c>
      <c r="BH341" s="253">
        <v>31.1</v>
      </c>
      <c r="BI341" s="253">
        <v>9.5199443413729128</v>
      </c>
      <c r="BJ341" s="25">
        <v>7.5864694894146947</v>
      </c>
      <c r="BK341" t="s">
        <v>377</v>
      </c>
      <c r="BL341">
        <v>1.54572712938344</v>
      </c>
      <c r="BM341" t="s">
        <v>383</v>
      </c>
      <c r="BN341" s="322">
        <v>22376.269500999999</v>
      </c>
      <c r="BO341" s="322">
        <v>4130.7419849999997</v>
      </c>
      <c r="BP341" s="10">
        <v>10150</v>
      </c>
      <c r="BQ341" s="254">
        <f t="shared" si="149"/>
        <v>2.2045585715270937</v>
      </c>
      <c r="BR341" s="254">
        <f t="shared" si="150"/>
        <v>0.40696965369458127</v>
      </c>
      <c r="BS341" s="25">
        <v>54.612946122515247</v>
      </c>
      <c r="BT341" s="25">
        <v>91.566502463054192</v>
      </c>
      <c r="BU341" s="25">
        <v>51.774634513941201</v>
      </c>
      <c r="BV341" s="25">
        <v>89.413490308648718</v>
      </c>
      <c r="BW341" s="25">
        <v>50.728539484981027</v>
      </c>
      <c r="BX341" s="25">
        <v>71.841893352039847</v>
      </c>
      <c r="BY341" s="25">
        <v>51.614732247397008</v>
      </c>
      <c r="BZ341">
        <v>40</v>
      </c>
      <c r="CA341">
        <v>0</v>
      </c>
      <c r="CB341">
        <v>7</v>
      </c>
      <c r="CC341">
        <v>15036.015829</v>
      </c>
      <c r="CD341" s="10">
        <v>5061.2684090000002</v>
      </c>
      <c r="CE341" s="255">
        <v>0.33660967549916515</v>
      </c>
      <c r="CF341" t="str">
        <f>IFERROR(VLOOKUP(CE341,'Rangos amb etnico'!$A$2:$C$6,3,9),"N.D.")</f>
        <v>31% - 50%</v>
      </c>
      <c r="CG341" s="256">
        <v>1.4725137730533687E-4</v>
      </c>
      <c r="CH341" s="232">
        <v>0</v>
      </c>
      <c r="CI341" s="311">
        <f t="shared" si="157"/>
        <v>0</v>
      </c>
      <c r="CJ341" s="232">
        <f>IFERROR(VLOOKUP(CI341,'Rangos amb etnico'!$A$2:$C$6,3,9),"N.D.")</f>
        <v>0</v>
      </c>
      <c r="CK341" s="311">
        <f t="shared" si="158"/>
        <v>0</v>
      </c>
      <c r="CL341" s="10">
        <v>0</v>
      </c>
      <c r="CM341" s="255">
        <f t="shared" si="159"/>
        <v>0</v>
      </c>
      <c r="CN341" s="232">
        <f>IFERROR(VLOOKUP(CM341,'Rangos amb etnico'!$A$2:$C$6,3,9),"N.D.")</f>
        <v>0</v>
      </c>
      <c r="CO341" s="311">
        <f t="shared" si="160"/>
        <v>0</v>
      </c>
      <c r="CP341">
        <v>0.93739039432047933</v>
      </c>
      <c r="CQ341" t="s">
        <v>2864</v>
      </c>
      <c r="CR341">
        <f t="shared" si="151"/>
        <v>1</v>
      </c>
      <c r="CS341" t="str">
        <f t="shared" si="161"/>
        <v>No es Candidato</v>
      </c>
      <c r="CT341">
        <v>0</v>
      </c>
      <c r="CU341">
        <v>0</v>
      </c>
      <c r="CV341" s="25">
        <v>52.701557159423828</v>
      </c>
      <c r="CW341" s="25">
        <v>38.099311828613281</v>
      </c>
      <c r="CX341" s="25">
        <v>47.997295379638672</v>
      </c>
      <c r="CY341" s="25">
        <v>64.96551513671875</v>
      </c>
      <c r="CZ341" s="25">
        <v>68.854255676269531</v>
      </c>
      <c r="DA341" s="25">
        <v>42.025871276855469</v>
      </c>
      <c r="DB341" s="25">
        <v>54.267101287841797</v>
      </c>
      <c r="DC341">
        <v>77</v>
      </c>
      <c r="DD341" s="253" t="s">
        <v>380</v>
      </c>
    </row>
    <row r="342" spans="1:108" hidden="1">
      <c r="A342" s="13">
        <v>76828</v>
      </c>
      <c r="B342" s="13" t="s">
        <v>1141</v>
      </c>
      <c r="C342" s="13" t="s">
        <v>454</v>
      </c>
      <c r="D342" s="13" t="s">
        <v>455</v>
      </c>
      <c r="E342" s="13" t="s">
        <v>1142</v>
      </c>
      <c r="F342" s="14">
        <v>64.520366666666703</v>
      </c>
      <c r="G342" s="13">
        <v>53.82</v>
      </c>
      <c r="H342" s="13">
        <v>57.38</v>
      </c>
      <c r="I342" s="13">
        <v>52.72</v>
      </c>
      <c r="J342" s="14">
        <v>54.059804333792016</v>
      </c>
      <c r="K342" s="14">
        <v>56.880441478725743</v>
      </c>
      <c r="L342" s="14">
        <v>63.979454242545913</v>
      </c>
      <c r="M342" s="14">
        <v>59.994700000000002</v>
      </c>
      <c r="N342" s="14">
        <f t="shared" si="135"/>
        <v>57.110091666666676</v>
      </c>
      <c r="O342" s="14">
        <f t="shared" si="136"/>
        <v>58.72860001376592</v>
      </c>
      <c r="P342" s="14">
        <f t="shared" si="152"/>
        <v>57.919345840216295</v>
      </c>
      <c r="Q342" s="14">
        <v>49.839714605966073</v>
      </c>
      <c r="R342" s="17">
        <f t="shared" si="137"/>
        <v>50.160285394033927</v>
      </c>
      <c r="S342" s="14">
        <f t="shared" si="153"/>
        <v>0.55144256854630536</v>
      </c>
      <c r="T342" s="13">
        <v>0</v>
      </c>
      <c r="U342" s="13">
        <f t="shared" si="154"/>
        <v>31.939192838650641</v>
      </c>
      <c r="V342" s="13">
        <f>IF($T342=1,$AU342,(VLOOKUP(U342,'Cortes naturales'!$A$35:$C$39,3,9)))</f>
        <v>3</v>
      </c>
      <c r="W342" s="13">
        <v>3</v>
      </c>
      <c r="X342" s="14" t="b">
        <f t="shared" si="138"/>
        <v>1</v>
      </c>
      <c r="Y342" s="17">
        <f>IF($T342=1,$AU342,VLOOKUP(U342,'Cortes naturales'!$A$45:$C$49,3,9))</f>
        <v>3</v>
      </c>
      <c r="Z342" s="14">
        <v>58.225456088847473</v>
      </c>
      <c r="AA342" s="14">
        <v>0.56247474038468559</v>
      </c>
      <c r="AB342" s="14">
        <v>32.750348297354392</v>
      </c>
      <c r="AC342" s="13">
        <v>3</v>
      </c>
      <c r="AD342" s="13">
        <f t="shared" si="139"/>
        <v>0</v>
      </c>
      <c r="AE342" s="14">
        <f t="shared" si="140"/>
        <v>-0.30611024863117819</v>
      </c>
      <c r="AF342" s="14">
        <f t="shared" si="141"/>
        <v>-1.1032171838380234E-2</v>
      </c>
      <c r="AG342" s="13">
        <f t="shared" si="142"/>
        <v>-0.81115545870375172</v>
      </c>
      <c r="AH342" s="13">
        <f>IF($T342=1,$AU342,VLOOKUP(U342,'Cortes naturales'!$A$25:$C$29,3,9))</f>
        <v>3</v>
      </c>
      <c r="AI342" s="13" t="b">
        <f t="shared" si="143"/>
        <v>1</v>
      </c>
      <c r="AJ342" s="13">
        <f t="shared" si="144"/>
        <v>0</v>
      </c>
      <c r="AK342" s="28">
        <v>0.81759069605862034</v>
      </c>
      <c r="AL342" s="28">
        <v>47.604591172011439</v>
      </c>
      <c r="AM342" s="28">
        <v>0.42485724375093215</v>
      </c>
      <c r="AN342" s="13">
        <v>3</v>
      </c>
      <c r="AO342" s="33">
        <f t="shared" si="145"/>
        <v>0</v>
      </c>
      <c r="AP342" s="13">
        <f t="shared" si="155"/>
        <v>42.485724375093213</v>
      </c>
      <c r="AQ342" s="13">
        <f>IFERROR(VLOOKUP(U342,'Cortes naturales'!$E$15:$G$19,3,9),U342)</f>
        <v>4</v>
      </c>
      <c r="AR342" s="28">
        <f t="shared" si="146"/>
        <v>-0.26614812751231498</v>
      </c>
      <c r="AS342" s="13" t="b">
        <f t="shared" si="147"/>
        <v>0</v>
      </c>
      <c r="AT342" s="13">
        <f t="shared" si="156"/>
        <v>0</v>
      </c>
      <c r="AU342" s="13">
        <v>2</v>
      </c>
      <c r="AV342">
        <f t="shared" si="148"/>
        <v>-1</v>
      </c>
      <c r="AW342" s="13">
        <v>0</v>
      </c>
      <c r="AX342" s="13">
        <v>0</v>
      </c>
      <c r="AY342" s="13">
        <v>0</v>
      </c>
      <c r="AZ342" s="13">
        <v>0</v>
      </c>
      <c r="BA342">
        <v>0</v>
      </c>
      <c r="BB342" t="s">
        <v>2839</v>
      </c>
      <c r="BC342">
        <v>6</v>
      </c>
      <c r="BD342" t="s">
        <v>2919</v>
      </c>
      <c r="BE342">
        <v>0</v>
      </c>
      <c r="BF342" s="232" t="s">
        <v>2846</v>
      </c>
      <c r="BG342" s="232" t="s">
        <v>2846</v>
      </c>
      <c r="BH342" s="253">
        <v>34.9</v>
      </c>
      <c r="BI342" s="253">
        <v>14.952541151027274</v>
      </c>
      <c r="BJ342" s="25">
        <v>17.09743764584449</v>
      </c>
      <c r="BK342" t="s">
        <v>379</v>
      </c>
      <c r="BL342">
        <v>8.4125683156815594</v>
      </c>
      <c r="BM342" t="s">
        <v>379</v>
      </c>
      <c r="BN342" s="322">
        <v>40199.371187999997</v>
      </c>
      <c r="BO342" s="322">
        <v>4100.3268470000003</v>
      </c>
      <c r="BP342" s="10">
        <v>19948</v>
      </c>
      <c r="BQ342" s="254">
        <f t="shared" si="149"/>
        <v>2.0152081004611988</v>
      </c>
      <c r="BR342" s="254">
        <f t="shared" si="150"/>
        <v>0.20555077436334471</v>
      </c>
      <c r="BS342" s="25">
        <v>54.757929434400033</v>
      </c>
      <c r="BT342" s="25">
        <v>91.522827974734312</v>
      </c>
      <c r="BU342" s="25">
        <v>49.813349031920438</v>
      </c>
      <c r="BV342" s="25">
        <v>79.852227753529107</v>
      </c>
      <c r="BW342" s="25">
        <v>53.223874121587087</v>
      </c>
      <c r="BX342" s="25">
        <v>68.986583548645967</v>
      </c>
      <c r="BY342" s="25">
        <v>53.636261838544527</v>
      </c>
      <c r="BZ342">
        <v>66</v>
      </c>
      <c r="CA342">
        <v>0</v>
      </c>
      <c r="CB342">
        <v>7</v>
      </c>
      <c r="CC342">
        <v>30774.167593999999</v>
      </c>
      <c r="CD342" s="10">
        <v>12491.328344</v>
      </c>
      <c r="CE342" s="255">
        <v>0.40590304533323651</v>
      </c>
      <c r="CF342" t="str">
        <f>IFERROR(VLOOKUP(CE342,'Rangos amb etnico'!$A$2:$C$6,3,9),"N.D.")</f>
        <v>31% - 50%</v>
      </c>
      <c r="CG342" s="256">
        <v>3.6341982965305977E-4</v>
      </c>
      <c r="CH342" s="232">
        <v>200.409909</v>
      </c>
      <c r="CI342" s="311">
        <f t="shared" si="157"/>
        <v>6.5122771684350501E-3</v>
      </c>
      <c r="CJ342" s="232" t="str">
        <f>IFERROR(VLOOKUP(CI342,'Rangos amb etnico'!$A$2:$C$6,3,9),"N.D.")</f>
        <v>0,1% - 30%</v>
      </c>
      <c r="CK342" s="311">
        <f t="shared" si="158"/>
        <v>7.9575855111529711E-6</v>
      </c>
      <c r="CL342" s="10">
        <v>0</v>
      </c>
      <c r="CM342" s="255">
        <f t="shared" si="159"/>
        <v>0</v>
      </c>
      <c r="CN342" s="232">
        <f>IFERROR(VLOOKUP(CM342,'Rangos amb etnico'!$A$2:$C$6,3,9),"N.D.")</f>
        <v>0</v>
      </c>
      <c r="CO342" s="311">
        <f t="shared" si="160"/>
        <v>0</v>
      </c>
      <c r="CP342">
        <v>0.96352721023333743</v>
      </c>
      <c r="CQ342" t="s">
        <v>2864</v>
      </c>
      <c r="CR342">
        <f t="shared" si="151"/>
        <v>1</v>
      </c>
      <c r="CS342" t="str">
        <f t="shared" si="161"/>
        <v>No es Candidato</v>
      </c>
      <c r="CT342">
        <v>0</v>
      </c>
      <c r="CU342">
        <v>0</v>
      </c>
      <c r="CV342" s="25">
        <v>45.147609710693359</v>
      </c>
      <c r="CW342" s="25">
        <v>29.68171501159668</v>
      </c>
      <c r="CX342" s="25">
        <v>57.044742584228523</v>
      </c>
      <c r="CY342" s="25">
        <v>44.307670593261719</v>
      </c>
      <c r="CZ342" s="25">
        <v>43.39947509765625</v>
      </c>
      <c r="DA342" s="25">
        <v>46.844879150390618</v>
      </c>
      <c r="DB342" s="25">
        <v>49.607177734375</v>
      </c>
      <c r="DC342">
        <v>1071</v>
      </c>
      <c r="DD342" s="253" t="s">
        <v>380</v>
      </c>
    </row>
    <row r="343" spans="1:108" hidden="1">
      <c r="A343" s="13">
        <v>25224</v>
      </c>
      <c r="B343" s="13" t="s">
        <v>1143</v>
      </c>
      <c r="C343" s="13" t="s">
        <v>461</v>
      </c>
      <c r="D343" s="13" t="s">
        <v>462</v>
      </c>
      <c r="E343" s="13" t="s">
        <v>1144</v>
      </c>
      <c r="F343" s="14">
        <v>61.4726</v>
      </c>
      <c r="G343" s="13">
        <v>86.57</v>
      </c>
      <c r="H343" s="13">
        <v>85.11</v>
      </c>
      <c r="I343" s="13">
        <v>88.05</v>
      </c>
      <c r="J343" s="14">
        <v>53.993204340878535</v>
      </c>
      <c r="K343" s="14">
        <v>60.059580986764338</v>
      </c>
      <c r="L343" s="14">
        <v>65.774932410954577</v>
      </c>
      <c r="M343" s="14">
        <v>65.321899999999999</v>
      </c>
      <c r="N343" s="14">
        <f t="shared" si="135"/>
        <v>80.300650000000005</v>
      </c>
      <c r="O343" s="14">
        <f t="shared" si="136"/>
        <v>61.287404434649368</v>
      </c>
      <c r="P343" s="14">
        <f t="shared" si="152"/>
        <v>70.794027217324683</v>
      </c>
      <c r="Q343" s="14">
        <v>50.754222309313626</v>
      </c>
      <c r="R343" s="17">
        <f t="shared" si="137"/>
        <v>49.245777690686374</v>
      </c>
      <c r="S343" s="14">
        <f t="shared" si="153"/>
        <v>0.54321199921617735</v>
      </c>
      <c r="T343" s="13">
        <v>0</v>
      </c>
      <c r="U343" s="13">
        <f t="shared" si="154"/>
        <v>38.456165057287414</v>
      </c>
      <c r="V343" s="13">
        <f>IF($T343=1,$AU343,(VLOOKUP(U343,'Cortes naturales'!$A$35:$C$39,3,9)))</f>
        <v>2</v>
      </c>
      <c r="W343" s="13">
        <v>2</v>
      </c>
      <c r="X343" s="14" t="b">
        <f t="shared" si="138"/>
        <v>1</v>
      </c>
      <c r="Y343" s="17">
        <f>IF($T343=1,$AU343,VLOOKUP(U343,'Cortes naturales'!$A$45:$C$49,3,9))</f>
        <v>2</v>
      </c>
      <c r="Z343" s="14">
        <v>65.736584908077049</v>
      </c>
      <c r="AA343" s="14">
        <v>0.5593118028465377</v>
      </c>
      <c r="AB343" s="14">
        <v>36.767247817911077</v>
      </c>
      <c r="AC343" s="13">
        <v>2</v>
      </c>
      <c r="AD343" s="13">
        <f t="shared" si="139"/>
        <v>0</v>
      </c>
      <c r="AE343" s="14">
        <f t="shared" si="140"/>
        <v>5.0574423092476337</v>
      </c>
      <c r="AF343" s="14">
        <f t="shared" si="141"/>
        <v>-1.6099803630360343E-2</v>
      </c>
      <c r="AG343" s="13">
        <f t="shared" si="142"/>
        <v>1.6889172393763374</v>
      </c>
      <c r="AH343" s="13">
        <f>IF($T343=1,$AU343,VLOOKUP(U343,'Cortes naturales'!$A$25:$C$29,3,9))</f>
        <v>2</v>
      </c>
      <c r="AI343" s="13" t="b">
        <f t="shared" si="143"/>
        <v>1</v>
      </c>
      <c r="AJ343" s="13">
        <f t="shared" si="144"/>
        <v>0</v>
      </c>
      <c r="AK343" s="28">
        <v>0.81759069605862034</v>
      </c>
      <c r="AL343" s="28">
        <v>53.745620211511309</v>
      </c>
      <c r="AM343" s="28">
        <v>0.50167504378030492</v>
      </c>
      <c r="AN343" s="13">
        <v>2</v>
      </c>
      <c r="AO343" s="33">
        <f t="shared" si="145"/>
        <v>0</v>
      </c>
      <c r="AP343" s="13">
        <f t="shared" si="155"/>
        <v>50.167504378030493</v>
      </c>
      <c r="AQ343" s="13">
        <f>IFERROR(VLOOKUP(U343,'Cortes naturales'!$E$15:$G$19,3,9),U343)</f>
        <v>3</v>
      </c>
      <c r="AR343" s="28">
        <f t="shared" si="146"/>
        <v>-0.27437869684244298</v>
      </c>
      <c r="AS343" s="13" t="b">
        <f t="shared" si="147"/>
        <v>0</v>
      </c>
      <c r="AT343" s="13">
        <f t="shared" si="156"/>
        <v>0</v>
      </c>
      <c r="AU343" s="13">
        <v>3</v>
      </c>
      <c r="AV343">
        <f t="shared" si="148"/>
        <v>1</v>
      </c>
      <c r="AW343" s="13">
        <v>0</v>
      </c>
      <c r="AX343" s="13">
        <v>0</v>
      </c>
      <c r="AY343" s="13">
        <v>0</v>
      </c>
      <c r="AZ343" s="13">
        <v>0</v>
      </c>
      <c r="BA343">
        <v>0</v>
      </c>
      <c r="BB343" t="s">
        <v>2840</v>
      </c>
      <c r="BC343">
        <v>6</v>
      </c>
      <c r="BD343" t="s">
        <v>2919</v>
      </c>
      <c r="BE343">
        <v>0</v>
      </c>
      <c r="BF343" s="232" t="s">
        <v>2846</v>
      </c>
      <c r="BG343" s="232" t="s">
        <v>2845</v>
      </c>
      <c r="BH343" s="253">
        <v>25</v>
      </c>
      <c r="BI343" s="253">
        <v>11.496715224221651</v>
      </c>
      <c r="BJ343" s="25">
        <v>10.505660501829002</v>
      </c>
      <c r="BK343" t="s">
        <v>377</v>
      </c>
      <c r="BL343">
        <v>0</v>
      </c>
      <c r="BM343" t="s">
        <v>377</v>
      </c>
      <c r="BN343" s="322">
        <v>17380.453581999998</v>
      </c>
      <c r="BO343" s="322">
        <v>4608.5213759999997</v>
      </c>
      <c r="BP343" s="10">
        <v>8234</v>
      </c>
      <c r="BQ343" s="254">
        <f t="shared" si="149"/>
        <v>2.1108153487976682</v>
      </c>
      <c r="BR343" s="254">
        <f t="shared" si="150"/>
        <v>0.55969411901870292</v>
      </c>
      <c r="BS343" s="25">
        <v>49.560736897677472</v>
      </c>
      <c r="BT343" s="25">
        <v>87.93417522548782</v>
      </c>
      <c r="BU343" s="25">
        <v>59.812602453667431</v>
      </c>
      <c r="BV343" s="25">
        <v>90.574924029537058</v>
      </c>
      <c r="BW343" s="25">
        <v>64.086968190067481</v>
      </c>
      <c r="BX343" s="25">
        <v>71.97060965159244</v>
      </c>
      <c r="BY343" s="25">
        <v>65.394297474308061</v>
      </c>
      <c r="BZ343">
        <v>36</v>
      </c>
      <c r="CA343">
        <v>0</v>
      </c>
      <c r="CB343">
        <v>7</v>
      </c>
      <c r="CC343">
        <v>10968.183814</v>
      </c>
      <c r="CD343" s="10">
        <v>3793.7012869999999</v>
      </c>
      <c r="CE343" s="255">
        <v>0.3458823585868106</v>
      </c>
      <c r="CF343" t="str">
        <f>IFERROR(VLOOKUP(CE343,'Rangos amb etnico'!$A$2:$C$6,3,9),"N.D.")</f>
        <v>31% - 50%</v>
      </c>
      <c r="CG343" s="256">
        <v>1.1037307142265393E-4</v>
      </c>
      <c r="CH343" s="232">
        <v>0</v>
      </c>
      <c r="CI343" s="311">
        <f t="shared" si="157"/>
        <v>0</v>
      </c>
      <c r="CJ343" s="232">
        <f>IFERROR(VLOOKUP(CI343,'Rangos amb etnico'!$A$2:$C$6,3,9),"N.D.")</f>
        <v>0</v>
      </c>
      <c r="CK343" s="311">
        <f t="shared" si="158"/>
        <v>0</v>
      </c>
      <c r="CL343" s="10">
        <v>0</v>
      </c>
      <c r="CM343" s="255">
        <f t="shared" si="159"/>
        <v>0</v>
      </c>
      <c r="CN343" s="232">
        <f>IFERROR(VLOOKUP(CM343,'Rangos amb etnico'!$A$2:$C$6,3,9),"N.D.")</f>
        <v>0</v>
      </c>
      <c r="CO343" s="311">
        <f t="shared" si="160"/>
        <v>0</v>
      </c>
      <c r="CP343">
        <v>0.98553391928008038</v>
      </c>
      <c r="CQ343" t="s">
        <v>2864</v>
      </c>
      <c r="CR343">
        <f t="shared" si="151"/>
        <v>4</v>
      </c>
      <c r="CS343" t="str">
        <f t="shared" si="161"/>
        <v>Candidato</v>
      </c>
      <c r="CT343">
        <v>0</v>
      </c>
      <c r="CU343">
        <v>0</v>
      </c>
      <c r="CV343" s="25">
        <v>51.338550567626953</v>
      </c>
      <c r="CW343" s="25">
        <v>26.856904983520511</v>
      </c>
      <c r="CX343" s="25">
        <v>48.003582000732422</v>
      </c>
      <c r="CY343" s="25">
        <v>67.873054504394531</v>
      </c>
      <c r="CZ343" s="25">
        <v>59.467235565185547</v>
      </c>
      <c r="DA343" s="25">
        <v>41.142913818359382</v>
      </c>
      <c r="DB343" s="25">
        <v>64.687606811523438</v>
      </c>
      <c r="DC343">
        <v>113</v>
      </c>
      <c r="DD343" s="253" t="s">
        <v>380</v>
      </c>
    </row>
    <row r="344" spans="1:108" hidden="1">
      <c r="A344" s="13">
        <v>20060</v>
      </c>
      <c r="B344" s="13" t="s">
        <v>1145</v>
      </c>
      <c r="C344" s="13" t="s">
        <v>893</v>
      </c>
      <c r="D344" s="13" t="s">
        <v>894</v>
      </c>
      <c r="E344" s="13" t="s">
        <v>1146</v>
      </c>
      <c r="F344" s="14">
        <v>66.872966666666699</v>
      </c>
      <c r="G344" s="14">
        <v>0</v>
      </c>
      <c r="H344" s="13">
        <v>44.52</v>
      </c>
      <c r="I344" s="13">
        <v>53.36</v>
      </c>
      <c r="J344" s="14">
        <v>58.168098411375652</v>
      </c>
      <c r="K344" s="14">
        <v>56.58904919256765</v>
      </c>
      <c r="L344" s="14">
        <v>54.064488150520987</v>
      </c>
      <c r="M344" s="14">
        <v>39.703499999999998</v>
      </c>
      <c r="N344" s="14">
        <f t="shared" si="135"/>
        <v>41.18824166666667</v>
      </c>
      <c r="O344" s="14">
        <f t="shared" si="136"/>
        <v>52.131283938616072</v>
      </c>
      <c r="P344" s="14">
        <f t="shared" si="152"/>
        <v>46.659762802641367</v>
      </c>
      <c r="Q344" s="14">
        <v>49.573556391021263</v>
      </c>
      <c r="R344" s="17">
        <f t="shared" si="137"/>
        <v>50.426443608978737</v>
      </c>
      <c r="S344" s="14">
        <f t="shared" si="153"/>
        <v>0.55383799248080856</v>
      </c>
      <c r="T344" s="13">
        <v>0</v>
      </c>
      <c r="U344" s="13">
        <f t="shared" si="154"/>
        <v>25.8419493602456</v>
      </c>
      <c r="V344" s="13">
        <f>IF($T344=1,$AU344,(VLOOKUP(U344,'Cortes naturales'!$A$35:$C$39,3,9)))</f>
        <v>4</v>
      </c>
      <c r="W344" s="13">
        <v>4</v>
      </c>
      <c r="X344" s="14" t="b">
        <f t="shared" si="138"/>
        <v>1</v>
      </c>
      <c r="Y344" s="17">
        <f>IF($T344=1,$AU344,VLOOKUP(U344,'Cortes naturales'!$A$45:$C$49,3,9))</f>
        <v>4</v>
      </c>
      <c r="Z344" s="14">
        <v>57.375466303052917</v>
      </c>
      <c r="AA344" s="14">
        <v>0.56154624328548808</v>
      </c>
      <c r="AB344" s="14">
        <v>32.218977559232478</v>
      </c>
      <c r="AC344" s="13">
        <v>3</v>
      </c>
      <c r="AD344" s="13">
        <f t="shared" si="139"/>
        <v>-1</v>
      </c>
      <c r="AE344" s="14">
        <f t="shared" si="140"/>
        <v>-10.71570350041155</v>
      </c>
      <c r="AF344" s="14">
        <f t="shared" si="141"/>
        <v>-7.7082508046795173E-3</v>
      </c>
      <c r="AG344" s="13">
        <f t="shared" si="142"/>
        <v>-6.3770281989868778</v>
      </c>
      <c r="AH344" s="13">
        <f>IF($T344=1,$AU344,VLOOKUP(U344,'Cortes naturales'!$A$25:$C$29,3,9))</f>
        <v>4</v>
      </c>
      <c r="AI344" s="13" t="b">
        <f t="shared" si="143"/>
        <v>1</v>
      </c>
      <c r="AJ344" s="13" t="str">
        <f t="shared" si="144"/>
        <v>Efecto ponderador</v>
      </c>
      <c r="AK344" s="28">
        <v>0.81759069605862034</v>
      </c>
      <c r="AL344" s="28">
        <v>46.909647431400948</v>
      </c>
      <c r="AM344" s="28">
        <v>0.41616423009564607</v>
      </c>
      <c r="AN344" s="13">
        <v>3</v>
      </c>
      <c r="AO344" s="33">
        <f t="shared" si="145"/>
        <v>-1</v>
      </c>
      <c r="AP344" s="13">
        <f t="shared" si="155"/>
        <v>41.616423009564606</v>
      </c>
      <c r="AQ344" s="13">
        <f>IFERROR(VLOOKUP(U344,'Cortes naturales'!$E$15:$G$19,3,9),U344)</f>
        <v>4</v>
      </c>
      <c r="AR344" s="28">
        <f t="shared" si="146"/>
        <v>-0.26375270357781178</v>
      </c>
      <c r="AS344" s="13" t="b">
        <f t="shared" si="147"/>
        <v>1</v>
      </c>
      <c r="AT344" s="13" t="str">
        <f t="shared" si="156"/>
        <v>Efecto ponderador</v>
      </c>
      <c r="AU344" s="13">
        <v>3</v>
      </c>
      <c r="AV344">
        <f t="shared" si="148"/>
        <v>-1</v>
      </c>
      <c r="AW344" s="13">
        <v>0</v>
      </c>
      <c r="AX344" s="13">
        <v>0</v>
      </c>
      <c r="AY344" s="13">
        <v>0</v>
      </c>
      <c r="AZ344" s="13">
        <v>0</v>
      </c>
      <c r="BA344">
        <v>1</v>
      </c>
      <c r="BB344" t="s">
        <v>2839</v>
      </c>
      <c r="BC344">
        <v>6</v>
      </c>
      <c r="BD344" t="s">
        <v>2919</v>
      </c>
      <c r="BE344">
        <v>0</v>
      </c>
      <c r="BF344" s="232" t="s">
        <v>2846</v>
      </c>
      <c r="BG344" s="232" t="s">
        <v>2845</v>
      </c>
      <c r="BH344" s="253">
        <v>43.8</v>
      </c>
      <c r="BI344" s="253">
        <v>31.771513907037519</v>
      </c>
      <c r="BJ344" s="25">
        <v>76.340681196928159</v>
      </c>
      <c r="BK344" t="s">
        <v>376</v>
      </c>
      <c r="BL344">
        <v>6.2449033145256019</v>
      </c>
      <c r="BM344" t="s">
        <v>379</v>
      </c>
      <c r="BN344" s="322">
        <v>56932.960045</v>
      </c>
      <c r="BO344" s="322">
        <v>11149.691128</v>
      </c>
      <c r="BP344" s="10">
        <v>47690</v>
      </c>
      <c r="BQ344" s="254">
        <f t="shared" si="149"/>
        <v>1.1938133790102747</v>
      </c>
      <c r="BR344" s="254">
        <f t="shared" si="150"/>
        <v>0.23379515890123717</v>
      </c>
      <c r="BS344" s="25">
        <v>59.859552053756687</v>
      </c>
      <c r="BT344" s="25">
        <v>98.091375455463037</v>
      </c>
      <c r="BU344" s="25">
        <v>43.895477510782513</v>
      </c>
      <c r="BV344" s="25">
        <v>85.323191414666994</v>
      </c>
      <c r="BW344" s="25">
        <v>49.988921543146773</v>
      </c>
      <c r="BX344" s="25">
        <v>71.792399108667311</v>
      </c>
      <c r="BY344" s="25">
        <v>51.197090144857739</v>
      </c>
      <c r="BZ344">
        <v>47</v>
      </c>
      <c r="CA344">
        <v>0</v>
      </c>
      <c r="CB344">
        <v>6</v>
      </c>
      <c r="CC344">
        <v>58579.767424999998</v>
      </c>
      <c r="CD344" s="10">
        <v>6331.0297769999997</v>
      </c>
      <c r="CE344" s="255">
        <v>0.10807536552796411</v>
      </c>
      <c r="CF344" t="str">
        <f>IFERROR(VLOOKUP(CE344,'Rangos amb etnico'!$A$2:$C$6,3,9),"N.D.")</f>
        <v>0,1% - 30%</v>
      </c>
      <c r="CG344" s="256">
        <v>1.8419352207573264E-4</v>
      </c>
      <c r="CH344" s="232">
        <v>696.80455199999994</v>
      </c>
      <c r="CI344" s="311">
        <f t="shared" si="157"/>
        <v>1.1894969588128234E-2</v>
      </c>
      <c r="CJ344" s="232" t="str">
        <f>IFERROR(VLOOKUP(CI344,'Rangos amb etnico'!$A$2:$C$6,3,9),"N.D.")</f>
        <v>0,1% - 30%</v>
      </c>
      <c r="CK344" s="311">
        <f t="shared" si="158"/>
        <v>2.7667702833499297E-5</v>
      </c>
      <c r="CL344" s="10">
        <v>0</v>
      </c>
      <c r="CM344" s="255">
        <f t="shared" si="159"/>
        <v>0</v>
      </c>
      <c r="CN344" s="232">
        <f>IFERROR(VLOOKUP(CM344,'Rangos amb etnico'!$A$2:$C$6,3,9),"N.D.")</f>
        <v>0</v>
      </c>
      <c r="CO344" s="311">
        <f t="shared" si="160"/>
        <v>0</v>
      </c>
      <c r="CP344">
        <v>0.87625714770614482</v>
      </c>
      <c r="CQ344" t="s">
        <v>2864</v>
      </c>
      <c r="CR344">
        <f t="shared" si="151"/>
        <v>1</v>
      </c>
      <c r="CS344" t="str">
        <f t="shared" si="161"/>
        <v>No es Candidato</v>
      </c>
      <c r="CT344">
        <v>0</v>
      </c>
      <c r="CU344">
        <v>0</v>
      </c>
      <c r="CV344" s="25">
        <v>39.496158599853523</v>
      </c>
      <c r="CW344" s="25">
        <v>36.432632446289063</v>
      </c>
      <c r="CX344" s="25">
        <v>42.414745330810547</v>
      </c>
      <c r="CY344" s="25">
        <v>53.946292877197273</v>
      </c>
      <c r="CZ344" s="25">
        <v>17.676557540893551</v>
      </c>
      <c r="DA344" s="25">
        <v>26.827409744262699</v>
      </c>
      <c r="DB344" s="25">
        <v>59.6793212890625</v>
      </c>
      <c r="DC344">
        <v>1761</v>
      </c>
      <c r="DD344" s="253" t="s">
        <v>380</v>
      </c>
    </row>
    <row r="345" spans="1:108">
      <c r="A345" s="13">
        <v>5659</v>
      </c>
      <c r="B345" s="13" t="s">
        <v>1147</v>
      </c>
      <c r="C345" s="13" t="s">
        <v>435</v>
      </c>
      <c r="D345" s="13" t="s">
        <v>436</v>
      </c>
      <c r="E345" s="13" t="s">
        <v>1148</v>
      </c>
      <c r="F345" s="14">
        <v>36.544333333333299</v>
      </c>
      <c r="G345" s="13">
        <v>35.53</v>
      </c>
      <c r="H345" s="13">
        <v>39.33</v>
      </c>
      <c r="I345" s="13">
        <v>36.4</v>
      </c>
      <c r="J345" s="14">
        <v>54.898987597569857</v>
      </c>
      <c r="K345" s="14">
        <v>55.3594527002641</v>
      </c>
      <c r="L345" s="14">
        <v>58.949394922004558</v>
      </c>
      <c r="M345" s="14">
        <v>60.6907</v>
      </c>
      <c r="N345" s="14">
        <f t="shared" si="135"/>
        <v>36.951083333333322</v>
      </c>
      <c r="O345" s="14">
        <f t="shared" si="136"/>
        <v>57.474633804959623</v>
      </c>
      <c r="P345" s="14">
        <f t="shared" si="152"/>
        <v>47.212858569146476</v>
      </c>
      <c r="Q345" s="14">
        <v>50.824917807122283</v>
      </c>
      <c r="R345" s="17">
        <f t="shared" si="137"/>
        <v>49.175082192877717</v>
      </c>
      <c r="S345" s="14">
        <f t="shared" si="153"/>
        <v>0.54257573973589945</v>
      </c>
      <c r="T345" s="13">
        <v>0</v>
      </c>
      <c r="U345" s="13">
        <f t="shared" si="154"/>
        <v>25.616551663201047</v>
      </c>
      <c r="V345" s="13">
        <f>IF($T345=1,$AU345,(VLOOKUP(U345,'Cortes naturales'!$A$35:$C$39,3,9)))</f>
        <v>4</v>
      </c>
      <c r="W345" s="13">
        <v>4</v>
      </c>
      <c r="X345" s="14" t="b">
        <f t="shared" si="138"/>
        <v>1</v>
      </c>
      <c r="Y345" s="17">
        <f>IF($T345=1,$AU345,VLOOKUP(U345,'Cortes naturales'!$A$45:$C$49,3,9))</f>
        <v>4</v>
      </c>
      <c r="Z345" s="14">
        <v>44.649743407981177</v>
      </c>
      <c r="AA345" s="14">
        <v>0.56123500893444078</v>
      </c>
      <c r="AB345" s="14">
        <v>25.058999140498806</v>
      </c>
      <c r="AC345" s="13">
        <v>4</v>
      </c>
      <c r="AD345" s="13">
        <f t="shared" si="139"/>
        <v>0</v>
      </c>
      <c r="AE345" s="14">
        <f t="shared" si="140"/>
        <v>2.5631151611652996</v>
      </c>
      <c r="AF345" s="14">
        <f t="shared" si="141"/>
        <v>-1.8659269198541328E-2</v>
      </c>
      <c r="AG345" s="13">
        <f t="shared" si="142"/>
        <v>0.55755252270224176</v>
      </c>
      <c r="AH345" s="13">
        <f>IF($T345=1,$AU345,VLOOKUP(U345,'Cortes naturales'!$A$25:$C$29,3,9))</f>
        <v>4</v>
      </c>
      <c r="AI345" s="13" t="b">
        <f t="shared" si="143"/>
        <v>1</v>
      </c>
      <c r="AJ345" s="13">
        <f t="shared" si="144"/>
        <v>0</v>
      </c>
      <c r="AK345" s="28">
        <v>0.81759069605862034</v>
      </c>
      <c r="AL345" s="28">
        <v>36.505214791770122</v>
      </c>
      <c r="AM345" s="28">
        <v>0.28601574507963456</v>
      </c>
      <c r="AN345" s="13">
        <v>4</v>
      </c>
      <c r="AO345" s="33">
        <f t="shared" si="145"/>
        <v>0</v>
      </c>
      <c r="AP345" s="13">
        <f t="shared" si="155"/>
        <v>28.601574507963456</v>
      </c>
      <c r="AQ345" s="13">
        <f>IFERROR(VLOOKUP(U345,'Cortes naturales'!$E$15:$G$19,3,9),U345)</f>
        <v>4</v>
      </c>
      <c r="AR345" s="28">
        <f t="shared" si="146"/>
        <v>-0.27501495632272088</v>
      </c>
      <c r="AS345" s="13" t="b">
        <f t="shared" si="147"/>
        <v>1</v>
      </c>
      <c r="AT345" s="13">
        <f t="shared" si="156"/>
        <v>0</v>
      </c>
      <c r="AU345" s="13">
        <v>3</v>
      </c>
      <c r="AV345">
        <f t="shared" si="148"/>
        <v>-1</v>
      </c>
      <c r="AW345" s="13">
        <v>0</v>
      </c>
      <c r="AX345" s="13">
        <v>0</v>
      </c>
      <c r="AY345" s="13">
        <v>0</v>
      </c>
      <c r="AZ345" s="13">
        <v>0</v>
      </c>
      <c r="BA345">
        <v>0</v>
      </c>
      <c r="BB345" t="s">
        <v>2839</v>
      </c>
      <c r="BC345">
        <v>6</v>
      </c>
      <c r="BD345" t="s">
        <v>2919</v>
      </c>
      <c r="BE345">
        <v>1</v>
      </c>
      <c r="BF345" s="232" t="s">
        <v>2846</v>
      </c>
      <c r="BG345" s="232" t="s">
        <v>2846</v>
      </c>
      <c r="BH345" s="253">
        <v>61.1</v>
      </c>
      <c r="BI345" s="253">
        <v>59.823929571828728</v>
      </c>
      <c r="BJ345" s="25">
        <v>3.1866666666666665</v>
      </c>
      <c r="BK345" t="s">
        <v>381</v>
      </c>
      <c r="BL345">
        <v>1.6544507819564604</v>
      </c>
      <c r="BM345" t="s">
        <v>383</v>
      </c>
      <c r="BN345" s="322">
        <v>63765.760777000003</v>
      </c>
      <c r="BO345" s="322">
        <v>6117.4061590000001</v>
      </c>
      <c r="BP345" s="10">
        <v>20025</v>
      </c>
      <c r="BQ345" s="254">
        <f t="shared" si="149"/>
        <v>3.1843076542821476</v>
      </c>
      <c r="BR345" s="254">
        <f t="shared" si="150"/>
        <v>0.30548844739076153</v>
      </c>
      <c r="BS345" s="25">
        <v>56.233087336832192</v>
      </c>
      <c r="BT345" s="25">
        <v>98.787878787878796</v>
      </c>
      <c r="BU345" s="25">
        <v>34.096666666666671</v>
      </c>
      <c r="BV345" s="25">
        <v>97.472206693573995</v>
      </c>
      <c r="BW345" s="25">
        <v>60.674449497921898</v>
      </c>
      <c r="BX345" s="25">
        <v>71.647459871237913</v>
      </c>
      <c r="BY345" s="25">
        <v>59.564667692401727</v>
      </c>
      <c r="BZ345">
        <v>35</v>
      </c>
      <c r="CA345">
        <v>0</v>
      </c>
      <c r="CB345">
        <v>7</v>
      </c>
      <c r="CC345">
        <v>25202.597946999998</v>
      </c>
      <c r="CD345" s="10">
        <v>9499.3272859999997</v>
      </c>
      <c r="CE345" s="255">
        <v>0.376918574266696</v>
      </c>
      <c r="CF345" t="str">
        <f>IFERROR(VLOOKUP(CE345,'Rangos amb etnico'!$A$2:$C$6,3,9),"N.D.")</f>
        <v>31% - 50%</v>
      </c>
      <c r="CG345" s="256">
        <v>2.763712400334917E-4</v>
      </c>
      <c r="CH345" s="232">
        <v>24.830739000000001</v>
      </c>
      <c r="CI345" s="311">
        <f t="shared" si="157"/>
        <v>9.8524521369654033E-4</v>
      </c>
      <c r="CJ345" s="232">
        <f>IFERROR(VLOOKUP(CI345,'Rangos amb etnico'!$A$2:$C$6,3,9),"N.D.")</f>
        <v>0</v>
      </c>
      <c r="CK345" s="311">
        <f t="shared" si="158"/>
        <v>9.8594291012637008E-7</v>
      </c>
      <c r="CL345" s="10">
        <v>0</v>
      </c>
      <c r="CM345" s="255">
        <f t="shared" si="159"/>
        <v>0</v>
      </c>
      <c r="CN345" s="232">
        <f>IFERROR(VLOOKUP(CM345,'Rangos amb etnico'!$A$2:$C$6,3,9),"N.D.")</f>
        <v>0</v>
      </c>
      <c r="CO345" s="311">
        <f t="shared" si="160"/>
        <v>0</v>
      </c>
      <c r="CP345">
        <v>0.89164493610225781</v>
      </c>
      <c r="CQ345" t="s">
        <v>2864</v>
      </c>
      <c r="CR345">
        <f t="shared" si="151"/>
        <v>2</v>
      </c>
      <c r="CS345" t="str">
        <f t="shared" si="161"/>
        <v>No es Candidato</v>
      </c>
      <c r="CT345">
        <v>0</v>
      </c>
      <c r="CU345">
        <v>0</v>
      </c>
      <c r="CV345" s="25">
        <v>51.574821472167969</v>
      </c>
      <c r="CW345" s="25">
        <v>29.353872299194339</v>
      </c>
      <c r="CX345" s="25">
        <v>56.408561706542969</v>
      </c>
      <c r="CY345" s="25">
        <v>47.706516265869141</v>
      </c>
      <c r="CZ345" s="25">
        <v>26.930147171020511</v>
      </c>
      <c r="DA345" s="25">
        <v>93.1533203125</v>
      </c>
      <c r="DB345" s="25">
        <v>55.896511077880859</v>
      </c>
      <c r="DC345">
        <v>10676</v>
      </c>
      <c r="DD345" s="253" t="s">
        <v>380</v>
      </c>
    </row>
    <row r="346" spans="1:108">
      <c r="A346" s="13">
        <v>5197</v>
      </c>
      <c r="B346" s="13" t="s">
        <v>1149</v>
      </c>
      <c r="C346" s="13" t="s">
        <v>435</v>
      </c>
      <c r="D346" s="13" t="s">
        <v>436</v>
      </c>
      <c r="E346" s="13" t="s">
        <v>1150</v>
      </c>
      <c r="F346" s="14">
        <v>55.940966666666696</v>
      </c>
      <c r="G346" s="13">
        <v>32.24</v>
      </c>
      <c r="H346" s="13">
        <v>56.29</v>
      </c>
      <c r="I346" s="13">
        <v>68.599999999999994</v>
      </c>
      <c r="J346" s="14">
        <v>55.847238603011668</v>
      </c>
      <c r="K346" s="14">
        <v>52.483672495629605</v>
      </c>
      <c r="L346" s="14">
        <v>54.032578548372328</v>
      </c>
      <c r="M346" s="14">
        <v>53.831899999999997</v>
      </c>
      <c r="N346" s="14">
        <f t="shared" si="135"/>
        <v>53.267741666666673</v>
      </c>
      <c r="O346" s="14">
        <f t="shared" si="136"/>
        <v>54.0488474117534</v>
      </c>
      <c r="P346" s="14">
        <f t="shared" si="152"/>
        <v>53.658294539210033</v>
      </c>
      <c r="Q346" s="14">
        <v>50.280784056417424</v>
      </c>
      <c r="R346" s="17">
        <f t="shared" si="137"/>
        <v>49.719215943582576</v>
      </c>
      <c r="S346" s="14">
        <f t="shared" si="153"/>
        <v>0.54747294349224318</v>
      </c>
      <c r="T346" s="13">
        <v>0</v>
      </c>
      <c r="U346" s="13">
        <f t="shared" si="154"/>
        <v>29.376464454155077</v>
      </c>
      <c r="V346" s="13">
        <f>IF($T346=1,$AU346,(VLOOKUP(U346,'Cortes naturales'!$A$35:$C$39,3,9)))</f>
        <v>4</v>
      </c>
      <c r="W346" s="13">
        <v>4</v>
      </c>
      <c r="X346" s="14" t="b">
        <f t="shared" si="138"/>
        <v>1</v>
      </c>
      <c r="Y346" s="17">
        <f>IF($T346=1,$AU346,VLOOKUP(U346,'Cortes naturales'!$A$45:$C$49,3,9))</f>
        <v>3</v>
      </c>
      <c r="Z346" s="14">
        <v>51.520323534143316</v>
      </c>
      <c r="AA346" s="14">
        <v>0.56572825753247002</v>
      </c>
      <c r="AB346" s="14">
        <v>29.146502860480005</v>
      </c>
      <c r="AC346" s="13">
        <v>3</v>
      </c>
      <c r="AD346" s="13">
        <f t="shared" si="139"/>
        <v>0</v>
      </c>
      <c r="AE346" s="14">
        <f t="shared" si="140"/>
        <v>2.1379710050667171</v>
      </c>
      <c r="AF346" s="14">
        <f t="shared" si="141"/>
        <v>-1.8255314040226844E-2</v>
      </c>
      <c r="AG346" s="13">
        <f t="shared" si="142"/>
        <v>0.22996159367507119</v>
      </c>
      <c r="AH346" s="13">
        <f>IF($T346=1,$AU346,VLOOKUP(U346,'Cortes naturales'!$A$25:$C$29,3,9))</f>
        <v>3</v>
      </c>
      <c r="AI346" s="13" t="b">
        <f t="shared" si="143"/>
        <v>1</v>
      </c>
      <c r="AJ346" s="13">
        <f t="shared" si="144"/>
        <v>0</v>
      </c>
      <c r="AK346" s="28">
        <v>0.81759069605862034</v>
      </c>
      <c r="AL346" s="28">
        <v>42.122537179445551</v>
      </c>
      <c r="AM346" s="28">
        <v>0.3562825269335293</v>
      </c>
      <c r="AN346" s="13">
        <v>3</v>
      </c>
      <c r="AO346" s="33">
        <f t="shared" si="145"/>
        <v>0</v>
      </c>
      <c r="AP346" s="13">
        <f t="shared" si="155"/>
        <v>35.628252693352927</v>
      </c>
      <c r="AQ346" s="13">
        <f>IFERROR(VLOOKUP(U346,'Cortes naturales'!$E$15:$G$19,3,9),U346)</f>
        <v>4</v>
      </c>
      <c r="AR346" s="28">
        <f t="shared" si="146"/>
        <v>-0.27011775256637716</v>
      </c>
      <c r="AS346" s="13" t="b">
        <f t="shared" si="147"/>
        <v>0</v>
      </c>
      <c r="AT346" s="13">
        <f t="shared" si="156"/>
        <v>0</v>
      </c>
      <c r="AU346" s="13">
        <v>3</v>
      </c>
      <c r="AV346">
        <f t="shared" si="148"/>
        <v>0</v>
      </c>
      <c r="AW346" s="13">
        <v>0</v>
      </c>
      <c r="AX346" s="13">
        <v>0</v>
      </c>
      <c r="AY346" s="13">
        <v>0</v>
      </c>
      <c r="AZ346" s="13">
        <v>0</v>
      </c>
      <c r="BA346">
        <v>1</v>
      </c>
      <c r="BB346" t="s">
        <v>2839</v>
      </c>
      <c r="BC346">
        <v>6</v>
      </c>
      <c r="BD346" t="s">
        <v>2919</v>
      </c>
      <c r="BE346">
        <v>1</v>
      </c>
      <c r="BF346" s="232" t="s">
        <v>2846</v>
      </c>
      <c r="BG346" s="232" t="s">
        <v>2845</v>
      </c>
      <c r="BH346" s="253">
        <v>42.9</v>
      </c>
      <c r="BI346" s="253">
        <v>14.310004760933143</v>
      </c>
      <c r="BJ346" s="25">
        <v>28.340914041056241</v>
      </c>
      <c r="BK346" t="s">
        <v>379</v>
      </c>
      <c r="BL346">
        <v>2.9566020355292966</v>
      </c>
      <c r="BM346" t="s">
        <v>383</v>
      </c>
      <c r="BN346" s="322">
        <v>45704.595093999997</v>
      </c>
      <c r="BO346" s="322">
        <v>4519.4578940000001</v>
      </c>
      <c r="BP346" s="10">
        <v>16062</v>
      </c>
      <c r="BQ346" s="254">
        <f t="shared" si="149"/>
        <v>2.8455108388743615</v>
      </c>
      <c r="BR346" s="254">
        <f t="shared" si="150"/>
        <v>0.28137578719960155</v>
      </c>
      <c r="BS346" s="25">
        <v>75.506120899787177</v>
      </c>
      <c r="BT346" s="25">
        <v>95.22848232308138</v>
      </c>
      <c r="BU346" s="25">
        <v>58.768333333333338</v>
      </c>
      <c r="BV346" s="25">
        <v>87.052791122723946</v>
      </c>
      <c r="BW346" s="25">
        <v>48.419773776796497</v>
      </c>
      <c r="BX346" s="25">
        <v>79.138931919731462</v>
      </c>
      <c r="BY346" s="25">
        <v>49.829584763670297</v>
      </c>
      <c r="BZ346">
        <v>84</v>
      </c>
      <c r="CA346">
        <v>0</v>
      </c>
      <c r="CB346">
        <v>7</v>
      </c>
      <c r="CC346">
        <v>25780.940665999999</v>
      </c>
      <c r="CD346" s="10">
        <v>4904.4591369999998</v>
      </c>
      <c r="CE346" s="255">
        <v>0.1902358490537166</v>
      </c>
      <c r="CF346" t="str">
        <f>IFERROR(VLOOKUP(CE346,'Rangos amb etnico'!$A$2:$C$6,3,9),"N.D.")</f>
        <v>0,1% - 30%</v>
      </c>
      <c r="CG346" s="256">
        <v>1.426892044643969E-4</v>
      </c>
      <c r="CH346" s="232">
        <v>0</v>
      </c>
      <c r="CI346" s="311">
        <f t="shared" si="157"/>
        <v>0</v>
      </c>
      <c r="CJ346" s="232">
        <f>IFERROR(VLOOKUP(CI346,'Rangos amb etnico'!$A$2:$C$6,3,9),"N.D.")</f>
        <v>0</v>
      </c>
      <c r="CK346" s="311">
        <f t="shared" si="158"/>
        <v>0</v>
      </c>
      <c r="CL346" s="10">
        <v>0</v>
      </c>
      <c r="CM346" s="255">
        <f t="shared" si="159"/>
        <v>0</v>
      </c>
      <c r="CN346" s="232">
        <f>IFERROR(VLOOKUP(CM346,'Rangos amb etnico'!$A$2:$C$6,3,9),"N.D.")</f>
        <v>0</v>
      </c>
      <c r="CO346" s="311">
        <f t="shared" si="160"/>
        <v>0</v>
      </c>
      <c r="CP346">
        <v>0.7778519502309631</v>
      </c>
      <c r="CQ346" t="s">
        <v>2865</v>
      </c>
      <c r="CR346">
        <f t="shared" si="151"/>
        <v>2</v>
      </c>
      <c r="CS346" t="str">
        <f t="shared" si="161"/>
        <v>No es Candidato</v>
      </c>
      <c r="CT346">
        <v>0</v>
      </c>
      <c r="CU346">
        <v>0</v>
      </c>
      <c r="CV346" s="25">
        <v>48.503047943115227</v>
      </c>
      <c r="CW346" s="25">
        <v>38.806606292724609</v>
      </c>
      <c r="CX346" s="25">
        <v>51.534652709960938</v>
      </c>
      <c r="CY346" s="25">
        <v>55.896602630615227</v>
      </c>
      <c r="CZ346" s="25">
        <v>39.593959808349609</v>
      </c>
      <c r="DA346" s="25">
        <v>37.991622924804688</v>
      </c>
      <c r="DB346" s="25">
        <v>67.194854736328125</v>
      </c>
      <c r="DC346">
        <v>187</v>
      </c>
      <c r="DD346" s="253" t="s">
        <v>380</v>
      </c>
    </row>
    <row r="347" spans="1:108" hidden="1">
      <c r="A347" s="13">
        <v>52240</v>
      </c>
      <c r="B347" s="13" t="s">
        <v>1151</v>
      </c>
      <c r="C347" s="13" t="s">
        <v>672</v>
      </c>
      <c r="D347" s="13" t="s">
        <v>673</v>
      </c>
      <c r="E347" s="13" t="s">
        <v>1152</v>
      </c>
      <c r="F347" s="14">
        <v>39.230133333333299</v>
      </c>
      <c r="G347" s="13">
        <v>34.409999999999997</v>
      </c>
      <c r="H347" s="13">
        <v>43.52</v>
      </c>
      <c r="I347" s="13">
        <v>48.29</v>
      </c>
      <c r="J347" s="14">
        <v>46.407200495233383</v>
      </c>
      <c r="K347" s="14">
        <v>63.305002215271216</v>
      </c>
      <c r="L347" s="14">
        <v>63.775170868584411</v>
      </c>
      <c r="M347" s="14">
        <v>56.033499999999997</v>
      </c>
      <c r="N347" s="14">
        <f t="shared" si="135"/>
        <v>41.362533333333324</v>
      </c>
      <c r="O347" s="14">
        <f t="shared" si="136"/>
        <v>57.380218394772257</v>
      </c>
      <c r="P347" s="14">
        <f t="shared" si="152"/>
        <v>49.371375864052794</v>
      </c>
      <c r="Q347" s="14">
        <v>49.605878353529469</v>
      </c>
      <c r="R347" s="17">
        <f t="shared" si="137"/>
        <v>50.394121646470531</v>
      </c>
      <c r="S347" s="14">
        <f t="shared" si="153"/>
        <v>0.55354709481823483</v>
      </c>
      <c r="T347" s="13">
        <v>0</v>
      </c>
      <c r="U347" s="13">
        <f t="shared" si="154"/>
        <v>27.329381676725543</v>
      </c>
      <c r="V347" s="13">
        <f>IF($T347=1,$AU347,(VLOOKUP(U347,'Cortes naturales'!$A$35:$C$39,3,9)))</f>
        <v>4</v>
      </c>
      <c r="W347" s="13">
        <v>4</v>
      </c>
      <c r="X347" s="14" t="b">
        <f t="shared" si="138"/>
        <v>1</v>
      </c>
      <c r="Y347" s="17">
        <f>IF($T347=1,$AU347,VLOOKUP(U347,'Cortes naturales'!$A$45:$C$49,3,9))</f>
        <v>4</v>
      </c>
      <c r="Z347" s="14">
        <v>49.726410259196847</v>
      </c>
      <c r="AA347" s="14">
        <v>0.56187221997857406</v>
      </c>
      <c r="AB347" s="14">
        <v>27.939888523900272</v>
      </c>
      <c r="AC347" s="13">
        <v>3</v>
      </c>
      <c r="AD347" s="13">
        <f t="shared" si="139"/>
        <v>-1</v>
      </c>
      <c r="AE347" s="14">
        <f t="shared" si="140"/>
        <v>-0.35503439514405244</v>
      </c>
      <c r="AF347" s="14">
        <f t="shared" si="141"/>
        <v>-8.3251251603392307E-3</v>
      </c>
      <c r="AG347" s="13">
        <f t="shared" si="142"/>
        <v>-0.61050684717472947</v>
      </c>
      <c r="AH347" s="13">
        <f>IF($T347=1,$AU347,VLOOKUP(U347,'Cortes naturales'!$A$25:$C$29,3,9))</f>
        <v>4</v>
      </c>
      <c r="AI347" s="13" t="b">
        <f t="shared" si="143"/>
        <v>1</v>
      </c>
      <c r="AJ347" s="13" t="str">
        <f t="shared" si="144"/>
        <v>Efecto ponderador</v>
      </c>
      <c r="AK347" s="28">
        <v>0.81759069605862034</v>
      </c>
      <c r="AL347" s="28">
        <v>40.655850376313268</v>
      </c>
      <c r="AM347" s="28">
        <v>0.33793582105996262</v>
      </c>
      <c r="AN347" s="13">
        <v>4</v>
      </c>
      <c r="AO347" s="33">
        <f t="shared" si="145"/>
        <v>0</v>
      </c>
      <c r="AP347" s="13">
        <f t="shared" si="155"/>
        <v>33.793582105996265</v>
      </c>
      <c r="AQ347" s="13">
        <f>IFERROR(VLOOKUP(U347,'Cortes naturales'!$E$15:$G$19,3,9),U347)</f>
        <v>4</v>
      </c>
      <c r="AR347" s="28">
        <f t="shared" si="146"/>
        <v>-0.26404360124038551</v>
      </c>
      <c r="AS347" s="13" t="b">
        <f t="shared" si="147"/>
        <v>1</v>
      </c>
      <c r="AT347" s="13">
        <f t="shared" si="156"/>
        <v>0</v>
      </c>
      <c r="AU347" s="13">
        <v>3</v>
      </c>
      <c r="AV347">
        <f t="shared" si="148"/>
        <v>-1</v>
      </c>
      <c r="AW347" s="13">
        <v>0</v>
      </c>
      <c r="AX347" s="13">
        <v>0</v>
      </c>
      <c r="AY347" s="13">
        <v>0</v>
      </c>
      <c r="AZ347" s="13">
        <v>0</v>
      </c>
      <c r="BA347">
        <v>0</v>
      </c>
      <c r="BB347" t="s">
        <v>2839</v>
      </c>
      <c r="BC347">
        <v>6</v>
      </c>
      <c r="BD347" t="s">
        <v>2919</v>
      </c>
      <c r="BE347">
        <v>0</v>
      </c>
      <c r="BF347" s="232" t="s">
        <v>2846</v>
      </c>
      <c r="BG347" s="232" t="s">
        <v>2845</v>
      </c>
      <c r="BH347" s="253">
        <v>32.200000000000003</v>
      </c>
      <c r="BI347" s="253">
        <v>18.046451404062474</v>
      </c>
      <c r="BJ347" s="25">
        <v>40.400479449440745</v>
      </c>
      <c r="BK347" t="s">
        <v>376</v>
      </c>
      <c r="BL347">
        <v>0.6646354126669004</v>
      </c>
      <c r="BM347" t="s">
        <v>383</v>
      </c>
      <c r="BN347" s="322">
        <v>29544.931371999999</v>
      </c>
      <c r="BO347" s="322">
        <v>5835.9226390000003</v>
      </c>
      <c r="BP347" s="10">
        <v>16366</v>
      </c>
      <c r="BQ347" s="254">
        <f t="shared" si="149"/>
        <v>1.8052628236588049</v>
      </c>
      <c r="BR347" s="254">
        <f t="shared" si="150"/>
        <v>0.35658820964194066</v>
      </c>
      <c r="BS347" s="25">
        <v>62.69539769393166</v>
      </c>
      <c r="BT347" s="25">
        <v>72.722286411394904</v>
      </c>
      <c r="BU347" s="25">
        <v>42.463080965973433</v>
      </c>
      <c r="BV347" s="25">
        <v>87.90985447295013</v>
      </c>
      <c r="BW347" s="25">
        <v>56.229847814961254</v>
      </c>
      <c r="BX347" s="25">
        <v>66.447654886062537</v>
      </c>
      <c r="BY347" s="25">
        <v>56.013899027833432</v>
      </c>
      <c r="BZ347">
        <v>80</v>
      </c>
      <c r="CA347">
        <v>0</v>
      </c>
      <c r="CB347">
        <v>7</v>
      </c>
      <c r="CC347">
        <v>14639.866848</v>
      </c>
      <c r="CD347" s="10">
        <v>755.622432</v>
      </c>
      <c r="CE347" s="255">
        <v>5.1614023532135338E-2</v>
      </c>
      <c r="CF347" t="str">
        <f>IFERROR(VLOOKUP(CE347,'Rangos amb etnico'!$A$2:$C$6,3,9),"N.D.")</f>
        <v>0,1% - 30%</v>
      </c>
      <c r="CG347" s="256">
        <v>2.1983904990486792E-5</v>
      </c>
      <c r="CH347" s="232">
        <v>0</v>
      </c>
      <c r="CI347" s="311">
        <f t="shared" si="157"/>
        <v>0</v>
      </c>
      <c r="CJ347" s="232">
        <f>IFERROR(VLOOKUP(CI347,'Rangos amb etnico'!$A$2:$C$6,3,9),"N.D.")</f>
        <v>0</v>
      </c>
      <c r="CK347" s="311">
        <f t="shared" si="158"/>
        <v>0</v>
      </c>
      <c r="CL347" s="10">
        <v>0</v>
      </c>
      <c r="CM347" s="255">
        <f t="shared" si="159"/>
        <v>0</v>
      </c>
      <c r="CN347" s="232">
        <f>IFERROR(VLOOKUP(CM347,'Rangos amb etnico'!$A$2:$C$6,3,9),"N.D.")</f>
        <v>0</v>
      </c>
      <c r="CO347" s="311">
        <f t="shared" si="160"/>
        <v>0</v>
      </c>
      <c r="CP347">
        <v>0.90429614163651251</v>
      </c>
      <c r="CQ347" t="s">
        <v>2864</v>
      </c>
      <c r="CR347">
        <f t="shared" si="151"/>
        <v>1</v>
      </c>
      <c r="CS347" t="str">
        <f t="shared" si="161"/>
        <v>No es Candidato</v>
      </c>
      <c r="CT347">
        <v>0</v>
      </c>
      <c r="CU347">
        <v>0</v>
      </c>
      <c r="CV347" s="25">
        <v>51.526039123535163</v>
      </c>
      <c r="CW347" s="25">
        <v>31.512458801269531</v>
      </c>
      <c r="CX347" s="25">
        <v>48.439491271972663</v>
      </c>
      <c r="CY347" s="25">
        <v>57.030990600585938</v>
      </c>
      <c r="CZ347" s="25">
        <v>55.812503814697273</v>
      </c>
      <c r="DA347" s="25">
        <v>64.892562866210938</v>
      </c>
      <c r="DB347" s="25">
        <v>51.468219757080078</v>
      </c>
      <c r="DC347">
        <v>429</v>
      </c>
      <c r="DD347" s="253" t="s">
        <v>380</v>
      </c>
    </row>
    <row r="348" spans="1:108" hidden="1">
      <c r="A348" s="13">
        <v>68872</v>
      </c>
      <c r="B348" s="13" t="s">
        <v>1153</v>
      </c>
      <c r="C348" s="13" t="s">
        <v>431</v>
      </c>
      <c r="D348" s="13" t="s">
        <v>432</v>
      </c>
      <c r="E348" s="13" t="s">
        <v>720</v>
      </c>
      <c r="F348" s="14">
        <v>67.518533333333295</v>
      </c>
      <c r="G348" s="13">
        <v>57.72</v>
      </c>
      <c r="H348" s="13">
        <v>59.06</v>
      </c>
      <c r="I348" s="13">
        <v>59.79</v>
      </c>
      <c r="J348" s="14">
        <v>53.276336800556571</v>
      </c>
      <c r="K348" s="14">
        <v>62.524683522671168</v>
      </c>
      <c r="L348" s="14">
        <v>57.452440794359688</v>
      </c>
      <c r="M348" s="14">
        <v>61.496699999999997</v>
      </c>
      <c r="N348" s="14">
        <f t="shared" si="135"/>
        <v>61.022133333333322</v>
      </c>
      <c r="O348" s="14">
        <f t="shared" si="136"/>
        <v>58.687540279396856</v>
      </c>
      <c r="P348" s="14">
        <f t="shared" si="152"/>
        <v>59.854836806365086</v>
      </c>
      <c r="Q348" s="14">
        <v>49.502403699311095</v>
      </c>
      <c r="R348" s="17">
        <f t="shared" si="137"/>
        <v>50.497596300688905</v>
      </c>
      <c r="S348" s="14">
        <f t="shared" si="153"/>
        <v>0.55447836670620021</v>
      </c>
      <c r="T348" s="13">
        <v>0</v>
      </c>
      <c r="U348" s="13">
        <f t="shared" si="154"/>
        <v>33.188212151859467</v>
      </c>
      <c r="V348" s="13">
        <f>IF($T348=1,$AU348,(VLOOKUP(U348,'Cortes naturales'!$A$35:$C$39,3,9)))</f>
        <v>3</v>
      </c>
      <c r="W348" s="13">
        <v>3</v>
      </c>
      <c r="X348" s="14" t="b">
        <f t="shared" si="138"/>
        <v>1</v>
      </c>
      <c r="Y348" s="17">
        <f>IF($T348=1,$AU348,VLOOKUP(U348,'Cortes naturales'!$A$45:$C$49,3,9))</f>
        <v>3</v>
      </c>
      <c r="Z348" s="14">
        <v>60.07968975849424</v>
      </c>
      <c r="AA348" s="14">
        <v>0.56345743015386174</v>
      </c>
      <c r="AB348" s="14">
        <v>33.852347595762453</v>
      </c>
      <c r="AC348" s="13">
        <v>3</v>
      </c>
      <c r="AD348" s="13">
        <f t="shared" si="139"/>
        <v>0</v>
      </c>
      <c r="AE348" s="14">
        <f t="shared" si="140"/>
        <v>-0.22485295212915446</v>
      </c>
      <c r="AF348" s="14">
        <f t="shared" si="141"/>
        <v>-8.9790634476615283E-3</v>
      </c>
      <c r="AG348" s="13">
        <f t="shared" si="142"/>
        <v>-0.6641354439029854</v>
      </c>
      <c r="AH348" s="13">
        <f>IF($T348=1,$AU348,VLOOKUP(U348,'Cortes naturales'!$A$25:$C$29,3,9))</f>
        <v>3</v>
      </c>
      <c r="AI348" s="13" t="b">
        <f t="shared" si="143"/>
        <v>1</v>
      </c>
      <c r="AJ348" s="13">
        <f t="shared" si="144"/>
        <v>0</v>
      </c>
      <c r="AK348" s="28">
        <v>0.81759069605862034</v>
      </c>
      <c r="AL348" s="28">
        <v>49.120595368633268</v>
      </c>
      <c r="AM348" s="28">
        <v>0.44382085823162021</v>
      </c>
      <c r="AN348" s="13">
        <v>3</v>
      </c>
      <c r="AO348" s="33">
        <f t="shared" si="145"/>
        <v>0</v>
      </c>
      <c r="AP348" s="13">
        <f t="shared" si="155"/>
        <v>44.382085823162022</v>
      </c>
      <c r="AQ348" s="13">
        <f>IFERROR(VLOOKUP(U348,'Cortes naturales'!$E$15:$G$19,3,9),U348)</f>
        <v>4</v>
      </c>
      <c r="AR348" s="28">
        <f t="shared" si="146"/>
        <v>-0.26311232935242013</v>
      </c>
      <c r="AS348" s="13" t="b">
        <f t="shared" si="147"/>
        <v>0</v>
      </c>
      <c r="AT348" s="13">
        <f t="shared" si="156"/>
        <v>0</v>
      </c>
      <c r="AU348" s="13">
        <v>3</v>
      </c>
      <c r="AV348">
        <f t="shared" si="148"/>
        <v>0</v>
      </c>
      <c r="AW348" s="13">
        <v>0</v>
      </c>
      <c r="AX348" s="13">
        <v>0</v>
      </c>
      <c r="AY348" s="13">
        <v>0</v>
      </c>
      <c r="AZ348" s="13">
        <v>0</v>
      </c>
      <c r="BA348">
        <v>0</v>
      </c>
      <c r="BB348" t="s">
        <v>2839</v>
      </c>
      <c r="BC348">
        <v>6</v>
      </c>
      <c r="BD348" t="s">
        <v>2919</v>
      </c>
      <c r="BE348">
        <v>0</v>
      </c>
      <c r="BF348" s="232" t="s">
        <v>2846</v>
      </c>
      <c r="BG348" s="232" t="s">
        <v>2845</v>
      </c>
      <c r="BH348" s="253">
        <v>27.5</v>
      </c>
      <c r="BI348" s="253">
        <v>9.3085501858736066</v>
      </c>
      <c r="BJ348" s="25">
        <v>46.112939568055239</v>
      </c>
      <c r="BK348" t="s">
        <v>376</v>
      </c>
      <c r="BL348">
        <v>0.97368429185589689</v>
      </c>
      <c r="BM348" t="s">
        <v>383</v>
      </c>
      <c r="BN348" s="322">
        <v>21043.337134000001</v>
      </c>
      <c r="BO348" s="322">
        <v>2104.3441910000001</v>
      </c>
      <c r="BP348" s="10">
        <v>8989</v>
      </c>
      <c r="BQ348" s="254">
        <f t="shared" si="149"/>
        <v>2.341009804650128</v>
      </c>
      <c r="BR348" s="254">
        <f t="shared" si="150"/>
        <v>0.23410214606741575</v>
      </c>
      <c r="BS348" s="25">
        <v>59.013443134132793</v>
      </c>
      <c r="BT348" s="25">
        <v>93.473504653836173</v>
      </c>
      <c r="BU348" s="25">
        <v>61.00333333333333</v>
      </c>
      <c r="BV348" s="25">
        <v>96.158887492876559</v>
      </c>
      <c r="BW348" s="25">
        <v>39.760897919416138</v>
      </c>
      <c r="BX348" s="25">
        <v>77.412292153544712</v>
      </c>
      <c r="BY348" s="25">
        <v>40.238913109908239</v>
      </c>
      <c r="BZ348">
        <v>4</v>
      </c>
      <c r="CA348">
        <v>0</v>
      </c>
      <c r="CB348">
        <v>7</v>
      </c>
      <c r="CC348">
        <v>9742.6999360000009</v>
      </c>
      <c r="CD348" s="10">
        <v>856.69080299999996</v>
      </c>
      <c r="CE348" s="255">
        <v>8.7931559898962272E-2</v>
      </c>
      <c r="CF348" t="str">
        <f>IFERROR(VLOOKUP(CE348,'Rangos amb etnico'!$A$2:$C$6,3,9),"N.D.")</f>
        <v>0,1% - 30%</v>
      </c>
      <c r="CG348" s="256">
        <v>2.492436489680052E-5</v>
      </c>
      <c r="CH348" s="232">
        <v>0</v>
      </c>
      <c r="CI348" s="311">
        <f t="shared" si="157"/>
        <v>0</v>
      </c>
      <c r="CJ348" s="232">
        <f>IFERROR(VLOOKUP(CI348,'Rangos amb etnico'!$A$2:$C$6,3,9),"N.D.")</f>
        <v>0</v>
      </c>
      <c r="CK348" s="311">
        <f t="shared" si="158"/>
        <v>0</v>
      </c>
      <c r="CL348" s="10">
        <v>0</v>
      </c>
      <c r="CM348" s="255">
        <f t="shared" si="159"/>
        <v>0</v>
      </c>
      <c r="CN348" s="232">
        <f>IFERROR(VLOOKUP(CM348,'Rangos amb etnico'!$A$2:$C$6,3,9),"N.D.")</f>
        <v>0</v>
      </c>
      <c r="CO348" s="311">
        <f t="shared" si="160"/>
        <v>0</v>
      </c>
      <c r="CP348">
        <v>0.96824205642520367</v>
      </c>
      <c r="CQ348" t="s">
        <v>2864</v>
      </c>
      <c r="CR348">
        <f t="shared" si="151"/>
        <v>2</v>
      </c>
      <c r="CS348" t="str">
        <f t="shared" si="161"/>
        <v>No es Candidato</v>
      </c>
      <c r="CT348">
        <v>0</v>
      </c>
      <c r="CU348">
        <v>0</v>
      </c>
      <c r="CV348" s="25">
        <v>55.559829711914063</v>
      </c>
      <c r="CW348" s="25">
        <v>28.0673713684082</v>
      </c>
      <c r="CX348" s="25">
        <v>61.275337219238281</v>
      </c>
      <c r="CY348" s="25">
        <v>65.149085998535156</v>
      </c>
      <c r="CZ348" s="25">
        <v>33.264442443847663</v>
      </c>
      <c r="DA348" s="25">
        <v>95.861137390136719</v>
      </c>
      <c r="DB348" s="25">
        <v>49.741596221923828</v>
      </c>
      <c r="DC348">
        <v>97</v>
      </c>
      <c r="DD348" s="253" t="s">
        <v>380</v>
      </c>
    </row>
    <row r="349" spans="1:108" hidden="1">
      <c r="A349" s="13">
        <v>25867</v>
      </c>
      <c r="B349" s="13" t="s">
        <v>1154</v>
      </c>
      <c r="C349" s="13" t="s">
        <v>461</v>
      </c>
      <c r="D349" s="13" t="s">
        <v>462</v>
      </c>
      <c r="E349" s="13" t="s">
        <v>1155</v>
      </c>
      <c r="F349" s="14">
        <v>73.343933333333297</v>
      </c>
      <c r="G349" s="13">
        <v>83.06</v>
      </c>
      <c r="H349" s="13">
        <v>84.5</v>
      </c>
      <c r="I349" s="13">
        <v>88.47</v>
      </c>
      <c r="J349" s="14">
        <v>54.37762694601556</v>
      </c>
      <c r="K349" s="14">
        <v>47.860342849093854</v>
      </c>
      <c r="L349" s="14">
        <v>68.796493553327807</v>
      </c>
      <c r="M349" s="14">
        <v>53.1175</v>
      </c>
      <c r="N349" s="14">
        <f t="shared" si="135"/>
        <v>82.343483333333324</v>
      </c>
      <c r="O349" s="14">
        <f t="shared" si="136"/>
        <v>56.037990837109305</v>
      </c>
      <c r="P349" s="14">
        <f t="shared" si="152"/>
        <v>69.190737085221315</v>
      </c>
      <c r="Q349" s="14">
        <v>50.899867964578782</v>
      </c>
      <c r="R349" s="17">
        <f t="shared" si="137"/>
        <v>49.100132035421218</v>
      </c>
      <c r="S349" s="14">
        <f t="shared" si="153"/>
        <v>0.54190118831879097</v>
      </c>
      <c r="T349" s="13">
        <v>0</v>
      </c>
      <c r="U349" s="13">
        <f t="shared" si="154"/>
        <v>37.494542647134473</v>
      </c>
      <c r="V349" s="13">
        <f>IF($T349=1,$AU349,(VLOOKUP(U349,'Cortes naturales'!$A$35:$C$39,3,9)))</f>
        <v>3</v>
      </c>
      <c r="W349" s="13">
        <v>3</v>
      </c>
      <c r="X349" s="14" t="b">
        <f t="shared" si="138"/>
        <v>1</v>
      </c>
      <c r="Y349" s="17">
        <f>IF($T349=1,$AU349,VLOOKUP(U349,'Cortes naturales'!$A$45:$C$49,3,9))</f>
        <v>2</v>
      </c>
      <c r="Z349" s="14">
        <v>66.997299585343086</v>
      </c>
      <c r="AA349" s="14">
        <v>0.5583733996075384</v>
      </c>
      <c r="AB349" s="14">
        <v>37.409509933992744</v>
      </c>
      <c r="AC349" s="13">
        <v>2</v>
      </c>
      <c r="AD349" s="13">
        <f t="shared" si="139"/>
        <v>0</v>
      </c>
      <c r="AE349" s="14">
        <f t="shared" si="140"/>
        <v>2.1934374998782289</v>
      </c>
      <c r="AF349" s="14">
        <f t="shared" si="141"/>
        <v>-1.6472211288747429E-2</v>
      </c>
      <c r="AG349" s="13">
        <f t="shared" si="142"/>
        <v>8.5032713141728777E-2</v>
      </c>
      <c r="AH349" s="13">
        <f>IF($T349=1,$AU349,VLOOKUP(U349,'Cortes naturales'!$A$25:$C$29,3,9))</f>
        <v>2</v>
      </c>
      <c r="AI349" s="13" t="b">
        <f t="shared" si="143"/>
        <v>1</v>
      </c>
      <c r="AJ349" s="13">
        <f t="shared" si="144"/>
        <v>0</v>
      </c>
      <c r="AK349" s="28">
        <v>0.81759069605862034</v>
      </c>
      <c r="AL349" s="28">
        <v>54.776368802028571</v>
      </c>
      <c r="AM349" s="28">
        <v>0.51456862213624799</v>
      </c>
      <c r="AN349" s="13">
        <v>2</v>
      </c>
      <c r="AO349" s="33">
        <f t="shared" si="145"/>
        <v>0</v>
      </c>
      <c r="AP349" s="13">
        <f t="shared" si="155"/>
        <v>51.456862213624802</v>
      </c>
      <c r="AQ349" s="13">
        <f>IFERROR(VLOOKUP(U349,'Cortes naturales'!$E$15:$G$19,3,9),U349)</f>
        <v>3</v>
      </c>
      <c r="AR349" s="28">
        <f t="shared" si="146"/>
        <v>-0.27568950773982936</v>
      </c>
      <c r="AS349" s="13" t="b">
        <f t="shared" si="147"/>
        <v>0</v>
      </c>
      <c r="AT349" s="13">
        <f t="shared" si="156"/>
        <v>0</v>
      </c>
      <c r="AU349" s="13">
        <v>3</v>
      </c>
      <c r="AV349">
        <f t="shared" si="148"/>
        <v>1</v>
      </c>
      <c r="AW349" s="13">
        <v>0</v>
      </c>
      <c r="AX349" s="13">
        <v>0</v>
      </c>
      <c r="AY349" s="13">
        <v>0</v>
      </c>
      <c r="AZ349" s="13">
        <v>0</v>
      </c>
      <c r="BA349">
        <v>0</v>
      </c>
      <c r="BB349" t="s">
        <v>2839</v>
      </c>
      <c r="BC349">
        <v>6</v>
      </c>
      <c r="BD349" t="s">
        <v>2919</v>
      </c>
      <c r="BE349">
        <v>0</v>
      </c>
      <c r="BF349" s="232" t="s">
        <v>2846</v>
      </c>
      <c r="BG349" s="232" t="s">
        <v>2845</v>
      </c>
      <c r="BH349" s="253">
        <v>31.6</v>
      </c>
      <c r="BI349" s="253">
        <v>11.744613767735155</v>
      </c>
      <c r="BJ349" s="25">
        <v>12.367272727272727</v>
      </c>
      <c r="BK349" t="s">
        <v>377</v>
      </c>
      <c r="BL349">
        <v>1.6758567764514631</v>
      </c>
      <c r="BM349" t="s">
        <v>383</v>
      </c>
      <c r="BN349" s="322">
        <v>12503.848097</v>
      </c>
      <c r="BO349" s="322">
        <v>1044.067681</v>
      </c>
      <c r="BP349" s="10">
        <v>4624</v>
      </c>
      <c r="BQ349" s="254">
        <f t="shared" si="149"/>
        <v>2.7041193981401386</v>
      </c>
      <c r="BR349" s="254">
        <f t="shared" si="150"/>
        <v>0.22579318360726644</v>
      </c>
      <c r="BS349" s="25">
        <v>50.311396502885863</v>
      </c>
      <c r="BT349" s="25">
        <v>86.75584797001153</v>
      </c>
      <c r="BU349" s="25">
        <v>37.244369016536098</v>
      </c>
      <c r="BV349" s="25">
        <v>84.198592919274645</v>
      </c>
      <c r="BW349" s="25">
        <v>58.825436305766509</v>
      </c>
      <c r="BX349" s="25">
        <v>64.627551602177036</v>
      </c>
      <c r="BY349" s="25">
        <v>59.627752722562512</v>
      </c>
      <c r="BZ349">
        <v>52</v>
      </c>
      <c r="CA349">
        <v>0</v>
      </c>
      <c r="CB349">
        <v>7</v>
      </c>
      <c r="CC349">
        <v>6703.5808919999999</v>
      </c>
      <c r="CD349" s="10">
        <v>2444.4135849999998</v>
      </c>
      <c r="CE349" s="255">
        <v>0.36464296088634413</v>
      </c>
      <c r="CF349" t="str">
        <f>IFERROR(VLOOKUP(CE349,'Rangos amb etnico'!$A$2:$C$6,3,9),"N.D.")</f>
        <v>31% - 50%</v>
      </c>
      <c r="CG349" s="256">
        <v>7.1117205808542236E-5</v>
      </c>
      <c r="CH349" s="232">
        <v>0</v>
      </c>
      <c r="CI349" s="311">
        <f t="shared" si="157"/>
        <v>0</v>
      </c>
      <c r="CJ349" s="232">
        <f>IFERROR(VLOOKUP(CI349,'Rangos amb etnico'!$A$2:$C$6,3,9),"N.D.")</f>
        <v>0</v>
      </c>
      <c r="CK349" s="311">
        <f t="shared" si="158"/>
        <v>0</v>
      </c>
      <c r="CL349" s="10">
        <v>0</v>
      </c>
      <c r="CM349" s="255">
        <f t="shared" si="159"/>
        <v>0</v>
      </c>
      <c r="CN349" s="232">
        <f>IFERROR(VLOOKUP(CM349,'Rangos amb etnico'!$A$2:$C$6,3,9),"N.D.")</f>
        <v>0</v>
      </c>
      <c r="CO349" s="311">
        <f t="shared" si="160"/>
        <v>0</v>
      </c>
      <c r="CP349">
        <v>0.83886314258156158</v>
      </c>
      <c r="CQ349" t="s">
        <v>2865</v>
      </c>
      <c r="CR349">
        <f t="shared" si="151"/>
        <v>2</v>
      </c>
      <c r="CS349" t="str">
        <f t="shared" si="161"/>
        <v>No es Candidato</v>
      </c>
      <c r="CT349">
        <v>0</v>
      </c>
      <c r="CU349">
        <v>0</v>
      </c>
      <c r="CV349" s="25">
        <v>49.863792419433587</v>
      </c>
      <c r="CW349" s="25">
        <v>22.600028991699219</v>
      </c>
      <c r="CX349" s="25">
        <v>49.998397827148438</v>
      </c>
      <c r="CY349" s="25">
        <v>64.948883056640625</v>
      </c>
      <c r="CZ349" s="25">
        <v>43.473117828369141</v>
      </c>
      <c r="DA349" s="25">
        <v>71.431968688964844</v>
      </c>
      <c r="DB349" s="25">
        <v>46.730350494384773</v>
      </c>
      <c r="DC349">
        <v>49</v>
      </c>
      <c r="DD349" s="253" t="s">
        <v>380</v>
      </c>
    </row>
    <row r="350" spans="1:108" hidden="1">
      <c r="A350" s="13">
        <v>19473</v>
      </c>
      <c r="B350" s="13" t="s">
        <v>1156</v>
      </c>
      <c r="C350" s="13" t="s">
        <v>557</v>
      </c>
      <c r="D350" s="13" t="s">
        <v>558</v>
      </c>
      <c r="E350" s="13" t="s">
        <v>1157</v>
      </c>
      <c r="F350" s="14">
        <v>51.843033333333302</v>
      </c>
      <c r="G350" s="13">
        <v>66.02</v>
      </c>
      <c r="H350" s="13">
        <v>63.37</v>
      </c>
      <c r="I350" s="13">
        <v>71.040000000000006</v>
      </c>
      <c r="J350" s="14">
        <v>37.014705204474907</v>
      </c>
      <c r="K350" s="14">
        <v>40.588229930738407</v>
      </c>
      <c r="L350" s="14">
        <v>54.554231757413589</v>
      </c>
      <c r="M350" s="14">
        <v>43.729700000000001</v>
      </c>
      <c r="N350" s="14">
        <f t="shared" si="135"/>
        <v>63.068258333333333</v>
      </c>
      <c r="O350" s="14">
        <f t="shared" si="136"/>
        <v>43.971716723156725</v>
      </c>
      <c r="P350" s="14">
        <f t="shared" si="152"/>
        <v>53.519987528245025</v>
      </c>
      <c r="Q350" s="14">
        <v>49.592791008452103</v>
      </c>
      <c r="R350" s="17">
        <f t="shared" si="137"/>
        <v>50.407208991547897</v>
      </c>
      <c r="S350" s="14">
        <f t="shared" si="153"/>
        <v>0.55366488092393107</v>
      </c>
      <c r="T350" s="13">
        <v>0</v>
      </c>
      <c r="U350" s="13">
        <f t="shared" si="154"/>
        <v>29.632137521876057</v>
      </c>
      <c r="V350" s="13">
        <f>IF($T350=1,$AU350,(VLOOKUP(U350,'Cortes naturales'!$A$35:$C$39,3,9)))</f>
        <v>3</v>
      </c>
      <c r="W350" s="13">
        <v>3</v>
      </c>
      <c r="X350" s="14" t="b">
        <f t="shared" si="138"/>
        <v>1</v>
      </c>
      <c r="Y350" s="17">
        <f>IF($T350=1,$AU350,VLOOKUP(U350,'Cortes naturales'!$A$45:$C$49,3,9))</f>
        <v>3</v>
      </c>
      <c r="Z350" s="14">
        <v>50.323304402031184</v>
      </c>
      <c r="AA350" s="14">
        <v>0.56092747343900429</v>
      </c>
      <c r="AB350" s="14">
        <v>28.227723993333274</v>
      </c>
      <c r="AC350" s="13">
        <v>3</v>
      </c>
      <c r="AD350" s="13">
        <f t="shared" si="139"/>
        <v>0</v>
      </c>
      <c r="AE350" s="14">
        <f t="shared" si="140"/>
        <v>3.1966831262138413</v>
      </c>
      <c r="AF350" s="14">
        <f t="shared" si="141"/>
        <v>-7.2625925150732185E-3</v>
      </c>
      <c r="AG350" s="13">
        <f t="shared" si="142"/>
        <v>1.4044135285427828</v>
      </c>
      <c r="AH350" s="13">
        <f>IF($T350=1,$AU350,VLOOKUP(U350,'Cortes naturales'!$A$25:$C$29,3,9))</f>
        <v>3</v>
      </c>
      <c r="AI350" s="13" t="b">
        <f t="shared" si="143"/>
        <v>1</v>
      </c>
      <c r="AJ350" s="13">
        <f t="shared" si="144"/>
        <v>0</v>
      </c>
      <c r="AK350" s="28">
        <v>0.81759069605862034</v>
      </c>
      <c r="AL350" s="28">
        <v>41.143865474026505</v>
      </c>
      <c r="AM350" s="28">
        <v>0.34404037551595384</v>
      </c>
      <c r="AN350" s="13">
        <v>4</v>
      </c>
      <c r="AO350" s="33">
        <f t="shared" si="145"/>
        <v>1</v>
      </c>
      <c r="AP350" s="13">
        <f t="shared" si="155"/>
        <v>34.404037551595387</v>
      </c>
      <c r="AQ350" s="13">
        <f>IFERROR(VLOOKUP(U350,'Cortes naturales'!$E$15:$G$19,3,9),U350)</f>
        <v>4</v>
      </c>
      <c r="AR350" s="28">
        <f t="shared" si="146"/>
        <v>-0.26392581513468927</v>
      </c>
      <c r="AS350" s="13" t="b">
        <f t="shared" si="147"/>
        <v>0</v>
      </c>
      <c r="AT350" s="13" t="str">
        <f t="shared" si="156"/>
        <v>Cambio en corte</v>
      </c>
      <c r="AU350" s="13">
        <v>3</v>
      </c>
      <c r="AV350">
        <f t="shared" si="148"/>
        <v>0</v>
      </c>
      <c r="AW350" s="13">
        <v>0</v>
      </c>
      <c r="AX350" s="13">
        <v>0</v>
      </c>
      <c r="AY350" s="13">
        <v>0</v>
      </c>
      <c r="AZ350" s="13">
        <v>1</v>
      </c>
      <c r="BA350">
        <v>1</v>
      </c>
      <c r="BB350" t="s">
        <v>2840</v>
      </c>
      <c r="BC350">
        <v>6</v>
      </c>
      <c r="BD350" t="s">
        <v>2919</v>
      </c>
      <c r="BE350">
        <v>1</v>
      </c>
      <c r="BF350" s="232" t="s">
        <v>2846</v>
      </c>
      <c r="BG350" s="232" t="s">
        <v>2846</v>
      </c>
      <c r="BH350" s="253">
        <v>48.7</v>
      </c>
      <c r="BI350" s="253">
        <v>27.07737835020345</v>
      </c>
      <c r="BJ350" s="25">
        <v>2.0699999999999998</v>
      </c>
      <c r="BK350" t="s">
        <v>381</v>
      </c>
      <c r="BL350">
        <v>7.6238576938736768</v>
      </c>
      <c r="BM350" t="s">
        <v>379</v>
      </c>
      <c r="BN350" s="322">
        <v>64149.870967000003</v>
      </c>
      <c r="BO350" s="322">
        <v>3976.0474049999998</v>
      </c>
      <c r="BP350" s="10">
        <v>44523</v>
      </c>
      <c r="BQ350" s="254">
        <f t="shared" si="149"/>
        <v>1.4408254377961953</v>
      </c>
      <c r="BR350" s="254">
        <f t="shared" si="150"/>
        <v>8.9303223165554876E-2</v>
      </c>
      <c r="BS350" s="25">
        <v>54.987593477255132</v>
      </c>
      <c r="BT350" s="25">
        <v>88.165393222753778</v>
      </c>
      <c r="BU350" s="25">
        <v>19.471250873515</v>
      </c>
      <c r="BV350" s="25">
        <v>92.46676814204038</v>
      </c>
      <c r="BW350" s="25">
        <v>47.184445040362007</v>
      </c>
      <c r="BX350" s="25">
        <v>63.77275142889107</v>
      </c>
      <c r="BY350" s="25">
        <v>47.206426345724019</v>
      </c>
      <c r="BZ350">
        <v>46</v>
      </c>
      <c r="CA350">
        <v>0</v>
      </c>
      <c r="CB350">
        <v>7</v>
      </c>
      <c r="CC350">
        <v>51174.339018999999</v>
      </c>
      <c r="CD350" s="10">
        <v>2497.4866900000002</v>
      </c>
      <c r="CE350" s="255">
        <v>4.88034967891375E-2</v>
      </c>
      <c r="CF350" t="str">
        <f>IFERROR(VLOOKUP(CE350,'Rangos amb etnico'!$A$2:$C$6,3,9),"N.D.")</f>
        <v>0,1% - 30%</v>
      </c>
      <c r="CG350" s="256">
        <v>7.266130250083066E-5</v>
      </c>
      <c r="CH350" s="232">
        <v>4226.1368970000003</v>
      </c>
      <c r="CI350" s="311">
        <f t="shared" si="157"/>
        <v>8.2583126192033882E-2</v>
      </c>
      <c r="CJ350" s="232" t="str">
        <f>IFERROR(VLOOKUP(CI350,'Rangos amb etnico'!$A$2:$C$6,3,9),"N.D.")</f>
        <v>0,1% - 30%</v>
      </c>
      <c r="CK350" s="311">
        <f t="shared" si="158"/>
        <v>1.6780530417643261E-4</v>
      </c>
      <c r="CL350" s="10">
        <v>0</v>
      </c>
      <c r="CM350" s="255">
        <f t="shared" si="159"/>
        <v>0</v>
      </c>
      <c r="CN350" s="232">
        <f>IFERROR(VLOOKUP(CM350,'Rangos amb etnico'!$A$2:$C$6,3,9),"N.D.")</f>
        <v>0</v>
      </c>
      <c r="CO350" s="311">
        <f t="shared" si="160"/>
        <v>0</v>
      </c>
      <c r="CP350">
        <v>0.94687260723521849</v>
      </c>
      <c r="CQ350" t="s">
        <v>2864</v>
      </c>
      <c r="CR350">
        <f t="shared" si="151"/>
        <v>2</v>
      </c>
      <c r="CS350" t="str">
        <f t="shared" si="161"/>
        <v>No es Candidato</v>
      </c>
      <c r="CT350">
        <v>0</v>
      </c>
      <c r="CU350">
        <v>0</v>
      </c>
      <c r="CV350" s="25">
        <v>51.222831726074219</v>
      </c>
      <c r="CW350" s="25">
        <v>27.269180297851559</v>
      </c>
      <c r="CX350" s="25">
        <v>56.374904632568359</v>
      </c>
      <c r="CY350" s="25">
        <v>62.528850555419922</v>
      </c>
      <c r="CZ350" s="25">
        <v>45.002655029296882</v>
      </c>
      <c r="DA350" s="25">
        <v>52.988651275634773</v>
      </c>
      <c r="DB350" s="25">
        <v>63.172733306884773</v>
      </c>
      <c r="DC350">
        <v>23648</v>
      </c>
      <c r="DD350" s="253" t="s">
        <v>380</v>
      </c>
    </row>
    <row r="351" spans="1:108" hidden="1">
      <c r="A351" s="13">
        <v>19130</v>
      </c>
      <c r="B351" s="13" t="s">
        <v>1158</v>
      </c>
      <c r="C351" s="13" t="s">
        <v>557</v>
      </c>
      <c r="D351" s="13" t="s">
        <v>558</v>
      </c>
      <c r="E351" s="13" t="s">
        <v>1159</v>
      </c>
      <c r="F351" s="14">
        <v>68.692233333333306</v>
      </c>
      <c r="G351" s="13">
        <v>56.23</v>
      </c>
      <c r="H351" s="13">
        <v>58.22</v>
      </c>
      <c r="I351" s="13">
        <v>55.62</v>
      </c>
      <c r="J351" s="14">
        <v>56.35053315439832</v>
      </c>
      <c r="K351" s="14">
        <v>55.533983894515352</v>
      </c>
      <c r="L351" s="14">
        <v>53.028153516619028</v>
      </c>
      <c r="M351" s="14">
        <v>52.093400000000003</v>
      </c>
      <c r="N351" s="14">
        <f t="shared" si="135"/>
        <v>59.690558333333328</v>
      </c>
      <c r="O351" s="14">
        <f t="shared" si="136"/>
        <v>54.251517641383174</v>
      </c>
      <c r="P351" s="14">
        <f t="shared" si="152"/>
        <v>56.971037987358251</v>
      </c>
      <c r="Q351" s="14">
        <v>50.039809158061665</v>
      </c>
      <c r="R351" s="17">
        <f t="shared" si="137"/>
        <v>49.960190841938335</v>
      </c>
      <c r="S351" s="14">
        <f t="shared" si="153"/>
        <v>0.54964171757744507</v>
      </c>
      <c r="T351" s="13">
        <v>0</v>
      </c>
      <c r="U351" s="13">
        <f t="shared" si="154"/>
        <v>31.31365917154146</v>
      </c>
      <c r="V351" s="13">
        <f>IF($T351=1,$AU351,(VLOOKUP(U351,'Cortes naturales'!$A$35:$C$39,3,9)))</f>
        <v>3</v>
      </c>
      <c r="W351" s="13">
        <v>3</v>
      </c>
      <c r="X351" s="14" t="b">
        <f t="shared" si="138"/>
        <v>1</v>
      </c>
      <c r="Y351" s="17">
        <f>IF($T351=1,$AU351,VLOOKUP(U351,'Cortes naturales'!$A$45:$C$49,3,9))</f>
        <v>3</v>
      </c>
      <c r="Z351" s="14">
        <v>59.399688283158291</v>
      </c>
      <c r="AA351" s="14">
        <v>0.56092947290845019</v>
      </c>
      <c r="AB351" s="14">
        <v>33.319035839598222</v>
      </c>
      <c r="AC351" s="13">
        <v>3</v>
      </c>
      <c r="AD351" s="13">
        <f t="shared" si="139"/>
        <v>0</v>
      </c>
      <c r="AE351" s="14">
        <f t="shared" si="140"/>
        <v>-2.4286502958000398</v>
      </c>
      <c r="AF351" s="14">
        <f t="shared" si="141"/>
        <v>-1.1287755331005123E-2</v>
      </c>
      <c r="AG351" s="13">
        <f t="shared" si="142"/>
        <v>-2.005376668056762</v>
      </c>
      <c r="AH351" s="13">
        <f>IF($T351=1,$AU351,VLOOKUP(U351,'Cortes naturales'!$A$25:$C$29,3,9))</f>
        <v>3</v>
      </c>
      <c r="AI351" s="13" t="b">
        <f t="shared" si="143"/>
        <v>1</v>
      </c>
      <c r="AJ351" s="13">
        <f t="shared" si="144"/>
        <v>0</v>
      </c>
      <c r="AK351" s="28">
        <v>0.81759069605862034</v>
      </c>
      <c r="AL351" s="28">
        <v>48.56463248909246</v>
      </c>
      <c r="AM351" s="28">
        <v>0.43686634864867935</v>
      </c>
      <c r="AN351" s="13">
        <v>3</v>
      </c>
      <c r="AO351" s="33">
        <f t="shared" si="145"/>
        <v>0</v>
      </c>
      <c r="AP351" s="13">
        <f t="shared" si="155"/>
        <v>43.686634864867933</v>
      </c>
      <c r="AQ351" s="13">
        <f>IFERROR(VLOOKUP(U351,'Cortes naturales'!$E$15:$G$19,3,9),U351)</f>
        <v>4</v>
      </c>
      <c r="AR351" s="28">
        <f t="shared" si="146"/>
        <v>-0.26794897848117527</v>
      </c>
      <c r="AS351" s="13" t="b">
        <f t="shared" si="147"/>
        <v>0</v>
      </c>
      <c r="AT351" s="13">
        <f t="shared" si="156"/>
        <v>0</v>
      </c>
      <c r="AU351" s="13">
        <v>3</v>
      </c>
      <c r="AV351">
        <f t="shared" si="148"/>
        <v>0</v>
      </c>
      <c r="AW351" s="13">
        <v>0</v>
      </c>
      <c r="AX351" s="13">
        <v>0</v>
      </c>
      <c r="AY351" s="13">
        <v>0</v>
      </c>
      <c r="AZ351" s="13">
        <v>1</v>
      </c>
      <c r="BA351">
        <v>1</v>
      </c>
      <c r="BB351" t="s">
        <v>2840</v>
      </c>
      <c r="BC351">
        <v>6</v>
      </c>
      <c r="BD351" t="s">
        <v>2919</v>
      </c>
      <c r="BE351">
        <v>1</v>
      </c>
      <c r="BF351" s="232" t="s">
        <v>2846</v>
      </c>
      <c r="BG351" s="232" t="s">
        <v>2846</v>
      </c>
      <c r="BH351" s="253">
        <v>56.9</v>
      </c>
      <c r="BI351" s="253">
        <v>23.558244144563364</v>
      </c>
      <c r="BJ351" s="25">
        <v>0</v>
      </c>
      <c r="BK351" t="s">
        <v>381</v>
      </c>
      <c r="BL351">
        <v>20.916187853476337</v>
      </c>
      <c r="BM351" t="s">
        <v>376</v>
      </c>
      <c r="BN351" s="322">
        <v>73037.622470999995</v>
      </c>
      <c r="BO351" s="322">
        <v>5664.1290609999996</v>
      </c>
      <c r="BP351" s="10">
        <v>45786</v>
      </c>
      <c r="BQ351" s="254">
        <f t="shared" si="149"/>
        <v>1.5951955285676844</v>
      </c>
      <c r="BR351" s="254">
        <f t="shared" si="150"/>
        <v>0.12370875509981216</v>
      </c>
      <c r="BS351" s="25">
        <v>58.543850084376103</v>
      </c>
      <c r="BT351" s="25">
        <v>85.015160595815317</v>
      </c>
      <c r="BU351" s="25">
        <v>34.410938836859728</v>
      </c>
      <c r="BV351" s="25">
        <v>89.794236978004434</v>
      </c>
      <c r="BW351" s="25">
        <v>50.607790060242117</v>
      </c>
      <c r="BX351" s="25">
        <v>66.941046623763896</v>
      </c>
      <c r="BY351" s="25">
        <v>51.515451965146198</v>
      </c>
      <c r="BZ351">
        <v>46</v>
      </c>
      <c r="CA351">
        <v>0</v>
      </c>
      <c r="CB351">
        <v>7</v>
      </c>
      <c r="CC351">
        <v>55261.942320000002</v>
      </c>
      <c r="CD351" s="10">
        <v>7809.354077</v>
      </c>
      <c r="CE351" s="255">
        <v>0.14131522977927785</v>
      </c>
      <c r="CF351" t="str">
        <f>IFERROR(VLOOKUP(CE351,'Rangos amb etnico'!$A$2:$C$6,3,9),"N.D.")</f>
        <v>0,1% - 30%</v>
      </c>
      <c r="CG351" s="256">
        <v>2.2720354875044085E-4</v>
      </c>
      <c r="CH351" s="232">
        <v>600.98859400000003</v>
      </c>
      <c r="CI351" s="311">
        <f t="shared" si="157"/>
        <v>1.0875270914654308E-2</v>
      </c>
      <c r="CJ351" s="232" t="str">
        <f>IFERROR(VLOOKUP(CI351,'Rangos amb etnico'!$A$2:$C$6,3,9),"N.D.")</f>
        <v>0,1% - 30%</v>
      </c>
      <c r="CK351" s="311">
        <f t="shared" si="158"/>
        <v>2.386318197461282E-5</v>
      </c>
      <c r="CL351" s="10">
        <v>0</v>
      </c>
      <c r="CM351" s="255">
        <f t="shared" si="159"/>
        <v>0</v>
      </c>
      <c r="CN351" s="232">
        <f>IFERROR(VLOOKUP(CM351,'Rangos amb etnico'!$A$2:$C$6,3,9),"N.D.")</f>
        <v>0</v>
      </c>
      <c r="CO351" s="311">
        <f t="shared" si="160"/>
        <v>0</v>
      </c>
      <c r="CP351">
        <v>0.95710362920841452</v>
      </c>
      <c r="CQ351" t="s">
        <v>2864</v>
      </c>
      <c r="CR351">
        <f t="shared" si="151"/>
        <v>1</v>
      </c>
      <c r="CS351" t="str">
        <f t="shared" si="161"/>
        <v>No es Candidato</v>
      </c>
      <c r="CT351">
        <v>0</v>
      </c>
      <c r="CU351">
        <v>0</v>
      </c>
      <c r="CV351" s="25">
        <v>50.453201293945313</v>
      </c>
      <c r="CW351" s="25">
        <v>29.463504791259769</v>
      </c>
      <c r="CX351" s="25">
        <v>44.095451354980469</v>
      </c>
      <c r="CY351" s="25">
        <v>73.046134948730469</v>
      </c>
      <c r="CZ351" s="25">
        <v>51.940921783447273</v>
      </c>
      <c r="DA351" s="25">
        <v>44.208160400390618</v>
      </c>
      <c r="DB351" s="25">
        <v>59.965019226074219</v>
      </c>
      <c r="DC351">
        <v>7347</v>
      </c>
      <c r="DD351" s="253" t="s">
        <v>380</v>
      </c>
    </row>
    <row r="352" spans="1:108" hidden="1">
      <c r="A352" s="13">
        <v>15189</v>
      </c>
      <c r="B352" s="13" t="s">
        <v>1160</v>
      </c>
      <c r="C352" s="13" t="s">
        <v>498</v>
      </c>
      <c r="D352" s="13" t="s">
        <v>499</v>
      </c>
      <c r="E352" s="13" t="s">
        <v>1161</v>
      </c>
      <c r="F352" s="14">
        <v>60.289766666666701</v>
      </c>
      <c r="G352" s="13">
        <v>74.06</v>
      </c>
      <c r="H352" s="13">
        <v>33.06</v>
      </c>
      <c r="I352" s="13">
        <v>56.31</v>
      </c>
      <c r="J352" s="14">
        <v>45.537216477640385</v>
      </c>
      <c r="K352" s="14">
        <v>48.361658354135471</v>
      </c>
      <c r="L352" s="14">
        <v>66.782269698980869</v>
      </c>
      <c r="M352" s="14">
        <v>57.081099999999999</v>
      </c>
      <c r="N352" s="14">
        <f t="shared" si="135"/>
        <v>55.929941666666679</v>
      </c>
      <c r="O352" s="14">
        <f t="shared" si="136"/>
        <v>54.440561132689183</v>
      </c>
      <c r="P352" s="14">
        <f t="shared" si="152"/>
        <v>55.185251399677931</v>
      </c>
      <c r="Q352" s="14">
        <v>50.892306607970795</v>
      </c>
      <c r="R352" s="17">
        <f t="shared" si="137"/>
        <v>49.107693392029205</v>
      </c>
      <c r="S352" s="14">
        <f t="shared" si="153"/>
        <v>0.5419692405282629</v>
      </c>
      <c r="T352" s="13">
        <v>0</v>
      </c>
      <c r="U352" s="13">
        <f t="shared" si="154"/>
        <v>29.908708789444706</v>
      </c>
      <c r="V352" s="13">
        <f>IF($T352=1,$AU352,(VLOOKUP(U352,'Cortes naturales'!$A$35:$C$39,3,9)))</f>
        <v>3</v>
      </c>
      <c r="W352" s="13">
        <v>3</v>
      </c>
      <c r="X352" s="14" t="b">
        <f t="shared" si="138"/>
        <v>1</v>
      </c>
      <c r="Y352" s="17">
        <f>IF($T352=1,$AU352,VLOOKUP(U352,'Cortes naturales'!$A$45:$C$49,3,9))</f>
        <v>3</v>
      </c>
      <c r="Z352" s="14">
        <v>55.394769262515823</v>
      </c>
      <c r="AA352" s="14">
        <v>0.55806764118684238</v>
      </c>
      <c r="AB352" s="14">
        <v>30.914028216421606</v>
      </c>
      <c r="AC352" s="13">
        <v>3</v>
      </c>
      <c r="AD352" s="13">
        <f t="shared" si="139"/>
        <v>0</v>
      </c>
      <c r="AE352" s="14">
        <f t="shared" si="140"/>
        <v>-0.20951786283789176</v>
      </c>
      <c r="AF352" s="14">
        <f t="shared" si="141"/>
        <v>-1.6098400658579481E-2</v>
      </c>
      <c r="AG352" s="13">
        <f t="shared" si="142"/>
        <v>-1.0053194269769001</v>
      </c>
      <c r="AH352" s="13">
        <f>IF($T352=1,$AU352,VLOOKUP(U352,'Cortes naturales'!$A$25:$C$29,3,9))</f>
        <v>3</v>
      </c>
      <c r="AI352" s="13" t="b">
        <f t="shared" si="143"/>
        <v>1</v>
      </c>
      <c r="AJ352" s="13">
        <f t="shared" si="144"/>
        <v>0</v>
      </c>
      <c r="AK352" s="28">
        <v>0.81759069605862034</v>
      </c>
      <c r="AL352" s="28">
        <v>45.290247959346978</v>
      </c>
      <c r="AM352" s="28">
        <v>0.39590724970819541</v>
      </c>
      <c r="AN352" s="13">
        <v>3</v>
      </c>
      <c r="AO352" s="33">
        <f t="shared" si="145"/>
        <v>0</v>
      </c>
      <c r="AP352" s="13">
        <f t="shared" si="155"/>
        <v>39.590724970819544</v>
      </c>
      <c r="AQ352" s="13">
        <f>IFERROR(VLOOKUP(U352,'Cortes naturales'!$E$15:$G$19,3,9),U352)</f>
        <v>4</v>
      </c>
      <c r="AR352" s="28">
        <f t="shared" si="146"/>
        <v>-0.27562145553035744</v>
      </c>
      <c r="AS352" s="13" t="b">
        <f t="shared" si="147"/>
        <v>0</v>
      </c>
      <c r="AT352" s="13">
        <f t="shared" si="156"/>
        <v>0</v>
      </c>
      <c r="AU352" s="13">
        <v>3</v>
      </c>
      <c r="AV352">
        <f t="shared" si="148"/>
        <v>0</v>
      </c>
      <c r="AW352" s="13">
        <v>0</v>
      </c>
      <c r="AX352" s="13">
        <v>0</v>
      </c>
      <c r="AY352" s="13">
        <v>0</v>
      </c>
      <c r="AZ352" s="13">
        <v>0</v>
      </c>
      <c r="BA352">
        <v>0</v>
      </c>
      <c r="BB352" t="s">
        <v>2839</v>
      </c>
      <c r="BC352">
        <v>6</v>
      </c>
      <c r="BD352" t="s">
        <v>2919</v>
      </c>
      <c r="BE352">
        <v>0</v>
      </c>
      <c r="BF352" s="232" t="s">
        <v>2846</v>
      </c>
      <c r="BG352" s="232" t="s">
        <v>2846</v>
      </c>
      <c r="BH352" s="253">
        <v>40.5</v>
      </c>
      <c r="BI352" s="253">
        <v>9.9955476402493328</v>
      </c>
      <c r="BJ352" s="25">
        <v>36.826453254080199</v>
      </c>
      <c r="BK352" t="s">
        <v>376</v>
      </c>
      <c r="BL352">
        <v>0</v>
      </c>
      <c r="BM352" t="s">
        <v>377</v>
      </c>
      <c r="BN352" s="322">
        <v>15269.228838000001</v>
      </c>
      <c r="BO352" s="322">
        <v>1335.497646</v>
      </c>
      <c r="BP352" s="10">
        <v>4535</v>
      </c>
      <c r="BQ352" s="254">
        <f t="shared" si="149"/>
        <v>3.3669743854465271</v>
      </c>
      <c r="BR352" s="254">
        <f t="shared" si="150"/>
        <v>0.29448680176405734</v>
      </c>
      <c r="BS352" s="25">
        <v>56.150917395070493</v>
      </c>
      <c r="BT352" s="25">
        <v>88.574221010657837</v>
      </c>
      <c r="BU352" s="25">
        <v>52.011473640514737</v>
      </c>
      <c r="BV352" s="25">
        <v>91.540354650724097</v>
      </c>
      <c r="BW352" s="25">
        <v>62.671215652056347</v>
      </c>
      <c r="BX352" s="25">
        <v>72.069241674241795</v>
      </c>
      <c r="BY352" s="25">
        <v>62.12996074853001</v>
      </c>
      <c r="BZ352">
        <v>0</v>
      </c>
      <c r="CA352">
        <v>0</v>
      </c>
      <c r="CB352">
        <v>7</v>
      </c>
      <c r="CC352">
        <v>5389.6981690000002</v>
      </c>
      <c r="CD352" s="10">
        <v>3021.998329</v>
      </c>
      <c r="CE352" s="255">
        <v>0.56069899171379733</v>
      </c>
      <c r="CF352" t="str">
        <f>IFERROR(VLOOKUP(CE352,'Rangos amb etnico'!$A$2:$C$6,3,9),"N.D.")</f>
        <v>51% - 70%</v>
      </c>
      <c r="CG352" s="256">
        <v>8.7921323312627444E-5</v>
      </c>
      <c r="CH352" s="232">
        <v>0</v>
      </c>
      <c r="CI352" s="311">
        <f t="shared" si="157"/>
        <v>0</v>
      </c>
      <c r="CJ352" s="232">
        <f>IFERROR(VLOOKUP(CI352,'Rangos amb etnico'!$A$2:$C$6,3,9),"N.D.")</f>
        <v>0</v>
      </c>
      <c r="CK352" s="311">
        <f t="shared" si="158"/>
        <v>0</v>
      </c>
      <c r="CL352" s="10">
        <v>0</v>
      </c>
      <c r="CM352" s="255">
        <f t="shared" si="159"/>
        <v>0</v>
      </c>
      <c r="CN352" s="232">
        <f>IFERROR(VLOOKUP(CM352,'Rangos amb etnico'!$A$2:$C$6,3,9),"N.D.")</f>
        <v>0</v>
      </c>
      <c r="CO352" s="311">
        <f t="shared" si="160"/>
        <v>0</v>
      </c>
      <c r="CP352">
        <v>0.91772552162081622</v>
      </c>
      <c r="CQ352" t="s">
        <v>2864</v>
      </c>
      <c r="CR352">
        <f t="shared" si="151"/>
        <v>2</v>
      </c>
      <c r="CS352" t="str">
        <f t="shared" si="161"/>
        <v>No es Candidato</v>
      </c>
      <c r="CT352">
        <v>0</v>
      </c>
      <c r="CU352">
        <v>0</v>
      </c>
      <c r="CV352" s="25">
        <v>56.74530029296875</v>
      </c>
      <c r="CW352" s="25">
        <v>26.2413444519043</v>
      </c>
      <c r="CX352" s="25">
        <v>56.344211578369141</v>
      </c>
      <c r="CY352" s="25">
        <v>65.084487915039063</v>
      </c>
      <c r="CZ352" s="25">
        <v>55.044853210449219</v>
      </c>
      <c r="DA352" s="25">
        <v>75.870460510253906</v>
      </c>
      <c r="DB352" s="25">
        <v>61.886440277099609</v>
      </c>
      <c r="DC352">
        <v>17</v>
      </c>
      <c r="DD352" s="253" t="s">
        <v>380</v>
      </c>
    </row>
    <row r="353" spans="1:108" hidden="1">
      <c r="A353" s="13">
        <v>73319</v>
      </c>
      <c r="B353" s="13" t="s">
        <v>1162</v>
      </c>
      <c r="C353" s="13" t="s">
        <v>595</v>
      </c>
      <c r="D353" s="13" t="s">
        <v>596</v>
      </c>
      <c r="E353" s="13" t="s">
        <v>1163</v>
      </c>
      <c r="F353" s="14">
        <v>69.783933333333295</v>
      </c>
      <c r="G353" s="13">
        <v>57.41</v>
      </c>
      <c r="H353" s="13">
        <v>56.89</v>
      </c>
      <c r="I353" s="13">
        <v>65.260000000000005</v>
      </c>
      <c r="J353" s="14">
        <v>58.277053416847963</v>
      </c>
      <c r="K353" s="14">
        <v>61.162308232442754</v>
      </c>
      <c r="L353" s="14">
        <v>63.661949279102892</v>
      </c>
      <c r="M353" s="14">
        <v>62.754600000000003</v>
      </c>
      <c r="N353" s="14">
        <f t="shared" si="135"/>
        <v>62.335983333333317</v>
      </c>
      <c r="O353" s="14">
        <f t="shared" si="136"/>
        <v>61.463977732098407</v>
      </c>
      <c r="P353" s="14">
        <f t="shared" si="152"/>
        <v>61.899980532715858</v>
      </c>
      <c r="Q353" s="14">
        <v>50.210347929949727</v>
      </c>
      <c r="R353" s="17">
        <f t="shared" si="137"/>
        <v>49.789652070050273</v>
      </c>
      <c r="S353" s="14">
        <f t="shared" si="153"/>
        <v>0.54810686863045244</v>
      </c>
      <c r="T353" s="13">
        <v>0</v>
      </c>
      <c r="U353" s="13">
        <f t="shared" si="154"/>
        <v>33.927804498072852</v>
      </c>
      <c r="V353" s="13">
        <f>IF($T353=1,$AU353,(VLOOKUP(U353,'Cortes naturales'!$A$35:$C$39,3,9)))</f>
        <v>3</v>
      </c>
      <c r="W353" s="13">
        <v>3</v>
      </c>
      <c r="X353" s="14" t="b">
        <f t="shared" si="138"/>
        <v>1</v>
      </c>
      <c r="Y353" s="17">
        <f>IF($T353=1,$AU353,VLOOKUP(U353,'Cortes naturales'!$A$45:$C$49,3,9))</f>
        <v>3</v>
      </c>
      <c r="Z353" s="14">
        <v>60.383441516620877</v>
      </c>
      <c r="AA353" s="14">
        <v>0.55974761965284459</v>
      </c>
      <c r="AB353" s="14">
        <v>33.799487655375287</v>
      </c>
      <c r="AC353" s="13">
        <v>3</v>
      </c>
      <c r="AD353" s="13">
        <f t="shared" si="139"/>
        <v>0</v>
      </c>
      <c r="AE353" s="14">
        <f t="shared" si="140"/>
        <v>1.5165390160949812</v>
      </c>
      <c r="AF353" s="14">
        <f t="shared" si="141"/>
        <v>-1.1640751022392148E-2</v>
      </c>
      <c r="AG353" s="13">
        <f t="shared" si="142"/>
        <v>0.12831684269756494</v>
      </c>
      <c r="AH353" s="13">
        <f>IF($T353=1,$AU353,VLOOKUP(U353,'Cortes naturales'!$A$25:$C$29,3,9))</f>
        <v>3</v>
      </c>
      <c r="AI353" s="13" t="b">
        <f t="shared" si="143"/>
        <v>1</v>
      </c>
      <c r="AJ353" s="13">
        <f t="shared" si="144"/>
        <v>0</v>
      </c>
      <c r="AK353" s="28">
        <v>0.81759069605862034</v>
      </c>
      <c r="AL353" s="28">
        <v>49.368939979989058</v>
      </c>
      <c r="AM353" s="28">
        <v>0.44692738753978567</v>
      </c>
      <c r="AN353" s="13">
        <v>3</v>
      </c>
      <c r="AO353" s="33">
        <f t="shared" si="145"/>
        <v>0</v>
      </c>
      <c r="AP353" s="13">
        <f t="shared" si="155"/>
        <v>44.692738753978567</v>
      </c>
      <c r="AQ353" s="13">
        <f>IFERROR(VLOOKUP(U353,'Cortes naturales'!$E$15:$G$19,3,9),U353)</f>
        <v>4</v>
      </c>
      <c r="AR353" s="28">
        <f t="shared" si="146"/>
        <v>-0.2694838274281679</v>
      </c>
      <c r="AS353" s="13" t="b">
        <f t="shared" si="147"/>
        <v>0</v>
      </c>
      <c r="AT353" s="13">
        <f t="shared" si="156"/>
        <v>0</v>
      </c>
      <c r="AU353" s="13">
        <v>2</v>
      </c>
      <c r="AV353">
        <f t="shared" si="148"/>
        <v>-1</v>
      </c>
      <c r="AW353" s="13">
        <v>0</v>
      </c>
      <c r="AX353" s="13">
        <v>0</v>
      </c>
      <c r="AY353" s="13">
        <v>0</v>
      </c>
      <c r="AZ353" s="13">
        <v>0</v>
      </c>
      <c r="BA353">
        <v>0</v>
      </c>
      <c r="BB353" t="s">
        <v>2839</v>
      </c>
      <c r="BC353">
        <v>6</v>
      </c>
      <c r="BD353" t="s">
        <v>2919</v>
      </c>
      <c r="BE353">
        <v>0</v>
      </c>
      <c r="BF353" s="232" t="s">
        <v>2846</v>
      </c>
      <c r="BG353" s="232" t="s">
        <v>2846</v>
      </c>
      <c r="BH353" s="253">
        <v>32.200000000000003</v>
      </c>
      <c r="BI353" s="253">
        <v>14.342642603082599</v>
      </c>
      <c r="BJ353" s="25">
        <v>14.479030661516175</v>
      </c>
      <c r="BK353" t="s">
        <v>379</v>
      </c>
      <c r="BL353">
        <v>3.2751178208465181</v>
      </c>
      <c r="BM353" t="s">
        <v>383</v>
      </c>
      <c r="BN353" s="322">
        <v>69246.069858000003</v>
      </c>
      <c r="BO353" s="322">
        <v>16849.230528</v>
      </c>
      <c r="BP353" s="10">
        <v>33796</v>
      </c>
      <c r="BQ353" s="254">
        <f t="shared" si="149"/>
        <v>2.0489427700911351</v>
      </c>
      <c r="BR353" s="254">
        <f t="shared" si="150"/>
        <v>0.49855694543732987</v>
      </c>
      <c r="BS353" s="25">
        <v>62.114594311903168</v>
      </c>
      <c r="BT353" s="25">
        <v>91.874778080246188</v>
      </c>
      <c r="BU353" s="25">
        <v>54.40107696383626</v>
      </c>
      <c r="BV353" s="25">
        <v>80.301438537409624</v>
      </c>
      <c r="BW353" s="25">
        <v>63.173000662907249</v>
      </c>
      <c r="BX353" s="25">
        <v>72.172971973348808</v>
      </c>
      <c r="BY353" s="25">
        <v>63.647049520536022</v>
      </c>
      <c r="BZ353">
        <v>6</v>
      </c>
      <c r="CA353">
        <v>0</v>
      </c>
      <c r="CB353">
        <v>6</v>
      </c>
      <c r="CC353">
        <v>50531.285865999998</v>
      </c>
      <c r="CD353" s="10">
        <v>582.77412100000004</v>
      </c>
      <c r="CE353" s="255">
        <v>1.153293669481148E-2</v>
      </c>
      <c r="CF353" t="str">
        <f>IFERROR(VLOOKUP(CE353,'Rangos amb etnico'!$A$2:$C$6,3,9),"N.D.")</f>
        <v>0,1% - 30%</v>
      </c>
      <c r="CG353" s="256">
        <v>1.695509604322924E-5</v>
      </c>
      <c r="CH353" s="232">
        <v>136.81071600000001</v>
      </c>
      <c r="CI353" s="311">
        <f t="shared" si="157"/>
        <v>2.7074457666246164E-3</v>
      </c>
      <c r="CJ353" s="232" t="str">
        <f>IFERROR(VLOOKUP(CI353,'Rangos amb etnico'!$A$2:$C$6,3,9),"N.D.")</f>
        <v>0,1% - 30%</v>
      </c>
      <c r="CK353" s="311">
        <f t="shared" si="158"/>
        <v>5.4322811523858539E-6</v>
      </c>
      <c r="CL353" s="10">
        <v>0</v>
      </c>
      <c r="CM353" s="255">
        <f t="shared" si="159"/>
        <v>0</v>
      </c>
      <c r="CN353" s="232">
        <f>IFERROR(VLOOKUP(CM353,'Rangos amb etnico'!$A$2:$C$6,3,9),"N.D.")</f>
        <v>0</v>
      </c>
      <c r="CO353" s="311">
        <f t="shared" si="160"/>
        <v>0</v>
      </c>
      <c r="CP353">
        <v>0.86493441263113113</v>
      </c>
      <c r="CQ353" t="s">
        <v>2864</v>
      </c>
      <c r="CR353">
        <f t="shared" si="151"/>
        <v>4</v>
      </c>
      <c r="CS353" t="str">
        <f t="shared" si="161"/>
        <v>Candidato</v>
      </c>
      <c r="CT353">
        <v>0</v>
      </c>
      <c r="CU353">
        <v>0</v>
      </c>
      <c r="CV353" s="25">
        <v>41.748329162597663</v>
      </c>
      <c r="CW353" s="25">
        <v>33.415950775146477</v>
      </c>
      <c r="CX353" s="25">
        <v>53.263710021972663</v>
      </c>
      <c r="CY353" s="25">
        <v>56.802097320556641</v>
      </c>
      <c r="CZ353" s="25">
        <v>44.668453216552727</v>
      </c>
      <c r="DA353" s="25">
        <v>14.30475521087646</v>
      </c>
      <c r="DB353" s="25">
        <v>48.035007476806641</v>
      </c>
      <c r="DC353">
        <v>576</v>
      </c>
      <c r="DD353" s="253" t="s">
        <v>380</v>
      </c>
    </row>
    <row r="354" spans="1:108" hidden="1">
      <c r="A354" s="13">
        <v>44001</v>
      </c>
      <c r="B354" s="13" t="s">
        <v>1164</v>
      </c>
      <c r="C354" s="13" t="s">
        <v>933</v>
      </c>
      <c r="D354" s="13" t="s">
        <v>934</v>
      </c>
      <c r="E354" s="13" t="s">
        <v>1165</v>
      </c>
      <c r="F354" s="14">
        <v>59.009399999999999</v>
      </c>
      <c r="G354" s="13">
        <v>62.89</v>
      </c>
      <c r="H354" s="13">
        <v>60.46</v>
      </c>
      <c r="I354" s="13">
        <v>58.81</v>
      </c>
      <c r="J354" s="14">
        <v>54.181192413250635</v>
      </c>
      <c r="K354" s="14">
        <v>50.366792257412108</v>
      </c>
      <c r="L354" s="14">
        <v>51.361662247054156</v>
      </c>
      <c r="M354" s="14">
        <v>51.029299999999999</v>
      </c>
      <c r="N354" s="14">
        <f t="shared" si="135"/>
        <v>60.292349999999999</v>
      </c>
      <c r="O354" s="14">
        <f t="shared" si="136"/>
        <v>51.734736729429223</v>
      </c>
      <c r="P354" s="14">
        <f t="shared" si="152"/>
        <v>56.013543364714607</v>
      </c>
      <c r="Q354" s="14">
        <v>51.03269251974568</v>
      </c>
      <c r="R354" s="17">
        <f t="shared" si="137"/>
        <v>48.96730748025432</v>
      </c>
      <c r="S354" s="14">
        <f t="shared" si="153"/>
        <v>0.54070576732228892</v>
      </c>
      <c r="T354" s="13">
        <v>0</v>
      </c>
      <c r="U354" s="13">
        <f t="shared" si="154"/>
        <v>30.286845945458317</v>
      </c>
      <c r="V354" s="13">
        <f>IF($T354=1,$AU354,(VLOOKUP(U354,'Cortes naturales'!$A$35:$C$39,3,9)))</f>
        <v>3</v>
      </c>
      <c r="W354" s="13">
        <v>3</v>
      </c>
      <c r="X354" s="14" t="b">
        <f t="shared" si="138"/>
        <v>1</v>
      </c>
      <c r="Y354" s="17">
        <f>IF($T354=1,$AU354,VLOOKUP(U354,'Cortes naturales'!$A$45:$C$49,3,9))</f>
        <v>3</v>
      </c>
      <c r="Z354" s="14">
        <v>54.94219856764613</v>
      </c>
      <c r="AA354" s="14">
        <v>0.55950105955802498</v>
      </c>
      <c r="AB354" s="14">
        <v>30.740218313045414</v>
      </c>
      <c r="AC354" s="13">
        <v>3</v>
      </c>
      <c r="AD354" s="13">
        <f t="shared" si="139"/>
        <v>0</v>
      </c>
      <c r="AE354" s="14">
        <f t="shared" si="140"/>
        <v>1.0713447970684769</v>
      </c>
      <c r="AF354" s="14">
        <f t="shared" si="141"/>
        <v>-1.8795292235736061E-2</v>
      </c>
      <c r="AG354" s="13">
        <f t="shared" si="142"/>
        <v>-0.45337236758709665</v>
      </c>
      <c r="AH354" s="13">
        <f>IF($T354=1,$AU354,VLOOKUP(U354,'Cortes naturales'!$A$25:$C$29,3,9))</f>
        <v>3</v>
      </c>
      <c r="AI354" s="13" t="b">
        <f t="shared" si="143"/>
        <v>1</v>
      </c>
      <c r="AJ354" s="13">
        <f t="shared" si="144"/>
        <v>0</v>
      </c>
      <c r="AK354" s="28">
        <v>0.81759069605862034</v>
      </c>
      <c r="AL354" s="28">
        <v>44.92023036991273</v>
      </c>
      <c r="AM354" s="28">
        <v>0.39127871969967659</v>
      </c>
      <c r="AN354" s="13">
        <v>3</v>
      </c>
      <c r="AO354" s="33">
        <f t="shared" si="145"/>
        <v>0</v>
      </c>
      <c r="AP354" s="13">
        <f t="shared" si="155"/>
        <v>39.127871969967657</v>
      </c>
      <c r="AQ354" s="13">
        <f>IFERROR(VLOOKUP(U354,'Cortes naturales'!$E$15:$G$19,3,9),U354)</f>
        <v>4</v>
      </c>
      <c r="AR354" s="28">
        <f t="shared" si="146"/>
        <v>-0.27688492873633141</v>
      </c>
      <c r="AS354" s="13" t="b">
        <f t="shared" si="147"/>
        <v>0</v>
      </c>
      <c r="AT354" s="13">
        <f t="shared" si="156"/>
        <v>0</v>
      </c>
      <c r="AU354" s="13">
        <v>3</v>
      </c>
      <c r="AV354">
        <f t="shared" si="148"/>
        <v>0</v>
      </c>
      <c r="AW354" s="13">
        <v>1</v>
      </c>
      <c r="AX354" s="13">
        <v>0</v>
      </c>
      <c r="AY354" s="13">
        <v>1</v>
      </c>
      <c r="AZ354" s="13">
        <v>0</v>
      </c>
      <c r="BA354">
        <v>1</v>
      </c>
      <c r="BB354" t="s">
        <v>2838</v>
      </c>
      <c r="BC354">
        <v>3</v>
      </c>
      <c r="BD354" t="s">
        <v>2920</v>
      </c>
      <c r="BE354">
        <v>0</v>
      </c>
      <c r="BF354" s="232" t="s">
        <v>2845</v>
      </c>
      <c r="BG354" s="232" t="s">
        <v>2846</v>
      </c>
      <c r="BH354" s="253">
        <v>45.1</v>
      </c>
      <c r="BI354" s="253">
        <v>36.272125770514052</v>
      </c>
      <c r="BJ354" s="25">
        <v>11.084069310035241</v>
      </c>
      <c r="BK354" t="s">
        <v>377</v>
      </c>
      <c r="BL354">
        <v>3.9232422466869967</v>
      </c>
      <c r="BM354" t="s">
        <v>383</v>
      </c>
      <c r="BN354" s="322">
        <v>738466.308968</v>
      </c>
      <c r="BO354" s="322">
        <v>60295.009915000002</v>
      </c>
      <c r="BP354" s="10">
        <v>209292</v>
      </c>
      <c r="BQ354" s="254">
        <f t="shared" si="149"/>
        <v>3.5284019884563196</v>
      </c>
      <c r="BR354" s="254">
        <f t="shared" si="150"/>
        <v>0.28809037094107753</v>
      </c>
      <c r="BS354" s="25">
        <v>81.641119024931058</v>
      </c>
      <c r="BT354" s="25">
        <v>96.729093487387559</v>
      </c>
      <c r="BU354" s="25">
        <v>50.217863785609872</v>
      </c>
      <c r="BV354" s="25">
        <v>85.324285088115417</v>
      </c>
      <c r="BW354" s="25">
        <v>31.267268257225091</v>
      </c>
      <c r="BX354" s="25">
        <v>78.478090346510982</v>
      </c>
      <c r="BY354" s="25">
        <v>32.113900538823202</v>
      </c>
      <c r="BZ354">
        <v>76</v>
      </c>
      <c r="CA354">
        <v>1</v>
      </c>
      <c r="CB354">
        <v>3</v>
      </c>
      <c r="CC354">
        <v>308241.09467800002</v>
      </c>
      <c r="CD354" s="10">
        <v>69207.900206000006</v>
      </c>
      <c r="CE354" s="255">
        <v>0.22452522198020716</v>
      </c>
      <c r="CF354" t="str">
        <f>IFERROR(VLOOKUP(CE354,'Rangos amb etnico'!$A$2:$C$6,3,9),"N.D.")</f>
        <v>0,1% - 30%</v>
      </c>
      <c r="CG354" s="256">
        <v>2.0135187076073934E-3</v>
      </c>
      <c r="CH354" s="232">
        <v>100056.46255900001</v>
      </c>
      <c r="CI354" s="311">
        <f t="shared" si="157"/>
        <v>0.32460455236678504</v>
      </c>
      <c r="CJ354" s="232" t="str">
        <f>IFERROR(VLOOKUP(CI354,'Rangos amb etnico'!$A$2:$C$6,3,9),"N.D.")</f>
        <v>31% - 50%</v>
      </c>
      <c r="CK354" s="311">
        <f t="shared" si="158"/>
        <v>3.9728966533122776E-3</v>
      </c>
      <c r="CL354" s="10">
        <v>0</v>
      </c>
      <c r="CM354" s="255">
        <f t="shared" si="159"/>
        <v>0</v>
      </c>
      <c r="CN354" s="232">
        <f>IFERROR(VLOOKUP(CM354,'Rangos amb etnico'!$A$2:$C$6,3,9),"N.D.")</f>
        <v>0</v>
      </c>
      <c r="CO354" s="311">
        <f t="shared" si="160"/>
        <v>0</v>
      </c>
      <c r="CP354">
        <v>0.88534933276078442</v>
      </c>
      <c r="CQ354" t="s">
        <v>2864</v>
      </c>
      <c r="CR354">
        <f t="shared" si="151"/>
        <v>1</v>
      </c>
      <c r="CS354" t="str">
        <f t="shared" si="161"/>
        <v>No es Candidato</v>
      </c>
      <c r="CT354">
        <v>1</v>
      </c>
      <c r="CU354" t="s">
        <v>2835</v>
      </c>
      <c r="CV354" s="25">
        <v>44.05810546875</v>
      </c>
      <c r="CW354" s="25">
        <v>48.489707946777337</v>
      </c>
      <c r="CX354" s="25">
        <v>39.759860992431641</v>
      </c>
      <c r="CY354" s="25">
        <v>50.565132141113281</v>
      </c>
      <c r="CZ354" s="25">
        <v>58.804248809814453</v>
      </c>
      <c r="DA354" s="25">
        <v>22.922067642211911</v>
      </c>
      <c r="DB354" s="25">
        <v>43.807613372802727</v>
      </c>
      <c r="DC354">
        <v>86646</v>
      </c>
      <c r="DD354" s="253">
        <v>4.2277462648742326</v>
      </c>
    </row>
    <row r="355" spans="1:108" hidden="1">
      <c r="A355" s="13">
        <v>25183</v>
      </c>
      <c r="B355" s="13" t="s">
        <v>1166</v>
      </c>
      <c r="C355" s="13" t="s">
        <v>461</v>
      </c>
      <c r="D355" s="13" t="s">
        <v>462</v>
      </c>
      <c r="E355" s="13" t="s">
        <v>1167</v>
      </c>
      <c r="F355" s="14">
        <v>68.416633333333294</v>
      </c>
      <c r="G355" s="13">
        <v>52.41</v>
      </c>
      <c r="H355" s="13">
        <v>62.38</v>
      </c>
      <c r="I355" s="13">
        <v>79.33</v>
      </c>
      <c r="J355" s="14">
        <v>58.122547183671216</v>
      </c>
      <c r="K355" s="14">
        <v>55.65158076900407</v>
      </c>
      <c r="L355" s="14">
        <v>60.006437492502805</v>
      </c>
      <c r="M355" s="14">
        <v>58.3018</v>
      </c>
      <c r="N355" s="14">
        <f t="shared" si="135"/>
        <v>65.634158333333318</v>
      </c>
      <c r="O355" s="14">
        <f t="shared" si="136"/>
        <v>58.020591361294521</v>
      </c>
      <c r="P355" s="14">
        <f t="shared" si="152"/>
        <v>61.827374847313919</v>
      </c>
      <c r="Q355" s="14">
        <v>51.048051009313454</v>
      </c>
      <c r="R355" s="17">
        <f t="shared" si="137"/>
        <v>48.951948990686546</v>
      </c>
      <c r="S355" s="14">
        <f t="shared" si="153"/>
        <v>0.54056754091617887</v>
      </c>
      <c r="T355" s="13">
        <v>0</v>
      </c>
      <c r="U355" s="13">
        <f t="shared" si="154"/>
        <v>33.421871982515299</v>
      </c>
      <c r="V355" s="13">
        <f>IF($T355=1,$AU355,(VLOOKUP(U355,'Cortes naturales'!$A$35:$C$39,3,9)))</f>
        <v>3</v>
      </c>
      <c r="W355" s="13">
        <v>3</v>
      </c>
      <c r="X355" s="14" t="b">
        <f t="shared" si="138"/>
        <v>1</v>
      </c>
      <c r="Y355" s="17">
        <f>IF($T355=1,$AU355,VLOOKUP(U355,'Cortes naturales'!$A$45:$C$49,3,9))</f>
        <v>3</v>
      </c>
      <c r="Z355" s="14">
        <v>60.418875846329712</v>
      </c>
      <c r="AA355" s="14">
        <v>0.55872465315511144</v>
      </c>
      <c r="AB355" s="14">
        <v>33.757515451262307</v>
      </c>
      <c r="AC355" s="13">
        <v>3</v>
      </c>
      <c r="AD355" s="13">
        <f t="shared" si="139"/>
        <v>0</v>
      </c>
      <c r="AE355" s="14">
        <f t="shared" si="140"/>
        <v>1.4084990009842073</v>
      </c>
      <c r="AF355" s="14">
        <f t="shared" si="141"/>
        <v>-1.8157112238932571E-2</v>
      </c>
      <c r="AG355" s="13">
        <f t="shared" si="142"/>
        <v>-0.33564346874700846</v>
      </c>
      <c r="AH355" s="13">
        <f>IF($T355=1,$AU355,VLOOKUP(U355,'Cortes naturales'!$A$25:$C$29,3,9))</f>
        <v>3</v>
      </c>
      <c r="AI355" s="13" t="b">
        <f t="shared" si="143"/>
        <v>1</v>
      </c>
      <c r="AJ355" s="13">
        <f t="shared" si="144"/>
        <v>0</v>
      </c>
      <c r="AK355" s="28">
        <v>0.81759069605862034</v>
      </c>
      <c r="AL355" s="28">
        <v>49.397910758280076</v>
      </c>
      <c r="AM355" s="28">
        <v>0.44728978143812748</v>
      </c>
      <c r="AN355" s="13">
        <v>3</v>
      </c>
      <c r="AO355" s="33">
        <f t="shared" si="145"/>
        <v>0</v>
      </c>
      <c r="AP355" s="13">
        <f t="shared" si="155"/>
        <v>44.728978143812746</v>
      </c>
      <c r="AQ355" s="13">
        <f>IFERROR(VLOOKUP(U355,'Cortes naturales'!$E$15:$G$19,3,9),U355)</f>
        <v>4</v>
      </c>
      <c r="AR355" s="28">
        <f t="shared" si="146"/>
        <v>-0.27702315514244147</v>
      </c>
      <c r="AS355" s="13" t="b">
        <f t="shared" si="147"/>
        <v>0</v>
      </c>
      <c r="AT355" s="13">
        <f t="shared" si="156"/>
        <v>0</v>
      </c>
      <c r="AU355" s="13">
        <v>2</v>
      </c>
      <c r="AV355">
        <f t="shared" si="148"/>
        <v>-1</v>
      </c>
      <c r="AW355" s="13">
        <v>0</v>
      </c>
      <c r="AX355" s="13">
        <v>0</v>
      </c>
      <c r="AY355" s="13">
        <v>0</v>
      </c>
      <c r="AZ355" s="13">
        <v>0</v>
      </c>
      <c r="BA355">
        <v>0</v>
      </c>
      <c r="BB355" t="s">
        <v>2839</v>
      </c>
      <c r="BC355">
        <v>6</v>
      </c>
      <c r="BD355" t="s">
        <v>2919</v>
      </c>
      <c r="BE355">
        <v>0</v>
      </c>
      <c r="BF355" s="232" t="s">
        <v>2846</v>
      </c>
      <c r="BG355" s="232" t="s">
        <v>2846</v>
      </c>
      <c r="BH355" s="253">
        <v>27.5</v>
      </c>
      <c r="BI355" s="253">
        <v>7.7609504869715975</v>
      </c>
      <c r="BJ355" s="25">
        <v>0.96842105263157885</v>
      </c>
      <c r="BK355" t="s">
        <v>381</v>
      </c>
      <c r="BL355">
        <v>1.0574056549230284</v>
      </c>
      <c r="BM355" t="s">
        <v>383</v>
      </c>
      <c r="BN355" s="322">
        <v>38460.485703999999</v>
      </c>
      <c r="BO355" s="322">
        <v>9142.9812559999991</v>
      </c>
      <c r="BP355" s="10">
        <v>21836</v>
      </c>
      <c r="BQ355" s="254">
        <f t="shared" si="149"/>
        <v>1.7613338387983146</v>
      </c>
      <c r="BR355" s="254">
        <f t="shared" si="150"/>
        <v>0.41871135995603587</v>
      </c>
      <c r="BS355" s="25">
        <v>61.064866935546583</v>
      </c>
      <c r="BT355" s="25">
        <v>94.911638413628864</v>
      </c>
      <c r="BU355" s="25">
        <v>51.473580107857167</v>
      </c>
      <c r="BV355" s="25">
        <v>93.685426563449482</v>
      </c>
      <c r="BW355" s="25">
        <v>49.573410288907979</v>
      </c>
      <c r="BX355" s="25">
        <v>75.283878005120528</v>
      </c>
      <c r="BY355" s="25">
        <v>50.712807776408397</v>
      </c>
      <c r="BZ355">
        <v>96</v>
      </c>
      <c r="CA355">
        <v>0</v>
      </c>
      <c r="CB355">
        <v>6</v>
      </c>
      <c r="CC355">
        <v>29965.600373000001</v>
      </c>
      <c r="CD355" s="10">
        <v>17043.836293</v>
      </c>
      <c r="CE355" s="255">
        <v>0.56878007050901813</v>
      </c>
      <c r="CF355" t="str">
        <f>IFERROR(VLOOKUP(CE355,'Rangos amb etnico'!$A$2:$C$6,3,9),"N.D.")</f>
        <v>51% - 70%</v>
      </c>
      <c r="CG355" s="256">
        <v>4.958694473203816E-4</v>
      </c>
      <c r="CH355" s="232">
        <v>2.5421680000000002</v>
      </c>
      <c r="CI355" s="311">
        <f t="shared" si="157"/>
        <v>8.4836211133970061E-5</v>
      </c>
      <c r="CJ355" s="232">
        <f>IFERROR(VLOOKUP(CI355,'Rangos amb etnico'!$A$2:$C$6,3,9),"N.D.")</f>
        <v>0</v>
      </c>
      <c r="CK355" s="311">
        <f t="shared" si="158"/>
        <v>1.0094071368355708E-7</v>
      </c>
      <c r="CL355" s="10">
        <v>0</v>
      </c>
      <c r="CM355" s="255">
        <f t="shared" si="159"/>
        <v>0</v>
      </c>
      <c r="CN355" s="232">
        <f>IFERROR(VLOOKUP(CM355,'Rangos amb etnico'!$A$2:$C$6,3,9),"N.D.")</f>
        <v>0</v>
      </c>
      <c r="CO355" s="311">
        <f t="shared" si="160"/>
        <v>0</v>
      </c>
      <c r="CP355">
        <v>0.97539467288741699</v>
      </c>
      <c r="CQ355" t="s">
        <v>2864</v>
      </c>
      <c r="CR355">
        <f t="shared" si="151"/>
        <v>2</v>
      </c>
      <c r="CS355" t="str">
        <f t="shared" si="161"/>
        <v>No es Candidato</v>
      </c>
      <c r="CT355">
        <v>0</v>
      </c>
      <c r="CU355">
        <v>0</v>
      </c>
      <c r="CV355" s="25">
        <v>51.356845855712891</v>
      </c>
      <c r="CW355" s="25">
        <v>35.064598083496087</v>
      </c>
      <c r="CX355" s="25">
        <v>43.292232513427727</v>
      </c>
      <c r="CY355" s="25">
        <v>77.217742919921875</v>
      </c>
      <c r="CZ355" s="25">
        <v>53.590301513671882</v>
      </c>
      <c r="DA355" s="25">
        <v>43.846210479736328</v>
      </c>
      <c r="DB355" s="25">
        <v>55.129985809326172</v>
      </c>
      <c r="DC355">
        <v>114</v>
      </c>
      <c r="DD355" s="253" t="s">
        <v>380</v>
      </c>
    </row>
    <row r="356" spans="1:108" hidden="1">
      <c r="A356" s="13">
        <v>17433</v>
      </c>
      <c r="B356" s="13" t="s">
        <v>1168</v>
      </c>
      <c r="C356" s="13" t="s">
        <v>506</v>
      </c>
      <c r="D356" s="13" t="s">
        <v>507</v>
      </c>
      <c r="E356" s="13" t="s">
        <v>1169</v>
      </c>
      <c r="F356" s="14">
        <v>60.613833333333297</v>
      </c>
      <c r="G356" s="13">
        <v>54.54</v>
      </c>
      <c r="H356" s="13">
        <v>71.22</v>
      </c>
      <c r="I356" s="13">
        <v>77.67</v>
      </c>
      <c r="J356" s="14">
        <v>53.244350243798344</v>
      </c>
      <c r="K356" s="14">
        <v>51.030349751041058</v>
      </c>
      <c r="L356" s="14">
        <v>50.485834864090108</v>
      </c>
      <c r="M356" s="14">
        <v>58.515999999999998</v>
      </c>
      <c r="N356" s="14">
        <f t="shared" si="135"/>
        <v>66.010958333333321</v>
      </c>
      <c r="O356" s="14">
        <f t="shared" si="136"/>
        <v>53.319133714732381</v>
      </c>
      <c r="P356" s="14">
        <f t="shared" si="152"/>
        <v>59.665046024032847</v>
      </c>
      <c r="Q356" s="14">
        <v>50.878391941470703</v>
      </c>
      <c r="R356" s="17">
        <f t="shared" si="137"/>
        <v>49.121608058529297</v>
      </c>
      <c r="S356" s="14">
        <f t="shared" si="153"/>
        <v>0.54209447252676368</v>
      </c>
      <c r="T356" s="13">
        <v>0</v>
      </c>
      <c r="U356" s="13">
        <f t="shared" si="154"/>
        <v>32.344091652683161</v>
      </c>
      <c r="V356" s="13">
        <f>IF($T356=1,$AU356,(VLOOKUP(U356,'Cortes naturales'!$A$35:$C$39,3,9)))</f>
        <v>3</v>
      </c>
      <c r="W356" s="13">
        <v>3</v>
      </c>
      <c r="X356" s="14" t="b">
        <f t="shared" si="138"/>
        <v>1</v>
      </c>
      <c r="Y356" s="17">
        <f>IF($T356=1,$AU356,VLOOKUP(U356,'Cortes naturales'!$A$45:$C$49,3,9))</f>
        <v>3</v>
      </c>
      <c r="Z356" s="14">
        <v>56.943347607682853</v>
      </c>
      <c r="AA356" s="14">
        <v>0.55992443492351296</v>
      </c>
      <c r="AB356" s="14">
        <v>31.883971731884994</v>
      </c>
      <c r="AC356" s="13">
        <v>3</v>
      </c>
      <c r="AD356" s="13">
        <f t="shared" si="139"/>
        <v>0</v>
      </c>
      <c r="AE356" s="14">
        <f t="shared" si="140"/>
        <v>2.7216984163499944</v>
      </c>
      <c r="AF356" s="14">
        <f t="shared" si="141"/>
        <v>-1.7829962396749277E-2</v>
      </c>
      <c r="AG356" s="13">
        <f t="shared" si="142"/>
        <v>0.46011992079816721</v>
      </c>
      <c r="AH356" s="13">
        <f>IF($T356=1,$AU356,VLOOKUP(U356,'Cortes naturales'!$A$25:$C$29,3,9))</f>
        <v>3</v>
      </c>
      <c r="AI356" s="13" t="b">
        <f t="shared" si="143"/>
        <v>1</v>
      </c>
      <c r="AJ356" s="13">
        <f t="shared" si="144"/>
        <v>0</v>
      </c>
      <c r="AK356" s="28">
        <v>0.81759069605862034</v>
      </c>
      <c r="AL356" s="28">
        <v>46.556351206473394</v>
      </c>
      <c r="AM356" s="28">
        <v>0.41174486673112637</v>
      </c>
      <c r="AN356" s="13">
        <v>3</v>
      </c>
      <c r="AO356" s="33">
        <f t="shared" si="145"/>
        <v>0</v>
      </c>
      <c r="AP356" s="13">
        <f t="shared" si="155"/>
        <v>41.174486673112639</v>
      </c>
      <c r="AQ356" s="13">
        <f>IFERROR(VLOOKUP(U356,'Cortes naturales'!$E$15:$G$19,3,9),U356)</f>
        <v>4</v>
      </c>
      <c r="AR356" s="28">
        <f t="shared" si="146"/>
        <v>-0.27549622353185665</v>
      </c>
      <c r="AS356" s="13" t="b">
        <f t="shared" si="147"/>
        <v>0</v>
      </c>
      <c r="AT356" s="13">
        <f t="shared" si="156"/>
        <v>0</v>
      </c>
      <c r="AU356" s="13">
        <v>3</v>
      </c>
      <c r="AV356">
        <f t="shared" si="148"/>
        <v>0</v>
      </c>
      <c r="AW356" s="13">
        <v>0</v>
      </c>
      <c r="AX356" s="13">
        <v>0</v>
      </c>
      <c r="AY356" s="13">
        <v>0</v>
      </c>
      <c r="AZ356" s="13">
        <v>0</v>
      </c>
      <c r="BA356">
        <v>0</v>
      </c>
      <c r="BB356" t="s">
        <v>2839</v>
      </c>
      <c r="BC356">
        <v>6</v>
      </c>
      <c r="BD356" t="s">
        <v>2919</v>
      </c>
      <c r="BE356">
        <v>0</v>
      </c>
      <c r="BF356" s="232" t="s">
        <v>2846</v>
      </c>
      <c r="BG356" s="232" t="s">
        <v>2845</v>
      </c>
      <c r="BH356" s="253">
        <v>37.5</v>
      </c>
      <c r="BI356" s="253">
        <v>17.137316688886195</v>
      </c>
      <c r="BJ356" s="25">
        <v>23.814706521546295</v>
      </c>
      <c r="BK356" t="s">
        <v>379</v>
      </c>
      <c r="BL356">
        <v>1.9632838788195914</v>
      </c>
      <c r="BM356" t="s">
        <v>383</v>
      </c>
      <c r="BN356" s="322">
        <v>34926.980773000003</v>
      </c>
      <c r="BO356" s="322">
        <v>3559.8553189999998</v>
      </c>
      <c r="BP356" s="10">
        <v>18375</v>
      </c>
      <c r="BQ356" s="254">
        <f t="shared" si="149"/>
        <v>1.9007880692789116</v>
      </c>
      <c r="BR356" s="254">
        <f t="shared" si="150"/>
        <v>0.19373362280272108</v>
      </c>
      <c r="BS356" s="25">
        <v>58.645707334028486</v>
      </c>
      <c r="BT356" s="25">
        <v>93.813713446712015</v>
      </c>
      <c r="BU356" s="25">
        <v>42.21223722920567</v>
      </c>
      <c r="BV356" s="25">
        <v>95.685651248367307</v>
      </c>
      <c r="BW356" s="25">
        <v>64.480086557707367</v>
      </c>
      <c r="BX356" s="25">
        <v>72.58932731457837</v>
      </c>
      <c r="BY356" s="25">
        <v>65.272645440115966</v>
      </c>
      <c r="BZ356">
        <v>13</v>
      </c>
      <c r="CA356">
        <v>0</v>
      </c>
      <c r="CB356">
        <v>6</v>
      </c>
      <c r="CC356">
        <v>19780.451559000001</v>
      </c>
      <c r="CD356" s="10">
        <v>13321.138288</v>
      </c>
      <c r="CE356" s="255">
        <v>0.67344965549782676</v>
      </c>
      <c r="CF356" t="str">
        <f>IFERROR(VLOOKUP(CE356,'Rangos amb etnico'!$A$2:$C$6,3,9),"N.D.")</f>
        <v>51% - 70%</v>
      </c>
      <c r="CG356" s="256">
        <v>3.8756212902971084E-4</v>
      </c>
      <c r="CH356" s="232">
        <v>0</v>
      </c>
      <c r="CI356" s="311">
        <f t="shared" si="157"/>
        <v>0</v>
      </c>
      <c r="CJ356" s="232">
        <f>IFERROR(VLOOKUP(CI356,'Rangos amb etnico'!$A$2:$C$6,3,9),"N.D.")</f>
        <v>0</v>
      </c>
      <c r="CK356" s="311">
        <f t="shared" si="158"/>
        <v>0</v>
      </c>
      <c r="CL356" s="10">
        <v>0</v>
      </c>
      <c r="CM356" s="255">
        <f t="shared" si="159"/>
        <v>0</v>
      </c>
      <c r="CN356" s="232">
        <f>IFERROR(VLOOKUP(CM356,'Rangos amb etnico'!$A$2:$C$6,3,9),"N.D.")</f>
        <v>0</v>
      </c>
      <c r="CO356" s="311">
        <f t="shared" si="160"/>
        <v>0</v>
      </c>
      <c r="CP356">
        <v>0.96440249489454266</v>
      </c>
      <c r="CQ356" t="s">
        <v>2864</v>
      </c>
      <c r="CR356">
        <f t="shared" si="151"/>
        <v>3</v>
      </c>
      <c r="CS356" t="str">
        <f t="shared" si="161"/>
        <v>Candidato</v>
      </c>
      <c r="CT356">
        <v>0</v>
      </c>
      <c r="CU356">
        <v>0</v>
      </c>
      <c r="CV356" s="25">
        <v>49.616809844970703</v>
      </c>
      <c r="CW356" s="25">
        <v>26.252748489379879</v>
      </c>
      <c r="CX356" s="25">
        <v>50.113136291503913</v>
      </c>
      <c r="CY356" s="25">
        <v>48.866172790527337</v>
      </c>
      <c r="CZ356" s="25">
        <v>29.702663421630859</v>
      </c>
      <c r="DA356" s="25">
        <v>84.822425842285156</v>
      </c>
      <c r="DB356" s="25">
        <v>57.943714141845703</v>
      </c>
      <c r="DC356">
        <v>268</v>
      </c>
      <c r="DD356" s="253" t="s">
        <v>380</v>
      </c>
    </row>
    <row r="357" spans="1:108" hidden="1">
      <c r="A357" s="13">
        <v>23678</v>
      </c>
      <c r="B357" s="13" t="s">
        <v>1170</v>
      </c>
      <c r="C357" s="13" t="s">
        <v>567</v>
      </c>
      <c r="D357" s="13" t="s">
        <v>568</v>
      </c>
      <c r="E357" s="13" t="s">
        <v>1171</v>
      </c>
      <c r="F357" s="14">
        <v>47.596299999999999</v>
      </c>
      <c r="G357" s="13">
        <v>47.58</v>
      </c>
      <c r="H357" s="13">
        <v>49.14</v>
      </c>
      <c r="I357" s="13">
        <v>64.66</v>
      </c>
      <c r="J357" s="14">
        <v>45.436085419611928</v>
      </c>
      <c r="K357" s="14">
        <v>46.817887415543616</v>
      </c>
      <c r="L357" s="14">
        <v>40.868181109607349</v>
      </c>
      <c r="M357" s="14">
        <v>56.738999999999997</v>
      </c>
      <c r="N357" s="14">
        <f t="shared" si="135"/>
        <v>52.244075000000002</v>
      </c>
      <c r="O357" s="14">
        <f t="shared" si="136"/>
        <v>47.465288486190722</v>
      </c>
      <c r="P357" s="14">
        <f t="shared" si="152"/>
        <v>49.854681743095362</v>
      </c>
      <c r="Q357" s="14">
        <v>50.15222790293695</v>
      </c>
      <c r="R357" s="17">
        <f t="shared" si="137"/>
        <v>49.84777209706305</v>
      </c>
      <c r="S357" s="14">
        <f t="shared" si="153"/>
        <v>0.54862994887356742</v>
      </c>
      <c r="T357" s="13">
        <v>0</v>
      </c>
      <c r="U357" s="13">
        <f t="shared" si="154"/>
        <v>27.351771495822383</v>
      </c>
      <c r="V357" s="13">
        <f>IF($T357=1,$AU357,(VLOOKUP(U357,'Cortes naturales'!$A$35:$C$39,3,9)))</f>
        <v>4</v>
      </c>
      <c r="W357" s="13">
        <v>4</v>
      </c>
      <c r="X357" s="14" t="b">
        <f t="shared" si="138"/>
        <v>1</v>
      </c>
      <c r="Y357" s="17">
        <f>IF($T357=1,$AU357,VLOOKUP(U357,'Cortes naturales'!$A$45:$C$49,3,9))</f>
        <v>4</v>
      </c>
      <c r="Z357" s="14">
        <v>45.611677661534884</v>
      </c>
      <c r="AA357" s="14">
        <v>0.55874964433085239</v>
      </c>
      <c r="AB357" s="14">
        <v>25.485508670716101</v>
      </c>
      <c r="AC357" s="13">
        <v>4</v>
      </c>
      <c r="AD357" s="13">
        <f t="shared" si="139"/>
        <v>0</v>
      </c>
      <c r="AE357" s="14">
        <f t="shared" si="140"/>
        <v>4.2430040815604784</v>
      </c>
      <c r="AF357" s="14">
        <f t="shared" si="141"/>
        <v>-1.0119695457284972E-2</v>
      </c>
      <c r="AG357" s="13">
        <f t="shared" si="142"/>
        <v>1.8662628251062827</v>
      </c>
      <c r="AH357" s="13">
        <f>IF($T357=1,$AU357,VLOOKUP(U357,'Cortes naturales'!$A$25:$C$29,3,9))</f>
        <v>4</v>
      </c>
      <c r="AI357" s="13" t="b">
        <f t="shared" si="143"/>
        <v>1</v>
      </c>
      <c r="AJ357" s="13">
        <f t="shared" si="144"/>
        <v>0</v>
      </c>
      <c r="AK357" s="28">
        <v>0.81759069605862034</v>
      </c>
      <c r="AL357" s="28">
        <v>37.291683287695733</v>
      </c>
      <c r="AM357" s="28">
        <v>0.29585363694772698</v>
      </c>
      <c r="AN357" s="13">
        <v>4</v>
      </c>
      <c r="AO357" s="33">
        <f t="shared" si="145"/>
        <v>0</v>
      </c>
      <c r="AP357" s="13">
        <f t="shared" si="155"/>
        <v>29.585363694772699</v>
      </c>
      <c r="AQ357" s="13">
        <f>IFERROR(VLOOKUP(U357,'Cortes naturales'!$E$15:$G$19,3,9),U357)</f>
        <v>4</v>
      </c>
      <c r="AR357" s="28">
        <f t="shared" si="146"/>
        <v>-0.26896074718505292</v>
      </c>
      <c r="AS357" s="13" t="b">
        <f t="shared" si="147"/>
        <v>1</v>
      </c>
      <c r="AT357" s="13">
        <f t="shared" si="156"/>
        <v>0</v>
      </c>
      <c r="AU357" s="13">
        <v>4</v>
      </c>
      <c r="AV357">
        <f t="shared" si="148"/>
        <v>0</v>
      </c>
      <c r="AW357" s="13">
        <v>0</v>
      </c>
      <c r="AX357" s="13">
        <v>0</v>
      </c>
      <c r="AY357" s="13">
        <v>0</v>
      </c>
      <c r="AZ357" s="13">
        <v>0</v>
      </c>
      <c r="BA357">
        <v>0</v>
      </c>
      <c r="BB357" t="s">
        <v>2840</v>
      </c>
      <c r="BC357">
        <v>6</v>
      </c>
      <c r="BD357" t="s">
        <v>2919</v>
      </c>
      <c r="BE357">
        <v>1</v>
      </c>
      <c r="BF357" s="232" t="s">
        <v>2846</v>
      </c>
      <c r="BG357" s="232" t="s">
        <v>2846</v>
      </c>
      <c r="BH357" s="253">
        <v>58</v>
      </c>
      <c r="BI357" s="253">
        <v>38.60275369709332</v>
      </c>
      <c r="BJ357" s="25">
        <v>0</v>
      </c>
      <c r="BK357" t="s">
        <v>381</v>
      </c>
      <c r="BL357">
        <v>6.2899008250235156</v>
      </c>
      <c r="BM357" t="s">
        <v>379</v>
      </c>
      <c r="BN357" s="322">
        <v>61374.497448000002</v>
      </c>
      <c r="BO357" s="322">
        <v>3802.2942659999999</v>
      </c>
      <c r="BP357" s="10">
        <v>28745</v>
      </c>
      <c r="BQ357" s="254">
        <f t="shared" si="149"/>
        <v>2.135136456705514</v>
      </c>
      <c r="BR357" s="254">
        <f t="shared" si="150"/>
        <v>0.13227671824665158</v>
      </c>
      <c r="BS357" s="25">
        <v>51.166496192976119</v>
      </c>
      <c r="BT357" s="25">
        <v>85.719319725169598</v>
      </c>
      <c r="BU357" s="25">
        <v>22.728783959274828</v>
      </c>
      <c r="BV357" s="25">
        <v>93.977617949364472</v>
      </c>
      <c r="BW357" s="25">
        <v>55.186775364713569</v>
      </c>
      <c r="BX357" s="25">
        <v>63.398054456696258</v>
      </c>
      <c r="BY357" s="25">
        <v>54.718837703146633</v>
      </c>
      <c r="BZ357">
        <v>10</v>
      </c>
      <c r="CA357">
        <v>0</v>
      </c>
      <c r="CB357">
        <v>7</v>
      </c>
      <c r="CC357">
        <v>44643.970652999997</v>
      </c>
      <c r="CD357" s="10">
        <v>486.44541299999997</v>
      </c>
      <c r="CE357" s="255">
        <v>1.0896105473703238E-2</v>
      </c>
      <c r="CF357" t="str">
        <f>IFERROR(VLOOKUP(CE357,'Rangos amb etnico'!$A$2:$C$6,3,9),"N.D.")</f>
        <v>0,1% - 30%</v>
      </c>
      <c r="CG357" s="256">
        <v>1.415253080052831E-5</v>
      </c>
      <c r="CH357" s="232">
        <v>0</v>
      </c>
      <c r="CI357" s="311">
        <f t="shared" si="157"/>
        <v>0</v>
      </c>
      <c r="CJ357" s="232">
        <f>IFERROR(VLOOKUP(CI357,'Rangos amb etnico'!$A$2:$C$6,3,9),"N.D.")</f>
        <v>0</v>
      </c>
      <c r="CK357" s="311">
        <f t="shared" si="158"/>
        <v>0</v>
      </c>
      <c r="CL357" s="10">
        <v>0</v>
      </c>
      <c r="CM357" s="255">
        <f t="shared" si="159"/>
        <v>0</v>
      </c>
      <c r="CN357" s="232">
        <f>IFERROR(VLOOKUP(CM357,'Rangos amb etnico'!$A$2:$C$6,3,9),"N.D.")</f>
        <v>0</v>
      </c>
      <c r="CO357" s="311">
        <f t="shared" si="160"/>
        <v>0</v>
      </c>
      <c r="CP357">
        <v>0.96505245393394934</v>
      </c>
      <c r="CQ357" t="s">
        <v>2864</v>
      </c>
      <c r="CR357">
        <f t="shared" si="151"/>
        <v>2</v>
      </c>
      <c r="CS357" t="str">
        <f t="shared" si="161"/>
        <v>No es Candidato</v>
      </c>
      <c r="CT357">
        <v>0</v>
      </c>
      <c r="CU357">
        <v>0</v>
      </c>
      <c r="CV357" s="25">
        <v>53.150047302246087</v>
      </c>
      <c r="CW357" s="25">
        <v>29.927455902099609</v>
      </c>
      <c r="CX357" s="25">
        <v>67.722099304199219</v>
      </c>
      <c r="CY357" s="25">
        <v>61.052211761474609</v>
      </c>
      <c r="CZ357" s="25">
        <v>28.468730926513668</v>
      </c>
      <c r="DA357" s="25">
        <v>71.7025146484375</v>
      </c>
      <c r="DB357" s="25">
        <v>60.027275085449219</v>
      </c>
      <c r="DC357">
        <v>393</v>
      </c>
      <c r="DD357" s="253" t="s">
        <v>380</v>
      </c>
    </row>
    <row r="358" spans="1:108" hidden="1">
      <c r="A358" s="13">
        <v>15299</v>
      </c>
      <c r="B358" s="13" t="s">
        <v>1172</v>
      </c>
      <c r="C358" s="13" t="s">
        <v>498</v>
      </c>
      <c r="D358" s="13" t="s">
        <v>499</v>
      </c>
      <c r="E358" s="13" t="s">
        <v>1173</v>
      </c>
      <c r="F358" s="14">
        <v>65.395133333333305</v>
      </c>
      <c r="G358" s="13">
        <v>60.07</v>
      </c>
      <c r="H358" s="13">
        <v>86.36</v>
      </c>
      <c r="I358" s="13">
        <v>86.4</v>
      </c>
      <c r="J358" s="14">
        <v>65.42412333885828</v>
      </c>
      <c r="K358" s="14">
        <v>56.76746447400533</v>
      </c>
      <c r="L358" s="14">
        <v>64.097436246040417</v>
      </c>
      <c r="M358" s="14">
        <v>52.541400000000003</v>
      </c>
      <c r="N358" s="14">
        <f t="shared" si="135"/>
        <v>74.55628333333334</v>
      </c>
      <c r="O358" s="14">
        <f t="shared" si="136"/>
        <v>59.707606014726011</v>
      </c>
      <c r="P358" s="14">
        <f t="shared" si="152"/>
        <v>67.131944674029683</v>
      </c>
      <c r="Q358" s="14">
        <v>50.11564036854125</v>
      </c>
      <c r="R358" s="17">
        <f t="shared" si="137"/>
        <v>49.88435963145875</v>
      </c>
      <c r="S358" s="14">
        <f t="shared" si="153"/>
        <v>0.54895923668312874</v>
      </c>
      <c r="T358" s="13">
        <v>0</v>
      </c>
      <c r="U358" s="13">
        <f t="shared" si="154"/>
        <v>36.852701105309364</v>
      </c>
      <c r="V358" s="13">
        <f>IF($T358=1,$AU358,(VLOOKUP(U358,'Cortes naturales'!$A$35:$C$39,3,9)))</f>
        <v>3</v>
      </c>
      <c r="W358" s="13">
        <v>3</v>
      </c>
      <c r="X358" s="14" t="b">
        <f t="shared" si="138"/>
        <v>1</v>
      </c>
      <c r="Y358" s="17">
        <f>IF($T358=1,$AU358,VLOOKUP(U358,'Cortes naturales'!$A$45:$C$49,3,9))</f>
        <v>2</v>
      </c>
      <c r="Z358" s="14">
        <v>64.544522417367048</v>
      </c>
      <c r="AA358" s="14">
        <v>0.55904813218074068</v>
      </c>
      <c r="AB358" s="14">
        <v>36.083494699926995</v>
      </c>
      <c r="AC358" s="13">
        <v>2</v>
      </c>
      <c r="AD358" s="13">
        <f t="shared" si="139"/>
        <v>0</v>
      </c>
      <c r="AE358" s="14">
        <f t="shared" si="140"/>
        <v>2.5874222566626344</v>
      </c>
      <c r="AF358" s="14">
        <f t="shared" si="141"/>
        <v>-1.0088895497611938E-2</v>
      </c>
      <c r="AG358" s="13">
        <f t="shared" si="142"/>
        <v>0.76920640538236995</v>
      </c>
      <c r="AH358" s="13">
        <f>IF($T358=1,$AU358,VLOOKUP(U358,'Cortes naturales'!$A$25:$C$29,3,9))</f>
        <v>2</v>
      </c>
      <c r="AI358" s="13" t="b">
        <f t="shared" si="143"/>
        <v>1</v>
      </c>
      <c r="AJ358" s="13">
        <f t="shared" si="144"/>
        <v>0</v>
      </c>
      <c r="AK358" s="28">
        <v>0.81759069605862034</v>
      </c>
      <c r="AL358" s="28">
        <v>52.77100100998635</v>
      </c>
      <c r="AM358" s="28">
        <v>0.48948358491470273</v>
      </c>
      <c r="AN358" s="13">
        <v>2</v>
      </c>
      <c r="AO358" s="33">
        <f t="shared" si="145"/>
        <v>0</v>
      </c>
      <c r="AP358" s="13">
        <f t="shared" si="155"/>
        <v>48.948358491470273</v>
      </c>
      <c r="AQ358" s="13">
        <f>IFERROR(VLOOKUP(U358,'Cortes naturales'!$E$15:$G$19,3,9),U358)</f>
        <v>3</v>
      </c>
      <c r="AR358" s="28">
        <f t="shared" si="146"/>
        <v>-0.2686314593754916</v>
      </c>
      <c r="AS358" s="13" t="b">
        <f t="shared" si="147"/>
        <v>0</v>
      </c>
      <c r="AT358" s="13">
        <f t="shared" si="156"/>
        <v>0</v>
      </c>
      <c r="AU358" s="13">
        <v>2</v>
      </c>
      <c r="AV358">
        <f t="shared" si="148"/>
        <v>0</v>
      </c>
      <c r="AW358" s="13">
        <v>0</v>
      </c>
      <c r="AX358" s="13">
        <v>0</v>
      </c>
      <c r="AY358" s="13">
        <v>0</v>
      </c>
      <c r="AZ358" s="13">
        <v>0</v>
      </c>
      <c r="BA358">
        <v>0</v>
      </c>
      <c r="BB358" t="s">
        <v>2839</v>
      </c>
      <c r="BC358">
        <v>6</v>
      </c>
      <c r="BD358" t="s">
        <v>2919</v>
      </c>
      <c r="BE358">
        <v>0</v>
      </c>
      <c r="BF358" s="232" t="s">
        <v>2846</v>
      </c>
      <c r="BG358" s="232" t="s">
        <v>2846</v>
      </c>
      <c r="BH358" s="253">
        <v>20.3</v>
      </c>
      <c r="BI358" s="253">
        <v>7.3120125921156189</v>
      </c>
      <c r="BJ358" s="25">
        <v>15.771397115632242</v>
      </c>
      <c r="BK358" t="s">
        <v>379</v>
      </c>
      <c r="BL358">
        <v>0.51033578034512828</v>
      </c>
      <c r="BM358" t="s">
        <v>383</v>
      </c>
      <c r="BN358" s="322">
        <v>36753.230138999999</v>
      </c>
      <c r="BO358" s="322">
        <v>5730.8242719999998</v>
      </c>
      <c r="BP358" s="10">
        <v>19295</v>
      </c>
      <c r="BQ358" s="254">
        <f t="shared" si="149"/>
        <v>1.904805915470329</v>
      </c>
      <c r="BR358" s="254">
        <f t="shared" si="150"/>
        <v>0.29701084591863175</v>
      </c>
      <c r="BS358" s="25">
        <v>62.61009825072157</v>
      </c>
      <c r="BT358" s="25">
        <v>92.103256017102879</v>
      </c>
      <c r="BU358" s="25">
        <v>60.006230158730133</v>
      </c>
      <c r="BV358" s="25">
        <v>89.101125595346844</v>
      </c>
      <c r="BW358" s="25">
        <v>58.894349519688248</v>
      </c>
      <c r="BX358" s="25">
        <v>75.955177505475348</v>
      </c>
      <c r="BY358" s="25">
        <v>61.464750913806419</v>
      </c>
      <c r="BZ358">
        <v>98</v>
      </c>
      <c r="CA358">
        <v>1</v>
      </c>
      <c r="CB358">
        <v>6</v>
      </c>
      <c r="CC358">
        <v>19317.456870999999</v>
      </c>
      <c r="CD358" s="10">
        <v>9512.0850589999991</v>
      </c>
      <c r="CE358" s="255">
        <v>0.49240876387201121</v>
      </c>
      <c r="CF358" t="str">
        <f>IFERROR(VLOOKUP(CE358,'Rangos amb etnico'!$A$2:$C$6,3,9),"N.D.")</f>
        <v>31% - 50%</v>
      </c>
      <c r="CG358" s="256">
        <v>2.7674241174259495E-4</v>
      </c>
      <c r="CH358" s="232">
        <v>0</v>
      </c>
      <c r="CI358" s="311">
        <f t="shared" si="157"/>
        <v>0</v>
      </c>
      <c r="CJ358" s="232">
        <f>IFERROR(VLOOKUP(CI358,'Rangos amb etnico'!$A$2:$C$6,3,9),"N.D.")</f>
        <v>0</v>
      </c>
      <c r="CK358" s="311">
        <f t="shared" si="158"/>
        <v>0</v>
      </c>
      <c r="CL358" s="10">
        <v>0</v>
      </c>
      <c r="CM358" s="255">
        <f t="shared" si="159"/>
        <v>0</v>
      </c>
      <c r="CN358" s="232">
        <f>IFERROR(VLOOKUP(CM358,'Rangos amb etnico'!$A$2:$C$6,3,9),"N.D.")</f>
        <v>0</v>
      </c>
      <c r="CO358" s="311">
        <f t="shared" si="160"/>
        <v>0</v>
      </c>
      <c r="CP358">
        <v>0.98471027156793145</v>
      </c>
      <c r="CQ358" t="s">
        <v>2864</v>
      </c>
      <c r="CR358">
        <f t="shared" si="151"/>
        <v>3</v>
      </c>
      <c r="CS358" t="str">
        <f t="shared" si="161"/>
        <v>Candidato</v>
      </c>
      <c r="CT358">
        <v>0</v>
      </c>
      <c r="CU358">
        <v>0</v>
      </c>
      <c r="CV358" s="25">
        <v>53.964122772216797</v>
      </c>
      <c r="CW358" s="25">
        <v>26.743501663208011</v>
      </c>
      <c r="CX358" s="25">
        <v>44.637065887451172</v>
      </c>
      <c r="CY358" s="25">
        <v>70.073081970214844</v>
      </c>
      <c r="CZ358" s="25">
        <v>55.844074249267578</v>
      </c>
      <c r="DA358" s="25">
        <v>69.657173156738281</v>
      </c>
      <c r="DB358" s="25">
        <v>56.829830169677727</v>
      </c>
      <c r="DC358">
        <v>233</v>
      </c>
      <c r="DD358" s="253" t="s">
        <v>380</v>
      </c>
    </row>
    <row r="359" spans="1:108" hidden="1">
      <c r="A359" s="13">
        <v>47245</v>
      </c>
      <c r="B359" s="13" t="s">
        <v>1174</v>
      </c>
      <c r="C359" s="13" t="s">
        <v>638</v>
      </c>
      <c r="D359" s="13" t="s">
        <v>639</v>
      </c>
      <c r="E359" s="13" t="s">
        <v>1175</v>
      </c>
      <c r="F359" s="14">
        <v>63.216933333333301</v>
      </c>
      <c r="G359" s="13">
        <v>50.82</v>
      </c>
      <c r="H359" s="13">
        <v>65.58</v>
      </c>
      <c r="I359" s="13">
        <v>71.02</v>
      </c>
      <c r="J359" s="14">
        <v>44.89173538567897</v>
      </c>
      <c r="K359" s="14">
        <v>48.176367456555035</v>
      </c>
      <c r="L359" s="14">
        <v>41.514050299338379</v>
      </c>
      <c r="M359" s="14">
        <v>50.866199999999999</v>
      </c>
      <c r="N359" s="14">
        <f t="shared" si="135"/>
        <v>62.659233333333319</v>
      </c>
      <c r="O359" s="14">
        <f t="shared" si="136"/>
        <v>46.362088285393092</v>
      </c>
      <c r="P359" s="14">
        <f t="shared" si="152"/>
        <v>54.510660809363202</v>
      </c>
      <c r="Q359" s="14">
        <v>49.976720977370292</v>
      </c>
      <c r="R359" s="17">
        <f t="shared" si="137"/>
        <v>50.023279022629708</v>
      </c>
      <c r="S359" s="14">
        <f t="shared" si="153"/>
        <v>0.55020951120366735</v>
      </c>
      <c r="T359" s="13">
        <v>0</v>
      </c>
      <c r="U359" s="13">
        <f t="shared" si="154"/>
        <v>29.992284039308633</v>
      </c>
      <c r="V359" s="13">
        <f>IF($T359=1,$AU359,(VLOOKUP(U359,'Cortes naturales'!$A$35:$C$39,3,9)))</f>
        <v>3</v>
      </c>
      <c r="W359" s="13">
        <v>3</v>
      </c>
      <c r="X359" s="14" t="b">
        <f t="shared" si="138"/>
        <v>1</v>
      </c>
      <c r="Y359" s="17">
        <f>IF($T359=1,$AU359,VLOOKUP(U359,'Cortes naturales'!$A$45:$C$49,3,9))</f>
        <v>3</v>
      </c>
      <c r="Z359" s="14">
        <v>53.193205495052609</v>
      </c>
      <c r="AA359" s="14">
        <v>0.55848386774120518</v>
      </c>
      <c r="AB359" s="14">
        <v>29.707547142429711</v>
      </c>
      <c r="AC359" s="13">
        <v>3</v>
      </c>
      <c r="AD359" s="13">
        <f t="shared" si="139"/>
        <v>0</v>
      </c>
      <c r="AE359" s="14">
        <f t="shared" si="140"/>
        <v>1.3174553143105925</v>
      </c>
      <c r="AF359" s="14">
        <f t="shared" si="141"/>
        <v>-8.2743565375378303E-3</v>
      </c>
      <c r="AG359" s="13">
        <f t="shared" si="142"/>
        <v>0.2847368968789219</v>
      </c>
      <c r="AH359" s="13">
        <f>IF($T359=1,$AU359,VLOOKUP(U359,'Cortes naturales'!$A$25:$C$29,3,9))</f>
        <v>3</v>
      </c>
      <c r="AI359" s="13" t="b">
        <f t="shared" si="143"/>
        <v>1</v>
      </c>
      <c r="AJ359" s="13">
        <f t="shared" si="144"/>
        <v>0</v>
      </c>
      <c r="AK359" s="28">
        <v>0.81759069605862034</v>
      </c>
      <c r="AL359" s="28">
        <v>43.490269906289292</v>
      </c>
      <c r="AM359" s="28">
        <v>0.37339142162015465</v>
      </c>
      <c r="AN359" s="13">
        <v>3</v>
      </c>
      <c r="AO359" s="33">
        <f t="shared" si="145"/>
        <v>0</v>
      </c>
      <c r="AP359" s="13">
        <f t="shared" si="155"/>
        <v>37.339142162015463</v>
      </c>
      <c r="AQ359" s="13">
        <f>IFERROR(VLOOKUP(U359,'Cortes naturales'!$E$15:$G$19,3,9),U359)</f>
        <v>4</v>
      </c>
      <c r="AR359" s="28">
        <f t="shared" si="146"/>
        <v>-0.26738118485495299</v>
      </c>
      <c r="AS359" s="13" t="b">
        <f t="shared" si="147"/>
        <v>0</v>
      </c>
      <c r="AT359" s="13">
        <f t="shared" si="156"/>
        <v>0</v>
      </c>
      <c r="AU359" s="13">
        <v>3</v>
      </c>
      <c r="AV359">
        <f t="shared" si="148"/>
        <v>0</v>
      </c>
      <c r="AW359" s="13">
        <v>0</v>
      </c>
      <c r="AX359" s="13">
        <v>0</v>
      </c>
      <c r="AY359" s="13">
        <v>0</v>
      </c>
      <c r="AZ359" s="13">
        <v>0</v>
      </c>
      <c r="BA359">
        <v>0</v>
      </c>
      <c r="BB359" t="s">
        <v>2839</v>
      </c>
      <c r="BC359">
        <v>6</v>
      </c>
      <c r="BD359" t="s">
        <v>2919</v>
      </c>
      <c r="BE359">
        <v>0</v>
      </c>
      <c r="BF359" s="232" t="s">
        <v>2846</v>
      </c>
      <c r="BG359" s="232" t="s">
        <v>2846</v>
      </c>
      <c r="BH359" s="253">
        <v>54.7</v>
      </c>
      <c r="BI359" s="253">
        <v>32.174865229110509</v>
      </c>
      <c r="BJ359" s="25">
        <v>11.184210526315789</v>
      </c>
      <c r="BK359" t="s">
        <v>377</v>
      </c>
      <c r="BL359">
        <v>3.7425147664789589</v>
      </c>
      <c r="BM359" t="s">
        <v>383</v>
      </c>
      <c r="BN359" s="322">
        <v>113626.279562</v>
      </c>
      <c r="BO359" s="322">
        <v>8323.1314160000002</v>
      </c>
      <c r="BP359" s="10">
        <v>75024</v>
      </c>
      <c r="BQ359" s="254">
        <f t="shared" si="149"/>
        <v>1.5145324104553208</v>
      </c>
      <c r="BR359" s="254">
        <f t="shared" si="150"/>
        <v>0.11093958487950523</v>
      </c>
      <c r="BS359" s="25">
        <v>60.02015694714013</v>
      </c>
      <c r="BT359" s="25">
        <v>92.791419882547885</v>
      </c>
      <c r="BU359" s="25">
        <v>26.576819214123461</v>
      </c>
      <c r="BV359" s="25">
        <v>94.126771289976261</v>
      </c>
      <c r="BW359" s="25">
        <v>44.862115044963161</v>
      </c>
      <c r="BX359" s="25">
        <v>68.37879183344694</v>
      </c>
      <c r="BY359" s="25">
        <v>45.544201721949086</v>
      </c>
      <c r="BZ359">
        <v>92</v>
      </c>
      <c r="CA359">
        <v>1</v>
      </c>
      <c r="CB359">
        <v>6</v>
      </c>
      <c r="CC359">
        <v>81404.520558999997</v>
      </c>
      <c r="CD359" s="10">
        <v>35926.222794000001</v>
      </c>
      <c r="CE359" s="255">
        <v>0.44132957908598647</v>
      </c>
      <c r="CF359" t="str">
        <f>IFERROR(VLOOKUP(CE359,'Rangos amb etnico'!$A$2:$C$6,3,9),"N.D.")</f>
        <v>31% - 50%</v>
      </c>
      <c r="CG359" s="256">
        <v>1.0452292509102708E-3</v>
      </c>
      <c r="CH359" s="232">
        <v>0</v>
      </c>
      <c r="CI359" s="311">
        <f t="shared" si="157"/>
        <v>0</v>
      </c>
      <c r="CJ359" s="232">
        <f>IFERROR(VLOOKUP(CI359,'Rangos amb etnico'!$A$2:$C$6,3,9),"N.D.")</f>
        <v>0</v>
      </c>
      <c r="CK359" s="311">
        <f t="shared" si="158"/>
        <v>0</v>
      </c>
      <c r="CL359" s="10">
        <v>0</v>
      </c>
      <c r="CM359" s="255">
        <f t="shared" si="159"/>
        <v>0</v>
      </c>
      <c r="CN359" s="232">
        <f>IFERROR(VLOOKUP(CM359,'Rangos amb etnico'!$A$2:$C$6,3,9),"N.D.")</f>
        <v>0</v>
      </c>
      <c r="CO359" s="311">
        <f t="shared" si="160"/>
        <v>0</v>
      </c>
      <c r="CP359">
        <v>0.91386089446437402</v>
      </c>
      <c r="CQ359" t="s">
        <v>2864</v>
      </c>
      <c r="CR359">
        <f t="shared" si="151"/>
        <v>2</v>
      </c>
      <c r="CS359" t="str">
        <f t="shared" si="161"/>
        <v>No es Candidato</v>
      </c>
      <c r="CT359">
        <v>0</v>
      </c>
      <c r="CU359">
        <v>0</v>
      </c>
      <c r="CV359" s="25">
        <v>41.209869384765618</v>
      </c>
      <c r="CW359" s="25">
        <v>26.13483810424805</v>
      </c>
      <c r="CX359" s="25">
        <v>50.911045074462891</v>
      </c>
      <c r="CY359" s="25">
        <v>48.020679473876953</v>
      </c>
      <c r="CZ359" s="25">
        <v>8.0122814178466797</v>
      </c>
      <c r="DA359" s="25">
        <v>63.305789947509773</v>
      </c>
      <c r="DB359" s="25">
        <v>50.874580383300781</v>
      </c>
      <c r="DC359">
        <v>27054</v>
      </c>
      <c r="DD359" s="253" t="s">
        <v>380</v>
      </c>
    </row>
    <row r="360" spans="1:108">
      <c r="A360" s="13">
        <v>5172</v>
      </c>
      <c r="B360" s="13" t="s">
        <v>1176</v>
      </c>
      <c r="C360" s="13" t="s">
        <v>435</v>
      </c>
      <c r="D360" s="13" t="s">
        <v>436</v>
      </c>
      <c r="E360" s="13" t="s">
        <v>1177</v>
      </c>
      <c r="F360" s="14">
        <v>73.254766666666697</v>
      </c>
      <c r="G360" s="13">
        <v>83.14</v>
      </c>
      <c r="H360" s="13">
        <v>54.1</v>
      </c>
      <c r="I360" s="13">
        <v>53.24</v>
      </c>
      <c r="J360" s="14">
        <v>54.825910872418611</v>
      </c>
      <c r="K360" s="14">
        <v>58.048613409852251</v>
      </c>
      <c r="L360" s="14">
        <v>62.429025349067153</v>
      </c>
      <c r="M360" s="14">
        <v>62.004100000000001</v>
      </c>
      <c r="N360" s="14">
        <f t="shared" si="135"/>
        <v>65.933691666666675</v>
      </c>
      <c r="O360" s="14">
        <f t="shared" si="136"/>
        <v>59.326912407834506</v>
      </c>
      <c r="P360" s="14">
        <f t="shared" si="152"/>
        <v>62.630302037250587</v>
      </c>
      <c r="Q360" s="14">
        <v>50.854942340673681</v>
      </c>
      <c r="R360" s="17">
        <f t="shared" si="137"/>
        <v>49.145057659326319</v>
      </c>
      <c r="S360" s="14">
        <f t="shared" si="153"/>
        <v>0.54230551893393686</v>
      </c>
      <c r="T360" s="13">
        <v>0</v>
      </c>
      <c r="U360" s="13">
        <f t="shared" si="154"/>
        <v>33.964758447300383</v>
      </c>
      <c r="V360" s="13">
        <f>IF($T360=1,$AU360,(VLOOKUP(U360,'Cortes naturales'!$A$35:$C$39,3,9)))</f>
        <v>3</v>
      </c>
      <c r="W360" s="13">
        <v>3</v>
      </c>
      <c r="X360" s="14" t="b">
        <f t="shared" si="138"/>
        <v>1</v>
      </c>
      <c r="Y360" s="17">
        <f>IF($T360=1,$AU360,VLOOKUP(U360,'Cortes naturales'!$A$45:$C$49,3,9))</f>
        <v>3</v>
      </c>
      <c r="Z360" s="14">
        <v>62.654822935576981</v>
      </c>
      <c r="AA360" s="14">
        <v>0.55797357231402622</v>
      </c>
      <c r="AB360" s="14">
        <v>34.959735376066668</v>
      </c>
      <c r="AC360" s="13">
        <v>3</v>
      </c>
      <c r="AD360" s="13">
        <f t="shared" si="139"/>
        <v>0</v>
      </c>
      <c r="AE360" s="14">
        <f t="shared" si="140"/>
        <v>-2.4520898326393592E-2</v>
      </c>
      <c r="AF360" s="14">
        <f t="shared" si="141"/>
        <v>-1.5668053380089364E-2</v>
      </c>
      <c r="AG360" s="13">
        <f t="shared" si="142"/>
        <v>-0.99497692876628463</v>
      </c>
      <c r="AH360" s="13">
        <f>IF($T360=1,$AU360,VLOOKUP(U360,'Cortes naturales'!$A$25:$C$29,3,9))</f>
        <v>3</v>
      </c>
      <c r="AI360" s="13" t="b">
        <f t="shared" si="143"/>
        <v>1</v>
      </c>
      <c r="AJ360" s="13">
        <f t="shared" si="144"/>
        <v>0</v>
      </c>
      <c r="AK360" s="28">
        <v>0.81759069605862034</v>
      </c>
      <c r="AL360" s="28">
        <v>51.226000295327992</v>
      </c>
      <c r="AM360" s="28">
        <v>0.47015725455858876</v>
      </c>
      <c r="AN360" s="13">
        <v>3</v>
      </c>
      <c r="AO360" s="33">
        <f t="shared" si="145"/>
        <v>0</v>
      </c>
      <c r="AP360" s="13">
        <f t="shared" si="155"/>
        <v>47.015725455858878</v>
      </c>
      <c r="AQ360" s="13">
        <f>IFERROR(VLOOKUP(U360,'Cortes naturales'!$E$15:$G$19,3,9),U360)</f>
        <v>4</v>
      </c>
      <c r="AR360" s="28">
        <f t="shared" si="146"/>
        <v>-0.27528517712468348</v>
      </c>
      <c r="AS360" s="13" t="b">
        <f t="shared" si="147"/>
        <v>0</v>
      </c>
      <c r="AT360" s="13">
        <f t="shared" si="156"/>
        <v>0</v>
      </c>
      <c r="AU360" s="13">
        <v>3</v>
      </c>
      <c r="AV360">
        <f t="shared" si="148"/>
        <v>0</v>
      </c>
      <c r="AW360" s="13">
        <v>0</v>
      </c>
      <c r="AX360" s="13">
        <v>0</v>
      </c>
      <c r="AY360" s="13">
        <v>0</v>
      </c>
      <c r="AZ360" s="13">
        <v>1</v>
      </c>
      <c r="BA360">
        <v>1</v>
      </c>
      <c r="BB360" t="s">
        <v>2839</v>
      </c>
      <c r="BC360">
        <v>6</v>
      </c>
      <c r="BD360" t="s">
        <v>2919</v>
      </c>
      <c r="BE360">
        <v>1</v>
      </c>
      <c r="BF360" s="232" t="s">
        <v>2846</v>
      </c>
      <c r="BG360" s="232" t="s">
        <v>2845</v>
      </c>
      <c r="BH360" s="253">
        <v>37.700000000000003</v>
      </c>
      <c r="BI360" s="253">
        <v>21.194067461031715</v>
      </c>
      <c r="BJ360" s="25">
        <v>7.0531136146292539</v>
      </c>
      <c r="BK360" t="s">
        <v>377</v>
      </c>
      <c r="BL360">
        <v>5.4263600590195704</v>
      </c>
      <c r="BM360" t="s">
        <v>383</v>
      </c>
      <c r="BN360" s="322">
        <v>116289.51031899999</v>
      </c>
      <c r="BO360" s="322">
        <v>19788.224295</v>
      </c>
      <c r="BP360" s="10">
        <v>56758</v>
      </c>
      <c r="BQ360" s="254">
        <f t="shared" si="149"/>
        <v>2.0488655399943618</v>
      </c>
      <c r="BR360" s="254">
        <f t="shared" si="150"/>
        <v>0.34864202922935972</v>
      </c>
      <c r="BS360" s="25">
        <v>67.602503931074708</v>
      </c>
      <c r="BT360" s="25">
        <v>95.443259789335073</v>
      </c>
      <c r="BU360" s="25">
        <v>61.63</v>
      </c>
      <c r="BV360" s="25">
        <v>90.448160819132283</v>
      </c>
      <c r="BW360" s="25">
        <v>50.290910996778443</v>
      </c>
      <c r="BX360" s="25">
        <v>78.780981134885508</v>
      </c>
      <c r="BY360" s="25">
        <v>51.147127699848838</v>
      </c>
      <c r="BZ360">
        <v>35</v>
      </c>
      <c r="CA360">
        <v>0</v>
      </c>
      <c r="CB360">
        <v>7</v>
      </c>
      <c r="CC360">
        <v>72198.166696999993</v>
      </c>
      <c r="CD360" s="10">
        <v>14958.960743</v>
      </c>
      <c r="CE360" s="255">
        <v>0.20719308297369246</v>
      </c>
      <c r="CF360" t="str">
        <f>IFERROR(VLOOKUP(CE360,'Rangos amb etnico'!$A$2:$C$6,3,9),"N.D.")</f>
        <v>0,1% - 30%</v>
      </c>
      <c r="CG360" s="256">
        <v>4.3521255828801774E-4</v>
      </c>
      <c r="CH360" s="232">
        <v>12684.550585000001</v>
      </c>
      <c r="CI360" s="311">
        <f t="shared" si="157"/>
        <v>0.17569075733230599</v>
      </c>
      <c r="CJ360" s="232" t="str">
        <f>IFERROR(VLOOKUP(CI360,'Rangos amb etnico'!$A$2:$C$6,3,9),"N.D.")</f>
        <v>0,1% - 30%</v>
      </c>
      <c r="CK360" s="311">
        <f t="shared" si="158"/>
        <v>5.0365970652021478E-4</v>
      </c>
      <c r="CL360" s="10">
        <v>0</v>
      </c>
      <c r="CM360" s="255">
        <f t="shared" si="159"/>
        <v>0</v>
      </c>
      <c r="CN360" s="232">
        <f>IFERROR(VLOOKUP(CM360,'Rangos amb etnico'!$A$2:$C$6,3,9),"N.D.")</f>
        <v>0</v>
      </c>
      <c r="CO360" s="311">
        <f t="shared" si="160"/>
        <v>0</v>
      </c>
      <c r="CP360">
        <v>0.87647392842108451</v>
      </c>
      <c r="CQ360" t="s">
        <v>2864</v>
      </c>
      <c r="CR360">
        <f t="shared" si="151"/>
        <v>2</v>
      </c>
      <c r="CS360" t="str">
        <f t="shared" si="161"/>
        <v>No es Candidato</v>
      </c>
      <c r="CT360">
        <v>0</v>
      </c>
      <c r="CU360">
        <v>0</v>
      </c>
      <c r="CV360" s="25">
        <v>47.651081085205078</v>
      </c>
      <c r="CW360" s="25">
        <v>41.241355895996087</v>
      </c>
      <c r="CX360" s="25">
        <v>52.983482360839837</v>
      </c>
      <c r="CY360" s="25">
        <v>58.908119201660163</v>
      </c>
      <c r="CZ360" s="25">
        <v>32.868247985839837</v>
      </c>
      <c r="DA360" s="25">
        <v>51.806106567382813</v>
      </c>
      <c r="DB360" s="25">
        <v>48.099166870117188</v>
      </c>
      <c r="DC360">
        <v>31638</v>
      </c>
      <c r="DD360" s="253" t="s">
        <v>380</v>
      </c>
    </row>
    <row r="361" spans="1:108" hidden="1">
      <c r="A361" s="13">
        <v>50006</v>
      </c>
      <c r="B361" s="13" t="s">
        <v>1178</v>
      </c>
      <c r="C361" s="13" t="s">
        <v>605</v>
      </c>
      <c r="D361" s="13" t="s">
        <v>606</v>
      </c>
      <c r="E361" s="13" t="s">
        <v>1179</v>
      </c>
      <c r="F361" s="14">
        <v>87.364900000000006</v>
      </c>
      <c r="G361" s="13">
        <v>78.39</v>
      </c>
      <c r="H361" s="13">
        <v>81.650000000000006</v>
      </c>
      <c r="I361" s="13">
        <v>82.57</v>
      </c>
      <c r="J361" s="14">
        <v>48.650736029465655</v>
      </c>
      <c r="K361" s="14">
        <v>57.958102363490624</v>
      </c>
      <c r="L361" s="14">
        <v>54.37655432427043</v>
      </c>
      <c r="M361" s="14">
        <v>62.128300000000003</v>
      </c>
      <c r="N361" s="14">
        <f t="shared" si="135"/>
        <v>82.493725000000012</v>
      </c>
      <c r="O361" s="14">
        <f t="shared" si="136"/>
        <v>55.778423179306678</v>
      </c>
      <c r="P361" s="14">
        <f t="shared" si="152"/>
        <v>69.136074089653349</v>
      </c>
      <c r="Q361" s="14">
        <v>50.777350831625647</v>
      </c>
      <c r="R361" s="17">
        <f t="shared" si="137"/>
        <v>49.222649168374353</v>
      </c>
      <c r="S361" s="14">
        <f t="shared" si="153"/>
        <v>0.54300384251536926</v>
      </c>
      <c r="T361" s="13">
        <v>0</v>
      </c>
      <c r="U361" s="13">
        <f t="shared" si="154"/>
        <v>37.541153887109026</v>
      </c>
      <c r="V361" s="13">
        <f>IF($T361=1,$AU361,(VLOOKUP(U361,'Cortes naturales'!$A$35:$C$39,3,9)))</f>
        <v>3</v>
      </c>
      <c r="W361" s="13">
        <v>3</v>
      </c>
      <c r="X361" s="14" t="b">
        <f t="shared" si="138"/>
        <v>1</v>
      </c>
      <c r="Y361" s="17">
        <f>IF($T361=1,$AU361,VLOOKUP(U361,'Cortes naturales'!$A$45:$C$49,3,9))</f>
        <v>2</v>
      </c>
      <c r="Z361" s="14">
        <v>69.276568321797527</v>
      </c>
      <c r="AA361" s="14">
        <v>0.55567436836261153</v>
      </c>
      <c r="AB361" s="14">
        <v>38.49521334454414</v>
      </c>
      <c r="AC361" s="13">
        <v>2</v>
      </c>
      <c r="AD361" s="13">
        <f t="shared" si="139"/>
        <v>0</v>
      </c>
      <c r="AE361" s="14">
        <f t="shared" si="140"/>
        <v>-0.140494232144178</v>
      </c>
      <c r="AF361" s="14">
        <f t="shared" si="141"/>
        <v>-1.2670525847242264E-2</v>
      </c>
      <c r="AG361" s="13">
        <f t="shared" si="142"/>
        <v>-0.95405945743511467</v>
      </c>
      <c r="AH361" s="13">
        <f>IF($T361=1,$AU361,VLOOKUP(U361,'Cortes naturales'!$A$25:$C$29,3,9))</f>
        <v>2</v>
      </c>
      <c r="AI361" s="13" t="b">
        <f t="shared" si="143"/>
        <v>1</v>
      </c>
      <c r="AJ361" s="13">
        <f t="shared" si="144"/>
        <v>0</v>
      </c>
      <c r="AK361" s="28">
        <v>0.81759069605862034</v>
      </c>
      <c r="AL361" s="28">
        <v>56.639877714771011</v>
      </c>
      <c r="AM361" s="28">
        <v>0.53787915431110656</v>
      </c>
      <c r="AN361" s="13">
        <v>2</v>
      </c>
      <c r="AO361" s="33">
        <f t="shared" si="145"/>
        <v>0</v>
      </c>
      <c r="AP361" s="13">
        <f t="shared" si="155"/>
        <v>53.787915431110655</v>
      </c>
      <c r="AQ361" s="13">
        <f>IFERROR(VLOOKUP(U361,'Cortes naturales'!$E$15:$G$19,3,9),U361)</f>
        <v>3</v>
      </c>
      <c r="AR361" s="28">
        <f t="shared" si="146"/>
        <v>-0.27458685354325107</v>
      </c>
      <c r="AS361" s="13" t="b">
        <f t="shared" si="147"/>
        <v>0</v>
      </c>
      <c r="AT361" s="13">
        <f t="shared" si="156"/>
        <v>0</v>
      </c>
      <c r="AU361" s="13">
        <v>2</v>
      </c>
      <c r="AV361">
        <f t="shared" si="148"/>
        <v>0</v>
      </c>
      <c r="AW361" s="13">
        <v>0</v>
      </c>
      <c r="AX361" s="13">
        <v>1</v>
      </c>
      <c r="AY361" s="13">
        <v>0</v>
      </c>
      <c r="AZ361" s="13">
        <v>0</v>
      </c>
      <c r="BA361">
        <v>0</v>
      </c>
      <c r="BB361" t="s">
        <v>2839</v>
      </c>
      <c r="BC361">
        <v>3</v>
      </c>
      <c r="BD361" t="s">
        <v>2919</v>
      </c>
      <c r="BE361">
        <v>0</v>
      </c>
      <c r="BF361" s="232" t="s">
        <v>2846</v>
      </c>
      <c r="BG361" s="232" t="s">
        <v>2845</v>
      </c>
      <c r="BH361" s="253">
        <v>19.2</v>
      </c>
      <c r="BI361" s="253">
        <v>6.3415623943185659</v>
      </c>
      <c r="BJ361" s="25">
        <v>2.777173839582344</v>
      </c>
      <c r="BK361" t="s">
        <v>381</v>
      </c>
      <c r="BL361">
        <v>4.2909035264209541</v>
      </c>
      <c r="BM361" t="s">
        <v>383</v>
      </c>
      <c r="BN361" s="322">
        <v>266722.04666200001</v>
      </c>
      <c r="BO361" s="322">
        <v>86204.625121000005</v>
      </c>
      <c r="BP361" s="10">
        <v>102025</v>
      </c>
      <c r="BQ361" s="254">
        <f t="shared" si="149"/>
        <v>2.6142812708845873</v>
      </c>
      <c r="BR361" s="254">
        <f t="shared" si="150"/>
        <v>0.84493629131095327</v>
      </c>
      <c r="BS361" s="25">
        <v>76.139900821528201</v>
      </c>
      <c r="BT361" s="25">
        <v>93.867560303030302</v>
      </c>
      <c r="BU361" s="25">
        <v>71.24666666666667</v>
      </c>
      <c r="BV361" s="25">
        <v>85.381198484400258</v>
      </c>
      <c r="BW361" s="25">
        <v>62.406359996341827</v>
      </c>
      <c r="BX361" s="25">
        <v>81.658831568906365</v>
      </c>
      <c r="BY361" s="25">
        <v>63.595561475061132</v>
      </c>
      <c r="BZ361">
        <v>88</v>
      </c>
      <c r="CA361">
        <v>0</v>
      </c>
      <c r="CB361">
        <v>5</v>
      </c>
      <c r="CC361">
        <v>112191.99729</v>
      </c>
      <c r="CD361" s="10">
        <v>22890.948776000001</v>
      </c>
      <c r="CE361" s="255">
        <v>0.20403370408702348</v>
      </c>
      <c r="CF361" t="str">
        <f>IFERROR(VLOOKUP(CE361,'Rangos amb etnico'!$A$2:$C$6,3,9),"N.D.")</f>
        <v>0,1% - 30%</v>
      </c>
      <c r="CG361" s="256">
        <v>6.6598399110745824E-4</v>
      </c>
      <c r="CH361" s="232">
        <v>0</v>
      </c>
      <c r="CI361" s="311">
        <f t="shared" si="157"/>
        <v>0</v>
      </c>
      <c r="CJ361" s="232">
        <f>IFERROR(VLOOKUP(CI361,'Rangos amb etnico'!$A$2:$C$6,3,9),"N.D.")</f>
        <v>0</v>
      </c>
      <c r="CK361" s="311">
        <f t="shared" si="158"/>
        <v>0</v>
      </c>
      <c r="CL361" s="10">
        <v>0</v>
      </c>
      <c r="CM361" s="255">
        <f t="shared" si="159"/>
        <v>0</v>
      </c>
      <c r="CN361" s="232">
        <f>IFERROR(VLOOKUP(CM361,'Rangos amb etnico'!$A$2:$C$6,3,9),"N.D.")</f>
        <v>0</v>
      </c>
      <c r="CO361" s="311">
        <f t="shared" si="160"/>
        <v>0</v>
      </c>
      <c r="CP361">
        <v>0.96934036545440438</v>
      </c>
      <c r="CQ361" t="s">
        <v>2864</v>
      </c>
      <c r="CR361">
        <f t="shared" si="151"/>
        <v>4</v>
      </c>
      <c r="CS361" t="str">
        <f t="shared" si="161"/>
        <v>Candidato</v>
      </c>
      <c r="CT361">
        <v>0</v>
      </c>
      <c r="CU361">
        <v>0</v>
      </c>
      <c r="CV361" s="25">
        <v>52.7177734375</v>
      </c>
      <c r="CW361" s="25">
        <v>48.262725830078118</v>
      </c>
      <c r="CX361" s="25">
        <v>47.753440856933587</v>
      </c>
      <c r="CY361" s="25">
        <v>74.115524291992188</v>
      </c>
      <c r="CZ361" s="25">
        <v>54.445423126220703</v>
      </c>
      <c r="DA361" s="25">
        <v>23.93062782287598</v>
      </c>
      <c r="DB361" s="25">
        <v>67.79888916015625</v>
      </c>
      <c r="DC361">
        <v>1345</v>
      </c>
      <c r="DD361" s="253" t="s">
        <v>380</v>
      </c>
    </row>
    <row r="362" spans="1:108" hidden="1">
      <c r="A362" s="13">
        <v>52320</v>
      </c>
      <c r="B362" s="13" t="s">
        <v>1180</v>
      </c>
      <c r="C362" s="13" t="s">
        <v>672</v>
      </c>
      <c r="D362" s="13" t="s">
        <v>673</v>
      </c>
      <c r="E362" s="13" t="s">
        <v>1181</v>
      </c>
      <c r="F362" s="14">
        <v>72.620166666666705</v>
      </c>
      <c r="G362" s="13">
        <v>63.62</v>
      </c>
      <c r="H362" s="13">
        <v>53.17</v>
      </c>
      <c r="I362" s="13">
        <v>50.26</v>
      </c>
      <c r="J362" s="14">
        <v>34.358944833002752</v>
      </c>
      <c r="K362" s="14">
        <v>51.373062997202204</v>
      </c>
      <c r="L362" s="14">
        <v>58.654143972545775</v>
      </c>
      <c r="M362" s="14">
        <v>62.845700000000001</v>
      </c>
      <c r="N362" s="14">
        <f t="shared" si="135"/>
        <v>59.917541666666679</v>
      </c>
      <c r="O362" s="14">
        <f t="shared" si="136"/>
        <v>51.807962950687681</v>
      </c>
      <c r="P362" s="14">
        <f t="shared" si="152"/>
        <v>55.86275230867718</v>
      </c>
      <c r="Q362" s="14">
        <v>50.570351170400315</v>
      </c>
      <c r="R362" s="17">
        <f t="shared" si="137"/>
        <v>49.429648829599685</v>
      </c>
      <c r="S362" s="14">
        <f t="shared" si="153"/>
        <v>0.54486683946639725</v>
      </c>
      <c r="T362" s="13">
        <v>0</v>
      </c>
      <c r="U362" s="13">
        <f t="shared" si="154"/>
        <v>30.437761294323121</v>
      </c>
      <c r="V362" s="13">
        <f>IF($T362=1,$AU362,(VLOOKUP(U362,'Cortes naturales'!$A$35:$C$39,3,9)))</f>
        <v>3</v>
      </c>
      <c r="W362" s="13">
        <v>3</v>
      </c>
      <c r="X362" s="14" t="b">
        <f t="shared" si="138"/>
        <v>1</v>
      </c>
      <c r="Y362" s="17">
        <f>IF($T362=1,$AU362,VLOOKUP(U362,'Cortes naturales'!$A$45:$C$49,3,9))</f>
        <v>3</v>
      </c>
      <c r="Z362" s="14">
        <v>57.674963961243151</v>
      </c>
      <c r="AA362" s="14">
        <v>0.55718110270755072</v>
      </c>
      <c r="AB362" s="14">
        <v>32.135400018543706</v>
      </c>
      <c r="AC362" s="13">
        <v>3</v>
      </c>
      <c r="AD362" s="13">
        <f t="shared" si="139"/>
        <v>0</v>
      </c>
      <c r="AE362" s="14">
        <f t="shared" si="140"/>
        <v>-1.8122116525659706</v>
      </c>
      <c r="AF362" s="14">
        <f t="shared" si="141"/>
        <v>-1.2314263241153478E-2</v>
      </c>
      <c r="AG362" s="13">
        <f t="shared" si="142"/>
        <v>-1.6976387242205853</v>
      </c>
      <c r="AH362" s="13">
        <f>IF($T362=1,$AU362,VLOOKUP(U362,'Cortes naturales'!$A$25:$C$29,3,9))</f>
        <v>3</v>
      </c>
      <c r="AI362" s="13" t="b">
        <f t="shared" si="143"/>
        <v>1</v>
      </c>
      <c r="AJ362" s="13">
        <f t="shared" si="144"/>
        <v>0</v>
      </c>
      <c r="AK362" s="28">
        <v>0.81759069605862034</v>
      </c>
      <c r="AL362" s="28">
        <v>47.154513930228632</v>
      </c>
      <c r="AM362" s="28">
        <v>0.41922725188236104</v>
      </c>
      <c r="AN362" s="13">
        <v>3</v>
      </c>
      <c r="AO362" s="33">
        <f t="shared" si="145"/>
        <v>0</v>
      </c>
      <c r="AP362" s="13">
        <f t="shared" si="155"/>
        <v>41.922725188236107</v>
      </c>
      <c r="AQ362" s="13">
        <f>IFERROR(VLOOKUP(U362,'Cortes naturales'!$E$15:$G$19,3,9),U362)</f>
        <v>4</v>
      </c>
      <c r="AR362" s="28">
        <f t="shared" si="146"/>
        <v>-0.27272385659222309</v>
      </c>
      <c r="AS362" s="13" t="b">
        <f t="shared" si="147"/>
        <v>0</v>
      </c>
      <c r="AT362" s="13">
        <f t="shared" si="156"/>
        <v>0</v>
      </c>
      <c r="AU362" s="13">
        <v>3</v>
      </c>
      <c r="AV362">
        <f t="shared" si="148"/>
        <v>0</v>
      </c>
      <c r="AW362" s="13">
        <v>0</v>
      </c>
      <c r="AX362" s="13">
        <v>0</v>
      </c>
      <c r="AY362" s="13">
        <v>0</v>
      </c>
      <c r="AZ362" s="13">
        <v>0</v>
      </c>
      <c r="BA362">
        <v>0</v>
      </c>
      <c r="BB362" t="s">
        <v>2839</v>
      </c>
      <c r="BC362">
        <v>6</v>
      </c>
      <c r="BD362" t="s">
        <v>2919</v>
      </c>
      <c r="BE362">
        <v>0</v>
      </c>
      <c r="BF362" s="232" t="s">
        <v>2846</v>
      </c>
      <c r="BG362" s="232" t="s">
        <v>2845</v>
      </c>
      <c r="BH362" s="253">
        <v>33.6</v>
      </c>
      <c r="BI362" s="253">
        <v>14.098756265082606</v>
      </c>
      <c r="BJ362" s="25">
        <v>44.04535693324685</v>
      </c>
      <c r="BK362" t="s">
        <v>376</v>
      </c>
      <c r="BL362">
        <v>0.26331674340392813</v>
      </c>
      <c r="BM362" t="s">
        <v>383</v>
      </c>
      <c r="BN362" s="322">
        <v>25087.772782</v>
      </c>
      <c r="BO362" s="322">
        <v>2014.3933159999999</v>
      </c>
      <c r="BP362" s="10">
        <v>11604</v>
      </c>
      <c r="BQ362" s="254">
        <f t="shared" si="149"/>
        <v>2.1619935179248535</v>
      </c>
      <c r="BR362" s="254">
        <f t="shared" si="150"/>
        <v>0.17359473595311961</v>
      </c>
      <c r="BS362" s="25">
        <v>56.021931386514723</v>
      </c>
      <c r="BT362" s="25">
        <v>90.605349164655877</v>
      </c>
      <c r="BU362" s="25">
        <v>49.871297117516598</v>
      </c>
      <c r="BV362" s="25">
        <v>95.724915801035891</v>
      </c>
      <c r="BW362" s="25">
        <v>43.762721351022932</v>
      </c>
      <c r="BX362" s="25">
        <v>73.055873367430777</v>
      </c>
      <c r="BY362" s="25">
        <v>43.900409531413359</v>
      </c>
      <c r="BZ362">
        <v>70</v>
      </c>
      <c r="CA362">
        <v>0</v>
      </c>
      <c r="CB362">
        <v>7</v>
      </c>
      <c r="CC362">
        <v>11686.13385</v>
      </c>
      <c r="CD362" s="10">
        <v>1149.237482</v>
      </c>
      <c r="CE362" s="255">
        <v>9.834197492098723E-2</v>
      </c>
      <c r="CF362" t="str">
        <f>IFERROR(VLOOKUP(CE362,'Rangos amb etnico'!$A$2:$C$6,3,9),"N.D.")</f>
        <v>0,1% - 30%</v>
      </c>
      <c r="CG362" s="256">
        <v>3.3435650591953677E-5</v>
      </c>
      <c r="CH362" s="232">
        <v>0</v>
      </c>
      <c r="CI362" s="311">
        <f t="shared" si="157"/>
        <v>0</v>
      </c>
      <c r="CJ362" s="232">
        <f>IFERROR(VLOOKUP(CI362,'Rangos amb etnico'!$A$2:$C$6,3,9),"N.D.")</f>
        <v>0</v>
      </c>
      <c r="CK362" s="311">
        <f t="shared" si="158"/>
        <v>0</v>
      </c>
      <c r="CL362" s="10">
        <v>0</v>
      </c>
      <c r="CM362" s="255">
        <f t="shared" si="159"/>
        <v>0</v>
      </c>
      <c r="CN362" s="232">
        <f>IFERROR(VLOOKUP(CM362,'Rangos amb etnico'!$A$2:$C$6,3,9),"N.D.")</f>
        <v>0</v>
      </c>
      <c r="CO362" s="311">
        <f t="shared" si="160"/>
        <v>0</v>
      </c>
      <c r="CP362">
        <v>0.94721711345277304</v>
      </c>
      <c r="CQ362" t="s">
        <v>2864</v>
      </c>
      <c r="CR362">
        <f t="shared" si="151"/>
        <v>2</v>
      </c>
      <c r="CS362" t="str">
        <f t="shared" si="161"/>
        <v>No es Candidato</v>
      </c>
      <c r="CT362">
        <v>0</v>
      </c>
      <c r="CU362">
        <v>0</v>
      </c>
      <c r="CV362" s="25">
        <v>55.000823974609382</v>
      </c>
      <c r="CW362" s="25">
        <v>26.350498199462891</v>
      </c>
      <c r="CX362" s="25">
        <v>46.8204345703125</v>
      </c>
      <c r="CY362" s="25">
        <v>67.564765930175781</v>
      </c>
      <c r="CZ362" s="25">
        <v>55.220317840576172</v>
      </c>
      <c r="DA362" s="25">
        <v>80.332748413085938</v>
      </c>
      <c r="DB362" s="25">
        <v>53.7161865234375</v>
      </c>
      <c r="DC362">
        <v>1503</v>
      </c>
      <c r="DD362" s="253" t="s">
        <v>380</v>
      </c>
    </row>
    <row r="363" spans="1:108" hidden="1">
      <c r="A363" s="13">
        <v>17388</v>
      </c>
      <c r="B363" s="13" t="s">
        <v>1182</v>
      </c>
      <c r="C363" s="13" t="s">
        <v>506</v>
      </c>
      <c r="D363" s="13" t="s">
        <v>507</v>
      </c>
      <c r="E363" s="13" t="s">
        <v>1183</v>
      </c>
      <c r="F363" s="14">
        <v>67.508300000000006</v>
      </c>
      <c r="G363" s="13">
        <v>66.650000000000006</v>
      </c>
      <c r="H363" s="13">
        <v>65.599999999999994</v>
      </c>
      <c r="I363" s="13">
        <v>58.95</v>
      </c>
      <c r="J363" s="14">
        <v>52.181992522014497</v>
      </c>
      <c r="K363" s="14">
        <v>50.311158060611</v>
      </c>
      <c r="L363" s="14">
        <v>55.310497457685187</v>
      </c>
      <c r="M363" s="14">
        <v>52.367199999999997</v>
      </c>
      <c r="N363" s="14">
        <f t="shared" si="135"/>
        <v>64.677075000000002</v>
      </c>
      <c r="O363" s="14">
        <f t="shared" si="136"/>
        <v>52.542712010077672</v>
      </c>
      <c r="P363" s="14">
        <f t="shared" si="152"/>
        <v>58.609893505038841</v>
      </c>
      <c r="Q363" s="14">
        <v>50.928382103515659</v>
      </c>
      <c r="R363" s="17">
        <f t="shared" si="137"/>
        <v>49.071617896484341</v>
      </c>
      <c r="S363" s="14">
        <f t="shared" si="153"/>
        <v>0.54164456106835912</v>
      </c>
      <c r="T363" s="13">
        <v>0</v>
      </c>
      <c r="U363" s="13">
        <f t="shared" si="154"/>
        <v>31.745730041800034</v>
      </c>
      <c r="V363" s="13">
        <f>IF($T363=1,$AU363,(VLOOKUP(U363,'Cortes naturales'!$A$35:$C$39,3,9)))</f>
        <v>3</v>
      </c>
      <c r="W363" s="13">
        <v>3</v>
      </c>
      <c r="X363" s="14" t="b">
        <f t="shared" si="138"/>
        <v>1</v>
      </c>
      <c r="Y363" s="17">
        <f>IF($T363=1,$AU363,VLOOKUP(U363,'Cortes naturales'!$A$45:$C$49,3,9))</f>
        <v>3</v>
      </c>
      <c r="Z363" s="14">
        <v>59.326233839053536</v>
      </c>
      <c r="AA363" s="14">
        <v>0.55837199331989085</v>
      </c>
      <c r="AB363" s="14">
        <v>33.126107444874286</v>
      </c>
      <c r="AC363" s="13">
        <v>3</v>
      </c>
      <c r="AD363" s="13">
        <f t="shared" si="139"/>
        <v>0</v>
      </c>
      <c r="AE363" s="14">
        <f t="shared" si="140"/>
        <v>-0.71634033401469566</v>
      </c>
      <c r="AF363" s="14">
        <f t="shared" si="141"/>
        <v>-1.6727432251531726E-2</v>
      </c>
      <c r="AG363" s="13">
        <f t="shared" si="142"/>
        <v>-1.3803774030742524</v>
      </c>
      <c r="AH363" s="13">
        <f>IF($T363=1,$AU363,VLOOKUP(U363,'Cortes naturales'!$A$25:$C$29,3,9))</f>
        <v>3</v>
      </c>
      <c r="AI363" s="13" t="b">
        <f t="shared" si="143"/>
        <v>1</v>
      </c>
      <c r="AJ363" s="13">
        <f t="shared" si="144"/>
        <v>0</v>
      </c>
      <c r="AK363" s="28">
        <v>0.81759069605862034</v>
      </c>
      <c r="AL363" s="28">
        <v>48.504576819008257</v>
      </c>
      <c r="AM363" s="28">
        <v>0.43611511552056925</v>
      </c>
      <c r="AN363" s="13">
        <v>3</v>
      </c>
      <c r="AO363" s="33">
        <f t="shared" si="145"/>
        <v>0</v>
      </c>
      <c r="AP363" s="13">
        <f t="shared" si="155"/>
        <v>43.611511552056925</v>
      </c>
      <c r="AQ363" s="13">
        <f>IFERROR(VLOOKUP(U363,'Cortes naturales'!$E$15:$G$19,3,9),U363)</f>
        <v>4</v>
      </c>
      <c r="AR363" s="28">
        <f t="shared" si="146"/>
        <v>-0.27594613499026122</v>
      </c>
      <c r="AS363" s="13" t="b">
        <f t="shared" si="147"/>
        <v>0</v>
      </c>
      <c r="AT363" s="13">
        <f t="shared" si="156"/>
        <v>0</v>
      </c>
      <c r="AU363" s="13">
        <v>3</v>
      </c>
      <c r="AV363">
        <f t="shared" si="148"/>
        <v>0</v>
      </c>
      <c r="AW363" s="13">
        <v>0</v>
      </c>
      <c r="AX363" s="13">
        <v>0</v>
      </c>
      <c r="AY363" s="13">
        <v>0</v>
      </c>
      <c r="AZ363" s="13">
        <v>0</v>
      </c>
      <c r="BA363">
        <v>0</v>
      </c>
      <c r="BB363" t="s">
        <v>2839</v>
      </c>
      <c r="BC363">
        <v>6</v>
      </c>
      <c r="BD363" t="s">
        <v>2919</v>
      </c>
      <c r="BE363">
        <v>1</v>
      </c>
      <c r="BF363" s="232" t="s">
        <v>2846</v>
      </c>
      <c r="BG363" s="232" t="s">
        <v>2846</v>
      </c>
      <c r="BH363" s="253">
        <v>34.5</v>
      </c>
      <c r="BI363" s="253">
        <v>12.246431254695718</v>
      </c>
      <c r="BJ363" s="25">
        <v>41.51208812260537</v>
      </c>
      <c r="BK363" t="s">
        <v>376</v>
      </c>
      <c r="BL363">
        <v>1.3576899666273983</v>
      </c>
      <c r="BM363" t="s">
        <v>383</v>
      </c>
      <c r="BN363" s="322">
        <v>13050.876947000001</v>
      </c>
      <c r="BO363" s="322">
        <v>1032.486463</v>
      </c>
      <c r="BP363" s="10">
        <v>5844</v>
      </c>
      <c r="BQ363" s="254">
        <f t="shared" si="149"/>
        <v>2.2332096076317591</v>
      </c>
      <c r="BR363" s="254">
        <f t="shared" si="150"/>
        <v>0.17667461721423683</v>
      </c>
      <c r="BS363" s="25">
        <v>62.258340508340503</v>
      </c>
      <c r="BT363" s="25">
        <v>90.438626511521804</v>
      </c>
      <c r="BU363" s="25">
        <v>35.291824023727138</v>
      </c>
      <c r="BV363" s="25">
        <v>96.858444473150897</v>
      </c>
      <c r="BW363" s="25">
        <v>32.612481700212193</v>
      </c>
      <c r="BX363" s="25">
        <v>71.211808879185085</v>
      </c>
      <c r="BY363" s="25">
        <v>32.903292415444291</v>
      </c>
      <c r="BZ363">
        <v>19</v>
      </c>
      <c r="CA363">
        <v>0</v>
      </c>
      <c r="CB363">
        <v>7</v>
      </c>
      <c r="CC363">
        <v>8857.7382319999997</v>
      </c>
      <c r="CD363" s="10">
        <v>192.13529600000001</v>
      </c>
      <c r="CE363" s="255">
        <v>2.1691236630348869E-2</v>
      </c>
      <c r="CF363" t="str">
        <f>IFERROR(VLOOKUP(CE363,'Rangos amb etnico'!$A$2:$C$6,3,9),"N.D.")</f>
        <v>0,1% - 30%</v>
      </c>
      <c r="CG363" s="256">
        <v>5.5899400463842466E-6</v>
      </c>
      <c r="CH363" s="232">
        <v>0</v>
      </c>
      <c r="CI363" s="311">
        <f t="shared" si="157"/>
        <v>0</v>
      </c>
      <c r="CJ363" s="232">
        <f>IFERROR(VLOOKUP(CI363,'Rangos amb etnico'!$A$2:$C$6,3,9),"N.D.")</f>
        <v>0</v>
      </c>
      <c r="CK363" s="311">
        <f t="shared" si="158"/>
        <v>0</v>
      </c>
      <c r="CL363" s="10">
        <v>0</v>
      </c>
      <c r="CM363" s="255">
        <f t="shared" si="159"/>
        <v>0</v>
      </c>
      <c r="CN363" s="232">
        <f>IFERROR(VLOOKUP(CM363,'Rangos amb etnico'!$A$2:$C$6,3,9),"N.D.")</f>
        <v>0</v>
      </c>
      <c r="CO363" s="311">
        <f t="shared" si="160"/>
        <v>0</v>
      </c>
      <c r="CP363">
        <v>0.94297512598078914</v>
      </c>
      <c r="CQ363" t="s">
        <v>2864</v>
      </c>
      <c r="CR363">
        <f t="shared" si="151"/>
        <v>1</v>
      </c>
      <c r="CS363" t="str">
        <f t="shared" si="161"/>
        <v>No es Candidato</v>
      </c>
      <c r="CT363">
        <v>0</v>
      </c>
      <c r="CU363">
        <v>0</v>
      </c>
      <c r="CV363" s="25">
        <v>53.061450958251953</v>
      </c>
      <c r="CW363" s="25">
        <v>24.73665809631348</v>
      </c>
      <c r="CX363" s="25">
        <v>44.125675201416023</v>
      </c>
      <c r="CY363" s="25">
        <v>59.4456787109375</v>
      </c>
      <c r="CZ363" s="25">
        <v>46.801826477050781</v>
      </c>
      <c r="DA363" s="25">
        <v>89.727851867675781</v>
      </c>
      <c r="DB363" s="25">
        <v>53.531005859375</v>
      </c>
      <c r="DC363">
        <v>60</v>
      </c>
      <c r="DD363" s="253" t="s">
        <v>380</v>
      </c>
    </row>
    <row r="364" spans="1:108" hidden="1">
      <c r="A364" s="13">
        <v>19821</v>
      </c>
      <c r="B364" s="13" t="s">
        <v>1184</v>
      </c>
      <c r="C364" s="13" t="s">
        <v>557</v>
      </c>
      <c r="D364" s="13" t="s">
        <v>558</v>
      </c>
      <c r="E364" s="13" t="s">
        <v>1185</v>
      </c>
      <c r="F364" s="14">
        <v>55.8021666666667</v>
      </c>
      <c r="G364" s="13">
        <v>43.55</v>
      </c>
      <c r="H364" s="13">
        <v>60.9</v>
      </c>
      <c r="I364" s="13">
        <v>53.29</v>
      </c>
      <c r="J364" s="14">
        <v>53.970655326461831</v>
      </c>
      <c r="K364" s="14">
        <v>57.674007635797089</v>
      </c>
      <c r="L364" s="14">
        <v>59.044995586982623</v>
      </c>
      <c r="M364" s="14">
        <v>56.4039</v>
      </c>
      <c r="N364" s="14">
        <f t="shared" si="135"/>
        <v>53.385541666666676</v>
      </c>
      <c r="O364" s="14">
        <f t="shared" si="136"/>
        <v>56.77338963731038</v>
      </c>
      <c r="P364" s="14">
        <f t="shared" si="152"/>
        <v>55.079465651988528</v>
      </c>
      <c r="Q364" s="14">
        <v>49.933244001516428</v>
      </c>
      <c r="R364" s="17">
        <f t="shared" si="137"/>
        <v>50.066755998483572</v>
      </c>
      <c r="S364" s="14">
        <f t="shared" si="153"/>
        <v>0.55060080398635214</v>
      </c>
      <c r="T364" s="13">
        <v>0</v>
      </c>
      <c r="U364" s="13">
        <f t="shared" si="154"/>
        <v>30.326798071123552</v>
      </c>
      <c r="V364" s="13">
        <f>IF($T364=1,$AU364,(VLOOKUP(U364,'Cortes naturales'!$A$35:$C$39,3,9)))</f>
        <v>3</v>
      </c>
      <c r="W364" s="13">
        <v>3</v>
      </c>
      <c r="X364" s="14" t="b">
        <f t="shared" si="138"/>
        <v>1</v>
      </c>
      <c r="Y364" s="17">
        <f>IF($T364=1,$AU364,VLOOKUP(U364,'Cortes naturales'!$A$45:$C$49,3,9))</f>
        <v>3</v>
      </c>
      <c r="Z364" s="14">
        <v>53.130747265015032</v>
      </c>
      <c r="AA364" s="14">
        <v>0.55772521135643804</v>
      </c>
      <c r="AB364" s="14">
        <v>29.632357247906</v>
      </c>
      <c r="AC364" s="13">
        <v>3</v>
      </c>
      <c r="AD364" s="13">
        <f t="shared" si="139"/>
        <v>0</v>
      </c>
      <c r="AE364" s="14">
        <f t="shared" si="140"/>
        <v>1.9487183869734963</v>
      </c>
      <c r="AF364" s="14">
        <f t="shared" si="141"/>
        <v>-7.1244073700859056E-3</v>
      </c>
      <c r="AG364" s="13">
        <f t="shared" si="142"/>
        <v>0.69444082321755118</v>
      </c>
      <c r="AH364" s="13">
        <f>IF($T364=1,$AU364,VLOOKUP(U364,'Cortes naturales'!$A$25:$C$29,3,9))</f>
        <v>3</v>
      </c>
      <c r="AI364" s="13" t="b">
        <f t="shared" si="143"/>
        <v>1</v>
      </c>
      <c r="AJ364" s="13">
        <f t="shared" si="144"/>
        <v>0</v>
      </c>
      <c r="AK364" s="28">
        <v>0.81759069605862034</v>
      </c>
      <c r="AL364" s="28">
        <v>43.439204638518277</v>
      </c>
      <c r="AM364" s="28">
        <v>0.37275264894820526</v>
      </c>
      <c r="AN364" s="13">
        <v>3</v>
      </c>
      <c r="AO364" s="33">
        <f t="shared" si="145"/>
        <v>0</v>
      </c>
      <c r="AP364" s="13">
        <f t="shared" si="155"/>
        <v>37.275264894820523</v>
      </c>
      <c r="AQ364" s="13">
        <f>IFERROR(VLOOKUP(U364,'Cortes naturales'!$E$15:$G$19,3,9),U364)</f>
        <v>4</v>
      </c>
      <c r="AR364" s="28">
        <f t="shared" si="146"/>
        <v>-0.2669898920722682</v>
      </c>
      <c r="AS364" s="13" t="b">
        <f t="shared" si="147"/>
        <v>0</v>
      </c>
      <c r="AT364" s="13">
        <f t="shared" si="156"/>
        <v>0</v>
      </c>
      <c r="AU364" s="13">
        <v>3</v>
      </c>
      <c r="AV364">
        <f t="shared" si="148"/>
        <v>0</v>
      </c>
      <c r="AW364" s="13">
        <v>0</v>
      </c>
      <c r="AX364" s="13">
        <v>0</v>
      </c>
      <c r="AY364" s="13">
        <v>0</v>
      </c>
      <c r="AZ364" s="13">
        <v>1</v>
      </c>
      <c r="BA364">
        <v>1</v>
      </c>
      <c r="BB364" t="s">
        <v>2840</v>
      </c>
      <c r="BC364">
        <v>6</v>
      </c>
      <c r="BD364" t="s">
        <v>2919</v>
      </c>
      <c r="BE364">
        <v>1</v>
      </c>
      <c r="BF364" s="232" t="s">
        <v>2846</v>
      </c>
      <c r="BG364" s="232" t="s">
        <v>2846</v>
      </c>
      <c r="BH364" s="253">
        <v>45.1</v>
      </c>
      <c r="BI364" s="253">
        <v>22.506035101454948</v>
      </c>
      <c r="BJ364" s="25">
        <v>0</v>
      </c>
      <c r="BK364" t="s">
        <v>381</v>
      </c>
      <c r="BL364">
        <v>31.740137323489183</v>
      </c>
      <c r="BM364" t="s">
        <v>384</v>
      </c>
      <c r="BN364" s="322">
        <v>59814.438555000001</v>
      </c>
      <c r="BO364" s="322">
        <v>2970.77349</v>
      </c>
      <c r="BP364" s="10">
        <v>39282</v>
      </c>
      <c r="BQ364" s="254">
        <f t="shared" si="149"/>
        <v>1.5226933087673744</v>
      </c>
      <c r="BR364" s="254">
        <f t="shared" si="150"/>
        <v>7.562683901023369E-2</v>
      </c>
      <c r="BS364" s="25">
        <v>58.560006077241063</v>
      </c>
      <c r="BT364" s="25">
        <v>91.788084809157723</v>
      </c>
      <c r="BU364" s="25">
        <v>49.208131803197098</v>
      </c>
      <c r="BV364" s="25">
        <v>92.10356100820168</v>
      </c>
      <c r="BW364" s="25">
        <v>43.288331863219902</v>
      </c>
      <c r="BX364" s="25">
        <v>72.914945924449384</v>
      </c>
      <c r="BY364" s="25">
        <v>43.916172429497458</v>
      </c>
      <c r="BZ364">
        <v>32</v>
      </c>
      <c r="CA364">
        <v>0</v>
      </c>
      <c r="CB364">
        <v>7</v>
      </c>
      <c r="CC364">
        <v>49221.838294000001</v>
      </c>
      <c r="CD364" s="10">
        <v>35725.466613999997</v>
      </c>
      <c r="CE364" s="255">
        <v>0.72580520866801568</v>
      </c>
      <c r="CF364" t="str">
        <f>IFERROR(VLOOKUP(CE364,'Rangos amb etnico'!$A$2:$C$6,3,9),"N.D.")</f>
        <v>71% - 100%</v>
      </c>
      <c r="CG364" s="256">
        <v>1.0393884968504798E-3</v>
      </c>
      <c r="CH364" s="232">
        <v>0</v>
      </c>
      <c r="CI364" s="311">
        <f t="shared" si="157"/>
        <v>0</v>
      </c>
      <c r="CJ364" s="232">
        <f>IFERROR(VLOOKUP(CI364,'Rangos amb etnico'!$A$2:$C$6,3,9),"N.D.")</f>
        <v>0</v>
      </c>
      <c r="CK364" s="311">
        <f t="shared" si="158"/>
        <v>0</v>
      </c>
      <c r="CL364" s="10">
        <v>0</v>
      </c>
      <c r="CM364" s="255">
        <f t="shared" si="159"/>
        <v>0</v>
      </c>
      <c r="CN364" s="232">
        <f>IFERROR(VLOOKUP(CM364,'Rangos amb etnico'!$A$2:$C$6,3,9),"N.D.")</f>
        <v>0</v>
      </c>
      <c r="CO364" s="311">
        <f t="shared" si="160"/>
        <v>0</v>
      </c>
      <c r="CP364">
        <v>0.9680778846475141</v>
      </c>
      <c r="CQ364" t="s">
        <v>2864</v>
      </c>
      <c r="CR364">
        <f t="shared" si="151"/>
        <v>1</v>
      </c>
      <c r="CS364" t="str">
        <f t="shared" si="161"/>
        <v>No es Candidato</v>
      </c>
      <c r="CT364">
        <v>0</v>
      </c>
      <c r="CU364">
        <v>0</v>
      </c>
      <c r="CV364" s="25">
        <v>46.486793518066413</v>
      </c>
      <c r="CW364" s="25">
        <v>20.90273284912109</v>
      </c>
      <c r="CX364" s="25">
        <v>50.506935119628913</v>
      </c>
      <c r="CY364" s="25">
        <v>68.270431518554688</v>
      </c>
      <c r="CZ364" s="25">
        <v>25.075504302978519</v>
      </c>
      <c r="DA364" s="25">
        <v>51.846778869628913</v>
      </c>
      <c r="DB364" s="25">
        <v>62.318378448486328</v>
      </c>
      <c r="DC364">
        <v>34655</v>
      </c>
      <c r="DD364" s="253" t="s">
        <v>380</v>
      </c>
    </row>
    <row r="365" spans="1:108" hidden="1">
      <c r="A365" s="13">
        <v>17050</v>
      </c>
      <c r="B365" s="13" t="s">
        <v>1186</v>
      </c>
      <c r="C365" s="13" t="s">
        <v>506</v>
      </c>
      <c r="D365" s="13" t="s">
        <v>507</v>
      </c>
      <c r="E365" s="13" t="s">
        <v>1187</v>
      </c>
      <c r="F365" s="14">
        <v>65.190366666666705</v>
      </c>
      <c r="G365" s="13">
        <v>54.92</v>
      </c>
      <c r="H365" s="13">
        <v>50.64</v>
      </c>
      <c r="I365" s="13">
        <v>54.24</v>
      </c>
      <c r="J365" s="14">
        <v>47.415292010877238</v>
      </c>
      <c r="K365" s="14">
        <v>53.437954058906293</v>
      </c>
      <c r="L365" s="14">
        <v>60.46316299706217</v>
      </c>
      <c r="M365" s="14">
        <v>51.746299999999998</v>
      </c>
      <c r="N365" s="14">
        <f t="shared" si="135"/>
        <v>56.247591666666679</v>
      </c>
      <c r="O365" s="14">
        <f t="shared" si="136"/>
        <v>53.265677266711421</v>
      </c>
      <c r="P365" s="14">
        <f t="shared" si="152"/>
        <v>54.75663446668905</v>
      </c>
      <c r="Q365" s="14">
        <v>50.357063788097619</v>
      </c>
      <c r="R365" s="17">
        <f t="shared" si="137"/>
        <v>49.642936211902381</v>
      </c>
      <c r="S365" s="14">
        <f t="shared" si="153"/>
        <v>0.54678642590712145</v>
      </c>
      <c r="T365" s="13">
        <v>0</v>
      </c>
      <c r="U365" s="13">
        <f t="shared" si="154"/>
        <v>29.940184454743605</v>
      </c>
      <c r="V365" s="13">
        <f>IF($T365=1,$AU365,(VLOOKUP(U365,'Cortes naturales'!$A$35:$C$39,3,9)))</f>
        <v>3</v>
      </c>
      <c r="W365" s="13">
        <v>3</v>
      </c>
      <c r="X365" s="14" t="b">
        <f t="shared" si="138"/>
        <v>1</v>
      </c>
      <c r="Y365" s="17">
        <f>IF($T365=1,$AU365,VLOOKUP(U365,'Cortes naturales'!$A$45:$C$49,3,9))</f>
        <v>3</v>
      </c>
      <c r="Z365" s="14">
        <v>56.24514929901963</v>
      </c>
      <c r="AA365" s="14">
        <v>0.5562973713987831</v>
      </c>
      <c r="AB365" s="14">
        <v>31.28902870897673</v>
      </c>
      <c r="AC365" s="13">
        <v>3</v>
      </c>
      <c r="AD365" s="13">
        <f t="shared" si="139"/>
        <v>0</v>
      </c>
      <c r="AE365" s="14">
        <f t="shared" si="140"/>
        <v>-1.4885148323305799</v>
      </c>
      <c r="AF365" s="14">
        <f t="shared" si="141"/>
        <v>-9.5109454916616487E-3</v>
      </c>
      <c r="AG365" s="13">
        <f t="shared" si="142"/>
        <v>-1.3488442542331249</v>
      </c>
      <c r="AH365" s="13">
        <f>IF($T365=1,$AU365,VLOOKUP(U365,'Cortes naturales'!$A$25:$C$29,3,9))</f>
        <v>3</v>
      </c>
      <c r="AI365" s="13" t="b">
        <f t="shared" si="143"/>
        <v>1</v>
      </c>
      <c r="AJ365" s="13">
        <f t="shared" si="144"/>
        <v>0</v>
      </c>
      <c r="AK365" s="28">
        <v>0.81759069605862034</v>
      </c>
      <c r="AL365" s="28">
        <v>45.985510765306479</v>
      </c>
      <c r="AM365" s="28">
        <v>0.40460425453467108</v>
      </c>
      <c r="AN365" s="13">
        <v>3</v>
      </c>
      <c r="AO365" s="33">
        <f t="shared" si="145"/>
        <v>0</v>
      </c>
      <c r="AP365" s="13">
        <f t="shared" si="155"/>
        <v>40.46042545346711</v>
      </c>
      <c r="AQ365" s="13">
        <f>IFERROR(VLOOKUP(U365,'Cortes naturales'!$E$15:$G$19,3,9),U365)</f>
        <v>4</v>
      </c>
      <c r="AR365" s="28">
        <f t="shared" si="146"/>
        <v>-0.27080427015149888</v>
      </c>
      <c r="AS365" s="13" t="b">
        <f t="shared" si="147"/>
        <v>0</v>
      </c>
      <c r="AT365" s="13">
        <f t="shared" si="156"/>
        <v>0</v>
      </c>
      <c r="AU365" s="13">
        <v>3</v>
      </c>
      <c r="AV365">
        <f t="shared" si="148"/>
        <v>0</v>
      </c>
      <c r="AW365" s="13">
        <v>0</v>
      </c>
      <c r="AX365" s="13">
        <v>0</v>
      </c>
      <c r="AY365" s="13">
        <v>0</v>
      </c>
      <c r="AZ365" s="13">
        <v>0</v>
      </c>
      <c r="BA365">
        <v>0</v>
      </c>
      <c r="BB365" t="s">
        <v>2839</v>
      </c>
      <c r="BC365">
        <v>6</v>
      </c>
      <c r="BD365" t="s">
        <v>2919</v>
      </c>
      <c r="BE365">
        <v>0</v>
      </c>
      <c r="BF365" s="232" t="s">
        <v>2846</v>
      </c>
      <c r="BG365" s="232" t="s">
        <v>2846</v>
      </c>
      <c r="BH365" s="253">
        <v>32.1</v>
      </c>
      <c r="BI365" s="253">
        <v>9.8335701238075917</v>
      </c>
      <c r="BJ365" s="25">
        <v>19.893600317591826</v>
      </c>
      <c r="BK365" t="s">
        <v>379</v>
      </c>
      <c r="BL365">
        <v>0.87409522617265667</v>
      </c>
      <c r="BM365" t="s">
        <v>383</v>
      </c>
      <c r="BN365" s="322">
        <v>17953.823990000001</v>
      </c>
      <c r="BO365" s="322">
        <v>2738.4100119999998</v>
      </c>
      <c r="BP365" s="10">
        <v>10820</v>
      </c>
      <c r="BQ365" s="254">
        <f t="shared" si="149"/>
        <v>1.6593182985212569</v>
      </c>
      <c r="BR365" s="254">
        <f t="shared" si="150"/>
        <v>0.25308780147874305</v>
      </c>
      <c r="BS365" s="25">
        <v>70.801448851157318</v>
      </c>
      <c r="BT365" s="25">
        <v>100</v>
      </c>
      <c r="BU365" s="25">
        <v>47.326009202932433</v>
      </c>
      <c r="BV365" s="25">
        <v>97.392891649046021</v>
      </c>
      <c r="BW365" s="25">
        <v>56.166236220821759</v>
      </c>
      <c r="BX365" s="25">
        <v>78.880087425783941</v>
      </c>
      <c r="BY365" s="25">
        <v>56.916123022744479</v>
      </c>
      <c r="BZ365">
        <v>19</v>
      </c>
      <c r="CA365">
        <v>0</v>
      </c>
      <c r="CB365">
        <v>7</v>
      </c>
      <c r="CC365">
        <v>14952.95746</v>
      </c>
      <c r="CD365" s="10">
        <v>1264.2272579999999</v>
      </c>
      <c r="CE365" s="255">
        <v>8.4546970817102815E-2</v>
      </c>
      <c r="CF365" t="str">
        <f>IFERROR(VLOOKUP(CE365,'Rangos amb etnico'!$A$2:$C$6,3,9),"N.D.")</f>
        <v>0,1% - 30%</v>
      </c>
      <c r="CG365" s="256">
        <v>3.678113664875374E-5</v>
      </c>
      <c r="CH365" s="232">
        <v>0</v>
      </c>
      <c r="CI365" s="311">
        <f t="shared" si="157"/>
        <v>0</v>
      </c>
      <c r="CJ365" s="232">
        <f>IFERROR(VLOOKUP(CI365,'Rangos amb etnico'!$A$2:$C$6,3,9),"N.D.")</f>
        <v>0</v>
      </c>
      <c r="CK365" s="311">
        <f t="shared" si="158"/>
        <v>0</v>
      </c>
      <c r="CL365" s="10">
        <v>0</v>
      </c>
      <c r="CM365" s="255">
        <f t="shared" si="159"/>
        <v>0</v>
      </c>
      <c r="CN365" s="232">
        <f>IFERROR(VLOOKUP(CM365,'Rangos amb etnico'!$A$2:$C$6,3,9),"N.D.")</f>
        <v>0</v>
      </c>
      <c r="CO365" s="311">
        <f t="shared" si="160"/>
        <v>0</v>
      </c>
      <c r="CP365">
        <v>0.86053211592926726</v>
      </c>
      <c r="CQ365" t="s">
        <v>2864</v>
      </c>
      <c r="CR365">
        <f t="shared" si="151"/>
        <v>1</v>
      </c>
      <c r="CS365" t="str">
        <f t="shared" si="161"/>
        <v>No es Candidato</v>
      </c>
      <c r="CT365">
        <v>0</v>
      </c>
      <c r="CU365">
        <v>0</v>
      </c>
      <c r="CV365" s="25">
        <v>54.394603729248047</v>
      </c>
      <c r="CW365" s="25">
        <v>31.666913986206051</v>
      </c>
      <c r="CX365" s="25">
        <v>49.664878845214837</v>
      </c>
      <c r="CY365" s="25">
        <v>62.202651977539063</v>
      </c>
      <c r="CZ365" s="25">
        <v>47.4088134765625</v>
      </c>
      <c r="DA365" s="25">
        <v>88.556907653808594</v>
      </c>
      <c r="DB365" s="25">
        <v>46.867458343505859</v>
      </c>
      <c r="DC365">
        <v>70</v>
      </c>
      <c r="DD365" s="253" t="s">
        <v>380</v>
      </c>
    </row>
    <row r="366" spans="1:108" hidden="1">
      <c r="A366" s="13">
        <v>52354</v>
      </c>
      <c r="B366" s="13" t="s">
        <v>1188</v>
      </c>
      <c r="C366" s="13" t="s">
        <v>672</v>
      </c>
      <c r="D366" s="13" t="s">
        <v>673</v>
      </c>
      <c r="E366" s="13" t="s">
        <v>1189</v>
      </c>
      <c r="F366" s="14">
        <v>67.516800000000003</v>
      </c>
      <c r="G366" s="13">
        <v>57.18</v>
      </c>
      <c r="H366" s="13">
        <v>49.02</v>
      </c>
      <c r="I366" s="13">
        <v>68.91</v>
      </c>
      <c r="J366" s="14">
        <v>54.110272238028855</v>
      </c>
      <c r="K366" s="14">
        <v>58.672716339546426</v>
      </c>
      <c r="L366" s="14">
        <v>76.569346204624651</v>
      </c>
      <c r="M366" s="14">
        <v>46.8551</v>
      </c>
      <c r="N366" s="14">
        <f t="shared" si="135"/>
        <v>60.656700000000001</v>
      </c>
      <c r="O366" s="14">
        <f t="shared" si="136"/>
        <v>59.051858695549981</v>
      </c>
      <c r="P366" s="14">
        <f t="shared" si="152"/>
        <v>59.854279347774991</v>
      </c>
      <c r="Q366" s="14">
        <v>50.591854772748299</v>
      </c>
      <c r="R366" s="17">
        <f t="shared" si="137"/>
        <v>49.408145227251701</v>
      </c>
      <c r="S366" s="14">
        <f t="shared" si="153"/>
        <v>0.54467330704526529</v>
      </c>
      <c r="T366" s="13">
        <v>0</v>
      </c>
      <c r="U366" s="13">
        <f t="shared" si="154"/>
        <v>32.601028273163728</v>
      </c>
      <c r="V366" s="13">
        <f>IF($T366=1,$AU366,(VLOOKUP(U366,'Cortes naturales'!$A$35:$C$39,3,9)))</f>
        <v>3</v>
      </c>
      <c r="W366" s="13">
        <v>3</v>
      </c>
      <c r="X366" s="14" t="b">
        <f t="shared" si="138"/>
        <v>1</v>
      </c>
      <c r="Y366" s="17">
        <f>IF($T366=1,$AU366,VLOOKUP(U366,'Cortes naturales'!$A$45:$C$49,3,9))</f>
        <v>3</v>
      </c>
      <c r="Z366" s="14">
        <v>60.481982877393989</v>
      </c>
      <c r="AA366" s="14">
        <v>0.55593838663986528</v>
      </c>
      <c r="AB366" s="14">
        <v>33.62425598163837</v>
      </c>
      <c r="AC366" s="13">
        <v>3</v>
      </c>
      <c r="AD366" s="13">
        <f t="shared" si="139"/>
        <v>0</v>
      </c>
      <c r="AE366" s="14">
        <f t="shared" si="140"/>
        <v>-0.62770352961899789</v>
      </c>
      <c r="AF366" s="14">
        <f t="shared" si="141"/>
        <v>-1.1265079594599992E-2</v>
      </c>
      <c r="AG366" s="13">
        <f t="shared" si="142"/>
        <v>-1.0232277084746428</v>
      </c>
      <c r="AH366" s="13">
        <f>IF($T366=1,$AU366,VLOOKUP(U366,'Cortes naturales'!$A$25:$C$29,3,9))</f>
        <v>3</v>
      </c>
      <c r="AI366" s="13" t="b">
        <f t="shared" si="143"/>
        <v>1</v>
      </c>
      <c r="AJ366" s="13">
        <f t="shared" si="144"/>
        <v>0</v>
      </c>
      <c r="AK366" s="28">
        <v>0.81759069605862034</v>
      </c>
      <c r="AL366" s="28">
        <v>49.449506479734112</v>
      </c>
      <c r="AM366" s="28">
        <v>0.44793518952650058</v>
      </c>
      <c r="AN366" s="13">
        <v>3</v>
      </c>
      <c r="AO366" s="33">
        <f t="shared" si="145"/>
        <v>0</v>
      </c>
      <c r="AP366" s="13">
        <f t="shared" si="155"/>
        <v>44.793518952650061</v>
      </c>
      <c r="AQ366" s="13">
        <f>IFERROR(VLOOKUP(U366,'Cortes naturales'!$E$15:$G$19,3,9),U366)</f>
        <v>4</v>
      </c>
      <c r="AR366" s="28">
        <f t="shared" si="146"/>
        <v>-0.27291738901335505</v>
      </c>
      <c r="AS366" s="13" t="b">
        <f t="shared" si="147"/>
        <v>0</v>
      </c>
      <c r="AT366" s="13">
        <f t="shared" si="156"/>
        <v>0</v>
      </c>
      <c r="AU366" s="13">
        <v>3</v>
      </c>
      <c r="AV366">
        <f t="shared" si="148"/>
        <v>0</v>
      </c>
      <c r="AW366" s="13">
        <v>0</v>
      </c>
      <c r="AX366" s="13">
        <v>0</v>
      </c>
      <c r="AY366" s="13">
        <v>0</v>
      </c>
      <c r="AZ366" s="13">
        <v>0</v>
      </c>
      <c r="BA366">
        <v>0</v>
      </c>
      <c r="BB366" t="s">
        <v>2840</v>
      </c>
      <c r="BC366">
        <v>6</v>
      </c>
      <c r="BD366" t="s">
        <v>2919</v>
      </c>
      <c r="BE366">
        <v>0</v>
      </c>
      <c r="BF366" s="232" t="s">
        <v>2846</v>
      </c>
      <c r="BG366" s="232" t="s">
        <v>2845</v>
      </c>
      <c r="BH366" s="253">
        <v>40.200000000000003</v>
      </c>
      <c r="BI366" s="253">
        <v>14.643363249881908</v>
      </c>
      <c r="BJ366" s="25">
        <v>53.272788758235336</v>
      </c>
      <c r="BK366" t="s">
        <v>376</v>
      </c>
      <c r="BL366">
        <v>0</v>
      </c>
      <c r="BM366" t="s">
        <v>377</v>
      </c>
      <c r="BN366" s="322">
        <v>17923.79463</v>
      </c>
      <c r="BO366" s="322">
        <v>2634.4446899999998</v>
      </c>
      <c r="BP366" s="10">
        <v>7836</v>
      </c>
      <c r="BQ366" s="254">
        <f t="shared" si="149"/>
        <v>2.2873653177641655</v>
      </c>
      <c r="BR366" s="254">
        <f t="shared" si="150"/>
        <v>0.33619763782542111</v>
      </c>
      <c r="BS366" s="25">
        <v>63.4184759626024</v>
      </c>
      <c r="BT366" s="25">
        <v>86.887300406670079</v>
      </c>
      <c r="BU366" s="25">
        <v>38.361457318173599</v>
      </c>
      <c r="BV366" s="25">
        <v>93.147296735762325</v>
      </c>
      <c r="BW366" s="25">
        <v>52.021045368513057</v>
      </c>
      <c r="BX366" s="25">
        <v>70.453632605802099</v>
      </c>
      <c r="BY366" s="25">
        <v>52.551207448621312</v>
      </c>
      <c r="BZ366">
        <v>70</v>
      </c>
      <c r="CA366">
        <v>0</v>
      </c>
      <c r="CB366">
        <v>7</v>
      </c>
      <c r="CC366">
        <v>8179.2115670000003</v>
      </c>
      <c r="CD366" s="10">
        <v>75.593509999999995</v>
      </c>
      <c r="CE366" s="255">
        <v>9.2421512001219022E-3</v>
      </c>
      <c r="CF366" t="str">
        <f>IFERROR(VLOOKUP(CE366,'Rangos amb etnico'!$A$2:$C$6,3,9),"N.D.")</f>
        <v>0,1% - 30%</v>
      </c>
      <c r="CG366" s="256">
        <v>2.1993001681260479E-6</v>
      </c>
      <c r="CH366" s="232">
        <v>0</v>
      </c>
      <c r="CI366" s="311">
        <f t="shared" si="157"/>
        <v>0</v>
      </c>
      <c r="CJ366" s="232">
        <f>IFERROR(VLOOKUP(CI366,'Rangos amb etnico'!$A$2:$C$6,3,9),"N.D.")</f>
        <v>0</v>
      </c>
      <c r="CK366" s="311">
        <f t="shared" si="158"/>
        <v>0</v>
      </c>
      <c r="CL366" s="10">
        <v>0</v>
      </c>
      <c r="CM366" s="255">
        <f t="shared" si="159"/>
        <v>0</v>
      </c>
      <c r="CN366" s="232">
        <f>IFERROR(VLOOKUP(CM366,'Rangos amb etnico'!$A$2:$C$6,3,9),"N.D.")</f>
        <v>0</v>
      </c>
      <c r="CO366" s="311">
        <f t="shared" si="160"/>
        <v>0</v>
      </c>
      <c r="CP366">
        <v>0.92705545017961188</v>
      </c>
      <c r="CQ366" t="s">
        <v>2864</v>
      </c>
      <c r="CR366">
        <f t="shared" si="151"/>
        <v>2</v>
      </c>
      <c r="CS366" t="str">
        <f t="shared" si="161"/>
        <v>No es Candidato</v>
      </c>
      <c r="CT366">
        <v>0</v>
      </c>
      <c r="CU366">
        <v>0</v>
      </c>
      <c r="CV366" s="25">
        <v>56.02960205078125</v>
      </c>
      <c r="CW366" s="25">
        <v>24.832828521728519</v>
      </c>
      <c r="CX366" s="25">
        <v>50.096935272216797</v>
      </c>
      <c r="CY366" s="25">
        <v>63.254695892333977</v>
      </c>
      <c r="CZ366" s="25">
        <v>64.614418029785156</v>
      </c>
      <c r="DA366" s="25">
        <v>79.879867553710938</v>
      </c>
      <c r="DB366" s="25">
        <v>53.498878479003913</v>
      </c>
      <c r="DC366">
        <v>819</v>
      </c>
      <c r="DD366" s="253" t="s">
        <v>380</v>
      </c>
    </row>
    <row r="367" spans="1:108" hidden="1">
      <c r="A367" s="13">
        <v>15599</v>
      </c>
      <c r="B367" s="13" t="s">
        <v>1190</v>
      </c>
      <c r="C367" s="13" t="s">
        <v>498</v>
      </c>
      <c r="D367" s="13" t="s">
        <v>499</v>
      </c>
      <c r="E367" s="13" t="s">
        <v>1191</v>
      </c>
      <c r="F367" s="14">
        <v>36.253866666666703</v>
      </c>
      <c r="G367" s="13">
        <v>40.840000000000003</v>
      </c>
      <c r="H367" s="13">
        <v>45.52</v>
      </c>
      <c r="I367" s="13">
        <v>64.62</v>
      </c>
      <c r="J367" s="14">
        <v>51.135753840412036</v>
      </c>
      <c r="K367" s="14">
        <v>52.660565182834951</v>
      </c>
      <c r="L367" s="14">
        <v>56.985725164157188</v>
      </c>
      <c r="M367" s="14">
        <v>55.819800000000001</v>
      </c>
      <c r="N367" s="14">
        <f t="shared" si="135"/>
        <v>46.808466666666682</v>
      </c>
      <c r="O367" s="14">
        <f t="shared" si="136"/>
        <v>54.150461046851035</v>
      </c>
      <c r="P367" s="14">
        <f t="shared" si="152"/>
        <v>50.479463856758855</v>
      </c>
      <c r="Q367" s="14">
        <v>51.024191065157574</v>
      </c>
      <c r="R367" s="17">
        <f t="shared" si="137"/>
        <v>48.975808934842426</v>
      </c>
      <c r="S367" s="14">
        <f t="shared" si="153"/>
        <v>0.54078228041358178</v>
      </c>
      <c r="T367" s="13">
        <v>0</v>
      </c>
      <c r="U367" s="13">
        <f t="shared" si="154"/>
        <v>27.298399578513035</v>
      </c>
      <c r="V367" s="13">
        <f>IF($T367=1,$AU367,(VLOOKUP(U367,'Cortes naturales'!$A$35:$C$39,3,9)))</f>
        <v>4</v>
      </c>
      <c r="W367" s="13">
        <v>4</v>
      </c>
      <c r="X367" s="14" t="b">
        <f t="shared" si="138"/>
        <v>1</v>
      </c>
      <c r="Y367" s="17">
        <f>IF($T367=1,$AU367,VLOOKUP(U367,'Cortes naturales'!$A$45:$C$49,3,9))</f>
        <v>4</v>
      </c>
      <c r="Z367" s="14">
        <v>47.076566933629302</v>
      </c>
      <c r="AA367" s="14">
        <v>0.55423307373741382</v>
      </c>
      <c r="AB367" s="14">
        <v>26.091390392630466</v>
      </c>
      <c r="AC367" s="13">
        <v>4</v>
      </c>
      <c r="AD367" s="13">
        <f t="shared" si="139"/>
        <v>0</v>
      </c>
      <c r="AE367" s="14">
        <f t="shared" si="140"/>
        <v>3.4028969231295534</v>
      </c>
      <c r="AF367" s="14">
        <f t="shared" si="141"/>
        <v>-1.3450793323832033E-2</v>
      </c>
      <c r="AG367" s="13">
        <f t="shared" si="142"/>
        <v>1.2070091858825691</v>
      </c>
      <c r="AH367" s="13">
        <f>IF($T367=1,$AU367,VLOOKUP(U367,'Cortes naturales'!$A$25:$C$29,3,9))</f>
        <v>4</v>
      </c>
      <c r="AI367" s="13" t="b">
        <f t="shared" si="143"/>
        <v>1</v>
      </c>
      <c r="AJ367" s="13">
        <f t="shared" si="144"/>
        <v>0</v>
      </c>
      <c r="AK367" s="28">
        <v>0.81759069605862034</v>
      </c>
      <c r="AL367" s="28">
        <v>38.48936312731621</v>
      </c>
      <c r="AM367" s="28">
        <v>0.31083534926782863</v>
      </c>
      <c r="AN367" s="13">
        <v>4</v>
      </c>
      <c r="AO367" s="33">
        <f t="shared" si="145"/>
        <v>0</v>
      </c>
      <c r="AP367" s="13">
        <f t="shared" si="155"/>
        <v>31.083534926782864</v>
      </c>
      <c r="AQ367" s="13">
        <f>IFERROR(VLOOKUP(U367,'Cortes naturales'!$E$15:$G$19,3,9),U367)</f>
        <v>4</v>
      </c>
      <c r="AR367" s="28">
        <f t="shared" si="146"/>
        <v>-0.27680841564503855</v>
      </c>
      <c r="AS367" s="13" t="b">
        <f t="shared" si="147"/>
        <v>1</v>
      </c>
      <c r="AT367" s="13">
        <f t="shared" si="156"/>
        <v>0</v>
      </c>
      <c r="AU367" s="13">
        <v>3</v>
      </c>
      <c r="AV367">
        <f t="shared" si="148"/>
        <v>-1</v>
      </c>
      <c r="AW367" s="13">
        <v>0</v>
      </c>
      <c r="AX367" s="13">
        <v>0</v>
      </c>
      <c r="AY367" s="13">
        <v>0</v>
      </c>
      <c r="AZ367" s="13">
        <v>0</v>
      </c>
      <c r="BA367">
        <v>0</v>
      </c>
      <c r="BB367" t="s">
        <v>2839</v>
      </c>
      <c r="BC367">
        <v>6</v>
      </c>
      <c r="BD367" t="s">
        <v>2919</v>
      </c>
      <c r="BE367">
        <v>0</v>
      </c>
      <c r="BF367" s="232" t="s">
        <v>2846</v>
      </c>
      <c r="BG367" s="232" t="s">
        <v>2846</v>
      </c>
      <c r="BH367" s="253">
        <v>31.4</v>
      </c>
      <c r="BI367" s="253">
        <v>12.220943613348677</v>
      </c>
      <c r="BJ367" s="25">
        <v>23.92597618028589</v>
      </c>
      <c r="BK367" t="s">
        <v>379</v>
      </c>
      <c r="BL367">
        <v>0</v>
      </c>
      <c r="BM367" t="s">
        <v>377</v>
      </c>
      <c r="BN367" s="322">
        <v>25970.035646</v>
      </c>
      <c r="BO367" s="322">
        <v>6578.7917850000003</v>
      </c>
      <c r="BP367" s="10">
        <v>10131</v>
      </c>
      <c r="BQ367" s="254">
        <f t="shared" si="149"/>
        <v>2.5634227268778997</v>
      </c>
      <c r="BR367" s="254">
        <f t="shared" si="150"/>
        <v>0.64937240005922425</v>
      </c>
      <c r="BS367" s="25">
        <v>70.577655865288833</v>
      </c>
      <c r="BT367" s="25">
        <v>93.108269033330046</v>
      </c>
      <c r="BU367" s="25">
        <v>55.154994846423399</v>
      </c>
      <c r="BV367" s="25">
        <v>85.979449569728331</v>
      </c>
      <c r="BW367" s="25">
        <v>61.273429489673703</v>
      </c>
      <c r="BX367" s="25">
        <v>76.205092328692643</v>
      </c>
      <c r="BY367" s="25">
        <v>64.284348769699065</v>
      </c>
      <c r="BZ367">
        <v>0</v>
      </c>
      <c r="CA367">
        <v>1</v>
      </c>
      <c r="CB367">
        <v>6</v>
      </c>
      <c r="CC367">
        <v>12542.156317999999</v>
      </c>
      <c r="CD367" s="10">
        <v>6889.5119770000001</v>
      </c>
      <c r="CE367" s="255">
        <v>0.54930841255043594</v>
      </c>
      <c r="CF367" t="str">
        <f>IFERROR(VLOOKUP(CE367,'Rangos amb etnico'!$A$2:$C$6,3,9),"N.D.")</f>
        <v>51% - 70%</v>
      </c>
      <c r="CG367" s="256">
        <v>2.00441874564662E-4</v>
      </c>
      <c r="CH367" s="232">
        <v>0</v>
      </c>
      <c r="CI367" s="311">
        <f t="shared" si="157"/>
        <v>0</v>
      </c>
      <c r="CJ367" s="232">
        <f>IFERROR(VLOOKUP(CI367,'Rangos amb etnico'!$A$2:$C$6,3,9),"N.D.")</f>
        <v>0</v>
      </c>
      <c r="CK367" s="311">
        <f t="shared" si="158"/>
        <v>0</v>
      </c>
      <c r="CL367" s="10">
        <v>0</v>
      </c>
      <c r="CM367" s="255">
        <f t="shared" si="159"/>
        <v>0</v>
      </c>
      <c r="CN367" s="232">
        <f>IFERROR(VLOOKUP(CM367,'Rangos amb etnico'!$A$2:$C$6,3,9),"N.D.")</f>
        <v>0</v>
      </c>
      <c r="CO367" s="311">
        <f t="shared" si="160"/>
        <v>0</v>
      </c>
      <c r="CP367">
        <v>0.94563899453781874</v>
      </c>
      <c r="CQ367" t="s">
        <v>2864</v>
      </c>
      <c r="CR367">
        <f t="shared" si="151"/>
        <v>3</v>
      </c>
      <c r="CS367" t="str">
        <f t="shared" si="161"/>
        <v>Candidato</v>
      </c>
      <c r="CT367">
        <v>0</v>
      </c>
      <c r="CU367">
        <v>0</v>
      </c>
      <c r="CV367" s="25">
        <v>53.242137908935547</v>
      </c>
      <c r="CW367" s="25">
        <v>29.038993835449219</v>
      </c>
      <c r="CX367" s="25">
        <v>46.935127258300781</v>
      </c>
      <c r="CY367" s="25">
        <v>67.138992309570313</v>
      </c>
      <c r="CZ367" s="25">
        <v>64.461700439453125</v>
      </c>
      <c r="DA367" s="25">
        <v>55.900352478027337</v>
      </c>
      <c r="DB367" s="25">
        <v>55.9776611328125</v>
      </c>
      <c r="DC367">
        <v>47</v>
      </c>
      <c r="DD367" s="253" t="s">
        <v>380</v>
      </c>
    </row>
    <row r="368" spans="1:108" hidden="1">
      <c r="A368" s="13">
        <v>20443</v>
      </c>
      <c r="B368" s="13" t="s">
        <v>1192</v>
      </c>
      <c r="C368" s="13" t="s">
        <v>893</v>
      </c>
      <c r="D368" s="13" t="s">
        <v>894</v>
      </c>
      <c r="E368" s="13" t="s">
        <v>1193</v>
      </c>
      <c r="F368" s="14">
        <v>60.518366666666701</v>
      </c>
      <c r="G368" s="13">
        <v>47.01</v>
      </c>
      <c r="H368" s="13">
        <v>27.11</v>
      </c>
      <c r="I368" s="13">
        <v>67.98</v>
      </c>
      <c r="J368" s="14">
        <v>39.129579925283288</v>
      </c>
      <c r="K368" s="14">
        <v>49.004062230245971</v>
      </c>
      <c r="L368" s="14">
        <v>64.144072731714104</v>
      </c>
      <c r="M368" s="14">
        <v>57.008000000000003</v>
      </c>
      <c r="N368" s="14">
        <f t="shared" si="135"/>
        <v>50.654591666666676</v>
      </c>
      <c r="O368" s="14">
        <f t="shared" si="136"/>
        <v>52.32142872181084</v>
      </c>
      <c r="P368" s="14">
        <f t="shared" si="152"/>
        <v>51.488010194238754</v>
      </c>
      <c r="Q368" s="14">
        <v>50.368755669217016</v>
      </c>
      <c r="R368" s="17">
        <f t="shared" si="137"/>
        <v>49.631244330782984</v>
      </c>
      <c r="S368" s="14">
        <f t="shared" si="153"/>
        <v>0.54668119897704692</v>
      </c>
      <c r="T368" s="13">
        <v>0</v>
      </c>
      <c r="U368" s="13">
        <f t="shared" si="154"/>
        <v>28.147527145928855</v>
      </c>
      <c r="V368" s="13">
        <f>IF($T368=1,$AU368,(VLOOKUP(U368,'Cortes naturales'!$A$35:$C$39,3,9)))</f>
        <v>4</v>
      </c>
      <c r="W368" s="13">
        <v>4</v>
      </c>
      <c r="X368" s="14" t="b">
        <f t="shared" si="138"/>
        <v>1</v>
      </c>
      <c r="Y368" s="17">
        <f>IF($T368=1,$AU368,VLOOKUP(U368,'Cortes naturales'!$A$45:$C$49,3,9))</f>
        <v>4</v>
      </c>
      <c r="Z368" s="14">
        <v>49.568662084250128</v>
      </c>
      <c r="AA368" s="14">
        <v>0.55656797111240008</v>
      </c>
      <c r="AB368" s="14">
        <v>27.588329686987247</v>
      </c>
      <c r="AC368" s="13">
        <v>4</v>
      </c>
      <c r="AD368" s="13">
        <f t="shared" si="139"/>
        <v>0</v>
      </c>
      <c r="AE368" s="14">
        <f t="shared" si="140"/>
        <v>1.9193481099886256</v>
      </c>
      <c r="AF368" s="14">
        <f t="shared" si="141"/>
        <v>-9.8867721353531612E-3</v>
      </c>
      <c r="AG368" s="13">
        <f t="shared" si="142"/>
        <v>0.55919745894160755</v>
      </c>
      <c r="AH368" s="13">
        <f>IF($T368=1,$AU368,VLOOKUP(U368,'Cortes naturales'!$A$25:$C$29,3,9))</f>
        <v>3</v>
      </c>
      <c r="AI368" s="13" t="b">
        <f t="shared" si="143"/>
        <v>0</v>
      </c>
      <c r="AJ368" s="13">
        <f t="shared" si="144"/>
        <v>0</v>
      </c>
      <c r="AK368" s="28">
        <v>0.81759069605862034</v>
      </c>
      <c r="AL368" s="28">
        <v>40.526876936156604</v>
      </c>
      <c r="AM368" s="28">
        <v>0.33632249927442331</v>
      </c>
      <c r="AN368" s="13">
        <v>4</v>
      </c>
      <c r="AO368" s="33">
        <f t="shared" si="145"/>
        <v>0</v>
      </c>
      <c r="AP368" s="13">
        <f t="shared" si="155"/>
        <v>33.632249927442331</v>
      </c>
      <c r="AQ368" s="13">
        <f>IFERROR(VLOOKUP(U368,'Cortes naturales'!$E$15:$G$19,3,9),U368)</f>
        <v>4</v>
      </c>
      <c r="AR368" s="28">
        <f t="shared" si="146"/>
        <v>-0.27090949708157341</v>
      </c>
      <c r="AS368" s="13" t="b">
        <f t="shared" si="147"/>
        <v>1</v>
      </c>
      <c r="AT368" s="13">
        <f t="shared" si="156"/>
        <v>0</v>
      </c>
      <c r="AU368" s="13">
        <v>3</v>
      </c>
      <c r="AV368">
        <f t="shared" si="148"/>
        <v>-1</v>
      </c>
      <c r="AW368" s="13">
        <v>0</v>
      </c>
      <c r="AX368" s="13">
        <v>0</v>
      </c>
      <c r="AY368" s="13">
        <v>0</v>
      </c>
      <c r="AZ368" s="13">
        <v>1</v>
      </c>
      <c r="BA368">
        <v>1</v>
      </c>
      <c r="BB368" t="s">
        <v>2839</v>
      </c>
      <c r="BC368">
        <v>6</v>
      </c>
      <c r="BD368" t="s">
        <v>2919</v>
      </c>
      <c r="BE368">
        <v>1</v>
      </c>
      <c r="BF368" s="232" t="s">
        <v>2846</v>
      </c>
      <c r="BG368" s="232" t="s">
        <v>2845</v>
      </c>
      <c r="BH368" s="253">
        <v>41.2</v>
      </c>
      <c r="BI368" s="253">
        <v>27.585465491292194</v>
      </c>
      <c r="BJ368" s="25">
        <v>64.309090909090912</v>
      </c>
      <c r="BK368" t="s">
        <v>376</v>
      </c>
      <c r="BL368">
        <v>7.9747341283128131E-2</v>
      </c>
      <c r="BM368" t="s">
        <v>377</v>
      </c>
      <c r="BN368" s="322">
        <v>52257.729264000001</v>
      </c>
      <c r="BO368" s="322">
        <v>3006.753052</v>
      </c>
      <c r="BP368" s="10">
        <v>11548</v>
      </c>
      <c r="BQ368" s="254">
        <f t="shared" si="149"/>
        <v>4.5252623193626604</v>
      </c>
      <c r="BR368" s="254">
        <f t="shared" si="150"/>
        <v>0.26037002528576375</v>
      </c>
      <c r="BS368" s="25">
        <v>61.912725804496041</v>
      </c>
      <c r="BT368" s="25">
        <v>92.638137395219943</v>
      </c>
      <c r="BU368" s="25">
        <v>60.408007518796971</v>
      </c>
      <c r="BV368" s="25">
        <v>93.660199052723286</v>
      </c>
      <c r="BW368" s="25">
        <v>48.684254811684617</v>
      </c>
      <c r="BX368" s="25">
        <v>77.15476744280906</v>
      </c>
      <c r="BY368" s="25">
        <v>49.890321146578962</v>
      </c>
      <c r="BZ368">
        <v>47</v>
      </c>
      <c r="CA368">
        <v>0</v>
      </c>
      <c r="CB368">
        <v>7</v>
      </c>
      <c r="CC368">
        <v>13664.818885999999</v>
      </c>
      <c r="CD368" s="10">
        <v>11805.006758</v>
      </c>
      <c r="CE368" s="255">
        <v>0.86389778426515185</v>
      </c>
      <c r="CF368" t="str">
        <f>IFERROR(VLOOKUP(CE368,'Rangos amb etnico'!$A$2:$C$6,3,9),"N.D.")</f>
        <v>71% - 100%</v>
      </c>
      <c r="CG368" s="256">
        <v>3.4345214751370232E-4</v>
      </c>
      <c r="CH368" s="232">
        <v>0</v>
      </c>
      <c r="CI368" s="311">
        <f t="shared" si="157"/>
        <v>0</v>
      </c>
      <c r="CJ368" s="232">
        <f>IFERROR(VLOOKUP(CI368,'Rangos amb etnico'!$A$2:$C$6,3,9),"N.D.")</f>
        <v>0</v>
      </c>
      <c r="CK368" s="311">
        <f t="shared" si="158"/>
        <v>0</v>
      </c>
      <c r="CL368" s="10">
        <v>0</v>
      </c>
      <c r="CM368" s="255">
        <f t="shared" si="159"/>
        <v>0</v>
      </c>
      <c r="CN368" s="232">
        <f>IFERROR(VLOOKUP(CM368,'Rangos amb etnico'!$A$2:$C$6,3,9),"N.D.")</f>
        <v>0</v>
      </c>
      <c r="CO368" s="311">
        <f t="shared" si="160"/>
        <v>0</v>
      </c>
      <c r="CP368">
        <v>0.8953859253016252</v>
      </c>
      <c r="CQ368" t="s">
        <v>2864</v>
      </c>
      <c r="CR368">
        <f t="shared" si="151"/>
        <v>2</v>
      </c>
      <c r="CS368" t="str">
        <f t="shared" si="161"/>
        <v>No es Candidato</v>
      </c>
      <c r="CT368">
        <v>1</v>
      </c>
      <c r="CU368" t="s">
        <v>2835</v>
      </c>
      <c r="CV368" s="25">
        <v>46.490390777587891</v>
      </c>
      <c r="CW368" s="25">
        <v>26.97469520568848</v>
      </c>
      <c r="CX368" s="25">
        <v>51.231773376464837</v>
      </c>
      <c r="CY368" s="25">
        <v>54.507793426513672</v>
      </c>
      <c r="CZ368" s="25">
        <v>33.896553039550781</v>
      </c>
      <c r="DA368" s="25">
        <v>51.480945587158203</v>
      </c>
      <c r="DB368" s="25">
        <v>60.850589752197273</v>
      </c>
      <c r="DC368">
        <v>810</v>
      </c>
      <c r="DD368" s="253" t="s">
        <v>380</v>
      </c>
    </row>
    <row r="369" spans="1:108" hidden="1">
      <c r="A369" s="13">
        <v>52352</v>
      </c>
      <c r="B369" s="13" t="s">
        <v>1194</v>
      </c>
      <c r="C369" s="13" t="s">
        <v>672</v>
      </c>
      <c r="D369" s="13" t="s">
        <v>673</v>
      </c>
      <c r="E369" s="13" t="s">
        <v>1195</v>
      </c>
      <c r="F369" s="14">
        <v>56.4838666666667</v>
      </c>
      <c r="G369" s="13">
        <v>40.729999999999997</v>
      </c>
      <c r="H369" s="13">
        <v>56.26</v>
      </c>
      <c r="I369" s="13">
        <v>55.34</v>
      </c>
      <c r="J369" s="14">
        <v>64.013198349070507</v>
      </c>
      <c r="K369" s="14">
        <v>54.781812642626612</v>
      </c>
      <c r="L369" s="14">
        <v>63.020219198785817</v>
      </c>
      <c r="M369" s="14">
        <v>54.619500000000002</v>
      </c>
      <c r="N369" s="14">
        <f t="shared" si="135"/>
        <v>52.203466666666671</v>
      </c>
      <c r="O369" s="14">
        <f t="shared" si="136"/>
        <v>59.108682547620731</v>
      </c>
      <c r="P369" s="14">
        <f t="shared" si="152"/>
        <v>55.656074607143701</v>
      </c>
      <c r="Q369" s="14">
        <v>50.860271286971745</v>
      </c>
      <c r="R369" s="17">
        <f t="shared" si="137"/>
        <v>49.139728713028255</v>
      </c>
      <c r="S369" s="14">
        <f t="shared" si="153"/>
        <v>0.54225755841725432</v>
      </c>
      <c r="T369" s="13">
        <v>0</v>
      </c>
      <c r="U369" s="13">
        <f t="shared" si="154"/>
        <v>30.17992712755829</v>
      </c>
      <c r="V369" s="13">
        <f>IF($T369=1,$AU369,(VLOOKUP(U369,'Cortes naturales'!$A$35:$C$39,3,9)))</f>
        <v>3</v>
      </c>
      <c r="W369" s="13">
        <v>3</v>
      </c>
      <c r="X369" s="14" t="b">
        <f t="shared" si="138"/>
        <v>1</v>
      </c>
      <c r="Y369" s="17">
        <f>IF($T369=1,$AU369,VLOOKUP(U369,'Cortes naturales'!$A$45:$C$49,3,9))</f>
        <v>3</v>
      </c>
      <c r="Z369" s="14">
        <v>55.870509819797562</v>
      </c>
      <c r="AA369" s="14">
        <v>0.55503229711095603</v>
      </c>
      <c r="AB369" s="14">
        <v>31.009937406042468</v>
      </c>
      <c r="AC369" s="13">
        <v>3</v>
      </c>
      <c r="AD369" s="13">
        <f t="shared" si="139"/>
        <v>0</v>
      </c>
      <c r="AE369" s="14">
        <f t="shared" si="140"/>
        <v>-0.21443521265386067</v>
      </c>
      <c r="AF369" s="14">
        <f t="shared" si="141"/>
        <v>-1.2774738693701715E-2</v>
      </c>
      <c r="AG369" s="13">
        <f t="shared" si="142"/>
        <v>-0.83001027848417763</v>
      </c>
      <c r="AH369" s="13">
        <f>IF($T369=1,$AU369,VLOOKUP(U369,'Cortes naturales'!$A$25:$C$29,3,9))</f>
        <v>3</v>
      </c>
      <c r="AI369" s="13" t="b">
        <f t="shared" si="143"/>
        <v>1</v>
      </c>
      <c r="AJ369" s="13">
        <f t="shared" si="144"/>
        <v>0</v>
      </c>
      <c r="AK369" s="28">
        <v>0.81759069605862034</v>
      </c>
      <c r="AL369" s="28">
        <v>45.679209012718268</v>
      </c>
      <c r="AM369" s="28">
        <v>0.4007727424822734</v>
      </c>
      <c r="AN369" s="13">
        <v>3</v>
      </c>
      <c r="AO369" s="33">
        <f t="shared" si="145"/>
        <v>0</v>
      </c>
      <c r="AP369" s="13">
        <f t="shared" si="155"/>
        <v>40.07727424822734</v>
      </c>
      <c r="AQ369" s="13">
        <f>IFERROR(VLOOKUP(U369,'Cortes naturales'!$E$15:$G$19,3,9),U369)</f>
        <v>4</v>
      </c>
      <c r="AR369" s="28">
        <f t="shared" si="146"/>
        <v>-0.27533313764136602</v>
      </c>
      <c r="AS369" s="13" t="b">
        <f t="shared" si="147"/>
        <v>0</v>
      </c>
      <c r="AT369" s="13">
        <f t="shared" si="156"/>
        <v>0</v>
      </c>
      <c r="AU369" s="13">
        <v>3</v>
      </c>
      <c r="AV369">
        <f t="shared" si="148"/>
        <v>0</v>
      </c>
      <c r="AW369" s="13">
        <v>0</v>
      </c>
      <c r="AX369" s="13">
        <v>0</v>
      </c>
      <c r="AY369" s="13">
        <v>0</v>
      </c>
      <c r="AZ369" s="13">
        <v>0</v>
      </c>
      <c r="BA369">
        <v>0</v>
      </c>
      <c r="BB369" t="s">
        <v>2840</v>
      </c>
      <c r="BC369">
        <v>6</v>
      </c>
      <c r="BD369" t="s">
        <v>2919</v>
      </c>
      <c r="BE369">
        <v>0</v>
      </c>
      <c r="BF369" s="232" t="s">
        <v>2846</v>
      </c>
      <c r="BG369" s="232" t="s">
        <v>2845</v>
      </c>
      <c r="BH369" s="253">
        <v>43.6</v>
      </c>
      <c r="BI369" s="253">
        <v>27.165354330708663</v>
      </c>
      <c r="BJ369" s="25">
        <v>57.676397159600413</v>
      </c>
      <c r="BK369" t="s">
        <v>376</v>
      </c>
      <c r="BL369">
        <v>1.2091881663140878</v>
      </c>
      <c r="BM369" t="s">
        <v>383</v>
      </c>
      <c r="BN369" s="322">
        <v>22643.868957999999</v>
      </c>
      <c r="BO369" s="322">
        <v>2430.9858370000002</v>
      </c>
      <c r="BP369" s="10">
        <v>7678</v>
      </c>
      <c r="BQ369" s="254">
        <f t="shared" si="149"/>
        <v>2.9491884550664236</v>
      </c>
      <c r="BR369" s="254">
        <f t="shared" si="150"/>
        <v>0.31661706655379007</v>
      </c>
      <c r="BS369" s="25">
        <v>57.07556162843462</v>
      </c>
      <c r="BT369" s="25">
        <v>94.206235978987593</v>
      </c>
      <c r="BU369" s="25">
        <v>55.845086114101171</v>
      </c>
      <c r="BV369" s="25">
        <v>94.835407477814769</v>
      </c>
      <c r="BW369" s="25">
        <v>44.090656644233462</v>
      </c>
      <c r="BX369" s="25">
        <v>75.490572799834538</v>
      </c>
      <c r="BY369" s="25">
        <v>44.197276433434389</v>
      </c>
      <c r="BZ369">
        <v>28</v>
      </c>
      <c r="CA369">
        <v>0</v>
      </c>
      <c r="CB369">
        <v>7</v>
      </c>
      <c r="CC369">
        <v>8063.7702440000003</v>
      </c>
      <c r="CD369" s="10">
        <v>1416.9512810000001</v>
      </c>
      <c r="CE369" s="255">
        <v>0.17571821097634935</v>
      </c>
      <c r="CF369" t="str">
        <f>IFERROR(VLOOKUP(CE369,'Rangos amb etnico'!$A$2:$C$6,3,9),"N.D.")</f>
        <v>0,1% - 30%</v>
      </c>
      <c r="CG369" s="256">
        <v>4.1224454196262608E-5</v>
      </c>
      <c r="CH369" s="232">
        <v>66.162144999999995</v>
      </c>
      <c r="CI369" s="311">
        <f t="shared" si="157"/>
        <v>8.2048648458491469E-3</v>
      </c>
      <c r="CJ369" s="232" t="str">
        <f>IFERROR(VLOOKUP(CI369,'Rangos amb etnico'!$A$2:$C$6,3,9),"N.D.")</f>
        <v>0,1% - 30%</v>
      </c>
      <c r="CK369" s="311">
        <f t="shared" si="158"/>
        <v>2.6270703333276896E-6</v>
      </c>
      <c r="CL369" s="10">
        <v>0</v>
      </c>
      <c r="CM369" s="255">
        <f t="shared" si="159"/>
        <v>0</v>
      </c>
      <c r="CN369" s="232">
        <f>IFERROR(VLOOKUP(CM369,'Rangos amb etnico'!$A$2:$C$6,3,9),"N.D.")</f>
        <v>0</v>
      </c>
      <c r="CO369" s="311">
        <f t="shared" si="160"/>
        <v>0</v>
      </c>
      <c r="CP369">
        <v>0.93452604349832646</v>
      </c>
      <c r="CQ369" t="s">
        <v>2864</v>
      </c>
      <c r="CR369">
        <f t="shared" si="151"/>
        <v>1</v>
      </c>
      <c r="CS369" t="str">
        <f t="shared" si="161"/>
        <v>No es Candidato</v>
      </c>
      <c r="CT369">
        <v>0</v>
      </c>
      <c r="CU369">
        <v>0</v>
      </c>
      <c r="CV369" s="25">
        <v>52.315650939941413</v>
      </c>
      <c r="CW369" s="25">
        <v>24.445930480957031</v>
      </c>
      <c r="CX369" s="25">
        <v>49.039604187011719</v>
      </c>
      <c r="CY369" s="25">
        <v>60.043285369873047</v>
      </c>
      <c r="CZ369" s="25">
        <v>50.054248809814453</v>
      </c>
      <c r="DA369" s="25">
        <v>79.822166442871094</v>
      </c>
      <c r="DB369" s="25">
        <v>50.488670349121087</v>
      </c>
      <c r="DC369">
        <v>1516</v>
      </c>
      <c r="DD369" s="253" t="s">
        <v>380</v>
      </c>
    </row>
    <row r="370" spans="1:108" hidden="1">
      <c r="A370" s="13">
        <v>66687</v>
      </c>
      <c r="B370" s="13" t="s">
        <v>1196</v>
      </c>
      <c r="C370" s="13" t="s">
        <v>467</v>
      </c>
      <c r="D370" s="13" t="s">
        <v>468</v>
      </c>
      <c r="E370" s="13" t="s">
        <v>1197</v>
      </c>
      <c r="F370" s="14">
        <v>59.532600000000002</v>
      </c>
      <c r="G370" s="13">
        <v>64.53</v>
      </c>
      <c r="H370" s="13">
        <v>65.2</v>
      </c>
      <c r="I370" s="13">
        <v>72.900000000000006</v>
      </c>
      <c r="J370" s="14">
        <v>57.227129776998936</v>
      </c>
      <c r="K370" s="14">
        <v>56.608032764489636</v>
      </c>
      <c r="L370" s="14">
        <v>63.165060102942917</v>
      </c>
      <c r="M370" s="14">
        <v>56.704099999999997</v>
      </c>
      <c r="N370" s="14">
        <f t="shared" si="135"/>
        <v>65.540649999999999</v>
      </c>
      <c r="O370" s="14">
        <f t="shared" si="136"/>
        <v>58.426080661107875</v>
      </c>
      <c r="P370" s="14">
        <f t="shared" si="152"/>
        <v>61.983365330553937</v>
      </c>
      <c r="Q370" s="14">
        <v>50.757691518823023</v>
      </c>
      <c r="R370" s="17">
        <f t="shared" si="137"/>
        <v>49.242308481176977</v>
      </c>
      <c r="S370" s="14">
        <f t="shared" si="153"/>
        <v>0.54318077633059281</v>
      </c>
      <c r="T370" s="13">
        <v>0</v>
      </c>
      <c r="U370" s="13">
        <f t="shared" si="154"/>
        <v>33.668172499833041</v>
      </c>
      <c r="V370" s="13">
        <f>IF($T370=1,$AU370,(VLOOKUP(U370,'Cortes naturales'!$A$35:$C$39,3,9)))</f>
        <v>3</v>
      </c>
      <c r="W370" s="13">
        <v>3</v>
      </c>
      <c r="X370" s="14" t="b">
        <f t="shared" si="138"/>
        <v>1</v>
      </c>
      <c r="Y370" s="17">
        <f>IF($T370=1,$AU370,VLOOKUP(U370,'Cortes naturales'!$A$45:$C$49,3,9))</f>
        <v>3</v>
      </c>
      <c r="Z370" s="14">
        <v>59.35846598532158</v>
      </c>
      <c r="AA370" s="14">
        <v>0.5547502876672451</v>
      </c>
      <c r="AB370" s="14">
        <v>32.929126080843531</v>
      </c>
      <c r="AC370" s="13">
        <v>3</v>
      </c>
      <c r="AD370" s="13">
        <f t="shared" si="139"/>
        <v>0</v>
      </c>
      <c r="AE370" s="14">
        <f t="shared" si="140"/>
        <v>2.6248993452323575</v>
      </c>
      <c r="AF370" s="14">
        <f t="shared" si="141"/>
        <v>-1.1569511336652294E-2</v>
      </c>
      <c r="AG370" s="13">
        <f t="shared" si="142"/>
        <v>0.73904641898950985</v>
      </c>
      <c r="AH370" s="13">
        <f>IF($T370=1,$AU370,VLOOKUP(U370,'Cortes naturales'!$A$25:$C$29,3,9))</f>
        <v>3</v>
      </c>
      <c r="AI370" s="13" t="b">
        <f t="shared" si="143"/>
        <v>1</v>
      </c>
      <c r="AJ370" s="13">
        <f t="shared" si="144"/>
        <v>0</v>
      </c>
      <c r="AK370" s="28">
        <v>0.81759069605862034</v>
      </c>
      <c r="AL370" s="28">
        <v>48.530929521911013</v>
      </c>
      <c r="AM370" s="28">
        <v>0.43644476005551552</v>
      </c>
      <c r="AN370" s="13">
        <v>3</v>
      </c>
      <c r="AO370" s="33">
        <f t="shared" si="145"/>
        <v>0</v>
      </c>
      <c r="AP370" s="13">
        <f t="shared" si="155"/>
        <v>43.644476005551553</v>
      </c>
      <c r="AQ370" s="13">
        <f>IFERROR(VLOOKUP(U370,'Cortes naturales'!$E$15:$G$19,3,9),U370)</f>
        <v>4</v>
      </c>
      <c r="AR370" s="28">
        <f t="shared" si="146"/>
        <v>-0.27440991972802753</v>
      </c>
      <c r="AS370" s="13" t="b">
        <f t="shared" si="147"/>
        <v>0</v>
      </c>
      <c r="AT370" s="13">
        <f t="shared" si="156"/>
        <v>0</v>
      </c>
      <c r="AU370" s="13">
        <v>3</v>
      </c>
      <c r="AV370">
        <f t="shared" si="148"/>
        <v>0</v>
      </c>
      <c r="AW370" s="13">
        <v>0</v>
      </c>
      <c r="AX370" s="13">
        <v>0</v>
      </c>
      <c r="AY370" s="13">
        <v>0</v>
      </c>
      <c r="AZ370" s="13">
        <v>0</v>
      </c>
      <c r="BA370">
        <v>0</v>
      </c>
      <c r="BB370" t="s">
        <v>2839</v>
      </c>
      <c r="BC370">
        <v>6</v>
      </c>
      <c r="BD370" t="s">
        <v>2919</v>
      </c>
      <c r="BE370">
        <v>1</v>
      </c>
      <c r="BF370" s="232" t="s">
        <v>2846</v>
      </c>
      <c r="BG370" s="232" t="s">
        <v>2846</v>
      </c>
      <c r="BH370" s="253">
        <v>39.9</v>
      </c>
      <c r="BI370" s="253">
        <v>10.337480824953127</v>
      </c>
      <c r="BJ370" s="25">
        <v>23.505727726126604</v>
      </c>
      <c r="BK370" t="s">
        <v>379</v>
      </c>
      <c r="BL370">
        <v>3.9809764747328211</v>
      </c>
      <c r="BM370" t="s">
        <v>383</v>
      </c>
      <c r="BN370" s="322">
        <v>24336.813803000001</v>
      </c>
      <c r="BO370" s="322">
        <v>4170.7077760000002</v>
      </c>
      <c r="BP370" s="10">
        <v>13026</v>
      </c>
      <c r="BQ370" s="254">
        <f t="shared" si="149"/>
        <v>1.868325948334101</v>
      </c>
      <c r="BR370" s="254">
        <f t="shared" si="150"/>
        <v>0.32018330846000309</v>
      </c>
      <c r="BS370" s="25">
        <v>62.044020358434089</v>
      </c>
      <c r="BT370" s="25">
        <v>94.224371769281944</v>
      </c>
      <c r="BU370" s="25">
        <v>47.26781175912754</v>
      </c>
      <c r="BV370" s="25">
        <v>83.963308642276033</v>
      </c>
      <c r="BW370" s="25">
        <v>58.236263953104853</v>
      </c>
      <c r="BX370" s="25">
        <v>71.874878132279903</v>
      </c>
      <c r="BY370" s="25">
        <v>58.958920477580783</v>
      </c>
      <c r="BZ370">
        <v>49</v>
      </c>
      <c r="CA370">
        <v>0</v>
      </c>
      <c r="CB370">
        <v>6</v>
      </c>
      <c r="CC370">
        <v>19085.961481999999</v>
      </c>
      <c r="CD370" s="10">
        <v>4811.088992</v>
      </c>
      <c r="CE370" s="255">
        <v>0.25207475120063222</v>
      </c>
      <c r="CF370" t="str">
        <f>IFERROR(VLOOKUP(CE370,'Rangos amb etnico'!$A$2:$C$6,3,9),"N.D.")</f>
        <v>0,1% - 30%</v>
      </c>
      <c r="CG370" s="256">
        <v>1.3997271497215804E-4</v>
      </c>
      <c r="CH370" s="232">
        <v>0</v>
      </c>
      <c r="CI370" s="311">
        <f t="shared" si="157"/>
        <v>0</v>
      </c>
      <c r="CJ370" s="232">
        <f>IFERROR(VLOOKUP(CI370,'Rangos amb etnico'!$A$2:$C$6,3,9),"N.D.")</f>
        <v>0</v>
      </c>
      <c r="CK370" s="311">
        <f t="shared" si="158"/>
        <v>0</v>
      </c>
      <c r="CL370" s="10">
        <v>0</v>
      </c>
      <c r="CM370" s="255">
        <f t="shared" si="159"/>
        <v>0</v>
      </c>
      <c r="CN370" s="232">
        <f>IFERROR(VLOOKUP(CM370,'Rangos amb etnico'!$A$2:$C$6,3,9),"N.D.")</f>
        <v>0</v>
      </c>
      <c r="CO370" s="311">
        <f t="shared" si="160"/>
        <v>0</v>
      </c>
      <c r="CP370">
        <v>0.96427560361195841</v>
      </c>
      <c r="CQ370" t="s">
        <v>2864</v>
      </c>
      <c r="CR370">
        <f t="shared" si="151"/>
        <v>2</v>
      </c>
      <c r="CS370" t="str">
        <f t="shared" si="161"/>
        <v>No es Candidato</v>
      </c>
      <c r="CT370">
        <v>0</v>
      </c>
      <c r="CU370">
        <v>0</v>
      </c>
      <c r="CV370" s="25">
        <v>51.287700653076172</v>
      </c>
      <c r="CW370" s="25">
        <v>29.034908294677731</v>
      </c>
      <c r="CX370" s="25">
        <v>51.818321228027337</v>
      </c>
      <c r="CY370" s="25">
        <v>59.770427703857422</v>
      </c>
      <c r="CZ370" s="25">
        <v>55.887828826904297</v>
      </c>
      <c r="DA370" s="25">
        <v>57.425510406494141</v>
      </c>
      <c r="DB370" s="25">
        <v>53.789196014404297</v>
      </c>
      <c r="DC370">
        <v>306</v>
      </c>
      <c r="DD370" s="253" t="s">
        <v>380</v>
      </c>
    </row>
    <row r="371" spans="1:108" hidden="1">
      <c r="A371" s="13">
        <v>15835</v>
      </c>
      <c r="B371" s="13" t="s">
        <v>1198</v>
      </c>
      <c r="C371" s="13" t="s">
        <v>498</v>
      </c>
      <c r="D371" s="13" t="s">
        <v>499</v>
      </c>
      <c r="E371" s="13" t="s">
        <v>1199</v>
      </c>
      <c r="F371" s="14">
        <v>55.332933333333301</v>
      </c>
      <c r="G371" s="13">
        <v>42.07</v>
      </c>
      <c r="H371" s="13">
        <v>41.57</v>
      </c>
      <c r="I371" s="13">
        <v>51.16</v>
      </c>
      <c r="J371" s="14">
        <v>47.942355634746725</v>
      </c>
      <c r="K371" s="14">
        <v>56.603329530309978</v>
      </c>
      <c r="L371" s="14">
        <v>59.517546901002888</v>
      </c>
      <c r="M371" s="14">
        <v>59.538600000000002</v>
      </c>
      <c r="N371" s="14">
        <f t="shared" si="135"/>
        <v>47.533233333333321</v>
      </c>
      <c r="O371" s="14">
        <f t="shared" si="136"/>
        <v>55.900458016514897</v>
      </c>
      <c r="P371" s="14">
        <f t="shared" si="152"/>
        <v>51.716845674924109</v>
      </c>
      <c r="Q371" s="14">
        <v>51.650497713507107</v>
      </c>
      <c r="R371" s="17">
        <f t="shared" si="137"/>
        <v>48.349502286492893</v>
      </c>
      <c r="S371" s="14">
        <f t="shared" si="153"/>
        <v>0.53514552057843601</v>
      </c>
      <c r="T371" s="13">
        <v>0</v>
      </c>
      <c r="U371" s="13">
        <f t="shared" si="154"/>
        <v>27.676038301381897</v>
      </c>
      <c r="V371" s="13">
        <f>IF($T371=1,$AU371,(VLOOKUP(U371,'Cortes naturales'!$A$35:$C$39,3,9)))</f>
        <v>4</v>
      </c>
      <c r="W371" s="13">
        <v>4</v>
      </c>
      <c r="X371" s="14" t="b">
        <f t="shared" si="138"/>
        <v>1</v>
      </c>
      <c r="Y371" s="17">
        <f>IF($T371=1,$AU371,VLOOKUP(U371,'Cortes naturales'!$A$45:$C$49,3,9))</f>
        <v>4</v>
      </c>
      <c r="Z371" s="14">
        <v>52.33188187118833</v>
      </c>
      <c r="AA371" s="14">
        <v>0.55383695827736257</v>
      </c>
      <c r="AB371" s="14">
        <v>28.983330276469196</v>
      </c>
      <c r="AC371" s="13">
        <v>3</v>
      </c>
      <c r="AD371" s="13">
        <f t="shared" si="139"/>
        <v>-1</v>
      </c>
      <c r="AE371" s="14">
        <f t="shared" si="140"/>
        <v>-0.61503619626422079</v>
      </c>
      <c r="AF371" s="14">
        <f t="shared" si="141"/>
        <v>-1.8691437698926561E-2</v>
      </c>
      <c r="AG371" s="13">
        <f t="shared" si="142"/>
        <v>-1.3072919750872991</v>
      </c>
      <c r="AH371" s="13">
        <f>IF($T371=1,$AU371,VLOOKUP(U371,'Cortes naturales'!$A$25:$C$29,3,9))</f>
        <v>4</v>
      </c>
      <c r="AI371" s="13" t="b">
        <f t="shared" si="143"/>
        <v>1</v>
      </c>
      <c r="AJ371" s="13" t="str">
        <f t="shared" si="144"/>
        <v>Efecto ponderador</v>
      </c>
      <c r="AK371" s="28">
        <v>0.81759069605862034</v>
      </c>
      <c r="AL371" s="28">
        <v>42.786059725122364</v>
      </c>
      <c r="AM371" s="28">
        <v>0.36458249456125652</v>
      </c>
      <c r="AN371" s="13">
        <v>3</v>
      </c>
      <c r="AO371" s="33">
        <f t="shared" si="145"/>
        <v>-1</v>
      </c>
      <c r="AP371" s="13">
        <f t="shared" si="155"/>
        <v>36.45824945612565</v>
      </c>
      <c r="AQ371" s="13">
        <f>IFERROR(VLOOKUP(U371,'Cortes naturales'!$E$15:$G$19,3,9),U371)</f>
        <v>4</v>
      </c>
      <c r="AR371" s="28">
        <f t="shared" si="146"/>
        <v>-0.28244517548018433</v>
      </c>
      <c r="AS371" s="13" t="b">
        <f t="shared" si="147"/>
        <v>1</v>
      </c>
      <c r="AT371" s="13" t="str">
        <f t="shared" si="156"/>
        <v>Efecto ponderador</v>
      </c>
      <c r="AU371" s="13">
        <v>3</v>
      </c>
      <c r="AV371">
        <f t="shared" si="148"/>
        <v>-1</v>
      </c>
      <c r="AW371" s="13">
        <v>0</v>
      </c>
      <c r="AX371" s="13">
        <v>0</v>
      </c>
      <c r="AY371" s="13">
        <v>0</v>
      </c>
      <c r="AZ371" s="13">
        <v>0</v>
      </c>
      <c r="BA371">
        <v>0</v>
      </c>
      <c r="BB371" t="s">
        <v>2839</v>
      </c>
      <c r="BC371">
        <v>6</v>
      </c>
      <c r="BD371" t="s">
        <v>2919</v>
      </c>
      <c r="BE371">
        <v>0</v>
      </c>
      <c r="BF371" s="232" t="s">
        <v>2846</v>
      </c>
      <c r="BG371" s="232" t="s">
        <v>2846</v>
      </c>
      <c r="BH371" s="253">
        <v>45.1</v>
      </c>
      <c r="BI371" s="253">
        <v>12.133676092544988</v>
      </c>
      <c r="BJ371" s="25">
        <v>40.547311253561254</v>
      </c>
      <c r="BK371" t="s">
        <v>376</v>
      </c>
      <c r="BL371">
        <v>0</v>
      </c>
      <c r="BM371" t="s">
        <v>377</v>
      </c>
      <c r="BN371" s="322">
        <v>16371.533643999999</v>
      </c>
      <c r="BO371" s="322">
        <v>1409.9052819999999</v>
      </c>
      <c r="BP371" s="10">
        <v>5756</v>
      </c>
      <c r="BQ371" s="254">
        <f t="shared" si="149"/>
        <v>2.8442553238359971</v>
      </c>
      <c r="BR371" s="254">
        <f t="shared" si="150"/>
        <v>0.24494532348853371</v>
      </c>
      <c r="BS371" s="25">
        <v>62.743175919932391</v>
      </c>
      <c r="BT371" s="25">
        <v>86.054676807968505</v>
      </c>
      <c r="BU371" s="25">
        <v>52.669999999999987</v>
      </c>
      <c r="BV371" s="25">
        <v>90.683001966052402</v>
      </c>
      <c r="BW371" s="25">
        <v>59.804231259728269</v>
      </c>
      <c r="BX371" s="25">
        <v>73.037713673488327</v>
      </c>
      <c r="BY371" s="25">
        <v>60.313516587742242</v>
      </c>
      <c r="BZ371">
        <v>0</v>
      </c>
      <c r="CA371">
        <v>0</v>
      </c>
      <c r="CB371">
        <v>7</v>
      </c>
      <c r="CC371">
        <v>7957.7576570000001</v>
      </c>
      <c r="CD371" s="10">
        <v>1931.1981490000001</v>
      </c>
      <c r="CE371" s="255">
        <v>0.24268119641733896</v>
      </c>
      <c r="CF371" t="str">
        <f>IFERROR(VLOOKUP(CE371,'Rangos amb etnico'!$A$2:$C$6,3,9),"N.D.")</f>
        <v>0,1% - 30%</v>
      </c>
      <c r="CG371" s="256">
        <v>5.6185834124919097E-5</v>
      </c>
      <c r="CH371" s="232">
        <v>0</v>
      </c>
      <c r="CI371" s="311">
        <f t="shared" si="157"/>
        <v>0</v>
      </c>
      <c r="CJ371" s="232">
        <f>IFERROR(VLOOKUP(CI371,'Rangos amb etnico'!$A$2:$C$6,3,9),"N.D.")</f>
        <v>0</v>
      </c>
      <c r="CK371" s="311">
        <f t="shared" si="158"/>
        <v>0</v>
      </c>
      <c r="CL371" s="10">
        <v>0</v>
      </c>
      <c r="CM371" s="255">
        <f t="shared" si="159"/>
        <v>0</v>
      </c>
      <c r="CN371" s="232">
        <f>IFERROR(VLOOKUP(CM371,'Rangos amb etnico'!$A$2:$C$6,3,9),"N.D.")</f>
        <v>0</v>
      </c>
      <c r="CO371" s="311">
        <f t="shared" si="160"/>
        <v>0</v>
      </c>
      <c r="CP371">
        <v>0.95488569075719698</v>
      </c>
      <c r="CQ371" t="s">
        <v>2864</v>
      </c>
      <c r="CR371">
        <f t="shared" si="151"/>
        <v>2</v>
      </c>
      <c r="CS371" t="str">
        <f t="shared" si="161"/>
        <v>No es Candidato</v>
      </c>
      <c r="CT371">
        <v>0</v>
      </c>
      <c r="CU371">
        <v>0</v>
      </c>
      <c r="CV371" s="25">
        <v>57.350582122802727</v>
      </c>
      <c r="CW371" s="25">
        <v>26.361562728881839</v>
      </c>
      <c r="CX371" s="25">
        <v>52.578563690185547</v>
      </c>
      <c r="CY371" s="25">
        <v>67.4617919921875</v>
      </c>
      <c r="CZ371" s="25">
        <v>54.71392822265625</v>
      </c>
      <c r="DA371" s="25">
        <v>89.942771911621094</v>
      </c>
      <c r="DB371" s="25">
        <v>53.044868469238281</v>
      </c>
      <c r="DC371">
        <v>21</v>
      </c>
      <c r="DD371" s="253" t="s">
        <v>380</v>
      </c>
    </row>
    <row r="372" spans="1:108" hidden="1">
      <c r="A372" s="13">
        <v>76890</v>
      </c>
      <c r="B372" s="13" t="s">
        <v>1200</v>
      </c>
      <c r="C372" s="13" t="s">
        <v>454</v>
      </c>
      <c r="D372" s="13" t="s">
        <v>455</v>
      </c>
      <c r="E372" s="13" t="s">
        <v>1201</v>
      </c>
      <c r="F372" s="14">
        <v>69.653933333333299</v>
      </c>
      <c r="G372" s="13">
        <v>52.56</v>
      </c>
      <c r="H372" s="13">
        <v>69.180000000000007</v>
      </c>
      <c r="I372" s="13">
        <v>56.31</v>
      </c>
      <c r="J372" s="14">
        <v>55.675529082885554</v>
      </c>
      <c r="K372" s="14">
        <v>75.311075543247156</v>
      </c>
      <c r="L372" s="14">
        <v>69.091354746722189</v>
      </c>
      <c r="M372" s="14">
        <v>72.132900000000006</v>
      </c>
      <c r="N372" s="14">
        <f t="shared" si="135"/>
        <v>61.925983333333328</v>
      </c>
      <c r="O372" s="14">
        <f t="shared" si="136"/>
        <v>68.052714843213721</v>
      </c>
      <c r="P372" s="14">
        <f t="shared" si="152"/>
        <v>64.989349088273528</v>
      </c>
      <c r="Q372" s="14">
        <v>50.752046758510559</v>
      </c>
      <c r="R372" s="17">
        <f t="shared" si="137"/>
        <v>49.247953241489441</v>
      </c>
      <c r="S372" s="14">
        <f t="shared" si="153"/>
        <v>0.54323157917340492</v>
      </c>
      <c r="T372" s="13">
        <v>0</v>
      </c>
      <c r="U372" s="13">
        <f t="shared" si="154"/>
        <v>35.304266734674513</v>
      </c>
      <c r="V372" s="13">
        <f>IF($T372=1,$AU372,(VLOOKUP(U372,'Cortes naturales'!$A$35:$C$39,3,9)))</f>
        <v>3</v>
      </c>
      <c r="W372" s="13">
        <v>3</v>
      </c>
      <c r="X372" s="14" t="b">
        <f t="shared" si="138"/>
        <v>1</v>
      </c>
      <c r="Y372" s="17">
        <f>IF($T372=1,$AU372,VLOOKUP(U372,'Cortes naturales'!$A$45:$C$49,3,9))</f>
        <v>3</v>
      </c>
      <c r="Z372" s="14">
        <v>65.862043355095551</v>
      </c>
      <c r="AA372" s="14">
        <v>0.55364852056980129</v>
      </c>
      <c r="AB372" s="14">
        <v>36.464422865252764</v>
      </c>
      <c r="AC372" s="13">
        <v>2</v>
      </c>
      <c r="AD372" s="13">
        <f t="shared" si="139"/>
        <v>-1</v>
      </c>
      <c r="AE372" s="14">
        <f t="shared" si="140"/>
        <v>-0.87269426682202322</v>
      </c>
      <c r="AF372" s="14">
        <f t="shared" si="141"/>
        <v>-1.0416941396396373E-2</v>
      </c>
      <c r="AG372" s="13">
        <f t="shared" si="142"/>
        <v>-1.1601561305782511</v>
      </c>
      <c r="AH372" s="13">
        <f>IF($T372=1,$AU372,VLOOKUP(U372,'Cortes naturales'!$A$25:$C$29,3,9))</f>
        <v>2</v>
      </c>
      <c r="AI372" s="13" t="b">
        <f t="shared" si="143"/>
        <v>0</v>
      </c>
      <c r="AJ372" s="13" t="str">
        <f t="shared" si="144"/>
        <v>Cambio en corte</v>
      </c>
      <c r="AK372" s="28">
        <v>0.81759069605862034</v>
      </c>
      <c r="AL372" s="28">
        <v>53.848193870535603</v>
      </c>
      <c r="AM372" s="28">
        <v>0.50295813213187068</v>
      </c>
      <c r="AN372" s="13">
        <v>2</v>
      </c>
      <c r="AO372" s="33">
        <f t="shared" si="145"/>
        <v>-1</v>
      </c>
      <c r="AP372" s="13">
        <f t="shared" si="155"/>
        <v>50.295813213187067</v>
      </c>
      <c r="AQ372" s="13">
        <f>IFERROR(VLOOKUP(U372,'Cortes naturales'!$E$15:$G$19,3,9),U372)</f>
        <v>3</v>
      </c>
      <c r="AR372" s="28">
        <f t="shared" si="146"/>
        <v>-0.27435911688521541</v>
      </c>
      <c r="AS372" s="13" t="b">
        <f t="shared" si="147"/>
        <v>1</v>
      </c>
      <c r="AT372" s="13" t="str">
        <f t="shared" si="156"/>
        <v>Efecto ponderador</v>
      </c>
      <c r="AU372" s="13">
        <v>2</v>
      </c>
      <c r="AV372">
        <f t="shared" si="148"/>
        <v>-1</v>
      </c>
      <c r="AW372" s="13">
        <v>0</v>
      </c>
      <c r="AX372" s="13">
        <v>0</v>
      </c>
      <c r="AY372" s="13">
        <v>0</v>
      </c>
      <c r="AZ372" s="13">
        <v>0</v>
      </c>
      <c r="BA372">
        <v>1</v>
      </c>
      <c r="BB372" t="s">
        <v>2839</v>
      </c>
      <c r="BC372">
        <v>6</v>
      </c>
      <c r="BD372" t="s">
        <v>2919</v>
      </c>
      <c r="BE372">
        <v>1</v>
      </c>
      <c r="BF372" s="232" t="s">
        <v>2846</v>
      </c>
      <c r="BG372" s="232" t="s">
        <v>2845</v>
      </c>
      <c r="BH372" s="253">
        <v>20.8</v>
      </c>
      <c r="BI372" s="253">
        <v>8.7930021541876098</v>
      </c>
      <c r="BJ372" s="25">
        <v>19.348839563181357</v>
      </c>
      <c r="BK372" t="s">
        <v>379</v>
      </c>
      <c r="BL372">
        <v>4.8313473339516051</v>
      </c>
      <c r="BM372" t="s">
        <v>383</v>
      </c>
      <c r="BN372" s="322">
        <v>47692.138592000003</v>
      </c>
      <c r="BO372" s="322">
        <v>15179.532526000001</v>
      </c>
      <c r="BP372" s="10">
        <v>16743</v>
      </c>
      <c r="BQ372" s="254">
        <f t="shared" si="149"/>
        <v>2.8484822667383387</v>
      </c>
      <c r="BR372" s="254">
        <f t="shared" si="150"/>
        <v>0.90661963363793829</v>
      </c>
      <c r="BS372" s="25">
        <v>62.424278968065323</v>
      </c>
      <c r="BT372" s="25">
        <v>90.711459799518195</v>
      </c>
      <c r="BU372" s="25">
        <v>58.323333333333338</v>
      </c>
      <c r="BV372" s="25">
        <v>78.247201695363643</v>
      </c>
      <c r="BW372" s="25">
        <v>65.882493147862746</v>
      </c>
      <c r="BX372" s="25">
        <v>72.426568449070132</v>
      </c>
      <c r="BY372" s="25">
        <v>66.018751357817564</v>
      </c>
      <c r="BZ372">
        <v>66</v>
      </c>
      <c r="CA372">
        <v>0</v>
      </c>
      <c r="CB372">
        <v>6</v>
      </c>
      <c r="CC372">
        <v>32775.060213999997</v>
      </c>
      <c r="CD372" s="10">
        <v>11730.056799</v>
      </c>
      <c r="CE372" s="255">
        <v>0.35789581231614215</v>
      </c>
      <c r="CF372" t="str">
        <f>IFERROR(VLOOKUP(CE372,'Rangos amb etnico'!$A$2:$C$6,3,9),"N.D.")</f>
        <v>31% - 50%</v>
      </c>
      <c r="CG372" s="256">
        <v>3.4127157067013813E-4</v>
      </c>
      <c r="CH372" s="232">
        <v>0</v>
      </c>
      <c r="CI372" s="311">
        <f t="shared" si="157"/>
        <v>0</v>
      </c>
      <c r="CJ372" s="232">
        <f>IFERROR(VLOOKUP(CI372,'Rangos amb etnico'!$A$2:$C$6,3,9),"N.D.")</f>
        <v>0</v>
      </c>
      <c r="CK372" s="311">
        <f t="shared" si="158"/>
        <v>0</v>
      </c>
      <c r="CL372" s="10">
        <v>0</v>
      </c>
      <c r="CM372" s="255">
        <f t="shared" si="159"/>
        <v>0</v>
      </c>
      <c r="CN372" s="232">
        <f>IFERROR(VLOOKUP(CM372,'Rangos amb etnico'!$A$2:$C$6,3,9),"N.D.")</f>
        <v>0</v>
      </c>
      <c r="CO372" s="311">
        <f t="shared" si="160"/>
        <v>0</v>
      </c>
      <c r="CP372">
        <v>0.98933570893806433</v>
      </c>
      <c r="CQ372" t="s">
        <v>2864</v>
      </c>
      <c r="CR372">
        <f t="shared" si="151"/>
        <v>3</v>
      </c>
      <c r="CS372" t="str">
        <f t="shared" si="161"/>
        <v>Candidato</v>
      </c>
      <c r="CT372">
        <v>0</v>
      </c>
      <c r="CU372">
        <v>0</v>
      </c>
      <c r="CV372" s="25">
        <v>47.617744445800781</v>
      </c>
      <c r="CW372" s="25">
        <v>48.996021270751953</v>
      </c>
      <c r="CX372" s="25">
        <v>52.211215972900391</v>
      </c>
      <c r="CY372" s="25">
        <v>62.151206970214837</v>
      </c>
      <c r="CZ372" s="25">
        <v>48.970024108886719</v>
      </c>
      <c r="DA372" s="25">
        <v>22.162172317504879</v>
      </c>
      <c r="DB372" s="25">
        <v>51.215824127197273</v>
      </c>
      <c r="DC372">
        <v>406</v>
      </c>
      <c r="DD372" s="253" t="s">
        <v>380</v>
      </c>
    </row>
    <row r="373" spans="1:108" hidden="1">
      <c r="A373" s="13">
        <v>47570</v>
      </c>
      <c r="B373" s="13" t="s">
        <v>1202</v>
      </c>
      <c r="C373" s="13" t="s">
        <v>638</v>
      </c>
      <c r="D373" s="13" t="s">
        <v>639</v>
      </c>
      <c r="E373" s="13" t="s">
        <v>1203</v>
      </c>
      <c r="F373" s="14">
        <v>69.092833333333303</v>
      </c>
      <c r="G373" s="13">
        <v>69.650000000000006</v>
      </c>
      <c r="H373" s="13">
        <v>66.930000000000007</v>
      </c>
      <c r="I373" s="13">
        <v>62.96</v>
      </c>
      <c r="J373" s="14">
        <v>54.571199861560451</v>
      </c>
      <c r="K373" s="14">
        <v>45.285291705408184</v>
      </c>
      <c r="L373" s="14">
        <v>48.04733360580471</v>
      </c>
      <c r="M373" s="14">
        <v>51.950499999999998</v>
      </c>
      <c r="N373" s="14">
        <f t="shared" si="135"/>
        <v>67.15820833333332</v>
      </c>
      <c r="O373" s="14">
        <f t="shared" si="136"/>
        <v>49.963581293193336</v>
      </c>
      <c r="P373" s="14">
        <f t="shared" si="152"/>
        <v>58.560894813263332</v>
      </c>
      <c r="Q373" s="14">
        <v>50.581342800920325</v>
      </c>
      <c r="R373" s="17">
        <f t="shared" si="137"/>
        <v>49.418657199079675</v>
      </c>
      <c r="S373" s="14">
        <f t="shared" si="153"/>
        <v>0.54476791479171705</v>
      </c>
      <c r="T373" s="13">
        <v>0</v>
      </c>
      <c r="U373" s="13">
        <f t="shared" si="154"/>
        <v>31.902096555758543</v>
      </c>
      <c r="V373" s="13">
        <f>IF($T373=1,$AU373,(VLOOKUP(U373,'Cortes naturales'!$A$35:$C$39,3,9)))</f>
        <v>3</v>
      </c>
      <c r="W373" s="13">
        <v>3</v>
      </c>
      <c r="X373" s="14" t="b">
        <f t="shared" si="138"/>
        <v>1</v>
      </c>
      <c r="Y373" s="17">
        <f>IF($T373=1,$AU373,VLOOKUP(U373,'Cortes naturales'!$A$45:$C$49,3,9))</f>
        <v>3</v>
      </c>
      <c r="Z373" s="14">
        <v>58.844757841936797</v>
      </c>
      <c r="AA373" s="14">
        <v>0.55410803453862445</v>
      </c>
      <c r="AB373" s="14">
        <v>32.606353110696908</v>
      </c>
      <c r="AC373" s="13">
        <v>3</v>
      </c>
      <c r="AD373" s="13">
        <f t="shared" si="139"/>
        <v>0</v>
      </c>
      <c r="AE373" s="14">
        <f t="shared" si="140"/>
        <v>-0.28386302867346558</v>
      </c>
      <c r="AF373" s="14">
        <f t="shared" si="141"/>
        <v>-9.3401197469074049E-3</v>
      </c>
      <c r="AG373" s="13">
        <f t="shared" si="142"/>
        <v>-0.70425655493836459</v>
      </c>
      <c r="AH373" s="13">
        <f>IF($T373=1,$AU373,VLOOKUP(U373,'Cortes naturales'!$A$25:$C$29,3,9))</f>
        <v>3</v>
      </c>
      <c r="AI373" s="13" t="b">
        <f t="shared" si="143"/>
        <v>1</v>
      </c>
      <c r="AJ373" s="13">
        <f t="shared" si="144"/>
        <v>0</v>
      </c>
      <c r="AK373" s="28">
        <v>0.81759069605862034</v>
      </c>
      <c r="AL373" s="28">
        <v>48.110926523390063</v>
      </c>
      <c r="AM373" s="28">
        <v>0.43119096526890971</v>
      </c>
      <c r="AN373" s="13">
        <v>3</v>
      </c>
      <c r="AO373" s="33">
        <f t="shared" si="145"/>
        <v>0</v>
      </c>
      <c r="AP373" s="13">
        <f t="shared" si="155"/>
        <v>43.119096526890971</v>
      </c>
      <c r="AQ373" s="13">
        <f>IFERROR(VLOOKUP(U373,'Cortes naturales'!$E$15:$G$19,3,9),U373)</f>
        <v>4</v>
      </c>
      <c r="AR373" s="28">
        <f t="shared" si="146"/>
        <v>-0.27282278126690329</v>
      </c>
      <c r="AS373" s="13" t="b">
        <f t="shared" si="147"/>
        <v>0</v>
      </c>
      <c r="AT373" s="13">
        <f t="shared" si="156"/>
        <v>0</v>
      </c>
      <c r="AU373" s="13">
        <v>3</v>
      </c>
      <c r="AV373">
        <f t="shared" si="148"/>
        <v>0</v>
      </c>
      <c r="AW373" s="13">
        <v>0</v>
      </c>
      <c r="AX373" s="13">
        <v>0</v>
      </c>
      <c r="AY373" s="13">
        <v>0</v>
      </c>
      <c r="AZ373" s="13">
        <v>0</v>
      </c>
      <c r="BA373">
        <v>0</v>
      </c>
      <c r="BB373" t="s">
        <v>2840</v>
      </c>
      <c r="BC373">
        <v>6</v>
      </c>
      <c r="BD373" t="s">
        <v>2919</v>
      </c>
      <c r="BE373">
        <v>1</v>
      </c>
      <c r="BF373" s="232" t="s">
        <v>2846</v>
      </c>
      <c r="BG373" s="232" t="s">
        <v>2846</v>
      </c>
      <c r="BH373" s="253">
        <v>58</v>
      </c>
      <c r="BI373" s="253">
        <v>45.361293008819409</v>
      </c>
      <c r="BJ373" s="25">
        <v>0</v>
      </c>
      <c r="BK373" t="s">
        <v>381</v>
      </c>
      <c r="BL373">
        <v>6.9859343643042875</v>
      </c>
      <c r="BM373" t="s">
        <v>379</v>
      </c>
      <c r="BN373" s="322">
        <v>49809.990818999999</v>
      </c>
      <c r="BO373" s="322">
        <v>1896.8149980000001</v>
      </c>
      <c r="BP373" s="10">
        <v>34162</v>
      </c>
      <c r="BQ373" s="254">
        <f t="shared" si="149"/>
        <v>1.4580525384637901</v>
      </c>
      <c r="BR373" s="254">
        <f t="shared" si="150"/>
        <v>5.5524120309115396E-2</v>
      </c>
      <c r="BS373" s="25">
        <v>56.93499824603964</v>
      </c>
      <c r="BT373" s="25">
        <v>87.276788780126068</v>
      </c>
      <c r="BU373" s="25">
        <v>17.325320128051221</v>
      </c>
      <c r="BV373" s="25">
        <v>91.876919382496382</v>
      </c>
      <c r="BW373" s="25">
        <v>22.22010276385323</v>
      </c>
      <c r="BX373" s="25">
        <v>63.353506634178331</v>
      </c>
      <c r="BY373" s="25">
        <v>22.79114330689211</v>
      </c>
      <c r="BZ373">
        <v>42</v>
      </c>
      <c r="CA373">
        <v>0</v>
      </c>
      <c r="CB373">
        <v>7</v>
      </c>
      <c r="CC373">
        <v>67911.053774999993</v>
      </c>
      <c r="CD373" s="10">
        <v>67861.297435999993</v>
      </c>
      <c r="CE373" s="255">
        <v>0.99926733077703589</v>
      </c>
      <c r="CF373" t="str">
        <f>IFERROR(VLOOKUP(CE373,'Rangos amb etnico'!$A$2:$C$6,3,9),"N.D.")</f>
        <v>71% - 100%</v>
      </c>
      <c r="CG373" s="256">
        <v>1.9743409567864563E-3</v>
      </c>
      <c r="CH373" s="232">
        <v>0</v>
      </c>
      <c r="CI373" s="311">
        <f t="shared" si="157"/>
        <v>0</v>
      </c>
      <c r="CJ373" s="232">
        <f>IFERROR(VLOOKUP(CI373,'Rangos amb etnico'!$A$2:$C$6,3,9),"N.D.")</f>
        <v>0</v>
      </c>
      <c r="CK373" s="311">
        <f t="shared" si="158"/>
        <v>0</v>
      </c>
      <c r="CL373" s="10">
        <v>0</v>
      </c>
      <c r="CM373" s="255">
        <f t="shared" si="159"/>
        <v>0</v>
      </c>
      <c r="CN373" s="232">
        <f>IFERROR(VLOOKUP(CM373,'Rangos amb etnico'!$A$2:$C$6,3,9),"N.D.")</f>
        <v>0</v>
      </c>
      <c r="CO373" s="311">
        <f t="shared" si="160"/>
        <v>0</v>
      </c>
      <c r="CP373">
        <v>0.8963869187383251</v>
      </c>
      <c r="CQ373" t="s">
        <v>2864</v>
      </c>
      <c r="CR373">
        <f t="shared" si="151"/>
        <v>2</v>
      </c>
      <c r="CS373" t="str">
        <f t="shared" si="161"/>
        <v>No es Candidato</v>
      </c>
      <c r="CT373">
        <v>0</v>
      </c>
      <c r="CU373">
        <v>0</v>
      </c>
      <c r="CV373" s="25">
        <v>51.032329559326172</v>
      </c>
      <c r="CW373" s="25">
        <v>28.904645919799801</v>
      </c>
      <c r="CX373" s="25">
        <v>51.091922760009773</v>
      </c>
      <c r="CY373" s="25">
        <v>49.717197418212891</v>
      </c>
      <c r="CZ373" s="25">
        <v>41.90289306640625</v>
      </c>
      <c r="DA373" s="25">
        <v>58.103790283203118</v>
      </c>
      <c r="DB373" s="25">
        <v>76.473526000976563</v>
      </c>
      <c r="DC373">
        <v>2804</v>
      </c>
      <c r="DD373" s="253" t="s">
        <v>380</v>
      </c>
    </row>
    <row r="374" spans="1:108" hidden="1">
      <c r="A374" s="13">
        <v>68855</v>
      </c>
      <c r="B374" s="13" t="s">
        <v>1204</v>
      </c>
      <c r="C374" s="13" t="s">
        <v>431</v>
      </c>
      <c r="D374" s="13" t="s">
        <v>432</v>
      </c>
      <c r="E374" s="13" t="s">
        <v>1205</v>
      </c>
      <c r="F374" s="14">
        <v>76.811033333333299</v>
      </c>
      <c r="G374" s="13">
        <v>79.05</v>
      </c>
      <c r="H374" s="13">
        <v>79.62</v>
      </c>
      <c r="I374" s="13">
        <v>82.67</v>
      </c>
      <c r="J374" s="14">
        <v>59.214844117177137</v>
      </c>
      <c r="K374" s="14">
        <v>58.732527111263465</v>
      </c>
      <c r="L374" s="14">
        <v>63.595097880147378</v>
      </c>
      <c r="M374" s="14">
        <v>63.407400000000003</v>
      </c>
      <c r="N374" s="14">
        <f t="shared" si="135"/>
        <v>79.537758333333329</v>
      </c>
      <c r="O374" s="14">
        <f t="shared" si="136"/>
        <v>61.23746727714699</v>
      </c>
      <c r="P374" s="14">
        <f t="shared" si="152"/>
        <v>70.387612805240167</v>
      </c>
      <c r="Q374" s="14">
        <v>49.605413241012172</v>
      </c>
      <c r="R374" s="17">
        <f t="shared" si="137"/>
        <v>50.394586758987828</v>
      </c>
      <c r="S374" s="14">
        <f t="shared" si="153"/>
        <v>0.55355128083089045</v>
      </c>
      <c r="T374" s="13">
        <v>0</v>
      </c>
      <c r="U374" s="13">
        <f t="shared" si="154"/>
        <v>38.963153222969481</v>
      </c>
      <c r="V374" s="13">
        <f>IF($T374=1,$AU374,(VLOOKUP(U374,'Cortes naturales'!$A$35:$C$39,3,9)))</f>
        <v>2</v>
      </c>
      <c r="W374" s="13">
        <v>2</v>
      </c>
      <c r="X374" s="14" t="b">
        <f t="shared" si="138"/>
        <v>1</v>
      </c>
      <c r="Y374" s="17">
        <f>IF($T374=1,$AU374,VLOOKUP(U374,'Cortes naturales'!$A$45:$C$49,3,9))</f>
        <v>2</v>
      </c>
      <c r="Z374" s="14">
        <v>70.23686079914367</v>
      </c>
      <c r="AA374" s="14">
        <v>0.55788659724414691</v>
      </c>
      <c r="AB374" s="14">
        <v>39.184203272345073</v>
      </c>
      <c r="AC374" s="13">
        <v>2</v>
      </c>
      <c r="AD374" s="13">
        <f t="shared" si="139"/>
        <v>0</v>
      </c>
      <c r="AE374" s="14">
        <f t="shared" si="140"/>
        <v>0.15075200609649642</v>
      </c>
      <c r="AF374" s="14">
        <f t="shared" si="141"/>
        <v>-4.3353164132564626E-3</v>
      </c>
      <c r="AG374" s="13">
        <f t="shared" si="142"/>
        <v>-0.22105004937559158</v>
      </c>
      <c r="AH374" s="13">
        <f>IF($T374=1,$AU374,VLOOKUP(U374,'Cortes naturales'!$A$25:$C$29,3,9))</f>
        <v>2</v>
      </c>
      <c r="AI374" s="13" t="b">
        <f t="shared" si="143"/>
        <v>1</v>
      </c>
      <c r="AJ374" s="13">
        <f t="shared" si="144"/>
        <v>0</v>
      </c>
      <c r="AK374" s="28">
        <v>0.81759069605862034</v>
      </c>
      <c r="AL374" s="28">
        <v>57.425003909744298</v>
      </c>
      <c r="AM374" s="28">
        <v>0.54770025540920397</v>
      </c>
      <c r="AN374" s="13">
        <v>2</v>
      </c>
      <c r="AO374" s="33">
        <f t="shared" si="145"/>
        <v>0</v>
      </c>
      <c r="AP374" s="13">
        <f t="shared" si="155"/>
        <v>54.7700255409204</v>
      </c>
      <c r="AQ374" s="13">
        <f>IFERROR(VLOOKUP(U374,'Cortes naturales'!$E$15:$G$19,3,9),U374)</f>
        <v>3</v>
      </c>
      <c r="AR374" s="28">
        <f t="shared" si="146"/>
        <v>-0.26403941522772989</v>
      </c>
      <c r="AS374" s="13" t="b">
        <f t="shared" si="147"/>
        <v>0</v>
      </c>
      <c r="AT374" s="13">
        <f t="shared" si="156"/>
        <v>0</v>
      </c>
      <c r="AU374" s="13">
        <v>2</v>
      </c>
      <c r="AV374">
        <f t="shared" si="148"/>
        <v>0</v>
      </c>
      <c r="AW374" s="13">
        <v>0</v>
      </c>
      <c r="AX374" s="13">
        <v>0</v>
      </c>
      <c r="AY374" s="13">
        <v>0</v>
      </c>
      <c r="AZ374" s="13">
        <v>0</v>
      </c>
      <c r="BA374">
        <v>0</v>
      </c>
      <c r="BB374" t="s">
        <v>2839</v>
      </c>
      <c r="BC374">
        <v>6</v>
      </c>
      <c r="BD374" t="s">
        <v>2919</v>
      </c>
      <c r="BE374">
        <v>0</v>
      </c>
      <c r="BF374" s="232" t="s">
        <v>2846</v>
      </c>
      <c r="BG374" s="232" t="s">
        <v>2846</v>
      </c>
      <c r="BH374" s="253">
        <v>36.6</v>
      </c>
      <c r="BI374" s="253">
        <v>8.9235127478753533</v>
      </c>
      <c r="BJ374" s="25">
        <v>23.751249999999999</v>
      </c>
      <c r="BK374" t="s">
        <v>379</v>
      </c>
      <c r="BL374">
        <v>1.3340650118859592</v>
      </c>
      <c r="BM374" t="s">
        <v>383</v>
      </c>
      <c r="BN374" s="322">
        <v>13424.205609000001</v>
      </c>
      <c r="BO374" s="322">
        <v>1432.4197529999999</v>
      </c>
      <c r="BP374" s="10">
        <v>7004</v>
      </c>
      <c r="BQ374" s="254">
        <f t="shared" si="149"/>
        <v>1.9166484307538549</v>
      </c>
      <c r="BR374" s="254">
        <f t="shared" si="150"/>
        <v>0.20451452784123356</v>
      </c>
      <c r="BS374" s="25">
        <v>60.991645877880728</v>
      </c>
      <c r="BT374" s="25">
        <v>90.991382594707787</v>
      </c>
      <c r="BU374" s="25">
        <v>64.56</v>
      </c>
      <c r="BV374" s="25">
        <v>95.886045404268017</v>
      </c>
      <c r="BW374" s="25">
        <v>63.893746497442208</v>
      </c>
      <c r="BX374" s="25">
        <v>78.107268469214134</v>
      </c>
      <c r="BY374" s="25">
        <v>63.456492900751222</v>
      </c>
      <c r="BZ374">
        <v>4</v>
      </c>
      <c r="CA374">
        <v>0</v>
      </c>
      <c r="CB374">
        <v>7</v>
      </c>
      <c r="CC374">
        <v>8096.2549929999996</v>
      </c>
      <c r="CD374" s="10">
        <v>3927.529215</v>
      </c>
      <c r="CE374" s="255">
        <v>0.48510443635924649</v>
      </c>
      <c r="CF374" t="str">
        <f>IFERROR(VLOOKUP(CE374,'Rangos amb etnico'!$A$2:$C$6,3,9),"N.D.")</f>
        <v>31% - 50%</v>
      </c>
      <c r="CG374" s="256">
        <v>1.1426663033466055E-4</v>
      </c>
      <c r="CH374" s="232">
        <v>0</v>
      </c>
      <c r="CI374" s="311">
        <f t="shared" si="157"/>
        <v>0</v>
      </c>
      <c r="CJ374" s="232">
        <f>IFERROR(VLOOKUP(CI374,'Rangos amb etnico'!$A$2:$C$6,3,9),"N.D.")</f>
        <v>0</v>
      </c>
      <c r="CK374" s="311">
        <f t="shared" si="158"/>
        <v>0</v>
      </c>
      <c r="CL374" s="10">
        <v>0</v>
      </c>
      <c r="CM374" s="255">
        <f t="shared" si="159"/>
        <v>0</v>
      </c>
      <c r="CN374" s="232">
        <f>IFERROR(VLOOKUP(CM374,'Rangos amb etnico'!$A$2:$C$6,3,9),"N.D.")</f>
        <v>0</v>
      </c>
      <c r="CO374" s="311">
        <f t="shared" si="160"/>
        <v>0</v>
      </c>
      <c r="CP374">
        <v>0.93388701865381663</v>
      </c>
      <c r="CQ374" t="s">
        <v>2864</v>
      </c>
      <c r="CR374">
        <f t="shared" si="151"/>
        <v>4</v>
      </c>
      <c r="CS374" t="str">
        <f t="shared" si="161"/>
        <v>Candidato</v>
      </c>
      <c r="CT374">
        <v>0</v>
      </c>
      <c r="CU374">
        <v>0</v>
      </c>
      <c r="CV374" s="25">
        <v>51.875114440917969</v>
      </c>
      <c r="CW374" s="25">
        <v>26.36624717712402</v>
      </c>
      <c r="CX374" s="25">
        <v>54.212162017822273</v>
      </c>
      <c r="CY374" s="25">
        <v>56.825672149658203</v>
      </c>
      <c r="CZ374" s="25">
        <v>34.556217193603523</v>
      </c>
      <c r="DA374" s="25">
        <v>77.876670837402344</v>
      </c>
      <c r="DB374" s="25">
        <v>61.413711547851563</v>
      </c>
      <c r="DC374">
        <v>47</v>
      </c>
      <c r="DD374" s="253" t="s">
        <v>380</v>
      </c>
    </row>
    <row r="375" spans="1:108" hidden="1">
      <c r="A375" s="13">
        <v>13654</v>
      </c>
      <c r="B375" s="13" t="s">
        <v>1206</v>
      </c>
      <c r="C375" s="13" t="s">
        <v>480</v>
      </c>
      <c r="D375" s="13" t="s">
        <v>481</v>
      </c>
      <c r="E375" s="13" t="s">
        <v>1207</v>
      </c>
      <c r="F375" s="14">
        <v>46.187333333333299</v>
      </c>
      <c r="G375" s="13">
        <v>34.03</v>
      </c>
      <c r="H375" s="13">
        <v>33.79</v>
      </c>
      <c r="I375" s="13">
        <v>58.43</v>
      </c>
      <c r="J375" s="14">
        <v>37.889263006424002</v>
      </c>
      <c r="K375" s="14">
        <v>50.325364292901064</v>
      </c>
      <c r="L375" s="14">
        <v>46.070801737494875</v>
      </c>
      <c r="M375" s="14">
        <v>54.541499999999999</v>
      </c>
      <c r="N375" s="14">
        <f t="shared" si="135"/>
        <v>43.109333333333325</v>
      </c>
      <c r="O375" s="14">
        <f t="shared" si="136"/>
        <v>47.206732259204983</v>
      </c>
      <c r="P375" s="14">
        <f t="shared" si="152"/>
        <v>45.158032796269154</v>
      </c>
      <c r="Q375" s="14">
        <v>50.170643700116599</v>
      </c>
      <c r="R375" s="17">
        <f t="shared" si="137"/>
        <v>49.829356299883401</v>
      </c>
      <c r="S375" s="14">
        <f t="shared" si="153"/>
        <v>0.54846420669895057</v>
      </c>
      <c r="T375" s="13">
        <v>0</v>
      </c>
      <c r="U375" s="13">
        <f t="shared" si="154"/>
        <v>24.767564633690956</v>
      </c>
      <c r="V375" s="13">
        <f>IF($T375=1,$AU375,(VLOOKUP(U375,'Cortes naturales'!$A$35:$C$39,3,9)))</f>
        <v>4</v>
      </c>
      <c r="W375" s="13">
        <v>4</v>
      </c>
      <c r="X375" s="14" t="b">
        <f t="shared" si="138"/>
        <v>1</v>
      </c>
      <c r="Y375" s="17">
        <f>IF($T375=1,$AU375,VLOOKUP(U375,'Cortes naturales'!$A$45:$C$49,3,9))</f>
        <v>4</v>
      </c>
      <c r="Z375" s="14">
        <v>43.840580059314249</v>
      </c>
      <c r="AA375" s="14">
        <v>0.55415546324886189</v>
      </c>
      <c r="AB375" s="14">
        <v>24.294496951868105</v>
      </c>
      <c r="AC375" s="13">
        <v>4</v>
      </c>
      <c r="AD375" s="13">
        <f t="shared" si="139"/>
        <v>0</v>
      </c>
      <c r="AE375" s="14">
        <f t="shared" si="140"/>
        <v>1.3174527369549054</v>
      </c>
      <c r="AF375" s="14">
        <f t="shared" si="141"/>
        <v>-5.6912565499113166E-3</v>
      </c>
      <c r="AG375" s="13">
        <f t="shared" si="142"/>
        <v>0.47306768182285097</v>
      </c>
      <c r="AH375" s="13">
        <f>IF($T375=1,$AU375,VLOOKUP(U375,'Cortes naturales'!$A$25:$C$29,3,9))</f>
        <v>4</v>
      </c>
      <c r="AI375" s="13" t="b">
        <f t="shared" si="143"/>
        <v>1</v>
      </c>
      <c r="AJ375" s="13">
        <f t="shared" si="144"/>
        <v>0</v>
      </c>
      <c r="AK375" s="28">
        <v>0.81759069605862034</v>
      </c>
      <c r="AL375" s="28">
        <v>35.84365036630841</v>
      </c>
      <c r="AM375" s="28">
        <v>0.27774027147174501</v>
      </c>
      <c r="AN375" s="13">
        <v>4</v>
      </c>
      <c r="AO375" s="33">
        <f t="shared" si="145"/>
        <v>0</v>
      </c>
      <c r="AP375" s="13">
        <f t="shared" si="155"/>
        <v>27.7740271471745</v>
      </c>
      <c r="AQ375" s="13">
        <f>IFERROR(VLOOKUP(U375,'Cortes naturales'!$E$15:$G$19,3,9),U375)</f>
        <v>4</v>
      </c>
      <c r="AR375" s="28">
        <f t="shared" si="146"/>
        <v>-0.26912648935966976</v>
      </c>
      <c r="AS375" s="13" t="b">
        <f t="shared" si="147"/>
        <v>1</v>
      </c>
      <c r="AT375" s="13">
        <f t="shared" si="156"/>
        <v>0</v>
      </c>
      <c r="AU375" s="13">
        <v>4</v>
      </c>
      <c r="AV375">
        <f t="shared" si="148"/>
        <v>0</v>
      </c>
      <c r="AW375" s="13">
        <v>0</v>
      </c>
      <c r="AX375" s="13">
        <v>0</v>
      </c>
      <c r="AY375" s="13">
        <v>0</v>
      </c>
      <c r="AZ375" s="13">
        <v>1</v>
      </c>
      <c r="BA375">
        <v>1</v>
      </c>
      <c r="BB375" t="s">
        <v>2839</v>
      </c>
      <c r="BC375">
        <v>6</v>
      </c>
      <c r="BD375" t="s">
        <v>2919</v>
      </c>
      <c r="BE375">
        <v>0</v>
      </c>
      <c r="BF375" s="232" t="s">
        <v>2846</v>
      </c>
      <c r="BG375" s="232" t="s">
        <v>2846</v>
      </c>
      <c r="BH375" s="253">
        <v>60.3</v>
      </c>
      <c r="BI375" s="253">
        <v>93.444015116130956</v>
      </c>
      <c r="BJ375" s="25" t="s">
        <v>2849</v>
      </c>
      <c r="BK375" t="s">
        <v>2849</v>
      </c>
      <c r="BL375">
        <v>3.8616788460329219</v>
      </c>
      <c r="BM375" t="s">
        <v>383</v>
      </c>
      <c r="BN375" s="322">
        <v>58070.111963000003</v>
      </c>
      <c r="BO375" s="322">
        <v>2986.0003409999999</v>
      </c>
      <c r="BP375" s="10">
        <v>27176</v>
      </c>
      <c r="BQ375" s="254">
        <f t="shared" si="149"/>
        <v>2.1368160127686195</v>
      </c>
      <c r="BR375" s="254">
        <f t="shared" si="150"/>
        <v>0.10987637404327348</v>
      </c>
      <c r="BS375" s="25">
        <v>58.898320784120983</v>
      </c>
      <c r="BT375" s="25">
        <v>95.138713099793947</v>
      </c>
      <c r="BU375" s="25">
        <v>10.68166666666667</v>
      </c>
      <c r="BV375" s="25">
        <v>89.271430310872333</v>
      </c>
      <c r="BW375" s="25">
        <v>31.831769362124259</v>
      </c>
      <c r="BX375" s="25">
        <v>63.497532715363491</v>
      </c>
      <c r="BY375" s="25">
        <v>31.6128934529528</v>
      </c>
      <c r="BZ375">
        <v>12</v>
      </c>
      <c r="CA375">
        <v>0</v>
      </c>
      <c r="CB375">
        <v>7</v>
      </c>
      <c r="CC375">
        <v>44265.142050000002</v>
      </c>
      <c r="CD375" s="10">
        <v>2518.9386380000001</v>
      </c>
      <c r="CE375" s="255">
        <v>5.6905694217691996E-2</v>
      </c>
      <c r="CF375" t="str">
        <f>IFERROR(VLOOKUP(CE375,'Rangos amb etnico'!$A$2:$C$6,3,9),"N.D.")</f>
        <v>0,1% - 30%</v>
      </c>
      <c r="CG375" s="256">
        <v>7.3285420534813096E-5</v>
      </c>
      <c r="CH375" s="232">
        <v>88.387013999999994</v>
      </c>
      <c r="CI375" s="311">
        <f t="shared" si="157"/>
        <v>1.9967633651816101E-3</v>
      </c>
      <c r="CJ375" s="232" t="str">
        <f>IFERROR(VLOOKUP(CI375,'Rangos amb etnico'!$A$2:$C$6,3,9),"N.D.")</f>
        <v>0,1% - 30%</v>
      </c>
      <c r="CK375" s="311">
        <f t="shared" si="158"/>
        <v>3.5095431433007373E-6</v>
      </c>
      <c r="CL375" s="10">
        <v>0</v>
      </c>
      <c r="CM375" s="255">
        <f t="shared" si="159"/>
        <v>0</v>
      </c>
      <c r="CN375" s="232">
        <f>IFERROR(VLOOKUP(CM375,'Rangos amb etnico'!$A$2:$C$6,3,9),"N.D.")</f>
        <v>0</v>
      </c>
      <c r="CO375" s="311">
        <f t="shared" si="160"/>
        <v>0</v>
      </c>
      <c r="CP375">
        <v>0.91917464536737548</v>
      </c>
      <c r="CQ375" t="s">
        <v>2864</v>
      </c>
      <c r="CR375">
        <f t="shared" si="151"/>
        <v>1</v>
      </c>
      <c r="CS375" t="str">
        <f t="shared" si="161"/>
        <v>No es Candidato</v>
      </c>
      <c r="CT375">
        <v>0</v>
      </c>
      <c r="CU375">
        <v>0</v>
      </c>
      <c r="CV375" s="25">
        <v>45.303550720214837</v>
      </c>
      <c r="CW375" s="25">
        <v>29.083011627197269</v>
      </c>
      <c r="CX375" s="25">
        <v>63.936168670654297</v>
      </c>
      <c r="CY375" s="25">
        <v>51.046241760253913</v>
      </c>
      <c r="CZ375" s="25">
        <v>18.043289184570309</v>
      </c>
      <c r="DA375" s="25">
        <v>65.574661254882813</v>
      </c>
      <c r="DB375" s="25">
        <v>44.137931823730469</v>
      </c>
      <c r="DC375">
        <v>1522</v>
      </c>
      <c r="DD375" s="253" t="s">
        <v>380</v>
      </c>
    </row>
    <row r="376" spans="1:108">
      <c r="A376" s="13">
        <v>5042</v>
      </c>
      <c r="B376" s="13" t="s">
        <v>1208</v>
      </c>
      <c r="C376" s="13" t="s">
        <v>435</v>
      </c>
      <c r="D376" s="13" t="s">
        <v>436</v>
      </c>
      <c r="E376" s="13" t="s">
        <v>1209</v>
      </c>
      <c r="F376" s="14">
        <v>65.990399999999994</v>
      </c>
      <c r="G376" s="13">
        <v>64.069999999999993</v>
      </c>
      <c r="H376" s="13">
        <v>62.23</v>
      </c>
      <c r="I376" s="13">
        <v>77.52</v>
      </c>
      <c r="J376" s="14">
        <v>46.786457573539799</v>
      </c>
      <c r="K376" s="14">
        <v>63.740784411565599</v>
      </c>
      <c r="L376" s="14">
        <v>64.371823735681261</v>
      </c>
      <c r="M376" s="14">
        <v>65.272400000000005</v>
      </c>
      <c r="N376" s="14">
        <f t="shared" si="135"/>
        <v>67.45259999999999</v>
      </c>
      <c r="O376" s="14">
        <f t="shared" si="136"/>
        <v>60.042866430196668</v>
      </c>
      <c r="P376" s="14">
        <f t="shared" si="152"/>
        <v>63.747733215098329</v>
      </c>
      <c r="Q376" s="14">
        <v>49.736367659766721</v>
      </c>
      <c r="R376" s="17">
        <f t="shared" si="137"/>
        <v>50.263632340233279</v>
      </c>
      <c r="S376" s="14">
        <f t="shared" si="153"/>
        <v>0.55237269106209952</v>
      </c>
      <c r="T376" s="13">
        <v>0</v>
      </c>
      <c r="U376" s="13">
        <f t="shared" si="154"/>
        <v>35.212506945132652</v>
      </c>
      <c r="V376" s="13">
        <f>IF($T376=1,$AU376,(VLOOKUP(U376,'Cortes naturales'!$A$35:$C$39,3,9)))</f>
        <v>3</v>
      </c>
      <c r="W376" s="13">
        <v>3</v>
      </c>
      <c r="X376" s="14" t="b">
        <f t="shared" si="138"/>
        <v>1</v>
      </c>
      <c r="Y376" s="17">
        <f>IF($T376=1,$AU376,VLOOKUP(U376,'Cortes naturales'!$A$45:$C$49,3,9))</f>
        <v>3</v>
      </c>
      <c r="Z376" s="14">
        <v>59.793158936237994</v>
      </c>
      <c r="AA376" s="14">
        <v>0.55326236774485593</v>
      </c>
      <c r="AB376" s="14">
        <v>33.081304688007521</v>
      </c>
      <c r="AC376" s="13">
        <v>3</v>
      </c>
      <c r="AD376" s="13">
        <f t="shared" si="139"/>
        <v>0</v>
      </c>
      <c r="AE376" s="14">
        <f t="shared" si="140"/>
        <v>3.9545742788603349</v>
      </c>
      <c r="AF376" s="14">
        <f t="shared" si="141"/>
        <v>-8.8967668275641287E-4</v>
      </c>
      <c r="AG376" s="13">
        <f t="shared" si="142"/>
        <v>2.1312022571251319</v>
      </c>
      <c r="AH376" s="13">
        <f>IF($T376=1,$AU376,VLOOKUP(U376,'Cortes naturales'!$A$25:$C$29,3,9))</f>
        <v>2</v>
      </c>
      <c r="AI376" s="13" t="b">
        <f t="shared" si="143"/>
        <v>0</v>
      </c>
      <c r="AJ376" s="13">
        <f t="shared" si="144"/>
        <v>0</v>
      </c>
      <c r="AK376" s="28">
        <v>0.81759069605862034</v>
      </c>
      <c r="AL376" s="28">
        <v>48.886330434222536</v>
      </c>
      <c r="AM376" s="28">
        <v>0.44089045084065903</v>
      </c>
      <c r="AN376" s="13">
        <v>3</v>
      </c>
      <c r="AO376" s="33">
        <f t="shared" si="145"/>
        <v>0</v>
      </c>
      <c r="AP376" s="13">
        <f t="shared" si="155"/>
        <v>44.089045084065901</v>
      </c>
      <c r="AQ376" s="13">
        <f>IFERROR(VLOOKUP(U376,'Cortes naturales'!$E$15:$G$19,3,9),U376)</f>
        <v>4</v>
      </c>
      <c r="AR376" s="28">
        <f t="shared" si="146"/>
        <v>-0.26521800499652082</v>
      </c>
      <c r="AS376" s="13" t="b">
        <f t="shared" si="147"/>
        <v>0</v>
      </c>
      <c r="AT376" s="13">
        <f t="shared" si="156"/>
        <v>0</v>
      </c>
      <c r="AU376" s="13">
        <v>3</v>
      </c>
      <c r="AV376">
        <f t="shared" si="148"/>
        <v>0</v>
      </c>
      <c r="AW376" s="13">
        <v>0</v>
      </c>
      <c r="AX376" s="13">
        <v>1</v>
      </c>
      <c r="AY376" s="13">
        <v>0</v>
      </c>
      <c r="AZ376" s="13">
        <v>0</v>
      </c>
      <c r="BA376">
        <v>1</v>
      </c>
      <c r="BB376" t="s">
        <v>2839</v>
      </c>
      <c r="BC376">
        <v>5</v>
      </c>
      <c r="BD376" t="s">
        <v>2919</v>
      </c>
      <c r="BE376">
        <v>1</v>
      </c>
      <c r="BF376" s="232" t="s">
        <v>2846</v>
      </c>
      <c r="BG376" s="232" t="s">
        <v>2845</v>
      </c>
      <c r="BH376" s="253">
        <v>29.7</v>
      </c>
      <c r="BI376" s="253">
        <v>14.129582861621527</v>
      </c>
      <c r="BJ376" s="25">
        <v>26.365483179451029</v>
      </c>
      <c r="BK376" t="s">
        <v>379</v>
      </c>
      <c r="BL376">
        <v>9.2346930300469889</v>
      </c>
      <c r="BM376" t="s">
        <v>379</v>
      </c>
      <c r="BN376" s="322">
        <v>87052.879835</v>
      </c>
      <c r="BO376" s="322">
        <v>33635.100681999997</v>
      </c>
      <c r="BP376" s="10">
        <v>28130</v>
      </c>
      <c r="BQ376" s="254">
        <f t="shared" si="149"/>
        <v>3.0946633428723782</v>
      </c>
      <c r="BR376" s="254">
        <f t="shared" si="150"/>
        <v>1.1957021216494843</v>
      </c>
      <c r="BS376" s="25">
        <v>68.209803353021599</v>
      </c>
      <c r="BT376" s="25">
        <v>96.595415977011498</v>
      </c>
      <c r="BU376" s="25">
        <v>62.62166666666667</v>
      </c>
      <c r="BV376" s="25">
        <v>86.462814184976651</v>
      </c>
      <c r="BW376" s="25">
        <v>67.375559341376032</v>
      </c>
      <c r="BX376" s="25">
        <v>78.472425045419101</v>
      </c>
      <c r="BY376" s="25">
        <v>68.379939938431477</v>
      </c>
      <c r="BZ376">
        <v>90</v>
      </c>
      <c r="CA376">
        <v>1</v>
      </c>
      <c r="CB376">
        <v>5</v>
      </c>
      <c r="CC376">
        <v>52557.181573000002</v>
      </c>
      <c r="CD376" s="10">
        <v>18347.107228000001</v>
      </c>
      <c r="CE376" s="255">
        <v>0.34908849140847747</v>
      </c>
      <c r="CF376" t="str">
        <f>IFERROR(VLOOKUP(CE376,'Rangos amb etnico'!$A$2:$C$6,3,9),"N.D.")</f>
        <v>31% - 50%</v>
      </c>
      <c r="CG376" s="256">
        <v>5.3378651171465694E-4</v>
      </c>
      <c r="CH376" s="232">
        <v>0</v>
      </c>
      <c r="CI376" s="311">
        <f t="shared" si="157"/>
        <v>0</v>
      </c>
      <c r="CJ376" s="232">
        <f>IFERROR(VLOOKUP(CI376,'Rangos amb etnico'!$A$2:$C$6,3,9),"N.D.")</f>
        <v>0</v>
      </c>
      <c r="CK376" s="311">
        <f t="shared" si="158"/>
        <v>0</v>
      </c>
      <c r="CL376" s="10">
        <v>0</v>
      </c>
      <c r="CM376" s="255">
        <f t="shared" si="159"/>
        <v>0</v>
      </c>
      <c r="CN376" s="232">
        <f>IFERROR(VLOOKUP(CM376,'Rangos amb etnico'!$A$2:$C$6,3,9),"N.D.")</f>
        <v>0</v>
      </c>
      <c r="CO376" s="311">
        <f t="shared" si="160"/>
        <v>0</v>
      </c>
      <c r="CP376">
        <v>0.88372995926782805</v>
      </c>
      <c r="CQ376" t="s">
        <v>2864</v>
      </c>
      <c r="CR376">
        <f t="shared" si="151"/>
        <v>4</v>
      </c>
      <c r="CS376" t="str">
        <f t="shared" si="161"/>
        <v>Candidato</v>
      </c>
      <c r="CT376">
        <v>0</v>
      </c>
      <c r="CU376">
        <v>0</v>
      </c>
      <c r="CV376" s="25">
        <v>50.781841278076172</v>
      </c>
      <c r="CW376" s="25">
        <v>43.411148071289063</v>
      </c>
      <c r="CX376" s="25">
        <v>48.172004699707031</v>
      </c>
      <c r="CY376" s="25">
        <v>57.057033538818359</v>
      </c>
      <c r="CZ376" s="25">
        <v>70.334785461425781</v>
      </c>
      <c r="DA376" s="25">
        <v>16.789157867431641</v>
      </c>
      <c r="DB376" s="25">
        <v>68.926918029785156</v>
      </c>
      <c r="DC376">
        <v>1376</v>
      </c>
      <c r="DD376" s="253" t="s">
        <v>380</v>
      </c>
    </row>
    <row r="377" spans="1:108" hidden="1">
      <c r="A377" s="13">
        <v>19364</v>
      </c>
      <c r="B377" s="13" t="s">
        <v>1210</v>
      </c>
      <c r="C377" s="13" t="s">
        <v>557</v>
      </c>
      <c r="D377" s="13" t="s">
        <v>558</v>
      </c>
      <c r="E377" s="13" t="s">
        <v>1211</v>
      </c>
      <c r="F377" s="14">
        <v>54.083100000000002</v>
      </c>
      <c r="G377" s="13">
        <v>64.95</v>
      </c>
      <c r="H377" s="13">
        <v>54.87</v>
      </c>
      <c r="I377" s="13">
        <v>39.979999999999997</v>
      </c>
      <c r="J377" s="14">
        <v>59.759727645475984</v>
      </c>
      <c r="K377" s="14">
        <v>49.805884891959032</v>
      </c>
      <c r="L377" s="14">
        <v>51.069438588074512</v>
      </c>
      <c r="M377" s="14">
        <v>57.820700000000002</v>
      </c>
      <c r="N377" s="14">
        <f t="shared" si="135"/>
        <v>53.470774999999996</v>
      </c>
      <c r="O377" s="14">
        <f t="shared" si="136"/>
        <v>54.613937781377388</v>
      </c>
      <c r="P377" s="14">
        <f t="shared" si="152"/>
        <v>54.042356390688695</v>
      </c>
      <c r="Q377" s="14">
        <v>50.61907493571011</v>
      </c>
      <c r="R377" s="17">
        <f t="shared" si="137"/>
        <v>49.38092506428989</v>
      </c>
      <c r="S377" s="14">
        <f t="shared" si="153"/>
        <v>0.54442832557860898</v>
      </c>
      <c r="T377" s="13">
        <v>0</v>
      </c>
      <c r="U377" s="13">
        <f t="shared" si="154"/>
        <v>29.422189600105085</v>
      </c>
      <c r="V377" s="13">
        <f>IF($T377=1,$AU377,(VLOOKUP(U377,'Cortes naturales'!$A$35:$C$39,3,9)))</f>
        <v>4</v>
      </c>
      <c r="W377" s="13">
        <v>4</v>
      </c>
      <c r="X377" s="14" t="b">
        <f t="shared" si="138"/>
        <v>1</v>
      </c>
      <c r="Y377" s="17">
        <f>IF($T377=1,$AU377,VLOOKUP(U377,'Cortes naturales'!$A$45:$C$49,3,9))</f>
        <v>3</v>
      </c>
      <c r="Z377" s="14">
        <v>55.116790756667399</v>
      </c>
      <c r="AA377" s="14">
        <v>0.55537932835313408</v>
      </c>
      <c r="AB377" s="14">
        <v>30.61072623141817</v>
      </c>
      <c r="AC377" s="13">
        <v>3</v>
      </c>
      <c r="AD377" s="13">
        <f t="shared" si="139"/>
        <v>0</v>
      </c>
      <c r="AE377" s="14">
        <f t="shared" si="140"/>
        <v>-1.0744343659787035</v>
      </c>
      <c r="AF377" s="14">
        <f t="shared" si="141"/>
        <v>-1.0951002774525098E-2</v>
      </c>
      <c r="AG377" s="13">
        <f t="shared" si="142"/>
        <v>-1.1885366313130845</v>
      </c>
      <c r="AH377" s="13">
        <f>IF($T377=1,$AU377,VLOOKUP(U377,'Cortes naturales'!$A$25:$C$29,3,9))</f>
        <v>3</v>
      </c>
      <c r="AI377" s="13" t="b">
        <f t="shared" si="143"/>
        <v>1</v>
      </c>
      <c r="AJ377" s="13">
        <f t="shared" si="144"/>
        <v>0</v>
      </c>
      <c r="AK377" s="28">
        <v>0.81759069605862034</v>
      </c>
      <c r="AL377" s="28">
        <v>45.062975319261028</v>
      </c>
      <c r="AM377" s="28">
        <v>0.39306430854866425</v>
      </c>
      <c r="AN377" s="13">
        <v>3</v>
      </c>
      <c r="AO377" s="33">
        <f t="shared" si="145"/>
        <v>0</v>
      </c>
      <c r="AP377" s="13">
        <f t="shared" si="155"/>
        <v>39.306430854866427</v>
      </c>
      <c r="AQ377" s="13">
        <f>IFERROR(VLOOKUP(U377,'Cortes naturales'!$E$15:$G$19,3,9),U377)</f>
        <v>4</v>
      </c>
      <c r="AR377" s="28">
        <f t="shared" si="146"/>
        <v>-0.27316237048001135</v>
      </c>
      <c r="AS377" s="13" t="b">
        <f t="shared" si="147"/>
        <v>0</v>
      </c>
      <c r="AT377" s="13">
        <f t="shared" si="156"/>
        <v>0</v>
      </c>
      <c r="AU377" s="13">
        <v>3</v>
      </c>
      <c r="AV377">
        <f t="shared" si="148"/>
        <v>0</v>
      </c>
      <c r="AW377" s="13">
        <v>0</v>
      </c>
      <c r="AX377" s="13">
        <v>0</v>
      </c>
      <c r="AY377" s="13">
        <v>0</v>
      </c>
      <c r="AZ377" s="13">
        <v>1</v>
      </c>
      <c r="BA377">
        <v>1</v>
      </c>
      <c r="BB377" t="s">
        <v>2840</v>
      </c>
      <c r="BC377">
        <v>6</v>
      </c>
      <c r="BD377" t="s">
        <v>2919</v>
      </c>
      <c r="BE377">
        <v>1</v>
      </c>
      <c r="BF377" s="232" t="s">
        <v>2846</v>
      </c>
      <c r="BG377" s="232" t="s">
        <v>2846</v>
      </c>
      <c r="BH377" s="253">
        <v>46.5</v>
      </c>
      <c r="BI377" s="253">
        <v>15.575123830489819</v>
      </c>
      <c r="BJ377" s="25">
        <v>0</v>
      </c>
      <c r="BK377" t="s">
        <v>381</v>
      </c>
      <c r="BL377">
        <v>31.424620639575789</v>
      </c>
      <c r="BM377" t="s">
        <v>384</v>
      </c>
      <c r="BN377" s="322">
        <v>36716.331896999996</v>
      </c>
      <c r="BO377" s="322">
        <v>2091.1849649999999</v>
      </c>
      <c r="BP377" s="10">
        <v>19163</v>
      </c>
      <c r="BQ377" s="254">
        <f t="shared" si="149"/>
        <v>1.9160012470385637</v>
      </c>
      <c r="BR377" s="254">
        <f t="shared" si="150"/>
        <v>0.10912617883421176</v>
      </c>
      <c r="BS377" s="25">
        <v>52.051517383366587</v>
      </c>
      <c r="BT377" s="25">
        <v>84.593035189340569</v>
      </c>
      <c r="BU377" s="25">
        <v>43.695305271141429</v>
      </c>
      <c r="BV377" s="25">
        <v>97.180934921941642</v>
      </c>
      <c r="BW377" s="25">
        <v>44.167457297598027</v>
      </c>
      <c r="BX377" s="25">
        <v>69.380198191447562</v>
      </c>
      <c r="BY377" s="25">
        <v>44.956489078717873</v>
      </c>
      <c r="BZ377">
        <v>32</v>
      </c>
      <c r="CA377">
        <v>0</v>
      </c>
      <c r="CB377">
        <v>7</v>
      </c>
      <c r="CC377">
        <v>23449.983866999999</v>
      </c>
      <c r="CD377" s="10">
        <v>18157.716850000001</v>
      </c>
      <c r="CE377" s="255">
        <v>0.77431681629224725</v>
      </c>
      <c r="CF377" t="str">
        <f>IFERROR(VLOOKUP(CE377,'Rangos amb etnico'!$A$2:$C$6,3,9),"N.D.")</f>
        <v>71% - 100%</v>
      </c>
      <c r="CG377" s="256">
        <v>5.2827643168031459E-4</v>
      </c>
      <c r="CH377" s="232">
        <v>15794.835272</v>
      </c>
      <c r="CI377" s="311">
        <f t="shared" si="157"/>
        <v>0.6735542063304909</v>
      </c>
      <c r="CJ377" s="232" t="str">
        <f>IFERROR(VLOOKUP(CI377,'Rangos amb etnico'!$A$2:$C$6,3,9),"N.D.")</f>
        <v>51% - 70%</v>
      </c>
      <c r="CK377" s="311">
        <f t="shared" si="158"/>
        <v>6.2715837225151927E-4</v>
      </c>
      <c r="CL377" s="10">
        <v>0</v>
      </c>
      <c r="CM377" s="255">
        <f t="shared" si="159"/>
        <v>0</v>
      </c>
      <c r="CN377" s="232">
        <f>IFERROR(VLOOKUP(CM377,'Rangos amb etnico'!$A$2:$C$6,3,9),"N.D.")</f>
        <v>0</v>
      </c>
      <c r="CO377" s="311">
        <f t="shared" si="160"/>
        <v>0</v>
      </c>
      <c r="CP377">
        <v>0.7841065099097857</v>
      </c>
      <c r="CQ377" t="s">
        <v>2865</v>
      </c>
      <c r="CR377">
        <f t="shared" si="151"/>
        <v>1</v>
      </c>
      <c r="CS377" t="str">
        <f t="shared" si="161"/>
        <v>No es Candidato</v>
      </c>
      <c r="CT377">
        <v>0</v>
      </c>
      <c r="CU377">
        <v>0</v>
      </c>
      <c r="CV377" s="25">
        <v>50.588638305664063</v>
      </c>
      <c r="CW377" s="25">
        <v>19.929107666015621</v>
      </c>
      <c r="CX377" s="25">
        <v>45.936153411865227</v>
      </c>
      <c r="CY377" s="25">
        <v>74.463340759277344</v>
      </c>
      <c r="CZ377" s="25">
        <v>30.870626449584961</v>
      </c>
      <c r="DA377" s="25">
        <v>73.112480163574219</v>
      </c>
      <c r="DB377" s="25">
        <v>59.220108032226563</v>
      </c>
      <c r="DC377">
        <v>17651</v>
      </c>
      <c r="DD377" s="253" t="s">
        <v>380</v>
      </c>
    </row>
    <row r="378" spans="1:108">
      <c r="A378" s="13">
        <v>5306</v>
      </c>
      <c r="B378" s="13" t="s">
        <v>1212</v>
      </c>
      <c r="C378" s="13" t="s">
        <v>435</v>
      </c>
      <c r="D378" s="13" t="s">
        <v>436</v>
      </c>
      <c r="E378" s="13" t="s">
        <v>1213</v>
      </c>
      <c r="F378" s="14">
        <v>71.308433333333298</v>
      </c>
      <c r="G378" s="13">
        <v>76.349999999999994</v>
      </c>
      <c r="H378" s="13">
        <v>78.17</v>
      </c>
      <c r="I378" s="13">
        <v>72.400000000000006</v>
      </c>
      <c r="J378" s="14">
        <v>55.350168191104679</v>
      </c>
      <c r="K378" s="14">
        <v>61.055077087282037</v>
      </c>
      <c r="L378" s="14">
        <v>58.544452486491878</v>
      </c>
      <c r="M378" s="14">
        <v>52.511000000000003</v>
      </c>
      <c r="N378" s="14">
        <f t="shared" si="135"/>
        <v>74.557108333333332</v>
      </c>
      <c r="O378" s="14">
        <f t="shared" si="136"/>
        <v>56.865174441219644</v>
      </c>
      <c r="P378" s="14">
        <f t="shared" si="152"/>
        <v>65.711141387276484</v>
      </c>
      <c r="Q378" s="14">
        <v>49.627271180239568</v>
      </c>
      <c r="R378" s="17">
        <f t="shared" si="137"/>
        <v>50.372728819760432</v>
      </c>
      <c r="S378" s="14">
        <f t="shared" si="153"/>
        <v>0.55335455937784395</v>
      </c>
      <c r="T378" s="13">
        <v>0</v>
      </c>
      <c r="U378" s="13">
        <f t="shared" si="154"/>
        <v>36.361559688571582</v>
      </c>
      <c r="V378" s="13">
        <f>IF($T378=1,$AU378,(VLOOKUP(U378,'Cortes naturales'!$A$35:$C$39,3,9)))</f>
        <v>3</v>
      </c>
      <c r="W378" s="13">
        <v>3</v>
      </c>
      <c r="X378" s="14" t="b">
        <f t="shared" si="138"/>
        <v>1</v>
      </c>
      <c r="Y378" s="17">
        <f>IF($T378=1,$AU378,VLOOKUP(U378,'Cortes naturales'!$A$45:$C$49,3,9))</f>
        <v>2</v>
      </c>
      <c r="Z378" s="14">
        <v>65.264464092510281</v>
      </c>
      <c r="AA378" s="14">
        <v>0.55270149270556912</v>
      </c>
      <c r="AB378" s="14">
        <v>36.071766724559446</v>
      </c>
      <c r="AC378" s="13">
        <v>2</v>
      </c>
      <c r="AD378" s="13">
        <f t="shared" si="139"/>
        <v>0</v>
      </c>
      <c r="AE378" s="14">
        <f t="shared" si="140"/>
        <v>0.44667729476620366</v>
      </c>
      <c r="AF378" s="14">
        <f t="shared" si="141"/>
        <v>6.5306667227482684E-4</v>
      </c>
      <c r="AG378" s="13">
        <f t="shared" si="142"/>
        <v>0.28979296401213617</v>
      </c>
      <c r="AH378" s="13">
        <f>IF($T378=1,$AU378,VLOOKUP(U378,'Cortes naturales'!$A$25:$C$29,3,9))</f>
        <v>2</v>
      </c>
      <c r="AI378" s="13" t="b">
        <f t="shared" si="143"/>
        <v>1</v>
      </c>
      <c r="AJ378" s="13">
        <f t="shared" si="144"/>
        <v>0</v>
      </c>
      <c r="AK378" s="28">
        <v>0.81759069605862034</v>
      </c>
      <c r="AL378" s="28">
        <v>53.359618625288313</v>
      </c>
      <c r="AM378" s="28">
        <v>0.49684657082067968</v>
      </c>
      <c r="AN378" s="13">
        <v>2</v>
      </c>
      <c r="AO378" s="33">
        <f t="shared" si="145"/>
        <v>0</v>
      </c>
      <c r="AP378" s="13">
        <f t="shared" si="155"/>
        <v>49.684657082067964</v>
      </c>
      <c r="AQ378" s="13">
        <f>IFERROR(VLOOKUP(U378,'Cortes naturales'!$E$15:$G$19,3,9),U378)</f>
        <v>3</v>
      </c>
      <c r="AR378" s="28">
        <f t="shared" si="146"/>
        <v>-0.26423613668077639</v>
      </c>
      <c r="AS378" s="13" t="b">
        <f t="shared" si="147"/>
        <v>0</v>
      </c>
      <c r="AT378" s="13">
        <f t="shared" si="156"/>
        <v>0</v>
      </c>
      <c r="AU378" s="13">
        <v>3</v>
      </c>
      <c r="AV378">
        <f t="shared" si="148"/>
        <v>1</v>
      </c>
      <c r="AW378" s="13">
        <v>0</v>
      </c>
      <c r="AX378" s="13">
        <v>0</v>
      </c>
      <c r="AY378" s="13">
        <v>0</v>
      </c>
      <c r="AZ378" s="13">
        <v>0</v>
      </c>
      <c r="BA378">
        <v>0</v>
      </c>
      <c r="BB378" t="s">
        <v>2839</v>
      </c>
      <c r="BC378">
        <v>6</v>
      </c>
      <c r="BD378" t="s">
        <v>2919</v>
      </c>
      <c r="BE378">
        <v>1</v>
      </c>
      <c r="BF378" s="232" t="s">
        <v>2846</v>
      </c>
      <c r="BG378" s="232" t="s">
        <v>2845</v>
      </c>
      <c r="BH378" s="253">
        <v>33.4</v>
      </c>
      <c r="BI378" s="253">
        <v>15.364840814712281</v>
      </c>
      <c r="BJ378" s="25">
        <v>67.491126694553685</v>
      </c>
      <c r="BK378" t="s">
        <v>376</v>
      </c>
      <c r="BL378">
        <v>5.8017714591098581</v>
      </c>
      <c r="BM378" t="s">
        <v>379</v>
      </c>
      <c r="BN378" s="322">
        <v>20067.846154999999</v>
      </c>
      <c r="BO378" s="322">
        <v>5295.8679229999998</v>
      </c>
      <c r="BP378" s="10">
        <v>6331</v>
      </c>
      <c r="BQ378" s="254">
        <f t="shared" si="149"/>
        <v>3.1697750995103458</v>
      </c>
      <c r="BR378" s="254">
        <f t="shared" si="150"/>
        <v>0.83649785547306899</v>
      </c>
      <c r="BS378" s="25">
        <v>74.447184277487622</v>
      </c>
      <c r="BT378" s="25">
        <v>93.263616100668671</v>
      </c>
      <c r="BU378" s="25">
        <v>47.045179689077287</v>
      </c>
      <c r="BV378" s="25">
        <v>92.015863242427216</v>
      </c>
      <c r="BW378" s="25">
        <v>64.228809001293854</v>
      </c>
      <c r="BX378" s="25">
        <v>76.692960827415206</v>
      </c>
      <c r="BY378" s="25">
        <v>66.520613566137314</v>
      </c>
      <c r="BZ378">
        <v>90</v>
      </c>
      <c r="CA378">
        <v>0</v>
      </c>
      <c r="CB378">
        <v>7</v>
      </c>
      <c r="CC378">
        <v>9349.1765030000006</v>
      </c>
      <c r="CD378" s="10">
        <v>1060.1076519999999</v>
      </c>
      <c r="CE378" s="255">
        <v>0.11339048435547541</v>
      </c>
      <c r="CF378" t="str">
        <f>IFERROR(VLOOKUP(CE378,'Rangos amb etnico'!$A$2:$C$6,3,9),"N.D.")</f>
        <v>0,1% - 30%</v>
      </c>
      <c r="CG378" s="256">
        <v>3.0842527847632818E-5</v>
      </c>
      <c r="CH378" s="232">
        <v>0</v>
      </c>
      <c r="CI378" s="311">
        <f t="shared" si="157"/>
        <v>0</v>
      </c>
      <c r="CJ378" s="232">
        <f>IFERROR(VLOOKUP(CI378,'Rangos amb etnico'!$A$2:$C$6,3,9),"N.D.")</f>
        <v>0</v>
      </c>
      <c r="CK378" s="311">
        <f t="shared" si="158"/>
        <v>0</v>
      </c>
      <c r="CL378" s="10">
        <v>0</v>
      </c>
      <c r="CM378" s="255">
        <f t="shared" si="159"/>
        <v>0</v>
      </c>
      <c r="CN378" s="232">
        <f>IFERROR(VLOOKUP(CM378,'Rangos amb etnico'!$A$2:$C$6,3,9),"N.D.")</f>
        <v>0</v>
      </c>
      <c r="CO378" s="311">
        <f t="shared" si="160"/>
        <v>0</v>
      </c>
      <c r="CP378">
        <v>0.9332905539041576</v>
      </c>
      <c r="CQ378" t="s">
        <v>2864</v>
      </c>
      <c r="CR378">
        <f t="shared" si="151"/>
        <v>3</v>
      </c>
      <c r="CS378" t="str">
        <f t="shared" si="161"/>
        <v>Candidato</v>
      </c>
      <c r="CT378">
        <v>0</v>
      </c>
      <c r="CU378">
        <v>0</v>
      </c>
      <c r="CV378" s="25">
        <v>44.920360565185547</v>
      </c>
      <c r="CW378" s="25">
        <v>24.377019882202148</v>
      </c>
      <c r="CX378" s="25">
        <v>44.162899017333977</v>
      </c>
      <c r="CY378" s="25">
        <v>54.097484588623047</v>
      </c>
      <c r="CZ378" s="25">
        <v>41.043399810791023</v>
      </c>
      <c r="DA378" s="25">
        <v>58.684562683105469</v>
      </c>
      <c r="DB378" s="25">
        <v>47.156795501708977</v>
      </c>
      <c r="DC378">
        <v>59</v>
      </c>
      <c r="DD378" s="253" t="s">
        <v>380</v>
      </c>
    </row>
    <row r="379" spans="1:108" hidden="1">
      <c r="A379" s="13">
        <v>68498</v>
      </c>
      <c r="B379" s="13" t="s">
        <v>1214</v>
      </c>
      <c r="C379" s="13" t="s">
        <v>431</v>
      </c>
      <c r="D379" s="13" t="s">
        <v>432</v>
      </c>
      <c r="E379" s="13" t="s">
        <v>1215</v>
      </c>
      <c r="F379" s="14">
        <v>62.447366666666703</v>
      </c>
      <c r="G379" s="13">
        <v>56.8</v>
      </c>
      <c r="H379" s="13">
        <v>35.65</v>
      </c>
      <c r="I379" s="13">
        <v>49.63</v>
      </c>
      <c r="J379" s="14">
        <v>73.470297626046445</v>
      </c>
      <c r="K379" s="14">
        <v>49.17535388813959</v>
      </c>
      <c r="L379" s="14">
        <v>63.481018588817889</v>
      </c>
      <c r="M379" s="14">
        <v>58.746499999999997</v>
      </c>
      <c r="N379" s="14">
        <f t="shared" si="135"/>
        <v>51.131841666666674</v>
      </c>
      <c r="O379" s="14">
        <f t="shared" si="136"/>
        <v>61.218292525750975</v>
      </c>
      <c r="P379" s="14">
        <f t="shared" si="152"/>
        <v>56.175067096208821</v>
      </c>
      <c r="Q379" s="14">
        <v>50.196218884295497</v>
      </c>
      <c r="R379" s="17">
        <f t="shared" si="137"/>
        <v>49.803781115704503</v>
      </c>
      <c r="S379" s="14">
        <f t="shared" si="153"/>
        <v>0.54823403004134053</v>
      </c>
      <c r="T379" s="13">
        <v>0</v>
      </c>
      <c r="U379" s="13">
        <f t="shared" si="154"/>
        <v>30.797083421997268</v>
      </c>
      <c r="V379" s="13">
        <f>IF($T379=1,$AU379,(VLOOKUP(U379,'Cortes naturales'!$A$35:$C$39,3,9)))</f>
        <v>3</v>
      </c>
      <c r="W379" s="13">
        <v>3</v>
      </c>
      <c r="X379" s="14" t="b">
        <f t="shared" si="138"/>
        <v>1</v>
      </c>
      <c r="Y379" s="17">
        <f>IF($T379=1,$AU379,VLOOKUP(U379,'Cortes naturales'!$A$45:$C$49,3,9))</f>
        <v>3</v>
      </c>
      <c r="Z379" s="14">
        <v>57.315446423061474</v>
      </c>
      <c r="AA379" s="14">
        <v>0.55514557703959422</v>
      </c>
      <c r="AB379" s="14">
        <v>31.818416577812407</v>
      </c>
      <c r="AC379" s="13">
        <v>3</v>
      </c>
      <c r="AD379" s="13">
        <f t="shared" si="139"/>
        <v>0</v>
      </c>
      <c r="AE379" s="14">
        <f t="shared" si="140"/>
        <v>-1.1403793268526528</v>
      </c>
      <c r="AF379" s="14">
        <f t="shared" si="141"/>
        <v>-6.9115469982536926E-3</v>
      </c>
      <c r="AG379" s="13">
        <f t="shared" si="142"/>
        <v>-1.0213331558151388</v>
      </c>
      <c r="AH379" s="13">
        <f>IF($T379=1,$AU379,VLOOKUP(U379,'Cortes naturales'!$A$25:$C$29,3,9))</f>
        <v>3</v>
      </c>
      <c r="AI379" s="13" t="b">
        <f t="shared" si="143"/>
        <v>1</v>
      </c>
      <c r="AJ379" s="13">
        <f t="shared" si="144"/>
        <v>0</v>
      </c>
      <c r="AK379" s="28">
        <v>0.81759069605862034</v>
      </c>
      <c r="AL379" s="28">
        <v>46.860575735941389</v>
      </c>
      <c r="AM379" s="28">
        <v>0.41555039491188966</v>
      </c>
      <c r="AN379" s="13">
        <v>3</v>
      </c>
      <c r="AO379" s="33">
        <f t="shared" si="145"/>
        <v>0</v>
      </c>
      <c r="AP379" s="13">
        <f t="shared" si="155"/>
        <v>41.555039491188964</v>
      </c>
      <c r="AQ379" s="13">
        <f>IFERROR(VLOOKUP(U379,'Cortes naturales'!$E$15:$G$19,3,9),U379)</f>
        <v>4</v>
      </c>
      <c r="AR379" s="28">
        <f t="shared" si="146"/>
        <v>-0.26935666601727981</v>
      </c>
      <c r="AS379" s="13" t="b">
        <f t="shared" si="147"/>
        <v>0</v>
      </c>
      <c r="AT379" s="13">
        <f t="shared" si="156"/>
        <v>0</v>
      </c>
      <c r="AU379" s="13">
        <v>3</v>
      </c>
      <c r="AV379">
        <f t="shared" si="148"/>
        <v>0</v>
      </c>
      <c r="AW379" s="13">
        <v>0</v>
      </c>
      <c r="AX379" s="13">
        <v>0</v>
      </c>
      <c r="AY379" s="13">
        <v>0</v>
      </c>
      <c r="AZ379" s="13">
        <v>0</v>
      </c>
      <c r="BA379">
        <v>0</v>
      </c>
      <c r="BB379" t="s">
        <v>2840</v>
      </c>
      <c r="BC379">
        <v>6</v>
      </c>
      <c r="BD379" t="s">
        <v>2919</v>
      </c>
      <c r="BE379">
        <v>0</v>
      </c>
      <c r="BF379" s="232" t="s">
        <v>2846</v>
      </c>
      <c r="BG379" s="232" t="s">
        <v>2845</v>
      </c>
      <c r="BH379" s="253">
        <v>38.6</v>
      </c>
      <c r="BI379" s="253">
        <v>12.232752920432004</v>
      </c>
      <c r="BJ379" s="25">
        <v>0</v>
      </c>
      <c r="BK379" t="s">
        <v>381</v>
      </c>
      <c r="BL379">
        <v>0</v>
      </c>
      <c r="BM379" t="s">
        <v>377</v>
      </c>
      <c r="BN379" s="322">
        <v>11748.966920000001</v>
      </c>
      <c r="BO379" s="322">
        <v>881.40621099999998</v>
      </c>
      <c r="BP379" s="10">
        <v>6494</v>
      </c>
      <c r="BQ379" s="254">
        <f t="shared" si="149"/>
        <v>1.8092034062211273</v>
      </c>
      <c r="BR379" s="254">
        <f t="shared" si="150"/>
        <v>0.13572624129966121</v>
      </c>
      <c r="BS379" s="25">
        <v>48.413117832472672</v>
      </c>
      <c r="BT379" s="25">
        <v>85.465603704958426</v>
      </c>
      <c r="BU379" s="25">
        <v>49.452920293565427</v>
      </c>
      <c r="BV379" s="25">
        <v>94.802156846714368</v>
      </c>
      <c r="BW379" s="25">
        <v>59.773036942552267</v>
      </c>
      <c r="BX379" s="25">
        <v>69.533449669427725</v>
      </c>
      <c r="BY379" s="25">
        <v>59.547420377631667</v>
      </c>
      <c r="BZ379">
        <v>75</v>
      </c>
      <c r="CA379">
        <v>0</v>
      </c>
      <c r="CB379">
        <v>7</v>
      </c>
      <c r="CC379">
        <v>7506.8795639999998</v>
      </c>
      <c r="CD379" s="10">
        <v>2862.0286500000002</v>
      </c>
      <c r="CE379" s="255">
        <v>0.38125410506452617</v>
      </c>
      <c r="CF379" t="str">
        <f>IFERROR(VLOOKUP(CE379,'Rangos amb etnico'!$A$2:$C$6,3,9),"N.D.")</f>
        <v>31% - 50%</v>
      </c>
      <c r="CG379" s="256">
        <v>8.3267202318381125E-5</v>
      </c>
      <c r="CH379" s="232">
        <v>0</v>
      </c>
      <c r="CI379" s="311">
        <f t="shared" si="157"/>
        <v>0</v>
      </c>
      <c r="CJ379" s="232">
        <f>IFERROR(VLOOKUP(CI379,'Rangos amb etnico'!$A$2:$C$6,3,9),"N.D.")</f>
        <v>0</v>
      </c>
      <c r="CK379" s="311">
        <f t="shared" si="158"/>
        <v>0</v>
      </c>
      <c r="CL379" s="10">
        <v>0</v>
      </c>
      <c r="CM379" s="255">
        <f t="shared" si="159"/>
        <v>0</v>
      </c>
      <c r="CN379" s="232">
        <f>IFERROR(VLOOKUP(CM379,'Rangos amb etnico'!$A$2:$C$6,3,9),"N.D.")</f>
        <v>0</v>
      </c>
      <c r="CO379" s="311">
        <f t="shared" si="160"/>
        <v>0</v>
      </c>
      <c r="CP379">
        <v>0.95542472905490483</v>
      </c>
      <c r="CQ379" t="s">
        <v>2864</v>
      </c>
      <c r="CR379">
        <f t="shared" si="151"/>
        <v>1</v>
      </c>
      <c r="CS379" t="str">
        <f t="shared" si="161"/>
        <v>No es Candidato</v>
      </c>
      <c r="CT379">
        <v>0</v>
      </c>
      <c r="CU379">
        <v>0</v>
      </c>
      <c r="CV379" s="25">
        <v>55.78955078125</v>
      </c>
      <c r="CW379" s="25">
        <v>24.340316772460941</v>
      </c>
      <c r="CX379" s="25">
        <v>52.663169860839837</v>
      </c>
      <c r="CY379" s="25">
        <v>81.056098937988281</v>
      </c>
      <c r="CZ379" s="25">
        <v>30.570901870727539</v>
      </c>
      <c r="DA379" s="25">
        <v>81.228744506835938</v>
      </c>
      <c r="DB379" s="25">
        <v>64.878074645996094</v>
      </c>
      <c r="DC379">
        <v>41</v>
      </c>
      <c r="DD379" s="253" t="s">
        <v>380</v>
      </c>
    </row>
    <row r="380" spans="1:108" hidden="1">
      <c r="A380" s="13">
        <v>13468</v>
      </c>
      <c r="B380" s="13" t="s">
        <v>1216</v>
      </c>
      <c r="C380" s="13" t="s">
        <v>480</v>
      </c>
      <c r="D380" s="13" t="s">
        <v>481</v>
      </c>
      <c r="E380" s="13" t="s">
        <v>1217</v>
      </c>
      <c r="F380" s="14">
        <v>58.300766666666703</v>
      </c>
      <c r="G380" s="13">
        <v>35.58</v>
      </c>
      <c r="H380" s="13">
        <v>41.92</v>
      </c>
      <c r="I380" s="13">
        <v>32.57</v>
      </c>
      <c r="J380" s="14">
        <v>21.026624090858725</v>
      </c>
      <c r="K380" s="14">
        <v>42.302000736036902</v>
      </c>
      <c r="L380" s="14">
        <v>44.103486311091132</v>
      </c>
      <c r="M380" s="14">
        <v>42.077300000000001</v>
      </c>
      <c r="N380" s="14">
        <f t="shared" si="135"/>
        <v>42.092691666666674</v>
      </c>
      <c r="O380" s="14">
        <f t="shared" si="136"/>
        <v>37.377352784496694</v>
      </c>
      <c r="P380" s="14">
        <f t="shared" si="152"/>
        <v>39.735022225581687</v>
      </c>
      <c r="Q380" s="14">
        <v>50.739668728968134</v>
      </c>
      <c r="R380" s="17">
        <f t="shared" si="137"/>
        <v>49.260331271031866</v>
      </c>
      <c r="S380" s="14">
        <f t="shared" si="153"/>
        <v>0.54334298143928683</v>
      </c>
      <c r="T380" s="13">
        <v>0</v>
      </c>
      <c r="U380" s="13">
        <f t="shared" si="154"/>
        <v>21.589745443603881</v>
      </c>
      <c r="V380" s="13">
        <f>IF($T380=1,$AU380,(VLOOKUP(U380,'Cortes naturales'!$A$35:$C$39,3,9)))</f>
        <v>5</v>
      </c>
      <c r="W380" s="13">
        <v>5</v>
      </c>
      <c r="X380" s="14" t="b">
        <f t="shared" si="138"/>
        <v>1</v>
      </c>
      <c r="Y380" s="17">
        <f>IF($T380=1,$AU380,VLOOKUP(U380,'Cortes naturales'!$A$45:$C$49,3,9))</f>
        <v>4</v>
      </c>
      <c r="Z380" s="14">
        <v>43.016222961274231</v>
      </c>
      <c r="AA380" s="14">
        <v>0.55279613143895212</v>
      </c>
      <c r="AB380" s="14">
        <v>23.779201642107822</v>
      </c>
      <c r="AC380" s="13">
        <v>4</v>
      </c>
      <c r="AD380" s="13">
        <f t="shared" si="139"/>
        <v>0</v>
      </c>
      <c r="AE380" s="14">
        <f t="shared" si="140"/>
        <v>-3.2812007356925434</v>
      </c>
      <c r="AF380" s="14">
        <f t="shared" si="141"/>
        <v>-9.453149999665289E-3</v>
      </c>
      <c r="AG380" s="13">
        <f t="shared" si="142"/>
        <v>-2.1894561985039402</v>
      </c>
      <c r="AH380" s="13">
        <f>IF($T380=1,$AU380,VLOOKUP(U380,'Cortes naturales'!$A$25:$C$29,3,9))</f>
        <v>4</v>
      </c>
      <c r="AI380" s="13" t="b">
        <f t="shared" si="143"/>
        <v>1</v>
      </c>
      <c r="AJ380" s="13">
        <f t="shared" si="144"/>
        <v>0</v>
      </c>
      <c r="AK380" s="28">
        <v>0.81759069605862034</v>
      </c>
      <c r="AL380" s="28">
        <v>35.169663672721008</v>
      </c>
      <c r="AM380" s="28">
        <v>0.26930940838390788</v>
      </c>
      <c r="AN380" s="13">
        <v>4</v>
      </c>
      <c r="AO380" s="33">
        <f t="shared" si="145"/>
        <v>0</v>
      </c>
      <c r="AP380" s="13">
        <f t="shared" si="155"/>
        <v>26.930940838390789</v>
      </c>
      <c r="AQ380" s="13">
        <f>IFERROR(VLOOKUP(U380,'Cortes naturales'!$E$15:$G$19,3,9),U380)</f>
        <v>4</v>
      </c>
      <c r="AR380" s="28">
        <f t="shared" si="146"/>
        <v>-0.2742477146193335</v>
      </c>
      <c r="AS380" s="13" t="b">
        <f t="shared" si="147"/>
        <v>1</v>
      </c>
      <c r="AT380" s="13">
        <f t="shared" si="156"/>
        <v>0</v>
      </c>
      <c r="AU380" s="13">
        <v>3</v>
      </c>
      <c r="AV380">
        <f t="shared" si="148"/>
        <v>-1</v>
      </c>
      <c r="AW380" s="13">
        <v>0</v>
      </c>
      <c r="AX380" s="13">
        <v>0</v>
      </c>
      <c r="AY380" s="13">
        <v>1</v>
      </c>
      <c r="AZ380" s="13">
        <v>0</v>
      </c>
      <c r="BA380">
        <v>0</v>
      </c>
      <c r="BB380" t="s">
        <v>2839</v>
      </c>
      <c r="BC380">
        <v>6</v>
      </c>
      <c r="BD380" t="s">
        <v>2919</v>
      </c>
      <c r="BE380">
        <v>0</v>
      </c>
      <c r="BF380" s="232" t="s">
        <v>2846</v>
      </c>
      <c r="BG380" s="232" t="s">
        <v>2845</v>
      </c>
      <c r="BH380" s="253">
        <v>49.1</v>
      </c>
      <c r="BI380" s="253">
        <v>29.197620866023282</v>
      </c>
      <c r="BJ380" s="25">
        <v>12.053571428571429</v>
      </c>
      <c r="BK380" t="s">
        <v>377</v>
      </c>
      <c r="BL380">
        <v>0.77187991627377683</v>
      </c>
      <c r="BM380" t="s">
        <v>383</v>
      </c>
      <c r="BN380" s="322">
        <v>93122.692464000007</v>
      </c>
      <c r="BO380" s="322">
        <v>6661.9787239999996</v>
      </c>
      <c r="BP380" s="10">
        <v>48552</v>
      </c>
      <c r="BQ380" s="254">
        <f t="shared" si="149"/>
        <v>1.9179991033119133</v>
      </c>
      <c r="BR380" s="254">
        <f t="shared" si="150"/>
        <v>0.13721327080243861</v>
      </c>
      <c r="BS380" s="25">
        <v>67.552104894200212</v>
      </c>
      <c r="BT380" s="25">
        <v>97.115966153846159</v>
      </c>
      <c r="BU380" s="25">
        <v>44.657184242588301</v>
      </c>
      <c r="BV380" s="25">
        <v>94.893041785173637</v>
      </c>
      <c r="BW380" s="25">
        <v>24.641698118455999</v>
      </c>
      <c r="BX380" s="25">
        <v>76.054574268952081</v>
      </c>
      <c r="BY380" s="25">
        <v>24.81131369306058</v>
      </c>
      <c r="BZ380">
        <v>60</v>
      </c>
      <c r="CA380">
        <v>1</v>
      </c>
      <c r="CB380">
        <v>5</v>
      </c>
      <c r="CC380">
        <v>65157.663724999999</v>
      </c>
      <c r="CD380" s="10">
        <v>1600.135775</v>
      </c>
      <c r="CE380" s="255">
        <v>2.4557905908864752E-2</v>
      </c>
      <c r="CF380" t="str">
        <f>IFERROR(VLOOKUP(CE380,'Rangos amb etnico'!$A$2:$C$6,3,9),"N.D.")</f>
        <v>0,1% - 30%</v>
      </c>
      <c r="CG380" s="256">
        <v>4.6553981670939795E-5</v>
      </c>
      <c r="CH380" s="232">
        <v>0</v>
      </c>
      <c r="CI380" s="311">
        <f t="shared" si="157"/>
        <v>0</v>
      </c>
      <c r="CJ380" s="232">
        <f>IFERROR(VLOOKUP(CI380,'Rangos amb etnico'!$A$2:$C$6,3,9),"N.D.")</f>
        <v>0</v>
      </c>
      <c r="CK380" s="311">
        <f t="shared" si="158"/>
        <v>0</v>
      </c>
      <c r="CL380" s="10">
        <v>0</v>
      </c>
      <c r="CM380" s="255">
        <f t="shared" si="159"/>
        <v>0</v>
      </c>
      <c r="CN380" s="232">
        <f>IFERROR(VLOOKUP(CM380,'Rangos amb etnico'!$A$2:$C$6,3,9),"N.D.")</f>
        <v>0</v>
      </c>
      <c r="CO380" s="311">
        <f t="shared" si="160"/>
        <v>0</v>
      </c>
      <c r="CP380">
        <v>0.80968017743479215</v>
      </c>
      <c r="CQ380" t="s">
        <v>2865</v>
      </c>
      <c r="CR380">
        <f t="shared" si="151"/>
        <v>1</v>
      </c>
      <c r="CS380" t="str">
        <f t="shared" si="161"/>
        <v>No es Candidato</v>
      </c>
      <c r="CT380">
        <v>0</v>
      </c>
      <c r="CU380">
        <v>0</v>
      </c>
      <c r="CV380" s="25">
        <v>44.781463623046882</v>
      </c>
      <c r="CW380" s="25">
        <v>28.409210205078121</v>
      </c>
      <c r="CX380" s="25">
        <v>48.839885711669922</v>
      </c>
      <c r="CY380" s="25">
        <v>46.283885955810547</v>
      </c>
      <c r="CZ380" s="25">
        <v>9.7748079299926758</v>
      </c>
      <c r="DA380" s="25">
        <v>82.713890075683594</v>
      </c>
      <c r="DB380" s="25">
        <v>52.667106628417969</v>
      </c>
      <c r="DC380">
        <v>714</v>
      </c>
      <c r="DD380" s="253" t="s">
        <v>380</v>
      </c>
    </row>
    <row r="381" spans="1:108">
      <c r="A381" s="13">
        <v>5642</v>
      </c>
      <c r="B381" s="13" t="s">
        <v>1218</v>
      </c>
      <c r="C381" s="13" t="s">
        <v>435</v>
      </c>
      <c r="D381" s="13" t="s">
        <v>436</v>
      </c>
      <c r="E381" s="13" t="s">
        <v>1219</v>
      </c>
      <c r="F381" s="14">
        <v>54.641066666666703</v>
      </c>
      <c r="G381" s="13">
        <v>50.51</v>
      </c>
      <c r="H381" s="13">
        <v>52.25</v>
      </c>
      <c r="I381" s="13">
        <v>51.72</v>
      </c>
      <c r="J381" s="14">
        <v>46.697722736078148</v>
      </c>
      <c r="K381" s="14">
        <v>47.847047101570162</v>
      </c>
      <c r="L381" s="14">
        <v>58.975416623104259</v>
      </c>
      <c r="M381" s="14">
        <v>51.029200000000003</v>
      </c>
      <c r="N381" s="14">
        <f t="shared" si="135"/>
        <v>52.280266666666677</v>
      </c>
      <c r="O381" s="14">
        <f t="shared" si="136"/>
        <v>51.137346615188143</v>
      </c>
      <c r="P381" s="14">
        <f t="shared" si="152"/>
        <v>51.708806640927406</v>
      </c>
      <c r="Q381" s="14">
        <v>50.138185663387389</v>
      </c>
      <c r="R381" s="17">
        <f t="shared" si="137"/>
        <v>49.861814336612611</v>
      </c>
      <c r="S381" s="14">
        <f t="shared" si="153"/>
        <v>0.54875632902951355</v>
      </c>
      <c r="T381" s="13">
        <v>0</v>
      </c>
      <c r="U381" s="13">
        <f t="shared" si="154"/>
        <v>28.375534910772256</v>
      </c>
      <c r="V381" s="13">
        <f>IF($T381=1,$AU381,(VLOOKUP(U381,'Cortes naturales'!$A$35:$C$39,3,9)))</f>
        <v>4</v>
      </c>
      <c r="W381" s="13">
        <v>4</v>
      </c>
      <c r="X381" s="14" t="b">
        <f t="shared" si="138"/>
        <v>1</v>
      </c>
      <c r="Y381" s="17">
        <f>IF($T381=1,$AU381,VLOOKUP(U381,'Cortes naturales'!$A$45:$C$49,3,9))</f>
        <v>3</v>
      </c>
      <c r="Z381" s="14">
        <v>51.484559424930822</v>
      </c>
      <c r="AA381" s="14">
        <v>0.5525713491412978</v>
      </c>
      <c r="AB381" s="14">
        <v>28.448892461379344</v>
      </c>
      <c r="AC381" s="13">
        <v>3</v>
      </c>
      <c r="AD381" s="13">
        <f t="shared" si="139"/>
        <v>0</v>
      </c>
      <c r="AE381" s="14">
        <f t="shared" si="140"/>
        <v>0.22424721599658426</v>
      </c>
      <c r="AF381" s="14">
        <f t="shared" si="141"/>
        <v>-3.8150201117842508E-3</v>
      </c>
      <c r="AG381" s="13">
        <f t="shared" si="142"/>
        <v>-7.3357550607088484E-2</v>
      </c>
      <c r="AH381" s="13">
        <f>IF($T381=1,$AU381,VLOOKUP(U381,'Cortes naturales'!$A$25:$C$29,3,9))</f>
        <v>3</v>
      </c>
      <c r="AI381" s="13" t="b">
        <f t="shared" si="143"/>
        <v>1</v>
      </c>
      <c r="AJ381" s="13">
        <f t="shared" si="144"/>
        <v>0</v>
      </c>
      <c r="AK381" s="28">
        <v>0.81759069605862034</v>
      </c>
      <c r="AL381" s="28">
        <v>42.093296776500594</v>
      </c>
      <c r="AM381" s="28">
        <v>0.35591676031497788</v>
      </c>
      <c r="AN381" s="13">
        <v>3</v>
      </c>
      <c r="AO381" s="33">
        <f t="shared" si="145"/>
        <v>0</v>
      </c>
      <c r="AP381" s="13">
        <f t="shared" si="155"/>
        <v>35.591676031497791</v>
      </c>
      <c r="AQ381" s="13">
        <f>IFERROR(VLOOKUP(U381,'Cortes naturales'!$E$15:$G$19,3,9),U381)</f>
        <v>4</v>
      </c>
      <c r="AR381" s="28">
        <f t="shared" si="146"/>
        <v>-0.26883436702910679</v>
      </c>
      <c r="AS381" s="13" t="b">
        <f t="shared" si="147"/>
        <v>0</v>
      </c>
      <c r="AT381" s="13">
        <f t="shared" si="156"/>
        <v>0</v>
      </c>
      <c r="AU381" s="13">
        <v>3</v>
      </c>
      <c r="AV381">
        <f t="shared" si="148"/>
        <v>0</v>
      </c>
      <c r="AW381" s="13">
        <v>0</v>
      </c>
      <c r="AX381" s="13">
        <v>0</v>
      </c>
      <c r="AY381" s="13">
        <v>0</v>
      </c>
      <c r="AZ381" s="13">
        <v>0</v>
      </c>
      <c r="BA381">
        <v>1</v>
      </c>
      <c r="BB381" t="s">
        <v>2839</v>
      </c>
      <c r="BC381">
        <v>6</v>
      </c>
      <c r="BD381" t="s">
        <v>2919</v>
      </c>
      <c r="BE381">
        <v>1</v>
      </c>
      <c r="BF381" s="232" t="s">
        <v>2846</v>
      </c>
      <c r="BG381" s="232" t="s">
        <v>2845</v>
      </c>
      <c r="BH381" s="253">
        <v>49.7</v>
      </c>
      <c r="BI381" s="253">
        <v>16.593553309174137</v>
      </c>
      <c r="BJ381" s="25">
        <v>13.517479976149065</v>
      </c>
      <c r="BK381" t="s">
        <v>377</v>
      </c>
      <c r="BL381">
        <v>6.7305415155513648</v>
      </c>
      <c r="BM381" t="s">
        <v>379</v>
      </c>
      <c r="BN381" s="322">
        <v>41567.112218000002</v>
      </c>
      <c r="BO381" s="322">
        <v>5229.151406</v>
      </c>
      <c r="BP381" s="10">
        <v>18915</v>
      </c>
      <c r="BQ381" s="254">
        <f t="shared" si="149"/>
        <v>2.1975740004229447</v>
      </c>
      <c r="BR381" s="254">
        <f t="shared" si="150"/>
        <v>0.27645526862278613</v>
      </c>
      <c r="BS381" s="25">
        <v>54.275477968597308</v>
      </c>
      <c r="BT381" s="25">
        <v>86.050439741827475</v>
      </c>
      <c r="BU381" s="25">
        <v>48.548333333333339</v>
      </c>
      <c r="BV381" s="25">
        <v>79.640443492465906</v>
      </c>
      <c r="BW381" s="25">
        <v>64.015321991618706</v>
      </c>
      <c r="BX381" s="25">
        <v>67.128673634056014</v>
      </c>
      <c r="BY381" s="25">
        <v>64.192836697026635</v>
      </c>
      <c r="BZ381">
        <v>83</v>
      </c>
      <c r="CA381">
        <v>0</v>
      </c>
      <c r="CB381">
        <v>7</v>
      </c>
      <c r="CC381">
        <v>28823.919449000001</v>
      </c>
      <c r="CD381" s="10">
        <v>6844.9696800000002</v>
      </c>
      <c r="CE381" s="255">
        <v>0.23747532642502842</v>
      </c>
      <c r="CF381" t="str">
        <f>IFERROR(VLOOKUP(CE381,'Rangos amb etnico'!$A$2:$C$6,3,9),"N.D.")</f>
        <v>0,1% - 30%</v>
      </c>
      <c r="CG381" s="256">
        <v>1.9914597123538386E-4</v>
      </c>
      <c r="CH381" s="232">
        <v>0</v>
      </c>
      <c r="CI381" s="311">
        <f t="shared" si="157"/>
        <v>0</v>
      </c>
      <c r="CJ381" s="232">
        <f>IFERROR(VLOOKUP(CI381,'Rangos amb etnico'!$A$2:$C$6,3,9),"N.D.")</f>
        <v>0</v>
      </c>
      <c r="CK381" s="311">
        <f t="shared" si="158"/>
        <v>0</v>
      </c>
      <c r="CL381" s="10">
        <v>0</v>
      </c>
      <c r="CM381" s="255">
        <f t="shared" si="159"/>
        <v>0</v>
      </c>
      <c r="CN381" s="232">
        <f>IFERROR(VLOOKUP(CM381,'Rangos amb etnico'!$A$2:$C$6,3,9),"N.D.")</f>
        <v>0</v>
      </c>
      <c r="CO381" s="311">
        <f t="shared" si="160"/>
        <v>0</v>
      </c>
      <c r="CP381">
        <v>0.91778407401691442</v>
      </c>
      <c r="CQ381" t="s">
        <v>2864</v>
      </c>
      <c r="CR381">
        <f t="shared" si="151"/>
        <v>2</v>
      </c>
      <c r="CS381" t="str">
        <f t="shared" si="161"/>
        <v>No es Candidato</v>
      </c>
      <c r="CT381">
        <v>0</v>
      </c>
      <c r="CU381">
        <v>0</v>
      </c>
      <c r="CV381" s="25">
        <v>47.50567626953125</v>
      </c>
      <c r="CW381" s="25">
        <v>28.045969009399411</v>
      </c>
      <c r="CX381" s="25">
        <v>47.201580047607422</v>
      </c>
      <c r="CY381" s="25">
        <v>51.152416229248047</v>
      </c>
      <c r="CZ381" s="25">
        <v>40.031791687011719</v>
      </c>
      <c r="DA381" s="25">
        <v>64.659095764160156</v>
      </c>
      <c r="DB381" s="25">
        <v>53.943210601806641</v>
      </c>
      <c r="DC381">
        <v>380</v>
      </c>
      <c r="DD381" s="253" t="s">
        <v>380</v>
      </c>
    </row>
    <row r="382" spans="1:108">
      <c r="A382" s="13">
        <v>5364</v>
      </c>
      <c r="B382" s="13" t="s">
        <v>1220</v>
      </c>
      <c r="C382" s="13" t="s">
        <v>435</v>
      </c>
      <c r="D382" s="13" t="s">
        <v>436</v>
      </c>
      <c r="E382" s="13" t="s">
        <v>1221</v>
      </c>
      <c r="F382" s="14">
        <v>56.977566666666696</v>
      </c>
      <c r="G382" s="13">
        <v>74.06</v>
      </c>
      <c r="H382" s="13">
        <v>72.2</v>
      </c>
      <c r="I382" s="13">
        <v>70.55</v>
      </c>
      <c r="J382" s="14">
        <v>47.193565133689347</v>
      </c>
      <c r="K382" s="14">
        <v>56.35381456504718</v>
      </c>
      <c r="L382" s="14">
        <v>64.712339287733798</v>
      </c>
      <c r="M382" s="14">
        <v>47.043500000000002</v>
      </c>
      <c r="N382" s="14">
        <f t="shared" si="135"/>
        <v>68.446891666666673</v>
      </c>
      <c r="O382" s="14">
        <f t="shared" si="136"/>
        <v>53.825804746617578</v>
      </c>
      <c r="P382" s="14">
        <f t="shared" si="152"/>
        <v>61.136348206642126</v>
      </c>
      <c r="Q382" s="14">
        <v>50.32226586865162</v>
      </c>
      <c r="R382" s="17">
        <f t="shared" si="137"/>
        <v>49.67773413134838</v>
      </c>
      <c r="S382" s="14">
        <f t="shared" si="153"/>
        <v>0.54709960718213546</v>
      </c>
      <c r="T382" s="13">
        <v>0</v>
      </c>
      <c r="U382" s="13">
        <f t="shared" si="154"/>
        <v>33.447672088404161</v>
      </c>
      <c r="V382" s="13">
        <f>IF($T382=1,$AU382,(VLOOKUP(U382,'Cortes naturales'!$A$35:$C$39,3,9)))</f>
        <v>3</v>
      </c>
      <c r="W382" s="13">
        <v>3</v>
      </c>
      <c r="X382" s="14" t="b">
        <f t="shared" si="138"/>
        <v>1</v>
      </c>
      <c r="Y382" s="17">
        <f>IF($T382=1,$AU382,VLOOKUP(U382,'Cortes naturales'!$A$45:$C$49,3,9))</f>
        <v>3</v>
      </c>
      <c r="Z382" s="14">
        <v>59.648059512996305</v>
      </c>
      <c r="AA382" s="14">
        <v>0.55249571950008214</v>
      </c>
      <c r="AB382" s="14">
        <v>32.955297557416614</v>
      </c>
      <c r="AC382" s="13">
        <v>3</v>
      </c>
      <c r="AD382" s="13">
        <f t="shared" si="139"/>
        <v>0</v>
      </c>
      <c r="AE382" s="14">
        <f t="shared" si="140"/>
        <v>1.4882886936458206</v>
      </c>
      <c r="AF382" s="14">
        <f t="shared" si="141"/>
        <v>-5.3961123179466775E-3</v>
      </c>
      <c r="AG382" s="13">
        <f t="shared" si="142"/>
        <v>0.49237453098754713</v>
      </c>
      <c r="AH382" s="13">
        <f>IF($T382=1,$AU382,VLOOKUP(U382,'Cortes naturales'!$A$25:$C$29,3,9))</f>
        <v>3</v>
      </c>
      <c r="AI382" s="13" t="b">
        <f t="shared" si="143"/>
        <v>1</v>
      </c>
      <c r="AJ382" s="13">
        <f t="shared" si="144"/>
        <v>0</v>
      </c>
      <c r="AK382" s="28">
        <v>0.81759069605862034</v>
      </c>
      <c r="AL382" s="28">
        <v>48.767698495776656</v>
      </c>
      <c r="AM382" s="28">
        <v>0.43940649034055129</v>
      </c>
      <c r="AN382" s="13">
        <v>3</v>
      </c>
      <c r="AO382" s="33">
        <f t="shared" si="145"/>
        <v>0</v>
      </c>
      <c r="AP382" s="13">
        <f t="shared" si="155"/>
        <v>43.940649034055127</v>
      </c>
      <c r="AQ382" s="13">
        <f>IFERROR(VLOOKUP(U382,'Cortes naturales'!$E$15:$G$19,3,9),U382)</f>
        <v>4</v>
      </c>
      <c r="AR382" s="28">
        <f t="shared" si="146"/>
        <v>-0.27049108887648488</v>
      </c>
      <c r="AS382" s="13" t="b">
        <f t="shared" si="147"/>
        <v>0</v>
      </c>
      <c r="AT382" s="13">
        <f t="shared" si="156"/>
        <v>0</v>
      </c>
      <c r="AU382" s="13">
        <v>3</v>
      </c>
      <c r="AV382">
        <f t="shared" si="148"/>
        <v>0</v>
      </c>
      <c r="AW382" s="13">
        <v>0</v>
      </c>
      <c r="AX382" s="13">
        <v>0</v>
      </c>
      <c r="AY382" s="13">
        <v>0</v>
      </c>
      <c r="AZ382" s="13">
        <v>0</v>
      </c>
      <c r="BA382">
        <v>0</v>
      </c>
      <c r="BB382" t="s">
        <v>2839</v>
      </c>
      <c r="BC382">
        <v>6</v>
      </c>
      <c r="BD382" t="s">
        <v>2919</v>
      </c>
      <c r="BE382">
        <v>1</v>
      </c>
      <c r="BF382" s="232" t="s">
        <v>2846</v>
      </c>
      <c r="BG382" s="232" t="s">
        <v>2845</v>
      </c>
      <c r="BH382" s="253">
        <v>28.5</v>
      </c>
      <c r="BI382" s="253">
        <v>9.7896379989593392</v>
      </c>
      <c r="BJ382" s="25">
        <v>16.218812272455921</v>
      </c>
      <c r="BK382" t="s">
        <v>379</v>
      </c>
      <c r="BL382">
        <v>7.8411114245485729</v>
      </c>
      <c r="BM382" t="s">
        <v>379</v>
      </c>
      <c r="BN382" s="322">
        <v>35052.930228999998</v>
      </c>
      <c r="BO382" s="322">
        <v>8241.2769279999993</v>
      </c>
      <c r="BP382" s="10">
        <v>15350</v>
      </c>
      <c r="BQ382" s="254">
        <f t="shared" si="149"/>
        <v>2.2835785165472311</v>
      </c>
      <c r="BR382" s="254">
        <f t="shared" si="150"/>
        <v>0.53689100508143317</v>
      </c>
      <c r="BS382" s="25">
        <v>64.643361979900433</v>
      </c>
      <c r="BT382" s="25">
        <v>96.169381107491859</v>
      </c>
      <c r="BU382" s="25">
        <v>54.786666666666669</v>
      </c>
      <c r="BV382" s="25">
        <v>90.894525115722089</v>
      </c>
      <c r="BW382" s="25">
        <v>63.918810511444221</v>
      </c>
      <c r="BX382" s="25">
        <v>76.623483717445254</v>
      </c>
      <c r="BY382" s="25">
        <v>64.984613671882173</v>
      </c>
      <c r="BZ382">
        <v>65</v>
      </c>
      <c r="CA382">
        <v>0</v>
      </c>
      <c r="CB382">
        <v>7</v>
      </c>
      <c r="CC382">
        <v>20114.093013000002</v>
      </c>
      <c r="CD382" s="10">
        <v>12984.214609000001</v>
      </c>
      <c r="CE382" s="255">
        <v>0.64552821748453348</v>
      </c>
      <c r="CF382" t="str">
        <f>IFERROR(VLOOKUP(CE382,'Rangos amb etnico'!$A$2:$C$6,3,9),"N.D.")</f>
        <v>51% - 70%</v>
      </c>
      <c r="CG382" s="256">
        <v>3.777597491181239E-4</v>
      </c>
      <c r="CH382" s="232">
        <v>316.21870000000001</v>
      </c>
      <c r="CI382" s="311">
        <f t="shared" si="157"/>
        <v>1.572125075665225E-2</v>
      </c>
      <c r="CJ382" s="232" t="str">
        <f>IFERROR(VLOOKUP(CI382,'Rangos amb etnico'!$A$2:$C$6,3,9),"N.D.")</f>
        <v>0,1% - 30%</v>
      </c>
      <c r="CK382" s="311">
        <f t="shared" si="158"/>
        <v>1.2555952737225324E-5</v>
      </c>
      <c r="CL382" s="10">
        <v>0</v>
      </c>
      <c r="CM382" s="255">
        <f t="shared" si="159"/>
        <v>0</v>
      </c>
      <c r="CN382" s="232">
        <f>IFERROR(VLOOKUP(CM382,'Rangos amb etnico'!$A$2:$C$6,3,9),"N.D.")</f>
        <v>0</v>
      </c>
      <c r="CO382" s="311">
        <f t="shared" si="160"/>
        <v>0</v>
      </c>
      <c r="CP382">
        <v>0.93446645943031315</v>
      </c>
      <c r="CQ382" t="s">
        <v>2864</v>
      </c>
      <c r="CR382">
        <f t="shared" si="151"/>
        <v>3</v>
      </c>
      <c r="CS382" t="str">
        <f t="shared" si="161"/>
        <v>Candidato</v>
      </c>
      <c r="CT382">
        <v>0</v>
      </c>
      <c r="CU382">
        <v>0</v>
      </c>
      <c r="CV382" s="25">
        <v>45.497703552246087</v>
      </c>
      <c r="CW382" s="25">
        <v>22.606246948242191</v>
      </c>
      <c r="CX382" s="25">
        <v>68.662521362304688</v>
      </c>
      <c r="CY382" s="25">
        <v>53.184730529785163</v>
      </c>
      <c r="CZ382" s="25">
        <v>34.023174285888672</v>
      </c>
      <c r="DA382" s="25">
        <v>31.678777694702148</v>
      </c>
      <c r="DB382" s="25">
        <v>62.830776214599609</v>
      </c>
      <c r="DC382">
        <v>1692</v>
      </c>
      <c r="DD382" s="253" t="s">
        <v>380</v>
      </c>
    </row>
    <row r="383" spans="1:108">
      <c r="A383" s="13">
        <v>5240</v>
      </c>
      <c r="B383" s="13" t="s">
        <v>1222</v>
      </c>
      <c r="C383" s="13" t="s">
        <v>435</v>
      </c>
      <c r="D383" s="13" t="s">
        <v>436</v>
      </c>
      <c r="E383" s="13" t="s">
        <v>1223</v>
      </c>
      <c r="F383" s="14">
        <v>82.656000000000006</v>
      </c>
      <c r="G383" s="13">
        <v>70.989999999999995</v>
      </c>
      <c r="H383" s="13">
        <v>28.94</v>
      </c>
      <c r="I383" s="13">
        <v>27.22</v>
      </c>
      <c r="J383" s="14">
        <v>63.884248078770206</v>
      </c>
      <c r="K383" s="14">
        <v>54.324479296877932</v>
      </c>
      <c r="L383" s="14">
        <v>60.585371048144061</v>
      </c>
      <c r="M383" s="14">
        <v>49.530799999999999</v>
      </c>
      <c r="N383" s="14">
        <f t="shared" si="135"/>
        <v>52.451500000000003</v>
      </c>
      <c r="O383" s="14">
        <f t="shared" si="136"/>
        <v>57.081224605948051</v>
      </c>
      <c r="P383" s="14">
        <f t="shared" si="152"/>
        <v>54.766362302974031</v>
      </c>
      <c r="Q383" s="14">
        <v>50.210391787989117</v>
      </c>
      <c r="R383" s="17">
        <f t="shared" si="137"/>
        <v>49.789608212010883</v>
      </c>
      <c r="S383" s="14">
        <f t="shared" si="153"/>
        <v>0.54810647390809797</v>
      </c>
      <c r="T383" s="13">
        <v>0</v>
      </c>
      <c r="U383" s="13">
        <f t="shared" si="154"/>
        <v>30.017797730656476</v>
      </c>
      <c r="V383" s="13">
        <f>IF($T383=1,$AU383,(VLOOKUP(U383,'Cortes naturales'!$A$35:$C$39,3,9)))</f>
        <v>3</v>
      </c>
      <c r="W383" s="13">
        <v>3</v>
      </c>
      <c r="X383" s="14" t="b">
        <f t="shared" si="138"/>
        <v>1</v>
      </c>
      <c r="Y383" s="17">
        <f>IF($T383=1,$AU383,VLOOKUP(U383,'Cortes naturales'!$A$45:$C$49,3,9))</f>
        <v>3</v>
      </c>
      <c r="Z383" s="14">
        <v>61.285951945796789</v>
      </c>
      <c r="AA383" s="14">
        <v>0.55383865827803824</v>
      </c>
      <c r="AB383" s="14">
        <v>33.942529396952423</v>
      </c>
      <c r="AC383" s="13">
        <v>3</v>
      </c>
      <c r="AD383" s="13">
        <f t="shared" si="139"/>
        <v>0</v>
      </c>
      <c r="AE383" s="14">
        <f t="shared" si="140"/>
        <v>-6.5195896428227584</v>
      </c>
      <c r="AF383" s="14">
        <f t="shared" si="141"/>
        <v>-5.7321843699402741E-3</v>
      </c>
      <c r="AG383" s="13">
        <f t="shared" si="142"/>
        <v>-3.9247316662959477</v>
      </c>
      <c r="AH383" s="13">
        <f>IF($T383=1,$AU383,VLOOKUP(U383,'Cortes naturales'!$A$25:$C$29,3,9))</f>
        <v>3</v>
      </c>
      <c r="AI383" s="13" t="b">
        <f t="shared" si="143"/>
        <v>1</v>
      </c>
      <c r="AJ383" s="13">
        <f t="shared" si="144"/>
        <v>0</v>
      </c>
      <c r="AK383" s="28">
        <v>0.81759069605862034</v>
      </c>
      <c r="AL383" s="28">
        <v>50.106824109979158</v>
      </c>
      <c r="AM383" s="28">
        <v>0.45615754020277377</v>
      </c>
      <c r="AN383" s="13">
        <v>3</v>
      </c>
      <c r="AO383" s="33">
        <f t="shared" si="145"/>
        <v>0</v>
      </c>
      <c r="AP383" s="13">
        <f t="shared" si="155"/>
        <v>45.615754020277379</v>
      </c>
      <c r="AQ383" s="13">
        <f>IFERROR(VLOOKUP(U383,'Cortes naturales'!$E$15:$G$19,3,9),U383)</f>
        <v>4</v>
      </c>
      <c r="AR383" s="28">
        <f t="shared" si="146"/>
        <v>-0.26948422215052237</v>
      </c>
      <c r="AS383" s="13" t="b">
        <f t="shared" si="147"/>
        <v>0</v>
      </c>
      <c r="AT383" s="13">
        <f t="shared" si="156"/>
        <v>0</v>
      </c>
      <c r="AU383" s="13">
        <v>3</v>
      </c>
      <c r="AV383">
        <f t="shared" si="148"/>
        <v>0</v>
      </c>
      <c r="AW383" s="13">
        <v>0</v>
      </c>
      <c r="AX383" s="13">
        <v>0</v>
      </c>
      <c r="AY383" s="13">
        <v>0</v>
      </c>
      <c r="AZ383" s="13">
        <v>0</v>
      </c>
      <c r="BA383">
        <v>0</v>
      </c>
      <c r="BB383" t="s">
        <v>2840</v>
      </c>
      <c r="BC383">
        <v>6</v>
      </c>
      <c r="BD383" t="s">
        <v>2919</v>
      </c>
      <c r="BE383">
        <v>1</v>
      </c>
      <c r="BF383" s="232" t="s">
        <v>2846</v>
      </c>
      <c r="BG383" s="232" t="s">
        <v>2845</v>
      </c>
      <c r="BH383" s="253">
        <v>39.1</v>
      </c>
      <c r="BI383" s="253">
        <v>13.891310665504214</v>
      </c>
      <c r="BJ383" s="25">
        <v>28.282736001160973</v>
      </c>
      <c r="BK383" t="s">
        <v>379</v>
      </c>
      <c r="BL383">
        <v>4.5101865854762533</v>
      </c>
      <c r="BM383" t="s">
        <v>383</v>
      </c>
      <c r="BN383" s="322">
        <v>24767.222245000001</v>
      </c>
      <c r="BO383" s="322">
        <v>3555.4893000000002</v>
      </c>
      <c r="BP383" s="10">
        <v>12627</v>
      </c>
      <c r="BQ383" s="254">
        <f t="shared" si="149"/>
        <v>1.9614494531559357</v>
      </c>
      <c r="BR383" s="254">
        <f t="shared" si="150"/>
        <v>0.28157830838679021</v>
      </c>
      <c r="BS383" s="25">
        <v>57.708339531318103</v>
      </c>
      <c r="BT383" s="25">
        <v>79.319776613869749</v>
      </c>
      <c r="BU383" s="25">
        <v>36.915959491932703</v>
      </c>
      <c r="BV383" s="25">
        <v>97.268397381759769</v>
      </c>
      <c r="BW383" s="25">
        <v>59.309530733667721</v>
      </c>
      <c r="BX383" s="25">
        <v>67.80311825472009</v>
      </c>
      <c r="BY383" s="25">
        <v>58.737090723645473</v>
      </c>
      <c r="BZ383">
        <v>90</v>
      </c>
      <c r="CA383">
        <v>0</v>
      </c>
      <c r="CB383">
        <v>7</v>
      </c>
      <c r="CC383">
        <v>23774.737663</v>
      </c>
      <c r="CD383" s="10">
        <v>11588.587288000001</v>
      </c>
      <c r="CE383" s="255">
        <v>0.48743281428652796</v>
      </c>
      <c r="CF383" t="str">
        <f>IFERROR(VLOOKUP(CE383,'Rangos amb etnico'!$A$2:$C$6,3,9),"N.D.")</f>
        <v>31% - 50%</v>
      </c>
      <c r="CG383" s="256">
        <v>3.3715568930245182E-4</v>
      </c>
      <c r="CH383" s="232">
        <v>0</v>
      </c>
      <c r="CI383" s="311">
        <f t="shared" si="157"/>
        <v>0</v>
      </c>
      <c r="CJ383" s="232">
        <f>IFERROR(VLOOKUP(CI383,'Rangos amb etnico'!$A$2:$C$6,3,9),"N.D.")</f>
        <v>0</v>
      </c>
      <c r="CK383" s="311">
        <f t="shared" si="158"/>
        <v>0</v>
      </c>
      <c r="CL383" s="10">
        <v>0</v>
      </c>
      <c r="CM383" s="255">
        <f t="shared" si="159"/>
        <v>0</v>
      </c>
      <c r="CN383" s="232">
        <f>IFERROR(VLOOKUP(CM383,'Rangos amb etnico'!$A$2:$C$6,3,9),"N.D.")</f>
        <v>0</v>
      </c>
      <c r="CO383" s="311">
        <f t="shared" si="160"/>
        <v>0</v>
      </c>
      <c r="CP383">
        <v>0.91057650423769199</v>
      </c>
      <c r="CQ383" t="s">
        <v>2864</v>
      </c>
      <c r="CR383">
        <f t="shared" si="151"/>
        <v>1</v>
      </c>
      <c r="CS383" t="str">
        <f t="shared" si="161"/>
        <v>No es Candidato</v>
      </c>
      <c r="CT383">
        <v>0</v>
      </c>
      <c r="CU383">
        <v>0</v>
      </c>
      <c r="CV383" s="25">
        <v>56.176433563232422</v>
      </c>
      <c r="CW383" s="25">
        <v>36.186847686767578</v>
      </c>
      <c r="CX383" s="25">
        <v>46.282222747802727</v>
      </c>
      <c r="CY383" s="25">
        <v>61.584625244140618</v>
      </c>
      <c r="CZ383" s="25">
        <v>57.563980102539063</v>
      </c>
      <c r="DA383" s="25">
        <v>70.156303405761719</v>
      </c>
      <c r="DB383" s="25">
        <v>65.284622192382813</v>
      </c>
      <c r="DC383">
        <v>149</v>
      </c>
      <c r="DD383" s="253" t="s">
        <v>380</v>
      </c>
    </row>
    <row r="384" spans="1:108" hidden="1">
      <c r="A384" s="13">
        <v>25288</v>
      </c>
      <c r="B384" s="13" t="s">
        <v>1224</v>
      </c>
      <c r="C384" s="13" t="s">
        <v>461</v>
      </c>
      <c r="D384" s="13" t="s">
        <v>462</v>
      </c>
      <c r="E384" s="13" t="s">
        <v>1225</v>
      </c>
      <c r="F384" s="14">
        <v>77.146366666666694</v>
      </c>
      <c r="G384" s="13">
        <v>73.19</v>
      </c>
      <c r="H384" s="13">
        <v>36.83</v>
      </c>
      <c r="I384" s="13">
        <v>65.45</v>
      </c>
      <c r="J384" s="14">
        <v>55.589468438890464</v>
      </c>
      <c r="K384" s="14">
        <v>57.304477082776913</v>
      </c>
      <c r="L384" s="14">
        <v>69.422668108974023</v>
      </c>
      <c r="M384" s="14">
        <v>64.346299999999999</v>
      </c>
      <c r="N384" s="14">
        <f t="shared" si="135"/>
        <v>63.154091666666673</v>
      </c>
      <c r="O384" s="14">
        <f t="shared" si="136"/>
        <v>61.665728407660353</v>
      </c>
      <c r="P384" s="14">
        <f t="shared" si="152"/>
        <v>62.409910037163513</v>
      </c>
      <c r="Q384" s="14">
        <v>52.257771218043622</v>
      </c>
      <c r="R384" s="17">
        <f t="shared" si="137"/>
        <v>47.742228781956378</v>
      </c>
      <c r="S384" s="14">
        <f t="shared" si="153"/>
        <v>0.5296800590376074</v>
      </c>
      <c r="T384" s="13">
        <v>0</v>
      </c>
      <c r="U384" s="13">
        <f t="shared" si="154"/>
        <v>33.057284833016539</v>
      </c>
      <c r="V384" s="13">
        <f>IF($T384=1,$AU384,(VLOOKUP(U384,'Cortes naturales'!$A$35:$C$39,3,9)))</f>
        <v>3</v>
      </c>
      <c r="W384" s="13">
        <v>3</v>
      </c>
      <c r="X384" s="14" t="b">
        <f t="shared" si="138"/>
        <v>1</v>
      </c>
      <c r="Y384" s="17">
        <f>IF($T384=1,$AU384,VLOOKUP(U384,'Cortes naturales'!$A$45:$C$49,3,9))</f>
        <v>3</v>
      </c>
      <c r="Z384" s="14">
        <v>61.571522811767736</v>
      </c>
      <c r="AA384" s="14">
        <v>0.55010478153202724</v>
      </c>
      <c r="AB384" s="14">
        <v>33.870789104961723</v>
      </c>
      <c r="AC384" s="13">
        <v>3</v>
      </c>
      <c r="AD384" s="13">
        <f t="shared" si="139"/>
        <v>0</v>
      </c>
      <c r="AE384" s="14">
        <f t="shared" si="140"/>
        <v>0.83838722539577759</v>
      </c>
      <c r="AF384" s="14">
        <f t="shared" si="141"/>
        <v>-2.0424722494419845E-2</v>
      </c>
      <c r="AG384" s="13">
        <f t="shared" si="142"/>
        <v>-0.8135042719451846</v>
      </c>
      <c r="AH384" s="13">
        <f>IF($T384=1,$AU384,VLOOKUP(U384,'Cortes naturales'!$A$25:$C$29,3,9))</f>
        <v>3</v>
      </c>
      <c r="AI384" s="13" t="b">
        <f t="shared" si="143"/>
        <v>1</v>
      </c>
      <c r="AJ384" s="13">
        <f t="shared" si="144"/>
        <v>0</v>
      </c>
      <c r="AK384" s="28">
        <v>0.81759069605862034</v>
      </c>
      <c r="AL384" s="28">
        <v>50.340304193062401</v>
      </c>
      <c r="AM384" s="28">
        <v>0.45907812993093938</v>
      </c>
      <c r="AN384" s="13">
        <v>3</v>
      </c>
      <c r="AO384" s="33">
        <f t="shared" si="145"/>
        <v>0</v>
      </c>
      <c r="AP384" s="13">
        <f t="shared" si="155"/>
        <v>45.907812993093941</v>
      </c>
      <c r="AQ384" s="13">
        <f>IFERROR(VLOOKUP(U384,'Cortes naturales'!$E$15:$G$19,3,9),U384)</f>
        <v>4</v>
      </c>
      <c r="AR384" s="28">
        <f t="shared" si="146"/>
        <v>-0.28791063702101294</v>
      </c>
      <c r="AS384" s="13" t="b">
        <f t="shared" si="147"/>
        <v>0</v>
      </c>
      <c r="AT384" s="13">
        <f t="shared" si="156"/>
        <v>0</v>
      </c>
      <c r="AU384" s="13">
        <v>2</v>
      </c>
      <c r="AV384">
        <f t="shared" si="148"/>
        <v>-1</v>
      </c>
      <c r="AW384" s="13">
        <v>0</v>
      </c>
      <c r="AX384" s="13">
        <v>0</v>
      </c>
      <c r="AY384" s="13">
        <v>0</v>
      </c>
      <c r="AZ384" s="13">
        <v>0</v>
      </c>
      <c r="BA384">
        <v>0</v>
      </c>
      <c r="BB384" t="s">
        <v>2840</v>
      </c>
      <c r="BC384">
        <v>6</v>
      </c>
      <c r="BD384" t="s">
        <v>2919</v>
      </c>
      <c r="BE384">
        <v>0</v>
      </c>
      <c r="BF384" s="232" t="s">
        <v>2846</v>
      </c>
      <c r="BG384" s="232" t="s">
        <v>2846</v>
      </c>
      <c r="BH384" s="253">
        <v>23.6</v>
      </c>
      <c r="BI384" s="253">
        <v>8.993399339933994</v>
      </c>
      <c r="BJ384" s="25">
        <v>4.8883333333333328</v>
      </c>
      <c r="BK384" t="s">
        <v>381</v>
      </c>
      <c r="BL384">
        <v>0</v>
      </c>
      <c r="BM384" t="s">
        <v>377</v>
      </c>
      <c r="BN384" s="322">
        <v>12963.748666</v>
      </c>
      <c r="BO384" s="322">
        <v>3111.7623859999999</v>
      </c>
      <c r="BP384" s="10">
        <v>4961</v>
      </c>
      <c r="BQ384" s="254">
        <f t="shared" si="149"/>
        <v>2.6131321640798224</v>
      </c>
      <c r="BR384" s="254">
        <f t="shared" si="150"/>
        <v>0.62724498810723639</v>
      </c>
      <c r="BS384" s="25">
        <v>80.333395755305858</v>
      </c>
      <c r="BT384" s="25">
        <v>79.623620901028019</v>
      </c>
      <c r="BU384" s="25">
        <v>54.555000000000007</v>
      </c>
      <c r="BV384" s="25">
        <v>95.041947977359371</v>
      </c>
      <c r="BW384" s="25">
        <v>66.442179288687925</v>
      </c>
      <c r="BX384" s="25">
        <v>77.388491158423307</v>
      </c>
      <c r="BY384" s="25">
        <v>69.89055407949779</v>
      </c>
      <c r="BZ384">
        <v>36</v>
      </c>
      <c r="CA384">
        <v>0</v>
      </c>
      <c r="CB384">
        <v>7</v>
      </c>
      <c r="CC384">
        <v>7734.9106060000004</v>
      </c>
      <c r="CD384" s="10">
        <v>4598.2351509999999</v>
      </c>
      <c r="CE384" s="255">
        <v>0.59447812459954363</v>
      </c>
      <c r="CF384" t="str">
        <f>IFERROR(VLOOKUP(CE384,'Rangos amb etnico'!$A$2:$C$6,3,9),"N.D.")</f>
        <v>51% - 70%</v>
      </c>
      <c r="CG384" s="256">
        <v>1.3377999434974514E-4</v>
      </c>
      <c r="CH384" s="232">
        <v>0</v>
      </c>
      <c r="CI384" s="311">
        <f t="shared" si="157"/>
        <v>0</v>
      </c>
      <c r="CJ384" s="232">
        <f>IFERROR(VLOOKUP(CI384,'Rangos amb etnico'!$A$2:$C$6,3,9),"N.D.")</f>
        <v>0</v>
      </c>
      <c r="CK384" s="311">
        <f t="shared" si="158"/>
        <v>0</v>
      </c>
      <c r="CL384" s="10">
        <v>0</v>
      </c>
      <c r="CM384" s="255">
        <f t="shared" si="159"/>
        <v>0</v>
      </c>
      <c r="CN384" s="232">
        <f>IFERROR(VLOOKUP(CM384,'Rangos amb etnico'!$A$2:$C$6,3,9),"N.D.")</f>
        <v>0</v>
      </c>
      <c r="CO384" s="311">
        <f t="shared" si="160"/>
        <v>0</v>
      </c>
      <c r="CP384">
        <v>0.88939280691366362</v>
      </c>
      <c r="CQ384" t="s">
        <v>2864</v>
      </c>
      <c r="CR384">
        <f t="shared" si="151"/>
        <v>4</v>
      </c>
      <c r="CS384" t="str">
        <f t="shared" si="161"/>
        <v>Candidato</v>
      </c>
      <c r="CT384">
        <v>0</v>
      </c>
      <c r="CU384">
        <v>0</v>
      </c>
      <c r="CV384" s="25">
        <v>50.591655731201172</v>
      </c>
      <c r="CW384" s="25">
        <v>17.59762001037598</v>
      </c>
      <c r="CX384" s="25">
        <v>47.996490478515618</v>
      </c>
      <c r="CY384" s="25">
        <v>70.14642333984375</v>
      </c>
      <c r="CZ384" s="25">
        <v>48.380382537841797</v>
      </c>
      <c r="DA384" s="25">
        <v>51.22412109375</v>
      </c>
      <c r="DB384" s="25">
        <v>68.204902648925781</v>
      </c>
      <c r="DC384">
        <v>7</v>
      </c>
      <c r="DD384" s="253" t="s">
        <v>380</v>
      </c>
    </row>
    <row r="385" spans="1:108" hidden="1">
      <c r="A385" s="13">
        <v>63212</v>
      </c>
      <c r="B385" s="13" t="s">
        <v>1226</v>
      </c>
      <c r="C385" s="13" t="s">
        <v>473</v>
      </c>
      <c r="D385" s="13" t="s">
        <v>474</v>
      </c>
      <c r="E385" s="13" t="s">
        <v>568</v>
      </c>
      <c r="F385" s="14">
        <v>57.083433333333303</v>
      </c>
      <c r="G385" s="13">
        <v>57.41</v>
      </c>
      <c r="H385" s="13">
        <v>56.64</v>
      </c>
      <c r="I385" s="13">
        <v>66.09</v>
      </c>
      <c r="J385" s="14">
        <v>49.40323958140003</v>
      </c>
      <c r="K385" s="14">
        <v>52.530464112224614</v>
      </c>
      <c r="L385" s="14">
        <v>46.320483748122228</v>
      </c>
      <c r="M385" s="14">
        <v>48.587299999999999</v>
      </c>
      <c r="N385" s="14">
        <f t="shared" si="135"/>
        <v>59.305858333333326</v>
      </c>
      <c r="O385" s="14">
        <f t="shared" si="136"/>
        <v>49.210371860436716</v>
      </c>
      <c r="P385" s="14">
        <f t="shared" si="152"/>
        <v>54.258115096885021</v>
      </c>
      <c r="Q385" s="14">
        <v>51.208899155921117</v>
      </c>
      <c r="R385" s="17">
        <f t="shared" si="137"/>
        <v>48.791100844078883</v>
      </c>
      <c r="S385" s="14">
        <f t="shared" si="153"/>
        <v>0.53911990759670991</v>
      </c>
      <c r="T385" s="13">
        <v>0</v>
      </c>
      <c r="U385" s="13">
        <f t="shared" si="154"/>
        <v>29.251629997404304</v>
      </c>
      <c r="V385" s="13">
        <f>IF($T385=1,$AU385,(VLOOKUP(U385,'Cortes naturales'!$A$35:$C$39,3,9)))</f>
        <v>4</v>
      </c>
      <c r="W385" s="13">
        <v>4</v>
      </c>
      <c r="X385" s="14" t="b">
        <f t="shared" si="138"/>
        <v>1</v>
      </c>
      <c r="Y385" s="17">
        <f>IF($T385=1,$AU385,VLOOKUP(U385,'Cortes naturales'!$A$45:$C$49,3,9))</f>
        <v>3</v>
      </c>
      <c r="Z385" s="14">
        <v>53.990617696899733</v>
      </c>
      <c r="AA385" s="14">
        <v>0.55082734986738013</v>
      </c>
      <c r="AB385" s="14">
        <v>29.739508863686154</v>
      </c>
      <c r="AC385" s="13">
        <v>3</v>
      </c>
      <c r="AD385" s="13">
        <f t="shared" si="139"/>
        <v>0</v>
      </c>
      <c r="AE385" s="14">
        <f t="shared" si="140"/>
        <v>0.2674973999852881</v>
      </c>
      <c r="AF385" s="14">
        <f t="shared" si="141"/>
        <v>-1.1707442270670221E-2</v>
      </c>
      <c r="AG385" s="13">
        <f t="shared" si="142"/>
        <v>-0.48787886628185007</v>
      </c>
      <c r="AH385" s="13">
        <f>IF($T385=1,$AU385,VLOOKUP(U385,'Cortes naturales'!$A$25:$C$29,3,9))</f>
        <v>3</v>
      </c>
      <c r="AI385" s="13" t="b">
        <f t="shared" si="143"/>
        <v>1</v>
      </c>
      <c r="AJ385" s="13">
        <f t="shared" si="144"/>
        <v>0</v>
      </c>
      <c r="AK385" s="28">
        <v>0.81759069605862034</v>
      </c>
      <c r="AL385" s="28">
        <v>44.142226703443114</v>
      </c>
      <c r="AM385" s="28">
        <v>0.38154671392530737</v>
      </c>
      <c r="AN385" s="13">
        <v>3</v>
      </c>
      <c r="AO385" s="33">
        <f t="shared" si="145"/>
        <v>0</v>
      </c>
      <c r="AP385" s="13">
        <f t="shared" si="155"/>
        <v>38.154671392530737</v>
      </c>
      <c r="AQ385" s="13">
        <f>IFERROR(VLOOKUP(U385,'Cortes naturales'!$E$15:$G$19,3,9),U385)</f>
        <v>4</v>
      </c>
      <c r="AR385" s="28">
        <f t="shared" si="146"/>
        <v>-0.27847078846191042</v>
      </c>
      <c r="AS385" s="13" t="b">
        <f t="shared" si="147"/>
        <v>0</v>
      </c>
      <c r="AT385" s="13">
        <f t="shared" si="156"/>
        <v>0</v>
      </c>
      <c r="AU385" s="13">
        <v>3</v>
      </c>
      <c r="AV385">
        <f t="shared" si="148"/>
        <v>0</v>
      </c>
      <c r="AW385" s="13">
        <v>0</v>
      </c>
      <c r="AX385" s="13">
        <v>0</v>
      </c>
      <c r="AY385" s="13">
        <v>0</v>
      </c>
      <c r="AZ385" s="13">
        <v>0</v>
      </c>
      <c r="BA385">
        <v>0</v>
      </c>
      <c r="BB385" t="s">
        <v>2839</v>
      </c>
      <c r="BC385">
        <v>6</v>
      </c>
      <c r="BD385" t="s">
        <v>2919</v>
      </c>
      <c r="BE385">
        <v>0</v>
      </c>
      <c r="BF385" s="232" t="s">
        <v>2846</v>
      </c>
      <c r="BG385" s="232" t="s">
        <v>2846</v>
      </c>
      <c r="BH385" s="253">
        <v>30.7</v>
      </c>
      <c r="BI385" s="253">
        <v>10.079767947788252</v>
      </c>
      <c r="BJ385" s="25">
        <v>0</v>
      </c>
      <c r="BK385" t="s">
        <v>381</v>
      </c>
      <c r="BL385">
        <v>9.4079650479087229E-2</v>
      </c>
      <c r="BM385" t="s">
        <v>377</v>
      </c>
      <c r="BN385" s="322">
        <v>11925.059015000001</v>
      </c>
      <c r="BO385" s="322">
        <v>1055.1143199999999</v>
      </c>
      <c r="BP385" s="10">
        <v>5866</v>
      </c>
      <c r="BQ385" s="254">
        <f t="shared" si="149"/>
        <v>2.032911526593931</v>
      </c>
      <c r="BR385" s="254">
        <f t="shared" si="150"/>
        <v>0.17986947153085575</v>
      </c>
      <c r="BS385" s="25">
        <v>61.093130493576737</v>
      </c>
      <c r="BT385" s="25">
        <v>72.519865993105284</v>
      </c>
      <c r="BU385" s="25">
        <v>52.374122807017542</v>
      </c>
      <c r="BV385" s="25">
        <v>86.450945535805616</v>
      </c>
      <c r="BW385" s="25">
        <v>48.262495408444558</v>
      </c>
      <c r="BX385" s="25">
        <v>68.109516207376288</v>
      </c>
      <c r="BY385" s="25">
        <v>47.819902104844687</v>
      </c>
      <c r="BZ385">
        <v>16</v>
      </c>
      <c r="CA385">
        <v>0</v>
      </c>
      <c r="CB385">
        <v>7</v>
      </c>
      <c r="CC385">
        <v>9380.0323759999992</v>
      </c>
      <c r="CD385" s="10">
        <v>8733.9505709999994</v>
      </c>
      <c r="CE385" s="255">
        <v>0.93112158049122706</v>
      </c>
      <c r="CF385" t="str">
        <f>IFERROR(VLOOKUP(CE385,'Rangos amb etnico'!$A$2:$C$6,3,9),"N.D.")</f>
        <v>71% - 100%</v>
      </c>
      <c r="CG385" s="256">
        <v>2.5410354618015345E-4</v>
      </c>
      <c r="CH385" s="232">
        <v>180.64382900000001</v>
      </c>
      <c r="CI385" s="311">
        <f t="shared" si="157"/>
        <v>1.9258337472501708E-2</v>
      </c>
      <c r="CJ385" s="232" t="str">
        <f>IFERROR(VLOOKUP(CI385,'Rangos amb etnico'!$A$2:$C$6,3,9),"N.D.")</f>
        <v>0,1% - 30%</v>
      </c>
      <c r="CK385" s="311">
        <f t="shared" si="158"/>
        <v>7.1727427226644513E-6</v>
      </c>
      <c r="CL385" s="10">
        <v>0</v>
      </c>
      <c r="CM385" s="255">
        <f t="shared" si="159"/>
        <v>0</v>
      </c>
      <c r="CN385" s="232">
        <f>IFERROR(VLOOKUP(CM385,'Rangos amb etnico'!$A$2:$C$6,3,9),"N.D.")</f>
        <v>0</v>
      </c>
      <c r="CO385" s="311">
        <f t="shared" si="160"/>
        <v>0</v>
      </c>
      <c r="CP385">
        <v>0.93400430869725604</v>
      </c>
      <c r="CQ385" t="s">
        <v>2864</v>
      </c>
      <c r="CR385">
        <f t="shared" si="151"/>
        <v>2</v>
      </c>
      <c r="CS385" t="str">
        <f t="shared" si="161"/>
        <v>No es Candidato</v>
      </c>
      <c r="CT385">
        <v>0</v>
      </c>
      <c r="CU385">
        <v>0</v>
      </c>
      <c r="CV385" s="25">
        <v>57.007839202880859</v>
      </c>
      <c r="CW385" s="25">
        <v>28.69384765625</v>
      </c>
      <c r="CX385" s="25">
        <v>51.101753234863281</v>
      </c>
      <c r="CY385" s="25">
        <v>79.730110168457031</v>
      </c>
      <c r="CZ385" s="25">
        <v>58.115402221679688</v>
      </c>
      <c r="DA385" s="25">
        <v>65.953353881835938</v>
      </c>
      <c r="DB385" s="25">
        <v>58.452571868896477</v>
      </c>
      <c r="DC385">
        <v>231</v>
      </c>
      <c r="DD385" s="253" t="s">
        <v>380</v>
      </c>
    </row>
    <row r="386" spans="1:108" hidden="1">
      <c r="A386" s="13">
        <v>25779</v>
      </c>
      <c r="B386" s="13" t="s">
        <v>1227</v>
      </c>
      <c r="C386" s="13" t="s">
        <v>461</v>
      </c>
      <c r="D386" s="13" t="s">
        <v>462</v>
      </c>
      <c r="E386" s="13" t="s">
        <v>1228</v>
      </c>
      <c r="F386" s="14">
        <v>57.092466666666702</v>
      </c>
      <c r="G386" s="13">
        <v>72.13</v>
      </c>
      <c r="H386" s="13">
        <v>73.87</v>
      </c>
      <c r="I386" s="13">
        <v>74.599999999999994</v>
      </c>
      <c r="J386" s="14">
        <v>45.58107143905238</v>
      </c>
      <c r="K386" s="14">
        <v>48.957909994842154</v>
      </c>
      <c r="L386" s="14">
        <v>59.468102107349374</v>
      </c>
      <c r="M386" s="14">
        <v>48.868299999999998</v>
      </c>
      <c r="N386" s="14">
        <f t="shared" si="135"/>
        <v>69.423116666666672</v>
      </c>
      <c r="O386" s="14">
        <f t="shared" si="136"/>
        <v>50.718845885310976</v>
      </c>
      <c r="P386" s="14">
        <f t="shared" si="152"/>
        <v>60.070981275988828</v>
      </c>
      <c r="Q386" s="14">
        <v>52.337125136034388</v>
      </c>
      <c r="R386" s="17">
        <f t="shared" si="137"/>
        <v>47.662874863965612</v>
      </c>
      <c r="S386" s="14">
        <f t="shared" si="153"/>
        <v>0.52896587377569049</v>
      </c>
      <c r="T386" s="13">
        <v>0</v>
      </c>
      <c r="U386" s="13">
        <f t="shared" si="154"/>
        <v>31.775499099216574</v>
      </c>
      <c r="V386" s="13">
        <f>IF($T386=1,$AU386,(VLOOKUP(U386,'Cortes naturales'!$A$35:$C$39,3,9)))</f>
        <v>3</v>
      </c>
      <c r="W386" s="13">
        <v>3</v>
      </c>
      <c r="X386" s="14" t="b">
        <f t="shared" si="138"/>
        <v>1</v>
      </c>
      <c r="Y386" s="17">
        <f>IF($T386=1,$AU386,VLOOKUP(U386,'Cortes naturales'!$A$45:$C$49,3,9))</f>
        <v>3</v>
      </c>
      <c r="Z386" s="14">
        <v>58.187951587422084</v>
      </c>
      <c r="AA386" s="14">
        <v>0.54989744690030984</v>
      </c>
      <c r="AB386" s="14">
        <v>31.997406018282234</v>
      </c>
      <c r="AC386" s="13">
        <v>3</v>
      </c>
      <c r="AD386" s="13">
        <f t="shared" si="139"/>
        <v>0</v>
      </c>
      <c r="AE386" s="14">
        <f t="shared" si="140"/>
        <v>1.8830296885667437</v>
      </c>
      <c r="AF386" s="14">
        <f t="shared" si="141"/>
        <v>-2.0931573124619351E-2</v>
      </c>
      <c r="AG386" s="13">
        <f t="shared" si="142"/>
        <v>-0.22190691906565974</v>
      </c>
      <c r="AH386" s="13">
        <f>IF($T386=1,$AU386,VLOOKUP(U386,'Cortes naturales'!$A$25:$C$29,3,9))</f>
        <v>3</v>
      </c>
      <c r="AI386" s="13" t="b">
        <f t="shared" si="143"/>
        <v>1</v>
      </c>
      <c r="AJ386" s="13">
        <f t="shared" si="144"/>
        <v>0</v>
      </c>
      <c r="AK386" s="28">
        <v>0.81759069605862034</v>
      </c>
      <c r="AL386" s="28">
        <v>47.573927840585725</v>
      </c>
      <c r="AM386" s="28">
        <v>0.42447367779699446</v>
      </c>
      <c r="AN386" s="13">
        <v>3</v>
      </c>
      <c r="AO386" s="33">
        <f t="shared" si="145"/>
        <v>0</v>
      </c>
      <c r="AP386" s="13">
        <f t="shared" si="155"/>
        <v>42.447367779699448</v>
      </c>
      <c r="AQ386" s="13">
        <f>IFERROR(VLOOKUP(U386,'Cortes naturales'!$E$15:$G$19,3,9),U386)</f>
        <v>4</v>
      </c>
      <c r="AR386" s="28">
        <f t="shared" si="146"/>
        <v>-0.28862482228292985</v>
      </c>
      <c r="AS386" s="13" t="b">
        <f t="shared" si="147"/>
        <v>0</v>
      </c>
      <c r="AT386" s="13">
        <f t="shared" si="156"/>
        <v>0</v>
      </c>
      <c r="AU386" s="13">
        <v>3</v>
      </c>
      <c r="AV386">
        <f t="shared" si="148"/>
        <v>0</v>
      </c>
      <c r="AW386" s="13">
        <v>0</v>
      </c>
      <c r="AX386" s="13">
        <v>0</v>
      </c>
      <c r="AY386" s="13">
        <v>0</v>
      </c>
      <c r="AZ386" s="13">
        <v>0</v>
      </c>
      <c r="BA386">
        <v>0</v>
      </c>
      <c r="BB386" t="s">
        <v>2839</v>
      </c>
      <c r="BC386">
        <v>6</v>
      </c>
      <c r="BD386" t="s">
        <v>2919</v>
      </c>
      <c r="BE386">
        <v>0</v>
      </c>
      <c r="BF386" s="232" t="s">
        <v>2846</v>
      </c>
      <c r="BG386" s="232" t="s">
        <v>2846</v>
      </c>
      <c r="BH386" s="253">
        <v>27.1</v>
      </c>
      <c r="BI386" s="253">
        <v>13.057796805532686</v>
      </c>
      <c r="BJ386" s="25">
        <v>3.4249999999999994</v>
      </c>
      <c r="BK386" t="s">
        <v>381</v>
      </c>
      <c r="BL386">
        <v>0</v>
      </c>
      <c r="BM386" t="s">
        <v>377</v>
      </c>
      <c r="BN386" s="322">
        <v>13495.467416</v>
      </c>
      <c r="BO386" s="322">
        <v>1915.6991109999999</v>
      </c>
      <c r="BP386" s="10">
        <v>6595</v>
      </c>
      <c r="BQ386" s="254">
        <f t="shared" si="149"/>
        <v>2.0463180312357845</v>
      </c>
      <c r="BR386" s="254">
        <f t="shared" si="150"/>
        <v>0.29047749977255494</v>
      </c>
      <c r="BS386" s="25">
        <v>48.228966770839072</v>
      </c>
      <c r="BT386" s="25">
        <v>90.917361637604245</v>
      </c>
      <c r="BU386" s="25">
        <v>43.772204364301572</v>
      </c>
      <c r="BV386" s="25">
        <v>95.596028575045082</v>
      </c>
      <c r="BW386" s="25">
        <v>60.587683380708491</v>
      </c>
      <c r="BX386" s="25">
        <v>69.628640336947484</v>
      </c>
      <c r="BY386" s="25">
        <v>62.862874504582209</v>
      </c>
      <c r="BZ386">
        <v>36</v>
      </c>
      <c r="CA386">
        <v>0</v>
      </c>
      <c r="CB386">
        <v>7</v>
      </c>
      <c r="CC386">
        <v>10400.739406000001</v>
      </c>
      <c r="CD386" s="10">
        <v>3004.7868749999998</v>
      </c>
      <c r="CE386" s="255">
        <v>0.28890127496768087</v>
      </c>
      <c r="CF386" t="str">
        <f>IFERROR(VLOOKUP(CE386,'Rangos amb etnico'!$A$2:$C$6,3,9),"N.D.")</f>
        <v>0,1% - 30%</v>
      </c>
      <c r="CG386" s="256">
        <v>8.7420577234347791E-5</v>
      </c>
      <c r="CH386" s="232">
        <v>0</v>
      </c>
      <c r="CI386" s="311">
        <f t="shared" si="157"/>
        <v>0</v>
      </c>
      <c r="CJ386" s="232">
        <f>IFERROR(VLOOKUP(CI386,'Rangos amb etnico'!$A$2:$C$6,3,9),"N.D.")</f>
        <v>0</v>
      </c>
      <c r="CK386" s="311">
        <f t="shared" si="158"/>
        <v>0</v>
      </c>
      <c r="CL386" s="10">
        <v>0</v>
      </c>
      <c r="CM386" s="255">
        <f t="shared" si="159"/>
        <v>0</v>
      </c>
      <c r="CN386" s="232">
        <f>IFERROR(VLOOKUP(CM386,'Rangos amb etnico'!$A$2:$C$6,3,9),"N.D.")</f>
        <v>0</v>
      </c>
      <c r="CO386" s="311">
        <f t="shared" si="160"/>
        <v>0</v>
      </c>
      <c r="CP386">
        <v>0.87459158583986762</v>
      </c>
      <c r="CQ386" t="s">
        <v>2864</v>
      </c>
      <c r="CR386">
        <f t="shared" si="151"/>
        <v>3</v>
      </c>
      <c r="CS386" t="str">
        <f t="shared" si="161"/>
        <v>Candidato</v>
      </c>
      <c r="CT386">
        <v>0</v>
      </c>
      <c r="CU386">
        <v>0</v>
      </c>
      <c r="CV386" s="25">
        <v>49.206993103027337</v>
      </c>
      <c r="CW386" s="25">
        <v>21.700119018554691</v>
      </c>
      <c r="CX386" s="25">
        <v>46.160228729248047</v>
      </c>
      <c r="CY386" s="25">
        <v>64.060440063476563</v>
      </c>
      <c r="CZ386" s="25">
        <v>39.209789276123047</v>
      </c>
      <c r="DA386" s="25">
        <v>72.968070983886719</v>
      </c>
      <c r="DB386" s="25">
        <v>51.143318176269531</v>
      </c>
      <c r="DC386">
        <v>47</v>
      </c>
      <c r="DD386" s="253" t="s">
        <v>380</v>
      </c>
    </row>
    <row r="387" spans="1:108" hidden="1">
      <c r="A387" s="13">
        <v>76616</v>
      </c>
      <c r="B387" s="13" t="s">
        <v>1229</v>
      </c>
      <c r="C387" s="13" t="s">
        <v>454</v>
      </c>
      <c r="D387" s="13" t="s">
        <v>455</v>
      </c>
      <c r="E387" s="13" t="s">
        <v>1230</v>
      </c>
      <c r="F387" s="14">
        <v>63.439333333333302</v>
      </c>
      <c r="G387" s="13">
        <v>65.5</v>
      </c>
      <c r="H387" s="13">
        <v>62.27</v>
      </c>
      <c r="I387" s="13">
        <v>62.28</v>
      </c>
      <c r="J387" s="14">
        <v>53.740284140277886</v>
      </c>
      <c r="K387" s="14">
        <v>62.392172987668069</v>
      </c>
      <c r="L387" s="14">
        <v>60.900459678533387</v>
      </c>
      <c r="M387" s="14">
        <v>58.1736</v>
      </c>
      <c r="N387" s="14">
        <f t="shared" ref="N387:N450" si="162">IFERROR(AVERAGE(F387:I387),"N.D.")</f>
        <v>63.37233333333333</v>
      </c>
      <c r="O387" s="14">
        <f t="shared" ref="O387:O450" si="163">IFERROR(AVERAGE(J387:M387),"N.D.")</f>
        <v>58.801629201619832</v>
      </c>
      <c r="P387" s="14">
        <f t="shared" si="152"/>
        <v>61.086981267476581</v>
      </c>
      <c r="Q387" s="14">
        <v>50.973033469169771</v>
      </c>
      <c r="R387" s="17">
        <f t="shared" ref="R387:R450" si="164">IFERROR(MAX($Q$3:$Q$1105)-Q387,"N.D.")</f>
        <v>49.026966530830229</v>
      </c>
      <c r="S387" s="14">
        <f t="shared" si="153"/>
        <v>0.54124269877747211</v>
      </c>
      <c r="T387" s="13">
        <v>0</v>
      </c>
      <c r="U387" s="13">
        <f t="shared" si="154"/>
        <v>33.062882601377908</v>
      </c>
      <c r="V387" s="13">
        <f>IF($T387=1,$AU387,(VLOOKUP(U387,'Cortes naturales'!$A$35:$C$39,3,9)))</f>
        <v>3</v>
      </c>
      <c r="W387" s="13">
        <v>3</v>
      </c>
      <c r="X387" s="14" t="b">
        <f t="shared" ref="X387:X450" si="165">V387=W387</f>
        <v>1</v>
      </c>
      <c r="Y387" s="17">
        <f>IF($T387=1,$AU387,VLOOKUP(U387,'Cortes naturales'!$A$45:$C$49,3,9))</f>
        <v>3</v>
      </c>
      <c r="Z387" s="14">
        <v>60.118223781828064</v>
      </c>
      <c r="AA387" s="14">
        <v>0.55229427480442506</v>
      </c>
      <c r="AB387" s="14">
        <v>33.20295080611487</v>
      </c>
      <c r="AC387" s="13">
        <v>3</v>
      </c>
      <c r="AD387" s="13">
        <f t="shared" ref="AD387:AD450" si="166">IFERROR(AC387-Y387,)</f>
        <v>0</v>
      </c>
      <c r="AE387" s="14">
        <f t="shared" ref="AE387:AE450" si="167">IFERROR(P387-Z387,"N.D.")</f>
        <v>0.96875748564851705</v>
      </c>
      <c r="AF387" s="14">
        <f t="shared" ref="AF387:AF450" si="168">IFERROR(S387-AA387,"N.D.")</f>
        <v>-1.1051576026952947E-2</v>
      </c>
      <c r="AG387" s="13">
        <f t="shared" ref="AG387:AG450" si="169">IFERROR(U387-AB387,0)</f>
        <v>-0.1400682047369628</v>
      </c>
      <c r="AH387" s="13">
        <f>IF($T387=1,$AU387,VLOOKUP(U387,'Cortes naturales'!$A$25:$C$29,3,9))</f>
        <v>3</v>
      </c>
      <c r="AI387" s="13" t="b">
        <f t="shared" ref="AI387:AI450" si="170">AH387=Y387</f>
        <v>1</v>
      </c>
      <c r="AJ387" s="13">
        <f t="shared" ref="AJ387:AJ450" si="171">IF(AD387=0,0,IF(AI387=TRUE,"Efecto ponderador","Cambio en corte"))</f>
        <v>0</v>
      </c>
      <c r="AK387" s="28">
        <v>0.81759069605862034</v>
      </c>
      <c r="AL387" s="28">
        <v>49.152100427592707</v>
      </c>
      <c r="AM387" s="28">
        <v>0.44421495330974037</v>
      </c>
      <c r="AN387" s="13">
        <v>3</v>
      </c>
      <c r="AO387" s="33">
        <f t="shared" ref="AO387:AO450" si="172">IF(AND(ISNUMBER(AN387),ISNUMBER(Y387)),AN387-Y387,IF(AN387="SC- Centro aglomeración",Y387,IF(OR(AN387="Bogotá",AN387="Ciudades grandes"),0,0)))</f>
        <v>0</v>
      </c>
      <c r="AP387" s="13">
        <f t="shared" si="155"/>
        <v>44.421495330974039</v>
      </c>
      <c r="AQ387" s="13">
        <f>IFERROR(VLOOKUP(U387,'Cortes naturales'!$E$15:$G$19,3,9),U387)</f>
        <v>4</v>
      </c>
      <c r="AR387" s="28">
        <f t="shared" ref="AR387:AR450" si="173">IFERROR(S387-AK387,"N.D.")</f>
        <v>-0.27634799728114823</v>
      </c>
      <c r="AS387" s="13" t="b">
        <f t="shared" ref="AS387:AS450" si="174">AQ387=Y387</f>
        <v>0</v>
      </c>
      <c r="AT387" s="13">
        <f t="shared" si="156"/>
        <v>0</v>
      </c>
      <c r="AU387" s="13">
        <v>3</v>
      </c>
      <c r="AV387">
        <f t="shared" ref="AV387:AV450" si="175">IF(AND(ISNUMBER(AU387),ISNUMBER(Y387)),AU387-Y387,IF(AU387="SC- Centro aglomeración",Y387,IF(OR(AU387="Bogotá",AU387="Ciudades grandes"),0,0)))</f>
        <v>0</v>
      </c>
      <c r="AW387" s="13">
        <v>0</v>
      </c>
      <c r="AX387" s="13">
        <v>0</v>
      </c>
      <c r="AY387" s="13">
        <v>0</v>
      </c>
      <c r="AZ387" s="13">
        <v>0</v>
      </c>
      <c r="BA387">
        <v>1</v>
      </c>
      <c r="BB387" t="s">
        <v>2839</v>
      </c>
      <c r="BC387">
        <v>6</v>
      </c>
      <c r="BD387" t="s">
        <v>2919</v>
      </c>
      <c r="BE387">
        <v>1</v>
      </c>
      <c r="BF387" s="232" t="s">
        <v>2846</v>
      </c>
      <c r="BG387" s="232" t="s">
        <v>2846</v>
      </c>
      <c r="BH387" s="253">
        <v>23.2</v>
      </c>
      <c r="BI387" s="253">
        <v>9.1894204035075209</v>
      </c>
      <c r="BJ387" s="25">
        <v>17.850260380839224</v>
      </c>
      <c r="BK387" t="s">
        <v>379</v>
      </c>
      <c r="BL387">
        <v>5.0565667878080092</v>
      </c>
      <c r="BM387" t="s">
        <v>383</v>
      </c>
      <c r="BN387" s="322">
        <v>34605.098180000001</v>
      </c>
      <c r="BO387" s="322">
        <v>7906.3556239999998</v>
      </c>
      <c r="BP387" s="10">
        <v>16128</v>
      </c>
      <c r="BQ387" s="254">
        <f t="shared" ref="BQ387:BQ450" si="176">BN387/BP387</f>
        <v>2.1456534089781747</v>
      </c>
      <c r="BR387" s="254">
        <f t="shared" ref="BR387:BR450" si="177">BO387/BP387</f>
        <v>0.49022542311507933</v>
      </c>
      <c r="BS387" s="25">
        <v>61.876423346055979</v>
      </c>
      <c r="BT387" s="25">
        <v>93.496247910052901</v>
      </c>
      <c r="BU387" s="25">
        <v>52.793637077769027</v>
      </c>
      <c r="BV387" s="25">
        <v>86.791930915589603</v>
      </c>
      <c r="BW387" s="25">
        <v>59.320245964000229</v>
      </c>
      <c r="BX387" s="25">
        <v>73.739559812366878</v>
      </c>
      <c r="BY387" s="25">
        <v>60.104559672827797</v>
      </c>
      <c r="BZ387">
        <v>66</v>
      </c>
      <c r="CA387">
        <v>0</v>
      </c>
      <c r="CB387">
        <v>7</v>
      </c>
      <c r="CC387">
        <v>30816.272925000001</v>
      </c>
      <c r="CD387" s="10">
        <v>7850.7044830000004</v>
      </c>
      <c r="CE387" s="255">
        <v>0.25475840320167464</v>
      </c>
      <c r="CF387" t="str">
        <f>IFERROR(VLOOKUP(CE387,'Rangos amb etnico'!$A$2:$C$6,3,9),"N.D.")</f>
        <v>0,1% - 30%</v>
      </c>
      <c r="CG387" s="256">
        <v>2.2840658793816851E-4</v>
      </c>
      <c r="CH387" s="232">
        <v>3.2870469999999998</v>
      </c>
      <c r="CI387" s="311">
        <f t="shared" si="157"/>
        <v>1.0666594912369662E-4</v>
      </c>
      <c r="CJ387" s="232">
        <f>IFERROR(VLOOKUP(CI387,'Rangos amb etnico'!$A$2:$C$6,3,9),"N.D.")</f>
        <v>0</v>
      </c>
      <c r="CK387" s="311">
        <f t="shared" si="158"/>
        <v>1.3051728685570551E-7</v>
      </c>
      <c r="CL387" s="10">
        <v>0</v>
      </c>
      <c r="CM387" s="255">
        <f t="shared" si="159"/>
        <v>0</v>
      </c>
      <c r="CN387" s="232">
        <f>IFERROR(VLOOKUP(CM387,'Rangos amb etnico'!$A$2:$C$6,3,9),"N.D.")</f>
        <v>0</v>
      </c>
      <c r="CO387" s="311">
        <f t="shared" si="160"/>
        <v>0</v>
      </c>
      <c r="CP387">
        <v>0.93902830302724027</v>
      </c>
      <c r="CQ387" t="s">
        <v>2864</v>
      </c>
      <c r="CR387">
        <f t="shared" ref="CR387:CR450" si="178">IF(BY387&gt;=60,1,0)+IF(M387&gt;=60,1,0)+IF(I387&gt;=60,1,0)+IF(OR(CQ387="Crítico Bajo",CQ387="Aceptable"),1,0)</f>
        <v>3</v>
      </c>
      <c r="CS387" t="str">
        <f t="shared" si="161"/>
        <v>Candidato</v>
      </c>
      <c r="CT387">
        <v>0</v>
      </c>
      <c r="CU387">
        <v>0</v>
      </c>
      <c r="CV387" s="25">
        <v>50.378402709960938</v>
      </c>
      <c r="CW387" s="25">
        <v>33.774887084960938</v>
      </c>
      <c r="CX387" s="25">
        <v>52.207061767578118</v>
      </c>
      <c r="CY387" s="25">
        <v>59.819385528564453</v>
      </c>
      <c r="CZ387" s="25">
        <v>47.630596160888672</v>
      </c>
      <c r="DA387" s="25">
        <v>45.146778106689453</v>
      </c>
      <c r="DB387" s="25">
        <v>63.691696166992188</v>
      </c>
      <c r="DC387">
        <v>705</v>
      </c>
      <c r="DD387" s="253" t="s">
        <v>380</v>
      </c>
    </row>
    <row r="388" spans="1:108" hidden="1">
      <c r="A388" s="13">
        <v>25841</v>
      </c>
      <c r="B388" s="13" t="s">
        <v>1231</v>
      </c>
      <c r="C388" s="13" t="s">
        <v>461</v>
      </c>
      <c r="D388" s="13" t="s">
        <v>462</v>
      </c>
      <c r="E388" s="13" t="s">
        <v>1232</v>
      </c>
      <c r="F388" s="14">
        <v>59.613666666666703</v>
      </c>
      <c r="G388" s="13">
        <v>56.56</v>
      </c>
      <c r="H388" s="13">
        <v>65.37</v>
      </c>
      <c r="I388" s="13">
        <v>69.83</v>
      </c>
      <c r="J388" s="14">
        <v>60.006217259404188</v>
      </c>
      <c r="K388" s="14">
        <v>68.286927701936051</v>
      </c>
      <c r="L388" s="14">
        <v>63.431661463373288</v>
      </c>
      <c r="M388" s="14">
        <v>56.534700000000001</v>
      </c>
      <c r="N388" s="14">
        <f t="shared" si="162"/>
        <v>62.84341666666667</v>
      </c>
      <c r="O388" s="14">
        <f t="shared" si="163"/>
        <v>62.064876606178373</v>
      </c>
      <c r="P388" s="14">
        <f t="shared" ref="P388:P451" si="179">IFERROR(AVERAGE(N388:O388),"N.D.")</f>
        <v>62.454146636422522</v>
      </c>
      <c r="Q388" s="14">
        <v>51.945778495864261</v>
      </c>
      <c r="R388" s="17">
        <f t="shared" si="164"/>
        <v>48.054221504135739</v>
      </c>
      <c r="S388" s="14">
        <f t="shared" ref="S388:S451" si="180">IFERROR((0.1+(1-0.1)*(R388%-0)/(1-0)),"N.D.")</f>
        <v>0.53248799353722165</v>
      </c>
      <c r="T388" s="13">
        <v>0</v>
      </c>
      <c r="U388" s="13">
        <f t="shared" ref="U388:U451" si="181">$P388*$S388</f>
        <v>33.256083230508047</v>
      </c>
      <c r="V388" s="13">
        <f>IF($T388=1,$AU388,(VLOOKUP(U388,'Cortes naturales'!$A$35:$C$39,3,9)))</f>
        <v>3</v>
      </c>
      <c r="W388" s="13">
        <v>3</v>
      </c>
      <c r="X388" s="14" t="b">
        <f t="shared" si="165"/>
        <v>1</v>
      </c>
      <c r="Y388" s="17">
        <f>IF($T388=1,$AU388,VLOOKUP(U388,'Cortes naturales'!$A$45:$C$49,3,9))</f>
        <v>3</v>
      </c>
      <c r="Z388" s="14">
        <v>60.474120131509878</v>
      </c>
      <c r="AA388" s="14">
        <v>0.55106271577592214</v>
      </c>
      <c r="AB388" s="14">
        <v>33.325032873829201</v>
      </c>
      <c r="AC388" s="13">
        <v>3</v>
      </c>
      <c r="AD388" s="13">
        <f t="shared" si="166"/>
        <v>0</v>
      </c>
      <c r="AE388" s="14">
        <f t="shared" si="167"/>
        <v>1.9800265049126438</v>
      </c>
      <c r="AF388" s="14">
        <f t="shared" si="168"/>
        <v>-1.8574722238700492E-2</v>
      </c>
      <c r="AG388" s="13">
        <f t="shared" si="169"/>
        <v>-6.8949643321154497E-2</v>
      </c>
      <c r="AH388" s="13">
        <f>IF($T388=1,$AU388,VLOOKUP(U388,'Cortes naturales'!$A$25:$C$29,3,9))</f>
        <v>3</v>
      </c>
      <c r="AI388" s="13" t="b">
        <f t="shared" si="170"/>
        <v>1</v>
      </c>
      <c r="AJ388" s="13">
        <f t="shared" si="171"/>
        <v>0</v>
      </c>
      <c r="AK388" s="28">
        <v>0.81759069605862034</v>
      </c>
      <c r="AL388" s="28">
        <v>49.443077971853789</v>
      </c>
      <c r="AM388" s="28">
        <v>0.44785477566920379</v>
      </c>
      <c r="AN388" s="13">
        <v>3</v>
      </c>
      <c r="AO388" s="33">
        <f t="shared" si="172"/>
        <v>0</v>
      </c>
      <c r="AP388" s="13">
        <f t="shared" ref="AP388:AP451" si="182">IFERROR(AM388*100,"N.D")</f>
        <v>44.785477566920378</v>
      </c>
      <c r="AQ388" s="13">
        <f>IFERROR(VLOOKUP(U388,'Cortes naturales'!$E$15:$G$19,3,9),U388)</f>
        <v>4</v>
      </c>
      <c r="AR388" s="28">
        <f t="shared" si="173"/>
        <v>-0.28510270252139869</v>
      </c>
      <c r="AS388" s="13" t="b">
        <f t="shared" si="174"/>
        <v>0</v>
      </c>
      <c r="AT388" s="13">
        <f t="shared" ref="AT388:AT451" si="183">IF(AO388=0,0,IF(AS388=TRUE,"Efecto ponderador","Cambio en corte"))</f>
        <v>0</v>
      </c>
      <c r="AU388" s="13">
        <v>3</v>
      </c>
      <c r="AV388">
        <f t="shared" si="175"/>
        <v>0</v>
      </c>
      <c r="AW388" s="13">
        <v>0</v>
      </c>
      <c r="AX388" s="13">
        <v>0</v>
      </c>
      <c r="AY388" s="13">
        <v>0</v>
      </c>
      <c r="AZ388" s="13">
        <v>0</v>
      </c>
      <c r="BA388">
        <v>0</v>
      </c>
      <c r="BB388" t="s">
        <v>2840</v>
      </c>
      <c r="BC388">
        <v>6</v>
      </c>
      <c r="BD388" t="s">
        <v>2919</v>
      </c>
      <c r="BE388">
        <v>1</v>
      </c>
      <c r="BF388" s="232" t="s">
        <v>2846</v>
      </c>
      <c r="BG388" s="232" t="s">
        <v>2846</v>
      </c>
      <c r="BH388" s="253">
        <v>34.1</v>
      </c>
      <c r="BI388" s="253">
        <v>15.320813771517997</v>
      </c>
      <c r="BJ388" s="25">
        <v>7.3203510642746625</v>
      </c>
      <c r="BK388" t="s">
        <v>377</v>
      </c>
      <c r="BL388">
        <v>0</v>
      </c>
      <c r="BM388" t="s">
        <v>377</v>
      </c>
      <c r="BN388" s="322">
        <v>32231.259567000001</v>
      </c>
      <c r="BO388" s="322">
        <v>3072.1380869999998</v>
      </c>
      <c r="BP388" s="10">
        <v>6923</v>
      </c>
      <c r="BQ388" s="254">
        <f t="shared" si="176"/>
        <v>4.6556781116567967</v>
      </c>
      <c r="BR388" s="254">
        <f t="shared" si="177"/>
        <v>0.44375820988010978</v>
      </c>
      <c r="BS388" s="25">
        <v>55.088388715742653</v>
      </c>
      <c r="BT388" s="25">
        <v>84.721591887428374</v>
      </c>
      <c r="BU388" s="25">
        <v>38.252322430401172</v>
      </c>
      <c r="BV388" s="25">
        <v>90.664786883655324</v>
      </c>
      <c r="BW388" s="25">
        <v>53.617299543642901</v>
      </c>
      <c r="BX388" s="25">
        <v>67.181772479306886</v>
      </c>
      <c r="BY388" s="25">
        <v>54.363491342058161</v>
      </c>
      <c r="BZ388">
        <v>40</v>
      </c>
      <c r="CA388">
        <v>0</v>
      </c>
      <c r="CB388">
        <v>7</v>
      </c>
      <c r="CC388">
        <v>10695.017502000001</v>
      </c>
      <c r="CD388" s="10">
        <v>1906.787906</v>
      </c>
      <c r="CE388" s="255">
        <v>0.17828749748594847</v>
      </c>
      <c r="CF388" t="str">
        <f>IFERROR(VLOOKUP(CE388,'Rangos amb etnico'!$A$2:$C$6,3,9),"N.D.")</f>
        <v>0,1% - 30%</v>
      </c>
      <c r="CG388" s="256">
        <v>5.5475648137604872E-5</v>
      </c>
      <c r="CH388" s="232">
        <v>0</v>
      </c>
      <c r="CI388" s="311">
        <f t="shared" ref="CI388:CI451" si="184">IFERROR(CH388/CC388,"N.D.")</f>
        <v>0</v>
      </c>
      <c r="CJ388" s="232">
        <f>IFERROR(VLOOKUP(CI388,'Rangos amb etnico'!$A$2:$C$6,3,9),"N.D.")</f>
        <v>0</v>
      </c>
      <c r="CK388" s="311">
        <f t="shared" ref="CK388:CK451" si="185">IFERROR(CH388/$CH$1,"N.D.")</f>
        <v>0</v>
      </c>
      <c r="CL388" s="10">
        <v>0</v>
      </c>
      <c r="CM388" s="255">
        <f t="shared" ref="CM388:CM451" si="186">IFERROR(CL388/CC388,"N.D.")</f>
        <v>0</v>
      </c>
      <c r="CN388" s="232">
        <f>IFERROR(VLOOKUP(CM388,'Rangos amb etnico'!$A$2:$C$6,3,9),"N.D.")</f>
        <v>0</v>
      </c>
      <c r="CO388" s="311">
        <f t="shared" ref="CO388:CO451" si="187">IFERROR(CL388/$CL$1,"N.D.")</f>
        <v>0</v>
      </c>
      <c r="CP388">
        <v>0.95883899576222109</v>
      </c>
      <c r="CQ388" t="s">
        <v>2864</v>
      </c>
      <c r="CR388">
        <f t="shared" si="178"/>
        <v>2</v>
      </c>
      <c r="CS388" t="str">
        <f t="shared" ref="CS388:CS451" si="188">IF(CR388&gt;=3,"Candidato","No es Candidato")</f>
        <v>No es Candidato</v>
      </c>
      <c r="CT388">
        <v>0</v>
      </c>
      <c r="CU388">
        <v>0</v>
      </c>
      <c r="CV388" s="25">
        <v>48.007606506347663</v>
      </c>
      <c r="CW388" s="25">
        <v>35.73541259765625</v>
      </c>
      <c r="CX388" s="25">
        <v>51.194366455078118</v>
      </c>
      <c r="CY388" s="25">
        <v>58.149738311767578</v>
      </c>
      <c r="CZ388" s="25">
        <v>41.195144653320313</v>
      </c>
      <c r="DA388" s="25">
        <v>57.665992736816413</v>
      </c>
      <c r="DB388" s="25">
        <v>44.104984283447273</v>
      </c>
      <c r="DC388">
        <v>21</v>
      </c>
      <c r="DD388" s="253" t="s">
        <v>380</v>
      </c>
    </row>
    <row r="389" spans="1:108">
      <c r="A389" s="13">
        <v>5368</v>
      </c>
      <c r="B389" s="13" t="s">
        <v>1233</v>
      </c>
      <c r="C389" s="13" t="s">
        <v>435</v>
      </c>
      <c r="D389" s="13" t="s">
        <v>436</v>
      </c>
      <c r="E389" s="13" t="s">
        <v>1234</v>
      </c>
      <c r="F389" s="14">
        <v>57.356866666666697</v>
      </c>
      <c r="G389" s="13">
        <v>91.08</v>
      </c>
      <c r="H389" s="13">
        <v>63.09</v>
      </c>
      <c r="I389" s="13">
        <v>61.79</v>
      </c>
      <c r="J389" s="14">
        <v>57.620432387535431</v>
      </c>
      <c r="K389" s="14">
        <v>60.164683548911682</v>
      </c>
      <c r="L389" s="14">
        <v>68.107916344446906</v>
      </c>
      <c r="M389" s="14">
        <v>50.335599999999999</v>
      </c>
      <c r="N389" s="14">
        <f t="shared" si="162"/>
        <v>68.329216666666682</v>
      </c>
      <c r="O389" s="14">
        <f t="shared" si="163"/>
        <v>59.057158070223508</v>
      </c>
      <c r="P389" s="14">
        <f t="shared" si="179"/>
        <v>63.693187368445095</v>
      </c>
      <c r="Q389" s="14">
        <v>50.198924826376881</v>
      </c>
      <c r="R389" s="17">
        <f t="shared" si="164"/>
        <v>49.801075173623119</v>
      </c>
      <c r="S389" s="203">
        <f t="shared" si="180"/>
        <v>0.54820967656260811</v>
      </c>
      <c r="T389" s="13">
        <v>0</v>
      </c>
      <c r="U389" s="13">
        <f t="shared" si="181"/>
        <v>34.917221646496884</v>
      </c>
      <c r="V389" s="13">
        <f>IF($T389=1,$AU389,(VLOOKUP(U389,'Cortes naturales'!$A$35:$C$39,3,9)))</f>
        <v>3</v>
      </c>
      <c r="W389" s="13">
        <v>3</v>
      </c>
      <c r="X389" s="14" t="b">
        <f t="shared" si="165"/>
        <v>1</v>
      </c>
      <c r="Y389" s="17">
        <f>IF($T389=1,$AU389,VLOOKUP(U389,'Cortes naturales'!$A$45:$C$49,3,9))</f>
        <v>3</v>
      </c>
      <c r="Z389" s="14">
        <v>63.613980904956968</v>
      </c>
      <c r="AA389" s="203">
        <v>0.55246514693788218</v>
      </c>
      <c r="AB389" s="14">
        <v>35.14450730796068</v>
      </c>
      <c r="AC389" s="13">
        <v>2</v>
      </c>
      <c r="AD389" s="13">
        <f t="shared" si="166"/>
        <v>-1</v>
      </c>
      <c r="AE389" s="14">
        <f t="shared" si="167"/>
        <v>7.9206463488127099E-2</v>
      </c>
      <c r="AF389" s="241">
        <f t="shared" si="168"/>
        <v>-4.255470375274073E-3</v>
      </c>
      <c r="AG389" s="13">
        <f t="shared" si="169"/>
        <v>-0.22728566146379592</v>
      </c>
      <c r="AH389" s="13">
        <f>IF($T389=1,$AU389,VLOOKUP(U389,'Cortes naturales'!$A$25:$C$29,3,9))</f>
        <v>3</v>
      </c>
      <c r="AI389" s="13" t="b">
        <f t="shared" si="170"/>
        <v>1</v>
      </c>
      <c r="AJ389" s="13" t="str">
        <f t="shared" si="171"/>
        <v>Efecto ponderador</v>
      </c>
      <c r="AK389" s="28">
        <v>0.81759069605862034</v>
      </c>
      <c r="AL389" s="28">
        <v>52.010198927143549</v>
      </c>
      <c r="AM389" s="28">
        <v>0.47996675281932671</v>
      </c>
      <c r="AN389" s="13">
        <v>2</v>
      </c>
      <c r="AO389" s="33">
        <f t="shared" si="172"/>
        <v>-1</v>
      </c>
      <c r="AP389" s="13">
        <f t="shared" si="182"/>
        <v>47.996675281932674</v>
      </c>
      <c r="AQ389" s="13">
        <f>IFERROR(VLOOKUP(U389,'Cortes naturales'!$E$15:$G$19,3,9),U389)</f>
        <v>4</v>
      </c>
      <c r="AR389" s="28">
        <f t="shared" si="173"/>
        <v>-0.26938101949601223</v>
      </c>
      <c r="AS389" s="13" t="b">
        <f t="shared" si="174"/>
        <v>0</v>
      </c>
      <c r="AT389" s="13" t="str">
        <f t="shared" si="183"/>
        <v>Cambio en corte</v>
      </c>
      <c r="AU389" s="13">
        <v>3</v>
      </c>
      <c r="AV389">
        <f t="shared" si="175"/>
        <v>0</v>
      </c>
      <c r="AW389" s="13">
        <v>0</v>
      </c>
      <c r="AX389" s="13">
        <v>0</v>
      </c>
      <c r="AY389" s="13">
        <v>0</v>
      </c>
      <c r="AZ389" s="13">
        <v>0</v>
      </c>
      <c r="BA389">
        <v>0</v>
      </c>
      <c r="BB389" t="s">
        <v>2839</v>
      </c>
      <c r="BC389">
        <v>6</v>
      </c>
      <c r="BD389" t="s">
        <v>2919</v>
      </c>
      <c r="BE389">
        <v>1</v>
      </c>
      <c r="BF389" s="232" t="s">
        <v>2846</v>
      </c>
      <c r="BG389" s="232" t="s">
        <v>2846</v>
      </c>
      <c r="BH389" s="253">
        <v>25.8</v>
      </c>
      <c r="BI389" s="253">
        <v>9.0530508781459353</v>
      </c>
      <c r="BJ389" s="25">
        <v>17.541840468613071</v>
      </c>
      <c r="BK389" t="s">
        <v>379</v>
      </c>
      <c r="BL389">
        <v>1.8570750206708948</v>
      </c>
      <c r="BM389" t="s">
        <v>383</v>
      </c>
      <c r="BN389" s="322">
        <v>33417.510525999998</v>
      </c>
      <c r="BO389" s="322">
        <v>9514.9019009999993</v>
      </c>
      <c r="BP389" s="10">
        <v>14317</v>
      </c>
      <c r="BQ389" s="254">
        <f t="shared" si="176"/>
        <v>2.3341140271006493</v>
      </c>
      <c r="BR389" s="254">
        <f t="shared" si="177"/>
        <v>0.66458768603757767</v>
      </c>
      <c r="BS389" s="25">
        <v>59.739088398744308</v>
      </c>
      <c r="BT389" s="25">
        <v>84.370349539242383</v>
      </c>
      <c r="BU389" s="25">
        <v>54.147903885480559</v>
      </c>
      <c r="BV389" s="25">
        <v>92.52478531949248</v>
      </c>
      <c r="BW389" s="25">
        <v>57.575234143922323</v>
      </c>
      <c r="BX389" s="25">
        <v>72.695531785739931</v>
      </c>
      <c r="BY389" s="25">
        <v>58.580086993798197</v>
      </c>
      <c r="BZ389">
        <v>65</v>
      </c>
      <c r="CA389">
        <v>0</v>
      </c>
      <c r="CB389">
        <v>6</v>
      </c>
      <c r="CC389">
        <v>20497.123324</v>
      </c>
      <c r="CD389" s="10">
        <v>7784.2900040000004</v>
      </c>
      <c r="CE389" s="255">
        <v>0.37977475575245268</v>
      </c>
      <c r="CF389" t="str">
        <f>IFERROR(VLOOKUP(CE389,'Rangos amb etnico'!$A$2:$C$6,3,9),"N.D.")</f>
        <v>31% - 50%</v>
      </c>
      <c r="CG389" s="256">
        <v>2.2647434038370644E-4</v>
      </c>
      <c r="CH389" s="232">
        <v>0</v>
      </c>
      <c r="CI389" s="311">
        <f t="shared" si="184"/>
        <v>0</v>
      </c>
      <c r="CJ389" s="232">
        <f>IFERROR(VLOOKUP(CI389,'Rangos amb etnico'!$A$2:$C$6,3,9),"N.D.")</f>
        <v>0</v>
      </c>
      <c r="CK389" s="311">
        <f t="shared" si="185"/>
        <v>0</v>
      </c>
      <c r="CL389" s="10">
        <v>0</v>
      </c>
      <c r="CM389" s="255">
        <f t="shared" si="186"/>
        <v>0</v>
      </c>
      <c r="CN389" s="232">
        <f>IFERROR(VLOOKUP(CM389,'Rangos amb etnico'!$A$2:$C$6,3,9),"N.D.")</f>
        <v>0</v>
      </c>
      <c r="CO389" s="311">
        <f t="shared" si="187"/>
        <v>0</v>
      </c>
      <c r="CP389">
        <v>0.9607865040734731</v>
      </c>
      <c r="CQ389" t="s">
        <v>2864</v>
      </c>
      <c r="CR389">
        <f t="shared" si="178"/>
        <v>2</v>
      </c>
      <c r="CS389" t="str">
        <f t="shared" si="188"/>
        <v>No es Candidato</v>
      </c>
      <c r="CT389">
        <v>0</v>
      </c>
      <c r="CU389">
        <v>0</v>
      </c>
      <c r="CV389" s="25">
        <v>46.256950378417969</v>
      </c>
      <c r="CW389" s="25">
        <v>25.02640342712402</v>
      </c>
      <c r="CX389" s="25">
        <v>57.587566375732422</v>
      </c>
      <c r="CY389" s="25">
        <v>59.2139892578125</v>
      </c>
      <c r="CZ389" s="25">
        <v>38.542285919189453</v>
      </c>
      <c r="DA389" s="25">
        <v>35.517139434814453</v>
      </c>
      <c r="DB389" s="25">
        <v>61.654312133789063</v>
      </c>
      <c r="DC389">
        <v>145</v>
      </c>
      <c r="DD389" s="253" t="s">
        <v>380</v>
      </c>
    </row>
    <row r="390" spans="1:108" hidden="1">
      <c r="A390" s="13">
        <v>76054</v>
      </c>
      <c r="B390" s="13" t="s">
        <v>1235</v>
      </c>
      <c r="C390" s="13" t="s">
        <v>454</v>
      </c>
      <c r="D390" s="13" t="s">
        <v>455</v>
      </c>
      <c r="E390" s="13" t="s">
        <v>1236</v>
      </c>
      <c r="F390" s="14">
        <v>66.145133333333305</v>
      </c>
      <c r="G390" s="13">
        <v>67.94</v>
      </c>
      <c r="H390" s="13">
        <v>44.06</v>
      </c>
      <c r="I390" s="13">
        <v>41.41</v>
      </c>
      <c r="J390" s="14">
        <v>54.533270537887532</v>
      </c>
      <c r="K390" s="14">
        <v>49.824282413939244</v>
      </c>
      <c r="L390" s="14">
        <v>57.840969848278249</v>
      </c>
      <c r="M390" s="14">
        <v>48.610799999999998</v>
      </c>
      <c r="N390" s="14">
        <f t="shared" si="162"/>
        <v>54.888783333333329</v>
      </c>
      <c r="O390" s="14">
        <f t="shared" si="163"/>
        <v>52.702330700026252</v>
      </c>
      <c r="P390" s="14">
        <f t="shared" si="179"/>
        <v>53.795557016679794</v>
      </c>
      <c r="Q390" s="14">
        <v>51.30057312489685</v>
      </c>
      <c r="R390" s="17">
        <f t="shared" si="164"/>
        <v>48.69942687510315</v>
      </c>
      <c r="S390" s="14">
        <f t="shared" si="180"/>
        <v>0.53829484187592835</v>
      </c>
      <c r="T390" s="13">
        <v>0</v>
      </c>
      <c r="U390" s="13">
        <f t="shared" si="181"/>
        <v>28.957870857921137</v>
      </c>
      <c r="V390" s="13">
        <f>IF($T390=1,$AU390,(VLOOKUP(U390,'Cortes naturales'!$A$35:$C$39,3,9)))</f>
        <v>4</v>
      </c>
      <c r="W390" s="13">
        <v>4</v>
      </c>
      <c r="X390" s="14" t="b">
        <f t="shared" si="165"/>
        <v>1</v>
      </c>
      <c r="Y390" s="17">
        <f>IF($T390=1,$AU390,VLOOKUP(U390,'Cortes naturales'!$A$45:$C$49,3,9))</f>
        <v>3</v>
      </c>
      <c r="Z390" s="14">
        <v>57.732348798315385</v>
      </c>
      <c r="AA390" s="14">
        <v>0.55146421662638556</v>
      </c>
      <c r="AB390" s="14">
        <v>31.837324504064245</v>
      </c>
      <c r="AC390" s="13">
        <v>3</v>
      </c>
      <c r="AD390" s="13">
        <f t="shared" si="166"/>
        <v>0</v>
      </c>
      <c r="AE390" s="14">
        <f t="shared" si="167"/>
        <v>-3.9367917816355913</v>
      </c>
      <c r="AF390" s="14">
        <f t="shared" si="168"/>
        <v>-1.3169374750457208E-2</v>
      </c>
      <c r="AG390" s="13">
        <f t="shared" si="169"/>
        <v>-2.8794536461431086</v>
      </c>
      <c r="AH390" s="13">
        <f>IF($T390=1,$AU390,VLOOKUP(U390,'Cortes naturales'!$A$25:$C$29,3,9))</f>
        <v>3</v>
      </c>
      <c r="AI390" s="13" t="b">
        <f t="shared" si="170"/>
        <v>1</v>
      </c>
      <c r="AJ390" s="13">
        <f t="shared" si="171"/>
        <v>0</v>
      </c>
      <c r="AK390" s="28">
        <v>0.81759069605862034</v>
      </c>
      <c r="AL390" s="28">
        <v>47.201431239113731</v>
      </c>
      <c r="AM390" s="28">
        <v>0.41981413796100847</v>
      </c>
      <c r="AN390" s="13">
        <v>3</v>
      </c>
      <c r="AO390" s="33">
        <f t="shared" si="172"/>
        <v>0</v>
      </c>
      <c r="AP390" s="13">
        <f t="shared" si="182"/>
        <v>41.981413796100846</v>
      </c>
      <c r="AQ390" s="13">
        <f>IFERROR(VLOOKUP(U390,'Cortes naturales'!$E$15:$G$19,3,9),U390)</f>
        <v>4</v>
      </c>
      <c r="AR390" s="28">
        <f t="shared" si="173"/>
        <v>-0.27929585418269198</v>
      </c>
      <c r="AS390" s="13" t="b">
        <f t="shared" si="174"/>
        <v>0</v>
      </c>
      <c r="AT390" s="13">
        <f t="shared" si="183"/>
        <v>0</v>
      </c>
      <c r="AU390" s="13">
        <v>3</v>
      </c>
      <c r="AV390">
        <f t="shared" si="175"/>
        <v>0</v>
      </c>
      <c r="AW390" s="13">
        <v>0</v>
      </c>
      <c r="AX390" s="13">
        <v>0</v>
      </c>
      <c r="AY390" s="13">
        <v>0</v>
      </c>
      <c r="AZ390" s="13">
        <v>0</v>
      </c>
      <c r="BA390">
        <v>1</v>
      </c>
      <c r="BB390" t="s">
        <v>2839</v>
      </c>
      <c r="BC390">
        <v>6</v>
      </c>
      <c r="BD390" t="s">
        <v>2919</v>
      </c>
      <c r="BE390">
        <v>1</v>
      </c>
      <c r="BF390" s="232" t="s">
        <v>2846</v>
      </c>
      <c r="BG390" s="232" t="s">
        <v>2846</v>
      </c>
      <c r="BH390" s="253">
        <v>36.200000000000003</v>
      </c>
      <c r="BI390" s="253">
        <v>15.754792332268371</v>
      </c>
      <c r="BJ390" s="25">
        <v>24.12781338481339</v>
      </c>
      <c r="BK390" t="s">
        <v>379</v>
      </c>
      <c r="BL390">
        <v>6.3857819991561149</v>
      </c>
      <c r="BM390" t="s">
        <v>379</v>
      </c>
      <c r="BN390" s="322">
        <v>15897.446357999999</v>
      </c>
      <c r="BO390" s="322">
        <v>1167.209016</v>
      </c>
      <c r="BP390" s="10">
        <v>5543</v>
      </c>
      <c r="BQ390" s="254">
        <f t="shared" si="176"/>
        <v>2.868022074327981</v>
      </c>
      <c r="BR390" s="254">
        <f t="shared" si="177"/>
        <v>0.21057351903301461</v>
      </c>
      <c r="BS390" s="25">
        <v>59.010483184333758</v>
      </c>
      <c r="BT390" s="25">
        <v>93.030891246015997</v>
      </c>
      <c r="BU390" s="25">
        <v>51.666031746031727</v>
      </c>
      <c r="BV390" s="25">
        <v>87.22236289578656</v>
      </c>
      <c r="BW390" s="25">
        <v>55.337284293306332</v>
      </c>
      <c r="BX390" s="25">
        <v>72.732442268042007</v>
      </c>
      <c r="BY390" s="25">
        <v>56.310253512410981</v>
      </c>
      <c r="BZ390">
        <v>91</v>
      </c>
      <c r="CA390">
        <v>0</v>
      </c>
      <c r="CB390">
        <v>7</v>
      </c>
      <c r="CC390">
        <v>9080.5953460000001</v>
      </c>
      <c r="CD390" s="10">
        <v>8847.1542449999997</v>
      </c>
      <c r="CE390" s="255">
        <v>0.97429231321238963</v>
      </c>
      <c r="CF390" t="str">
        <f>IFERROR(VLOOKUP(CE390,'Rangos amb etnico'!$A$2:$C$6,3,9),"N.D.")</f>
        <v>71% - 100%</v>
      </c>
      <c r="CG390" s="256">
        <v>2.5739706779676693E-4</v>
      </c>
      <c r="CH390" s="232">
        <v>90.075595000000007</v>
      </c>
      <c r="CI390" s="311">
        <f t="shared" si="184"/>
        <v>9.9195693198330086E-3</v>
      </c>
      <c r="CJ390" s="232" t="str">
        <f>IFERROR(VLOOKUP(CI390,'Rangos amb etnico'!$A$2:$C$6,3,9),"N.D.")</f>
        <v>0,1% - 30%</v>
      </c>
      <c r="CK390" s="311">
        <f t="shared" si="185"/>
        <v>3.5765908644790764E-6</v>
      </c>
      <c r="CL390" s="10">
        <v>0</v>
      </c>
      <c r="CM390" s="255">
        <f t="shared" si="186"/>
        <v>0</v>
      </c>
      <c r="CN390" s="232">
        <f>IFERROR(VLOOKUP(CM390,'Rangos amb etnico'!$A$2:$C$6,3,9),"N.D.")</f>
        <v>0</v>
      </c>
      <c r="CO390" s="311">
        <f t="shared" si="187"/>
        <v>0</v>
      </c>
      <c r="CP390">
        <v>0.95054298485963229</v>
      </c>
      <c r="CQ390" t="s">
        <v>2864</v>
      </c>
      <c r="CR390">
        <f t="shared" si="178"/>
        <v>1</v>
      </c>
      <c r="CS390" t="str">
        <f t="shared" si="188"/>
        <v>No es Candidato</v>
      </c>
      <c r="CT390">
        <v>0</v>
      </c>
      <c r="CU390">
        <v>0</v>
      </c>
      <c r="CV390" s="25">
        <v>50.49444580078125</v>
      </c>
      <c r="CW390" s="25">
        <v>26.710103988647461</v>
      </c>
      <c r="CX390" s="25">
        <v>56.844657897949219</v>
      </c>
      <c r="CY390" s="25">
        <v>57.510269165039063</v>
      </c>
      <c r="CZ390" s="25">
        <v>60.974128723144531</v>
      </c>
      <c r="DA390" s="25">
        <v>54.593368530273438</v>
      </c>
      <c r="DB390" s="25">
        <v>46.334152221679688</v>
      </c>
      <c r="DC390">
        <v>463</v>
      </c>
      <c r="DD390" s="253" t="s">
        <v>380</v>
      </c>
    </row>
    <row r="391" spans="1:108" hidden="1">
      <c r="A391" s="13">
        <v>25407</v>
      </c>
      <c r="B391" s="13" t="s">
        <v>1237</v>
      </c>
      <c r="C391" s="13" t="s">
        <v>461</v>
      </c>
      <c r="D391" s="13" t="s">
        <v>462</v>
      </c>
      <c r="E391" s="13" t="s">
        <v>1238</v>
      </c>
      <c r="F391" s="14">
        <v>57.255966666666701</v>
      </c>
      <c r="G391" s="13">
        <v>56.79</v>
      </c>
      <c r="H391" s="13">
        <v>54.2</v>
      </c>
      <c r="I391" s="13">
        <v>81.87</v>
      </c>
      <c r="J391" s="14">
        <v>58.512859239263662</v>
      </c>
      <c r="K391" s="14">
        <v>64.571639804440252</v>
      </c>
      <c r="L391" s="14">
        <v>57.990559673698669</v>
      </c>
      <c r="M391" s="14">
        <v>64.792400000000001</v>
      </c>
      <c r="N391" s="14">
        <f t="shared" si="162"/>
        <v>62.528991666666677</v>
      </c>
      <c r="O391" s="14">
        <f t="shared" si="163"/>
        <v>61.46686467935065</v>
      </c>
      <c r="P391" s="14">
        <f t="shared" si="179"/>
        <v>61.99792817300866</v>
      </c>
      <c r="Q391" s="14">
        <v>51.932685656815877</v>
      </c>
      <c r="R391" s="17">
        <f t="shared" si="164"/>
        <v>48.067314343184123</v>
      </c>
      <c r="S391" s="14">
        <f t="shared" si="180"/>
        <v>0.53260582908865706</v>
      </c>
      <c r="T391" s="13">
        <v>0</v>
      </c>
      <c r="U391" s="13">
        <f t="shared" si="181"/>
        <v>33.020457936364288</v>
      </c>
      <c r="V391" s="13">
        <f>IF($T391=1,$AU391,(VLOOKUP(U391,'Cortes naturales'!$A$35:$C$39,3,9)))</f>
        <v>3</v>
      </c>
      <c r="W391" s="13">
        <v>3</v>
      </c>
      <c r="X391" s="14" t="b">
        <f t="shared" si="165"/>
        <v>1</v>
      </c>
      <c r="Y391" s="17">
        <f>IF($T391=1,$AU391,VLOOKUP(U391,'Cortes naturales'!$A$45:$C$49,3,9))</f>
        <v>3</v>
      </c>
      <c r="Z391" s="14">
        <v>57.436568525421919</v>
      </c>
      <c r="AA391" s="14">
        <v>0.54955477419975085</v>
      </c>
      <c r="AB391" s="14">
        <v>31.564540446796759</v>
      </c>
      <c r="AC391" s="13">
        <v>3</v>
      </c>
      <c r="AD391" s="13">
        <f t="shared" si="166"/>
        <v>0</v>
      </c>
      <c r="AE391" s="14">
        <f t="shared" si="167"/>
        <v>4.5613596475867411</v>
      </c>
      <c r="AF391" s="14">
        <f t="shared" si="168"/>
        <v>-1.6948945111093794E-2</v>
      </c>
      <c r="AG391" s="13">
        <f t="shared" si="169"/>
        <v>1.4559174895675291</v>
      </c>
      <c r="AH391" s="13">
        <f>IF($T391=1,$AU391,VLOOKUP(U391,'Cortes naturales'!$A$25:$C$29,3,9))</f>
        <v>3</v>
      </c>
      <c r="AI391" s="13" t="b">
        <f t="shared" si="170"/>
        <v>1</v>
      </c>
      <c r="AJ391" s="13">
        <f t="shared" si="171"/>
        <v>0</v>
      </c>
      <c r="AK391" s="28">
        <v>0.81759069605862034</v>
      </c>
      <c r="AL391" s="28">
        <v>46.959604039918354</v>
      </c>
      <c r="AM391" s="28">
        <v>0.41678913460896982</v>
      </c>
      <c r="AN391" s="13">
        <v>3</v>
      </c>
      <c r="AO391" s="33">
        <f t="shared" si="172"/>
        <v>0</v>
      </c>
      <c r="AP391" s="13">
        <f t="shared" si="182"/>
        <v>41.678913460896979</v>
      </c>
      <c r="AQ391" s="13">
        <f>IFERROR(VLOOKUP(U391,'Cortes naturales'!$E$15:$G$19,3,9),U391)</f>
        <v>4</v>
      </c>
      <c r="AR391" s="28">
        <f t="shared" si="173"/>
        <v>-0.28498486696996328</v>
      </c>
      <c r="AS391" s="13" t="b">
        <f t="shared" si="174"/>
        <v>0</v>
      </c>
      <c r="AT391" s="13">
        <f t="shared" si="183"/>
        <v>0</v>
      </c>
      <c r="AU391" s="13">
        <v>3</v>
      </c>
      <c r="AV391">
        <f t="shared" si="175"/>
        <v>0</v>
      </c>
      <c r="AW391" s="13">
        <v>0</v>
      </c>
      <c r="AX391" s="13">
        <v>0</v>
      </c>
      <c r="AY391" s="13">
        <v>0</v>
      </c>
      <c r="AZ391" s="13">
        <v>0</v>
      </c>
      <c r="BA391">
        <v>0</v>
      </c>
      <c r="BB391" t="s">
        <v>2839</v>
      </c>
      <c r="BC391">
        <v>6</v>
      </c>
      <c r="BD391" t="s">
        <v>2919</v>
      </c>
      <c r="BE391">
        <v>0</v>
      </c>
      <c r="BF391" s="232" t="s">
        <v>2846</v>
      </c>
      <c r="BG391" s="232" t="s">
        <v>2846</v>
      </c>
      <c r="BH391" s="253">
        <v>29.1</v>
      </c>
      <c r="BI391" s="253">
        <v>10.282557892500531</v>
      </c>
      <c r="BJ391" s="25">
        <v>53.936875189190687</v>
      </c>
      <c r="BK391" t="s">
        <v>376</v>
      </c>
      <c r="BL391">
        <v>0</v>
      </c>
      <c r="BM391" t="s">
        <v>377</v>
      </c>
      <c r="BN391" s="322">
        <v>25763.736120000001</v>
      </c>
      <c r="BO391" s="322">
        <v>2990.62995</v>
      </c>
      <c r="BP391" s="10">
        <v>10629</v>
      </c>
      <c r="BQ391" s="254">
        <f t="shared" si="176"/>
        <v>2.4239096923511152</v>
      </c>
      <c r="BR391" s="254">
        <f t="shared" si="177"/>
        <v>0.28136512842224104</v>
      </c>
      <c r="BS391" s="25">
        <v>59.475035676612997</v>
      </c>
      <c r="BT391" s="25">
        <v>91.507510897858069</v>
      </c>
      <c r="BU391" s="25">
        <v>50.120814855204173</v>
      </c>
      <c r="BV391" s="25">
        <v>92.511724265561398</v>
      </c>
      <c r="BW391" s="25">
        <v>56.417713332051363</v>
      </c>
      <c r="BX391" s="25">
        <v>73.403771423809161</v>
      </c>
      <c r="BY391" s="25">
        <v>57.409835888992042</v>
      </c>
      <c r="BZ391">
        <v>96</v>
      </c>
      <c r="CA391">
        <v>0</v>
      </c>
      <c r="CB391">
        <v>7</v>
      </c>
      <c r="CC391">
        <v>15539.601092999999</v>
      </c>
      <c r="CD391" s="10">
        <v>2960.370195</v>
      </c>
      <c r="CE391" s="255">
        <v>0.19050490275027293</v>
      </c>
      <c r="CF391" t="str">
        <f>IFERROR(VLOOKUP(CE391,'Rangos amb etnico'!$A$2:$C$6,3,9),"N.D.")</f>
        <v>0,1% - 30%</v>
      </c>
      <c r="CG391" s="256">
        <v>8.6128328577133695E-5</v>
      </c>
      <c r="CH391" s="232">
        <v>0</v>
      </c>
      <c r="CI391" s="311">
        <f t="shared" si="184"/>
        <v>0</v>
      </c>
      <c r="CJ391" s="232">
        <f>IFERROR(VLOOKUP(CI391,'Rangos amb etnico'!$A$2:$C$6,3,9),"N.D.")</f>
        <v>0</v>
      </c>
      <c r="CK391" s="311">
        <f t="shared" si="185"/>
        <v>0</v>
      </c>
      <c r="CL391" s="10">
        <v>0</v>
      </c>
      <c r="CM391" s="255">
        <f t="shared" si="186"/>
        <v>0</v>
      </c>
      <c r="CN391" s="232">
        <f>IFERROR(VLOOKUP(CM391,'Rangos amb etnico'!$A$2:$C$6,3,9),"N.D.")</f>
        <v>0</v>
      </c>
      <c r="CO391" s="311">
        <f t="shared" si="187"/>
        <v>0</v>
      </c>
      <c r="CP391">
        <v>0.86658578493183369</v>
      </c>
      <c r="CQ391" t="s">
        <v>2864</v>
      </c>
      <c r="CR391">
        <f t="shared" si="178"/>
        <v>3</v>
      </c>
      <c r="CS391" t="str">
        <f t="shared" si="188"/>
        <v>Candidato</v>
      </c>
      <c r="CT391">
        <v>0</v>
      </c>
      <c r="CU391">
        <v>0</v>
      </c>
      <c r="CV391" s="25">
        <v>50.092758178710938</v>
      </c>
      <c r="CW391" s="25">
        <v>33.693302154541023</v>
      </c>
      <c r="CX391" s="25">
        <v>48.145286560058587</v>
      </c>
      <c r="CY391" s="25">
        <v>64.134552001953125</v>
      </c>
      <c r="CZ391" s="25">
        <v>47.747409820556641</v>
      </c>
      <c r="DA391" s="25">
        <v>57.2186279296875</v>
      </c>
      <c r="DB391" s="25">
        <v>49.617378234863281</v>
      </c>
      <c r="DC391">
        <v>82</v>
      </c>
      <c r="DD391" s="253" t="s">
        <v>380</v>
      </c>
    </row>
    <row r="392" spans="1:108" hidden="1">
      <c r="A392" s="13">
        <v>73408</v>
      </c>
      <c r="B392" s="13" t="s">
        <v>1239</v>
      </c>
      <c r="C392" s="13" t="s">
        <v>595</v>
      </c>
      <c r="D392" s="13" t="s">
        <v>596</v>
      </c>
      <c r="E392" s="13" t="s">
        <v>1240</v>
      </c>
      <c r="F392" s="14">
        <v>59.562600000000003</v>
      </c>
      <c r="G392" s="13">
        <v>70.44</v>
      </c>
      <c r="H392" s="13">
        <v>77.39</v>
      </c>
      <c r="I392" s="13">
        <v>78.489999999999995</v>
      </c>
      <c r="J392" s="14">
        <v>50.232080162667245</v>
      </c>
      <c r="K392" s="14">
        <v>53.377067341409386</v>
      </c>
      <c r="L392" s="14">
        <v>56.542319843669844</v>
      </c>
      <c r="M392" s="14">
        <v>56.1173</v>
      </c>
      <c r="N392" s="14">
        <f t="shared" si="162"/>
        <v>71.470650000000006</v>
      </c>
      <c r="O392" s="14">
        <f t="shared" si="163"/>
        <v>54.067191836936615</v>
      </c>
      <c r="P392" s="14">
        <f t="shared" si="179"/>
        <v>62.768920918468311</v>
      </c>
      <c r="Q392" s="14">
        <v>51.206591441381335</v>
      </c>
      <c r="R392" s="17">
        <f t="shared" si="164"/>
        <v>48.793408558618665</v>
      </c>
      <c r="S392" s="14">
        <f t="shared" si="180"/>
        <v>0.53914067702756807</v>
      </c>
      <c r="T392" s="13">
        <v>0</v>
      </c>
      <c r="U392" s="13">
        <f t="shared" si="181"/>
        <v>33.841278520272887</v>
      </c>
      <c r="V392" s="13">
        <f>IF($T392=1,$AU392,(VLOOKUP(U392,'Cortes naturales'!$A$35:$C$39,3,9)))</f>
        <v>3</v>
      </c>
      <c r="W392" s="13">
        <v>3</v>
      </c>
      <c r="X392" s="14" t="b">
        <f t="shared" si="165"/>
        <v>1</v>
      </c>
      <c r="Y392" s="17">
        <f>IF($T392=1,$AU392,VLOOKUP(U392,'Cortes naturales'!$A$45:$C$49,3,9))</f>
        <v>3</v>
      </c>
      <c r="Z392" s="14">
        <v>59.550392193244946</v>
      </c>
      <c r="AA392" s="14">
        <v>0.54950153342396879</v>
      </c>
      <c r="AB392" s="14">
        <v>32.72303182618684</v>
      </c>
      <c r="AC392" s="13">
        <v>3</v>
      </c>
      <c r="AD392" s="13">
        <f t="shared" si="166"/>
        <v>0</v>
      </c>
      <c r="AE392" s="14">
        <f t="shared" si="167"/>
        <v>3.218528725223365</v>
      </c>
      <c r="AF392" s="14">
        <f t="shared" si="168"/>
        <v>-1.0360856396400719E-2</v>
      </c>
      <c r="AG392" s="13">
        <f t="shared" si="169"/>
        <v>1.1182466940860465</v>
      </c>
      <c r="AH392" s="13">
        <f>IF($T392=1,$AU392,VLOOKUP(U392,'Cortes naturales'!$A$25:$C$29,3,9))</f>
        <v>3</v>
      </c>
      <c r="AI392" s="13" t="b">
        <f t="shared" si="170"/>
        <v>1</v>
      </c>
      <c r="AJ392" s="13">
        <f t="shared" si="171"/>
        <v>0</v>
      </c>
      <c r="AK392" s="28">
        <v>0.81759069605862034</v>
      </c>
      <c r="AL392" s="28">
        <v>48.687846603838963</v>
      </c>
      <c r="AM392" s="28">
        <v>0.43840762734423877</v>
      </c>
      <c r="AN392" s="13">
        <v>3</v>
      </c>
      <c r="AO392" s="33">
        <f t="shared" si="172"/>
        <v>0</v>
      </c>
      <c r="AP392" s="13">
        <f t="shared" si="182"/>
        <v>43.840762734423876</v>
      </c>
      <c r="AQ392" s="13">
        <f>IFERROR(VLOOKUP(U392,'Cortes naturales'!$E$15:$G$19,3,9),U392)</f>
        <v>4</v>
      </c>
      <c r="AR392" s="28">
        <f t="shared" si="173"/>
        <v>-0.27845001903105226</v>
      </c>
      <c r="AS392" s="13" t="b">
        <f t="shared" si="174"/>
        <v>0</v>
      </c>
      <c r="AT392" s="13">
        <f t="shared" si="183"/>
        <v>0</v>
      </c>
      <c r="AU392" s="13">
        <v>3</v>
      </c>
      <c r="AV392">
        <f t="shared" si="175"/>
        <v>0</v>
      </c>
      <c r="AW392" s="13">
        <v>0</v>
      </c>
      <c r="AX392" s="13">
        <v>0</v>
      </c>
      <c r="AY392" s="13">
        <v>0</v>
      </c>
      <c r="AZ392" s="13">
        <v>0</v>
      </c>
      <c r="BA392">
        <v>1</v>
      </c>
      <c r="BB392" t="s">
        <v>2839</v>
      </c>
      <c r="BC392">
        <v>6</v>
      </c>
      <c r="BD392" t="s">
        <v>2919</v>
      </c>
      <c r="BE392">
        <v>0</v>
      </c>
      <c r="BF392" s="232" t="s">
        <v>2846</v>
      </c>
      <c r="BG392" s="232" t="s">
        <v>2846</v>
      </c>
      <c r="BH392" s="253">
        <v>28.1</v>
      </c>
      <c r="BI392" s="253">
        <v>13.723410523834778</v>
      </c>
      <c r="BJ392" s="25">
        <v>30.828928338254642</v>
      </c>
      <c r="BK392" t="s">
        <v>379</v>
      </c>
      <c r="BL392">
        <v>4.3101881287696528</v>
      </c>
      <c r="BM392" t="s">
        <v>383</v>
      </c>
      <c r="BN392" s="322">
        <v>34805.395557999997</v>
      </c>
      <c r="BO392" s="322">
        <v>7445.9425440000005</v>
      </c>
      <c r="BP392" s="10">
        <v>18514</v>
      </c>
      <c r="BQ392" s="254">
        <f t="shared" si="176"/>
        <v>1.8799500679485792</v>
      </c>
      <c r="BR392" s="254">
        <f t="shared" si="177"/>
        <v>0.40217902905909042</v>
      </c>
      <c r="BS392" s="25">
        <v>66.188507247744624</v>
      </c>
      <c r="BT392" s="25">
        <v>92.710468384885914</v>
      </c>
      <c r="BU392" s="25">
        <v>57.643333333333338</v>
      </c>
      <c r="BV392" s="25">
        <v>84.625151931465936</v>
      </c>
      <c r="BW392" s="25">
        <v>69.025718268990786</v>
      </c>
      <c r="BX392" s="25">
        <v>75.291865224357451</v>
      </c>
      <c r="BY392" s="25">
        <v>69.800382264222208</v>
      </c>
      <c r="BZ392">
        <v>89</v>
      </c>
      <c r="CA392">
        <v>0</v>
      </c>
      <c r="CB392">
        <v>6</v>
      </c>
      <c r="CC392">
        <v>27176.637277000002</v>
      </c>
      <c r="CD392" s="10">
        <v>1971.12013</v>
      </c>
      <c r="CE392" s="255">
        <v>7.2529949526470253E-2</v>
      </c>
      <c r="CF392" t="str">
        <f>IFERROR(VLOOKUP(CE392,'Rangos amb etnico'!$A$2:$C$6,3,9),"N.D.")</f>
        <v>0,1% - 30%</v>
      </c>
      <c r="CG392" s="256">
        <v>5.7347315044712674E-5</v>
      </c>
      <c r="CH392" s="232">
        <v>0</v>
      </c>
      <c r="CI392" s="311">
        <f t="shared" si="184"/>
        <v>0</v>
      </c>
      <c r="CJ392" s="232">
        <f>IFERROR(VLOOKUP(CI392,'Rangos amb etnico'!$A$2:$C$6,3,9),"N.D.")</f>
        <v>0</v>
      </c>
      <c r="CK392" s="311">
        <f t="shared" si="185"/>
        <v>0</v>
      </c>
      <c r="CL392" s="10">
        <v>0</v>
      </c>
      <c r="CM392" s="255">
        <f t="shared" si="186"/>
        <v>0</v>
      </c>
      <c r="CN392" s="232">
        <f>IFERROR(VLOOKUP(CM392,'Rangos amb etnico'!$A$2:$C$6,3,9),"N.D.")</f>
        <v>0</v>
      </c>
      <c r="CO392" s="311">
        <f t="shared" si="187"/>
        <v>0</v>
      </c>
      <c r="CP392">
        <v>0.94892151949246539</v>
      </c>
      <c r="CQ392" t="s">
        <v>2864</v>
      </c>
      <c r="CR392">
        <f t="shared" si="178"/>
        <v>3</v>
      </c>
      <c r="CS392" t="str">
        <f t="shared" si="188"/>
        <v>Candidato</v>
      </c>
      <c r="CT392">
        <v>0</v>
      </c>
      <c r="CU392">
        <v>0</v>
      </c>
      <c r="CV392" s="25">
        <v>39.959629058837891</v>
      </c>
      <c r="CW392" s="25">
        <v>33.959091186523438</v>
      </c>
      <c r="CX392" s="25">
        <v>48.454242706298828</v>
      </c>
      <c r="CY392" s="25">
        <v>50.81988525390625</v>
      </c>
      <c r="CZ392" s="25">
        <v>23.524299621582031</v>
      </c>
      <c r="DA392" s="25">
        <v>25.038984298706051</v>
      </c>
      <c r="DB392" s="25">
        <v>57.961265563964837</v>
      </c>
      <c r="DC392">
        <v>222</v>
      </c>
      <c r="DD392" s="253" t="s">
        <v>380</v>
      </c>
    </row>
    <row r="393" spans="1:108">
      <c r="A393" s="13">
        <v>5264</v>
      </c>
      <c r="B393" s="13" t="s">
        <v>1241</v>
      </c>
      <c r="C393" s="13" t="s">
        <v>435</v>
      </c>
      <c r="D393" s="13" t="s">
        <v>436</v>
      </c>
      <c r="E393" s="13" t="s">
        <v>1242</v>
      </c>
      <c r="F393" s="14">
        <v>68.875699999999995</v>
      </c>
      <c r="G393" s="13">
        <v>51.6</v>
      </c>
      <c r="H393" s="13">
        <v>48.62</v>
      </c>
      <c r="I393" s="13">
        <v>64.17</v>
      </c>
      <c r="J393" s="14">
        <v>64.763279081380006</v>
      </c>
      <c r="K393" s="14">
        <v>60.659310330208889</v>
      </c>
      <c r="L393" s="14">
        <v>58.252683821650663</v>
      </c>
      <c r="M393" s="14">
        <v>71.005200000000002</v>
      </c>
      <c r="N393" s="14">
        <f t="shared" si="162"/>
        <v>58.316424999999995</v>
      </c>
      <c r="O393" s="14">
        <f t="shared" si="163"/>
        <v>63.670118308309888</v>
      </c>
      <c r="P393" s="14">
        <f t="shared" si="179"/>
        <v>60.993271654154938</v>
      </c>
      <c r="Q393" s="14">
        <v>50.006471608359504</v>
      </c>
      <c r="R393" s="17">
        <f t="shared" si="164"/>
        <v>49.993528391640496</v>
      </c>
      <c r="S393" s="14">
        <f t="shared" si="180"/>
        <v>0.54994175552476443</v>
      </c>
      <c r="T393" s="13">
        <v>0</v>
      </c>
      <c r="U393" s="13">
        <f t="shared" si="181"/>
        <v>33.542746888684817</v>
      </c>
      <c r="V393" s="13">
        <f>IF($T393=1,$AU393,(VLOOKUP(U393,'Cortes naturales'!$A$35:$C$39,3,9)))</f>
        <v>3</v>
      </c>
      <c r="W393" s="13">
        <v>3</v>
      </c>
      <c r="X393" s="14" t="b">
        <f t="shared" si="165"/>
        <v>1</v>
      </c>
      <c r="Y393" s="17">
        <f>IF($T393=1,$AU393,VLOOKUP(U393,'Cortes naturales'!$A$45:$C$49,3,9))</f>
        <v>3</v>
      </c>
      <c r="Z393" s="14">
        <v>59.128961625393785</v>
      </c>
      <c r="AA393" s="14">
        <v>0.55256135115698835</v>
      </c>
      <c r="AB393" s="14">
        <v>32.6723789282373</v>
      </c>
      <c r="AC393" s="13">
        <v>3</v>
      </c>
      <c r="AD393" s="13">
        <f t="shared" si="166"/>
        <v>0</v>
      </c>
      <c r="AE393" s="14">
        <f t="shared" si="167"/>
        <v>1.8643100287611531</v>
      </c>
      <c r="AF393" s="14">
        <f t="shared" si="168"/>
        <v>-2.6195956322239144E-3</v>
      </c>
      <c r="AG393" s="13">
        <f t="shared" si="169"/>
        <v>0.87036796044751696</v>
      </c>
      <c r="AH393" s="13">
        <f>IF($T393=1,$AU393,VLOOKUP(U393,'Cortes naturales'!$A$25:$C$29,3,9))</f>
        <v>3</v>
      </c>
      <c r="AI393" s="13" t="b">
        <f t="shared" si="170"/>
        <v>1</v>
      </c>
      <c r="AJ393" s="13">
        <f t="shared" si="171"/>
        <v>0</v>
      </c>
      <c r="AK393" s="28">
        <v>0.81759069605862034</v>
      </c>
      <c r="AL393" s="28">
        <v>48.343288892529152</v>
      </c>
      <c r="AM393" s="28">
        <v>0.43409757357381551</v>
      </c>
      <c r="AN393" s="13">
        <v>3</v>
      </c>
      <c r="AO393" s="33">
        <f t="shared" si="172"/>
        <v>0</v>
      </c>
      <c r="AP393" s="13">
        <f t="shared" si="182"/>
        <v>43.409757357381551</v>
      </c>
      <c r="AQ393" s="13">
        <f>IFERROR(VLOOKUP(U393,'Cortes naturales'!$E$15:$G$19,3,9),U393)</f>
        <v>4</v>
      </c>
      <c r="AR393" s="28">
        <f t="shared" si="173"/>
        <v>-0.26764894053385591</v>
      </c>
      <c r="AS393" s="13" t="b">
        <f t="shared" si="174"/>
        <v>0</v>
      </c>
      <c r="AT393" s="13">
        <f t="shared" si="183"/>
        <v>0</v>
      </c>
      <c r="AU393" s="13">
        <v>3</v>
      </c>
      <c r="AV393">
        <f t="shared" si="175"/>
        <v>0</v>
      </c>
      <c r="AW393" s="13">
        <v>0</v>
      </c>
      <c r="AX393" s="13">
        <v>0</v>
      </c>
      <c r="AY393" s="13">
        <v>0</v>
      </c>
      <c r="AZ393" s="13">
        <v>0</v>
      </c>
      <c r="BA393">
        <v>0</v>
      </c>
      <c r="BB393" t="s">
        <v>2839</v>
      </c>
      <c r="BC393">
        <v>6</v>
      </c>
      <c r="BD393" t="s">
        <v>2919</v>
      </c>
      <c r="BE393">
        <v>0</v>
      </c>
      <c r="BF393" s="232" t="s">
        <v>2846</v>
      </c>
      <c r="BG393" s="232" t="s">
        <v>2845</v>
      </c>
      <c r="BH393" s="253">
        <v>23.1</v>
      </c>
      <c r="BI393" s="253">
        <v>7.0281353229297183</v>
      </c>
      <c r="BJ393" s="25">
        <v>12.333754484107246</v>
      </c>
      <c r="BK393" t="s">
        <v>377</v>
      </c>
      <c r="BL393">
        <v>2.8871593911953743</v>
      </c>
      <c r="BM393" t="s">
        <v>383</v>
      </c>
      <c r="BN393" s="322">
        <v>33710.165723999999</v>
      </c>
      <c r="BO393" s="322">
        <v>10405.792288000001</v>
      </c>
      <c r="BP393" s="10">
        <v>12568</v>
      </c>
      <c r="BQ393" s="254">
        <f t="shared" si="176"/>
        <v>2.6822219704010184</v>
      </c>
      <c r="BR393" s="254">
        <f t="shared" si="177"/>
        <v>0.82795928453214518</v>
      </c>
      <c r="BS393" s="25">
        <v>69.365749698160187</v>
      </c>
      <c r="BT393" s="25">
        <v>88.077380207935505</v>
      </c>
      <c r="BU393" s="25">
        <v>65.006666666666675</v>
      </c>
      <c r="BV393" s="25">
        <v>91.676217252338361</v>
      </c>
      <c r="BW393" s="25">
        <v>61.172009516618083</v>
      </c>
      <c r="BX393" s="25">
        <v>78.531503456275175</v>
      </c>
      <c r="BY393" s="25">
        <v>62.120806496130371</v>
      </c>
      <c r="BZ393">
        <v>61</v>
      </c>
      <c r="CA393">
        <v>0</v>
      </c>
      <c r="CB393">
        <v>7</v>
      </c>
      <c r="CC393">
        <v>21422.851106999999</v>
      </c>
      <c r="CD393" s="10">
        <v>3868.392182</v>
      </c>
      <c r="CE393" s="255">
        <v>0.18057317220190117</v>
      </c>
      <c r="CF393" t="str">
        <f>IFERROR(VLOOKUP(CE393,'Rangos amb etnico'!$A$2:$C$6,3,9),"N.D.")</f>
        <v>0,1% - 30%</v>
      </c>
      <c r="CG393" s="256">
        <v>1.1254611111787361E-4</v>
      </c>
      <c r="CH393" s="232">
        <v>0</v>
      </c>
      <c r="CI393" s="311">
        <f t="shared" si="184"/>
        <v>0</v>
      </c>
      <c r="CJ393" s="232">
        <f>IFERROR(VLOOKUP(CI393,'Rangos amb etnico'!$A$2:$C$6,3,9),"N.D.")</f>
        <v>0</v>
      </c>
      <c r="CK393" s="311">
        <f t="shared" si="185"/>
        <v>0</v>
      </c>
      <c r="CL393" s="10">
        <v>0</v>
      </c>
      <c r="CM393" s="255">
        <f t="shared" si="186"/>
        <v>0</v>
      </c>
      <c r="CN393" s="232">
        <f>IFERROR(VLOOKUP(CM393,'Rangos amb etnico'!$A$2:$C$6,3,9),"N.D.")</f>
        <v>0</v>
      </c>
      <c r="CO393" s="311">
        <f t="shared" si="187"/>
        <v>0</v>
      </c>
      <c r="CP393">
        <v>0.94053231994322317</v>
      </c>
      <c r="CQ393" t="s">
        <v>2864</v>
      </c>
      <c r="CR393">
        <f t="shared" si="178"/>
        <v>4</v>
      </c>
      <c r="CS393" t="str">
        <f t="shared" si="188"/>
        <v>Candidato</v>
      </c>
      <c r="CT393">
        <v>0</v>
      </c>
      <c r="CU393">
        <v>0</v>
      </c>
      <c r="CV393" s="25">
        <v>54.651527404785163</v>
      </c>
      <c r="CW393" s="25">
        <v>42.208217620849609</v>
      </c>
      <c r="CX393" s="25">
        <v>48.879970550537109</v>
      </c>
      <c r="CY393" s="25">
        <v>70.5164794921875</v>
      </c>
      <c r="CZ393" s="25">
        <v>66.182472229003906</v>
      </c>
      <c r="DA393" s="25">
        <v>39.422252655029297</v>
      </c>
      <c r="DB393" s="25">
        <v>60.699775695800781</v>
      </c>
      <c r="DC393">
        <v>178</v>
      </c>
      <c r="DD393" s="253" t="s">
        <v>380</v>
      </c>
    </row>
    <row r="394" spans="1:108" hidden="1">
      <c r="A394" s="13">
        <v>68079</v>
      </c>
      <c r="B394" s="13" t="s">
        <v>1243</v>
      </c>
      <c r="C394" s="13" t="s">
        <v>431</v>
      </c>
      <c r="D394" s="13" t="s">
        <v>432</v>
      </c>
      <c r="E394" s="13" t="s">
        <v>1244</v>
      </c>
      <c r="F394" s="14">
        <v>71.445566666666707</v>
      </c>
      <c r="G394" s="13">
        <v>71.02</v>
      </c>
      <c r="H394" s="13">
        <v>64.489999999999995</v>
      </c>
      <c r="I394" s="13">
        <v>75.19</v>
      </c>
      <c r="J394" s="14">
        <v>54.061347747177848</v>
      </c>
      <c r="K394" s="14">
        <v>74.520581560794895</v>
      </c>
      <c r="L394" s="14">
        <v>68.785022834974711</v>
      </c>
      <c r="M394" s="14">
        <v>63.756599999999999</v>
      </c>
      <c r="N394" s="14">
        <f t="shared" si="162"/>
        <v>70.536391666666674</v>
      </c>
      <c r="O394" s="14">
        <f t="shared" si="163"/>
        <v>65.280888035736865</v>
      </c>
      <c r="P394" s="14">
        <f t="shared" si="179"/>
        <v>67.908639851201769</v>
      </c>
      <c r="Q394" s="14">
        <v>49.753157885646537</v>
      </c>
      <c r="R394" s="17">
        <f t="shared" si="164"/>
        <v>50.246842114353463</v>
      </c>
      <c r="S394" s="14">
        <f t="shared" si="180"/>
        <v>0.55222157902918123</v>
      </c>
      <c r="T394" s="13">
        <v>0</v>
      </c>
      <c r="U394" s="13">
        <f t="shared" si="181"/>
        <v>37.500616328354624</v>
      </c>
      <c r="V394" s="13">
        <f>IF($T394=1,$AU394,(VLOOKUP(U394,'Cortes naturales'!$A$35:$C$39,3,9)))</f>
        <v>3</v>
      </c>
      <c r="W394" s="13">
        <v>3</v>
      </c>
      <c r="X394" s="14" t="b">
        <f t="shared" si="165"/>
        <v>1</v>
      </c>
      <c r="Y394" s="17">
        <f>IF($T394=1,$AU394,VLOOKUP(U394,'Cortes naturales'!$A$45:$C$49,3,9))</f>
        <v>2</v>
      </c>
      <c r="Z394" s="14">
        <v>66.863732878308227</v>
      </c>
      <c r="AA394" s="14">
        <v>0.55355494025549112</v>
      </c>
      <c r="AB394" s="14">
        <v>37.01274965871103</v>
      </c>
      <c r="AC394" s="13">
        <v>2</v>
      </c>
      <c r="AD394" s="13">
        <f t="shared" si="166"/>
        <v>0</v>
      </c>
      <c r="AE394" s="14">
        <f t="shared" si="167"/>
        <v>1.0449069728935427</v>
      </c>
      <c r="AF394" s="14">
        <f t="shared" si="168"/>
        <v>-1.3333612263098926E-3</v>
      </c>
      <c r="AG394" s="13">
        <f t="shared" si="169"/>
        <v>0.48786666964359426</v>
      </c>
      <c r="AH394" s="13">
        <f>IF($T394=1,$AU394,VLOOKUP(U394,'Cortes naturales'!$A$25:$C$29,3,9))</f>
        <v>2</v>
      </c>
      <c r="AI394" s="13" t="b">
        <f t="shared" si="170"/>
        <v>1</v>
      </c>
      <c r="AJ394" s="13">
        <f t="shared" si="171"/>
        <v>0</v>
      </c>
      <c r="AK394" s="28">
        <v>0.81759069605862034</v>
      </c>
      <c r="AL394" s="28">
        <v>54.667165905053679</v>
      </c>
      <c r="AM394" s="28">
        <v>0.51320260900579573</v>
      </c>
      <c r="AN394" s="13">
        <v>2</v>
      </c>
      <c r="AO394" s="33">
        <f t="shared" si="172"/>
        <v>0</v>
      </c>
      <c r="AP394" s="13">
        <f t="shared" si="182"/>
        <v>51.320260900579569</v>
      </c>
      <c r="AQ394" s="13">
        <f>IFERROR(VLOOKUP(U394,'Cortes naturales'!$E$15:$G$19,3,9),U394)</f>
        <v>3</v>
      </c>
      <c r="AR394" s="28">
        <f t="shared" si="173"/>
        <v>-0.26536911702943911</v>
      </c>
      <c r="AS394" s="13" t="b">
        <f t="shared" si="174"/>
        <v>0</v>
      </c>
      <c r="AT394" s="13">
        <f t="shared" si="183"/>
        <v>0</v>
      </c>
      <c r="AU394" s="13">
        <v>2</v>
      </c>
      <c r="AV394">
        <f t="shared" si="175"/>
        <v>0</v>
      </c>
      <c r="AW394" s="13">
        <v>0</v>
      </c>
      <c r="AX394" s="13">
        <v>0</v>
      </c>
      <c r="AY394" s="13">
        <v>0</v>
      </c>
      <c r="AZ394" s="13">
        <v>0</v>
      </c>
      <c r="BA394">
        <v>0</v>
      </c>
      <c r="BB394" t="s">
        <v>2839</v>
      </c>
      <c r="BC394">
        <v>6</v>
      </c>
      <c r="BD394" t="s">
        <v>2919</v>
      </c>
      <c r="BE394">
        <v>0</v>
      </c>
      <c r="BF394" s="232" t="s">
        <v>2846</v>
      </c>
      <c r="BG394" s="232" t="s">
        <v>2845</v>
      </c>
      <c r="BH394" s="253">
        <v>28.5</v>
      </c>
      <c r="BI394" s="253">
        <v>11.002509576013736</v>
      </c>
      <c r="BJ394" s="25">
        <v>70.533616411358949</v>
      </c>
      <c r="BK394" t="s">
        <v>376</v>
      </c>
      <c r="BL394">
        <v>0</v>
      </c>
      <c r="BM394" t="s">
        <v>377</v>
      </c>
      <c r="BN394" s="322">
        <v>22938.715896999998</v>
      </c>
      <c r="BO394" s="322">
        <v>6144.492158</v>
      </c>
      <c r="BP394" s="10">
        <v>12657</v>
      </c>
      <c r="BQ394" s="254">
        <f t="shared" si="176"/>
        <v>1.8123343522951725</v>
      </c>
      <c r="BR394" s="254">
        <f t="shared" si="177"/>
        <v>0.48546197029311844</v>
      </c>
      <c r="BS394" s="25">
        <v>56.021303088466787</v>
      </c>
      <c r="BT394" s="25">
        <v>84.943772879302628</v>
      </c>
      <c r="BU394" s="25">
        <v>56.105035567578398</v>
      </c>
      <c r="BV394" s="25">
        <v>97.031702837156317</v>
      </c>
      <c r="BW394" s="25">
        <v>68.156144664947959</v>
      </c>
      <c r="BX394" s="25">
        <v>73.525453593126031</v>
      </c>
      <c r="BY394" s="25">
        <v>68.697214148304823</v>
      </c>
      <c r="BZ394">
        <v>4</v>
      </c>
      <c r="CA394">
        <v>0</v>
      </c>
      <c r="CB394">
        <v>7</v>
      </c>
      <c r="CC394">
        <v>13702.735973999999</v>
      </c>
      <c r="CD394" s="10">
        <v>383.307909</v>
      </c>
      <c r="CE394" s="255">
        <v>2.7973093090846998E-2</v>
      </c>
      <c r="CF394" t="str">
        <f>IFERROR(VLOOKUP(CE394,'Rangos amb etnico'!$A$2:$C$6,3,9),"N.D.")</f>
        <v>0,1% - 30%</v>
      </c>
      <c r="CG394" s="256">
        <v>1.1151872015305862E-5</v>
      </c>
      <c r="CH394" s="232">
        <v>0</v>
      </c>
      <c r="CI394" s="311">
        <f t="shared" si="184"/>
        <v>0</v>
      </c>
      <c r="CJ394" s="232">
        <f>IFERROR(VLOOKUP(CI394,'Rangos amb etnico'!$A$2:$C$6,3,9),"N.D.")</f>
        <v>0</v>
      </c>
      <c r="CK394" s="311">
        <f t="shared" si="185"/>
        <v>0</v>
      </c>
      <c r="CL394" s="10">
        <v>0</v>
      </c>
      <c r="CM394" s="255">
        <f t="shared" si="186"/>
        <v>0</v>
      </c>
      <c r="CN394" s="232">
        <f>IFERROR(VLOOKUP(CM394,'Rangos amb etnico'!$A$2:$C$6,3,9),"N.D.")</f>
        <v>0</v>
      </c>
      <c r="CO394" s="311">
        <f t="shared" si="187"/>
        <v>0</v>
      </c>
      <c r="CP394">
        <v>0.96106361798362627</v>
      </c>
      <c r="CQ394" t="s">
        <v>2864</v>
      </c>
      <c r="CR394">
        <f t="shared" si="178"/>
        <v>4</v>
      </c>
      <c r="CS394" t="str">
        <f t="shared" si="188"/>
        <v>Candidato</v>
      </c>
      <c r="CT394">
        <v>0</v>
      </c>
      <c r="CU394">
        <v>0</v>
      </c>
      <c r="CV394" s="25">
        <v>58.522613525390618</v>
      </c>
      <c r="CW394" s="25">
        <v>29.184499740600589</v>
      </c>
      <c r="CX394" s="25">
        <v>63.061973571777337</v>
      </c>
      <c r="CY394" s="25">
        <v>68.665855407714844</v>
      </c>
      <c r="CZ394" s="25">
        <v>38.273094177246087</v>
      </c>
      <c r="DA394" s="25">
        <v>91.963569641113281</v>
      </c>
      <c r="DB394" s="25">
        <v>59.986686706542969</v>
      </c>
      <c r="DC394">
        <v>167</v>
      </c>
      <c r="DD394" s="253" t="s">
        <v>380</v>
      </c>
    </row>
    <row r="395" spans="1:108" hidden="1">
      <c r="A395" s="13">
        <v>19290</v>
      </c>
      <c r="B395" s="13" t="s">
        <v>1245</v>
      </c>
      <c r="C395" s="13" t="s">
        <v>557</v>
      </c>
      <c r="D395" s="13" t="s">
        <v>558</v>
      </c>
      <c r="E395" s="13" t="s">
        <v>1246</v>
      </c>
      <c r="F395" s="14">
        <v>57.597466666666698</v>
      </c>
      <c r="G395" s="13">
        <v>50.48</v>
      </c>
      <c r="H395" s="13">
        <v>52.4</v>
      </c>
      <c r="I395" s="13">
        <v>56.94</v>
      </c>
      <c r="J395" s="14">
        <v>54.69910317456339</v>
      </c>
      <c r="K395" s="14">
        <v>57.29921657464012</v>
      </c>
      <c r="L395" s="14">
        <v>67.665242582612592</v>
      </c>
      <c r="M395" s="14">
        <v>56.021000000000001</v>
      </c>
      <c r="N395" s="14">
        <f t="shared" si="162"/>
        <v>54.354366666666671</v>
      </c>
      <c r="O395" s="14">
        <f t="shared" si="163"/>
        <v>58.921140582954024</v>
      </c>
      <c r="P395" s="14">
        <f t="shared" si="179"/>
        <v>56.637753624810344</v>
      </c>
      <c r="Q395" s="14">
        <v>51.373571850936585</v>
      </c>
      <c r="R395" s="17">
        <f t="shared" si="164"/>
        <v>48.626428149063415</v>
      </c>
      <c r="S395" s="14">
        <f t="shared" si="180"/>
        <v>0.53763785334157077</v>
      </c>
      <c r="T395" s="13">
        <v>0</v>
      </c>
      <c r="U395" s="13">
        <f t="shared" si="181"/>
        <v>30.450600276931802</v>
      </c>
      <c r="V395" s="13">
        <f>IF($T395=1,$AU395,(VLOOKUP(U395,'Cortes naturales'!$A$35:$C$39,3,9)))</f>
        <v>3</v>
      </c>
      <c r="W395" s="13">
        <v>3</v>
      </c>
      <c r="X395" s="14" t="b">
        <f t="shared" si="165"/>
        <v>1</v>
      </c>
      <c r="Y395" s="17">
        <f>IF($T395=1,$AU395,VLOOKUP(U395,'Cortes naturales'!$A$45:$C$49,3,9))</f>
        <v>3</v>
      </c>
      <c r="Z395" s="14">
        <v>56.913711239518385</v>
      </c>
      <c r="AA395" s="14">
        <v>0.55065523597384702</v>
      </c>
      <c r="AB395" s="14">
        <v>31.339833092744385</v>
      </c>
      <c r="AC395" s="13">
        <v>3</v>
      </c>
      <c r="AD395" s="13">
        <f t="shared" si="166"/>
        <v>0</v>
      </c>
      <c r="AE395" s="14">
        <f t="shared" si="167"/>
        <v>-0.27595761470804092</v>
      </c>
      <c r="AF395" s="14">
        <f t="shared" si="168"/>
        <v>-1.3017382632276253E-2</v>
      </c>
      <c r="AG395" s="13">
        <f t="shared" si="169"/>
        <v>-0.88923281581258351</v>
      </c>
      <c r="AH395" s="13">
        <f>IF($T395=1,$AU395,VLOOKUP(U395,'Cortes naturales'!$A$25:$C$29,3,9))</f>
        <v>3</v>
      </c>
      <c r="AI395" s="13" t="b">
        <f t="shared" si="170"/>
        <v>1</v>
      </c>
      <c r="AJ395" s="13">
        <f t="shared" si="171"/>
        <v>0</v>
      </c>
      <c r="AK395" s="28">
        <v>0.81759069605862034</v>
      </c>
      <c r="AL395" s="28">
        <v>46.532120787597158</v>
      </c>
      <c r="AM395" s="28">
        <v>0.41144176973225366</v>
      </c>
      <c r="AN395" s="13">
        <v>3</v>
      </c>
      <c r="AO395" s="33">
        <f t="shared" si="172"/>
        <v>0</v>
      </c>
      <c r="AP395" s="13">
        <f t="shared" si="182"/>
        <v>41.144176973225363</v>
      </c>
      <c r="AQ395" s="13">
        <f>IFERROR(VLOOKUP(U395,'Cortes naturales'!$E$15:$G$19,3,9),U395)</f>
        <v>4</v>
      </c>
      <c r="AR395" s="28">
        <f t="shared" si="173"/>
        <v>-0.27995284271704957</v>
      </c>
      <c r="AS395" s="13" t="b">
        <f t="shared" si="174"/>
        <v>0</v>
      </c>
      <c r="AT395" s="13">
        <f t="shared" si="183"/>
        <v>0</v>
      </c>
      <c r="AU395" s="13">
        <v>3</v>
      </c>
      <c r="AV395">
        <f t="shared" si="175"/>
        <v>0</v>
      </c>
      <c r="AW395" s="13">
        <v>0</v>
      </c>
      <c r="AX395" s="13">
        <v>0</v>
      </c>
      <c r="AY395" s="13">
        <v>0</v>
      </c>
      <c r="AZ395" s="13">
        <v>0</v>
      </c>
      <c r="BA395">
        <v>1</v>
      </c>
      <c r="BB395" t="s">
        <v>2840</v>
      </c>
      <c r="BC395">
        <v>6</v>
      </c>
      <c r="BD395" t="s">
        <v>2919</v>
      </c>
      <c r="BE395">
        <v>1</v>
      </c>
      <c r="BF395" s="232" t="s">
        <v>2846</v>
      </c>
      <c r="BG395" s="232" t="s">
        <v>2846</v>
      </c>
      <c r="BH395" s="253">
        <v>36.299999999999997</v>
      </c>
      <c r="BI395" s="253">
        <v>12.261741010021614</v>
      </c>
      <c r="BJ395" s="25">
        <v>0</v>
      </c>
      <c r="BK395" t="s">
        <v>381</v>
      </c>
      <c r="BL395">
        <v>23.289819031207493</v>
      </c>
      <c r="BM395" t="s">
        <v>384</v>
      </c>
      <c r="BN395" s="322">
        <v>17359.420893999999</v>
      </c>
      <c r="BO395" s="322">
        <v>274.08338500000002</v>
      </c>
      <c r="BP395" s="10">
        <v>5213</v>
      </c>
      <c r="BQ395" s="254">
        <f t="shared" si="176"/>
        <v>3.3300251091502013</v>
      </c>
      <c r="BR395" s="254">
        <f t="shared" si="177"/>
        <v>5.2576901016689048E-2</v>
      </c>
      <c r="BS395" s="25">
        <v>67.656542361741941</v>
      </c>
      <c r="BT395" s="25">
        <v>99.494950000000003</v>
      </c>
      <c r="BU395" s="25">
        <v>54.095278578290113</v>
      </c>
      <c r="BV395" s="25">
        <v>86.885968130801317</v>
      </c>
      <c r="BW395" s="25">
        <v>47.031016483384349</v>
      </c>
      <c r="BX395" s="25">
        <v>77.033184767708335</v>
      </c>
      <c r="BY395" s="25">
        <v>47.735128464354247</v>
      </c>
      <c r="BZ395">
        <v>69</v>
      </c>
      <c r="CA395">
        <v>0</v>
      </c>
      <c r="CB395">
        <v>7</v>
      </c>
      <c r="CC395">
        <v>5669.4893579999998</v>
      </c>
      <c r="CD395" s="10">
        <v>54.489770999999998</v>
      </c>
      <c r="CE395" s="255">
        <v>9.6110544635050008E-3</v>
      </c>
      <c r="CF395" t="str">
        <f>IFERROR(VLOOKUP(CE395,'Rangos amb etnico'!$A$2:$C$6,3,9),"N.D.")</f>
        <v>0,1% - 30%</v>
      </c>
      <c r="CG395" s="256">
        <v>1.5853128465849761E-6</v>
      </c>
      <c r="CH395" s="232">
        <v>0</v>
      </c>
      <c r="CI395" s="311">
        <f t="shared" si="184"/>
        <v>0</v>
      </c>
      <c r="CJ395" s="232">
        <f>IFERROR(VLOOKUP(CI395,'Rangos amb etnico'!$A$2:$C$6,3,9),"N.D.")</f>
        <v>0</v>
      </c>
      <c r="CK395" s="311">
        <f t="shared" si="185"/>
        <v>0</v>
      </c>
      <c r="CL395" s="10">
        <v>0</v>
      </c>
      <c r="CM395" s="255">
        <f t="shared" si="186"/>
        <v>0</v>
      </c>
      <c r="CN395" s="232">
        <f>IFERROR(VLOOKUP(CM395,'Rangos amb etnico'!$A$2:$C$6,3,9),"N.D.")</f>
        <v>0</v>
      </c>
      <c r="CO395" s="311">
        <f t="shared" si="187"/>
        <v>0</v>
      </c>
      <c r="CP395">
        <v>0.92309972688403286</v>
      </c>
      <c r="CQ395" t="s">
        <v>2864</v>
      </c>
      <c r="CR395">
        <f t="shared" si="178"/>
        <v>1</v>
      </c>
      <c r="CS395" t="str">
        <f t="shared" si="188"/>
        <v>No es Candidato</v>
      </c>
      <c r="CT395">
        <v>0</v>
      </c>
      <c r="CU395">
        <v>0</v>
      </c>
      <c r="CV395" s="25">
        <v>43.965293884277337</v>
      </c>
      <c r="CW395" s="25">
        <v>14.330721855163571</v>
      </c>
      <c r="CX395" s="25">
        <v>52.637516021728523</v>
      </c>
      <c r="CY395" s="25">
        <v>68.758255004882813</v>
      </c>
      <c r="CZ395" s="25">
        <v>33.863571166992188</v>
      </c>
      <c r="DA395" s="25">
        <v>45.7239990234375</v>
      </c>
      <c r="DB395" s="25">
        <v>48.477710723876953</v>
      </c>
      <c r="DC395">
        <v>103</v>
      </c>
      <c r="DD395" s="253">
        <v>0</v>
      </c>
    </row>
    <row r="396" spans="1:108" hidden="1">
      <c r="A396" s="13">
        <v>15798</v>
      </c>
      <c r="B396" s="13" t="s">
        <v>1247</v>
      </c>
      <c r="C396" s="13" t="s">
        <v>498</v>
      </c>
      <c r="D396" s="13" t="s">
        <v>499</v>
      </c>
      <c r="E396" s="13" t="s">
        <v>1248</v>
      </c>
      <c r="F396" s="14">
        <v>67.179766666666694</v>
      </c>
      <c r="G396" s="13">
        <v>65.819999999999993</v>
      </c>
      <c r="H396" s="13">
        <v>58.88</v>
      </c>
      <c r="I396" s="13">
        <v>62.7</v>
      </c>
      <c r="J396" s="14">
        <v>56.313302920976717</v>
      </c>
      <c r="K396" s="14">
        <v>50.902396616334244</v>
      </c>
      <c r="L396" s="14">
        <v>59.168479477347454</v>
      </c>
      <c r="M396" s="14">
        <v>57.1526</v>
      </c>
      <c r="N396" s="14">
        <f t="shared" si="162"/>
        <v>63.644941666666668</v>
      </c>
      <c r="O396" s="14">
        <f t="shared" si="163"/>
        <v>55.884194753664609</v>
      </c>
      <c r="P396" s="14">
        <f t="shared" si="179"/>
        <v>59.764568210165635</v>
      </c>
      <c r="Q396" s="14">
        <v>51.775255478649761</v>
      </c>
      <c r="R396" s="17">
        <f t="shared" si="164"/>
        <v>48.224744521350239</v>
      </c>
      <c r="S396" s="14">
        <f t="shared" si="180"/>
        <v>0.53402270069215219</v>
      </c>
      <c r="T396" s="13">
        <v>0</v>
      </c>
      <c r="U396" s="13">
        <f t="shared" si="181"/>
        <v>31.915636121292998</v>
      </c>
      <c r="V396" s="13">
        <f>IF($T396=1,$AU396,(VLOOKUP(U396,'Cortes naturales'!$A$35:$C$39,3,9)))</f>
        <v>3</v>
      </c>
      <c r="W396" s="13">
        <v>3</v>
      </c>
      <c r="X396" s="14" t="b">
        <f t="shared" si="165"/>
        <v>1</v>
      </c>
      <c r="Y396" s="17">
        <f>IF($T396=1,$AU396,VLOOKUP(U396,'Cortes naturales'!$A$45:$C$49,3,9))</f>
        <v>3</v>
      </c>
      <c r="Z396" s="14">
        <v>59.13836274434081</v>
      </c>
      <c r="AA396" s="14">
        <v>0.5514542967715842</v>
      </c>
      <c r="AB396" s="14">
        <v>32.612104239403315</v>
      </c>
      <c r="AC396" s="13">
        <v>3</v>
      </c>
      <c r="AD396" s="13">
        <f t="shared" si="166"/>
        <v>0</v>
      </c>
      <c r="AE396" s="14">
        <f t="shared" si="167"/>
        <v>0.62620546582482461</v>
      </c>
      <c r="AF396" s="14">
        <f t="shared" si="168"/>
        <v>-1.743159607943201E-2</v>
      </c>
      <c r="AG396" s="13">
        <f t="shared" si="169"/>
        <v>-0.69646811811031739</v>
      </c>
      <c r="AH396" s="13">
        <f>IF($T396=1,$AU396,VLOOKUP(U396,'Cortes naturales'!$A$25:$C$29,3,9))</f>
        <v>3</v>
      </c>
      <c r="AI396" s="13" t="b">
        <f t="shared" si="170"/>
        <v>1</v>
      </c>
      <c r="AJ396" s="13">
        <f t="shared" si="171"/>
        <v>0</v>
      </c>
      <c r="AK396" s="28">
        <v>0.81759069605862034</v>
      </c>
      <c r="AL396" s="28">
        <v>48.350975159912785</v>
      </c>
      <c r="AM396" s="28">
        <v>0.43419372067669521</v>
      </c>
      <c r="AN396" s="13">
        <v>3</v>
      </c>
      <c r="AO396" s="33">
        <f t="shared" si="172"/>
        <v>0</v>
      </c>
      <c r="AP396" s="13">
        <f t="shared" si="182"/>
        <v>43.419372067669521</v>
      </c>
      <c r="AQ396" s="13">
        <f>IFERROR(VLOOKUP(U396,'Cortes naturales'!$E$15:$G$19,3,9),U396)</f>
        <v>4</v>
      </c>
      <c r="AR396" s="28">
        <f t="shared" si="173"/>
        <v>-0.28356799536646815</v>
      </c>
      <c r="AS396" s="13" t="b">
        <f t="shared" si="174"/>
        <v>0</v>
      </c>
      <c r="AT396" s="13">
        <f t="shared" si="183"/>
        <v>0</v>
      </c>
      <c r="AU396" s="13">
        <v>3</v>
      </c>
      <c r="AV396">
        <f t="shared" si="175"/>
        <v>0</v>
      </c>
      <c r="AW396" s="13">
        <v>0</v>
      </c>
      <c r="AX396" s="13">
        <v>0</v>
      </c>
      <c r="AY396" s="13">
        <v>0</v>
      </c>
      <c r="AZ396" s="13">
        <v>0</v>
      </c>
      <c r="BA396">
        <v>0</v>
      </c>
      <c r="BB396" t="s">
        <v>2839</v>
      </c>
      <c r="BC396">
        <v>6</v>
      </c>
      <c r="BD396" t="s">
        <v>2919</v>
      </c>
      <c r="BE396">
        <v>0</v>
      </c>
      <c r="BF396" s="232" t="s">
        <v>2846</v>
      </c>
      <c r="BG396" s="232" t="s">
        <v>2846</v>
      </c>
      <c r="BH396" s="253">
        <v>41.1</v>
      </c>
      <c r="BI396" s="253">
        <v>9.3987157034442497</v>
      </c>
      <c r="BJ396" s="25">
        <v>51.494441259743439</v>
      </c>
      <c r="BK396" t="s">
        <v>376</v>
      </c>
      <c r="BL396">
        <v>0</v>
      </c>
      <c r="BM396" t="s">
        <v>377</v>
      </c>
      <c r="BN396" s="322">
        <v>10147.139213</v>
      </c>
      <c r="BO396" s="322">
        <v>1121.3659769999999</v>
      </c>
      <c r="BP396" s="10">
        <v>3673</v>
      </c>
      <c r="BQ396" s="254">
        <f t="shared" si="176"/>
        <v>2.7626297884563029</v>
      </c>
      <c r="BR396" s="254">
        <f t="shared" si="177"/>
        <v>0.30529974870677917</v>
      </c>
      <c r="BS396" s="25">
        <v>62.74106172510924</v>
      </c>
      <c r="BT396" s="25">
        <v>85.831172521099916</v>
      </c>
      <c r="BU396" s="25">
        <v>33.512351816443562</v>
      </c>
      <c r="BV396" s="25">
        <v>92.127347830064934</v>
      </c>
      <c r="BW396" s="25">
        <v>55.180469726173207</v>
      </c>
      <c r="BX396" s="25">
        <v>68.55298347317941</v>
      </c>
      <c r="BY396" s="25">
        <v>55.527087891360402</v>
      </c>
      <c r="BZ396">
        <v>98</v>
      </c>
      <c r="CA396">
        <v>0</v>
      </c>
      <c r="CB396">
        <v>7</v>
      </c>
      <c r="CC396">
        <v>4578.731272</v>
      </c>
      <c r="CD396" s="10">
        <v>3891.7831489999999</v>
      </c>
      <c r="CE396" s="255">
        <v>0.8499697662536243</v>
      </c>
      <c r="CF396" t="str">
        <f>IFERROR(VLOOKUP(CE396,'Rangos amb etnico'!$A$2:$C$6,3,9),"N.D.")</f>
        <v>71% - 100%</v>
      </c>
      <c r="CG396" s="256">
        <v>1.1322664252401853E-4</v>
      </c>
      <c r="CH396" s="232">
        <v>0</v>
      </c>
      <c r="CI396" s="311">
        <f t="shared" si="184"/>
        <v>0</v>
      </c>
      <c r="CJ396" s="232">
        <f>IFERROR(VLOOKUP(CI396,'Rangos amb etnico'!$A$2:$C$6,3,9),"N.D.")</f>
        <v>0</v>
      </c>
      <c r="CK396" s="311">
        <f t="shared" si="185"/>
        <v>0</v>
      </c>
      <c r="CL396" s="10">
        <v>0</v>
      </c>
      <c r="CM396" s="255">
        <f t="shared" si="186"/>
        <v>0</v>
      </c>
      <c r="CN396" s="232">
        <f>IFERROR(VLOOKUP(CM396,'Rangos amb etnico'!$A$2:$C$6,3,9),"N.D.")</f>
        <v>0</v>
      </c>
      <c r="CO396" s="311">
        <f t="shared" si="187"/>
        <v>0</v>
      </c>
      <c r="CP396">
        <v>0.98653716330451457</v>
      </c>
      <c r="CQ396" t="s">
        <v>2864</v>
      </c>
      <c r="CR396">
        <f t="shared" si="178"/>
        <v>2</v>
      </c>
      <c r="CS396" t="str">
        <f t="shared" si="188"/>
        <v>No es Candidato</v>
      </c>
      <c r="CT396">
        <v>0</v>
      </c>
      <c r="CU396">
        <v>0</v>
      </c>
      <c r="CV396" s="25">
        <v>50.326869964599609</v>
      </c>
      <c r="CW396" s="25">
        <v>19.382614135742191</v>
      </c>
      <c r="CX396" s="25">
        <v>47.045246124267578</v>
      </c>
      <c r="CY396" s="25">
        <v>64.429275512695313</v>
      </c>
      <c r="CZ396" s="25">
        <v>36.987716674804688</v>
      </c>
      <c r="DA396" s="25">
        <v>82.252395629882813</v>
      </c>
      <c r="DB396" s="25">
        <v>51.863975524902337</v>
      </c>
      <c r="DC396">
        <v>77</v>
      </c>
      <c r="DD396" s="253" t="s">
        <v>380</v>
      </c>
    </row>
    <row r="397" spans="1:108" hidden="1">
      <c r="A397" s="13">
        <v>15804</v>
      </c>
      <c r="B397" s="13" t="s">
        <v>1249</v>
      </c>
      <c r="C397" s="13" t="s">
        <v>498</v>
      </c>
      <c r="D397" s="13" t="s">
        <v>499</v>
      </c>
      <c r="E397" s="13" t="s">
        <v>1250</v>
      </c>
      <c r="F397" s="14">
        <v>89.466899999999995</v>
      </c>
      <c r="G397" s="13">
        <v>88.07</v>
      </c>
      <c r="H397" s="13">
        <v>81.58</v>
      </c>
      <c r="I397" s="13">
        <v>89.57</v>
      </c>
      <c r="J397" s="14">
        <v>60.365080248301666</v>
      </c>
      <c r="K397" s="14">
        <v>66.119096930664199</v>
      </c>
      <c r="L397" s="14">
        <v>65.814478475929604</v>
      </c>
      <c r="M397" s="14">
        <v>62.973599999999998</v>
      </c>
      <c r="N397" s="14">
        <f t="shared" si="162"/>
        <v>87.171724999999995</v>
      </c>
      <c r="O397" s="14">
        <f t="shared" si="163"/>
        <v>63.818063913723869</v>
      </c>
      <c r="P397" s="14">
        <f t="shared" si="179"/>
        <v>75.494894456861928</v>
      </c>
      <c r="Q397" s="14">
        <v>51.562104124832352</v>
      </c>
      <c r="R397" s="17">
        <f t="shared" si="164"/>
        <v>48.437895875167648</v>
      </c>
      <c r="S397" s="14">
        <f t="shared" si="180"/>
        <v>0.53594106287650889</v>
      </c>
      <c r="T397" s="13">
        <v>0</v>
      </c>
      <c r="U397" s="13">
        <f t="shared" si="181"/>
        <v>40.460813976960438</v>
      </c>
      <c r="V397" s="13">
        <f>IF($T397=1,$AU397,(VLOOKUP(U397,'Cortes naturales'!$A$35:$C$39,3,9)))</f>
        <v>2</v>
      </c>
      <c r="W397" s="13">
        <v>2</v>
      </c>
      <c r="X397" s="14" t="b">
        <f t="shared" si="165"/>
        <v>1</v>
      </c>
      <c r="Y397" s="17">
        <f>IF($T397=1,$AU397,VLOOKUP(U397,'Cortes naturales'!$A$45:$C$49,3,9))</f>
        <v>2</v>
      </c>
      <c r="Z397" s="14">
        <v>74.789438353438385</v>
      </c>
      <c r="AA397" s="14">
        <v>0.54975078411948264</v>
      </c>
      <c r="AB397" s="14">
        <v>41.115552378658464</v>
      </c>
      <c r="AC397" s="13">
        <v>2</v>
      </c>
      <c r="AD397" s="13">
        <f t="shared" si="166"/>
        <v>0</v>
      </c>
      <c r="AE397" s="14">
        <f t="shared" si="167"/>
        <v>0.70545610342354337</v>
      </c>
      <c r="AF397" s="14">
        <f t="shared" si="168"/>
        <v>-1.3809721242973749E-2</v>
      </c>
      <c r="AG397" s="13">
        <f t="shared" si="169"/>
        <v>-0.654738401698026</v>
      </c>
      <c r="AH397" s="13">
        <f>IF($T397=1,$AU397,VLOOKUP(U397,'Cortes naturales'!$A$25:$C$29,3,9))</f>
        <v>2</v>
      </c>
      <c r="AI397" s="13" t="b">
        <f t="shared" si="170"/>
        <v>1</v>
      </c>
      <c r="AJ397" s="13">
        <f t="shared" si="171"/>
        <v>0</v>
      </c>
      <c r="AK397" s="28">
        <v>0.81759069605862034</v>
      </c>
      <c r="AL397" s="28">
        <v>61.147148961220964</v>
      </c>
      <c r="AM397" s="28">
        <v>0.59426036649246627</v>
      </c>
      <c r="AN397" s="13">
        <v>2</v>
      </c>
      <c r="AO397" s="33">
        <f t="shared" si="172"/>
        <v>0</v>
      </c>
      <c r="AP397" s="13">
        <f t="shared" si="182"/>
        <v>59.426036649246626</v>
      </c>
      <c r="AQ397" s="13">
        <f>IFERROR(VLOOKUP(U397,'Cortes naturales'!$E$15:$G$19,3,9),U397)</f>
        <v>3</v>
      </c>
      <c r="AR397" s="28">
        <f t="shared" si="173"/>
        <v>-0.28164963318211145</v>
      </c>
      <c r="AS397" s="13" t="b">
        <f t="shared" si="174"/>
        <v>0</v>
      </c>
      <c r="AT397" s="13">
        <f t="shared" si="183"/>
        <v>0</v>
      </c>
      <c r="AU397" s="13">
        <v>2</v>
      </c>
      <c r="AV397">
        <f t="shared" si="175"/>
        <v>0</v>
      </c>
      <c r="AW397" s="13">
        <v>0</v>
      </c>
      <c r="AX397" s="13">
        <v>0</v>
      </c>
      <c r="AY397" s="13">
        <v>0</v>
      </c>
      <c r="AZ397" s="13">
        <v>0</v>
      </c>
      <c r="BA397">
        <v>0</v>
      </c>
      <c r="BB397" t="s">
        <v>2840</v>
      </c>
      <c r="BC397">
        <v>6</v>
      </c>
      <c r="BD397" t="s">
        <v>2919</v>
      </c>
      <c r="BE397">
        <v>0</v>
      </c>
      <c r="BF397" s="232" t="s">
        <v>2846</v>
      </c>
      <c r="BG397" s="232" t="s">
        <v>2846</v>
      </c>
      <c r="BH397" s="253">
        <v>47</v>
      </c>
      <c r="BI397" s="253">
        <v>14.587791063561989</v>
      </c>
      <c r="BJ397" s="25">
        <v>21.943947950131157</v>
      </c>
      <c r="BK397" t="s">
        <v>379</v>
      </c>
      <c r="BL397">
        <v>0</v>
      </c>
      <c r="BM397" t="s">
        <v>377</v>
      </c>
      <c r="BN397" s="322">
        <v>23903.70998</v>
      </c>
      <c r="BO397" s="322">
        <v>1570.956383</v>
      </c>
      <c r="BP397" s="10">
        <v>9107</v>
      </c>
      <c r="BQ397" s="254">
        <f t="shared" si="176"/>
        <v>2.6247622685846053</v>
      </c>
      <c r="BR397" s="254">
        <f t="shared" si="177"/>
        <v>0.17249987734709563</v>
      </c>
      <c r="BS397" s="25">
        <v>58.832560798040781</v>
      </c>
      <c r="BT397" s="25">
        <v>82.110541359027863</v>
      </c>
      <c r="BU397" s="25">
        <v>35.437607460566632</v>
      </c>
      <c r="BV397" s="25">
        <v>95.358223126108285</v>
      </c>
      <c r="BW397" s="25">
        <v>62.38224152458789</v>
      </c>
      <c r="BX397" s="25">
        <v>67.934733185935883</v>
      </c>
      <c r="BY397" s="25">
        <v>63.269386217069531</v>
      </c>
      <c r="BZ397">
        <v>0</v>
      </c>
      <c r="CA397">
        <v>0</v>
      </c>
      <c r="CB397">
        <v>7</v>
      </c>
      <c r="CC397">
        <v>12162.620639000001</v>
      </c>
      <c r="CD397" s="10">
        <v>3005.811287</v>
      </c>
      <c r="CE397" s="255">
        <v>0.2471351673472186</v>
      </c>
      <c r="CF397" t="str">
        <f>IFERROR(VLOOKUP(CE397,'Rangos amb etnico'!$A$2:$C$6,3,9),"N.D.")</f>
        <v>0,1% - 30%</v>
      </c>
      <c r="CG397" s="256">
        <v>8.7450381241118086E-5</v>
      </c>
      <c r="CH397" s="232">
        <v>0</v>
      </c>
      <c r="CI397" s="311">
        <f t="shared" si="184"/>
        <v>0</v>
      </c>
      <c r="CJ397" s="232">
        <f>IFERROR(VLOOKUP(CI397,'Rangos amb etnico'!$A$2:$C$6,3,9),"N.D.")</f>
        <v>0</v>
      </c>
      <c r="CK397" s="311">
        <f t="shared" si="185"/>
        <v>0</v>
      </c>
      <c r="CL397" s="10">
        <v>0</v>
      </c>
      <c r="CM397" s="255">
        <f t="shared" si="186"/>
        <v>0</v>
      </c>
      <c r="CN397" s="232">
        <f>IFERROR(VLOOKUP(CM397,'Rangos amb etnico'!$A$2:$C$6,3,9),"N.D.")</f>
        <v>0</v>
      </c>
      <c r="CO397" s="311">
        <f t="shared" si="187"/>
        <v>0</v>
      </c>
      <c r="CP397">
        <v>0.98860212328667996</v>
      </c>
      <c r="CQ397" t="s">
        <v>2864</v>
      </c>
      <c r="CR397">
        <f t="shared" si="178"/>
        <v>4</v>
      </c>
      <c r="CS397" t="str">
        <f t="shared" si="188"/>
        <v>Candidato</v>
      </c>
      <c r="CT397">
        <v>0</v>
      </c>
      <c r="CU397">
        <v>0</v>
      </c>
      <c r="CV397" s="25">
        <v>59.201694488525391</v>
      </c>
      <c r="CW397" s="25">
        <v>24.935188293457031</v>
      </c>
      <c r="CX397" s="25">
        <v>52.992912292480469</v>
      </c>
      <c r="CY397" s="25">
        <v>65.625946044921875</v>
      </c>
      <c r="CZ397" s="25">
        <v>62.613578796386719</v>
      </c>
      <c r="DA397" s="25">
        <v>89.347259521484375</v>
      </c>
      <c r="DB397" s="25">
        <v>59.695266723632813</v>
      </c>
      <c r="DC397">
        <v>68</v>
      </c>
      <c r="DD397" s="253" t="s">
        <v>380</v>
      </c>
    </row>
    <row r="398" spans="1:108" hidden="1">
      <c r="A398" s="13">
        <v>70400</v>
      </c>
      <c r="B398" s="13" t="s">
        <v>1251</v>
      </c>
      <c r="C398" s="13" t="s">
        <v>494</v>
      </c>
      <c r="D398" s="13" t="s">
        <v>495</v>
      </c>
      <c r="E398" s="13" t="s">
        <v>628</v>
      </c>
      <c r="F398" s="14">
        <v>55.222833333333298</v>
      </c>
      <c r="G398" s="13">
        <v>52.24</v>
      </c>
      <c r="H398" s="13">
        <v>50.64</v>
      </c>
      <c r="I398" s="13">
        <v>48.19</v>
      </c>
      <c r="J398" s="14">
        <v>46.966054721641243</v>
      </c>
      <c r="K398" s="14">
        <v>47.222376789203899</v>
      </c>
      <c r="L398" s="14">
        <v>44.607707245743242</v>
      </c>
      <c r="M398" s="14">
        <v>58.175699999999999</v>
      </c>
      <c r="N398" s="14">
        <f t="shared" si="162"/>
        <v>51.573208333333326</v>
      </c>
      <c r="O398" s="14">
        <f t="shared" si="163"/>
        <v>49.242959689147099</v>
      </c>
      <c r="P398" s="14">
        <f t="shared" si="179"/>
        <v>50.408084011240213</v>
      </c>
      <c r="Q398" s="14">
        <v>51.28028166143126</v>
      </c>
      <c r="R398" s="17">
        <f t="shared" si="164"/>
        <v>48.71971833856874</v>
      </c>
      <c r="S398" s="14">
        <f t="shared" si="180"/>
        <v>0.53847746504711869</v>
      </c>
      <c r="T398" s="13">
        <v>0</v>
      </c>
      <c r="U398" s="13">
        <f t="shared" si="181"/>
        <v>27.143617296254824</v>
      </c>
      <c r="V398" s="13">
        <f>IF($T398=1,$AU398,(VLOOKUP(U398,'Cortes naturales'!$A$35:$C$39,3,9)))</f>
        <v>4</v>
      </c>
      <c r="W398" s="13">
        <v>4</v>
      </c>
      <c r="X398" s="14" t="b">
        <f t="shared" si="165"/>
        <v>1</v>
      </c>
      <c r="Y398" s="17">
        <f>IF($T398=1,$AU398,VLOOKUP(U398,'Cortes naturales'!$A$45:$C$49,3,9))</f>
        <v>4</v>
      </c>
      <c r="Z398" s="14">
        <v>49.263731491774521</v>
      </c>
      <c r="AA398" s="14">
        <v>0.54950829315609429</v>
      </c>
      <c r="AB398" s="14">
        <v>27.070829006545146</v>
      </c>
      <c r="AC398" s="13">
        <v>4</v>
      </c>
      <c r="AD398" s="13">
        <f t="shared" si="166"/>
        <v>0</v>
      </c>
      <c r="AE398" s="14">
        <f t="shared" si="167"/>
        <v>1.1443525194656914</v>
      </c>
      <c r="AF398" s="14">
        <f t="shared" si="168"/>
        <v>-1.1030828108975599E-2</v>
      </c>
      <c r="AG398" s="13">
        <f t="shared" si="169"/>
        <v>7.2788289709677656E-2</v>
      </c>
      <c r="AH398" s="13">
        <f>IF($T398=1,$AU398,VLOOKUP(U398,'Cortes naturales'!$A$25:$C$29,3,9))</f>
        <v>4</v>
      </c>
      <c r="AI398" s="13" t="b">
        <f t="shared" si="170"/>
        <v>1</v>
      </c>
      <c r="AJ398" s="13">
        <f t="shared" si="171"/>
        <v>0</v>
      </c>
      <c r="AK398" s="28">
        <v>0.81759069605862034</v>
      </c>
      <c r="AL398" s="28">
        <v>40.277568520804905</v>
      </c>
      <c r="AM398" s="28">
        <v>0.33320391379421421</v>
      </c>
      <c r="AN398" s="13">
        <v>4</v>
      </c>
      <c r="AO398" s="33">
        <f t="shared" si="172"/>
        <v>0</v>
      </c>
      <c r="AP398" s="13">
        <f t="shared" si="182"/>
        <v>33.320391379421423</v>
      </c>
      <c r="AQ398" s="13">
        <f>IFERROR(VLOOKUP(U398,'Cortes naturales'!$E$15:$G$19,3,9),U398)</f>
        <v>4</v>
      </c>
      <c r="AR398" s="28">
        <f t="shared" si="173"/>
        <v>-0.27911323101150165</v>
      </c>
      <c r="AS398" s="13" t="b">
        <f t="shared" si="174"/>
        <v>1</v>
      </c>
      <c r="AT398" s="13">
        <f t="shared" si="183"/>
        <v>0</v>
      </c>
      <c r="AU398" s="13">
        <v>3</v>
      </c>
      <c r="AV398">
        <f t="shared" si="175"/>
        <v>-1</v>
      </c>
      <c r="AW398" s="13">
        <v>0</v>
      </c>
      <c r="AX398" s="13">
        <v>0</v>
      </c>
      <c r="AY398" s="13">
        <v>0</v>
      </c>
      <c r="AZ398" s="13">
        <v>0</v>
      </c>
      <c r="BA398">
        <v>0</v>
      </c>
      <c r="BB398" t="s">
        <v>2839</v>
      </c>
      <c r="BC398">
        <v>6</v>
      </c>
      <c r="BD398" t="s">
        <v>2919</v>
      </c>
      <c r="BE398">
        <v>0</v>
      </c>
      <c r="BF398" s="232" t="s">
        <v>2846</v>
      </c>
      <c r="BG398" s="232" t="s">
        <v>2846</v>
      </c>
      <c r="BH398" s="253">
        <v>55.8</v>
      </c>
      <c r="BI398" s="253">
        <v>33.414422241529103</v>
      </c>
      <c r="BJ398" s="25">
        <v>14.224137931034482</v>
      </c>
      <c r="BK398" t="s">
        <v>379</v>
      </c>
      <c r="BL398">
        <v>1.320996454397886</v>
      </c>
      <c r="BM398" t="s">
        <v>383</v>
      </c>
      <c r="BN398" s="322">
        <v>33402.448744000001</v>
      </c>
      <c r="BO398" s="322">
        <v>2814.7873330000002</v>
      </c>
      <c r="BP398" s="10">
        <v>13950</v>
      </c>
      <c r="BQ398" s="254">
        <f t="shared" si="176"/>
        <v>2.3944407701792114</v>
      </c>
      <c r="BR398" s="254">
        <f t="shared" si="177"/>
        <v>0.20177686974910397</v>
      </c>
      <c r="BS398" s="25">
        <v>61.709504255946847</v>
      </c>
      <c r="BT398" s="25">
        <v>93.015690227001187</v>
      </c>
      <c r="BU398" s="25">
        <v>25.812481165243572</v>
      </c>
      <c r="BV398" s="25">
        <v>94.109680901651913</v>
      </c>
      <c r="BW398" s="25">
        <v>52.612497572297713</v>
      </c>
      <c r="BX398" s="25">
        <v>68.661839137460888</v>
      </c>
      <c r="BY398" s="25">
        <v>50.961435006322517</v>
      </c>
      <c r="BZ398">
        <v>10</v>
      </c>
      <c r="CA398">
        <v>0</v>
      </c>
      <c r="CB398">
        <v>7</v>
      </c>
      <c r="CC398">
        <v>23219.007814000001</v>
      </c>
      <c r="CD398" s="10">
        <v>400.34350799999999</v>
      </c>
      <c r="CE398" s="255">
        <v>1.7242059230395328E-2</v>
      </c>
      <c r="CF398" t="str">
        <f>IFERROR(VLOOKUP(CE398,'Rangos amb etnico'!$A$2:$C$6,3,9),"N.D.")</f>
        <v>0,1% - 30%</v>
      </c>
      <c r="CG398" s="256">
        <v>1.1647501808721038E-5</v>
      </c>
      <c r="CH398" s="232">
        <v>0</v>
      </c>
      <c r="CI398" s="311">
        <f t="shared" si="184"/>
        <v>0</v>
      </c>
      <c r="CJ398" s="232">
        <f>IFERROR(VLOOKUP(CI398,'Rangos amb etnico'!$A$2:$C$6,3,9),"N.D.")</f>
        <v>0</v>
      </c>
      <c r="CK398" s="311">
        <f t="shared" si="185"/>
        <v>0</v>
      </c>
      <c r="CL398" s="10">
        <v>0</v>
      </c>
      <c r="CM398" s="255">
        <f t="shared" si="186"/>
        <v>0</v>
      </c>
      <c r="CN398" s="232">
        <f>IFERROR(VLOOKUP(CM398,'Rangos amb etnico'!$A$2:$C$6,3,9),"N.D.")</f>
        <v>0</v>
      </c>
      <c r="CO398" s="311">
        <f t="shared" si="187"/>
        <v>0</v>
      </c>
      <c r="CP398">
        <v>0.84456174102013837</v>
      </c>
      <c r="CQ398" t="s">
        <v>2865</v>
      </c>
      <c r="CR398">
        <f t="shared" si="178"/>
        <v>1</v>
      </c>
      <c r="CS398" t="str">
        <f t="shared" si="188"/>
        <v>No es Candidato</v>
      </c>
      <c r="CT398">
        <v>0</v>
      </c>
      <c r="CU398">
        <v>0</v>
      </c>
      <c r="CV398" s="25">
        <v>46.862163543701172</v>
      </c>
      <c r="CW398" s="25">
        <v>25.12417030334473</v>
      </c>
      <c r="CX398" s="25">
        <v>48.527099609375</v>
      </c>
      <c r="CY398" s="25">
        <v>49.590435028076172</v>
      </c>
      <c r="CZ398" s="25">
        <v>23.108991622924801</v>
      </c>
      <c r="DA398" s="25">
        <v>77.668357849121094</v>
      </c>
      <c r="DB398" s="25">
        <v>57.153926849365227</v>
      </c>
      <c r="DC398">
        <v>1389</v>
      </c>
      <c r="DD398" s="253" t="s">
        <v>380</v>
      </c>
    </row>
    <row r="399" spans="1:108" hidden="1">
      <c r="A399" s="13">
        <v>25805</v>
      </c>
      <c r="B399" s="13" t="s">
        <v>1252</v>
      </c>
      <c r="C399" s="13" t="s">
        <v>461</v>
      </c>
      <c r="D399" s="13" t="s">
        <v>462</v>
      </c>
      <c r="E399" s="13" t="s">
        <v>1253</v>
      </c>
      <c r="F399" s="14">
        <v>60.5583666666667</v>
      </c>
      <c r="G399" s="13">
        <v>76.44</v>
      </c>
      <c r="H399" s="13">
        <v>79.19</v>
      </c>
      <c r="I399" s="13">
        <v>79.11</v>
      </c>
      <c r="J399" s="14">
        <v>56.052523601873318</v>
      </c>
      <c r="K399" s="14">
        <v>55.89711727113523</v>
      </c>
      <c r="L399" s="14">
        <v>67.44708043154067</v>
      </c>
      <c r="M399" s="14">
        <v>60.560899999999997</v>
      </c>
      <c r="N399" s="14">
        <f t="shared" si="162"/>
        <v>73.824591666666677</v>
      </c>
      <c r="O399" s="14">
        <f t="shared" si="163"/>
        <v>59.989405326137302</v>
      </c>
      <c r="P399" s="14">
        <f t="shared" si="179"/>
        <v>66.906998496401997</v>
      </c>
      <c r="Q399" s="14">
        <v>52.81027104321133</v>
      </c>
      <c r="R399" s="17">
        <f t="shared" si="164"/>
        <v>47.18972895678867</v>
      </c>
      <c r="S399" s="14">
        <f t="shared" si="180"/>
        <v>0.52470756061109802</v>
      </c>
      <c r="T399" s="13">
        <v>0</v>
      </c>
      <c r="U399" s="13">
        <f t="shared" si="181"/>
        <v>35.106607968857496</v>
      </c>
      <c r="V399" s="13">
        <f>IF($T399=1,$AU399,(VLOOKUP(U399,'Cortes naturales'!$A$35:$C$39,3,9)))</f>
        <v>3</v>
      </c>
      <c r="W399" s="13">
        <v>3</v>
      </c>
      <c r="X399" s="14" t="b">
        <f t="shared" si="165"/>
        <v>1</v>
      </c>
      <c r="Y399" s="17">
        <f>IF($T399=1,$AU399,VLOOKUP(U399,'Cortes naturales'!$A$45:$C$49,3,9))</f>
        <v>3</v>
      </c>
      <c r="Z399" s="14">
        <v>64.745254352436859</v>
      </c>
      <c r="AA399" s="14">
        <v>0.54626147788943058</v>
      </c>
      <c r="AB399" s="14">
        <v>35.367838328889249</v>
      </c>
      <c r="AC399" s="13">
        <v>2</v>
      </c>
      <c r="AD399" s="13">
        <f t="shared" si="166"/>
        <v>-1</v>
      </c>
      <c r="AE399" s="14">
        <f t="shared" si="167"/>
        <v>2.1617441439651373</v>
      </c>
      <c r="AF399" s="14">
        <f t="shared" si="168"/>
        <v>-2.1553917278332557E-2</v>
      </c>
      <c r="AG399" s="13">
        <f t="shared" si="169"/>
        <v>-0.26123036003175315</v>
      </c>
      <c r="AH399" s="13">
        <f>IF($T399=1,$AU399,VLOOKUP(U399,'Cortes naturales'!$A$25:$C$29,3,9))</f>
        <v>2</v>
      </c>
      <c r="AI399" s="13" t="b">
        <f t="shared" si="170"/>
        <v>0</v>
      </c>
      <c r="AJ399" s="13" t="str">
        <f t="shared" si="171"/>
        <v>Cambio en corte</v>
      </c>
      <c r="AK399" s="28">
        <v>0.81759069605862034</v>
      </c>
      <c r="AL399" s="28">
        <v>52.935117572501269</v>
      </c>
      <c r="AM399" s="28">
        <v>0.49153651011660116</v>
      </c>
      <c r="AN399" s="13">
        <v>2</v>
      </c>
      <c r="AO399" s="33">
        <f t="shared" si="172"/>
        <v>-1</v>
      </c>
      <c r="AP399" s="13">
        <f t="shared" si="182"/>
        <v>49.153651011660116</v>
      </c>
      <c r="AQ399" s="13">
        <f>IFERROR(VLOOKUP(U399,'Cortes naturales'!$E$15:$G$19,3,9),U399)</f>
        <v>4</v>
      </c>
      <c r="AR399" s="28">
        <f t="shared" si="173"/>
        <v>-0.29288313544752231</v>
      </c>
      <c r="AS399" s="13" t="b">
        <f t="shared" si="174"/>
        <v>0</v>
      </c>
      <c r="AT399" s="13" t="str">
        <f t="shared" si="183"/>
        <v>Cambio en corte</v>
      </c>
      <c r="AU399" s="13">
        <v>3</v>
      </c>
      <c r="AV399">
        <f t="shared" si="175"/>
        <v>0</v>
      </c>
      <c r="AW399" s="13">
        <v>0</v>
      </c>
      <c r="AX399" s="13">
        <v>0</v>
      </c>
      <c r="AY399" s="13">
        <v>0</v>
      </c>
      <c r="AZ399" s="13">
        <v>0</v>
      </c>
      <c r="BA399">
        <v>0</v>
      </c>
      <c r="BB399" t="s">
        <v>2840</v>
      </c>
      <c r="BC399">
        <v>6</v>
      </c>
      <c r="BD399" t="s">
        <v>2919</v>
      </c>
      <c r="BE399">
        <v>1</v>
      </c>
      <c r="BF399" s="232" t="s">
        <v>2846</v>
      </c>
      <c r="BG399" s="232" t="s">
        <v>2846</v>
      </c>
      <c r="BH399" s="253">
        <v>27.4</v>
      </c>
      <c r="BI399" s="253">
        <v>11.13365457773269</v>
      </c>
      <c r="BJ399" s="25">
        <v>0.18913766936173737</v>
      </c>
      <c r="BK399" t="s">
        <v>381</v>
      </c>
      <c r="BL399">
        <v>0.29496324921238742</v>
      </c>
      <c r="BM399" t="s">
        <v>383</v>
      </c>
      <c r="BN399" s="322">
        <v>11057.387562</v>
      </c>
      <c r="BO399" s="322">
        <v>1587.0895539999999</v>
      </c>
      <c r="BP399" s="10">
        <v>4276</v>
      </c>
      <c r="BQ399" s="254">
        <f t="shared" si="176"/>
        <v>2.5859185130963516</v>
      </c>
      <c r="BR399" s="254">
        <f t="shared" si="177"/>
        <v>0.37116219691300278</v>
      </c>
      <c r="BS399" s="25">
        <v>57.692730854847383</v>
      </c>
      <c r="BT399" s="25">
        <v>75.710093183660732</v>
      </c>
      <c r="BU399" s="25">
        <v>41.655048840048828</v>
      </c>
      <c r="BV399" s="25">
        <v>94.210822554058225</v>
      </c>
      <c r="BW399" s="25">
        <v>73.014912102796018</v>
      </c>
      <c r="BX399" s="25">
        <v>67.317173858153794</v>
      </c>
      <c r="BY399" s="25">
        <v>75.312672098300453</v>
      </c>
      <c r="BZ399">
        <v>78</v>
      </c>
      <c r="CA399">
        <v>0</v>
      </c>
      <c r="CB399">
        <v>7</v>
      </c>
      <c r="CC399">
        <v>8464.3816029999998</v>
      </c>
      <c r="CD399" s="10">
        <v>4061.925193</v>
      </c>
      <c r="CE399" s="255">
        <v>0.47988445978857414</v>
      </c>
      <c r="CF399" t="str">
        <f>IFERROR(VLOOKUP(CE399,'Rangos amb etnico'!$A$2:$C$6,3,9),"N.D.")</f>
        <v>31% - 50%</v>
      </c>
      <c r="CG399" s="256">
        <v>1.1817671596252549E-4</v>
      </c>
      <c r="CH399" s="232">
        <v>0</v>
      </c>
      <c r="CI399" s="311">
        <f t="shared" si="184"/>
        <v>0</v>
      </c>
      <c r="CJ399" s="232">
        <f>IFERROR(VLOOKUP(CI399,'Rangos amb etnico'!$A$2:$C$6,3,9),"N.D.")</f>
        <v>0</v>
      </c>
      <c r="CK399" s="311">
        <f t="shared" si="185"/>
        <v>0</v>
      </c>
      <c r="CL399" s="10">
        <v>0</v>
      </c>
      <c r="CM399" s="255">
        <f t="shared" si="186"/>
        <v>0</v>
      </c>
      <c r="CN399" s="232">
        <f>IFERROR(VLOOKUP(CM399,'Rangos amb etnico'!$A$2:$C$6,3,9),"N.D.")</f>
        <v>0</v>
      </c>
      <c r="CO399" s="311">
        <f t="shared" si="187"/>
        <v>0</v>
      </c>
      <c r="CP399">
        <v>0.95340911945607343</v>
      </c>
      <c r="CQ399" t="s">
        <v>2864</v>
      </c>
      <c r="CR399">
        <f t="shared" si="178"/>
        <v>4</v>
      </c>
      <c r="CS399" t="str">
        <f t="shared" si="188"/>
        <v>Candidato</v>
      </c>
      <c r="CT399">
        <v>0</v>
      </c>
      <c r="CU399">
        <v>0</v>
      </c>
      <c r="CV399" s="25">
        <v>49.692928314208977</v>
      </c>
      <c r="CW399" s="25">
        <v>24.415534973144531</v>
      </c>
      <c r="CX399" s="25">
        <v>58.829151153564453</v>
      </c>
      <c r="CY399" s="25">
        <v>77.38525390625</v>
      </c>
      <c r="CZ399" s="25">
        <v>45.756595611572273</v>
      </c>
      <c r="DA399" s="25">
        <v>49.383243560791023</v>
      </c>
      <c r="DB399" s="25">
        <v>42.387786865234382</v>
      </c>
      <c r="DC399">
        <v>21</v>
      </c>
      <c r="DD399" s="253" t="s">
        <v>380</v>
      </c>
    </row>
    <row r="400" spans="1:108">
      <c r="A400" s="13">
        <v>5313</v>
      </c>
      <c r="B400" s="13" t="s">
        <v>1254</v>
      </c>
      <c r="C400" s="13" t="s">
        <v>435</v>
      </c>
      <c r="D400" s="13" t="s">
        <v>436</v>
      </c>
      <c r="E400" s="13" t="s">
        <v>802</v>
      </c>
      <c r="F400" s="14">
        <v>59.262666666666703</v>
      </c>
      <c r="G400" s="13">
        <v>58.25</v>
      </c>
      <c r="H400" s="13">
        <v>43.09</v>
      </c>
      <c r="I400" s="13">
        <v>49.1</v>
      </c>
      <c r="J400" s="14">
        <v>44.976003501868902</v>
      </c>
      <c r="K400" s="14">
        <v>49.36069328531795</v>
      </c>
      <c r="L400" s="14">
        <v>64.875376899592922</v>
      </c>
      <c r="M400" s="14">
        <v>56.067599999999999</v>
      </c>
      <c r="N400" s="14">
        <f t="shared" si="162"/>
        <v>52.425666666666679</v>
      </c>
      <c r="O400" s="14">
        <f t="shared" si="163"/>
        <v>53.819918421694943</v>
      </c>
      <c r="P400" s="14">
        <f t="shared" si="179"/>
        <v>53.122792544180811</v>
      </c>
      <c r="Q400" s="14">
        <v>51.129054224276118</v>
      </c>
      <c r="R400" s="17">
        <f t="shared" si="164"/>
        <v>48.870945775723882</v>
      </c>
      <c r="S400" s="14">
        <f t="shared" si="180"/>
        <v>0.539838511981515</v>
      </c>
      <c r="T400" s="13">
        <v>0</v>
      </c>
      <c r="U400" s="13">
        <f t="shared" si="181"/>
        <v>28.67772927935329</v>
      </c>
      <c r="V400" s="13">
        <f>IF($T400=1,$AU400,(VLOOKUP(U400,'Cortes naturales'!$A$35:$C$39,3,9)))</f>
        <v>4</v>
      </c>
      <c r="W400" s="13">
        <v>4</v>
      </c>
      <c r="X400" s="14" t="b">
        <f t="shared" si="165"/>
        <v>1</v>
      </c>
      <c r="Y400" s="17">
        <f>IF($T400=1,$AU400,VLOOKUP(U400,'Cortes naturales'!$A$45:$C$49,3,9))</f>
        <v>3</v>
      </c>
      <c r="Z400" s="14">
        <v>54.903875268295096</v>
      </c>
      <c r="AA400" s="14">
        <v>0.55335105798541318</v>
      </c>
      <c r="AB400" s="14">
        <v>30.381117467210252</v>
      </c>
      <c r="AC400" s="13">
        <v>3</v>
      </c>
      <c r="AD400" s="13">
        <f t="shared" si="166"/>
        <v>0</v>
      </c>
      <c r="AE400" s="14">
        <f t="shared" si="167"/>
        <v>-1.7810827241142846</v>
      </c>
      <c r="AF400" s="14">
        <f t="shared" si="168"/>
        <v>-1.3512546003898174E-2</v>
      </c>
      <c r="AG400" s="13">
        <f t="shared" si="169"/>
        <v>-1.7033881878569623</v>
      </c>
      <c r="AH400" s="13">
        <f>IF($T400=1,$AU400,VLOOKUP(U400,'Cortes naturales'!$A$25:$C$29,3,9))</f>
        <v>3</v>
      </c>
      <c r="AI400" s="13" t="b">
        <f t="shared" si="170"/>
        <v>1</v>
      </c>
      <c r="AJ400" s="13">
        <f t="shared" si="171"/>
        <v>0</v>
      </c>
      <c r="AK400" s="28">
        <v>0.81759069605862034</v>
      </c>
      <c r="AL400" s="28">
        <v>44.888897596921055</v>
      </c>
      <c r="AM400" s="28">
        <v>0.39088677973740665</v>
      </c>
      <c r="AN400" s="13">
        <v>3</v>
      </c>
      <c r="AO400" s="33">
        <f t="shared" si="172"/>
        <v>0</v>
      </c>
      <c r="AP400" s="13">
        <f t="shared" si="182"/>
        <v>39.088677973740666</v>
      </c>
      <c r="AQ400" s="13">
        <f>IFERROR(VLOOKUP(U400,'Cortes naturales'!$E$15:$G$19,3,9),U400)</f>
        <v>4</v>
      </c>
      <c r="AR400" s="28">
        <f t="shared" si="173"/>
        <v>-0.27775218407710534</v>
      </c>
      <c r="AS400" s="13" t="b">
        <f t="shared" si="174"/>
        <v>0</v>
      </c>
      <c r="AT400" s="13">
        <f t="shared" si="183"/>
        <v>0</v>
      </c>
      <c r="AU400" s="13">
        <v>3</v>
      </c>
      <c r="AV400">
        <f t="shared" si="175"/>
        <v>0</v>
      </c>
      <c r="AW400" s="13">
        <v>0</v>
      </c>
      <c r="AX400" s="13">
        <v>0</v>
      </c>
      <c r="AY400" s="13">
        <v>0</v>
      </c>
      <c r="AZ400" s="13">
        <v>0</v>
      </c>
      <c r="BA400">
        <v>1</v>
      </c>
      <c r="BB400" t="s">
        <v>2839</v>
      </c>
      <c r="BC400">
        <v>6</v>
      </c>
      <c r="BD400" t="s">
        <v>2919</v>
      </c>
      <c r="BE400">
        <v>1</v>
      </c>
      <c r="BF400" s="232" t="s">
        <v>2846</v>
      </c>
      <c r="BG400" s="232" t="s">
        <v>2845</v>
      </c>
      <c r="BH400" s="253">
        <v>33.4</v>
      </c>
      <c r="BI400" s="253">
        <v>11.039878300554166</v>
      </c>
      <c r="BJ400" s="25">
        <v>39.7409051666409</v>
      </c>
      <c r="BK400" t="s">
        <v>376</v>
      </c>
      <c r="BL400">
        <v>3.8198076281812527</v>
      </c>
      <c r="BM400" t="s">
        <v>383</v>
      </c>
      <c r="BN400" s="322">
        <v>26936.311977000001</v>
      </c>
      <c r="BO400" s="322">
        <v>2251.8328839999999</v>
      </c>
      <c r="BP400" s="10">
        <v>10463</v>
      </c>
      <c r="BQ400" s="254">
        <f t="shared" si="176"/>
        <v>2.5744348635190675</v>
      </c>
      <c r="BR400" s="254">
        <f t="shared" si="177"/>
        <v>0.21521866424543629</v>
      </c>
      <c r="BS400" s="25">
        <v>66.504213712976593</v>
      </c>
      <c r="BT400" s="25">
        <v>92.746979427187867</v>
      </c>
      <c r="BU400" s="25">
        <v>49.212551303383243</v>
      </c>
      <c r="BV400" s="25">
        <v>86.433289890746096</v>
      </c>
      <c r="BW400" s="25">
        <v>38.204892413231818</v>
      </c>
      <c r="BX400" s="25">
        <v>73.724258583573445</v>
      </c>
      <c r="BY400" s="25">
        <v>38.854508436675793</v>
      </c>
      <c r="BZ400">
        <v>84</v>
      </c>
      <c r="CA400">
        <v>0</v>
      </c>
      <c r="CB400">
        <v>6</v>
      </c>
      <c r="CC400">
        <v>19008.441934999999</v>
      </c>
      <c r="CD400" s="10">
        <v>2951.6676040000002</v>
      </c>
      <c r="CE400" s="255">
        <v>0.15528193284296135</v>
      </c>
      <c r="CF400" t="str">
        <f>IFERROR(VLOOKUP(CE400,'Rangos amb etnico'!$A$2:$C$6,3,9),"N.D.")</f>
        <v>0,1% - 30%</v>
      </c>
      <c r="CG400" s="256">
        <v>8.5875137399089028E-5</v>
      </c>
      <c r="CH400" s="232">
        <v>0</v>
      </c>
      <c r="CI400" s="311">
        <f t="shared" si="184"/>
        <v>0</v>
      </c>
      <c r="CJ400" s="232">
        <f>IFERROR(VLOOKUP(CI400,'Rangos amb etnico'!$A$2:$C$6,3,9),"N.D.")</f>
        <v>0</v>
      </c>
      <c r="CK400" s="311">
        <f t="shared" si="185"/>
        <v>0</v>
      </c>
      <c r="CL400" s="10">
        <v>0</v>
      </c>
      <c r="CM400" s="255">
        <f t="shared" si="186"/>
        <v>0</v>
      </c>
      <c r="CN400" s="232">
        <f>IFERROR(VLOOKUP(CM400,'Rangos amb etnico'!$A$2:$C$6,3,9),"N.D.")</f>
        <v>0</v>
      </c>
      <c r="CO400" s="311">
        <f t="shared" si="187"/>
        <v>0</v>
      </c>
      <c r="CP400">
        <v>0.88266615124282533</v>
      </c>
      <c r="CQ400" t="s">
        <v>2864</v>
      </c>
      <c r="CR400">
        <f t="shared" si="178"/>
        <v>1</v>
      </c>
      <c r="CS400" t="str">
        <f t="shared" si="188"/>
        <v>No es Candidato</v>
      </c>
      <c r="CT400">
        <v>0</v>
      </c>
      <c r="CU400">
        <v>0</v>
      </c>
      <c r="CV400" s="25">
        <v>44.316482543945313</v>
      </c>
      <c r="CW400" s="25">
        <v>36.517341613769531</v>
      </c>
      <c r="CX400" s="25">
        <v>43.467449188232422</v>
      </c>
      <c r="CY400" s="25">
        <v>59.811737060546882</v>
      </c>
      <c r="CZ400" s="25">
        <v>44.275196075439453</v>
      </c>
      <c r="DA400" s="25">
        <v>24.957477569580082</v>
      </c>
      <c r="DB400" s="25">
        <v>56.869686126708977</v>
      </c>
      <c r="DC400">
        <v>436</v>
      </c>
      <c r="DD400" s="253" t="s">
        <v>380</v>
      </c>
    </row>
    <row r="401" spans="1:108" hidden="1">
      <c r="A401" s="13">
        <v>68522</v>
      </c>
      <c r="B401" s="13" t="s">
        <v>1255</v>
      </c>
      <c r="C401" s="13" t="s">
        <v>431</v>
      </c>
      <c r="D401" s="13" t="s">
        <v>432</v>
      </c>
      <c r="E401" s="13" t="s">
        <v>1256</v>
      </c>
      <c r="F401" s="14">
        <v>62.1083</v>
      </c>
      <c r="G401" s="13">
        <v>51.73</v>
      </c>
      <c r="H401" s="13">
        <v>58.87</v>
      </c>
      <c r="I401" s="13">
        <v>78.02</v>
      </c>
      <c r="J401" s="14">
        <v>51.384995159698406</v>
      </c>
      <c r="K401" s="14">
        <v>51.267906733188418</v>
      </c>
      <c r="L401" s="14">
        <v>56.817526651850301</v>
      </c>
      <c r="M401" s="14">
        <v>55.985100000000003</v>
      </c>
      <c r="N401" s="14">
        <f t="shared" si="162"/>
        <v>62.682074999999998</v>
      </c>
      <c r="O401" s="14">
        <f t="shared" si="163"/>
        <v>53.863882136184287</v>
      </c>
      <c r="P401" s="14">
        <f t="shared" si="179"/>
        <v>58.272978568092142</v>
      </c>
      <c r="Q401" s="14">
        <v>50.867474001936266</v>
      </c>
      <c r="R401" s="17">
        <f t="shared" si="164"/>
        <v>49.132525998063734</v>
      </c>
      <c r="S401" s="14">
        <f t="shared" si="180"/>
        <v>0.54219273398257362</v>
      </c>
      <c r="T401" s="13">
        <v>0</v>
      </c>
      <c r="U401" s="13">
        <f t="shared" si="181"/>
        <v>31.595185567141797</v>
      </c>
      <c r="V401" s="13">
        <f>IF($T401=1,$AU401,(VLOOKUP(U401,'Cortes naturales'!$A$35:$C$39,3,9)))</f>
        <v>3</v>
      </c>
      <c r="W401" s="13">
        <v>3</v>
      </c>
      <c r="X401" s="14" t="b">
        <f t="shared" si="165"/>
        <v>1</v>
      </c>
      <c r="Y401" s="17">
        <f>IF($T401=1,$AU401,VLOOKUP(U401,'Cortes naturales'!$A$45:$C$49,3,9))</f>
        <v>3</v>
      </c>
      <c r="Z401" s="14">
        <v>56.315839333116656</v>
      </c>
      <c r="AA401" s="14">
        <v>0.55178215011876242</v>
      </c>
      <c r="AB401" s="14">
        <v>31.074074912969881</v>
      </c>
      <c r="AC401" s="13">
        <v>3</v>
      </c>
      <c r="AD401" s="13">
        <f t="shared" si="166"/>
        <v>0</v>
      </c>
      <c r="AE401" s="14">
        <f t="shared" si="167"/>
        <v>1.9571392349754859</v>
      </c>
      <c r="AF401" s="14">
        <f t="shared" si="168"/>
        <v>-9.5894161361887997E-3</v>
      </c>
      <c r="AG401" s="13">
        <f t="shared" si="169"/>
        <v>0.52111065417191682</v>
      </c>
      <c r="AH401" s="13">
        <f>IF($T401=1,$AU401,VLOOKUP(U401,'Cortes naturales'!$A$25:$C$29,3,9))</f>
        <v>3</v>
      </c>
      <c r="AI401" s="13" t="b">
        <f t="shared" si="170"/>
        <v>1</v>
      </c>
      <c r="AJ401" s="13">
        <f t="shared" si="171"/>
        <v>0</v>
      </c>
      <c r="AK401" s="28">
        <v>0.81759069605862034</v>
      </c>
      <c r="AL401" s="28">
        <v>46.043306279488277</v>
      </c>
      <c r="AM401" s="28">
        <v>0.40532721549487094</v>
      </c>
      <c r="AN401" s="13">
        <v>3</v>
      </c>
      <c r="AO401" s="33">
        <f t="shared" si="172"/>
        <v>0</v>
      </c>
      <c r="AP401" s="13">
        <f t="shared" si="182"/>
        <v>40.532721549487093</v>
      </c>
      <c r="AQ401" s="13">
        <f>IFERROR(VLOOKUP(U401,'Cortes naturales'!$E$15:$G$19,3,9),U401)</f>
        <v>4</v>
      </c>
      <c r="AR401" s="28">
        <f t="shared" si="173"/>
        <v>-0.27539796207604672</v>
      </c>
      <c r="AS401" s="13" t="b">
        <f t="shared" si="174"/>
        <v>0</v>
      </c>
      <c r="AT401" s="13">
        <f t="shared" si="183"/>
        <v>0</v>
      </c>
      <c r="AU401" s="13">
        <v>3</v>
      </c>
      <c r="AV401">
        <f t="shared" si="175"/>
        <v>0</v>
      </c>
      <c r="AW401" s="13">
        <v>0</v>
      </c>
      <c r="AX401" s="13">
        <v>0</v>
      </c>
      <c r="AY401" s="13">
        <v>0</v>
      </c>
      <c r="AZ401" s="13">
        <v>0</v>
      </c>
      <c r="BA401">
        <v>0</v>
      </c>
      <c r="BB401" t="s">
        <v>2839</v>
      </c>
      <c r="BC401">
        <v>6</v>
      </c>
      <c r="BD401" t="s">
        <v>2919</v>
      </c>
      <c r="BE401">
        <v>0</v>
      </c>
      <c r="BF401" s="232" t="s">
        <v>2846</v>
      </c>
      <c r="BG401" s="232" t="s">
        <v>2846</v>
      </c>
      <c r="BH401" s="253">
        <v>32.5</v>
      </c>
      <c r="BI401" s="253">
        <v>14.228295819935692</v>
      </c>
      <c r="BJ401" s="25">
        <v>13.154</v>
      </c>
      <c r="BK401" t="s">
        <v>377</v>
      </c>
      <c r="BL401">
        <v>0</v>
      </c>
      <c r="BM401" t="s">
        <v>377</v>
      </c>
      <c r="BN401" s="322">
        <v>7759.1267610000004</v>
      </c>
      <c r="BO401" s="322">
        <v>694.76442099999997</v>
      </c>
      <c r="BP401" s="10">
        <v>1523</v>
      </c>
      <c r="BQ401" s="254">
        <f t="shared" si="176"/>
        <v>5.0946334609323705</v>
      </c>
      <c r="BR401" s="254">
        <f t="shared" si="177"/>
        <v>0.45618149770190414</v>
      </c>
      <c r="BS401" s="25">
        <v>66.638556939853672</v>
      </c>
      <c r="BT401" s="25">
        <v>94.309476909608236</v>
      </c>
      <c r="BU401" s="25">
        <v>49.435370866845403</v>
      </c>
      <c r="BV401" s="25">
        <v>98.293961894627003</v>
      </c>
      <c r="BW401" s="25">
        <v>70.50241255065086</v>
      </c>
      <c r="BX401" s="25">
        <v>77.169341652733578</v>
      </c>
      <c r="BY401" s="25">
        <v>75.209160230970653</v>
      </c>
      <c r="BZ401">
        <v>45</v>
      </c>
      <c r="CA401">
        <v>0</v>
      </c>
      <c r="CB401">
        <v>7</v>
      </c>
      <c r="CC401">
        <v>1965.9739890000001</v>
      </c>
      <c r="CD401" s="10">
        <v>1959.068096</v>
      </c>
      <c r="CE401" s="255">
        <v>0.99648729177565931</v>
      </c>
      <c r="CF401" t="str">
        <f>IFERROR(VLOOKUP(CE401,'Rangos amb etnico'!$A$2:$C$6,3,9),"N.D.")</f>
        <v>71% - 100%</v>
      </c>
      <c r="CG401" s="256">
        <v>5.6996675943519183E-5</v>
      </c>
      <c r="CH401" s="232">
        <v>0</v>
      </c>
      <c r="CI401" s="311">
        <f t="shared" si="184"/>
        <v>0</v>
      </c>
      <c r="CJ401" s="232">
        <f>IFERROR(VLOOKUP(CI401,'Rangos amb etnico'!$A$2:$C$6,3,9),"N.D.")</f>
        <v>0</v>
      </c>
      <c r="CK401" s="311">
        <f t="shared" si="185"/>
        <v>0</v>
      </c>
      <c r="CL401" s="10">
        <v>0</v>
      </c>
      <c r="CM401" s="255">
        <f t="shared" si="186"/>
        <v>0</v>
      </c>
      <c r="CN401" s="232">
        <f>IFERROR(VLOOKUP(CM401,'Rangos amb etnico'!$A$2:$C$6,3,9),"N.D.")</f>
        <v>0</v>
      </c>
      <c r="CO401" s="311">
        <f t="shared" si="187"/>
        <v>0</v>
      </c>
      <c r="CP401">
        <v>0.91594158169394357</v>
      </c>
      <c r="CQ401" t="s">
        <v>2864</v>
      </c>
      <c r="CR401">
        <f t="shared" si="178"/>
        <v>3</v>
      </c>
      <c r="CS401" t="str">
        <f t="shared" si="188"/>
        <v>Candidato</v>
      </c>
      <c r="CT401">
        <v>0</v>
      </c>
      <c r="CU401">
        <v>0</v>
      </c>
      <c r="CV401" s="25">
        <v>61.508296966552727</v>
      </c>
      <c r="CW401" s="25">
        <v>28.379718780517582</v>
      </c>
      <c r="CX401" s="25">
        <v>58.693267822265618</v>
      </c>
      <c r="CY401" s="25">
        <v>65.500389099121094</v>
      </c>
      <c r="CZ401" s="25">
        <v>42.409091949462891</v>
      </c>
      <c r="DA401" s="25">
        <v>98.857994079589844</v>
      </c>
      <c r="DB401" s="25">
        <v>75.209327697753906</v>
      </c>
      <c r="DC401">
        <v>8</v>
      </c>
      <c r="DD401" s="253" t="s">
        <v>380</v>
      </c>
    </row>
    <row r="402" spans="1:108" hidden="1">
      <c r="A402" s="13">
        <v>17486</v>
      </c>
      <c r="B402" s="13" t="s">
        <v>1257</v>
      </c>
      <c r="C402" s="13" t="s">
        <v>506</v>
      </c>
      <c r="D402" s="13" t="s">
        <v>507</v>
      </c>
      <c r="E402" s="13" t="s">
        <v>1258</v>
      </c>
      <c r="F402" s="14">
        <v>78.736666666666693</v>
      </c>
      <c r="G402" s="13">
        <v>68.08</v>
      </c>
      <c r="H402" s="13">
        <v>69.37</v>
      </c>
      <c r="I402" s="13">
        <v>68.09</v>
      </c>
      <c r="J402" s="14">
        <v>53.533724826450864</v>
      </c>
      <c r="K402" s="14">
        <v>52.699025818952038</v>
      </c>
      <c r="L402" s="14">
        <v>66.750485583579874</v>
      </c>
      <c r="M402" s="14">
        <v>56.545999999999999</v>
      </c>
      <c r="N402" s="14">
        <f t="shared" si="162"/>
        <v>71.069166666666675</v>
      </c>
      <c r="O402" s="14">
        <f t="shared" si="163"/>
        <v>57.382309057245692</v>
      </c>
      <c r="P402" s="14">
        <f t="shared" si="179"/>
        <v>64.22573786195619</v>
      </c>
      <c r="Q402" s="14">
        <v>51.490189415126572</v>
      </c>
      <c r="R402" s="17">
        <f t="shared" si="164"/>
        <v>48.509810584873428</v>
      </c>
      <c r="S402" s="14">
        <f t="shared" si="180"/>
        <v>0.53658829526386087</v>
      </c>
      <c r="T402" s="13">
        <v>0</v>
      </c>
      <c r="U402" s="13">
        <f t="shared" si="181"/>
        <v>34.462779191410675</v>
      </c>
      <c r="V402" s="13">
        <f>IF($T402=1,$AU402,(VLOOKUP(U402,'Cortes naturales'!$A$35:$C$39,3,9)))</f>
        <v>3</v>
      </c>
      <c r="W402" s="13">
        <v>3</v>
      </c>
      <c r="X402" s="14" t="b">
        <f t="shared" si="165"/>
        <v>1</v>
      </c>
      <c r="Y402" s="17">
        <f>IF($T402=1,$AU402,VLOOKUP(U402,'Cortes naturales'!$A$45:$C$49,3,9))</f>
        <v>3</v>
      </c>
      <c r="Z402" s="14">
        <v>65.369378053740917</v>
      </c>
      <c r="AA402" s="14">
        <v>0.54870788421215289</v>
      </c>
      <c r="AB402" s="14">
        <v>35.86869312413252</v>
      </c>
      <c r="AC402" s="13">
        <v>2</v>
      </c>
      <c r="AD402" s="13">
        <f t="shared" si="166"/>
        <v>-1</v>
      </c>
      <c r="AE402" s="14">
        <f t="shared" si="167"/>
        <v>-1.1436401917847263</v>
      </c>
      <c r="AF402" s="14">
        <f t="shared" si="168"/>
        <v>-1.2119588948292015E-2</v>
      </c>
      <c r="AG402" s="13">
        <f t="shared" si="169"/>
        <v>-1.4059139327218446</v>
      </c>
      <c r="AH402" s="13">
        <f>IF($T402=1,$AU402,VLOOKUP(U402,'Cortes naturales'!$A$25:$C$29,3,9))</f>
        <v>3</v>
      </c>
      <c r="AI402" s="13" t="b">
        <f t="shared" si="170"/>
        <v>1</v>
      </c>
      <c r="AJ402" s="13" t="str">
        <f t="shared" si="171"/>
        <v>Efecto ponderador</v>
      </c>
      <c r="AK402" s="28">
        <v>0.81759069605862034</v>
      </c>
      <c r="AL402" s="28">
        <v>53.445395303877135</v>
      </c>
      <c r="AM402" s="28">
        <v>0.49791954665268395</v>
      </c>
      <c r="AN402" s="13">
        <v>2</v>
      </c>
      <c r="AO402" s="33">
        <f t="shared" si="172"/>
        <v>-1</v>
      </c>
      <c r="AP402" s="13">
        <f t="shared" si="182"/>
        <v>49.791954665268392</v>
      </c>
      <c r="AQ402" s="13">
        <f>IFERROR(VLOOKUP(U402,'Cortes naturales'!$E$15:$G$19,3,9),U402)</f>
        <v>4</v>
      </c>
      <c r="AR402" s="28">
        <f t="shared" si="173"/>
        <v>-0.28100240079475947</v>
      </c>
      <c r="AS402" s="13" t="b">
        <f t="shared" si="174"/>
        <v>0</v>
      </c>
      <c r="AT402" s="13" t="str">
        <f t="shared" si="183"/>
        <v>Cambio en corte</v>
      </c>
      <c r="AU402" s="13">
        <v>2</v>
      </c>
      <c r="AV402">
        <f t="shared" si="175"/>
        <v>-1</v>
      </c>
      <c r="AW402" s="13">
        <v>0</v>
      </c>
      <c r="AX402" s="13">
        <v>0</v>
      </c>
      <c r="AY402" s="13">
        <v>0</v>
      </c>
      <c r="AZ402" s="13">
        <v>0</v>
      </c>
      <c r="BA402">
        <v>0</v>
      </c>
      <c r="BB402" t="s">
        <v>2839</v>
      </c>
      <c r="BC402">
        <v>6</v>
      </c>
      <c r="BD402" t="s">
        <v>2919</v>
      </c>
      <c r="BE402">
        <v>1</v>
      </c>
      <c r="BF402" s="232" t="s">
        <v>2846</v>
      </c>
      <c r="BG402" s="232" t="s">
        <v>2846</v>
      </c>
      <c r="BH402" s="253">
        <v>31.3</v>
      </c>
      <c r="BI402" s="253">
        <v>11.775976418570377</v>
      </c>
      <c r="BJ402" s="25">
        <v>16.346343724423793</v>
      </c>
      <c r="BK402" t="s">
        <v>379</v>
      </c>
      <c r="BL402">
        <v>0</v>
      </c>
      <c r="BM402" t="s">
        <v>377</v>
      </c>
      <c r="BN402" s="322">
        <v>41964.622793000002</v>
      </c>
      <c r="BO402" s="322">
        <v>6613.4792880000005</v>
      </c>
      <c r="BP402" s="10">
        <v>21568</v>
      </c>
      <c r="BQ402" s="254">
        <f t="shared" si="176"/>
        <v>1.9456891131769289</v>
      </c>
      <c r="BR402" s="254">
        <f t="shared" si="177"/>
        <v>0.30663386906528189</v>
      </c>
      <c r="BS402" s="25">
        <v>66.039159531918685</v>
      </c>
      <c r="BT402" s="25">
        <v>86.027157636003963</v>
      </c>
      <c r="BU402" s="25">
        <v>54.707566780605127</v>
      </c>
      <c r="BV402" s="25">
        <v>93.829434229142961</v>
      </c>
      <c r="BW402" s="25">
        <v>65.403679909651729</v>
      </c>
      <c r="BX402" s="25">
        <v>75.150829544417689</v>
      </c>
      <c r="BY402" s="25">
        <v>65.97915637466734</v>
      </c>
      <c r="BZ402">
        <v>19</v>
      </c>
      <c r="CA402">
        <v>0</v>
      </c>
      <c r="CB402">
        <v>7</v>
      </c>
      <c r="CC402">
        <v>36919.936568999998</v>
      </c>
      <c r="CD402" s="10">
        <v>5107.1601780000001</v>
      </c>
      <c r="CE402" s="255">
        <v>0.13833068668618059</v>
      </c>
      <c r="CF402" t="str">
        <f>IFERROR(VLOOKUP(CE402,'Rangos amb etnico'!$A$2:$C$6,3,9),"N.D.")</f>
        <v>0,1% - 30%</v>
      </c>
      <c r="CG402" s="256">
        <v>1.485865418621527E-4</v>
      </c>
      <c r="CH402" s="232">
        <v>0</v>
      </c>
      <c r="CI402" s="311">
        <f t="shared" si="184"/>
        <v>0</v>
      </c>
      <c r="CJ402" s="232">
        <f>IFERROR(VLOOKUP(CI402,'Rangos amb etnico'!$A$2:$C$6,3,9),"N.D.")</f>
        <v>0</v>
      </c>
      <c r="CK402" s="311">
        <f t="shared" si="185"/>
        <v>0</v>
      </c>
      <c r="CL402" s="10">
        <v>0</v>
      </c>
      <c r="CM402" s="255">
        <f t="shared" si="186"/>
        <v>0</v>
      </c>
      <c r="CN402" s="232">
        <f>IFERROR(VLOOKUP(CM402,'Rangos amb etnico'!$A$2:$C$6,3,9),"N.D.")</f>
        <v>0</v>
      </c>
      <c r="CO402" s="311">
        <f t="shared" si="187"/>
        <v>0</v>
      </c>
      <c r="CP402">
        <v>0.98137360180834787</v>
      </c>
      <c r="CQ402" t="s">
        <v>2864</v>
      </c>
      <c r="CR402">
        <f t="shared" si="178"/>
        <v>3</v>
      </c>
      <c r="CS402" t="str">
        <f t="shared" si="188"/>
        <v>Candidato</v>
      </c>
      <c r="CT402">
        <v>0</v>
      </c>
      <c r="CU402">
        <v>0</v>
      </c>
      <c r="CV402" s="25">
        <v>56.433540344238281</v>
      </c>
      <c r="CW402" s="25">
        <v>34.246604919433587</v>
      </c>
      <c r="CX402" s="25">
        <v>59.404216766357422</v>
      </c>
      <c r="CY402" s="25">
        <v>64.158607482910156</v>
      </c>
      <c r="CZ402" s="25">
        <v>55.725528717041023</v>
      </c>
      <c r="DA402" s="25">
        <v>61.041969299316413</v>
      </c>
      <c r="DB402" s="25">
        <v>64.024307250976563</v>
      </c>
      <c r="DC402">
        <v>229</v>
      </c>
      <c r="DD402" s="253" t="s">
        <v>380</v>
      </c>
    </row>
    <row r="403" spans="1:108">
      <c r="A403" s="13">
        <v>5789</v>
      </c>
      <c r="B403" s="13" t="s">
        <v>1259</v>
      </c>
      <c r="C403" s="13" t="s">
        <v>435</v>
      </c>
      <c r="D403" s="13" t="s">
        <v>436</v>
      </c>
      <c r="E403" s="13" t="s">
        <v>1260</v>
      </c>
      <c r="F403" s="14">
        <v>44.079533333333302</v>
      </c>
      <c r="G403" s="13">
        <v>44.1</v>
      </c>
      <c r="H403" s="13">
        <v>46.34</v>
      </c>
      <c r="I403" s="13">
        <v>48.82</v>
      </c>
      <c r="J403" s="14">
        <v>39.595614153338964</v>
      </c>
      <c r="K403" s="14">
        <v>36.338462350912835</v>
      </c>
      <c r="L403" s="14">
        <v>45.124292699016607</v>
      </c>
      <c r="M403" s="14">
        <v>48.251600000000003</v>
      </c>
      <c r="N403" s="14">
        <f t="shared" si="162"/>
        <v>45.834883333333323</v>
      </c>
      <c r="O403" s="14">
        <f t="shared" si="163"/>
        <v>42.327492300817106</v>
      </c>
      <c r="P403" s="14">
        <f t="shared" si="179"/>
        <v>44.081187817075218</v>
      </c>
      <c r="Q403" s="14">
        <v>50.990611551312206</v>
      </c>
      <c r="R403" s="17">
        <f t="shared" si="164"/>
        <v>49.009388448687794</v>
      </c>
      <c r="S403" s="14">
        <f t="shared" si="180"/>
        <v>0.5410844960381902</v>
      </c>
      <c r="T403" s="13">
        <v>0</v>
      </c>
      <c r="U403" s="13">
        <f t="shared" si="181"/>
        <v>23.851647294766956</v>
      </c>
      <c r="V403" s="13">
        <f>IF($T403=1,$AU403,(VLOOKUP(U403,'Cortes naturales'!$A$35:$C$39,3,9)))</f>
        <v>4</v>
      </c>
      <c r="W403" s="13">
        <v>4</v>
      </c>
      <c r="X403" s="14" t="b">
        <f t="shared" si="165"/>
        <v>1</v>
      </c>
      <c r="Y403" s="17">
        <f>IF($T403=1,$AU403,VLOOKUP(U403,'Cortes naturales'!$A$45:$C$49,3,9))</f>
        <v>4</v>
      </c>
      <c r="Z403" s="14">
        <v>43.938954422107798</v>
      </c>
      <c r="AA403" s="14">
        <v>0.54973089416339493</v>
      </c>
      <c r="AB403" s="14">
        <v>24.154600703069978</v>
      </c>
      <c r="AC403" s="13">
        <v>4</v>
      </c>
      <c r="AD403" s="13">
        <f t="shared" si="166"/>
        <v>0</v>
      </c>
      <c r="AE403" s="14">
        <f t="shared" si="167"/>
        <v>0.14223339496741971</v>
      </c>
      <c r="AF403" s="14">
        <f t="shared" si="168"/>
        <v>-8.6463981252047351E-3</v>
      </c>
      <c r="AG403" s="13">
        <f t="shared" si="169"/>
        <v>-0.30295340830302209</v>
      </c>
      <c r="AH403" s="13">
        <f>IF($T403=1,$AU403,VLOOKUP(U403,'Cortes naturales'!$A$25:$C$29,3,9))</f>
        <v>4</v>
      </c>
      <c r="AI403" s="13" t="b">
        <f t="shared" si="170"/>
        <v>1</v>
      </c>
      <c r="AJ403" s="13">
        <f t="shared" si="171"/>
        <v>0</v>
      </c>
      <c r="AK403" s="28">
        <v>0.81759069605862034</v>
      </c>
      <c r="AL403" s="28">
        <v>35.924080330059105</v>
      </c>
      <c r="AM403" s="28">
        <v>0.27874636553709303</v>
      </c>
      <c r="AN403" s="13">
        <v>4</v>
      </c>
      <c r="AO403" s="33">
        <f t="shared" si="172"/>
        <v>0</v>
      </c>
      <c r="AP403" s="13">
        <f t="shared" si="182"/>
        <v>27.874636553709305</v>
      </c>
      <c r="AQ403" s="13">
        <f>IFERROR(VLOOKUP(U403,'Cortes naturales'!$E$15:$G$19,3,9),U403)</f>
        <v>4</v>
      </c>
      <c r="AR403" s="28">
        <f t="shared" si="173"/>
        <v>-0.27650620002043014</v>
      </c>
      <c r="AS403" s="13" t="b">
        <f t="shared" si="174"/>
        <v>1</v>
      </c>
      <c r="AT403" s="13">
        <f t="shared" si="183"/>
        <v>0</v>
      </c>
      <c r="AU403" s="13">
        <v>3</v>
      </c>
      <c r="AV403">
        <f t="shared" si="175"/>
        <v>-1</v>
      </c>
      <c r="AW403" s="13">
        <v>0</v>
      </c>
      <c r="AX403" s="13">
        <v>0</v>
      </c>
      <c r="AY403" s="13">
        <v>0</v>
      </c>
      <c r="AZ403" s="13">
        <v>0</v>
      </c>
      <c r="BA403">
        <v>0</v>
      </c>
      <c r="BB403" t="s">
        <v>2839</v>
      </c>
      <c r="BC403">
        <v>6</v>
      </c>
      <c r="BD403" t="s">
        <v>2919</v>
      </c>
      <c r="BE403">
        <v>1</v>
      </c>
      <c r="BF403" s="232" t="s">
        <v>2846</v>
      </c>
      <c r="BG403" s="232" t="s">
        <v>2845</v>
      </c>
      <c r="BH403" s="253">
        <v>36.6</v>
      </c>
      <c r="BI403" s="253">
        <v>12.407182395031727</v>
      </c>
      <c r="BJ403" s="25">
        <v>28.249033517221534</v>
      </c>
      <c r="BK403" t="s">
        <v>379</v>
      </c>
      <c r="BL403">
        <v>2.139903327580746</v>
      </c>
      <c r="BM403" t="s">
        <v>383</v>
      </c>
      <c r="BN403" s="322">
        <v>37403.373969</v>
      </c>
      <c r="BO403" s="322">
        <v>7611.0729179999998</v>
      </c>
      <c r="BP403" s="10">
        <v>16676</v>
      </c>
      <c r="BQ403" s="254">
        <f t="shared" si="176"/>
        <v>2.242946388162629</v>
      </c>
      <c r="BR403" s="254">
        <f t="shared" si="177"/>
        <v>0.45640878615975056</v>
      </c>
      <c r="BS403" s="25">
        <v>61.440309709544032</v>
      </c>
      <c r="BT403" s="25">
        <v>91.557395636843367</v>
      </c>
      <c r="BU403" s="25">
        <v>48.805731593662607</v>
      </c>
      <c r="BV403" s="25">
        <v>94.193379353456706</v>
      </c>
      <c r="BW403" s="25">
        <v>55.776606980789538</v>
      </c>
      <c r="BX403" s="25">
        <v>73.999204073376674</v>
      </c>
      <c r="BY403" s="25">
        <v>56.575014040815383</v>
      </c>
      <c r="BZ403">
        <v>65</v>
      </c>
      <c r="CA403">
        <v>0</v>
      </c>
      <c r="CB403">
        <v>6</v>
      </c>
      <c r="CC403">
        <v>25219.453600000001</v>
      </c>
      <c r="CD403" s="10">
        <v>11616.427315999999</v>
      </c>
      <c r="CE403" s="255">
        <v>0.46061375873742161</v>
      </c>
      <c r="CF403" t="str">
        <f>IFERROR(VLOOKUP(CE403,'Rangos amb etnico'!$A$2:$C$6,3,9),"N.D.")</f>
        <v>31% - 50%</v>
      </c>
      <c r="CG403" s="256">
        <v>3.3796566066455726E-4</v>
      </c>
      <c r="CH403" s="232">
        <v>34.409353000000003</v>
      </c>
      <c r="CI403" s="311">
        <f t="shared" si="184"/>
        <v>1.3643972445144491E-3</v>
      </c>
      <c r="CJ403" s="232" t="str">
        <f>IFERROR(VLOOKUP(CI403,'Rangos amb etnico'!$A$2:$C$6,3,9),"N.D.")</f>
        <v>0,1% - 30%</v>
      </c>
      <c r="CK403" s="311">
        <f t="shared" si="185"/>
        <v>1.3662765990325759E-6</v>
      </c>
      <c r="CL403" s="10">
        <v>0</v>
      </c>
      <c r="CM403" s="255">
        <f t="shared" si="186"/>
        <v>0</v>
      </c>
      <c r="CN403" s="232">
        <f>IFERROR(VLOOKUP(CM403,'Rangos amb etnico'!$A$2:$C$6,3,9),"N.D.")</f>
        <v>0</v>
      </c>
      <c r="CO403" s="311">
        <f t="shared" si="187"/>
        <v>0</v>
      </c>
      <c r="CP403">
        <v>0.92218822989924987</v>
      </c>
      <c r="CQ403" t="s">
        <v>2864</v>
      </c>
      <c r="CR403">
        <f t="shared" si="178"/>
        <v>1</v>
      </c>
      <c r="CS403" t="str">
        <f t="shared" si="188"/>
        <v>No es Candidato</v>
      </c>
      <c r="CT403">
        <v>0</v>
      </c>
      <c r="CU403">
        <v>0</v>
      </c>
      <c r="CV403" s="25">
        <v>51.006343841552727</v>
      </c>
      <c r="CW403" s="25">
        <v>26.17424201965332</v>
      </c>
      <c r="CX403" s="25">
        <v>51.276573181152337</v>
      </c>
      <c r="CY403" s="25">
        <v>56.668647766113281</v>
      </c>
      <c r="CZ403" s="25">
        <v>36.439510345458977</v>
      </c>
      <c r="DA403" s="25">
        <v>72.850784301757813</v>
      </c>
      <c r="DB403" s="25">
        <v>62.6282958984375</v>
      </c>
      <c r="DC403">
        <v>354</v>
      </c>
      <c r="DD403" s="253" t="s">
        <v>380</v>
      </c>
    </row>
    <row r="404" spans="1:108" hidden="1">
      <c r="A404" s="13">
        <v>25489</v>
      </c>
      <c r="B404" s="13" t="s">
        <v>1261</v>
      </c>
      <c r="C404" s="13" t="s">
        <v>461</v>
      </c>
      <c r="D404" s="13" t="s">
        <v>462</v>
      </c>
      <c r="E404" s="13" t="s">
        <v>1262</v>
      </c>
      <c r="F404" s="14">
        <v>56.426733333333303</v>
      </c>
      <c r="G404" s="13">
        <v>89.97</v>
      </c>
      <c r="H404" s="13">
        <v>66.39</v>
      </c>
      <c r="I404" s="13">
        <v>64.98</v>
      </c>
      <c r="J404" s="14">
        <v>54.457438638606639</v>
      </c>
      <c r="K404" s="14">
        <v>51.360221920274647</v>
      </c>
      <c r="L404" s="14">
        <v>79.465488463115989</v>
      </c>
      <c r="M404" s="14">
        <v>54.684600000000003</v>
      </c>
      <c r="N404" s="14">
        <f t="shared" si="162"/>
        <v>69.44168333333333</v>
      </c>
      <c r="O404" s="14">
        <f t="shared" si="163"/>
        <v>59.991937255499323</v>
      </c>
      <c r="P404" s="14">
        <f t="shared" si="179"/>
        <v>64.716810294416319</v>
      </c>
      <c r="Q404" s="14">
        <v>52.675349027904893</v>
      </c>
      <c r="R404" s="17">
        <f t="shared" si="164"/>
        <v>47.324650972095107</v>
      </c>
      <c r="S404" s="203">
        <f t="shared" si="180"/>
        <v>0.525921858748856</v>
      </c>
      <c r="T404" s="13">
        <v>0</v>
      </c>
      <c r="U404" s="13">
        <f t="shared" si="181"/>
        <v>34.03598516233653</v>
      </c>
      <c r="V404" s="13">
        <f>IF($T404=1,$AU404,(VLOOKUP(U404,'Cortes naturales'!$A$35:$C$39,3,9)))</f>
        <v>3</v>
      </c>
      <c r="W404" s="13">
        <v>3</v>
      </c>
      <c r="X404" s="14" t="b">
        <f t="shared" si="165"/>
        <v>1</v>
      </c>
      <c r="Y404" s="17">
        <f>IF($T404=1,$AU404,VLOOKUP(U404,'Cortes naturales'!$A$45:$C$49,3,9))</f>
        <v>3</v>
      </c>
      <c r="Z404" s="14">
        <v>64.321459716325933</v>
      </c>
      <c r="AA404" s="203">
        <v>0.54544159061682984</v>
      </c>
      <c r="AB404" s="14">
        <v>35.08359929846916</v>
      </c>
      <c r="AC404" s="13">
        <v>2</v>
      </c>
      <c r="AD404" s="13">
        <f t="shared" si="166"/>
        <v>-1</v>
      </c>
      <c r="AE404" s="14">
        <f t="shared" si="167"/>
        <v>0.39535057809038676</v>
      </c>
      <c r="AF404" s="14">
        <f t="shared" si="168"/>
        <v>-1.9519731867973844E-2</v>
      </c>
      <c r="AG404" s="13">
        <f t="shared" si="169"/>
        <v>-1.0476141361326299</v>
      </c>
      <c r="AH404" s="13">
        <f>IF($T404=1,$AU404,VLOOKUP(U404,'Cortes naturales'!$A$25:$C$29,3,9))</f>
        <v>3</v>
      </c>
      <c r="AI404" s="13" t="b">
        <f t="shared" si="170"/>
        <v>1</v>
      </c>
      <c r="AJ404" s="13" t="str">
        <f t="shared" si="171"/>
        <v>Efecto ponderador</v>
      </c>
      <c r="AK404" s="28">
        <v>0.81759069605862034</v>
      </c>
      <c r="AL404" s="28">
        <v>52.588627020977427</v>
      </c>
      <c r="AM404" s="28">
        <v>0.48720227855250592</v>
      </c>
      <c r="AN404" s="13">
        <v>2</v>
      </c>
      <c r="AO404" s="33">
        <f t="shared" si="172"/>
        <v>-1</v>
      </c>
      <c r="AP404" s="13">
        <f t="shared" si="182"/>
        <v>48.720227855250592</v>
      </c>
      <c r="AQ404" s="13">
        <f>IFERROR(VLOOKUP(U404,'Cortes naturales'!$E$15:$G$19,3,9),U404)</f>
        <v>4</v>
      </c>
      <c r="AR404" s="28">
        <f t="shared" si="173"/>
        <v>-0.29166883730976434</v>
      </c>
      <c r="AS404" s="13" t="b">
        <f t="shared" si="174"/>
        <v>0</v>
      </c>
      <c r="AT404" s="13" t="str">
        <f t="shared" si="183"/>
        <v>Cambio en corte</v>
      </c>
      <c r="AU404" s="13">
        <v>3</v>
      </c>
      <c r="AV404">
        <f t="shared" si="175"/>
        <v>0</v>
      </c>
      <c r="AW404" s="13">
        <v>0</v>
      </c>
      <c r="AX404" s="13">
        <v>0</v>
      </c>
      <c r="AY404" s="13">
        <v>0</v>
      </c>
      <c r="AZ404" s="13">
        <v>0</v>
      </c>
      <c r="BA404">
        <v>0</v>
      </c>
      <c r="BB404" t="s">
        <v>2840</v>
      </c>
      <c r="BC404">
        <v>6</v>
      </c>
      <c r="BD404" t="s">
        <v>2919</v>
      </c>
      <c r="BE404">
        <v>0</v>
      </c>
      <c r="BF404" s="232" t="s">
        <v>2846</v>
      </c>
      <c r="BG404" s="232" t="s">
        <v>2846</v>
      </c>
      <c r="BH404" s="253">
        <v>30.2</v>
      </c>
      <c r="BI404" s="253">
        <v>12.912716574043806</v>
      </c>
      <c r="BJ404" s="25">
        <v>2.3003715711787041</v>
      </c>
      <c r="BK404" t="s">
        <v>381</v>
      </c>
      <c r="BL404">
        <v>0</v>
      </c>
      <c r="BM404" t="s">
        <v>377</v>
      </c>
      <c r="BN404" s="322">
        <v>13855.652222999999</v>
      </c>
      <c r="BO404" s="322">
        <v>2012.536865</v>
      </c>
      <c r="BP404" s="10">
        <v>3674</v>
      </c>
      <c r="BQ404" s="254">
        <f t="shared" si="176"/>
        <v>3.7712716992378876</v>
      </c>
      <c r="BR404" s="254">
        <f t="shared" si="177"/>
        <v>0.54777813418617316</v>
      </c>
      <c r="BS404" s="25">
        <v>54.167149159084637</v>
      </c>
      <c r="BT404" s="25">
        <v>80.42336239520958</v>
      </c>
      <c r="BU404" s="25">
        <v>38.518467908902657</v>
      </c>
      <c r="BV404" s="25">
        <v>88.918874987259855</v>
      </c>
      <c r="BW404" s="25">
        <v>69.986644686850369</v>
      </c>
      <c r="BX404" s="25">
        <v>65.506963612614186</v>
      </c>
      <c r="BY404" s="25">
        <v>70.952064389529937</v>
      </c>
      <c r="BZ404">
        <v>37</v>
      </c>
      <c r="CA404">
        <v>0</v>
      </c>
      <c r="CB404">
        <v>7</v>
      </c>
      <c r="CC404">
        <v>5943.884376</v>
      </c>
      <c r="CD404" s="10">
        <v>2330.8560969999999</v>
      </c>
      <c r="CE404" s="255">
        <v>0.39214357977948661</v>
      </c>
      <c r="CF404" t="str">
        <f>IFERROR(VLOOKUP(CE404,'Rangos amb etnico'!$A$2:$C$6,3,9),"N.D.")</f>
        <v>31% - 50%</v>
      </c>
      <c r="CG404" s="256">
        <v>6.7813390408908431E-5</v>
      </c>
      <c r="CH404" s="232">
        <v>0</v>
      </c>
      <c r="CI404" s="311">
        <f t="shared" si="184"/>
        <v>0</v>
      </c>
      <c r="CJ404" s="232">
        <f>IFERROR(VLOOKUP(CI404,'Rangos amb etnico'!$A$2:$C$6,3,9),"N.D.")</f>
        <v>0</v>
      </c>
      <c r="CK404" s="311">
        <f t="shared" si="185"/>
        <v>0</v>
      </c>
      <c r="CL404" s="10">
        <v>0</v>
      </c>
      <c r="CM404" s="255">
        <f t="shared" si="186"/>
        <v>0</v>
      </c>
      <c r="CN404" s="232">
        <f>IFERROR(VLOOKUP(CM404,'Rangos amb etnico'!$A$2:$C$6,3,9),"N.D.")</f>
        <v>0</v>
      </c>
      <c r="CO404" s="311">
        <f t="shared" si="187"/>
        <v>0</v>
      </c>
      <c r="CP404">
        <v>0.89852393665787833</v>
      </c>
      <c r="CQ404" t="s">
        <v>2864</v>
      </c>
      <c r="CR404">
        <f t="shared" si="178"/>
        <v>3</v>
      </c>
      <c r="CS404" t="str">
        <f t="shared" si="188"/>
        <v>Candidato</v>
      </c>
      <c r="CT404">
        <v>0</v>
      </c>
      <c r="CU404">
        <v>0</v>
      </c>
      <c r="CV404" s="25">
        <v>48.574676513671882</v>
      </c>
      <c r="CW404" s="25">
        <v>19.345390319824219</v>
      </c>
      <c r="CX404" s="25">
        <v>57.145660400390618</v>
      </c>
      <c r="CY404" s="25">
        <v>73.132789611816406</v>
      </c>
      <c r="CZ404" s="25">
        <v>41.150802612304688</v>
      </c>
      <c r="DA404" s="25">
        <v>57.005447387695313</v>
      </c>
      <c r="DB404" s="25">
        <v>43.66796875</v>
      </c>
      <c r="DC404">
        <v>19</v>
      </c>
      <c r="DD404" s="253" t="s">
        <v>380</v>
      </c>
    </row>
    <row r="405" spans="1:108" hidden="1">
      <c r="A405" s="13">
        <v>70230</v>
      </c>
      <c r="B405" s="13" t="s">
        <v>1263</v>
      </c>
      <c r="C405" s="13" t="s">
        <v>494</v>
      </c>
      <c r="D405" s="13" t="s">
        <v>495</v>
      </c>
      <c r="E405" s="13" t="s">
        <v>1264</v>
      </c>
      <c r="F405" s="14">
        <v>48.455233333333297</v>
      </c>
      <c r="G405" s="13">
        <v>39.67</v>
      </c>
      <c r="H405" s="13">
        <v>36.22</v>
      </c>
      <c r="I405" s="13">
        <v>48.17</v>
      </c>
      <c r="J405" s="14">
        <v>35.209759363721517</v>
      </c>
      <c r="K405" s="14">
        <v>44.423335370272916</v>
      </c>
      <c r="L405" s="14">
        <v>11.689919913904419</v>
      </c>
      <c r="M405" s="14">
        <v>39.8367</v>
      </c>
      <c r="N405" s="14">
        <f t="shared" si="162"/>
        <v>43.128808333333325</v>
      </c>
      <c r="O405" s="14">
        <f t="shared" si="163"/>
        <v>32.789928661974713</v>
      </c>
      <c r="P405" s="14">
        <f t="shared" si="179"/>
        <v>37.959368497654019</v>
      </c>
      <c r="Q405" s="14">
        <v>51.277535733083738</v>
      </c>
      <c r="R405" s="17">
        <f t="shared" si="164"/>
        <v>48.722464266916262</v>
      </c>
      <c r="S405" s="14">
        <f t="shared" si="180"/>
        <v>0.53850217840224635</v>
      </c>
      <c r="T405" s="13">
        <v>0</v>
      </c>
      <c r="U405" s="13">
        <f t="shared" si="181"/>
        <v>20.441202626760294</v>
      </c>
      <c r="V405" s="13">
        <f>IF($T405=1,$AU405,(VLOOKUP(U405,'Cortes naturales'!$A$35:$C$39,3,9)))</f>
        <v>5</v>
      </c>
      <c r="W405" s="13">
        <v>5</v>
      </c>
      <c r="X405" s="14" t="b">
        <f t="shared" si="165"/>
        <v>1</v>
      </c>
      <c r="Y405" s="17">
        <f>IF($T405=1,$AU405,VLOOKUP(U405,'Cortes naturales'!$A$45:$C$49,3,9))</f>
        <v>5</v>
      </c>
      <c r="Z405" s="14">
        <v>38.016785475116293</v>
      </c>
      <c r="AA405" s="14">
        <v>0.54711281479786744</v>
      </c>
      <c r="AB405" s="14">
        <v>20.799470510857557</v>
      </c>
      <c r="AC405" s="13">
        <v>4</v>
      </c>
      <c r="AD405" s="13">
        <f t="shared" si="166"/>
        <v>-1</v>
      </c>
      <c r="AE405" s="14">
        <f t="shared" si="167"/>
        <v>-5.7416977462274588E-2</v>
      </c>
      <c r="AF405" s="14">
        <f t="shared" si="168"/>
        <v>-8.6106363956210963E-3</v>
      </c>
      <c r="AG405" s="13">
        <f t="shared" si="169"/>
        <v>-0.35826788409726262</v>
      </c>
      <c r="AH405" s="13">
        <f>IF($T405=1,$AU405,VLOOKUP(U405,'Cortes naturales'!$A$25:$C$29,3,9))</f>
        <v>4</v>
      </c>
      <c r="AI405" s="13" t="b">
        <f t="shared" si="170"/>
        <v>0</v>
      </c>
      <c r="AJ405" s="13" t="str">
        <f t="shared" si="171"/>
        <v>Cambio en corte</v>
      </c>
      <c r="AK405" s="28">
        <v>0.81759069605862034</v>
      </c>
      <c r="AL405" s="28">
        <v>31.082170098511579</v>
      </c>
      <c r="AM405" s="28">
        <v>0.21817917239490203</v>
      </c>
      <c r="AN405" s="13">
        <v>4</v>
      </c>
      <c r="AO405" s="33">
        <f t="shared" si="172"/>
        <v>-1</v>
      </c>
      <c r="AP405" s="13">
        <f t="shared" si="182"/>
        <v>21.817917239490203</v>
      </c>
      <c r="AQ405" s="13">
        <f>IFERROR(VLOOKUP(U405,'Cortes naturales'!$E$15:$G$19,3,9),U405)</f>
        <v>4</v>
      </c>
      <c r="AR405" s="28">
        <f t="shared" si="173"/>
        <v>-0.27908851765637399</v>
      </c>
      <c r="AS405" s="13" t="b">
        <f t="shared" si="174"/>
        <v>0</v>
      </c>
      <c r="AT405" s="13" t="str">
        <f t="shared" si="183"/>
        <v>Cambio en corte</v>
      </c>
      <c r="AU405" s="13">
        <v>4</v>
      </c>
      <c r="AV405">
        <f t="shared" si="175"/>
        <v>-1</v>
      </c>
      <c r="AW405" s="13">
        <v>0</v>
      </c>
      <c r="AX405" s="13">
        <v>0</v>
      </c>
      <c r="AY405" s="13">
        <v>0</v>
      </c>
      <c r="AZ405" s="13">
        <v>1</v>
      </c>
      <c r="BA405">
        <v>1</v>
      </c>
      <c r="BB405" t="s">
        <v>2839</v>
      </c>
      <c r="BC405">
        <v>6</v>
      </c>
      <c r="BD405" t="s">
        <v>2919</v>
      </c>
      <c r="BE405">
        <v>0</v>
      </c>
      <c r="BF405" s="232" t="s">
        <v>2846</v>
      </c>
      <c r="BG405" s="232" t="s">
        <v>2846</v>
      </c>
      <c r="BH405" s="253">
        <v>73.900000000000006</v>
      </c>
      <c r="BI405" s="253">
        <v>60.271186440677965</v>
      </c>
      <c r="BJ405" s="25">
        <v>45.454545454545453</v>
      </c>
      <c r="BK405" t="s">
        <v>376</v>
      </c>
      <c r="BL405">
        <v>100</v>
      </c>
      <c r="BM405" t="s">
        <v>384</v>
      </c>
      <c r="BN405" s="322">
        <v>24513.185507999999</v>
      </c>
      <c r="BO405" s="322">
        <v>1113.619457</v>
      </c>
      <c r="BP405" s="10">
        <v>4847</v>
      </c>
      <c r="BQ405" s="254">
        <f t="shared" si="176"/>
        <v>5.0573933377346814</v>
      </c>
      <c r="BR405" s="254">
        <f t="shared" si="177"/>
        <v>0.22975437528368062</v>
      </c>
      <c r="BS405" s="25">
        <v>55.253351668340308</v>
      </c>
      <c r="BT405" s="25">
        <v>96.92307666666666</v>
      </c>
      <c r="BU405" s="25">
        <v>40.910097323600972</v>
      </c>
      <c r="BV405" s="25">
        <v>95.971540535707859</v>
      </c>
      <c r="BW405" s="25">
        <v>32.663677227619033</v>
      </c>
      <c r="BX405" s="25">
        <v>72.264516548578939</v>
      </c>
      <c r="BY405" s="25">
        <v>32.517586074259647</v>
      </c>
      <c r="BZ405">
        <v>12</v>
      </c>
      <c r="CA405">
        <v>0</v>
      </c>
      <c r="CB405">
        <v>7</v>
      </c>
      <c r="CC405">
        <v>8367.1590579999993</v>
      </c>
      <c r="CD405" s="10">
        <v>4097.8337789999996</v>
      </c>
      <c r="CE405" s="255">
        <v>0.4897521070884846</v>
      </c>
      <c r="CF405" t="str">
        <f>IFERROR(VLOOKUP(CE405,'Rangos amb etnico'!$A$2:$C$6,3,9),"N.D.")</f>
        <v>31% - 50%</v>
      </c>
      <c r="CG405" s="256">
        <v>1.1922143209261348E-4</v>
      </c>
      <c r="CH405" s="232">
        <v>0</v>
      </c>
      <c r="CI405" s="311">
        <f t="shared" si="184"/>
        <v>0</v>
      </c>
      <c r="CJ405" s="232">
        <f>IFERROR(VLOOKUP(CI405,'Rangos amb etnico'!$A$2:$C$6,3,9),"N.D.")</f>
        <v>0</v>
      </c>
      <c r="CK405" s="311">
        <f t="shared" si="185"/>
        <v>0</v>
      </c>
      <c r="CL405" s="10">
        <v>0</v>
      </c>
      <c r="CM405" s="255">
        <f t="shared" si="186"/>
        <v>0</v>
      </c>
      <c r="CN405" s="232">
        <f>IFERROR(VLOOKUP(CM405,'Rangos amb etnico'!$A$2:$C$6,3,9),"N.D.")</f>
        <v>0</v>
      </c>
      <c r="CO405" s="311">
        <f t="shared" si="187"/>
        <v>0</v>
      </c>
      <c r="CP405">
        <v>0.94697039898285973</v>
      </c>
      <c r="CQ405" t="s">
        <v>2864</v>
      </c>
      <c r="CR405">
        <f t="shared" si="178"/>
        <v>1</v>
      </c>
      <c r="CS405" t="str">
        <f t="shared" si="188"/>
        <v>No es Candidato</v>
      </c>
      <c r="CT405">
        <v>0</v>
      </c>
      <c r="CU405">
        <v>0</v>
      </c>
      <c r="CV405" s="25">
        <v>49.648563385009773</v>
      </c>
      <c r="CW405" s="25">
        <v>28.62257194519043</v>
      </c>
      <c r="CX405" s="25">
        <v>49.506973266601563</v>
      </c>
      <c r="CY405" s="25">
        <v>44.348800659179688</v>
      </c>
      <c r="CZ405" s="25">
        <v>37.532611846923828</v>
      </c>
      <c r="DA405" s="25">
        <v>78.366256713867188</v>
      </c>
      <c r="DB405" s="25">
        <v>59.51416015625</v>
      </c>
      <c r="DC405">
        <v>869</v>
      </c>
      <c r="DD405" s="253" t="s">
        <v>380</v>
      </c>
    </row>
    <row r="406" spans="1:108" hidden="1">
      <c r="A406" s="13">
        <v>23168</v>
      </c>
      <c r="B406" s="13" t="s">
        <v>1265</v>
      </c>
      <c r="C406" s="13" t="s">
        <v>567</v>
      </c>
      <c r="D406" s="13" t="s">
        <v>568</v>
      </c>
      <c r="E406" s="13" t="s">
        <v>1266</v>
      </c>
      <c r="F406" s="14">
        <v>66.215299999999999</v>
      </c>
      <c r="G406" s="13">
        <v>56.58</v>
      </c>
      <c r="H406" s="13">
        <v>55.5</v>
      </c>
      <c r="I406" s="13">
        <v>50.18</v>
      </c>
      <c r="J406" s="14">
        <v>45.597738320558975</v>
      </c>
      <c r="K406" s="14">
        <v>46.388143941781969</v>
      </c>
      <c r="L406" s="14">
        <v>39.639659265840812</v>
      </c>
      <c r="M406" s="14">
        <v>42.061900000000001</v>
      </c>
      <c r="N406" s="14">
        <f t="shared" si="162"/>
        <v>57.118825000000001</v>
      </c>
      <c r="O406" s="14">
        <f t="shared" si="163"/>
        <v>43.421860382045438</v>
      </c>
      <c r="P406" s="14">
        <f t="shared" si="179"/>
        <v>50.270342691022719</v>
      </c>
      <c r="Q406" s="14">
        <v>51.110693659912123</v>
      </c>
      <c r="R406" s="17">
        <f t="shared" si="164"/>
        <v>48.889306340087877</v>
      </c>
      <c r="S406" s="14">
        <f t="shared" si="180"/>
        <v>0.54000375706079096</v>
      </c>
      <c r="T406" s="13">
        <v>0</v>
      </c>
      <c r="U406" s="13">
        <f t="shared" si="181"/>
        <v>27.14617392188574</v>
      </c>
      <c r="V406" s="13">
        <f>IF($T406=1,$AU406,(VLOOKUP(U406,'Cortes naturales'!$A$35:$C$39,3,9)))</f>
        <v>4</v>
      </c>
      <c r="W406" s="13">
        <v>4</v>
      </c>
      <c r="X406" s="14" t="b">
        <f t="shared" si="165"/>
        <v>1</v>
      </c>
      <c r="Y406" s="17">
        <f>IF($T406=1,$AU406,VLOOKUP(U406,'Cortes naturales'!$A$45:$C$49,3,9))</f>
        <v>4</v>
      </c>
      <c r="Z406" s="14">
        <v>52.718166906054236</v>
      </c>
      <c r="AA406" s="14">
        <v>0.54723984400379821</v>
      </c>
      <c r="AB406" s="14">
        <v>28.849481433835319</v>
      </c>
      <c r="AC406" s="13">
        <v>3</v>
      </c>
      <c r="AD406" s="13">
        <f t="shared" si="166"/>
        <v>-1</v>
      </c>
      <c r="AE406" s="14">
        <f t="shared" si="167"/>
        <v>-2.4478242150315168</v>
      </c>
      <c r="AF406" s="14">
        <f t="shared" si="168"/>
        <v>-7.2360869430072583E-3</v>
      </c>
      <c r="AG406" s="13">
        <f t="shared" si="169"/>
        <v>-1.7033075119495784</v>
      </c>
      <c r="AH406" s="13">
        <f>IF($T406=1,$AU406,VLOOKUP(U406,'Cortes naturales'!$A$25:$C$29,3,9))</f>
        <v>4</v>
      </c>
      <c r="AI406" s="13" t="b">
        <f t="shared" si="170"/>
        <v>1</v>
      </c>
      <c r="AJ406" s="13" t="str">
        <f t="shared" si="171"/>
        <v>Efecto ponderador</v>
      </c>
      <c r="AK406" s="28">
        <v>0.81759069605862034</v>
      </c>
      <c r="AL406" s="28">
        <v>43.101882775655405</v>
      </c>
      <c r="AM406" s="28">
        <v>0.36853310801454991</v>
      </c>
      <c r="AN406" s="13">
        <v>3</v>
      </c>
      <c r="AO406" s="33">
        <f t="shared" si="172"/>
        <v>-1</v>
      </c>
      <c r="AP406" s="13">
        <f t="shared" si="182"/>
        <v>36.853310801454988</v>
      </c>
      <c r="AQ406" s="13">
        <f>IFERROR(VLOOKUP(U406,'Cortes naturales'!$E$15:$G$19,3,9),U406)</f>
        <v>4</v>
      </c>
      <c r="AR406" s="28">
        <f t="shared" si="173"/>
        <v>-0.27758693899782938</v>
      </c>
      <c r="AS406" s="13" t="b">
        <f t="shared" si="174"/>
        <v>1</v>
      </c>
      <c r="AT406" s="13" t="str">
        <f t="shared" si="183"/>
        <v>Efecto ponderador</v>
      </c>
      <c r="AU406" s="13">
        <v>3</v>
      </c>
      <c r="AV406">
        <f t="shared" si="175"/>
        <v>-1</v>
      </c>
      <c r="AW406" s="13">
        <v>0</v>
      </c>
      <c r="AX406" s="13">
        <v>0</v>
      </c>
      <c r="AY406" s="13">
        <v>0</v>
      </c>
      <c r="AZ406" s="13">
        <v>0</v>
      </c>
      <c r="BA406">
        <v>0</v>
      </c>
      <c r="BB406" t="s">
        <v>2840</v>
      </c>
      <c r="BC406">
        <v>6</v>
      </c>
      <c r="BD406" t="s">
        <v>2919</v>
      </c>
      <c r="BE406">
        <v>1</v>
      </c>
      <c r="BF406" s="232" t="s">
        <v>2846</v>
      </c>
      <c r="BG406" s="232" t="s">
        <v>2846</v>
      </c>
      <c r="BH406" s="253">
        <v>57.8</v>
      </c>
      <c r="BI406" s="253">
        <v>37.911354876964126</v>
      </c>
      <c r="BJ406" s="25">
        <v>0</v>
      </c>
      <c r="BK406" t="s">
        <v>381</v>
      </c>
      <c r="BL406">
        <v>1.7155883061535089</v>
      </c>
      <c r="BM406" t="s">
        <v>383</v>
      </c>
      <c r="BN406" s="322">
        <v>32471.496191999999</v>
      </c>
      <c r="BO406" s="322">
        <v>1531.8926240000001</v>
      </c>
      <c r="BP406" s="10">
        <v>19407</v>
      </c>
      <c r="BQ406" s="254">
        <f t="shared" si="176"/>
        <v>1.6731847370536403</v>
      </c>
      <c r="BR406" s="254">
        <f t="shared" si="177"/>
        <v>7.8935055598495396E-2</v>
      </c>
      <c r="BS406" s="25">
        <v>47.739351055467523</v>
      </c>
      <c r="BT406" s="25">
        <v>82.027425671149587</v>
      </c>
      <c r="BU406" s="25">
        <v>44.601740179698503</v>
      </c>
      <c r="BV406" s="25">
        <v>95.451204609794686</v>
      </c>
      <c r="BW406" s="25">
        <v>57.010957939280807</v>
      </c>
      <c r="BX406" s="25">
        <v>67.454930379027573</v>
      </c>
      <c r="BY406" s="25">
        <v>57.127344063386793</v>
      </c>
      <c r="BZ406">
        <v>10</v>
      </c>
      <c r="CA406">
        <v>0</v>
      </c>
      <c r="CB406">
        <v>7</v>
      </c>
      <c r="CC406">
        <v>32405.822504</v>
      </c>
      <c r="CD406" s="10">
        <v>19714.002657000001</v>
      </c>
      <c r="CE406" s="255">
        <v>0.60834754786941792</v>
      </c>
      <c r="CF406" t="str">
        <f>IFERROR(VLOOKUP(CE406,'Rangos amb etnico'!$A$2:$C$6,3,9),"N.D.")</f>
        <v>51% - 70%</v>
      </c>
      <c r="CG406" s="256">
        <v>5.7355465248243483E-4</v>
      </c>
      <c r="CH406" s="232">
        <v>239.02599000000001</v>
      </c>
      <c r="CI406" s="311">
        <f t="shared" si="184"/>
        <v>7.3760198486088708E-3</v>
      </c>
      <c r="CJ406" s="232" t="str">
        <f>IFERROR(VLOOKUP(CI406,'Rangos amb etnico'!$A$2:$C$6,3,9),"N.D.")</f>
        <v>0,1% - 30%</v>
      </c>
      <c r="CK406" s="311">
        <f t="shared" si="185"/>
        <v>9.4908967540771392E-6</v>
      </c>
      <c r="CL406" s="10">
        <v>0</v>
      </c>
      <c r="CM406" s="255">
        <f t="shared" si="186"/>
        <v>0</v>
      </c>
      <c r="CN406" s="232">
        <f>IFERROR(VLOOKUP(CM406,'Rangos amb etnico'!$A$2:$C$6,3,9),"N.D.")</f>
        <v>0</v>
      </c>
      <c r="CO406" s="311">
        <f t="shared" si="187"/>
        <v>0</v>
      </c>
      <c r="CP406">
        <v>0.46530326525327215</v>
      </c>
      <c r="CQ406" t="s">
        <v>2867</v>
      </c>
      <c r="CR406">
        <f t="shared" si="178"/>
        <v>0</v>
      </c>
      <c r="CS406" t="str">
        <f t="shared" si="188"/>
        <v>No es Candidato</v>
      </c>
      <c r="CT406">
        <v>0</v>
      </c>
      <c r="CU406">
        <v>0</v>
      </c>
      <c r="CV406" s="25">
        <v>54.736282348632813</v>
      </c>
      <c r="CW406" s="25">
        <v>22.18605804443359</v>
      </c>
      <c r="CX406" s="25">
        <v>64.280899047851563</v>
      </c>
      <c r="CY406" s="25">
        <v>67.967170715332031</v>
      </c>
      <c r="CZ406" s="25">
        <v>25.773862838745121</v>
      </c>
      <c r="DA406" s="25">
        <v>78.955032348632813</v>
      </c>
      <c r="DB406" s="25">
        <v>69.254676818847656</v>
      </c>
      <c r="DC406">
        <v>15325</v>
      </c>
      <c r="DD406" s="253" t="s">
        <v>380</v>
      </c>
    </row>
    <row r="407" spans="1:108" hidden="1">
      <c r="A407" s="13">
        <v>44035</v>
      </c>
      <c r="B407" s="13" t="s">
        <v>1267</v>
      </c>
      <c r="C407" s="13" t="s">
        <v>933</v>
      </c>
      <c r="D407" s="13" t="s">
        <v>934</v>
      </c>
      <c r="E407" s="13" t="s">
        <v>1268</v>
      </c>
      <c r="F407" s="14">
        <v>49.923366666666702</v>
      </c>
      <c r="G407" s="13">
        <v>75.25</v>
      </c>
      <c r="H407" s="13">
        <v>63.46</v>
      </c>
      <c r="I407" s="13">
        <v>52.02</v>
      </c>
      <c r="J407" s="14">
        <v>57.437277383138508</v>
      </c>
      <c r="K407" s="14">
        <v>50.268709739568507</v>
      </c>
      <c r="L407" s="14">
        <v>59.161368947042178</v>
      </c>
      <c r="M407" s="14">
        <v>64.726900000000001</v>
      </c>
      <c r="N407" s="14">
        <f t="shared" si="162"/>
        <v>60.163341666666682</v>
      </c>
      <c r="O407" s="14">
        <f t="shared" si="163"/>
        <v>57.898564017437295</v>
      </c>
      <c r="P407" s="14">
        <f t="shared" si="179"/>
        <v>59.030952842051988</v>
      </c>
      <c r="Q407" s="14">
        <v>52.140876127085455</v>
      </c>
      <c r="R407" s="17">
        <f t="shared" si="164"/>
        <v>47.859123872914545</v>
      </c>
      <c r="S407" s="14">
        <f t="shared" si="180"/>
        <v>0.53073211485623095</v>
      </c>
      <c r="T407" s="13">
        <v>0</v>
      </c>
      <c r="U407" s="13">
        <f t="shared" si="181"/>
        <v>31.329622443840687</v>
      </c>
      <c r="V407" s="13">
        <f>IF($T407=1,$AU407,(VLOOKUP(U407,'Cortes naturales'!$A$35:$C$39,3,9)))</f>
        <v>3</v>
      </c>
      <c r="W407" s="13">
        <v>3</v>
      </c>
      <c r="X407" s="14" t="b">
        <f t="shared" si="165"/>
        <v>1</v>
      </c>
      <c r="Y407" s="17">
        <f>IF($T407=1,$AU407,VLOOKUP(U407,'Cortes naturales'!$A$45:$C$49,3,9))</f>
        <v>3</v>
      </c>
      <c r="Z407" s="14">
        <v>59.212012979757276</v>
      </c>
      <c r="AA407" s="14">
        <v>0.54747558822869247</v>
      </c>
      <c r="AB407" s="14">
        <v>32.41713163629759</v>
      </c>
      <c r="AC407" s="13">
        <v>3</v>
      </c>
      <c r="AD407" s="13">
        <f t="shared" si="166"/>
        <v>0</v>
      </c>
      <c r="AE407" s="14">
        <f t="shared" si="167"/>
        <v>-0.18106013770528762</v>
      </c>
      <c r="AF407" s="14">
        <f t="shared" si="168"/>
        <v>-1.6743473372461515E-2</v>
      </c>
      <c r="AG407" s="13">
        <f t="shared" si="169"/>
        <v>-1.0875091924569027</v>
      </c>
      <c r="AH407" s="13">
        <f>IF($T407=1,$AU407,VLOOKUP(U407,'Cortes naturales'!$A$25:$C$29,3,9))</f>
        <v>3</v>
      </c>
      <c r="AI407" s="13" t="b">
        <f t="shared" si="170"/>
        <v>1</v>
      </c>
      <c r="AJ407" s="13">
        <f t="shared" si="171"/>
        <v>0</v>
      </c>
      <c r="AK407" s="28">
        <v>0.81759069605862034</v>
      </c>
      <c r="AL407" s="28">
        <v>48.411190907151813</v>
      </c>
      <c r="AM407" s="28">
        <v>0.43494695620127494</v>
      </c>
      <c r="AN407" s="13">
        <v>3</v>
      </c>
      <c r="AO407" s="33">
        <f t="shared" si="172"/>
        <v>0</v>
      </c>
      <c r="AP407" s="13">
        <f t="shared" si="182"/>
        <v>43.494695620127494</v>
      </c>
      <c r="AQ407" s="13">
        <f>IFERROR(VLOOKUP(U407,'Cortes naturales'!$E$15:$G$19,3,9),U407)</f>
        <v>4</v>
      </c>
      <c r="AR407" s="28">
        <f t="shared" si="173"/>
        <v>-0.28685858120238938</v>
      </c>
      <c r="AS407" s="13" t="b">
        <f t="shared" si="174"/>
        <v>0</v>
      </c>
      <c r="AT407" s="13">
        <f t="shared" si="183"/>
        <v>0</v>
      </c>
      <c r="AU407" s="13">
        <v>3</v>
      </c>
      <c r="AV407">
        <f t="shared" si="175"/>
        <v>0</v>
      </c>
      <c r="AW407" s="13">
        <v>0</v>
      </c>
      <c r="AX407" s="13">
        <v>0</v>
      </c>
      <c r="AY407" s="13">
        <v>0</v>
      </c>
      <c r="AZ407" s="13">
        <v>0</v>
      </c>
      <c r="BA407">
        <v>0</v>
      </c>
      <c r="BB407" t="s">
        <v>2839</v>
      </c>
      <c r="BC407">
        <v>5</v>
      </c>
      <c r="BD407" t="s">
        <v>2919</v>
      </c>
      <c r="BE407">
        <v>0</v>
      </c>
      <c r="BF407" s="232" t="s">
        <v>2846</v>
      </c>
      <c r="BG407" s="232" t="s">
        <v>2846</v>
      </c>
      <c r="BH407" s="253">
        <v>49.8</v>
      </c>
      <c r="BI407" s="253">
        <v>38.140410169751902</v>
      </c>
      <c r="BJ407" s="25">
        <v>20.842865805704704</v>
      </c>
      <c r="BK407" t="s">
        <v>379</v>
      </c>
      <c r="BL407">
        <v>1.3378953015796093</v>
      </c>
      <c r="BM407" t="s">
        <v>383</v>
      </c>
      <c r="BN407" s="322">
        <v>179633.23964399999</v>
      </c>
      <c r="BO407" s="322">
        <v>24877.319768000001</v>
      </c>
      <c r="BP407" s="10">
        <v>35960</v>
      </c>
      <c r="BQ407" s="254">
        <f t="shared" si="176"/>
        <v>4.9953626152391539</v>
      </c>
      <c r="BR407" s="254">
        <f t="shared" si="177"/>
        <v>0.69180533281423806</v>
      </c>
      <c r="BS407" s="25">
        <v>62.608495622256662</v>
      </c>
      <c r="BT407" s="25">
        <v>92.361770690891106</v>
      </c>
      <c r="BU407" s="25">
        <v>47.060056360708529</v>
      </c>
      <c r="BV407" s="25">
        <v>95.21262128715837</v>
      </c>
      <c r="BW407" s="25">
        <v>49.43544818005708</v>
      </c>
      <c r="BX407" s="25">
        <v>74.310735990253661</v>
      </c>
      <c r="BY407" s="25">
        <v>52.595341654403192</v>
      </c>
      <c r="BZ407">
        <v>76</v>
      </c>
      <c r="CA407">
        <v>0</v>
      </c>
      <c r="CB407">
        <v>7</v>
      </c>
      <c r="CC407">
        <v>54411.803543000002</v>
      </c>
      <c r="CD407" s="10">
        <v>16809.175087</v>
      </c>
      <c r="CE407" s="255">
        <v>0.30892515947787352</v>
      </c>
      <c r="CF407" t="str">
        <f>IFERROR(VLOOKUP(CE407,'Rangos amb etnico'!$A$2:$C$6,3,9),"N.D.")</f>
        <v>31% - 50%</v>
      </c>
      <c r="CG407" s="256">
        <v>4.8904226824365317E-4</v>
      </c>
      <c r="CH407" s="232">
        <v>11950.97155</v>
      </c>
      <c r="CI407" s="311">
        <f t="shared" si="184"/>
        <v>0.21963932036466149</v>
      </c>
      <c r="CJ407" s="232" t="str">
        <f>IFERROR(VLOOKUP(CI407,'Rangos amb etnico'!$A$2:$C$6,3,9),"N.D.")</f>
        <v>0,1% - 30%</v>
      </c>
      <c r="CK407" s="311">
        <f t="shared" si="185"/>
        <v>4.7453181594170259E-4</v>
      </c>
      <c r="CL407" s="10">
        <v>0</v>
      </c>
      <c r="CM407" s="255">
        <f t="shared" si="186"/>
        <v>0</v>
      </c>
      <c r="CN407" s="232">
        <f>IFERROR(VLOOKUP(CM407,'Rangos amb etnico'!$A$2:$C$6,3,9),"N.D.")</f>
        <v>0</v>
      </c>
      <c r="CO407" s="311">
        <f t="shared" si="187"/>
        <v>0</v>
      </c>
      <c r="CP407">
        <v>0.8606558925383927</v>
      </c>
      <c r="CQ407" t="s">
        <v>2864</v>
      </c>
      <c r="CR407">
        <f t="shared" si="178"/>
        <v>2</v>
      </c>
      <c r="CS407" t="str">
        <f t="shared" si="188"/>
        <v>No es Candidato</v>
      </c>
      <c r="CT407">
        <v>1</v>
      </c>
      <c r="CU407" t="s">
        <v>2837</v>
      </c>
      <c r="CV407" s="25">
        <v>48.089988708496087</v>
      </c>
      <c r="CW407" s="25">
        <v>43.070796966552727</v>
      </c>
      <c r="CX407" s="25">
        <v>59.097949981689453</v>
      </c>
      <c r="CY407" s="25">
        <v>39.341239929199219</v>
      </c>
      <c r="CZ407" s="25">
        <v>6.2921185493469238</v>
      </c>
      <c r="DA407" s="25">
        <v>75.227920532226563</v>
      </c>
      <c r="DB407" s="25">
        <v>65.509918212890625</v>
      </c>
      <c r="DC407">
        <v>12009</v>
      </c>
      <c r="DD407" s="253" t="s">
        <v>380</v>
      </c>
    </row>
    <row r="408" spans="1:108" hidden="1">
      <c r="A408" s="13">
        <v>70508</v>
      </c>
      <c r="B408" s="13" t="s">
        <v>1269</v>
      </c>
      <c r="C408" s="13" t="s">
        <v>494</v>
      </c>
      <c r="D408" s="13" t="s">
        <v>495</v>
      </c>
      <c r="E408" s="13" t="s">
        <v>1270</v>
      </c>
      <c r="F408" s="14">
        <v>56.926933333333302</v>
      </c>
      <c r="G408" s="13">
        <v>58.5</v>
      </c>
      <c r="H408" s="13">
        <v>68.709999999999994</v>
      </c>
      <c r="I408" s="13">
        <v>69.55</v>
      </c>
      <c r="J408" s="14">
        <v>61.567347623518572</v>
      </c>
      <c r="K408" s="14">
        <v>63.557946490340996</v>
      </c>
      <c r="L408" s="14">
        <v>60.006836808914237</v>
      </c>
      <c r="M408" s="14">
        <v>55.406599999999997</v>
      </c>
      <c r="N408" s="14">
        <f t="shared" si="162"/>
        <v>63.421733333333322</v>
      </c>
      <c r="O408" s="14">
        <f t="shared" si="163"/>
        <v>60.134682730693449</v>
      </c>
      <c r="P408" s="14">
        <f t="shared" si="179"/>
        <v>61.778208032013382</v>
      </c>
      <c r="Q408" s="14">
        <v>51.221049446258924</v>
      </c>
      <c r="R408" s="17">
        <f t="shared" si="164"/>
        <v>48.778950553741076</v>
      </c>
      <c r="S408" s="14">
        <f t="shared" si="180"/>
        <v>0.53901055498366968</v>
      </c>
      <c r="T408" s="13">
        <v>0</v>
      </c>
      <c r="U408" s="13">
        <f t="shared" si="181"/>
        <v>33.299106197232135</v>
      </c>
      <c r="V408" s="13">
        <f>IF($T408=1,$AU408,(VLOOKUP(U408,'Cortes naturales'!$A$35:$C$39,3,9)))</f>
        <v>3</v>
      </c>
      <c r="W408" s="13">
        <v>3</v>
      </c>
      <c r="X408" s="14" t="b">
        <f t="shared" si="165"/>
        <v>1</v>
      </c>
      <c r="Y408" s="17">
        <f>IF($T408=1,$AU408,VLOOKUP(U408,'Cortes naturales'!$A$45:$C$49,3,9))</f>
        <v>3</v>
      </c>
      <c r="Z408" s="14">
        <v>60.945557650679731</v>
      </c>
      <c r="AA408" s="14">
        <v>0.54676064074739783</v>
      </c>
      <c r="AB408" s="14">
        <v>33.322632151793123</v>
      </c>
      <c r="AC408" s="13">
        <v>3</v>
      </c>
      <c r="AD408" s="13">
        <f t="shared" si="166"/>
        <v>0</v>
      </c>
      <c r="AE408" s="14">
        <f t="shared" si="167"/>
        <v>0.8326503813336501</v>
      </c>
      <c r="AF408" s="14">
        <f t="shared" si="168"/>
        <v>-7.7500857637281539E-3</v>
      </c>
      <c r="AG408" s="13">
        <f t="shared" si="169"/>
        <v>-2.3525954560987827E-2</v>
      </c>
      <c r="AH408" s="13">
        <f>IF($T408=1,$AU408,VLOOKUP(U408,'Cortes naturales'!$A$25:$C$29,3,9))</f>
        <v>3</v>
      </c>
      <c r="AI408" s="13" t="b">
        <f t="shared" si="170"/>
        <v>1</v>
      </c>
      <c r="AJ408" s="13">
        <f t="shared" si="171"/>
        <v>0</v>
      </c>
      <c r="AK408" s="28">
        <v>0.81759069605862034</v>
      </c>
      <c r="AL408" s="28">
        <v>49.828520901300017</v>
      </c>
      <c r="AM408" s="28">
        <v>0.45267626042143144</v>
      </c>
      <c r="AN408" s="13">
        <v>3</v>
      </c>
      <c r="AO408" s="33">
        <f t="shared" si="172"/>
        <v>0</v>
      </c>
      <c r="AP408" s="13">
        <f t="shared" si="182"/>
        <v>45.267626042143142</v>
      </c>
      <c r="AQ408" s="13">
        <f>IFERROR(VLOOKUP(U408,'Cortes naturales'!$E$15:$G$19,3,9),U408)</f>
        <v>4</v>
      </c>
      <c r="AR408" s="28">
        <f t="shared" si="173"/>
        <v>-0.27858014107495066</v>
      </c>
      <c r="AS408" s="13" t="b">
        <f t="shared" si="174"/>
        <v>0</v>
      </c>
      <c r="AT408" s="13">
        <f t="shared" si="183"/>
        <v>0</v>
      </c>
      <c r="AU408" s="13">
        <v>3</v>
      </c>
      <c r="AV408">
        <f t="shared" si="175"/>
        <v>0</v>
      </c>
      <c r="AW408" s="13">
        <v>0</v>
      </c>
      <c r="AX408" s="13">
        <v>0</v>
      </c>
      <c r="AY408" s="13">
        <v>0</v>
      </c>
      <c r="AZ408" s="13">
        <v>1</v>
      </c>
      <c r="BA408">
        <v>1</v>
      </c>
      <c r="BB408" t="s">
        <v>2839</v>
      </c>
      <c r="BC408">
        <v>6</v>
      </c>
      <c r="BD408" t="s">
        <v>2919</v>
      </c>
      <c r="BE408">
        <v>0</v>
      </c>
      <c r="BF408" s="232" t="s">
        <v>2846</v>
      </c>
      <c r="BG408" s="232" t="s">
        <v>2845</v>
      </c>
      <c r="BH408" s="253">
        <v>51.5</v>
      </c>
      <c r="BI408" s="253">
        <v>29.275375268048606</v>
      </c>
      <c r="BJ408" s="25">
        <v>10.15625</v>
      </c>
      <c r="BK408" t="s">
        <v>377</v>
      </c>
      <c r="BL408">
        <v>8.1466259564923931</v>
      </c>
      <c r="BM408" t="s">
        <v>379</v>
      </c>
      <c r="BN408" s="322">
        <v>70935.988557999997</v>
      </c>
      <c r="BO408" s="322">
        <v>6590.0722249999999</v>
      </c>
      <c r="BP408" s="10">
        <v>24462</v>
      </c>
      <c r="BQ408" s="254">
        <f t="shared" si="176"/>
        <v>2.8998441892731583</v>
      </c>
      <c r="BR408" s="254">
        <f t="shared" si="177"/>
        <v>0.26940038529147248</v>
      </c>
      <c r="BS408" s="25">
        <v>71.620303531341165</v>
      </c>
      <c r="BT408" s="25">
        <v>91.690819999999988</v>
      </c>
      <c r="BU408" s="25">
        <v>46.993367139959403</v>
      </c>
      <c r="BV408" s="25">
        <v>94.811048774551736</v>
      </c>
      <c r="BW408" s="25">
        <v>37.789630575913392</v>
      </c>
      <c r="BX408" s="25">
        <v>76.278884861463069</v>
      </c>
      <c r="BY408" s="25">
        <v>37.724071811009267</v>
      </c>
      <c r="BZ408">
        <v>12</v>
      </c>
      <c r="CA408">
        <v>0</v>
      </c>
      <c r="CB408">
        <v>7</v>
      </c>
      <c r="CC408">
        <v>45979.976970000003</v>
      </c>
      <c r="CD408" s="10">
        <v>3189.3596649999999</v>
      </c>
      <c r="CE408" s="255">
        <v>6.9364098791979009E-2</v>
      </c>
      <c r="CF408" t="str">
        <f>IFERROR(VLOOKUP(CE408,'Rangos amb etnico'!$A$2:$C$6,3,9),"N.D.")</f>
        <v>0,1% - 30%</v>
      </c>
      <c r="CG408" s="256">
        <v>9.2790495473076139E-5</v>
      </c>
      <c r="CH408" s="232">
        <v>0</v>
      </c>
      <c r="CI408" s="311">
        <f t="shared" si="184"/>
        <v>0</v>
      </c>
      <c r="CJ408" s="232">
        <f>IFERROR(VLOOKUP(CI408,'Rangos amb etnico'!$A$2:$C$6,3,9),"N.D.")</f>
        <v>0</v>
      </c>
      <c r="CK408" s="311">
        <f t="shared" si="185"/>
        <v>0</v>
      </c>
      <c r="CL408" s="10">
        <v>0</v>
      </c>
      <c r="CM408" s="255">
        <f t="shared" si="186"/>
        <v>0</v>
      </c>
      <c r="CN408" s="232">
        <f>IFERROR(VLOOKUP(CM408,'Rangos amb etnico'!$A$2:$C$6,3,9),"N.D.")</f>
        <v>0</v>
      </c>
      <c r="CO408" s="311">
        <f t="shared" si="187"/>
        <v>0</v>
      </c>
      <c r="CP408">
        <v>0.93276384714291627</v>
      </c>
      <c r="CQ408" t="s">
        <v>2864</v>
      </c>
      <c r="CR408">
        <f t="shared" si="178"/>
        <v>2</v>
      </c>
      <c r="CS408" t="str">
        <f t="shared" si="188"/>
        <v>No es Candidato</v>
      </c>
      <c r="CT408">
        <v>0</v>
      </c>
      <c r="CU408">
        <v>0</v>
      </c>
      <c r="CV408" s="25">
        <v>41.123355865478523</v>
      </c>
      <c r="CW408" s="25">
        <v>31.714946746826168</v>
      </c>
      <c r="CX408" s="25">
        <v>51.847240447998047</v>
      </c>
      <c r="CY408" s="25">
        <v>47.10028076171875</v>
      </c>
      <c r="CZ408" s="25">
        <v>25.674556732177731</v>
      </c>
      <c r="DA408" s="25">
        <v>46.161022186279297</v>
      </c>
      <c r="DB408" s="25">
        <v>44.242080688476563</v>
      </c>
      <c r="DC408">
        <v>2025</v>
      </c>
      <c r="DD408" s="253" t="s">
        <v>380</v>
      </c>
    </row>
    <row r="409" spans="1:108" hidden="1">
      <c r="A409" s="13">
        <v>17272</v>
      </c>
      <c r="B409" s="13" t="s">
        <v>1271</v>
      </c>
      <c r="C409" s="13" t="s">
        <v>506</v>
      </c>
      <c r="D409" s="13" t="s">
        <v>507</v>
      </c>
      <c r="E409" s="13" t="s">
        <v>1272</v>
      </c>
      <c r="F409" s="14">
        <v>53.050633333333302</v>
      </c>
      <c r="G409" s="13">
        <v>66.17</v>
      </c>
      <c r="H409" s="13">
        <v>62.34</v>
      </c>
      <c r="I409" s="13">
        <v>61.45</v>
      </c>
      <c r="J409" s="14">
        <v>55.636816348854964</v>
      </c>
      <c r="K409" s="14">
        <v>49.29769766661574</v>
      </c>
      <c r="L409" s="14">
        <v>63.425714183841045</v>
      </c>
      <c r="M409" s="14">
        <v>63.515300000000003</v>
      </c>
      <c r="N409" s="14">
        <f t="shared" si="162"/>
        <v>60.752658333333329</v>
      </c>
      <c r="O409" s="14">
        <f t="shared" si="163"/>
        <v>57.96888204982794</v>
      </c>
      <c r="P409" s="14">
        <f t="shared" si="179"/>
        <v>59.360770191580635</v>
      </c>
      <c r="Q409" s="14">
        <v>51.755455797842032</v>
      </c>
      <c r="R409" s="17">
        <f t="shared" si="164"/>
        <v>48.244544202157968</v>
      </c>
      <c r="S409" s="14">
        <f t="shared" si="180"/>
        <v>0.53420089781942171</v>
      </c>
      <c r="T409" s="13">
        <v>0</v>
      </c>
      <c r="U409" s="13">
        <f t="shared" si="181"/>
        <v>31.710576731594742</v>
      </c>
      <c r="V409" s="13">
        <f>IF($T409=1,$AU409,(VLOOKUP(U409,'Cortes naturales'!$A$35:$C$39,3,9)))</f>
        <v>3</v>
      </c>
      <c r="W409" s="13">
        <v>3</v>
      </c>
      <c r="X409" s="14" t="b">
        <f t="shared" si="165"/>
        <v>1</v>
      </c>
      <c r="Y409" s="17">
        <f>IF($T409=1,$AU409,VLOOKUP(U409,'Cortes naturales'!$A$45:$C$49,3,9))</f>
        <v>3</v>
      </c>
      <c r="Z409" s="14">
        <v>57.561379225529301</v>
      </c>
      <c r="AA409" s="14">
        <v>0.5481231747581542</v>
      </c>
      <c r="AB409" s="14">
        <v>31.550725924555184</v>
      </c>
      <c r="AC409" s="13">
        <v>3</v>
      </c>
      <c r="AD409" s="13">
        <f t="shared" si="166"/>
        <v>0</v>
      </c>
      <c r="AE409" s="14">
        <f t="shared" si="167"/>
        <v>1.7993909660513339</v>
      </c>
      <c r="AF409" s="14">
        <f t="shared" si="168"/>
        <v>-1.3922276938732492E-2</v>
      </c>
      <c r="AG409" s="13">
        <f t="shared" si="169"/>
        <v>0.15985080703955745</v>
      </c>
      <c r="AH409" s="13">
        <f>IF($T409=1,$AU409,VLOOKUP(U409,'Cortes naturales'!$A$25:$C$29,3,9))</f>
        <v>3</v>
      </c>
      <c r="AI409" s="13" t="b">
        <f t="shared" si="170"/>
        <v>1</v>
      </c>
      <c r="AJ409" s="13">
        <f t="shared" si="171"/>
        <v>0</v>
      </c>
      <c r="AK409" s="28">
        <v>0.81759069605862034</v>
      </c>
      <c r="AL409" s="28">
        <v>47.061648107094712</v>
      </c>
      <c r="AM409" s="28">
        <v>0.41806559832476031</v>
      </c>
      <c r="AN409" s="13">
        <v>3</v>
      </c>
      <c r="AO409" s="33">
        <f t="shared" si="172"/>
        <v>0</v>
      </c>
      <c r="AP409" s="13">
        <f t="shared" si="182"/>
        <v>41.806559832476033</v>
      </c>
      <c r="AQ409" s="13">
        <f>IFERROR(VLOOKUP(U409,'Cortes naturales'!$E$15:$G$19,3,9),U409)</f>
        <v>4</v>
      </c>
      <c r="AR409" s="28">
        <f t="shared" si="173"/>
        <v>-0.28338979823919863</v>
      </c>
      <c r="AS409" s="13" t="b">
        <f t="shared" si="174"/>
        <v>0</v>
      </c>
      <c r="AT409" s="13">
        <f t="shared" si="183"/>
        <v>0</v>
      </c>
      <c r="AU409" s="13">
        <v>3</v>
      </c>
      <c r="AV409">
        <f t="shared" si="175"/>
        <v>0</v>
      </c>
      <c r="AW409" s="13">
        <v>0</v>
      </c>
      <c r="AX409" s="13">
        <v>0</v>
      </c>
      <c r="AY409" s="13">
        <v>0</v>
      </c>
      <c r="AZ409" s="13">
        <v>0</v>
      </c>
      <c r="BA409">
        <v>0</v>
      </c>
      <c r="BB409" t="s">
        <v>2839</v>
      </c>
      <c r="BC409">
        <v>6</v>
      </c>
      <c r="BD409" t="s">
        <v>2919</v>
      </c>
      <c r="BE409">
        <v>0</v>
      </c>
      <c r="BF409" s="232" t="s">
        <v>2846</v>
      </c>
      <c r="BG409" s="232" t="s">
        <v>2845</v>
      </c>
      <c r="BH409" s="253">
        <v>36.200000000000003</v>
      </c>
      <c r="BI409" s="253">
        <v>10.849890772911682</v>
      </c>
      <c r="BJ409" s="25">
        <v>43.258890687569227</v>
      </c>
      <c r="BK409" t="s">
        <v>376</v>
      </c>
      <c r="BL409">
        <v>0.14249896639192189</v>
      </c>
      <c r="BM409" t="s">
        <v>377</v>
      </c>
      <c r="BN409" s="322">
        <v>28559.865822</v>
      </c>
      <c r="BO409" s="322">
        <v>2631.3371280000001</v>
      </c>
      <c r="BP409" s="10">
        <v>11182</v>
      </c>
      <c r="BQ409" s="254">
        <f t="shared" si="176"/>
        <v>2.5540928118404578</v>
      </c>
      <c r="BR409" s="254">
        <f t="shared" si="177"/>
        <v>0.23531900626006083</v>
      </c>
      <c r="BS409" s="25">
        <v>48.72265795206971</v>
      </c>
      <c r="BT409" s="25">
        <v>87.738430242651873</v>
      </c>
      <c r="BU409" s="25">
        <v>39.5256855265946</v>
      </c>
      <c r="BV409" s="25">
        <v>97.676875109514867</v>
      </c>
      <c r="BW409" s="25">
        <v>59.205760957252977</v>
      </c>
      <c r="BX409" s="25">
        <v>68.415912207707763</v>
      </c>
      <c r="BY409" s="25">
        <v>60.11175182386544</v>
      </c>
      <c r="BZ409">
        <v>19</v>
      </c>
      <c r="CA409">
        <v>0</v>
      </c>
      <c r="CB409">
        <v>7</v>
      </c>
      <c r="CC409">
        <v>19256.029989999999</v>
      </c>
      <c r="CD409" s="10">
        <v>56.454352</v>
      </c>
      <c r="CE409" s="255">
        <v>2.9317752428365427E-3</v>
      </c>
      <c r="CF409" t="str">
        <f>IFERROR(VLOOKUP(CE409,'Rangos amb etnico'!$A$2:$C$6,3,9),"N.D.")</f>
        <v>0,1% - 30%</v>
      </c>
      <c r="CG409" s="256">
        <v>1.6424699136876577E-6</v>
      </c>
      <c r="CH409" s="232">
        <v>0</v>
      </c>
      <c r="CI409" s="311">
        <f t="shared" si="184"/>
        <v>0</v>
      </c>
      <c r="CJ409" s="232">
        <f>IFERROR(VLOOKUP(CI409,'Rangos amb etnico'!$A$2:$C$6,3,9),"N.D.")</f>
        <v>0</v>
      </c>
      <c r="CK409" s="311">
        <f t="shared" si="185"/>
        <v>0</v>
      </c>
      <c r="CL409" s="10">
        <v>0</v>
      </c>
      <c r="CM409" s="255">
        <f t="shared" si="186"/>
        <v>0</v>
      </c>
      <c r="CN409" s="232">
        <f>IFERROR(VLOOKUP(CM409,'Rangos amb etnico'!$A$2:$C$6,3,9),"N.D.")</f>
        <v>0</v>
      </c>
      <c r="CO409" s="311">
        <f t="shared" si="187"/>
        <v>0</v>
      </c>
      <c r="CP409">
        <v>0.90418391199426673</v>
      </c>
      <c r="CQ409" t="s">
        <v>2864</v>
      </c>
      <c r="CR409">
        <f t="shared" si="178"/>
        <v>4</v>
      </c>
      <c r="CS409" t="str">
        <f t="shared" si="188"/>
        <v>Candidato</v>
      </c>
      <c r="CT409">
        <v>0</v>
      </c>
      <c r="CU409">
        <v>0</v>
      </c>
      <c r="CV409" s="25">
        <v>52.751407623291023</v>
      </c>
      <c r="CW409" s="25">
        <v>28.800241470336911</v>
      </c>
      <c r="CX409" s="25">
        <v>60.184841156005859</v>
      </c>
      <c r="CY409" s="25">
        <v>42.147270202636719</v>
      </c>
      <c r="CZ409" s="25">
        <v>50.093170166015618</v>
      </c>
      <c r="DA409" s="25">
        <v>85.588890075683594</v>
      </c>
      <c r="DB409" s="25">
        <v>49.694038391113281</v>
      </c>
      <c r="DC409">
        <v>367</v>
      </c>
      <c r="DD409" s="253" t="s">
        <v>380</v>
      </c>
    </row>
    <row r="410" spans="1:108">
      <c r="A410" s="13">
        <v>5347</v>
      </c>
      <c r="B410" s="13" t="s">
        <v>1273</v>
      </c>
      <c r="C410" s="13" t="s">
        <v>435</v>
      </c>
      <c r="D410" s="13" t="s">
        <v>436</v>
      </c>
      <c r="E410" s="13" t="s">
        <v>1274</v>
      </c>
      <c r="F410" s="14">
        <v>69.092566666666698</v>
      </c>
      <c r="G410" s="13">
        <v>66.239999999999995</v>
      </c>
      <c r="H410" s="13">
        <v>48.2</v>
      </c>
      <c r="I410" s="13">
        <v>52.86</v>
      </c>
      <c r="J410" s="14">
        <v>47.172344011215124</v>
      </c>
      <c r="K410" s="14">
        <v>40.22999398927103</v>
      </c>
      <c r="L410" s="14">
        <v>49.727017493105819</v>
      </c>
      <c r="M410" s="14">
        <v>48.925600000000003</v>
      </c>
      <c r="N410" s="14">
        <f t="shared" si="162"/>
        <v>59.098141666666677</v>
      </c>
      <c r="O410" s="14">
        <f t="shared" si="163"/>
        <v>46.51373887339799</v>
      </c>
      <c r="P410" s="14">
        <f t="shared" si="179"/>
        <v>52.805940270032337</v>
      </c>
      <c r="Q410" s="14">
        <v>51.429887481543233</v>
      </c>
      <c r="R410" s="17">
        <f t="shared" si="164"/>
        <v>48.570112518456767</v>
      </c>
      <c r="S410" s="14">
        <f t="shared" si="180"/>
        <v>0.53713101266611085</v>
      </c>
      <c r="T410" s="13">
        <v>0</v>
      </c>
      <c r="U410" s="13">
        <f t="shared" si="181"/>
        <v>28.363708172028634</v>
      </c>
      <c r="V410" s="13">
        <f>IF($T410=1,$AU410,(VLOOKUP(U410,'Cortes naturales'!$A$35:$C$39,3,9)))</f>
        <v>4</v>
      </c>
      <c r="W410" s="13">
        <v>4</v>
      </c>
      <c r="X410" s="14" t="b">
        <f t="shared" si="165"/>
        <v>1</v>
      </c>
      <c r="Y410" s="17">
        <f>IF($T410=1,$AU410,VLOOKUP(U410,'Cortes naturales'!$A$45:$C$49,3,9))</f>
        <v>3</v>
      </c>
      <c r="Z410" s="14">
        <v>54.29485350209815</v>
      </c>
      <c r="AA410" s="14">
        <v>0.54708537276870217</v>
      </c>
      <c r="AB410" s="14">
        <v>29.70392016761744</v>
      </c>
      <c r="AC410" s="13">
        <v>3</v>
      </c>
      <c r="AD410" s="13">
        <f t="shared" si="166"/>
        <v>0</v>
      </c>
      <c r="AE410" s="14">
        <f t="shared" si="167"/>
        <v>-1.4889132320658121</v>
      </c>
      <c r="AF410" s="14">
        <f t="shared" si="168"/>
        <v>-9.9543601025913198E-3</v>
      </c>
      <c r="AG410" s="13">
        <f t="shared" si="169"/>
        <v>-1.3402119955888061</v>
      </c>
      <c r="AH410" s="13">
        <f>IF($T410=1,$AU410,VLOOKUP(U410,'Cortes naturales'!$A$25:$C$29,3,9))</f>
        <v>3</v>
      </c>
      <c r="AI410" s="13" t="b">
        <f t="shared" si="170"/>
        <v>1</v>
      </c>
      <c r="AJ410" s="13">
        <f t="shared" si="171"/>
        <v>0</v>
      </c>
      <c r="AK410" s="28">
        <v>0.81759069605862034</v>
      </c>
      <c r="AL410" s="28">
        <v>44.390967067181244</v>
      </c>
      <c r="AM410" s="28">
        <v>0.38465819367861354</v>
      </c>
      <c r="AN410" s="13">
        <v>3</v>
      </c>
      <c r="AO410" s="33">
        <f t="shared" si="172"/>
        <v>0</v>
      </c>
      <c r="AP410" s="13">
        <f t="shared" si="182"/>
        <v>38.465819367861357</v>
      </c>
      <c r="AQ410" s="13">
        <f>IFERROR(VLOOKUP(U410,'Cortes naturales'!$E$15:$G$19,3,9),U410)</f>
        <v>4</v>
      </c>
      <c r="AR410" s="28">
        <f t="shared" si="173"/>
        <v>-0.28045968339250948</v>
      </c>
      <c r="AS410" s="13" t="b">
        <f t="shared" si="174"/>
        <v>0</v>
      </c>
      <c r="AT410" s="13">
        <f t="shared" si="183"/>
        <v>0</v>
      </c>
      <c r="AU410" s="13">
        <v>3</v>
      </c>
      <c r="AV410">
        <f t="shared" si="175"/>
        <v>0</v>
      </c>
      <c r="AW410" s="13">
        <v>0</v>
      </c>
      <c r="AX410" s="13">
        <v>0</v>
      </c>
      <c r="AY410" s="13">
        <v>0</v>
      </c>
      <c r="AZ410" s="13">
        <v>0</v>
      </c>
      <c r="BA410">
        <v>0</v>
      </c>
      <c r="BB410" t="s">
        <v>2840</v>
      </c>
      <c r="BC410">
        <v>6</v>
      </c>
      <c r="BD410" t="s">
        <v>2919</v>
      </c>
      <c r="BE410">
        <v>1</v>
      </c>
      <c r="BF410" s="232" t="s">
        <v>2846</v>
      </c>
      <c r="BG410" s="232" t="s">
        <v>2845</v>
      </c>
      <c r="BH410" s="253">
        <v>37.5</v>
      </c>
      <c r="BI410" s="253">
        <v>12.423019749416012</v>
      </c>
      <c r="BJ410" s="25">
        <v>46.923500551049251</v>
      </c>
      <c r="BK410" t="s">
        <v>376</v>
      </c>
      <c r="BL410">
        <v>4.457781793726503</v>
      </c>
      <c r="BM410" t="s">
        <v>383</v>
      </c>
      <c r="BN410" s="322">
        <v>14168.793129</v>
      </c>
      <c r="BO410" s="322">
        <v>1885.783361</v>
      </c>
      <c r="BP410" s="10">
        <v>5126</v>
      </c>
      <c r="BQ410" s="254">
        <f t="shared" si="176"/>
        <v>2.7641032245415529</v>
      </c>
      <c r="BR410" s="254">
        <f t="shared" si="177"/>
        <v>0.36788594635193134</v>
      </c>
      <c r="BS410" s="25">
        <v>64.647483398121153</v>
      </c>
      <c r="BT410" s="25">
        <v>84.748834431005335</v>
      </c>
      <c r="BU410" s="25">
        <v>39.4</v>
      </c>
      <c r="BV410" s="25">
        <v>89.875131623249331</v>
      </c>
      <c r="BW410" s="25">
        <v>56.539193698924542</v>
      </c>
      <c r="BX410" s="25">
        <v>69.667862363093946</v>
      </c>
      <c r="BY410" s="25">
        <v>57.949725179295648</v>
      </c>
      <c r="BZ410">
        <v>90</v>
      </c>
      <c r="CA410">
        <v>0</v>
      </c>
      <c r="CB410">
        <v>7</v>
      </c>
      <c r="CC410">
        <v>11483.091622</v>
      </c>
      <c r="CD410" s="10">
        <v>4720.5910940000003</v>
      </c>
      <c r="CE410" s="255">
        <v>0.41109060603121961</v>
      </c>
      <c r="CF410" t="str">
        <f>IFERROR(VLOOKUP(CE410,'Rangos amb etnico'!$A$2:$C$6,3,9),"N.D.")</f>
        <v>31% - 50%</v>
      </c>
      <c r="CG410" s="256">
        <v>1.3733978997255882E-4</v>
      </c>
      <c r="CH410" s="232">
        <v>0</v>
      </c>
      <c r="CI410" s="311">
        <f t="shared" si="184"/>
        <v>0</v>
      </c>
      <c r="CJ410" s="232">
        <f>IFERROR(VLOOKUP(CI410,'Rangos amb etnico'!$A$2:$C$6,3,9),"N.D.")</f>
        <v>0</v>
      </c>
      <c r="CK410" s="311">
        <f t="shared" si="185"/>
        <v>0</v>
      </c>
      <c r="CL410" s="10">
        <v>0</v>
      </c>
      <c r="CM410" s="255">
        <f t="shared" si="186"/>
        <v>0</v>
      </c>
      <c r="CN410" s="232">
        <f>IFERROR(VLOOKUP(CM410,'Rangos amb etnico'!$A$2:$C$6,3,9),"N.D.")</f>
        <v>0</v>
      </c>
      <c r="CO410" s="311">
        <f t="shared" si="187"/>
        <v>0</v>
      </c>
      <c r="CP410">
        <v>0.88405625522576003</v>
      </c>
      <c r="CQ410" t="s">
        <v>2864</v>
      </c>
      <c r="CR410">
        <f t="shared" si="178"/>
        <v>1</v>
      </c>
      <c r="CS410" t="str">
        <f t="shared" si="188"/>
        <v>No es Candidato</v>
      </c>
      <c r="CT410">
        <v>0</v>
      </c>
      <c r="CU410">
        <v>0</v>
      </c>
      <c r="CV410" s="25">
        <v>41.059688568115227</v>
      </c>
      <c r="CW410" s="25">
        <v>31.488485336303711</v>
      </c>
      <c r="CX410" s="25">
        <v>40.46954345703125</v>
      </c>
      <c r="CY410" s="25">
        <v>47.152538299560547</v>
      </c>
      <c r="CZ410" s="25">
        <v>55.912593841552727</v>
      </c>
      <c r="DA410" s="25">
        <v>34.784149169921882</v>
      </c>
      <c r="DB410" s="25">
        <v>36.550819396972663</v>
      </c>
      <c r="DC410">
        <v>116</v>
      </c>
      <c r="DD410" s="253" t="s">
        <v>380</v>
      </c>
    </row>
    <row r="411" spans="1:108" hidden="1">
      <c r="A411" s="13">
        <v>76403</v>
      </c>
      <c r="B411" s="13" t="s">
        <v>1275</v>
      </c>
      <c r="C411" s="13" t="s">
        <v>454</v>
      </c>
      <c r="D411" s="13" t="s">
        <v>455</v>
      </c>
      <c r="E411" s="13" t="s">
        <v>1276</v>
      </c>
      <c r="F411" s="14">
        <v>53.848999999999997</v>
      </c>
      <c r="G411" s="13">
        <v>68.91</v>
      </c>
      <c r="H411" s="13">
        <v>61.99</v>
      </c>
      <c r="I411" s="13">
        <v>53.74</v>
      </c>
      <c r="J411" s="14">
        <v>58.940505152130719</v>
      </c>
      <c r="K411" s="14">
        <v>61.39404450842548</v>
      </c>
      <c r="L411" s="14">
        <v>53.641467933973949</v>
      </c>
      <c r="M411" s="14">
        <v>56.565600000000003</v>
      </c>
      <c r="N411" s="14">
        <f t="shared" si="162"/>
        <v>59.622250000000001</v>
      </c>
      <c r="O411" s="14">
        <f t="shared" si="163"/>
        <v>57.635404398632545</v>
      </c>
      <c r="P411" s="14">
        <f t="shared" si="179"/>
        <v>58.628827199316277</v>
      </c>
      <c r="Q411" s="14">
        <v>51.787239568557908</v>
      </c>
      <c r="R411" s="17">
        <f t="shared" si="164"/>
        <v>48.212760431442092</v>
      </c>
      <c r="S411" s="14">
        <f t="shared" si="180"/>
        <v>0.53391484388297883</v>
      </c>
      <c r="T411" s="13">
        <v>0</v>
      </c>
      <c r="U411" s="13">
        <f t="shared" si="181"/>
        <v>31.302801121165093</v>
      </c>
      <c r="V411" s="13">
        <f>IF($T411=1,$AU411,(VLOOKUP(U411,'Cortes naturales'!$A$35:$C$39,3,9)))</f>
        <v>3</v>
      </c>
      <c r="W411" s="13">
        <v>3</v>
      </c>
      <c r="X411" s="14" t="b">
        <f t="shared" si="165"/>
        <v>1</v>
      </c>
      <c r="Y411" s="17">
        <f>IF($T411=1,$AU411,VLOOKUP(U411,'Cortes naturales'!$A$45:$C$49,3,9))</f>
        <v>3</v>
      </c>
      <c r="Z411" s="14">
        <v>58.327949945230607</v>
      </c>
      <c r="AA411" s="14">
        <v>0.54605232888271282</v>
      </c>
      <c r="AB411" s="14">
        <v>31.850112906547476</v>
      </c>
      <c r="AC411" s="13">
        <v>3</v>
      </c>
      <c r="AD411" s="13">
        <f t="shared" si="166"/>
        <v>0</v>
      </c>
      <c r="AE411" s="14">
        <f t="shared" si="167"/>
        <v>0.30087725408566968</v>
      </c>
      <c r="AF411" s="14">
        <f t="shared" si="168"/>
        <v>-1.2137484999733994E-2</v>
      </c>
      <c r="AG411" s="13">
        <f t="shared" si="169"/>
        <v>-0.54731178538238368</v>
      </c>
      <c r="AH411" s="13">
        <f>IF($T411=1,$AU411,VLOOKUP(U411,'Cortes naturales'!$A$25:$C$29,3,9))</f>
        <v>3</v>
      </c>
      <c r="AI411" s="13" t="b">
        <f t="shared" si="170"/>
        <v>1</v>
      </c>
      <c r="AJ411" s="13">
        <f t="shared" si="171"/>
        <v>0</v>
      </c>
      <c r="AK411" s="28">
        <v>0.81759069605862034</v>
      </c>
      <c r="AL411" s="28">
        <v>47.688389195393455</v>
      </c>
      <c r="AM411" s="28">
        <v>0.42590546869199852</v>
      </c>
      <c r="AN411" s="13">
        <v>3</v>
      </c>
      <c r="AO411" s="33">
        <f t="shared" si="172"/>
        <v>0</v>
      </c>
      <c r="AP411" s="13">
        <f t="shared" si="182"/>
        <v>42.590546869199855</v>
      </c>
      <c r="AQ411" s="13">
        <f>IFERROR(VLOOKUP(U411,'Cortes naturales'!$E$15:$G$19,3,9),U411)</f>
        <v>4</v>
      </c>
      <c r="AR411" s="28">
        <f t="shared" si="173"/>
        <v>-0.28367585217564151</v>
      </c>
      <c r="AS411" s="13" t="b">
        <f t="shared" si="174"/>
        <v>0</v>
      </c>
      <c r="AT411" s="13">
        <f t="shared" si="183"/>
        <v>0</v>
      </c>
      <c r="AU411" s="13">
        <v>3</v>
      </c>
      <c r="AV411">
        <f t="shared" si="175"/>
        <v>0</v>
      </c>
      <c r="AW411" s="13">
        <v>0</v>
      </c>
      <c r="AX411" s="13">
        <v>0</v>
      </c>
      <c r="AY411" s="13">
        <v>0</v>
      </c>
      <c r="AZ411" s="13">
        <v>0</v>
      </c>
      <c r="BA411">
        <v>0</v>
      </c>
      <c r="BB411" t="s">
        <v>2840</v>
      </c>
      <c r="BC411">
        <v>6</v>
      </c>
      <c r="BD411" t="s">
        <v>2919</v>
      </c>
      <c r="BE411">
        <v>0</v>
      </c>
      <c r="BF411" s="232" t="s">
        <v>2846</v>
      </c>
      <c r="BG411" s="232" t="s">
        <v>2846</v>
      </c>
      <c r="BH411" s="253">
        <v>22.9</v>
      </c>
      <c r="BI411" s="253">
        <v>8.3740720622849896</v>
      </c>
      <c r="BJ411" s="25">
        <v>12.258981281497482</v>
      </c>
      <c r="BK411" t="s">
        <v>377</v>
      </c>
      <c r="BL411">
        <v>2.2389108660963521</v>
      </c>
      <c r="BM411" t="s">
        <v>383</v>
      </c>
      <c r="BN411" s="322">
        <v>25282.068026000001</v>
      </c>
      <c r="BO411" s="322">
        <v>5698.6374100000003</v>
      </c>
      <c r="BP411" s="10">
        <v>12681</v>
      </c>
      <c r="BQ411" s="254">
        <f t="shared" si="176"/>
        <v>1.9936967136661148</v>
      </c>
      <c r="BR411" s="254">
        <f t="shared" si="177"/>
        <v>0.44938391372920117</v>
      </c>
      <c r="BS411" s="25">
        <v>58.200779896707203</v>
      </c>
      <c r="BT411" s="25">
        <v>95.619513899271894</v>
      </c>
      <c r="BU411" s="25">
        <v>54.932538547130797</v>
      </c>
      <c r="BV411" s="25">
        <v>83.657935476967396</v>
      </c>
      <c r="BW411" s="25">
        <v>71.969995228805914</v>
      </c>
      <c r="BX411" s="25">
        <v>73.102691955019324</v>
      </c>
      <c r="BY411" s="25">
        <v>71.700084168983537</v>
      </c>
      <c r="BZ411">
        <v>91</v>
      </c>
      <c r="CA411">
        <v>0</v>
      </c>
      <c r="CB411">
        <v>7</v>
      </c>
      <c r="CC411">
        <v>26471.875314000001</v>
      </c>
      <c r="CD411" s="10">
        <v>4179.6628069999997</v>
      </c>
      <c r="CE411" s="255">
        <v>0.15789069559380745</v>
      </c>
      <c r="CF411" t="str">
        <f>IFERROR(VLOOKUP(CE411,'Rangos amb etnico'!$A$2:$C$6,3,9),"N.D.")</f>
        <v>0,1% - 30%</v>
      </c>
      <c r="CG411" s="256">
        <v>1.2160214698517491E-4</v>
      </c>
      <c r="CH411" s="232">
        <v>0</v>
      </c>
      <c r="CI411" s="311">
        <f t="shared" si="184"/>
        <v>0</v>
      </c>
      <c r="CJ411" s="232">
        <f>IFERROR(VLOOKUP(CI411,'Rangos amb etnico'!$A$2:$C$6,3,9),"N.D.")</f>
        <v>0</v>
      </c>
      <c r="CK411" s="311">
        <f t="shared" si="185"/>
        <v>0</v>
      </c>
      <c r="CL411" s="10">
        <v>0</v>
      </c>
      <c r="CM411" s="255">
        <f t="shared" si="186"/>
        <v>0</v>
      </c>
      <c r="CN411" s="232">
        <f>IFERROR(VLOOKUP(CM411,'Rangos amb etnico'!$A$2:$C$6,3,9),"N.D.")</f>
        <v>0</v>
      </c>
      <c r="CO411" s="311">
        <f t="shared" si="187"/>
        <v>0</v>
      </c>
      <c r="CP411">
        <v>0.94779899160005288</v>
      </c>
      <c r="CQ411" t="s">
        <v>2864</v>
      </c>
      <c r="CR411">
        <f t="shared" si="178"/>
        <v>2</v>
      </c>
      <c r="CS411" t="str">
        <f t="shared" si="188"/>
        <v>No es Candidato</v>
      </c>
      <c r="CT411">
        <v>0</v>
      </c>
      <c r="CU411">
        <v>0</v>
      </c>
      <c r="CV411" s="25">
        <v>51.394618988037109</v>
      </c>
      <c r="CW411" s="25">
        <v>30.892414093017582</v>
      </c>
      <c r="CX411" s="25">
        <v>51.562355041503913</v>
      </c>
      <c r="CY411" s="25">
        <v>58.260318756103523</v>
      </c>
      <c r="CZ411" s="25">
        <v>68.165672302246094</v>
      </c>
      <c r="DA411" s="25">
        <v>50.060749053955078</v>
      </c>
      <c r="DB411" s="25">
        <v>49.426216125488281</v>
      </c>
      <c r="DC411">
        <v>259</v>
      </c>
      <c r="DD411" s="253" t="s">
        <v>380</v>
      </c>
    </row>
    <row r="412" spans="1:108" hidden="1">
      <c r="A412" s="13">
        <v>47675</v>
      </c>
      <c r="B412" s="13" t="s">
        <v>1277</v>
      </c>
      <c r="C412" s="13" t="s">
        <v>638</v>
      </c>
      <c r="D412" s="13" t="s">
        <v>639</v>
      </c>
      <c r="E412" s="13" t="s">
        <v>1278</v>
      </c>
      <c r="F412" s="14">
        <v>51.285766666666703</v>
      </c>
      <c r="G412" s="13">
        <v>44.14</v>
      </c>
      <c r="H412" s="13">
        <v>48.29</v>
      </c>
      <c r="I412" s="13">
        <v>37.49</v>
      </c>
      <c r="J412" s="14">
        <v>49.473656983061893</v>
      </c>
      <c r="K412" s="14">
        <v>48.610917583985092</v>
      </c>
      <c r="L412" s="14">
        <v>45.628235315699754</v>
      </c>
      <c r="M412" s="14">
        <v>55.695799999999998</v>
      </c>
      <c r="N412" s="14">
        <f t="shared" si="162"/>
        <v>45.301441666666676</v>
      </c>
      <c r="O412" s="14">
        <f t="shared" si="163"/>
        <v>49.852152470686683</v>
      </c>
      <c r="P412" s="14">
        <f t="shared" si="179"/>
        <v>47.576797068676683</v>
      </c>
      <c r="Q412" s="14">
        <v>50.840061222380541</v>
      </c>
      <c r="R412" s="17">
        <f t="shared" si="164"/>
        <v>49.159938777619459</v>
      </c>
      <c r="S412" s="14">
        <f t="shared" si="180"/>
        <v>0.54243944899857521</v>
      </c>
      <c r="T412" s="13">
        <v>0</v>
      </c>
      <c r="U412" s="13">
        <f t="shared" si="181"/>
        <v>25.807531587050008</v>
      </c>
      <c r="V412" s="13">
        <f>IF($T412=1,$AU412,(VLOOKUP(U412,'Cortes naturales'!$A$35:$C$39,3,9)))</f>
        <v>4</v>
      </c>
      <c r="W412" s="13">
        <v>4</v>
      </c>
      <c r="X412" s="14" t="b">
        <f t="shared" si="165"/>
        <v>1</v>
      </c>
      <c r="Y412" s="17">
        <f>IF($T412=1,$AU412,VLOOKUP(U412,'Cortes naturales'!$A$45:$C$49,3,9))</f>
        <v>4</v>
      </c>
      <c r="Z412" s="14">
        <v>47.139118438082839</v>
      </c>
      <c r="AA412" s="14">
        <v>0.54623367116299903</v>
      </c>
      <c r="AB412" s="14">
        <v>25.748973719821407</v>
      </c>
      <c r="AC412" s="13">
        <v>4</v>
      </c>
      <c r="AD412" s="13">
        <f t="shared" si="166"/>
        <v>0</v>
      </c>
      <c r="AE412" s="14">
        <f t="shared" si="167"/>
        <v>0.43767863059384382</v>
      </c>
      <c r="AF412" s="14">
        <f t="shared" si="168"/>
        <v>-3.7942221644238217E-3</v>
      </c>
      <c r="AG412" s="13">
        <f t="shared" si="169"/>
        <v>5.8557867228600458E-2</v>
      </c>
      <c r="AH412" s="13">
        <f>IF($T412=1,$AU412,VLOOKUP(U412,'Cortes naturales'!$A$25:$C$29,3,9))</f>
        <v>4</v>
      </c>
      <c r="AI412" s="13" t="b">
        <f t="shared" si="170"/>
        <v>1</v>
      </c>
      <c r="AJ412" s="13">
        <f t="shared" si="171"/>
        <v>0</v>
      </c>
      <c r="AK412" s="28">
        <v>0.81759069605862034</v>
      </c>
      <c r="AL412" s="28">
        <v>38.540504655381895</v>
      </c>
      <c r="AM412" s="28">
        <v>0.31147507587567841</v>
      </c>
      <c r="AN412" s="13">
        <v>4</v>
      </c>
      <c r="AO412" s="33">
        <f t="shared" si="172"/>
        <v>0</v>
      </c>
      <c r="AP412" s="13">
        <f t="shared" si="182"/>
        <v>31.147507587567841</v>
      </c>
      <c r="AQ412" s="13">
        <f>IFERROR(VLOOKUP(U412,'Cortes naturales'!$E$15:$G$19,3,9),U412)</f>
        <v>4</v>
      </c>
      <c r="AR412" s="28">
        <f t="shared" si="173"/>
        <v>-0.27515124706004512</v>
      </c>
      <c r="AS412" s="13" t="b">
        <f t="shared" si="174"/>
        <v>1</v>
      </c>
      <c r="AT412" s="13">
        <f t="shared" si="183"/>
        <v>0</v>
      </c>
      <c r="AU412" s="13">
        <v>4</v>
      </c>
      <c r="AV412">
        <f t="shared" si="175"/>
        <v>0</v>
      </c>
      <c r="AW412" s="13">
        <v>0</v>
      </c>
      <c r="AX412" s="13">
        <v>0</v>
      </c>
      <c r="AY412" s="13">
        <v>0</v>
      </c>
      <c r="AZ412" s="13">
        <v>0</v>
      </c>
      <c r="BA412">
        <v>0</v>
      </c>
      <c r="BB412" t="s">
        <v>2839</v>
      </c>
      <c r="BC412">
        <v>6</v>
      </c>
      <c r="BD412" t="s">
        <v>2919</v>
      </c>
      <c r="BE412">
        <v>1</v>
      </c>
      <c r="BF412" s="232" t="s">
        <v>2846</v>
      </c>
      <c r="BG412" s="232" t="s">
        <v>2845</v>
      </c>
      <c r="BH412" s="253">
        <v>44.3</v>
      </c>
      <c r="BI412" s="253">
        <v>26.677350427350426</v>
      </c>
      <c r="BJ412" s="25">
        <v>2.34375</v>
      </c>
      <c r="BK412" t="s">
        <v>381</v>
      </c>
      <c r="BL412">
        <v>2.855385436116225</v>
      </c>
      <c r="BM412" t="s">
        <v>383</v>
      </c>
      <c r="BN412" s="322">
        <v>25834.628000000001</v>
      </c>
      <c r="BO412" s="322">
        <v>2619.7317670000002</v>
      </c>
      <c r="BP412" s="10">
        <v>12611</v>
      </c>
      <c r="BQ412" s="254">
        <f t="shared" si="176"/>
        <v>2.0485788597256365</v>
      </c>
      <c r="BR412" s="254">
        <f t="shared" si="177"/>
        <v>0.20773386464197924</v>
      </c>
      <c r="BS412" s="25">
        <v>57.783031112871058</v>
      </c>
      <c r="BT412" s="25">
        <v>86.402022405571856</v>
      </c>
      <c r="BU412" s="25">
        <v>42.801082949308729</v>
      </c>
      <c r="BV412" s="25">
        <v>98.816307890673059</v>
      </c>
      <c r="BW412" s="25">
        <v>51.694212167306567</v>
      </c>
      <c r="BX412" s="25">
        <v>71.45061108960617</v>
      </c>
      <c r="BY412" s="25">
        <v>53.336065623474781</v>
      </c>
      <c r="BZ412">
        <v>74</v>
      </c>
      <c r="CA412">
        <v>0</v>
      </c>
      <c r="CB412">
        <v>7</v>
      </c>
      <c r="CC412">
        <v>17016.413806</v>
      </c>
      <c r="CD412" s="10">
        <v>17016.413801999999</v>
      </c>
      <c r="CE412" s="255">
        <v>0.99999999976493281</v>
      </c>
      <c r="CF412" t="str">
        <f>IFERROR(VLOOKUP(CE412,'Rangos amb etnico'!$A$2:$C$6,3,9),"N.D.")</f>
        <v>71% - 100%</v>
      </c>
      <c r="CG412" s="256">
        <v>4.9507162368358083E-4</v>
      </c>
      <c r="CH412" s="232">
        <v>0</v>
      </c>
      <c r="CI412" s="311">
        <f t="shared" si="184"/>
        <v>0</v>
      </c>
      <c r="CJ412" s="232">
        <f>IFERROR(VLOOKUP(CI412,'Rangos amb etnico'!$A$2:$C$6,3,9),"N.D.")</f>
        <v>0</v>
      </c>
      <c r="CK412" s="311">
        <f t="shared" si="185"/>
        <v>0</v>
      </c>
      <c r="CL412" s="10">
        <v>0</v>
      </c>
      <c r="CM412" s="255">
        <f t="shared" si="186"/>
        <v>0</v>
      </c>
      <c r="CN412" s="232">
        <f>IFERROR(VLOOKUP(CM412,'Rangos amb etnico'!$A$2:$C$6,3,9),"N.D.")</f>
        <v>0</v>
      </c>
      <c r="CO412" s="311">
        <f t="shared" si="187"/>
        <v>0</v>
      </c>
      <c r="CP412">
        <v>0.89051146986905483</v>
      </c>
      <c r="CQ412" t="s">
        <v>2864</v>
      </c>
      <c r="CR412">
        <f t="shared" si="178"/>
        <v>1</v>
      </c>
      <c r="CS412" t="str">
        <f t="shared" si="188"/>
        <v>No es Candidato</v>
      </c>
      <c r="CT412">
        <v>0</v>
      </c>
      <c r="CU412">
        <v>0</v>
      </c>
      <c r="CV412" s="25">
        <v>53.589092254638672</v>
      </c>
      <c r="CW412" s="25">
        <v>22.772407531738281</v>
      </c>
      <c r="CX412" s="25">
        <v>55.573650360107422</v>
      </c>
      <c r="CY412" s="25">
        <v>62.413433074951172</v>
      </c>
      <c r="CZ412" s="25">
        <v>23.191116333007809</v>
      </c>
      <c r="DA412" s="25">
        <v>90.4249267578125</v>
      </c>
      <c r="DB412" s="25">
        <v>67.159011840820313</v>
      </c>
      <c r="DC412">
        <v>402</v>
      </c>
      <c r="DD412" s="253" t="s">
        <v>380</v>
      </c>
    </row>
    <row r="413" spans="1:108" hidden="1">
      <c r="A413" s="13">
        <v>23555</v>
      </c>
      <c r="B413" s="13" t="s">
        <v>1279</v>
      </c>
      <c r="C413" s="13" t="s">
        <v>567</v>
      </c>
      <c r="D413" s="13" t="s">
        <v>568</v>
      </c>
      <c r="E413" s="13" t="s">
        <v>1280</v>
      </c>
      <c r="F413" s="14">
        <v>52.491700000000002</v>
      </c>
      <c r="G413" s="13">
        <v>35.380000000000003</v>
      </c>
      <c r="H413" s="13">
        <v>38.020000000000003</v>
      </c>
      <c r="I413" s="13">
        <v>37.75</v>
      </c>
      <c r="J413" s="14">
        <v>51.311838915763275</v>
      </c>
      <c r="K413" s="14">
        <v>55.173390929719972</v>
      </c>
      <c r="L413" s="14">
        <v>69.730559515545593</v>
      </c>
      <c r="M413" s="14">
        <v>50.132800000000003</v>
      </c>
      <c r="N413" s="14">
        <f t="shared" si="162"/>
        <v>40.910425000000004</v>
      </c>
      <c r="O413" s="14">
        <f t="shared" si="163"/>
        <v>56.587147340257211</v>
      </c>
      <c r="P413" s="14">
        <f t="shared" si="179"/>
        <v>48.748786170128611</v>
      </c>
      <c r="Q413" s="14">
        <v>51.4538018200981</v>
      </c>
      <c r="R413" s="17">
        <f t="shared" si="164"/>
        <v>48.5461981799019</v>
      </c>
      <c r="S413" s="14">
        <f t="shared" si="180"/>
        <v>0.53691578361911707</v>
      </c>
      <c r="T413" s="13">
        <v>0</v>
      </c>
      <c r="U413" s="13">
        <f t="shared" si="181"/>
        <v>26.173992727015381</v>
      </c>
      <c r="V413" s="13">
        <f>IF($T413=1,$AU413,(VLOOKUP(U413,'Cortes naturales'!$A$35:$C$39,3,9)))</f>
        <v>4</v>
      </c>
      <c r="W413" s="13">
        <v>4</v>
      </c>
      <c r="X413" s="14" t="b">
        <f t="shared" si="165"/>
        <v>1</v>
      </c>
      <c r="Y413" s="17">
        <f>IF($T413=1,$AU413,VLOOKUP(U413,'Cortes naturales'!$A$45:$C$49,3,9))</f>
        <v>4</v>
      </c>
      <c r="Z413" s="14">
        <v>50.664944724788839</v>
      </c>
      <c r="AA413" s="14">
        <v>0.54606313919682725</v>
      </c>
      <c r="AB413" s="14">
        <v>27.666258763651925</v>
      </c>
      <c r="AC413" s="13">
        <v>4</v>
      </c>
      <c r="AD413" s="13">
        <f t="shared" si="166"/>
        <v>0</v>
      </c>
      <c r="AE413" s="14">
        <f t="shared" si="167"/>
        <v>-1.9161585546602282</v>
      </c>
      <c r="AF413" s="14">
        <f t="shared" si="168"/>
        <v>-9.1473555777101812E-3</v>
      </c>
      <c r="AG413" s="13">
        <f t="shared" si="169"/>
        <v>-1.4922660366365434</v>
      </c>
      <c r="AH413" s="13">
        <f>IF($T413=1,$AU413,VLOOKUP(U413,'Cortes naturales'!$A$25:$C$29,3,9))</f>
        <v>4</v>
      </c>
      <c r="AI413" s="13" t="b">
        <f t="shared" si="170"/>
        <v>1</v>
      </c>
      <c r="AJ413" s="13">
        <f t="shared" si="171"/>
        <v>0</v>
      </c>
      <c r="AK413" s="28">
        <v>0.81759069605862034</v>
      </c>
      <c r="AL413" s="28">
        <v>41.423187423311632</v>
      </c>
      <c r="AM413" s="28">
        <v>0.34753439866842323</v>
      </c>
      <c r="AN413" s="13">
        <v>4</v>
      </c>
      <c r="AO413" s="33">
        <f t="shared" si="172"/>
        <v>0</v>
      </c>
      <c r="AP413" s="13">
        <f t="shared" si="182"/>
        <v>34.753439866842321</v>
      </c>
      <c r="AQ413" s="13">
        <f>IFERROR(VLOOKUP(U413,'Cortes naturales'!$E$15:$G$19,3,9),U413)</f>
        <v>4</v>
      </c>
      <c r="AR413" s="28">
        <f t="shared" si="173"/>
        <v>-0.28067491243950327</v>
      </c>
      <c r="AS413" s="13" t="b">
        <f t="shared" si="174"/>
        <v>1</v>
      </c>
      <c r="AT413" s="13">
        <f t="shared" si="183"/>
        <v>0</v>
      </c>
      <c r="AU413" s="13">
        <v>3</v>
      </c>
      <c r="AV413">
        <f t="shared" si="175"/>
        <v>-1</v>
      </c>
      <c r="AW413" s="13">
        <v>0</v>
      </c>
      <c r="AX413" s="13">
        <v>0</v>
      </c>
      <c r="AY413" s="13">
        <v>0</v>
      </c>
      <c r="AZ413" s="13">
        <v>0</v>
      </c>
      <c r="BA413">
        <v>0</v>
      </c>
      <c r="BB413" t="s">
        <v>2839</v>
      </c>
      <c r="BC413">
        <v>6</v>
      </c>
      <c r="BD413" t="s">
        <v>2919</v>
      </c>
      <c r="BE413">
        <v>0</v>
      </c>
      <c r="BF413" s="232" t="s">
        <v>2846</v>
      </c>
      <c r="BG413" s="232" t="s">
        <v>2845</v>
      </c>
      <c r="BH413" s="253">
        <v>43</v>
      </c>
      <c r="BI413" s="253">
        <v>33.104821976927546</v>
      </c>
      <c r="BJ413" s="25">
        <v>0</v>
      </c>
      <c r="BK413" t="s">
        <v>381</v>
      </c>
      <c r="BL413">
        <v>4.8414561449638516</v>
      </c>
      <c r="BM413" t="s">
        <v>383</v>
      </c>
      <c r="BN413" s="322">
        <v>155954.45482000001</v>
      </c>
      <c r="BO413" s="322">
        <v>20314.365019000001</v>
      </c>
      <c r="BP413" s="10">
        <v>66459</v>
      </c>
      <c r="BQ413" s="254">
        <f t="shared" si="176"/>
        <v>2.3466265640470065</v>
      </c>
      <c r="BR413" s="254">
        <f t="shared" si="177"/>
        <v>0.30566762995230146</v>
      </c>
      <c r="BS413" s="25">
        <v>60.338387292660322</v>
      </c>
      <c r="BT413" s="25">
        <v>96.14037463414634</v>
      </c>
      <c r="BU413" s="25">
        <v>62.890000000000008</v>
      </c>
      <c r="BV413" s="25">
        <v>96.115343264789956</v>
      </c>
      <c r="BW413" s="25">
        <v>42.103272967754222</v>
      </c>
      <c r="BX413" s="25">
        <v>78.871026297899164</v>
      </c>
      <c r="BY413" s="25">
        <v>42.426086772055108</v>
      </c>
      <c r="BZ413">
        <v>56</v>
      </c>
      <c r="CA413">
        <v>0</v>
      </c>
      <c r="CB413">
        <v>6</v>
      </c>
      <c r="CC413">
        <v>114009.893385</v>
      </c>
      <c r="CD413" s="10">
        <v>8436.2673940000004</v>
      </c>
      <c r="CE413" s="255">
        <v>7.3995923893302576E-2</v>
      </c>
      <c r="CF413" t="str">
        <f>IFERROR(VLOOKUP(CE413,'Rangos amb etnico'!$A$2:$C$6,3,9),"N.D.")</f>
        <v>0,1% - 30%</v>
      </c>
      <c r="CG413" s="256">
        <v>2.4544282039530243E-4</v>
      </c>
      <c r="CH413" s="232">
        <v>27.232220999999999</v>
      </c>
      <c r="CI413" s="311">
        <f t="shared" si="184"/>
        <v>2.3885840247248993E-4</v>
      </c>
      <c r="CJ413" s="232">
        <f>IFERROR(VLOOKUP(CI413,'Rangos amb etnico'!$A$2:$C$6,3,9),"N.D.")</f>
        <v>0</v>
      </c>
      <c r="CK413" s="311">
        <f t="shared" si="185"/>
        <v>1.0812974685104799E-6</v>
      </c>
      <c r="CL413" s="10">
        <v>0</v>
      </c>
      <c r="CM413" s="255">
        <f t="shared" si="186"/>
        <v>0</v>
      </c>
      <c r="CN413" s="232">
        <f>IFERROR(VLOOKUP(CM413,'Rangos amb etnico'!$A$2:$C$6,3,9),"N.D.")</f>
        <v>0</v>
      </c>
      <c r="CO413" s="311">
        <f t="shared" si="187"/>
        <v>0</v>
      </c>
      <c r="CP413">
        <v>0.92144185324850603</v>
      </c>
      <c r="CQ413" t="s">
        <v>2864</v>
      </c>
      <c r="CR413">
        <f t="shared" si="178"/>
        <v>1</v>
      </c>
      <c r="CS413" t="str">
        <f t="shared" si="188"/>
        <v>No es Candidato</v>
      </c>
      <c r="CT413">
        <v>0</v>
      </c>
      <c r="CU413">
        <v>0</v>
      </c>
      <c r="CV413" s="25">
        <v>56.651809692382813</v>
      </c>
      <c r="CW413" s="25">
        <v>44.029926300048828</v>
      </c>
      <c r="CX413" s="25">
        <v>61.569541931152337</v>
      </c>
      <c r="CY413" s="25">
        <v>71.54425048828125</v>
      </c>
      <c r="CZ413" s="25">
        <v>26.664871215820309</v>
      </c>
      <c r="DA413" s="25">
        <v>81.305595397949219</v>
      </c>
      <c r="DB413" s="25">
        <v>54.796676635742188</v>
      </c>
      <c r="DC413">
        <v>5008</v>
      </c>
      <c r="DD413" s="253" t="s">
        <v>380</v>
      </c>
    </row>
    <row r="414" spans="1:108" hidden="1">
      <c r="A414" s="13">
        <v>73148</v>
      </c>
      <c r="B414" s="13" t="s">
        <v>1281</v>
      </c>
      <c r="C414" s="13" t="s">
        <v>595</v>
      </c>
      <c r="D414" s="13" t="s">
        <v>596</v>
      </c>
      <c r="E414" s="13" t="s">
        <v>1282</v>
      </c>
      <c r="F414" s="14">
        <v>65.327399999999997</v>
      </c>
      <c r="G414" s="13">
        <v>63.34</v>
      </c>
      <c r="H414" s="13">
        <v>61.52</v>
      </c>
      <c r="I414" s="13">
        <v>66.86</v>
      </c>
      <c r="J414" s="14">
        <v>52.027079165964906</v>
      </c>
      <c r="K414" s="14">
        <v>56.752522164409385</v>
      </c>
      <c r="L414" s="14">
        <v>71.999604360460793</v>
      </c>
      <c r="M414" s="14">
        <v>64.008499999999998</v>
      </c>
      <c r="N414" s="14">
        <f t="shared" si="162"/>
        <v>64.261849999999995</v>
      </c>
      <c r="O414" s="14">
        <f t="shared" si="163"/>
        <v>61.196926422708771</v>
      </c>
      <c r="P414" s="14">
        <f t="shared" si="179"/>
        <v>62.729388211354383</v>
      </c>
      <c r="Q414" s="14">
        <v>51.651014573972823</v>
      </c>
      <c r="R414" s="17">
        <f t="shared" si="164"/>
        <v>48.348985426027177</v>
      </c>
      <c r="S414" s="14">
        <f t="shared" si="180"/>
        <v>0.53514086883424461</v>
      </c>
      <c r="T414" s="13">
        <v>0</v>
      </c>
      <c r="U414" s="13">
        <f t="shared" si="181"/>
        <v>33.569059308864809</v>
      </c>
      <c r="V414" s="13">
        <f>IF($T414=1,$AU414,(VLOOKUP(U414,'Cortes naturales'!$A$35:$C$39,3,9)))</f>
        <v>3</v>
      </c>
      <c r="W414" s="13">
        <v>3</v>
      </c>
      <c r="X414" s="14" t="b">
        <f t="shared" si="165"/>
        <v>1</v>
      </c>
      <c r="Y414" s="17">
        <f>IF($T414=1,$AU414,VLOOKUP(U414,'Cortes naturales'!$A$45:$C$49,3,9))</f>
        <v>3</v>
      </c>
      <c r="Z414" s="14">
        <v>61.362821717159242</v>
      </c>
      <c r="AA414" s="14">
        <v>0.54628241260198407</v>
      </c>
      <c r="AB414" s="14">
        <v>33.521430291715177</v>
      </c>
      <c r="AC414" s="13">
        <v>3</v>
      </c>
      <c r="AD414" s="13">
        <f t="shared" si="166"/>
        <v>0</v>
      </c>
      <c r="AE414" s="14">
        <f t="shared" si="167"/>
        <v>1.3665664941951405</v>
      </c>
      <c r="AF414" s="14">
        <f t="shared" si="168"/>
        <v>-1.1141543767739459E-2</v>
      </c>
      <c r="AG414" s="13">
        <f t="shared" si="169"/>
        <v>4.7629017149631636E-2</v>
      </c>
      <c r="AH414" s="13">
        <f>IF($T414=1,$AU414,VLOOKUP(U414,'Cortes naturales'!$A$25:$C$29,3,9))</f>
        <v>3</v>
      </c>
      <c r="AI414" s="13" t="b">
        <f t="shared" si="170"/>
        <v>1</v>
      </c>
      <c r="AJ414" s="13">
        <f t="shared" si="171"/>
        <v>0</v>
      </c>
      <c r="AK414" s="28">
        <v>0.81759069605862034</v>
      </c>
      <c r="AL414" s="28">
        <v>50.169672119853253</v>
      </c>
      <c r="AM414" s="28">
        <v>0.45694370255825184</v>
      </c>
      <c r="AN414" s="13">
        <v>3</v>
      </c>
      <c r="AO414" s="33">
        <f t="shared" si="172"/>
        <v>0</v>
      </c>
      <c r="AP414" s="13">
        <f t="shared" si="182"/>
        <v>45.694370255825184</v>
      </c>
      <c r="AQ414" s="13">
        <f>IFERROR(VLOOKUP(U414,'Cortes naturales'!$E$15:$G$19,3,9),U414)</f>
        <v>4</v>
      </c>
      <c r="AR414" s="28">
        <f t="shared" si="173"/>
        <v>-0.28244982722437573</v>
      </c>
      <c r="AS414" s="13" t="b">
        <f t="shared" si="174"/>
        <v>0</v>
      </c>
      <c r="AT414" s="13">
        <f t="shared" si="183"/>
        <v>0</v>
      </c>
      <c r="AU414" s="13">
        <v>3</v>
      </c>
      <c r="AV414">
        <f t="shared" si="175"/>
        <v>0</v>
      </c>
      <c r="AW414" s="13">
        <v>0</v>
      </c>
      <c r="AX414" s="13">
        <v>0</v>
      </c>
      <c r="AY414" s="13">
        <v>0</v>
      </c>
      <c r="AZ414" s="13">
        <v>0</v>
      </c>
      <c r="BA414">
        <v>0</v>
      </c>
      <c r="BB414" t="s">
        <v>2839</v>
      </c>
      <c r="BC414">
        <v>6</v>
      </c>
      <c r="BD414" t="s">
        <v>2919</v>
      </c>
      <c r="BE414">
        <v>0</v>
      </c>
      <c r="BF414" s="232" t="s">
        <v>2846</v>
      </c>
      <c r="BG414" s="232" t="s">
        <v>2845</v>
      </c>
      <c r="BH414" s="253">
        <v>20.7</v>
      </c>
      <c r="BI414" s="253">
        <v>8.5500312044934468</v>
      </c>
      <c r="BJ414" s="25">
        <v>5.0344292807659157</v>
      </c>
      <c r="BK414" t="s">
        <v>377</v>
      </c>
      <c r="BL414">
        <v>1.5774115791815746</v>
      </c>
      <c r="BM414" t="s">
        <v>383</v>
      </c>
      <c r="BN414" s="322">
        <v>30134.947625000001</v>
      </c>
      <c r="BO414" s="322">
        <v>11718.450723</v>
      </c>
      <c r="BP414" s="10">
        <v>10895</v>
      </c>
      <c r="BQ414" s="254">
        <f t="shared" si="176"/>
        <v>2.7659428751720974</v>
      </c>
      <c r="BR414" s="254">
        <f t="shared" si="177"/>
        <v>1.0755806078935291</v>
      </c>
      <c r="BS414" s="25">
        <v>74.060617645809444</v>
      </c>
      <c r="BT414" s="25">
        <v>83.2811521049411</v>
      </c>
      <c r="BU414" s="25">
        <v>45.293333333333329</v>
      </c>
      <c r="BV414" s="25">
        <v>74.696618937180901</v>
      </c>
      <c r="BW414" s="25">
        <v>72.826862962616659</v>
      </c>
      <c r="BX414" s="25">
        <v>69.332930505316185</v>
      </c>
      <c r="BY414" s="25">
        <v>73.973062468462345</v>
      </c>
      <c r="BZ414">
        <v>6</v>
      </c>
      <c r="CA414">
        <v>0</v>
      </c>
      <c r="CB414">
        <v>7</v>
      </c>
      <c r="CC414">
        <v>19068.323594000001</v>
      </c>
      <c r="CD414" s="10">
        <v>5113.1525160000001</v>
      </c>
      <c r="CE414" s="255">
        <v>0.26814903212618513</v>
      </c>
      <c r="CF414" t="str">
        <f>IFERROR(VLOOKUP(CE414,'Rangos amb etnico'!$A$2:$C$6,3,9),"N.D.")</f>
        <v>0,1% - 30%</v>
      </c>
      <c r="CG414" s="256">
        <v>1.4876088156368087E-4</v>
      </c>
      <c r="CH414" s="232">
        <v>0</v>
      </c>
      <c r="CI414" s="311">
        <f t="shared" si="184"/>
        <v>0</v>
      </c>
      <c r="CJ414" s="232">
        <f>IFERROR(VLOOKUP(CI414,'Rangos amb etnico'!$A$2:$C$6,3,9),"N.D.")</f>
        <v>0</v>
      </c>
      <c r="CK414" s="311">
        <f t="shared" si="185"/>
        <v>0</v>
      </c>
      <c r="CL414" s="10">
        <v>0</v>
      </c>
      <c r="CM414" s="255">
        <f t="shared" si="186"/>
        <v>0</v>
      </c>
      <c r="CN414" s="232">
        <f>IFERROR(VLOOKUP(CM414,'Rangos amb etnico'!$A$2:$C$6,3,9),"N.D.")</f>
        <v>0</v>
      </c>
      <c r="CO414" s="311">
        <f t="shared" si="187"/>
        <v>0</v>
      </c>
      <c r="CP414">
        <v>0.92199345973771374</v>
      </c>
      <c r="CQ414" t="s">
        <v>2864</v>
      </c>
      <c r="CR414">
        <f t="shared" si="178"/>
        <v>4</v>
      </c>
      <c r="CS414" t="str">
        <f t="shared" si="188"/>
        <v>Candidato</v>
      </c>
      <c r="CT414">
        <v>0</v>
      </c>
      <c r="CU414">
        <v>0</v>
      </c>
      <c r="CV414" s="25">
        <v>39.521900177001953</v>
      </c>
      <c r="CW414" s="25">
        <v>27.997091293334961</v>
      </c>
      <c r="CX414" s="25">
        <v>47.993450164794922</v>
      </c>
      <c r="CY414" s="25">
        <v>61.567291259765618</v>
      </c>
      <c r="CZ414" s="25">
        <v>31.220914840698239</v>
      </c>
      <c r="DA414" s="25">
        <v>19.241489410400391</v>
      </c>
      <c r="DB414" s="25">
        <v>49.111167907714837</v>
      </c>
      <c r="DC414">
        <v>78</v>
      </c>
      <c r="DD414" s="253" t="s">
        <v>380</v>
      </c>
    </row>
    <row r="415" spans="1:108" hidden="1">
      <c r="A415" s="13">
        <v>25592</v>
      </c>
      <c r="B415" s="13" t="s">
        <v>1283</v>
      </c>
      <c r="C415" s="13" t="s">
        <v>461</v>
      </c>
      <c r="D415" s="13" t="s">
        <v>462</v>
      </c>
      <c r="E415" s="13" t="s">
        <v>1284</v>
      </c>
      <c r="F415" s="14">
        <v>66.773666666666699</v>
      </c>
      <c r="G415" s="13">
        <v>64.95</v>
      </c>
      <c r="H415" s="13">
        <v>54.39</v>
      </c>
      <c r="I415" s="13">
        <v>81.22</v>
      </c>
      <c r="J415" s="14">
        <v>48.648585249062023</v>
      </c>
      <c r="K415" s="14">
        <v>52.300289720731939</v>
      </c>
      <c r="L415" s="14">
        <v>64.287240134955084</v>
      </c>
      <c r="M415" s="14">
        <v>49.411099999999998</v>
      </c>
      <c r="N415" s="14">
        <f t="shared" si="162"/>
        <v>66.833416666666665</v>
      </c>
      <c r="O415" s="14">
        <f t="shared" si="163"/>
        <v>53.661803776187263</v>
      </c>
      <c r="P415" s="14">
        <f t="shared" si="179"/>
        <v>60.247610221426967</v>
      </c>
      <c r="Q415" s="14">
        <v>52.546039889222627</v>
      </c>
      <c r="R415" s="17">
        <f t="shared" si="164"/>
        <v>47.453960110777373</v>
      </c>
      <c r="S415" s="14">
        <f t="shared" si="180"/>
        <v>0.5270856409969964</v>
      </c>
      <c r="T415" s="13">
        <v>0</v>
      </c>
      <c r="U415" s="13">
        <f t="shared" si="181"/>
        <v>31.755650252098025</v>
      </c>
      <c r="V415" s="13">
        <f>IF($T415=1,$AU415,(VLOOKUP(U415,'Cortes naturales'!$A$35:$C$39,3,9)))</f>
        <v>3</v>
      </c>
      <c r="W415" s="13">
        <v>3</v>
      </c>
      <c r="X415" s="14" t="b">
        <f t="shared" si="165"/>
        <v>1</v>
      </c>
      <c r="Y415" s="17">
        <f>IF($T415=1,$AU415,VLOOKUP(U415,'Cortes naturales'!$A$45:$C$49,3,9))</f>
        <v>3</v>
      </c>
      <c r="Z415" s="14">
        <v>58.998473065474698</v>
      </c>
      <c r="AA415" s="14">
        <v>0.54429995790892916</v>
      </c>
      <c r="AB415" s="14">
        <v>32.112866406228967</v>
      </c>
      <c r="AC415" s="13">
        <v>3</v>
      </c>
      <c r="AD415" s="13">
        <f t="shared" si="166"/>
        <v>0</v>
      </c>
      <c r="AE415" s="14">
        <f t="shared" si="167"/>
        <v>1.249137155952269</v>
      </c>
      <c r="AF415" s="14">
        <f t="shared" si="168"/>
        <v>-1.7214316911932759E-2</v>
      </c>
      <c r="AG415" s="13">
        <f t="shared" si="169"/>
        <v>-0.35721615413094199</v>
      </c>
      <c r="AH415" s="13">
        <f>IF($T415=1,$AU415,VLOOKUP(U415,'Cortes naturales'!$A$25:$C$29,3,9))</f>
        <v>3</v>
      </c>
      <c r="AI415" s="13" t="b">
        <f t="shared" si="170"/>
        <v>1</v>
      </c>
      <c r="AJ415" s="13">
        <f t="shared" si="171"/>
        <v>0</v>
      </c>
      <c r="AK415" s="28">
        <v>0.81759069605862034</v>
      </c>
      <c r="AL415" s="28">
        <v>48.236602659997224</v>
      </c>
      <c r="AM415" s="28">
        <v>0.43276304126273035</v>
      </c>
      <c r="AN415" s="13">
        <v>3</v>
      </c>
      <c r="AO415" s="33">
        <f t="shared" si="172"/>
        <v>0</v>
      </c>
      <c r="AP415" s="13">
        <f t="shared" si="182"/>
        <v>43.276304126273033</v>
      </c>
      <c r="AQ415" s="13">
        <f>IFERROR(VLOOKUP(U415,'Cortes naturales'!$E$15:$G$19,3,9),U415)</f>
        <v>4</v>
      </c>
      <c r="AR415" s="28">
        <f t="shared" si="173"/>
        <v>-0.29050505506162394</v>
      </c>
      <c r="AS415" s="13" t="b">
        <f t="shared" si="174"/>
        <v>0</v>
      </c>
      <c r="AT415" s="13">
        <f t="shared" si="183"/>
        <v>0</v>
      </c>
      <c r="AU415" s="13">
        <v>3</v>
      </c>
      <c r="AV415">
        <f t="shared" si="175"/>
        <v>0</v>
      </c>
      <c r="AW415" s="13">
        <v>0</v>
      </c>
      <c r="AX415" s="13">
        <v>0</v>
      </c>
      <c r="AY415" s="13">
        <v>0</v>
      </c>
      <c r="AZ415" s="13">
        <v>0</v>
      </c>
      <c r="BA415">
        <v>0</v>
      </c>
      <c r="BB415" t="s">
        <v>2840</v>
      </c>
      <c r="BC415">
        <v>6</v>
      </c>
      <c r="BD415" t="s">
        <v>2919</v>
      </c>
      <c r="BE415">
        <v>0</v>
      </c>
      <c r="BF415" s="232" t="s">
        <v>2846</v>
      </c>
      <c r="BG415" s="232" t="s">
        <v>2846</v>
      </c>
      <c r="BH415" s="253">
        <v>32.1</v>
      </c>
      <c r="BI415" s="253">
        <v>11.221047897458961</v>
      </c>
      <c r="BJ415" s="25">
        <v>12.495681500659471</v>
      </c>
      <c r="BK415" t="s">
        <v>377</v>
      </c>
      <c r="BL415">
        <v>0</v>
      </c>
      <c r="BM415" t="s">
        <v>377</v>
      </c>
      <c r="BN415" s="322">
        <v>15290.268294</v>
      </c>
      <c r="BO415" s="322">
        <v>2858.5879810000001</v>
      </c>
      <c r="BP415" s="10">
        <v>4922</v>
      </c>
      <c r="BQ415" s="254">
        <f t="shared" si="176"/>
        <v>3.1065152974400649</v>
      </c>
      <c r="BR415" s="254">
        <f t="shared" si="177"/>
        <v>0.58077772876879319</v>
      </c>
      <c r="BS415" s="25">
        <v>67.972211146553249</v>
      </c>
      <c r="BT415" s="25">
        <v>82.24757813625898</v>
      </c>
      <c r="BU415" s="25">
        <v>38.508358667280802</v>
      </c>
      <c r="BV415" s="25">
        <v>95.246704994812035</v>
      </c>
      <c r="BW415" s="25">
        <v>71.35820043555222</v>
      </c>
      <c r="BX415" s="25">
        <v>70.99371323622627</v>
      </c>
      <c r="BY415" s="25">
        <v>73.3001106660044</v>
      </c>
      <c r="BZ415">
        <v>37</v>
      </c>
      <c r="CA415">
        <v>0</v>
      </c>
      <c r="CB415">
        <v>7</v>
      </c>
      <c r="CC415">
        <v>7977.7434599999997</v>
      </c>
      <c r="CD415" s="10">
        <v>5091.7969439999997</v>
      </c>
      <c r="CE415" s="255">
        <v>0.63825027334233175</v>
      </c>
      <c r="CF415" t="str">
        <f>IFERROR(VLOOKUP(CE415,'Rangos amb etnico'!$A$2:$C$6,3,9),"N.D.")</f>
        <v>51% - 70%</v>
      </c>
      <c r="CG415" s="256">
        <v>1.4813956747084368E-4</v>
      </c>
      <c r="CH415" s="232">
        <v>0</v>
      </c>
      <c r="CI415" s="311">
        <f t="shared" si="184"/>
        <v>0</v>
      </c>
      <c r="CJ415" s="232">
        <f>IFERROR(VLOOKUP(CI415,'Rangos amb etnico'!$A$2:$C$6,3,9),"N.D.")</f>
        <v>0</v>
      </c>
      <c r="CK415" s="311">
        <f t="shared" si="185"/>
        <v>0</v>
      </c>
      <c r="CL415" s="10">
        <v>0</v>
      </c>
      <c r="CM415" s="255">
        <f t="shared" si="186"/>
        <v>0</v>
      </c>
      <c r="CN415" s="232">
        <f>IFERROR(VLOOKUP(CM415,'Rangos amb etnico'!$A$2:$C$6,3,9),"N.D.")</f>
        <v>0</v>
      </c>
      <c r="CO415" s="311">
        <f t="shared" si="187"/>
        <v>0</v>
      </c>
      <c r="CP415">
        <v>0.964178055711991</v>
      </c>
      <c r="CQ415" t="s">
        <v>2864</v>
      </c>
      <c r="CR415">
        <f t="shared" si="178"/>
        <v>3</v>
      </c>
      <c r="CS415" t="str">
        <f t="shared" si="188"/>
        <v>Candidato</v>
      </c>
      <c r="CT415">
        <v>0</v>
      </c>
      <c r="CU415">
        <v>0</v>
      </c>
      <c r="CV415" s="25">
        <v>47.872875213623047</v>
      </c>
      <c r="CW415" s="25">
        <v>20.324165344238281</v>
      </c>
      <c r="CX415" s="25">
        <v>57.791690826416023</v>
      </c>
      <c r="CY415" s="25">
        <v>71.088554382324219</v>
      </c>
      <c r="CZ415" s="25">
        <v>41.755298614501953</v>
      </c>
      <c r="DA415" s="25">
        <v>53.198177337646477</v>
      </c>
      <c r="DB415" s="25">
        <v>43.079360961914063</v>
      </c>
      <c r="DC415">
        <v>23</v>
      </c>
      <c r="DD415" s="253" t="s">
        <v>380</v>
      </c>
    </row>
    <row r="416" spans="1:108" hidden="1">
      <c r="A416" s="13">
        <v>25513</v>
      </c>
      <c r="B416" s="13" t="s">
        <v>1285</v>
      </c>
      <c r="C416" s="13" t="s">
        <v>461</v>
      </c>
      <c r="D416" s="13" t="s">
        <v>462</v>
      </c>
      <c r="E416" s="13" t="s">
        <v>1286</v>
      </c>
      <c r="F416" s="14">
        <v>85.309299999999993</v>
      </c>
      <c r="G416" s="13">
        <v>64.11</v>
      </c>
      <c r="H416" s="13">
        <v>63.73</v>
      </c>
      <c r="I416" s="13">
        <v>78.05</v>
      </c>
      <c r="J416" s="14">
        <v>61.644750740125041</v>
      </c>
      <c r="K416" s="14">
        <v>66.591025272613393</v>
      </c>
      <c r="L416" s="14">
        <v>69.701827430834925</v>
      </c>
      <c r="M416" s="14">
        <v>58.754100000000001</v>
      </c>
      <c r="N416" s="14">
        <f t="shared" si="162"/>
        <v>72.799824999999998</v>
      </c>
      <c r="O416" s="14">
        <f t="shared" si="163"/>
        <v>64.172925860893343</v>
      </c>
      <c r="P416" s="14">
        <f t="shared" si="179"/>
        <v>68.486375430446671</v>
      </c>
      <c r="Q416" s="14">
        <v>52.772899389270975</v>
      </c>
      <c r="R416" s="17">
        <f t="shared" si="164"/>
        <v>47.227100610729025</v>
      </c>
      <c r="S416" s="14">
        <f t="shared" si="180"/>
        <v>0.52504390549656121</v>
      </c>
      <c r="T416" s="13">
        <v>0</v>
      </c>
      <c r="U416" s="13">
        <f t="shared" si="181"/>
        <v>35.958354029305454</v>
      </c>
      <c r="V416" s="13">
        <f>IF($T416=1,$AU416,(VLOOKUP(U416,'Cortes naturales'!$A$35:$C$39,3,9)))</f>
        <v>3</v>
      </c>
      <c r="W416" s="13">
        <v>3</v>
      </c>
      <c r="X416" s="14" t="b">
        <f t="shared" si="165"/>
        <v>1</v>
      </c>
      <c r="Y416" s="17">
        <f>IF($T416=1,$AU416,VLOOKUP(U416,'Cortes naturales'!$A$45:$C$49,3,9))</f>
        <v>2</v>
      </c>
      <c r="Z416" s="14">
        <v>70.104179508025226</v>
      </c>
      <c r="AA416" s="14">
        <v>0.54471890554309832</v>
      </c>
      <c r="AB416" s="14">
        <v>38.187071935608401</v>
      </c>
      <c r="AC416" s="13">
        <v>2</v>
      </c>
      <c r="AD416" s="13">
        <f t="shared" si="166"/>
        <v>0</v>
      </c>
      <c r="AE416" s="14">
        <f t="shared" si="167"/>
        <v>-1.6178040775785547</v>
      </c>
      <c r="AF416" s="14">
        <f t="shared" si="168"/>
        <v>-1.9675000046537106E-2</v>
      </c>
      <c r="AG416" s="13">
        <f t="shared" si="169"/>
        <v>-2.228717906302947</v>
      </c>
      <c r="AH416" s="13">
        <f>IF($T416=1,$AU416,VLOOKUP(U416,'Cortes naturales'!$A$25:$C$29,3,9))</f>
        <v>2</v>
      </c>
      <c r="AI416" s="13" t="b">
        <f t="shared" si="170"/>
        <v>1</v>
      </c>
      <c r="AJ416" s="13">
        <f t="shared" si="171"/>
        <v>0</v>
      </c>
      <c r="AK416" s="28">
        <v>0.81759069605862034</v>
      </c>
      <c r="AL416" s="28">
        <v>57.316524920584811</v>
      </c>
      <c r="AM416" s="28">
        <v>0.54634329760245159</v>
      </c>
      <c r="AN416" s="13">
        <v>2</v>
      </c>
      <c r="AO416" s="33">
        <f t="shared" si="172"/>
        <v>0</v>
      </c>
      <c r="AP416" s="13">
        <f t="shared" si="182"/>
        <v>54.634329760245159</v>
      </c>
      <c r="AQ416" s="13">
        <f>IFERROR(VLOOKUP(U416,'Cortes naturales'!$E$15:$G$19,3,9),U416)</f>
        <v>3</v>
      </c>
      <c r="AR416" s="28">
        <f t="shared" si="173"/>
        <v>-0.29254679056205912</v>
      </c>
      <c r="AS416" s="13" t="b">
        <f t="shared" si="174"/>
        <v>0</v>
      </c>
      <c r="AT416" s="13">
        <f t="shared" si="183"/>
        <v>0</v>
      </c>
      <c r="AU416" s="13">
        <v>2</v>
      </c>
      <c r="AV416">
        <f t="shared" si="175"/>
        <v>0</v>
      </c>
      <c r="AW416" s="13">
        <v>0</v>
      </c>
      <c r="AX416" s="13">
        <v>0</v>
      </c>
      <c r="AY416" s="13">
        <v>0</v>
      </c>
      <c r="AZ416" s="13">
        <v>0</v>
      </c>
      <c r="BA416">
        <v>0</v>
      </c>
      <c r="BB416" t="s">
        <v>2839</v>
      </c>
      <c r="BC416">
        <v>6</v>
      </c>
      <c r="BD416" t="s">
        <v>2919</v>
      </c>
      <c r="BE416">
        <v>0</v>
      </c>
      <c r="BF416" s="232" t="s">
        <v>2846</v>
      </c>
      <c r="BG416" s="232" t="s">
        <v>2846</v>
      </c>
      <c r="BH416" s="253">
        <v>27.7</v>
      </c>
      <c r="BI416" s="253">
        <v>8.1574829788133805</v>
      </c>
      <c r="BJ416" s="25">
        <v>1.2091483432194721</v>
      </c>
      <c r="BK416" t="s">
        <v>381</v>
      </c>
      <c r="BL416">
        <v>1.5041056788719416</v>
      </c>
      <c r="BM416" t="s">
        <v>383</v>
      </c>
      <c r="BN416" s="322">
        <v>34633.015036999997</v>
      </c>
      <c r="BO416" s="322">
        <v>9784.9522450000004</v>
      </c>
      <c r="BP416" s="10">
        <v>25018</v>
      </c>
      <c r="BQ416" s="254">
        <f t="shared" si="176"/>
        <v>1.3843238882804381</v>
      </c>
      <c r="BR416" s="254">
        <f t="shared" si="177"/>
        <v>0.39111648593013032</v>
      </c>
      <c r="BS416" s="25">
        <v>59.922042819922687</v>
      </c>
      <c r="BT416" s="25">
        <v>94.086020000000005</v>
      </c>
      <c r="BU416" s="25">
        <v>54.573333333333331</v>
      </c>
      <c r="BV416" s="25">
        <v>88.784515194276409</v>
      </c>
      <c r="BW416" s="25">
        <v>43.99272974998167</v>
      </c>
      <c r="BX416" s="25">
        <v>74.341477836883101</v>
      </c>
      <c r="BY416" s="25">
        <v>44.724646021281117</v>
      </c>
      <c r="BZ416">
        <v>33</v>
      </c>
      <c r="CA416">
        <v>1</v>
      </c>
      <c r="CB416">
        <v>6</v>
      </c>
      <c r="CC416">
        <v>40214.740598999997</v>
      </c>
      <c r="CD416" s="10">
        <v>23749.716729</v>
      </c>
      <c r="CE416" s="255">
        <v>0.59057242133722909</v>
      </c>
      <c r="CF416" t="str">
        <f>IFERROR(VLOOKUP(CE416,'Rangos amb etnico'!$A$2:$C$6,3,9),"N.D.")</f>
        <v>51% - 70%</v>
      </c>
      <c r="CG416" s="256">
        <v>6.9096878812791886E-4</v>
      </c>
      <c r="CH416" s="232">
        <v>0</v>
      </c>
      <c r="CI416" s="311">
        <f t="shared" si="184"/>
        <v>0</v>
      </c>
      <c r="CJ416" s="232">
        <f>IFERROR(VLOOKUP(CI416,'Rangos amb etnico'!$A$2:$C$6,3,9),"N.D.")</f>
        <v>0</v>
      </c>
      <c r="CK416" s="311">
        <f t="shared" si="185"/>
        <v>0</v>
      </c>
      <c r="CL416" s="10">
        <v>0</v>
      </c>
      <c r="CM416" s="255">
        <f t="shared" si="186"/>
        <v>0</v>
      </c>
      <c r="CN416" s="232">
        <f>IFERROR(VLOOKUP(CM416,'Rangos amb etnico'!$A$2:$C$6,3,9),"N.D.")</f>
        <v>0</v>
      </c>
      <c r="CO416" s="311">
        <f t="shared" si="187"/>
        <v>0</v>
      </c>
      <c r="CP416">
        <v>0.90730131883086163</v>
      </c>
      <c r="CQ416" t="s">
        <v>2864</v>
      </c>
      <c r="CR416">
        <f t="shared" si="178"/>
        <v>2</v>
      </c>
      <c r="CS416" t="str">
        <f t="shared" si="188"/>
        <v>No es Candidato</v>
      </c>
      <c r="CT416">
        <v>0</v>
      </c>
      <c r="CU416">
        <v>0</v>
      </c>
      <c r="CV416" s="25">
        <v>49.936882019042969</v>
      </c>
      <c r="CW416" s="25">
        <v>27.05659103393555</v>
      </c>
      <c r="CX416" s="25">
        <v>43.984012603759773</v>
      </c>
      <c r="CY416" s="25">
        <v>71.970451354980469</v>
      </c>
      <c r="CZ416" s="25">
        <v>60.991043090820313</v>
      </c>
      <c r="DA416" s="25">
        <v>50.324779510498047</v>
      </c>
      <c r="DB416" s="25">
        <v>45.294422149658203</v>
      </c>
      <c r="DC416">
        <v>175</v>
      </c>
      <c r="DD416" s="253" t="s">
        <v>380</v>
      </c>
    </row>
    <row r="417" spans="1:108" hidden="1">
      <c r="A417" s="13">
        <v>15664</v>
      </c>
      <c r="B417" s="13" t="s">
        <v>1287</v>
      </c>
      <c r="C417" s="13" t="s">
        <v>498</v>
      </c>
      <c r="D417" s="13" t="s">
        <v>499</v>
      </c>
      <c r="E417" s="13" t="s">
        <v>1288</v>
      </c>
      <c r="F417" s="14">
        <v>55.3645</v>
      </c>
      <c r="G417" s="13">
        <v>49.74</v>
      </c>
      <c r="H417" s="13">
        <v>52.87</v>
      </c>
      <c r="I417" s="13">
        <v>45.74</v>
      </c>
      <c r="J417" s="14">
        <v>44.440867226959185</v>
      </c>
      <c r="K417" s="14">
        <v>54.513342743858949</v>
      </c>
      <c r="L417" s="14">
        <v>62.212591635874347</v>
      </c>
      <c r="M417" s="14">
        <v>51.941200000000002</v>
      </c>
      <c r="N417" s="14">
        <f t="shared" si="162"/>
        <v>50.928625000000004</v>
      </c>
      <c r="O417" s="14">
        <f t="shared" si="163"/>
        <v>53.277000401673128</v>
      </c>
      <c r="P417" s="14">
        <f t="shared" si="179"/>
        <v>52.102812700836566</v>
      </c>
      <c r="Q417" s="14">
        <v>52.744886156641094</v>
      </c>
      <c r="R417" s="17">
        <f t="shared" si="164"/>
        <v>47.255113843358906</v>
      </c>
      <c r="S417" s="14">
        <f t="shared" si="180"/>
        <v>0.52529602459023017</v>
      </c>
      <c r="T417" s="13">
        <v>0</v>
      </c>
      <c r="U417" s="13">
        <f t="shared" si="181"/>
        <v>27.369400381718801</v>
      </c>
      <c r="V417" s="13">
        <f>IF($T417=1,$AU417,(VLOOKUP(U417,'Cortes naturales'!$A$35:$C$39,3,9)))</f>
        <v>4</v>
      </c>
      <c r="W417" s="13">
        <v>4</v>
      </c>
      <c r="X417" s="14" t="b">
        <f t="shared" si="165"/>
        <v>1</v>
      </c>
      <c r="Y417" s="17">
        <f>IF($T417=1,$AU417,VLOOKUP(U417,'Cortes naturales'!$A$45:$C$49,3,9))</f>
        <v>4</v>
      </c>
      <c r="Z417" s="14">
        <v>54.910586925070348</v>
      </c>
      <c r="AA417" s="14">
        <v>0.54110673054449909</v>
      </c>
      <c r="AB417" s="14">
        <v>29.712488163304336</v>
      </c>
      <c r="AC417" s="13">
        <v>3</v>
      </c>
      <c r="AD417" s="13">
        <f t="shared" si="166"/>
        <v>-1</v>
      </c>
      <c r="AE417" s="14">
        <f t="shared" si="167"/>
        <v>-2.807774224233782</v>
      </c>
      <c r="AF417" s="14">
        <f t="shared" si="168"/>
        <v>-1.5810705954268922E-2</v>
      </c>
      <c r="AG417" s="13">
        <f t="shared" si="169"/>
        <v>-2.3430877815855347</v>
      </c>
      <c r="AH417" s="13">
        <f>IF($T417=1,$AU417,VLOOKUP(U417,'Cortes naturales'!$A$25:$C$29,3,9))</f>
        <v>4</v>
      </c>
      <c r="AI417" s="13" t="b">
        <f t="shared" si="170"/>
        <v>1</v>
      </c>
      <c r="AJ417" s="13" t="str">
        <f t="shared" si="171"/>
        <v>Efecto ponderador</v>
      </c>
      <c r="AK417" s="28">
        <v>0.81759069605862034</v>
      </c>
      <c r="AL417" s="28">
        <v>44.894384985055645</v>
      </c>
      <c r="AM417" s="28">
        <v>0.39095542117871807</v>
      </c>
      <c r="AN417" s="13">
        <v>3</v>
      </c>
      <c r="AO417" s="33">
        <f t="shared" si="172"/>
        <v>-1</v>
      </c>
      <c r="AP417" s="13">
        <f t="shared" si="182"/>
        <v>39.095542117871808</v>
      </c>
      <c r="AQ417" s="13">
        <f>IFERROR(VLOOKUP(U417,'Cortes naturales'!$E$15:$G$19,3,9),U417)</f>
        <v>4</v>
      </c>
      <c r="AR417" s="28">
        <f t="shared" si="173"/>
        <v>-0.29229467146839017</v>
      </c>
      <c r="AS417" s="13" t="b">
        <f t="shared" si="174"/>
        <v>1</v>
      </c>
      <c r="AT417" s="13" t="str">
        <f t="shared" si="183"/>
        <v>Efecto ponderador</v>
      </c>
      <c r="AU417" s="13">
        <v>3</v>
      </c>
      <c r="AV417">
        <f t="shared" si="175"/>
        <v>-1</v>
      </c>
      <c r="AW417" s="13">
        <v>0</v>
      </c>
      <c r="AX417" s="13">
        <v>0</v>
      </c>
      <c r="AY417" s="13">
        <v>0</v>
      </c>
      <c r="AZ417" s="13">
        <v>0</v>
      </c>
      <c r="BA417">
        <v>0</v>
      </c>
      <c r="BB417" t="s">
        <v>2840</v>
      </c>
      <c r="BC417">
        <v>6</v>
      </c>
      <c r="BD417" t="s">
        <v>2919</v>
      </c>
      <c r="BE417">
        <v>1</v>
      </c>
      <c r="BF417" s="232" t="s">
        <v>2846</v>
      </c>
      <c r="BG417" s="232" t="s">
        <v>2846</v>
      </c>
      <c r="BH417" s="253">
        <v>50.8</v>
      </c>
      <c r="BI417" s="253">
        <v>17.711464147702877</v>
      </c>
      <c r="BJ417" s="25">
        <v>42.935924160767918</v>
      </c>
      <c r="BK417" t="s">
        <v>376</v>
      </c>
      <c r="BL417">
        <v>0</v>
      </c>
      <c r="BM417" t="s">
        <v>377</v>
      </c>
      <c r="BN417" s="322">
        <v>13741.988577</v>
      </c>
      <c r="BO417" s="322">
        <v>932.50286600000004</v>
      </c>
      <c r="BP417" s="10">
        <v>4871</v>
      </c>
      <c r="BQ417" s="254">
        <f t="shared" si="176"/>
        <v>2.8211842695545064</v>
      </c>
      <c r="BR417" s="254">
        <f t="shared" si="177"/>
        <v>0.19143971792239786</v>
      </c>
      <c r="BS417" s="25">
        <v>69.849715331190808</v>
      </c>
      <c r="BT417" s="25">
        <v>86.654048270717851</v>
      </c>
      <c r="BU417" s="25">
        <v>54.428333333333327</v>
      </c>
      <c r="BV417" s="25">
        <v>93.955880820954349</v>
      </c>
      <c r="BW417" s="25">
        <v>42.007985453560721</v>
      </c>
      <c r="BX417" s="25">
        <v>76.221994439049084</v>
      </c>
      <c r="BY417" s="25">
        <v>43.470693278238848</v>
      </c>
      <c r="BZ417">
        <v>20</v>
      </c>
      <c r="CA417">
        <v>0</v>
      </c>
      <c r="CB417">
        <v>7</v>
      </c>
      <c r="CC417">
        <v>7428.4808540000004</v>
      </c>
      <c r="CD417" s="10">
        <v>11.416356</v>
      </c>
      <c r="CE417" s="255">
        <v>1.5368358920724223E-3</v>
      </c>
      <c r="CF417" t="str">
        <f>IFERROR(VLOOKUP(CE417,'Rangos amb etnico'!$A$2:$C$6,3,9),"N.D.")</f>
        <v>0,1% - 30%</v>
      </c>
      <c r="CG417" s="256">
        <v>3.3214483188023442E-7</v>
      </c>
      <c r="CH417" s="232">
        <v>0</v>
      </c>
      <c r="CI417" s="311">
        <f t="shared" si="184"/>
        <v>0</v>
      </c>
      <c r="CJ417" s="232">
        <f>IFERROR(VLOOKUP(CI417,'Rangos amb etnico'!$A$2:$C$6,3,9),"N.D.")</f>
        <v>0</v>
      </c>
      <c r="CK417" s="311">
        <f t="shared" si="185"/>
        <v>0</v>
      </c>
      <c r="CL417" s="10">
        <v>0</v>
      </c>
      <c r="CM417" s="255">
        <f t="shared" si="186"/>
        <v>0</v>
      </c>
      <c r="CN417" s="232">
        <f>IFERROR(VLOOKUP(CM417,'Rangos amb etnico'!$A$2:$C$6,3,9),"N.D.")</f>
        <v>0</v>
      </c>
      <c r="CO417" s="311">
        <f t="shared" si="187"/>
        <v>0</v>
      </c>
      <c r="CP417">
        <v>0.70356922067689509</v>
      </c>
      <c r="CQ417" t="s">
        <v>2866</v>
      </c>
      <c r="CR417">
        <f t="shared" si="178"/>
        <v>0</v>
      </c>
      <c r="CS417" t="str">
        <f t="shared" si="188"/>
        <v>No es Candidato</v>
      </c>
      <c r="CT417">
        <v>0</v>
      </c>
      <c r="CU417">
        <v>0</v>
      </c>
      <c r="CV417" s="25">
        <v>51.956623077392578</v>
      </c>
      <c r="CW417" s="25">
        <v>18.00246620178223</v>
      </c>
      <c r="CX417" s="25">
        <v>49.832405090332031</v>
      </c>
      <c r="CY417" s="25">
        <v>57.666969299316413</v>
      </c>
      <c r="CZ417" s="25">
        <v>49.36529541015625</v>
      </c>
      <c r="DA417" s="25">
        <v>88.826324462890625</v>
      </c>
      <c r="DB417" s="25">
        <v>48.046287536621087</v>
      </c>
      <c r="DC417">
        <v>30</v>
      </c>
      <c r="DD417" s="253" t="s">
        <v>380</v>
      </c>
    </row>
    <row r="418" spans="1:108" hidden="1">
      <c r="A418" s="13">
        <v>44098</v>
      </c>
      <c r="B418" s="13" t="s">
        <v>1289</v>
      </c>
      <c r="C418" s="13" t="s">
        <v>933</v>
      </c>
      <c r="D418" s="13" t="s">
        <v>934</v>
      </c>
      <c r="E418" s="13" t="s">
        <v>1290</v>
      </c>
      <c r="F418" s="14">
        <v>52.076633333333298</v>
      </c>
      <c r="G418" s="13">
        <v>49.37</v>
      </c>
      <c r="H418" s="13">
        <v>44.69</v>
      </c>
      <c r="I418" s="13">
        <v>59.94</v>
      </c>
      <c r="J418" s="14">
        <v>46.624026556014869</v>
      </c>
      <c r="K418" s="14">
        <v>44.978072844270272</v>
      </c>
      <c r="L418" s="14">
        <v>59.529223287691238</v>
      </c>
      <c r="M418" s="14">
        <v>54.807200000000002</v>
      </c>
      <c r="N418" s="14">
        <f t="shared" si="162"/>
        <v>51.519158333333323</v>
      </c>
      <c r="O418" s="14">
        <f t="shared" si="163"/>
        <v>51.48463067199409</v>
      </c>
      <c r="P418" s="14">
        <f t="shared" si="179"/>
        <v>51.501894502663703</v>
      </c>
      <c r="Q418" s="14">
        <v>52.714182761259345</v>
      </c>
      <c r="R418" s="17">
        <f t="shared" si="164"/>
        <v>47.285817238740655</v>
      </c>
      <c r="S418" s="203">
        <f t="shared" si="180"/>
        <v>0.52557235514866596</v>
      </c>
      <c r="T418" s="13">
        <v>0</v>
      </c>
      <c r="U418" s="13">
        <f t="shared" si="181"/>
        <v>27.067971988383096</v>
      </c>
      <c r="V418" s="13">
        <f>IF($T418=1,$AU418,(VLOOKUP(U418,'Cortes naturales'!$A$35:$C$39,3,9)))</f>
        <v>4</v>
      </c>
      <c r="W418" s="13">
        <v>4</v>
      </c>
      <c r="X418" s="14" t="b">
        <f t="shared" si="165"/>
        <v>1</v>
      </c>
      <c r="Y418" s="17">
        <f>IF($T418=1,$AU418,VLOOKUP(U418,'Cortes naturales'!$A$45:$C$49,3,9))</f>
        <v>4</v>
      </c>
      <c r="Z418" s="14">
        <v>51.002963442979748</v>
      </c>
      <c r="AA418" s="203">
        <v>0.54539057791284196</v>
      </c>
      <c r="AB418" s="14">
        <v>27.816535707434277</v>
      </c>
      <c r="AC418" s="13">
        <v>3</v>
      </c>
      <c r="AD418" s="13">
        <f t="shared" si="166"/>
        <v>-1</v>
      </c>
      <c r="AE418" s="14">
        <f t="shared" si="167"/>
        <v>0.49893105968395446</v>
      </c>
      <c r="AF418" s="14">
        <f t="shared" si="168"/>
        <v>-1.9818222764175997E-2</v>
      </c>
      <c r="AG418" s="13">
        <f t="shared" si="169"/>
        <v>-0.74856371905118024</v>
      </c>
      <c r="AH418" s="13">
        <f>IF($T418=1,$AU418,VLOOKUP(U418,'Cortes naturales'!$A$25:$C$29,3,9))</f>
        <v>4</v>
      </c>
      <c r="AI418" s="13" t="b">
        <f t="shared" si="170"/>
        <v>1</v>
      </c>
      <c r="AJ418" s="13" t="str">
        <f t="shared" si="171"/>
        <v>Efecto ponderador</v>
      </c>
      <c r="AK418" s="28">
        <v>0.81759069605862034</v>
      </c>
      <c r="AL418" s="28">
        <v>41.699548382398177</v>
      </c>
      <c r="AM418" s="28">
        <v>0.35099138295468624</v>
      </c>
      <c r="AN418" s="13">
        <v>4</v>
      </c>
      <c r="AO418" s="33">
        <f t="shared" si="172"/>
        <v>0</v>
      </c>
      <c r="AP418" s="13">
        <f t="shared" si="182"/>
        <v>35.09913829546862</v>
      </c>
      <c r="AQ418" s="13">
        <f>IFERROR(VLOOKUP(U418,'Cortes naturales'!$E$15:$G$19,3,9),U418)</f>
        <v>4</v>
      </c>
      <c r="AR418" s="28">
        <f t="shared" si="173"/>
        <v>-0.29201834090995438</v>
      </c>
      <c r="AS418" s="13" t="b">
        <f t="shared" si="174"/>
        <v>1</v>
      </c>
      <c r="AT418" s="13">
        <f t="shared" si="183"/>
        <v>0</v>
      </c>
      <c r="AU418" s="13">
        <v>3</v>
      </c>
      <c r="AV418">
        <f t="shared" si="175"/>
        <v>-1</v>
      </c>
      <c r="AW418" s="13">
        <v>0</v>
      </c>
      <c r="AX418" s="13">
        <v>0</v>
      </c>
      <c r="AY418" s="13">
        <v>0</v>
      </c>
      <c r="AZ418" s="13">
        <v>0</v>
      </c>
      <c r="BA418">
        <v>0</v>
      </c>
      <c r="BB418" t="s">
        <v>2839</v>
      </c>
      <c r="BC418">
        <v>6</v>
      </c>
      <c r="BD418" t="s">
        <v>2919</v>
      </c>
      <c r="BE418">
        <v>1</v>
      </c>
      <c r="BF418" s="232" t="s">
        <v>2846</v>
      </c>
      <c r="BG418" s="232" t="s">
        <v>2845</v>
      </c>
      <c r="BH418" s="253">
        <v>40.200000000000003</v>
      </c>
      <c r="BI418" s="253">
        <v>25.027932960893853</v>
      </c>
      <c r="BJ418" s="25">
        <v>39.981801398482141</v>
      </c>
      <c r="BK418" t="s">
        <v>376</v>
      </c>
      <c r="BL418">
        <v>1.159403890949199</v>
      </c>
      <c r="BM418" t="s">
        <v>383</v>
      </c>
      <c r="BN418" s="322">
        <v>60152.066407999999</v>
      </c>
      <c r="BO418" s="322">
        <v>1015.457667</v>
      </c>
      <c r="BP418" s="10">
        <v>14277</v>
      </c>
      <c r="BQ418" s="254">
        <f t="shared" si="176"/>
        <v>4.2132147095328145</v>
      </c>
      <c r="BR418" s="254">
        <f t="shared" si="177"/>
        <v>7.1125423198150878E-2</v>
      </c>
      <c r="BS418" s="25">
        <v>60.201263909220508</v>
      </c>
      <c r="BT418" s="25">
        <v>83.289499584124755</v>
      </c>
      <c r="BU418" s="25">
        <v>50.758891010949831</v>
      </c>
      <c r="BV418" s="25">
        <v>95.723057971402469</v>
      </c>
      <c r="BW418" s="25">
        <v>43.207921749680523</v>
      </c>
      <c r="BX418" s="25">
        <v>72.493178118924391</v>
      </c>
      <c r="BY418" s="25">
        <v>44.648340973184077</v>
      </c>
      <c r="BZ418">
        <v>76</v>
      </c>
      <c r="CA418">
        <v>0</v>
      </c>
      <c r="CB418">
        <v>7</v>
      </c>
      <c r="CC418">
        <v>23122.870062999998</v>
      </c>
      <c r="CD418" s="10">
        <v>11845.988859999999</v>
      </c>
      <c r="CE418" s="255">
        <v>0.51230616388556927</v>
      </c>
      <c r="CF418" t="str">
        <f>IFERROR(VLOOKUP(CE418,'Rangos amb etnico'!$A$2:$C$6,3,9),"N.D.")</f>
        <v>31% - 50%</v>
      </c>
      <c r="CG418" s="256">
        <v>3.4464447134968716E-4</v>
      </c>
      <c r="CH418" s="232">
        <v>765.93550600000003</v>
      </c>
      <c r="CI418" s="311">
        <f t="shared" si="184"/>
        <v>3.3124586347332799E-2</v>
      </c>
      <c r="CJ418" s="232" t="str">
        <f>IFERROR(VLOOKUP(CI418,'Rangos amb etnico'!$A$2:$C$6,3,9),"N.D.")</f>
        <v>0,1% - 30%</v>
      </c>
      <c r="CK418" s="311">
        <f t="shared" si="185"/>
        <v>3.0412654321514711E-5</v>
      </c>
      <c r="CL418" s="10">
        <v>0</v>
      </c>
      <c r="CM418" s="255">
        <f t="shared" si="186"/>
        <v>0</v>
      </c>
      <c r="CN418" s="232">
        <f>IFERROR(VLOOKUP(CM418,'Rangos amb etnico'!$A$2:$C$6,3,9),"N.D.")</f>
        <v>0</v>
      </c>
      <c r="CO418" s="311">
        <f t="shared" si="187"/>
        <v>0</v>
      </c>
      <c r="CP418">
        <v>0.79289396752096986</v>
      </c>
      <c r="CQ418" t="s">
        <v>2865</v>
      </c>
      <c r="CR418">
        <f t="shared" si="178"/>
        <v>1</v>
      </c>
      <c r="CS418" t="str">
        <f t="shared" si="188"/>
        <v>No es Candidato</v>
      </c>
      <c r="CT418">
        <v>0</v>
      </c>
      <c r="CU418">
        <v>0</v>
      </c>
      <c r="CV418" s="25">
        <v>50.358623504638672</v>
      </c>
      <c r="CW418" s="25">
        <v>26.861125946044918</v>
      </c>
      <c r="CX418" s="25">
        <v>58.075889587402337</v>
      </c>
      <c r="CY418" s="25">
        <v>48.233669281005859</v>
      </c>
      <c r="CZ418" s="25">
        <v>41.523994445800781</v>
      </c>
      <c r="DA418" s="25">
        <v>69.170692443847656</v>
      </c>
      <c r="DB418" s="25">
        <v>58.286369323730469</v>
      </c>
      <c r="DC418">
        <v>3741</v>
      </c>
      <c r="DD418" s="253" t="s">
        <v>380</v>
      </c>
    </row>
    <row r="419" spans="1:108" hidden="1">
      <c r="A419" s="13">
        <v>41132</v>
      </c>
      <c r="B419" s="13" t="s">
        <v>1291</v>
      </c>
      <c r="C419" s="13" t="s">
        <v>676</v>
      </c>
      <c r="D419" s="13" t="s">
        <v>677</v>
      </c>
      <c r="E419" s="13" t="s">
        <v>1292</v>
      </c>
      <c r="F419" s="14">
        <v>67.305566666666707</v>
      </c>
      <c r="G419" s="13">
        <v>66.569999999999993</v>
      </c>
      <c r="H419" s="13">
        <v>71.2</v>
      </c>
      <c r="I419" s="13">
        <v>77.510000000000005</v>
      </c>
      <c r="J419" s="14">
        <v>64.446484966186986</v>
      </c>
      <c r="K419" s="14">
        <v>59.730354903037345</v>
      </c>
      <c r="L419" s="14">
        <v>57.702785072458241</v>
      </c>
      <c r="M419" s="14">
        <v>46.1524</v>
      </c>
      <c r="N419" s="14">
        <f t="shared" si="162"/>
        <v>70.646391666666673</v>
      </c>
      <c r="O419" s="14">
        <f t="shared" si="163"/>
        <v>57.008006235420638</v>
      </c>
      <c r="P419" s="14">
        <f t="shared" si="179"/>
        <v>63.827198951043655</v>
      </c>
      <c r="Q419" s="14">
        <v>51.8255599196874</v>
      </c>
      <c r="R419" s="17">
        <f t="shared" si="164"/>
        <v>48.1744400803126</v>
      </c>
      <c r="S419" s="14">
        <f t="shared" si="180"/>
        <v>0.53356996072281337</v>
      </c>
      <c r="T419" s="13">
        <v>0</v>
      </c>
      <c r="U419" s="13">
        <f t="shared" si="181"/>
        <v>34.056276037355559</v>
      </c>
      <c r="V419" s="13">
        <f>IF($T419=1,$AU419,(VLOOKUP(U419,'Cortes naturales'!$A$35:$C$39,3,9)))</f>
        <v>3</v>
      </c>
      <c r="W419" s="13">
        <v>3</v>
      </c>
      <c r="X419" s="14" t="b">
        <f t="shared" si="165"/>
        <v>1</v>
      </c>
      <c r="Y419" s="17">
        <f>IF($T419=1,$AU419,VLOOKUP(U419,'Cortes naturales'!$A$45:$C$49,3,9))</f>
        <v>3</v>
      </c>
      <c r="Z419" s="14">
        <v>62.453534669997353</v>
      </c>
      <c r="AA419" s="14">
        <v>0.54551805884911164</v>
      </c>
      <c r="AB419" s="14">
        <v>34.069531001442648</v>
      </c>
      <c r="AC419" s="13">
        <v>3</v>
      </c>
      <c r="AD419" s="13">
        <f t="shared" si="166"/>
        <v>0</v>
      </c>
      <c r="AE419" s="14">
        <f t="shared" si="167"/>
        <v>1.3736642810463024</v>
      </c>
      <c r="AF419" s="14">
        <f t="shared" si="168"/>
        <v>-1.1948098126298268E-2</v>
      </c>
      <c r="AG419" s="13">
        <f t="shared" si="169"/>
        <v>-1.3254964087089149E-2</v>
      </c>
      <c r="AH419" s="13">
        <f>IF($T419=1,$AU419,VLOOKUP(U419,'Cortes naturales'!$A$25:$C$29,3,9))</f>
        <v>3</v>
      </c>
      <c r="AI419" s="13" t="b">
        <f t="shared" si="170"/>
        <v>1</v>
      </c>
      <c r="AJ419" s="13">
        <f t="shared" si="171"/>
        <v>0</v>
      </c>
      <c r="AK419" s="28">
        <v>0.81759069605862034</v>
      </c>
      <c r="AL419" s="28">
        <v>51.061428882164314</v>
      </c>
      <c r="AM419" s="28">
        <v>0.46809863965453219</v>
      </c>
      <c r="AN419" s="13">
        <v>3</v>
      </c>
      <c r="AO419" s="33">
        <f t="shared" si="172"/>
        <v>0</v>
      </c>
      <c r="AP419" s="13">
        <f t="shared" si="182"/>
        <v>46.809863965453218</v>
      </c>
      <c r="AQ419" s="13">
        <f>IFERROR(VLOOKUP(U419,'Cortes naturales'!$E$15:$G$19,3,9),U419)</f>
        <v>4</v>
      </c>
      <c r="AR419" s="28">
        <f t="shared" si="173"/>
        <v>-0.28402073533580696</v>
      </c>
      <c r="AS419" s="13" t="b">
        <f t="shared" si="174"/>
        <v>0</v>
      </c>
      <c r="AT419" s="13">
        <f t="shared" si="183"/>
        <v>0</v>
      </c>
      <c r="AU419" s="13">
        <v>3</v>
      </c>
      <c r="AV419">
        <f t="shared" si="175"/>
        <v>0</v>
      </c>
      <c r="AW419" s="13">
        <v>0</v>
      </c>
      <c r="AX419" s="13">
        <v>0</v>
      </c>
      <c r="AY419" s="13">
        <v>0</v>
      </c>
      <c r="AZ419" s="13">
        <v>0</v>
      </c>
      <c r="BA419">
        <v>0</v>
      </c>
      <c r="BB419" t="s">
        <v>2839</v>
      </c>
      <c r="BC419">
        <v>6</v>
      </c>
      <c r="BD419" t="s">
        <v>2919</v>
      </c>
      <c r="BE419">
        <v>0</v>
      </c>
      <c r="BF419" s="232" t="s">
        <v>2846</v>
      </c>
      <c r="BG419" s="232" t="s">
        <v>2845</v>
      </c>
      <c r="BH419" s="253">
        <v>31.1</v>
      </c>
      <c r="BI419" s="253">
        <v>13.931919420251313</v>
      </c>
      <c r="BJ419" s="25">
        <v>6.5507692307692302</v>
      </c>
      <c r="BK419" t="s">
        <v>377</v>
      </c>
      <c r="BL419">
        <v>13.424356303795648</v>
      </c>
      <c r="BM419" t="s">
        <v>376</v>
      </c>
      <c r="BN419" s="322">
        <v>55569.129051000004</v>
      </c>
      <c r="BO419" s="322">
        <v>9725.949353</v>
      </c>
      <c r="BP419" s="10">
        <v>31873</v>
      </c>
      <c r="BQ419" s="254">
        <f t="shared" si="176"/>
        <v>1.7434546183603679</v>
      </c>
      <c r="BR419" s="254">
        <f t="shared" si="177"/>
        <v>0.30514696931572177</v>
      </c>
      <c r="BS419" s="25">
        <v>60.911875091273217</v>
      </c>
      <c r="BT419" s="25">
        <v>99.04621466444955</v>
      </c>
      <c r="BU419" s="25">
        <v>54.523333333333333</v>
      </c>
      <c r="BV419" s="25">
        <v>82.187684647126275</v>
      </c>
      <c r="BW419" s="25">
        <v>61.287670995282618</v>
      </c>
      <c r="BX419" s="25">
        <v>74.167276934045589</v>
      </c>
      <c r="BY419" s="25">
        <v>61.850873219792867</v>
      </c>
      <c r="BZ419">
        <v>71</v>
      </c>
      <c r="CA419">
        <v>0</v>
      </c>
      <c r="CB419">
        <v>7</v>
      </c>
      <c r="CC419">
        <v>46249.718887000003</v>
      </c>
      <c r="CD419" s="10">
        <v>13331.045803999999</v>
      </c>
      <c r="CE419" s="255">
        <v>0.288240580155118</v>
      </c>
      <c r="CF419" t="str">
        <f>IFERROR(VLOOKUP(CE419,'Rangos amb etnico'!$A$2:$C$6,3,9),"N.D.")</f>
        <v>0,1% - 30%</v>
      </c>
      <c r="CG419" s="256">
        <v>3.8785037601816937E-4</v>
      </c>
      <c r="CH419" s="232">
        <v>139.851304</v>
      </c>
      <c r="CI419" s="311">
        <f t="shared" si="184"/>
        <v>3.0238303575788822E-3</v>
      </c>
      <c r="CJ419" s="232" t="str">
        <f>IFERROR(VLOOKUP(CI419,'Rangos amb etnico'!$A$2:$C$6,3,9),"N.D.")</f>
        <v>0,1% - 30%</v>
      </c>
      <c r="CK419" s="311">
        <f t="shared" si="185"/>
        <v>5.5530124033250745E-6</v>
      </c>
      <c r="CL419" s="10">
        <v>0</v>
      </c>
      <c r="CM419" s="255">
        <f t="shared" si="186"/>
        <v>0</v>
      </c>
      <c r="CN419" s="232">
        <f>IFERROR(VLOOKUP(CM419,'Rangos amb etnico'!$A$2:$C$6,3,9),"N.D.")</f>
        <v>0</v>
      </c>
      <c r="CO419" s="311">
        <f t="shared" si="187"/>
        <v>0</v>
      </c>
      <c r="CP419">
        <v>0.88782020796974492</v>
      </c>
      <c r="CQ419" t="s">
        <v>2864</v>
      </c>
      <c r="CR419">
        <f t="shared" si="178"/>
        <v>3</v>
      </c>
      <c r="CS419" t="str">
        <f t="shared" si="188"/>
        <v>Candidato</v>
      </c>
      <c r="CT419">
        <v>0</v>
      </c>
      <c r="CU419">
        <v>0</v>
      </c>
      <c r="CV419" s="25">
        <v>44.207244873046882</v>
      </c>
      <c r="CW419" s="25">
        <v>38.494682312011719</v>
      </c>
      <c r="CX419" s="25">
        <v>44.208480834960938</v>
      </c>
      <c r="CY419" s="25">
        <v>51.281509399414063</v>
      </c>
      <c r="CZ419" s="25">
        <v>57.205146789550781</v>
      </c>
      <c r="DA419" s="25">
        <v>7.2050924301147461</v>
      </c>
      <c r="DB419" s="25">
        <v>66.848548889160156</v>
      </c>
      <c r="DC419">
        <v>361</v>
      </c>
      <c r="DD419" s="253" t="s">
        <v>380</v>
      </c>
    </row>
    <row r="420" spans="1:108" hidden="1">
      <c r="A420" s="13">
        <v>76233</v>
      </c>
      <c r="B420" s="13" t="s">
        <v>1293</v>
      </c>
      <c r="C420" s="13" t="s">
        <v>454</v>
      </c>
      <c r="D420" s="13" t="s">
        <v>455</v>
      </c>
      <c r="E420" s="13" t="s">
        <v>1294</v>
      </c>
      <c r="F420" s="14">
        <v>66.707366666666701</v>
      </c>
      <c r="G420" s="13">
        <v>73.37</v>
      </c>
      <c r="H420" s="13">
        <v>71.5</v>
      </c>
      <c r="I420" s="13">
        <v>61.91</v>
      </c>
      <c r="J420" s="14">
        <v>43.608046872914073</v>
      </c>
      <c r="K420" s="14">
        <v>60.853581807909762</v>
      </c>
      <c r="L420" s="14">
        <v>76.477782971246484</v>
      </c>
      <c r="M420" s="14">
        <v>61.503300000000003</v>
      </c>
      <c r="N420" s="14">
        <f t="shared" si="162"/>
        <v>68.371841666666683</v>
      </c>
      <c r="O420" s="14">
        <f t="shared" si="163"/>
        <v>60.610677913017575</v>
      </c>
      <c r="P420" s="14">
        <f t="shared" si="179"/>
        <v>64.491259789842132</v>
      </c>
      <c r="Q420" s="14">
        <v>50.665484851324152</v>
      </c>
      <c r="R420" s="17">
        <f t="shared" si="164"/>
        <v>49.334515148675848</v>
      </c>
      <c r="S420" s="14">
        <f t="shared" si="180"/>
        <v>0.54401063633808266</v>
      </c>
      <c r="T420" s="13">
        <v>0</v>
      </c>
      <c r="U420" s="13">
        <f t="shared" si="181"/>
        <v>35.083931276516623</v>
      </c>
      <c r="V420" s="13">
        <f>IF($T420=1,$AU420,(VLOOKUP(U420,'Cortes naturales'!$A$35:$C$39,3,9)))</f>
        <v>3</v>
      </c>
      <c r="W420" s="13">
        <v>3</v>
      </c>
      <c r="X420" s="14" t="b">
        <f t="shared" si="165"/>
        <v>1</v>
      </c>
      <c r="Y420" s="17">
        <f>IF($T420=1,$AU420,VLOOKUP(U420,'Cortes naturales'!$A$45:$C$49,3,9))</f>
        <v>3</v>
      </c>
      <c r="Z420" s="14">
        <v>64.38664405578163</v>
      </c>
      <c r="AA420" s="14">
        <v>0.54505026161004833</v>
      </c>
      <c r="AB420" s="14">
        <v>35.093957186796843</v>
      </c>
      <c r="AC420" s="13">
        <v>2</v>
      </c>
      <c r="AD420" s="13">
        <f t="shared" si="166"/>
        <v>-1</v>
      </c>
      <c r="AE420" s="14">
        <f t="shared" si="167"/>
        <v>0.10461573406050206</v>
      </c>
      <c r="AF420" s="14">
        <f t="shared" si="168"/>
        <v>-1.0396252719656607E-3</v>
      </c>
      <c r="AG420" s="13">
        <f t="shared" si="169"/>
        <v>-1.0025910280219819E-2</v>
      </c>
      <c r="AH420" s="13">
        <f>IF($T420=1,$AU420,VLOOKUP(U420,'Cortes naturales'!$A$25:$C$29,3,9))</f>
        <v>2</v>
      </c>
      <c r="AI420" s="13" t="b">
        <f t="shared" si="170"/>
        <v>0</v>
      </c>
      <c r="AJ420" s="13" t="str">
        <f t="shared" si="171"/>
        <v>Cambio en corte</v>
      </c>
      <c r="AK420" s="28">
        <v>0.81759069605862034</v>
      </c>
      <c r="AL420" s="28">
        <v>52.641921130445134</v>
      </c>
      <c r="AM420" s="28">
        <v>0.48786893168466033</v>
      </c>
      <c r="AN420" s="13">
        <v>2</v>
      </c>
      <c r="AO420" s="33">
        <f t="shared" si="172"/>
        <v>-1</v>
      </c>
      <c r="AP420" s="13">
        <f t="shared" si="182"/>
        <v>48.786893168466037</v>
      </c>
      <c r="AQ420" s="13">
        <f>IFERROR(VLOOKUP(U420,'Cortes naturales'!$E$15:$G$19,3,9),U420)</f>
        <v>4</v>
      </c>
      <c r="AR420" s="28">
        <f t="shared" si="173"/>
        <v>-0.27358005972053767</v>
      </c>
      <c r="AS420" s="13" t="b">
        <f t="shared" si="174"/>
        <v>0</v>
      </c>
      <c r="AT420" s="13" t="str">
        <f t="shared" si="183"/>
        <v>Cambio en corte</v>
      </c>
      <c r="AU420" s="13">
        <v>2</v>
      </c>
      <c r="AV420">
        <f t="shared" si="175"/>
        <v>-1</v>
      </c>
      <c r="AW420" s="13">
        <v>0</v>
      </c>
      <c r="AX420" s="13">
        <v>0</v>
      </c>
      <c r="AY420" s="13">
        <v>0</v>
      </c>
      <c r="AZ420" s="13">
        <v>0</v>
      </c>
      <c r="BA420">
        <v>1</v>
      </c>
      <c r="BB420" t="s">
        <v>2840</v>
      </c>
      <c r="BC420">
        <v>6</v>
      </c>
      <c r="BD420" t="s">
        <v>2919</v>
      </c>
      <c r="BE420">
        <v>0</v>
      </c>
      <c r="BF420" s="232" t="s">
        <v>2846</v>
      </c>
      <c r="BG420" s="232" t="s">
        <v>2846</v>
      </c>
      <c r="BH420" s="253">
        <v>28.4</v>
      </c>
      <c r="BI420" s="253">
        <v>10.981036662452592</v>
      </c>
      <c r="BJ420" s="25">
        <v>18.910685090821456</v>
      </c>
      <c r="BK420" t="s">
        <v>379</v>
      </c>
      <c r="BL420">
        <v>5.2971417458164467</v>
      </c>
      <c r="BM420" t="s">
        <v>383</v>
      </c>
      <c r="BN420" s="322">
        <v>79693.984110000005</v>
      </c>
      <c r="BO420" s="322">
        <v>17864.853587000001</v>
      </c>
      <c r="BP420" s="10">
        <v>57738</v>
      </c>
      <c r="BQ420" s="254">
        <f t="shared" si="176"/>
        <v>1.3802692180193288</v>
      </c>
      <c r="BR420" s="254">
        <f t="shared" si="177"/>
        <v>0.30941240754788879</v>
      </c>
      <c r="BS420" s="25">
        <v>53.394959636181383</v>
      </c>
      <c r="BT420" s="25">
        <v>82.952465709741105</v>
      </c>
      <c r="BU420" s="25">
        <v>51.425521917376187</v>
      </c>
      <c r="BV420" s="25">
        <v>91.334216728672018</v>
      </c>
      <c r="BW420" s="25">
        <v>49.702664884860269</v>
      </c>
      <c r="BX420" s="25">
        <v>69.776790997992677</v>
      </c>
      <c r="BY420" s="25">
        <v>50.200648087873141</v>
      </c>
      <c r="BZ420">
        <v>85</v>
      </c>
      <c r="CA420">
        <v>0</v>
      </c>
      <c r="CB420">
        <v>6</v>
      </c>
      <c r="CC420">
        <v>91707.275662</v>
      </c>
      <c r="CD420" s="10">
        <v>84245.365992000006</v>
      </c>
      <c r="CE420" s="255">
        <v>0.918633395048154</v>
      </c>
      <c r="CF420" t="str">
        <f>IFERROR(VLOOKUP(CE420,'Rangos amb etnico'!$A$2:$C$6,3,9),"N.D.")</f>
        <v>71% - 100%</v>
      </c>
      <c r="CG420" s="256">
        <v>2.4510152735340118E-3</v>
      </c>
      <c r="CH420" s="232">
        <v>10320.95156</v>
      </c>
      <c r="CI420" s="311">
        <f t="shared" si="184"/>
        <v>0.11254234176620087</v>
      </c>
      <c r="CJ420" s="232" t="str">
        <f>IFERROR(VLOOKUP(CI420,'Rangos amb etnico'!$A$2:$C$6,3,9),"N.D.")</f>
        <v>0,1% - 30%</v>
      </c>
      <c r="CK420" s="311">
        <f t="shared" si="185"/>
        <v>4.0980935027103702E-4</v>
      </c>
      <c r="CL420" s="10">
        <v>0</v>
      </c>
      <c r="CM420" s="255">
        <f t="shared" si="186"/>
        <v>0</v>
      </c>
      <c r="CN420" s="232">
        <f>IFERROR(VLOOKUP(CM420,'Rangos amb etnico'!$A$2:$C$6,3,9),"N.D.")</f>
        <v>0</v>
      </c>
      <c r="CO420" s="311">
        <f t="shared" si="187"/>
        <v>0</v>
      </c>
      <c r="CP420">
        <v>0.9502520564771062</v>
      </c>
      <c r="CQ420" t="s">
        <v>2864</v>
      </c>
      <c r="CR420">
        <f t="shared" si="178"/>
        <v>3</v>
      </c>
      <c r="CS420" t="str">
        <f t="shared" si="188"/>
        <v>Candidato</v>
      </c>
      <c r="CT420">
        <v>0</v>
      </c>
      <c r="CU420">
        <v>0</v>
      </c>
      <c r="CV420" s="25">
        <v>49.215950012207031</v>
      </c>
      <c r="CW420" s="25">
        <v>39.880844116210938</v>
      </c>
      <c r="CX420" s="25">
        <v>60.017166137695313</v>
      </c>
      <c r="CY420" s="25">
        <v>50.609683990478523</v>
      </c>
      <c r="CZ420" s="25">
        <v>57.066986083984382</v>
      </c>
      <c r="DA420" s="25">
        <v>32.922512054443359</v>
      </c>
      <c r="DB420" s="25">
        <v>54.798515319824219</v>
      </c>
      <c r="DC420">
        <v>14369</v>
      </c>
      <c r="DD420" s="253" t="s">
        <v>380</v>
      </c>
    </row>
    <row r="421" spans="1:108">
      <c r="A421" s="13">
        <v>5154</v>
      </c>
      <c r="B421" s="13" t="s">
        <v>1295</v>
      </c>
      <c r="C421" s="13" t="s">
        <v>435</v>
      </c>
      <c r="D421" s="13" t="s">
        <v>436</v>
      </c>
      <c r="E421" s="13" t="s">
        <v>1296</v>
      </c>
      <c r="F421" s="14">
        <v>67.5452333333333</v>
      </c>
      <c r="G421" s="13">
        <v>87.48</v>
      </c>
      <c r="H421" s="13">
        <v>71.56</v>
      </c>
      <c r="I421" s="13">
        <v>70.91</v>
      </c>
      <c r="J421" s="14">
        <v>56.883302422120586</v>
      </c>
      <c r="K421" s="14">
        <v>54.863505211764554</v>
      </c>
      <c r="L421" s="14">
        <v>54.278017014427043</v>
      </c>
      <c r="M421" s="14">
        <v>57.938499999999998</v>
      </c>
      <c r="N421" s="14">
        <f t="shared" si="162"/>
        <v>74.373808333333329</v>
      </c>
      <c r="O421" s="14">
        <f t="shared" si="163"/>
        <v>55.990831162078045</v>
      </c>
      <c r="P421" s="14">
        <f t="shared" si="179"/>
        <v>65.182319747705691</v>
      </c>
      <c r="Q421" s="14">
        <v>51.867778683017363</v>
      </c>
      <c r="R421" s="17">
        <f t="shared" si="164"/>
        <v>48.132221316982637</v>
      </c>
      <c r="S421" s="14">
        <f t="shared" si="180"/>
        <v>0.53318999185284377</v>
      </c>
      <c r="T421" s="13">
        <v>0</v>
      </c>
      <c r="U421" s="13">
        <f t="shared" si="181"/>
        <v>34.754560535228656</v>
      </c>
      <c r="V421" s="13">
        <f>IF($T421=1,$AU421,(VLOOKUP(U421,'Cortes naturales'!$A$35:$C$39,3,9)))</f>
        <v>3</v>
      </c>
      <c r="W421" s="13">
        <v>3</v>
      </c>
      <c r="X421" s="14" t="b">
        <f t="shared" si="165"/>
        <v>1</v>
      </c>
      <c r="Y421" s="17">
        <f>IF($T421=1,$AU421,VLOOKUP(U421,'Cortes naturales'!$A$45:$C$49,3,9))</f>
        <v>3</v>
      </c>
      <c r="Z421" s="14">
        <v>64.012547356491893</v>
      </c>
      <c r="AA421" s="14">
        <v>0.54569577191325069</v>
      </c>
      <c r="AB421" s="14">
        <v>34.93137644183436</v>
      </c>
      <c r="AC421" s="13">
        <v>3</v>
      </c>
      <c r="AD421" s="13">
        <f t="shared" si="166"/>
        <v>0</v>
      </c>
      <c r="AE421" s="14">
        <f t="shared" si="167"/>
        <v>1.1697723912137974</v>
      </c>
      <c r="AF421" s="14">
        <f t="shared" si="168"/>
        <v>-1.2505780060406924E-2</v>
      </c>
      <c r="AG421" s="13">
        <f t="shared" si="169"/>
        <v>-0.17681590660570379</v>
      </c>
      <c r="AH421" s="13">
        <f>IF($T421=1,$AU421,VLOOKUP(U421,'Cortes naturales'!$A$25:$C$29,3,9))</f>
        <v>3</v>
      </c>
      <c r="AI421" s="13" t="b">
        <f t="shared" si="170"/>
        <v>1</v>
      </c>
      <c r="AJ421" s="13">
        <f t="shared" si="171"/>
        <v>0</v>
      </c>
      <c r="AK421" s="28">
        <v>0.81759069605862034</v>
      </c>
      <c r="AL421" s="28">
        <v>52.336063149679603</v>
      </c>
      <c r="AM421" s="28">
        <v>0.48404297074998487</v>
      </c>
      <c r="AN421" s="13">
        <v>2</v>
      </c>
      <c r="AO421" s="33">
        <f t="shared" si="172"/>
        <v>-1</v>
      </c>
      <c r="AP421" s="13">
        <f t="shared" si="182"/>
        <v>48.404297074998489</v>
      </c>
      <c r="AQ421" s="13">
        <f>IFERROR(VLOOKUP(U421,'Cortes naturales'!$E$15:$G$19,3,9),U421)</f>
        <v>4</v>
      </c>
      <c r="AR421" s="28">
        <f t="shared" si="173"/>
        <v>-0.28440070420577657</v>
      </c>
      <c r="AS421" s="13" t="b">
        <f t="shared" si="174"/>
        <v>0</v>
      </c>
      <c r="AT421" s="13" t="str">
        <f t="shared" si="183"/>
        <v>Cambio en corte</v>
      </c>
      <c r="AU421" s="13">
        <v>2</v>
      </c>
      <c r="AV421">
        <f t="shared" si="175"/>
        <v>-1</v>
      </c>
      <c r="AW421" s="13">
        <v>0</v>
      </c>
      <c r="AX421" s="13">
        <v>1</v>
      </c>
      <c r="AY421" s="13">
        <v>0</v>
      </c>
      <c r="AZ421" s="13">
        <v>1</v>
      </c>
      <c r="BA421">
        <v>1</v>
      </c>
      <c r="BB421" t="s">
        <v>2838</v>
      </c>
      <c r="BC421">
        <v>5</v>
      </c>
      <c r="BD421" t="s">
        <v>2920</v>
      </c>
      <c r="BE421">
        <v>1</v>
      </c>
      <c r="BF421" s="232" t="s">
        <v>2846</v>
      </c>
      <c r="BG421" s="232" t="s">
        <v>2845</v>
      </c>
      <c r="BH421" s="253">
        <v>36</v>
      </c>
      <c r="BI421" s="253">
        <v>22.104216246936382</v>
      </c>
      <c r="BJ421" s="25">
        <v>10.783796681667669</v>
      </c>
      <c r="BK421" t="s">
        <v>377</v>
      </c>
      <c r="BL421">
        <v>10.030241377799035</v>
      </c>
      <c r="BM421" t="s">
        <v>379</v>
      </c>
      <c r="BN421" s="322">
        <v>183969.94053699999</v>
      </c>
      <c r="BO421" s="322">
        <v>40450.248465999997</v>
      </c>
      <c r="BP421" s="10">
        <v>93572</v>
      </c>
      <c r="BQ421" s="254">
        <f t="shared" si="176"/>
        <v>1.9660789609819176</v>
      </c>
      <c r="BR421" s="254">
        <f t="shared" si="177"/>
        <v>0.43229009175821825</v>
      </c>
      <c r="BS421" s="25">
        <v>64.012474313471742</v>
      </c>
      <c r="BT421" s="25">
        <v>94.734464855938953</v>
      </c>
      <c r="BU421" s="25">
        <v>63.108333333333327</v>
      </c>
      <c r="BV421" s="25">
        <v>77.937416296749845</v>
      </c>
      <c r="BW421" s="25">
        <v>38.218570217994412</v>
      </c>
      <c r="BX421" s="25">
        <v>74.948172199873468</v>
      </c>
      <c r="BY421" s="25">
        <v>38.329289587953447</v>
      </c>
      <c r="BZ421">
        <v>67</v>
      </c>
      <c r="CA421">
        <v>1</v>
      </c>
      <c r="CB421">
        <v>5</v>
      </c>
      <c r="CC421">
        <v>142823.932072</v>
      </c>
      <c r="CD421" s="10">
        <v>2346.334511</v>
      </c>
      <c r="CE421" s="255">
        <v>1.6428160721812173E-2</v>
      </c>
      <c r="CF421" t="str">
        <f>IFERROR(VLOOKUP(CE421,'Rangos amb etnico'!$A$2:$C$6,3,9),"N.D.")</f>
        <v>0,1% - 30%</v>
      </c>
      <c r="CG421" s="256">
        <v>6.8263715820607467E-5</v>
      </c>
      <c r="CH421" s="232">
        <v>67.867917000000006</v>
      </c>
      <c r="CI421" s="311">
        <f t="shared" si="184"/>
        <v>4.7518588807502247E-4</v>
      </c>
      <c r="CJ421" s="232">
        <f>IFERROR(VLOOKUP(CI421,'Rangos amb etnico'!$A$2:$C$6,3,9),"N.D.")</f>
        <v>0</v>
      </c>
      <c r="CK421" s="311">
        <f t="shared" si="185"/>
        <v>2.6948006497589523E-6</v>
      </c>
      <c r="CL421" s="10">
        <v>0</v>
      </c>
      <c r="CM421" s="255">
        <f t="shared" si="186"/>
        <v>0</v>
      </c>
      <c r="CN421" s="232">
        <f>IFERROR(VLOOKUP(CM421,'Rangos amb etnico'!$A$2:$C$6,3,9),"N.D.")</f>
        <v>0</v>
      </c>
      <c r="CO421" s="311">
        <f t="shared" si="187"/>
        <v>0</v>
      </c>
      <c r="CP421">
        <v>0.94968166602888093</v>
      </c>
      <c r="CQ421" t="s">
        <v>2864</v>
      </c>
      <c r="CR421">
        <f t="shared" si="178"/>
        <v>2</v>
      </c>
      <c r="CS421" t="str">
        <f t="shared" si="188"/>
        <v>No es Candidato</v>
      </c>
      <c r="CT421">
        <v>0</v>
      </c>
      <c r="CU421">
        <v>0</v>
      </c>
      <c r="CV421" s="25">
        <v>41.903358459472663</v>
      </c>
      <c r="CW421" s="25">
        <v>46.799636840820313</v>
      </c>
      <c r="CX421" s="25">
        <v>56.163776397705078</v>
      </c>
      <c r="CY421" s="25">
        <v>59.516597747802727</v>
      </c>
      <c r="CZ421" s="25">
        <v>26.6513671875</v>
      </c>
      <c r="DA421" s="25">
        <v>30.907236099243161</v>
      </c>
      <c r="DB421" s="25">
        <v>31.38154411315918</v>
      </c>
      <c r="DC421">
        <v>7523</v>
      </c>
      <c r="DD421" s="253" t="s">
        <v>380</v>
      </c>
    </row>
    <row r="422" spans="1:108" hidden="1">
      <c r="A422" s="13">
        <v>41396</v>
      </c>
      <c r="B422" s="13" t="s">
        <v>1297</v>
      </c>
      <c r="C422" s="13" t="s">
        <v>676</v>
      </c>
      <c r="D422" s="13" t="s">
        <v>677</v>
      </c>
      <c r="E422" s="13" t="s">
        <v>1298</v>
      </c>
      <c r="F422" s="14">
        <v>66.226966666666698</v>
      </c>
      <c r="G422" s="13">
        <v>77.86</v>
      </c>
      <c r="H422" s="13">
        <v>71.150000000000006</v>
      </c>
      <c r="I422" s="13">
        <v>75.760000000000005</v>
      </c>
      <c r="J422" s="14">
        <v>61.64264728739451</v>
      </c>
      <c r="K422" s="14">
        <v>58.479716019428693</v>
      </c>
      <c r="L422" s="14">
        <v>60.170251579035465</v>
      </c>
      <c r="M422" s="14">
        <v>62.756500000000003</v>
      </c>
      <c r="N422" s="14">
        <f t="shared" si="162"/>
        <v>72.749241666666677</v>
      </c>
      <c r="O422" s="14">
        <f t="shared" si="163"/>
        <v>60.762278721464668</v>
      </c>
      <c r="P422" s="14">
        <f t="shared" si="179"/>
        <v>66.755760194065672</v>
      </c>
      <c r="Q422" s="14">
        <v>51.321295084229803</v>
      </c>
      <c r="R422" s="17">
        <f t="shared" si="164"/>
        <v>48.678704915770197</v>
      </c>
      <c r="S422" s="14">
        <f t="shared" si="180"/>
        <v>0.53810834424193177</v>
      </c>
      <c r="T422" s="13">
        <v>0</v>
      </c>
      <c r="U422" s="13">
        <f t="shared" si="181"/>
        <v>35.921831586640138</v>
      </c>
      <c r="V422" s="13">
        <f>IF($T422=1,$AU422,(VLOOKUP(U422,'Cortes naturales'!$A$35:$C$39,3,9)))</f>
        <v>3</v>
      </c>
      <c r="W422" s="13">
        <v>3</v>
      </c>
      <c r="X422" s="14" t="b">
        <f t="shared" si="165"/>
        <v>1</v>
      </c>
      <c r="Y422" s="17">
        <f>IF($T422=1,$AU422,VLOOKUP(U422,'Cortes naturales'!$A$45:$C$49,3,9))</f>
        <v>2</v>
      </c>
      <c r="Z422" s="14">
        <v>64.34438432514402</v>
      </c>
      <c r="AA422" s="14">
        <v>0.54481045931705374</v>
      </c>
      <c r="AB422" s="14">
        <v>35.055493578654747</v>
      </c>
      <c r="AC422" s="13">
        <v>2</v>
      </c>
      <c r="AD422" s="13">
        <f t="shared" si="166"/>
        <v>0</v>
      </c>
      <c r="AE422" s="14">
        <f t="shared" si="167"/>
        <v>2.4113758689216525</v>
      </c>
      <c r="AF422" s="14">
        <f t="shared" si="168"/>
        <v>-6.7021150751219727E-3</v>
      </c>
      <c r="AG422" s="13">
        <f t="shared" si="169"/>
        <v>0.86633800798539085</v>
      </c>
      <c r="AH422" s="13">
        <f>IF($T422=1,$AU422,VLOOKUP(U422,'Cortes naturales'!$A$25:$C$29,3,9))</f>
        <v>2</v>
      </c>
      <c r="AI422" s="13" t="b">
        <f t="shared" si="170"/>
        <v>1</v>
      </c>
      <c r="AJ422" s="13">
        <f t="shared" si="171"/>
        <v>0</v>
      </c>
      <c r="AK422" s="28">
        <v>0.81759069605862034</v>
      </c>
      <c r="AL422" s="28">
        <v>52.607369967857878</v>
      </c>
      <c r="AM422" s="28">
        <v>0.48743673306105206</v>
      </c>
      <c r="AN422" s="13">
        <v>2</v>
      </c>
      <c r="AO422" s="33">
        <f t="shared" si="172"/>
        <v>0</v>
      </c>
      <c r="AP422" s="13">
        <f t="shared" si="182"/>
        <v>48.743673306105208</v>
      </c>
      <c r="AQ422" s="13">
        <f>IFERROR(VLOOKUP(U422,'Cortes naturales'!$E$15:$G$19,3,9),U422)</f>
        <v>3</v>
      </c>
      <c r="AR422" s="28">
        <f t="shared" si="173"/>
        <v>-0.27948235181668857</v>
      </c>
      <c r="AS422" s="13" t="b">
        <f t="shared" si="174"/>
        <v>0</v>
      </c>
      <c r="AT422" s="13">
        <f t="shared" si="183"/>
        <v>0</v>
      </c>
      <c r="AU422" s="13">
        <v>3</v>
      </c>
      <c r="AV422">
        <f t="shared" si="175"/>
        <v>1</v>
      </c>
      <c r="AW422" s="13">
        <v>0</v>
      </c>
      <c r="AX422" s="13">
        <v>0</v>
      </c>
      <c r="AY422" s="13">
        <v>0</v>
      </c>
      <c r="AZ422" s="13">
        <v>0</v>
      </c>
      <c r="BA422">
        <v>0</v>
      </c>
      <c r="BB422" t="s">
        <v>2839</v>
      </c>
      <c r="BC422">
        <v>6</v>
      </c>
      <c r="BD422" t="s">
        <v>2919</v>
      </c>
      <c r="BE422">
        <v>0</v>
      </c>
      <c r="BF422" s="232" t="s">
        <v>2846</v>
      </c>
      <c r="BG422" s="232" t="s">
        <v>2845</v>
      </c>
      <c r="BH422" s="253">
        <v>42.5</v>
      </c>
      <c r="BI422" s="253">
        <v>19.115385328070857</v>
      </c>
      <c r="BJ422" s="25">
        <v>2.6689655172413795</v>
      </c>
      <c r="BK422" t="s">
        <v>381</v>
      </c>
      <c r="BL422">
        <v>22.408959291847044</v>
      </c>
      <c r="BM422" t="s">
        <v>384</v>
      </c>
      <c r="BN422" s="322">
        <v>111044.292894</v>
      </c>
      <c r="BO422" s="322">
        <v>15288.724564</v>
      </c>
      <c r="BP422" s="10">
        <v>67536</v>
      </c>
      <c r="BQ422" s="254">
        <f t="shared" si="176"/>
        <v>1.644223716151386</v>
      </c>
      <c r="BR422" s="254">
        <f t="shared" si="177"/>
        <v>0.22637888776356313</v>
      </c>
      <c r="BS422" s="25">
        <v>65.386789243002895</v>
      </c>
      <c r="BT422" s="25">
        <v>99.835840638079446</v>
      </c>
      <c r="BU422" s="25">
        <v>52.00333333333333</v>
      </c>
      <c r="BV422" s="25">
        <v>88.318317565344159</v>
      </c>
      <c r="BW422" s="25">
        <v>59.3769359021979</v>
      </c>
      <c r="BX422" s="25">
        <v>76.386070194939961</v>
      </c>
      <c r="BY422" s="25">
        <v>60.721139634758813</v>
      </c>
      <c r="BZ422">
        <v>30</v>
      </c>
      <c r="CA422">
        <v>0</v>
      </c>
      <c r="CB422">
        <v>6</v>
      </c>
      <c r="CC422">
        <v>81467.129000999994</v>
      </c>
      <c r="CD422" s="10">
        <v>38469.616030999998</v>
      </c>
      <c r="CE422" s="255">
        <v>0.47221028288020056</v>
      </c>
      <c r="CF422" t="str">
        <f>IFERROR(VLOOKUP(CE422,'Rangos amb etnico'!$A$2:$C$6,3,9),"N.D.")</f>
        <v>31% - 50%</v>
      </c>
      <c r="CG422" s="256">
        <v>1.1192261479156453E-3</v>
      </c>
      <c r="CH422" s="232">
        <v>6635.887326</v>
      </c>
      <c r="CI422" s="311">
        <f t="shared" si="184"/>
        <v>8.1454783142272585E-2</v>
      </c>
      <c r="CJ422" s="232" t="str">
        <f>IFERROR(VLOOKUP(CI422,'Rangos amb etnico'!$A$2:$C$6,3,9),"N.D.")</f>
        <v>0,1% - 30%</v>
      </c>
      <c r="CK422" s="311">
        <f t="shared" si="185"/>
        <v>2.6348817332690489E-4</v>
      </c>
      <c r="CL422" s="10">
        <v>0</v>
      </c>
      <c r="CM422" s="255">
        <f t="shared" si="186"/>
        <v>0</v>
      </c>
      <c r="CN422" s="232">
        <f>IFERROR(VLOOKUP(CM422,'Rangos amb etnico'!$A$2:$C$6,3,9),"N.D.")</f>
        <v>0</v>
      </c>
      <c r="CO422" s="311">
        <f t="shared" si="187"/>
        <v>0</v>
      </c>
      <c r="CP422">
        <v>0.95253250331386741</v>
      </c>
      <c r="CQ422" t="s">
        <v>2864</v>
      </c>
      <c r="CR422">
        <f t="shared" si="178"/>
        <v>4</v>
      </c>
      <c r="CS422" t="str">
        <f t="shared" si="188"/>
        <v>Candidato</v>
      </c>
      <c r="CT422">
        <v>0</v>
      </c>
      <c r="CU422">
        <v>0</v>
      </c>
      <c r="CV422" s="25">
        <v>43.794708251953118</v>
      </c>
      <c r="CW422" s="25">
        <v>29.127115249633789</v>
      </c>
      <c r="CX422" s="25">
        <v>61.851188659667969</v>
      </c>
      <c r="CY422" s="25">
        <v>67.317832946777344</v>
      </c>
      <c r="CZ422" s="25">
        <v>44.423213958740227</v>
      </c>
      <c r="DA422" s="25">
        <v>6.7602624893188477</v>
      </c>
      <c r="DB422" s="25">
        <v>53.288646697998047</v>
      </c>
      <c r="DC422">
        <v>5901</v>
      </c>
      <c r="DD422" s="253" t="s">
        <v>380</v>
      </c>
    </row>
    <row r="423" spans="1:108" hidden="1">
      <c r="A423" s="13">
        <v>86219</v>
      </c>
      <c r="B423" s="13" t="s">
        <v>1299</v>
      </c>
      <c r="C423" s="13" t="s">
        <v>943</v>
      </c>
      <c r="D423" s="13" t="s">
        <v>944</v>
      </c>
      <c r="E423" s="13" t="s">
        <v>1040</v>
      </c>
      <c r="F423" s="14">
        <v>48.963000000000001</v>
      </c>
      <c r="G423" s="13">
        <v>29.21</v>
      </c>
      <c r="H423" s="13">
        <v>30.65</v>
      </c>
      <c r="I423" s="13">
        <v>30.56</v>
      </c>
      <c r="J423" s="14">
        <v>67.866196738554038</v>
      </c>
      <c r="K423" s="14">
        <v>61.910770157726105</v>
      </c>
      <c r="L423" s="14">
        <v>64.999324610903557</v>
      </c>
      <c r="M423" s="14">
        <v>52.4026</v>
      </c>
      <c r="N423" s="14">
        <f t="shared" si="162"/>
        <v>34.845750000000002</v>
      </c>
      <c r="O423" s="14">
        <f t="shared" si="163"/>
        <v>61.79472287679593</v>
      </c>
      <c r="P423" s="14">
        <f t="shared" si="179"/>
        <v>48.32023643839797</v>
      </c>
      <c r="Q423" s="14">
        <v>51.803535468283457</v>
      </c>
      <c r="R423" s="17">
        <f t="shared" si="164"/>
        <v>48.196464531716543</v>
      </c>
      <c r="S423" s="14">
        <f t="shared" si="180"/>
        <v>0.53376818078544885</v>
      </c>
      <c r="T423" s="13">
        <v>0</v>
      </c>
      <c r="U423" s="13">
        <f t="shared" si="181"/>
        <v>25.791804698846441</v>
      </c>
      <c r="V423" s="13">
        <f>IF($T423=1,$AU423,(VLOOKUP(U423,'Cortes naturales'!$A$35:$C$39,3,9)))</f>
        <v>4</v>
      </c>
      <c r="W423" s="13">
        <v>4</v>
      </c>
      <c r="X423" s="14" t="b">
        <f t="shared" si="165"/>
        <v>1</v>
      </c>
      <c r="Y423" s="17">
        <f>IF($T423=1,$AU423,VLOOKUP(U423,'Cortes naturales'!$A$45:$C$49,3,9))</f>
        <v>4</v>
      </c>
      <c r="Z423" s="14">
        <v>52.072190612651042</v>
      </c>
      <c r="AA423" s="14">
        <v>0.5441471585988028</v>
      </c>
      <c r="AB423" s="14">
        <v>28.334934563889316</v>
      </c>
      <c r="AC423" s="13">
        <v>3</v>
      </c>
      <c r="AD423" s="13">
        <f t="shared" si="166"/>
        <v>-1</v>
      </c>
      <c r="AE423" s="14">
        <f t="shared" si="167"/>
        <v>-3.751954174253072</v>
      </c>
      <c r="AF423" s="14">
        <f t="shared" si="168"/>
        <v>-1.0378977813353951E-2</v>
      </c>
      <c r="AG423" s="13">
        <f t="shared" si="169"/>
        <v>-2.5431298650428751</v>
      </c>
      <c r="AH423" s="13">
        <f>IF($T423=1,$AU423,VLOOKUP(U423,'Cortes naturales'!$A$25:$C$29,3,9))</f>
        <v>4</v>
      </c>
      <c r="AI423" s="13" t="b">
        <f t="shared" si="170"/>
        <v>1</v>
      </c>
      <c r="AJ423" s="13" t="str">
        <f t="shared" si="171"/>
        <v>Efecto ponderador</v>
      </c>
      <c r="AK423" s="28">
        <v>0.81759069605862034</v>
      </c>
      <c r="AL423" s="28">
        <v>42.573738568294523</v>
      </c>
      <c r="AM423" s="28">
        <v>0.36192658069693545</v>
      </c>
      <c r="AN423" s="13">
        <v>3</v>
      </c>
      <c r="AO423" s="33">
        <f t="shared" si="172"/>
        <v>-1</v>
      </c>
      <c r="AP423" s="13">
        <f t="shared" si="182"/>
        <v>36.192658069693543</v>
      </c>
      <c r="AQ423" s="13">
        <f>IFERROR(VLOOKUP(U423,'Cortes naturales'!$E$15:$G$19,3,9),U423)</f>
        <v>4</v>
      </c>
      <c r="AR423" s="28">
        <f t="shared" si="173"/>
        <v>-0.28382251527317148</v>
      </c>
      <c r="AS423" s="13" t="b">
        <f t="shared" si="174"/>
        <v>1</v>
      </c>
      <c r="AT423" s="13" t="str">
        <f t="shared" si="183"/>
        <v>Efecto ponderador</v>
      </c>
      <c r="AU423" s="13">
        <v>3</v>
      </c>
      <c r="AV423">
        <f t="shared" si="175"/>
        <v>-1</v>
      </c>
      <c r="AW423" s="13">
        <v>0</v>
      </c>
      <c r="AX423" s="13">
        <v>0</v>
      </c>
      <c r="AY423" s="13">
        <v>0</v>
      </c>
      <c r="AZ423" s="13">
        <v>0</v>
      </c>
      <c r="BA423">
        <v>0</v>
      </c>
      <c r="BB423" t="s">
        <v>2839</v>
      </c>
      <c r="BC423">
        <v>6</v>
      </c>
      <c r="BD423" t="s">
        <v>2919</v>
      </c>
      <c r="BE423">
        <v>0</v>
      </c>
      <c r="BF423" s="232" t="s">
        <v>2846</v>
      </c>
      <c r="BG423" s="232" t="s">
        <v>2846</v>
      </c>
      <c r="BH423" s="253">
        <v>22.6</v>
      </c>
      <c r="BI423" s="253">
        <v>9.9634545104827854</v>
      </c>
      <c r="BJ423" s="25">
        <v>9.1955555555555559</v>
      </c>
      <c r="BK423" t="s">
        <v>377</v>
      </c>
      <c r="BL423">
        <v>0.47753532932833054</v>
      </c>
      <c r="BM423" t="s">
        <v>383</v>
      </c>
      <c r="BN423" s="322">
        <v>13377.128844999999</v>
      </c>
      <c r="BO423" s="322">
        <v>742.42735400000004</v>
      </c>
      <c r="BP423" s="10">
        <v>5762</v>
      </c>
      <c r="BQ423" s="254">
        <f t="shared" si="176"/>
        <v>2.321612086948976</v>
      </c>
      <c r="BR423" s="254">
        <f t="shared" si="177"/>
        <v>0.12884889864630336</v>
      </c>
      <c r="BS423" s="25">
        <v>51.785422908408243</v>
      </c>
      <c r="BT423" s="25">
        <v>94.056910515253193</v>
      </c>
      <c r="BU423" s="25">
        <v>58.206017897091698</v>
      </c>
      <c r="BV423" s="25">
        <v>97.484885067445376</v>
      </c>
      <c r="BW423" s="25">
        <v>22.119219712142829</v>
      </c>
      <c r="BX423" s="25">
        <v>75.383309097049633</v>
      </c>
      <c r="BY423" s="25">
        <v>22.89977880751994</v>
      </c>
      <c r="BZ423">
        <v>80</v>
      </c>
      <c r="CA423">
        <v>0</v>
      </c>
      <c r="CB423">
        <v>7</v>
      </c>
      <c r="CC423">
        <v>6432.2935470000002</v>
      </c>
      <c r="CD423" s="10">
        <v>1136.723776</v>
      </c>
      <c r="CE423" s="255">
        <v>0.17672137748286754</v>
      </c>
      <c r="CF423" t="str">
        <f>IFERROR(VLOOKUP(CE423,'Rangos amb etnico'!$A$2:$C$6,3,9),"N.D.")</f>
        <v>0,1% - 30%</v>
      </c>
      <c r="CG423" s="256">
        <v>3.3071579711931307E-5</v>
      </c>
      <c r="CH423" s="232">
        <v>1096.733461</v>
      </c>
      <c r="CI423" s="311">
        <f t="shared" si="184"/>
        <v>0.17050426150272835</v>
      </c>
      <c r="CJ423" s="232" t="str">
        <f>IFERROR(VLOOKUP(CI423,'Rangos amb etnico'!$A$2:$C$6,3,9),"N.D.")</f>
        <v>0,1% - 30%</v>
      </c>
      <c r="CK423" s="311">
        <f t="shared" si="185"/>
        <v>4.3547498935545407E-5</v>
      </c>
      <c r="CL423" s="10">
        <v>0</v>
      </c>
      <c r="CM423" s="255">
        <f t="shared" si="186"/>
        <v>0</v>
      </c>
      <c r="CN423" s="232">
        <f>IFERROR(VLOOKUP(CM423,'Rangos amb etnico'!$A$2:$C$6,3,9),"N.D.")</f>
        <v>0</v>
      </c>
      <c r="CO423" s="311">
        <f t="shared" si="187"/>
        <v>0</v>
      </c>
      <c r="CP423">
        <v>0.81579501532844279</v>
      </c>
      <c r="CQ423" t="s">
        <v>2865</v>
      </c>
      <c r="CR423">
        <f t="shared" si="178"/>
        <v>1</v>
      </c>
      <c r="CS423" t="str">
        <f t="shared" si="188"/>
        <v>No es Candidato</v>
      </c>
      <c r="CT423">
        <v>0</v>
      </c>
      <c r="CU423">
        <v>0</v>
      </c>
      <c r="CV423" s="25">
        <v>59.140060424804688</v>
      </c>
      <c r="CW423" s="25">
        <v>28.453323364257809</v>
      </c>
      <c r="CX423" s="25">
        <v>51.304210662841797</v>
      </c>
      <c r="CY423" s="25">
        <v>61.949249267578118</v>
      </c>
      <c r="CZ423" s="25">
        <v>61.223690032958977</v>
      </c>
      <c r="DA423" s="25">
        <v>86.514144897460938</v>
      </c>
      <c r="DB423" s="25">
        <v>65.395759582519531</v>
      </c>
      <c r="DC423">
        <v>1831</v>
      </c>
      <c r="DD423" s="253" t="s">
        <v>380</v>
      </c>
    </row>
    <row r="424" spans="1:108" hidden="1">
      <c r="A424" s="13">
        <v>66075</v>
      </c>
      <c r="B424" s="13" t="s">
        <v>1300</v>
      </c>
      <c r="C424" s="13" t="s">
        <v>467</v>
      </c>
      <c r="D424" s="13" t="s">
        <v>468</v>
      </c>
      <c r="E424" s="13" t="s">
        <v>1301</v>
      </c>
      <c r="F424" s="14">
        <v>57.341733333333302</v>
      </c>
      <c r="G424" s="13">
        <v>55.2</v>
      </c>
      <c r="H424" s="13">
        <v>66.48</v>
      </c>
      <c r="I424" s="13">
        <v>69.59</v>
      </c>
      <c r="J424" s="14">
        <v>36.851227643564854</v>
      </c>
      <c r="K424" s="14">
        <v>37.502946966525982</v>
      </c>
      <c r="L424" s="14">
        <v>63.40744407873899</v>
      </c>
      <c r="M424" s="14">
        <v>50.545999999999999</v>
      </c>
      <c r="N424" s="14">
        <f t="shared" si="162"/>
        <v>62.15293333333333</v>
      </c>
      <c r="O424" s="14">
        <f t="shared" si="163"/>
        <v>47.076904672207455</v>
      </c>
      <c r="P424" s="14">
        <f t="shared" si="179"/>
        <v>54.614919002770392</v>
      </c>
      <c r="Q424" s="14">
        <v>51.823615538116016</v>
      </c>
      <c r="R424" s="17">
        <f t="shared" si="164"/>
        <v>48.176384461883984</v>
      </c>
      <c r="S424" s="14">
        <f t="shared" si="180"/>
        <v>0.53358746015695591</v>
      </c>
      <c r="T424" s="13">
        <v>0</v>
      </c>
      <c r="U424" s="13">
        <f t="shared" si="181"/>
        <v>29.141835917366119</v>
      </c>
      <c r="V424" s="13">
        <f>IF($T424=1,$AU424,(VLOOKUP(U424,'Cortes naturales'!$A$35:$C$39,3,9)))</f>
        <v>4</v>
      </c>
      <c r="W424" s="13">
        <v>4</v>
      </c>
      <c r="X424" s="14" t="b">
        <f t="shared" si="165"/>
        <v>1</v>
      </c>
      <c r="Y424" s="17">
        <f>IF($T424=1,$AU424,VLOOKUP(U424,'Cortes naturales'!$A$45:$C$49,3,9))</f>
        <v>3</v>
      </c>
      <c r="Z424" s="14">
        <v>51.608806624404508</v>
      </c>
      <c r="AA424" s="14">
        <v>0.54400888077468457</v>
      </c>
      <c r="AB424" s="14">
        <v>28.075649129859425</v>
      </c>
      <c r="AC424" s="13">
        <v>3</v>
      </c>
      <c r="AD424" s="13">
        <f t="shared" si="166"/>
        <v>0</v>
      </c>
      <c r="AE424" s="14">
        <f t="shared" si="167"/>
        <v>3.0061123783658843</v>
      </c>
      <c r="AF424" s="14">
        <f t="shared" si="168"/>
        <v>-1.0421420617728661E-2</v>
      </c>
      <c r="AG424" s="13">
        <f t="shared" si="169"/>
        <v>1.0661867875066946</v>
      </c>
      <c r="AH424" s="13">
        <f>IF($T424=1,$AU424,VLOOKUP(U424,'Cortes naturales'!$A$25:$C$29,3,9))</f>
        <v>3</v>
      </c>
      <c r="AI424" s="13" t="b">
        <f t="shared" si="170"/>
        <v>1</v>
      </c>
      <c r="AJ424" s="13">
        <f t="shared" si="171"/>
        <v>0</v>
      </c>
      <c r="AK424" s="28">
        <v>0.81759069605862034</v>
      </c>
      <c r="AL424" s="28">
        <v>42.194880130801621</v>
      </c>
      <c r="AM424" s="28">
        <v>0.35718746099833515</v>
      </c>
      <c r="AN424" s="13">
        <v>3</v>
      </c>
      <c r="AO424" s="33">
        <f t="shared" si="172"/>
        <v>0</v>
      </c>
      <c r="AP424" s="13">
        <f t="shared" si="182"/>
        <v>35.718746099833517</v>
      </c>
      <c r="AQ424" s="13">
        <f>IFERROR(VLOOKUP(U424,'Cortes naturales'!$E$15:$G$19,3,9),U424)</f>
        <v>4</v>
      </c>
      <c r="AR424" s="28">
        <f t="shared" si="173"/>
        <v>-0.28400323590166443</v>
      </c>
      <c r="AS424" s="13" t="b">
        <f t="shared" si="174"/>
        <v>0</v>
      </c>
      <c r="AT424" s="13">
        <f t="shared" si="183"/>
        <v>0</v>
      </c>
      <c r="AU424" s="13">
        <v>3</v>
      </c>
      <c r="AV424">
        <f t="shared" si="175"/>
        <v>0</v>
      </c>
      <c r="AW424" s="13">
        <v>0</v>
      </c>
      <c r="AX424" s="13">
        <v>0</v>
      </c>
      <c r="AY424" s="13">
        <v>0</v>
      </c>
      <c r="AZ424" s="13">
        <v>0</v>
      </c>
      <c r="BA424">
        <v>1</v>
      </c>
      <c r="BB424" t="s">
        <v>2840</v>
      </c>
      <c r="BC424">
        <v>6</v>
      </c>
      <c r="BD424" t="s">
        <v>2919</v>
      </c>
      <c r="BE424">
        <v>1</v>
      </c>
      <c r="BF424" s="232" t="s">
        <v>2846</v>
      </c>
      <c r="BG424" s="232" t="s">
        <v>2845</v>
      </c>
      <c r="BH424" s="253">
        <v>31.6</v>
      </c>
      <c r="BI424" s="253">
        <v>9.9678456591639879</v>
      </c>
      <c r="BJ424" s="25">
        <v>54.065640175653591</v>
      </c>
      <c r="BK424" t="s">
        <v>376</v>
      </c>
      <c r="BL424">
        <v>1.3072197712473934</v>
      </c>
      <c r="BM424" t="s">
        <v>383</v>
      </c>
      <c r="BN424" s="322">
        <v>20437.543031000001</v>
      </c>
      <c r="BO424" s="322">
        <v>7044.3681310000002</v>
      </c>
      <c r="BP424" s="10">
        <v>6647</v>
      </c>
      <c r="BQ424" s="254">
        <f t="shared" si="176"/>
        <v>3.0747018250338498</v>
      </c>
      <c r="BR424" s="254">
        <f t="shared" si="177"/>
        <v>1.0597815752971265</v>
      </c>
      <c r="BS424" s="25">
        <v>55.774724501063467</v>
      </c>
      <c r="BT424" s="25">
        <v>90.17664610601274</v>
      </c>
      <c r="BU424" s="25">
        <v>46.44</v>
      </c>
      <c r="BV424" s="25">
        <v>91.436716958475131</v>
      </c>
      <c r="BW424" s="25">
        <v>62.454925464014437</v>
      </c>
      <c r="BX424" s="25">
        <v>70.957021891387825</v>
      </c>
      <c r="BY424" s="25">
        <v>62.59795774281443</v>
      </c>
      <c r="BZ424">
        <v>49</v>
      </c>
      <c r="CA424">
        <v>0</v>
      </c>
      <c r="CB424">
        <v>7</v>
      </c>
      <c r="CC424">
        <v>11947.932654</v>
      </c>
      <c r="CD424" s="10">
        <v>641.50065199999995</v>
      </c>
      <c r="CE424" s="255">
        <v>5.3691351514710335E-2</v>
      </c>
      <c r="CF424" t="str">
        <f>IFERROR(VLOOKUP(CE424,'Rangos amb etnico'!$A$2:$C$6,3,9),"N.D.")</f>
        <v>0,1% - 30%</v>
      </c>
      <c r="CG424" s="256">
        <v>1.8663672209381061E-5</v>
      </c>
      <c r="CH424" s="232">
        <v>30.243728999999998</v>
      </c>
      <c r="CI424" s="311">
        <f t="shared" si="184"/>
        <v>2.5312938962603563E-3</v>
      </c>
      <c r="CJ424" s="232" t="str">
        <f>IFERROR(VLOOKUP(CI424,'Rangos amb etnico'!$A$2:$C$6,3,9),"N.D.")</f>
        <v>0,1% - 30%</v>
      </c>
      <c r="CK424" s="311">
        <f t="shared" si="185"/>
        <v>1.2008740530571116E-6</v>
      </c>
      <c r="CL424" s="10">
        <v>0</v>
      </c>
      <c r="CM424" s="255">
        <f t="shared" si="186"/>
        <v>0</v>
      </c>
      <c r="CN424" s="232">
        <f>IFERROR(VLOOKUP(CM424,'Rangos amb etnico'!$A$2:$C$6,3,9),"N.D.")</f>
        <v>0</v>
      </c>
      <c r="CO424" s="311">
        <f t="shared" si="187"/>
        <v>0</v>
      </c>
      <c r="CP424">
        <v>0.94429941103554849</v>
      </c>
      <c r="CQ424" t="s">
        <v>2864</v>
      </c>
      <c r="CR424">
        <f t="shared" si="178"/>
        <v>3</v>
      </c>
      <c r="CS424" t="str">
        <f t="shared" si="188"/>
        <v>Candidato</v>
      </c>
      <c r="CT424">
        <v>0</v>
      </c>
      <c r="CU424">
        <v>0</v>
      </c>
      <c r="CV424" s="25">
        <v>49.762027740478523</v>
      </c>
      <c r="CW424" s="25">
        <v>33.524936676025391</v>
      </c>
      <c r="CX424" s="25">
        <v>56.736618041992188</v>
      </c>
      <c r="CY424" s="25">
        <v>53.447288513183587</v>
      </c>
      <c r="CZ424" s="25">
        <v>60.186363220214837</v>
      </c>
      <c r="DA424" s="25">
        <v>50.976383209228523</v>
      </c>
      <c r="DB424" s="25">
        <v>43.700580596923828</v>
      </c>
      <c r="DC424">
        <v>77</v>
      </c>
      <c r="DD424" s="253" t="s">
        <v>380</v>
      </c>
    </row>
    <row r="425" spans="1:108">
      <c r="A425" s="13">
        <v>5887</v>
      </c>
      <c r="B425" s="13" t="s">
        <v>1302</v>
      </c>
      <c r="C425" s="13" t="s">
        <v>435</v>
      </c>
      <c r="D425" s="13" t="s">
        <v>436</v>
      </c>
      <c r="E425" s="13" t="s">
        <v>1303</v>
      </c>
      <c r="F425" s="14">
        <v>66.901799999999994</v>
      </c>
      <c r="G425" s="13">
        <v>57.69</v>
      </c>
      <c r="H425" s="13">
        <v>58.09</v>
      </c>
      <c r="I425" s="13">
        <v>58.82</v>
      </c>
      <c r="J425" s="14">
        <v>49.592961862773251</v>
      </c>
      <c r="K425" s="14">
        <v>50.948495375935629</v>
      </c>
      <c r="L425" s="14">
        <v>68.135126436490395</v>
      </c>
      <c r="M425" s="14">
        <v>41.730800000000002</v>
      </c>
      <c r="N425" s="14">
        <f t="shared" si="162"/>
        <v>60.375450000000001</v>
      </c>
      <c r="O425" s="14">
        <f t="shared" si="163"/>
        <v>52.601845918799825</v>
      </c>
      <c r="P425" s="14">
        <f t="shared" si="179"/>
        <v>56.488647959399913</v>
      </c>
      <c r="Q425" s="14">
        <v>51.385744566059991</v>
      </c>
      <c r="R425" s="17">
        <f t="shared" si="164"/>
        <v>48.614255433940009</v>
      </c>
      <c r="S425" s="14">
        <f t="shared" si="180"/>
        <v>0.53752829890546006</v>
      </c>
      <c r="T425" s="13">
        <v>0</v>
      </c>
      <c r="U425" s="13">
        <f t="shared" si="181"/>
        <v>30.364246845085624</v>
      </c>
      <c r="V425" s="13">
        <f>IF($T425=1,$AU425,(VLOOKUP(U425,'Cortes naturales'!$A$35:$C$39,3,9)))</f>
        <v>3</v>
      </c>
      <c r="W425" s="13">
        <v>3</v>
      </c>
      <c r="X425" s="14" t="b">
        <f t="shared" si="165"/>
        <v>1</v>
      </c>
      <c r="Y425" s="17">
        <f>IF($T425=1,$AU425,VLOOKUP(U425,'Cortes naturales'!$A$45:$C$49,3,9))</f>
        <v>3</v>
      </c>
      <c r="Z425" s="14">
        <v>59.023275820306083</v>
      </c>
      <c r="AA425" s="14">
        <v>0.54673438834160759</v>
      </c>
      <c r="AB425" s="14">
        <v>32.27005460353304</v>
      </c>
      <c r="AC425" s="13">
        <v>3</v>
      </c>
      <c r="AD425" s="13">
        <f t="shared" si="166"/>
        <v>0</v>
      </c>
      <c r="AE425" s="14">
        <f t="shared" si="167"/>
        <v>-2.5346278609061699</v>
      </c>
      <c r="AF425" s="14">
        <f t="shared" si="168"/>
        <v>-9.2060894361475354E-3</v>
      </c>
      <c r="AG425" s="13">
        <f t="shared" si="169"/>
        <v>-1.9058077584474162</v>
      </c>
      <c r="AH425" s="13">
        <f>IF($T425=1,$AU425,VLOOKUP(U425,'Cortes naturales'!$A$25:$C$29,3,9))</f>
        <v>3</v>
      </c>
      <c r="AI425" s="13" t="b">
        <f t="shared" si="170"/>
        <v>1</v>
      </c>
      <c r="AJ425" s="13">
        <f t="shared" si="171"/>
        <v>0</v>
      </c>
      <c r="AK425" s="28">
        <v>0.81759069605862034</v>
      </c>
      <c r="AL425" s="28">
        <v>48.256881161583983</v>
      </c>
      <c r="AM425" s="28">
        <v>0.43301670394202518</v>
      </c>
      <c r="AN425" s="13">
        <v>3</v>
      </c>
      <c r="AO425" s="33">
        <f t="shared" si="172"/>
        <v>0</v>
      </c>
      <c r="AP425" s="13">
        <f t="shared" si="182"/>
        <v>43.301670394202517</v>
      </c>
      <c r="AQ425" s="13">
        <f>IFERROR(VLOOKUP(U425,'Cortes naturales'!$E$15:$G$19,3,9),U425)</f>
        <v>4</v>
      </c>
      <c r="AR425" s="28">
        <f t="shared" si="173"/>
        <v>-0.28006239715316028</v>
      </c>
      <c r="AS425" s="13" t="b">
        <f t="shared" si="174"/>
        <v>0</v>
      </c>
      <c r="AT425" s="13">
        <f t="shared" si="183"/>
        <v>0</v>
      </c>
      <c r="AU425" s="13">
        <v>3</v>
      </c>
      <c r="AV425">
        <f t="shared" si="175"/>
        <v>0</v>
      </c>
      <c r="AW425" s="13">
        <v>0</v>
      </c>
      <c r="AX425" s="13">
        <v>1</v>
      </c>
      <c r="AY425" s="13">
        <v>0</v>
      </c>
      <c r="AZ425" s="13">
        <v>0</v>
      </c>
      <c r="BA425">
        <v>1</v>
      </c>
      <c r="BB425" t="s">
        <v>2839</v>
      </c>
      <c r="BC425">
        <v>5</v>
      </c>
      <c r="BD425" t="s">
        <v>2919</v>
      </c>
      <c r="BE425">
        <v>0</v>
      </c>
      <c r="BF425" s="232" t="s">
        <v>2846</v>
      </c>
      <c r="BG425" s="232" t="s">
        <v>2845</v>
      </c>
      <c r="BH425" s="253">
        <v>33.799999999999997</v>
      </c>
      <c r="BI425" s="253">
        <v>11.751576362926176</v>
      </c>
      <c r="BJ425" s="25">
        <v>15.92788063128282</v>
      </c>
      <c r="BK425" t="s">
        <v>379</v>
      </c>
      <c r="BL425">
        <v>18.809073074837727</v>
      </c>
      <c r="BM425" t="s">
        <v>376</v>
      </c>
      <c r="BN425" s="322">
        <v>87236.994051000001</v>
      </c>
      <c r="BO425" s="322">
        <v>25215.264578999999</v>
      </c>
      <c r="BP425" s="10">
        <v>41862</v>
      </c>
      <c r="BQ425" s="254">
        <f t="shared" si="176"/>
        <v>2.0839184475419237</v>
      </c>
      <c r="BR425" s="254">
        <f t="shared" si="177"/>
        <v>0.60234256793750895</v>
      </c>
      <c r="BS425" s="25">
        <v>60.030569296523822</v>
      </c>
      <c r="BT425" s="25">
        <v>92.654703677863907</v>
      </c>
      <c r="BU425" s="25">
        <v>65.083333333333329</v>
      </c>
      <c r="BV425" s="25">
        <v>84.51942328822976</v>
      </c>
      <c r="BW425" s="25">
        <v>56.378703459050307</v>
      </c>
      <c r="BX425" s="25">
        <v>75.572007398987694</v>
      </c>
      <c r="BY425" s="25">
        <v>56.82387508998238</v>
      </c>
      <c r="BZ425">
        <v>61</v>
      </c>
      <c r="CA425">
        <v>0</v>
      </c>
      <c r="CB425">
        <v>6</v>
      </c>
      <c r="CC425">
        <v>71232.993570999999</v>
      </c>
      <c r="CD425" s="10">
        <v>33808.587527999996</v>
      </c>
      <c r="CE425" s="255">
        <v>0.47461977706021846</v>
      </c>
      <c r="CF425" t="str">
        <f>IFERROR(VLOOKUP(CE425,'Rangos amb etnico'!$A$2:$C$6,3,9),"N.D.")</f>
        <v>31% - 50%</v>
      </c>
      <c r="CG425" s="256">
        <v>9.8361925824630458E-4</v>
      </c>
      <c r="CH425" s="232">
        <v>0</v>
      </c>
      <c r="CI425" s="311">
        <f t="shared" si="184"/>
        <v>0</v>
      </c>
      <c r="CJ425" s="232">
        <f>IFERROR(VLOOKUP(CI425,'Rangos amb etnico'!$A$2:$C$6,3,9),"N.D.")</f>
        <v>0</v>
      </c>
      <c r="CK425" s="311">
        <f t="shared" si="185"/>
        <v>0</v>
      </c>
      <c r="CL425" s="10">
        <v>0</v>
      </c>
      <c r="CM425" s="255">
        <f t="shared" si="186"/>
        <v>0</v>
      </c>
      <c r="CN425" s="232">
        <f>IFERROR(VLOOKUP(CM425,'Rangos amb etnico'!$A$2:$C$6,3,9),"N.D.")</f>
        <v>0</v>
      </c>
      <c r="CO425" s="311">
        <f t="shared" si="187"/>
        <v>0</v>
      </c>
      <c r="CP425">
        <v>0.92421978833976803</v>
      </c>
      <c r="CQ425" t="s">
        <v>2864</v>
      </c>
      <c r="CR425">
        <f t="shared" si="178"/>
        <v>1</v>
      </c>
      <c r="CS425" t="str">
        <f t="shared" si="188"/>
        <v>No es Candidato</v>
      </c>
      <c r="CT425">
        <v>0</v>
      </c>
      <c r="CU425">
        <v>0</v>
      </c>
      <c r="CV425" s="25">
        <v>42.418182373046882</v>
      </c>
      <c r="CW425" s="25">
        <v>34.440841674804688</v>
      </c>
      <c r="CX425" s="25">
        <v>41.929767608642578</v>
      </c>
      <c r="CY425" s="25">
        <v>64.239128112792969</v>
      </c>
      <c r="CZ425" s="25">
        <v>40.430580139160163</v>
      </c>
      <c r="DA425" s="25">
        <v>33.402099609375</v>
      </c>
      <c r="DB425" s="25">
        <v>40.066688537597663</v>
      </c>
      <c r="DC425">
        <v>525</v>
      </c>
      <c r="DD425" s="253" t="s">
        <v>380</v>
      </c>
    </row>
    <row r="426" spans="1:108" hidden="1">
      <c r="A426" s="13">
        <v>70713</v>
      </c>
      <c r="B426" s="13" t="s">
        <v>1304</v>
      </c>
      <c r="C426" s="13" t="s">
        <v>494</v>
      </c>
      <c r="D426" s="13" t="s">
        <v>495</v>
      </c>
      <c r="E426" s="13" t="s">
        <v>1305</v>
      </c>
      <c r="F426" s="14">
        <v>34.265999999999998</v>
      </c>
      <c r="G426" s="13">
        <v>51.68</v>
      </c>
      <c r="H426" s="13">
        <v>48.12</v>
      </c>
      <c r="I426" s="13">
        <v>57.47</v>
      </c>
      <c r="J426" s="14">
        <v>56.229119988290179</v>
      </c>
      <c r="K426" s="14">
        <v>56.146664083683682</v>
      </c>
      <c r="L426" s="14">
        <v>53.170457749741651</v>
      </c>
      <c r="M426" s="14">
        <v>45.279600000000002</v>
      </c>
      <c r="N426" s="14">
        <f t="shared" si="162"/>
        <v>47.884</v>
      </c>
      <c r="O426" s="14">
        <f t="shared" si="163"/>
        <v>52.706460455428882</v>
      </c>
      <c r="P426" s="14">
        <f t="shared" si="179"/>
        <v>50.295230227714441</v>
      </c>
      <c r="Q426" s="14">
        <v>52.236729946160231</v>
      </c>
      <c r="R426" s="17">
        <f t="shared" si="164"/>
        <v>47.763270053839769</v>
      </c>
      <c r="S426" s="14">
        <f t="shared" si="180"/>
        <v>0.52986943048455792</v>
      </c>
      <c r="T426" s="13">
        <v>0</v>
      </c>
      <c r="U426" s="13">
        <f t="shared" si="181"/>
        <v>26.649904996848772</v>
      </c>
      <c r="V426" s="13">
        <f>IF($T426=1,$AU426,(VLOOKUP(U426,'Cortes naturales'!$A$35:$C$39,3,9)))</f>
        <v>4</v>
      </c>
      <c r="W426" s="13">
        <v>4</v>
      </c>
      <c r="X426" s="14" t="b">
        <f t="shared" si="165"/>
        <v>1</v>
      </c>
      <c r="Y426" s="17">
        <f>IF($T426=1,$AU426,VLOOKUP(U426,'Cortes naturales'!$A$45:$C$49,3,9))</f>
        <v>4</v>
      </c>
      <c r="Z426" s="14">
        <v>47.368043426363485</v>
      </c>
      <c r="AA426" s="14">
        <v>0.5432451025404692</v>
      </c>
      <c r="AB426" s="14">
        <v>25.73245760829623</v>
      </c>
      <c r="AC426" s="13">
        <v>4</v>
      </c>
      <c r="AD426" s="13">
        <f t="shared" si="166"/>
        <v>0</v>
      </c>
      <c r="AE426" s="14">
        <f t="shared" si="167"/>
        <v>2.9271868013509561</v>
      </c>
      <c r="AF426" s="14">
        <f t="shared" si="168"/>
        <v>-1.3375672055911281E-2</v>
      </c>
      <c r="AG426" s="13">
        <f t="shared" si="169"/>
        <v>0.91744738855254226</v>
      </c>
      <c r="AH426" s="13">
        <f>IF($T426=1,$AU426,VLOOKUP(U426,'Cortes naturales'!$A$25:$C$29,3,9))</f>
        <v>4</v>
      </c>
      <c r="AI426" s="13" t="b">
        <f t="shared" si="170"/>
        <v>1</v>
      </c>
      <c r="AJ426" s="13">
        <f t="shared" si="171"/>
        <v>0</v>
      </c>
      <c r="AK426" s="28">
        <v>0.81759069605862034</v>
      </c>
      <c r="AL426" s="28">
        <v>38.72767159589548</v>
      </c>
      <c r="AM426" s="28">
        <v>0.31381633700895145</v>
      </c>
      <c r="AN426" s="13">
        <v>4</v>
      </c>
      <c r="AO426" s="33">
        <f t="shared" si="172"/>
        <v>0</v>
      </c>
      <c r="AP426" s="13">
        <f t="shared" si="182"/>
        <v>31.381633700895144</v>
      </c>
      <c r="AQ426" s="13">
        <f>IFERROR(VLOOKUP(U426,'Cortes naturales'!$E$15:$G$19,3,9),U426)</f>
        <v>4</v>
      </c>
      <c r="AR426" s="28">
        <f t="shared" si="173"/>
        <v>-0.28772126557406241</v>
      </c>
      <c r="AS426" s="13" t="b">
        <f t="shared" si="174"/>
        <v>1</v>
      </c>
      <c r="AT426" s="13">
        <f t="shared" si="183"/>
        <v>0</v>
      </c>
      <c r="AU426" s="13">
        <v>4</v>
      </c>
      <c r="AV426">
        <f t="shared" si="175"/>
        <v>0</v>
      </c>
      <c r="AW426" s="13">
        <v>0</v>
      </c>
      <c r="AX426" s="13">
        <v>0</v>
      </c>
      <c r="AY426" s="13">
        <v>0</v>
      </c>
      <c r="AZ426" s="13">
        <v>1</v>
      </c>
      <c r="BA426">
        <v>1</v>
      </c>
      <c r="BB426" t="s">
        <v>2839</v>
      </c>
      <c r="BC426">
        <v>6</v>
      </c>
      <c r="BD426" t="s">
        <v>2919</v>
      </c>
      <c r="BE426">
        <v>1</v>
      </c>
      <c r="BF426" s="232" t="s">
        <v>2846</v>
      </c>
      <c r="BG426" s="232" t="s">
        <v>2846</v>
      </c>
      <c r="BH426" s="253">
        <v>69</v>
      </c>
      <c r="BI426" s="253">
        <v>41.908575241908572</v>
      </c>
      <c r="BJ426" s="25">
        <v>0</v>
      </c>
      <c r="BK426" t="s">
        <v>381</v>
      </c>
      <c r="BL426">
        <v>9.5792687764646605</v>
      </c>
      <c r="BM426" t="s">
        <v>379</v>
      </c>
      <c r="BN426" s="322">
        <v>126271.130019</v>
      </c>
      <c r="BO426" s="322">
        <v>8211.6019379999998</v>
      </c>
      <c r="BP426" s="10">
        <v>52983</v>
      </c>
      <c r="BQ426" s="254">
        <f t="shared" si="176"/>
        <v>2.3832385863201404</v>
      </c>
      <c r="BR426" s="254">
        <f t="shared" si="177"/>
        <v>0.15498559798425909</v>
      </c>
      <c r="BS426" s="25">
        <v>61.520592954114328</v>
      </c>
      <c r="BT426" s="25">
        <v>100</v>
      </c>
      <c r="BU426" s="25">
        <v>32.267188972925567</v>
      </c>
      <c r="BV426" s="25">
        <v>96.11924233269194</v>
      </c>
      <c r="BW426" s="25">
        <v>28.266781775583031</v>
      </c>
      <c r="BX426" s="25">
        <v>72.476756064932957</v>
      </c>
      <c r="BY426" s="25">
        <v>28.809050681032581</v>
      </c>
      <c r="BZ426">
        <v>12</v>
      </c>
      <c r="CA426">
        <v>0</v>
      </c>
      <c r="CB426">
        <v>7</v>
      </c>
      <c r="CC426">
        <v>103469.921835</v>
      </c>
      <c r="CD426" s="10">
        <v>11505.906263000001</v>
      </c>
      <c r="CE426" s="255">
        <v>0.11120049246145254</v>
      </c>
      <c r="CF426" t="str">
        <f>IFERROR(VLOOKUP(CE426,'Rangos amb etnico'!$A$2:$C$6,3,9),"N.D.")</f>
        <v>0,1% - 30%</v>
      </c>
      <c r="CG426" s="256">
        <v>3.3475018660541691E-4</v>
      </c>
      <c r="CH426" s="232">
        <v>0</v>
      </c>
      <c r="CI426" s="311">
        <f t="shared" si="184"/>
        <v>0</v>
      </c>
      <c r="CJ426" s="232">
        <f>IFERROR(VLOOKUP(CI426,'Rangos amb etnico'!$A$2:$C$6,3,9),"N.D.")</f>
        <v>0</v>
      </c>
      <c r="CK426" s="311">
        <f t="shared" si="185"/>
        <v>0</v>
      </c>
      <c r="CL426" s="10">
        <v>0</v>
      </c>
      <c r="CM426" s="255">
        <f t="shared" si="186"/>
        <v>0</v>
      </c>
      <c r="CN426" s="232">
        <f>IFERROR(VLOOKUP(CM426,'Rangos amb etnico'!$A$2:$C$6,3,9),"N.D.")</f>
        <v>0</v>
      </c>
      <c r="CO426" s="311">
        <f t="shared" si="187"/>
        <v>0</v>
      </c>
      <c r="CP426">
        <v>0.93381602964509813</v>
      </c>
      <c r="CQ426" t="s">
        <v>2864</v>
      </c>
      <c r="CR426">
        <f t="shared" si="178"/>
        <v>1</v>
      </c>
      <c r="CS426" t="str">
        <f t="shared" si="188"/>
        <v>No es Candidato</v>
      </c>
      <c r="CT426">
        <v>0</v>
      </c>
      <c r="CU426">
        <v>0</v>
      </c>
      <c r="CV426" s="25">
        <v>46.759349822998047</v>
      </c>
      <c r="CW426" s="25">
        <v>34.930088043212891</v>
      </c>
      <c r="CX426" s="25">
        <v>49.685470581054688</v>
      </c>
      <c r="CY426" s="25">
        <v>61.084583282470703</v>
      </c>
      <c r="CZ426" s="25">
        <v>8.3318386077880859</v>
      </c>
      <c r="DA426" s="25">
        <v>74.059249877929688</v>
      </c>
      <c r="DB426" s="25">
        <v>52.464874267578118</v>
      </c>
      <c r="DC426">
        <v>47955</v>
      </c>
      <c r="DD426" s="253" t="s">
        <v>380</v>
      </c>
    </row>
    <row r="427" spans="1:108" hidden="1">
      <c r="A427" s="13">
        <v>73585</v>
      </c>
      <c r="B427" s="13" t="s">
        <v>1306</v>
      </c>
      <c r="C427" s="13" t="s">
        <v>595</v>
      </c>
      <c r="D427" s="13" t="s">
        <v>596</v>
      </c>
      <c r="E427" s="13" t="s">
        <v>1307</v>
      </c>
      <c r="F427" s="14">
        <v>65.183266666666697</v>
      </c>
      <c r="G427" s="13">
        <v>62.63</v>
      </c>
      <c r="H427" s="13">
        <v>63.58</v>
      </c>
      <c r="I427" s="13">
        <v>71.7</v>
      </c>
      <c r="J427" s="14">
        <v>46.190734815544126</v>
      </c>
      <c r="K427" s="14">
        <v>64.00576137338831</v>
      </c>
      <c r="L427" s="14">
        <v>70.263914085104432</v>
      </c>
      <c r="M427" s="14">
        <v>64.486900000000006</v>
      </c>
      <c r="N427" s="14">
        <f t="shared" si="162"/>
        <v>65.773316666666673</v>
      </c>
      <c r="O427" s="14">
        <f t="shared" si="163"/>
        <v>61.236827568509213</v>
      </c>
      <c r="P427" s="14">
        <f t="shared" si="179"/>
        <v>63.505072117587943</v>
      </c>
      <c r="Q427" s="14">
        <v>51.802916854322703</v>
      </c>
      <c r="R427" s="17">
        <f t="shared" si="164"/>
        <v>48.197083145677297</v>
      </c>
      <c r="S427" s="14">
        <f t="shared" si="180"/>
        <v>0.5337737483110957</v>
      </c>
      <c r="T427" s="13">
        <v>0</v>
      </c>
      <c r="U427" s="13">
        <f t="shared" si="181"/>
        <v>33.897340380971364</v>
      </c>
      <c r="V427" s="13">
        <f>IF($T427=1,$AU427,(VLOOKUP(U427,'Cortes naturales'!$A$35:$C$39,3,9)))</f>
        <v>3</v>
      </c>
      <c r="W427" s="13">
        <v>3</v>
      </c>
      <c r="X427" s="14" t="b">
        <f t="shared" si="165"/>
        <v>1</v>
      </c>
      <c r="Y427" s="17">
        <f>IF($T427=1,$AU427,VLOOKUP(U427,'Cortes naturales'!$A$45:$C$49,3,9))</f>
        <v>3</v>
      </c>
      <c r="Z427" s="14">
        <v>60.98614060367391</v>
      </c>
      <c r="AA427" s="14">
        <v>0.54285227519015766</v>
      </c>
      <c r="AB427" s="14">
        <v>33.106465181771235</v>
      </c>
      <c r="AC427" s="13">
        <v>3</v>
      </c>
      <c r="AD427" s="13">
        <f t="shared" si="166"/>
        <v>0</v>
      </c>
      <c r="AE427" s="14">
        <f t="shared" si="167"/>
        <v>2.5189315139140334</v>
      </c>
      <c r="AF427" s="14">
        <f t="shared" si="168"/>
        <v>-9.0785268790619655E-3</v>
      </c>
      <c r="AG427" s="13">
        <f t="shared" si="169"/>
        <v>0.79087519920012994</v>
      </c>
      <c r="AH427" s="13">
        <f>IF($T427=1,$AU427,VLOOKUP(U427,'Cortes naturales'!$A$25:$C$29,3,9))</f>
        <v>3</v>
      </c>
      <c r="AI427" s="13" t="b">
        <f t="shared" si="170"/>
        <v>1</v>
      </c>
      <c r="AJ427" s="13">
        <f t="shared" si="171"/>
        <v>0</v>
      </c>
      <c r="AK427" s="28">
        <v>0.81759069605862034</v>
      </c>
      <c r="AL427" s="28">
        <v>49.861701146086638</v>
      </c>
      <c r="AM427" s="28">
        <v>0.45309131030843736</v>
      </c>
      <c r="AN427" s="13">
        <v>3</v>
      </c>
      <c r="AO427" s="33">
        <f t="shared" si="172"/>
        <v>0</v>
      </c>
      <c r="AP427" s="13">
        <f t="shared" si="182"/>
        <v>45.309131030843737</v>
      </c>
      <c r="AQ427" s="13">
        <f>IFERROR(VLOOKUP(U427,'Cortes naturales'!$E$15:$G$19,3,9),U427)</f>
        <v>4</v>
      </c>
      <c r="AR427" s="28">
        <f t="shared" si="173"/>
        <v>-0.28381694774752464</v>
      </c>
      <c r="AS427" s="13" t="b">
        <f t="shared" si="174"/>
        <v>0</v>
      </c>
      <c r="AT427" s="13">
        <f t="shared" si="183"/>
        <v>0</v>
      </c>
      <c r="AU427" s="13">
        <v>3</v>
      </c>
      <c r="AV427">
        <f t="shared" si="175"/>
        <v>0</v>
      </c>
      <c r="AW427" s="13">
        <v>0</v>
      </c>
      <c r="AX427" s="13">
        <v>0</v>
      </c>
      <c r="AY427" s="13">
        <v>0</v>
      </c>
      <c r="AZ427" s="13">
        <v>0</v>
      </c>
      <c r="BA427">
        <v>0</v>
      </c>
      <c r="BB427" t="s">
        <v>2839</v>
      </c>
      <c r="BC427">
        <v>6</v>
      </c>
      <c r="BD427" t="s">
        <v>2919</v>
      </c>
      <c r="BE427">
        <v>0</v>
      </c>
      <c r="BF427" s="232" t="s">
        <v>2846</v>
      </c>
      <c r="BG427" s="232" t="s">
        <v>2845</v>
      </c>
      <c r="BH427" s="253">
        <v>32.6</v>
      </c>
      <c r="BI427" s="253">
        <v>15.123992698455099</v>
      </c>
      <c r="BJ427" s="25">
        <v>0</v>
      </c>
      <c r="BK427" t="s">
        <v>381</v>
      </c>
      <c r="BL427">
        <v>1.1193310975466464</v>
      </c>
      <c r="BM427" t="s">
        <v>383</v>
      </c>
      <c r="BN427" s="322">
        <v>85617.408001999996</v>
      </c>
      <c r="BO427" s="322">
        <v>11327.726731000001</v>
      </c>
      <c r="BP427" s="10">
        <v>24074</v>
      </c>
      <c r="BQ427" s="254">
        <f t="shared" si="176"/>
        <v>3.5564263521641601</v>
      </c>
      <c r="BR427" s="254">
        <f t="shared" si="177"/>
        <v>0.47053778894242754</v>
      </c>
      <c r="BS427" s="25">
        <v>65.784557547715437</v>
      </c>
      <c r="BT427" s="25">
        <v>97.491069203289854</v>
      </c>
      <c r="BU427" s="25">
        <v>61.961666666666673</v>
      </c>
      <c r="BV427" s="25">
        <v>85.979964990838582</v>
      </c>
      <c r="BW427" s="25">
        <v>43.99931689795342</v>
      </c>
      <c r="BX427" s="25">
        <v>77.804314602127633</v>
      </c>
      <c r="BY427" s="25">
        <v>44.07847117221327</v>
      </c>
      <c r="BZ427">
        <v>6</v>
      </c>
      <c r="CA427">
        <v>0</v>
      </c>
      <c r="CB427">
        <v>6</v>
      </c>
      <c r="CC427">
        <v>40197.651810000003</v>
      </c>
      <c r="CD427" s="10">
        <v>320.40212100000002</v>
      </c>
      <c r="CE427" s="255">
        <v>7.9706676030338007E-3</v>
      </c>
      <c r="CF427" t="str">
        <f>IFERROR(VLOOKUP(CE427,'Rangos amb etnico'!$A$2:$C$6,3,9),"N.D.")</f>
        <v>0,1% - 30%</v>
      </c>
      <c r="CG427" s="256">
        <v>9.3217055086242515E-6</v>
      </c>
      <c r="CH427" s="232">
        <v>0</v>
      </c>
      <c r="CI427" s="311">
        <f t="shared" si="184"/>
        <v>0</v>
      </c>
      <c r="CJ427" s="232">
        <f>IFERROR(VLOOKUP(CI427,'Rangos amb etnico'!$A$2:$C$6,3,9),"N.D.")</f>
        <v>0</v>
      </c>
      <c r="CK427" s="311">
        <f t="shared" si="185"/>
        <v>0</v>
      </c>
      <c r="CL427" s="10">
        <v>0</v>
      </c>
      <c r="CM427" s="255">
        <f t="shared" si="186"/>
        <v>0</v>
      </c>
      <c r="CN427" s="232">
        <f>IFERROR(VLOOKUP(CM427,'Rangos amb etnico'!$A$2:$C$6,3,9),"N.D.")</f>
        <v>0</v>
      </c>
      <c r="CO427" s="311">
        <f t="shared" si="187"/>
        <v>0</v>
      </c>
      <c r="CP427">
        <v>0.84822377469145849</v>
      </c>
      <c r="CQ427" t="s">
        <v>2865</v>
      </c>
      <c r="CR427">
        <f t="shared" si="178"/>
        <v>3</v>
      </c>
      <c r="CS427" t="str">
        <f t="shared" si="188"/>
        <v>Candidato</v>
      </c>
      <c r="CT427">
        <v>0</v>
      </c>
      <c r="CU427">
        <v>0</v>
      </c>
      <c r="CV427" s="25">
        <v>53.209568023681641</v>
      </c>
      <c r="CW427" s="25">
        <v>36.084735870361328</v>
      </c>
      <c r="CX427" s="25">
        <v>36.314334869384773</v>
      </c>
      <c r="CY427" s="25">
        <v>82.858985900878906</v>
      </c>
      <c r="CZ427" s="25">
        <v>44.211559295654297</v>
      </c>
      <c r="DA427" s="25">
        <v>65.610527038574219</v>
      </c>
      <c r="DB427" s="25">
        <v>54.177265167236328</v>
      </c>
      <c r="DC427">
        <v>1740</v>
      </c>
      <c r="DD427" s="253" t="s">
        <v>380</v>
      </c>
    </row>
    <row r="428" spans="1:108" hidden="1">
      <c r="A428" s="13">
        <v>13062</v>
      </c>
      <c r="B428" s="13" t="s">
        <v>1308</v>
      </c>
      <c r="C428" s="13" t="s">
        <v>480</v>
      </c>
      <c r="D428" s="13" t="s">
        <v>481</v>
      </c>
      <c r="E428" s="13" t="s">
        <v>1309</v>
      </c>
      <c r="F428" s="14">
        <v>35.576599999999999</v>
      </c>
      <c r="G428" s="13">
        <v>59.7</v>
      </c>
      <c r="H428" s="13">
        <v>33.340000000000003</v>
      </c>
      <c r="I428" s="13">
        <v>64.319999999999993</v>
      </c>
      <c r="J428" s="14">
        <v>64.383416308034342</v>
      </c>
      <c r="K428" s="14">
        <v>58.062505128751553</v>
      </c>
      <c r="L428" s="14">
        <v>54.526436903607404</v>
      </c>
      <c r="M428" s="14">
        <v>56.324399999999997</v>
      </c>
      <c r="N428" s="14">
        <f t="shared" si="162"/>
        <v>48.23415</v>
      </c>
      <c r="O428" s="14">
        <f t="shared" si="163"/>
        <v>58.324189585098324</v>
      </c>
      <c r="P428" s="14">
        <f t="shared" si="179"/>
        <v>53.279169792549162</v>
      </c>
      <c r="Q428" s="14">
        <v>52.04151222663824</v>
      </c>
      <c r="R428" s="17">
        <f t="shared" si="164"/>
        <v>47.95848777336176</v>
      </c>
      <c r="S428" s="14">
        <f t="shared" si="180"/>
        <v>0.5316263899602558</v>
      </c>
      <c r="T428" s="13">
        <v>0</v>
      </c>
      <c r="U428" s="13">
        <f t="shared" si="181"/>
        <v>28.324612696892423</v>
      </c>
      <c r="V428" s="13">
        <f>IF($T428=1,$AU428,(VLOOKUP(U428,'Cortes naturales'!$A$35:$C$39,3,9)))</f>
        <v>4</v>
      </c>
      <c r="W428" s="13">
        <v>4</v>
      </c>
      <c r="X428" s="14" t="b">
        <f t="shared" si="165"/>
        <v>1</v>
      </c>
      <c r="Y428" s="17">
        <f>IF($T428=1,$AU428,VLOOKUP(U428,'Cortes naturales'!$A$45:$C$49,3,9))</f>
        <v>4</v>
      </c>
      <c r="Z428" s="14">
        <v>48.0652141886207</v>
      </c>
      <c r="AA428" s="14">
        <v>0.54250464391858844</v>
      </c>
      <c r="AB428" s="14">
        <v>26.075601908268357</v>
      </c>
      <c r="AC428" s="13">
        <v>4</v>
      </c>
      <c r="AD428" s="13">
        <f t="shared" si="166"/>
        <v>0</v>
      </c>
      <c r="AE428" s="14">
        <f t="shared" si="167"/>
        <v>5.2139556039284614</v>
      </c>
      <c r="AF428" s="14">
        <f t="shared" si="168"/>
        <v>-1.087825395833264E-2</v>
      </c>
      <c r="AG428" s="13">
        <f t="shared" si="169"/>
        <v>2.2490107886240658</v>
      </c>
      <c r="AH428" s="13">
        <f>IF($T428=1,$AU428,VLOOKUP(U428,'Cortes naturales'!$A$25:$C$29,3,9))</f>
        <v>3</v>
      </c>
      <c r="AI428" s="13" t="b">
        <f t="shared" si="170"/>
        <v>0</v>
      </c>
      <c r="AJ428" s="13">
        <f t="shared" si="171"/>
        <v>0</v>
      </c>
      <c r="AK428" s="28">
        <v>0.81759069605862034</v>
      </c>
      <c r="AL428" s="28">
        <v>39.297671924681076</v>
      </c>
      <c r="AM428" s="28">
        <v>0.3209464402850784</v>
      </c>
      <c r="AN428" s="13">
        <v>4</v>
      </c>
      <c r="AO428" s="33">
        <f t="shared" si="172"/>
        <v>0</v>
      </c>
      <c r="AP428" s="13">
        <f t="shared" si="182"/>
        <v>32.094644028507844</v>
      </c>
      <c r="AQ428" s="13">
        <f>IFERROR(VLOOKUP(U428,'Cortes naturales'!$E$15:$G$19,3,9),U428)</f>
        <v>4</v>
      </c>
      <c r="AR428" s="28">
        <f t="shared" si="173"/>
        <v>-0.28596430609836454</v>
      </c>
      <c r="AS428" s="13" t="b">
        <f t="shared" si="174"/>
        <v>1</v>
      </c>
      <c r="AT428" s="13">
        <f t="shared" si="183"/>
        <v>0</v>
      </c>
      <c r="AU428" s="13">
        <v>4</v>
      </c>
      <c r="AV428">
        <f t="shared" si="175"/>
        <v>0</v>
      </c>
      <c r="AW428" s="13">
        <v>0</v>
      </c>
      <c r="AX428" s="13">
        <v>0</v>
      </c>
      <c r="AY428" s="13">
        <v>0</v>
      </c>
      <c r="AZ428" s="13">
        <v>0</v>
      </c>
      <c r="BA428">
        <v>0</v>
      </c>
      <c r="BB428" t="s">
        <v>2839</v>
      </c>
      <c r="BC428">
        <v>6</v>
      </c>
      <c r="BD428" t="s">
        <v>2919</v>
      </c>
      <c r="BE428">
        <v>0</v>
      </c>
      <c r="BF428" s="232" t="s">
        <v>2846</v>
      </c>
      <c r="BG428" s="232" t="s">
        <v>2846</v>
      </c>
      <c r="BH428" s="253">
        <v>68.400000000000006</v>
      </c>
      <c r="BI428" s="253">
        <v>41.871432117150661</v>
      </c>
      <c r="BJ428" s="25">
        <v>13.111659854677566</v>
      </c>
      <c r="BK428" t="s">
        <v>377</v>
      </c>
      <c r="BL428">
        <v>0.97123952417490722</v>
      </c>
      <c r="BM428" t="s">
        <v>383</v>
      </c>
      <c r="BN428" s="322">
        <v>28439.018237</v>
      </c>
      <c r="BO428" s="322">
        <v>1534.3440419999999</v>
      </c>
      <c r="BP428" s="10">
        <v>8531</v>
      </c>
      <c r="BQ428" s="254">
        <f t="shared" si="176"/>
        <v>3.3336089833548237</v>
      </c>
      <c r="BR428" s="254">
        <f t="shared" si="177"/>
        <v>0.17985512155667566</v>
      </c>
      <c r="BS428" s="25">
        <v>57.650580698349017</v>
      </c>
      <c r="BT428" s="25">
        <v>98.62069000000001</v>
      </c>
      <c r="BU428" s="25">
        <v>40.426494876431569</v>
      </c>
      <c r="BV428" s="25">
        <v>97.119126757731479</v>
      </c>
      <c r="BW428" s="25">
        <v>13.472161312969121</v>
      </c>
      <c r="BX428" s="25">
        <v>73.454223083128028</v>
      </c>
      <c r="BY428" s="25">
        <v>13.366230006908101</v>
      </c>
      <c r="BZ428">
        <v>48</v>
      </c>
      <c r="CA428">
        <v>0</v>
      </c>
      <c r="CB428">
        <v>7</v>
      </c>
      <c r="CC428">
        <v>16368.634145</v>
      </c>
      <c r="CD428" s="10">
        <v>2554.4485679999998</v>
      </c>
      <c r="CE428" s="255">
        <v>0.15605752718104995</v>
      </c>
      <c r="CF428" t="str">
        <f>IFERROR(VLOOKUP(CE428,'Rangos amb etnico'!$A$2:$C$6,3,9),"N.D.")</f>
        <v>0,1% - 30%</v>
      </c>
      <c r="CG428" s="256">
        <v>7.4318538259061429E-5</v>
      </c>
      <c r="CH428" s="232">
        <v>7.1041720000000002</v>
      </c>
      <c r="CI428" s="311">
        <f t="shared" si="184"/>
        <v>4.3401128872869681E-4</v>
      </c>
      <c r="CJ428" s="232">
        <f>IFERROR(VLOOKUP(CI428,'Rangos amb etnico'!$A$2:$C$6,3,9),"N.D.")</f>
        <v>0</v>
      </c>
      <c r="CK428" s="311">
        <f t="shared" si="185"/>
        <v>2.8208214083834861E-7</v>
      </c>
      <c r="CL428" s="10">
        <v>0</v>
      </c>
      <c r="CM428" s="255">
        <f t="shared" si="186"/>
        <v>0</v>
      </c>
      <c r="CN428" s="232">
        <f>IFERROR(VLOOKUP(CM428,'Rangos amb etnico'!$A$2:$C$6,3,9),"N.D.")</f>
        <v>0</v>
      </c>
      <c r="CO428" s="311">
        <f t="shared" si="187"/>
        <v>0</v>
      </c>
      <c r="CP428">
        <v>0.85367565418697833</v>
      </c>
      <c r="CQ428" t="s">
        <v>2864</v>
      </c>
      <c r="CR428">
        <f t="shared" si="178"/>
        <v>2</v>
      </c>
      <c r="CS428" t="str">
        <f t="shared" si="188"/>
        <v>No es Candidato</v>
      </c>
      <c r="CT428">
        <v>0</v>
      </c>
      <c r="CU428">
        <v>0</v>
      </c>
      <c r="CV428" s="25">
        <v>42.978946685791023</v>
      </c>
      <c r="CW428" s="25">
        <v>25.035247802734379</v>
      </c>
      <c r="CX428" s="25">
        <v>44.768657684326172</v>
      </c>
      <c r="CY428" s="25">
        <v>47.874523162841797</v>
      </c>
      <c r="CZ428" s="25">
        <v>10.224569320678709</v>
      </c>
      <c r="DA428" s="25">
        <v>81.011482238769531</v>
      </c>
      <c r="DB428" s="25">
        <v>48.959205627441413</v>
      </c>
      <c r="DC428">
        <v>1997</v>
      </c>
      <c r="DD428" s="253" t="s">
        <v>380</v>
      </c>
    </row>
    <row r="429" spans="1:108" hidden="1">
      <c r="A429" s="13">
        <v>68533</v>
      </c>
      <c r="B429" s="13" t="s">
        <v>1310</v>
      </c>
      <c r="C429" s="13" t="s">
        <v>431</v>
      </c>
      <c r="D429" s="13" t="s">
        <v>432</v>
      </c>
      <c r="E429" s="13" t="s">
        <v>1311</v>
      </c>
      <c r="F429" s="14">
        <v>74.880633333333293</v>
      </c>
      <c r="G429" s="13">
        <v>69</v>
      </c>
      <c r="H429" s="13">
        <v>73.19</v>
      </c>
      <c r="I429" s="13">
        <v>78.709999999999994</v>
      </c>
      <c r="J429" s="14">
        <v>51.854480420265524</v>
      </c>
      <c r="K429" s="14">
        <v>55.078899642303178</v>
      </c>
      <c r="L429" s="14">
        <v>53.801845303116544</v>
      </c>
      <c r="M429" s="14">
        <v>59.290199999999999</v>
      </c>
      <c r="N429" s="14">
        <f t="shared" si="162"/>
        <v>73.945158333333325</v>
      </c>
      <c r="O429" s="14">
        <f t="shared" si="163"/>
        <v>55.006356341421309</v>
      </c>
      <c r="P429" s="14">
        <f t="shared" si="179"/>
        <v>64.475757337377317</v>
      </c>
      <c r="Q429" s="14">
        <v>50.73215836850062</v>
      </c>
      <c r="R429" s="17">
        <f t="shared" si="164"/>
        <v>49.26784163149938</v>
      </c>
      <c r="S429" s="14">
        <f t="shared" si="180"/>
        <v>0.54341057468349441</v>
      </c>
      <c r="T429" s="13">
        <v>0</v>
      </c>
      <c r="U429" s="13">
        <f t="shared" si="181"/>
        <v>35.036808347857736</v>
      </c>
      <c r="V429" s="13">
        <f>IF($T429=1,$AU429,(VLOOKUP(U429,'Cortes naturales'!$A$35:$C$39,3,9)))</f>
        <v>3</v>
      </c>
      <c r="W429" s="13">
        <v>3</v>
      </c>
      <c r="X429" s="14" t="b">
        <f t="shared" si="165"/>
        <v>1</v>
      </c>
      <c r="Y429" s="17">
        <f>IF($T429=1,$AU429,VLOOKUP(U429,'Cortes naturales'!$A$45:$C$49,3,9))</f>
        <v>3</v>
      </c>
      <c r="Z429" s="14">
        <v>62.886031138227345</v>
      </c>
      <c r="AA429" s="14">
        <v>0.54585045457186732</v>
      </c>
      <c r="AB429" s="14">
        <v>34.326368683021997</v>
      </c>
      <c r="AC429" s="13">
        <v>3</v>
      </c>
      <c r="AD429" s="13">
        <f t="shared" si="166"/>
        <v>0</v>
      </c>
      <c r="AE429" s="14">
        <f t="shared" si="167"/>
        <v>1.5897261991499718</v>
      </c>
      <c r="AF429" s="14">
        <f t="shared" si="168"/>
        <v>-2.4398798883729089E-3</v>
      </c>
      <c r="AG429" s="13">
        <f t="shared" si="169"/>
        <v>0.71043966483573939</v>
      </c>
      <c r="AH429" s="13">
        <f>IF($T429=1,$AU429,VLOOKUP(U429,'Cortes naturales'!$A$25:$C$29,3,9))</f>
        <v>2</v>
      </c>
      <c r="AI429" s="13" t="b">
        <f t="shared" si="170"/>
        <v>0</v>
      </c>
      <c r="AJ429" s="13">
        <f t="shared" si="171"/>
        <v>0</v>
      </c>
      <c r="AK429" s="28">
        <v>0.81759069605862034</v>
      </c>
      <c r="AL429" s="28">
        <v>51.415033970667366</v>
      </c>
      <c r="AM429" s="28">
        <v>0.47252186657680845</v>
      </c>
      <c r="AN429" s="13">
        <v>3</v>
      </c>
      <c r="AO429" s="33">
        <f t="shared" si="172"/>
        <v>0</v>
      </c>
      <c r="AP429" s="13">
        <f t="shared" si="182"/>
        <v>47.252186657680845</v>
      </c>
      <c r="AQ429" s="13">
        <f>IFERROR(VLOOKUP(U429,'Cortes naturales'!$E$15:$G$19,3,9),U429)</f>
        <v>4</v>
      </c>
      <c r="AR429" s="28">
        <f t="shared" si="173"/>
        <v>-0.27418012137512593</v>
      </c>
      <c r="AS429" s="13" t="b">
        <f t="shared" si="174"/>
        <v>0</v>
      </c>
      <c r="AT429" s="13">
        <f t="shared" si="183"/>
        <v>0</v>
      </c>
      <c r="AU429" s="13">
        <v>2</v>
      </c>
      <c r="AV429">
        <f t="shared" si="175"/>
        <v>-1</v>
      </c>
      <c r="AW429" s="13">
        <v>0</v>
      </c>
      <c r="AX429" s="13">
        <v>0</v>
      </c>
      <c r="AY429" s="13">
        <v>0</v>
      </c>
      <c r="AZ429" s="13">
        <v>0</v>
      </c>
      <c r="BA429">
        <v>0</v>
      </c>
      <c r="BB429" t="s">
        <v>2839</v>
      </c>
      <c r="BC429">
        <v>6</v>
      </c>
      <c r="BD429" t="s">
        <v>2919</v>
      </c>
      <c r="BE429">
        <v>0</v>
      </c>
      <c r="BF429" s="232" t="s">
        <v>2846</v>
      </c>
      <c r="BG429" s="232" t="s">
        <v>2845</v>
      </c>
      <c r="BH429" s="253">
        <v>31.5</v>
      </c>
      <c r="BI429" s="253">
        <v>10.424710424710424</v>
      </c>
      <c r="BJ429" s="25">
        <v>21.556666666666668</v>
      </c>
      <c r="BK429" t="s">
        <v>379</v>
      </c>
      <c r="BL429">
        <v>1.7363804755806023</v>
      </c>
      <c r="BM429" t="s">
        <v>383</v>
      </c>
      <c r="BN429" s="322">
        <v>11478.69384</v>
      </c>
      <c r="BO429" s="322">
        <v>1309.840964</v>
      </c>
      <c r="BP429" s="10">
        <v>5496</v>
      </c>
      <c r="BQ429" s="254">
        <f t="shared" si="176"/>
        <v>2.0885541921397381</v>
      </c>
      <c r="BR429" s="254">
        <f t="shared" si="177"/>
        <v>0.23832623071324599</v>
      </c>
      <c r="BS429" s="25">
        <v>62.585276381909551</v>
      </c>
      <c r="BT429" s="25">
        <v>90.583882295002425</v>
      </c>
      <c r="BU429" s="25">
        <v>54.363333333333337</v>
      </c>
      <c r="BV429" s="25">
        <v>97.181482361276494</v>
      </c>
      <c r="BW429" s="25">
        <v>61.370163050904111</v>
      </c>
      <c r="BX429" s="25">
        <v>76.178493592880457</v>
      </c>
      <c r="BY429" s="25">
        <v>61.489552886937027</v>
      </c>
      <c r="BZ429">
        <v>4</v>
      </c>
      <c r="CA429">
        <v>0</v>
      </c>
      <c r="CB429">
        <v>7</v>
      </c>
      <c r="CC429">
        <v>7284.692078</v>
      </c>
      <c r="CD429" s="10">
        <v>2739.5869240000002</v>
      </c>
      <c r="CE429" s="255">
        <v>0.37607449905448154</v>
      </c>
      <c r="CF429" t="str">
        <f>IFERROR(VLOOKUP(CE429,'Rangos amb etnico'!$A$2:$C$6,3,9),"N.D.")</f>
        <v>31% - 50%</v>
      </c>
      <c r="CG429" s="256">
        <v>7.970491094472427E-5</v>
      </c>
      <c r="CH429" s="232">
        <v>0</v>
      </c>
      <c r="CI429" s="311">
        <f t="shared" si="184"/>
        <v>0</v>
      </c>
      <c r="CJ429" s="232">
        <f>IFERROR(VLOOKUP(CI429,'Rangos amb etnico'!$A$2:$C$6,3,9),"N.D.")</f>
        <v>0</v>
      </c>
      <c r="CK429" s="311">
        <f t="shared" si="185"/>
        <v>0</v>
      </c>
      <c r="CL429" s="10">
        <v>0</v>
      </c>
      <c r="CM429" s="255">
        <f t="shared" si="186"/>
        <v>0</v>
      </c>
      <c r="CN429" s="232">
        <f>IFERROR(VLOOKUP(CM429,'Rangos amb etnico'!$A$2:$C$6,3,9),"N.D.")</f>
        <v>0</v>
      </c>
      <c r="CO429" s="311">
        <f t="shared" si="187"/>
        <v>0</v>
      </c>
      <c r="CP429">
        <v>0.96121829418121507</v>
      </c>
      <c r="CQ429" t="s">
        <v>2864</v>
      </c>
      <c r="CR429">
        <f t="shared" si="178"/>
        <v>3</v>
      </c>
      <c r="CS429" t="str">
        <f t="shared" si="188"/>
        <v>Candidato</v>
      </c>
      <c r="CT429">
        <v>0</v>
      </c>
      <c r="CU429">
        <v>0</v>
      </c>
      <c r="CV429" s="25">
        <v>55.204891204833977</v>
      </c>
      <c r="CW429" s="25">
        <v>28.644668579101559</v>
      </c>
      <c r="CX429" s="25">
        <v>54.625770568847663</v>
      </c>
      <c r="CY429" s="25">
        <v>69.15972900390625</v>
      </c>
      <c r="CZ429" s="25">
        <v>29.759992599487301</v>
      </c>
      <c r="DA429" s="25">
        <v>88.764007568359375</v>
      </c>
      <c r="DB429" s="25">
        <v>60.275188446044922</v>
      </c>
      <c r="DC429">
        <v>62</v>
      </c>
      <c r="DD429" s="253" t="s">
        <v>380</v>
      </c>
    </row>
    <row r="430" spans="1:108" hidden="1">
      <c r="A430" s="13">
        <v>15753</v>
      </c>
      <c r="B430" s="13" t="s">
        <v>1312</v>
      </c>
      <c r="C430" s="13" t="s">
        <v>498</v>
      </c>
      <c r="D430" s="13" t="s">
        <v>499</v>
      </c>
      <c r="E430" s="13" t="s">
        <v>1313</v>
      </c>
      <c r="F430" s="14">
        <v>68.8005</v>
      </c>
      <c r="G430" s="13">
        <v>82.88</v>
      </c>
      <c r="H430" s="13">
        <v>86.11</v>
      </c>
      <c r="I430" s="13">
        <v>88.2</v>
      </c>
      <c r="J430" s="14">
        <v>47.011416370643687</v>
      </c>
      <c r="K430" s="14">
        <v>65.168489367918184</v>
      </c>
      <c r="L430" s="14">
        <v>62.243437513474206</v>
      </c>
      <c r="M430" s="14">
        <v>62.032699999999998</v>
      </c>
      <c r="N430" s="14">
        <f t="shared" si="162"/>
        <v>81.497624999999999</v>
      </c>
      <c r="O430" s="14">
        <f t="shared" si="163"/>
        <v>59.114010813009024</v>
      </c>
      <c r="P430" s="14">
        <f t="shared" si="179"/>
        <v>70.305817906504515</v>
      </c>
      <c r="Q430" s="14">
        <v>52.161277264201942</v>
      </c>
      <c r="R430" s="17">
        <f t="shared" si="164"/>
        <v>47.838722735798058</v>
      </c>
      <c r="S430" s="14">
        <f t="shared" si="180"/>
        <v>0.5305485046221825</v>
      </c>
      <c r="T430" s="13">
        <v>0</v>
      </c>
      <c r="U430" s="13">
        <f t="shared" si="181"/>
        <v>37.300646556535433</v>
      </c>
      <c r="V430" s="13">
        <f>IF($T430=1,$AU430,(VLOOKUP(U430,'Cortes naturales'!$A$35:$C$39,3,9)))</f>
        <v>3</v>
      </c>
      <c r="W430" s="13">
        <v>3</v>
      </c>
      <c r="X430" s="14" t="b">
        <f t="shared" si="165"/>
        <v>1</v>
      </c>
      <c r="Y430" s="17">
        <f>IF($T430=1,$AU430,VLOOKUP(U430,'Cortes naturales'!$A$45:$C$49,3,9))</f>
        <v>2</v>
      </c>
      <c r="Z430" s="14">
        <v>65.405779982974877</v>
      </c>
      <c r="AA430" s="14">
        <v>0.54238553879013041</v>
      </c>
      <c r="AB430" s="14">
        <v>35.475149216054554</v>
      </c>
      <c r="AC430" s="13">
        <v>2</v>
      </c>
      <c r="AD430" s="13">
        <f t="shared" si="166"/>
        <v>0</v>
      </c>
      <c r="AE430" s="14">
        <f t="shared" si="167"/>
        <v>4.9000379235296379</v>
      </c>
      <c r="AF430" s="14">
        <f t="shared" si="168"/>
        <v>-1.1837034167947902E-2</v>
      </c>
      <c r="AG430" s="13">
        <f t="shared" si="169"/>
        <v>1.8254973404808794</v>
      </c>
      <c r="AH430" s="13">
        <f>IF($T430=1,$AU430,VLOOKUP(U430,'Cortes naturales'!$A$25:$C$29,3,9))</f>
        <v>2</v>
      </c>
      <c r="AI430" s="13" t="b">
        <f t="shared" si="170"/>
        <v>1</v>
      </c>
      <c r="AJ430" s="13">
        <f t="shared" si="171"/>
        <v>0</v>
      </c>
      <c r="AK430" s="28">
        <v>0.81759069605862034</v>
      </c>
      <c r="AL430" s="28">
        <v>53.475157182537409</v>
      </c>
      <c r="AM430" s="28">
        <v>0.49829183638274677</v>
      </c>
      <c r="AN430" s="13">
        <v>2</v>
      </c>
      <c r="AO430" s="33">
        <f t="shared" si="172"/>
        <v>0</v>
      </c>
      <c r="AP430" s="13">
        <f t="shared" si="182"/>
        <v>49.829183638274678</v>
      </c>
      <c r="AQ430" s="13">
        <f>IFERROR(VLOOKUP(U430,'Cortes naturales'!$E$15:$G$19,3,9),U430)</f>
        <v>3</v>
      </c>
      <c r="AR430" s="28">
        <f t="shared" si="173"/>
        <v>-0.28704219143643783</v>
      </c>
      <c r="AS430" s="13" t="b">
        <f t="shared" si="174"/>
        <v>0</v>
      </c>
      <c r="AT430" s="13">
        <f t="shared" si="183"/>
        <v>0</v>
      </c>
      <c r="AU430" s="13">
        <v>3</v>
      </c>
      <c r="AV430">
        <f t="shared" si="175"/>
        <v>1</v>
      </c>
      <c r="AW430" s="13">
        <v>0</v>
      </c>
      <c r="AX430" s="13">
        <v>0</v>
      </c>
      <c r="AY430" s="13">
        <v>0</v>
      </c>
      <c r="AZ430" s="13">
        <v>0</v>
      </c>
      <c r="BA430">
        <v>0</v>
      </c>
      <c r="BB430" t="s">
        <v>2839</v>
      </c>
      <c r="BC430">
        <v>6</v>
      </c>
      <c r="BD430" t="s">
        <v>2919</v>
      </c>
      <c r="BE430">
        <v>0</v>
      </c>
      <c r="BF430" s="232" t="s">
        <v>2846</v>
      </c>
      <c r="BG430" s="232" t="s">
        <v>2846</v>
      </c>
      <c r="BH430" s="253">
        <v>17.3</v>
      </c>
      <c r="BI430" s="253">
        <v>7.5922421948912016</v>
      </c>
      <c r="BJ430" s="25">
        <v>20.8103200077047</v>
      </c>
      <c r="BK430" t="s">
        <v>379</v>
      </c>
      <c r="BL430">
        <v>5.8786053488365318E-2</v>
      </c>
      <c r="BM430" t="s">
        <v>377</v>
      </c>
      <c r="BN430" s="322">
        <v>21785.946306999998</v>
      </c>
      <c r="BO430" s="322">
        <v>2273.3419349999999</v>
      </c>
      <c r="BP430" s="10">
        <v>9285</v>
      </c>
      <c r="BQ430" s="254">
        <f t="shared" si="176"/>
        <v>2.346359322240172</v>
      </c>
      <c r="BR430" s="254">
        <f t="shared" si="177"/>
        <v>0.24484027302100161</v>
      </c>
      <c r="BS430" s="25">
        <v>67.384311935196891</v>
      </c>
      <c r="BT430" s="25">
        <v>100</v>
      </c>
      <c r="BU430" s="25">
        <v>55.747513848159002</v>
      </c>
      <c r="BV430" s="25">
        <v>91.81301822465862</v>
      </c>
      <c r="BW430" s="25">
        <v>59.91700134849021</v>
      </c>
      <c r="BX430" s="25">
        <v>78.736211002003628</v>
      </c>
      <c r="BY430" s="25">
        <v>61.410664403240631</v>
      </c>
      <c r="BZ430">
        <v>82</v>
      </c>
      <c r="CA430">
        <v>0</v>
      </c>
      <c r="CB430">
        <v>6</v>
      </c>
      <c r="CC430">
        <v>12283.09549</v>
      </c>
      <c r="CD430" s="10">
        <v>3299.9689079999998</v>
      </c>
      <c r="CE430" s="255">
        <v>0.26865938726004318</v>
      </c>
      <c r="CF430" t="str">
        <f>IFERROR(VLOOKUP(CE430,'Rangos amb etnico'!$A$2:$C$6,3,9),"N.D.")</f>
        <v>0,1% - 30%</v>
      </c>
      <c r="CG430" s="256">
        <v>9.600853531176328E-5</v>
      </c>
      <c r="CH430" s="232">
        <v>0</v>
      </c>
      <c r="CI430" s="311">
        <f t="shared" si="184"/>
        <v>0</v>
      </c>
      <c r="CJ430" s="232">
        <f>IFERROR(VLOOKUP(CI430,'Rangos amb etnico'!$A$2:$C$6,3,9),"N.D.")</f>
        <v>0</v>
      </c>
      <c r="CK430" s="311">
        <f t="shared" si="185"/>
        <v>0</v>
      </c>
      <c r="CL430" s="10">
        <v>0</v>
      </c>
      <c r="CM430" s="255">
        <f t="shared" si="186"/>
        <v>0</v>
      </c>
      <c r="CN430" s="232">
        <f>IFERROR(VLOOKUP(CM430,'Rangos amb etnico'!$A$2:$C$6,3,9),"N.D.")</f>
        <v>0</v>
      </c>
      <c r="CO430" s="311">
        <f t="shared" si="187"/>
        <v>0</v>
      </c>
      <c r="CP430">
        <v>0.95240099636569164</v>
      </c>
      <c r="CQ430" t="s">
        <v>2864</v>
      </c>
      <c r="CR430">
        <f t="shared" si="178"/>
        <v>4</v>
      </c>
      <c r="CS430" t="str">
        <f t="shared" si="188"/>
        <v>Candidato</v>
      </c>
      <c r="CT430">
        <v>0</v>
      </c>
      <c r="CU430">
        <v>0</v>
      </c>
      <c r="CV430" s="25">
        <v>51.621952056884773</v>
      </c>
      <c r="CW430" s="25">
        <v>26.771478652954102</v>
      </c>
      <c r="CX430" s="25">
        <v>45.372135162353523</v>
      </c>
      <c r="CY430" s="25">
        <v>71.361045837402344</v>
      </c>
      <c r="CZ430" s="25">
        <v>54.009120941162109</v>
      </c>
      <c r="DA430" s="25">
        <v>61.286903381347663</v>
      </c>
      <c r="DB430" s="25">
        <v>50.931018829345703</v>
      </c>
      <c r="DC430">
        <v>57</v>
      </c>
      <c r="DD430" s="253" t="s">
        <v>380</v>
      </c>
    </row>
    <row r="431" spans="1:108" hidden="1">
      <c r="A431" s="13">
        <v>15762</v>
      </c>
      <c r="B431" s="13" t="s">
        <v>1314</v>
      </c>
      <c r="C431" s="13" t="s">
        <v>498</v>
      </c>
      <c r="D431" s="13" t="s">
        <v>499</v>
      </c>
      <c r="E431" s="13" t="s">
        <v>1315</v>
      </c>
      <c r="F431" s="14">
        <v>63.2601333333333</v>
      </c>
      <c r="G431" s="13">
        <v>52.17</v>
      </c>
      <c r="H431" s="13">
        <v>56.01</v>
      </c>
      <c r="I431" s="13">
        <v>82.13</v>
      </c>
      <c r="J431" s="14">
        <v>62.19329137005554</v>
      </c>
      <c r="K431" s="14">
        <v>68.295001670527</v>
      </c>
      <c r="L431" s="14">
        <v>59.730424008467978</v>
      </c>
      <c r="M431" s="14">
        <v>63.601900000000001</v>
      </c>
      <c r="N431" s="14">
        <f t="shared" si="162"/>
        <v>63.392533333333326</v>
      </c>
      <c r="O431" s="14">
        <f t="shared" si="163"/>
        <v>63.455154262262624</v>
      </c>
      <c r="P431" s="14">
        <f t="shared" si="179"/>
        <v>63.423843797797971</v>
      </c>
      <c r="Q431" s="14">
        <v>52.314075206985265</v>
      </c>
      <c r="R431" s="17">
        <f t="shared" si="164"/>
        <v>47.685924793014735</v>
      </c>
      <c r="S431" s="14">
        <f t="shared" si="180"/>
        <v>0.52917332313713261</v>
      </c>
      <c r="T431" s="13">
        <v>0</v>
      </c>
      <c r="U431" s="13">
        <f t="shared" si="181"/>
        <v>33.562206188611171</v>
      </c>
      <c r="V431" s="13">
        <f>IF($T431=1,$AU431,(VLOOKUP(U431,'Cortes naturales'!$A$35:$C$39,3,9)))</f>
        <v>3</v>
      </c>
      <c r="W431" s="13">
        <v>3</v>
      </c>
      <c r="X431" s="14" t="b">
        <f t="shared" si="165"/>
        <v>1</v>
      </c>
      <c r="Y431" s="17">
        <f>IF($T431=1,$AU431,VLOOKUP(U431,'Cortes naturales'!$A$45:$C$49,3,9))</f>
        <v>3</v>
      </c>
      <c r="Z431" s="14">
        <v>58.87284838073532</v>
      </c>
      <c r="AA431" s="14">
        <v>0.54068311234290689</v>
      </c>
      <c r="AB431" s="14">
        <v>31.831554894988038</v>
      </c>
      <c r="AC431" s="13">
        <v>3</v>
      </c>
      <c r="AD431" s="13">
        <f t="shared" si="166"/>
        <v>0</v>
      </c>
      <c r="AE431" s="14">
        <f t="shared" si="167"/>
        <v>4.5509954170626514</v>
      </c>
      <c r="AF431" s="14">
        <f t="shared" si="168"/>
        <v>-1.1509789205774279E-2</v>
      </c>
      <c r="AG431" s="13">
        <f t="shared" si="169"/>
        <v>1.7306512936231329</v>
      </c>
      <c r="AH431" s="13">
        <f>IF($T431=1,$AU431,VLOOKUP(U431,'Cortes naturales'!$A$25:$C$29,3,9))</f>
        <v>3</v>
      </c>
      <c r="AI431" s="13" t="b">
        <f t="shared" si="170"/>
        <v>1</v>
      </c>
      <c r="AJ431" s="13">
        <f t="shared" si="171"/>
        <v>0</v>
      </c>
      <c r="AK431" s="28">
        <v>0.81759069605862034</v>
      </c>
      <c r="AL431" s="28">
        <v>48.133893086559013</v>
      </c>
      <c r="AM431" s="28">
        <v>0.43147825276511376</v>
      </c>
      <c r="AN431" s="13">
        <v>3</v>
      </c>
      <c r="AO431" s="33">
        <f t="shared" si="172"/>
        <v>0</v>
      </c>
      <c r="AP431" s="13">
        <f t="shared" si="182"/>
        <v>43.147825276511377</v>
      </c>
      <c r="AQ431" s="13">
        <f>IFERROR(VLOOKUP(U431,'Cortes naturales'!$E$15:$G$19,3,9),U431)</f>
        <v>4</v>
      </c>
      <c r="AR431" s="28">
        <f t="shared" si="173"/>
        <v>-0.28841737292148772</v>
      </c>
      <c r="AS431" s="13" t="b">
        <f t="shared" si="174"/>
        <v>0</v>
      </c>
      <c r="AT431" s="13">
        <f t="shared" si="183"/>
        <v>0</v>
      </c>
      <c r="AU431" s="13">
        <v>3</v>
      </c>
      <c r="AV431">
        <f t="shared" si="175"/>
        <v>0</v>
      </c>
      <c r="AW431" s="13">
        <v>0</v>
      </c>
      <c r="AX431" s="13">
        <v>0</v>
      </c>
      <c r="AY431" s="13">
        <v>0</v>
      </c>
      <c r="AZ431" s="13">
        <v>0</v>
      </c>
      <c r="BA431">
        <v>0</v>
      </c>
      <c r="BB431" t="s">
        <v>2840</v>
      </c>
      <c r="BC431">
        <v>6</v>
      </c>
      <c r="BD431" t="s">
        <v>2919</v>
      </c>
      <c r="BE431">
        <v>0</v>
      </c>
      <c r="BF431" s="232" t="s">
        <v>2846</v>
      </c>
      <c r="BG431" s="232" t="s">
        <v>2846</v>
      </c>
      <c r="BH431" s="253">
        <v>55.3</v>
      </c>
      <c r="BI431" s="253">
        <v>14.810518174787317</v>
      </c>
      <c r="BJ431" s="25">
        <v>27.610491578333505</v>
      </c>
      <c r="BK431" t="s">
        <v>379</v>
      </c>
      <c r="BL431">
        <v>0</v>
      </c>
      <c r="BM431" t="s">
        <v>377</v>
      </c>
      <c r="BN431" s="322">
        <v>17850.901766999999</v>
      </c>
      <c r="BO431" s="322">
        <v>838.19982300000004</v>
      </c>
      <c r="BP431" s="10">
        <v>3150</v>
      </c>
      <c r="BQ431" s="254">
        <f t="shared" si="176"/>
        <v>5.6669529419047615</v>
      </c>
      <c r="BR431" s="254">
        <f t="shared" si="177"/>
        <v>0.26609518190476189</v>
      </c>
      <c r="BS431" s="25">
        <v>63.25050875050875</v>
      </c>
      <c r="BT431" s="25">
        <v>90.687830687830683</v>
      </c>
      <c r="BU431" s="25">
        <v>33.401706132361873</v>
      </c>
      <c r="BV431" s="25">
        <v>94.272412342424047</v>
      </c>
      <c r="BW431" s="25">
        <v>61.445480537076499</v>
      </c>
      <c r="BX431" s="25">
        <v>70.403114478281339</v>
      </c>
      <c r="BY431" s="25">
        <v>61.55671984682111</v>
      </c>
      <c r="BZ431">
        <v>79</v>
      </c>
      <c r="CA431">
        <v>0</v>
      </c>
      <c r="CB431">
        <v>7</v>
      </c>
      <c r="CC431">
        <v>4776.5547290000004</v>
      </c>
      <c r="CD431" s="10">
        <v>1147.578636</v>
      </c>
      <c r="CE431" s="255">
        <v>0.24025237877683697</v>
      </c>
      <c r="CF431" t="str">
        <f>IFERROR(VLOOKUP(CE431,'Rangos amb etnico'!$A$2:$C$6,3,9),"N.D.")</f>
        <v>0,1% - 30%</v>
      </c>
      <c r="CG431" s="256">
        <v>3.338738850851959E-5</v>
      </c>
      <c r="CH431" s="232">
        <v>0</v>
      </c>
      <c r="CI431" s="311">
        <f t="shared" si="184"/>
        <v>0</v>
      </c>
      <c r="CJ431" s="232">
        <f>IFERROR(VLOOKUP(CI431,'Rangos amb etnico'!$A$2:$C$6,3,9),"N.D.")</f>
        <v>0</v>
      </c>
      <c r="CK431" s="311">
        <f t="shared" si="185"/>
        <v>0</v>
      </c>
      <c r="CL431" s="10">
        <v>0</v>
      </c>
      <c r="CM431" s="255">
        <f t="shared" si="186"/>
        <v>0</v>
      </c>
      <c r="CN431" s="232">
        <f>IFERROR(VLOOKUP(CM431,'Rangos amb etnico'!$A$2:$C$6,3,9),"N.D.")</f>
        <v>0</v>
      </c>
      <c r="CO431" s="311">
        <f t="shared" si="187"/>
        <v>0</v>
      </c>
      <c r="CP431">
        <v>0.9508355329552487</v>
      </c>
      <c r="CQ431" t="s">
        <v>2864</v>
      </c>
      <c r="CR431">
        <f t="shared" si="178"/>
        <v>4</v>
      </c>
      <c r="CS431" t="str">
        <f t="shared" si="188"/>
        <v>Candidato</v>
      </c>
      <c r="CT431">
        <v>0</v>
      </c>
      <c r="CU431">
        <v>0</v>
      </c>
      <c r="CV431" s="25">
        <v>53.786701202392578</v>
      </c>
      <c r="CW431" s="25">
        <v>21.986494064331051</v>
      </c>
      <c r="CX431" s="25">
        <v>51.354427337646477</v>
      </c>
      <c r="CY431" s="25">
        <v>66.99383544921875</v>
      </c>
      <c r="CZ431" s="25">
        <v>64.105873107910156</v>
      </c>
      <c r="DA431" s="25">
        <v>69.193046569824219</v>
      </c>
      <c r="DB431" s="25">
        <v>49.086536407470703</v>
      </c>
      <c r="DC431">
        <v>13</v>
      </c>
      <c r="DD431" s="253" t="s">
        <v>380</v>
      </c>
    </row>
    <row r="432" spans="1:108" hidden="1">
      <c r="A432" s="13">
        <v>41503</v>
      </c>
      <c r="B432" s="13" t="s">
        <v>1316</v>
      </c>
      <c r="C432" s="13" t="s">
        <v>676</v>
      </c>
      <c r="D432" s="13" t="s">
        <v>677</v>
      </c>
      <c r="E432" s="13" t="s">
        <v>1317</v>
      </c>
      <c r="F432" s="14">
        <v>56.291833333333301</v>
      </c>
      <c r="G432" s="13">
        <v>54.05</v>
      </c>
      <c r="H432" s="13">
        <v>33.26</v>
      </c>
      <c r="I432" s="13">
        <v>71.709999999999994</v>
      </c>
      <c r="J432" s="14">
        <v>49.845874001751937</v>
      </c>
      <c r="K432" s="14">
        <v>46.512224530959443</v>
      </c>
      <c r="L432" s="14">
        <v>53.67262684040989</v>
      </c>
      <c r="M432" s="14">
        <v>54.109000000000002</v>
      </c>
      <c r="N432" s="14">
        <f t="shared" si="162"/>
        <v>53.827958333333328</v>
      </c>
      <c r="O432" s="14">
        <f t="shared" si="163"/>
        <v>51.03493134328032</v>
      </c>
      <c r="P432" s="14">
        <f t="shared" si="179"/>
        <v>52.431444838306824</v>
      </c>
      <c r="Q432" s="14">
        <v>52.194439516800436</v>
      </c>
      <c r="R432" s="17">
        <f t="shared" si="164"/>
        <v>47.805560483199564</v>
      </c>
      <c r="S432" s="14">
        <f t="shared" si="180"/>
        <v>0.53025004434879608</v>
      </c>
      <c r="T432" s="13">
        <v>0</v>
      </c>
      <c r="U432" s="13">
        <f t="shared" si="181"/>
        <v>27.80177595078365</v>
      </c>
      <c r="V432" s="13">
        <f>IF($T432=1,$AU432,(VLOOKUP(U432,'Cortes naturales'!$A$35:$C$39,3,9)))</f>
        <v>4</v>
      </c>
      <c r="W432" s="13">
        <v>4</v>
      </c>
      <c r="X432" s="14" t="b">
        <f t="shared" si="165"/>
        <v>1</v>
      </c>
      <c r="Y432" s="17">
        <f>IF($T432=1,$AU432,VLOOKUP(U432,'Cortes naturales'!$A$45:$C$49,3,9))</f>
        <v>4</v>
      </c>
      <c r="Z432" s="14">
        <v>49.028574956810608</v>
      </c>
      <c r="AA432" s="14">
        <v>0.54013370715918474</v>
      </c>
      <c r="AB432" s="14">
        <v>26.48198594815408</v>
      </c>
      <c r="AC432" s="13">
        <v>4</v>
      </c>
      <c r="AD432" s="13">
        <f t="shared" si="166"/>
        <v>0</v>
      </c>
      <c r="AE432" s="14">
        <f t="shared" si="167"/>
        <v>3.4028698814962155</v>
      </c>
      <c r="AF432" s="14">
        <f t="shared" si="168"/>
        <v>-9.8836628103886603E-3</v>
      </c>
      <c r="AG432" s="13">
        <f t="shared" si="169"/>
        <v>1.3197900026295706</v>
      </c>
      <c r="AH432" s="13">
        <f>IF($T432=1,$AU432,VLOOKUP(U432,'Cortes naturales'!$A$25:$C$29,3,9))</f>
        <v>3</v>
      </c>
      <c r="AI432" s="13" t="b">
        <f t="shared" si="170"/>
        <v>0</v>
      </c>
      <c r="AJ432" s="13">
        <f t="shared" si="171"/>
        <v>0</v>
      </c>
      <c r="AK432" s="28">
        <v>0.81759069605862034</v>
      </c>
      <c r="AL432" s="28">
        <v>40.085306725701024</v>
      </c>
      <c r="AM432" s="28">
        <v>0.33079892140049955</v>
      </c>
      <c r="AN432" s="13">
        <v>4</v>
      </c>
      <c r="AO432" s="33">
        <f t="shared" si="172"/>
        <v>0</v>
      </c>
      <c r="AP432" s="13">
        <f t="shared" si="182"/>
        <v>33.079892140049957</v>
      </c>
      <c r="AQ432" s="13">
        <f>IFERROR(VLOOKUP(U432,'Cortes naturales'!$E$15:$G$19,3,9),U432)</f>
        <v>4</v>
      </c>
      <c r="AR432" s="28">
        <f t="shared" si="173"/>
        <v>-0.28734065170982426</v>
      </c>
      <c r="AS432" s="13" t="b">
        <f t="shared" si="174"/>
        <v>1</v>
      </c>
      <c r="AT432" s="13">
        <f t="shared" si="183"/>
        <v>0</v>
      </c>
      <c r="AU432" s="13">
        <v>3</v>
      </c>
      <c r="AV432">
        <f t="shared" si="175"/>
        <v>-1</v>
      </c>
      <c r="AW432" s="13">
        <v>0</v>
      </c>
      <c r="AX432" s="13">
        <v>0</v>
      </c>
      <c r="AY432" s="13">
        <v>0</v>
      </c>
      <c r="AZ432" s="13">
        <v>0</v>
      </c>
      <c r="BA432">
        <v>0</v>
      </c>
      <c r="BB432" t="s">
        <v>2840</v>
      </c>
      <c r="BC432">
        <v>6</v>
      </c>
      <c r="BD432" t="s">
        <v>2919</v>
      </c>
      <c r="BE432">
        <v>0</v>
      </c>
      <c r="BF432" s="232" t="s">
        <v>2846</v>
      </c>
      <c r="BG432" s="232" t="s">
        <v>2845</v>
      </c>
      <c r="BH432" s="253">
        <v>58.5</v>
      </c>
      <c r="BI432" s="253">
        <v>18.405184051840518</v>
      </c>
      <c r="BJ432" s="25">
        <v>9.8387499999999992</v>
      </c>
      <c r="BK432" t="s">
        <v>377</v>
      </c>
      <c r="BL432">
        <v>4.3218285216990306</v>
      </c>
      <c r="BM432" t="s">
        <v>383</v>
      </c>
      <c r="BN432" s="322">
        <v>33848.123671000001</v>
      </c>
      <c r="BO432" s="322">
        <v>1790.1918470000001</v>
      </c>
      <c r="BP432" s="10">
        <v>12309</v>
      </c>
      <c r="BQ432" s="254">
        <f t="shared" si="176"/>
        <v>2.7498678748070517</v>
      </c>
      <c r="BR432" s="254">
        <f t="shared" si="177"/>
        <v>0.14543763482005037</v>
      </c>
      <c r="BS432" s="25">
        <v>60.121099388747488</v>
      </c>
      <c r="BT432" s="25">
        <v>98.397825439380412</v>
      </c>
      <c r="BU432" s="25">
        <v>37.984272307248027</v>
      </c>
      <c r="BV432" s="25">
        <v>89.809584167328694</v>
      </c>
      <c r="BW432" s="25">
        <v>52.108700959496517</v>
      </c>
      <c r="BX432" s="25">
        <v>71.578195325676148</v>
      </c>
      <c r="BY432" s="25">
        <v>51.657109728797629</v>
      </c>
      <c r="BZ432">
        <v>54</v>
      </c>
      <c r="CA432">
        <v>0</v>
      </c>
      <c r="CB432">
        <v>7</v>
      </c>
      <c r="CC432">
        <v>15582.073723</v>
      </c>
      <c r="CD432" s="10">
        <v>9608.9837549999993</v>
      </c>
      <c r="CE432" s="255">
        <v>0.61666912413696318</v>
      </c>
      <c r="CF432" t="str">
        <f>IFERROR(VLOOKUP(CE432,'Rangos amb etnico'!$A$2:$C$6,3,9),"N.D.")</f>
        <v>51% - 70%</v>
      </c>
      <c r="CG432" s="256">
        <v>2.7956156008487979E-4</v>
      </c>
      <c r="CH432" s="232">
        <v>153.149619</v>
      </c>
      <c r="CI432" s="311">
        <f t="shared" si="184"/>
        <v>9.8285774873432107E-3</v>
      </c>
      <c r="CJ432" s="232" t="str">
        <f>IFERROR(VLOOKUP(CI432,'Rangos amb etnico'!$A$2:$C$6,3,9),"N.D.")</f>
        <v>0,1% - 30%</v>
      </c>
      <c r="CK432" s="311">
        <f t="shared" si="185"/>
        <v>6.0810425755594643E-6</v>
      </c>
      <c r="CL432" s="10">
        <v>0</v>
      </c>
      <c r="CM432" s="255">
        <f t="shared" si="186"/>
        <v>0</v>
      </c>
      <c r="CN432" s="232">
        <f>IFERROR(VLOOKUP(CM432,'Rangos amb etnico'!$A$2:$C$6,3,9),"N.D.")</f>
        <v>0</v>
      </c>
      <c r="CO432" s="311">
        <f t="shared" si="187"/>
        <v>0</v>
      </c>
      <c r="CP432">
        <v>0.89352003989603035</v>
      </c>
      <c r="CQ432" t="s">
        <v>2864</v>
      </c>
      <c r="CR432">
        <f t="shared" si="178"/>
        <v>2</v>
      </c>
      <c r="CS432" t="str">
        <f t="shared" si="188"/>
        <v>No es Candidato</v>
      </c>
      <c r="CT432">
        <v>0</v>
      </c>
      <c r="CU432">
        <v>0</v>
      </c>
      <c r="CV432" s="25">
        <v>44.205554962158203</v>
      </c>
      <c r="CW432" s="25">
        <v>17.406162261962891</v>
      </c>
      <c r="CX432" s="25">
        <v>50.777393341064453</v>
      </c>
      <c r="CY432" s="25">
        <v>51.504234313964837</v>
      </c>
      <c r="CZ432" s="25">
        <v>28.704530715942379</v>
      </c>
      <c r="DA432" s="25">
        <v>59.668697357177727</v>
      </c>
      <c r="DB432" s="25">
        <v>57.172321319580078</v>
      </c>
      <c r="DC432">
        <v>55</v>
      </c>
      <c r="DD432" s="253" t="s">
        <v>380</v>
      </c>
    </row>
    <row r="433" spans="1:108" hidden="1">
      <c r="A433" s="13">
        <v>23574</v>
      </c>
      <c r="B433" s="13" t="s">
        <v>1318</v>
      </c>
      <c r="C433" s="13" t="s">
        <v>567</v>
      </c>
      <c r="D433" s="13" t="s">
        <v>568</v>
      </c>
      <c r="E433" s="13" t="s">
        <v>1319</v>
      </c>
      <c r="F433" s="14">
        <v>40.959933333333296</v>
      </c>
      <c r="G433" s="13">
        <v>29.83</v>
      </c>
      <c r="H433" s="13">
        <v>32.76</v>
      </c>
      <c r="I433" s="13">
        <v>41.21</v>
      </c>
      <c r="J433" s="14">
        <v>64.493972922140443</v>
      </c>
      <c r="K433" s="14">
        <v>60.057440543687576</v>
      </c>
      <c r="L433" s="14">
        <v>52.59358029514398</v>
      </c>
      <c r="M433" s="14">
        <v>64.830500000000001</v>
      </c>
      <c r="N433" s="14">
        <f t="shared" si="162"/>
        <v>36.189983333333323</v>
      </c>
      <c r="O433" s="14">
        <f t="shared" si="163"/>
        <v>60.493873440243</v>
      </c>
      <c r="P433" s="14">
        <f t="shared" si="179"/>
        <v>48.341928386788162</v>
      </c>
      <c r="Q433" s="14">
        <v>52.787180832362679</v>
      </c>
      <c r="R433" s="17">
        <f t="shared" si="164"/>
        <v>47.212819167637321</v>
      </c>
      <c r="S433" s="14">
        <f t="shared" si="180"/>
        <v>0.52491537250873588</v>
      </c>
      <c r="T433" s="13">
        <v>0</v>
      </c>
      <c r="U433" s="13">
        <f t="shared" si="181"/>
        <v>25.37542134694154</v>
      </c>
      <c r="V433" s="13">
        <f>IF($T433=1,$AU433,(VLOOKUP(U433,'Cortes naturales'!$A$35:$C$39,3,9)))</f>
        <v>4</v>
      </c>
      <c r="W433" s="13">
        <v>4</v>
      </c>
      <c r="X433" s="14" t="b">
        <f t="shared" si="165"/>
        <v>1</v>
      </c>
      <c r="Y433" s="17">
        <f>IF($T433=1,$AU433,VLOOKUP(U433,'Cortes naturales'!$A$45:$C$49,3,9))</f>
        <v>4</v>
      </c>
      <c r="Z433" s="14">
        <v>48.725199376678887</v>
      </c>
      <c r="AA433" s="14">
        <v>0.54100248266301254</v>
      </c>
      <c r="AB433" s="14">
        <v>26.360453831033549</v>
      </c>
      <c r="AC433" s="13">
        <v>4</v>
      </c>
      <c r="AD433" s="13">
        <f t="shared" si="166"/>
        <v>0</v>
      </c>
      <c r="AE433" s="14">
        <f t="shared" si="167"/>
        <v>-0.38327098989072539</v>
      </c>
      <c r="AF433" s="14">
        <f t="shared" si="168"/>
        <v>-1.6087110154276663E-2</v>
      </c>
      <c r="AG433" s="13">
        <f t="shared" si="169"/>
        <v>-0.9850324840920095</v>
      </c>
      <c r="AH433" s="13">
        <f>IF($T433=1,$AU433,VLOOKUP(U433,'Cortes naturales'!$A$25:$C$29,3,9))</f>
        <v>4</v>
      </c>
      <c r="AI433" s="13" t="b">
        <f t="shared" si="170"/>
        <v>1</v>
      </c>
      <c r="AJ433" s="13">
        <f t="shared" si="171"/>
        <v>0</v>
      </c>
      <c r="AK433" s="28">
        <v>0.81759069605862034</v>
      </c>
      <c r="AL433" s="28">
        <v>39.837269673973942</v>
      </c>
      <c r="AM433" s="28">
        <v>0.32769623933909081</v>
      </c>
      <c r="AN433" s="13">
        <v>4</v>
      </c>
      <c r="AO433" s="33">
        <f t="shared" si="172"/>
        <v>0</v>
      </c>
      <c r="AP433" s="13">
        <f t="shared" si="182"/>
        <v>32.769623933909081</v>
      </c>
      <c r="AQ433" s="13">
        <f>IFERROR(VLOOKUP(U433,'Cortes naturales'!$E$15:$G$19,3,9),U433)</f>
        <v>4</v>
      </c>
      <c r="AR433" s="28">
        <f t="shared" si="173"/>
        <v>-0.29267532354988446</v>
      </c>
      <c r="AS433" s="13" t="b">
        <f t="shared" si="174"/>
        <v>1</v>
      </c>
      <c r="AT433" s="13">
        <f t="shared" si="183"/>
        <v>0</v>
      </c>
      <c r="AU433" s="13">
        <v>4</v>
      </c>
      <c r="AV433">
        <f t="shared" si="175"/>
        <v>0</v>
      </c>
      <c r="AW433" s="13">
        <v>0</v>
      </c>
      <c r="AX433" s="13">
        <v>0</v>
      </c>
      <c r="AY433" s="13">
        <v>0</v>
      </c>
      <c r="AZ433" s="13">
        <v>0</v>
      </c>
      <c r="BA433">
        <v>0</v>
      </c>
      <c r="BB433" t="s">
        <v>2840</v>
      </c>
      <c r="BC433">
        <v>6</v>
      </c>
      <c r="BD433" t="s">
        <v>2919</v>
      </c>
      <c r="BE433">
        <v>1</v>
      </c>
      <c r="BF433" s="232" t="s">
        <v>2846</v>
      </c>
      <c r="BG433" s="232" t="s">
        <v>2845</v>
      </c>
      <c r="BH433" s="253">
        <v>67.900000000000006</v>
      </c>
      <c r="BI433" s="253">
        <v>73.790695286022384</v>
      </c>
      <c r="BJ433" s="25">
        <v>78.984999999999999</v>
      </c>
      <c r="BK433" t="s">
        <v>376</v>
      </c>
      <c r="BL433">
        <v>1.3545554195898946</v>
      </c>
      <c r="BM433" t="s">
        <v>383</v>
      </c>
      <c r="BN433" s="322">
        <v>68191.864415000004</v>
      </c>
      <c r="BO433" s="322">
        <v>5802.1997549999996</v>
      </c>
      <c r="BP433" s="10">
        <v>24650</v>
      </c>
      <c r="BQ433" s="254">
        <f t="shared" si="176"/>
        <v>2.7664042359026371</v>
      </c>
      <c r="BR433" s="254">
        <f t="shared" si="177"/>
        <v>0.23538335720081136</v>
      </c>
      <c r="BS433" s="25">
        <v>52.420725366026673</v>
      </c>
      <c r="BT433" s="25">
        <v>89.157088122605373</v>
      </c>
      <c r="BU433" s="25">
        <v>36.86407611468217</v>
      </c>
      <c r="BV433" s="25">
        <v>97.870079357949791</v>
      </c>
      <c r="BW433" s="25">
        <v>50.267685067960763</v>
      </c>
      <c r="BX433" s="25">
        <v>69.077992240316007</v>
      </c>
      <c r="BY433" s="25">
        <v>49.604716096076878</v>
      </c>
      <c r="BZ433">
        <v>56</v>
      </c>
      <c r="CA433">
        <v>0</v>
      </c>
      <c r="CB433">
        <v>7</v>
      </c>
      <c r="CC433">
        <v>41117.702839999998</v>
      </c>
      <c r="CD433" s="10">
        <v>773.58755499999995</v>
      </c>
      <c r="CE433" s="255">
        <v>1.8813977960058625E-2</v>
      </c>
      <c r="CF433" t="str">
        <f>IFERROR(VLOOKUP(CE433,'Rangos amb etnico'!$A$2:$C$6,3,9),"N.D.")</f>
        <v>0,1% - 30%</v>
      </c>
      <c r="CG433" s="256">
        <v>2.2506578141056267E-5</v>
      </c>
      <c r="CH433" s="232">
        <v>0</v>
      </c>
      <c r="CI433" s="311">
        <f t="shared" si="184"/>
        <v>0</v>
      </c>
      <c r="CJ433" s="232">
        <f>IFERROR(VLOOKUP(CI433,'Rangos amb etnico'!$A$2:$C$6,3,9),"N.D.")</f>
        <v>0</v>
      </c>
      <c r="CK433" s="311">
        <f t="shared" si="185"/>
        <v>0</v>
      </c>
      <c r="CL433" s="10">
        <v>0</v>
      </c>
      <c r="CM433" s="255">
        <f t="shared" si="186"/>
        <v>0</v>
      </c>
      <c r="CN433" s="232">
        <f>IFERROR(VLOOKUP(CM433,'Rangos amb etnico'!$A$2:$C$6,3,9),"N.D.")</f>
        <v>0</v>
      </c>
      <c r="CO433" s="311">
        <f t="shared" si="187"/>
        <v>0</v>
      </c>
      <c r="CP433">
        <v>0.87011614142799254</v>
      </c>
      <c r="CQ433" t="s">
        <v>2864</v>
      </c>
      <c r="CR433">
        <f t="shared" si="178"/>
        <v>2</v>
      </c>
      <c r="CS433" t="str">
        <f t="shared" si="188"/>
        <v>No es Candidato</v>
      </c>
      <c r="CT433">
        <v>0</v>
      </c>
      <c r="CU433">
        <v>0</v>
      </c>
      <c r="CV433" s="25">
        <v>51.526599884033203</v>
      </c>
      <c r="CW433" s="25">
        <v>25.035432815551761</v>
      </c>
      <c r="CX433" s="25">
        <v>56.659633636474609</v>
      </c>
      <c r="CY433" s="25">
        <v>48.434642791748047</v>
      </c>
      <c r="CZ433" s="25">
        <v>34.40618896484375</v>
      </c>
      <c r="DA433" s="25">
        <v>98.804679870605469</v>
      </c>
      <c r="DB433" s="25">
        <v>45.819011688232422</v>
      </c>
      <c r="DC433">
        <v>18392</v>
      </c>
      <c r="DD433" s="253" t="s">
        <v>380</v>
      </c>
    </row>
    <row r="434" spans="1:108" hidden="1">
      <c r="A434" s="13">
        <v>41548</v>
      </c>
      <c r="B434" s="13" t="s">
        <v>1320</v>
      </c>
      <c r="C434" s="13" t="s">
        <v>676</v>
      </c>
      <c r="D434" s="13" t="s">
        <v>677</v>
      </c>
      <c r="E434" s="13" t="s">
        <v>1321</v>
      </c>
      <c r="F434" s="14">
        <v>60.6850666666667</v>
      </c>
      <c r="G434" s="13">
        <v>51.83</v>
      </c>
      <c r="H434" s="13">
        <v>29.17</v>
      </c>
      <c r="I434" s="13">
        <v>59.49</v>
      </c>
      <c r="J434" s="14">
        <v>55.120851322339263</v>
      </c>
      <c r="K434" s="14">
        <v>50.638397561360733</v>
      </c>
      <c r="L434" s="14">
        <v>56.051888755208182</v>
      </c>
      <c r="M434" s="14">
        <v>56.109000000000002</v>
      </c>
      <c r="N434" s="14">
        <f t="shared" si="162"/>
        <v>50.293766666666677</v>
      </c>
      <c r="O434" s="14">
        <f t="shared" si="163"/>
        <v>54.480034409727047</v>
      </c>
      <c r="P434" s="14">
        <f t="shared" si="179"/>
        <v>52.386900538196862</v>
      </c>
      <c r="Q434" s="14">
        <v>52.124309155787252</v>
      </c>
      <c r="R434" s="17">
        <f t="shared" si="164"/>
        <v>47.875690844212748</v>
      </c>
      <c r="S434" s="14">
        <f t="shared" si="180"/>
        <v>0.53088121759791473</v>
      </c>
      <c r="T434" s="13">
        <v>0</v>
      </c>
      <c r="U434" s="13">
        <f t="shared" si="181"/>
        <v>27.811221543898803</v>
      </c>
      <c r="V434" s="13">
        <f>IF($T434=1,$AU434,(VLOOKUP(U434,'Cortes naturales'!$A$35:$C$39,3,9)))</f>
        <v>4</v>
      </c>
      <c r="W434" s="13">
        <v>4</v>
      </c>
      <c r="X434" s="14" t="b">
        <f t="shared" si="165"/>
        <v>1</v>
      </c>
      <c r="Y434" s="17">
        <f>IF($T434=1,$AU434,VLOOKUP(U434,'Cortes naturales'!$A$45:$C$49,3,9))</f>
        <v>4</v>
      </c>
      <c r="Z434" s="14">
        <v>51.988932511874864</v>
      </c>
      <c r="AA434" s="14">
        <v>0.54089463783744063</v>
      </c>
      <c r="AB434" s="14">
        <v>28.120534822565698</v>
      </c>
      <c r="AC434" s="13">
        <v>3</v>
      </c>
      <c r="AD434" s="13">
        <f t="shared" si="166"/>
        <v>-1</v>
      </c>
      <c r="AE434" s="14">
        <f t="shared" si="167"/>
        <v>0.39796802632199757</v>
      </c>
      <c r="AF434" s="14">
        <f t="shared" si="168"/>
        <v>-1.0013420239525894E-2</v>
      </c>
      <c r="AG434" s="13">
        <f t="shared" si="169"/>
        <v>-0.30931327866689529</v>
      </c>
      <c r="AH434" s="13">
        <f>IF($T434=1,$AU434,VLOOKUP(U434,'Cortes naturales'!$A$25:$C$29,3,9))</f>
        <v>3</v>
      </c>
      <c r="AI434" s="13" t="b">
        <f t="shared" si="170"/>
        <v>0</v>
      </c>
      <c r="AJ434" s="13" t="str">
        <f t="shared" si="171"/>
        <v>Cambio en corte</v>
      </c>
      <c r="AK434" s="28">
        <v>0.81759069605862034</v>
      </c>
      <c r="AL434" s="28">
        <v>42.505667519728405</v>
      </c>
      <c r="AM434" s="28">
        <v>0.36107508363302193</v>
      </c>
      <c r="AN434" s="13">
        <v>3</v>
      </c>
      <c r="AO434" s="33">
        <f t="shared" si="172"/>
        <v>-1</v>
      </c>
      <c r="AP434" s="13">
        <f t="shared" si="182"/>
        <v>36.107508363302195</v>
      </c>
      <c r="AQ434" s="13">
        <f>IFERROR(VLOOKUP(U434,'Cortes naturales'!$E$15:$G$19,3,9),U434)</f>
        <v>4</v>
      </c>
      <c r="AR434" s="28">
        <f t="shared" si="173"/>
        <v>-0.2867094784607056</v>
      </c>
      <c r="AS434" s="13" t="b">
        <f t="shared" si="174"/>
        <v>1</v>
      </c>
      <c r="AT434" s="13" t="str">
        <f t="shared" si="183"/>
        <v>Efecto ponderador</v>
      </c>
      <c r="AU434" s="13">
        <v>3</v>
      </c>
      <c r="AV434">
        <f t="shared" si="175"/>
        <v>-1</v>
      </c>
      <c r="AW434" s="13">
        <v>0</v>
      </c>
      <c r="AX434" s="13">
        <v>0</v>
      </c>
      <c r="AY434" s="13">
        <v>0</v>
      </c>
      <c r="AZ434" s="13">
        <v>0</v>
      </c>
      <c r="BA434">
        <v>0</v>
      </c>
      <c r="BB434" t="s">
        <v>2839</v>
      </c>
      <c r="BC434">
        <v>6</v>
      </c>
      <c r="BD434" t="s">
        <v>2919</v>
      </c>
      <c r="BE434">
        <v>0</v>
      </c>
      <c r="BF434" s="232" t="s">
        <v>2846</v>
      </c>
      <c r="BG434" s="232" t="s">
        <v>2845</v>
      </c>
      <c r="BH434" s="253">
        <v>43.9</v>
      </c>
      <c r="BI434" s="253">
        <v>15.742104401898215</v>
      </c>
      <c r="BJ434" s="25">
        <v>2.1500000000000004</v>
      </c>
      <c r="BK434" t="s">
        <v>381</v>
      </c>
      <c r="BL434">
        <v>7.6576272466583415</v>
      </c>
      <c r="BM434" t="s">
        <v>379</v>
      </c>
      <c r="BN434" s="322">
        <v>29663.437363000001</v>
      </c>
      <c r="BO434" s="322">
        <v>1545.898015</v>
      </c>
      <c r="BP434" s="10">
        <v>14641</v>
      </c>
      <c r="BQ434" s="254">
        <f t="shared" si="176"/>
        <v>2.0260526851307969</v>
      </c>
      <c r="BR434" s="254">
        <f t="shared" si="177"/>
        <v>0.10558691448671539</v>
      </c>
      <c r="BS434" s="25">
        <v>70.023535098050843</v>
      </c>
      <c r="BT434" s="25">
        <v>90.727970532522818</v>
      </c>
      <c r="BU434" s="25">
        <v>45.605141612200427</v>
      </c>
      <c r="BV434" s="25">
        <v>94.47066137935245</v>
      </c>
      <c r="BW434" s="25">
        <v>58.677211942106162</v>
      </c>
      <c r="BX434" s="25">
        <v>75.206827155531641</v>
      </c>
      <c r="BY434" s="25">
        <v>59.882236160582728</v>
      </c>
      <c r="BZ434">
        <v>30</v>
      </c>
      <c r="CA434">
        <v>0</v>
      </c>
      <c r="CB434">
        <v>7</v>
      </c>
      <c r="CC434">
        <v>19364.325081999999</v>
      </c>
      <c r="CD434" s="10">
        <v>11345.468967999999</v>
      </c>
      <c r="CE434" s="255">
        <v>0.58589539888204611</v>
      </c>
      <c r="CF434" t="str">
        <f>IFERROR(VLOOKUP(CE434,'Rangos amb etnico'!$A$2:$C$6,3,9),"N.D.")</f>
        <v>51% - 70%</v>
      </c>
      <c r="CG434" s="256">
        <v>3.3008246089897479E-4</v>
      </c>
      <c r="CH434" s="232">
        <v>0.52910900000000005</v>
      </c>
      <c r="CI434" s="311">
        <f t="shared" si="184"/>
        <v>2.7323906088099623E-5</v>
      </c>
      <c r="CJ434" s="232">
        <f>IFERROR(VLOOKUP(CI434,'Rangos amb etnico'!$A$2:$C$6,3,9),"N.D.")</f>
        <v>0</v>
      </c>
      <c r="CK434" s="311">
        <f t="shared" si="185"/>
        <v>2.1009091482700279E-8</v>
      </c>
      <c r="CL434" s="10">
        <v>0</v>
      </c>
      <c r="CM434" s="255">
        <f t="shared" si="186"/>
        <v>0</v>
      </c>
      <c r="CN434" s="232">
        <f>IFERROR(VLOOKUP(CM434,'Rangos amb etnico'!$A$2:$C$6,3,9),"N.D.")</f>
        <v>0</v>
      </c>
      <c r="CO434" s="311">
        <f t="shared" si="187"/>
        <v>0</v>
      </c>
      <c r="CP434">
        <v>0.8878059885666596</v>
      </c>
      <c r="CQ434" t="s">
        <v>2864</v>
      </c>
      <c r="CR434">
        <f t="shared" si="178"/>
        <v>1</v>
      </c>
      <c r="CS434" t="str">
        <f t="shared" si="188"/>
        <v>No es Candidato</v>
      </c>
      <c r="CT434">
        <v>0</v>
      </c>
      <c r="CU434">
        <v>0</v>
      </c>
      <c r="CV434" s="25">
        <v>45.694221496582031</v>
      </c>
      <c r="CW434" s="25">
        <v>22.196592330932621</v>
      </c>
      <c r="CX434" s="25">
        <v>53.144229888916023</v>
      </c>
      <c r="CY434" s="25">
        <v>62.009738922119141</v>
      </c>
      <c r="CZ434" s="25">
        <v>33.947383880615227</v>
      </c>
      <c r="DA434" s="25">
        <v>56.313457489013672</v>
      </c>
      <c r="DB434" s="25">
        <v>46.553928375244141</v>
      </c>
      <c r="DC434">
        <v>185</v>
      </c>
      <c r="DD434" s="253" t="s">
        <v>380</v>
      </c>
    </row>
    <row r="435" spans="1:108" hidden="1">
      <c r="A435" s="13">
        <v>41319</v>
      </c>
      <c r="B435" s="13" t="s">
        <v>1322</v>
      </c>
      <c r="C435" s="13" t="s">
        <v>676</v>
      </c>
      <c r="D435" s="13" t="s">
        <v>677</v>
      </c>
      <c r="E435" s="13" t="s">
        <v>1323</v>
      </c>
      <c r="F435" s="14">
        <v>55.6689333333333</v>
      </c>
      <c r="G435" s="13">
        <v>60.82</v>
      </c>
      <c r="H435" s="13">
        <v>57.67</v>
      </c>
      <c r="I435" s="13">
        <v>62.79</v>
      </c>
      <c r="J435" s="14">
        <v>61.732489893082118</v>
      </c>
      <c r="K435" s="14">
        <v>64.498698319733336</v>
      </c>
      <c r="L435" s="14">
        <v>47.667483041812986</v>
      </c>
      <c r="M435" s="14">
        <v>49.047800000000002</v>
      </c>
      <c r="N435" s="14">
        <f t="shared" si="162"/>
        <v>59.237233333333329</v>
      </c>
      <c r="O435" s="14">
        <f t="shared" si="163"/>
        <v>55.736617813657105</v>
      </c>
      <c r="P435" s="14">
        <f t="shared" si="179"/>
        <v>57.486925573495213</v>
      </c>
      <c r="Q435" s="14">
        <v>52.326552030976991</v>
      </c>
      <c r="R435" s="17">
        <f t="shared" si="164"/>
        <v>47.673447969023009</v>
      </c>
      <c r="S435" s="14">
        <f t="shared" si="180"/>
        <v>0.52906103172120711</v>
      </c>
      <c r="T435" s="13">
        <v>0</v>
      </c>
      <c r="U435" s="13">
        <f t="shared" si="181"/>
        <v>30.414092154393622</v>
      </c>
      <c r="V435" s="13">
        <f>IF($T435=1,$AU435,(VLOOKUP(U435,'Cortes naturales'!$A$35:$C$39,3,9)))</f>
        <v>3</v>
      </c>
      <c r="W435" s="13">
        <v>3</v>
      </c>
      <c r="X435" s="14" t="b">
        <f t="shared" si="165"/>
        <v>1</v>
      </c>
      <c r="Y435" s="17">
        <f>IF($T435=1,$AU435,VLOOKUP(U435,'Cortes naturales'!$A$45:$C$49,3,9))</f>
        <v>3</v>
      </c>
      <c r="Z435" s="14">
        <v>58.530895054925054</v>
      </c>
      <c r="AA435" s="14">
        <v>0.54095688569376754</v>
      </c>
      <c r="AB435" s="14">
        <v>31.662690705780996</v>
      </c>
      <c r="AC435" s="13">
        <v>3</v>
      </c>
      <c r="AD435" s="13">
        <f t="shared" si="166"/>
        <v>0</v>
      </c>
      <c r="AE435" s="14">
        <f t="shared" si="167"/>
        <v>-1.0439694814298406</v>
      </c>
      <c r="AF435" s="14">
        <f t="shared" si="168"/>
        <v>-1.1895853972560433E-2</v>
      </c>
      <c r="AG435" s="13">
        <f t="shared" si="169"/>
        <v>-1.2485985513873743</v>
      </c>
      <c r="AH435" s="13">
        <f>IF($T435=1,$AU435,VLOOKUP(U435,'Cortes naturales'!$A$25:$C$29,3,9))</f>
        <v>3</v>
      </c>
      <c r="AI435" s="13" t="b">
        <f t="shared" si="170"/>
        <v>1</v>
      </c>
      <c r="AJ435" s="13">
        <f t="shared" si="171"/>
        <v>0</v>
      </c>
      <c r="AK435" s="28">
        <v>0.81759069605862034</v>
      </c>
      <c r="AL435" s="28">
        <v>47.854315228890236</v>
      </c>
      <c r="AM435" s="28">
        <v>0.42798102846851777</v>
      </c>
      <c r="AN435" s="13">
        <v>3</v>
      </c>
      <c r="AO435" s="33">
        <f t="shared" si="172"/>
        <v>0</v>
      </c>
      <c r="AP435" s="13">
        <f t="shared" si="182"/>
        <v>42.798102846851776</v>
      </c>
      <c r="AQ435" s="13">
        <f>IFERROR(VLOOKUP(U435,'Cortes naturales'!$E$15:$G$19,3,9),U435)</f>
        <v>4</v>
      </c>
      <c r="AR435" s="28">
        <f t="shared" si="173"/>
        <v>-0.28852966433741323</v>
      </c>
      <c r="AS435" s="13" t="b">
        <f t="shared" si="174"/>
        <v>0</v>
      </c>
      <c r="AT435" s="13">
        <f t="shared" si="183"/>
        <v>0</v>
      </c>
      <c r="AU435" s="13">
        <v>3</v>
      </c>
      <c r="AV435">
        <f t="shared" si="175"/>
        <v>0</v>
      </c>
      <c r="AW435" s="13">
        <v>0</v>
      </c>
      <c r="AX435" s="13">
        <v>0</v>
      </c>
      <c r="AY435" s="13">
        <v>0</v>
      </c>
      <c r="AZ435" s="13">
        <v>0</v>
      </c>
      <c r="BA435">
        <v>0</v>
      </c>
      <c r="BB435" t="s">
        <v>2840</v>
      </c>
      <c r="BC435">
        <v>6</v>
      </c>
      <c r="BD435" t="s">
        <v>2919</v>
      </c>
      <c r="BE435">
        <v>0</v>
      </c>
      <c r="BF435" s="232" t="s">
        <v>2846</v>
      </c>
      <c r="BG435" s="232" t="s">
        <v>2845</v>
      </c>
      <c r="BH435" s="253">
        <v>43.2</v>
      </c>
      <c r="BI435" s="253">
        <v>18.450393700787401</v>
      </c>
      <c r="BJ435" s="25">
        <v>0</v>
      </c>
      <c r="BK435" t="s">
        <v>381</v>
      </c>
      <c r="BL435">
        <v>3.1390533042290993</v>
      </c>
      <c r="BM435" t="s">
        <v>383</v>
      </c>
      <c r="BN435" s="322">
        <v>37809.588066999997</v>
      </c>
      <c r="BO435" s="322">
        <v>3297.024469</v>
      </c>
      <c r="BP435" s="10">
        <v>18490</v>
      </c>
      <c r="BQ435" s="254">
        <f t="shared" si="176"/>
        <v>2.0448668505678742</v>
      </c>
      <c r="BR435" s="254">
        <f t="shared" si="177"/>
        <v>0.17831392477014602</v>
      </c>
      <c r="BS435" s="25">
        <v>57.970482717758351</v>
      </c>
      <c r="BT435" s="25">
        <v>100</v>
      </c>
      <c r="BU435" s="25">
        <v>62.491344086021492</v>
      </c>
      <c r="BV435" s="25">
        <v>90.689441385627404</v>
      </c>
      <c r="BW435" s="25">
        <v>62.567707291470462</v>
      </c>
      <c r="BX435" s="25">
        <v>77.787817047351808</v>
      </c>
      <c r="BY435" s="25">
        <v>63.591568670965053</v>
      </c>
      <c r="BZ435">
        <v>30</v>
      </c>
      <c r="CA435">
        <v>0</v>
      </c>
      <c r="CB435">
        <v>7</v>
      </c>
      <c r="CC435">
        <v>24953.561624000002</v>
      </c>
      <c r="CD435" s="10">
        <v>18796.859832999999</v>
      </c>
      <c r="CE435" s="255">
        <v>0.75327362547402577</v>
      </c>
      <c r="CF435" t="str">
        <f>IFERROR(VLOOKUP(CE435,'Rangos amb etnico'!$A$2:$C$6,3,9),"N.D.")</f>
        <v>71% - 100%</v>
      </c>
      <c r="CG435" s="256">
        <v>5.4687151041086276E-4</v>
      </c>
      <c r="CH435" s="232">
        <v>0</v>
      </c>
      <c r="CI435" s="311">
        <f t="shared" si="184"/>
        <v>0</v>
      </c>
      <c r="CJ435" s="232">
        <f>IFERROR(VLOOKUP(CI435,'Rangos amb etnico'!$A$2:$C$6,3,9),"N.D.")</f>
        <v>0</v>
      </c>
      <c r="CK435" s="311">
        <f t="shared" si="185"/>
        <v>0</v>
      </c>
      <c r="CL435" s="10">
        <v>0</v>
      </c>
      <c r="CM435" s="255">
        <f t="shared" si="186"/>
        <v>0</v>
      </c>
      <c r="CN435" s="232">
        <f>IFERROR(VLOOKUP(CM435,'Rangos amb etnico'!$A$2:$C$6,3,9),"N.D.")</f>
        <v>0</v>
      </c>
      <c r="CO435" s="311">
        <f t="shared" si="187"/>
        <v>0</v>
      </c>
      <c r="CP435">
        <v>0.94794945547741849</v>
      </c>
      <c r="CQ435" t="s">
        <v>2864</v>
      </c>
      <c r="CR435">
        <f t="shared" si="178"/>
        <v>3</v>
      </c>
      <c r="CS435" t="str">
        <f t="shared" si="188"/>
        <v>Candidato</v>
      </c>
      <c r="CT435">
        <v>0</v>
      </c>
      <c r="CU435">
        <v>0</v>
      </c>
      <c r="CV435" s="25">
        <v>46.538150787353523</v>
      </c>
      <c r="CW435" s="25">
        <v>24.158388137817379</v>
      </c>
      <c r="CX435" s="25">
        <v>46.641319274902337</v>
      </c>
      <c r="CY435" s="25">
        <v>76.314033508300781</v>
      </c>
      <c r="CZ435" s="25">
        <v>31.460390090942379</v>
      </c>
      <c r="DA435" s="25">
        <v>38.100200653076172</v>
      </c>
      <c r="DB435" s="25">
        <v>62.554580688476563</v>
      </c>
      <c r="DC435">
        <v>157</v>
      </c>
      <c r="DD435" s="253" t="s">
        <v>380</v>
      </c>
    </row>
    <row r="436" spans="1:108" hidden="1">
      <c r="A436" s="13">
        <v>19622</v>
      </c>
      <c r="B436" s="13" t="s">
        <v>1324</v>
      </c>
      <c r="C436" s="13" t="s">
        <v>557</v>
      </c>
      <c r="D436" s="13" t="s">
        <v>558</v>
      </c>
      <c r="E436" s="13" t="s">
        <v>1325</v>
      </c>
      <c r="F436" s="14">
        <v>74.436300000000003</v>
      </c>
      <c r="G436" s="13">
        <v>84.13</v>
      </c>
      <c r="H436" s="13">
        <v>84.67</v>
      </c>
      <c r="I436" s="13">
        <v>91.25</v>
      </c>
      <c r="J436" s="14">
        <v>58.477336719103405</v>
      </c>
      <c r="K436" s="14">
        <v>52.267614700682635</v>
      </c>
      <c r="L436" s="14">
        <v>51.071963666123686</v>
      </c>
      <c r="M436" s="14">
        <v>44.028599999999997</v>
      </c>
      <c r="N436" s="14">
        <f t="shared" si="162"/>
        <v>83.621575000000007</v>
      </c>
      <c r="O436" s="14">
        <f t="shared" si="163"/>
        <v>51.461378771477428</v>
      </c>
      <c r="P436" s="14">
        <f t="shared" si="179"/>
        <v>67.541476885738717</v>
      </c>
      <c r="Q436" s="14">
        <v>52.300968867312214</v>
      </c>
      <c r="R436" s="17">
        <f t="shared" si="164"/>
        <v>47.699031132687786</v>
      </c>
      <c r="S436" s="14">
        <f t="shared" si="180"/>
        <v>0.52929128019419014</v>
      </c>
      <c r="T436" s="13">
        <v>0</v>
      </c>
      <c r="U436" s="13">
        <f t="shared" si="181"/>
        <v>35.749114767058948</v>
      </c>
      <c r="V436" s="13">
        <f>IF($T436=1,$AU436,(VLOOKUP(U436,'Cortes naturales'!$A$35:$C$39,3,9)))</f>
        <v>3</v>
      </c>
      <c r="W436" s="13">
        <v>3</v>
      </c>
      <c r="X436" s="14" t="b">
        <f t="shared" si="165"/>
        <v>1</v>
      </c>
      <c r="Y436" s="17">
        <f>IF($T436=1,$AU436,VLOOKUP(U436,'Cortes naturales'!$A$45:$C$49,3,9))</f>
        <v>2</v>
      </c>
      <c r="Z436" s="14">
        <v>66.034831012703222</v>
      </c>
      <c r="AA436" s="14">
        <v>0.54014273909455457</v>
      </c>
      <c r="AB436" s="14">
        <v>35.668234498847561</v>
      </c>
      <c r="AC436" s="13">
        <v>2</v>
      </c>
      <c r="AD436" s="13">
        <f t="shared" si="166"/>
        <v>0</v>
      </c>
      <c r="AE436" s="14">
        <f t="shared" si="167"/>
        <v>1.5066458730354952</v>
      </c>
      <c r="AF436" s="14">
        <f t="shared" si="168"/>
        <v>-1.085145890036443E-2</v>
      </c>
      <c r="AG436" s="13">
        <f t="shared" si="169"/>
        <v>8.0880268211387829E-2</v>
      </c>
      <c r="AH436" s="13">
        <f>IF($T436=1,$AU436,VLOOKUP(U436,'Cortes naturales'!$A$25:$C$29,3,9))</f>
        <v>2</v>
      </c>
      <c r="AI436" s="13" t="b">
        <f t="shared" si="170"/>
        <v>1</v>
      </c>
      <c r="AJ436" s="13">
        <f t="shared" si="171"/>
        <v>0</v>
      </c>
      <c r="AK436" s="28">
        <v>0.81759069605862034</v>
      </c>
      <c r="AL436" s="28">
        <v>53.989463451789398</v>
      </c>
      <c r="AM436" s="28">
        <v>0.5047252656811807</v>
      </c>
      <c r="AN436" s="13">
        <v>2</v>
      </c>
      <c r="AO436" s="33">
        <f t="shared" si="172"/>
        <v>0</v>
      </c>
      <c r="AP436" s="13">
        <f t="shared" si="182"/>
        <v>50.47252656811807</v>
      </c>
      <c r="AQ436" s="13">
        <f>IFERROR(VLOOKUP(U436,'Cortes naturales'!$E$15:$G$19,3,9),U436)</f>
        <v>3</v>
      </c>
      <c r="AR436" s="28">
        <f t="shared" si="173"/>
        <v>-0.2882994158644302</v>
      </c>
      <c r="AS436" s="13" t="b">
        <f t="shared" si="174"/>
        <v>0</v>
      </c>
      <c r="AT436" s="13">
        <f t="shared" si="183"/>
        <v>0</v>
      </c>
      <c r="AU436" s="13">
        <v>3</v>
      </c>
      <c r="AV436">
        <f t="shared" si="175"/>
        <v>1</v>
      </c>
      <c r="AW436" s="13">
        <v>0</v>
      </c>
      <c r="AX436" s="13">
        <v>0</v>
      </c>
      <c r="AY436" s="13">
        <v>0</v>
      </c>
      <c r="AZ436" s="13">
        <v>0</v>
      </c>
      <c r="BA436">
        <v>0</v>
      </c>
      <c r="BB436" t="s">
        <v>2840</v>
      </c>
      <c r="BC436">
        <v>6</v>
      </c>
      <c r="BD436" t="s">
        <v>2919</v>
      </c>
      <c r="BE436">
        <v>0</v>
      </c>
      <c r="BF436" s="232" t="s">
        <v>2846</v>
      </c>
      <c r="BG436" s="232" t="s">
        <v>2846</v>
      </c>
      <c r="BH436" s="253">
        <v>43.2</v>
      </c>
      <c r="BI436" s="253">
        <v>18.155526992287918</v>
      </c>
      <c r="BJ436" s="25">
        <v>8.2816666666666663</v>
      </c>
      <c r="BK436" t="s">
        <v>377</v>
      </c>
      <c r="BL436">
        <v>22.817096552618732</v>
      </c>
      <c r="BM436" t="s">
        <v>384</v>
      </c>
      <c r="BN436" s="322">
        <v>14594.603327000001</v>
      </c>
      <c r="BO436" s="322">
        <v>1159.731597</v>
      </c>
      <c r="BP436" s="10">
        <v>12028</v>
      </c>
      <c r="BQ436" s="254">
        <f t="shared" si="176"/>
        <v>1.2133857105919521</v>
      </c>
      <c r="BR436" s="254">
        <f t="shared" si="177"/>
        <v>9.6419321333555033E-2</v>
      </c>
      <c r="BS436" s="25">
        <v>50.042284916238991</v>
      </c>
      <c r="BT436" s="25">
        <v>88.434901895576971</v>
      </c>
      <c r="BU436" s="25">
        <v>30.996145419021701</v>
      </c>
      <c r="BV436" s="25">
        <v>85.037923035891467</v>
      </c>
      <c r="BW436" s="25">
        <v>53.551761275833563</v>
      </c>
      <c r="BX436" s="25">
        <v>63.627813816682277</v>
      </c>
      <c r="BY436" s="25">
        <v>53.477443677366843</v>
      </c>
      <c r="BZ436">
        <v>46</v>
      </c>
      <c r="CA436">
        <v>0</v>
      </c>
      <c r="CB436">
        <v>7</v>
      </c>
      <c r="CC436">
        <v>16918.014598999998</v>
      </c>
      <c r="CD436" s="10">
        <v>11052.864089000001</v>
      </c>
      <c r="CE436" s="255">
        <v>0.65331921924534342</v>
      </c>
      <c r="CF436" t="str">
        <f>IFERROR(VLOOKUP(CE436,'Rangos amb etnico'!$A$2:$C$6,3,9),"N.D.")</f>
        <v>51% - 70%</v>
      </c>
      <c r="CG436" s="256">
        <v>3.2156948194642717E-4</v>
      </c>
      <c r="CH436" s="232">
        <v>21.945988</v>
      </c>
      <c r="CI436" s="311">
        <f t="shared" si="184"/>
        <v>1.2971964216946118E-3</v>
      </c>
      <c r="CJ436" s="232" t="str">
        <f>IFERROR(VLOOKUP(CI436,'Rangos amb etnico'!$A$2:$C$6,3,9),"N.D.")</f>
        <v>0,1% - 30%</v>
      </c>
      <c r="CK436" s="311">
        <f t="shared" si="185"/>
        <v>8.7139940838323E-7</v>
      </c>
      <c r="CL436" s="10">
        <v>0</v>
      </c>
      <c r="CM436" s="255">
        <f t="shared" si="186"/>
        <v>0</v>
      </c>
      <c r="CN436" s="232">
        <f>IFERROR(VLOOKUP(CM436,'Rangos amb etnico'!$A$2:$C$6,3,9),"N.D.")</f>
        <v>0</v>
      </c>
      <c r="CO436" s="311">
        <f t="shared" si="187"/>
        <v>0</v>
      </c>
      <c r="CP436">
        <v>0.96856442946942911</v>
      </c>
      <c r="CQ436" t="s">
        <v>2864</v>
      </c>
      <c r="CR436">
        <f t="shared" si="178"/>
        <v>2</v>
      </c>
      <c r="CS436" t="str">
        <f t="shared" si="188"/>
        <v>No es Candidato</v>
      </c>
      <c r="CT436">
        <v>0</v>
      </c>
      <c r="CU436">
        <v>0</v>
      </c>
      <c r="CV436" s="25">
        <v>45.057224273681641</v>
      </c>
      <c r="CW436" s="25">
        <v>23.637466430664059</v>
      </c>
      <c r="CX436" s="25">
        <v>44.436508178710938</v>
      </c>
      <c r="CY436" s="25">
        <v>59.773681640625</v>
      </c>
      <c r="CZ436" s="25">
        <v>47.733989715576172</v>
      </c>
      <c r="DA436" s="25">
        <v>41.592041015625</v>
      </c>
      <c r="DB436" s="25">
        <v>53.169654846191413</v>
      </c>
      <c r="DC436">
        <v>1438</v>
      </c>
      <c r="DD436" s="253" t="s">
        <v>380</v>
      </c>
    </row>
    <row r="437" spans="1:108" hidden="1">
      <c r="A437" s="13">
        <v>25488</v>
      </c>
      <c r="B437" s="13" t="s">
        <v>1326</v>
      </c>
      <c r="C437" s="13" t="s">
        <v>461</v>
      </c>
      <c r="D437" s="13" t="s">
        <v>462</v>
      </c>
      <c r="E437" s="13" t="s">
        <v>1327</v>
      </c>
      <c r="F437" s="14">
        <v>71.174166666666693</v>
      </c>
      <c r="G437" s="13">
        <v>64.5</v>
      </c>
      <c r="H437" s="13">
        <v>77.099999999999994</v>
      </c>
      <c r="I437" s="13">
        <v>84.23</v>
      </c>
      <c r="J437" s="14">
        <v>53.054630733107288</v>
      </c>
      <c r="K437" s="14">
        <v>60.854191590744236</v>
      </c>
      <c r="L437" s="14">
        <v>66.013063806198119</v>
      </c>
      <c r="M437" s="14">
        <v>65.307699999999997</v>
      </c>
      <c r="N437" s="14">
        <f t="shared" si="162"/>
        <v>74.251041666666666</v>
      </c>
      <c r="O437" s="14">
        <f t="shared" si="163"/>
        <v>61.307396532512414</v>
      </c>
      <c r="P437" s="14">
        <f t="shared" si="179"/>
        <v>67.77921909958954</v>
      </c>
      <c r="Q437" s="14">
        <v>53.264650774134239</v>
      </c>
      <c r="R437" s="17">
        <f t="shared" si="164"/>
        <v>46.735349225865761</v>
      </c>
      <c r="S437" s="14">
        <f t="shared" si="180"/>
        <v>0.52061814303279186</v>
      </c>
      <c r="T437" s="13">
        <v>0</v>
      </c>
      <c r="U437" s="13">
        <f t="shared" si="181"/>
        <v>35.287091183841042</v>
      </c>
      <c r="V437" s="13">
        <f>IF($T437=1,$AU437,(VLOOKUP(U437,'Cortes naturales'!$A$35:$C$39,3,9)))</f>
        <v>3</v>
      </c>
      <c r="W437" s="13">
        <v>3</v>
      </c>
      <c r="X437" s="14" t="b">
        <f t="shared" si="165"/>
        <v>1</v>
      </c>
      <c r="Y437" s="17">
        <f>IF($T437=1,$AU437,VLOOKUP(U437,'Cortes naturales'!$A$45:$C$49,3,9))</f>
        <v>3</v>
      </c>
      <c r="Z437" s="14">
        <v>65.812284880166104</v>
      </c>
      <c r="AA437" s="14">
        <v>0.53990519412429427</v>
      </c>
      <c r="AB437" s="14">
        <v>35.532394443989439</v>
      </c>
      <c r="AC437" s="13">
        <v>2</v>
      </c>
      <c r="AD437" s="13">
        <f t="shared" si="166"/>
        <v>-1</v>
      </c>
      <c r="AE437" s="14">
        <f t="shared" si="167"/>
        <v>1.966934219423436</v>
      </c>
      <c r="AF437" s="14">
        <f t="shared" si="168"/>
        <v>-1.9287051091502416E-2</v>
      </c>
      <c r="AG437" s="13">
        <f t="shared" si="169"/>
        <v>-0.24530326014839687</v>
      </c>
      <c r="AH437" s="13">
        <f>IF($T437=1,$AU437,VLOOKUP(U437,'Cortes naturales'!$A$25:$C$29,3,9))</f>
        <v>2</v>
      </c>
      <c r="AI437" s="13" t="b">
        <f t="shared" si="170"/>
        <v>0</v>
      </c>
      <c r="AJ437" s="13" t="str">
        <f t="shared" si="171"/>
        <v>Cambio en corte</v>
      </c>
      <c r="AK437" s="28">
        <v>0.81759069605862034</v>
      </c>
      <c r="AL437" s="28">
        <v>53.807511804383218</v>
      </c>
      <c r="AM437" s="28">
        <v>0.5024492423672442</v>
      </c>
      <c r="AN437" s="13">
        <v>2</v>
      </c>
      <c r="AO437" s="33">
        <f t="shared" si="172"/>
        <v>-1</v>
      </c>
      <c r="AP437" s="13">
        <f t="shared" si="182"/>
        <v>50.244924236724422</v>
      </c>
      <c r="AQ437" s="13">
        <f>IFERROR(VLOOKUP(U437,'Cortes naturales'!$E$15:$G$19,3,9),U437)</f>
        <v>3</v>
      </c>
      <c r="AR437" s="28">
        <f t="shared" si="173"/>
        <v>-0.29697255302582848</v>
      </c>
      <c r="AS437" s="13" t="b">
        <f t="shared" si="174"/>
        <v>1</v>
      </c>
      <c r="AT437" s="13" t="str">
        <f t="shared" si="183"/>
        <v>Efecto ponderador</v>
      </c>
      <c r="AU437" s="13">
        <v>2</v>
      </c>
      <c r="AV437">
        <f t="shared" si="175"/>
        <v>-1</v>
      </c>
      <c r="AW437" s="13">
        <v>0</v>
      </c>
      <c r="AX437" s="13">
        <v>0</v>
      </c>
      <c r="AY437" s="13">
        <v>0</v>
      </c>
      <c r="AZ437" s="13">
        <v>0</v>
      </c>
      <c r="BA437">
        <v>0</v>
      </c>
      <c r="BB437" t="s">
        <v>2839</v>
      </c>
      <c r="BC437">
        <v>6</v>
      </c>
      <c r="BD437" t="s">
        <v>2919</v>
      </c>
      <c r="BE437">
        <v>0</v>
      </c>
      <c r="BF437" s="232" t="s">
        <v>2846</v>
      </c>
      <c r="BG437" s="232" t="s">
        <v>2846</v>
      </c>
      <c r="BH437" s="253">
        <v>22.1</v>
      </c>
      <c r="BI437" s="253">
        <v>7.916666666666667</v>
      </c>
      <c r="BJ437" s="25">
        <v>5.2458564515515675</v>
      </c>
      <c r="BK437" t="s">
        <v>377</v>
      </c>
      <c r="BL437">
        <v>0.66766049825988893</v>
      </c>
      <c r="BM437" t="s">
        <v>383</v>
      </c>
      <c r="BN437" s="322">
        <v>30717.324063</v>
      </c>
      <c r="BO437" s="322">
        <v>15503.873455999999</v>
      </c>
      <c r="BP437" s="10">
        <v>11030</v>
      </c>
      <c r="BQ437" s="254">
        <f t="shared" si="176"/>
        <v>2.7848888543064372</v>
      </c>
      <c r="BR437" s="254">
        <f t="shared" si="177"/>
        <v>1.4056095608340888</v>
      </c>
      <c r="BS437" s="25">
        <v>58.041983014225544</v>
      </c>
      <c r="BT437" s="25">
        <v>70.146288921124196</v>
      </c>
      <c r="BU437" s="25">
        <v>40.082957359009598</v>
      </c>
      <c r="BV437" s="25">
        <v>79.431958733428431</v>
      </c>
      <c r="BW437" s="25">
        <v>79.047167383015505</v>
      </c>
      <c r="BX437" s="25">
        <v>61.925797006946951</v>
      </c>
      <c r="BY437" s="25">
        <v>78.688473008309472</v>
      </c>
      <c r="BZ437">
        <v>55</v>
      </c>
      <c r="CA437">
        <v>0</v>
      </c>
      <c r="CB437">
        <v>7</v>
      </c>
      <c r="CC437">
        <v>22445.324314000001</v>
      </c>
      <c r="CD437" s="10">
        <v>6904.0923039999998</v>
      </c>
      <c r="CE437" s="255">
        <v>0.30759601453803254</v>
      </c>
      <c r="CF437" t="str">
        <f>IFERROR(VLOOKUP(CE437,'Rangos amb etnico'!$A$2:$C$6,3,9),"N.D.")</f>
        <v>31% - 50%</v>
      </c>
      <c r="CG437" s="256">
        <v>2.0086607124004369E-4</v>
      </c>
      <c r="CH437" s="232">
        <v>0</v>
      </c>
      <c r="CI437" s="311">
        <f t="shared" si="184"/>
        <v>0</v>
      </c>
      <c r="CJ437" s="232">
        <f>IFERROR(VLOOKUP(CI437,'Rangos amb etnico'!$A$2:$C$6,3,9),"N.D.")</f>
        <v>0</v>
      </c>
      <c r="CK437" s="311">
        <f t="shared" si="185"/>
        <v>0</v>
      </c>
      <c r="CL437" s="10">
        <v>0</v>
      </c>
      <c r="CM437" s="255">
        <f t="shared" si="186"/>
        <v>0</v>
      </c>
      <c r="CN437" s="232">
        <f>IFERROR(VLOOKUP(CM437,'Rangos amb etnico'!$A$2:$C$6,3,9),"N.D.")</f>
        <v>0</v>
      </c>
      <c r="CO437" s="311">
        <f t="shared" si="187"/>
        <v>0</v>
      </c>
      <c r="CP437">
        <v>0.96295844950710796</v>
      </c>
      <c r="CQ437" t="s">
        <v>2864</v>
      </c>
      <c r="CR437">
        <f t="shared" si="178"/>
        <v>4</v>
      </c>
      <c r="CS437" t="str">
        <f t="shared" si="188"/>
        <v>Candidato</v>
      </c>
      <c r="CT437">
        <v>0</v>
      </c>
      <c r="CU437">
        <v>0</v>
      </c>
      <c r="CV437" s="25">
        <v>44.429973602294922</v>
      </c>
      <c r="CW437" s="25">
        <v>29.96999549865723</v>
      </c>
      <c r="CX437" s="25">
        <v>50.558719635009773</v>
      </c>
      <c r="CY437" s="25">
        <v>61.020416259765618</v>
      </c>
      <c r="CZ437" s="25">
        <v>39.147029876708977</v>
      </c>
      <c r="DA437" s="25">
        <v>38.070812225341797</v>
      </c>
      <c r="DB437" s="25">
        <v>47.812873840332031</v>
      </c>
      <c r="DC437">
        <v>207</v>
      </c>
      <c r="DD437" s="253" t="s">
        <v>380</v>
      </c>
    </row>
    <row r="438" spans="1:108" hidden="1">
      <c r="A438" s="13">
        <v>70708</v>
      </c>
      <c r="B438" s="13" t="s">
        <v>1328</v>
      </c>
      <c r="C438" s="13" t="s">
        <v>494</v>
      </c>
      <c r="D438" s="13" t="s">
        <v>495</v>
      </c>
      <c r="E438" s="13" t="s">
        <v>1329</v>
      </c>
      <c r="F438" s="14">
        <v>59.467399999999998</v>
      </c>
      <c r="G438" s="13">
        <v>30.88</v>
      </c>
      <c r="H438" s="13">
        <v>26.05</v>
      </c>
      <c r="I438" s="13">
        <v>34.76</v>
      </c>
      <c r="J438" s="14">
        <v>44.206552395650597</v>
      </c>
      <c r="K438" s="14">
        <v>48.032210146123518</v>
      </c>
      <c r="L438" s="14">
        <v>60.721729128134299</v>
      </c>
      <c r="M438" s="14">
        <v>61.958100000000002</v>
      </c>
      <c r="N438" s="14">
        <f t="shared" si="162"/>
        <v>37.789349999999999</v>
      </c>
      <c r="O438" s="14">
        <f t="shared" si="163"/>
        <v>53.729647917477109</v>
      </c>
      <c r="P438" s="14">
        <f t="shared" si="179"/>
        <v>45.759498958738554</v>
      </c>
      <c r="Q438" s="14">
        <v>51.701625562366175</v>
      </c>
      <c r="R438" s="17">
        <f t="shared" si="164"/>
        <v>48.298374437633825</v>
      </c>
      <c r="S438" s="14">
        <f t="shared" si="180"/>
        <v>0.53468536993870441</v>
      </c>
      <c r="T438" s="13">
        <v>0</v>
      </c>
      <c r="U438" s="13">
        <f t="shared" si="181"/>
        <v>24.466934628962882</v>
      </c>
      <c r="V438" s="13">
        <f>IF($T438=1,$AU438,(VLOOKUP(U438,'Cortes naturales'!$A$35:$C$39,3,9)))</f>
        <v>4</v>
      </c>
      <c r="W438" s="13">
        <v>4</v>
      </c>
      <c r="X438" s="14" t="b">
        <f t="shared" si="165"/>
        <v>1</v>
      </c>
      <c r="Y438" s="17">
        <f>IF($T438=1,$AU438,VLOOKUP(U438,'Cortes naturales'!$A$45:$C$49,3,9))</f>
        <v>4</v>
      </c>
      <c r="Z438" s="14">
        <v>47.614358427839917</v>
      </c>
      <c r="AA438" s="14">
        <v>0.54007054976485369</v>
      </c>
      <c r="AB438" s="14">
        <v>25.715112732824299</v>
      </c>
      <c r="AC438" s="13">
        <v>4</v>
      </c>
      <c r="AD438" s="13">
        <f t="shared" si="166"/>
        <v>0</v>
      </c>
      <c r="AE438" s="14">
        <f t="shared" si="167"/>
        <v>-1.8548594691013633</v>
      </c>
      <c r="AF438" s="14">
        <f t="shared" si="168"/>
        <v>-5.3851798261492778E-3</v>
      </c>
      <c r="AG438" s="13">
        <f t="shared" si="169"/>
        <v>-1.2481781038614166</v>
      </c>
      <c r="AH438" s="13">
        <f>IF($T438=1,$AU438,VLOOKUP(U438,'Cortes naturales'!$A$25:$C$29,3,9))</f>
        <v>4</v>
      </c>
      <c r="AI438" s="13" t="b">
        <f t="shared" si="170"/>
        <v>1</v>
      </c>
      <c r="AJ438" s="13">
        <f t="shared" si="171"/>
        <v>0</v>
      </c>
      <c r="AK438" s="28">
        <v>0.81759069605862034</v>
      </c>
      <c r="AL438" s="28">
        <v>38.929056449402275</v>
      </c>
      <c r="AM438" s="28">
        <v>0.31633544924667661</v>
      </c>
      <c r="AN438" s="13">
        <v>4</v>
      </c>
      <c r="AO438" s="33">
        <f t="shared" si="172"/>
        <v>0</v>
      </c>
      <c r="AP438" s="13">
        <f t="shared" si="182"/>
        <v>31.63354492466766</v>
      </c>
      <c r="AQ438" s="13">
        <f>IFERROR(VLOOKUP(U438,'Cortes naturales'!$E$15:$G$19,3,9),U438)</f>
        <v>4</v>
      </c>
      <c r="AR438" s="28">
        <f t="shared" si="173"/>
        <v>-0.28290532611991592</v>
      </c>
      <c r="AS438" s="13" t="b">
        <f t="shared" si="174"/>
        <v>1</v>
      </c>
      <c r="AT438" s="13">
        <f t="shared" si="183"/>
        <v>0</v>
      </c>
      <c r="AU438" s="13">
        <v>3</v>
      </c>
      <c r="AV438">
        <f t="shared" si="175"/>
        <v>-1</v>
      </c>
      <c r="AW438" s="13">
        <v>0</v>
      </c>
      <c r="AX438" s="13">
        <v>0</v>
      </c>
      <c r="AY438" s="13">
        <v>0</v>
      </c>
      <c r="AZ438" s="13">
        <v>0</v>
      </c>
      <c r="BA438">
        <v>0</v>
      </c>
      <c r="BB438" t="s">
        <v>2839</v>
      </c>
      <c r="BC438">
        <v>6</v>
      </c>
      <c r="BD438" t="s">
        <v>2919</v>
      </c>
      <c r="BE438">
        <v>0</v>
      </c>
      <c r="BF438" s="232" t="s">
        <v>2846</v>
      </c>
      <c r="BG438" s="232" t="s">
        <v>2845</v>
      </c>
      <c r="BH438" s="253">
        <v>59.1</v>
      </c>
      <c r="BI438" s="253">
        <v>30.154740692112913</v>
      </c>
      <c r="BJ438" s="25">
        <v>7.75</v>
      </c>
      <c r="BK438" t="s">
        <v>377</v>
      </c>
      <c r="BL438">
        <v>2.3570768045765247</v>
      </c>
      <c r="BM438" t="s">
        <v>383</v>
      </c>
      <c r="BN438" s="322">
        <v>174851.18603300001</v>
      </c>
      <c r="BO438" s="322">
        <v>17670.834502000002</v>
      </c>
      <c r="BP438" s="10">
        <v>64076</v>
      </c>
      <c r="BQ438" s="254">
        <f t="shared" si="176"/>
        <v>2.7288093206972972</v>
      </c>
      <c r="BR438" s="254">
        <f t="shared" si="177"/>
        <v>0.27577930117360638</v>
      </c>
      <c r="BS438" s="25">
        <v>64.551021954608316</v>
      </c>
      <c r="BT438" s="25">
        <v>99.948078920041539</v>
      </c>
      <c r="BU438" s="25">
        <v>38.510862586258597</v>
      </c>
      <c r="BV438" s="25">
        <v>94.289651763924255</v>
      </c>
      <c r="BW438" s="25">
        <v>52.396769833877393</v>
      </c>
      <c r="BX438" s="25">
        <v>74.324903806208184</v>
      </c>
      <c r="BY438" s="25">
        <v>53.176933058024737</v>
      </c>
      <c r="BZ438">
        <v>10</v>
      </c>
      <c r="CA438">
        <v>0</v>
      </c>
      <c r="CB438">
        <v>6</v>
      </c>
      <c r="CC438">
        <v>96979.218571999998</v>
      </c>
      <c r="CD438" s="10">
        <v>9968.614227</v>
      </c>
      <c r="CE438" s="255">
        <v>0.1027912409873568</v>
      </c>
      <c r="CF438" t="str">
        <f>IFERROR(VLOOKUP(CE438,'Rangos amb etnico'!$A$2:$C$6,3,9),"N.D.")</f>
        <v>0,1% - 30%</v>
      </c>
      <c r="CG438" s="256">
        <v>2.900245662018448E-4</v>
      </c>
      <c r="CH438" s="232">
        <v>0</v>
      </c>
      <c r="CI438" s="311">
        <f t="shared" si="184"/>
        <v>0</v>
      </c>
      <c r="CJ438" s="232">
        <f>IFERROR(VLOOKUP(CI438,'Rangos amb etnico'!$A$2:$C$6,3,9),"N.D.")</f>
        <v>0</v>
      </c>
      <c r="CK438" s="311">
        <f t="shared" si="185"/>
        <v>0</v>
      </c>
      <c r="CL438" s="10">
        <v>0</v>
      </c>
      <c r="CM438" s="255">
        <f t="shared" si="186"/>
        <v>0</v>
      </c>
      <c r="CN438" s="232">
        <f>IFERROR(VLOOKUP(CM438,'Rangos amb etnico'!$A$2:$C$6,3,9),"N.D.")</f>
        <v>0</v>
      </c>
      <c r="CO438" s="311">
        <f t="shared" si="187"/>
        <v>0</v>
      </c>
      <c r="CP438">
        <v>0.93328193230683576</v>
      </c>
      <c r="CQ438" t="s">
        <v>2864</v>
      </c>
      <c r="CR438">
        <f t="shared" si="178"/>
        <v>2</v>
      </c>
      <c r="CS438" t="str">
        <f t="shared" si="188"/>
        <v>No es Candidato</v>
      </c>
      <c r="CT438">
        <v>0</v>
      </c>
      <c r="CU438">
        <v>0</v>
      </c>
      <c r="CV438" s="25">
        <v>43.872512817382813</v>
      </c>
      <c r="CW438" s="25">
        <v>29.09843635559082</v>
      </c>
      <c r="CX438" s="25">
        <v>57.021282196044922</v>
      </c>
      <c r="CY438" s="25">
        <v>44.360744476318359</v>
      </c>
      <c r="CZ438" s="25">
        <v>10.74182224273682</v>
      </c>
      <c r="DA438" s="25">
        <v>72.270469665527344</v>
      </c>
      <c r="DB438" s="25">
        <v>49.742317199707031</v>
      </c>
      <c r="DC438">
        <v>29314</v>
      </c>
      <c r="DD438" s="253" t="s">
        <v>380</v>
      </c>
    </row>
    <row r="439" spans="1:108">
      <c r="A439" s="13">
        <v>5690</v>
      </c>
      <c r="B439" s="13" t="s">
        <v>1330</v>
      </c>
      <c r="C439" s="13" t="s">
        <v>435</v>
      </c>
      <c r="D439" s="13" t="s">
        <v>436</v>
      </c>
      <c r="E439" s="13" t="s">
        <v>1331</v>
      </c>
      <c r="F439" s="14">
        <v>59.25</v>
      </c>
      <c r="G439" s="13">
        <v>59.85</v>
      </c>
      <c r="H439" s="13">
        <v>57.14</v>
      </c>
      <c r="I439" s="13">
        <v>57.54</v>
      </c>
      <c r="J439" s="14">
        <v>50.482337186930984</v>
      </c>
      <c r="K439" s="14">
        <v>60.295310022704228</v>
      </c>
      <c r="L439" s="14">
        <v>66.08326903030266</v>
      </c>
      <c r="M439" s="14">
        <v>60.094499999999996</v>
      </c>
      <c r="N439" s="14">
        <f t="shared" si="162"/>
        <v>58.445</v>
      </c>
      <c r="O439" s="14">
        <f t="shared" si="163"/>
        <v>59.238854059984462</v>
      </c>
      <c r="P439" s="14">
        <f t="shared" si="179"/>
        <v>58.841927029992235</v>
      </c>
      <c r="Q439" s="14">
        <v>51.032002892183705</v>
      </c>
      <c r="R439" s="17">
        <f t="shared" si="164"/>
        <v>48.967997107816295</v>
      </c>
      <c r="S439" s="14">
        <f t="shared" si="180"/>
        <v>0.54071197397034665</v>
      </c>
      <c r="T439" s="13">
        <v>0</v>
      </c>
      <c r="U439" s="13">
        <f t="shared" si="181"/>
        <v>31.816534516606197</v>
      </c>
      <c r="V439" s="13">
        <f>IF($T439=1,$AU439,(VLOOKUP(U439,'Cortes naturales'!$A$35:$C$39,3,9)))</f>
        <v>3</v>
      </c>
      <c r="W439" s="13">
        <v>3</v>
      </c>
      <c r="X439" s="14" t="b">
        <f t="shared" si="165"/>
        <v>1</v>
      </c>
      <c r="Y439" s="17">
        <f>IF($T439=1,$AU439,VLOOKUP(U439,'Cortes naturales'!$A$45:$C$49,3,9))</f>
        <v>3</v>
      </c>
      <c r="Z439" s="14">
        <v>57.889459753177562</v>
      </c>
      <c r="AA439" s="14">
        <v>0.54389160761262101</v>
      </c>
      <c r="AB439" s="14">
        <v>31.485591328981865</v>
      </c>
      <c r="AC439" s="13">
        <v>3</v>
      </c>
      <c r="AD439" s="13">
        <f t="shared" si="166"/>
        <v>0</v>
      </c>
      <c r="AE439" s="14">
        <f t="shared" si="167"/>
        <v>0.95246727681467291</v>
      </c>
      <c r="AF439" s="14">
        <f t="shared" si="168"/>
        <v>-3.1796336422743599E-3</v>
      </c>
      <c r="AG439" s="13">
        <f t="shared" si="169"/>
        <v>0.33094318762433161</v>
      </c>
      <c r="AH439" s="13">
        <f>IF($T439=1,$AU439,VLOOKUP(U439,'Cortes naturales'!$A$25:$C$29,3,9))</f>
        <v>3</v>
      </c>
      <c r="AI439" s="13" t="b">
        <f t="shared" si="170"/>
        <v>1</v>
      </c>
      <c r="AJ439" s="13">
        <f t="shared" si="171"/>
        <v>0</v>
      </c>
      <c r="AK439" s="28">
        <v>0.81759069605862034</v>
      </c>
      <c r="AL439" s="28">
        <v>47.329883694057933</v>
      </c>
      <c r="AM439" s="28">
        <v>0.42142094277071007</v>
      </c>
      <c r="AN439" s="13">
        <v>3</v>
      </c>
      <c r="AO439" s="33">
        <f t="shared" si="172"/>
        <v>0</v>
      </c>
      <c r="AP439" s="13">
        <f t="shared" si="182"/>
        <v>42.14209427707101</v>
      </c>
      <c r="AQ439" s="13">
        <f>IFERROR(VLOOKUP(U439,'Cortes naturales'!$E$15:$G$19,3,9),U439)</f>
        <v>4</v>
      </c>
      <c r="AR439" s="28">
        <f t="shared" si="173"/>
        <v>-0.27687872208827369</v>
      </c>
      <c r="AS439" s="13" t="b">
        <f t="shared" si="174"/>
        <v>0</v>
      </c>
      <c r="AT439" s="13">
        <f t="shared" si="183"/>
        <v>0</v>
      </c>
      <c r="AU439" s="13">
        <v>2</v>
      </c>
      <c r="AV439">
        <f t="shared" si="175"/>
        <v>-1</v>
      </c>
      <c r="AW439" s="13">
        <v>0</v>
      </c>
      <c r="AX439" s="13">
        <v>0</v>
      </c>
      <c r="AY439" s="13">
        <v>0</v>
      </c>
      <c r="AZ439" s="13">
        <v>0</v>
      </c>
      <c r="BA439">
        <v>1</v>
      </c>
      <c r="BB439" t="s">
        <v>2841</v>
      </c>
      <c r="BC439">
        <v>6</v>
      </c>
      <c r="BD439" t="s">
        <v>2919</v>
      </c>
      <c r="BE439">
        <v>1</v>
      </c>
      <c r="BF439" s="232" t="s">
        <v>2846</v>
      </c>
      <c r="BG439" s="232" t="s">
        <v>2845</v>
      </c>
      <c r="BH439" s="253">
        <v>41.5</v>
      </c>
      <c r="BI439" s="253">
        <v>11.544117647058824</v>
      </c>
      <c r="BJ439" s="25">
        <v>39.456316301406702</v>
      </c>
      <c r="BK439" t="s">
        <v>376</v>
      </c>
      <c r="BL439">
        <v>9.9725899822998603</v>
      </c>
      <c r="BM439" t="s">
        <v>379</v>
      </c>
      <c r="BN439" s="322">
        <v>40288.905963999998</v>
      </c>
      <c r="BO439" s="322">
        <v>6776.9490070000002</v>
      </c>
      <c r="BP439" s="10">
        <v>13434</v>
      </c>
      <c r="BQ439" s="254">
        <f t="shared" si="176"/>
        <v>2.9990253062379035</v>
      </c>
      <c r="BR439" s="254">
        <f t="shared" si="177"/>
        <v>0.50446248377251746</v>
      </c>
      <c r="BS439" s="25">
        <v>73.0727806051231</v>
      </c>
      <c r="BT439" s="25">
        <v>81.690454385886554</v>
      </c>
      <c r="BU439" s="25">
        <v>49.109999999999992</v>
      </c>
      <c r="BV439" s="25">
        <v>88.436413250179342</v>
      </c>
      <c r="BW439" s="25">
        <v>51.270277215745878</v>
      </c>
      <c r="BX439" s="25">
        <v>73.077412060297249</v>
      </c>
      <c r="BY439" s="25">
        <v>52.054969757513099</v>
      </c>
      <c r="BZ439">
        <v>72</v>
      </c>
      <c r="CA439">
        <v>0</v>
      </c>
      <c r="CB439">
        <v>7</v>
      </c>
      <c r="CC439">
        <v>26576.73847</v>
      </c>
      <c r="CD439" s="10">
        <v>1597.6866829999999</v>
      </c>
      <c r="CE439" s="255">
        <v>6.0115980175802206E-2</v>
      </c>
      <c r="CF439" t="str">
        <f>IFERROR(VLOOKUP(CE439,'Rangos amb etnico'!$A$2:$C$6,3,9),"N.D.")</f>
        <v>0,1% - 30%</v>
      </c>
      <c r="CG439" s="256">
        <v>4.6482728352402845E-5</v>
      </c>
      <c r="CH439" s="232">
        <v>0</v>
      </c>
      <c r="CI439" s="311">
        <f t="shared" si="184"/>
        <v>0</v>
      </c>
      <c r="CJ439" s="232">
        <f>IFERROR(VLOOKUP(CI439,'Rangos amb etnico'!$A$2:$C$6,3,9),"N.D.")</f>
        <v>0</v>
      </c>
      <c r="CK439" s="311">
        <f t="shared" si="185"/>
        <v>0</v>
      </c>
      <c r="CL439" s="10">
        <v>0</v>
      </c>
      <c r="CM439" s="255">
        <f t="shared" si="186"/>
        <v>0</v>
      </c>
      <c r="CN439" s="232">
        <f>IFERROR(VLOOKUP(CM439,'Rangos amb etnico'!$A$2:$C$6,3,9),"N.D.")</f>
        <v>0</v>
      </c>
      <c r="CO439" s="311">
        <f t="shared" si="187"/>
        <v>0</v>
      </c>
      <c r="CP439">
        <v>0.9252968504795831</v>
      </c>
      <c r="CQ439" t="s">
        <v>2864</v>
      </c>
      <c r="CR439">
        <f t="shared" si="178"/>
        <v>2</v>
      </c>
      <c r="CS439" t="str">
        <f t="shared" si="188"/>
        <v>No es Candidato</v>
      </c>
      <c r="CT439">
        <v>0</v>
      </c>
      <c r="CU439">
        <v>0</v>
      </c>
      <c r="CV439" s="25">
        <v>38.474746704101563</v>
      </c>
      <c r="CW439" s="25">
        <v>21.913908004760739</v>
      </c>
      <c r="CX439" s="25">
        <v>39.586437225341797</v>
      </c>
      <c r="CY439" s="25">
        <v>53.574607849121087</v>
      </c>
      <c r="CZ439" s="25">
        <v>53.753868103027337</v>
      </c>
      <c r="DA439" s="25">
        <v>13.23049163818359</v>
      </c>
      <c r="DB439" s="25">
        <v>48.789165496826172</v>
      </c>
      <c r="DC439">
        <v>218</v>
      </c>
      <c r="DD439" s="253" t="s">
        <v>380</v>
      </c>
    </row>
    <row r="440" spans="1:108" hidden="1">
      <c r="A440" s="13">
        <v>20400</v>
      </c>
      <c r="B440" s="13" t="s">
        <v>1332</v>
      </c>
      <c r="C440" s="13" t="s">
        <v>893</v>
      </c>
      <c r="D440" s="13" t="s">
        <v>894</v>
      </c>
      <c r="E440" s="13" t="s">
        <v>1333</v>
      </c>
      <c r="F440" s="14">
        <v>73.787166666666707</v>
      </c>
      <c r="G440" s="13">
        <v>65.22</v>
      </c>
      <c r="H440" s="13">
        <v>63.56</v>
      </c>
      <c r="I440" s="13">
        <v>77.760000000000005</v>
      </c>
      <c r="J440" s="14">
        <v>69.801824736229392</v>
      </c>
      <c r="K440" s="14">
        <v>68.163857862309385</v>
      </c>
      <c r="L440" s="14">
        <v>72.918099715939093</v>
      </c>
      <c r="M440" s="14">
        <v>73.552000000000007</v>
      </c>
      <c r="N440" s="14">
        <f t="shared" si="162"/>
        <v>70.081791666666675</v>
      </c>
      <c r="O440" s="14">
        <f t="shared" si="163"/>
        <v>71.108945578619469</v>
      </c>
      <c r="P440" s="14">
        <f t="shared" si="179"/>
        <v>70.595368622643065</v>
      </c>
      <c r="Q440" s="14">
        <v>51.36025892199374</v>
      </c>
      <c r="R440" s="17">
        <f t="shared" si="164"/>
        <v>48.63974107800626</v>
      </c>
      <c r="S440" s="14">
        <f t="shared" si="180"/>
        <v>0.53775766970205641</v>
      </c>
      <c r="T440" s="13">
        <v>0</v>
      </c>
      <c r="U440" s="13">
        <f t="shared" si="181"/>
        <v>37.963200922270204</v>
      </c>
      <c r="V440" s="13">
        <f>IF($T440=1,$AU440,(VLOOKUP(U440,'Cortes naturales'!$A$35:$C$39,3,9)))</f>
        <v>3</v>
      </c>
      <c r="W440" s="13">
        <v>3</v>
      </c>
      <c r="X440" s="14" t="b">
        <f t="shared" si="165"/>
        <v>1</v>
      </c>
      <c r="Y440" s="17">
        <f>IF($T440=1,$AU440,VLOOKUP(U440,'Cortes naturales'!$A$45:$C$49,3,9))</f>
        <v>2</v>
      </c>
      <c r="Z440" s="14">
        <v>67.789426289245981</v>
      </c>
      <c r="AA440" s="14">
        <v>0.54035234509272201</v>
      </c>
      <c r="AB440" s="14">
        <v>36.630175467884285</v>
      </c>
      <c r="AC440" s="13">
        <v>2</v>
      </c>
      <c r="AD440" s="13">
        <f t="shared" si="166"/>
        <v>0</v>
      </c>
      <c r="AE440" s="14">
        <f t="shared" si="167"/>
        <v>2.8059423333970841</v>
      </c>
      <c r="AF440" s="14">
        <f t="shared" si="168"/>
        <v>-2.5946753906656017E-3</v>
      </c>
      <c r="AG440" s="13">
        <f t="shared" si="169"/>
        <v>1.3330254543859184</v>
      </c>
      <c r="AH440" s="13">
        <f>IF($T440=1,$AU440,VLOOKUP(U440,'Cortes naturales'!$A$25:$C$29,3,9))</f>
        <v>2</v>
      </c>
      <c r="AI440" s="13" t="b">
        <f t="shared" si="170"/>
        <v>1</v>
      </c>
      <c r="AJ440" s="13">
        <f t="shared" si="171"/>
        <v>0</v>
      </c>
      <c r="AK440" s="28">
        <v>0.81759069605862034</v>
      </c>
      <c r="AL440" s="28">
        <v>55.424004225239159</v>
      </c>
      <c r="AM440" s="28">
        <v>0.52266985860852833</v>
      </c>
      <c r="AN440" s="13">
        <v>2</v>
      </c>
      <c r="AO440" s="33">
        <f t="shared" si="172"/>
        <v>0</v>
      </c>
      <c r="AP440" s="13">
        <f t="shared" si="182"/>
        <v>52.266985860852834</v>
      </c>
      <c r="AQ440" s="13">
        <f>IFERROR(VLOOKUP(U440,'Cortes naturales'!$E$15:$G$19,3,9),U440)</f>
        <v>3</v>
      </c>
      <c r="AR440" s="28">
        <f t="shared" si="173"/>
        <v>-0.27983302635656393</v>
      </c>
      <c r="AS440" s="13" t="b">
        <f t="shared" si="174"/>
        <v>0</v>
      </c>
      <c r="AT440" s="13">
        <f t="shared" si="183"/>
        <v>0</v>
      </c>
      <c r="AU440" s="13">
        <v>2</v>
      </c>
      <c r="AV440">
        <f t="shared" si="175"/>
        <v>0</v>
      </c>
      <c r="AW440" s="13">
        <v>0</v>
      </c>
      <c r="AX440" s="13">
        <v>0</v>
      </c>
      <c r="AY440" s="13">
        <v>0</v>
      </c>
      <c r="AZ440" s="13">
        <v>1</v>
      </c>
      <c r="BA440">
        <v>1</v>
      </c>
      <c r="BB440" t="s">
        <v>2839</v>
      </c>
      <c r="BC440">
        <v>5</v>
      </c>
      <c r="BD440" t="s">
        <v>2919</v>
      </c>
      <c r="BE440">
        <v>0</v>
      </c>
      <c r="BF440" s="232" t="s">
        <v>2846</v>
      </c>
      <c r="BG440" s="232" t="s">
        <v>2845</v>
      </c>
      <c r="BH440" s="253">
        <v>32.6</v>
      </c>
      <c r="BI440" s="253">
        <v>21.279577426831239</v>
      </c>
      <c r="BJ440" s="25">
        <v>6.2892857142857128</v>
      </c>
      <c r="BK440" t="s">
        <v>377</v>
      </c>
      <c r="BL440">
        <v>0.68354877556395754</v>
      </c>
      <c r="BM440" t="s">
        <v>383</v>
      </c>
      <c r="BN440" s="322">
        <v>190219.508764</v>
      </c>
      <c r="BO440" s="322">
        <v>30957.244199000001</v>
      </c>
      <c r="BP440" s="10">
        <v>58996</v>
      </c>
      <c r="BQ440" s="254">
        <f t="shared" si="176"/>
        <v>3.2242780656993695</v>
      </c>
      <c r="BR440" s="254">
        <f t="shared" si="177"/>
        <v>0.52473462944945426</v>
      </c>
      <c r="BS440" s="25">
        <v>56.298615814393372</v>
      </c>
      <c r="BT440" s="25">
        <v>86.81832059401718</v>
      </c>
      <c r="BU440" s="25">
        <v>39.370829896056733</v>
      </c>
      <c r="BV440" s="25">
        <v>93.32008693352121</v>
      </c>
      <c r="BW440" s="25">
        <v>47.577952804325797</v>
      </c>
      <c r="BX440" s="25">
        <v>68.951963309497117</v>
      </c>
      <c r="BY440" s="25">
        <v>47.945055039111892</v>
      </c>
      <c r="BZ440">
        <v>47</v>
      </c>
      <c r="CA440">
        <v>0</v>
      </c>
      <c r="CB440">
        <v>7</v>
      </c>
      <c r="CC440">
        <v>75481.560563999999</v>
      </c>
      <c r="CD440" s="10">
        <v>28610.555369000002</v>
      </c>
      <c r="CE440" s="255">
        <v>0.37904032660720388</v>
      </c>
      <c r="CF440" t="str">
        <f>IFERROR(VLOOKUP(CE440,'Rangos amb etnico'!$A$2:$C$6,3,9),"N.D.")</f>
        <v>31% - 50%</v>
      </c>
      <c r="CG440" s="256">
        <v>8.3238890789991507E-4</v>
      </c>
      <c r="CH440" s="232">
        <v>0</v>
      </c>
      <c r="CI440" s="311">
        <f t="shared" si="184"/>
        <v>0</v>
      </c>
      <c r="CJ440" s="232">
        <f>IFERROR(VLOOKUP(CI440,'Rangos amb etnico'!$A$2:$C$6,3,9),"N.D.")</f>
        <v>0</v>
      </c>
      <c r="CK440" s="311">
        <f t="shared" si="185"/>
        <v>0</v>
      </c>
      <c r="CL440" s="10">
        <v>0</v>
      </c>
      <c r="CM440" s="255">
        <f t="shared" si="186"/>
        <v>0</v>
      </c>
      <c r="CN440" s="232">
        <f>IFERROR(VLOOKUP(CM440,'Rangos amb etnico'!$A$2:$C$6,3,9),"N.D.")</f>
        <v>0</v>
      </c>
      <c r="CO440" s="311">
        <f t="shared" si="187"/>
        <v>0</v>
      </c>
      <c r="CP440">
        <v>0.89323905645216217</v>
      </c>
      <c r="CQ440" t="s">
        <v>2864</v>
      </c>
      <c r="CR440">
        <f t="shared" si="178"/>
        <v>3</v>
      </c>
      <c r="CS440" t="str">
        <f t="shared" si="188"/>
        <v>Candidato</v>
      </c>
      <c r="CT440">
        <v>1</v>
      </c>
      <c r="CU440" t="s">
        <v>2836</v>
      </c>
      <c r="CV440" s="25">
        <v>46.05584716796875</v>
      </c>
      <c r="CW440" s="25">
        <v>37.412937164306641</v>
      </c>
      <c r="CX440" s="25">
        <v>57.674873352050781</v>
      </c>
      <c r="CY440" s="25">
        <v>46.678565979003913</v>
      </c>
      <c r="CZ440" s="25">
        <v>6.9190030097961426</v>
      </c>
      <c r="DA440" s="25">
        <v>68.556488037109375</v>
      </c>
      <c r="DB440" s="25">
        <v>59.093212127685547</v>
      </c>
      <c r="DC440">
        <v>15453</v>
      </c>
      <c r="DD440" s="253" t="s">
        <v>380</v>
      </c>
    </row>
    <row r="441" spans="1:108" hidden="1">
      <c r="A441" s="13">
        <v>73352</v>
      </c>
      <c r="B441" s="13" t="s">
        <v>1334</v>
      </c>
      <c r="C441" s="13" t="s">
        <v>595</v>
      </c>
      <c r="D441" s="13" t="s">
        <v>596</v>
      </c>
      <c r="E441" s="13" t="s">
        <v>1335</v>
      </c>
      <c r="F441" s="14">
        <v>50.550933333333298</v>
      </c>
      <c r="G441" s="13">
        <v>49.27</v>
      </c>
      <c r="H441" s="13">
        <v>56.77</v>
      </c>
      <c r="I441" s="13">
        <v>48.83</v>
      </c>
      <c r="J441" s="14">
        <v>49.439191899069939</v>
      </c>
      <c r="K441" s="14">
        <v>53.976264347132272</v>
      </c>
      <c r="L441" s="14">
        <v>48.087526718962323</v>
      </c>
      <c r="M441" s="14">
        <v>45.710700000000003</v>
      </c>
      <c r="N441" s="14">
        <f t="shared" si="162"/>
        <v>51.355233333333331</v>
      </c>
      <c r="O441" s="14">
        <f t="shared" si="163"/>
        <v>49.303420741291134</v>
      </c>
      <c r="P441" s="14">
        <f t="shared" si="179"/>
        <v>50.329327037312233</v>
      </c>
      <c r="Q441" s="14">
        <v>52.303344101938251</v>
      </c>
      <c r="R441" s="17">
        <f t="shared" si="164"/>
        <v>47.696655898061749</v>
      </c>
      <c r="S441" s="14">
        <f t="shared" si="180"/>
        <v>0.52926990308255573</v>
      </c>
      <c r="T441" s="13">
        <v>0</v>
      </c>
      <c r="U441" s="13">
        <f t="shared" si="181"/>
        <v>26.637798043248498</v>
      </c>
      <c r="V441" s="13">
        <f>IF($T441=1,$AU441,(VLOOKUP(U441,'Cortes naturales'!$A$35:$C$39,3,9)))</f>
        <v>4</v>
      </c>
      <c r="W441" s="13">
        <v>4</v>
      </c>
      <c r="X441" s="14" t="b">
        <f t="shared" si="165"/>
        <v>1</v>
      </c>
      <c r="Y441" s="17">
        <f>IF($T441=1,$AU441,VLOOKUP(U441,'Cortes naturales'!$A$45:$C$49,3,9))</f>
        <v>4</v>
      </c>
      <c r="Z441" s="14">
        <v>50.771841932464802</v>
      </c>
      <c r="AA441" s="14">
        <v>0.53903656570103775</v>
      </c>
      <c r="AB441" s="14">
        <v>27.367879309591768</v>
      </c>
      <c r="AC441" s="13">
        <v>4</v>
      </c>
      <c r="AD441" s="13">
        <f t="shared" si="166"/>
        <v>0</v>
      </c>
      <c r="AE441" s="14">
        <f t="shared" si="167"/>
        <v>-0.44251489515256992</v>
      </c>
      <c r="AF441" s="14">
        <f t="shared" si="168"/>
        <v>-9.7666626184820249E-3</v>
      </c>
      <c r="AG441" s="13">
        <f t="shared" si="169"/>
        <v>-0.73008126634326942</v>
      </c>
      <c r="AH441" s="13">
        <f>IF($T441=1,$AU441,VLOOKUP(U441,'Cortes naturales'!$A$25:$C$29,3,9))</f>
        <v>4</v>
      </c>
      <c r="AI441" s="13" t="b">
        <f t="shared" si="170"/>
        <v>1</v>
      </c>
      <c r="AJ441" s="13">
        <f t="shared" si="171"/>
        <v>0</v>
      </c>
      <c r="AK441" s="28">
        <v>0.81759069605862034</v>
      </c>
      <c r="AL441" s="28">
        <v>41.510585585742149</v>
      </c>
      <c r="AM441" s="28">
        <v>0.34862765755408204</v>
      </c>
      <c r="AN441" s="13">
        <v>4</v>
      </c>
      <c r="AO441" s="33">
        <f t="shared" si="172"/>
        <v>0</v>
      </c>
      <c r="AP441" s="13">
        <f t="shared" si="182"/>
        <v>34.862765755408205</v>
      </c>
      <c r="AQ441" s="13">
        <f>IFERROR(VLOOKUP(U441,'Cortes naturales'!$E$15:$G$19,3,9),U441)</f>
        <v>4</v>
      </c>
      <c r="AR441" s="28">
        <f t="shared" si="173"/>
        <v>-0.28832079297606461</v>
      </c>
      <c r="AS441" s="13" t="b">
        <f t="shared" si="174"/>
        <v>1</v>
      </c>
      <c r="AT441" s="13">
        <f t="shared" si="183"/>
        <v>0</v>
      </c>
      <c r="AU441" s="13">
        <v>4</v>
      </c>
      <c r="AV441">
        <f t="shared" si="175"/>
        <v>0</v>
      </c>
      <c r="AW441" s="13">
        <v>0</v>
      </c>
      <c r="AX441" s="13">
        <v>0</v>
      </c>
      <c r="AY441" s="13">
        <v>0</v>
      </c>
      <c r="AZ441" s="13">
        <v>0</v>
      </c>
      <c r="BA441">
        <v>0</v>
      </c>
      <c r="BB441" t="s">
        <v>2839</v>
      </c>
      <c r="BC441">
        <v>6</v>
      </c>
      <c r="BD441" t="s">
        <v>2919</v>
      </c>
      <c r="BE441">
        <v>0</v>
      </c>
      <c r="BF441" s="232" t="s">
        <v>2846</v>
      </c>
      <c r="BG441" s="232" t="s">
        <v>2846</v>
      </c>
      <c r="BH441" s="253">
        <v>33.700000000000003</v>
      </c>
      <c r="BI441" s="253">
        <v>13.428199218358554</v>
      </c>
      <c r="BJ441" s="25">
        <v>33.858536752677963</v>
      </c>
      <c r="BK441" t="s">
        <v>379</v>
      </c>
      <c r="BL441">
        <v>2.6071405617709713</v>
      </c>
      <c r="BM441" t="s">
        <v>383</v>
      </c>
      <c r="BN441" s="322">
        <v>22590.393832000002</v>
      </c>
      <c r="BO441" s="322">
        <v>2524.6695770000001</v>
      </c>
      <c r="BP441" s="10">
        <v>12415</v>
      </c>
      <c r="BQ441" s="254">
        <f t="shared" si="176"/>
        <v>1.819604819331454</v>
      </c>
      <c r="BR441" s="254">
        <f t="shared" si="177"/>
        <v>0.20335638960934355</v>
      </c>
      <c r="BS441" s="25">
        <v>67.913238716016494</v>
      </c>
      <c r="BT441" s="25">
        <v>82.791941127668139</v>
      </c>
      <c r="BU441" s="25">
        <v>43.176666666666669</v>
      </c>
      <c r="BV441" s="25">
        <v>91.451264712751254</v>
      </c>
      <c r="BW441" s="25">
        <v>60.891423097270241</v>
      </c>
      <c r="BX441" s="25">
        <v>71.333277805775637</v>
      </c>
      <c r="BY441" s="25">
        <v>61.461899276497128</v>
      </c>
      <c r="BZ441">
        <v>78</v>
      </c>
      <c r="CA441">
        <v>0</v>
      </c>
      <c r="CB441">
        <v>7</v>
      </c>
      <c r="CC441">
        <v>21497.355781999999</v>
      </c>
      <c r="CD441" s="10">
        <v>11830.799601999999</v>
      </c>
      <c r="CE441" s="255">
        <v>0.55033743321613882</v>
      </c>
      <c r="CF441" t="str">
        <f>IFERROR(VLOOKUP(CE441,'Rangos amb etnico'!$A$2:$C$6,3,9),"N.D.")</f>
        <v>51% - 70%</v>
      </c>
      <c r="CG441" s="256">
        <v>3.4420255857604945E-4</v>
      </c>
      <c r="CH441" s="232">
        <v>0</v>
      </c>
      <c r="CI441" s="311">
        <f t="shared" si="184"/>
        <v>0</v>
      </c>
      <c r="CJ441" s="232">
        <f>IFERROR(VLOOKUP(CI441,'Rangos amb etnico'!$A$2:$C$6,3,9),"N.D.")</f>
        <v>0</v>
      </c>
      <c r="CK441" s="311">
        <f t="shared" si="185"/>
        <v>0</v>
      </c>
      <c r="CL441" s="10">
        <v>0.60617400587500003</v>
      </c>
      <c r="CM441" s="255">
        <f t="shared" si="186"/>
        <v>2.8197607744044364E-5</v>
      </c>
      <c r="CN441" s="232">
        <f>IFERROR(VLOOKUP(CM441,'Rangos amb etnico'!$A$2:$C$6,3,9),"N.D.")</f>
        <v>0</v>
      </c>
      <c r="CO441" s="311">
        <f t="shared" si="187"/>
        <v>3.8013592965588405E-7</v>
      </c>
      <c r="CP441">
        <v>0.96613223354119815</v>
      </c>
      <c r="CQ441" t="s">
        <v>2864</v>
      </c>
      <c r="CR441">
        <f t="shared" si="178"/>
        <v>2</v>
      </c>
      <c r="CS441" t="str">
        <f t="shared" si="188"/>
        <v>No es Candidato</v>
      </c>
      <c r="CT441">
        <v>0</v>
      </c>
      <c r="CU441">
        <v>0</v>
      </c>
      <c r="CV441" s="25">
        <v>44.735504150390618</v>
      </c>
      <c r="CW441" s="25">
        <v>26.74748420715332</v>
      </c>
      <c r="CX441" s="25">
        <v>42.623126983642578</v>
      </c>
      <c r="CY441" s="25">
        <v>65.158531188964844</v>
      </c>
      <c r="CZ441" s="25">
        <v>31.915292739868161</v>
      </c>
      <c r="DA441" s="25">
        <v>55.043781280517578</v>
      </c>
      <c r="DB441" s="25">
        <v>46.924797058105469</v>
      </c>
      <c r="DC441">
        <v>130</v>
      </c>
      <c r="DD441" s="253" t="s">
        <v>380</v>
      </c>
    </row>
    <row r="442" spans="1:108" hidden="1">
      <c r="A442" s="13">
        <v>52356</v>
      </c>
      <c r="B442" s="13" t="s">
        <v>1336</v>
      </c>
      <c r="C442" s="13" t="s">
        <v>672</v>
      </c>
      <c r="D442" s="13" t="s">
        <v>673</v>
      </c>
      <c r="E442" s="13" t="s">
        <v>1337</v>
      </c>
      <c r="F442" s="14">
        <v>71.155833333333305</v>
      </c>
      <c r="G442" s="13">
        <v>67.099999999999994</v>
      </c>
      <c r="H442" s="13">
        <v>60.76</v>
      </c>
      <c r="I442" s="13">
        <v>66.22</v>
      </c>
      <c r="J442" s="14">
        <v>47.648098218883327</v>
      </c>
      <c r="K442" s="14">
        <v>51.613743323379168</v>
      </c>
      <c r="L442" s="14">
        <v>55.672130971042691</v>
      </c>
      <c r="M442" s="14">
        <v>48.900599999999997</v>
      </c>
      <c r="N442" s="14">
        <f t="shared" si="162"/>
        <v>66.308958333333322</v>
      </c>
      <c r="O442" s="14">
        <f t="shared" si="163"/>
        <v>50.958643128326294</v>
      </c>
      <c r="P442" s="14">
        <f t="shared" si="179"/>
        <v>58.633800730829805</v>
      </c>
      <c r="Q442" s="14">
        <v>52.165911244785434</v>
      </c>
      <c r="R442" s="17">
        <f t="shared" si="164"/>
        <v>47.834088755214566</v>
      </c>
      <c r="S442" s="14">
        <f t="shared" si="180"/>
        <v>0.53050679879693108</v>
      </c>
      <c r="T442" s="13">
        <v>0</v>
      </c>
      <c r="U442" s="13">
        <f t="shared" si="181"/>
        <v>31.105629927009677</v>
      </c>
      <c r="V442" s="13">
        <f>IF($T442=1,$AU442,(VLOOKUP(U442,'Cortes naturales'!$A$35:$C$39,3,9)))</f>
        <v>3</v>
      </c>
      <c r="W442" s="13">
        <v>3</v>
      </c>
      <c r="X442" s="14" t="b">
        <f t="shared" si="165"/>
        <v>1</v>
      </c>
      <c r="Y442" s="17">
        <f>IF($T442=1,$AU442,VLOOKUP(U442,'Cortes naturales'!$A$45:$C$49,3,9))</f>
        <v>3</v>
      </c>
      <c r="Z442" s="14">
        <v>58.435569468010399</v>
      </c>
      <c r="AA442" s="14">
        <v>0.53886008268911523</v>
      </c>
      <c r="AB442" s="14">
        <v>31.488595795517622</v>
      </c>
      <c r="AC442" s="13">
        <v>3</v>
      </c>
      <c r="AD442" s="13">
        <f t="shared" si="166"/>
        <v>0</v>
      </c>
      <c r="AE442" s="14">
        <f t="shared" si="167"/>
        <v>0.19823126281940517</v>
      </c>
      <c r="AF442" s="14">
        <f t="shared" si="168"/>
        <v>-8.353283892184149E-3</v>
      </c>
      <c r="AG442" s="13">
        <f t="shared" si="169"/>
        <v>-0.38296586850794512</v>
      </c>
      <c r="AH442" s="13">
        <f>IF($T442=1,$AU442,VLOOKUP(U442,'Cortes naturales'!$A$25:$C$29,3,9))</f>
        <v>3</v>
      </c>
      <c r="AI442" s="13" t="b">
        <f t="shared" si="170"/>
        <v>1</v>
      </c>
      <c r="AJ442" s="13">
        <f t="shared" si="171"/>
        <v>0</v>
      </c>
      <c r="AK442" s="28">
        <v>0.81759069605862034</v>
      </c>
      <c r="AL442" s="28">
        <v>47.776377915932486</v>
      </c>
      <c r="AM442" s="28">
        <v>0.42700611483708789</v>
      </c>
      <c r="AN442" s="13">
        <v>3</v>
      </c>
      <c r="AO442" s="33">
        <f t="shared" si="172"/>
        <v>0</v>
      </c>
      <c r="AP442" s="13">
        <f t="shared" si="182"/>
        <v>42.700611483708791</v>
      </c>
      <c r="AQ442" s="13">
        <f>IFERROR(VLOOKUP(U442,'Cortes naturales'!$E$15:$G$19,3,9),U442)</f>
        <v>4</v>
      </c>
      <c r="AR442" s="28">
        <f t="shared" si="173"/>
        <v>-0.28708389726168926</v>
      </c>
      <c r="AS442" s="13" t="b">
        <f t="shared" si="174"/>
        <v>0</v>
      </c>
      <c r="AT442" s="13">
        <f t="shared" si="183"/>
        <v>0</v>
      </c>
      <c r="AU442" s="13">
        <v>3</v>
      </c>
      <c r="AV442">
        <f t="shared" si="175"/>
        <v>0</v>
      </c>
      <c r="AW442" s="13">
        <v>0</v>
      </c>
      <c r="AX442" s="13">
        <v>1</v>
      </c>
      <c r="AY442" s="13">
        <v>0</v>
      </c>
      <c r="AZ442" s="13">
        <v>0</v>
      </c>
      <c r="BA442">
        <v>1</v>
      </c>
      <c r="BB442" t="s">
        <v>2838</v>
      </c>
      <c r="BC442">
        <v>4</v>
      </c>
      <c r="BD442" t="s">
        <v>2920</v>
      </c>
      <c r="BE442">
        <v>0</v>
      </c>
      <c r="BF442" s="232" t="s">
        <v>2845</v>
      </c>
      <c r="BG442" s="232" t="s">
        <v>2845</v>
      </c>
      <c r="BH442" s="253">
        <v>23.4</v>
      </c>
      <c r="BI442" s="253">
        <v>10.546056471443745</v>
      </c>
      <c r="BJ442" s="25">
        <v>26.880135820091485</v>
      </c>
      <c r="BK442" t="s">
        <v>379</v>
      </c>
      <c r="BL442">
        <v>9.3732895833867822</v>
      </c>
      <c r="BM442" t="s">
        <v>379</v>
      </c>
      <c r="BN442" s="322">
        <v>359987.704685</v>
      </c>
      <c r="BO442" s="322">
        <v>36866.827877000003</v>
      </c>
      <c r="BP442" s="10">
        <v>121440</v>
      </c>
      <c r="BQ442" s="254">
        <f t="shared" si="176"/>
        <v>2.9643256314640976</v>
      </c>
      <c r="BR442" s="254">
        <f t="shared" si="177"/>
        <v>0.30358059846014496</v>
      </c>
      <c r="BS442" s="25">
        <v>70.644341337668493</v>
      </c>
      <c r="BT442" s="25">
        <v>93.05792006488241</v>
      </c>
      <c r="BU442" s="25">
        <v>62.919999999999987</v>
      </c>
      <c r="BV442" s="25">
        <v>68.075466225454804</v>
      </c>
      <c r="BW442" s="25">
        <v>54.734298604561758</v>
      </c>
      <c r="BX442" s="25">
        <v>73.67443190700142</v>
      </c>
      <c r="BY442" s="25">
        <v>55.766725200924157</v>
      </c>
      <c r="BZ442">
        <v>28</v>
      </c>
      <c r="CA442">
        <v>1</v>
      </c>
      <c r="CB442">
        <v>4</v>
      </c>
      <c r="CC442">
        <v>154304.646607</v>
      </c>
      <c r="CD442" s="10">
        <v>17134.904849999999</v>
      </c>
      <c r="CE442" s="255">
        <v>0.11104594208132341</v>
      </c>
      <c r="CF442" t="str">
        <f>IFERROR(VLOOKUP(CE442,'Rangos amb etnico'!$A$2:$C$6,3,9),"N.D.")</f>
        <v>0,1% - 30%</v>
      </c>
      <c r="CG442" s="256">
        <v>4.9851897494148419E-4</v>
      </c>
      <c r="CH442" s="232">
        <v>62822.851817000002</v>
      </c>
      <c r="CI442" s="311">
        <f t="shared" si="184"/>
        <v>0.40713519131412895</v>
      </c>
      <c r="CJ442" s="232" t="str">
        <f>IFERROR(VLOOKUP(CI442,'Rangos amb etnico'!$A$2:$C$6,3,9),"N.D.")</f>
        <v>31% - 50%</v>
      </c>
      <c r="CK442" s="311">
        <f t="shared" si="185"/>
        <v>2.49447853094065E-3</v>
      </c>
      <c r="CL442" s="10">
        <v>0</v>
      </c>
      <c r="CM442" s="255">
        <f t="shared" si="186"/>
        <v>0</v>
      </c>
      <c r="CN442" s="232">
        <f>IFERROR(VLOOKUP(CM442,'Rangos amb etnico'!$A$2:$C$6,3,9),"N.D.")</f>
        <v>0</v>
      </c>
      <c r="CO442" s="311">
        <f t="shared" si="187"/>
        <v>0</v>
      </c>
      <c r="CP442">
        <v>0.93044794484930593</v>
      </c>
      <c r="CQ442" t="s">
        <v>2864</v>
      </c>
      <c r="CR442">
        <f t="shared" si="178"/>
        <v>2</v>
      </c>
      <c r="CS442" t="str">
        <f t="shared" si="188"/>
        <v>No es Candidato</v>
      </c>
      <c r="CT442">
        <v>1</v>
      </c>
      <c r="CU442" t="s">
        <v>2835</v>
      </c>
      <c r="CV442" s="25">
        <v>46.814075469970703</v>
      </c>
      <c r="CW442" s="25">
        <v>51.248233795166023</v>
      </c>
      <c r="CX442" s="25">
        <v>39.483333587646477</v>
      </c>
      <c r="CY442" s="25">
        <v>66.622482299804688</v>
      </c>
      <c r="CZ442" s="25">
        <v>56.773002624511719</v>
      </c>
      <c r="DA442" s="25">
        <v>14.046305656433111</v>
      </c>
      <c r="DB442" s="25">
        <v>52.711109161376953</v>
      </c>
      <c r="DC442">
        <v>45448</v>
      </c>
      <c r="DD442" s="253" t="s">
        <v>380</v>
      </c>
    </row>
    <row r="443" spans="1:108">
      <c r="A443" s="13">
        <v>5792</v>
      </c>
      <c r="B443" s="13" t="s">
        <v>1338</v>
      </c>
      <c r="C443" s="13" t="s">
        <v>435</v>
      </c>
      <c r="D443" s="13" t="s">
        <v>436</v>
      </c>
      <c r="E443" s="13" t="s">
        <v>1339</v>
      </c>
      <c r="F443" s="14">
        <v>61.943833333333302</v>
      </c>
      <c r="G443" s="13">
        <v>25.42</v>
      </c>
      <c r="H443" s="13">
        <v>23.91</v>
      </c>
      <c r="I443" s="13">
        <v>69.05</v>
      </c>
      <c r="J443" s="14">
        <v>40.488378231786562</v>
      </c>
      <c r="K443" s="14">
        <v>54.099405692593095</v>
      </c>
      <c r="L443" s="14">
        <v>36.042949464723534</v>
      </c>
      <c r="M443" s="14">
        <v>46.136499999999998</v>
      </c>
      <c r="N443" s="14">
        <f t="shared" si="162"/>
        <v>45.080958333333328</v>
      </c>
      <c r="O443" s="14">
        <f t="shared" si="163"/>
        <v>44.191808347275796</v>
      </c>
      <c r="P443" s="14">
        <f t="shared" si="179"/>
        <v>44.636383340304562</v>
      </c>
      <c r="Q443" s="14">
        <v>51.545652773590611</v>
      </c>
      <c r="R443" s="17">
        <f t="shared" si="164"/>
        <v>48.454347226409389</v>
      </c>
      <c r="S443" s="14">
        <f t="shared" si="180"/>
        <v>0.53608912503768447</v>
      </c>
      <c r="T443" s="13">
        <v>0</v>
      </c>
      <c r="U443" s="13">
        <f t="shared" si="181"/>
        <v>23.929079689750548</v>
      </c>
      <c r="V443" s="13">
        <f>IF($T443=1,$AU443,(VLOOKUP(U443,'Cortes naturales'!$A$35:$C$39,3,9)))</f>
        <v>4</v>
      </c>
      <c r="W443" s="13">
        <v>4</v>
      </c>
      <c r="X443" s="14" t="b">
        <f t="shared" si="165"/>
        <v>1</v>
      </c>
      <c r="Y443" s="17">
        <f>IF($T443=1,$AU443,VLOOKUP(U443,'Cortes naturales'!$A$45:$C$49,3,9))</f>
        <v>4</v>
      </c>
      <c r="Z443" s="14">
        <v>43.87324840123388</v>
      </c>
      <c r="AA443" s="14">
        <v>0.5385345842048942</v>
      </c>
      <c r="AB443" s="14">
        <v>23.627261585476528</v>
      </c>
      <c r="AC443" s="13">
        <v>4</v>
      </c>
      <c r="AD443" s="13">
        <f t="shared" si="166"/>
        <v>0</v>
      </c>
      <c r="AE443" s="14">
        <f t="shared" si="167"/>
        <v>0.76313493907068164</v>
      </c>
      <c r="AF443" s="14">
        <f t="shared" si="168"/>
        <v>-2.4454591672097292E-3</v>
      </c>
      <c r="AG443" s="13">
        <f t="shared" si="169"/>
        <v>0.30181810427401956</v>
      </c>
      <c r="AH443" s="13">
        <f>IF($T443=1,$AU443,VLOOKUP(U443,'Cortes naturales'!$A$25:$C$29,3,9))</f>
        <v>4</v>
      </c>
      <c r="AI443" s="13" t="b">
        <f t="shared" si="170"/>
        <v>1</v>
      </c>
      <c r="AJ443" s="13">
        <f t="shared" si="171"/>
        <v>0</v>
      </c>
      <c r="AK443" s="28">
        <v>0.81759069605862034</v>
      </c>
      <c r="AL443" s="28">
        <v>35.870359698717557</v>
      </c>
      <c r="AM443" s="28">
        <v>0.27807437706589327</v>
      </c>
      <c r="AN443" s="13">
        <v>4</v>
      </c>
      <c r="AO443" s="33">
        <f t="shared" si="172"/>
        <v>0</v>
      </c>
      <c r="AP443" s="13">
        <f t="shared" si="182"/>
        <v>27.807437706589326</v>
      </c>
      <c r="AQ443" s="13">
        <f>IFERROR(VLOOKUP(U443,'Cortes naturales'!$E$15:$G$19,3,9),U443)</f>
        <v>4</v>
      </c>
      <c r="AR443" s="28">
        <f t="shared" si="173"/>
        <v>-0.28150157102093587</v>
      </c>
      <c r="AS443" s="13" t="b">
        <f t="shared" si="174"/>
        <v>1</v>
      </c>
      <c r="AT443" s="13">
        <f t="shared" si="183"/>
        <v>0</v>
      </c>
      <c r="AU443" s="13">
        <v>3</v>
      </c>
      <c r="AV443">
        <f t="shared" si="175"/>
        <v>-1</v>
      </c>
      <c r="AW443" s="13">
        <v>0</v>
      </c>
      <c r="AX443" s="13">
        <v>0</v>
      </c>
      <c r="AY443" s="13">
        <v>0</v>
      </c>
      <c r="AZ443" s="13">
        <v>0</v>
      </c>
      <c r="BA443">
        <v>0</v>
      </c>
      <c r="BB443" t="s">
        <v>2839</v>
      </c>
      <c r="BC443">
        <v>6</v>
      </c>
      <c r="BD443" t="s">
        <v>2919</v>
      </c>
      <c r="BE443">
        <v>1</v>
      </c>
      <c r="BF443" s="232" t="s">
        <v>2846</v>
      </c>
      <c r="BG443" s="232" t="s">
        <v>2845</v>
      </c>
      <c r="BH443" s="253">
        <v>42.6</v>
      </c>
      <c r="BI443" s="253">
        <v>16.24158696422246</v>
      </c>
      <c r="BJ443" s="25">
        <v>5.9156730499016428</v>
      </c>
      <c r="BK443" t="s">
        <v>377</v>
      </c>
      <c r="BL443">
        <v>5.3139698656379375</v>
      </c>
      <c r="BM443" t="s">
        <v>383</v>
      </c>
      <c r="BN443" s="322">
        <v>16488.199068000002</v>
      </c>
      <c r="BO443" s="322">
        <v>4715.8666039999998</v>
      </c>
      <c r="BP443" s="10">
        <v>6530</v>
      </c>
      <c r="BQ443" s="254">
        <f t="shared" si="176"/>
        <v>2.5249922003062788</v>
      </c>
      <c r="BR443" s="254">
        <f t="shared" si="177"/>
        <v>0.72218477856049001</v>
      </c>
      <c r="BS443" s="25">
        <v>60.270881189032018</v>
      </c>
      <c r="BT443" s="25">
        <v>82.433278182746292</v>
      </c>
      <c r="BU443" s="25">
        <v>44.213182315605138</v>
      </c>
      <c r="BV443" s="25">
        <v>85.554928362253051</v>
      </c>
      <c r="BW443" s="25">
        <v>67.266835778957486</v>
      </c>
      <c r="BX443" s="25">
        <v>68.118067512409127</v>
      </c>
      <c r="BY443" s="25">
        <v>68.70939776900596</v>
      </c>
      <c r="BZ443">
        <v>83</v>
      </c>
      <c r="CA443">
        <v>0</v>
      </c>
      <c r="CB443">
        <v>7</v>
      </c>
      <c r="CC443">
        <v>12046.149568999999</v>
      </c>
      <c r="CD443" s="10">
        <v>2864.3505489999998</v>
      </c>
      <c r="CE443" s="255">
        <v>0.23778141991290097</v>
      </c>
      <c r="CF443" t="str">
        <f>IFERROR(VLOOKUP(CE443,'Rangos amb etnico'!$A$2:$C$6,3,9),"N.D.")</f>
        <v>0,1% - 30%</v>
      </c>
      <c r="CG443" s="256">
        <v>8.3334755113073034E-5</v>
      </c>
      <c r="CH443" s="232">
        <v>0</v>
      </c>
      <c r="CI443" s="311">
        <f t="shared" si="184"/>
        <v>0</v>
      </c>
      <c r="CJ443" s="232">
        <f>IFERROR(VLOOKUP(CI443,'Rangos amb etnico'!$A$2:$C$6,3,9),"N.D.")</f>
        <v>0</v>
      </c>
      <c r="CK443" s="311">
        <f t="shared" si="185"/>
        <v>0</v>
      </c>
      <c r="CL443" s="10">
        <v>0</v>
      </c>
      <c r="CM443" s="255">
        <f t="shared" si="186"/>
        <v>0</v>
      </c>
      <c r="CN443" s="232">
        <f>IFERROR(VLOOKUP(CM443,'Rangos amb etnico'!$A$2:$C$6,3,9),"N.D.")</f>
        <v>0</v>
      </c>
      <c r="CO443" s="311">
        <f t="shared" si="187"/>
        <v>0</v>
      </c>
      <c r="CP443">
        <v>0.87206467412143673</v>
      </c>
      <c r="CQ443" t="s">
        <v>2864</v>
      </c>
      <c r="CR443">
        <f t="shared" si="178"/>
        <v>3</v>
      </c>
      <c r="CS443" t="str">
        <f t="shared" si="188"/>
        <v>Candidato</v>
      </c>
      <c r="CT443">
        <v>0</v>
      </c>
      <c r="CU443">
        <v>0</v>
      </c>
      <c r="CV443" s="25">
        <v>42.067459106445313</v>
      </c>
      <c r="CW443" s="25">
        <v>24.59555816650391</v>
      </c>
      <c r="CX443" s="25">
        <v>46.702613830566413</v>
      </c>
      <c r="CY443" s="25">
        <v>46.596916198730469</v>
      </c>
      <c r="CZ443" s="25">
        <v>38.466957092285163</v>
      </c>
      <c r="DA443" s="25">
        <v>39.843410491943359</v>
      </c>
      <c r="DB443" s="25">
        <v>56.199302673339837</v>
      </c>
      <c r="DC443">
        <v>69</v>
      </c>
      <c r="DD443" s="253" t="s">
        <v>380</v>
      </c>
    </row>
    <row r="444" spans="1:108" hidden="1">
      <c r="A444" s="13">
        <v>70233</v>
      </c>
      <c r="B444" s="13" t="s">
        <v>1340</v>
      </c>
      <c r="C444" s="13" t="s">
        <v>494</v>
      </c>
      <c r="D444" s="13" t="s">
        <v>495</v>
      </c>
      <c r="E444" s="13" t="s">
        <v>1341</v>
      </c>
      <c r="F444" s="14">
        <v>58.539866666666697</v>
      </c>
      <c r="G444" s="13">
        <v>40.4</v>
      </c>
      <c r="H444" s="13">
        <v>31.95</v>
      </c>
      <c r="I444" s="13">
        <v>34.32</v>
      </c>
      <c r="J444" s="14">
        <v>36.682134774557476</v>
      </c>
      <c r="K444" s="14">
        <v>60.925752859696829</v>
      </c>
      <c r="L444" s="14">
        <v>51.743390798067942</v>
      </c>
      <c r="M444" s="14">
        <v>53.506599999999999</v>
      </c>
      <c r="N444" s="14">
        <f t="shared" si="162"/>
        <v>41.302466666666668</v>
      </c>
      <c r="O444" s="14">
        <f t="shared" si="163"/>
        <v>50.714469608080556</v>
      </c>
      <c r="P444" s="14">
        <f t="shared" si="179"/>
        <v>46.008468137373612</v>
      </c>
      <c r="Q444" s="14">
        <v>52.045796150162147</v>
      </c>
      <c r="R444" s="17">
        <f t="shared" si="164"/>
        <v>47.954203849837853</v>
      </c>
      <c r="S444" s="14">
        <f t="shared" si="180"/>
        <v>0.53158783464854065</v>
      </c>
      <c r="T444" s="13">
        <v>0</v>
      </c>
      <c r="U444" s="13">
        <f t="shared" si="181"/>
        <v>24.457541952642813</v>
      </c>
      <c r="V444" s="13">
        <f>IF($T444=1,$AU444,(VLOOKUP(U444,'Cortes naturales'!$A$35:$C$39,3,9)))</f>
        <v>4</v>
      </c>
      <c r="W444" s="13">
        <v>4</v>
      </c>
      <c r="X444" s="14" t="b">
        <f t="shared" si="165"/>
        <v>1</v>
      </c>
      <c r="Y444" s="17">
        <f>IF($T444=1,$AU444,VLOOKUP(U444,'Cortes naturales'!$A$45:$C$49,3,9))</f>
        <v>4</v>
      </c>
      <c r="Z444" s="14">
        <v>47.566865493810624</v>
      </c>
      <c r="AA444" s="14">
        <v>0.53861492009232581</v>
      </c>
      <c r="AB444" s="14">
        <v>25.620223456991219</v>
      </c>
      <c r="AC444" s="13">
        <v>4</v>
      </c>
      <c r="AD444" s="13">
        <f t="shared" si="166"/>
        <v>0</v>
      </c>
      <c r="AE444" s="14">
        <f t="shared" si="167"/>
        <v>-1.5583973564370126</v>
      </c>
      <c r="AF444" s="14">
        <f t="shared" si="168"/>
        <v>-7.0270854437851638E-3</v>
      </c>
      <c r="AG444" s="13">
        <f t="shared" si="169"/>
        <v>-1.1626815043484058</v>
      </c>
      <c r="AH444" s="13">
        <f>IF($T444=1,$AU444,VLOOKUP(U444,'Cortes naturales'!$A$25:$C$29,3,9))</f>
        <v>4</v>
      </c>
      <c r="AI444" s="13" t="b">
        <f t="shared" si="170"/>
        <v>1</v>
      </c>
      <c r="AJ444" s="13">
        <f t="shared" si="171"/>
        <v>0</v>
      </c>
      <c r="AK444" s="28">
        <v>0.81759069605862034</v>
      </c>
      <c r="AL444" s="28">
        <v>38.890226668411401</v>
      </c>
      <c r="AM444" s="28">
        <v>0.31584972961692798</v>
      </c>
      <c r="AN444" s="13">
        <v>4</v>
      </c>
      <c r="AO444" s="33">
        <f t="shared" si="172"/>
        <v>0</v>
      </c>
      <c r="AP444" s="13">
        <f t="shared" si="182"/>
        <v>31.584972961692799</v>
      </c>
      <c r="AQ444" s="13">
        <f>IFERROR(VLOOKUP(U444,'Cortes naturales'!$E$15:$G$19,3,9),U444)</f>
        <v>4</v>
      </c>
      <c r="AR444" s="28">
        <f t="shared" si="173"/>
        <v>-0.28600286141007969</v>
      </c>
      <c r="AS444" s="13" t="b">
        <f t="shared" si="174"/>
        <v>1</v>
      </c>
      <c r="AT444" s="13">
        <f t="shared" si="183"/>
        <v>0</v>
      </c>
      <c r="AU444" s="13">
        <v>3</v>
      </c>
      <c r="AV444">
        <f t="shared" si="175"/>
        <v>-1</v>
      </c>
      <c r="AW444" s="13">
        <v>0</v>
      </c>
      <c r="AX444" s="13">
        <v>0</v>
      </c>
      <c r="AY444" s="13">
        <v>0</v>
      </c>
      <c r="AZ444" s="13">
        <v>0</v>
      </c>
      <c r="BA444">
        <v>0</v>
      </c>
      <c r="BB444" t="s">
        <v>2839</v>
      </c>
      <c r="BC444">
        <v>6</v>
      </c>
      <c r="BD444" t="s">
        <v>2919</v>
      </c>
      <c r="BE444">
        <v>0</v>
      </c>
      <c r="BF444" s="232" t="s">
        <v>2846</v>
      </c>
      <c r="BG444" s="232" t="s">
        <v>2846</v>
      </c>
      <c r="BH444" s="253">
        <v>64.3</v>
      </c>
      <c r="BI444" s="253">
        <v>34.723073778867771</v>
      </c>
      <c r="BJ444" s="25">
        <v>15.384615384615385</v>
      </c>
      <c r="BK444" t="s">
        <v>379</v>
      </c>
      <c r="BL444">
        <v>9.3619000723013226</v>
      </c>
      <c r="BM444" t="s">
        <v>379</v>
      </c>
      <c r="BN444" s="322">
        <v>34557.857926999997</v>
      </c>
      <c r="BO444" s="322">
        <v>2155.2475730000001</v>
      </c>
      <c r="BP444" s="10">
        <v>10586</v>
      </c>
      <c r="BQ444" s="254">
        <f t="shared" si="176"/>
        <v>3.2644868625543166</v>
      </c>
      <c r="BR444" s="254">
        <f t="shared" si="177"/>
        <v>0.20359414065747214</v>
      </c>
      <c r="BS444" s="25">
        <v>65.811250219403377</v>
      </c>
      <c r="BT444" s="25">
        <v>92.942075660935828</v>
      </c>
      <c r="BU444" s="25">
        <v>40.932024416628032</v>
      </c>
      <c r="BV444" s="25">
        <v>96.874450891401537</v>
      </c>
      <c r="BW444" s="25">
        <v>25.833280655082731</v>
      </c>
      <c r="BX444" s="25">
        <v>74.139950297092199</v>
      </c>
      <c r="BY444" s="25">
        <v>26.63480271058117</v>
      </c>
      <c r="BZ444">
        <v>9</v>
      </c>
      <c r="CA444">
        <v>0</v>
      </c>
      <c r="CB444">
        <v>7</v>
      </c>
      <c r="CC444">
        <v>19836.216563999998</v>
      </c>
      <c r="CD444" s="10">
        <v>312.613564</v>
      </c>
      <c r="CE444" s="255">
        <v>1.5759737397067472E-2</v>
      </c>
      <c r="CF444" t="str">
        <f>IFERROR(VLOOKUP(CE444,'Rangos amb etnico'!$A$2:$C$6,3,9),"N.D.")</f>
        <v>0,1% - 30%</v>
      </c>
      <c r="CG444" s="256">
        <v>9.0951070252417575E-6</v>
      </c>
      <c r="CH444" s="232">
        <v>0</v>
      </c>
      <c r="CI444" s="311">
        <f t="shared" si="184"/>
        <v>0</v>
      </c>
      <c r="CJ444" s="232">
        <f>IFERROR(VLOOKUP(CI444,'Rangos amb etnico'!$A$2:$C$6,3,9),"N.D.")</f>
        <v>0</v>
      </c>
      <c r="CK444" s="311">
        <f t="shared" si="185"/>
        <v>0</v>
      </c>
      <c r="CL444" s="10">
        <v>0</v>
      </c>
      <c r="CM444" s="255">
        <f t="shared" si="186"/>
        <v>0</v>
      </c>
      <c r="CN444" s="232">
        <f>IFERROR(VLOOKUP(CM444,'Rangos amb etnico'!$A$2:$C$6,3,9),"N.D.")</f>
        <v>0</v>
      </c>
      <c r="CO444" s="311">
        <f t="shared" si="187"/>
        <v>0</v>
      </c>
      <c r="CP444">
        <v>0.89653611071482953</v>
      </c>
      <c r="CQ444" t="s">
        <v>2864</v>
      </c>
      <c r="CR444">
        <f t="shared" si="178"/>
        <v>1</v>
      </c>
      <c r="CS444" t="str">
        <f t="shared" si="188"/>
        <v>No es Candidato</v>
      </c>
      <c r="CT444">
        <v>0</v>
      </c>
      <c r="CU444">
        <v>0</v>
      </c>
      <c r="CV444" s="25">
        <v>49.940582275390618</v>
      </c>
      <c r="CW444" s="25">
        <v>29.201076507568359</v>
      </c>
      <c r="CX444" s="25">
        <v>53.597457885742188</v>
      </c>
      <c r="CY444" s="25">
        <v>50.232013702392578</v>
      </c>
      <c r="CZ444" s="25">
        <v>33.958881378173828</v>
      </c>
      <c r="DA444" s="25">
        <v>85.272697448730469</v>
      </c>
      <c r="DB444" s="25">
        <v>47.381362915039063</v>
      </c>
      <c r="DC444">
        <v>1213</v>
      </c>
      <c r="DD444" s="253" t="s">
        <v>380</v>
      </c>
    </row>
    <row r="445" spans="1:108">
      <c r="A445" s="13">
        <v>5670</v>
      </c>
      <c r="B445" s="13" t="s">
        <v>1342</v>
      </c>
      <c r="C445" s="13" t="s">
        <v>435</v>
      </c>
      <c r="D445" s="13" t="s">
        <v>436</v>
      </c>
      <c r="E445" s="13" t="s">
        <v>1343</v>
      </c>
      <c r="F445" s="14">
        <v>63.4577666666667</v>
      </c>
      <c r="G445" s="13">
        <v>71.78</v>
      </c>
      <c r="H445" s="13">
        <v>59.84</v>
      </c>
      <c r="I445" s="13">
        <v>87.42</v>
      </c>
      <c r="J445" s="14">
        <v>60.340521112716665</v>
      </c>
      <c r="K445" s="14">
        <v>52.437495599212696</v>
      </c>
      <c r="L445" s="14">
        <v>56.11470315517856</v>
      </c>
      <c r="M445" s="14">
        <v>53.983499999999999</v>
      </c>
      <c r="N445" s="14">
        <f t="shared" si="162"/>
        <v>70.624441666666669</v>
      </c>
      <c r="O445" s="14">
        <f t="shared" si="163"/>
        <v>55.71905496677698</v>
      </c>
      <c r="P445" s="14">
        <f t="shared" si="179"/>
        <v>63.171748316721825</v>
      </c>
      <c r="Q445" s="14">
        <v>51.173136609341519</v>
      </c>
      <c r="R445" s="17">
        <f t="shared" si="164"/>
        <v>48.826863390658481</v>
      </c>
      <c r="S445" s="14">
        <f t="shared" si="180"/>
        <v>0.53944177051592634</v>
      </c>
      <c r="T445" s="13">
        <v>0</v>
      </c>
      <c r="U445" s="13">
        <f t="shared" si="181"/>
        <v>34.077479758558908</v>
      </c>
      <c r="V445" s="13">
        <f>IF($T445=1,$AU445,(VLOOKUP(U445,'Cortes naturales'!$A$35:$C$39,3,9)))</f>
        <v>3</v>
      </c>
      <c r="W445" s="13">
        <v>3</v>
      </c>
      <c r="X445" s="14" t="b">
        <f t="shared" si="165"/>
        <v>1</v>
      </c>
      <c r="Y445" s="17">
        <f>IF($T445=1,$AU445,VLOOKUP(U445,'Cortes naturales'!$A$45:$C$49,3,9))</f>
        <v>3</v>
      </c>
      <c r="Z445" s="14">
        <v>61.166731921847749</v>
      </c>
      <c r="AA445" s="14">
        <v>0.53967901123080897</v>
      </c>
      <c r="AB445" s="14">
        <v>33.010401403802753</v>
      </c>
      <c r="AC445" s="13">
        <v>3</v>
      </c>
      <c r="AD445" s="13">
        <f t="shared" si="166"/>
        <v>0</v>
      </c>
      <c r="AE445" s="14">
        <f t="shared" si="167"/>
        <v>2.005016394874076</v>
      </c>
      <c r="AF445" s="14">
        <f t="shared" si="168"/>
        <v>-2.3724071488262499E-4</v>
      </c>
      <c r="AG445" s="13">
        <f t="shared" si="169"/>
        <v>1.0670783547561555</v>
      </c>
      <c r="AH445" s="13">
        <f>IF($T445=1,$AU445,VLOOKUP(U445,'Cortes naturales'!$A$25:$C$29,3,9))</f>
        <v>3</v>
      </c>
      <c r="AI445" s="13" t="b">
        <f t="shared" si="170"/>
        <v>1</v>
      </c>
      <c r="AJ445" s="13">
        <f t="shared" si="171"/>
        <v>0</v>
      </c>
      <c r="AK445" s="28">
        <v>0.81759069605862034</v>
      </c>
      <c r="AL445" s="28">
        <v>50.009350927614534</v>
      </c>
      <c r="AM445" s="28">
        <v>0.45493825343781136</v>
      </c>
      <c r="AN445" s="13">
        <v>3</v>
      </c>
      <c r="AO445" s="33">
        <f t="shared" si="172"/>
        <v>0</v>
      </c>
      <c r="AP445" s="13">
        <f t="shared" si="182"/>
        <v>45.493825343781133</v>
      </c>
      <c r="AQ445" s="13">
        <f>IFERROR(VLOOKUP(U445,'Cortes naturales'!$E$15:$G$19,3,9),U445)</f>
        <v>4</v>
      </c>
      <c r="AR445" s="28">
        <f t="shared" si="173"/>
        <v>-0.27814892554269399</v>
      </c>
      <c r="AS445" s="13" t="b">
        <f t="shared" si="174"/>
        <v>0</v>
      </c>
      <c r="AT445" s="13">
        <f t="shared" si="183"/>
        <v>0</v>
      </c>
      <c r="AU445" s="13">
        <v>2</v>
      </c>
      <c r="AV445">
        <f t="shared" si="175"/>
        <v>-1</v>
      </c>
      <c r="AW445" s="13">
        <v>0</v>
      </c>
      <c r="AX445" s="13">
        <v>0</v>
      </c>
      <c r="AY445" s="13">
        <v>0</v>
      </c>
      <c r="AZ445" s="13">
        <v>0</v>
      </c>
      <c r="BA445">
        <v>0</v>
      </c>
      <c r="BB445" t="s">
        <v>2839</v>
      </c>
      <c r="BC445">
        <v>6</v>
      </c>
      <c r="BD445" t="s">
        <v>2919</v>
      </c>
      <c r="BE445">
        <v>1</v>
      </c>
      <c r="BF445" s="232" t="s">
        <v>2846</v>
      </c>
      <c r="BG445" s="232" t="s">
        <v>2845</v>
      </c>
      <c r="BH445" s="253">
        <v>40.799999999999997</v>
      </c>
      <c r="BI445" s="253">
        <v>14.845070422535212</v>
      </c>
      <c r="BJ445" s="25">
        <v>56.66788015745896</v>
      </c>
      <c r="BK445" t="s">
        <v>376</v>
      </c>
      <c r="BL445">
        <v>3.8655596059633766</v>
      </c>
      <c r="BM445" t="s">
        <v>383</v>
      </c>
      <c r="BN445" s="322">
        <v>43232.097063000001</v>
      </c>
      <c r="BO445" s="322">
        <v>5704.1982710000002</v>
      </c>
      <c r="BP445" s="10">
        <v>24238</v>
      </c>
      <c r="BQ445" s="254">
        <f t="shared" si="176"/>
        <v>1.7836495198861293</v>
      </c>
      <c r="BR445" s="254">
        <f t="shared" si="177"/>
        <v>0.23534112843468935</v>
      </c>
      <c r="BS445" s="25">
        <v>58.430343558168687</v>
      </c>
      <c r="BT445" s="25">
        <v>88.618043762411631</v>
      </c>
      <c r="BU445" s="25">
        <v>50.47</v>
      </c>
      <c r="BV445" s="25">
        <v>93.693369873035962</v>
      </c>
      <c r="BW445" s="25">
        <v>58.549356400794473</v>
      </c>
      <c r="BX445" s="25">
        <v>72.80293929840407</v>
      </c>
      <c r="BY445" s="25">
        <v>58.928846432849738</v>
      </c>
      <c r="BZ445">
        <v>72</v>
      </c>
      <c r="CA445">
        <v>0</v>
      </c>
      <c r="CB445">
        <v>7</v>
      </c>
      <c r="CC445">
        <v>42452.722892999998</v>
      </c>
      <c r="CD445" s="10">
        <v>3059.322357</v>
      </c>
      <c r="CE445" s="255">
        <v>7.206421987844859E-2</v>
      </c>
      <c r="CF445" t="str">
        <f>IFERROR(VLOOKUP(CE445,'Rangos amb etnico'!$A$2:$C$6,3,9),"N.D.")</f>
        <v>0,1% - 30%</v>
      </c>
      <c r="CG445" s="256">
        <v>8.9007219986237936E-5</v>
      </c>
      <c r="CH445" s="232">
        <v>0</v>
      </c>
      <c r="CI445" s="311">
        <f t="shared" si="184"/>
        <v>0</v>
      </c>
      <c r="CJ445" s="232">
        <f>IFERROR(VLOOKUP(CI445,'Rangos amb etnico'!$A$2:$C$6,3,9),"N.D.")</f>
        <v>0</v>
      </c>
      <c r="CK445" s="311">
        <f t="shared" si="185"/>
        <v>0</v>
      </c>
      <c r="CL445" s="10">
        <v>0</v>
      </c>
      <c r="CM445" s="255">
        <f t="shared" si="186"/>
        <v>0</v>
      </c>
      <c r="CN445" s="232">
        <f>IFERROR(VLOOKUP(CM445,'Rangos amb etnico'!$A$2:$C$6,3,9),"N.D.")</f>
        <v>0</v>
      </c>
      <c r="CO445" s="311">
        <f t="shared" si="187"/>
        <v>0</v>
      </c>
      <c r="CP445">
        <v>0.8907288004064251</v>
      </c>
      <c r="CQ445" t="s">
        <v>2864</v>
      </c>
      <c r="CR445">
        <f t="shared" si="178"/>
        <v>2</v>
      </c>
      <c r="CS445" t="str">
        <f t="shared" si="188"/>
        <v>No es Candidato</v>
      </c>
      <c r="CT445">
        <v>0</v>
      </c>
      <c r="CU445">
        <v>0</v>
      </c>
      <c r="CV445" s="25">
        <v>43.669223785400391</v>
      </c>
      <c r="CW445" s="25">
        <v>26.798748016357418</v>
      </c>
      <c r="CX445" s="25">
        <v>39.003070831298828</v>
      </c>
      <c r="CY445" s="25">
        <v>57.971443176269531</v>
      </c>
      <c r="CZ445" s="25">
        <v>42.351394653320313</v>
      </c>
      <c r="DA445" s="25">
        <v>47.812461853027337</v>
      </c>
      <c r="DB445" s="25">
        <v>48.078227996826172</v>
      </c>
      <c r="DC445">
        <v>264</v>
      </c>
      <c r="DD445" s="253" t="s">
        <v>380</v>
      </c>
    </row>
    <row r="446" spans="1:108">
      <c r="A446" s="13">
        <v>5091</v>
      </c>
      <c r="B446" s="13" t="s">
        <v>1344</v>
      </c>
      <c r="C446" s="13" t="s">
        <v>435</v>
      </c>
      <c r="D446" s="13" t="s">
        <v>436</v>
      </c>
      <c r="E446" s="13" t="s">
        <v>1345</v>
      </c>
      <c r="F446" s="14">
        <v>62.730333333333299</v>
      </c>
      <c r="G446" s="13">
        <v>73.02</v>
      </c>
      <c r="H446" s="13">
        <v>67.75</v>
      </c>
      <c r="I446" s="13">
        <v>51.72</v>
      </c>
      <c r="J446" s="14">
        <v>55.187577777578944</v>
      </c>
      <c r="K446" s="14">
        <v>53.305152201515774</v>
      </c>
      <c r="L446" s="14">
        <v>61.660266588104513</v>
      </c>
      <c r="M446" s="14">
        <v>58.441899999999997</v>
      </c>
      <c r="N446" s="14">
        <f t="shared" si="162"/>
        <v>63.805083333333322</v>
      </c>
      <c r="O446" s="14">
        <f t="shared" si="163"/>
        <v>57.148724141799811</v>
      </c>
      <c r="P446" s="14">
        <f t="shared" si="179"/>
        <v>60.476903737566566</v>
      </c>
      <c r="Q446" s="14">
        <v>51.796983837082664</v>
      </c>
      <c r="R446" s="17">
        <f t="shared" si="164"/>
        <v>48.203016162917336</v>
      </c>
      <c r="S446" s="14">
        <f t="shared" si="180"/>
        <v>0.53382714546625598</v>
      </c>
      <c r="T446" s="13">
        <v>0</v>
      </c>
      <c r="U446" s="13">
        <f t="shared" si="181"/>
        <v>32.284212888862704</v>
      </c>
      <c r="V446" s="13">
        <f>IF($T446=1,$AU446,(VLOOKUP(U446,'Cortes naturales'!$A$35:$C$39,3,9)))</f>
        <v>3</v>
      </c>
      <c r="W446" s="13">
        <v>3</v>
      </c>
      <c r="X446" s="14" t="b">
        <f t="shared" si="165"/>
        <v>1</v>
      </c>
      <c r="Y446" s="17">
        <f>IF($T446=1,$AU446,VLOOKUP(U446,'Cortes naturales'!$A$45:$C$49,3,9))</f>
        <v>3</v>
      </c>
      <c r="Z446" s="14">
        <v>61.161780327551952</v>
      </c>
      <c r="AA446" s="14">
        <v>0.53833163818961616</v>
      </c>
      <c r="AB446" s="14">
        <v>32.925321398324478</v>
      </c>
      <c r="AC446" s="13">
        <v>3</v>
      </c>
      <c r="AD446" s="13">
        <f t="shared" si="166"/>
        <v>0</v>
      </c>
      <c r="AE446" s="14">
        <f t="shared" si="167"/>
        <v>-0.68487658998538592</v>
      </c>
      <c r="AF446" s="14">
        <f t="shared" si="168"/>
        <v>-4.5044927233601761E-3</v>
      </c>
      <c r="AG446" s="13">
        <f t="shared" si="169"/>
        <v>-0.64110850946177322</v>
      </c>
      <c r="AH446" s="13">
        <f>IF($T446=1,$AU446,VLOOKUP(U446,'Cortes naturales'!$A$25:$C$29,3,9))</f>
        <v>3</v>
      </c>
      <c r="AI446" s="13" t="b">
        <f t="shared" si="170"/>
        <v>1</v>
      </c>
      <c r="AJ446" s="13">
        <f t="shared" si="171"/>
        <v>0</v>
      </c>
      <c r="AK446" s="28">
        <v>0.81759069605862034</v>
      </c>
      <c r="AL446" s="28">
        <v>50.005302550187629</v>
      </c>
      <c r="AM446" s="28">
        <v>0.45488761250359283</v>
      </c>
      <c r="AN446" s="13">
        <v>3</v>
      </c>
      <c r="AO446" s="33">
        <f t="shared" si="172"/>
        <v>0</v>
      </c>
      <c r="AP446" s="13">
        <f t="shared" si="182"/>
        <v>45.488761250359282</v>
      </c>
      <c r="AQ446" s="13">
        <f>IFERROR(VLOOKUP(U446,'Cortes naturales'!$E$15:$G$19,3,9),U446)</f>
        <v>4</v>
      </c>
      <c r="AR446" s="28">
        <f t="shared" si="173"/>
        <v>-0.28376355059236436</v>
      </c>
      <c r="AS446" s="13" t="b">
        <f t="shared" si="174"/>
        <v>0</v>
      </c>
      <c r="AT446" s="13">
        <f t="shared" si="183"/>
        <v>0</v>
      </c>
      <c r="AU446" s="13">
        <v>3</v>
      </c>
      <c r="AV446">
        <f t="shared" si="175"/>
        <v>0</v>
      </c>
      <c r="AW446" s="13">
        <v>0</v>
      </c>
      <c r="AX446" s="13">
        <v>0</v>
      </c>
      <c r="AY446" s="13">
        <v>0</v>
      </c>
      <c r="AZ446" s="13">
        <v>0</v>
      </c>
      <c r="BA446">
        <v>0</v>
      </c>
      <c r="BB446" t="s">
        <v>2839</v>
      </c>
      <c r="BC446">
        <v>6</v>
      </c>
      <c r="BD446" t="s">
        <v>2919</v>
      </c>
      <c r="BE446">
        <v>1</v>
      </c>
      <c r="BF446" s="232" t="s">
        <v>2846</v>
      </c>
      <c r="BG446" s="232" t="s">
        <v>2845</v>
      </c>
      <c r="BH446" s="253">
        <v>53.6</v>
      </c>
      <c r="BI446" s="253">
        <v>16.218418907905459</v>
      </c>
      <c r="BJ446" s="25">
        <v>23.643122946670506</v>
      </c>
      <c r="BK446" t="s">
        <v>379</v>
      </c>
      <c r="BL446">
        <v>6.9653255415280739</v>
      </c>
      <c r="BM446" t="s">
        <v>379</v>
      </c>
      <c r="BN446" s="322">
        <v>22048.810621000001</v>
      </c>
      <c r="BO446" s="322">
        <v>3507.9474580000001</v>
      </c>
      <c r="BP446" s="10">
        <v>10758</v>
      </c>
      <c r="BQ446" s="254">
        <f t="shared" si="176"/>
        <v>2.0495269214538019</v>
      </c>
      <c r="BR446" s="254">
        <f t="shared" si="177"/>
        <v>0.32607803104666294</v>
      </c>
      <c r="BS446" s="25">
        <v>52.738788957361997</v>
      </c>
      <c r="BT446" s="25">
        <v>82.871454464274649</v>
      </c>
      <c r="BU446" s="25">
        <v>65.4953519256308</v>
      </c>
      <c r="BV446" s="25">
        <v>76.460367187470965</v>
      </c>
      <c r="BW446" s="25">
        <v>57.69421188275043</v>
      </c>
      <c r="BX446" s="25">
        <v>69.391490633684612</v>
      </c>
      <c r="BY446" s="25">
        <v>61.315664140312521</v>
      </c>
      <c r="BZ446">
        <v>65</v>
      </c>
      <c r="CA446">
        <v>0</v>
      </c>
      <c r="CB446">
        <v>7</v>
      </c>
      <c r="CC446">
        <v>18052.637663000001</v>
      </c>
      <c r="CD446" s="10">
        <v>9030.0981539999993</v>
      </c>
      <c r="CE446" s="255">
        <v>0.50020935015539281</v>
      </c>
      <c r="CF446" t="str">
        <f>IFERROR(VLOOKUP(CE446,'Rangos amb etnico'!$A$2:$C$6,3,9),"N.D.")</f>
        <v>31% - 50%</v>
      </c>
      <c r="CG446" s="256">
        <v>2.6271959574686923E-4</v>
      </c>
      <c r="CH446" s="232">
        <v>0</v>
      </c>
      <c r="CI446" s="311">
        <f t="shared" si="184"/>
        <v>0</v>
      </c>
      <c r="CJ446" s="232">
        <f>IFERROR(VLOOKUP(CI446,'Rangos amb etnico'!$A$2:$C$6,3,9),"N.D.")</f>
        <v>0</v>
      </c>
      <c r="CK446" s="311">
        <f t="shared" si="185"/>
        <v>0</v>
      </c>
      <c r="CL446" s="10">
        <v>0</v>
      </c>
      <c r="CM446" s="255">
        <f t="shared" si="186"/>
        <v>0</v>
      </c>
      <c r="CN446" s="232">
        <f>IFERROR(VLOOKUP(CM446,'Rangos amb etnico'!$A$2:$C$6,3,9),"N.D.")</f>
        <v>0</v>
      </c>
      <c r="CO446" s="311">
        <f t="shared" si="187"/>
        <v>0</v>
      </c>
      <c r="CP446">
        <v>0.96359502848744749</v>
      </c>
      <c r="CQ446" t="s">
        <v>2864</v>
      </c>
      <c r="CR446">
        <f t="shared" si="178"/>
        <v>2</v>
      </c>
      <c r="CS446" t="str">
        <f t="shared" si="188"/>
        <v>No es Candidato</v>
      </c>
      <c r="CT446">
        <v>0</v>
      </c>
      <c r="CU446">
        <v>0</v>
      </c>
      <c r="CV446" s="25">
        <v>41.406795501708977</v>
      </c>
      <c r="CW446" s="25">
        <v>21.740110397338871</v>
      </c>
      <c r="CX446" s="25">
        <v>50.475879669189453</v>
      </c>
      <c r="CY446" s="25">
        <v>52.732452392578118</v>
      </c>
      <c r="CZ446" s="25">
        <v>27.720661163330082</v>
      </c>
      <c r="DA446" s="25">
        <v>39.765270233154297</v>
      </c>
      <c r="DB446" s="25">
        <v>56.006389617919922</v>
      </c>
      <c r="DC446">
        <v>168</v>
      </c>
      <c r="DD446" s="253" t="s">
        <v>380</v>
      </c>
    </row>
    <row r="447" spans="1:108" hidden="1">
      <c r="A447" s="13">
        <v>19824</v>
      </c>
      <c r="B447" s="13" t="s">
        <v>1346</v>
      </c>
      <c r="C447" s="13" t="s">
        <v>557</v>
      </c>
      <c r="D447" s="13" t="s">
        <v>558</v>
      </c>
      <c r="E447" s="13" t="s">
        <v>1347</v>
      </c>
      <c r="F447" s="14">
        <v>84.477199999999996</v>
      </c>
      <c r="G447" s="13">
        <v>69.88</v>
      </c>
      <c r="H447" s="13">
        <v>70.94</v>
      </c>
      <c r="I447" s="13">
        <v>68.680000000000007</v>
      </c>
      <c r="J447" s="14">
        <v>43.75521401622894</v>
      </c>
      <c r="K447" s="14">
        <v>38.639470299740445</v>
      </c>
      <c r="L447" s="14">
        <v>55.074721742788398</v>
      </c>
      <c r="M447" s="14">
        <v>41.996200000000002</v>
      </c>
      <c r="N447" s="14">
        <f t="shared" si="162"/>
        <v>73.494299999999996</v>
      </c>
      <c r="O447" s="14">
        <f t="shared" si="163"/>
        <v>44.866401514689443</v>
      </c>
      <c r="P447" s="14">
        <f t="shared" si="179"/>
        <v>59.180350757344719</v>
      </c>
      <c r="Q447" s="14">
        <v>52.387664596915769</v>
      </c>
      <c r="R447" s="17">
        <f t="shared" si="164"/>
        <v>47.612335403084231</v>
      </c>
      <c r="S447" s="14">
        <f t="shared" si="180"/>
        <v>0.52851101862775807</v>
      </c>
      <c r="T447" s="13">
        <v>0</v>
      </c>
      <c r="U447" s="13">
        <f t="shared" si="181"/>
        <v>31.27746746151227</v>
      </c>
      <c r="V447" s="13">
        <f>IF($T447=1,$AU447,(VLOOKUP(U447,'Cortes naturales'!$A$35:$C$39,3,9)))</f>
        <v>3</v>
      </c>
      <c r="W447" s="13">
        <v>3</v>
      </c>
      <c r="X447" s="14" t="b">
        <f t="shared" si="165"/>
        <v>1</v>
      </c>
      <c r="Y447" s="17">
        <f>IF($T447=1,$AU447,VLOOKUP(U447,'Cortes naturales'!$A$45:$C$49,3,9))</f>
        <v>3</v>
      </c>
      <c r="Z447" s="14">
        <v>60.628417145692495</v>
      </c>
      <c r="AA447" s="14">
        <v>0.53821202143596847</v>
      </c>
      <c r="AB447" s="14">
        <v>32.63094294844629</v>
      </c>
      <c r="AC447" s="13">
        <v>3</v>
      </c>
      <c r="AD447" s="13">
        <f t="shared" si="166"/>
        <v>0</v>
      </c>
      <c r="AE447" s="14">
        <f t="shared" si="167"/>
        <v>-1.448066388347776</v>
      </c>
      <c r="AF447" s="14">
        <f t="shared" si="168"/>
        <v>-9.7010028082104016E-3</v>
      </c>
      <c r="AG447" s="13">
        <f t="shared" si="169"/>
        <v>-1.3534754869340198</v>
      </c>
      <c r="AH447" s="13">
        <f>IF($T447=1,$AU447,VLOOKUP(U447,'Cortes naturales'!$A$25:$C$29,3,9))</f>
        <v>3</v>
      </c>
      <c r="AI447" s="13" t="b">
        <f t="shared" si="170"/>
        <v>1</v>
      </c>
      <c r="AJ447" s="13">
        <f t="shared" si="171"/>
        <v>0</v>
      </c>
      <c r="AK447" s="28">
        <v>0.81759069605862034</v>
      </c>
      <c r="AL447" s="28">
        <v>49.569229775079116</v>
      </c>
      <c r="AM447" s="28">
        <v>0.4494328017510178</v>
      </c>
      <c r="AN447" s="13">
        <v>3</v>
      </c>
      <c r="AO447" s="33">
        <f t="shared" si="172"/>
        <v>0</v>
      </c>
      <c r="AP447" s="13">
        <f t="shared" si="182"/>
        <v>44.943280175101776</v>
      </c>
      <c r="AQ447" s="13">
        <f>IFERROR(VLOOKUP(U447,'Cortes naturales'!$E$15:$G$19,3,9),U447)</f>
        <v>4</v>
      </c>
      <c r="AR447" s="28">
        <f t="shared" si="173"/>
        <v>-0.28907967743086227</v>
      </c>
      <c r="AS447" s="13" t="b">
        <f t="shared" si="174"/>
        <v>0</v>
      </c>
      <c r="AT447" s="13">
        <f t="shared" si="183"/>
        <v>0</v>
      </c>
      <c r="AU447" s="13">
        <v>3</v>
      </c>
      <c r="AV447">
        <f t="shared" si="175"/>
        <v>0</v>
      </c>
      <c r="AW447" s="13">
        <v>0</v>
      </c>
      <c r="AX447" s="13">
        <v>0</v>
      </c>
      <c r="AY447" s="13">
        <v>0</v>
      </c>
      <c r="AZ447" s="13">
        <v>0</v>
      </c>
      <c r="BA447">
        <v>0</v>
      </c>
      <c r="BB447" t="s">
        <v>2840</v>
      </c>
      <c r="BC447">
        <v>6</v>
      </c>
      <c r="BD447" t="s">
        <v>2919</v>
      </c>
      <c r="BE447">
        <v>1</v>
      </c>
      <c r="BF447" s="232" t="s">
        <v>2846</v>
      </c>
      <c r="BG447" s="232" t="s">
        <v>2846</v>
      </c>
      <c r="BH447" s="253">
        <v>55.1</v>
      </c>
      <c r="BI447" s="253">
        <v>25.730713943459513</v>
      </c>
      <c r="BJ447" s="25">
        <v>0.496</v>
      </c>
      <c r="BK447" t="s">
        <v>381</v>
      </c>
      <c r="BL447">
        <v>1.4397626715305349</v>
      </c>
      <c r="BM447" t="s">
        <v>383</v>
      </c>
      <c r="BN447" s="322">
        <v>42593.491045000002</v>
      </c>
      <c r="BO447" s="322">
        <v>2300.77502</v>
      </c>
      <c r="BP447" s="10">
        <v>27100</v>
      </c>
      <c r="BQ447" s="254">
        <f t="shared" si="176"/>
        <v>1.5717155367158673</v>
      </c>
      <c r="BR447" s="254">
        <f t="shared" si="177"/>
        <v>8.4899447232472322E-2</v>
      </c>
      <c r="BS447" s="25">
        <v>48.838956846026193</v>
      </c>
      <c r="BT447" s="25">
        <v>90.600891410999836</v>
      </c>
      <c r="BU447" s="25">
        <v>48.085689527511668</v>
      </c>
      <c r="BV447" s="25">
        <v>93.972983126138146</v>
      </c>
      <c r="BW447" s="25">
        <v>48.523582862830303</v>
      </c>
      <c r="BX447" s="25">
        <v>70.374630227668959</v>
      </c>
      <c r="BY447" s="25">
        <v>49.643829416864143</v>
      </c>
      <c r="BZ447">
        <v>46</v>
      </c>
      <c r="CA447">
        <v>0</v>
      </c>
      <c r="CB447">
        <v>7</v>
      </c>
      <c r="CC447">
        <v>40458.453629000003</v>
      </c>
      <c r="CD447" s="10">
        <v>14274.235482</v>
      </c>
      <c r="CE447" s="255">
        <v>0.35281218637008027</v>
      </c>
      <c r="CF447" t="str">
        <f>IFERROR(VLOOKUP(CE447,'Rangos amb etnico'!$A$2:$C$6,3,9),"N.D.")</f>
        <v>31% - 50%</v>
      </c>
      <c r="CG447" s="256">
        <v>4.1529131926052121E-4</v>
      </c>
      <c r="CH447" s="232">
        <v>4503.2981419999996</v>
      </c>
      <c r="CI447" s="311">
        <f t="shared" si="184"/>
        <v>0.11130672920163474</v>
      </c>
      <c r="CJ447" s="232" t="str">
        <f>IFERROR(VLOOKUP(CI447,'Rangos amb etnico'!$A$2:$C$6,3,9),"N.D.")</f>
        <v>0,1% - 30%</v>
      </c>
      <c r="CK447" s="311">
        <f t="shared" si="185"/>
        <v>1.7881042023316966E-4</v>
      </c>
      <c r="CL447" s="10">
        <v>0</v>
      </c>
      <c r="CM447" s="255">
        <f t="shared" si="186"/>
        <v>0</v>
      </c>
      <c r="CN447" s="232">
        <f>IFERROR(VLOOKUP(CM447,'Rangos amb etnico'!$A$2:$C$6,3,9),"N.D.")</f>
        <v>0</v>
      </c>
      <c r="CO447" s="311">
        <f t="shared" si="187"/>
        <v>0</v>
      </c>
      <c r="CP447">
        <v>0.93470811745601079</v>
      </c>
      <c r="CQ447" t="s">
        <v>2864</v>
      </c>
      <c r="CR447">
        <f t="shared" si="178"/>
        <v>2</v>
      </c>
      <c r="CS447" t="str">
        <f t="shared" si="188"/>
        <v>No es Candidato</v>
      </c>
      <c r="CT447">
        <v>0</v>
      </c>
      <c r="CU447">
        <v>0</v>
      </c>
      <c r="CV447" s="25">
        <v>51.180355072021477</v>
      </c>
      <c r="CW447" s="25">
        <v>26.757200241088871</v>
      </c>
      <c r="CX447" s="25">
        <v>47.522113800048828</v>
      </c>
      <c r="CY447" s="25">
        <v>66.71600341796875</v>
      </c>
      <c r="CZ447" s="25">
        <v>50.166465759277337</v>
      </c>
      <c r="DA447" s="25">
        <v>64.301605224609375</v>
      </c>
      <c r="DB447" s="25">
        <v>51.618743896484382</v>
      </c>
      <c r="DC447">
        <v>20376</v>
      </c>
      <c r="DD447" s="253" t="s">
        <v>380</v>
      </c>
    </row>
    <row r="448" spans="1:108" hidden="1">
      <c r="A448" s="13">
        <v>13780</v>
      </c>
      <c r="B448" s="13" t="s">
        <v>1348</v>
      </c>
      <c r="C448" s="13" t="s">
        <v>480</v>
      </c>
      <c r="D448" s="13" t="s">
        <v>481</v>
      </c>
      <c r="E448" s="13" t="s">
        <v>1349</v>
      </c>
      <c r="F448" s="14">
        <v>48.610433333333297</v>
      </c>
      <c r="G448" s="13">
        <v>49.12</v>
      </c>
      <c r="H448" s="13">
        <v>39.479999999999997</v>
      </c>
      <c r="I448" s="13">
        <v>43.85</v>
      </c>
      <c r="J448" s="14">
        <v>39.817683658351086</v>
      </c>
      <c r="K448" s="14">
        <v>45.907273741991844</v>
      </c>
      <c r="L448" s="14">
        <v>38.746749611715671</v>
      </c>
      <c r="M448" s="14">
        <v>39.045200000000001</v>
      </c>
      <c r="N448" s="14">
        <f t="shared" si="162"/>
        <v>45.265108333333323</v>
      </c>
      <c r="O448" s="14">
        <f t="shared" si="163"/>
        <v>40.879226753014649</v>
      </c>
      <c r="P448" s="14">
        <f t="shared" si="179"/>
        <v>43.07216754317399</v>
      </c>
      <c r="Q448" s="14">
        <v>51.864163398215027</v>
      </c>
      <c r="R448" s="17">
        <f t="shared" si="164"/>
        <v>48.135836601784973</v>
      </c>
      <c r="S448" s="14">
        <f t="shared" si="180"/>
        <v>0.53322252941606485</v>
      </c>
      <c r="T448" s="13">
        <v>0</v>
      </c>
      <c r="U448" s="13">
        <f t="shared" si="181"/>
        <v>22.967050124803766</v>
      </c>
      <c r="V448" s="13">
        <f>IF($T448=1,$AU448,(VLOOKUP(U448,'Cortes naturales'!$A$35:$C$39,3,9)))</f>
        <v>4</v>
      </c>
      <c r="W448" s="13">
        <v>4</v>
      </c>
      <c r="X448" s="14" t="b">
        <f t="shared" si="165"/>
        <v>1</v>
      </c>
      <c r="Y448" s="17">
        <f>IF($T448=1,$AU448,VLOOKUP(U448,'Cortes naturales'!$A$45:$C$49,3,9))</f>
        <v>4</v>
      </c>
      <c r="Z448" s="14">
        <v>43.062010809562594</v>
      </c>
      <c r="AA448" s="14">
        <v>0.53719776502022687</v>
      </c>
      <c r="AB448" s="14">
        <v>23.132815964173876</v>
      </c>
      <c r="AC448" s="13">
        <v>4</v>
      </c>
      <c r="AD448" s="13">
        <f t="shared" si="166"/>
        <v>0</v>
      </c>
      <c r="AE448" s="14">
        <f t="shared" si="167"/>
        <v>1.0156733611395907E-2</v>
      </c>
      <c r="AF448" s="14">
        <f t="shared" si="168"/>
        <v>-3.9752356041620196E-3</v>
      </c>
      <c r="AG448" s="13">
        <f t="shared" si="169"/>
        <v>-0.1657658393701098</v>
      </c>
      <c r="AH448" s="13">
        <f>IF($T448=1,$AU448,VLOOKUP(U448,'Cortes naturales'!$A$25:$C$29,3,9))</f>
        <v>4</v>
      </c>
      <c r="AI448" s="13" t="b">
        <f t="shared" si="170"/>
        <v>1</v>
      </c>
      <c r="AJ448" s="13">
        <f t="shared" si="171"/>
        <v>0</v>
      </c>
      <c r="AK448" s="28">
        <v>0.81759069605862034</v>
      </c>
      <c r="AL448" s="28">
        <v>35.207099391474117</v>
      </c>
      <c r="AM448" s="28">
        <v>0.26977768976454219</v>
      </c>
      <c r="AN448" s="13">
        <v>4</v>
      </c>
      <c r="AO448" s="33">
        <f t="shared" si="172"/>
        <v>0</v>
      </c>
      <c r="AP448" s="13">
        <f t="shared" si="182"/>
        <v>26.977768976454218</v>
      </c>
      <c r="AQ448" s="13">
        <f>IFERROR(VLOOKUP(U448,'Cortes naturales'!$E$15:$G$19,3,9),U448)</f>
        <v>4</v>
      </c>
      <c r="AR448" s="28">
        <f t="shared" si="173"/>
        <v>-0.28436816664255549</v>
      </c>
      <c r="AS448" s="13" t="b">
        <f t="shared" si="174"/>
        <v>1</v>
      </c>
      <c r="AT448" s="13">
        <f t="shared" si="183"/>
        <v>0</v>
      </c>
      <c r="AU448" s="13">
        <v>4</v>
      </c>
      <c r="AV448">
        <f t="shared" si="175"/>
        <v>0</v>
      </c>
      <c r="AW448" s="13">
        <v>0</v>
      </c>
      <c r="AX448" s="13">
        <v>0</v>
      </c>
      <c r="AY448" s="13">
        <v>0</v>
      </c>
      <c r="AZ448" s="13">
        <v>0</v>
      </c>
      <c r="BA448">
        <v>0</v>
      </c>
      <c r="BB448" t="s">
        <v>2839</v>
      </c>
      <c r="BC448">
        <v>6</v>
      </c>
      <c r="BD448" t="s">
        <v>2919</v>
      </c>
      <c r="BE448">
        <v>0</v>
      </c>
      <c r="BF448" s="232" t="s">
        <v>2846</v>
      </c>
      <c r="BG448" s="232" t="s">
        <v>2846</v>
      </c>
      <c r="BH448" s="253">
        <v>50.7</v>
      </c>
      <c r="BI448" s="253">
        <v>26.344881276761384</v>
      </c>
      <c r="BJ448" s="25">
        <v>26.630434782608695</v>
      </c>
      <c r="BK448" t="s">
        <v>379</v>
      </c>
      <c r="BL448">
        <v>1.1563733255505297</v>
      </c>
      <c r="BM448" t="s">
        <v>383</v>
      </c>
      <c r="BN448" s="322">
        <v>27797.952099999999</v>
      </c>
      <c r="BO448" s="322">
        <v>2328.7920559999998</v>
      </c>
      <c r="BP448" s="10">
        <v>14965</v>
      </c>
      <c r="BQ448" s="254">
        <f t="shared" si="176"/>
        <v>1.8575310457734713</v>
      </c>
      <c r="BR448" s="254">
        <f t="shared" si="177"/>
        <v>0.15561590751754092</v>
      </c>
      <c r="BS448" s="25">
        <v>55.518540571789678</v>
      </c>
      <c r="BT448" s="25">
        <v>93.504790709433109</v>
      </c>
      <c r="BU448" s="25">
        <v>38.117310789049903</v>
      </c>
      <c r="BV448" s="25">
        <v>95.510016353996932</v>
      </c>
      <c r="BW448" s="25">
        <v>32.862072303042027</v>
      </c>
      <c r="BX448" s="25">
        <v>70.662664606067409</v>
      </c>
      <c r="BY448" s="25">
        <v>32.271237660545523</v>
      </c>
      <c r="BZ448">
        <v>9</v>
      </c>
      <c r="CA448">
        <v>0</v>
      </c>
      <c r="CB448">
        <v>7</v>
      </c>
      <c r="CC448">
        <v>24909.437397000002</v>
      </c>
      <c r="CD448" s="10">
        <v>2791.205387</v>
      </c>
      <c r="CE448" s="255">
        <v>0.11205413203495966</v>
      </c>
      <c r="CF448" t="str">
        <f>IFERROR(VLOOKUP(CE448,'Rangos amb etnico'!$A$2:$C$6,3,9),"N.D.")</f>
        <v>0,1% - 30%</v>
      </c>
      <c r="CG448" s="256">
        <v>8.1206686617719314E-5</v>
      </c>
      <c r="CH448" s="232">
        <v>0</v>
      </c>
      <c r="CI448" s="311">
        <f t="shared" si="184"/>
        <v>0</v>
      </c>
      <c r="CJ448" s="232">
        <f>IFERROR(VLOOKUP(CI448,'Rangos amb etnico'!$A$2:$C$6,3,9),"N.D.")</f>
        <v>0</v>
      </c>
      <c r="CK448" s="311">
        <f t="shared" si="185"/>
        <v>0</v>
      </c>
      <c r="CL448" s="10">
        <v>0</v>
      </c>
      <c r="CM448" s="255">
        <f t="shared" si="186"/>
        <v>0</v>
      </c>
      <c r="CN448" s="232">
        <f>IFERROR(VLOOKUP(CM448,'Rangos amb etnico'!$A$2:$C$6,3,9),"N.D.")</f>
        <v>0</v>
      </c>
      <c r="CO448" s="311">
        <f t="shared" si="187"/>
        <v>0</v>
      </c>
      <c r="CP448">
        <v>0.73552515707133792</v>
      </c>
      <c r="CQ448" t="s">
        <v>2866</v>
      </c>
      <c r="CR448">
        <f t="shared" si="178"/>
        <v>0</v>
      </c>
      <c r="CS448" t="str">
        <f t="shared" si="188"/>
        <v>No es Candidato</v>
      </c>
      <c r="CT448">
        <v>0</v>
      </c>
      <c r="CU448">
        <v>0</v>
      </c>
      <c r="CV448" s="25">
        <v>49.322101593017578</v>
      </c>
      <c r="CW448" s="25">
        <v>26.391330718994141</v>
      </c>
      <c r="CX448" s="25">
        <v>52.248714447021477</v>
      </c>
      <c r="CY448" s="25">
        <v>54.823028564453118</v>
      </c>
      <c r="CZ448" s="25">
        <v>10.11576080322266</v>
      </c>
      <c r="DA448" s="25">
        <v>86.364051818847656</v>
      </c>
      <c r="DB448" s="25">
        <v>65.989730834960938</v>
      </c>
      <c r="DC448">
        <v>118</v>
      </c>
      <c r="DD448" s="253" t="s">
        <v>380</v>
      </c>
    </row>
    <row r="449" spans="1:108" hidden="1">
      <c r="A449" s="13">
        <v>85001</v>
      </c>
      <c r="B449" s="13" t="s">
        <v>1350</v>
      </c>
      <c r="C449" s="13" t="s">
        <v>1351</v>
      </c>
      <c r="D449" s="13" t="s">
        <v>1352</v>
      </c>
      <c r="E449" s="13" t="s">
        <v>1353</v>
      </c>
      <c r="F449" s="14">
        <v>87.569500000000005</v>
      </c>
      <c r="G449" s="13">
        <v>73.709999999999994</v>
      </c>
      <c r="H449" s="13">
        <v>76.05</v>
      </c>
      <c r="I449" s="13">
        <v>78.27</v>
      </c>
      <c r="J449" s="14">
        <v>51.477159270722062</v>
      </c>
      <c r="K449" s="14">
        <v>57.989391542450456</v>
      </c>
      <c r="L449" s="14">
        <v>58.185882438548937</v>
      </c>
      <c r="M449" s="14">
        <v>59.671399999999998</v>
      </c>
      <c r="N449" s="14">
        <f t="shared" si="162"/>
        <v>78.899874999999994</v>
      </c>
      <c r="O449" s="14">
        <f t="shared" si="163"/>
        <v>56.830958312930363</v>
      </c>
      <c r="P449" s="14">
        <f t="shared" si="179"/>
        <v>67.865416656465186</v>
      </c>
      <c r="Q449" s="14">
        <v>52.585562282026096</v>
      </c>
      <c r="R449" s="17">
        <f t="shared" si="164"/>
        <v>47.414437717973904</v>
      </c>
      <c r="S449" s="14">
        <f t="shared" si="180"/>
        <v>0.52672993946176516</v>
      </c>
      <c r="T449" s="13">
        <v>0</v>
      </c>
      <c r="U449" s="13">
        <f t="shared" si="181"/>
        <v>35.746746807007376</v>
      </c>
      <c r="V449" s="13">
        <f>IF($T449=1,$AU449,(VLOOKUP(U449,'Cortes naturales'!$A$35:$C$39,3,9)))</f>
        <v>3</v>
      </c>
      <c r="W449" s="13">
        <v>3</v>
      </c>
      <c r="X449" s="14" t="b">
        <f t="shared" si="165"/>
        <v>1</v>
      </c>
      <c r="Y449" s="17">
        <f>IF($T449=1,$AU449,VLOOKUP(U449,'Cortes naturales'!$A$45:$C$49,3,9))</f>
        <v>2</v>
      </c>
      <c r="Z449" s="14">
        <v>68.569657684478358</v>
      </c>
      <c r="AA449" s="14">
        <v>0.53673201212719535</v>
      </c>
      <c r="AB449" s="14">
        <v>36.803530339863073</v>
      </c>
      <c r="AC449" s="13">
        <v>2</v>
      </c>
      <c r="AD449" s="13">
        <f t="shared" si="166"/>
        <v>0</v>
      </c>
      <c r="AE449" s="14">
        <f t="shared" si="167"/>
        <v>-0.7042410280131719</v>
      </c>
      <c r="AF449" s="14">
        <f t="shared" si="168"/>
        <v>-1.0002072665430184E-2</v>
      </c>
      <c r="AG449" s="13">
        <f t="shared" si="169"/>
        <v>-1.0567835328556967</v>
      </c>
      <c r="AH449" s="13">
        <f>IF($T449=1,$AU449,VLOOKUP(U449,'Cortes naturales'!$A$25:$C$29,3,9))</f>
        <v>2</v>
      </c>
      <c r="AI449" s="13" t="b">
        <f t="shared" si="170"/>
        <v>1</v>
      </c>
      <c r="AJ449" s="13">
        <f t="shared" si="171"/>
        <v>0</v>
      </c>
      <c r="AK449" s="28">
        <v>0.81759069605862034</v>
      </c>
      <c r="AL449" s="28">
        <v>56.061914154753985</v>
      </c>
      <c r="AM449" s="28">
        <v>0.53064943940631137</v>
      </c>
      <c r="AN449" s="13">
        <v>2</v>
      </c>
      <c r="AO449" s="33">
        <f t="shared" si="172"/>
        <v>0</v>
      </c>
      <c r="AP449" s="13">
        <f t="shared" si="182"/>
        <v>53.064943940631139</v>
      </c>
      <c r="AQ449" s="13">
        <f>IFERROR(VLOOKUP(U449,'Cortes naturales'!$E$15:$G$19,3,9),U449)</f>
        <v>3</v>
      </c>
      <c r="AR449" s="28">
        <f t="shared" si="173"/>
        <v>-0.29086075659685517</v>
      </c>
      <c r="AS449" s="13" t="b">
        <f t="shared" si="174"/>
        <v>0</v>
      </c>
      <c r="AT449" s="13">
        <f t="shared" si="183"/>
        <v>0</v>
      </c>
      <c r="AU449" s="13">
        <v>2</v>
      </c>
      <c r="AV449">
        <f t="shared" si="175"/>
        <v>0</v>
      </c>
      <c r="AW449" s="13">
        <v>1</v>
      </c>
      <c r="AX449" s="13">
        <v>0</v>
      </c>
      <c r="AY449" s="13">
        <v>0</v>
      </c>
      <c r="AZ449" s="13">
        <v>0</v>
      </c>
      <c r="BA449">
        <v>0</v>
      </c>
      <c r="BB449" t="s">
        <v>2838</v>
      </c>
      <c r="BC449">
        <v>1</v>
      </c>
      <c r="BD449" t="s">
        <v>2920</v>
      </c>
      <c r="BE449">
        <v>0</v>
      </c>
      <c r="BF449" s="232" t="s">
        <v>2845</v>
      </c>
      <c r="BG449" s="232" t="s">
        <v>2846</v>
      </c>
      <c r="BH449" s="253">
        <v>22.9</v>
      </c>
      <c r="BI449" s="253">
        <v>11.534975854166936</v>
      </c>
      <c r="BJ449" s="25">
        <v>0.61257507494158425</v>
      </c>
      <c r="BK449" t="s">
        <v>381</v>
      </c>
      <c r="BL449">
        <v>1.1989092530548413</v>
      </c>
      <c r="BM449" t="s">
        <v>383</v>
      </c>
      <c r="BN449" s="322">
        <v>567204.24980800005</v>
      </c>
      <c r="BO449" s="322">
        <v>175326.795576</v>
      </c>
      <c r="BP449" s="10">
        <v>192468</v>
      </c>
      <c r="BQ449" s="254">
        <f t="shared" si="176"/>
        <v>2.9470054752374422</v>
      </c>
      <c r="BR449" s="254">
        <f t="shared" si="177"/>
        <v>0.91093997743001431</v>
      </c>
      <c r="BS449" s="25">
        <v>76.357044933659438</v>
      </c>
      <c r="BT449" s="25">
        <v>96.285479041821077</v>
      </c>
      <c r="BU449" s="25">
        <v>70.186666666666667</v>
      </c>
      <c r="BV449" s="25">
        <v>70.025387709118831</v>
      </c>
      <c r="BW449" s="25">
        <v>69.143164362379906</v>
      </c>
      <c r="BX449" s="25">
        <v>78.213644587816503</v>
      </c>
      <c r="BY449" s="25">
        <v>70.025915874286198</v>
      </c>
      <c r="BZ449">
        <v>41</v>
      </c>
      <c r="CA449">
        <v>1</v>
      </c>
      <c r="CB449">
        <v>3</v>
      </c>
      <c r="CC449">
        <v>247685.303629</v>
      </c>
      <c r="CD449" s="10">
        <v>32557.806872000001</v>
      </c>
      <c r="CE449" s="255">
        <v>0.13144827890461888</v>
      </c>
      <c r="CF449" t="str">
        <f>IFERROR(VLOOKUP(CE449,'Rangos amb etnico'!$A$2:$C$6,3,9),"N.D.")</f>
        <v>0,1% - 30%</v>
      </c>
      <c r="CG449" s="256">
        <v>9.472293339389189E-4</v>
      </c>
      <c r="CH449" s="232">
        <v>0</v>
      </c>
      <c r="CI449" s="311">
        <f t="shared" si="184"/>
        <v>0</v>
      </c>
      <c r="CJ449" s="232">
        <f>IFERROR(VLOOKUP(CI449,'Rangos amb etnico'!$A$2:$C$6,3,9),"N.D.")</f>
        <v>0</v>
      </c>
      <c r="CK449" s="311">
        <f t="shared" si="185"/>
        <v>0</v>
      </c>
      <c r="CL449" s="10">
        <v>0</v>
      </c>
      <c r="CM449" s="255">
        <f t="shared" si="186"/>
        <v>0</v>
      </c>
      <c r="CN449" s="232">
        <f>IFERROR(VLOOKUP(CM449,'Rangos amb etnico'!$A$2:$C$6,3,9),"N.D.")</f>
        <v>0</v>
      </c>
      <c r="CO449" s="311">
        <f t="shared" si="187"/>
        <v>0</v>
      </c>
      <c r="CP449">
        <v>0.98005761530387403</v>
      </c>
      <c r="CQ449" t="s">
        <v>2864</v>
      </c>
      <c r="CR449">
        <f t="shared" si="178"/>
        <v>3</v>
      </c>
      <c r="CS449" t="str">
        <f t="shared" si="188"/>
        <v>Candidato</v>
      </c>
      <c r="CT449">
        <v>0</v>
      </c>
      <c r="CU449">
        <v>0</v>
      </c>
      <c r="CV449" s="25">
        <v>52.674522399902337</v>
      </c>
      <c r="CW449" s="25">
        <v>55.712409973144531</v>
      </c>
      <c r="CX449" s="25">
        <v>44.896080017089837</v>
      </c>
      <c r="CY449" s="25">
        <v>78.282012939453125</v>
      </c>
      <c r="CZ449" s="25">
        <v>49.073085784912109</v>
      </c>
      <c r="DA449" s="25">
        <v>29.024456024169918</v>
      </c>
      <c r="DB449" s="25">
        <v>59.059089660644531</v>
      </c>
      <c r="DC449">
        <v>4352</v>
      </c>
      <c r="DD449" s="253">
        <v>4.8293582031503375</v>
      </c>
    </row>
    <row r="450" spans="1:108" hidden="1">
      <c r="A450" s="13">
        <v>25281</v>
      </c>
      <c r="B450" s="13" t="s">
        <v>1354</v>
      </c>
      <c r="C450" s="13" t="s">
        <v>461</v>
      </c>
      <c r="D450" s="13" t="s">
        <v>462</v>
      </c>
      <c r="E450" s="13" t="s">
        <v>1355</v>
      </c>
      <c r="F450" s="14">
        <v>59.351100000000002</v>
      </c>
      <c r="G450" s="13">
        <v>87.77</v>
      </c>
      <c r="H450" s="13">
        <v>67.989999999999995</v>
      </c>
      <c r="I450" s="13">
        <v>60.28</v>
      </c>
      <c r="J450" s="14">
        <v>59.815682257801576</v>
      </c>
      <c r="K450" s="14">
        <v>46.794682718978592</v>
      </c>
      <c r="L450" s="14">
        <v>55.114526346011885</v>
      </c>
      <c r="M450" s="14">
        <v>55.9026</v>
      </c>
      <c r="N450" s="14">
        <f t="shared" si="162"/>
        <v>68.847775000000013</v>
      </c>
      <c r="O450" s="14">
        <f t="shared" si="163"/>
        <v>54.40687283069802</v>
      </c>
      <c r="P450" s="14">
        <f t="shared" si="179"/>
        <v>61.627323915349017</v>
      </c>
      <c r="Q450" s="14">
        <v>53.815374338559316</v>
      </c>
      <c r="R450" s="17">
        <f t="shared" si="164"/>
        <v>46.184625661440684</v>
      </c>
      <c r="S450" s="14">
        <f t="shared" si="180"/>
        <v>0.51566163095296613</v>
      </c>
      <c r="T450" s="13">
        <v>0</v>
      </c>
      <c r="U450" s="13">
        <f t="shared" si="181"/>
        <v>31.77884636145561</v>
      </c>
      <c r="V450" s="13">
        <f>IF($T450=1,$AU450,(VLOOKUP(U450,'Cortes naturales'!$A$35:$C$39,3,9)))</f>
        <v>3</v>
      </c>
      <c r="W450" s="13">
        <v>3</v>
      </c>
      <c r="X450" s="14" t="b">
        <f t="shared" si="165"/>
        <v>1</v>
      </c>
      <c r="Y450" s="17">
        <f>IF($T450=1,$AU450,VLOOKUP(U450,'Cortes naturales'!$A$45:$C$49,3,9))</f>
        <v>3</v>
      </c>
      <c r="Z450" s="14">
        <v>61.730699449342765</v>
      </c>
      <c r="AA450" s="14">
        <v>0.5361436988997087</v>
      </c>
      <c r="AB450" s="14">
        <v>33.096525538436843</v>
      </c>
      <c r="AC450" s="13">
        <v>3</v>
      </c>
      <c r="AD450" s="13">
        <f t="shared" si="166"/>
        <v>0</v>
      </c>
      <c r="AE450" s="14">
        <f t="shared" si="167"/>
        <v>-0.10337553399374855</v>
      </c>
      <c r="AF450" s="14">
        <f t="shared" si="168"/>
        <v>-2.0482067946742566E-2</v>
      </c>
      <c r="AG450" s="13">
        <f t="shared" si="169"/>
        <v>-1.3176791769812333</v>
      </c>
      <c r="AH450" s="13">
        <f>IF($T450=1,$AU450,VLOOKUP(U450,'Cortes naturales'!$A$25:$C$29,3,9))</f>
        <v>3</v>
      </c>
      <c r="AI450" s="13" t="b">
        <f t="shared" si="170"/>
        <v>1</v>
      </c>
      <c r="AJ450" s="13">
        <f t="shared" si="171"/>
        <v>0</v>
      </c>
      <c r="AK450" s="28">
        <v>0.81759069605862034</v>
      </c>
      <c r="AL450" s="28">
        <v>50.470445530973642</v>
      </c>
      <c r="AM450" s="28">
        <v>0.46070606088630822</v>
      </c>
      <c r="AN450" s="13">
        <v>3</v>
      </c>
      <c r="AO450" s="33">
        <f t="shared" si="172"/>
        <v>0</v>
      </c>
      <c r="AP450" s="13">
        <f t="shared" si="182"/>
        <v>46.070606088630825</v>
      </c>
      <c r="AQ450" s="13">
        <f>IFERROR(VLOOKUP(U450,'Cortes naturales'!$E$15:$G$19,3,9),U450)</f>
        <v>4</v>
      </c>
      <c r="AR450" s="28">
        <f t="shared" si="173"/>
        <v>-0.3019290651056542</v>
      </c>
      <c r="AS450" s="13" t="b">
        <f t="shared" si="174"/>
        <v>0</v>
      </c>
      <c r="AT450" s="13">
        <f t="shared" si="183"/>
        <v>0</v>
      </c>
      <c r="AU450" s="13">
        <v>3</v>
      </c>
      <c r="AV450">
        <f t="shared" si="175"/>
        <v>0</v>
      </c>
      <c r="AW450" s="13">
        <v>0</v>
      </c>
      <c r="AX450" s="13">
        <v>0</v>
      </c>
      <c r="AY450" s="13">
        <v>0</v>
      </c>
      <c r="AZ450" s="13">
        <v>0</v>
      </c>
      <c r="BA450">
        <v>0</v>
      </c>
      <c r="BB450" t="s">
        <v>2839</v>
      </c>
      <c r="BC450">
        <v>6</v>
      </c>
      <c r="BD450" t="s">
        <v>2919</v>
      </c>
      <c r="BE450">
        <v>0</v>
      </c>
      <c r="BF450" s="232" t="s">
        <v>2846</v>
      </c>
      <c r="BG450" s="232" t="s">
        <v>2846</v>
      </c>
      <c r="BH450" s="253">
        <v>45.2</v>
      </c>
      <c r="BI450" s="253">
        <v>13.342923934544146</v>
      </c>
      <c r="BJ450" s="25">
        <v>9.3275663875348922</v>
      </c>
      <c r="BK450" t="s">
        <v>377</v>
      </c>
      <c r="BL450">
        <v>0</v>
      </c>
      <c r="BM450" t="s">
        <v>377</v>
      </c>
      <c r="BN450" s="322">
        <v>13750.882871</v>
      </c>
      <c r="BO450" s="322">
        <v>877.01869599999998</v>
      </c>
      <c r="BP450" s="10">
        <v>5631</v>
      </c>
      <c r="BQ450" s="254">
        <f t="shared" si="176"/>
        <v>2.4419966029124489</v>
      </c>
      <c r="BR450" s="254">
        <f t="shared" si="177"/>
        <v>0.15574830332090214</v>
      </c>
      <c r="BS450" s="25">
        <v>58.894747373606762</v>
      </c>
      <c r="BT450" s="25">
        <v>95.269595552595732</v>
      </c>
      <c r="BU450" s="25">
        <v>43.77903767403766</v>
      </c>
      <c r="BV450" s="25">
        <v>91.708988998149607</v>
      </c>
      <c r="BW450" s="25">
        <v>66.210080760830351</v>
      </c>
      <c r="BX450" s="25">
        <v>72.413092399597446</v>
      </c>
      <c r="BY450" s="25">
        <v>67.611442608479379</v>
      </c>
      <c r="BZ450">
        <v>40</v>
      </c>
      <c r="CA450">
        <v>0</v>
      </c>
      <c r="CB450">
        <v>7</v>
      </c>
      <c r="CC450">
        <v>11105.589556999999</v>
      </c>
      <c r="CD450" s="10">
        <v>738.72816699999998</v>
      </c>
      <c r="CE450" s="255">
        <v>6.6518590769849756E-2</v>
      </c>
      <c r="CF450" t="str">
        <f>IFERROR(VLOOKUP(CE450,'Rangos amb etnico'!$A$2:$C$6,3,9),"N.D.")</f>
        <v>0,1% - 30%</v>
      </c>
      <c r="CG450" s="256">
        <v>2.1492387135913483E-5</v>
      </c>
      <c r="CH450" s="232">
        <v>0</v>
      </c>
      <c r="CI450" s="311">
        <f t="shared" si="184"/>
        <v>0</v>
      </c>
      <c r="CJ450" s="232">
        <f>IFERROR(VLOOKUP(CI450,'Rangos amb etnico'!$A$2:$C$6,3,9),"N.D.")</f>
        <v>0</v>
      </c>
      <c r="CK450" s="311">
        <f t="shared" si="185"/>
        <v>0</v>
      </c>
      <c r="CL450" s="10">
        <v>0</v>
      </c>
      <c r="CM450" s="255">
        <f t="shared" si="186"/>
        <v>0</v>
      </c>
      <c r="CN450" s="232">
        <f>IFERROR(VLOOKUP(CM450,'Rangos amb etnico'!$A$2:$C$6,3,9),"N.D.")</f>
        <v>0</v>
      </c>
      <c r="CO450" s="311">
        <f t="shared" si="187"/>
        <v>0</v>
      </c>
      <c r="CP450">
        <v>0.77932098061302735</v>
      </c>
      <c r="CQ450" t="s">
        <v>2865</v>
      </c>
      <c r="CR450">
        <f t="shared" si="178"/>
        <v>3</v>
      </c>
      <c r="CS450" t="str">
        <f t="shared" si="188"/>
        <v>Candidato</v>
      </c>
      <c r="CT450">
        <v>0</v>
      </c>
      <c r="CU450">
        <v>0</v>
      </c>
      <c r="CV450" s="25">
        <v>44.788330078125</v>
      </c>
      <c r="CW450" s="25">
        <v>28.30995941162109</v>
      </c>
      <c r="CX450" s="25">
        <v>47.31353759765625</v>
      </c>
      <c r="CY450" s="25">
        <v>58.248126983642578</v>
      </c>
      <c r="CZ450" s="25">
        <v>39.826210021972663</v>
      </c>
      <c r="DA450" s="25">
        <v>49.743511199951172</v>
      </c>
      <c r="DB450" s="25">
        <v>45.288623809814453</v>
      </c>
      <c r="DC450">
        <v>59</v>
      </c>
      <c r="DD450" s="253" t="s">
        <v>380</v>
      </c>
    </row>
    <row r="451" spans="1:108" hidden="1">
      <c r="A451" s="13">
        <v>15776</v>
      </c>
      <c r="B451" s="13" t="s">
        <v>1356</v>
      </c>
      <c r="C451" s="13" t="s">
        <v>498</v>
      </c>
      <c r="D451" s="13" t="s">
        <v>499</v>
      </c>
      <c r="E451" s="13" t="s">
        <v>1357</v>
      </c>
      <c r="F451" s="14">
        <v>77.018066666666698</v>
      </c>
      <c r="G451" s="13">
        <v>89.51</v>
      </c>
      <c r="H451" s="13">
        <v>73.87</v>
      </c>
      <c r="I451" s="13">
        <v>70.349999999999994</v>
      </c>
      <c r="J451" s="14">
        <v>52.698815870174961</v>
      </c>
      <c r="K451" s="14">
        <v>57.980736364940626</v>
      </c>
      <c r="L451" s="14">
        <v>64.332425358992197</v>
      </c>
      <c r="M451" s="14">
        <v>58.367899999999999</v>
      </c>
      <c r="N451" s="14">
        <f t="shared" ref="N451:N514" si="189">IFERROR(AVERAGE(F451:I451),"N.D.")</f>
        <v>77.687016666666665</v>
      </c>
      <c r="O451" s="14">
        <f t="shared" ref="O451:O514" si="190">IFERROR(AVERAGE(J451:M451),"N.D.")</f>
        <v>58.344969398526942</v>
      </c>
      <c r="P451" s="14">
        <f t="shared" si="179"/>
        <v>68.015993032596811</v>
      </c>
      <c r="Q451" s="14">
        <v>53.136048041262207</v>
      </c>
      <c r="R451" s="17">
        <f t="shared" ref="R451:R514" si="191">IFERROR(MAX($Q$3:$Q$1105)-Q451,"N.D.")</f>
        <v>46.863951958737793</v>
      </c>
      <c r="S451" s="14">
        <f t="shared" si="180"/>
        <v>0.52177556762864019</v>
      </c>
      <c r="T451" s="13">
        <v>0</v>
      </c>
      <c r="U451" s="13">
        <f t="shared" si="181"/>
        <v>35.489083372408835</v>
      </c>
      <c r="V451" s="13">
        <f>IF($T451=1,$AU451,(VLOOKUP(U451,'Cortes naturales'!$A$35:$C$39,3,9)))</f>
        <v>3</v>
      </c>
      <c r="W451" s="13">
        <v>3</v>
      </c>
      <c r="X451" s="14" t="b">
        <f t="shared" ref="X451:X514" si="192">V451=W451</f>
        <v>1</v>
      </c>
      <c r="Y451" s="17">
        <f>IF($T451=1,$AU451,VLOOKUP(U451,'Cortes naturales'!$A$45:$C$49,3,9))</f>
        <v>3</v>
      </c>
      <c r="Z451" s="14">
        <v>69.468089726266868</v>
      </c>
      <c r="AA451" s="14">
        <v>0.53469614881301264</v>
      </c>
      <c r="AB451" s="14">
        <v>37.144320042031701</v>
      </c>
      <c r="AC451" s="13">
        <v>2</v>
      </c>
      <c r="AD451" s="13">
        <f t="shared" ref="AD451:AD514" si="193">IFERROR(AC451-Y451,)</f>
        <v>-1</v>
      </c>
      <c r="AE451" s="14">
        <f t="shared" ref="AE451:AE514" si="194">IFERROR(P451-Z451,"N.D.")</f>
        <v>-1.4520966936700574</v>
      </c>
      <c r="AF451" s="14">
        <f t="shared" ref="AF451:AF514" si="195">IFERROR(S451-AA451,"N.D.")</f>
        <v>-1.2920581184372448E-2</v>
      </c>
      <c r="AG451" s="13">
        <f t="shared" ref="AG451:AG514" si="196">IFERROR(U451-AB451,0)</f>
        <v>-1.655236669622866</v>
      </c>
      <c r="AH451" s="13">
        <f>IF($T451=1,$AU451,VLOOKUP(U451,'Cortes naturales'!$A$25:$C$29,3,9))</f>
        <v>2</v>
      </c>
      <c r="AI451" s="13" t="b">
        <f t="shared" ref="AI451:AI514" si="197">AH451=Y451</f>
        <v>0</v>
      </c>
      <c r="AJ451" s="13" t="str">
        <f t="shared" ref="AJ451:AJ514" si="198">IF(AD451=0,0,IF(AI451=TRUE,"Efecto ponderador","Cambio en corte"))</f>
        <v>Cambio en corte</v>
      </c>
      <c r="AK451" s="28">
        <v>0.81759069605862034</v>
      </c>
      <c r="AL451" s="28">
        <v>56.796463833161219</v>
      </c>
      <c r="AM451" s="28">
        <v>0.53983788159484114</v>
      </c>
      <c r="AN451" s="13">
        <v>2</v>
      </c>
      <c r="AO451" s="33">
        <f t="shared" ref="AO451:AO514" si="199">IF(AND(ISNUMBER(AN451),ISNUMBER(Y451)),AN451-Y451,IF(AN451="SC- Centro aglomeración",Y451,IF(OR(AN451="Bogotá",AN451="Ciudades grandes"),0,0)))</f>
        <v>-1</v>
      </c>
      <c r="AP451" s="13">
        <f t="shared" si="182"/>
        <v>53.983788159484114</v>
      </c>
      <c r="AQ451" s="13">
        <f>IFERROR(VLOOKUP(U451,'Cortes naturales'!$E$15:$G$19,3,9),U451)</f>
        <v>3</v>
      </c>
      <c r="AR451" s="28">
        <f t="shared" ref="AR451:AR514" si="200">IFERROR(S451-AK451,"N.D.")</f>
        <v>-0.29581512842998015</v>
      </c>
      <c r="AS451" s="13" t="b">
        <f t="shared" ref="AS451:AS514" si="201">AQ451=Y451</f>
        <v>1</v>
      </c>
      <c r="AT451" s="13" t="str">
        <f t="shared" si="183"/>
        <v>Efecto ponderador</v>
      </c>
      <c r="AU451" s="13">
        <v>2</v>
      </c>
      <c r="AV451">
        <f t="shared" ref="AV451:AV514" si="202">IF(AND(ISNUMBER(AU451),ISNUMBER(Y451)),AU451-Y451,IF(AU451="SC- Centro aglomeración",Y451,IF(OR(AU451="Bogotá",AU451="Ciudades grandes"),0,0)))</f>
        <v>-1</v>
      </c>
      <c r="AW451" s="13">
        <v>0</v>
      </c>
      <c r="AX451" s="13">
        <v>0</v>
      </c>
      <c r="AY451" s="13">
        <v>0</v>
      </c>
      <c r="AZ451" s="13">
        <v>0</v>
      </c>
      <c r="BA451">
        <v>0</v>
      </c>
      <c r="BB451" t="s">
        <v>2839</v>
      </c>
      <c r="BC451">
        <v>6</v>
      </c>
      <c r="BD451" t="s">
        <v>2919</v>
      </c>
      <c r="BE451">
        <v>0</v>
      </c>
      <c r="BF451" s="232" t="s">
        <v>2846</v>
      </c>
      <c r="BG451" s="232" t="s">
        <v>2846</v>
      </c>
      <c r="BH451" s="253">
        <v>31.1</v>
      </c>
      <c r="BI451" s="253">
        <v>11.138140747176369</v>
      </c>
      <c r="BJ451" s="25">
        <v>51.772018285174497</v>
      </c>
      <c r="BK451" t="s">
        <v>376</v>
      </c>
      <c r="BL451">
        <v>3.9084510306891578</v>
      </c>
      <c r="BM451" t="s">
        <v>383</v>
      </c>
      <c r="BN451" s="322">
        <v>16268.020195999999</v>
      </c>
      <c r="BO451" s="322">
        <v>2357.961585</v>
      </c>
      <c r="BP451" s="10">
        <v>6304</v>
      </c>
      <c r="BQ451" s="254">
        <f t="shared" ref="BQ451:BQ514" si="203">BN451/BP451</f>
        <v>2.5805869600253808</v>
      </c>
      <c r="BR451" s="254">
        <f t="shared" ref="BR451:BR514" si="204">BO451/BP451</f>
        <v>0.37404212960025379</v>
      </c>
      <c r="BS451" s="25">
        <v>64.004948697785508</v>
      </c>
      <c r="BT451" s="25">
        <v>88.28813131979696</v>
      </c>
      <c r="BU451" s="25">
        <v>49.796814666071668</v>
      </c>
      <c r="BV451" s="25">
        <v>89.939081618187743</v>
      </c>
      <c r="BW451" s="25">
        <v>63.935417419702979</v>
      </c>
      <c r="BX451" s="25">
        <v>73.007244075460477</v>
      </c>
      <c r="BY451" s="25">
        <v>64.795208579940976</v>
      </c>
      <c r="BZ451">
        <v>68</v>
      </c>
      <c r="CA451">
        <v>0</v>
      </c>
      <c r="CB451">
        <v>7</v>
      </c>
      <c r="CC451">
        <v>10334.567000999999</v>
      </c>
      <c r="CD451" s="10">
        <v>5953.0862989999996</v>
      </c>
      <c r="CE451" s="255">
        <v>0.57603635434595024</v>
      </c>
      <c r="CF451" t="str">
        <f>IFERROR(VLOOKUP(CE451,'Rangos amb etnico'!$A$2:$C$6,3,9),"N.D.")</f>
        <v>51% - 70%</v>
      </c>
      <c r="CG451" s="256">
        <v>1.7319772158032578E-4</v>
      </c>
      <c r="CH451" s="232">
        <v>0</v>
      </c>
      <c r="CI451" s="311">
        <f t="shared" si="184"/>
        <v>0</v>
      </c>
      <c r="CJ451" s="232">
        <f>IFERROR(VLOOKUP(CI451,'Rangos amb etnico'!$A$2:$C$6,3,9),"N.D.")</f>
        <v>0</v>
      </c>
      <c r="CK451" s="311">
        <f t="shared" si="185"/>
        <v>0</v>
      </c>
      <c r="CL451" s="10">
        <v>0</v>
      </c>
      <c r="CM451" s="255">
        <f t="shared" si="186"/>
        <v>0</v>
      </c>
      <c r="CN451" s="232">
        <f>IFERROR(VLOOKUP(CM451,'Rangos amb etnico'!$A$2:$C$6,3,9),"N.D.")</f>
        <v>0</v>
      </c>
      <c r="CO451" s="311">
        <f t="shared" si="187"/>
        <v>0</v>
      </c>
      <c r="CP451">
        <v>0.69231505433756646</v>
      </c>
      <c r="CQ451" t="s">
        <v>2866</v>
      </c>
      <c r="CR451">
        <f t="shared" ref="CR451:CR514" si="205">IF(BY451&gt;=60,1,0)+IF(M451&gt;=60,1,0)+IF(I451&gt;=60,1,0)+IF(OR(CQ451="Crítico Bajo",CQ451="Aceptable"),1,0)</f>
        <v>2</v>
      </c>
      <c r="CS451" t="str">
        <f t="shared" si="188"/>
        <v>No es Candidato</v>
      </c>
      <c r="CT451">
        <v>0</v>
      </c>
      <c r="CU451">
        <v>0</v>
      </c>
      <c r="CV451" s="25">
        <v>43.613567352294922</v>
      </c>
      <c r="CW451" s="25">
        <v>27.1314811706543</v>
      </c>
      <c r="CX451" s="25">
        <v>49.442317962646477</v>
      </c>
      <c r="CY451" s="25">
        <v>59.387741088867188</v>
      </c>
      <c r="CZ451" s="25">
        <v>36.589130401611328</v>
      </c>
      <c r="DA451" s="25">
        <v>41.871944427490227</v>
      </c>
      <c r="DB451" s="25">
        <v>47.258777618408203</v>
      </c>
      <c r="DC451">
        <v>37</v>
      </c>
      <c r="DD451" s="253" t="s">
        <v>380</v>
      </c>
    </row>
    <row r="452" spans="1:108">
      <c r="A452" s="13">
        <v>5093</v>
      </c>
      <c r="B452" s="13" t="s">
        <v>1358</v>
      </c>
      <c r="C452" s="13" t="s">
        <v>435</v>
      </c>
      <c r="D452" s="13" t="s">
        <v>436</v>
      </c>
      <c r="E452" s="13" t="s">
        <v>1359</v>
      </c>
      <c r="F452" s="14">
        <v>68.039266666666705</v>
      </c>
      <c r="G452" s="13">
        <v>57.59</v>
      </c>
      <c r="H452" s="13">
        <v>77.930000000000007</v>
      </c>
      <c r="I452" s="13">
        <v>71.16</v>
      </c>
      <c r="J452" s="14">
        <v>48.089503335110557</v>
      </c>
      <c r="K452" s="14">
        <v>48.073517468572724</v>
      </c>
      <c r="L452" s="14">
        <v>50.034304762258728</v>
      </c>
      <c r="M452" s="14">
        <v>51.490699999999997</v>
      </c>
      <c r="N452" s="14">
        <f t="shared" si="189"/>
        <v>68.679816666666682</v>
      </c>
      <c r="O452" s="14">
        <f t="shared" si="190"/>
        <v>49.422006391485503</v>
      </c>
      <c r="P452" s="14">
        <f t="shared" ref="P452:P515" si="206">IFERROR(AVERAGE(N452:O452),"N.D.")</f>
        <v>59.050911529076089</v>
      </c>
      <c r="Q452" s="14">
        <v>51.790108351756658</v>
      </c>
      <c r="R452" s="17">
        <f t="shared" si="191"/>
        <v>48.209891648243342</v>
      </c>
      <c r="S452" s="14">
        <f t="shared" ref="S452:S515" si="207">IFERROR((0.1+(1-0.1)*(R452%-0)/(1-0)),"N.D.")</f>
        <v>0.5338890248341901</v>
      </c>
      <c r="T452" s="13">
        <v>0</v>
      </c>
      <c r="U452" s="13">
        <f t="shared" ref="U452:U515" si="208">$P452*$S452</f>
        <v>31.526633571828466</v>
      </c>
      <c r="V452" s="13">
        <f>IF($T452=1,$AU452,(VLOOKUP(U452,'Cortes naturales'!$A$35:$C$39,3,9)))</f>
        <v>3</v>
      </c>
      <c r="W452" s="13">
        <v>3</v>
      </c>
      <c r="X452" s="14" t="b">
        <f t="shared" si="192"/>
        <v>1</v>
      </c>
      <c r="Y452" s="17">
        <f>IF($T452=1,$AU452,VLOOKUP(U452,'Cortes naturales'!$A$45:$C$49,3,9))</f>
        <v>3</v>
      </c>
      <c r="Z452" s="14">
        <v>56.668387133904289</v>
      </c>
      <c r="AA452" s="14">
        <v>0.53712151329168467</v>
      </c>
      <c r="AB452" s="14">
        <v>30.437809853161706</v>
      </c>
      <c r="AC452" s="13">
        <v>3</v>
      </c>
      <c r="AD452" s="13">
        <f t="shared" si="193"/>
        <v>0</v>
      </c>
      <c r="AE452" s="14">
        <f t="shared" si="194"/>
        <v>2.3825243951717994</v>
      </c>
      <c r="AF452" s="14">
        <f t="shared" si="195"/>
        <v>-3.2324884574945756E-3</v>
      </c>
      <c r="AG452" s="13">
        <f t="shared" si="196"/>
        <v>1.0888237186667595</v>
      </c>
      <c r="AH452" s="13">
        <f>IF($T452=1,$AU452,VLOOKUP(U452,'Cortes naturales'!$A$25:$C$29,3,9))</f>
        <v>3</v>
      </c>
      <c r="AI452" s="13" t="b">
        <f t="shared" si="197"/>
        <v>1</v>
      </c>
      <c r="AJ452" s="13">
        <f t="shared" si="198"/>
        <v>0</v>
      </c>
      <c r="AK452" s="28">
        <v>0.81759069605862034</v>
      </c>
      <c r="AL452" s="28">
        <v>46.33154608132817</v>
      </c>
      <c r="AM452" s="28">
        <v>0.40893279158249779</v>
      </c>
      <c r="AN452" s="13">
        <v>3</v>
      </c>
      <c r="AO452" s="33">
        <f t="shared" si="199"/>
        <v>0</v>
      </c>
      <c r="AP452" s="13">
        <f t="shared" ref="AP452:AP515" si="209">IFERROR(AM452*100,"N.D")</f>
        <v>40.893279158249776</v>
      </c>
      <c r="AQ452" s="13">
        <f>IFERROR(VLOOKUP(U452,'Cortes naturales'!$E$15:$G$19,3,9),U452)</f>
        <v>4</v>
      </c>
      <c r="AR452" s="28">
        <f t="shared" si="200"/>
        <v>-0.28370167122443024</v>
      </c>
      <c r="AS452" s="13" t="b">
        <f t="shared" si="201"/>
        <v>0</v>
      </c>
      <c r="AT452" s="13">
        <f t="shared" ref="AT452:AT515" si="210">IF(AO452=0,0,IF(AS452=TRUE,"Efecto ponderador","Cambio en corte"))</f>
        <v>0</v>
      </c>
      <c r="AU452" s="13">
        <v>3</v>
      </c>
      <c r="AV452">
        <f t="shared" si="202"/>
        <v>0</v>
      </c>
      <c r="AW452" s="13">
        <v>0</v>
      </c>
      <c r="AX452" s="13">
        <v>0</v>
      </c>
      <c r="AY452" s="13">
        <v>0</v>
      </c>
      <c r="AZ452" s="13">
        <v>0</v>
      </c>
      <c r="BA452">
        <v>0</v>
      </c>
      <c r="BB452" t="s">
        <v>2839</v>
      </c>
      <c r="BC452">
        <v>6</v>
      </c>
      <c r="BD452" t="s">
        <v>2919</v>
      </c>
      <c r="BE452">
        <v>1</v>
      </c>
      <c r="BF452" s="232" t="s">
        <v>2846</v>
      </c>
      <c r="BG452" s="232" t="s">
        <v>2845</v>
      </c>
      <c r="BH452" s="253">
        <v>53.1</v>
      </c>
      <c r="BI452" s="253">
        <v>17.180967549273344</v>
      </c>
      <c r="BJ452" s="25">
        <v>20.248652378557409</v>
      </c>
      <c r="BK452" t="s">
        <v>379</v>
      </c>
      <c r="BL452">
        <v>7.0459921185547367</v>
      </c>
      <c r="BM452" t="s">
        <v>379</v>
      </c>
      <c r="BN452" s="322">
        <v>35480.617005</v>
      </c>
      <c r="BO452" s="322">
        <v>4213.634145</v>
      </c>
      <c r="BP452" s="10">
        <v>16861</v>
      </c>
      <c r="BQ452" s="254">
        <f t="shared" si="203"/>
        <v>2.1043008721309531</v>
      </c>
      <c r="BR452" s="254">
        <f t="shared" si="204"/>
        <v>0.24990416612300576</v>
      </c>
      <c r="BS452" s="25">
        <v>59.870314796717388</v>
      </c>
      <c r="BT452" s="25">
        <v>94.721931051341357</v>
      </c>
      <c r="BU452" s="25">
        <v>45.543333333333329</v>
      </c>
      <c r="BV452" s="25">
        <v>89.459607486687318</v>
      </c>
      <c r="BW452" s="25">
        <v>49.511324296637667</v>
      </c>
      <c r="BX452" s="25">
        <v>72.398796667019852</v>
      </c>
      <c r="BY452" s="25">
        <v>50.045449140746598</v>
      </c>
      <c r="BZ452">
        <v>83</v>
      </c>
      <c r="CA452">
        <v>0</v>
      </c>
      <c r="CB452">
        <v>7</v>
      </c>
      <c r="CC452">
        <v>26236.212124000001</v>
      </c>
      <c r="CD452" s="10">
        <v>5970.2675849999996</v>
      </c>
      <c r="CE452" s="255">
        <v>0.22755829068551403</v>
      </c>
      <c r="CF452" t="str">
        <f>IFERROR(VLOOKUP(CE452,'Rangos amb etnico'!$A$2:$C$6,3,9),"N.D.")</f>
        <v>0,1% - 30%</v>
      </c>
      <c r="CG452" s="256">
        <v>1.7369758995776217E-4</v>
      </c>
      <c r="CH452" s="232">
        <v>0</v>
      </c>
      <c r="CI452" s="311">
        <f t="shared" ref="CI452:CI515" si="211">IFERROR(CH452/CC452,"N.D.")</f>
        <v>0</v>
      </c>
      <c r="CJ452" s="232">
        <f>IFERROR(VLOOKUP(CI452,'Rangos amb etnico'!$A$2:$C$6,3,9),"N.D.")</f>
        <v>0</v>
      </c>
      <c r="CK452" s="311">
        <f t="shared" ref="CK452:CK515" si="212">IFERROR(CH452/$CH$1,"N.D.")</f>
        <v>0</v>
      </c>
      <c r="CL452" s="10">
        <v>0</v>
      </c>
      <c r="CM452" s="255">
        <f t="shared" ref="CM452:CM515" si="213">IFERROR(CL452/CC452,"N.D.")</f>
        <v>0</v>
      </c>
      <c r="CN452" s="232">
        <f>IFERROR(VLOOKUP(CM452,'Rangos amb etnico'!$A$2:$C$6,3,9),"N.D.")</f>
        <v>0</v>
      </c>
      <c r="CO452" s="311">
        <f t="shared" ref="CO452:CO515" si="214">IFERROR(CL452/$CL$1,"N.D.")</f>
        <v>0</v>
      </c>
      <c r="CP452">
        <v>0.92976214368037291</v>
      </c>
      <c r="CQ452" t="s">
        <v>2864</v>
      </c>
      <c r="CR452">
        <f t="shared" si="205"/>
        <v>2</v>
      </c>
      <c r="CS452" t="str">
        <f t="shared" ref="CS452:CS515" si="215">IF(CR452&gt;=3,"Candidato","No es Candidato")</f>
        <v>No es Candidato</v>
      </c>
      <c r="CT452">
        <v>0</v>
      </c>
      <c r="CU452">
        <v>0</v>
      </c>
      <c r="CV452" s="25">
        <v>41.889877319335938</v>
      </c>
      <c r="CW452" s="25">
        <v>20.6310920715332</v>
      </c>
      <c r="CX452" s="25">
        <v>46.887882232666023</v>
      </c>
      <c r="CY452" s="25">
        <v>40.771945953369141</v>
      </c>
      <c r="CZ452" s="25">
        <v>29.937723159790039</v>
      </c>
      <c r="DA452" s="25">
        <v>58.925128936767578</v>
      </c>
      <c r="DB452" s="25">
        <v>54.185497283935547</v>
      </c>
      <c r="DC452">
        <v>177</v>
      </c>
      <c r="DD452" s="253" t="s">
        <v>380</v>
      </c>
    </row>
    <row r="453" spans="1:108" hidden="1">
      <c r="A453" s="13">
        <v>41359</v>
      </c>
      <c r="B453" s="13" t="s">
        <v>1360</v>
      </c>
      <c r="C453" s="13" t="s">
        <v>676</v>
      </c>
      <c r="D453" s="13" t="s">
        <v>677</v>
      </c>
      <c r="E453" s="13" t="s">
        <v>1361</v>
      </c>
      <c r="F453" s="14">
        <v>72.8457333333333</v>
      </c>
      <c r="G453" s="13">
        <v>56.57</v>
      </c>
      <c r="H453" s="13">
        <v>59.72</v>
      </c>
      <c r="I453" s="13">
        <v>58.99</v>
      </c>
      <c r="J453" s="14">
        <v>58.187489673670868</v>
      </c>
      <c r="K453" s="14">
        <v>57.606411870519416</v>
      </c>
      <c r="L453" s="14">
        <v>62.637289731352098</v>
      </c>
      <c r="M453" s="14">
        <v>64.937600000000003</v>
      </c>
      <c r="N453" s="14">
        <f t="shared" si="189"/>
        <v>62.031433333333325</v>
      </c>
      <c r="O453" s="14">
        <f t="shared" si="190"/>
        <v>60.842197818885595</v>
      </c>
      <c r="P453" s="14">
        <f t="shared" si="206"/>
        <v>61.43681557610946</v>
      </c>
      <c r="Q453" s="14">
        <v>52.767111172148603</v>
      </c>
      <c r="R453" s="17">
        <f t="shared" si="191"/>
        <v>47.232888827851397</v>
      </c>
      <c r="S453" s="14">
        <f t="shared" si="207"/>
        <v>0.52509599945066265</v>
      </c>
      <c r="T453" s="13">
        <v>0</v>
      </c>
      <c r="U453" s="13">
        <f t="shared" si="208"/>
        <v>32.260226078003235</v>
      </c>
      <c r="V453" s="13">
        <f>IF($T453=1,$AU453,(VLOOKUP(U453,'Cortes naturales'!$A$35:$C$39,3,9)))</f>
        <v>3</v>
      </c>
      <c r="W453" s="13">
        <v>3</v>
      </c>
      <c r="X453" s="14" t="b">
        <f t="shared" si="192"/>
        <v>1</v>
      </c>
      <c r="Y453" s="17">
        <f>IF($T453=1,$AU453,VLOOKUP(U453,'Cortes naturales'!$A$45:$C$49,3,9))</f>
        <v>3</v>
      </c>
      <c r="Z453" s="14">
        <v>62.390559060539118</v>
      </c>
      <c r="AA453" s="14">
        <v>0.53560621628182936</v>
      </c>
      <c r="AB453" s="14">
        <v>33.416771270123363</v>
      </c>
      <c r="AC453" s="13">
        <v>3</v>
      </c>
      <c r="AD453" s="13">
        <f t="shared" si="193"/>
        <v>0</v>
      </c>
      <c r="AE453" s="14">
        <f t="shared" si="194"/>
        <v>-0.95374348442965839</v>
      </c>
      <c r="AF453" s="14">
        <f t="shared" si="195"/>
        <v>-1.0510216831166708E-2</v>
      </c>
      <c r="AG453" s="13">
        <f t="shared" si="196"/>
        <v>-1.1565451921201273</v>
      </c>
      <c r="AH453" s="13">
        <f>IF($T453=1,$AU453,VLOOKUP(U453,'Cortes naturales'!$A$25:$C$29,3,9))</f>
        <v>3</v>
      </c>
      <c r="AI453" s="13" t="b">
        <f t="shared" si="197"/>
        <v>1</v>
      </c>
      <c r="AJ453" s="13">
        <f t="shared" si="198"/>
        <v>0</v>
      </c>
      <c r="AK453" s="28">
        <v>0.81759069605862034</v>
      </c>
      <c r="AL453" s="28">
        <v>51.009940609792636</v>
      </c>
      <c r="AM453" s="28">
        <v>0.46745457564091736</v>
      </c>
      <c r="AN453" s="13">
        <v>3</v>
      </c>
      <c r="AO453" s="33">
        <f t="shared" si="199"/>
        <v>0</v>
      </c>
      <c r="AP453" s="13">
        <f t="shared" si="209"/>
        <v>46.745457564091737</v>
      </c>
      <c r="AQ453" s="13">
        <f>IFERROR(VLOOKUP(U453,'Cortes naturales'!$E$15:$G$19,3,9),U453)</f>
        <v>4</v>
      </c>
      <c r="AR453" s="28">
        <f t="shared" si="200"/>
        <v>-0.29249469660795768</v>
      </c>
      <c r="AS453" s="13" t="b">
        <f t="shared" si="201"/>
        <v>0</v>
      </c>
      <c r="AT453" s="13">
        <f t="shared" si="210"/>
        <v>0</v>
      </c>
      <c r="AU453" s="13">
        <v>2</v>
      </c>
      <c r="AV453">
        <f t="shared" si="202"/>
        <v>-1</v>
      </c>
      <c r="AW453" s="13">
        <v>0</v>
      </c>
      <c r="AX453" s="13">
        <v>0</v>
      </c>
      <c r="AY453" s="13">
        <v>0</v>
      </c>
      <c r="AZ453" s="13">
        <v>0</v>
      </c>
      <c r="BA453">
        <v>1</v>
      </c>
      <c r="BB453" t="s">
        <v>2840</v>
      </c>
      <c r="BC453">
        <v>6</v>
      </c>
      <c r="BD453" t="s">
        <v>2919</v>
      </c>
      <c r="BE453">
        <v>0</v>
      </c>
      <c r="BF453" s="232" t="s">
        <v>2846</v>
      </c>
      <c r="BG453" s="232" t="s">
        <v>2845</v>
      </c>
      <c r="BH453" s="253">
        <v>43.1</v>
      </c>
      <c r="BI453" s="253">
        <v>19.384640429774937</v>
      </c>
      <c r="BJ453" s="25">
        <v>0</v>
      </c>
      <c r="BK453" t="s">
        <v>381</v>
      </c>
      <c r="BL453">
        <v>3.563533283989055</v>
      </c>
      <c r="BM453" t="s">
        <v>383</v>
      </c>
      <c r="BN453" s="322">
        <v>60273.255196999999</v>
      </c>
      <c r="BO453" s="322">
        <v>4357.8512010000004</v>
      </c>
      <c r="BP453" s="10">
        <v>26521</v>
      </c>
      <c r="BQ453" s="254">
        <f t="shared" si="203"/>
        <v>2.272661483239697</v>
      </c>
      <c r="BR453" s="254">
        <f t="shared" si="204"/>
        <v>0.16431700165906266</v>
      </c>
      <c r="BS453" s="25">
        <v>67.262880009983874</v>
      </c>
      <c r="BT453" s="25">
        <v>100</v>
      </c>
      <c r="BU453" s="25">
        <v>56.3948723915328</v>
      </c>
      <c r="BV453" s="25">
        <v>81.646537786705338</v>
      </c>
      <c r="BW453" s="25">
        <v>55.001292001567869</v>
      </c>
      <c r="BX453" s="25">
        <v>76.326072547055503</v>
      </c>
      <c r="BY453" s="25">
        <v>55.600765384700871</v>
      </c>
      <c r="BZ453">
        <v>54</v>
      </c>
      <c r="CA453">
        <v>0</v>
      </c>
      <c r="CB453">
        <v>7</v>
      </c>
      <c r="CC453">
        <v>37072.869283</v>
      </c>
      <c r="CD453" s="10">
        <v>9562.5010820000007</v>
      </c>
      <c r="CE453" s="255">
        <v>0.25793798178941996</v>
      </c>
      <c r="CF453" t="str">
        <f>IFERROR(VLOOKUP(CE453,'Rangos amb etnico'!$A$2:$C$6,3,9),"N.D.")</f>
        <v>0,1% - 30%</v>
      </c>
      <c r="CG453" s="256">
        <v>2.7820920390319377E-4</v>
      </c>
      <c r="CH453" s="232">
        <v>108.195215</v>
      </c>
      <c r="CI453" s="311">
        <f t="shared" si="211"/>
        <v>2.9184472929267877E-3</v>
      </c>
      <c r="CJ453" s="232" t="str">
        <f>IFERROR(VLOOKUP(CI453,'Rangos amb etnico'!$A$2:$C$6,3,9),"N.D.")</f>
        <v>0,1% - 30%</v>
      </c>
      <c r="CK453" s="311">
        <f t="shared" si="212"/>
        <v>4.2960584112638891E-6</v>
      </c>
      <c r="CL453" s="10">
        <v>0</v>
      </c>
      <c r="CM453" s="255">
        <f t="shared" si="213"/>
        <v>0</v>
      </c>
      <c r="CN453" s="232">
        <f>IFERROR(VLOOKUP(CM453,'Rangos amb etnico'!$A$2:$C$6,3,9),"N.D.")</f>
        <v>0</v>
      </c>
      <c r="CO453" s="311">
        <f t="shared" si="214"/>
        <v>0</v>
      </c>
      <c r="CP453">
        <v>0.93595981776396142</v>
      </c>
      <c r="CQ453" t="s">
        <v>2864</v>
      </c>
      <c r="CR453">
        <f t="shared" si="205"/>
        <v>2</v>
      </c>
      <c r="CS453" t="str">
        <f t="shared" si="215"/>
        <v>No es Candidato</v>
      </c>
      <c r="CT453">
        <v>0</v>
      </c>
      <c r="CU453">
        <v>0</v>
      </c>
      <c r="CV453" s="25">
        <v>42.940116882324219</v>
      </c>
      <c r="CW453" s="25">
        <v>18.08465576171875</v>
      </c>
      <c r="CX453" s="25">
        <v>48.666496276855469</v>
      </c>
      <c r="CY453" s="25">
        <v>71.586013793945313</v>
      </c>
      <c r="CZ453" s="25">
        <v>33.228302001953118</v>
      </c>
      <c r="DA453" s="25">
        <v>33.4385986328125</v>
      </c>
      <c r="DB453" s="25">
        <v>52.636638641357422</v>
      </c>
      <c r="DC453">
        <v>754</v>
      </c>
      <c r="DD453" s="253" t="s">
        <v>380</v>
      </c>
    </row>
    <row r="454" spans="1:108" hidden="1">
      <c r="A454" s="13">
        <v>25181</v>
      </c>
      <c r="B454" s="13" t="s">
        <v>1362</v>
      </c>
      <c r="C454" s="13" t="s">
        <v>461</v>
      </c>
      <c r="D454" s="13" t="s">
        <v>462</v>
      </c>
      <c r="E454" s="13" t="s">
        <v>1363</v>
      </c>
      <c r="F454" s="14">
        <v>63.589500000000001</v>
      </c>
      <c r="G454" s="13">
        <v>51.24</v>
      </c>
      <c r="H454" s="13">
        <v>56.27</v>
      </c>
      <c r="I454" s="13">
        <v>64.150000000000006</v>
      </c>
      <c r="J454" s="14">
        <v>58.986182476707782</v>
      </c>
      <c r="K454" s="14">
        <v>72.909161794408377</v>
      </c>
      <c r="L454" s="14">
        <v>66.927390987469906</v>
      </c>
      <c r="M454" s="14">
        <v>56.490200000000002</v>
      </c>
      <c r="N454" s="14">
        <f t="shared" si="189"/>
        <v>58.812375000000003</v>
      </c>
      <c r="O454" s="14">
        <f t="shared" si="190"/>
        <v>63.828233814646524</v>
      </c>
      <c r="P454" s="14">
        <f t="shared" si="206"/>
        <v>61.320304407323263</v>
      </c>
      <c r="Q454" s="14">
        <v>53.694697828376583</v>
      </c>
      <c r="R454" s="17">
        <f t="shared" si="191"/>
        <v>46.305302171623417</v>
      </c>
      <c r="S454" s="14">
        <f t="shared" si="207"/>
        <v>0.51674771954461074</v>
      </c>
      <c r="T454" s="13">
        <v>0</v>
      </c>
      <c r="U454" s="13">
        <f t="shared" si="208"/>
        <v>31.68712746426564</v>
      </c>
      <c r="V454" s="13">
        <f>IF($T454=1,$AU454,(VLOOKUP(U454,'Cortes naturales'!$A$35:$C$39,3,9)))</f>
        <v>3</v>
      </c>
      <c r="W454" s="13">
        <v>3</v>
      </c>
      <c r="X454" s="14" t="b">
        <f t="shared" si="192"/>
        <v>1</v>
      </c>
      <c r="Y454" s="17">
        <f>IF($T454=1,$AU454,VLOOKUP(U454,'Cortes naturales'!$A$45:$C$49,3,9))</f>
        <v>3</v>
      </c>
      <c r="Z454" s="14">
        <v>62.96384755786098</v>
      </c>
      <c r="AA454" s="14">
        <v>0.53549615535174444</v>
      </c>
      <c r="AB454" s="14">
        <v>33.716898293387878</v>
      </c>
      <c r="AC454" s="13">
        <v>3</v>
      </c>
      <c r="AD454" s="13">
        <f t="shared" si="193"/>
        <v>0</v>
      </c>
      <c r="AE454" s="14">
        <f t="shared" si="194"/>
        <v>-1.6435431505377167</v>
      </c>
      <c r="AF454" s="14">
        <f t="shared" si="195"/>
        <v>-1.8748435807133701E-2</v>
      </c>
      <c r="AG454" s="13">
        <f t="shared" si="196"/>
        <v>-2.0297708291222385</v>
      </c>
      <c r="AH454" s="13">
        <f>IF($T454=1,$AU454,VLOOKUP(U454,'Cortes naturales'!$A$25:$C$29,3,9))</f>
        <v>3</v>
      </c>
      <c r="AI454" s="13" t="b">
        <f t="shared" si="197"/>
        <v>1</v>
      </c>
      <c r="AJ454" s="13">
        <f t="shared" si="198"/>
        <v>0</v>
      </c>
      <c r="AK454" s="28">
        <v>0.81759069605862034</v>
      </c>
      <c r="AL454" s="28">
        <v>51.478655951360423</v>
      </c>
      <c r="AM454" s="28">
        <v>0.47331771049138954</v>
      </c>
      <c r="AN454" s="13">
        <v>3</v>
      </c>
      <c r="AO454" s="33">
        <f t="shared" si="199"/>
        <v>0</v>
      </c>
      <c r="AP454" s="13">
        <f t="shared" si="209"/>
        <v>47.331771049138958</v>
      </c>
      <c r="AQ454" s="13">
        <f>IFERROR(VLOOKUP(U454,'Cortes naturales'!$E$15:$G$19,3,9),U454)</f>
        <v>4</v>
      </c>
      <c r="AR454" s="28">
        <f t="shared" si="200"/>
        <v>-0.3008429765140096</v>
      </c>
      <c r="AS454" s="13" t="b">
        <f t="shared" si="201"/>
        <v>0</v>
      </c>
      <c r="AT454" s="13">
        <f t="shared" si="210"/>
        <v>0</v>
      </c>
      <c r="AU454" s="13">
        <v>2</v>
      </c>
      <c r="AV454">
        <f t="shared" si="202"/>
        <v>-1</v>
      </c>
      <c r="AW454" s="13">
        <v>0</v>
      </c>
      <c r="AX454" s="13">
        <v>0</v>
      </c>
      <c r="AY454" s="13">
        <v>0</v>
      </c>
      <c r="AZ454" s="13">
        <v>0</v>
      </c>
      <c r="BA454">
        <v>0</v>
      </c>
      <c r="BB454" t="s">
        <v>2839</v>
      </c>
      <c r="BC454">
        <v>6</v>
      </c>
      <c r="BD454" t="s">
        <v>2919</v>
      </c>
      <c r="BE454">
        <v>0</v>
      </c>
      <c r="BF454" s="232" t="s">
        <v>2846</v>
      </c>
      <c r="BG454" s="232" t="s">
        <v>2846</v>
      </c>
      <c r="BH454" s="253">
        <v>22.5</v>
      </c>
      <c r="BI454" s="253">
        <v>8.2191780821917817</v>
      </c>
      <c r="BJ454" s="25">
        <v>6.125</v>
      </c>
      <c r="BK454" t="s">
        <v>377</v>
      </c>
      <c r="BL454">
        <v>0</v>
      </c>
      <c r="BM454" t="s">
        <v>377</v>
      </c>
      <c r="BN454" s="322">
        <v>27297.792684</v>
      </c>
      <c r="BO454" s="322">
        <v>6214.5941720000001</v>
      </c>
      <c r="BP454" s="10">
        <v>11283</v>
      </c>
      <c r="BQ454" s="254">
        <f t="shared" si="203"/>
        <v>2.4193736314809891</v>
      </c>
      <c r="BR454" s="254">
        <f t="shared" si="204"/>
        <v>0.55079271222192683</v>
      </c>
      <c r="BS454" s="25">
        <v>61.033329900975147</v>
      </c>
      <c r="BT454" s="25">
        <v>77.964983939259653</v>
      </c>
      <c r="BU454" s="25">
        <v>39.657334212325402</v>
      </c>
      <c r="BV454" s="25">
        <v>88.157798760987916</v>
      </c>
      <c r="BW454" s="25">
        <v>50.622626245322763</v>
      </c>
      <c r="BX454" s="25">
        <v>66.703361703387031</v>
      </c>
      <c r="BY454" s="25">
        <v>50.107405782097239</v>
      </c>
      <c r="BZ454">
        <v>40</v>
      </c>
      <c r="CA454">
        <v>0</v>
      </c>
      <c r="CB454">
        <v>7</v>
      </c>
      <c r="CC454">
        <v>21213.244783999999</v>
      </c>
      <c r="CD454" s="10">
        <v>6789.0863090000003</v>
      </c>
      <c r="CE454" s="255">
        <v>0.3200399739940134</v>
      </c>
      <c r="CF454" t="str">
        <f>IFERROR(VLOOKUP(CE454,'Rangos amb etnico'!$A$2:$C$6,3,9),"N.D.")</f>
        <v>31% - 50%</v>
      </c>
      <c r="CG454" s="256">
        <v>1.9752011331139341E-4</v>
      </c>
      <c r="CH454" s="232">
        <v>0</v>
      </c>
      <c r="CI454" s="311">
        <f t="shared" si="211"/>
        <v>0</v>
      </c>
      <c r="CJ454" s="232">
        <f>IFERROR(VLOOKUP(CI454,'Rangos amb etnico'!$A$2:$C$6,3,9),"N.D.")</f>
        <v>0</v>
      </c>
      <c r="CK454" s="311">
        <f t="shared" si="212"/>
        <v>0</v>
      </c>
      <c r="CL454" s="10">
        <v>0</v>
      </c>
      <c r="CM454" s="255">
        <f t="shared" si="213"/>
        <v>0</v>
      </c>
      <c r="CN454" s="232">
        <f>IFERROR(VLOOKUP(CM454,'Rangos amb etnico'!$A$2:$C$6,3,9),"N.D.")</f>
        <v>0</v>
      </c>
      <c r="CO454" s="311">
        <f t="shared" si="214"/>
        <v>0</v>
      </c>
      <c r="CP454">
        <v>0.96306324533869159</v>
      </c>
      <c r="CQ454" t="s">
        <v>2864</v>
      </c>
      <c r="CR454">
        <f t="shared" si="205"/>
        <v>2</v>
      </c>
      <c r="CS454" t="str">
        <f t="shared" si="215"/>
        <v>No es Candidato</v>
      </c>
      <c r="CT454">
        <v>0</v>
      </c>
      <c r="CU454">
        <v>0</v>
      </c>
      <c r="CV454" s="25">
        <v>50.923870086669922</v>
      </c>
      <c r="CW454" s="25">
        <v>38.757793426513672</v>
      </c>
      <c r="CX454" s="25">
        <v>47.183753967285163</v>
      </c>
      <c r="CY454" s="25">
        <v>64.585052490234375</v>
      </c>
      <c r="CZ454" s="25">
        <v>54.444747924804688</v>
      </c>
      <c r="DA454" s="25">
        <v>51.986087799072273</v>
      </c>
      <c r="DB454" s="25">
        <v>48.585784912109382</v>
      </c>
      <c r="DC454">
        <v>129</v>
      </c>
      <c r="DD454" s="253" t="s">
        <v>380</v>
      </c>
    </row>
    <row r="455" spans="1:108" hidden="1">
      <c r="A455" s="13">
        <v>76109</v>
      </c>
      <c r="B455" s="13" t="s">
        <v>1364</v>
      </c>
      <c r="C455" s="13" t="s">
        <v>454</v>
      </c>
      <c r="D455" s="13" t="s">
        <v>455</v>
      </c>
      <c r="E455" s="13" t="s">
        <v>1365</v>
      </c>
      <c r="F455" s="14">
        <v>50.938366666666703</v>
      </c>
      <c r="G455" s="13">
        <v>54.41</v>
      </c>
      <c r="H455" s="13">
        <v>40.39</v>
      </c>
      <c r="I455" s="13">
        <v>52.33</v>
      </c>
      <c r="J455" s="14">
        <v>39.158217035503441</v>
      </c>
      <c r="K455" s="14">
        <v>40.950886185941179</v>
      </c>
      <c r="L455" s="14">
        <v>45.463764054926109</v>
      </c>
      <c r="M455" s="14">
        <v>46.642899999999997</v>
      </c>
      <c r="N455" s="14">
        <f t="shared" si="189"/>
        <v>49.517091666666673</v>
      </c>
      <c r="O455" s="14">
        <f t="shared" si="190"/>
        <v>43.053941819092685</v>
      </c>
      <c r="P455" s="14">
        <f t="shared" si="206"/>
        <v>46.285516742879679</v>
      </c>
      <c r="Q455" s="14">
        <v>52.606981992844545</v>
      </c>
      <c r="R455" s="17">
        <f t="shared" si="191"/>
        <v>47.393018007155455</v>
      </c>
      <c r="S455" s="14">
        <f t="shared" si="207"/>
        <v>0.52653716206439904</v>
      </c>
      <c r="T455" s="13">
        <v>0</v>
      </c>
      <c r="U455" s="13">
        <f t="shared" si="208"/>
        <v>24.371044630480093</v>
      </c>
      <c r="V455" s="13">
        <f>IF($T455=1,$AU455,(VLOOKUP(U455,'Cortes naturales'!$A$35:$C$39,3,9)))</f>
        <v>4</v>
      </c>
      <c r="W455" s="13">
        <v>4</v>
      </c>
      <c r="X455" s="14" t="b">
        <f t="shared" si="192"/>
        <v>1</v>
      </c>
      <c r="Y455" s="17">
        <f>IF($T455=1,$AU455,VLOOKUP(U455,'Cortes naturales'!$A$45:$C$49,3,9))</f>
        <v>4</v>
      </c>
      <c r="Z455" s="14">
        <v>44.571023890785817</v>
      </c>
      <c r="AA455" s="14">
        <v>0.53623898446927232</v>
      </c>
      <c r="AB455" s="14">
        <v>23.900720587950662</v>
      </c>
      <c r="AC455" s="13">
        <v>4</v>
      </c>
      <c r="AD455" s="13">
        <f t="shared" si="193"/>
        <v>0</v>
      </c>
      <c r="AE455" s="14">
        <f t="shared" si="194"/>
        <v>1.714492852093862</v>
      </c>
      <c r="AF455" s="14">
        <f t="shared" si="195"/>
        <v>-9.7018224048732726E-3</v>
      </c>
      <c r="AG455" s="13">
        <f t="shared" si="196"/>
        <v>0.47032404252943039</v>
      </c>
      <c r="AH455" s="13">
        <f>IF($T455=1,$AU455,VLOOKUP(U455,'Cortes naturales'!$A$25:$C$29,3,9))</f>
        <v>4</v>
      </c>
      <c r="AI455" s="13" t="b">
        <f t="shared" si="197"/>
        <v>1</v>
      </c>
      <c r="AJ455" s="13">
        <f t="shared" si="198"/>
        <v>0</v>
      </c>
      <c r="AK455" s="28">
        <v>0.81759069605862034</v>
      </c>
      <c r="AL455" s="28">
        <v>36.440854446912972</v>
      </c>
      <c r="AM455" s="28">
        <v>0.28521066500766989</v>
      </c>
      <c r="AN455" s="13">
        <v>4</v>
      </c>
      <c r="AO455" s="33">
        <f t="shared" si="199"/>
        <v>0</v>
      </c>
      <c r="AP455" s="13">
        <f t="shared" si="209"/>
        <v>28.521066500766988</v>
      </c>
      <c r="AQ455" s="13">
        <f>IFERROR(VLOOKUP(U455,'Cortes naturales'!$E$15:$G$19,3,9),U455)</f>
        <v>4</v>
      </c>
      <c r="AR455" s="28">
        <f t="shared" si="200"/>
        <v>-0.29105353399422129</v>
      </c>
      <c r="AS455" s="13" t="b">
        <f t="shared" si="201"/>
        <v>1</v>
      </c>
      <c r="AT455" s="13">
        <f t="shared" si="210"/>
        <v>0</v>
      </c>
      <c r="AU455" s="13">
        <v>3</v>
      </c>
      <c r="AV455">
        <f t="shared" si="202"/>
        <v>-1</v>
      </c>
      <c r="AW455" s="13">
        <v>0</v>
      </c>
      <c r="AX455" s="13">
        <v>1</v>
      </c>
      <c r="AY455" s="13">
        <v>1</v>
      </c>
      <c r="AZ455" s="13">
        <v>1</v>
      </c>
      <c r="BA455">
        <v>1</v>
      </c>
      <c r="BB455" t="s">
        <v>2838</v>
      </c>
      <c r="BC455">
        <v>2</v>
      </c>
      <c r="BD455" t="s">
        <v>2920</v>
      </c>
      <c r="BE455">
        <v>0</v>
      </c>
      <c r="BF455" s="232" t="s">
        <v>2845</v>
      </c>
      <c r="BG455" s="232" t="s">
        <v>2845</v>
      </c>
      <c r="BH455" s="253">
        <v>41</v>
      </c>
      <c r="BI455" s="253">
        <v>16.653757380673436</v>
      </c>
      <c r="BJ455" s="25">
        <v>8.3503973356369361</v>
      </c>
      <c r="BK455" t="s">
        <v>377</v>
      </c>
      <c r="BL455">
        <v>29.083114923394277</v>
      </c>
      <c r="BM455" t="s">
        <v>384</v>
      </c>
      <c r="BN455" s="322">
        <v>842926.56745800003</v>
      </c>
      <c r="BO455" s="322">
        <v>164880.22210300001</v>
      </c>
      <c r="BP455" s="10">
        <v>328686</v>
      </c>
      <c r="BQ455" s="254">
        <f t="shared" si="203"/>
        <v>2.5645344415582048</v>
      </c>
      <c r="BR455" s="254">
        <f t="shared" si="204"/>
        <v>0.50163445386478278</v>
      </c>
      <c r="BS455" s="25">
        <v>46.042036603853873</v>
      </c>
      <c r="BT455" s="25">
        <v>83.16691940133471</v>
      </c>
      <c r="BU455" s="25">
        <v>48.624775214182698</v>
      </c>
      <c r="BV455" s="25">
        <v>91.343512152501091</v>
      </c>
      <c r="BW455" s="25">
        <v>62.441142858127733</v>
      </c>
      <c r="BX455" s="25">
        <v>67.294310842968088</v>
      </c>
      <c r="BY455" s="25">
        <v>63.004325975806132</v>
      </c>
      <c r="BZ455">
        <v>38</v>
      </c>
      <c r="CA455">
        <v>1</v>
      </c>
      <c r="CB455">
        <v>4</v>
      </c>
      <c r="CC455">
        <v>629593.50294599996</v>
      </c>
      <c r="CD455" s="10">
        <v>378237.454463</v>
      </c>
      <c r="CE455" s="255">
        <v>0.6007645452075786</v>
      </c>
      <c r="CF455" t="str">
        <f>IFERROR(VLOOKUP(CE455,'Rangos amb etnico'!$A$2:$C$6,3,9),"N.D.")</f>
        <v>51% - 70%</v>
      </c>
      <c r="CG455" s="256">
        <v>1.1004353378908378E-2</v>
      </c>
      <c r="CH455" s="232">
        <v>442214.23691899999</v>
      </c>
      <c r="CI455" s="311">
        <f t="shared" si="211"/>
        <v>0.70238055959883139</v>
      </c>
      <c r="CJ455" s="232" t="str">
        <f>IFERROR(VLOOKUP(CI455,'Rangos amb etnico'!$A$2:$C$6,3,9),"N.D.")</f>
        <v>51% - 70%</v>
      </c>
      <c r="CK455" s="311">
        <f t="shared" si="212"/>
        <v>1.7558800470949775E-2</v>
      </c>
      <c r="CL455" s="10">
        <v>0</v>
      </c>
      <c r="CM455" s="255">
        <f t="shared" si="213"/>
        <v>0</v>
      </c>
      <c r="CN455" s="232">
        <f>IFERROR(VLOOKUP(CM455,'Rangos amb etnico'!$A$2:$C$6,3,9),"N.D.")</f>
        <v>0</v>
      </c>
      <c r="CO455" s="311">
        <f t="shared" si="214"/>
        <v>0</v>
      </c>
      <c r="CP455">
        <v>0.91047695870932688</v>
      </c>
      <c r="CQ455" t="s">
        <v>2864</v>
      </c>
      <c r="CR455">
        <f t="shared" si="205"/>
        <v>2</v>
      </c>
      <c r="CS455" t="str">
        <f t="shared" si="215"/>
        <v>No es Candidato</v>
      </c>
      <c r="CT455">
        <v>0</v>
      </c>
      <c r="CU455">
        <v>0</v>
      </c>
      <c r="CV455" s="25">
        <v>41.569374084472663</v>
      </c>
      <c r="CW455" s="25">
        <v>62.498641967773438</v>
      </c>
      <c r="CX455" s="25">
        <v>37.606143951416023</v>
      </c>
      <c r="CY455" s="25">
        <v>48.855720520019531</v>
      </c>
      <c r="CZ455" s="25">
        <v>18.2558479309082</v>
      </c>
      <c r="DA455" s="25">
        <v>41.418907165527337</v>
      </c>
      <c r="DB455" s="25">
        <v>40.780994415283203</v>
      </c>
      <c r="DC455">
        <v>278345</v>
      </c>
      <c r="DD455" s="253" t="s">
        <v>380</v>
      </c>
    </row>
    <row r="456" spans="1:108" hidden="1">
      <c r="A456" s="13">
        <v>52381</v>
      </c>
      <c r="B456" s="13" t="s">
        <v>1366</v>
      </c>
      <c r="C456" s="13" t="s">
        <v>672</v>
      </c>
      <c r="D456" s="13" t="s">
        <v>673</v>
      </c>
      <c r="E456" s="13" t="s">
        <v>1367</v>
      </c>
      <c r="F456" s="14">
        <v>63.4624666666667</v>
      </c>
      <c r="G456" s="13">
        <v>54.85</v>
      </c>
      <c r="H456" s="13">
        <v>68.42</v>
      </c>
      <c r="I456" s="13">
        <v>55.37</v>
      </c>
      <c r="J456" s="14">
        <v>53.805511366024007</v>
      </c>
      <c r="K456" s="14">
        <v>58.18699606671391</v>
      </c>
      <c r="L456" s="14">
        <v>48.244498016725672</v>
      </c>
      <c r="M456" s="14">
        <v>57.301499999999997</v>
      </c>
      <c r="N456" s="14">
        <f t="shared" si="189"/>
        <v>60.525616666666679</v>
      </c>
      <c r="O456" s="14">
        <f t="shared" si="190"/>
        <v>54.3846263623659</v>
      </c>
      <c r="P456" s="14">
        <f t="shared" si="206"/>
        <v>57.455121514516293</v>
      </c>
      <c r="Q456" s="14">
        <v>52.950972851155576</v>
      </c>
      <c r="R456" s="17">
        <f t="shared" si="191"/>
        <v>47.049027148844424</v>
      </c>
      <c r="S456" s="14">
        <f t="shared" si="207"/>
        <v>0.52344124433959982</v>
      </c>
      <c r="T456" s="13">
        <v>0</v>
      </c>
      <c r="U456" s="13">
        <f t="shared" si="208"/>
        <v>30.074380299241323</v>
      </c>
      <c r="V456" s="13">
        <f>IF($T456=1,$AU456,(VLOOKUP(U456,'Cortes naturales'!$A$35:$C$39,3,9)))</f>
        <v>3</v>
      </c>
      <c r="W456" s="13">
        <v>3</v>
      </c>
      <c r="X456" s="14" t="b">
        <f t="shared" si="192"/>
        <v>1</v>
      </c>
      <c r="Y456" s="17">
        <f>IF($T456=1,$AU456,VLOOKUP(U456,'Cortes naturales'!$A$45:$C$49,3,9))</f>
        <v>3</v>
      </c>
      <c r="Z456" s="14">
        <v>58.066559629784173</v>
      </c>
      <c r="AA456" s="14">
        <v>0.5355506323546676</v>
      </c>
      <c r="AB456" s="14">
        <v>31.097582728390929</v>
      </c>
      <c r="AC456" s="13">
        <v>3</v>
      </c>
      <c r="AD456" s="13">
        <f t="shared" si="193"/>
        <v>0</v>
      </c>
      <c r="AE456" s="14">
        <f t="shared" si="194"/>
        <v>-0.61143811526788028</v>
      </c>
      <c r="AF456" s="14">
        <f t="shared" si="195"/>
        <v>-1.2109388015067779E-2</v>
      </c>
      <c r="AG456" s="13">
        <f t="shared" si="196"/>
        <v>-1.023202429149606</v>
      </c>
      <c r="AH456" s="13">
        <f>IF($T456=1,$AU456,VLOOKUP(U456,'Cortes naturales'!$A$25:$C$29,3,9))</f>
        <v>3</v>
      </c>
      <c r="AI456" s="13" t="b">
        <f t="shared" si="197"/>
        <v>1</v>
      </c>
      <c r="AJ456" s="13">
        <f t="shared" si="198"/>
        <v>0</v>
      </c>
      <c r="AK456" s="28">
        <v>0.81759069605862034</v>
      </c>
      <c r="AL456" s="28">
        <v>47.474678905444627</v>
      </c>
      <c r="AM456" s="28">
        <v>0.42323217823661818</v>
      </c>
      <c r="AN456" s="13">
        <v>3</v>
      </c>
      <c r="AO456" s="33">
        <f t="shared" si="199"/>
        <v>0</v>
      </c>
      <c r="AP456" s="13">
        <f t="shared" si="209"/>
        <v>42.323217823661821</v>
      </c>
      <c r="AQ456" s="13">
        <f>IFERROR(VLOOKUP(U456,'Cortes naturales'!$E$15:$G$19,3,9),U456)</f>
        <v>4</v>
      </c>
      <c r="AR456" s="28">
        <f t="shared" si="200"/>
        <v>-0.29414945171902052</v>
      </c>
      <c r="AS456" s="13" t="b">
        <f t="shared" si="201"/>
        <v>0</v>
      </c>
      <c r="AT456" s="13">
        <f t="shared" si="210"/>
        <v>0</v>
      </c>
      <c r="AU456" s="13">
        <v>3</v>
      </c>
      <c r="AV456">
        <f t="shared" si="202"/>
        <v>0</v>
      </c>
      <c r="AW456" s="13">
        <v>0</v>
      </c>
      <c r="AX456" s="13">
        <v>0</v>
      </c>
      <c r="AY456" s="13">
        <v>0</v>
      </c>
      <c r="AZ456" s="13">
        <v>0</v>
      </c>
      <c r="BA456">
        <v>0</v>
      </c>
      <c r="BB456" t="s">
        <v>2840</v>
      </c>
      <c r="BC456">
        <v>6</v>
      </c>
      <c r="BD456" t="s">
        <v>2919</v>
      </c>
      <c r="BE456">
        <v>0</v>
      </c>
      <c r="BF456" s="232" t="s">
        <v>2846</v>
      </c>
      <c r="BG456" s="232" t="s">
        <v>2845</v>
      </c>
      <c r="BH456" s="253">
        <v>59</v>
      </c>
      <c r="BI456" s="253">
        <v>32.519067094064333</v>
      </c>
      <c r="BJ456" s="25">
        <v>27.257445169265878</v>
      </c>
      <c r="BK456" t="s">
        <v>379</v>
      </c>
      <c r="BL456">
        <v>8.5919539770991316E-2</v>
      </c>
      <c r="BM456" t="s">
        <v>377</v>
      </c>
      <c r="BN456" s="322">
        <v>26275.361080999999</v>
      </c>
      <c r="BO456" s="322">
        <v>993.96717899999999</v>
      </c>
      <c r="BP456" s="10">
        <v>10098</v>
      </c>
      <c r="BQ456" s="254">
        <f t="shared" si="203"/>
        <v>2.60203615379283</v>
      </c>
      <c r="BR456" s="254">
        <f t="shared" si="204"/>
        <v>9.8432083481877597E-2</v>
      </c>
      <c r="BS456" s="25">
        <v>62.16890078420321</v>
      </c>
      <c r="BT456" s="25">
        <v>87.014162333135275</v>
      </c>
      <c r="BU456" s="25">
        <v>48.683171223666513</v>
      </c>
      <c r="BV456" s="25">
        <v>93.699327242252835</v>
      </c>
      <c r="BW456" s="25">
        <v>55.16360205124618</v>
      </c>
      <c r="BX456" s="25">
        <v>72.891390395814454</v>
      </c>
      <c r="BY456" s="25">
        <v>55.869404063597642</v>
      </c>
      <c r="BZ456">
        <v>80</v>
      </c>
      <c r="CA456">
        <v>0</v>
      </c>
      <c r="CB456">
        <v>7</v>
      </c>
      <c r="CC456">
        <v>13644.19332</v>
      </c>
      <c r="CD456" s="10">
        <v>2851.191777</v>
      </c>
      <c r="CE456" s="255">
        <v>0.20896741273964886</v>
      </c>
      <c r="CF456" t="str">
        <f>IFERROR(VLOOKUP(CE456,'Rangos amb etnico'!$A$2:$C$6,3,9),"N.D.")</f>
        <v>0,1% - 30%</v>
      </c>
      <c r="CG456" s="256">
        <v>8.2951916831427807E-5</v>
      </c>
      <c r="CH456" s="232">
        <v>0</v>
      </c>
      <c r="CI456" s="311">
        <f t="shared" si="211"/>
        <v>0</v>
      </c>
      <c r="CJ456" s="232">
        <f>IFERROR(VLOOKUP(CI456,'Rangos amb etnico'!$A$2:$C$6,3,9),"N.D.")</f>
        <v>0</v>
      </c>
      <c r="CK456" s="311">
        <f t="shared" si="212"/>
        <v>0</v>
      </c>
      <c r="CL456" s="10">
        <v>0</v>
      </c>
      <c r="CM456" s="255">
        <f t="shared" si="213"/>
        <v>0</v>
      </c>
      <c r="CN456" s="232">
        <f>IFERROR(VLOOKUP(CM456,'Rangos amb etnico'!$A$2:$C$6,3,9),"N.D.")</f>
        <v>0</v>
      </c>
      <c r="CO456" s="311">
        <f t="shared" si="214"/>
        <v>0</v>
      </c>
      <c r="CP456">
        <v>0.92501007963967963</v>
      </c>
      <c r="CQ456" t="s">
        <v>2864</v>
      </c>
      <c r="CR456">
        <f t="shared" si="205"/>
        <v>1</v>
      </c>
      <c r="CS456" t="str">
        <f t="shared" si="215"/>
        <v>No es Candidato</v>
      </c>
      <c r="CT456">
        <v>0</v>
      </c>
      <c r="CU456">
        <v>0</v>
      </c>
      <c r="CV456" s="25">
        <v>55.123409271240227</v>
      </c>
      <c r="CW456" s="25">
        <v>26.636648178100589</v>
      </c>
      <c r="CX456" s="25">
        <v>49.705696105957031</v>
      </c>
      <c r="CY456" s="25">
        <v>56.801349639892578</v>
      </c>
      <c r="CZ456" s="25">
        <v>54.904811859130859</v>
      </c>
      <c r="DA456" s="25">
        <v>83.538398742675781</v>
      </c>
      <c r="DB456" s="25">
        <v>59.153553009033203</v>
      </c>
      <c r="DC456">
        <v>190</v>
      </c>
      <c r="DD456" s="253" t="s">
        <v>380</v>
      </c>
    </row>
    <row r="457" spans="1:108" hidden="1">
      <c r="A457" s="13">
        <v>68572</v>
      </c>
      <c r="B457" s="13" t="s">
        <v>1368</v>
      </c>
      <c r="C457" s="13" t="s">
        <v>431</v>
      </c>
      <c r="D457" s="13" t="s">
        <v>432</v>
      </c>
      <c r="E457" s="13" t="s">
        <v>1369</v>
      </c>
      <c r="F457" s="14">
        <v>62.906599999999997</v>
      </c>
      <c r="G457" s="13">
        <v>69.3</v>
      </c>
      <c r="H457" s="13">
        <v>58.66</v>
      </c>
      <c r="I457" s="13">
        <v>70.88</v>
      </c>
      <c r="J457" s="14">
        <v>66.284768718173268</v>
      </c>
      <c r="K457" s="14">
        <v>63.04390977607062</v>
      </c>
      <c r="L457" s="14">
        <v>74.285801279813555</v>
      </c>
      <c r="M457" s="14">
        <v>61.843899999999998</v>
      </c>
      <c r="N457" s="14">
        <f t="shared" si="189"/>
        <v>65.436649999999986</v>
      </c>
      <c r="O457" s="14">
        <f t="shared" si="190"/>
        <v>66.364594943514362</v>
      </c>
      <c r="P457" s="14">
        <f t="shared" si="206"/>
        <v>65.900622471757174</v>
      </c>
      <c r="Q457" s="14">
        <v>53.05103993170335</v>
      </c>
      <c r="R457" s="17">
        <f t="shared" si="191"/>
        <v>46.94896006829665</v>
      </c>
      <c r="S457" s="14">
        <f t="shared" si="207"/>
        <v>0.52254064061466987</v>
      </c>
      <c r="T457" s="13">
        <v>0</v>
      </c>
      <c r="U457" s="13">
        <f t="shared" si="208"/>
        <v>34.435753483297503</v>
      </c>
      <c r="V457" s="13">
        <f>IF($T457=1,$AU457,(VLOOKUP(U457,'Cortes naturales'!$A$35:$C$39,3,9)))</f>
        <v>3</v>
      </c>
      <c r="W457" s="13">
        <v>3</v>
      </c>
      <c r="X457" s="14" t="b">
        <f t="shared" si="192"/>
        <v>1</v>
      </c>
      <c r="Y457" s="17">
        <f>IF($T457=1,$AU457,VLOOKUP(U457,'Cortes naturales'!$A$45:$C$49,3,9))</f>
        <v>3</v>
      </c>
      <c r="Z457" s="14">
        <v>64.150414349575755</v>
      </c>
      <c r="AA457" s="14">
        <v>0.53393534078450355</v>
      </c>
      <c r="AB457" s="14">
        <v>34.252173347207837</v>
      </c>
      <c r="AC457" s="13">
        <v>3</v>
      </c>
      <c r="AD457" s="13">
        <f t="shared" si="193"/>
        <v>0</v>
      </c>
      <c r="AE457" s="14">
        <f t="shared" si="194"/>
        <v>1.7502081221814194</v>
      </c>
      <c r="AF457" s="14">
        <f t="shared" si="195"/>
        <v>-1.1394700169833683E-2</v>
      </c>
      <c r="AG457" s="13">
        <f t="shared" si="196"/>
        <v>0.18358013608966672</v>
      </c>
      <c r="AH457" s="13">
        <f>IF($T457=1,$AU457,VLOOKUP(U457,'Cortes naturales'!$A$25:$C$29,3,9))</f>
        <v>3</v>
      </c>
      <c r="AI457" s="13" t="b">
        <f t="shared" si="197"/>
        <v>1</v>
      </c>
      <c r="AJ457" s="13">
        <f t="shared" si="198"/>
        <v>0</v>
      </c>
      <c r="AK457" s="28">
        <v>0.81759069605862034</v>
      </c>
      <c r="AL457" s="28">
        <v>52.448781920518549</v>
      </c>
      <c r="AM457" s="28">
        <v>0.48545296375639602</v>
      </c>
      <c r="AN457" s="13">
        <v>2</v>
      </c>
      <c r="AO457" s="33">
        <f t="shared" si="199"/>
        <v>-1</v>
      </c>
      <c r="AP457" s="13">
        <f t="shared" si="209"/>
        <v>48.545296375639602</v>
      </c>
      <c r="AQ457" s="13">
        <f>IFERROR(VLOOKUP(U457,'Cortes naturales'!$E$15:$G$19,3,9),U457)</f>
        <v>4</v>
      </c>
      <c r="AR457" s="28">
        <f t="shared" si="200"/>
        <v>-0.29505005544395047</v>
      </c>
      <c r="AS457" s="13" t="b">
        <f t="shared" si="201"/>
        <v>0</v>
      </c>
      <c r="AT457" s="13" t="str">
        <f t="shared" si="210"/>
        <v>Cambio en corte</v>
      </c>
      <c r="AU457" s="13">
        <v>2</v>
      </c>
      <c r="AV457">
        <f t="shared" si="202"/>
        <v>-1</v>
      </c>
      <c r="AW457" s="13">
        <v>0</v>
      </c>
      <c r="AX457" s="13">
        <v>0</v>
      </c>
      <c r="AY457" s="13">
        <v>0</v>
      </c>
      <c r="AZ457" s="13">
        <v>0</v>
      </c>
      <c r="BA457">
        <v>0</v>
      </c>
      <c r="BB457" t="s">
        <v>2839</v>
      </c>
      <c r="BC457">
        <v>6</v>
      </c>
      <c r="BD457" t="s">
        <v>2919</v>
      </c>
      <c r="BE457">
        <v>1</v>
      </c>
      <c r="BF457" s="232" t="s">
        <v>2846</v>
      </c>
      <c r="BG457" s="232" t="s">
        <v>2845</v>
      </c>
      <c r="BH457" s="253">
        <v>26.4</v>
      </c>
      <c r="BI457" s="253">
        <v>7.2122721066580997</v>
      </c>
      <c r="BJ457" s="25">
        <v>13.351223035439139</v>
      </c>
      <c r="BK457" t="s">
        <v>377</v>
      </c>
      <c r="BL457">
        <v>0</v>
      </c>
      <c r="BM457" t="s">
        <v>377</v>
      </c>
      <c r="BN457" s="322">
        <v>31794.679701000001</v>
      </c>
      <c r="BO457" s="322">
        <v>10690.855450999999</v>
      </c>
      <c r="BP457" s="10">
        <v>15257</v>
      </c>
      <c r="BQ457" s="254">
        <f t="shared" si="203"/>
        <v>2.0839404667365802</v>
      </c>
      <c r="BR457" s="254">
        <f t="shared" si="204"/>
        <v>0.70071806062790842</v>
      </c>
      <c r="BS457" s="25">
        <v>69.638385173818747</v>
      </c>
      <c r="BT457" s="25">
        <v>83.990921633130156</v>
      </c>
      <c r="BU457" s="25">
        <v>36.434746684801063</v>
      </c>
      <c r="BV457" s="25">
        <v>94.826063056932028</v>
      </c>
      <c r="BW457" s="25">
        <v>57.63443086700714</v>
      </c>
      <c r="BX457" s="25">
        <v>71.222529137170497</v>
      </c>
      <c r="BY457" s="25">
        <v>57.379133371189837</v>
      </c>
      <c r="BZ457">
        <v>20</v>
      </c>
      <c r="CA457">
        <v>0</v>
      </c>
      <c r="CB457">
        <v>6</v>
      </c>
      <c r="CC457">
        <v>25129.897667000001</v>
      </c>
      <c r="CD457" s="10">
        <v>261.51434</v>
      </c>
      <c r="CE457" s="255">
        <v>1.0406502384743674E-2</v>
      </c>
      <c r="CF457" t="str">
        <f>IFERROR(VLOOKUP(CE457,'Rangos amb etnico'!$A$2:$C$6,3,9),"N.D.")</f>
        <v>0,1% - 30%</v>
      </c>
      <c r="CG457" s="256">
        <v>7.608437972113909E-6</v>
      </c>
      <c r="CH457" s="232">
        <v>0</v>
      </c>
      <c r="CI457" s="311">
        <f t="shared" si="211"/>
        <v>0</v>
      </c>
      <c r="CJ457" s="232">
        <f>IFERROR(VLOOKUP(CI457,'Rangos amb etnico'!$A$2:$C$6,3,9),"N.D.")</f>
        <v>0</v>
      </c>
      <c r="CK457" s="311">
        <f t="shared" si="212"/>
        <v>0</v>
      </c>
      <c r="CL457" s="10">
        <v>0</v>
      </c>
      <c r="CM457" s="255">
        <f t="shared" si="213"/>
        <v>0</v>
      </c>
      <c r="CN457" s="232">
        <f>IFERROR(VLOOKUP(CM457,'Rangos amb etnico'!$A$2:$C$6,3,9),"N.D.")</f>
        <v>0</v>
      </c>
      <c r="CO457" s="311">
        <f t="shared" si="214"/>
        <v>0</v>
      </c>
      <c r="CP457">
        <v>0.96509517617102325</v>
      </c>
      <c r="CQ457" t="s">
        <v>2864</v>
      </c>
      <c r="CR457">
        <f t="shared" si="205"/>
        <v>3</v>
      </c>
      <c r="CS457" t="str">
        <f t="shared" si="215"/>
        <v>Candidato</v>
      </c>
      <c r="CT457">
        <v>0</v>
      </c>
      <c r="CU457">
        <v>0</v>
      </c>
      <c r="CV457" s="25">
        <v>54.510753631591797</v>
      </c>
      <c r="CW457" s="25">
        <v>26.967374801635739</v>
      </c>
      <c r="CX457" s="25">
        <v>55.268878936767578</v>
      </c>
      <c r="CY457" s="25">
        <v>74.368156433105469</v>
      </c>
      <c r="CZ457" s="25">
        <v>49.794712066650391</v>
      </c>
      <c r="DA457" s="25">
        <v>64.039787292480469</v>
      </c>
      <c r="DB457" s="25">
        <v>56.625617980957031</v>
      </c>
      <c r="DC457">
        <v>137</v>
      </c>
      <c r="DD457" s="253" t="s">
        <v>380</v>
      </c>
    </row>
    <row r="458" spans="1:108" hidden="1">
      <c r="A458" s="13">
        <v>25596</v>
      </c>
      <c r="B458" s="13" t="s">
        <v>1370</v>
      </c>
      <c r="C458" s="13" t="s">
        <v>461</v>
      </c>
      <c r="D458" s="13" t="s">
        <v>462</v>
      </c>
      <c r="E458" s="13" t="s">
        <v>1371</v>
      </c>
      <c r="F458" s="14">
        <v>62.3922666666667</v>
      </c>
      <c r="G458" s="13">
        <v>61.53</v>
      </c>
      <c r="H458" s="13">
        <v>42.16</v>
      </c>
      <c r="I458" s="13">
        <v>53.81</v>
      </c>
      <c r="J458" s="14">
        <v>46.724228319166748</v>
      </c>
      <c r="K458" s="14">
        <v>49.887100915554512</v>
      </c>
      <c r="L458" s="14">
        <v>66.710993133115693</v>
      </c>
      <c r="M458" s="14">
        <v>45.320700000000002</v>
      </c>
      <c r="N458" s="14">
        <f t="shared" si="189"/>
        <v>54.973066666666675</v>
      </c>
      <c r="O458" s="14">
        <f t="shared" si="190"/>
        <v>52.160755591959244</v>
      </c>
      <c r="P458" s="14">
        <f t="shared" si="206"/>
        <v>53.566911129312956</v>
      </c>
      <c r="Q458" s="14">
        <v>54.262663951496926</v>
      </c>
      <c r="R458" s="17">
        <f t="shared" si="191"/>
        <v>45.737336048503074</v>
      </c>
      <c r="S458" s="14">
        <f t="shared" si="207"/>
        <v>0.51163602443652767</v>
      </c>
      <c r="T458" s="13">
        <v>0</v>
      </c>
      <c r="U458" s="13">
        <f t="shared" si="208"/>
        <v>27.406761451546469</v>
      </c>
      <c r="V458" s="13">
        <f>IF($T458=1,$AU458,(VLOOKUP(U458,'Cortes naturales'!$A$35:$C$39,3,9)))</f>
        <v>4</v>
      </c>
      <c r="W458" s="13">
        <v>4</v>
      </c>
      <c r="X458" s="14" t="b">
        <f t="shared" si="192"/>
        <v>1</v>
      </c>
      <c r="Y458" s="17">
        <f>IF($T458=1,$AU458,VLOOKUP(U458,'Cortes naturales'!$A$45:$C$49,3,9))</f>
        <v>4</v>
      </c>
      <c r="Z458" s="14">
        <v>54.637416327513407</v>
      </c>
      <c r="AA458" s="14">
        <v>0.53564731617782291</v>
      </c>
      <c r="AB458" s="14">
        <v>29.266385418722919</v>
      </c>
      <c r="AC458" s="13">
        <v>3</v>
      </c>
      <c r="AD458" s="13">
        <f t="shared" si="193"/>
        <v>-1</v>
      </c>
      <c r="AE458" s="14">
        <f t="shared" si="194"/>
        <v>-1.0705051982004505</v>
      </c>
      <c r="AF458" s="14">
        <f t="shared" si="195"/>
        <v>-2.4011291741295238E-2</v>
      </c>
      <c r="AG458" s="13">
        <f t="shared" si="196"/>
        <v>-1.8596239671764501</v>
      </c>
      <c r="AH458" s="13">
        <f>IF($T458=1,$AU458,VLOOKUP(U458,'Cortes naturales'!$A$25:$C$29,3,9))</f>
        <v>4</v>
      </c>
      <c r="AI458" s="13" t="b">
        <f t="shared" si="197"/>
        <v>1</v>
      </c>
      <c r="AJ458" s="13" t="str">
        <f t="shared" si="198"/>
        <v>Efecto ponderador</v>
      </c>
      <c r="AK458" s="28">
        <v>0.81759069605862034</v>
      </c>
      <c r="AL458" s="28">
        <v>44.671043246056314</v>
      </c>
      <c r="AM458" s="28">
        <v>0.38816165144822018</v>
      </c>
      <c r="AN458" s="13">
        <v>3</v>
      </c>
      <c r="AO458" s="33">
        <f t="shared" si="199"/>
        <v>-1</v>
      </c>
      <c r="AP458" s="13">
        <f t="shared" si="209"/>
        <v>38.816165144822016</v>
      </c>
      <c r="AQ458" s="13">
        <f>IFERROR(VLOOKUP(U458,'Cortes naturales'!$E$15:$G$19,3,9),U458)</f>
        <v>4</v>
      </c>
      <c r="AR458" s="28">
        <f t="shared" si="200"/>
        <v>-0.30595467162209267</v>
      </c>
      <c r="AS458" s="13" t="b">
        <f t="shared" si="201"/>
        <v>1</v>
      </c>
      <c r="AT458" s="13" t="str">
        <f t="shared" si="210"/>
        <v>Efecto ponderador</v>
      </c>
      <c r="AU458" s="13">
        <v>3</v>
      </c>
      <c r="AV458">
        <f t="shared" si="202"/>
        <v>-1</v>
      </c>
      <c r="AW458" s="13">
        <v>0</v>
      </c>
      <c r="AX458" s="13">
        <v>0</v>
      </c>
      <c r="AY458" s="13">
        <v>0</v>
      </c>
      <c r="AZ458" s="13">
        <v>0</v>
      </c>
      <c r="BA458">
        <v>0</v>
      </c>
      <c r="BB458" t="s">
        <v>2840</v>
      </c>
      <c r="BC458">
        <v>6</v>
      </c>
      <c r="BD458" t="s">
        <v>2919</v>
      </c>
      <c r="BE458">
        <v>0</v>
      </c>
      <c r="BF458" s="232" t="s">
        <v>2846</v>
      </c>
      <c r="BG458" s="232" t="s">
        <v>2846</v>
      </c>
      <c r="BH458" s="253">
        <v>44.1</v>
      </c>
      <c r="BI458" s="253">
        <v>18.592471358428806</v>
      </c>
      <c r="BJ458" s="25">
        <v>9.1484529467680602</v>
      </c>
      <c r="BK458" t="s">
        <v>377</v>
      </c>
      <c r="BL458">
        <v>3.5741288159683018</v>
      </c>
      <c r="BM458" t="s">
        <v>383</v>
      </c>
      <c r="BN458" s="322">
        <v>17566.330825000001</v>
      </c>
      <c r="BO458" s="322">
        <v>1683.6130000000001</v>
      </c>
      <c r="BP458" s="10">
        <v>5777</v>
      </c>
      <c r="BQ458" s="254">
        <f t="shared" si="203"/>
        <v>3.0407358187640647</v>
      </c>
      <c r="BR458" s="254">
        <f t="shared" si="204"/>
        <v>0.29143378916392593</v>
      </c>
      <c r="BS458" s="25">
        <v>56.646745067797703</v>
      </c>
      <c r="BT458" s="25">
        <v>86.545091459234911</v>
      </c>
      <c r="BU458" s="25">
        <v>34.57848258706467</v>
      </c>
      <c r="BV458" s="25">
        <v>91.180901275591211</v>
      </c>
      <c r="BW458" s="25">
        <v>54.806800979531019</v>
      </c>
      <c r="BX458" s="25">
        <v>67.237805097422125</v>
      </c>
      <c r="BY458" s="25">
        <v>55.899621214729962</v>
      </c>
      <c r="BZ458">
        <v>93</v>
      </c>
      <c r="CA458">
        <v>0</v>
      </c>
      <c r="CB458">
        <v>7</v>
      </c>
      <c r="CC458">
        <v>12758.956534000001</v>
      </c>
      <c r="CD458" s="10">
        <v>7115.008178</v>
      </c>
      <c r="CE458" s="255">
        <v>0.55764812420513887</v>
      </c>
      <c r="CF458" t="str">
        <f>IFERROR(VLOOKUP(CE458,'Rangos amb etnico'!$A$2:$C$6,3,9),"N.D.")</f>
        <v>51% - 70%</v>
      </c>
      <c r="CG458" s="256">
        <v>2.0700240909693978E-4</v>
      </c>
      <c r="CH458" s="232">
        <v>0</v>
      </c>
      <c r="CI458" s="311">
        <f t="shared" si="211"/>
        <v>0</v>
      </c>
      <c r="CJ458" s="232">
        <f>IFERROR(VLOOKUP(CI458,'Rangos amb etnico'!$A$2:$C$6,3,9),"N.D.")</f>
        <v>0</v>
      </c>
      <c r="CK458" s="311">
        <f t="shared" si="212"/>
        <v>0</v>
      </c>
      <c r="CL458" s="10">
        <v>0</v>
      </c>
      <c r="CM458" s="255">
        <f t="shared" si="213"/>
        <v>0</v>
      </c>
      <c r="CN458" s="232">
        <f>IFERROR(VLOOKUP(CM458,'Rangos amb etnico'!$A$2:$C$6,3,9),"N.D.")</f>
        <v>0</v>
      </c>
      <c r="CO458" s="311">
        <f t="shared" si="214"/>
        <v>0</v>
      </c>
      <c r="CP458">
        <v>0.86990011660532662</v>
      </c>
      <c r="CQ458" t="s">
        <v>2864</v>
      </c>
      <c r="CR458">
        <f t="shared" si="205"/>
        <v>1</v>
      </c>
      <c r="CS458" t="str">
        <f t="shared" si="215"/>
        <v>No es Candidato</v>
      </c>
      <c r="CT458">
        <v>0</v>
      </c>
      <c r="CU458">
        <v>0</v>
      </c>
      <c r="CV458" s="25">
        <v>44.443904876708977</v>
      </c>
      <c r="CW458" s="25">
        <v>19.237369537353519</v>
      </c>
      <c r="CX458" s="25">
        <v>47.444625854492188</v>
      </c>
      <c r="CY458" s="25">
        <v>63.528789520263672</v>
      </c>
      <c r="CZ458" s="25">
        <v>36.567634582519531</v>
      </c>
      <c r="DA458" s="25">
        <v>55.59735107421875</v>
      </c>
      <c r="DB458" s="25">
        <v>44.287651062011719</v>
      </c>
      <c r="DC458">
        <v>29</v>
      </c>
      <c r="DD458" s="253" t="s">
        <v>380</v>
      </c>
    </row>
    <row r="459" spans="1:108">
      <c r="A459" s="13">
        <v>5059</v>
      </c>
      <c r="B459" s="13" t="s">
        <v>1372</v>
      </c>
      <c r="C459" s="13" t="s">
        <v>435</v>
      </c>
      <c r="D459" s="13" t="s">
        <v>436</v>
      </c>
      <c r="E459" s="13" t="s">
        <v>475</v>
      </c>
      <c r="F459" s="14">
        <v>47.816933333333303</v>
      </c>
      <c r="G459" s="13">
        <v>41.47</v>
      </c>
      <c r="H459" s="13">
        <v>35.729999999999997</v>
      </c>
      <c r="I459" s="13">
        <v>74.239999999999995</v>
      </c>
      <c r="J459" s="14">
        <v>44.362553353737468</v>
      </c>
      <c r="K459" s="14">
        <v>43.457283940185093</v>
      </c>
      <c r="L459" s="14">
        <v>63.257166674181533</v>
      </c>
      <c r="M459" s="14">
        <v>40.610900000000001</v>
      </c>
      <c r="N459" s="14">
        <f t="shared" si="189"/>
        <v>49.81423333333332</v>
      </c>
      <c r="O459" s="14">
        <f t="shared" si="190"/>
        <v>47.92197599202602</v>
      </c>
      <c r="P459" s="14">
        <f t="shared" si="206"/>
        <v>48.86810466267967</v>
      </c>
      <c r="Q459" s="14">
        <v>52.100277353379973</v>
      </c>
      <c r="R459" s="17">
        <f t="shared" si="191"/>
        <v>47.899722646620027</v>
      </c>
      <c r="S459" s="14">
        <f t="shared" si="207"/>
        <v>0.53109750381958032</v>
      </c>
      <c r="T459" s="13">
        <v>0</v>
      </c>
      <c r="U459" s="13">
        <f t="shared" si="208"/>
        <v>25.953728402743167</v>
      </c>
      <c r="V459" s="13">
        <f>IF($T459=1,$AU459,(VLOOKUP(U459,'Cortes naturales'!$A$35:$C$39,3,9)))</f>
        <v>4</v>
      </c>
      <c r="W459" s="13">
        <v>4</v>
      </c>
      <c r="X459" s="14" t="b">
        <f t="shared" si="192"/>
        <v>1</v>
      </c>
      <c r="Y459" s="17">
        <f>IF($T459=1,$AU459,VLOOKUP(U459,'Cortes naturales'!$A$45:$C$49,3,9))</f>
        <v>4</v>
      </c>
      <c r="Z459" s="14">
        <v>46.515713230572857</v>
      </c>
      <c r="AA459" s="14">
        <v>0.53584226894924303</v>
      </c>
      <c r="AB459" s="14">
        <v>24.925085319262482</v>
      </c>
      <c r="AC459" s="13">
        <v>4</v>
      </c>
      <c r="AD459" s="13">
        <f t="shared" si="193"/>
        <v>0</v>
      </c>
      <c r="AE459" s="14">
        <f t="shared" si="194"/>
        <v>2.3523914321068133</v>
      </c>
      <c r="AF459" s="14">
        <f t="shared" si="195"/>
        <v>-4.7447651296627091E-3</v>
      </c>
      <c r="AG459" s="13">
        <f t="shared" si="196"/>
        <v>1.0286430834806843</v>
      </c>
      <c r="AH459" s="13">
        <f>IF($T459=1,$AU459,VLOOKUP(U459,'Cortes naturales'!$A$25:$C$29,3,9))</f>
        <v>4</v>
      </c>
      <c r="AI459" s="13" t="b">
        <f t="shared" si="197"/>
        <v>1</v>
      </c>
      <c r="AJ459" s="13">
        <f t="shared" si="198"/>
        <v>0</v>
      </c>
      <c r="AK459" s="28">
        <v>0.81759069605862034</v>
      </c>
      <c r="AL459" s="28">
        <v>38.030814357847234</v>
      </c>
      <c r="AM459" s="28">
        <v>0.30509938751773547</v>
      </c>
      <c r="AN459" s="13">
        <v>4</v>
      </c>
      <c r="AO459" s="33">
        <f t="shared" si="199"/>
        <v>0</v>
      </c>
      <c r="AP459" s="13">
        <f t="shared" si="209"/>
        <v>30.509938751773547</v>
      </c>
      <c r="AQ459" s="13">
        <f>IFERROR(VLOOKUP(U459,'Cortes naturales'!$E$15:$G$19,3,9),U459)</f>
        <v>4</v>
      </c>
      <c r="AR459" s="28">
        <f t="shared" si="200"/>
        <v>-0.28649319223904002</v>
      </c>
      <c r="AS459" s="13" t="b">
        <f t="shared" si="201"/>
        <v>1</v>
      </c>
      <c r="AT459" s="13">
        <f t="shared" si="210"/>
        <v>0</v>
      </c>
      <c r="AU459" s="13">
        <v>3</v>
      </c>
      <c r="AV459">
        <f t="shared" si="202"/>
        <v>-1</v>
      </c>
      <c r="AW459" s="13">
        <v>0</v>
      </c>
      <c r="AX459" s="13">
        <v>0</v>
      </c>
      <c r="AY459" s="13">
        <v>0</v>
      </c>
      <c r="AZ459" s="13">
        <v>0</v>
      </c>
      <c r="BA459">
        <v>0</v>
      </c>
      <c r="BB459" t="s">
        <v>2840</v>
      </c>
      <c r="BC459">
        <v>6</v>
      </c>
      <c r="BD459" t="s">
        <v>2919</v>
      </c>
      <c r="BE459">
        <v>1</v>
      </c>
      <c r="BF459" s="232" t="s">
        <v>2846</v>
      </c>
      <c r="BG459" s="232" t="s">
        <v>2845</v>
      </c>
      <c r="BH459" s="253">
        <v>37.700000000000003</v>
      </c>
      <c r="BI459" s="253">
        <v>8.3573487031700289</v>
      </c>
      <c r="BJ459" s="25">
        <v>0.56911764705882362</v>
      </c>
      <c r="BK459" t="s">
        <v>381</v>
      </c>
      <c r="BL459">
        <v>3.1765586826504397</v>
      </c>
      <c r="BM459" t="s">
        <v>383</v>
      </c>
      <c r="BN459" s="322">
        <v>11091.518391</v>
      </c>
      <c r="BO459" s="322">
        <v>1281.2440360000001</v>
      </c>
      <c r="BP459" s="10">
        <v>5308</v>
      </c>
      <c r="BQ459" s="254">
        <f t="shared" si="203"/>
        <v>2.0895852281461944</v>
      </c>
      <c r="BR459" s="254">
        <f t="shared" si="204"/>
        <v>0.24137981085154483</v>
      </c>
      <c r="BS459" s="25">
        <v>41.884186605960799</v>
      </c>
      <c r="BT459" s="25">
        <v>81.756796850037674</v>
      </c>
      <c r="BU459" s="25">
        <v>60.047980304719431</v>
      </c>
      <c r="BV459" s="25">
        <v>94.472429237727724</v>
      </c>
      <c r="BW459" s="25">
        <v>47.519248411312468</v>
      </c>
      <c r="BX459" s="25">
        <v>69.540348249611412</v>
      </c>
      <c r="BY459" s="25">
        <v>48.272558501733457</v>
      </c>
      <c r="BZ459">
        <v>90</v>
      </c>
      <c r="CA459">
        <v>0</v>
      </c>
      <c r="CB459">
        <v>7</v>
      </c>
      <c r="CC459">
        <v>11042.213792</v>
      </c>
      <c r="CD459" s="10">
        <v>2400.7995540000002</v>
      </c>
      <c r="CE459" s="255">
        <v>0.21742012962467372</v>
      </c>
      <c r="CF459" t="str">
        <f>IFERROR(VLOOKUP(CE459,'Rangos amb etnico'!$A$2:$C$6,3,9),"N.D.")</f>
        <v>0,1% - 30%</v>
      </c>
      <c r="CG459" s="256">
        <v>6.9848309236456171E-5</v>
      </c>
      <c r="CH459" s="232">
        <v>0</v>
      </c>
      <c r="CI459" s="311">
        <f t="shared" si="211"/>
        <v>0</v>
      </c>
      <c r="CJ459" s="232">
        <f>IFERROR(VLOOKUP(CI459,'Rangos amb etnico'!$A$2:$C$6,3,9),"N.D.")</f>
        <v>0</v>
      </c>
      <c r="CK459" s="311">
        <f t="shared" si="212"/>
        <v>0</v>
      </c>
      <c r="CL459" s="10">
        <v>0</v>
      </c>
      <c r="CM459" s="255">
        <f t="shared" si="213"/>
        <v>0</v>
      </c>
      <c r="CN459" s="232">
        <f>IFERROR(VLOOKUP(CM459,'Rangos amb etnico'!$A$2:$C$6,3,9),"N.D.")</f>
        <v>0</v>
      </c>
      <c r="CO459" s="311">
        <f t="shared" si="214"/>
        <v>0</v>
      </c>
      <c r="CP459">
        <v>0.94167715132391316</v>
      </c>
      <c r="CQ459" t="s">
        <v>2864</v>
      </c>
      <c r="CR459">
        <f t="shared" si="205"/>
        <v>2</v>
      </c>
      <c r="CS459" t="str">
        <f t="shared" si="215"/>
        <v>No es Candidato</v>
      </c>
      <c r="CT459">
        <v>0</v>
      </c>
      <c r="CU459">
        <v>0</v>
      </c>
      <c r="CV459" s="25">
        <v>52.817478179931641</v>
      </c>
      <c r="CW459" s="25">
        <v>20.582521438598629</v>
      </c>
      <c r="CX459" s="25">
        <v>54.084453582763672</v>
      </c>
      <c r="CY459" s="25">
        <v>72.020942687988281</v>
      </c>
      <c r="CZ459" s="25">
        <v>47.049724578857422</v>
      </c>
      <c r="DA459" s="25">
        <v>77.958602905273438</v>
      </c>
      <c r="DB459" s="25">
        <v>45.208629608154297</v>
      </c>
      <c r="DC459">
        <v>58</v>
      </c>
      <c r="DD459" s="253">
        <v>0</v>
      </c>
    </row>
    <row r="460" spans="1:108" hidden="1">
      <c r="A460" s="13">
        <v>17513</v>
      </c>
      <c r="B460" s="13" t="s">
        <v>1373</v>
      </c>
      <c r="C460" s="13" t="s">
        <v>506</v>
      </c>
      <c r="D460" s="13" t="s">
        <v>507</v>
      </c>
      <c r="E460" s="13" t="s">
        <v>1374</v>
      </c>
      <c r="F460" s="14">
        <v>68.3018</v>
      </c>
      <c r="G460" s="13">
        <v>46.99</v>
      </c>
      <c r="H460" s="13">
        <v>40.82</v>
      </c>
      <c r="I460" s="13">
        <v>50.11</v>
      </c>
      <c r="J460" s="14">
        <v>64.914711418819735</v>
      </c>
      <c r="K460" s="14">
        <v>50.637256944528787</v>
      </c>
      <c r="L460" s="14">
        <v>58.063847896065809</v>
      </c>
      <c r="M460" s="14">
        <v>61.147399999999998</v>
      </c>
      <c r="N460" s="14">
        <f t="shared" si="189"/>
        <v>51.555449999999993</v>
      </c>
      <c r="O460" s="14">
        <f t="shared" si="190"/>
        <v>58.69080406485358</v>
      </c>
      <c r="P460" s="14">
        <f t="shared" si="206"/>
        <v>55.123127032426787</v>
      </c>
      <c r="Q460" s="14">
        <v>52.424049294530526</v>
      </c>
      <c r="R460" s="17">
        <f t="shared" si="191"/>
        <v>47.575950705469474</v>
      </c>
      <c r="S460" s="14">
        <f t="shared" si="207"/>
        <v>0.52818355634922531</v>
      </c>
      <c r="T460" s="13">
        <v>0</v>
      </c>
      <c r="U460" s="13">
        <f t="shared" si="208"/>
        <v>29.115129273077297</v>
      </c>
      <c r="V460" s="13">
        <f>IF($T460=1,$AU460,(VLOOKUP(U460,'Cortes naturales'!$A$35:$C$39,3,9)))</f>
        <v>4</v>
      </c>
      <c r="W460" s="13">
        <v>4</v>
      </c>
      <c r="X460" s="14" t="b">
        <f t="shared" si="192"/>
        <v>1</v>
      </c>
      <c r="Y460" s="17">
        <f>IF($T460=1,$AU460,VLOOKUP(U460,'Cortes naturales'!$A$45:$C$49,3,9))</f>
        <v>3</v>
      </c>
      <c r="Z460" s="14">
        <v>55.718134879816795</v>
      </c>
      <c r="AA460" s="14">
        <v>0.53646076460732106</v>
      </c>
      <c r="AB460" s="14">
        <v>29.890593240120364</v>
      </c>
      <c r="AC460" s="13">
        <v>3</v>
      </c>
      <c r="AD460" s="13">
        <f t="shared" si="193"/>
        <v>0</v>
      </c>
      <c r="AE460" s="14">
        <f t="shared" si="194"/>
        <v>-0.59500784739000778</v>
      </c>
      <c r="AF460" s="14">
        <f t="shared" si="195"/>
        <v>-8.2772082580957473E-3</v>
      </c>
      <c r="AG460" s="13">
        <f t="shared" si="196"/>
        <v>-0.7754639670430663</v>
      </c>
      <c r="AH460" s="13">
        <f>IF($T460=1,$AU460,VLOOKUP(U460,'Cortes naturales'!$A$25:$C$29,3,9))</f>
        <v>3</v>
      </c>
      <c r="AI460" s="13" t="b">
        <f t="shared" si="197"/>
        <v>1</v>
      </c>
      <c r="AJ460" s="13">
        <f t="shared" si="198"/>
        <v>0</v>
      </c>
      <c r="AK460" s="28">
        <v>0.81759069605862034</v>
      </c>
      <c r="AL460" s="28">
        <v>45.554628679477503</v>
      </c>
      <c r="AM460" s="28">
        <v>0.3992143738334808</v>
      </c>
      <c r="AN460" s="13">
        <v>3</v>
      </c>
      <c r="AO460" s="33">
        <f t="shared" si="199"/>
        <v>0</v>
      </c>
      <c r="AP460" s="13">
        <f t="shared" si="209"/>
        <v>39.921437383348078</v>
      </c>
      <c r="AQ460" s="13">
        <f>IFERROR(VLOOKUP(U460,'Cortes naturales'!$E$15:$G$19,3,9),U460)</f>
        <v>4</v>
      </c>
      <c r="AR460" s="28">
        <f t="shared" si="200"/>
        <v>-0.28940713970939502</v>
      </c>
      <c r="AS460" s="13" t="b">
        <f t="shared" si="201"/>
        <v>0</v>
      </c>
      <c r="AT460" s="13">
        <f t="shared" si="210"/>
        <v>0</v>
      </c>
      <c r="AU460" s="13">
        <v>3</v>
      </c>
      <c r="AV460">
        <f t="shared" si="202"/>
        <v>0</v>
      </c>
      <c r="AW460" s="13">
        <v>0</v>
      </c>
      <c r="AX460" s="13">
        <v>0</v>
      </c>
      <c r="AY460" s="13">
        <v>0</v>
      </c>
      <c r="AZ460" s="13">
        <v>0</v>
      </c>
      <c r="BA460">
        <v>0</v>
      </c>
      <c r="BB460" t="s">
        <v>2839</v>
      </c>
      <c r="BC460">
        <v>6</v>
      </c>
      <c r="BD460" t="s">
        <v>2919</v>
      </c>
      <c r="BE460">
        <v>0</v>
      </c>
      <c r="BF460" s="232" t="s">
        <v>2846</v>
      </c>
      <c r="BG460" s="232" t="s">
        <v>2845</v>
      </c>
      <c r="BH460" s="253">
        <v>33.299999999999997</v>
      </c>
      <c r="BI460" s="253">
        <v>13.255315894141043</v>
      </c>
      <c r="BJ460" s="25">
        <v>33.231387538787914</v>
      </c>
      <c r="BK460" t="s">
        <v>379</v>
      </c>
      <c r="BL460">
        <v>3.8815391539408393</v>
      </c>
      <c r="BM460" t="s">
        <v>383</v>
      </c>
      <c r="BN460" s="322">
        <v>37013.698530000001</v>
      </c>
      <c r="BO460" s="322">
        <v>4203.3668159999997</v>
      </c>
      <c r="BP460" s="10">
        <v>15748</v>
      </c>
      <c r="BQ460" s="254">
        <f t="shared" si="203"/>
        <v>2.3503745574041148</v>
      </c>
      <c r="BR460" s="254">
        <f t="shared" si="204"/>
        <v>0.26691432664465325</v>
      </c>
      <c r="BS460" s="25">
        <v>61.107516139267958</v>
      </c>
      <c r="BT460" s="25">
        <v>87.472406254339163</v>
      </c>
      <c r="BU460" s="25">
        <v>54.126945126945103</v>
      </c>
      <c r="BV460" s="25">
        <v>97.284990206879229</v>
      </c>
      <c r="BW460" s="25">
        <v>59.890848783632308</v>
      </c>
      <c r="BX460" s="25">
        <v>74.997964431857866</v>
      </c>
      <c r="BY460" s="25">
        <v>60.813383173294369</v>
      </c>
      <c r="BZ460">
        <v>19</v>
      </c>
      <c r="CA460">
        <v>0</v>
      </c>
      <c r="CB460">
        <v>7</v>
      </c>
      <c r="CC460">
        <v>25719.256617999999</v>
      </c>
      <c r="CD460" s="10">
        <v>782.92847900000004</v>
      </c>
      <c r="CE460" s="255">
        <v>3.0441333924560481E-2</v>
      </c>
      <c r="CF460" t="str">
        <f>IFERROR(VLOOKUP(CE460,'Rangos amb etnico'!$A$2:$C$6,3,9),"N.D.")</f>
        <v>0,1% - 30%</v>
      </c>
      <c r="CG460" s="256">
        <v>2.2778340832372661E-5</v>
      </c>
      <c r="CH460" s="232">
        <v>0</v>
      </c>
      <c r="CI460" s="311">
        <f t="shared" si="211"/>
        <v>0</v>
      </c>
      <c r="CJ460" s="232">
        <f>IFERROR(VLOOKUP(CI460,'Rangos amb etnico'!$A$2:$C$6,3,9),"N.D.")</f>
        <v>0</v>
      </c>
      <c r="CK460" s="311">
        <f t="shared" si="212"/>
        <v>0</v>
      </c>
      <c r="CL460" s="10">
        <v>0</v>
      </c>
      <c r="CM460" s="255">
        <f t="shared" si="213"/>
        <v>0</v>
      </c>
      <c r="CN460" s="232">
        <f>IFERROR(VLOOKUP(CM460,'Rangos amb etnico'!$A$2:$C$6,3,9),"N.D.")</f>
        <v>0</v>
      </c>
      <c r="CO460" s="311">
        <f t="shared" si="214"/>
        <v>0</v>
      </c>
      <c r="CP460">
        <v>0.77822268652970727</v>
      </c>
      <c r="CQ460" t="s">
        <v>2865</v>
      </c>
      <c r="CR460">
        <f t="shared" si="205"/>
        <v>3</v>
      </c>
      <c r="CS460" t="str">
        <f t="shared" si="215"/>
        <v>Candidato</v>
      </c>
      <c r="CT460">
        <v>0</v>
      </c>
      <c r="CU460">
        <v>0</v>
      </c>
      <c r="CV460" s="25">
        <v>48.799541473388672</v>
      </c>
      <c r="CW460" s="25">
        <v>21.84003829956055</v>
      </c>
      <c r="CX460" s="25">
        <v>48.59783935546875</v>
      </c>
      <c r="CY460" s="25">
        <v>55.441181182861328</v>
      </c>
      <c r="CZ460" s="25">
        <v>36.797145843505859</v>
      </c>
      <c r="DA460" s="25">
        <v>83.347625732421875</v>
      </c>
      <c r="DB460" s="25">
        <v>46.773414611816413</v>
      </c>
      <c r="DC460">
        <v>238</v>
      </c>
      <c r="DD460" s="253" t="s">
        <v>380</v>
      </c>
    </row>
    <row r="461" spans="1:108">
      <c r="A461" s="13">
        <v>5686</v>
      </c>
      <c r="B461" s="13" t="s">
        <v>1375</v>
      </c>
      <c r="C461" s="13" t="s">
        <v>435</v>
      </c>
      <c r="D461" s="13" t="s">
        <v>436</v>
      </c>
      <c r="E461" s="13" t="s">
        <v>1376</v>
      </c>
      <c r="F461" s="14">
        <v>76.787733333333307</v>
      </c>
      <c r="G461" s="13">
        <v>74.33</v>
      </c>
      <c r="H461" s="13">
        <v>76.599999999999994</v>
      </c>
      <c r="I461" s="13">
        <v>75.709999999999994</v>
      </c>
      <c r="J461" s="14">
        <v>63.738157247482626</v>
      </c>
      <c r="K461" s="14">
        <v>55.326292774121114</v>
      </c>
      <c r="L461" s="14">
        <v>61.436297501068267</v>
      </c>
      <c r="M461" s="14">
        <v>62.994599999999998</v>
      </c>
      <c r="N461" s="14">
        <f t="shared" si="189"/>
        <v>75.85693333333333</v>
      </c>
      <c r="O461" s="14">
        <f t="shared" si="190"/>
        <v>60.873836880667994</v>
      </c>
      <c r="P461" s="14">
        <f t="shared" si="206"/>
        <v>68.365385107000662</v>
      </c>
      <c r="Q461" s="14">
        <v>51.54347312282934</v>
      </c>
      <c r="R461" s="17">
        <f t="shared" si="191"/>
        <v>48.45652687717066</v>
      </c>
      <c r="S461" s="14">
        <f t="shared" si="207"/>
        <v>0.53610874189453595</v>
      </c>
      <c r="T461" s="13">
        <v>0</v>
      </c>
      <c r="U461" s="13">
        <f t="shared" si="208"/>
        <v>36.651280598849567</v>
      </c>
      <c r="V461" s="13">
        <f>IF($T461=1,$AU461,(VLOOKUP(U461,'Cortes naturales'!$A$35:$C$39,3,9)))</f>
        <v>3</v>
      </c>
      <c r="W461" s="13">
        <v>3</v>
      </c>
      <c r="X461" s="14" t="b">
        <f t="shared" si="192"/>
        <v>1</v>
      </c>
      <c r="Y461" s="17">
        <f>IF($T461=1,$AU461,VLOOKUP(U461,'Cortes naturales'!$A$45:$C$49,3,9))</f>
        <v>2</v>
      </c>
      <c r="Z461" s="14">
        <v>66.379827681128376</v>
      </c>
      <c r="AA461" s="14">
        <v>0.5392073407299115</v>
      </c>
      <c r="AB461" s="14">
        <v>35.792490362050998</v>
      </c>
      <c r="AC461" s="13">
        <v>2</v>
      </c>
      <c r="AD461" s="13">
        <f t="shared" si="193"/>
        <v>0</v>
      </c>
      <c r="AE461" s="14">
        <f t="shared" si="194"/>
        <v>1.9855574258722868</v>
      </c>
      <c r="AF461" s="14">
        <f t="shared" si="195"/>
        <v>-3.0985988353755545E-3</v>
      </c>
      <c r="AG461" s="13">
        <f t="shared" si="196"/>
        <v>0.85879023679856914</v>
      </c>
      <c r="AH461" s="13">
        <f>IF($T461=1,$AU461,VLOOKUP(U461,'Cortes naturales'!$A$25:$C$29,3,9))</f>
        <v>2</v>
      </c>
      <c r="AI461" s="13" t="b">
        <f t="shared" si="197"/>
        <v>1</v>
      </c>
      <c r="AJ461" s="13">
        <f t="shared" si="198"/>
        <v>0</v>
      </c>
      <c r="AK461" s="28">
        <v>0.81759069605862034</v>
      </c>
      <c r="AL461" s="28">
        <v>54.271529518065023</v>
      </c>
      <c r="AM461" s="28">
        <v>0.50825361484462928</v>
      </c>
      <c r="AN461" s="13">
        <v>2</v>
      </c>
      <c r="AO461" s="33">
        <f t="shared" si="199"/>
        <v>0</v>
      </c>
      <c r="AP461" s="13">
        <f t="shared" si="209"/>
        <v>50.825361484462931</v>
      </c>
      <c r="AQ461" s="13">
        <f>IFERROR(VLOOKUP(U461,'Cortes naturales'!$E$15:$G$19,3,9),U461)</f>
        <v>3</v>
      </c>
      <c r="AR461" s="28">
        <f t="shared" si="200"/>
        <v>-0.28148195416408439</v>
      </c>
      <c r="AS461" s="13" t="b">
        <f t="shared" si="201"/>
        <v>0</v>
      </c>
      <c r="AT461" s="13">
        <f t="shared" si="210"/>
        <v>0</v>
      </c>
      <c r="AU461" s="13">
        <v>2</v>
      </c>
      <c r="AV461">
        <f t="shared" si="202"/>
        <v>0</v>
      </c>
      <c r="AW461" s="13">
        <v>0</v>
      </c>
      <c r="AX461" s="13">
        <v>0</v>
      </c>
      <c r="AY461" s="13">
        <v>0</v>
      </c>
      <c r="AZ461" s="13">
        <v>0</v>
      </c>
      <c r="BA461">
        <v>0</v>
      </c>
      <c r="BB461" t="s">
        <v>2840</v>
      </c>
      <c r="BC461">
        <v>5</v>
      </c>
      <c r="BD461" t="s">
        <v>2919</v>
      </c>
      <c r="BE461">
        <v>0</v>
      </c>
      <c r="BF461" s="232" t="s">
        <v>2846</v>
      </c>
      <c r="BG461" s="232" t="s">
        <v>2845</v>
      </c>
      <c r="BH461" s="253">
        <v>30.9</v>
      </c>
      <c r="BI461" s="253">
        <v>9.2257001647446462</v>
      </c>
      <c r="BJ461" s="25">
        <v>8.0255674254746694</v>
      </c>
      <c r="BK461" t="s">
        <v>377</v>
      </c>
      <c r="BL461">
        <v>3.5612223166795012</v>
      </c>
      <c r="BM461" t="s">
        <v>383</v>
      </c>
      <c r="BN461" s="322">
        <v>75641.280064000006</v>
      </c>
      <c r="BO461" s="322">
        <v>21754.073903</v>
      </c>
      <c r="BP461" s="10">
        <v>39788</v>
      </c>
      <c r="BQ461" s="254">
        <f t="shared" si="203"/>
        <v>1.901107873328642</v>
      </c>
      <c r="BR461" s="254">
        <f t="shared" si="204"/>
        <v>0.54674962056398912</v>
      </c>
      <c r="BS461" s="25">
        <v>68.301825509330783</v>
      </c>
      <c r="BT461" s="25">
        <v>92.674749529841506</v>
      </c>
      <c r="BU461" s="25">
        <v>48.344999999999999</v>
      </c>
      <c r="BV461" s="25">
        <v>86.821401204043568</v>
      </c>
      <c r="BW461" s="25">
        <v>56.80810884656843</v>
      </c>
      <c r="BX461" s="25">
        <v>74.035744060803964</v>
      </c>
      <c r="BY461" s="25">
        <v>57.33165673851299</v>
      </c>
      <c r="BZ461">
        <v>61</v>
      </c>
      <c r="CA461">
        <v>1</v>
      </c>
      <c r="CB461">
        <v>5</v>
      </c>
      <c r="CC461">
        <v>86449.904907999997</v>
      </c>
      <c r="CD461" s="10">
        <v>2282.7687799999999</v>
      </c>
      <c r="CE461" s="255">
        <v>2.6405682949325656E-2</v>
      </c>
      <c r="CF461" t="str">
        <f>IFERROR(VLOOKUP(CE461,'Rangos amb etnico'!$A$2:$C$6,3,9),"N.D.")</f>
        <v>0,1% - 30%</v>
      </c>
      <c r="CG461" s="256">
        <v>6.641434908429167E-5</v>
      </c>
      <c r="CH461" s="232">
        <v>0</v>
      </c>
      <c r="CI461" s="311">
        <f t="shared" si="211"/>
        <v>0</v>
      </c>
      <c r="CJ461" s="232">
        <f>IFERROR(VLOOKUP(CI461,'Rangos amb etnico'!$A$2:$C$6,3,9),"N.D.")</f>
        <v>0</v>
      </c>
      <c r="CK461" s="311">
        <f t="shared" si="212"/>
        <v>0</v>
      </c>
      <c r="CL461" s="10">
        <v>0</v>
      </c>
      <c r="CM461" s="255">
        <f t="shared" si="213"/>
        <v>0</v>
      </c>
      <c r="CN461" s="232">
        <f>IFERROR(VLOOKUP(CM461,'Rangos amb etnico'!$A$2:$C$6,3,9),"N.D.")</f>
        <v>0</v>
      </c>
      <c r="CO461" s="311">
        <f t="shared" si="214"/>
        <v>0</v>
      </c>
      <c r="CP461">
        <v>0.93771712213211345</v>
      </c>
      <c r="CQ461" t="s">
        <v>2864</v>
      </c>
      <c r="CR461">
        <f t="shared" si="205"/>
        <v>3</v>
      </c>
      <c r="CS461" t="str">
        <f t="shared" si="215"/>
        <v>Candidato</v>
      </c>
      <c r="CT461">
        <v>0</v>
      </c>
      <c r="CU461">
        <v>0</v>
      </c>
      <c r="CV461" s="25">
        <v>50.737255096435547</v>
      </c>
      <c r="CW461" s="25">
        <v>37.075286865234382</v>
      </c>
      <c r="CX461" s="25">
        <v>52.613674163818359</v>
      </c>
      <c r="CY461" s="25">
        <v>68.138755798339844</v>
      </c>
      <c r="CZ461" s="25">
        <v>66.286689758300781</v>
      </c>
      <c r="DA461" s="25">
        <v>31.006223678588871</v>
      </c>
      <c r="DB461" s="25">
        <v>49.302913665771477</v>
      </c>
      <c r="DC461">
        <v>484</v>
      </c>
      <c r="DD461" s="253" t="s">
        <v>380</v>
      </c>
    </row>
    <row r="462" spans="1:108" hidden="1">
      <c r="A462" s="13">
        <v>54347</v>
      </c>
      <c r="B462" s="13" t="s">
        <v>1377</v>
      </c>
      <c r="C462" s="13" t="s">
        <v>517</v>
      </c>
      <c r="D462" s="13" t="s">
        <v>518</v>
      </c>
      <c r="E462" s="13" t="s">
        <v>1378</v>
      </c>
      <c r="F462" s="14">
        <v>47.730800000000002</v>
      </c>
      <c r="G462" s="13">
        <v>64.09</v>
      </c>
      <c r="H462" s="13">
        <v>59.6</v>
      </c>
      <c r="I462" s="13">
        <v>63.93</v>
      </c>
      <c r="J462" s="14">
        <v>52.384556069423589</v>
      </c>
      <c r="K462" s="14">
        <v>64.349713151900218</v>
      </c>
      <c r="L462" s="14">
        <v>58.356866378205886</v>
      </c>
      <c r="M462" s="14">
        <v>55.915500000000002</v>
      </c>
      <c r="N462" s="14">
        <f t="shared" si="189"/>
        <v>58.837700000000005</v>
      </c>
      <c r="O462" s="14">
        <f t="shared" si="190"/>
        <v>57.751658899882429</v>
      </c>
      <c r="P462" s="14">
        <f t="shared" si="206"/>
        <v>58.294679449941214</v>
      </c>
      <c r="Q462" s="14">
        <v>51.97406603805014</v>
      </c>
      <c r="R462" s="17">
        <f t="shared" si="191"/>
        <v>48.02593396194986</v>
      </c>
      <c r="S462" s="14">
        <f t="shared" si="207"/>
        <v>0.53223340565754873</v>
      </c>
      <c r="T462" s="13">
        <v>0</v>
      </c>
      <c r="U462" s="13">
        <f t="shared" si="208"/>
        <v>31.02637577535733</v>
      </c>
      <c r="V462" s="13">
        <f>IF($T462=1,$AU462,(VLOOKUP(U462,'Cortes naturales'!$A$35:$C$39,3,9)))</f>
        <v>3</v>
      </c>
      <c r="W462" s="13">
        <v>3</v>
      </c>
      <c r="X462" s="14" t="b">
        <f t="shared" si="192"/>
        <v>1</v>
      </c>
      <c r="Y462" s="17">
        <f>IF($T462=1,$AU462,VLOOKUP(U462,'Cortes naturales'!$A$45:$C$49,3,9))</f>
        <v>3</v>
      </c>
      <c r="Z462" s="14">
        <v>55.439609463295611</v>
      </c>
      <c r="AA462" s="14">
        <v>0.53608491877168385</v>
      </c>
      <c r="AB462" s="14">
        <v>29.720338535864702</v>
      </c>
      <c r="AC462" s="13">
        <v>3</v>
      </c>
      <c r="AD462" s="13">
        <f t="shared" si="193"/>
        <v>0</v>
      </c>
      <c r="AE462" s="14">
        <f t="shared" si="194"/>
        <v>2.8550699866456029</v>
      </c>
      <c r="AF462" s="14">
        <f t="shared" si="195"/>
        <v>-3.8515131141351189E-3</v>
      </c>
      <c r="AG462" s="13">
        <f t="shared" si="196"/>
        <v>1.3060372394926283</v>
      </c>
      <c r="AH462" s="13">
        <f>IF($T462=1,$AU462,VLOOKUP(U462,'Cortes naturales'!$A$25:$C$29,3,9))</f>
        <v>3</v>
      </c>
      <c r="AI462" s="13" t="b">
        <f t="shared" si="197"/>
        <v>1</v>
      </c>
      <c r="AJ462" s="13">
        <f t="shared" si="198"/>
        <v>0</v>
      </c>
      <c r="AK462" s="28">
        <v>0.81759069605862034</v>
      </c>
      <c r="AL462" s="28">
        <v>45.326908890313931</v>
      </c>
      <c r="AM462" s="28">
        <v>0.39636583931032815</v>
      </c>
      <c r="AN462" s="13">
        <v>3</v>
      </c>
      <c r="AO462" s="33">
        <f t="shared" si="199"/>
        <v>0</v>
      </c>
      <c r="AP462" s="13">
        <f t="shared" si="209"/>
        <v>39.636583931032817</v>
      </c>
      <c r="AQ462" s="13">
        <f>IFERROR(VLOOKUP(U462,'Cortes naturales'!$E$15:$G$19,3,9),U462)</f>
        <v>4</v>
      </c>
      <c r="AR462" s="28">
        <f t="shared" si="200"/>
        <v>-0.28535729040107161</v>
      </c>
      <c r="AS462" s="13" t="b">
        <f t="shared" si="201"/>
        <v>0</v>
      </c>
      <c r="AT462" s="13">
        <f t="shared" si="210"/>
        <v>0</v>
      </c>
      <c r="AU462" s="13">
        <v>4</v>
      </c>
      <c r="AV462">
        <f t="shared" si="202"/>
        <v>1</v>
      </c>
      <c r="AW462" s="13">
        <v>0</v>
      </c>
      <c r="AX462" s="13">
        <v>0</v>
      </c>
      <c r="AY462" s="13">
        <v>0</v>
      </c>
      <c r="AZ462" s="13">
        <v>0</v>
      </c>
      <c r="BA462">
        <v>0</v>
      </c>
      <c r="BB462" t="s">
        <v>2840</v>
      </c>
      <c r="BC462">
        <v>6</v>
      </c>
      <c r="BD462" t="s">
        <v>2919</v>
      </c>
      <c r="BE462">
        <v>0</v>
      </c>
      <c r="BF462" s="232" t="s">
        <v>2846</v>
      </c>
      <c r="BG462" s="232" t="s">
        <v>2845</v>
      </c>
      <c r="BH462" s="253">
        <v>52.4</v>
      </c>
      <c r="BI462" s="253">
        <v>29.430582213691618</v>
      </c>
      <c r="BJ462" s="25">
        <v>3.508</v>
      </c>
      <c r="BK462" t="s">
        <v>381</v>
      </c>
      <c r="BL462">
        <v>6.568043861660704</v>
      </c>
      <c r="BM462" t="s">
        <v>379</v>
      </c>
      <c r="BN462" s="322">
        <v>17479.938858000001</v>
      </c>
      <c r="BO462" s="322">
        <v>655.70565099999999</v>
      </c>
      <c r="BP462" s="10">
        <v>8388</v>
      </c>
      <c r="BQ462" s="254">
        <f t="shared" si="203"/>
        <v>2.0839221337625182</v>
      </c>
      <c r="BR462" s="254">
        <f t="shared" si="204"/>
        <v>7.8171870648545541E-2</v>
      </c>
      <c r="BS462" s="25">
        <v>41.266310856465729</v>
      </c>
      <c r="BT462" s="25">
        <v>79.639326021300278</v>
      </c>
      <c r="BU462" s="25">
        <v>20.41833079654997</v>
      </c>
      <c r="BV462" s="25">
        <v>99.878567285382658</v>
      </c>
      <c r="BW462" s="25">
        <v>43.433302949734383</v>
      </c>
      <c r="BX462" s="25">
        <v>60.300633739924649</v>
      </c>
      <c r="BY462" s="25">
        <v>43.760907909403812</v>
      </c>
      <c r="BZ462">
        <v>24</v>
      </c>
      <c r="CA462">
        <v>0</v>
      </c>
      <c r="CB462">
        <v>7</v>
      </c>
      <c r="CC462">
        <v>10751.768631000001</v>
      </c>
      <c r="CD462" s="10">
        <v>5090.4417949999997</v>
      </c>
      <c r="CE462" s="255">
        <v>0.47345157524344417</v>
      </c>
      <c r="CF462" t="str">
        <f>IFERROR(VLOOKUP(CE462,'Rangos amb etnico'!$A$2:$C$6,3,9),"N.D.")</f>
        <v>31% - 50%</v>
      </c>
      <c r="CG462" s="256">
        <v>1.4810014107797563E-4</v>
      </c>
      <c r="CH462" s="232">
        <v>0</v>
      </c>
      <c r="CI462" s="311">
        <f t="shared" si="211"/>
        <v>0</v>
      </c>
      <c r="CJ462" s="232">
        <f>IFERROR(VLOOKUP(CI462,'Rangos amb etnico'!$A$2:$C$6,3,9),"N.D.")</f>
        <v>0</v>
      </c>
      <c r="CK462" s="311">
        <f t="shared" si="212"/>
        <v>0</v>
      </c>
      <c r="CL462" s="10">
        <v>0</v>
      </c>
      <c r="CM462" s="255">
        <f t="shared" si="213"/>
        <v>0</v>
      </c>
      <c r="CN462" s="232">
        <f>IFERROR(VLOOKUP(CM462,'Rangos amb etnico'!$A$2:$C$6,3,9),"N.D.")</f>
        <v>0</v>
      </c>
      <c r="CO462" s="311">
        <f t="shared" si="214"/>
        <v>0</v>
      </c>
      <c r="CP462">
        <v>0.91384607467879597</v>
      </c>
      <c r="CQ462" t="s">
        <v>2864</v>
      </c>
      <c r="CR462">
        <f t="shared" si="205"/>
        <v>2</v>
      </c>
      <c r="CS462" t="str">
        <f t="shared" si="215"/>
        <v>No es Candidato</v>
      </c>
      <c r="CT462">
        <v>1</v>
      </c>
      <c r="CU462" t="s">
        <v>2836</v>
      </c>
      <c r="CV462" s="25">
        <v>54.981082916259773</v>
      </c>
      <c r="CW462" s="25">
        <v>20.89146614074707</v>
      </c>
      <c r="CX462" s="25">
        <v>42.68768310546875</v>
      </c>
      <c r="CY462" s="25">
        <v>69.728248596191406</v>
      </c>
      <c r="CZ462" s="25">
        <v>32.784736633300781</v>
      </c>
      <c r="DA462" s="25">
        <v>97.31646728515625</v>
      </c>
      <c r="DB462" s="25">
        <v>66.477897644042969</v>
      </c>
      <c r="DC462">
        <v>164</v>
      </c>
      <c r="DD462" s="253" t="s">
        <v>380</v>
      </c>
    </row>
    <row r="463" spans="1:108" hidden="1">
      <c r="A463" s="13">
        <v>23419</v>
      </c>
      <c r="B463" s="13" t="s">
        <v>1379</v>
      </c>
      <c r="C463" s="13" t="s">
        <v>567</v>
      </c>
      <c r="D463" s="13" t="s">
        <v>568</v>
      </c>
      <c r="E463" s="13" t="s">
        <v>1380</v>
      </c>
      <c r="F463" s="14">
        <v>82.458933333333306</v>
      </c>
      <c r="G463" s="13">
        <v>71.84</v>
      </c>
      <c r="H463" s="13">
        <v>70.69</v>
      </c>
      <c r="I463" s="13">
        <v>77.09</v>
      </c>
      <c r="J463" s="14">
        <v>57.345128102252332</v>
      </c>
      <c r="K463" s="14">
        <v>62.810645507252367</v>
      </c>
      <c r="L463" s="14">
        <v>64.179696659508352</v>
      </c>
      <c r="M463" s="14">
        <v>73.740200000000002</v>
      </c>
      <c r="N463" s="14">
        <f t="shared" si="189"/>
        <v>75.519733333333335</v>
      </c>
      <c r="O463" s="14">
        <f t="shared" si="190"/>
        <v>64.518917567253268</v>
      </c>
      <c r="P463" s="14">
        <f t="shared" si="206"/>
        <v>70.019325450293309</v>
      </c>
      <c r="Q463" s="14">
        <v>53.611179607829243</v>
      </c>
      <c r="R463" s="17">
        <f t="shared" si="191"/>
        <v>46.388820392170757</v>
      </c>
      <c r="S463" s="14">
        <f t="shared" si="207"/>
        <v>0.51749938352953684</v>
      </c>
      <c r="T463" s="13">
        <v>0</v>
      </c>
      <c r="U463" s="13">
        <f t="shared" si="208"/>
        <v>36.234957755680796</v>
      </c>
      <c r="V463" s="13">
        <f>IF($T463=1,$AU463,(VLOOKUP(U463,'Cortes naturales'!$A$35:$C$39,3,9)))</f>
        <v>3</v>
      </c>
      <c r="W463" s="13">
        <v>3</v>
      </c>
      <c r="X463" s="14" t="b">
        <f t="shared" si="192"/>
        <v>1</v>
      </c>
      <c r="Y463" s="17">
        <f>IF($T463=1,$AU463,VLOOKUP(U463,'Cortes naturales'!$A$45:$C$49,3,9))</f>
        <v>2</v>
      </c>
      <c r="Z463" s="14">
        <v>69.707721233702159</v>
      </c>
      <c r="AA463" s="14">
        <v>0.5344934860729138</v>
      </c>
      <c r="AB463" s="14">
        <v>37.258322928400339</v>
      </c>
      <c r="AC463" s="13">
        <v>2</v>
      </c>
      <c r="AD463" s="13">
        <f t="shared" si="193"/>
        <v>0</v>
      </c>
      <c r="AE463" s="14">
        <f t="shared" si="194"/>
        <v>0.31160421659114945</v>
      </c>
      <c r="AF463" s="14">
        <f t="shared" si="195"/>
        <v>-1.6994102543376965E-2</v>
      </c>
      <c r="AG463" s="13">
        <f t="shared" si="196"/>
        <v>-1.0233651727195436</v>
      </c>
      <c r="AH463" s="13">
        <f>IF($T463=1,$AU463,VLOOKUP(U463,'Cortes naturales'!$A$25:$C$29,3,9))</f>
        <v>2</v>
      </c>
      <c r="AI463" s="13" t="b">
        <f t="shared" si="197"/>
        <v>1</v>
      </c>
      <c r="AJ463" s="13">
        <f t="shared" si="198"/>
        <v>0</v>
      </c>
      <c r="AK463" s="28">
        <v>0.81759069605862034</v>
      </c>
      <c r="AL463" s="28">
        <v>56.992384324122817</v>
      </c>
      <c r="AM463" s="28">
        <v>0.54228864041710689</v>
      </c>
      <c r="AN463" s="13">
        <v>2</v>
      </c>
      <c r="AO463" s="33">
        <f t="shared" si="199"/>
        <v>0</v>
      </c>
      <c r="AP463" s="13">
        <f t="shared" si="209"/>
        <v>54.228864041710686</v>
      </c>
      <c r="AQ463" s="13">
        <f>IFERROR(VLOOKUP(U463,'Cortes naturales'!$E$15:$G$19,3,9),U463)</f>
        <v>3</v>
      </c>
      <c r="AR463" s="28">
        <f t="shared" si="200"/>
        <v>-0.3000913125290835</v>
      </c>
      <c r="AS463" s="13" t="b">
        <f t="shared" si="201"/>
        <v>0</v>
      </c>
      <c r="AT463" s="13">
        <f t="shared" si="210"/>
        <v>0</v>
      </c>
      <c r="AU463" s="13">
        <v>2</v>
      </c>
      <c r="AV463">
        <f t="shared" si="202"/>
        <v>0</v>
      </c>
      <c r="AW463" s="13">
        <v>0</v>
      </c>
      <c r="AX463" s="13">
        <v>0</v>
      </c>
      <c r="AY463" s="13">
        <v>0</v>
      </c>
      <c r="AZ463" s="13">
        <v>0</v>
      </c>
      <c r="BA463">
        <v>0</v>
      </c>
      <c r="BB463" t="s">
        <v>2840</v>
      </c>
      <c r="BC463">
        <v>6</v>
      </c>
      <c r="BD463" t="s">
        <v>2919</v>
      </c>
      <c r="BE463">
        <v>1</v>
      </c>
      <c r="BF463" s="232" t="s">
        <v>2846</v>
      </c>
      <c r="BG463" s="232" t="s">
        <v>2846</v>
      </c>
      <c r="BH463" s="253">
        <v>60.5</v>
      </c>
      <c r="BI463" s="253">
        <v>70.791892232154098</v>
      </c>
      <c r="BJ463" s="25" t="s">
        <v>2849</v>
      </c>
      <c r="BK463" t="s">
        <v>2849</v>
      </c>
      <c r="BL463">
        <v>2.9335446354011045</v>
      </c>
      <c r="BM463" t="s">
        <v>383</v>
      </c>
      <c r="BN463" s="322">
        <v>82816.159538000007</v>
      </c>
      <c r="BO463" s="322">
        <v>5580.222041</v>
      </c>
      <c r="BP463" s="10">
        <v>19217</v>
      </c>
      <c r="BQ463" s="254">
        <f t="shared" si="203"/>
        <v>4.3095259165322375</v>
      </c>
      <c r="BR463" s="254">
        <f t="shared" si="204"/>
        <v>0.29037945782380187</v>
      </c>
      <c r="BS463" s="25">
        <v>53.214829132720048</v>
      </c>
      <c r="BT463" s="25">
        <v>89.196429930617001</v>
      </c>
      <c r="BU463" s="25">
        <v>45.329770077367343</v>
      </c>
      <c r="BV463" s="25">
        <v>98.033053703451287</v>
      </c>
      <c r="BW463" s="25">
        <v>51.899317197871262</v>
      </c>
      <c r="BX463" s="25">
        <v>71.443520711038914</v>
      </c>
      <c r="BY463" s="25">
        <v>52.893684519968403</v>
      </c>
      <c r="BZ463">
        <v>56</v>
      </c>
      <c r="CA463">
        <v>0</v>
      </c>
      <c r="CB463">
        <v>7</v>
      </c>
      <c r="CC463">
        <v>36612.672591000002</v>
      </c>
      <c r="CD463" s="10">
        <v>574.18395999999996</v>
      </c>
      <c r="CE463" s="255">
        <v>1.5682656287187947E-2</v>
      </c>
      <c r="CF463" t="str">
        <f>IFERROR(VLOOKUP(CE463,'Rangos amb etnico'!$A$2:$C$6,3,9),"N.D.")</f>
        <v>0,1% - 30%</v>
      </c>
      <c r="CG463" s="256">
        <v>1.6705175877708021E-5</v>
      </c>
      <c r="CH463" s="232">
        <v>0</v>
      </c>
      <c r="CI463" s="311">
        <f t="shared" si="211"/>
        <v>0</v>
      </c>
      <c r="CJ463" s="232">
        <f>IFERROR(VLOOKUP(CI463,'Rangos amb etnico'!$A$2:$C$6,3,9),"N.D.")</f>
        <v>0</v>
      </c>
      <c r="CK463" s="311">
        <f t="shared" si="212"/>
        <v>0</v>
      </c>
      <c r="CL463" s="10">
        <v>0</v>
      </c>
      <c r="CM463" s="255">
        <f t="shared" si="213"/>
        <v>0</v>
      </c>
      <c r="CN463" s="232">
        <f>IFERROR(VLOOKUP(CM463,'Rangos amb etnico'!$A$2:$C$6,3,9),"N.D.")</f>
        <v>0</v>
      </c>
      <c r="CO463" s="311">
        <f t="shared" si="214"/>
        <v>0</v>
      </c>
      <c r="CP463">
        <v>0.97402442803101696</v>
      </c>
      <c r="CQ463" t="s">
        <v>2864</v>
      </c>
      <c r="CR463">
        <f t="shared" si="205"/>
        <v>3</v>
      </c>
      <c r="CS463" t="str">
        <f t="shared" si="215"/>
        <v>Candidato</v>
      </c>
      <c r="CT463">
        <v>0</v>
      </c>
      <c r="CU463">
        <v>0</v>
      </c>
      <c r="CV463" s="25">
        <v>48.241844177246087</v>
      </c>
      <c r="CW463" s="25">
        <v>29.63511848449707</v>
      </c>
      <c r="CX463" s="25">
        <v>55.904052734375</v>
      </c>
      <c r="CY463" s="25">
        <v>40.612522125244141</v>
      </c>
      <c r="CZ463" s="25">
        <v>22.583976745605469</v>
      </c>
      <c r="DA463" s="25">
        <v>93.954864501953125</v>
      </c>
      <c r="DB463" s="25">
        <v>46.760524749755859</v>
      </c>
      <c r="DC463">
        <v>4194</v>
      </c>
      <c r="DD463" s="253" t="s">
        <v>380</v>
      </c>
    </row>
    <row r="464" spans="1:108" hidden="1">
      <c r="A464" s="13">
        <v>47161</v>
      </c>
      <c r="B464" s="13" t="s">
        <v>1381</v>
      </c>
      <c r="C464" s="13" t="s">
        <v>638</v>
      </c>
      <c r="D464" s="13" t="s">
        <v>639</v>
      </c>
      <c r="E464" s="13" t="s">
        <v>1382</v>
      </c>
      <c r="F464" s="14">
        <v>48.290999999999997</v>
      </c>
      <c r="G464" s="13">
        <v>25.91</v>
      </c>
      <c r="H464" s="13">
        <v>33.1</v>
      </c>
      <c r="I464" s="13">
        <v>23.28</v>
      </c>
      <c r="J464" s="14">
        <v>38.370469936254949</v>
      </c>
      <c r="K464" s="14">
        <v>48.16504381691005</v>
      </c>
      <c r="L464" s="14">
        <v>52.477842597665344</v>
      </c>
      <c r="M464" s="14">
        <v>44.377299999999998</v>
      </c>
      <c r="N464" s="14">
        <f t="shared" si="189"/>
        <v>32.645249999999997</v>
      </c>
      <c r="O464" s="14">
        <f t="shared" si="190"/>
        <v>45.847664087707585</v>
      </c>
      <c r="P464" s="14">
        <f t="shared" si="206"/>
        <v>39.246457043853795</v>
      </c>
      <c r="Q464" s="14">
        <v>52.38802705826955</v>
      </c>
      <c r="R464" s="17">
        <f t="shared" si="191"/>
        <v>47.61197294173045</v>
      </c>
      <c r="S464" s="14">
        <f t="shared" si="207"/>
        <v>0.52850775647557413</v>
      </c>
      <c r="T464" s="13">
        <v>0</v>
      </c>
      <c r="U464" s="13">
        <f t="shared" si="208"/>
        <v>20.742056961862161</v>
      </c>
      <c r="V464" s="13">
        <f>IF($T464=1,$AU464,(VLOOKUP(U464,'Cortes naturales'!$A$35:$C$39,3,9)))</f>
        <v>5</v>
      </c>
      <c r="W464" s="13">
        <v>5</v>
      </c>
      <c r="X464" s="14" t="b">
        <f t="shared" si="192"/>
        <v>1</v>
      </c>
      <c r="Y464" s="17">
        <f>IF($T464=1,$AU464,VLOOKUP(U464,'Cortes naturales'!$A$45:$C$49,3,9))</f>
        <v>5</v>
      </c>
      <c r="Z464" s="14">
        <v>43.670655058375267</v>
      </c>
      <c r="AA464" s="14">
        <v>0.53459216702991152</v>
      </c>
      <c r="AB464" s="14">
        <v>23.345990123272603</v>
      </c>
      <c r="AC464" s="13">
        <v>4</v>
      </c>
      <c r="AD464" s="13">
        <f t="shared" si="193"/>
        <v>-1</v>
      </c>
      <c r="AE464" s="14">
        <f t="shared" si="194"/>
        <v>-4.4241980145214725</v>
      </c>
      <c r="AF464" s="14">
        <f t="shared" si="195"/>
        <v>-6.0844105543373939E-3</v>
      </c>
      <c r="AG464" s="13">
        <f t="shared" si="196"/>
        <v>-2.603933161410442</v>
      </c>
      <c r="AH464" s="13">
        <f>IF($T464=1,$AU464,VLOOKUP(U464,'Cortes naturales'!$A$25:$C$29,3,9))</f>
        <v>4</v>
      </c>
      <c r="AI464" s="13" t="b">
        <f t="shared" si="197"/>
        <v>0</v>
      </c>
      <c r="AJ464" s="13" t="str">
        <f t="shared" si="198"/>
        <v>Cambio en corte</v>
      </c>
      <c r="AK464" s="28">
        <v>0.81759069605862034</v>
      </c>
      <c r="AL464" s="28">
        <v>35.704721266512941</v>
      </c>
      <c r="AM464" s="28">
        <v>0.27600241487837868</v>
      </c>
      <c r="AN464" s="13">
        <v>4</v>
      </c>
      <c r="AO464" s="33">
        <f t="shared" si="199"/>
        <v>-1</v>
      </c>
      <c r="AP464" s="13">
        <f t="shared" si="209"/>
        <v>27.600241487837867</v>
      </c>
      <c r="AQ464" s="13">
        <f>IFERROR(VLOOKUP(U464,'Cortes naturales'!$E$15:$G$19,3,9),U464)</f>
        <v>4</v>
      </c>
      <c r="AR464" s="28">
        <f t="shared" si="200"/>
        <v>-0.28908293958304621</v>
      </c>
      <c r="AS464" s="13" t="b">
        <f t="shared" si="201"/>
        <v>0</v>
      </c>
      <c r="AT464" s="13" t="str">
        <f t="shared" si="210"/>
        <v>Cambio en corte</v>
      </c>
      <c r="AU464" s="13">
        <v>4</v>
      </c>
      <c r="AV464">
        <f t="shared" si="202"/>
        <v>-1</v>
      </c>
      <c r="AW464" s="13">
        <v>0</v>
      </c>
      <c r="AX464" s="13">
        <v>0</v>
      </c>
      <c r="AY464" s="13">
        <v>0</v>
      </c>
      <c r="AZ464" s="13">
        <v>0</v>
      </c>
      <c r="BA464">
        <v>0</v>
      </c>
      <c r="BB464" t="s">
        <v>2839</v>
      </c>
      <c r="BC464">
        <v>6</v>
      </c>
      <c r="BD464" t="s">
        <v>2919</v>
      </c>
      <c r="BE464">
        <v>1</v>
      </c>
      <c r="BF464" s="232" t="s">
        <v>2846</v>
      </c>
      <c r="BG464" s="232" t="s">
        <v>2846</v>
      </c>
      <c r="BH464" s="253">
        <v>62.4</v>
      </c>
      <c r="BI464" s="253">
        <v>38.15718157181572</v>
      </c>
      <c r="BJ464" s="25">
        <v>3.5714285714285716</v>
      </c>
      <c r="BK464" t="s">
        <v>381</v>
      </c>
      <c r="BL464">
        <v>0.596383616028204</v>
      </c>
      <c r="BM464" t="s">
        <v>383</v>
      </c>
      <c r="BN464" s="322">
        <v>28392.464044</v>
      </c>
      <c r="BO464" s="322">
        <v>1769.0283879999999</v>
      </c>
      <c r="BP464" s="10">
        <v>11374</v>
      </c>
      <c r="BQ464" s="254">
        <f t="shared" si="203"/>
        <v>2.496260246527167</v>
      </c>
      <c r="BR464" s="254">
        <f t="shared" si="204"/>
        <v>0.15553265236504307</v>
      </c>
      <c r="BS464" s="25">
        <v>52.088875464636892</v>
      </c>
      <c r="BT464" s="25">
        <v>90.592819293710818</v>
      </c>
      <c r="BU464" s="25">
        <v>29.580793327908872</v>
      </c>
      <c r="BV464" s="25">
        <v>97.024529137802276</v>
      </c>
      <c r="BW464" s="25">
        <v>38.89158522500172</v>
      </c>
      <c r="BX464" s="25">
        <v>67.321754306014711</v>
      </c>
      <c r="BY464" s="25">
        <v>39.437451552247609</v>
      </c>
      <c r="BZ464">
        <v>74</v>
      </c>
      <c r="CA464">
        <v>0</v>
      </c>
      <c r="CB464">
        <v>7</v>
      </c>
      <c r="CC464">
        <v>17688.336142</v>
      </c>
      <c r="CD464" s="10">
        <v>17688.336149999999</v>
      </c>
      <c r="CE464" s="255">
        <v>1.0000000004522753</v>
      </c>
      <c r="CF464" t="str">
        <f>IFERROR(VLOOKUP(CE464,'Rangos amb etnico'!$A$2:$C$6,3,9),"N.D.")</f>
        <v>71% - 100%</v>
      </c>
      <c r="CG464" s="256">
        <v>5.1462037770921149E-4</v>
      </c>
      <c r="CH464" s="232">
        <v>0</v>
      </c>
      <c r="CI464" s="311">
        <f t="shared" si="211"/>
        <v>0</v>
      </c>
      <c r="CJ464" s="232">
        <f>IFERROR(VLOOKUP(CI464,'Rangos amb etnico'!$A$2:$C$6,3,9),"N.D.")</f>
        <v>0</v>
      </c>
      <c r="CK464" s="311">
        <f t="shared" si="212"/>
        <v>0</v>
      </c>
      <c r="CL464" s="10">
        <v>0</v>
      </c>
      <c r="CM464" s="255">
        <f t="shared" si="213"/>
        <v>0</v>
      </c>
      <c r="CN464" s="232">
        <f>IFERROR(VLOOKUP(CM464,'Rangos amb etnico'!$A$2:$C$6,3,9),"N.D.")</f>
        <v>0</v>
      </c>
      <c r="CO464" s="311">
        <f t="shared" si="214"/>
        <v>0</v>
      </c>
      <c r="CP464">
        <v>0.75956769753055742</v>
      </c>
      <c r="CQ464" t="s">
        <v>2865</v>
      </c>
      <c r="CR464">
        <f t="shared" si="205"/>
        <v>1</v>
      </c>
      <c r="CS464" t="str">
        <f t="shared" si="215"/>
        <v>No es Candidato</v>
      </c>
      <c r="CT464">
        <v>0</v>
      </c>
      <c r="CU464">
        <v>0</v>
      </c>
      <c r="CV464" s="25">
        <v>47.088310241699219</v>
      </c>
      <c r="CW464" s="25">
        <v>18.239986419677731</v>
      </c>
      <c r="CX464" s="25">
        <v>50.459144592285163</v>
      </c>
      <c r="CY464" s="25">
        <v>53.793132781982422</v>
      </c>
      <c r="CZ464" s="25">
        <v>3.1287329196929932</v>
      </c>
      <c r="DA464" s="25">
        <v>93.842391967773438</v>
      </c>
      <c r="DB464" s="25">
        <v>63.066482543945313</v>
      </c>
      <c r="DC464">
        <v>185</v>
      </c>
      <c r="DD464" s="253" t="s">
        <v>380</v>
      </c>
    </row>
    <row r="465" spans="1:108">
      <c r="A465" s="13">
        <v>5315</v>
      </c>
      <c r="B465" s="13" t="s">
        <v>1383</v>
      </c>
      <c r="C465" s="13" t="s">
        <v>435</v>
      </c>
      <c r="D465" s="13" t="s">
        <v>436</v>
      </c>
      <c r="E465" s="13" t="s">
        <v>1323</v>
      </c>
      <c r="F465" s="14">
        <v>80.665400000000005</v>
      </c>
      <c r="G465" s="13">
        <v>90.09</v>
      </c>
      <c r="H465" s="13">
        <v>88.56</v>
      </c>
      <c r="I465" s="13">
        <v>94.95</v>
      </c>
      <c r="J465" s="14">
        <v>45.166225130661644</v>
      </c>
      <c r="K465" s="14">
        <v>50.169646128936989</v>
      </c>
      <c r="L465" s="14">
        <v>66.452021732547124</v>
      </c>
      <c r="M465" s="14">
        <v>55.415900000000001</v>
      </c>
      <c r="N465" s="14">
        <f t="shared" si="189"/>
        <v>88.56635</v>
      </c>
      <c r="O465" s="14">
        <f t="shared" si="190"/>
        <v>54.300948248036441</v>
      </c>
      <c r="P465" s="14">
        <f t="shared" si="206"/>
        <v>71.433649124018217</v>
      </c>
      <c r="Q465" s="14">
        <v>52.244899638644291</v>
      </c>
      <c r="R465" s="17">
        <f t="shared" si="191"/>
        <v>47.755100361355709</v>
      </c>
      <c r="S465" s="14">
        <f t="shared" si="207"/>
        <v>0.52979590325220138</v>
      </c>
      <c r="T465" s="13">
        <v>0</v>
      </c>
      <c r="U465" s="13">
        <f t="shared" si="208"/>
        <v>37.845254660260053</v>
      </c>
      <c r="V465" s="13">
        <f>IF($T465=1,$AU465,(VLOOKUP(U465,'Cortes naturales'!$A$35:$C$39,3,9)))</f>
        <v>3</v>
      </c>
      <c r="W465" s="13">
        <v>3</v>
      </c>
      <c r="X465" s="14" t="b">
        <f t="shared" si="192"/>
        <v>1</v>
      </c>
      <c r="Y465" s="17">
        <f>IF($T465=1,$AU465,VLOOKUP(U465,'Cortes naturales'!$A$45:$C$49,3,9))</f>
        <v>2</v>
      </c>
      <c r="Z465" s="14">
        <v>68.098560071165934</v>
      </c>
      <c r="AA465" s="14">
        <v>0.53623754669843648</v>
      </c>
      <c r="AB465" s="14">
        <v>36.517004786258127</v>
      </c>
      <c r="AC465" s="13">
        <v>2</v>
      </c>
      <c r="AD465" s="13">
        <f t="shared" si="193"/>
        <v>0</v>
      </c>
      <c r="AE465" s="14">
        <f t="shared" si="194"/>
        <v>3.3350890528522825</v>
      </c>
      <c r="AF465" s="14">
        <f t="shared" si="195"/>
        <v>-6.4416434462351013E-3</v>
      </c>
      <c r="AG465" s="13">
        <f t="shared" si="196"/>
        <v>1.3282498740019264</v>
      </c>
      <c r="AH465" s="13">
        <f>IF($T465=1,$AU465,VLOOKUP(U465,'Cortes naturales'!$A$25:$C$29,3,9))</f>
        <v>2</v>
      </c>
      <c r="AI465" s="13" t="b">
        <f t="shared" si="197"/>
        <v>1</v>
      </c>
      <c r="AJ465" s="13">
        <f t="shared" si="198"/>
        <v>0</v>
      </c>
      <c r="AK465" s="28">
        <v>0.81759069605862034</v>
      </c>
      <c r="AL465" s="28">
        <v>55.676749129174326</v>
      </c>
      <c r="AM465" s="28">
        <v>0.52583143093851614</v>
      </c>
      <c r="AN465" s="13">
        <v>2</v>
      </c>
      <c r="AO465" s="33">
        <f t="shared" si="199"/>
        <v>0</v>
      </c>
      <c r="AP465" s="13">
        <f t="shared" si="209"/>
        <v>52.583143093851618</v>
      </c>
      <c r="AQ465" s="13">
        <f>IFERROR(VLOOKUP(U465,'Cortes naturales'!$E$15:$G$19,3,9),U465)</f>
        <v>3</v>
      </c>
      <c r="AR465" s="28">
        <f t="shared" si="200"/>
        <v>-0.28779479280641895</v>
      </c>
      <c r="AS465" s="13" t="b">
        <f t="shared" si="201"/>
        <v>0</v>
      </c>
      <c r="AT465" s="13">
        <f t="shared" si="210"/>
        <v>0</v>
      </c>
      <c r="AU465" s="13">
        <v>3</v>
      </c>
      <c r="AV465">
        <f t="shared" si="202"/>
        <v>1</v>
      </c>
      <c r="AW465" s="13">
        <v>0</v>
      </c>
      <c r="AX465" s="13">
        <v>0</v>
      </c>
      <c r="AY465" s="13">
        <v>0</v>
      </c>
      <c r="AZ465" s="13">
        <v>0</v>
      </c>
      <c r="BA465">
        <v>1</v>
      </c>
      <c r="BB465" t="s">
        <v>2839</v>
      </c>
      <c r="BC465">
        <v>6</v>
      </c>
      <c r="BD465" t="s">
        <v>2919</v>
      </c>
      <c r="BE465">
        <v>0</v>
      </c>
      <c r="BF465" s="232" t="s">
        <v>2846</v>
      </c>
      <c r="BG465" s="232" t="s">
        <v>2845</v>
      </c>
      <c r="BH465" s="253">
        <v>41.1</v>
      </c>
      <c r="BI465" s="253">
        <v>15.315480557593544</v>
      </c>
      <c r="BJ465" s="25">
        <v>45.422062023263571</v>
      </c>
      <c r="BK465" t="s">
        <v>376</v>
      </c>
      <c r="BL465">
        <v>19.593018163221178</v>
      </c>
      <c r="BM465" t="s">
        <v>376</v>
      </c>
      <c r="BN465" s="322">
        <v>22146.877396</v>
      </c>
      <c r="BO465" s="322">
        <v>3891.8995089999999</v>
      </c>
      <c r="BP465" s="10">
        <v>6975</v>
      </c>
      <c r="BQ465" s="254">
        <f t="shared" si="203"/>
        <v>3.1751795549820789</v>
      </c>
      <c r="BR465" s="254">
        <f t="shared" si="204"/>
        <v>0.5579784242293907</v>
      </c>
      <c r="BS465" s="25">
        <v>59.544540929739782</v>
      </c>
      <c r="BT465" s="25">
        <v>86.944444444444443</v>
      </c>
      <c r="BU465" s="25">
        <v>51.308333333333337</v>
      </c>
      <c r="BV465" s="25">
        <v>93.331275090765416</v>
      </c>
      <c r="BW465" s="25">
        <v>61.886985095679229</v>
      </c>
      <c r="BX465" s="25">
        <v>72.782148449570741</v>
      </c>
      <c r="BY465" s="25">
        <v>62.635145111667953</v>
      </c>
      <c r="BZ465">
        <v>61</v>
      </c>
      <c r="CA465">
        <v>0</v>
      </c>
      <c r="CB465">
        <v>7</v>
      </c>
      <c r="CC465">
        <v>11817.417339</v>
      </c>
      <c r="CD465" s="10">
        <v>730.18155899999999</v>
      </c>
      <c r="CE465" s="255">
        <v>6.1788590353853798E-2</v>
      </c>
      <c r="CF465" t="str">
        <f>IFERROR(VLOOKUP(CE465,'Rangos amb etnico'!$A$2:$C$6,3,9),"N.D.")</f>
        <v>0,1% - 30%</v>
      </c>
      <c r="CG465" s="256">
        <v>2.1243734091342496E-5</v>
      </c>
      <c r="CH465" s="232">
        <v>0</v>
      </c>
      <c r="CI465" s="311">
        <f t="shared" si="211"/>
        <v>0</v>
      </c>
      <c r="CJ465" s="232">
        <f>IFERROR(VLOOKUP(CI465,'Rangos amb etnico'!$A$2:$C$6,3,9),"N.D.")</f>
        <v>0</v>
      </c>
      <c r="CK465" s="311">
        <f t="shared" si="212"/>
        <v>0</v>
      </c>
      <c r="CL465" s="10">
        <v>0</v>
      </c>
      <c r="CM465" s="255">
        <f t="shared" si="213"/>
        <v>0</v>
      </c>
      <c r="CN465" s="232">
        <f>IFERROR(VLOOKUP(CM465,'Rangos amb etnico'!$A$2:$C$6,3,9),"N.D.")</f>
        <v>0</v>
      </c>
      <c r="CO465" s="311">
        <f t="shared" si="214"/>
        <v>0</v>
      </c>
      <c r="CP465">
        <v>0.90018182919330458</v>
      </c>
      <c r="CQ465" t="s">
        <v>2864</v>
      </c>
      <c r="CR465">
        <f t="shared" si="205"/>
        <v>3</v>
      </c>
      <c r="CS465" t="str">
        <f t="shared" si="215"/>
        <v>Candidato</v>
      </c>
      <c r="CT465">
        <v>0</v>
      </c>
      <c r="CU465">
        <v>0</v>
      </c>
      <c r="CV465" s="25">
        <v>41.950119018554688</v>
      </c>
      <c r="CW465" s="25">
        <v>19.08316612243652</v>
      </c>
      <c r="CX465" s="25">
        <v>43.777317047119141</v>
      </c>
      <c r="CY465" s="25">
        <v>59.019615173339837</v>
      </c>
      <c r="CZ465" s="25">
        <v>34.396686553955078</v>
      </c>
      <c r="DA465" s="25">
        <v>56.742324829101563</v>
      </c>
      <c r="DB465" s="25">
        <v>38.681610107421882</v>
      </c>
      <c r="DC465">
        <v>99</v>
      </c>
      <c r="DD465" s="253" t="s">
        <v>380</v>
      </c>
    </row>
    <row r="466" spans="1:108" hidden="1">
      <c r="A466" s="13">
        <v>25483</v>
      </c>
      <c r="B466" s="13" t="s">
        <v>1384</v>
      </c>
      <c r="C466" s="13" t="s">
        <v>461</v>
      </c>
      <c r="D466" s="13" t="s">
        <v>462</v>
      </c>
      <c r="E466" s="13" t="s">
        <v>673</v>
      </c>
      <c r="F466" s="14">
        <v>47.735566666666699</v>
      </c>
      <c r="G466" s="13">
        <v>75.22</v>
      </c>
      <c r="H466" s="13">
        <v>17.510000000000002</v>
      </c>
      <c r="I466" s="13">
        <v>55.19</v>
      </c>
      <c r="J466" s="14">
        <v>55.804576054588551</v>
      </c>
      <c r="K466" s="14">
        <v>55.072738327989029</v>
      </c>
      <c r="L466" s="14">
        <v>63.523726744164428</v>
      </c>
      <c r="M466" s="14">
        <v>54.757800000000003</v>
      </c>
      <c r="N466" s="14">
        <f t="shared" si="189"/>
        <v>48.913891666666672</v>
      </c>
      <c r="O466" s="14">
        <f t="shared" si="190"/>
        <v>57.289710281685501</v>
      </c>
      <c r="P466" s="14">
        <f t="shared" si="206"/>
        <v>53.101800974176086</v>
      </c>
      <c r="Q466" s="14">
        <v>53.700887044946064</v>
      </c>
      <c r="R466" s="17">
        <f t="shared" si="191"/>
        <v>46.299112955053936</v>
      </c>
      <c r="S466" s="203">
        <f t="shared" si="207"/>
        <v>0.51669201659548547</v>
      </c>
      <c r="T466" s="13">
        <v>0</v>
      </c>
      <c r="U466" s="13">
        <f t="shared" si="208"/>
        <v>27.437276630199158</v>
      </c>
      <c r="V466" s="13">
        <f>IF($T466=1,$AU466,(VLOOKUP(U466,'Cortes naturales'!$A$35:$C$39,3,9)))</f>
        <v>4</v>
      </c>
      <c r="W466" s="13">
        <v>4</v>
      </c>
      <c r="X466" s="14" t="b">
        <f t="shared" si="192"/>
        <v>1</v>
      </c>
      <c r="Y466" s="17">
        <f>IF($T466=1,$AU466,VLOOKUP(U466,'Cortes naturales'!$A$45:$C$49,3,9))</f>
        <v>4</v>
      </c>
      <c r="Z466" s="14">
        <v>52.721210512341457</v>
      </c>
      <c r="AA466" s="203">
        <v>0.533005200713493</v>
      </c>
      <c r="AB466" s="14">
        <v>28.100679390988876</v>
      </c>
      <c r="AC466" s="13">
        <v>3</v>
      </c>
      <c r="AD466" s="13">
        <f t="shared" si="193"/>
        <v>-1</v>
      </c>
      <c r="AE466" s="14">
        <f t="shared" si="194"/>
        <v>0.38059046183462897</v>
      </c>
      <c r="AF466" s="14">
        <f t="shared" si="195"/>
        <v>-1.6313184118007529E-2</v>
      </c>
      <c r="AG466" s="13">
        <f t="shared" si="196"/>
        <v>-0.66340276078971883</v>
      </c>
      <c r="AH466" s="13">
        <f>IF($T466=1,$AU466,VLOOKUP(U466,'Cortes naturales'!$A$25:$C$29,3,9))</f>
        <v>4</v>
      </c>
      <c r="AI466" s="13" t="b">
        <f t="shared" si="197"/>
        <v>1</v>
      </c>
      <c r="AJ466" s="13" t="str">
        <f t="shared" si="198"/>
        <v>Efecto ponderador</v>
      </c>
      <c r="AK466" s="28">
        <v>0.81759069605862034</v>
      </c>
      <c r="AL466" s="28">
        <v>43.104371199838305</v>
      </c>
      <c r="AM466" s="28">
        <v>0.3685642355780317</v>
      </c>
      <c r="AN466" s="13">
        <v>3</v>
      </c>
      <c r="AO466" s="33">
        <f t="shared" si="199"/>
        <v>-1</v>
      </c>
      <c r="AP466" s="13">
        <f t="shared" si="209"/>
        <v>36.856423557803168</v>
      </c>
      <c r="AQ466" s="13">
        <f>IFERROR(VLOOKUP(U466,'Cortes naturales'!$E$15:$G$19,3,9),U466)</f>
        <v>4</v>
      </c>
      <c r="AR466" s="28">
        <f t="shared" si="200"/>
        <v>-0.30089867946313487</v>
      </c>
      <c r="AS466" s="13" t="b">
        <f t="shared" si="201"/>
        <v>1</v>
      </c>
      <c r="AT466" s="13" t="str">
        <f t="shared" si="210"/>
        <v>Efecto ponderador</v>
      </c>
      <c r="AU466" s="13">
        <v>3</v>
      </c>
      <c r="AV466">
        <f t="shared" si="202"/>
        <v>-1</v>
      </c>
      <c r="AW466" s="13">
        <v>0</v>
      </c>
      <c r="AX466" s="13">
        <v>0</v>
      </c>
      <c r="AY466" s="13">
        <v>0</v>
      </c>
      <c r="AZ466" s="13">
        <v>0</v>
      </c>
      <c r="BA466">
        <v>0</v>
      </c>
      <c r="BB466" t="s">
        <v>2839</v>
      </c>
      <c r="BC466">
        <v>6</v>
      </c>
      <c r="BD466" t="s">
        <v>2919</v>
      </c>
      <c r="BE466">
        <v>0</v>
      </c>
      <c r="BF466" s="232" t="s">
        <v>2846</v>
      </c>
      <c r="BG466" s="232" t="s">
        <v>2846</v>
      </c>
      <c r="BH466" s="253">
        <v>27.8</v>
      </c>
      <c r="BI466" s="253">
        <v>9.8571428571428577</v>
      </c>
      <c r="BJ466" s="25">
        <v>12.765454545454544</v>
      </c>
      <c r="BK466" t="s">
        <v>377</v>
      </c>
      <c r="BL466">
        <v>3.1047065708940269</v>
      </c>
      <c r="BM466" t="s">
        <v>383</v>
      </c>
      <c r="BN466" s="322">
        <v>9007.0438140000006</v>
      </c>
      <c r="BO466" s="322">
        <v>1147.0771119999999</v>
      </c>
      <c r="BP466" s="10">
        <v>2462</v>
      </c>
      <c r="BQ466" s="254">
        <f t="shared" si="203"/>
        <v>3.6584255946385054</v>
      </c>
      <c r="BR466" s="254">
        <f t="shared" si="204"/>
        <v>0.46591271811535334</v>
      </c>
      <c r="BS466" s="25">
        <v>55.733083832335332</v>
      </c>
      <c r="BT466" s="25">
        <v>80.441563471432445</v>
      </c>
      <c r="BU466" s="25">
        <v>41.792637130801673</v>
      </c>
      <c r="BV466" s="25">
        <v>84.056724254603694</v>
      </c>
      <c r="BW466" s="25">
        <v>58.438717854162441</v>
      </c>
      <c r="BX466" s="25">
        <v>65.506002172293279</v>
      </c>
      <c r="BY466" s="25">
        <v>58.998985736137683</v>
      </c>
      <c r="BZ466">
        <v>55</v>
      </c>
      <c r="CA466">
        <v>0</v>
      </c>
      <c r="CB466">
        <v>7</v>
      </c>
      <c r="CC466">
        <v>5508.8973859999996</v>
      </c>
      <c r="CD466" s="10">
        <v>2060.6229170000001</v>
      </c>
      <c r="CE466" s="255">
        <v>0.37405360321953912</v>
      </c>
      <c r="CF466" t="str">
        <f>IFERROR(VLOOKUP(CE466,'Rangos amb etnico'!$A$2:$C$6,3,9),"N.D.")</f>
        <v>31% - 50%</v>
      </c>
      <c r="CG466" s="256">
        <v>5.9951288514086566E-5</v>
      </c>
      <c r="CH466" s="232">
        <v>0</v>
      </c>
      <c r="CI466" s="311">
        <f t="shared" si="211"/>
        <v>0</v>
      </c>
      <c r="CJ466" s="232">
        <f>IFERROR(VLOOKUP(CI466,'Rangos amb etnico'!$A$2:$C$6,3,9),"N.D.")</f>
        <v>0</v>
      </c>
      <c r="CK466" s="311">
        <f t="shared" si="212"/>
        <v>0</v>
      </c>
      <c r="CL466" s="10">
        <v>0</v>
      </c>
      <c r="CM466" s="255">
        <f t="shared" si="213"/>
        <v>0</v>
      </c>
      <c r="CN466" s="232">
        <f>IFERROR(VLOOKUP(CM466,'Rangos amb etnico'!$A$2:$C$6,3,9),"N.D.")</f>
        <v>0</v>
      </c>
      <c r="CO466" s="311">
        <f t="shared" si="214"/>
        <v>0</v>
      </c>
      <c r="CP466">
        <v>0.97682165047467939</v>
      </c>
      <c r="CQ466" t="s">
        <v>2864</v>
      </c>
      <c r="CR466">
        <f t="shared" si="205"/>
        <v>1</v>
      </c>
      <c r="CS466" t="str">
        <f t="shared" si="215"/>
        <v>No es Candidato</v>
      </c>
      <c r="CT466">
        <v>0</v>
      </c>
      <c r="CU466">
        <v>0</v>
      </c>
      <c r="CV466" s="25">
        <v>44.562240600585938</v>
      </c>
      <c r="CW466" s="25">
        <v>26.609796524047852</v>
      </c>
      <c r="CX466" s="25">
        <v>57.622875213623047</v>
      </c>
      <c r="CY466" s="25">
        <v>64.424819946289063</v>
      </c>
      <c r="CZ466" s="25">
        <v>17.601398468017582</v>
      </c>
      <c r="DA466" s="25">
        <v>49.465019226074219</v>
      </c>
      <c r="DB466" s="25">
        <v>51.649532318115227</v>
      </c>
      <c r="DC466">
        <v>18</v>
      </c>
      <c r="DD466" s="253" t="s">
        <v>380</v>
      </c>
    </row>
    <row r="467" spans="1:108" hidden="1">
      <c r="A467" s="13">
        <v>25807</v>
      </c>
      <c r="B467" s="13" t="s">
        <v>1385</v>
      </c>
      <c r="C467" s="13" t="s">
        <v>461</v>
      </c>
      <c r="D467" s="13" t="s">
        <v>462</v>
      </c>
      <c r="E467" s="13" t="s">
        <v>1386</v>
      </c>
      <c r="F467" s="14">
        <v>44.743566666666702</v>
      </c>
      <c r="G467" s="13">
        <v>66.989999999999995</v>
      </c>
      <c r="H467" s="13">
        <v>81.81</v>
      </c>
      <c r="I467" s="13">
        <v>82.25</v>
      </c>
      <c r="J467" s="14">
        <v>54.778128035091342</v>
      </c>
      <c r="K467" s="14">
        <v>44.679011117541663</v>
      </c>
      <c r="L467" s="14">
        <v>68.095974386747699</v>
      </c>
      <c r="M467" s="14">
        <v>52.681800000000003</v>
      </c>
      <c r="N467" s="14">
        <f t="shared" si="189"/>
        <v>68.94839166666668</v>
      </c>
      <c r="O467" s="14">
        <f t="shared" si="190"/>
        <v>55.058728384845182</v>
      </c>
      <c r="P467" s="14">
        <f t="shared" si="206"/>
        <v>62.003560025755931</v>
      </c>
      <c r="Q467" s="14">
        <v>53.425065409134866</v>
      </c>
      <c r="R467" s="17">
        <f t="shared" si="191"/>
        <v>46.574934590865134</v>
      </c>
      <c r="S467" s="14">
        <f t="shared" si="207"/>
        <v>0.51917441131778619</v>
      </c>
      <c r="T467" s="13">
        <v>0</v>
      </c>
      <c r="U467" s="13">
        <f t="shared" si="208"/>
        <v>32.190661775978853</v>
      </c>
      <c r="V467" s="13">
        <f>IF($T467=1,$AU467,(VLOOKUP(U467,'Cortes naturales'!$A$35:$C$39,3,9)))</f>
        <v>3</v>
      </c>
      <c r="W467" s="13">
        <v>3</v>
      </c>
      <c r="X467" s="14" t="b">
        <f t="shared" si="192"/>
        <v>1</v>
      </c>
      <c r="Y467" s="17">
        <f>IF($T467=1,$AU467,VLOOKUP(U467,'Cortes naturales'!$A$45:$C$49,3,9))</f>
        <v>3</v>
      </c>
      <c r="Z467" s="14">
        <v>56.909663539695451</v>
      </c>
      <c r="AA467" s="14">
        <v>0.53502832690909929</v>
      </c>
      <c r="AB467" s="14">
        <v>30.448282068603028</v>
      </c>
      <c r="AC467" s="13">
        <v>3</v>
      </c>
      <c r="AD467" s="13">
        <f t="shared" si="193"/>
        <v>0</v>
      </c>
      <c r="AE467" s="14">
        <f t="shared" si="194"/>
        <v>5.0938964860604798</v>
      </c>
      <c r="AF467" s="14">
        <f t="shared" si="195"/>
        <v>-1.5853915591313106E-2</v>
      </c>
      <c r="AG467" s="13">
        <f t="shared" si="196"/>
        <v>1.7423797073758251</v>
      </c>
      <c r="AH467" s="13">
        <f>IF($T467=1,$AU467,VLOOKUP(U467,'Cortes naturales'!$A$25:$C$29,3,9))</f>
        <v>3</v>
      </c>
      <c r="AI467" s="13" t="b">
        <f t="shared" si="197"/>
        <v>1</v>
      </c>
      <c r="AJ467" s="13">
        <f t="shared" si="198"/>
        <v>0</v>
      </c>
      <c r="AK467" s="28">
        <v>0.81759069605862034</v>
      </c>
      <c r="AL467" s="28">
        <v>46.528811425881493</v>
      </c>
      <c r="AM467" s="28">
        <v>0.41140037310558675</v>
      </c>
      <c r="AN467" s="13">
        <v>3</v>
      </c>
      <c r="AO467" s="33">
        <f t="shared" si="199"/>
        <v>0</v>
      </c>
      <c r="AP467" s="13">
        <f t="shared" si="209"/>
        <v>41.140037310558675</v>
      </c>
      <c r="AQ467" s="13">
        <f>IFERROR(VLOOKUP(U467,'Cortes naturales'!$E$15:$G$19,3,9),U467)</f>
        <v>4</v>
      </c>
      <c r="AR467" s="28">
        <f t="shared" si="200"/>
        <v>-0.29841628474083415</v>
      </c>
      <c r="AS467" s="13" t="b">
        <f t="shared" si="201"/>
        <v>0</v>
      </c>
      <c r="AT467" s="13">
        <f t="shared" si="210"/>
        <v>0</v>
      </c>
      <c r="AU467" s="13">
        <v>4</v>
      </c>
      <c r="AV467">
        <f t="shared" si="202"/>
        <v>1</v>
      </c>
      <c r="AW467" s="13">
        <v>0</v>
      </c>
      <c r="AX467" s="13">
        <v>0</v>
      </c>
      <c r="AY467" s="13">
        <v>0</v>
      </c>
      <c r="AZ467" s="13">
        <v>0</v>
      </c>
      <c r="BA467">
        <v>0</v>
      </c>
      <c r="BB467" t="s">
        <v>2840</v>
      </c>
      <c r="BC467">
        <v>6</v>
      </c>
      <c r="BD467" t="s">
        <v>2919</v>
      </c>
      <c r="BE467">
        <v>0</v>
      </c>
      <c r="BF467" s="232" t="s">
        <v>2846</v>
      </c>
      <c r="BG467" s="232" t="s">
        <v>2846</v>
      </c>
      <c r="BH467" s="253">
        <v>52.3</v>
      </c>
      <c r="BI467" s="253">
        <v>11.622176591375769</v>
      </c>
      <c r="BJ467" s="25">
        <v>8.2549954665190501</v>
      </c>
      <c r="BK467" t="s">
        <v>377</v>
      </c>
      <c r="BL467">
        <v>0</v>
      </c>
      <c r="BM467" t="s">
        <v>377</v>
      </c>
      <c r="BN467" s="322">
        <v>11811.310927</v>
      </c>
      <c r="BO467" s="322">
        <v>1473.2697370000001</v>
      </c>
      <c r="BP467" s="10">
        <v>3346</v>
      </c>
      <c r="BQ467" s="254">
        <f t="shared" si="203"/>
        <v>3.5299793565451285</v>
      </c>
      <c r="BR467" s="254">
        <f t="shared" si="204"/>
        <v>0.44030775164375374</v>
      </c>
      <c r="BS467" s="25">
        <v>48.709035665062387</v>
      </c>
      <c r="BT467" s="25">
        <v>81.093609972105995</v>
      </c>
      <c r="BU467" s="25">
        <v>30.827802498048399</v>
      </c>
      <c r="BV467" s="25">
        <v>90.775242117193741</v>
      </c>
      <c r="BW467" s="25">
        <v>59.031438050327267</v>
      </c>
      <c r="BX467" s="25">
        <v>62.851422563102631</v>
      </c>
      <c r="BY467" s="25">
        <v>57.850344194524553</v>
      </c>
      <c r="BZ467">
        <v>96</v>
      </c>
      <c r="CA467">
        <v>0</v>
      </c>
      <c r="CB467">
        <v>7</v>
      </c>
      <c r="CC467">
        <v>5645.6026309999997</v>
      </c>
      <c r="CD467" s="10">
        <v>1139.480114</v>
      </c>
      <c r="CE467" s="255">
        <v>0.20183498352206292</v>
      </c>
      <c r="CF467" t="str">
        <f>IFERROR(VLOOKUP(CE467,'Rangos amb etnico'!$A$2:$C$6,3,9),"N.D.")</f>
        <v>0,1% - 30%</v>
      </c>
      <c r="CG467" s="256">
        <v>3.3151771974822813E-5</v>
      </c>
      <c r="CH467" s="232">
        <v>0</v>
      </c>
      <c r="CI467" s="311">
        <f t="shared" si="211"/>
        <v>0</v>
      </c>
      <c r="CJ467" s="232">
        <f>IFERROR(VLOOKUP(CI467,'Rangos amb etnico'!$A$2:$C$6,3,9),"N.D.")</f>
        <v>0</v>
      </c>
      <c r="CK467" s="311">
        <f t="shared" si="212"/>
        <v>0</v>
      </c>
      <c r="CL467" s="10">
        <v>0</v>
      </c>
      <c r="CM467" s="255">
        <f t="shared" si="213"/>
        <v>0</v>
      </c>
      <c r="CN467" s="232">
        <f>IFERROR(VLOOKUP(CM467,'Rangos amb etnico'!$A$2:$C$6,3,9),"N.D.")</f>
        <v>0</v>
      </c>
      <c r="CO467" s="311">
        <f t="shared" si="214"/>
        <v>0</v>
      </c>
      <c r="CP467">
        <v>0.87368923071365956</v>
      </c>
      <c r="CQ467" t="s">
        <v>2864</v>
      </c>
      <c r="CR467">
        <f t="shared" si="205"/>
        <v>2</v>
      </c>
      <c r="CS467" t="str">
        <f t="shared" si="215"/>
        <v>No es Candidato</v>
      </c>
      <c r="CT467">
        <v>0</v>
      </c>
      <c r="CU467">
        <v>0</v>
      </c>
      <c r="CV467" s="25">
        <v>53.087532043457031</v>
      </c>
      <c r="CW467" s="25">
        <v>17.150606155395511</v>
      </c>
      <c r="CX467" s="25">
        <v>62.642593383789063</v>
      </c>
      <c r="CY467" s="25">
        <v>62.760387420654297</v>
      </c>
      <c r="CZ467" s="25">
        <v>55.005512237548828</v>
      </c>
      <c r="DA467" s="25">
        <v>72.093925476074219</v>
      </c>
      <c r="DB467" s="25">
        <v>48.872161865234382</v>
      </c>
      <c r="DC467">
        <v>25</v>
      </c>
      <c r="DD467" s="253" t="s">
        <v>380</v>
      </c>
    </row>
    <row r="468" spans="1:108" hidden="1">
      <c r="A468" s="13">
        <v>52378</v>
      </c>
      <c r="B468" s="13" t="s">
        <v>1387</v>
      </c>
      <c r="C468" s="13" t="s">
        <v>672</v>
      </c>
      <c r="D468" s="13" t="s">
        <v>673</v>
      </c>
      <c r="E468" s="13" t="s">
        <v>1388</v>
      </c>
      <c r="F468" s="14">
        <v>83.000699999999995</v>
      </c>
      <c r="G468" s="13">
        <v>67.540000000000006</v>
      </c>
      <c r="H468" s="13">
        <v>63.78</v>
      </c>
      <c r="I468" s="13">
        <v>57.83</v>
      </c>
      <c r="J468" s="14">
        <v>61.825627118634074</v>
      </c>
      <c r="K468" s="14">
        <v>63.253376660590867</v>
      </c>
      <c r="L468" s="14">
        <v>64.004766670314581</v>
      </c>
      <c r="M468" s="14">
        <v>61.3172</v>
      </c>
      <c r="N468" s="14">
        <f t="shared" si="189"/>
        <v>68.037675000000007</v>
      </c>
      <c r="O468" s="14">
        <f t="shared" si="190"/>
        <v>62.600242612384875</v>
      </c>
      <c r="P468" s="14">
        <f t="shared" si="206"/>
        <v>65.318958806192441</v>
      </c>
      <c r="Q468" s="14">
        <v>52.829264385264828</v>
      </c>
      <c r="R468" s="17">
        <f t="shared" si="191"/>
        <v>47.170735614735172</v>
      </c>
      <c r="S468" s="14">
        <f t="shared" si="207"/>
        <v>0.52453662053261652</v>
      </c>
      <c r="T468" s="13">
        <v>0</v>
      </c>
      <c r="U468" s="13">
        <f t="shared" si="208"/>
        <v>34.262185908909373</v>
      </c>
      <c r="V468" s="13">
        <f>IF($T468=1,$AU468,(VLOOKUP(U468,'Cortes naturales'!$A$35:$C$39,3,9)))</f>
        <v>3</v>
      </c>
      <c r="W468" s="13">
        <v>3</v>
      </c>
      <c r="X468" s="14" t="b">
        <f t="shared" si="192"/>
        <v>1</v>
      </c>
      <c r="Y468" s="17">
        <f>IF($T468=1,$AU468,VLOOKUP(U468,'Cortes naturales'!$A$45:$C$49,3,9))</f>
        <v>3</v>
      </c>
      <c r="Z468" s="14">
        <v>69.319654312617899</v>
      </c>
      <c r="AA468" s="14">
        <v>0.53341866205196842</v>
      </c>
      <c r="AB468" s="14">
        <v>36.976397257341603</v>
      </c>
      <c r="AC468" s="13">
        <v>2</v>
      </c>
      <c r="AD468" s="13">
        <f t="shared" si="193"/>
        <v>-1</v>
      </c>
      <c r="AE468" s="14">
        <f t="shared" si="194"/>
        <v>-4.0006955064254583</v>
      </c>
      <c r="AF468" s="14">
        <f t="shared" si="195"/>
        <v>-8.882041519351902E-3</v>
      </c>
      <c r="AG468" s="13">
        <f t="shared" si="196"/>
        <v>-2.7142113484322294</v>
      </c>
      <c r="AH468" s="13">
        <f>IF($T468=1,$AU468,VLOOKUP(U468,'Cortes naturales'!$A$25:$C$29,3,9))</f>
        <v>3</v>
      </c>
      <c r="AI468" s="13" t="b">
        <f t="shared" si="197"/>
        <v>1</v>
      </c>
      <c r="AJ468" s="13" t="str">
        <f t="shared" si="198"/>
        <v>Efecto ponderador</v>
      </c>
      <c r="AK468" s="28">
        <v>0.81759069605862034</v>
      </c>
      <c r="AL468" s="28">
        <v>56.67510441999621</v>
      </c>
      <c r="AM468" s="28">
        <v>0.53831980326102635</v>
      </c>
      <c r="AN468" s="13">
        <v>2</v>
      </c>
      <c r="AO468" s="33">
        <f t="shared" si="199"/>
        <v>-1</v>
      </c>
      <c r="AP468" s="13">
        <f t="shared" si="209"/>
        <v>53.831980326102638</v>
      </c>
      <c r="AQ468" s="13">
        <f>IFERROR(VLOOKUP(U468,'Cortes naturales'!$E$15:$G$19,3,9),U468)</f>
        <v>4</v>
      </c>
      <c r="AR468" s="28">
        <f t="shared" si="200"/>
        <v>-0.29305407552600382</v>
      </c>
      <c r="AS468" s="13" t="b">
        <f t="shared" si="201"/>
        <v>0</v>
      </c>
      <c r="AT468" s="13" t="str">
        <f t="shared" si="210"/>
        <v>Cambio en corte</v>
      </c>
      <c r="AU468" s="13">
        <v>2</v>
      </c>
      <c r="AV468">
        <f t="shared" si="202"/>
        <v>-1</v>
      </c>
      <c r="AW468" s="13">
        <v>0</v>
      </c>
      <c r="AX468" s="13">
        <v>0</v>
      </c>
      <c r="AY468" s="13">
        <v>0</v>
      </c>
      <c r="AZ468" s="13">
        <v>0</v>
      </c>
      <c r="BA468">
        <v>0</v>
      </c>
      <c r="BB468" t="s">
        <v>2839</v>
      </c>
      <c r="BC468">
        <v>6</v>
      </c>
      <c r="BD468" t="s">
        <v>2919</v>
      </c>
      <c r="BE468">
        <v>0</v>
      </c>
      <c r="BF468" s="232" t="s">
        <v>2846</v>
      </c>
      <c r="BG468" s="232" t="s">
        <v>2845</v>
      </c>
      <c r="BH468" s="253">
        <v>27.8</v>
      </c>
      <c r="BI468" s="253">
        <v>11.601944661184802</v>
      </c>
      <c r="BJ468" s="25">
        <v>26.187604120649304</v>
      </c>
      <c r="BK468" t="s">
        <v>379</v>
      </c>
      <c r="BL468">
        <v>4.4403837887947697</v>
      </c>
      <c r="BM468" t="s">
        <v>383</v>
      </c>
      <c r="BN468" s="322">
        <v>34276.36795</v>
      </c>
      <c r="BO468" s="322">
        <v>1376.491029</v>
      </c>
      <c r="BP468" s="10">
        <v>19560</v>
      </c>
      <c r="BQ468" s="254">
        <f t="shared" si="203"/>
        <v>1.752370549591002</v>
      </c>
      <c r="BR468" s="254">
        <f t="shared" si="204"/>
        <v>7.0372751993865029E-2</v>
      </c>
      <c r="BS468" s="25">
        <v>60.111317338386797</v>
      </c>
      <c r="BT468" s="25">
        <v>92.570310804362649</v>
      </c>
      <c r="BU468" s="25">
        <v>42.374129961935829</v>
      </c>
      <c r="BV468" s="25">
        <v>94.611127480771259</v>
      </c>
      <c r="BW468" s="25">
        <v>44.965007315669233</v>
      </c>
      <c r="BX468" s="25">
        <v>72.416721396364139</v>
      </c>
      <c r="BY468" s="25">
        <v>44.788780735972573</v>
      </c>
      <c r="BZ468">
        <v>69</v>
      </c>
      <c r="CA468">
        <v>0</v>
      </c>
      <c r="CB468">
        <v>6</v>
      </c>
      <c r="CC468">
        <v>23899.919378999999</v>
      </c>
      <c r="CD468" s="10">
        <v>13237.8477</v>
      </c>
      <c r="CE468" s="255">
        <v>0.55388670941005858</v>
      </c>
      <c r="CF468" t="str">
        <f>IFERROR(VLOOKUP(CE468,'Rangos amb etnico'!$A$2:$C$6,3,9),"N.D.")</f>
        <v>51% - 70%</v>
      </c>
      <c r="CG468" s="256">
        <v>3.8513889184715752E-4</v>
      </c>
      <c r="CH468" s="232">
        <v>0</v>
      </c>
      <c r="CI468" s="311">
        <f t="shared" si="211"/>
        <v>0</v>
      </c>
      <c r="CJ468" s="232">
        <f>IFERROR(VLOOKUP(CI468,'Rangos amb etnico'!$A$2:$C$6,3,9),"N.D.")</f>
        <v>0</v>
      </c>
      <c r="CK468" s="311">
        <f t="shared" si="212"/>
        <v>0</v>
      </c>
      <c r="CL468" s="10">
        <v>0</v>
      </c>
      <c r="CM468" s="255">
        <f t="shared" si="213"/>
        <v>0</v>
      </c>
      <c r="CN468" s="232">
        <f>IFERROR(VLOOKUP(CM468,'Rangos amb etnico'!$A$2:$C$6,3,9),"N.D.")</f>
        <v>0</v>
      </c>
      <c r="CO468" s="311">
        <f t="shared" si="214"/>
        <v>0</v>
      </c>
      <c r="CP468">
        <v>0.93501690835904094</v>
      </c>
      <c r="CQ468" t="s">
        <v>2864</v>
      </c>
      <c r="CR468">
        <f t="shared" si="205"/>
        <v>2</v>
      </c>
      <c r="CS468" t="str">
        <f t="shared" si="215"/>
        <v>No es Candidato</v>
      </c>
      <c r="CT468">
        <v>0</v>
      </c>
      <c r="CU468">
        <v>0</v>
      </c>
      <c r="CV468" s="25">
        <v>48.815204620361328</v>
      </c>
      <c r="CW468" s="25">
        <v>15.565019607543951</v>
      </c>
      <c r="CX468" s="25">
        <v>48.592891693115227</v>
      </c>
      <c r="CY468" s="25">
        <v>50.732006072998047</v>
      </c>
      <c r="CZ468" s="25">
        <v>39.146644592285163</v>
      </c>
      <c r="DA468" s="25">
        <v>82.04888916015625</v>
      </c>
      <c r="DB468" s="25">
        <v>56.805789947509773</v>
      </c>
      <c r="DC468">
        <v>500</v>
      </c>
      <c r="DD468" s="253" t="s">
        <v>380</v>
      </c>
    </row>
    <row r="469" spans="1:108" hidden="1">
      <c r="A469" s="13">
        <v>44560</v>
      </c>
      <c r="B469" s="13" t="s">
        <v>1389</v>
      </c>
      <c r="C469" s="13" t="s">
        <v>933</v>
      </c>
      <c r="D469" s="13" t="s">
        <v>934</v>
      </c>
      <c r="E469" s="13" t="s">
        <v>1193</v>
      </c>
      <c r="F469" s="14">
        <v>47.139233333333301</v>
      </c>
      <c r="G469" s="13">
        <v>61.6</v>
      </c>
      <c r="H469" s="13">
        <v>66.63</v>
      </c>
      <c r="I469" s="13">
        <v>76.02</v>
      </c>
      <c r="J469" s="14">
        <v>47.567353125331486</v>
      </c>
      <c r="K469" s="14">
        <v>44.670029485513354</v>
      </c>
      <c r="L469" s="14">
        <v>53.048702803015708</v>
      </c>
      <c r="M469" s="14">
        <v>46.1267</v>
      </c>
      <c r="N469" s="14">
        <f t="shared" si="189"/>
        <v>62.847308333333316</v>
      </c>
      <c r="O469" s="14">
        <f t="shared" si="190"/>
        <v>47.853196353465137</v>
      </c>
      <c r="P469" s="14">
        <f t="shared" si="206"/>
        <v>55.350252343399227</v>
      </c>
      <c r="Q469" s="14">
        <v>53.822559170622242</v>
      </c>
      <c r="R469" s="17">
        <f t="shared" si="191"/>
        <v>46.177440829377758</v>
      </c>
      <c r="S469" s="14">
        <f t="shared" si="207"/>
        <v>0.51559696746439987</v>
      </c>
      <c r="T469" s="13">
        <v>0</v>
      </c>
      <c r="U469" s="13">
        <f t="shared" si="208"/>
        <v>28.538422256645934</v>
      </c>
      <c r="V469" s="13">
        <f>IF($T469=1,$AU469,(VLOOKUP(U469,'Cortes naturales'!$A$35:$C$39,3,9)))</f>
        <v>4</v>
      </c>
      <c r="W469" s="13">
        <v>4</v>
      </c>
      <c r="X469" s="14" t="b">
        <f t="shared" si="192"/>
        <v>1</v>
      </c>
      <c r="Y469" s="17">
        <f>IF($T469=1,$AU469,VLOOKUP(U469,'Cortes naturales'!$A$45:$C$49,3,9))</f>
        <v>3</v>
      </c>
      <c r="Z469" s="14">
        <v>52.489810206301499</v>
      </c>
      <c r="AA469" s="14">
        <v>0.53352343166493255</v>
      </c>
      <c r="AB469" s="14">
        <v>28.004543668706976</v>
      </c>
      <c r="AC469" s="13">
        <v>3</v>
      </c>
      <c r="AD469" s="13">
        <f t="shared" si="193"/>
        <v>0</v>
      </c>
      <c r="AE469" s="14">
        <f t="shared" si="194"/>
        <v>2.8604421370977278</v>
      </c>
      <c r="AF469" s="14">
        <f t="shared" si="195"/>
        <v>-1.7926464200532677E-2</v>
      </c>
      <c r="AG469" s="13">
        <f t="shared" si="196"/>
        <v>0.53387858793895759</v>
      </c>
      <c r="AH469" s="13">
        <f>IF($T469=1,$AU469,VLOOKUP(U469,'Cortes naturales'!$A$25:$C$29,3,9))</f>
        <v>3</v>
      </c>
      <c r="AI469" s="13" t="b">
        <f t="shared" si="197"/>
        <v>1</v>
      </c>
      <c r="AJ469" s="13">
        <f t="shared" si="198"/>
        <v>0</v>
      </c>
      <c r="AK469" s="28">
        <v>0.81759069605862034</v>
      </c>
      <c r="AL469" s="28">
        <v>42.915180462554915</v>
      </c>
      <c r="AM469" s="28">
        <v>0.36619765888045125</v>
      </c>
      <c r="AN469" s="13">
        <v>3</v>
      </c>
      <c r="AO469" s="33">
        <f t="shared" si="199"/>
        <v>0</v>
      </c>
      <c r="AP469" s="13">
        <f t="shared" si="209"/>
        <v>36.619765888045123</v>
      </c>
      <c r="AQ469" s="13">
        <f>IFERROR(VLOOKUP(U469,'Cortes naturales'!$E$15:$G$19,3,9),U469)</f>
        <v>4</v>
      </c>
      <c r="AR469" s="28">
        <f t="shared" si="200"/>
        <v>-0.30199372859422047</v>
      </c>
      <c r="AS469" s="13" t="b">
        <f t="shared" si="201"/>
        <v>0</v>
      </c>
      <c r="AT469" s="13">
        <f t="shared" si="210"/>
        <v>0</v>
      </c>
      <c r="AU469" s="13">
        <v>3</v>
      </c>
      <c r="AV469">
        <f t="shared" si="202"/>
        <v>0</v>
      </c>
      <c r="AW469" s="13">
        <v>0</v>
      </c>
      <c r="AX469" s="13">
        <v>0</v>
      </c>
      <c r="AY469" s="13">
        <v>0</v>
      </c>
      <c r="AZ469" s="13">
        <v>0</v>
      </c>
      <c r="BA469">
        <v>0</v>
      </c>
      <c r="BB469" t="s">
        <v>2840</v>
      </c>
      <c r="BC469">
        <v>4</v>
      </c>
      <c r="BD469" t="s">
        <v>2919</v>
      </c>
      <c r="BE469">
        <v>0</v>
      </c>
      <c r="BF469" s="232" t="s">
        <v>2846</v>
      </c>
      <c r="BG469" s="232" t="s">
        <v>2846</v>
      </c>
      <c r="BH469" s="253">
        <v>86.7</v>
      </c>
      <c r="BI469" s="253">
        <v>81.102362204724415</v>
      </c>
      <c r="BJ469" s="25">
        <v>12.518261913803743</v>
      </c>
      <c r="BK469" t="s">
        <v>377</v>
      </c>
      <c r="BL469">
        <v>0.23825741906886422</v>
      </c>
      <c r="BM469" t="s">
        <v>383</v>
      </c>
      <c r="BN469" s="322">
        <v>167361.79220200001</v>
      </c>
      <c r="BO469" s="322">
        <v>13999.989826000001</v>
      </c>
      <c r="BP469" s="10">
        <v>96422</v>
      </c>
      <c r="BQ469" s="254">
        <f t="shared" si="203"/>
        <v>1.7357220572276038</v>
      </c>
      <c r="BR469" s="254">
        <f t="shared" si="204"/>
        <v>0.14519497444566593</v>
      </c>
      <c r="BS469" s="25">
        <v>75.752697664520085</v>
      </c>
      <c r="BT469" s="25">
        <v>95.253271516839106</v>
      </c>
      <c r="BU469" s="25">
        <v>26.456685608272029</v>
      </c>
      <c r="BV469" s="25">
        <v>98.934273359096252</v>
      </c>
      <c r="BW469" s="25">
        <v>42.128902428252381</v>
      </c>
      <c r="BX469" s="25">
        <v>74.099232037181878</v>
      </c>
      <c r="BY469" s="25">
        <v>44.089395925403771</v>
      </c>
      <c r="BZ469">
        <v>76</v>
      </c>
      <c r="CA469">
        <v>0</v>
      </c>
      <c r="CB469">
        <v>7</v>
      </c>
      <c r="CC469">
        <v>161612.56005999999</v>
      </c>
      <c r="CD469" s="10">
        <v>8908.2882539999991</v>
      </c>
      <c r="CE469" s="255">
        <v>5.5121261928483309E-2</v>
      </c>
      <c r="CF469" t="str">
        <f>IFERROR(VLOOKUP(CE469,'Rangos amb etnico'!$A$2:$C$6,3,9),"N.D.")</f>
        <v>0,1% - 30%</v>
      </c>
      <c r="CG469" s="256">
        <v>2.5917568657332483E-4</v>
      </c>
      <c r="CH469" s="232">
        <v>151825.13355999999</v>
      </c>
      <c r="CI469" s="311">
        <f t="shared" si="211"/>
        <v>0.93943894895071067</v>
      </c>
      <c r="CJ469" s="232" t="str">
        <f>IFERROR(VLOOKUP(CI469,'Rangos amb etnico'!$A$2:$C$6,3,9),"N.D.")</f>
        <v>71% - 100%</v>
      </c>
      <c r="CK469" s="311">
        <f t="shared" si="212"/>
        <v>6.0284518319197507E-3</v>
      </c>
      <c r="CL469" s="10">
        <v>0</v>
      </c>
      <c r="CM469" s="255">
        <f t="shared" si="213"/>
        <v>0</v>
      </c>
      <c r="CN469" s="232">
        <f>IFERROR(VLOOKUP(CM469,'Rangos amb etnico'!$A$2:$C$6,3,9),"N.D.")</f>
        <v>0</v>
      </c>
      <c r="CO469" s="311">
        <f t="shared" si="214"/>
        <v>0</v>
      </c>
      <c r="CP469">
        <v>0.93551639962822541</v>
      </c>
      <c r="CQ469" t="s">
        <v>2864</v>
      </c>
      <c r="CR469">
        <f t="shared" si="205"/>
        <v>2</v>
      </c>
      <c r="CS469" t="str">
        <f t="shared" si="215"/>
        <v>No es Candidato</v>
      </c>
      <c r="CT469">
        <v>1</v>
      </c>
      <c r="CU469" t="s">
        <v>2836</v>
      </c>
      <c r="CV469" s="25">
        <v>41.881397247314453</v>
      </c>
      <c r="CW469" s="25">
        <v>27.188005447387699</v>
      </c>
      <c r="CX469" s="25">
        <v>50.094093322753913</v>
      </c>
      <c r="CY469" s="25">
        <v>20.49599456787109</v>
      </c>
      <c r="CZ469" s="25">
        <v>8.5282764434814453</v>
      </c>
      <c r="DA469" s="25">
        <v>84.625137329101563</v>
      </c>
      <c r="DB469" s="25">
        <v>60.356876373291023</v>
      </c>
      <c r="DC469">
        <v>77213</v>
      </c>
      <c r="DD469" s="253" t="s">
        <v>380</v>
      </c>
    </row>
    <row r="470" spans="1:108" hidden="1">
      <c r="A470" s="13">
        <v>15632</v>
      </c>
      <c r="B470" s="13" t="s">
        <v>1390</v>
      </c>
      <c r="C470" s="13" t="s">
        <v>498</v>
      </c>
      <c r="D470" s="13" t="s">
        <v>499</v>
      </c>
      <c r="E470" s="13" t="s">
        <v>1391</v>
      </c>
      <c r="F470" s="14">
        <v>83.148333333333298</v>
      </c>
      <c r="G470" s="13">
        <v>88.42</v>
      </c>
      <c r="H470" s="13">
        <v>64.87</v>
      </c>
      <c r="I470" s="13">
        <v>57.73</v>
      </c>
      <c r="J470" s="14">
        <v>54.335882268597075</v>
      </c>
      <c r="K470" s="14">
        <v>53.014755794278734</v>
      </c>
      <c r="L470" s="14">
        <v>61.415729930676093</v>
      </c>
      <c r="M470" s="14">
        <v>49.4953</v>
      </c>
      <c r="N470" s="14">
        <f t="shared" si="189"/>
        <v>73.542083333333323</v>
      </c>
      <c r="O470" s="14">
        <f t="shared" si="190"/>
        <v>54.565416998387974</v>
      </c>
      <c r="P470" s="14">
        <f t="shared" si="206"/>
        <v>64.053750165860649</v>
      </c>
      <c r="Q470" s="14">
        <v>53.331095570206536</v>
      </c>
      <c r="R470" s="17">
        <f t="shared" si="191"/>
        <v>46.668904429793464</v>
      </c>
      <c r="S470" s="14">
        <f t="shared" si="207"/>
        <v>0.52002013986814122</v>
      </c>
      <c r="T470" s="13">
        <v>0</v>
      </c>
      <c r="U470" s="13">
        <f t="shared" si="208"/>
        <v>33.309240120329825</v>
      </c>
      <c r="V470" s="13">
        <f>IF($T470=1,$AU470,(VLOOKUP(U470,'Cortes naturales'!$A$35:$C$39,3,9)))</f>
        <v>3</v>
      </c>
      <c r="W470" s="13">
        <v>3</v>
      </c>
      <c r="X470" s="14" t="b">
        <f t="shared" si="192"/>
        <v>1</v>
      </c>
      <c r="Y470" s="17">
        <f>IF($T470=1,$AU470,VLOOKUP(U470,'Cortes naturales'!$A$45:$C$49,3,9))</f>
        <v>3</v>
      </c>
      <c r="Z470" s="14">
        <v>67.535570739696198</v>
      </c>
      <c r="AA470" s="14">
        <v>0.53112893153589602</v>
      </c>
      <c r="AB470" s="14">
        <v>35.870095527641766</v>
      </c>
      <c r="AC470" s="13">
        <v>2</v>
      </c>
      <c r="AD470" s="13">
        <f t="shared" si="193"/>
        <v>-1</v>
      </c>
      <c r="AE470" s="14">
        <f t="shared" si="194"/>
        <v>-3.4818205738355488</v>
      </c>
      <c r="AF470" s="14">
        <f t="shared" si="195"/>
        <v>-1.1108791667754803E-2</v>
      </c>
      <c r="AG470" s="13">
        <f t="shared" si="196"/>
        <v>-2.5608554073119407</v>
      </c>
      <c r="AH470" s="13">
        <f>IF($T470=1,$AU470,VLOOKUP(U470,'Cortes naturales'!$A$25:$C$29,3,9))</f>
        <v>3</v>
      </c>
      <c r="AI470" s="13" t="b">
        <f t="shared" si="197"/>
        <v>1</v>
      </c>
      <c r="AJ470" s="13" t="str">
        <f t="shared" si="198"/>
        <v>Efecto ponderador</v>
      </c>
      <c r="AK470" s="28">
        <v>0.81759069605862034</v>
      </c>
      <c r="AL470" s="28">
        <v>55.216454289784409</v>
      </c>
      <c r="AM470" s="28">
        <v>0.52007362769424315</v>
      </c>
      <c r="AN470" s="13">
        <v>2</v>
      </c>
      <c r="AO470" s="33">
        <f t="shared" si="199"/>
        <v>-1</v>
      </c>
      <c r="AP470" s="13">
        <f t="shared" si="209"/>
        <v>52.007362769424311</v>
      </c>
      <c r="AQ470" s="13">
        <f>IFERROR(VLOOKUP(U470,'Cortes naturales'!$E$15:$G$19,3,9),U470)</f>
        <v>4</v>
      </c>
      <c r="AR470" s="28">
        <f t="shared" si="200"/>
        <v>-0.29757055619047912</v>
      </c>
      <c r="AS470" s="13" t="b">
        <f t="shared" si="201"/>
        <v>0</v>
      </c>
      <c r="AT470" s="13" t="str">
        <f t="shared" si="210"/>
        <v>Cambio en corte</v>
      </c>
      <c r="AU470" s="13">
        <v>2</v>
      </c>
      <c r="AV470">
        <f t="shared" si="202"/>
        <v>-1</v>
      </c>
      <c r="AW470" s="13">
        <v>0</v>
      </c>
      <c r="AX470" s="13">
        <v>0</v>
      </c>
      <c r="AY470" s="13">
        <v>0</v>
      </c>
      <c r="AZ470" s="13">
        <v>0</v>
      </c>
      <c r="BA470">
        <v>0</v>
      </c>
      <c r="BB470" t="s">
        <v>2840</v>
      </c>
      <c r="BC470">
        <v>6</v>
      </c>
      <c r="BD470" t="s">
        <v>2919</v>
      </c>
      <c r="BE470">
        <v>0</v>
      </c>
      <c r="BF470" s="232" t="s">
        <v>2846</v>
      </c>
      <c r="BG470" s="232" t="s">
        <v>2846</v>
      </c>
      <c r="BH470" s="253">
        <v>41.8</v>
      </c>
      <c r="BI470" s="253">
        <v>15.993190574321297</v>
      </c>
      <c r="BJ470" s="25">
        <v>30.000138315844396</v>
      </c>
      <c r="BK470" t="s">
        <v>379</v>
      </c>
      <c r="BL470">
        <v>0</v>
      </c>
      <c r="BM470" t="s">
        <v>377</v>
      </c>
      <c r="BN470" s="322">
        <v>28788.491400999999</v>
      </c>
      <c r="BO470" s="322">
        <v>3046.8107669999999</v>
      </c>
      <c r="BP470" s="10">
        <v>14424</v>
      </c>
      <c r="BQ470" s="254">
        <f t="shared" si="203"/>
        <v>1.9958743345119245</v>
      </c>
      <c r="BR470" s="254">
        <f t="shared" si="204"/>
        <v>0.21123202766222962</v>
      </c>
      <c r="BS470" s="25">
        <v>56.198465443857337</v>
      </c>
      <c r="BT470" s="25">
        <v>88.55701394527641</v>
      </c>
      <c r="BU470" s="25">
        <v>61.517041604999157</v>
      </c>
      <c r="BV470" s="25">
        <v>89.506079723252796</v>
      </c>
      <c r="BW470" s="25">
        <v>57.17556095275571</v>
      </c>
      <c r="BX470" s="25">
        <v>73.944650179346425</v>
      </c>
      <c r="BY470" s="25">
        <v>57.207260264922411</v>
      </c>
      <c r="BZ470">
        <v>86</v>
      </c>
      <c r="CA470">
        <v>0</v>
      </c>
      <c r="CB470">
        <v>7</v>
      </c>
      <c r="CC470">
        <v>24828.825861000001</v>
      </c>
      <c r="CD470" s="10">
        <v>4503.7065089999996</v>
      </c>
      <c r="CE470" s="255">
        <v>0.18139023303853521</v>
      </c>
      <c r="CF470" t="str">
        <f>IFERROR(VLOOKUP(CE470,'Rangos amb etnico'!$A$2:$C$6,3,9),"N.D.")</f>
        <v>0,1% - 30%</v>
      </c>
      <c r="CG470" s="256">
        <v>1.3102979981263041E-4</v>
      </c>
      <c r="CH470" s="232">
        <v>0</v>
      </c>
      <c r="CI470" s="311">
        <f t="shared" si="211"/>
        <v>0</v>
      </c>
      <c r="CJ470" s="232">
        <f>IFERROR(VLOOKUP(CI470,'Rangos amb etnico'!$A$2:$C$6,3,9),"N.D.")</f>
        <v>0</v>
      </c>
      <c r="CK470" s="311">
        <f t="shared" si="212"/>
        <v>0</v>
      </c>
      <c r="CL470" s="10">
        <v>0</v>
      </c>
      <c r="CM470" s="255">
        <f t="shared" si="213"/>
        <v>0</v>
      </c>
      <c r="CN470" s="232">
        <f>IFERROR(VLOOKUP(CM470,'Rangos amb etnico'!$A$2:$C$6,3,9),"N.D.")</f>
        <v>0</v>
      </c>
      <c r="CO470" s="311">
        <f t="shared" si="214"/>
        <v>0</v>
      </c>
      <c r="CP470">
        <v>0.94175538705601736</v>
      </c>
      <c r="CQ470" t="s">
        <v>2864</v>
      </c>
      <c r="CR470">
        <f t="shared" si="205"/>
        <v>1</v>
      </c>
      <c r="CS470" t="str">
        <f t="shared" si="215"/>
        <v>No es Candidato</v>
      </c>
      <c r="CT470">
        <v>0</v>
      </c>
      <c r="CU470">
        <v>0</v>
      </c>
      <c r="CV470" s="25">
        <v>51.385284423828118</v>
      </c>
      <c r="CW470" s="25">
        <v>20.778671264648441</v>
      </c>
      <c r="CX470" s="25">
        <v>50.630104064941413</v>
      </c>
      <c r="CY470" s="25">
        <v>64.013412475585938</v>
      </c>
      <c r="CZ470" s="25">
        <v>50.95416259765625</v>
      </c>
      <c r="DA470" s="25">
        <v>75.968521118164063</v>
      </c>
      <c r="DB470" s="25">
        <v>45.966835021972663</v>
      </c>
      <c r="DC470">
        <v>81</v>
      </c>
      <c r="DD470" s="253" t="s">
        <v>380</v>
      </c>
    </row>
    <row r="471" spans="1:108" hidden="1">
      <c r="A471" s="13">
        <v>76243</v>
      </c>
      <c r="B471" s="13" t="s">
        <v>1392</v>
      </c>
      <c r="C471" s="13" t="s">
        <v>454</v>
      </c>
      <c r="D471" s="13" t="s">
        <v>455</v>
      </c>
      <c r="E471" s="13" t="s">
        <v>1393</v>
      </c>
      <c r="F471" s="14">
        <v>59.087566666666703</v>
      </c>
      <c r="G471" s="13">
        <v>60.69</v>
      </c>
      <c r="H471" s="13">
        <v>55.4</v>
      </c>
      <c r="I471" s="13">
        <v>64.28</v>
      </c>
      <c r="J471" s="14">
        <v>40.818631454260043</v>
      </c>
      <c r="K471" s="14">
        <v>35.403091042527777</v>
      </c>
      <c r="L471" s="14">
        <v>42.567855586182304</v>
      </c>
      <c r="M471" s="14">
        <v>41.921100000000003</v>
      </c>
      <c r="N471" s="14">
        <f t="shared" si="189"/>
        <v>59.864391666666677</v>
      </c>
      <c r="O471" s="14">
        <f t="shared" si="190"/>
        <v>40.177669520742533</v>
      </c>
      <c r="P471" s="14">
        <f t="shared" si="206"/>
        <v>50.021030593704609</v>
      </c>
      <c r="Q471" s="14">
        <v>53.178570797683257</v>
      </c>
      <c r="R471" s="17">
        <f t="shared" si="191"/>
        <v>46.821429202316743</v>
      </c>
      <c r="S471" s="14">
        <f t="shared" si="207"/>
        <v>0.52139286282085073</v>
      </c>
      <c r="T471" s="13">
        <v>0</v>
      </c>
      <c r="U471" s="13">
        <f t="shared" si="208"/>
        <v>26.080608342501005</v>
      </c>
      <c r="V471" s="13">
        <f>IF($T471=1,$AU471,(VLOOKUP(U471,'Cortes naturales'!$A$35:$C$39,3,9)))</f>
        <v>4</v>
      </c>
      <c r="W471" s="13">
        <v>4</v>
      </c>
      <c r="X471" s="14" t="b">
        <f t="shared" si="192"/>
        <v>1</v>
      </c>
      <c r="Y471" s="17">
        <f>IF($T471=1,$AU471,VLOOKUP(U471,'Cortes naturales'!$A$45:$C$49,3,9))</f>
        <v>4</v>
      </c>
      <c r="Z471" s="14">
        <v>48.731440011714007</v>
      </c>
      <c r="AA471" s="14">
        <v>0.53306746746560585</v>
      </c>
      <c r="AB471" s="14">
        <v>25.97714531299648</v>
      </c>
      <c r="AC471" s="13">
        <v>4</v>
      </c>
      <c r="AD471" s="13">
        <f t="shared" si="193"/>
        <v>0</v>
      </c>
      <c r="AE471" s="14">
        <f t="shared" si="194"/>
        <v>1.2895905819906019</v>
      </c>
      <c r="AF471" s="14">
        <f t="shared" si="195"/>
        <v>-1.1674604644755116E-2</v>
      </c>
      <c r="AG471" s="13">
        <f t="shared" si="196"/>
        <v>0.10346302950452468</v>
      </c>
      <c r="AH471" s="13">
        <f>IF($T471=1,$AU471,VLOOKUP(U471,'Cortes naturales'!$A$25:$C$29,3,9))</f>
        <v>4</v>
      </c>
      <c r="AI471" s="13" t="b">
        <f t="shared" si="197"/>
        <v>1</v>
      </c>
      <c r="AJ471" s="13">
        <f t="shared" si="198"/>
        <v>0</v>
      </c>
      <c r="AK471" s="28">
        <v>0.81759069605862034</v>
      </c>
      <c r="AL471" s="28">
        <v>39.842371959116157</v>
      </c>
      <c r="AM471" s="28">
        <v>0.32776006354790443</v>
      </c>
      <c r="AN471" s="13">
        <v>4</v>
      </c>
      <c r="AO471" s="33">
        <f t="shared" si="199"/>
        <v>0</v>
      </c>
      <c r="AP471" s="13">
        <f t="shared" si="209"/>
        <v>32.776006354790447</v>
      </c>
      <c r="AQ471" s="13">
        <f>IFERROR(VLOOKUP(U471,'Cortes naturales'!$E$15:$G$19,3,9),U471)</f>
        <v>4</v>
      </c>
      <c r="AR471" s="28">
        <f t="shared" si="200"/>
        <v>-0.2961978332377696</v>
      </c>
      <c r="AS471" s="13" t="b">
        <f t="shared" si="201"/>
        <v>1</v>
      </c>
      <c r="AT471" s="13">
        <f t="shared" si="210"/>
        <v>0</v>
      </c>
      <c r="AU471" s="13">
        <v>3</v>
      </c>
      <c r="AV471">
        <f t="shared" si="202"/>
        <v>-1</v>
      </c>
      <c r="AW471" s="13">
        <v>0</v>
      </c>
      <c r="AX471" s="13">
        <v>0</v>
      </c>
      <c r="AY471" s="13">
        <v>0</v>
      </c>
      <c r="AZ471" s="13">
        <v>0</v>
      </c>
      <c r="BA471">
        <v>1</v>
      </c>
      <c r="BB471" t="s">
        <v>2840</v>
      </c>
      <c r="BC471">
        <v>6</v>
      </c>
      <c r="BD471" t="s">
        <v>2919</v>
      </c>
      <c r="BE471">
        <v>0</v>
      </c>
      <c r="BF471" s="232" t="s">
        <v>2846</v>
      </c>
      <c r="BG471" s="232" t="s">
        <v>2846</v>
      </c>
      <c r="BH471" s="253">
        <v>43.5</v>
      </c>
      <c r="BI471" s="253">
        <v>13.929201139292012</v>
      </c>
      <c r="BJ471" s="25">
        <v>37.741165447198867</v>
      </c>
      <c r="BK471" t="s">
        <v>376</v>
      </c>
      <c r="BL471">
        <v>9.1099155282516229</v>
      </c>
      <c r="BM471" t="s">
        <v>379</v>
      </c>
      <c r="BN471" s="322">
        <v>23033.750194</v>
      </c>
      <c r="BO471" s="322">
        <v>1789.108066</v>
      </c>
      <c r="BP471" s="10">
        <v>9210</v>
      </c>
      <c r="BQ471" s="254">
        <f t="shared" si="203"/>
        <v>2.5009500753528773</v>
      </c>
      <c r="BR471" s="254">
        <f t="shared" si="204"/>
        <v>0.19425711900108578</v>
      </c>
      <c r="BS471" s="25">
        <v>50.004597649758942</v>
      </c>
      <c r="BT471" s="25">
        <v>91.608835729279761</v>
      </c>
      <c r="BU471" s="25">
        <v>41.087399602138497</v>
      </c>
      <c r="BV471" s="25">
        <v>78.548512112795279</v>
      </c>
      <c r="BW471" s="25">
        <v>62.310573649354367</v>
      </c>
      <c r="BX471" s="25">
        <v>65.312336273493116</v>
      </c>
      <c r="BY471" s="25">
        <v>61.583151157788251</v>
      </c>
      <c r="BZ471">
        <v>91</v>
      </c>
      <c r="CA471">
        <v>0</v>
      </c>
      <c r="CB471">
        <v>7</v>
      </c>
      <c r="CC471">
        <v>18782.405535000002</v>
      </c>
      <c r="CD471" s="10">
        <v>2954.8358039999998</v>
      </c>
      <c r="CE471" s="255">
        <v>0.15731934860493893</v>
      </c>
      <c r="CF471" t="str">
        <f>IFERROR(VLOOKUP(CE471,'Rangos amb etnico'!$A$2:$C$6,3,9),"N.D.")</f>
        <v>0,1% - 30%</v>
      </c>
      <c r="CG471" s="256">
        <v>8.5967312280142377E-5</v>
      </c>
      <c r="CH471" s="232">
        <v>0</v>
      </c>
      <c r="CI471" s="311">
        <f t="shared" si="211"/>
        <v>0</v>
      </c>
      <c r="CJ471" s="232">
        <f>IFERROR(VLOOKUP(CI471,'Rangos amb etnico'!$A$2:$C$6,3,9),"N.D.")</f>
        <v>0</v>
      </c>
      <c r="CK471" s="311">
        <f t="shared" si="212"/>
        <v>0</v>
      </c>
      <c r="CL471" s="10">
        <v>0</v>
      </c>
      <c r="CM471" s="255">
        <f t="shared" si="213"/>
        <v>0</v>
      </c>
      <c r="CN471" s="232">
        <f>IFERROR(VLOOKUP(CM471,'Rangos amb etnico'!$A$2:$C$6,3,9),"N.D.")</f>
        <v>0</v>
      </c>
      <c r="CO471" s="311">
        <f t="shared" si="214"/>
        <v>0</v>
      </c>
      <c r="CP471">
        <v>0.95925022294175055</v>
      </c>
      <c r="CQ471" t="s">
        <v>2864</v>
      </c>
      <c r="CR471">
        <f t="shared" si="205"/>
        <v>3</v>
      </c>
      <c r="CS471" t="str">
        <f t="shared" si="215"/>
        <v>Candidato</v>
      </c>
      <c r="CT471">
        <v>0</v>
      </c>
      <c r="CU471">
        <v>0</v>
      </c>
      <c r="CV471" s="25">
        <v>46.970653533935547</v>
      </c>
      <c r="CW471" s="25">
        <v>25.180398941040039</v>
      </c>
      <c r="CX471" s="25">
        <v>58.458381652832031</v>
      </c>
      <c r="CY471" s="25">
        <v>52.389533996582031</v>
      </c>
      <c r="CZ471" s="25">
        <v>49.227550506591797</v>
      </c>
      <c r="DA471" s="25">
        <v>60.988548278808587</v>
      </c>
      <c r="DB471" s="25">
        <v>35.579502105712891</v>
      </c>
      <c r="DC471">
        <v>313</v>
      </c>
      <c r="DD471" s="253" t="s">
        <v>380</v>
      </c>
    </row>
    <row r="472" spans="1:108" hidden="1">
      <c r="A472" s="13">
        <v>52786</v>
      </c>
      <c r="B472" s="13" t="s">
        <v>1394</v>
      </c>
      <c r="C472" s="13" t="s">
        <v>672</v>
      </c>
      <c r="D472" s="13" t="s">
        <v>673</v>
      </c>
      <c r="E472" s="13" t="s">
        <v>1395</v>
      </c>
      <c r="F472" s="14">
        <v>50.065366666666698</v>
      </c>
      <c r="G472" s="13">
        <v>44.06</v>
      </c>
      <c r="H472" s="13">
        <v>41.29</v>
      </c>
      <c r="I472" s="13">
        <v>48.19</v>
      </c>
      <c r="J472" s="14">
        <v>58.874389201953342</v>
      </c>
      <c r="K472" s="14">
        <v>53.528916177408512</v>
      </c>
      <c r="L472" s="14">
        <v>45.566665043055487</v>
      </c>
      <c r="M472" s="14">
        <v>61.227800000000002</v>
      </c>
      <c r="N472" s="14">
        <f t="shared" si="189"/>
        <v>45.901341666666674</v>
      </c>
      <c r="O472" s="14">
        <f t="shared" si="190"/>
        <v>54.799442605604334</v>
      </c>
      <c r="P472" s="14">
        <f t="shared" si="206"/>
        <v>50.350392136135504</v>
      </c>
      <c r="Q472" s="14">
        <v>52.942633370894264</v>
      </c>
      <c r="R472" s="17">
        <f t="shared" si="191"/>
        <v>47.057366629105736</v>
      </c>
      <c r="S472" s="14">
        <f t="shared" si="207"/>
        <v>0.52351629966195168</v>
      </c>
      <c r="T472" s="13">
        <v>0</v>
      </c>
      <c r="U472" s="13">
        <f t="shared" si="208"/>
        <v>26.359250977637888</v>
      </c>
      <c r="V472" s="13">
        <f>IF($T472=1,$AU472,(VLOOKUP(U472,'Cortes naturales'!$A$35:$C$39,3,9)))</f>
        <v>4</v>
      </c>
      <c r="W472" s="13">
        <v>4</v>
      </c>
      <c r="X472" s="14" t="b">
        <f t="shared" si="192"/>
        <v>1</v>
      </c>
      <c r="Y472" s="17">
        <f>IF($T472=1,$AU472,VLOOKUP(U472,'Cortes naturales'!$A$45:$C$49,3,9))</f>
        <v>4</v>
      </c>
      <c r="Z472" s="14">
        <v>48.800309388207282</v>
      </c>
      <c r="AA472" s="14">
        <v>0.53332668516794579</v>
      </c>
      <c r="AB472" s="14">
        <v>26.026507241182774</v>
      </c>
      <c r="AC472" s="13">
        <v>4</v>
      </c>
      <c r="AD472" s="13">
        <f t="shared" si="193"/>
        <v>0</v>
      </c>
      <c r="AE472" s="14">
        <f t="shared" si="194"/>
        <v>1.5500827479282222</v>
      </c>
      <c r="AF472" s="14">
        <f t="shared" si="195"/>
        <v>-9.8103855059941125E-3</v>
      </c>
      <c r="AG472" s="13">
        <f t="shared" si="196"/>
        <v>0.33274373645511446</v>
      </c>
      <c r="AH472" s="13">
        <f>IF($T472=1,$AU472,VLOOKUP(U472,'Cortes naturales'!$A$25:$C$29,3,9))</f>
        <v>4</v>
      </c>
      <c r="AI472" s="13" t="b">
        <f t="shared" si="197"/>
        <v>1</v>
      </c>
      <c r="AJ472" s="13">
        <f t="shared" si="198"/>
        <v>0</v>
      </c>
      <c r="AK472" s="28">
        <v>0.81759069605862034</v>
      </c>
      <c r="AL472" s="28">
        <v>39.898678920580416</v>
      </c>
      <c r="AM472" s="28">
        <v>0.32846440428269036</v>
      </c>
      <c r="AN472" s="13">
        <v>4</v>
      </c>
      <c r="AO472" s="33">
        <f t="shared" si="199"/>
        <v>0</v>
      </c>
      <c r="AP472" s="13">
        <f t="shared" si="209"/>
        <v>32.846440428269034</v>
      </c>
      <c r="AQ472" s="13">
        <f>IFERROR(VLOOKUP(U472,'Cortes naturales'!$E$15:$G$19,3,9),U472)</f>
        <v>4</v>
      </c>
      <c r="AR472" s="28">
        <f t="shared" si="200"/>
        <v>-0.29407439639666866</v>
      </c>
      <c r="AS472" s="13" t="b">
        <f t="shared" si="201"/>
        <v>1</v>
      </c>
      <c r="AT472" s="13">
        <f t="shared" si="210"/>
        <v>0</v>
      </c>
      <c r="AU472" s="13">
        <v>4</v>
      </c>
      <c r="AV472">
        <f t="shared" si="202"/>
        <v>0</v>
      </c>
      <c r="AW472" s="13">
        <v>0</v>
      </c>
      <c r="AX472" s="13">
        <v>0</v>
      </c>
      <c r="AY472" s="13">
        <v>0</v>
      </c>
      <c r="AZ472" s="13">
        <v>0</v>
      </c>
      <c r="BA472">
        <v>0</v>
      </c>
      <c r="BB472" t="s">
        <v>2840</v>
      </c>
      <c r="BC472">
        <v>6</v>
      </c>
      <c r="BD472" t="s">
        <v>2919</v>
      </c>
      <c r="BE472">
        <v>1</v>
      </c>
      <c r="BF472" s="232" t="s">
        <v>2846</v>
      </c>
      <c r="BG472" s="232" t="s">
        <v>2846</v>
      </c>
      <c r="BH472" s="253">
        <v>36.1</v>
      </c>
      <c r="BI472" s="253">
        <v>16.240591746690889</v>
      </c>
      <c r="BJ472" s="25">
        <v>36.777737391503031</v>
      </c>
      <c r="BK472" t="s">
        <v>376</v>
      </c>
      <c r="BL472">
        <v>12.331928231899134</v>
      </c>
      <c r="BM472" t="s">
        <v>376</v>
      </c>
      <c r="BN472" s="322">
        <v>47026.225345999999</v>
      </c>
      <c r="BO472" s="322">
        <v>2261.6468559999998</v>
      </c>
      <c r="BP472" s="10">
        <v>18398</v>
      </c>
      <c r="BQ472" s="254">
        <f t="shared" si="203"/>
        <v>2.5560509482552449</v>
      </c>
      <c r="BR472" s="254">
        <f t="shared" si="204"/>
        <v>0.12292895184259157</v>
      </c>
      <c r="BS472" s="25">
        <v>70.339810000923194</v>
      </c>
      <c r="BT472" s="25">
        <v>91.963229170199668</v>
      </c>
      <c r="BU472" s="25">
        <v>45.357179243288932</v>
      </c>
      <c r="BV472" s="25">
        <v>84.188912829904069</v>
      </c>
      <c r="BW472" s="25">
        <v>49.495670125508852</v>
      </c>
      <c r="BX472" s="25">
        <v>72.962282811078964</v>
      </c>
      <c r="BY472" s="25">
        <v>49.495580273047267</v>
      </c>
      <c r="BZ472">
        <v>69</v>
      </c>
      <c r="CA472">
        <v>0</v>
      </c>
      <c r="CB472">
        <v>7</v>
      </c>
      <c r="CC472">
        <v>23480.32834</v>
      </c>
      <c r="CD472" s="10">
        <v>13453.101962999999</v>
      </c>
      <c r="CE472" s="255">
        <v>0.5729520374756395</v>
      </c>
      <c r="CF472" t="str">
        <f>IFERROR(VLOOKUP(CE472,'Rangos amb etnico'!$A$2:$C$6,3,9),"N.D.")</f>
        <v>51% - 70%</v>
      </c>
      <c r="CG472" s="256">
        <v>3.9140144979433772E-4</v>
      </c>
      <c r="CH472" s="232">
        <v>0</v>
      </c>
      <c r="CI472" s="311">
        <f t="shared" si="211"/>
        <v>0</v>
      </c>
      <c r="CJ472" s="232">
        <f>IFERROR(VLOOKUP(CI472,'Rangos amb etnico'!$A$2:$C$6,3,9),"N.D.")</f>
        <v>0</v>
      </c>
      <c r="CK472" s="311">
        <f t="shared" si="212"/>
        <v>0</v>
      </c>
      <c r="CL472" s="10">
        <v>0</v>
      </c>
      <c r="CM472" s="255">
        <f t="shared" si="213"/>
        <v>0</v>
      </c>
      <c r="CN472" s="232">
        <f>IFERROR(VLOOKUP(CM472,'Rangos amb etnico'!$A$2:$C$6,3,9),"N.D.")</f>
        <v>0</v>
      </c>
      <c r="CO472" s="311">
        <f t="shared" si="214"/>
        <v>0</v>
      </c>
      <c r="CP472">
        <v>0.97623713593349193</v>
      </c>
      <c r="CQ472" t="s">
        <v>2864</v>
      </c>
      <c r="CR472">
        <f t="shared" si="205"/>
        <v>2</v>
      </c>
      <c r="CS472" t="str">
        <f t="shared" si="215"/>
        <v>No es Candidato</v>
      </c>
      <c r="CT472">
        <v>0</v>
      </c>
      <c r="CU472">
        <v>0</v>
      </c>
      <c r="CV472" s="25">
        <v>42.501937866210938</v>
      </c>
      <c r="CW472" s="25">
        <v>16.46983528137207</v>
      </c>
      <c r="CX472" s="25">
        <v>49.986732482910163</v>
      </c>
      <c r="CY472" s="25">
        <v>54.99822998046875</v>
      </c>
      <c r="CZ472" s="25">
        <v>29.560667037963871</v>
      </c>
      <c r="DA472" s="25">
        <v>46.425037384033203</v>
      </c>
      <c r="DB472" s="25">
        <v>57.571121215820313</v>
      </c>
      <c r="DC472">
        <v>563</v>
      </c>
      <c r="DD472" s="253" t="s">
        <v>380</v>
      </c>
    </row>
    <row r="473" spans="1:108">
      <c r="A473" s="13">
        <v>5856</v>
      </c>
      <c r="B473" s="13" t="s">
        <v>1396</v>
      </c>
      <c r="C473" s="13" t="s">
        <v>435</v>
      </c>
      <c r="D473" s="13" t="s">
        <v>436</v>
      </c>
      <c r="E473" s="13" t="s">
        <v>1397</v>
      </c>
      <c r="F473" s="14">
        <v>60.159799999999997</v>
      </c>
      <c r="G473" s="13">
        <v>44.07</v>
      </c>
      <c r="H473" s="13">
        <v>37.67</v>
      </c>
      <c r="I473" s="13">
        <v>57.38</v>
      </c>
      <c r="J473" s="14">
        <v>28.196483472101193</v>
      </c>
      <c r="K473" s="14">
        <v>46.095350684358131</v>
      </c>
      <c r="L473" s="14">
        <v>43.013155991255452</v>
      </c>
      <c r="M473" s="14">
        <v>47.2425</v>
      </c>
      <c r="N473" s="14">
        <f t="shared" si="189"/>
        <v>49.819949999999999</v>
      </c>
      <c r="O473" s="14">
        <f t="shared" si="190"/>
        <v>41.136872536928692</v>
      </c>
      <c r="P473" s="14">
        <f t="shared" si="206"/>
        <v>45.478411268464342</v>
      </c>
      <c r="Q473" s="14">
        <v>52.555041380806543</v>
      </c>
      <c r="R473" s="17">
        <f t="shared" si="191"/>
        <v>47.444958619193457</v>
      </c>
      <c r="S473" s="14">
        <f t="shared" si="207"/>
        <v>0.52700462757274114</v>
      </c>
      <c r="T473" s="13">
        <v>0</v>
      </c>
      <c r="U473" s="13">
        <f t="shared" si="208"/>
        <v>23.967333193137005</v>
      </c>
      <c r="V473" s="13">
        <f>IF($T473=1,$AU473,(VLOOKUP(U473,'Cortes naturales'!$A$35:$C$39,3,9)))</f>
        <v>4</v>
      </c>
      <c r="W473" s="13">
        <v>4</v>
      </c>
      <c r="X473" s="14" t="b">
        <f t="shared" si="192"/>
        <v>1</v>
      </c>
      <c r="Y473" s="17">
        <f>IF($T473=1,$AU473,VLOOKUP(U473,'Cortes naturales'!$A$45:$C$49,3,9))</f>
        <v>4</v>
      </c>
      <c r="Z473" s="14">
        <v>45.362505379494436</v>
      </c>
      <c r="AA473" s="14">
        <v>0.53465875713310984</v>
      </c>
      <c r="AB473" s="14">
        <v>24.253460746644503</v>
      </c>
      <c r="AC473" s="13">
        <v>4</v>
      </c>
      <c r="AD473" s="13">
        <f t="shared" si="193"/>
        <v>0</v>
      </c>
      <c r="AE473" s="14">
        <f t="shared" si="194"/>
        <v>0.11590588896990539</v>
      </c>
      <c r="AF473" s="14">
        <f t="shared" si="195"/>
        <v>-7.6541295603687054E-3</v>
      </c>
      <c r="AG473" s="13">
        <f t="shared" si="196"/>
        <v>-0.28612755350749808</v>
      </c>
      <c r="AH473" s="13">
        <f>IF($T473=1,$AU473,VLOOKUP(U473,'Cortes naturales'!$A$25:$C$29,3,9))</f>
        <v>4</v>
      </c>
      <c r="AI473" s="13" t="b">
        <f t="shared" si="197"/>
        <v>1</v>
      </c>
      <c r="AJ473" s="13">
        <f t="shared" si="198"/>
        <v>0</v>
      </c>
      <c r="AK473" s="28">
        <v>0.81759069605862034</v>
      </c>
      <c r="AL473" s="28">
        <v>37.087962348183765</v>
      </c>
      <c r="AM473" s="28">
        <v>0.29330530273654393</v>
      </c>
      <c r="AN473" s="13">
        <v>4</v>
      </c>
      <c r="AO473" s="33">
        <f t="shared" si="199"/>
        <v>0</v>
      </c>
      <c r="AP473" s="13">
        <f t="shared" si="209"/>
        <v>29.330530273654393</v>
      </c>
      <c r="AQ473" s="13">
        <f>IFERROR(VLOOKUP(U473,'Cortes naturales'!$E$15:$G$19,3,9),U473)</f>
        <v>4</v>
      </c>
      <c r="AR473" s="28">
        <f t="shared" si="200"/>
        <v>-0.2905860684858792</v>
      </c>
      <c r="AS473" s="13" t="b">
        <f t="shared" si="201"/>
        <v>1</v>
      </c>
      <c r="AT473" s="13">
        <f t="shared" si="210"/>
        <v>0</v>
      </c>
      <c r="AU473" s="13">
        <v>3</v>
      </c>
      <c r="AV473">
        <f t="shared" si="202"/>
        <v>-1</v>
      </c>
      <c r="AW473" s="13">
        <v>0</v>
      </c>
      <c r="AX473" s="13">
        <v>0</v>
      </c>
      <c r="AY473" s="13">
        <v>0</v>
      </c>
      <c r="AZ473" s="13">
        <v>0</v>
      </c>
      <c r="BA473">
        <v>0</v>
      </c>
      <c r="BB473" t="s">
        <v>2839</v>
      </c>
      <c r="BC473">
        <v>6</v>
      </c>
      <c r="BD473" t="s">
        <v>2919</v>
      </c>
      <c r="BE473">
        <v>1</v>
      </c>
      <c r="BF473" s="232" t="s">
        <v>2846</v>
      </c>
      <c r="BG473" s="232" t="s">
        <v>2845</v>
      </c>
      <c r="BH473" s="253">
        <v>25.9</v>
      </c>
      <c r="BI473" s="253">
        <v>8.8843738455855199</v>
      </c>
      <c r="BJ473" s="25">
        <v>34.018681938362384</v>
      </c>
      <c r="BK473" t="s">
        <v>379</v>
      </c>
      <c r="BL473">
        <v>0.13426919284973382</v>
      </c>
      <c r="BM473" t="s">
        <v>377</v>
      </c>
      <c r="BN473" s="322">
        <v>13412.044683</v>
      </c>
      <c r="BO473" s="322">
        <v>3950.6311599999999</v>
      </c>
      <c r="BP473" s="10">
        <v>6683</v>
      </c>
      <c r="BQ473" s="254">
        <f t="shared" si="203"/>
        <v>2.0068898223851566</v>
      </c>
      <c r="BR473" s="254">
        <f t="shared" si="204"/>
        <v>0.59114636540475829</v>
      </c>
      <c r="BS473" s="25">
        <v>53.430764496045377</v>
      </c>
      <c r="BT473" s="25">
        <v>85.604538599930166</v>
      </c>
      <c r="BU473" s="25">
        <v>41.1735519125683</v>
      </c>
      <c r="BV473" s="25">
        <v>80.774901119421258</v>
      </c>
      <c r="BW473" s="25">
        <v>66.740135032550256</v>
      </c>
      <c r="BX473" s="25">
        <v>65.24593903199127</v>
      </c>
      <c r="BY473" s="25">
        <v>67.174768249372505</v>
      </c>
      <c r="BZ473">
        <v>31</v>
      </c>
      <c r="CA473">
        <v>0</v>
      </c>
      <c r="CB473">
        <v>7</v>
      </c>
      <c r="CC473">
        <v>12614.562884000001</v>
      </c>
      <c r="CD473" s="10">
        <v>2163.944356</v>
      </c>
      <c r="CE473" s="255">
        <v>0.17154334842190158</v>
      </c>
      <c r="CF473" t="str">
        <f>IFERROR(VLOOKUP(CE473,'Rangos amb etnico'!$A$2:$C$6,3,9),"N.D.")</f>
        <v>0,1% - 30%</v>
      </c>
      <c r="CG473" s="256">
        <v>6.2957298661832381E-5</v>
      </c>
      <c r="CH473" s="232">
        <v>153.420434</v>
      </c>
      <c r="CI473" s="311">
        <f t="shared" si="211"/>
        <v>1.2162168075962003E-2</v>
      </c>
      <c r="CJ473" s="232" t="str">
        <f>IFERROR(VLOOKUP(CI473,'Rangos amb etnico'!$A$2:$C$6,3,9),"N.D.")</f>
        <v>0,1% - 30%</v>
      </c>
      <c r="CK473" s="311">
        <f t="shared" si="212"/>
        <v>6.0917957041395626E-6</v>
      </c>
      <c r="CL473" s="10">
        <v>0</v>
      </c>
      <c r="CM473" s="255">
        <f t="shared" si="213"/>
        <v>0</v>
      </c>
      <c r="CN473" s="232">
        <f>IFERROR(VLOOKUP(CM473,'Rangos amb etnico'!$A$2:$C$6,3,9),"N.D.")</f>
        <v>0</v>
      </c>
      <c r="CO473" s="311">
        <f t="shared" si="214"/>
        <v>0</v>
      </c>
      <c r="CP473">
        <v>0.86073460701647608</v>
      </c>
      <c r="CQ473" t="s">
        <v>2864</v>
      </c>
      <c r="CR473">
        <f t="shared" si="205"/>
        <v>2</v>
      </c>
      <c r="CS473" t="str">
        <f t="shared" si="215"/>
        <v>No es Candidato</v>
      </c>
      <c r="CT473">
        <v>0</v>
      </c>
      <c r="CU473">
        <v>0</v>
      </c>
      <c r="CV473" s="25">
        <v>44.5189208984375</v>
      </c>
      <c r="CW473" s="25">
        <v>22.913614273071289</v>
      </c>
      <c r="CX473" s="25">
        <v>56.615615844726563</v>
      </c>
      <c r="CY473" s="25">
        <v>53.808349609375</v>
      </c>
      <c r="CZ473" s="25">
        <v>34.485694885253913</v>
      </c>
      <c r="DA473" s="25">
        <v>48.598579406738281</v>
      </c>
      <c r="DB473" s="25">
        <v>50.691669464111328</v>
      </c>
      <c r="DC473">
        <v>521</v>
      </c>
      <c r="DD473" s="253" t="s">
        <v>380</v>
      </c>
    </row>
    <row r="474" spans="1:108" hidden="1">
      <c r="A474" s="13">
        <v>19743</v>
      </c>
      <c r="B474" s="13" t="s">
        <v>1398</v>
      </c>
      <c r="C474" s="13" t="s">
        <v>557</v>
      </c>
      <c r="D474" s="13" t="s">
        <v>558</v>
      </c>
      <c r="E474" s="13" t="s">
        <v>1399</v>
      </c>
      <c r="F474" s="14">
        <v>70.9179666666667</v>
      </c>
      <c r="G474" s="13">
        <v>68.38</v>
      </c>
      <c r="H474" s="13">
        <v>63.02</v>
      </c>
      <c r="I474" s="13">
        <v>69.09</v>
      </c>
      <c r="J474" s="14">
        <v>46.448953015678136</v>
      </c>
      <c r="K474" s="14">
        <v>44.087450367129286</v>
      </c>
      <c r="L474" s="14">
        <v>41.645395798921399</v>
      </c>
      <c r="M474" s="14">
        <v>49.543900000000001</v>
      </c>
      <c r="N474" s="14">
        <f t="shared" si="189"/>
        <v>67.851991666666677</v>
      </c>
      <c r="O474" s="14">
        <f t="shared" si="190"/>
        <v>45.431424795432207</v>
      </c>
      <c r="P474" s="14">
        <f t="shared" si="206"/>
        <v>56.641708231049442</v>
      </c>
      <c r="Q474" s="14">
        <v>53.173634255118721</v>
      </c>
      <c r="R474" s="17">
        <f t="shared" si="191"/>
        <v>46.826365744881279</v>
      </c>
      <c r="S474" s="14">
        <f t="shared" si="207"/>
        <v>0.5214372917039316</v>
      </c>
      <c r="T474" s="13">
        <v>0</v>
      </c>
      <c r="U474" s="13">
        <f t="shared" si="208"/>
        <v>29.535098937482712</v>
      </c>
      <c r="V474" s="13">
        <f>IF($T474=1,$AU474,(VLOOKUP(U474,'Cortes naturales'!$A$35:$C$39,3,9)))</f>
        <v>4</v>
      </c>
      <c r="W474" s="13">
        <v>4</v>
      </c>
      <c r="X474" s="14" t="b">
        <f t="shared" si="192"/>
        <v>1</v>
      </c>
      <c r="Y474" s="17">
        <f>IF($T474=1,$AU474,VLOOKUP(U474,'Cortes naturales'!$A$45:$C$49,3,9))</f>
        <v>3</v>
      </c>
      <c r="Z474" s="14">
        <v>55.039400711150115</v>
      </c>
      <c r="AA474" s="14">
        <v>0.53334770647579743</v>
      </c>
      <c r="AB474" s="14">
        <v>29.35513813509429</v>
      </c>
      <c r="AC474" s="13">
        <v>3</v>
      </c>
      <c r="AD474" s="13">
        <f t="shared" si="193"/>
        <v>0</v>
      </c>
      <c r="AE474" s="14">
        <f t="shared" si="194"/>
        <v>1.6023075198993268</v>
      </c>
      <c r="AF474" s="14">
        <f t="shared" si="195"/>
        <v>-1.1910414771865829E-2</v>
      </c>
      <c r="AG474" s="13">
        <f t="shared" si="196"/>
        <v>0.17996080238842183</v>
      </c>
      <c r="AH474" s="13">
        <f>IF($T474=1,$AU474,VLOOKUP(U474,'Cortes naturales'!$A$25:$C$29,3,9))</f>
        <v>3</v>
      </c>
      <c r="AI474" s="13" t="b">
        <f t="shared" si="197"/>
        <v>1</v>
      </c>
      <c r="AJ474" s="13">
        <f t="shared" si="198"/>
        <v>0</v>
      </c>
      <c r="AK474" s="28">
        <v>0.81759069605862034</v>
      </c>
      <c r="AL474" s="28">
        <v>44.999701938078545</v>
      </c>
      <c r="AM474" s="28">
        <v>0.39227282524650192</v>
      </c>
      <c r="AN474" s="13">
        <v>3</v>
      </c>
      <c r="AO474" s="33">
        <f t="shared" si="199"/>
        <v>0</v>
      </c>
      <c r="AP474" s="13">
        <f t="shared" si="209"/>
        <v>39.227282524650192</v>
      </c>
      <c r="AQ474" s="13">
        <f>IFERROR(VLOOKUP(U474,'Cortes naturales'!$E$15:$G$19,3,9),U474)</f>
        <v>4</v>
      </c>
      <c r="AR474" s="28">
        <f t="shared" si="200"/>
        <v>-0.29615340435468873</v>
      </c>
      <c r="AS474" s="13" t="b">
        <f t="shared" si="201"/>
        <v>0</v>
      </c>
      <c r="AT474" s="13">
        <f t="shared" si="210"/>
        <v>0</v>
      </c>
      <c r="AU474" s="13">
        <v>3</v>
      </c>
      <c r="AV474">
        <f t="shared" si="202"/>
        <v>0</v>
      </c>
      <c r="AW474" s="13">
        <v>0</v>
      </c>
      <c r="AX474" s="13">
        <v>0</v>
      </c>
      <c r="AY474" s="13">
        <v>0</v>
      </c>
      <c r="AZ474" s="13">
        <v>0</v>
      </c>
      <c r="BA474">
        <v>0</v>
      </c>
      <c r="BB474" t="s">
        <v>2840</v>
      </c>
      <c r="BC474">
        <v>6</v>
      </c>
      <c r="BD474" t="s">
        <v>2919</v>
      </c>
      <c r="BE474">
        <v>1</v>
      </c>
      <c r="BF474" s="232" t="s">
        <v>2846</v>
      </c>
      <c r="BG474" s="232" t="s">
        <v>2846</v>
      </c>
      <c r="BH474" s="253">
        <v>43.8</v>
      </c>
      <c r="BI474" s="253">
        <v>14.176153385260635</v>
      </c>
      <c r="BJ474" s="25">
        <v>4.6574999999999998</v>
      </c>
      <c r="BK474" t="s">
        <v>381</v>
      </c>
      <c r="BL474">
        <v>12.360124504744807</v>
      </c>
      <c r="BM474" t="s">
        <v>376</v>
      </c>
      <c r="BN474" s="322">
        <v>58911.133064000001</v>
      </c>
      <c r="BO474" s="322">
        <v>2586.8428100000001</v>
      </c>
      <c r="BP474" s="10">
        <v>39887</v>
      </c>
      <c r="BQ474" s="254">
        <f t="shared" si="203"/>
        <v>1.4769507123624239</v>
      </c>
      <c r="BR474" s="254">
        <f t="shared" si="204"/>
        <v>6.4854283601173318E-2</v>
      </c>
      <c r="BS474" s="25">
        <v>54.540518367997912</v>
      </c>
      <c r="BT474" s="25">
        <v>90.643232798878003</v>
      </c>
      <c r="BU474" s="25">
        <v>34.2814314314314</v>
      </c>
      <c r="BV474" s="25">
        <v>91.722194144644732</v>
      </c>
      <c r="BW474" s="25">
        <v>55.252052045420953</v>
      </c>
      <c r="BX474" s="25">
        <v>67.79684418573801</v>
      </c>
      <c r="BY474" s="25">
        <v>55.501500609900653</v>
      </c>
      <c r="BZ474">
        <v>46</v>
      </c>
      <c r="CA474">
        <v>0</v>
      </c>
      <c r="CB474">
        <v>6</v>
      </c>
      <c r="CC474">
        <v>68116.671428000001</v>
      </c>
      <c r="CD474" s="10">
        <v>29190.639263000001</v>
      </c>
      <c r="CE474" s="255">
        <v>0.42853883859922304</v>
      </c>
      <c r="CF474" t="str">
        <f>IFERROR(VLOOKUP(CE474,'Rangos amb etnico'!$A$2:$C$6,3,9),"N.D.")</f>
        <v>31% - 50%</v>
      </c>
      <c r="CG474" s="256">
        <v>8.4926573509845919E-4</v>
      </c>
      <c r="CH474" s="232">
        <v>31882.559355000001</v>
      </c>
      <c r="CI474" s="311">
        <f t="shared" si="211"/>
        <v>0.4680580933655894</v>
      </c>
      <c r="CJ474" s="232" t="str">
        <f>IFERROR(VLOOKUP(CI474,'Rangos amb etnico'!$A$2:$C$6,3,9),"N.D.")</f>
        <v>31% - 50%</v>
      </c>
      <c r="CK474" s="311">
        <f t="shared" si="212"/>
        <v>1.2659463479015034E-3</v>
      </c>
      <c r="CL474" s="10">
        <v>0</v>
      </c>
      <c r="CM474" s="255">
        <f t="shared" si="213"/>
        <v>0</v>
      </c>
      <c r="CN474" s="232">
        <f>IFERROR(VLOOKUP(CM474,'Rangos amb etnico'!$A$2:$C$6,3,9),"N.D.")</f>
        <v>0</v>
      </c>
      <c r="CO474" s="311">
        <f t="shared" si="214"/>
        <v>0</v>
      </c>
      <c r="CP474">
        <v>0.83027832809910573</v>
      </c>
      <c r="CQ474" t="s">
        <v>2865</v>
      </c>
      <c r="CR474">
        <f t="shared" si="205"/>
        <v>2</v>
      </c>
      <c r="CS474" t="str">
        <f t="shared" si="215"/>
        <v>No es Candidato</v>
      </c>
      <c r="CT474">
        <v>0</v>
      </c>
      <c r="CU474">
        <v>0</v>
      </c>
      <c r="CV474" s="25">
        <v>47.226062774658203</v>
      </c>
      <c r="CW474" s="25">
        <v>26.993486404418949</v>
      </c>
      <c r="CX474" s="25">
        <v>46.116214752197273</v>
      </c>
      <c r="CY474" s="25">
        <v>49.223190307617188</v>
      </c>
      <c r="CZ474" s="25">
        <v>49.403408050537109</v>
      </c>
      <c r="DA474" s="25">
        <v>44.766216278076172</v>
      </c>
      <c r="DB474" s="25">
        <v>66.853858947753906</v>
      </c>
      <c r="DC474">
        <v>31511</v>
      </c>
      <c r="DD474" s="253" t="s">
        <v>380</v>
      </c>
    </row>
    <row r="475" spans="1:108" hidden="1">
      <c r="A475" s="13">
        <v>15187</v>
      </c>
      <c r="B475" s="13" t="s">
        <v>1400</v>
      </c>
      <c r="C475" s="13" t="s">
        <v>498</v>
      </c>
      <c r="D475" s="13" t="s">
        <v>499</v>
      </c>
      <c r="E475" s="13" t="s">
        <v>1401</v>
      </c>
      <c r="F475" s="14">
        <v>84.250466666666696</v>
      </c>
      <c r="G475" s="13">
        <v>83.25</v>
      </c>
      <c r="H475" s="13">
        <v>53.73</v>
      </c>
      <c r="I475" s="13">
        <v>89.75</v>
      </c>
      <c r="J475" s="14">
        <v>61.462158802796182</v>
      </c>
      <c r="K475" s="14">
        <v>66.347476855991744</v>
      </c>
      <c r="L475" s="14">
        <v>58.289968873504691</v>
      </c>
      <c r="M475" s="14">
        <v>60.909500000000001</v>
      </c>
      <c r="N475" s="14">
        <f t="shared" si="189"/>
        <v>77.745116666666661</v>
      </c>
      <c r="O475" s="14">
        <f t="shared" si="190"/>
        <v>61.75227613307316</v>
      </c>
      <c r="P475" s="14">
        <f t="shared" si="206"/>
        <v>69.748696399869914</v>
      </c>
      <c r="Q475" s="14">
        <v>53.435694573760358</v>
      </c>
      <c r="R475" s="17">
        <f t="shared" si="191"/>
        <v>46.564305426239642</v>
      </c>
      <c r="S475" s="14">
        <f t="shared" si="207"/>
        <v>0.51907874883615679</v>
      </c>
      <c r="T475" s="13">
        <v>0</v>
      </c>
      <c r="U475" s="13">
        <f t="shared" si="208"/>
        <v>36.205066060197431</v>
      </c>
      <c r="V475" s="13">
        <f>IF($T475=1,$AU475,(VLOOKUP(U475,'Cortes naturales'!$A$35:$C$39,3,9)))</f>
        <v>3</v>
      </c>
      <c r="W475" s="13">
        <v>3</v>
      </c>
      <c r="X475" s="14" t="b">
        <f t="shared" si="192"/>
        <v>1</v>
      </c>
      <c r="Y475" s="17">
        <f>IF($T475=1,$AU475,VLOOKUP(U475,'Cortes naturales'!$A$45:$C$49,3,9))</f>
        <v>2</v>
      </c>
      <c r="Z475" s="14">
        <v>67.843974812836109</v>
      </c>
      <c r="AA475" s="14">
        <v>0.53137520009911887</v>
      </c>
      <c r="AB475" s="14">
        <v>36.050605691690372</v>
      </c>
      <c r="AC475" s="13">
        <v>2</v>
      </c>
      <c r="AD475" s="13">
        <f t="shared" si="193"/>
        <v>0</v>
      </c>
      <c r="AE475" s="14">
        <f t="shared" si="194"/>
        <v>1.904721587033805</v>
      </c>
      <c r="AF475" s="14">
        <f t="shared" si="195"/>
        <v>-1.2296451262962083E-2</v>
      </c>
      <c r="AG475" s="13">
        <f t="shared" si="196"/>
        <v>0.1544603685070598</v>
      </c>
      <c r="AH475" s="13">
        <f>IF($T475=1,$AU475,VLOOKUP(U475,'Cortes naturales'!$A$25:$C$29,3,9))</f>
        <v>2</v>
      </c>
      <c r="AI475" s="13" t="b">
        <f t="shared" si="197"/>
        <v>1</v>
      </c>
      <c r="AJ475" s="13">
        <f t="shared" si="198"/>
        <v>0</v>
      </c>
      <c r="AK475" s="28">
        <v>0.81759069605862034</v>
      </c>
      <c r="AL475" s="28">
        <v>55.468602590610182</v>
      </c>
      <c r="AM475" s="28">
        <v>0.52322773714821147</v>
      </c>
      <c r="AN475" s="13">
        <v>2</v>
      </c>
      <c r="AO475" s="33">
        <f t="shared" si="199"/>
        <v>0</v>
      </c>
      <c r="AP475" s="13">
        <f t="shared" si="209"/>
        <v>52.322773714821146</v>
      </c>
      <c r="AQ475" s="13">
        <f>IFERROR(VLOOKUP(U475,'Cortes naturales'!$E$15:$G$19,3,9),U475)</f>
        <v>3</v>
      </c>
      <c r="AR475" s="28">
        <f t="shared" si="200"/>
        <v>-0.29851194722246355</v>
      </c>
      <c r="AS475" s="13" t="b">
        <f t="shared" si="201"/>
        <v>0</v>
      </c>
      <c r="AT475" s="13">
        <f t="shared" si="210"/>
        <v>0</v>
      </c>
      <c r="AU475" s="13">
        <v>2</v>
      </c>
      <c r="AV475">
        <f t="shared" si="202"/>
        <v>0</v>
      </c>
      <c r="AW475" s="13">
        <v>0</v>
      </c>
      <c r="AX475" s="13">
        <v>0</v>
      </c>
      <c r="AY475" s="13">
        <v>0</v>
      </c>
      <c r="AZ475" s="13">
        <v>0</v>
      </c>
      <c r="BA475">
        <v>0</v>
      </c>
      <c r="BB475" t="s">
        <v>2840</v>
      </c>
      <c r="BC475">
        <v>6</v>
      </c>
      <c r="BD475" s="184" t="s">
        <v>2917</v>
      </c>
      <c r="BE475">
        <v>0</v>
      </c>
      <c r="BF475" s="232" t="s">
        <v>2846</v>
      </c>
      <c r="BG475" s="232" t="s">
        <v>2846</v>
      </c>
      <c r="BH475" s="253">
        <v>42.3</v>
      </c>
      <c r="BI475" s="253">
        <v>20.553359683794465</v>
      </c>
      <c r="BJ475" s="25">
        <v>14.014789092932663</v>
      </c>
      <c r="BK475" t="s">
        <v>379</v>
      </c>
      <c r="BL475">
        <v>0</v>
      </c>
      <c r="BM475" t="s">
        <v>377</v>
      </c>
      <c r="BN475" s="322">
        <v>13313.029966</v>
      </c>
      <c r="BO475" s="322">
        <v>903.56130499999995</v>
      </c>
      <c r="BP475" s="10">
        <v>2858</v>
      </c>
      <c r="BQ475" s="254">
        <f t="shared" si="203"/>
        <v>4.6581630391882438</v>
      </c>
      <c r="BR475" s="254">
        <f t="shared" si="204"/>
        <v>0.31615161126662</v>
      </c>
      <c r="BS475" s="25">
        <v>52.621137617932099</v>
      </c>
      <c r="BT475" s="25">
        <v>90.71003409143924</v>
      </c>
      <c r="BU475" s="25">
        <v>54.685000000000002</v>
      </c>
      <c r="BV475" s="25">
        <v>95.351366185026492</v>
      </c>
      <c r="BW475" s="25">
        <v>53.974799090321191</v>
      </c>
      <c r="BX475" s="25">
        <v>73.341884473599464</v>
      </c>
      <c r="BY475" s="25">
        <v>54.439706887240753</v>
      </c>
      <c r="BZ475">
        <v>79</v>
      </c>
      <c r="CA475">
        <v>0</v>
      </c>
      <c r="CB475">
        <v>7</v>
      </c>
      <c r="CC475">
        <v>4944.4209940000001</v>
      </c>
      <c r="CD475" s="10">
        <v>297.912239</v>
      </c>
      <c r="CE475" s="255">
        <v>6.0252199268936282E-2</v>
      </c>
      <c r="CF475" t="str">
        <f>IFERROR(VLOOKUP(CE475,'Rangos amb etnico'!$A$2:$C$6,3,9),"N.D.")</f>
        <v>0,1% - 30%</v>
      </c>
      <c r="CG475" s="256">
        <v>8.6673900619181122E-6</v>
      </c>
      <c r="CH475" s="232">
        <v>0</v>
      </c>
      <c r="CI475" s="311">
        <f t="shared" si="211"/>
        <v>0</v>
      </c>
      <c r="CJ475" s="232">
        <f>IFERROR(VLOOKUP(CI475,'Rangos amb etnico'!$A$2:$C$6,3,9),"N.D.")</f>
        <v>0</v>
      </c>
      <c r="CK475" s="311">
        <f t="shared" si="212"/>
        <v>0</v>
      </c>
      <c r="CL475" s="10">
        <v>0</v>
      </c>
      <c r="CM475" s="255">
        <f t="shared" si="213"/>
        <v>0</v>
      </c>
      <c r="CN475" s="232">
        <f>IFERROR(VLOOKUP(CM475,'Rangos amb etnico'!$A$2:$C$6,3,9),"N.D.")</f>
        <v>0</v>
      </c>
      <c r="CO475" s="311">
        <f t="shared" si="214"/>
        <v>0</v>
      </c>
      <c r="CP475">
        <v>0.92697923686465489</v>
      </c>
      <c r="CQ475" t="s">
        <v>2864</v>
      </c>
      <c r="CR475">
        <f t="shared" si="205"/>
        <v>3</v>
      </c>
      <c r="CS475" t="str">
        <f t="shared" si="215"/>
        <v>Candidato</v>
      </c>
      <c r="CT475">
        <v>0</v>
      </c>
      <c r="CU475">
        <v>0</v>
      </c>
      <c r="CV475" s="25">
        <v>48.157112121582031</v>
      </c>
      <c r="CW475" s="25">
        <v>23.246601104736332</v>
      </c>
      <c r="CX475" s="25">
        <v>49.373199462890618</v>
      </c>
      <c r="CY475" s="25">
        <v>64.90130615234375</v>
      </c>
      <c r="CZ475" s="25">
        <v>62.706699371337891</v>
      </c>
      <c r="DA475" s="25">
        <v>44.481277465820313</v>
      </c>
      <c r="DB475" s="25">
        <v>44.233600616455078</v>
      </c>
      <c r="DC475">
        <v>48</v>
      </c>
      <c r="DD475" s="253" t="s">
        <v>380</v>
      </c>
    </row>
    <row r="476" spans="1:108" hidden="1">
      <c r="A476" s="13">
        <v>13300</v>
      </c>
      <c r="B476" s="13" t="s">
        <v>1402</v>
      </c>
      <c r="C476" s="13" t="s">
        <v>480</v>
      </c>
      <c r="D476" s="13" t="s">
        <v>481</v>
      </c>
      <c r="E476" s="13" t="s">
        <v>1403</v>
      </c>
      <c r="F476" s="14">
        <v>42.847666666666697</v>
      </c>
      <c r="G476" s="13">
        <v>43.65</v>
      </c>
      <c r="H476" s="13">
        <v>77.42</v>
      </c>
      <c r="I476" s="13">
        <v>88.61</v>
      </c>
      <c r="J476" s="14">
        <v>37.110360726324522</v>
      </c>
      <c r="K476" s="14">
        <v>49.259485428400893</v>
      </c>
      <c r="L476" s="14">
        <v>47.894615190350009</v>
      </c>
      <c r="M476" s="14">
        <v>55.396000000000001</v>
      </c>
      <c r="N476" s="14">
        <f t="shared" si="189"/>
        <v>63.131916666666683</v>
      </c>
      <c r="O476" s="14">
        <f t="shared" si="190"/>
        <v>47.415115336268855</v>
      </c>
      <c r="P476" s="14">
        <f t="shared" si="206"/>
        <v>55.273516001467769</v>
      </c>
      <c r="Q476" s="14">
        <v>52.944382955622025</v>
      </c>
      <c r="R476" s="17">
        <f t="shared" si="191"/>
        <v>47.055617044377975</v>
      </c>
      <c r="S476" s="14">
        <f t="shared" si="207"/>
        <v>0.52350055339940182</v>
      </c>
      <c r="T476" s="13">
        <v>0</v>
      </c>
      <c r="U476" s="13">
        <f t="shared" si="208"/>
        <v>28.93571621509907</v>
      </c>
      <c r="V476" s="13">
        <f>IF($T476=1,$AU476,(VLOOKUP(U476,'Cortes naturales'!$A$35:$C$39,3,9)))</f>
        <v>4</v>
      </c>
      <c r="W476" s="13">
        <v>4</v>
      </c>
      <c r="X476" s="14" t="b">
        <f t="shared" si="192"/>
        <v>1</v>
      </c>
      <c r="Y476" s="17">
        <f>IF($T476=1,$AU476,VLOOKUP(U476,'Cortes naturales'!$A$45:$C$49,3,9))</f>
        <v>3</v>
      </c>
      <c r="Z476" s="14">
        <v>50.575227931580287</v>
      </c>
      <c r="AA476" s="14">
        <v>0.53205977471068744</v>
      </c>
      <c r="AB476" s="14">
        <v>26.909044379218273</v>
      </c>
      <c r="AC476" s="13">
        <v>4</v>
      </c>
      <c r="AD476" s="13">
        <f t="shared" si="193"/>
        <v>1</v>
      </c>
      <c r="AE476" s="14">
        <f t="shared" si="194"/>
        <v>4.6982880698874823</v>
      </c>
      <c r="AF476" s="14">
        <f t="shared" si="195"/>
        <v>-8.5592213112856141E-3</v>
      </c>
      <c r="AG476" s="13">
        <f t="shared" si="196"/>
        <v>2.0266718358807978</v>
      </c>
      <c r="AH476" s="13">
        <f>IF($T476=1,$AU476,VLOOKUP(U476,'Cortes naturales'!$A$25:$C$29,3,9))</f>
        <v>3</v>
      </c>
      <c r="AI476" s="13" t="b">
        <f t="shared" si="197"/>
        <v>1</v>
      </c>
      <c r="AJ476" s="13" t="str">
        <f t="shared" si="198"/>
        <v>Efecto ponderador</v>
      </c>
      <c r="AK476" s="28">
        <v>0.81759069605862034</v>
      </c>
      <c r="AL476" s="28">
        <v>41.349835807904107</v>
      </c>
      <c r="AM476" s="28">
        <v>0.34661684727956582</v>
      </c>
      <c r="AN476" s="13">
        <v>4</v>
      </c>
      <c r="AO476" s="33">
        <f t="shared" si="199"/>
        <v>1</v>
      </c>
      <c r="AP476" s="13">
        <f t="shared" si="209"/>
        <v>34.661684727956583</v>
      </c>
      <c r="AQ476" s="13">
        <f>IFERROR(VLOOKUP(U476,'Cortes naturales'!$E$15:$G$19,3,9),U476)</f>
        <v>4</v>
      </c>
      <c r="AR476" s="28">
        <f t="shared" si="200"/>
        <v>-0.29409014265921851</v>
      </c>
      <c r="AS476" s="13" t="b">
        <f t="shared" si="201"/>
        <v>0</v>
      </c>
      <c r="AT476" s="13" t="str">
        <f t="shared" si="210"/>
        <v>Cambio en corte</v>
      </c>
      <c r="AU476" s="13">
        <v>4</v>
      </c>
      <c r="AV476">
        <f t="shared" si="202"/>
        <v>1</v>
      </c>
      <c r="AW476" s="13">
        <v>0</v>
      </c>
      <c r="AX476" s="13">
        <v>0</v>
      </c>
      <c r="AY476" s="13">
        <v>0</v>
      </c>
      <c r="AZ476" s="13">
        <v>0</v>
      </c>
      <c r="BA476">
        <v>0</v>
      </c>
      <c r="BB476" t="s">
        <v>2840</v>
      </c>
      <c r="BC476">
        <v>6</v>
      </c>
      <c r="BD476" t="s">
        <v>2919</v>
      </c>
      <c r="BE476">
        <v>0</v>
      </c>
      <c r="BF476" s="232" t="s">
        <v>2846</v>
      </c>
      <c r="BG476" s="232" t="s">
        <v>2845</v>
      </c>
      <c r="BH476" s="253">
        <v>73.8</v>
      </c>
      <c r="BI476" s="253">
        <v>50.450297366185218</v>
      </c>
      <c r="BJ476" s="25">
        <v>74.190833333333345</v>
      </c>
      <c r="BK476" t="s">
        <v>376</v>
      </c>
      <c r="BL476">
        <v>2.0472601784696378</v>
      </c>
      <c r="BM476" t="s">
        <v>383</v>
      </c>
      <c r="BN476" s="322">
        <v>36428.324868999996</v>
      </c>
      <c r="BO476" s="322">
        <v>1338.711057</v>
      </c>
      <c r="BP476" s="10">
        <v>13252</v>
      </c>
      <c r="BQ476" s="254">
        <f t="shared" si="203"/>
        <v>2.7488926100965889</v>
      </c>
      <c r="BR476" s="254">
        <f t="shared" si="204"/>
        <v>0.10101954852097797</v>
      </c>
      <c r="BS476" s="25">
        <v>63.461758378941191</v>
      </c>
      <c r="BT476" s="25">
        <v>93.776703179394303</v>
      </c>
      <c r="BU476" s="25">
        <v>32.841483803552769</v>
      </c>
      <c r="BV476" s="25">
        <v>99.704023216838436</v>
      </c>
      <c r="BW476" s="25">
        <v>36.219887601681378</v>
      </c>
      <c r="BX476" s="25">
        <v>72.445992144681668</v>
      </c>
      <c r="BY476" s="25">
        <v>36.144755851024527</v>
      </c>
      <c r="BZ476">
        <v>60</v>
      </c>
      <c r="CA476">
        <v>0</v>
      </c>
      <c r="CB476">
        <v>7</v>
      </c>
      <c r="CC476">
        <v>19402.397991999998</v>
      </c>
      <c r="CD476" s="10">
        <v>865.36483799999996</v>
      </c>
      <c r="CE476" s="255">
        <v>4.4600921925053154E-2</v>
      </c>
      <c r="CF476" t="str">
        <f>IFERROR(VLOOKUP(CE476,'Rangos amb etnico'!$A$2:$C$6,3,9),"N.D.")</f>
        <v>0,1% - 30%</v>
      </c>
      <c r="CG476" s="256">
        <v>2.5176725273158639E-5</v>
      </c>
      <c r="CH476" s="232">
        <v>0</v>
      </c>
      <c r="CI476" s="311">
        <f t="shared" si="211"/>
        <v>0</v>
      </c>
      <c r="CJ476" s="232">
        <f>IFERROR(VLOOKUP(CI476,'Rangos amb etnico'!$A$2:$C$6,3,9),"N.D.")</f>
        <v>0</v>
      </c>
      <c r="CK476" s="311">
        <f t="shared" si="212"/>
        <v>0</v>
      </c>
      <c r="CL476" s="10">
        <v>0</v>
      </c>
      <c r="CM476" s="255">
        <f t="shared" si="213"/>
        <v>0</v>
      </c>
      <c r="CN476" s="232">
        <f>IFERROR(VLOOKUP(CM476,'Rangos amb etnico'!$A$2:$C$6,3,9),"N.D.")</f>
        <v>0</v>
      </c>
      <c r="CO476" s="311">
        <f t="shared" si="214"/>
        <v>0</v>
      </c>
      <c r="CP476">
        <v>0.92606811622136642</v>
      </c>
      <c r="CQ476" t="s">
        <v>2864</v>
      </c>
      <c r="CR476">
        <f t="shared" si="205"/>
        <v>2</v>
      </c>
      <c r="CS476" t="str">
        <f t="shared" si="215"/>
        <v>No es Candidato</v>
      </c>
      <c r="CT476">
        <v>0</v>
      </c>
      <c r="CU476">
        <v>0</v>
      </c>
      <c r="CV476" s="25">
        <v>41.188777923583977</v>
      </c>
      <c r="CW476" s="25">
        <v>12.47038555145264</v>
      </c>
      <c r="CX476" s="25">
        <v>47.485660552978523</v>
      </c>
      <c r="CY476" s="25">
        <v>37.802288055419922</v>
      </c>
      <c r="CZ476" s="25">
        <v>6.9521017074584961</v>
      </c>
      <c r="DA476" s="25">
        <v>93.38067626953125</v>
      </c>
      <c r="DB476" s="25">
        <v>49.041561126708977</v>
      </c>
      <c r="DC476">
        <v>177</v>
      </c>
      <c r="DD476" s="253" t="s">
        <v>380</v>
      </c>
    </row>
    <row r="477" spans="1:108" hidden="1">
      <c r="A477" s="13">
        <v>68147</v>
      </c>
      <c r="B477" s="13" t="s">
        <v>1404</v>
      </c>
      <c r="C477" s="13" t="s">
        <v>431</v>
      </c>
      <c r="D477" s="13" t="s">
        <v>432</v>
      </c>
      <c r="E477" s="13" t="s">
        <v>1405</v>
      </c>
      <c r="F477" s="14">
        <v>57.930300000000003</v>
      </c>
      <c r="G477" s="13">
        <v>36.25</v>
      </c>
      <c r="H477" s="13">
        <v>29.94</v>
      </c>
      <c r="I477" s="13">
        <v>40.78</v>
      </c>
      <c r="J477" s="14">
        <v>68.700477979927385</v>
      </c>
      <c r="K477" s="14">
        <v>69.094523433269643</v>
      </c>
      <c r="L477" s="14">
        <v>63.396194963758774</v>
      </c>
      <c r="M477" s="14">
        <v>56.344799999999999</v>
      </c>
      <c r="N477" s="14">
        <f t="shared" si="189"/>
        <v>41.225075000000004</v>
      </c>
      <c r="O477" s="14">
        <f t="shared" si="190"/>
        <v>64.383999094238959</v>
      </c>
      <c r="P477" s="14">
        <f t="shared" si="206"/>
        <v>52.804537047119481</v>
      </c>
      <c r="Q477" s="14">
        <v>52.614977798939364</v>
      </c>
      <c r="R477" s="17">
        <f t="shared" si="191"/>
        <v>47.385022201060636</v>
      </c>
      <c r="S477" s="14">
        <f t="shared" si="207"/>
        <v>0.52646519980954576</v>
      </c>
      <c r="T477" s="13">
        <v>0</v>
      </c>
      <c r="U477" s="13">
        <f t="shared" si="208"/>
        <v>27.799751147362318</v>
      </c>
      <c r="V477" s="13">
        <f>IF($T477=1,$AU477,(VLOOKUP(U477,'Cortes naturales'!$A$35:$C$39,3,9)))</f>
        <v>4</v>
      </c>
      <c r="W477" s="13">
        <v>4</v>
      </c>
      <c r="X477" s="14" t="b">
        <f t="shared" si="192"/>
        <v>1</v>
      </c>
      <c r="Y477" s="17">
        <f>IF($T477=1,$AU477,VLOOKUP(U477,'Cortes naturales'!$A$45:$C$49,3,9))</f>
        <v>4</v>
      </c>
      <c r="Z477" s="14">
        <v>53.945310914852243</v>
      </c>
      <c r="AA477" s="14">
        <v>0.53231101177060069</v>
      </c>
      <c r="AB477" s="14">
        <v>28.715683033364627</v>
      </c>
      <c r="AC477" s="13">
        <v>3</v>
      </c>
      <c r="AD477" s="13">
        <f t="shared" si="193"/>
        <v>-1</v>
      </c>
      <c r="AE477" s="14">
        <f t="shared" si="194"/>
        <v>-1.1407738677327615</v>
      </c>
      <c r="AF477" s="14">
        <f t="shared" si="195"/>
        <v>-5.8458119610549364E-3</v>
      </c>
      <c r="AG477" s="13">
        <f t="shared" si="196"/>
        <v>-0.91593188600230846</v>
      </c>
      <c r="AH477" s="13">
        <f>IF($T477=1,$AU477,VLOOKUP(U477,'Cortes naturales'!$A$25:$C$29,3,9))</f>
        <v>3</v>
      </c>
      <c r="AI477" s="13" t="b">
        <f t="shared" si="197"/>
        <v>0</v>
      </c>
      <c r="AJ477" s="13" t="str">
        <f t="shared" si="198"/>
        <v>Cambio en corte</v>
      </c>
      <c r="AK477" s="28">
        <v>0.81759069605862034</v>
      </c>
      <c r="AL477" s="28">
        <v>44.105184299972734</v>
      </c>
      <c r="AM477" s="28">
        <v>0.38108335250426667</v>
      </c>
      <c r="AN477" s="13">
        <v>3</v>
      </c>
      <c r="AO477" s="33">
        <f t="shared" si="199"/>
        <v>-1</v>
      </c>
      <c r="AP477" s="13">
        <f t="shared" si="209"/>
        <v>38.10833525042667</v>
      </c>
      <c r="AQ477" s="13">
        <f>IFERROR(VLOOKUP(U477,'Cortes naturales'!$E$15:$G$19,3,9),U477)</f>
        <v>4</v>
      </c>
      <c r="AR477" s="28">
        <f t="shared" si="200"/>
        <v>-0.29112549624907458</v>
      </c>
      <c r="AS477" s="13" t="b">
        <f t="shared" si="201"/>
        <v>1</v>
      </c>
      <c r="AT477" s="13" t="str">
        <f t="shared" si="210"/>
        <v>Efecto ponderador</v>
      </c>
      <c r="AU477" s="13">
        <v>3</v>
      </c>
      <c r="AV477">
        <f t="shared" si="202"/>
        <v>-1</v>
      </c>
      <c r="AW477" s="13">
        <v>0</v>
      </c>
      <c r="AX477" s="13">
        <v>0</v>
      </c>
      <c r="AY477" s="13">
        <v>0</v>
      </c>
      <c r="AZ477" s="13">
        <v>0</v>
      </c>
      <c r="BA477">
        <v>0</v>
      </c>
      <c r="BB477" t="s">
        <v>2839</v>
      </c>
      <c r="BC477">
        <v>6</v>
      </c>
      <c r="BD477" t="s">
        <v>2919</v>
      </c>
      <c r="BE477">
        <v>0</v>
      </c>
      <c r="BF477" s="232" t="s">
        <v>2846</v>
      </c>
      <c r="BG477" s="232" t="s">
        <v>2846</v>
      </c>
      <c r="BH477" s="253">
        <v>35.700000000000003</v>
      </c>
      <c r="BI477" s="253">
        <v>16.357088703563306</v>
      </c>
      <c r="BJ477" s="25">
        <v>26.294999999999998</v>
      </c>
      <c r="BK477" t="s">
        <v>379</v>
      </c>
      <c r="BL477">
        <v>0</v>
      </c>
      <c r="BM477" t="s">
        <v>377</v>
      </c>
      <c r="BN477" s="322">
        <v>15331.606717000001</v>
      </c>
      <c r="BO477" s="322">
        <v>1376.7938280000001</v>
      </c>
      <c r="BP477" s="10">
        <v>6215</v>
      </c>
      <c r="BQ477" s="254">
        <f t="shared" si="203"/>
        <v>2.4668715554304104</v>
      </c>
      <c r="BR477" s="254">
        <f t="shared" si="204"/>
        <v>0.22152756685438457</v>
      </c>
      <c r="BS477" s="25">
        <v>67.987390553273556</v>
      </c>
      <c r="BT477" s="25">
        <v>90.443590147492614</v>
      </c>
      <c r="BU477" s="25">
        <v>40.160079365079362</v>
      </c>
      <c r="BV477" s="25">
        <v>97.534171767955812</v>
      </c>
      <c r="BW477" s="25">
        <v>57.667393376010949</v>
      </c>
      <c r="BX477" s="25">
        <v>74.031307958450327</v>
      </c>
      <c r="BY477" s="25">
        <v>58.678383542754169</v>
      </c>
      <c r="BZ477">
        <v>58</v>
      </c>
      <c r="CA477">
        <v>0</v>
      </c>
      <c r="CB477">
        <v>7</v>
      </c>
      <c r="CC477">
        <v>8522.6149399999995</v>
      </c>
      <c r="CD477" s="10">
        <v>404.36116199999998</v>
      </c>
      <c r="CE477" s="255">
        <v>4.744566835962203E-2</v>
      </c>
      <c r="CF477" t="str">
        <f>IFERROR(VLOOKUP(CE477,'Rangos amb etnico'!$A$2:$C$6,3,9),"N.D.")</f>
        <v>0,1% - 30%</v>
      </c>
      <c r="CG477" s="256">
        <v>1.1764390508791615E-5</v>
      </c>
      <c r="CH477" s="232">
        <v>0</v>
      </c>
      <c r="CI477" s="311">
        <f t="shared" si="211"/>
        <v>0</v>
      </c>
      <c r="CJ477" s="232">
        <f>IFERROR(VLOOKUP(CI477,'Rangos amb etnico'!$A$2:$C$6,3,9),"N.D.")</f>
        <v>0</v>
      </c>
      <c r="CK477" s="311">
        <f t="shared" si="212"/>
        <v>0</v>
      </c>
      <c r="CL477" s="10">
        <v>0</v>
      </c>
      <c r="CM477" s="255">
        <f t="shared" si="213"/>
        <v>0</v>
      </c>
      <c r="CN477" s="232">
        <f>IFERROR(VLOOKUP(CM477,'Rangos amb etnico'!$A$2:$C$6,3,9),"N.D.")</f>
        <v>0</v>
      </c>
      <c r="CO477" s="311">
        <f t="shared" si="214"/>
        <v>0</v>
      </c>
      <c r="CP477">
        <v>0.98676912070606559</v>
      </c>
      <c r="CQ477" t="s">
        <v>2864</v>
      </c>
      <c r="CR477">
        <f t="shared" si="205"/>
        <v>1</v>
      </c>
      <c r="CS477" t="str">
        <f t="shared" si="215"/>
        <v>No es Candidato</v>
      </c>
      <c r="CT477">
        <v>0</v>
      </c>
      <c r="CU477">
        <v>0</v>
      </c>
      <c r="CV477" s="25">
        <v>47.890110015869141</v>
      </c>
      <c r="CW477" s="25">
        <v>26.842912673950199</v>
      </c>
      <c r="CX477" s="25">
        <v>53.878913879394531</v>
      </c>
      <c r="CY477" s="25">
        <v>58.720489501953118</v>
      </c>
      <c r="CZ477" s="25">
        <v>37.653873443603523</v>
      </c>
      <c r="DA477" s="25">
        <v>63.971321105957031</v>
      </c>
      <c r="DB477" s="25">
        <v>46.273155212402337</v>
      </c>
      <c r="DC477">
        <v>126</v>
      </c>
      <c r="DD477" s="253" t="s">
        <v>380</v>
      </c>
    </row>
    <row r="478" spans="1:108" hidden="1">
      <c r="A478" s="13">
        <v>19785</v>
      </c>
      <c r="B478" s="13" t="s">
        <v>1406</v>
      </c>
      <c r="C478" s="13" t="s">
        <v>557</v>
      </c>
      <c r="D478" s="13" t="s">
        <v>558</v>
      </c>
      <c r="E478" s="13" t="s">
        <v>495</v>
      </c>
      <c r="F478" s="14">
        <v>63.978499999999997</v>
      </c>
      <c r="G478" s="13">
        <v>53.31</v>
      </c>
      <c r="H478" s="13">
        <v>59.55</v>
      </c>
      <c r="I478" s="13">
        <v>65.8</v>
      </c>
      <c r="J478" s="14">
        <v>45.873684335503626</v>
      </c>
      <c r="K478" s="14">
        <v>55.932055301662523</v>
      </c>
      <c r="L478" s="14">
        <v>55.853002150340799</v>
      </c>
      <c r="M478" s="14">
        <v>48.786799999999999</v>
      </c>
      <c r="N478" s="14">
        <f t="shared" si="189"/>
        <v>60.659625000000005</v>
      </c>
      <c r="O478" s="14">
        <f t="shared" si="190"/>
        <v>51.611385446876731</v>
      </c>
      <c r="P478" s="14">
        <f t="shared" si="206"/>
        <v>56.135505223438372</v>
      </c>
      <c r="Q478" s="14">
        <v>53.329982340698791</v>
      </c>
      <c r="R478" s="17">
        <f t="shared" si="191"/>
        <v>46.670017659301209</v>
      </c>
      <c r="S478" s="14">
        <f t="shared" si="207"/>
        <v>0.52003015893371096</v>
      </c>
      <c r="T478" s="13">
        <v>0</v>
      </c>
      <c r="U478" s="13">
        <f t="shared" si="208"/>
        <v>29.192155703168819</v>
      </c>
      <c r="V478" s="13">
        <f>IF($T478=1,$AU478,(VLOOKUP(U478,'Cortes naturales'!$A$35:$C$39,3,9)))</f>
        <v>4</v>
      </c>
      <c r="W478" s="13">
        <v>4</v>
      </c>
      <c r="X478" s="14" t="b">
        <f t="shared" si="192"/>
        <v>1</v>
      </c>
      <c r="Y478" s="17">
        <f>IF($T478=1,$AU478,VLOOKUP(U478,'Cortes naturales'!$A$45:$C$49,3,9))</f>
        <v>3</v>
      </c>
      <c r="Z478" s="14">
        <v>55.699132036852575</v>
      </c>
      <c r="AA478" s="14">
        <v>0.53101842258176202</v>
      </c>
      <c r="AB478" s="14">
        <v>29.577265233382739</v>
      </c>
      <c r="AC478" s="13">
        <v>3</v>
      </c>
      <c r="AD478" s="13">
        <f t="shared" si="193"/>
        <v>0</v>
      </c>
      <c r="AE478" s="14">
        <f t="shared" si="194"/>
        <v>0.43637318658579716</v>
      </c>
      <c r="AF478" s="14">
        <f t="shared" si="195"/>
        <v>-1.0988263648051055E-2</v>
      </c>
      <c r="AG478" s="13">
        <f t="shared" si="196"/>
        <v>-0.38510953021392069</v>
      </c>
      <c r="AH478" s="13">
        <f>IF($T478=1,$AU478,VLOOKUP(U478,'Cortes naturales'!$A$25:$C$29,3,9))</f>
        <v>3</v>
      </c>
      <c r="AI478" s="13" t="b">
        <f t="shared" si="197"/>
        <v>1</v>
      </c>
      <c r="AJ478" s="13">
        <f t="shared" si="198"/>
        <v>0</v>
      </c>
      <c r="AK478" s="28">
        <v>0.81759069605862034</v>
      </c>
      <c r="AL478" s="28">
        <v>45.539092131871293</v>
      </c>
      <c r="AM478" s="28">
        <v>0.39902002799999198</v>
      </c>
      <c r="AN478" s="13">
        <v>3</v>
      </c>
      <c r="AO478" s="33">
        <f t="shared" si="199"/>
        <v>0</v>
      </c>
      <c r="AP478" s="13">
        <f t="shared" si="209"/>
        <v>39.902002799999195</v>
      </c>
      <c r="AQ478" s="13">
        <f>IFERROR(VLOOKUP(U478,'Cortes naturales'!$E$15:$G$19,3,9),U478)</f>
        <v>4</v>
      </c>
      <c r="AR478" s="28">
        <f t="shared" si="200"/>
        <v>-0.29756053712490937</v>
      </c>
      <c r="AS478" s="13" t="b">
        <f t="shared" si="201"/>
        <v>0</v>
      </c>
      <c r="AT478" s="13">
        <f t="shared" si="210"/>
        <v>0</v>
      </c>
      <c r="AU478" s="13">
        <v>3</v>
      </c>
      <c r="AV478">
        <f t="shared" si="202"/>
        <v>0</v>
      </c>
      <c r="AW478" s="13">
        <v>0</v>
      </c>
      <c r="AX478" s="13">
        <v>0</v>
      </c>
      <c r="AY478" s="13">
        <v>0</v>
      </c>
      <c r="AZ478" s="13">
        <v>0</v>
      </c>
      <c r="BA478">
        <v>0</v>
      </c>
      <c r="BB478" t="s">
        <v>2840</v>
      </c>
      <c r="BC478">
        <v>6</v>
      </c>
      <c r="BD478" t="s">
        <v>2919</v>
      </c>
      <c r="BE478">
        <v>0</v>
      </c>
      <c r="BF478" s="232" t="s">
        <v>2846</v>
      </c>
      <c r="BG478" s="232" t="s">
        <v>2846</v>
      </c>
      <c r="BH478" s="253">
        <v>75.5</v>
      </c>
      <c r="BI478" s="253">
        <v>35.478148685695857</v>
      </c>
      <c r="BJ478" s="25">
        <v>0</v>
      </c>
      <c r="BK478" t="s">
        <v>381</v>
      </c>
      <c r="BL478">
        <v>44.959476510324691</v>
      </c>
      <c r="BM478" t="s">
        <v>384</v>
      </c>
      <c r="BN478" s="322">
        <v>26972.060334999998</v>
      </c>
      <c r="BO478" s="322">
        <v>1254.594949</v>
      </c>
      <c r="BP478" s="10">
        <v>9756</v>
      </c>
      <c r="BQ478" s="254">
        <f t="shared" si="203"/>
        <v>2.7646638309758096</v>
      </c>
      <c r="BR478" s="254">
        <f t="shared" si="204"/>
        <v>0.12859726824518244</v>
      </c>
      <c r="BS478" s="25">
        <v>40.726270585637423</v>
      </c>
      <c r="BT478" s="25">
        <v>84.902007908979087</v>
      </c>
      <c r="BU478" s="25">
        <v>29.55076027646416</v>
      </c>
      <c r="BV478" s="25">
        <v>94.83140305352417</v>
      </c>
      <c r="BW478" s="25">
        <v>45.100043816687901</v>
      </c>
      <c r="BX478" s="25">
        <v>62.502610456151203</v>
      </c>
      <c r="BY478" s="25">
        <v>45.695388146929297</v>
      </c>
      <c r="BZ478">
        <v>26</v>
      </c>
      <c r="CA478">
        <v>0</v>
      </c>
      <c r="CB478">
        <v>7</v>
      </c>
      <c r="CC478">
        <v>13595.853985</v>
      </c>
      <c r="CD478" s="10">
        <v>301.21807000000001</v>
      </c>
      <c r="CE478" s="255">
        <v>2.2155141584510037E-2</v>
      </c>
      <c r="CF478" t="str">
        <f>IFERROR(VLOOKUP(CE478,'Rangos amb etnico'!$A$2:$C$6,3,9),"N.D.")</f>
        <v>0,1% - 30%</v>
      </c>
      <c r="CG478" s="256">
        <v>8.7635691475842802E-6</v>
      </c>
      <c r="CH478" s="232">
        <v>0</v>
      </c>
      <c r="CI478" s="311">
        <f t="shared" si="211"/>
        <v>0</v>
      </c>
      <c r="CJ478" s="232">
        <f>IFERROR(VLOOKUP(CI478,'Rangos amb etnico'!$A$2:$C$6,3,9),"N.D.")</f>
        <v>0</v>
      </c>
      <c r="CK478" s="311">
        <f t="shared" si="212"/>
        <v>0</v>
      </c>
      <c r="CL478" s="10">
        <v>0</v>
      </c>
      <c r="CM478" s="255">
        <f t="shared" si="213"/>
        <v>0</v>
      </c>
      <c r="CN478" s="232">
        <f>IFERROR(VLOOKUP(CM478,'Rangos amb etnico'!$A$2:$C$6,3,9),"N.D.")</f>
        <v>0</v>
      </c>
      <c r="CO478" s="311">
        <f t="shared" si="214"/>
        <v>0</v>
      </c>
      <c r="CP478">
        <v>0.96059136490707597</v>
      </c>
      <c r="CQ478" t="s">
        <v>2864</v>
      </c>
      <c r="CR478">
        <f t="shared" si="205"/>
        <v>2</v>
      </c>
      <c r="CS478" t="str">
        <f t="shared" si="215"/>
        <v>No es Candidato</v>
      </c>
      <c r="CT478">
        <v>0</v>
      </c>
      <c r="CU478">
        <v>0</v>
      </c>
      <c r="CV478" s="25">
        <v>44.207386016845703</v>
      </c>
      <c r="CW478" s="25">
        <v>11.08276844024658</v>
      </c>
      <c r="CX478" s="25">
        <v>52.507682800292969</v>
      </c>
      <c r="CY478" s="25">
        <v>46.929454803466797</v>
      </c>
      <c r="CZ478" s="25">
        <v>37.581016540527337</v>
      </c>
      <c r="DA478" s="25">
        <v>75</v>
      </c>
      <c r="DB478" s="25">
        <v>42.143394470214837</v>
      </c>
      <c r="DC478">
        <v>338</v>
      </c>
      <c r="DD478" s="253" t="s">
        <v>380</v>
      </c>
    </row>
    <row r="479" spans="1:108" hidden="1">
      <c r="A479" s="13">
        <v>23350</v>
      </c>
      <c r="B479" s="13" t="s">
        <v>1407</v>
      </c>
      <c r="C479" s="13" t="s">
        <v>567</v>
      </c>
      <c r="D479" s="13" t="s">
        <v>568</v>
      </c>
      <c r="E479" s="13" t="s">
        <v>1408</v>
      </c>
      <c r="F479" s="14">
        <v>64.204233333333306</v>
      </c>
      <c r="G479" s="13">
        <v>49.77</v>
      </c>
      <c r="H479" s="13">
        <v>49.06</v>
      </c>
      <c r="I479" s="13">
        <v>43.48</v>
      </c>
      <c r="J479" s="14">
        <v>63.293173225583914</v>
      </c>
      <c r="K479" s="14">
        <v>52.809207117730004</v>
      </c>
      <c r="L479" s="14">
        <v>61.447132891641125</v>
      </c>
      <c r="M479" s="14">
        <v>64.349000000000004</v>
      </c>
      <c r="N479" s="14">
        <f t="shared" si="189"/>
        <v>51.628558333333324</v>
      </c>
      <c r="O479" s="14">
        <f t="shared" si="190"/>
        <v>60.474628308738758</v>
      </c>
      <c r="P479" s="14">
        <f t="shared" si="206"/>
        <v>56.051593321036037</v>
      </c>
      <c r="Q479" s="14">
        <v>52.732577563304552</v>
      </c>
      <c r="R479" s="17">
        <f t="shared" si="191"/>
        <v>47.267422436695448</v>
      </c>
      <c r="S479" s="14">
        <f t="shared" si="207"/>
        <v>0.52540680193025902</v>
      </c>
      <c r="T479" s="13">
        <v>0</v>
      </c>
      <c r="U479" s="13">
        <f t="shared" si="208"/>
        <v>29.449888389901009</v>
      </c>
      <c r="V479" s="13">
        <f>IF($T479=1,$AU479,(VLOOKUP(U479,'Cortes naturales'!$A$35:$C$39,3,9)))</f>
        <v>4</v>
      </c>
      <c r="W479" s="13">
        <v>4</v>
      </c>
      <c r="X479" s="14" t="b">
        <f t="shared" si="192"/>
        <v>1</v>
      </c>
      <c r="Y479" s="17">
        <f>IF($T479=1,$AU479,VLOOKUP(U479,'Cortes naturales'!$A$45:$C$49,3,9))</f>
        <v>3</v>
      </c>
      <c r="Z479" s="14">
        <v>58.244001685309158</v>
      </c>
      <c r="AA479" s="14">
        <v>0.5322824518960817</v>
      </c>
      <c r="AB479" s="14">
        <v>31.002260025295872</v>
      </c>
      <c r="AC479" s="13">
        <v>3</v>
      </c>
      <c r="AD479" s="13">
        <f t="shared" si="193"/>
        <v>0</v>
      </c>
      <c r="AE479" s="14">
        <f t="shared" si="194"/>
        <v>-2.1924083642731205</v>
      </c>
      <c r="AF479" s="14">
        <f t="shared" si="195"/>
        <v>-6.8756499658226833E-3</v>
      </c>
      <c r="AG479" s="13">
        <f t="shared" si="196"/>
        <v>-1.5523716353948629</v>
      </c>
      <c r="AH479" s="13">
        <f>IF($T479=1,$AU479,VLOOKUP(U479,'Cortes naturales'!$A$25:$C$29,3,9))</f>
        <v>3</v>
      </c>
      <c r="AI479" s="13" t="b">
        <f t="shared" si="197"/>
        <v>1</v>
      </c>
      <c r="AJ479" s="13">
        <f t="shared" si="198"/>
        <v>0</v>
      </c>
      <c r="AK479" s="28">
        <v>0.81759069605862034</v>
      </c>
      <c r="AL479" s="28">
        <v>47.619753879131373</v>
      </c>
      <c r="AM479" s="28">
        <v>0.42504691323400268</v>
      </c>
      <c r="AN479" s="13">
        <v>3</v>
      </c>
      <c r="AO479" s="33">
        <f t="shared" si="199"/>
        <v>0</v>
      </c>
      <c r="AP479" s="13">
        <f t="shared" si="209"/>
        <v>42.504691323400266</v>
      </c>
      <c r="AQ479" s="13">
        <f>IFERROR(VLOOKUP(U479,'Cortes naturales'!$E$15:$G$19,3,9),U479)</f>
        <v>4</v>
      </c>
      <c r="AR479" s="28">
        <f t="shared" si="200"/>
        <v>-0.29218389412836132</v>
      </c>
      <c r="AS479" s="13" t="b">
        <f t="shared" si="201"/>
        <v>0</v>
      </c>
      <c r="AT479" s="13">
        <f t="shared" si="210"/>
        <v>0</v>
      </c>
      <c r="AU479" s="13">
        <v>3</v>
      </c>
      <c r="AV479">
        <f t="shared" si="202"/>
        <v>0</v>
      </c>
      <c r="AW479" s="13">
        <v>0</v>
      </c>
      <c r="AX479" s="13">
        <v>0</v>
      </c>
      <c r="AY479" s="13">
        <v>0</v>
      </c>
      <c r="AZ479" s="13">
        <v>0</v>
      </c>
      <c r="BA479">
        <v>0</v>
      </c>
      <c r="BB479" t="s">
        <v>2839</v>
      </c>
      <c r="BC479">
        <v>6</v>
      </c>
      <c r="BD479" t="s">
        <v>2919</v>
      </c>
      <c r="BE479">
        <v>1</v>
      </c>
      <c r="BF479" s="232" t="s">
        <v>2846</v>
      </c>
      <c r="BG479" s="232" t="s">
        <v>2846</v>
      </c>
      <c r="BH479" s="253">
        <v>52.6</v>
      </c>
      <c r="BI479" s="253">
        <v>30.546857933444986</v>
      </c>
      <c r="BJ479" s="25">
        <v>0</v>
      </c>
      <c r="BK479" t="s">
        <v>381</v>
      </c>
      <c r="BL479">
        <v>4.7407981326525492</v>
      </c>
      <c r="BM479" t="s">
        <v>383</v>
      </c>
      <c r="BN479" s="322">
        <v>45742.654053999999</v>
      </c>
      <c r="BO479" s="322">
        <v>6477.6182349999999</v>
      </c>
      <c r="BP479" s="10">
        <v>16297</v>
      </c>
      <c r="BQ479" s="254">
        <f t="shared" si="203"/>
        <v>2.8068143863287722</v>
      </c>
      <c r="BR479" s="254">
        <f t="shared" si="204"/>
        <v>0.39747304626618396</v>
      </c>
      <c r="BS479" s="25">
        <v>52.901289467056813</v>
      </c>
      <c r="BT479" s="25">
        <v>78.86454903083731</v>
      </c>
      <c r="BU479" s="25">
        <v>7.333333333333333</v>
      </c>
      <c r="BV479" s="25">
        <v>93.281003986089601</v>
      </c>
      <c r="BW479" s="25">
        <v>56.159167888634229</v>
      </c>
      <c r="BX479" s="25">
        <v>58.09504395432927</v>
      </c>
      <c r="BY479" s="25">
        <v>53.608991904655568</v>
      </c>
      <c r="BZ479">
        <v>67</v>
      </c>
      <c r="CA479">
        <v>0</v>
      </c>
      <c r="CB479">
        <v>7</v>
      </c>
      <c r="CC479">
        <v>28689.539698</v>
      </c>
      <c r="CD479" s="10">
        <v>7144.0297979999996</v>
      </c>
      <c r="CE479" s="255">
        <v>0.24901165627617311</v>
      </c>
      <c r="CF479" t="str">
        <f>IFERROR(VLOOKUP(CE479,'Rangos amb etnico'!$A$2:$C$6,3,9),"N.D.")</f>
        <v>0,1% - 30%</v>
      </c>
      <c r="CG479" s="256">
        <v>2.0784675742453149E-4</v>
      </c>
      <c r="CH479" s="232">
        <v>0</v>
      </c>
      <c r="CI479" s="311">
        <f t="shared" si="211"/>
        <v>0</v>
      </c>
      <c r="CJ479" s="232">
        <f>IFERROR(VLOOKUP(CI479,'Rangos amb etnico'!$A$2:$C$6,3,9),"N.D.")</f>
        <v>0</v>
      </c>
      <c r="CK479" s="311">
        <f t="shared" si="212"/>
        <v>0</v>
      </c>
      <c r="CL479" s="10">
        <v>0</v>
      </c>
      <c r="CM479" s="255">
        <f t="shared" si="213"/>
        <v>0</v>
      </c>
      <c r="CN479" s="232">
        <f>IFERROR(VLOOKUP(CM479,'Rangos amb etnico'!$A$2:$C$6,3,9),"N.D.")</f>
        <v>0</v>
      </c>
      <c r="CO479" s="311">
        <f t="shared" si="214"/>
        <v>0</v>
      </c>
      <c r="CP479">
        <v>0.92381734941144611</v>
      </c>
      <c r="CQ479" t="s">
        <v>2864</v>
      </c>
      <c r="CR479">
        <f t="shared" si="205"/>
        <v>2</v>
      </c>
      <c r="CS479" t="str">
        <f t="shared" si="215"/>
        <v>No es Candidato</v>
      </c>
      <c r="CT479">
        <v>0</v>
      </c>
      <c r="CU479">
        <v>0</v>
      </c>
      <c r="CV479" s="25">
        <v>53.299705505371087</v>
      </c>
      <c r="CW479" s="25">
        <v>29.64100456237793</v>
      </c>
      <c r="CX479" s="25">
        <v>55.676937103271477</v>
      </c>
      <c r="CY479" s="25">
        <v>64.904373168945313</v>
      </c>
      <c r="CZ479" s="25">
        <v>42.428264617919922</v>
      </c>
      <c r="DA479" s="25">
        <v>67.128746032714844</v>
      </c>
      <c r="DB479" s="25">
        <v>60.018901824951172</v>
      </c>
      <c r="DC479">
        <v>2096</v>
      </c>
      <c r="DD479" s="253" t="s">
        <v>380</v>
      </c>
    </row>
    <row r="480" spans="1:108" hidden="1">
      <c r="A480" s="13">
        <v>68229</v>
      </c>
      <c r="B480" s="13" t="s">
        <v>1409</v>
      </c>
      <c r="C480" s="13" t="s">
        <v>431</v>
      </c>
      <c r="D480" s="13" t="s">
        <v>432</v>
      </c>
      <c r="E480" s="13" t="s">
        <v>1410</v>
      </c>
      <c r="F480" s="14">
        <v>58.191733333333303</v>
      </c>
      <c r="G480" s="13">
        <v>63.22</v>
      </c>
      <c r="H480" s="13">
        <v>64.19</v>
      </c>
      <c r="I480" s="13">
        <v>67.94</v>
      </c>
      <c r="J480" s="14">
        <v>64.868347016847082</v>
      </c>
      <c r="K480" s="14">
        <v>65.302663052957087</v>
      </c>
      <c r="L480" s="14">
        <v>65.919046830101223</v>
      </c>
      <c r="M480" s="14">
        <v>62.247599999999998</v>
      </c>
      <c r="N480" s="14">
        <f t="shared" si="189"/>
        <v>63.385433333333324</v>
      </c>
      <c r="O480" s="14">
        <f t="shared" si="190"/>
        <v>64.584414224976342</v>
      </c>
      <c r="P480" s="14">
        <f t="shared" si="206"/>
        <v>63.984923779154833</v>
      </c>
      <c r="Q480" s="14">
        <v>52.088805025163374</v>
      </c>
      <c r="R480" s="17">
        <f t="shared" si="191"/>
        <v>47.911194974836626</v>
      </c>
      <c r="S480" s="14">
        <f t="shared" si="207"/>
        <v>0.53120075477352968</v>
      </c>
      <c r="T480" s="13">
        <v>0</v>
      </c>
      <c r="U480" s="13">
        <f t="shared" si="208"/>
        <v>33.988839805613814</v>
      </c>
      <c r="V480" s="13">
        <f>IF($T480=1,$AU480,(VLOOKUP(U480,'Cortes naturales'!$A$35:$C$39,3,9)))</f>
        <v>3</v>
      </c>
      <c r="W480" s="13">
        <v>3</v>
      </c>
      <c r="X480" s="14" t="b">
        <f t="shared" si="192"/>
        <v>1</v>
      </c>
      <c r="Y480" s="17">
        <f>IF($T480=1,$AU480,VLOOKUP(U480,'Cortes naturales'!$A$45:$C$49,3,9))</f>
        <v>3</v>
      </c>
      <c r="Z480" s="14">
        <v>61.639934591537212</v>
      </c>
      <c r="AA480" s="14">
        <v>0.5351969144071389</v>
      </c>
      <c r="AB480" s="14">
        <v>32.989502797648584</v>
      </c>
      <c r="AC480" s="13">
        <v>3</v>
      </c>
      <c r="AD480" s="13">
        <f t="shared" si="193"/>
        <v>0</v>
      </c>
      <c r="AE480" s="14">
        <f t="shared" si="194"/>
        <v>2.344989187617621</v>
      </c>
      <c r="AF480" s="14">
        <f t="shared" si="195"/>
        <v>-3.9961596336092198E-3</v>
      </c>
      <c r="AG480" s="13">
        <f t="shared" si="196"/>
        <v>0.99933700796523084</v>
      </c>
      <c r="AH480" s="13">
        <f>IF($T480=1,$AU480,VLOOKUP(U480,'Cortes naturales'!$A$25:$C$29,3,9))</f>
        <v>3</v>
      </c>
      <c r="AI480" s="13" t="b">
        <f t="shared" si="197"/>
        <v>1</v>
      </c>
      <c r="AJ480" s="13">
        <f t="shared" si="198"/>
        <v>0</v>
      </c>
      <c r="AK480" s="28">
        <v>0.81759069605862034</v>
      </c>
      <c r="AL480" s="28">
        <v>50.396237027702739</v>
      </c>
      <c r="AM480" s="28">
        <v>0.45977779073352493</v>
      </c>
      <c r="AN480" s="13">
        <v>3</v>
      </c>
      <c r="AO480" s="33">
        <f t="shared" si="199"/>
        <v>0</v>
      </c>
      <c r="AP480" s="13">
        <f t="shared" si="209"/>
        <v>45.977779073352494</v>
      </c>
      <c r="AQ480" s="13">
        <f>IFERROR(VLOOKUP(U480,'Cortes naturales'!$E$15:$G$19,3,9),U480)</f>
        <v>4</v>
      </c>
      <c r="AR480" s="28">
        <f t="shared" si="200"/>
        <v>-0.28638994128509065</v>
      </c>
      <c r="AS480" s="13" t="b">
        <f t="shared" si="201"/>
        <v>0</v>
      </c>
      <c r="AT480" s="13">
        <f t="shared" si="210"/>
        <v>0</v>
      </c>
      <c r="AU480" s="13">
        <v>3</v>
      </c>
      <c r="AV480">
        <f t="shared" si="202"/>
        <v>0</v>
      </c>
      <c r="AW480" s="13">
        <v>0</v>
      </c>
      <c r="AX480" s="13">
        <v>0</v>
      </c>
      <c r="AY480" s="13">
        <v>0</v>
      </c>
      <c r="AZ480" s="13">
        <v>0</v>
      </c>
      <c r="BA480">
        <v>0</v>
      </c>
      <c r="BB480" t="s">
        <v>2839</v>
      </c>
      <c r="BC480">
        <v>6</v>
      </c>
      <c r="BD480" t="s">
        <v>2919</v>
      </c>
      <c r="BE480">
        <v>0</v>
      </c>
      <c r="BF480" s="232" t="s">
        <v>2846</v>
      </c>
      <c r="BG480" s="232" t="s">
        <v>2846</v>
      </c>
      <c r="BH480" s="253">
        <v>35.700000000000003</v>
      </c>
      <c r="BI480" s="253">
        <v>14</v>
      </c>
      <c r="BJ480" s="25">
        <v>6.4603253838047721</v>
      </c>
      <c r="BK480" t="s">
        <v>377</v>
      </c>
      <c r="BL480">
        <v>0.64338101692148986</v>
      </c>
      <c r="BM480" t="s">
        <v>383</v>
      </c>
      <c r="BN480" s="322">
        <v>23994.467311</v>
      </c>
      <c r="BO480" s="322">
        <v>2843.2347209999998</v>
      </c>
      <c r="BP480" s="10">
        <v>14441</v>
      </c>
      <c r="BQ480" s="254">
        <f t="shared" si="203"/>
        <v>1.6615516453846686</v>
      </c>
      <c r="BR480" s="254">
        <f t="shared" si="204"/>
        <v>0.19688627664289177</v>
      </c>
      <c r="BS480" s="25">
        <v>60.661180159726371</v>
      </c>
      <c r="BT480" s="25">
        <v>85.776114801144885</v>
      </c>
      <c r="BU480" s="25">
        <v>62.365000000000002</v>
      </c>
      <c r="BV480" s="25">
        <v>93.602501908982774</v>
      </c>
      <c r="BW480" s="25">
        <v>63.398715019048467</v>
      </c>
      <c r="BX480" s="25">
        <v>75.601199217463517</v>
      </c>
      <c r="BY480" s="25">
        <v>63.540830262664301</v>
      </c>
      <c r="BZ480">
        <v>4</v>
      </c>
      <c r="CA480">
        <v>0</v>
      </c>
      <c r="CB480">
        <v>7</v>
      </c>
      <c r="CC480">
        <v>24374.945368000001</v>
      </c>
      <c r="CD480" s="10">
        <v>8200.7706460000009</v>
      </c>
      <c r="CE480" s="255">
        <v>0.33644262672958292</v>
      </c>
      <c r="CF480" t="str">
        <f>IFERROR(VLOOKUP(CE480,'Rangos amb etnico'!$A$2:$C$6,3,9),"N.D.")</f>
        <v>31% - 50%</v>
      </c>
      <c r="CG480" s="256">
        <v>2.3859133225208039E-4</v>
      </c>
      <c r="CH480" s="232">
        <v>0</v>
      </c>
      <c r="CI480" s="311">
        <f t="shared" si="211"/>
        <v>0</v>
      </c>
      <c r="CJ480" s="232">
        <f>IFERROR(VLOOKUP(CI480,'Rangos amb etnico'!$A$2:$C$6,3,9),"N.D.")</f>
        <v>0</v>
      </c>
      <c r="CK480" s="311">
        <f t="shared" si="212"/>
        <v>0</v>
      </c>
      <c r="CL480" s="10">
        <v>0</v>
      </c>
      <c r="CM480" s="255">
        <f t="shared" si="213"/>
        <v>0</v>
      </c>
      <c r="CN480" s="232">
        <f>IFERROR(VLOOKUP(CM480,'Rangos amb etnico'!$A$2:$C$6,3,9),"N.D.")</f>
        <v>0</v>
      </c>
      <c r="CO480" s="311">
        <f t="shared" si="214"/>
        <v>0</v>
      </c>
      <c r="CP480">
        <v>0.9299613398130353</v>
      </c>
      <c r="CQ480" t="s">
        <v>2864</v>
      </c>
      <c r="CR480">
        <f t="shared" si="205"/>
        <v>4</v>
      </c>
      <c r="CS480" t="str">
        <f t="shared" si="215"/>
        <v>Candidato</v>
      </c>
      <c r="CT480">
        <v>0</v>
      </c>
      <c r="CU480">
        <v>0</v>
      </c>
      <c r="CV480" s="25">
        <v>52.322029113769531</v>
      </c>
      <c r="CW480" s="25">
        <v>31.182418823242191</v>
      </c>
      <c r="CX480" s="25">
        <v>53.345317840576172</v>
      </c>
      <c r="CY480" s="25">
        <v>62.965774536132813</v>
      </c>
      <c r="CZ480" s="25">
        <v>39.294673919677727</v>
      </c>
      <c r="DA480" s="25">
        <v>64.045089721679688</v>
      </c>
      <c r="DB480" s="25">
        <v>63.098888397216797</v>
      </c>
      <c r="DC480">
        <v>66</v>
      </c>
      <c r="DD480" s="253" t="s">
        <v>380</v>
      </c>
    </row>
    <row r="481" spans="1:108" hidden="1">
      <c r="A481" s="13">
        <v>15740</v>
      </c>
      <c r="B481" s="13" t="s">
        <v>1411</v>
      </c>
      <c r="C481" s="13" t="s">
        <v>498</v>
      </c>
      <c r="D481" s="13" t="s">
        <v>499</v>
      </c>
      <c r="E481" s="13" t="s">
        <v>1412</v>
      </c>
      <c r="F481" s="14">
        <v>66.699033333333304</v>
      </c>
      <c r="G481" s="13">
        <v>78.14</v>
      </c>
      <c r="H481" s="13">
        <v>80.3</v>
      </c>
      <c r="I481" s="13">
        <v>86.49</v>
      </c>
      <c r="J481" s="14">
        <v>52.425650739884269</v>
      </c>
      <c r="K481" s="14">
        <v>68.042000929904802</v>
      </c>
      <c r="L481" s="14">
        <v>64.663372656512166</v>
      </c>
      <c r="M481" s="14">
        <v>61.191200000000002</v>
      </c>
      <c r="N481" s="14">
        <f t="shared" si="189"/>
        <v>77.907258333333331</v>
      </c>
      <c r="O481" s="14">
        <f t="shared" si="190"/>
        <v>61.58055608157531</v>
      </c>
      <c r="P481" s="14">
        <f t="shared" si="206"/>
        <v>69.743907207454328</v>
      </c>
      <c r="Q481" s="14">
        <v>53.522120204805326</v>
      </c>
      <c r="R481" s="17">
        <f t="shared" si="191"/>
        <v>46.477879795194674</v>
      </c>
      <c r="S481" s="14">
        <f t="shared" si="207"/>
        <v>0.51830091815675206</v>
      </c>
      <c r="T481" s="13">
        <v>0</v>
      </c>
      <c r="U481" s="13">
        <f t="shared" si="208"/>
        <v>36.148331141462897</v>
      </c>
      <c r="V481" s="13">
        <f>IF($T481=1,$AU481,(VLOOKUP(U481,'Cortes naturales'!$A$35:$C$39,3,9)))</f>
        <v>3</v>
      </c>
      <c r="W481" s="13">
        <v>3</v>
      </c>
      <c r="X481" s="14" t="b">
        <f t="shared" si="192"/>
        <v>1</v>
      </c>
      <c r="Y481" s="17">
        <f>IF($T481=1,$AU481,VLOOKUP(U481,'Cortes naturales'!$A$45:$C$49,3,9))</f>
        <v>2</v>
      </c>
      <c r="Z481" s="14">
        <v>66.590022026407098</v>
      </c>
      <c r="AA481" s="14">
        <v>0.53039958337446047</v>
      </c>
      <c r="AB481" s="14">
        <v>35.319319939702474</v>
      </c>
      <c r="AC481" s="13">
        <v>2</v>
      </c>
      <c r="AD481" s="13">
        <f t="shared" si="193"/>
        <v>0</v>
      </c>
      <c r="AE481" s="14">
        <f t="shared" si="194"/>
        <v>3.1538851810472295</v>
      </c>
      <c r="AF481" s="14">
        <f t="shared" si="195"/>
        <v>-1.2098665217708415E-2</v>
      </c>
      <c r="AG481" s="13">
        <f t="shared" si="196"/>
        <v>0.82901120176042298</v>
      </c>
      <c r="AH481" s="13">
        <f>IF($T481=1,$AU481,VLOOKUP(U481,'Cortes naturales'!$A$25:$C$29,3,9))</f>
        <v>2</v>
      </c>
      <c r="AI481" s="13" t="b">
        <f t="shared" si="197"/>
        <v>1</v>
      </c>
      <c r="AJ481" s="13">
        <f t="shared" si="198"/>
        <v>0</v>
      </c>
      <c r="AK481" s="28">
        <v>0.81759069605862034</v>
      </c>
      <c r="AL481" s="28">
        <v>54.44338245912904</v>
      </c>
      <c r="AM481" s="28">
        <v>0.51040331398726524</v>
      </c>
      <c r="AN481" s="13">
        <v>2</v>
      </c>
      <c r="AO481" s="33">
        <f t="shared" si="199"/>
        <v>0</v>
      </c>
      <c r="AP481" s="13">
        <f t="shared" si="209"/>
        <v>51.040331398726522</v>
      </c>
      <c r="AQ481" s="13">
        <f>IFERROR(VLOOKUP(U481,'Cortes naturales'!$E$15:$G$19,3,9),U481)</f>
        <v>3</v>
      </c>
      <c r="AR481" s="28">
        <f t="shared" si="200"/>
        <v>-0.29928977790186828</v>
      </c>
      <c r="AS481" s="13" t="b">
        <f t="shared" si="201"/>
        <v>0</v>
      </c>
      <c r="AT481" s="13">
        <f t="shared" si="210"/>
        <v>0</v>
      </c>
      <c r="AU481" s="13">
        <v>3</v>
      </c>
      <c r="AV481">
        <f t="shared" si="202"/>
        <v>1</v>
      </c>
      <c r="AW481" s="13">
        <v>0</v>
      </c>
      <c r="AX481" s="13">
        <v>0</v>
      </c>
      <c r="AY481" s="13">
        <v>0</v>
      </c>
      <c r="AZ481" s="13">
        <v>0</v>
      </c>
      <c r="BA481">
        <v>0</v>
      </c>
      <c r="BB481" t="s">
        <v>2840</v>
      </c>
      <c r="BC481">
        <v>6</v>
      </c>
      <c r="BD481" t="s">
        <v>2919</v>
      </c>
      <c r="BE481">
        <v>0</v>
      </c>
      <c r="BF481" s="232" t="s">
        <v>2846</v>
      </c>
      <c r="BG481" s="232" t="s">
        <v>2846</v>
      </c>
      <c r="BH481" s="253">
        <v>45.1</v>
      </c>
      <c r="BI481" s="253">
        <v>19.777410136862684</v>
      </c>
      <c r="BJ481" s="25">
        <v>17.051573104811055</v>
      </c>
      <c r="BK481" t="s">
        <v>379</v>
      </c>
      <c r="BL481">
        <v>0</v>
      </c>
      <c r="BM481" t="s">
        <v>377</v>
      </c>
      <c r="BN481" s="322">
        <v>20151.395381999999</v>
      </c>
      <c r="BO481" s="322">
        <v>1548.8009569999999</v>
      </c>
      <c r="BP481" s="10">
        <v>6894</v>
      </c>
      <c r="BQ481" s="254">
        <f t="shared" si="203"/>
        <v>2.9230338529155784</v>
      </c>
      <c r="BR481" s="254">
        <f t="shared" si="204"/>
        <v>0.2246592626921961</v>
      </c>
      <c r="BS481" s="25">
        <v>68.818538151934604</v>
      </c>
      <c r="BT481" s="25">
        <v>91.632303053863254</v>
      </c>
      <c r="BU481" s="25">
        <v>51.671790941728801</v>
      </c>
      <c r="BV481" s="25">
        <v>91.63582448857052</v>
      </c>
      <c r="BW481" s="25">
        <v>58.675828719656018</v>
      </c>
      <c r="BX481" s="25">
        <v>75.939614159024302</v>
      </c>
      <c r="BY481" s="25">
        <v>59.435045890463407</v>
      </c>
      <c r="BZ481">
        <v>79</v>
      </c>
      <c r="CA481">
        <v>0</v>
      </c>
      <c r="CB481">
        <v>7</v>
      </c>
      <c r="CC481">
        <v>11900.719316000001</v>
      </c>
      <c r="CD481" s="10">
        <v>5897.7239470000004</v>
      </c>
      <c r="CE481" s="255">
        <v>0.49557709835831237</v>
      </c>
      <c r="CF481" t="str">
        <f>IFERROR(VLOOKUP(CE481,'Rangos amb etnico'!$A$2:$C$6,3,9),"N.D.")</f>
        <v>31% - 50%</v>
      </c>
      <c r="CG481" s="256">
        <v>1.7158702206311258E-4</v>
      </c>
      <c r="CH481" s="232">
        <v>0</v>
      </c>
      <c r="CI481" s="311">
        <f t="shared" si="211"/>
        <v>0</v>
      </c>
      <c r="CJ481" s="232">
        <f>IFERROR(VLOOKUP(CI481,'Rangos amb etnico'!$A$2:$C$6,3,9),"N.D.")</f>
        <v>0</v>
      </c>
      <c r="CK481" s="311">
        <f t="shared" si="212"/>
        <v>0</v>
      </c>
      <c r="CL481" s="10">
        <v>0</v>
      </c>
      <c r="CM481" s="255">
        <f t="shared" si="213"/>
        <v>0</v>
      </c>
      <c r="CN481" s="232">
        <f>IFERROR(VLOOKUP(CM481,'Rangos amb etnico'!$A$2:$C$6,3,9),"N.D.")</f>
        <v>0</v>
      </c>
      <c r="CO481" s="311">
        <f t="shared" si="214"/>
        <v>0</v>
      </c>
      <c r="CP481">
        <v>0.94271696850677333</v>
      </c>
      <c r="CQ481" t="s">
        <v>2864</v>
      </c>
      <c r="CR481">
        <f t="shared" si="205"/>
        <v>3</v>
      </c>
      <c r="CS481" t="str">
        <f t="shared" si="215"/>
        <v>Candidato</v>
      </c>
      <c r="CT481">
        <v>0</v>
      </c>
      <c r="CU481">
        <v>0</v>
      </c>
      <c r="CV481" s="25">
        <v>50.194683074951172</v>
      </c>
      <c r="CW481" s="25">
        <v>25.769918441772461</v>
      </c>
      <c r="CX481" s="25">
        <v>39.39739990234375</v>
      </c>
      <c r="CY481" s="25">
        <v>59.431850433349609</v>
      </c>
      <c r="CZ481" s="25">
        <v>59.578968048095703</v>
      </c>
      <c r="DA481" s="25">
        <v>62.201141357421882</v>
      </c>
      <c r="DB481" s="25">
        <v>54.788818359375</v>
      </c>
      <c r="DC481">
        <v>24</v>
      </c>
      <c r="DD481" s="253" t="s">
        <v>380</v>
      </c>
    </row>
    <row r="482" spans="1:108" hidden="1">
      <c r="A482" s="13">
        <v>44078</v>
      </c>
      <c r="B482" s="13" t="s">
        <v>1413</v>
      </c>
      <c r="C482" s="13" t="s">
        <v>933</v>
      </c>
      <c r="D482" s="13" t="s">
        <v>934</v>
      </c>
      <c r="E482" s="13" t="s">
        <v>1414</v>
      </c>
      <c r="F482" s="14">
        <v>58.058433333333298</v>
      </c>
      <c r="G482" s="13">
        <v>81.27</v>
      </c>
      <c r="H482" s="13">
        <v>83.12</v>
      </c>
      <c r="I482" s="13">
        <v>88.02</v>
      </c>
      <c r="J482" s="14">
        <v>66.717197356848715</v>
      </c>
      <c r="K482" s="14">
        <v>44.582509570470769</v>
      </c>
      <c r="L482" s="14">
        <v>58.770572734877931</v>
      </c>
      <c r="M482" s="14">
        <v>52.185699999999997</v>
      </c>
      <c r="N482" s="14">
        <f t="shared" si="189"/>
        <v>77.61710833333332</v>
      </c>
      <c r="O482" s="14">
        <f t="shared" si="190"/>
        <v>55.563994915549351</v>
      </c>
      <c r="P482" s="14">
        <f t="shared" si="206"/>
        <v>66.590551624441332</v>
      </c>
      <c r="Q482" s="14">
        <v>53.812776865377351</v>
      </c>
      <c r="R482" s="17">
        <f t="shared" si="191"/>
        <v>46.187223134622649</v>
      </c>
      <c r="S482" s="14">
        <f t="shared" si="207"/>
        <v>0.51568500821160379</v>
      </c>
      <c r="T482" s="13">
        <v>0</v>
      </c>
      <c r="U482" s="13">
        <f t="shared" si="208"/>
        <v>34.339749161265253</v>
      </c>
      <c r="V482" s="13">
        <f>IF($T482=1,$AU482,(VLOOKUP(U482,'Cortes naturales'!$A$35:$C$39,3,9)))</f>
        <v>3</v>
      </c>
      <c r="W482" s="13">
        <v>3</v>
      </c>
      <c r="X482" s="14" t="b">
        <f t="shared" si="192"/>
        <v>1</v>
      </c>
      <c r="Y482" s="17">
        <f>IF($T482=1,$AU482,VLOOKUP(U482,'Cortes naturales'!$A$45:$C$49,3,9))</f>
        <v>3</v>
      </c>
      <c r="Z482" s="14">
        <v>63.22679250780557</v>
      </c>
      <c r="AA482" s="14">
        <v>0.53111289039838538</v>
      </c>
      <c r="AB482" s="14">
        <v>33.580564519439591</v>
      </c>
      <c r="AC482" s="13">
        <v>3</v>
      </c>
      <c r="AD482" s="13">
        <f t="shared" si="193"/>
        <v>0</v>
      </c>
      <c r="AE482" s="14">
        <f t="shared" si="194"/>
        <v>3.3637591166357623</v>
      </c>
      <c r="AF482" s="14">
        <f t="shared" si="195"/>
        <v>-1.5427882186781594E-2</v>
      </c>
      <c r="AG482" s="13">
        <f t="shared" si="196"/>
        <v>0.75918464182566225</v>
      </c>
      <c r="AH482" s="13">
        <f>IF($T482=1,$AU482,VLOOKUP(U482,'Cortes naturales'!$A$25:$C$29,3,9))</f>
        <v>3</v>
      </c>
      <c r="AI482" s="13" t="b">
        <f t="shared" si="197"/>
        <v>1</v>
      </c>
      <c r="AJ482" s="13">
        <f t="shared" si="198"/>
        <v>0</v>
      </c>
      <c r="AK482" s="28">
        <v>0.81759069605862034</v>
      </c>
      <c r="AL482" s="28">
        <v>51.693637296010714</v>
      </c>
      <c r="AM482" s="28">
        <v>0.4760069005012672</v>
      </c>
      <c r="AN482" s="13">
        <v>3</v>
      </c>
      <c r="AO482" s="33">
        <f t="shared" si="199"/>
        <v>0</v>
      </c>
      <c r="AP482" s="13">
        <f t="shared" si="209"/>
        <v>47.600690050126722</v>
      </c>
      <c r="AQ482" s="13">
        <f>IFERROR(VLOOKUP(U482,'Cortes naturales'!$E$15:$G$19,3,9),U482)</f>
        <v>4</v>
      </c>
      <c r="AR482" s="28">
        <f t="shared" si="200"/>
        <v>-0.30190568784701655</v>
      </c>
      <c r="AS482" s="13" t="b">
        <f t="shared" si="201"/>
        <v>0</v>
      </c>
      <c r="AT482" s="13">
        <f t="shared" si="210"/>
        <v>0</v>
      </c>
      <c r="AU482" s="13">
        <v>3</v>
      </c>
      <c r="AV482">
        <f t="shared" si="202"/>
        <v>0</v>
      </c>
      <c r="AW482" s="13">
        <v>0</v>
      </c>
      <c r="AX482" s="13">
        <v>0</v>
      </c>
      <c r="AY482" s="13">
        <v>0</v>
      </c>
      <c r="AZ482" s="13">
        <v>0</v>
      </c>
      <c r="BA482">
        <v>0</v>
      </c>
      <c r="BB482" t="s">
        <v>2839</v>
      </c>
      <c r="BC482">
        <v>6</v>
      </c>
      <c r="BD482" t="s">
        <v>2919</v>
      </c>
      <c r="BE482">
        <v>0</v>
      </c>
      <c r="BF482" s="232" t="s">
        <v>2846</v>
      </c>
      <c r="BG482" s="232" t="s">
        <v>2846</v>
      </c>
      <c r="BH482" s="253">
        <v>46.7</v>
      </c>
      <c r="BI482" s="253">
        <v>40.610221739587345</v>
      </c>
      <c r="BJ482" s="25">
        <v>3.3028571428571429</v>
      </c>
      <c r="BK482" t="s">
        <v>381</v>
      </c>
      <c r="BL482">
        <v>3.8509990410147958</v>
      </c>
      <c r="BM482" t="s">
        <v>383</v>
      </c>
      <c r="BN482" s="322">
        <v>220913.957345</v>
      </c>
      <c r="BO482" s="322">
        <v>22561.741483999998</v>
      </c>
      <c r="BP482" s="10">
        <v>42798</v>
      </c>
      <c r="BQ482" s="254">
        <f t="shared" si="203"/>
        <v>5.16178226424132</v>
      </c>
      <c r="BR482" s="254">
        <f t="shared" si="204"/>
        <v>0.52716812664143176</v>
      </c>
      <c r="BS482" s="25">
        <v>64.020500813142078</v>
      </c>
      <c r="BT482" s="25">
        <v>90.157934886988485</v>
      </c>
      <c r="BU482" s="25">
        <v>36.243469495461227</v>
      </c>
      <c r="BV482" s="25">
        <v>94.351053029890352</v>
      </c>
      <c r="BW482" s="25">
        <v>42.229158469144743</v>
      </c>
      <c r="BX482" s="25">
        <v>71.193239556370543</v>
      </c>
      <c r="BY482" s="25">
        <v>43.21387136541113</v>
      </c>
      <c r="BZ482">
        <v>76</v>
      </c>
      <c r="CA482">
        <v>0</v>
      </c>
      <c r="CB482">
        <v>7</v>
      </c>
      <c r="CC482">
        <v>79994.753807999994</v>
      </c>
      <c r="CD482" s="10">
        <v>37332.253525</v>
      </c>
      <c r="CE482" s="255">
        <v>0.46668377297095365</v>
      </c>
      <c r="CF482" t="str">
        <f>IFERROR(VLOOKUP(CE482,'Rangos amb etnico'!$A$2:$C$6,3,9),"N.D.")</f>
        <v>31% - 50%</v>
      </c>
      <c r="CG482" s="256">
        <v>1.0861359851402157E-3</v>
      </c>
      <c r="CH482" s="232">
        <v>6013.3069390000001</v>
      </c>
      <c r="CI482" s="311">
        <f t="shared" si="211"/>
        <v>7.5171266273696941E-2</v>
      </c>
      <c r="CJ482" s="232" t="str">
        <f>IFERROR(VLOOKUP(CI482,'Rangos amb etnico'!$A$2:$C$6,3,9),"N.D.")</f>
        <v>0,1% - 30%</v>
      </c>
      <c r="CK482" s="311">
        <f t="shared" si="212"/>
        <v>2.3876765580439449E-4</v>
      </c>
      <c r="CL482" s="10">
        <v>0</v>
      </c>
      <c r="CM482" s="255">
        <f t="shared" si="213"/>
        <v>0</v>
      </c>
      <c r="CN482" s="232">
        <f>IFERROR(VLOOKUP(CM482,'Rangos amb etnico'!$A$2:$C$6,3,9),"N.D.")</f>
        <v>0</v>
      </c>
      <c r="CO482" s="311">
        <f t="shared" si="214"/>
        <v>0</v>
      </c>
      <c r="CP482">
        <v>0.9241681663352701</v>
      </c>
      <c r="CQ482" t="s">
        <v>2864</v>
      </c>
      <c r="CR482">
        <f t="shared" si="205"/>
        <v>2</v>
      </c>
      <c r="CS482" t="str">
        <f t="shared" si="215"/>
        <v>No es Candidato</v>
      </c>
      <c r="CT482">
        <v>1</v>
      </c>
      <c r="CU482" t="s">
        <v>2836</v>
      </c>
      <c r="CV482" s="25">
        <v>46.140785217285163</v>
      </c>
      <c r="CW482" s="25">
        <v>39.248950958251953</v>
      </c>
      <c r="CX482" s="25">
        <v>59.196544647216797</v>
      </c>
      <c r="CY482" s="25">
        <v>55.430850982666023</v>
      </c>
      <c r="CZ482" s="25">
        <v>19.77445030212402</v>
      </c>
      <c r="DA482" s="25">
        <v>52.474819183349609</v>
      </c>
      <c r="DB482" s="25">
        <v>50.719093322753913</v>
      </c>
      <c r="DC482">
        <v>20787</v>
      </c>
      <c r="DD482" s="253" t="s">
        <v>380</v>
      </c>
    </row>
    <row r="483" spans="1:108" hidden="1">
      <c r="A483" s="13">
        <v>52687</v>
      </c>
      <c r="B483" s="13" t="s">
        <v>1415</v>
      </c>
      <c r="C483" s="13" t="s">
        <v>672</v>
      </c>
      <c r="D483" s="13" t="s">
        <v>673</v>
      </c>
      <c r="E483" s="13" t="s">
        <v>1416</v>
      </c>
      <c r="F483" s="14">
        <v>67.298299999999998</v>
      </c>
      <c r="G483" s="13">
        <v>80.81</v>
      </c>
      <c r="H483" s="13">
        <v>82.31</v>
      </c>
      <c r="I483" s="13">
        <v>86.31</v>
      </c>
      <c r="J483" s="14">
        <v>48.631773577922552</v>
      </c>
      <c r="K483" s="14">
        <v>40.095385992729241</v>
      </c>
      <c r="L483" s="14">
        <v>56.758114185442416</v>
      </c>
      <c r="M483" s="14">
        <v>57.815800000000003</v>
      </c>
      <c r="N483" s="14">
        <f t="shared" si="189"/>
        <v>79.182074999999998</v>
      </c>
      <c r="O483" s="14">
        <f t="shared" si="190"/>
        <v>50.825268439023553</v>
      </c>
      <c r="P483" s="14">
        <f t="shared" si="206"/>
        <v>65.003671719511772</v>
      </c>
      <c r="Q483" s="14">
        <v>53.324401931026344</v>
      </c>
      <c r="R483" s="17">
        <f t="shared" si="191"/>
        <v>46.675598068973656</v>
      </c>
      <c r="S483" s="14">
        <f t="shared" si="207"/>
        <v>0.52008038262076295</v>
      </c>
      <c r="T483" s="13">
        <v>0</v>
      </c>
      <c r="U483" s="13">
        <f t="shared" si="208"/>
        <v>33.807134459638149</v>
      </c>
      <c r="V483" s="13">
        <f>IF($T483=1,$AU483,(VLOOKUP(U483,'Cortes naturales'!$A$35:$C$39,3,9)))</f>
        <v>3</v>
      </c>
      <c r="W483" s="13">
        <v>3</v>
      </c>
      <c r="X483" s="14" t="b">
        <f t="shared" si="192"/>
        <v>1</v>
      </c>
      <c r="Y483" s="17">
        <f>IF($T483=1,$AU483,VLOOKUP(U483,'Cortes naturales'!$A$45:$C$49,3,9))</f>
        <v>3</v>
      </c>
      <c r="Z483" s="14">
        <v>63.386068820421428</v>
      </c>
      <c r="AA483" s="14">
        <v>0.53144649824603685</v>
      </c>
      <c r="AB483" s="14">
        <v>33.686304312195269</v>
      </c>
      <c r="AC483" s="13">
        <v>3</v>
      </c>
      <c r="AD483" s="13">
        <f t="shared" si="193"/>
        <v>0</v>
      </c>
      <c r="AE483" s="14">
        <f t="shared" si="194"/>
        <v>1.6176028990903433</v>
      </c>
      <c r="AF483" s="14">
        <f t="shared" si="195"/>
        <v>-1.1366115625273898E-2</v>
      </c>
      <c r="AG483" s="13">
        <f t="shared" si="196"/>
        <v>0.12083014744288079</v>
      </c>
      <c r="AH483" s="13">
        <f>IF($T483=1,$AU483,VLOOKUP(U483,'Cortes naturales'!$A$25:$C$29,3,9))</f>
        <v>3</v>
      </c>
      <c r="AI483" s="13" t="b">
        <f t="shared" si="197"/>
        <v>1</v>
      </c>
      <c r="AJ483" s="13">
        <f t="shared" si="198"/>
        <v>0</v>
      </c>
      <c r="AK483" s="28">
        <v>0.81759069605862034</v>
      </c>
      <c r="AL483" s="28">
        <v>51.823860127307967</v>
      </c>
      <c r="AM483" s="28">
        <v>0.47763585085299293</v>
      </c>
      <c r="AN483" s="13">
        <v>3</v>
      </c>
      <c r="AO483" s="33">
        <f t="shared" si="199"/>
        <v>0</v>
      </c>
      <c r="AP483" s="13">
        <f t="shared" si="209"/>
        <v>47.76358508529929</v>
      </c>
      <c r="AQ483" s="13">
        <f>IFERROR(VLOOKUP(U483,'Cortes naturales'!$E$15:$G$19,3,9),U483)</f>
        <v>4</v>
      </c>
      <c r="AR483" s="28">
        <f t="shared" si="200"/>
        <v>-0.29751031343785739</v>
      </c>
      <c r="AS483" s="13" t="b">
        <f t="shared" si="201"/>
        <v>0</v>
      </c>
      <c r="AT483" s="13">
        <f t="shared" si="210"/>
        <v>0</v>
      </c>
      <c r="AU483" s="13">
        <v>3</v>
      </c>
      <c r="AV483">
        <f t="shared" si="202"/>
        <v>0</v>
      </c>
      <c r="AW483" s="13">
        <v>0</v>
      </c>
      <c r="AX483" s="13">
        <v>0</v>
      </c>
      <c r="AY483" s="13">
        <v>0</v>
      </c>
      <c r="AZ483" s="13">
        <v>0</v>
      </c>
      <c r="BA483">
        <v>0</v>
      </c>
      <c r="BB483" t="s">
        <v>2840</v>
      </c>
      <c r="BC483">
        <v>6</v>
      </c>
      <c r="BD483" t="s">
        <v>2919</v>
      </c>
      <c r="BE483">
        <v>1</v>
      </c>
      <c r="BF483" s="232" t="s">
        <v>2846</v>
      </c>
      <c r="BG483" s="232" t="s">
        <v>2846</v>
      </c>
      <c r="BH483" s="253">
        <v>55.3</v>
      </c>
      <c r="BI483" s="253">
        <v>21.682906291350896</v>
      </c>
      <c r="BJ483" s="25">
        <v>60.862869203872435</v>
      </c>
      <c r="BK483" t="s">
        <v>376</v>
      </c>
      <c r="BL483">
        <v>1.3816329925572266</v>
      </c>
      <c r="BM483" t="s">
        <v>383</v>
      </c>
      <c r="BN483" s="322">
        <v>34403.649455999999</v>
      </c>
      <c r="BO483" s="322">
        <v>777.45924200000002</v>
      </c>
      <c r="BP483" s="10">
        <v>18725</v>
      </c>
      <c r="BQ483" s="254">
        <f t="shared" si="203"/>
        <v>1.837311052389853</v>
      </c>
      <c r="BR483" s="254">
        <f t="shared" si="204"/>
        <v>4.1519852710280372E-2</v>
      </c>
      <c r="BS483" s="25">
        <v>59.579616215927928</v>
      </c>
      <c r="BT483" s="25">
        <v>87.62201342679127</v>
      </c>
      <c r="BU483" s="25">
        <v>46.540527273794829</v>
      </c>
      <c r="BV483" s="25">
        <v>92.972307214300898</v>
      </c>
      <c r="BW483" s="25">
        <v>43.793049379380093</v>
      </c>
      <c r="BX483" s="25">
        <v>71.678616032703729</v>
      </c>
      <c r="BY483" s="25">
        <v>44.277200861108099</v>
      </c>
      <c r="BZ483">
        <v>69</v>
      </c>
      <c r="CA483">
        <v>0</v>
      </c>
      <c r="CB483">
        <v>7</v>
      </c>
      <c r="CC483">
        <v>24935.123249</v>
      </c>
      <c r="CD483" s="10">
        <v>478.58016600000002</v>
      </c>
      <c r="CE483" s="255">
        <v>1.9193013855233022E-2</v>
      </c>
      <c r="CF483" t="str">
        <f>IFERROR(VLOOKUP(CE483,'Rangos amb etnico'!$A$2:$C$6,3,9),"N.D.")</f>
        <v>0,1% - 30%</v>
      </c>
      <c r="CG483" s="256">
        <v>1.3923701115950192E-5</v>
      </c>
      <c r="CH483" s="232">
        <v>0</v>
      </c>
      <c r="CI483" s="311">
        <f t="shared" si="211"/>
        <v>0</v>
      </c>
      <c r="CJ483" s="232">
        <f>IFERROR(VLOOKUP(CI483,'Rangos amb etnico'!$A$2:$C$6,3,9),"N.D.")</f>
        <v>0</v>
      </c>
      <c r="CK483" s="311">
        <f t="shared" si="212"/>
        <v>0</v>
      </c>
      <c r="CL483" s="10">
        <v>0</v>
      </c>
      <c r="CM483" s="255">
        <f t="shared" si="213"/>
        <v>0</v>
      </c>
      <c r="CN483" s="232">
        <f>IFERROR(VLOOKUP(CM483,'Rangos amb etnico'!$A$2:$C$6,3,9),"N.D.")</f>
        <v>0</v>
      </c>
      <c r="CO483" s="311">
        <f t="shared" si="214"/>
        <v>0</v>
      </c>
      <c r="CP483">
        <v>0.91786620498724769</v>
      </c>
      <c r="CQ483" t="s">
        <v>2864</v>
      </c>
      <c r="CR483">
        <f t="shared" si="205"/>
        <v>2</v>
      </c>
      <c r="CS483" t="str">
        <f t="shared" si="215"/>
        <v>No es Candidato</v>
      </c>
      <c r="CT483">
        <v>0</v>
      </c>
      <c r="CU483">
        <v>0</v>
      </c>
      <c r="CV483" s="25">
        <v>46.049053192138672</v>
      </c>
      <c r="CW483" s="25">
        <v>18.07905197143555</v>
      </c>
      <c r="CX483" s="25">
        <v>51.494239807128913</v>
      </c>
      <c r="CY483" s="25">
        <v>57.284591674804688</v>
      </c>
      <c r="CZ483" s="25">
        <v>32.987903594970703</v>
      </c>
      <c r="DA483" s="25">
        <v>68.318809509277344</v>
      </c>
      <c r="DB483" s="25">
        <v>48.129734039306641</v>
      </c>
      <c r="DC483">
        <v>499</v>
      </c>
      <c r="DD483" s="253" t="s">
        <v>380</v>
      </c>
    </row>
    <row r="484" spans="1:108" hidden="1">
      <c r="A484" s="13">
        <v>41530</v>
      </c>
      <c r="B484" s="13" t="s">
        <v>1417</v>
      </c>
      <c r="C484" s="13" t="s">
        <v>676</v>
      </c>
      <c r="D484" s="13" t="s">
        <v>677</v>
      </c>
      <c r="E484" s="13" t="s">
        <v>765</v>
      </c>
      <c r="F484" s="14">
        <v>65.601533333333293</v>
      </c>
      <c r="G484" s="13">
        <v>65</v>
      </c>
      <c r="H484" s="13">
        <v>60.81</v>
      </c>
      <c r="I484" s="13">
        <v>72.37</v>
      </c>
      <c r="J484" s="14">
        <v>48.824444598506332</v>
      </c>
      <c r="K484" s="14">
        <v>56.861701639908389</v>
      </c>
      <c r="L484" s="14">
        <v>58.13871956234459</v>
      </c>
      <c r="M484" s="14">
        <v>58.570099999999996</v>
      </c>
      <c r="N484" s="14">
        <f t="shared" si="189"/>
        <v>65.945383333333325</v>
      </c>
      <c r="O484" s="14">
        <f t="shared" si="190"/>
        <v>55.598741450189827</v>
      </c>
      <c r="P484" s="14">
        <f t="shared" si="206"/>
        <v>60.77206239176158</v>
      </c>
      <c r="Q484" s="14">
        <v>54.129745901231573</v>
      </c>
      <c r="R484" s="17">
        <f t="shared" si="191"/>
        <v>45.870254098768427</v>
      </c>
      <c r="S484" s="14">
        <f t="shared" si="207"/>
        <v>0.5128322868889158</v>
      </c>
      <c r="T484" s="13">
        <v>0</v>
      </c>
      <c r="U484" s="13">
        <f t="shared" si="208"/>
        <v>31.165875735322963</v>
      </c>
      <c r="V484" s="13">
        <f>IF($T484=1,$AU484,(VLOOKUP(U484,'Cortes naturales'!$A$35:$C$39,3,9)))</f>
        <v>3</v>
      </c>
      <c r="W484" s="13">
        <v>3</v>
      </c>
      <c r="X484" s="14" t="b">
        <f t="shared" si="192"/>
        <v>1</v>
      </c>
      <c r="Y484" s="17">
        <f>IF($T484=1,$AU484,VLOOKUP(U484,'Cortes naturales'!$A$45:$C$49,3,9))</f>
        <v>3</v>
      </c>
      <c r="Z484" s="14">
        <v>58.711117263860629</v>
      </c>
      <c r="AA484" s="14">
        <v>0.53027642350901694</v>
      </c>
      <c r="AB484" s="14">
        <v>31.133121282898514</v>
      </c>
      <c r="AC484" s="13">
        <v>3</v>
      </c>
      <c r="AD484" s="13">
        <f t="shared" si="193"/>
        <v>0</v>
      </c>
      <c r="AE484" s="14">
        <f t="shared" si="194"/>
        <v>2.0609451279009505</v>
      </c>
      <c r="AF484" s="14">
        <f t="shared" si="195"/>
        <v>-1.7444136620101136E-2</v>
      </c>
      <c r="AG484" s="13">
        <f t="shared" si="196"/>
        <v>3.2754452424448743E-2</v>
      </c>
      <c r="AH484" s="13">
        <f>IF($T484=1,$AU484,VLOOKUP(U484,'Cortes naturales'!$A$25:$C$29,3,9))</f>
        <v>3</v>
      </c>
      <c r="AI484" s="13" t="b">
        <f t="shared" si="197"/>
        <v>1</v>
      </c>
      <c r="AJ484" s="13">
        <f t="shared" si="198"/>
        <v>0</v>
      </c>
      <c r="AK484" s="28">
        <v>0.81759069605862034</v>
      </c>
      <c r="AL484" s="28">
        <v>48.001663230139094</v>
      </c>
      <c r="AM484" s="28">
        <v>0.42982419664470739</v>
      </c>
      <c r="AN484" s="13">
        <v>3</v>
      </c>
      <c r="AO484" s="33">
        <f t="shared" si="199"/>
        <v>0</v>
      </c>
      <c r="AP484" s="13">
        <f t="shared" si="209"/>
        <v>42.98241966447074</v>
      </c>
      <c r="AQ484" s="13">
        <f>IFERROR(VLOOKUP(U484,'Cortes naturales'!$E$15:$G$19,3,9),U484)</f>
        <v>4</v>
      </c>
      <c r="AR484" s="28">
        <f t="shared" si="200"/>
        <v>-0.30475840916970454</v>
      </c>
      <c r="AS484" s="13" t="b">
        <f t="shared" si="201"/>
        <v>0</v>
      </c>
      <c r="AT484" s="13">
        <f t="shared" si="210"/>
        <v>0</v>
      </c>
      <c r="AU484" s="13">
        <v>3</v>
      </c>
      <c r="AV484">
        <f t="shared" si="202"/>
        <v>0</v>
      </c>
      <c r="AW484" s="13">
        <v>0</v>
      </c>
      <c r="AX484" s="13">
        <v>0</v>
      </c>
      <c r="AY484" s="13">
        <v>0</v>
      </c>
      <c r="AZ484" s="13">
        <v>0</v>
      </c>
      <c r="BA484">
        <v>0</v>
      </c>
      <c r="BB484" t="s">
        <v>2840</v>
      </c>
      <c r="BC484">
        <v>6</v>
      </c>
      <c r="BD484" t="s">
        <v>2919</v>
      </c>
      <c r="BE484">
        <v>0</v>
      </c>
      <c r="BF484" s="232" t="s">
        <v>2846</v>
      </c>
      <c r="BG484" s="232" t="s">
        <v>2845</v>
      </c>
      <c r="BH484" s="253">
        <v>51</v>
      </c>
      <c r="BI484" s="253">
        <v>20.001913143294434</v>
      </c>
      <c r="BJ484" s="25">
        <v>1.0335375429412725</v>
      </c>
      <c r="BK484" t="s">
        <v>381</v>
      </c>
      <c r="BL484">
        <v>2.5101088838405028</v>
      </c>
      <c r="BM484" t="s">
        <v>383</v>
      </c>
      <c r="BN484" s="322">
        <v>29865.704335999999</v>
      </c>
      <c r="BO484" s="322">
        <v>1495.6234440000001</v>
      </c>
      <c r="BP484" s="10">
        <v>11821</v>
      </c>
      <c r="BQ484" s="254">
        <f t="shared" si="203"/>
        <v>2.5264955871753658</v>
      </c>
      <c r="BR484" s="254">
        <f t="shared" si="204"/>
        <v>0.12652258218424839</v>
      </c>
      <c r="BS484" s="25">
        <v>62.397862665931463</v>
      </c>
      <c r="BT484" s="25">
        <v>97.543859999999995</v>
      </c>
      <c r="BU484" s="25">
        <v>49.783333333333331</v>
      </c>
      <c r="BV484" s="25">
        <v>89.379399111077262</v>
      </c>
      <c r="BW484" s="25">
        <v>59.492887303847724</v>
      </c>
      <c r="BX484" s="25">
        <v>74.776113777585508</v>
      </c>
      <c r="BY484" s="25">
        <v>59.981373828204617</v>
      </c>
      <c r="BZ484">
        <v>54</v>
      </c>
      <c r="CA484">
        <v>0</v>
      </c>
      <c r="CB484">
        <v>7</v>
      </c>
      <c r="CC484">
        <v>19696.126097</v>
      </c>
      <c r="CD484" s="10">
        <v>18103.393064</v>
      </c>
      <c r="CE484" s="255">
        <v>0.91913470572050227</v>
      </c>
      <c r="CF484" t="str">
        <f>IFERROR(VLOOKUP(CE484,'Rangos amb etnico'!$A$2:$C$6,3,9),"N.D.")</f>
        <v>71% - 100%</v>
      </c>
      <c r="CG484" s="256">
        <v>5.2669594796308746E-4</v>
      </c>
      <c r="CH484" s="232">
        <v>3.57E-4</v>
      </c>
      <c r="CI484" s="311">
        <f t="shared" si="211"/>
        <v>1.8125391675593314E-8</v>
      </c>
      <c r="CJ484" s="232">
        <f>IFERROR(VLOOKUP(CI484,'Rangos amb etnico'!$A$2:$C$6,3,9),"N.D.")</f>
        <v>0</v>
      </c>
      <c r="CK484" s="311">
        <f t="shared" si="212"/>
        <v>1.4175237350572375E-11</v>
      </c>
      <c r="CL484" s="10">
        <v>0</v>
      </c>
      <c r="CM484" s="255">
        <f t="shared" si="213"/>
        <v>0</v>
      </c>
      <c r="CN484" s="232">
        <f>IFERROR(VLOOKUP(CM484,'Rangos amb etnico'!$A$2:$C$6,3,9),"N.D.")</f>
        <v>0</v>
      </c>
      <c r="CO484" s="311">
        <f t="shared" si="214"/>
        <v>0</v>
      </c>
      <c r="CP484">
        <v>0.94946949570168027</v>
      </c>
      <c r="CQ484" t="s">
        <v>2864</v>
      </c>
      <c r="CR484">
        <f t="shared" si="205"/>
        <v>2</v>
      </c>
      <c r="CS484" t="str">
        <f t="shared" si="215"/>
        <v>No es Candidato</v>
      </c>
      <c r="CT484">
        <v>0</v>
      </c>
      <c r="CU484">
        <v>0</v>
      </c>
      <c r="CV484" s="25">
        <v>46.59747314453125</v>
      </c>
      <c r="CW484" s="25">
        <v>22.659395217895511</v>
      </c>
      <c r="CX484" s="25">
        <v>48.990463256835938</v>
      </c>
      <c r="CY484" s="25">
        <v>66.824974060058594</v>
      </c>
      <c r="CZ484" s="25">
        <v>28.27020263671875</v>
      </c>
      <c r="DA484" s="25">
        <v>54.778755187988281</v>
      </c>
      <c r="DB484" s="25">
        <v>58.061038970947273</v>
      </c>
      <c r="DC484">
        <v>586</v>
      </c>
      <c r="DD484" s="253" t="s">
        <v>380</v>
      </c>
    </row>
    <row r="485" spans="1:108" hidden="1">
      <c r="A485" s="13">
        <v>52411</v>
      </c>
      <c r="B485" s="13" t="s">
        <v>1418</v>
      </c>
      <c r="C485" s="13" t="s">
        <v>672</v>
      </c>
      <c r="D485" s="13" t="s">
        <v>673</v>
      </c>
      <c r="E485" s="13" t="s">
        <v>1419</v>
      </c>
      <c r="F485" s="14">
        <v>53.140266666666697</v>
      </c>
      <c r="G485" s="13">
        <v>69.459999999999994</v>
      </c>
      <c r="H485" s="13">
        <v>76.650000000000006</v>
      </c>
      <c r="I485" s="13">
        <v>86.98</v>
      </c>
      <c r="J485" s="14">
        <v>57.610800770257576</v>
      </c>
      <c r="K485" s="14">
        <v>51.817570949952298</v>
      </c>
      <c r="L485" s="14">
        <v>64.937323086485847</v>
      </c>
      <c r="M485" s="14">
        <v>61.557099999999998</v>
      </c>
      <c r="N485" s="14">
        <f t="shared" si="189"/>
        <v>71.557566666666673</v>
      </c>
      <c r="O485" s="14">
        <f t="shared" si="190"/>
        <v>58.98069870167393</v>
      </c>
      <c r="P485" s="14">
        <f t="shared" si="206"/>
        <v>65.269132684170302</v>
      </c>
      <c r="Q485" s="14">
        <v>53.372942904285956</v>
      </c>
      <c r="R485" s="17">
        <f t="shared" si="191"/>
        <v>46.627057095714044</v>
      </c>
      <c r="S485" s="14">
        <f t="shared" si="207"/>
        <v>0.51964351386142638</v>
      </c>
      <c r="T485" s="13">
        <v>0</v>
      </c>
      <c r="U485" s="13">
        <f t="shared" si="208"/>
        <v>33.916681454689929</v>
      </c>
      <c r="V485" s="13">
        <f>IF($T485=1,$AU485,(VLOOKUP(U485,'Cortes naturales'!$A$35:$C$39,3,9)))</f>
        <v>3</v>
      </c>
      <c r="W485" s="13">
        <v>3</v>
      </c>
      <c r="X485" s="14" t="b">
        <f t="shared" si="192"/>
        <v>1</v>
      </c>
      <c r="Y485" s="17">
        <f>IF($T485=1,$AU485,VLOOKUP(U485,'Cortes naturales'!$A$45:$C$49,3,9))</f>
        <v>3</v>
      </c>
      <c r="Z485" s="14">
        <v>59.533965320478011</v>
      </c>
      <c r="AA485" s="14">
        <v>0.53089353583116849</v>
      </c>
      <c r="AB485" s="14">
        <v>31.606197351038734</v>
      </c>
      <c r="AC485" s="13">
        <v>3</v>
      </c>
      <c r="AD485" s="13">
        <f t="shared" si="193"/>
        <v>0</v>
      </c>
      <c r="AE485" s="14">
        <f t="shared" si="194"/>
        <v>5.7351673636922911</v>
      </c>
      <c r="AF485" s="14">
        <f t="shared" si="195"/>
        <v>-1.1250021969742119E-2</v>
      </c>
      <c r="AG485" s="13">
        <f t="shared" si="196"/>
        <v>2.3104841036511949</v>
      </c>
      <c r="AH485" s="13">
        <f>IF($T485=1,$AU485,VLOOKUP(U485,'Cortes naturales'!$A$25:$C$29,3,9))</f>
        <v>3</v>
      </c>
      <c r="AI485" s="13" t="b">
        <f t="shared" si="197"/>
        <v>1</v>
      </c>
      <c r="AJ485" s="13">
        <f t="shared" si="198"/>
        <v>0</v>
      </c>
      <c r="AK485" s="28">
        <v>0.81759069605862034</v>
      </c>
      <c r="AL485" s="28">
        <v>48.674416145499379</v>
      </c>
      <c r="AM485" s="28">
        <v>0.43823962646744813</v>
      </c>
      <c r="AN485" s="13">
        <v>3</v>
      </c>
      <c r="AO485" s="33">
        <f t="shared" si="199"/>
        <v>0</v>
      </c>
      <c r="AP485" s="13">
        <f t="shared" si="209"/>
        <v>43.82396264674481</v>
      </c>
      <c r="AQ485" s="13">
        <f>IFERROR(VLOOKUP(U485,'Cortes naturales'!$E$15:$G$19,3,9),U485)</f>
        <v>4</v>
      </c>
      <c r="AR485" s="28">
        <f t="shared" si="200"/>
        <v>-0.29794718219719396</v>
      </c>
      <c r="AS485" s="13" t="b">
        <f t="shared" si="201"/>
        <v>0</v>
      </c>
      <c r="AT485" s="13">
        <f t="shared" si="210"/>
        <v>0</v>
      </c>
      <c r="AU485" s="13">
        <v>4</v>
      </c>
      <c r="AV485">
        <f t="shared" si="202"/>
        <v>1</v>
      </c>
      <c r="AW485" s="13">
        <v>0</v>
      </c>
      <c r="AX485" s="13">
        <v>0</v>
      </c>
      <c r="AY485" s="13">
        <v>0</v>
      </c>
      <c r="AZ485" s="13">
        <v>0</v>
      </c>
      <c r="BA485">
        <v>1</v>
      </c>
      <c r="BB485" t="s">
        <v>2840</v>
      </c>
      <c r="BC485">
        <v>6</v>
      </c>
      <c r="BD485" t="s">
        <v>2919</v>
      </c>
      <c r="BE485">
        <v>0</v>
      </c>
      <c r="BF485" s="232" t="s">
        <v>2846</v>
      </c>
      <c r="BG485" s="232" t="s">
        <v>2845</v>
      </c>
      <c r="BH485" s="253">
        <v>32.9</v>
      </c>
      <c r="BI485" s="253">
        <v>14.459716169404402</v>
      </c>
      <c r="BJ485" s="25">
        <v>45.378098879657614</v>
      </c>
      <c r="BK485" t="s">
        <v>376</v>
      </c>
      <c r="BL485">
        <v>17.000438488957066</v>
      </c>
      <c r="BM485" t="s">
        <v>376</v>
      </c>
      <c r="BN485" s="322">
        <v>24089.938921000001</v>
      </c>
      <c r="BO485" s="322">
        <v>1085.5276960000001</v>
      </c>
      <c r="BP485" s="10">
        <v>10242</v>
      </c>
      <c r="BQ485" s="254">
        <f t="shared" si="203"/>
        <v>2.3520737083577425</v>
      </c>
      <c r="BR485" s="254">
        <f t="shared" si="204"/>
        <v>0.10598786330794768</v>
      </c>
      <c r="BS485" s="25">
        <v>61.47840509164039</v>
      </c>
      <c r="BT485" s="25">
        <v>84.363977014255013</v>
      </c>
      <c r="BU485" s="25">
        <v>57.774976183532601</v>
      </c>
      <c r="BV485" s="25">
        <v>94.223757772967176</v>
      </c>
      <c r="BW485" s="25">
        <v>53.013555852209699</v>
      </c>
      <c r="BX485" s="25">
        <v>74.4602790155988</v>
      </c>
      <c r="BY485" s="25">
        <v>53.652117280287648</v>
      </c>
      <c r="BZ485">
        <v>70</v>
      </c>
      <c r="CA485">
        <v>0</v>
      </c>
      <c r="CB485">
        <v>7</v>
      </c>
      <c r="CC485">
        <v>13577.191543999999</v>
      </c>
      <c r="CD485" s="10">
        <v>1046.0408669999999</v>
      </c>
      <c r="CE485" s="255">
        <v>7.7043979501214582E-2</v>
      </c>
      <c r="CF485" t="str">
        <f>IFERROR(VLOOKUP(CE485,'Rangos amb etnico'!$A$2:$C$6,3,9),"N.D.")</f>
        <v>0,1% - 30%</v>
      </c>
      <c r="CG485" s="256">
        <v>3.0433272044912545E-5</v>
      </c>
      <c r="CH485" s="232">
        <v>0</v>
      </c>
      <c r="CI485" s="311">
        <f t="shared" si="211"/>
        <v>0</v>
      </c>
      <c r="CJ485" s="232">
        <f>IFERROR(VLOOKUP(CI485,'Rangos amb etnico'!$A$2:$C$6,3,9),"N.D.")</f>
        <v>0</v>
      </c>
      <c r="CK485" s="311">
        <f t="shared" si="212"/>
        <v>0</v>
      </c>
      <c r="CL485" s="10">
        <v>0</v>
      </c>
      <c r="CM485" s="255">
        <f t="shared" si="213"/>
        <v>0</v>
      </c>
      <c r="CN485" s="232">
        <f>IFERROR(VLOOKUP(CM485,'Rangos amb etnico'!$A$2:$C$6,3,9),"N.D.")</f>
        <v>0</v>
      </c>
      <c r="CO485" s="311">
        <f t="shared" si="214"/>
        <v>0</v>
      </c>
      <c r="CP485">
        <v>0.95853724755787562</v>
      </c>
      <c r="CQ485" t="s">
        <v>2864</v>
      </c>
      <c r="CR485">
        <f t="shared" si="205"/>
        <v>3</v>
      </c>
      <c r="CS485" t="str">
        <f t="shared" si="215"/>
        <v>Candidato</v>
      </c>
      <c r="CT485">
        <v>0</v>
      </c>
      <c r="CU485">
        <v>0</v>
      </c>
      <c r="CV485" s="25">
        <v>49.317604064941413</v>
      </c>
      <c r="CW485" s="25">
        <v>19.194082260131839</v>
      </c>
      <c r="CX485" s="25">
        <v>47.328121185302727</v>
      </c>
      <c r="CY485" s="25">
        <v>63.573814392089837</v>
      </c>
      <c r="CZ485" s="25">
        <v>44.905487060546882</v>
      </c>
      <c r="DA485" s="25">
        <v>65.312103271484375</v>
      </c>
      <c r="DB485" s="25">
        <v>55.592002868652337</v>
      </c>
      <c r="DC485">
        <v>255</v>
      </c>
      <c r="DD485" s="253" t="s">
        <v>380</v>
      </c>
    </row>
    <row r="486" spans="1:108" hidden="1">
      <c r="A486" s="13">
        <v>19022</v>
      </c>
      <c r="B486" s="13" t="s">
        <v>1420</v>
      </c>
      <c r="C486" s="13" t="s">
        <v>557</v>
      </c>
      <c r="D486" s="13" t="s">
        <v>558</v>
      </c>
      <c r="E486" s="13" t="s">
        <v>1421</v>
      </c>
      <c r="F486" s="14">
        <v>46.771233333333299</v>
      </c>
      <c r="G486" s="13">
        <v>78.88</v>
      </c>
      <c r="H486" s="13">
        <v>83.23</v>
      </c>
      <c r="I486" s="13">
        <v>85.55</v>
      </c>
      <c r="J486" s="14">
        <v>47.727301882910581</v>
      </c>
      <c r="K486" s="14">
        <v>50.661854072944045</v>
      </c>
      <c r="L486" s="14">
        <v>51.664060128447716</v>
      </c>
      <c r="M486" s="14">
        <v>46.503799999999998</v>
      </c>
      <c r="N486" s="14">
        <f t="shared" si="189"/>
        <v>73.607808333333324</v>
      </c>
      <c r="O486" s="14">
        <f t="shared" si="190"/>
        <v>49.139254021075587</v>
      </c>
      <c r="P486" s="14">
        <f t="shared" si="206"/>
        <v>61.373531177204455</v>
      </c>
      <c r="Q486" s="14">
        <v>53.187906492665164</v>
      </c>
      <c r="R486" s="17">
        <f t="shared" si="191"/>
        <v>46.812093507334836</v>
      </c>
      <c r="S486" s="14">
        <f t="shared" si="207"/>
        <v>0.52130884156601354</v>
      </c>
      <c r="T486" s="13">
        <v>0</v>
      </c>
      <c r="U486" s="13">
        <f t="shared" si="208"/>
        <v>31.994564440804069</v>
      </c>
      <c r="V486" s="13">
        <f>IF($T486=1,$AU486,(VLOOKUP(U486,'Cortes naturales'!$A$35:$C$39,3,9)))</f>
        <v>3</v>
      </c>
      <c r="W486" s="13">
        <v>3</v>
      </c>
      <c r="X486" s="14" t="b">
        <f t="shared" si="192"/>
        <v>1</v>
      </c>
      <c r="Y486" s="17">
        <f>IF($T486=1,$AU486,VLOOKUP(U486,'Cortes naturales'!$A$45:$C$49,3,9))</f>
        <v>3</v>
      </c>
      <c r="Z486" s="14">
        <v>55.523880736926941</v>
      </c>
      <c r="AA486" s="14">
        <v>0.53464303958225845</v>
      </c>
      <c r="AB486" s="14">
        <v>29.685456366593428</v>
      </c>
      <c r="AC486" s="13">
        <v>3</v>
      </c>
      <c r="AD486" s="13">
        <f t="shared" si="193"/>
        <v>0</v>
      </c>
      <c r="AE486" s="14">
        <f t="shared" si="194"/>
        <v>5.8496504402775145</v>
      </c>
      <c r="AF486" s="14">
        <f t="shared" si="195"/>
        <v>-1.3334198016244914E-2</v>
      </c>
      <c r="AG486" s="13">
        <f t="shared" si="196"/>
        <v>2.3091080742106413</v>
      </c>
      <c r="AH486" s="13">
        <f>IF($T486=1,$AU486,VLOOKUP(U486,'Cortes naturales'!$A$25:$C$29,3,9))</f>
        <v>3</v>
      </c>
      <c r="AI486" s="13" t="b">
        <f t="shared" si="197"/>
        <v>1</v>
      </c>
      <c r="AJ486" s="13">
        <f t="shared" si="198"/>
        <v>0</v>
      </c>
      <c r="AK486" s="28">
        <v>0.81759069605862034</v>
      </c>
      <c r="AL486" s="28">
        <v>45.395808299579919</v>
      </c>
      <c r="AM486" s="28">
        <v>0.39722769829342258</v>
      </c>
      <c r="AN486" s="13">
        <v>3</v>
      </c>
      <c r="AO486" s="33">
        <f t="shared" si="199"/>
        <v>0</v>
      </c>
      <c r="AP486" s="13">
        <f t="shared" si="209"/>
        <v>39.722769829342255</v>
      </c>
      <c r="AQ486" s="13">
        <f>IFERROR(VLOOKUP(U486,'Cortes naturales'!$E$15:$G$19,3,9),U486)</f>
        <v>4</v>
      </c>
      <c r="AR486" s="28">
        <f t="shared" si="200"/>
        <v>-0.2962818544926068</v>
      </c>
      <c r="AS486" s="13" t="b">
        <f t="shared" si="201"/>
        <v>0</v>
      </c>
      <c r="AT486" s="13">
        <f t="shared" si="210"/>
        <v>0</v>
      </c>
      <c r="AU486" s="13">
        <v>4</v>
      </c>
      <c r="AV486">
        <f t="shared" si="202"/>
        <v>1</v>
      </c>
      <c r="AW486" s="13">
        <v>0</v>
      </c>
      <c r="AX486" s="13">
        <v>0</v>
      </c>
      <c r="AY486" s="13">
        <v>0</v>
      </c>
      <c r="AZ486" s="13">
        <v>0</v>
      </c>
      <c r="BA486">
        <v>0</v>
      </c>
      <c r="BB486" t="s">
        <v>2840</v>
      </c>
      <c r="BC486">
        <v>6</v>
      </c>
      <c r="BD486" t="s">
        <v>2919</v>
      </c>
      <c r="BE486">
        <v>0</v>
      </c>
      <c r="BF486" s="232" t="s">
        <v>2846</v>
      </c>
      <c r="BG486" s="232" t="s">
        <v>2846</v>
      </c>
      <c r="BH486" s="253">
        <v>62.9</v>
      </c>
      <c r="BI486" s="253">
        <v>33.698480905404587</v>
      </c>
      <c r="BJ486" s="25">
        <v>0</v>
      </c>
      <c r="BK486" t="s">
        <v>381</v>
      </c>
      <c r="BL486">
        <v>2.6494987308195808</v>
      </c>
      <c r="BM486" t="s">
        <v>383</v>
      </c>
      <c r="BN486" s="322">
        <v>33925.913578</v>
      </c>
      <c r="BO486" s="322">
        <v>1325.6314219999999</v>
      </c>
      <c r="BP486" s="10">
        <v>18432</v>
      </c>
      <c r="BQ486" s="254">
        <f t="shared" si="203"/>
        <v>1.8405986099175347</v>
      </c>
      <c r="BR486" s="254">
        <f t="shared" si="204"/>
        <v>7.1920107530381944E-2</v>
      </c>
      <c r="BS486" s="25">
        <v>49.530158384123673</v>
      </c>
      <c r="BT486" s="25">
        <v>88.575846563552204</v>
      </c>
      <c r="BU486" s="25">
        <v>49.451367255536198</v>
      </c>
      <c r="BV486" s="25">
        <v>96.943501558419896</v>
      </c>
      <c r="BW486" s="25">
        <v>51.127824187472378</v>
      </c>
      <c r="BX486" s="25">
        <v>71.125218440407991</v>
      </c>
      <c r="BY486" s="25">
        <v>51.572193093960927</v>
      </c>
      <c r="BZ486">
        <v>26</v>
      </c>
      <c r="CA486">
        <v>0</v>
      </c>
      <c r="CB486">
        <v>7</v>
      </c>
      <c r="CC486">
        <v>23685.163981000002</v>
      </c>
      <c r="CD486" s="10">
        <v>1905.1755780000001</v>
      </c>
      <c r="CE486" s="255">
        <v>8.0437508455855011E-2</v>
      </c>
      <c r="CF486" t="str">
        <f>IFERROR(VLOOKUP(CE486,'Rangos amb etnico'!$A$2:$C$6,3,9),"N.D.")</f>
        <v>0,1% - 30%</v>
      </c>
      <c r="CG486" s="256">
        <v>5.5428739438148073E-5</v>
      </c>
      <c r="CH486" s="232">
        <v>0</v>
      </c>
      <c r="CI486" s="311">
        <f t="shared" si="211"/>
        <v>0</v>
      </c>
      <c r="CJ486" s="232">
        <f>IFERROR(VLOOKUP(CI486,'Rangos amb etnico'!$A$2:$C$6,3,9),"N.D.")</f>
        <v>0</v>
      </c>
      <c r="CK486" s="311">
        <f t="shared" si="212"/>
        <v>0</v>
      </c>
      <c r="CL486" s="10">
        <v>0</v>
      </c>
      <c r="CM486" s="255">
        <f t="shared" si="213"/>
        <v>0</v>
      </c>
      <c r="CN486" s="232">
        <f>IFERROR(VLOOKUP(CM486,'Rangos amb etnico'!$A$2:$C$6,3,9),"N.D.")</f>
        <v>0</v>
      </c>
      <c r="CO486" s="311">
        <f t="shared" si="214"/>
        <v>0</v>
      </c>
      <c r="CP486">
        <v>0.95712435701389165</v>
      </c>
      <c r="CQ486" t="s">
        <v>2864</v>
      </c>
      <c r="CR486">
        <f t="shared" si="205"/>
        <v>2</v>
      </c>
      <c r="CS486" t="str">
        <f t="shared" si="215"/>
        <v>No es Candidato</v>
      </c>
      <c r="CT486">
        <v>0</v>
      </c>
      <c r="CU486">
        <v>0</v>
      </c>
      <c r="CV486" s="25">
        <v>48.659149169921882</v>
      </c>
      <c r="CW486" s="25">
        <v>11.05071926116943</v>
      </c>
      <c r="CX486" s="25">
        <v>43.889194488525391</v>
      </c>
      <c r="CY486" s="25">
        <v>60.498100280761719</v>
      </c>
      <c r="CZ486" s="25">
        <v>37.172054290771477</v>
      </c>
      <c r="DA486" s="25">
        <v>85.776382446289063</v>
      </c>
      <c r="DB486" s="25">
        <v>53.568443298339837</v>
      </c>
      <c r="DC486">
        <v>4166</v>
      </c>
      <c r="DD486" s="253" t="s">
        <v>380</v>
      </c>
    </row>
    <row r="487" spans="1:108" hidden="1">
      <c r="A487" s="13">
        <v>54261</v>
      </c>
      <c r="B487" s="13" t="s">
        <v>1422</v>
      </c>
      <c r="C487" s="13" t="s">
        <v>517</v>
      </c>
      <c r="D487" s="13" t="s">
        <v>518</v>
      </c>
      <c r="E487" s="13" t="s">
        <v>1423</v>
      </c>
      <c r="F487" s="14">
        <v>65.897033333333297</v>
      </c>
      <c r="G487" s="13">
        <v>61.81</v>
      </c>
      <c r="H487" s="13">
        <v>55.33</v>
      </c>
      <c r="I487" s="13">
        <v>70.290000000000006</v>
      </c>
      <c r="J487" s="14">
        <v>50.498778719252385</v>
      </c>
      <c r="K487" s="14">
        <v>61.471561617423177</v>
      </c>
      <c r="L487" s="14">
        <v>58.45824099055281</v>
      </c>
      <c r="M487" s="14">
        <v>62.0807</v>
      </c>
      <c r="N487" s="14">
        <f t="shared" si="189"/>
        <v>63.331758333333326</v>
      </c>
      <c r="O487" s="14">
        <f t="shared" si="190"/>
        <v>58.127320331807091</v>
      </c>
      <c r="P487" s="14">
        <f t="shared" si="206"/>
        <v>60.729539332570212</v>
      </c>
      <c r="Q487" s="14">
        <v>52.828347276217158</v>
      </c>
      <c r="R487" s="17">
        <f t="shared" si="191"/>
        <v>47.171652723782842</v>
      </c>
      <c r="S487" s="14">
        <f t="shared" si="207"/>
        <v>0.52454487451404563</v>
      </c>
      <c r="T487" s="13">
        <v>0</v>
      </c>
      <c r="U487" s="13">
        <f t="shared" si="208"/>
        <v>31.855368588498841</v>
      </c>
      <c r="V487" s="13">
        <f>IF($T487=1,$AU487,(VLOOKUP(U487,'Cortes naturales'!$A$35:$C$39,3,9)))</f>
        <v>3</v>
      </c>
      <c r="W487" s="13">
        <v>3</v>
      </c>
      <c r="X487" s="14" t="b">
        <f t="shared" si="192"/>
        <v>1</v>
      </c>
      <c r="Y487" s="17">
        <f>IF($T487=1,$AU487,VLOOKUP(U487,'Cortes naturales'!$A$45:$C$49,3,9))</f>
        <v>3</v>
      </c>
      <c r="Z487" s="14">
        <v>59.034150462307608</v>
      </c>
      <c r="AA487" s="14">
        <v>0.5320677347084698</v>
      </c>
      <c r="AB487" s="14">
        <v>31.410166706918975</v>
      </c>
      <c r="AC487" s="13">
        <v>3</v>
      </c>
      <c r="AD487" s="13">
        <f t="shared" si="193"/>
        <v>0</v>
      </c>
      <c r="AE487" s="14">
        <f t="shared" si="194"/>
        <v>1.6953888702626045</v>
      </c>
      <c r="AF487" s="14">
        <f t="shared" si="195"/>
        <v>-7.5228601944241635E-3</v>
      </c>
      <c r="AG487" s="13">
        <f t="shared" si="196"/>
        <v>0.44520188157986595</v>
      </c>
      <c r="AH487" s="13">
        <f>IF($T487=1,$AU487,VLOOKUP(U487,'Cortes naturales'!$A$25:$C$29,3,9))</f>
        <v>3</v>
      </c>
      <c r="AI487" s="13" t="b">
        <f t="shared" si="197"/>
        <v>1</v>
      </c>
      <c r="AJ487" s="13">
        <f t="shared" si="198"/>
        <v>0</v>
      </c>
      <c r="AK487" s="28">
        <v>0.81759069605862034</v>
      </c>
      <c r="AL487" s="28">
        <v>48.265772167707404</v>
      </c>
      <c r="AM487" s="28">
        <v>0.43312792105662534</v>
      </c>
      <c r="AN487" s="13">
        <v>3</v>
      </c>
      <c r="AO487" s="33">
        <f t="shared" si="199"/>
        <v>0</v>
      </c>
      <c r="AP487" s="13">
        <f t="shared" si="209"/>
        <v>43.312792105662531</v>
      </c>
      <c r="AQ487" s="13">
        <f>IFERROR(VLOOKUP(U487,'Cortes naturales'!$E$15:$G$19,3,9),U487)</f>
        <v>4</v>
      </c>
      <c r="AR487" s="28">
        <f t="shared" si="200"/>
        <v>-0.2930458215445747</v>
      </c>
      <c r="AS487" s="13" t="b">
        <f t="shared" si="201"/>
        <v>0</v>
      </c>
      <c r="AT487" s="13">
        <f t="shared" si="210"/>
        <v>0</v>
      </c>
      <c r="AU487" s="13">
        <v>2</v>
      </c>
      <c r="AV487">
        <f t="shared" si="202"/>
        <v>-1</v>
      </c>
      <c r="AW487" s="13">
        <v>0</v>
      </c>
      <c r="AX487" s="13">
        <v>0</v>
      </c>
      <c r="AY487" s="13">
        <v>0</v>
      </c>
      <c r="AZ487" s="13">
        <v>0</v>
      </c>
      <c r="BA487">
        <v>1</v>
      </c>
      <c r="BB487" t="s">
        <v>2839</v>
      </c>
      <c r="BC487">
        <v>6</v>
      </c>
      <c r="BD487" t="s">
        <v>2919</v>
      </c>
      <c r="BE487">
        <v>1</v>
      </c>
      <c r="BF487" s="232" t="s">
        <v>2846</v>
      </c>
      <c r="BG487" s="232" t="s">
        <v>2845</v>
      </c>
      <c r="BH487" s="253">
        <v>41.9</v>
      </c>
      <c r="BI487" s="253">
        <v>22.554713642832418</v>
      </c>
      <c r="BJ487" s="25">
        <v>13.91732346832814</v>
      </c>
      <c r="BK487" t="s">
        <v>377</v>
      </c>
      <c r="BL487">
        <v>6.8227414754207185</v>
      </c>
      <c r="BM487" t="s">
        <v>379</v>
      </c>
      <c r="BN487" s="322">
        <v>64455.075085999997</v>
      </c>
      <c r="BO487" s="322">
        <v>10538.624892</v>
      </c>
      <c r="BP487" s="10">
        <v>31482</v>
      </c>
      <c r="BQ487" s="254">
        <f t="shared" si="203"/>
        <v>2.0473627814624229</v>
      </c>
      <c r="BR487" s="254">
        <f t="shared" si="204"/>
        <v>0.33475080655612732</v>
      </c>
      <c r="BS487" s="25">
        <v>69.978641088392294</v>
      </c>
      <c r="BT487" s="25">
        <v>100</v>
      </c>
      <c r="BU487" s="25">
        <v>67.399999999999991</v>
      </c>
      <c r="BV487" s="25">
        <v>87.406703316901272</v>
      </c>
      <c r="BW487" s="25">
        <v>63.594200036217359</v>
      </c>
      <c r="BX487" s="25">
        <v>81.196336101323382</v>
      </c>
      <c r="BY487" s="25">
        <v>65.137755795873147</v>
      </c>
      <c r="BZ487">
        <v>73</v>
      </c>
      <c r="CA487">
        <v>0</v>
      </c>
      <c r="CB487">
        <v>6</v>
      </c>
      <c r="CC487">
        <v>50424.625118000004</v>
      </c>
      <c r="CD487" s="10">
        <v>7850.190885</v>
      </c>
      <c r="CE487" s="255">
        <v>0.15568169057537978</v>
      </c>
      <c r="CF487" t="str">
        <f>IFERROR(VLOOKUP(CE487,'Rangos amb etnico'!$A$2:$C$6,3,9),"N.D.")</f>
        <v>0,1% - 30%</v>
      </c>
      <c r="CG487" s="256">
        <v>2.2839164543625597E-4</v>
      </c>
      <c r="CH487" s="232">
        <v>0</v>
      </c>
      <c r="CI487" s="311">
        <f t="shared" si="211"/>
        <v>0</v>
      </c>
      <c r="CJ487" s="232">
        <f>IFERROR(VLOOKUP(CI487,'Rangos amb etnico'!$A$2:$C$6,3,9),"N.D.")</f>
        <v>0</v>
      </c>
      <c r="CK487" s="311">
        <f t="shared" si="212"/>
        <v>0</v>
      </c>
      <c r="CL487" s="10">
        <v>0</v>
      </c>
      <c r="CM487" s="255">
        <f t="shared" si="213"/>
        <v>0</v>
      </c>
      <c r="CN487" s="232">
        <f>IFERROR(VLOOKUP(CM487,'Rangos amb etnico'!$A$2:$C$6,3,9),"N.D.")</f>
        <v>0</v>
      </c>
      <c r="CO487" s="311">
        <f t="shared" si="214"/>
        <v>0</v>
      </c>
      <c r="CP487">
        <v>0.94705564777101392</v>
      </c>
      <c r="CQ487" t="s">
        <v>2864</v>
      </c>
      <c r="CR487">
        <f t="shared" si="205"/>
        <v>4</v>
      </c>
      <c r="CS487" t="str">
        <f t="shared" si="215"/>
        <v>Candidato</v>
      </c>
      <c r="CT487">
        <v>1</v>
      </c>
      <c r="CU487" t="s">
        <v>2835</v>
      </c>
      <c r="CV487" s="25">
        <v>41.823802947998047</v>
      </c>
      <c r="CW487" s="25">
        <v>48.083858489990227</v>
      </c>
      <c r="CX487" s="25">
        <v>46.022396087646477</v>
      </c>
      <c r="CY487" s="25">
        <v>55.906570434570313</v>
      </c>
      <c r="CZ487" s="25">
        <v>42.122035980224609</v>
      </c>
      <c r="DA487" s="25">
        <v>26.27161979675293</v>
      </c>
      <c r="DB487" s="25">
        <v>32.536346435546882</v>
      </c>
      <c r="DC487">
        <v>167</v>
      </c>
      <c r="DD487" s="253" t="s">
        <v>380</v>
      </c>
    </row>
    <row r="488" spans="1:108" hidden="1">
      <c r="A488" s="13">
        <v>20710</v>
      </c>
      <c r="B488" s="13" t="s">
        <v>1424</v>
      </c>
      <c r="C488" s="13" t="s">
        <v>893</v>
      </c>
      <c r="D488" s="13" t="s">
        <v>894</v>
      </c>
      <c r="E488" s="13" t="s">
        <v>1425</v>
      </c>
      <c r="F488" s="14">
        <v>69.273066666666693</v>
      </c>
      <c r="G488" s="13">
        <v>83.03</v>
      </c>
      <c r="H488" s="13">
        <v>70.430000000000007</v>
      </c>
      <c r="I488" s="13">
        <v>72.430000000000007</v>
      </c>
      <c r="J488" s="14">
        <v>48.865943320181444</v>
      </c>
      <c r="K488" s="14">
        <v>61.677562935487131</v>
      </c>
      <c r="L488" s="14">
        <v>64.822491615051362</v>
      </c>
      <c r="M488" s="14">
        <v>58.8964</v>
      </c>
      <c r="N488" s="14">
        <f t="shared" si="189"/>
        <v>73.790766666666684</v>
      </c>
      <c r="O488" s="14">
        <f t="shared" si="190"/>
        <v>58.565599467679981</v>
      </c>
      <c r="P488" s="14">
        <f t="shared" si="206"/>
        <v>66.178183067173336</v>
      </c>
      <c r="Q488" s="14">
        <v>52.939582113570239</v>
      </c>
      <c r="R488" s="17">
        <f t="shared" si="191"/>
        <v>47.060417886429761</v>
      </c>
      <c r="S488" s="14">
        <f t="shared" si="207"/>
        <v>0.52354376097786792</v>
      </c>
      <c r="T488" s="13">
        <v>0</v>
      </c>
      <c r="U488" s="13">
        <f t="shared" si="208"/>
        <v>34.647174857669782</v>
      </c>
      <c r="V488" s="13">
        <f>IF($T488=1,$AU488,(VLOOKUP(U488,'Cortes naturales'!$A$35:$C$39,3,9)))</f>
        <v>3</v>
      </c>
      <c r="W488" s="13">
        <v>3</v>
      </c>
      <c r="X488" s="14" t="b">
        <f t="shared" si="192"/>
        <v>1</v>
      </c>
      <c r="Y488" s="17">
        <f>IF($T488=1,$AU488,VLOOKUP(U488,'Cortes naturales'!$A$45:$C$49,3,9))</f>
        <v>3</v>
      </c>
      <c r="Z488" s="14">
        <v>63.218209207520104</v>
      </c>
      <c r="AA488" s="14">
        <v>0.52968735231893782</v>
      </c>
      <c r="AB488" s="14">
        <v>33.48588585347602</v>
      </c>
      <c r="AC488" s="13">
        <v>3</v>
      </c>
      <c r="AD488" s="13">
        <f t="shared" si="193"/>
        <v>0</v>
      </c>
      <c r="AE488" s="14">
        <f t="shared" si="194"/>
        <v>2.9599738596532319</v>
      </c>
      <c r="AF488" s="14">
        <f t="shared" si="195"/>
        <v>-6.1435913410698983E-3</v>
      </c>
      <c r="AG488" s="13">
        <f t="shared" si="196"/>
        <v>1.1612890041937618</v>
      </c>
      <c r="AH488" s="13">
        <f>IF($T488=1,$AU488,VLOOKUP(U488,'Cortes naturales'!$A$25:$C$29,3,9))</f>
        <v>3</v>
      </c>
      <c r="AI488" s="13" t="b">
        <f t="shared" si="197"/>
        <v>1</v>
      </c>
      <c r="AJ488" s="13">
        <f t="shared" si="198"/>
        <v>0</v>
      </c>
      <c r="AK488" s="28">
        <v>0.81759069605862034</v>
      </c>
      <c r="AL488" s="28">
        <v>51.686619669555846</v>
      </c>
      <c r="AM488" s="28">
        <v>0.47591911739159237</v>
      </c>
      <c r="AN488" s="13">
        <v>3</v>
      </c>
      <c r="AO488" s="33">
        <f t="shared" si="199"/>
        <v>0</v>
      </c>
      <c r="AP488" s="13">
        <f t="shared" si="209"/>
        <v>47.591911739159237</v>
      </c>
      <c r="AQ488" s="13">
        <f>IFERROR(VLOOKUP(U488,'Cortes naturales'!$E$15:$G$19,3,9),U488)</f>
        <v>4</v>
      </c>
      <c r="AR488" s="28">
        <f t="shared" si="200"/>
        <v>-0.29404693508075241</v>
      </c>
      <c r="AS488" s="13" t="b">
        <f t="shared" si="201"/>
        <v>0</v>
      </c>
      <c r="AT488" s="13">
        <f t="shared" si="210"/>
        <v>0</v>
      </c>
      <c r="AU488" s="13">
        <v>3</v>
      </c>
      <c r="AV488">
        <f t="shared" si="202"/>
        <v>0</v>
      </c>
      <c r="AW488" s="13">
        <v>0</v>
      </c>
      <c r="AX488" s="13">
        <v>0</v>
      </c>
      <c r="AY488" s="13">
        <v>0</v>
      </c>
      <c r="AZ488" s="13">
        <v>0</v>
      </c>
      <c r="BA488">
        <v>0</v>
      </c>
      <c r="BB488" t="s">
        <v>2839</v>
      </c>
      <c r="BC488">
        <v>6</v>
      </c>
      <c r="BD488" t="s">
        <v>2919</v>
      </c>
      <c r="BE488">
        <v>0</v>
      </c>
      <c r="BF488" s="232" t="s">
        <v>2846</v>
      </c>
      <c r="BG488" s="232" t="s">
        <v>2845</v>
      </c>
      <c r="BH488" s="253">
        <v>31.9</v>
      </c>
      <c r="BI488" s="253">
        <v>13.734614882790414</v>
      </c>
      <c r="BJ488" s="25">
        <v>0.87181210024800937</v>
      </c>
      <c r="BK488" t="s">
        <v>381</v>
      </c>
      <c r="BL488">
        <v>2.3497585539946226</v>
      </c>
      <c r="BM488" t="s">
        <v>383</v>
      </c>
      <c r="BN488" s="322">
        <v>50095.362866000003</v>
      </c>
      <c r="BO488" s="322">
        <v>10651.096715</v>
      </c>
      <c r="BP488" s="10">
        <v>31199</v>
      </c>
      <c r="BQ488" s="254">
        <f t="shared" si="203"/>
        <v>1.6056720685278376</v>
      </c>
      <c r="BR488" s="254">
        <f t="shared" si="204"/>
        <v>0.34139224702714832</v>
      </c>
      <c r="BS488" s="25">
        <v>62.522972765571552</v>
      </c>
      <c r="BT488" s="25">
        <v>98.311815220039094</v>
      </c>
      <c r="BU488" s="25">
        <v>68.893333333333331</v>
      </c>
      <c r="BV488" s="25">
        <v>88.921150416084444</v>
      </c>
      <c r="BW488" s="25">
        <v>59.160452637822331</v>
      </c>
      <c r="BX488" s="25">
        <v>79.662317933757109</v>
      </c>
      <c r="BY488" s="25">
        <v>61.875504660156651</v>
      </c>
      <c r="BZ488">
        <v>8</v>
      </c>
      <c r="CA488">
        <v>0</v>
      </c>
      <c r="CB488">
        <v>6</v>
      </c>
      <c r="CC488">
        <v>54931.571968999997</v>
      </c>
      <c r="CD488" s="10">
        <v>15304.28638</v>
      </c>
      <c r="CE488" s="255">
        <v>0.27860637938118354</v>
      </c>
      <c r="CF488" t="str">
        <f>IFERROR(VLOOKUP(CE488,'Rangos amb etnico'!$A$2:$C$6,3,9),"N.D.")</f>
        <v>0,1% - 30%</v>
      </c>
      <c r="CG488" s="256">
        <v>4.4525938283039362E-4</v>
      </c>
      <c r="CH488" s="232">
        <v>0</v>
      </c>
      <c r="CI488" s="311">
        <f t="shared" si="211"/>
        <v>0</v>
      </c>
      <c r="CJ488" s="232">
        <f>IFERROR(VLOOKUP(CI488,'Rangos amb etnico'!$A$2:$C$6,3,9),"N.D.")</f>
        <v>0</v>
      </c>
      <c r="CK488" s="311">
        <f t="shared" si="212"/>
        <v>0</v>
      </c>
      <c r="CL488" s="10">
        <v>0</v>
      </c>
      <c r="CM488" s="255">
        <f t="shared" si="213"/>
        <v>0</v>
      </c>
      <c r="CN488" s="232">
        <f>IFERROR(VLOOKUP(CM488,'Rangos amb etnico'!$A$2:$C$6,3,9),"N.D.")</f>
        <v>0</v>
      </c>
      <c r="CO488" s="311">
        <f t="shared" si="214"/>
        <v>0</v>
      </c>
      <c r="CP488">
        <v>0.92939610682518659</v>
      </c>
      <c r="CQ488" t="s">
        <v>2864</v>
      </c>
      <c r="CR488">
        <f t="shared" si="205"/>
        <v>3</v>
      </c>
      <c r="CS488" t="str">
        <f t="shared" si="215"/>
        <v>Candidato</v>
      </c>
      <c r="CT488">
        <v>0</v>
      </c>
      <c r="CU488">
        <v>0</v>
      </c>
      <c r="CV488" s="25">
        <v>41.096210479736328</v>
      </c>
      <c r="CW488" s="25">
        <v>33.909572601318359</v>
      </c>
      <c r="CX488" s="25">
        <v>45.41058349609375</v>
      </c>
      <c r="CY488" s="25">
        <v>67.304969787597656</v>
      </c>
      <c r="CZ488" s="25">
        <v>6.5603508949279794</v>
      </c>
      <c r="DA488" s="25">
        <v>28.671270370483398</v>
      </c>
      <c r="DB488" s="25">
        <v>64.720512390136719</v>
      </c>
      <c r="DC488">
        <v>477</v>
      </c>
      <c r="DD488" s="253" t="s">
        <v>380</v>
      </c>
    </row>
    <row r="489" spans="1:108" hidden="1">
      <c r="A489" s="13">
        <v>68051</v>
      </c>
      <c r="B489" s="13" t="s">
        <v>1426</v>
      </c>
      <c r="C489" s="13" t="s">
        <v>431</v>
      </c>
      <c r="D489" s="13" t="s">
        <v>432</v>
      </c>
      <c r="E489" s="13" t="s">
        <v>1427</v>
      </c>
      <c r="F489" s="14">
        <v>63.049900000000001</v>
      </c>
      <c r="G489" s="13">
        <v>60.66</v>
      </c>
      <c r="H489" s="13">
        <v>54.96</v>
      </c>
      <c r="I489" s="13">
        <v>59.23</v>
      </c>
      <c r="J489" s="14">
        <v>51.005423009885469</v>
      </c>
      <c r="K489" s="14">
        <v>60.835649492274001</v>
      </c>
      <c r="L489" s="14">
        <v>64.770749528837257</v>
      </c>
      <c r="M489" s="14">
        <v>69.836200000000005</v>
      </c>
      <c r="N489" s="14">
        <f t="shared" si="189"/>
        <v>59.474975000000001</v>
      </c>
      <c r="O489" s="14">
        <f t="shared" si="190"/>
        <v>61.612005507749188</v>
      </c>
      <c r="P489" s="14">
        <f t="shared" si="206"/>
        <v>60.543490253874594</v>
      </c>
      <c r="Q489" s="14">
        <v>52.792688513157707</v>
      </c>
      <c r="R489" s="17">
        <f t="shared" si="191"/>
        <v>47.207311486842293</v>
      </c>
      <c r="S489" s="14">
        <f t="shared" si="207"/>
        <v>0.52486580338158073</v>
      </c>
      <c r="T489" s="13">
        <v>0</v>
      </c>
      <c r="U489" s="13">
        <f t="shared" si="208"/>
        <v>31.777207651624792</v>
      </c>
      <c r="V489" s="13">
        <f>IF($T489=1,$AU489,(VLOOKUP(U489,'Cortes naturales'!$A$35:$C$39,3,9)))</f>
        <v>3</v>
      </c>
      <c r="W489" s="13">
        <v>3</v>
      </c>
      <c r="X489" s="14" t="b">
        <f t="shared" si="192"/>
        <v>1</v>
      </c>
      <c r="Y489" s="17">
        <f>IF($T489=1,$AU489,VLOOKUP(U489,'Cortes naturales'!$A$45:$C$49,3,9))</f>
        <v>3</v>
      </c>
      <c r="Z489" s="14">
        <v>58.674125668095471</v>
      </c>
      <c r="AA489" s="14">
        <v>0.53400207781563092</v>
      </c>
      <c r="AB489" s="14">
        <v>31.332105020778425</v>
      </c>
      <c r="AC489" s="13">
        <v>3</v>
      </c>
      <c r="AD489" s="13">
        <f t="shared" si="193"/>
        <v>0</v>
      </c>
      <c r="AE489" s="14">
        <f t="shared" si="194"/>
        <v>1.8693645857791239</v>
      </c>
      <c r="AF489" s="14">
        <f t="shared" si="195"/>
        <v>-9.1362744340501845E-3</v>
      </c>
      <c r="AG489" s="13">
        <f t="shared" si="196"/>
        <v>0.44510263084636748</v>
      </c>
      <c r="AH489" s="13">
        <f>IF($T489=1,$AU489,VLOOKUP(U489,'Cortes naturales'!$A$25:$C$29,3,9))</f>
        <v>3</v>
      </c>
      <c r="AI489" s="13" t="b">
        <f t="shared" si="197"/>
        <v>1</v>
      </c>
      <c r="AJ489" s="13">
        <f t="shared" si="198"/>
        <v>0</v>
      </c>
      <c r="AK489" s="28">
        <v>0.81759069605862034</v>
      </c>
      <c r="AL489" s="28">
        <v>47.971419245609141</v>
      </c>
      <c r="AM489" s="28">
        <v>0.42944587627840236</v>
      </c>
      <c r="AN489" s="13">
        <v>3</v>
      </c>
      <c r="AO489" s="33">
        <f t="shared" si="199"/>
        <v>0</v>
      </c>
      <c r="AP489" s="13">
        <f t="shared" si="209"/>
        <v>42.944587627840235</v>
      </c>
      <c r="AQ489" s="13">
        <f>IFERROR(VLOOKUP(U489,'Cortes naturales'!$E$15:$G$19,3,9),U489)</f>
        <v>4</v>
      </c>
      <c r="AR489" s="28">
        <f t="shared" si="200"/>
        <v>-0.29272489267703961</v>
      </c>
      <c r="AS489" s="13" t="b">
        <f t="shared" si="201"/>
        <v>0</v>
      </c>
      <c r="AT489" s="13">
        <f t="shared" si="210"/>
        <v>0</v>
      </c>
      <c r="AU489" s="13">
        <v>3</v>
      </c>
      <c r="AV489">
        <f t="shared" si="202"/>
        <v>0</v>
      </c>
      <c r="AW489" s="13">
        <v>0</v>
      </c>
      <c r="AX489" s="13">
        <v>0</v>
      </c>
      <c r="AY489" s="13">
        <v>0</v>
      </c>
      <c r="AZ489" s="13">
        <v>0</v>
      </c>
      <c r="BA489">
        <v>0</v>
      </c>
      <c r="BB489" t="s">
        <v>2839</v>
      </c>
      <c r="BC489">
        <v>6</v>
      </c>
      <c r="BD489" t="s">
        <v>2919</v>
      </c>
      <c r="BE489">
        <v>0</v>
      </c>
      <c r="BF489" s="232" t="s">
        <v>2846</v>
      </c>
      <c r="BG489" s="232" t="s">
        <v>2845</v>
      </c>
      <c r="BH489" s="253">
        <v>40.6</v>
      </c>
      <c r="BI489" s="253">
        <v>20.124666073018698</v>
      </c>
      <c r="BJ489" s="25">
        <v>7.853529411764705</v>
      </c>
      <c r="BK489" t="s">
        <v>377</v>
      </c>
      <c r="BL489">
        <v>0</v>
      </c>
      <c r="BM489" t="s">
        <v>377</v>
      </c>
      <c r="BN489" s="322">
        <v>22434.310720000001</v>
      </c>
      <c r="BO489" s="322">
        <v>2462.2343340000002</v>
      </c>
      <c r="BP489" s="10">
        <v>8824</v>
      </c>
      <c r="BQ489" s="254">
        <f t="shared" si="203"/>
        <v>2.5424196192203086</v>
      </c>
      <c r="BR489" s="254">
        <f t="shared" si="204"/>
        <v>0.27903834247506804</v>
      </c>
      <c r="BS489" s="25">
        <v>65.002132772358621</v>
      </c>
      <c r="BT489" s="25">
        <v>87.958992605016604</v>
      </c>
      <c r="BU489" s="25">
        <v>44.49</v>
      </c>
      <c r="BV489" s="25">
        <v>94.077712165473784</v>
      </c>
      <c r="BW489" s="25">
        <v>52.833599116193128</v>
      </c>
      <c r="BX489" s="25">
        <v>72.882209385712258</v>
      </c>
      <c r="BY489" s="25">
        <v>53.039950863734347</v>
      </c>
      <c r="BZ489">
        <v>4</v>
      </c>
      <c r="CA489">
        <v>0</v>
      </c>
      <c r="CB489">
        <v>7</v>
      </c>
      <c r="CC489">
        <v>16946.175818</v>
      </c>
      <c r="CD489" s="10">
        <v>3450.3414889999999</v>
      </c>
      <c r="CE489" s="255">
        <v>0.20360590649219476</v>
      </c>
      <c r="CF489" t="str">
        <f>IFERROR(VLOOKUP(CE489,'Rangos amb etnico'!$A$2:$C$6,3,9),"N.D.")</f>
        <v>0,1% - 30%</v>
      </c>
      <c r="CG489" s="256">
        <v>1.0038344054734301E-4</v>
      </c>
      <c r="CH489" s="232">
        <v>0</v>
      </c>
      <c r="CI489" s="311">
        <f t="shared" si="211"/>
        <v>0</v>
      </c>
      <c r="CJ489" s="232">
        <f>IFERROR(VLOOKUP(CI489,'Rangos amb etnico'!$A$2:$C$6,3,9),"N.D.")</f>
        <v>0</v>
      </c>
      <c r="CK489" s="311">
        <f t="shared" si="212"/>
        <v>0</v>
      </c>
      <c r="CL489" s="10">
        <v>0</v>
      </c>
      <c r="CM489" s="255">
        <f t="shared" si="213"/>
        <v>0</v>
      </c>
      <c r="CN489" s="232">
        <f>IFERROR(VLOOKUP(CM489,'Rangos amb etnico'!$A$2:$C$6,3,9),"N.D.")</f>
        <v>0</v>
      </c>
      <c r="CO489" s="311">
        <f t="shared" si="214"/>
        <v>0</v>
      </c>
      <c r="CP489">
        <v>0.95978862515865893</v>
      </c>
      <c r="CQ489" t="s">
        <v>2864</v>
      </c>
      <c r="CR489">
        <f t="shared" si="205"/>
        <v>2</v>
      </c>
      <c r="CS489" t="str">
        <f t="shared" si="215"/>
        <v>No es Candidato</v>
      </c>
      <c r="CT489">
        <v>0</v>
      </c>
      <c r="CU489">
        <v>0</v>
      </c>
      <c r="CV489" s="25">
        <v>53.836376190185547</v>
      </c>
      <c r="CW489" s="25">
        <v>30.460502624511719</v>
      </c>
      <c r="CX489" s="25">
        <v>54.441669464111328</v>
      </c>
      <c r="CY489" s="25">
        <v>61.037506103515618</v>
      </c>
      <c r="CZ489" s="25">
        <v>43.479789733886719</v>
      </c>
      <c r="DA489" s="25">
        <v>79.976387023925781</v>
      </c>
      <c r="DB489" s="25">
        <v>53.622390747070313</v>
      </c>
      <c r="DC489">
        <v>68</v>
      </c>
      <c r="DD489" s="253" t="s">
        <v>380</v>
      </c>
    </row>
    <row r="490" spans="1:108" hidden="1">
      <c r="A490" s="13">
        <v>20310</v>
      </c>
      <c r="B490" s="13" t="s">
        <v>1428</v>
      </c>
      <c r="C490" s="13" t="s">
        <v>893</v>
      </c>
      <c r="D490" s="13" t="s">
        <v>894</v>
      </c>
      <c r="E490" s="13" t="s">
        <v>1429</v>
      </c>
      <c r="F490" s="14">
        <v>55.818566666666698</v>
      </c>
      <c r="G490" s="13">
        <v>47.97</v>
      </c>
      <c r="H490" s="13">
        <v>47.92</v>
      </c>
      <c r="I490" s="13">
        <v>42.03</v>
      </c>
      <c r="J490" s="14">
        <v>39.935593287908198</v>
      </c>
      <c r="K490" s="14">
        <v>36.608522858989211</v>
      </c>
      <c r="L490" s="14">
        <v>51.130910539906161</v>
      </c>
      <c r="M490" s="14">
        <v>39.680300000000003</v>
      </c>
      <c r="N490" s="14">
        <f t="shared" si="189"/>
        <v>48.434641666666671</v>
      </c>
      <c r="O490" s="14">
        <f t="shared" si="190"/>
        <v>41.838831671700888</v>
      </c>
      <c r="P490" s="14">
        <f t="shared" si="206"/>
        <v>45.136736669183776</v>
      </c>
      <c r="Q490" s="14">
        <v>53.026741108998657</v>
      </c>
      <c r="R490" s="17">
        <f t="shared" si="191"/>
        <v>46.973258891001343</v>
      </c>
      <c r="S490" s="14">
        <f t="shared" si="207"/>
        <v>0.52275933001901209</v>
      </c>
      <c r="T490" s="13">
        <v>0</v>
      </c>
      <c r="U490" s="13">
        <f t="shared" si="208"/>
        <v>23.595650220427085</v>
      </c>
      <c r="V490" s="13">
        <f>IF($T490=1,$AU490,(VLOOKUP(U490,'Cortes naturales'!$A$35:$C$39,3,9)))</f>
        <v>4</v>
      </c>
      <c r="W490" s="13">
        <v>4</v>
      </c>
      <c r="X490" s="14" t="b">
        <f t="shared" si="192"/>
        <v>1</v>
      </c>
      <c r="Y490" s="17">
        <f>IF($T490=1,$AU490,VLOOKUP(U490,'Cortes naturales'!$A$45:$C$49,3,9))</f>
        <v>4</v>
      </c>
      <c r="Z490" s="14">
        <v>48.48702261270941</v>
      </c>
      <c r="AA490" s="14">
        <v>0.52969587520410177</v>
      </c>
      <c r="AB490" s="14">
        <v>25.683375878880184</v>
      </c>
      <c r="AC490" s="13">
        <v>4</v>
      </c>
      <c r="AD490" s="13">
        <f t="shared" si="193"/>
        <v>0</v>
      </c>
      <c r="AE490" s="14">
        <f t="shared" si="194"/>
        <v>-3.350285943525634</v>
      </c>
      <c r="AF490" s="14">
        <f t="shared" si="195"/>
        <v>-6.936545185089682E-3</v>
      </c>
      <c r="AG490" s="13">
        <f t="shared" si="196"/>
        <v>-2.087725658453099</v>
      </c>
      <c r="AH490" s="13">
        <f>IF($T490=1,$AU490,VLOOKUP(U490,'Cortes naturales'!$A$25:$C$29,3,9))</f>
        <v>4</v>
      </c>
      <c r="AI490" s="13" t="b">
        <f t="shared" si="197"/>
        <v>1</v>
      </c>
      <c r="AJ490" s="13">
        <f t="shared" si="198"/>
        <v>0</v>
      </c>
      <c r="AK490" s="28">
        <v>0.81759069605862034</v>
      </c>
      <c r="AL490" s="28">
        <v>39.642538567735151</v>
      </c>
      <c r="AM490" s="28">
        <v>0.32526035846597773</v>
      </c>
      <c r="AN490" s="13">
        <v>4</v>
      </c>
      <c r="AO490" s="33">
        <f t="shared" si="199"/>
        <v>0</v>
      </c>
      <c r="AP490" s="13">
        <f t="shared" si="209"/>
        <v>32.526035846597772</v>
      </c>
      <c r="AQ490" s="13">
        <f>IFERROR(VLOOKUP(U490,'Cortes naturales'!$E$15:$G$19,3,9),U490)</f>
        <v>4</v>
      </c>
      <c r="AR490" s="28">
        <f t="shared" si="200"/>
        <v>-0.29483136603960824</v>
      </c>
      <c r="AS490" s="13" t="b">
        <f t="shared" si="201"/>
        <v>1</v>
      </c>
      <c r="AT490" s="13">
        <f t="shared" si="210"/>
        <v>0</v>
      </c>
      <c r="AU490" s="13">
        <v>4</v>
      </c>
      <c r="AV490">
        <f t="shared" si="202"/>
        <v>0</v>
      </c>
      <c r="AW490" s="13">
        <v>0</v>
      </c>
      <c r="AX490" s="13">
        <v>0</v>
      </c>
      <c r="AY490" s="13">
        <v>0</v>
      </c>
      <c r="AZ490" s="13">
        <v>0</v>
      </c>
      <c r="BA490">
        <v>0</v>
      </c>
      <c r="BB490" t="s">
        <v>2840</v>
      </c>
      <c r="BC490">
        <v>6</v>
      </c>
      <c r="BD490" t="s">
        <v>2919</v>
      </c>
      <c r="BE490">
        <v>0</v>
      </c>
      <c r="BF490" s="232" t="s">
        <v>2846</v>
      </c>
      <c r="BG490" s="232" t="s">
        <v>2845</v>
      </c>
      <c r="BH490" s="253">
        <v>56.6</v>
      </c>
      <c r="BI490" s="253">
        <v>21.244422409519089</v>
      </c>
      <c r="BJ490" s="25">
        <v>3.1742857142857139</v>
      </c>
      <c r="BK490" t="s">
        <v>381</v>
      </c>
      <c r="BL490">
        <v>12.354747251035985</v>
      </c>
      <c r="BM490" t="s">
        <v>376</v>
      </c>
      <c r="BN490" s="322">
        <v>12599.387735</v>
      </c>
      <c r="BO490" s="322">
        <v>851.65805499999999</v>
      </c>
      <c r="BP490" s="10">
        <v>4928</v>
      </c>
      <c r="BQ490" s="254">
        <f t="shared" si="203"/>
        <v>2.5566939397321429</v>
      </c>
      <c r="BR490" s="254">
        <f t="shared" si="204"/>
        <v>0.17282022219967533</v>
      </c>
      <c r="BS490" s="25">
        <v>63.05911876296539</v>
      </c>
      <c r="BT490" s="25">
        <v>93.540313852813867</v>
      </c>
      <c r="BU490" s="25">
        <v>44.957722513089003</v>
      </c>
      <c r="BV490" s="25">
        <v>94.599030973862298</v>
      </c>
      <c r="BW490" s="25">
        <v>58.26674129063467</v>
      </c>
      <c r="BX490" s="25">
        <v>74.039046525682636</v>
      </c>
      <c r="BY490" s="25">
        <v>62.52908034448415</v>
      </c>
      <c r="BZ490">
        <v>14</v>
      </c>
      <c r="CA490">
        <v>0</v>
      </c>
      <c r="CB490">
        <v>7</v>
      </c>
      <c r="CC490">
        <v>7257.4100310000003</v>
      </c>
      <c r="CD490" s="10">
        <v>3603.0020570000001</v>
      </c>
      <c r="CE490" s="255">
        <v>0.49645838413563381</v>
      </c>
      <c r="CF490" t="str">
        <f>IFERROR(VLOOKUP(CE490,'Rangos amb etnico'!$A$2:$C$6,3,9),"N.D.")</f>
        <v>31% - 50%</v>
      </c>
      <c r="CG490" s="256">
        <v>1.0482491194969776E-4</v>
      </c>
      <c r="CH490" s="232">
        <v>0</v>
      </c>
      <c r="CI490" s="311">
        <f t="shared" si="211"/>
        <v>0</v>
      </c>
      <c r="CJ490" s="232">
        <f>IFERROR(VLOOKUP(CI490,'Rangos amb etnico'!$A$2:$C$6,3,9),"N.D.")</f>
        <v>0</v>
      </c>
      <c r="CK490" s="311">
        <f t="shared" si="212"/>
        <v>0</v>
      </c>
      <c r="CL490" s="10">
        <v>0</v>
      </c>
      <c r="CM490" s="255">
        <f t="shared" si="213"/>
        <v>0</v>
      </c>
      <c r="CN490" s="232">
        <f>IFERROR(VLOOKUP(CM490,'Rangos amb etnico'!$A$2:$C$6,3,9),"N.D.")</f>
        <v>0</v>
      </c>
      <c r="CO490" s="311">
        <f t="shared" si="214"/>
        <v>0</v>
      </c>
      <c r="CP490">
        <v>0.9092876135057355</v>
      </c>
      <c r="CQ490" t="s">
        <v>2864</v>
      </c>
      <c r="CR490">
        <f t="shared" si="205"/>
        <v>2</v>
      </c>
      <c r="CS490" t="str">
        <f t="shared" si="215"/>
        <v>No es Candidato</v>
      </c>
      <c r="CT490">
        <v>0</v>
      </c>
      <c r="CU490">
        <v>0</v>
      </c>
      <c r="CV490" s="25">
        <v>46.182479858398438</v>
      </c>
      <c r="CW490" s="25">
        <v>21.94765472412109</v>
      </c>
      <c r="CX490" s="25">
        <v>53.066917419433587</v>
      </c>
      <c r="CY490" s="25">
        <v>67.19671630859375</v>
      </c>
      <c r="CZ490" s="25">
        <v>33.186595916748047</v>
      </c>
      <c r="DA490" s="25">
        <v>34.894107818603523</v>
      </c>
      <c r="DB490" s="25">
        <v>66.802886962890625</v>
      </c>
      <c r="DC490">
        <v>61</v>
      </c>
      <c r="DD490" s="253" t="s">
        <v>380</v>
      </c>
    </row>
    <row r="491" spans="1:108" hidden="1">
      <c r="A491" s="13">
        <v>15272</v>
      </c>
      <c r="B491" s="13" t="s">
        <v>1430</v>
      </c>
      <c r="C491" s="13" t="s">
        <v>498</v>
      </c>
      <c r="D491" s="13" t="s">
        <v>499</v>
      </c>
      <c r="E491" s="13" t="s">
        <v>1431</v>
      </c>
      <c r="F491" s="14">
        <v>61.298633333333299</v>
      </c>
      <c r="G491" s="13">
        <v>60.06</v>
      </c>
      <c r="H491" s="13">
        <v>29.66</v>
      </c>
      <c r="I491" s="13">
        <v>33.81</v>
      </c>
      <c r="J491" s="14">
        <v>50.993810953878118</v>
      </c>
      <c r="K491" s="14">
        <v>57.485760434758603</v>
      </c>
      <c r="L491" s="14">
        <v>74.400927581024135</v>
      </c>
      <c r="M491" s="14">
        <v>66.931200000000004</v>
      </c>
      <c r="N491" s="14">
        <f t="shared" si="189"/>
        <v>46.207158333333325</v>
      </c>
      <c r="O491" s="14">
        <f t="shared" si="190"/>
        <v>62.452924742415206</v>
      </c>
      <c r="P491" s="14">
        <f t="shared" si="206"/>
        <v>54.330041537874266</v>
      </c>
      <c r="Q491" s="14">
        <v>53.465153967352549</v>
      </c>
      <c r="R491" s="17">
        <f t="shared" si="191"/>
        <v>46.534846032647451</v>
      </c>
      <c r="S491" s="14">
        <f t="shared" si="207"/>
        <v>0.51881361429382711</v>
      </c>
      <c r="T491" s="13">
        <v>0</v>
      </c>
      <c r="U491" s="13">
        <f t="shared" si="208"/>
        <v>28.187165214998306</v>
      </c>
      <c r="V491" s="13">
        <f>IF($T491=1,$AU491,(VLOOKUP(U491,'Cortes naturales'!$A$35:$C$39,3,9)))</f>
        <v>4</v>
      </c>
      <c r="W491" s="13">
        <v>4</v>
      </c>
      <c r="X491" s="14" t="b">
        <f t="shared" si="192"/>
        <v>1</v>
      </c>
      <c r="Y491" s="17">
        <f>IF($T491=1,$AU491,VLOOKUP(U491,'Cortes naturales'!$A$45:$C$49,3,9))</f>
        <v>4</v>
      </c>
      <c r="Z491" s="14">
        <v>55.972537558932686</v>
      </c>
      <c r="AA491" s="14">
        <v>0.52974695125354321</v>
      </c>
      <c r="AB491" s="14">
        <v>29.651281125769032</v>
      </c>
      <c r="AC491" s="13">
        <v>3</v>
      </c>
      <c r="AD491" s="13">
        <f t="shared" si="193"/>
        <v>-1</v>
      </c>
      <c r="AE491" s="14">
        <f t="shared" si="194"/>
        <v>-1.6424960210584203</v>
      </c>
      <c r="AF491" s="14">
        <f t="shared" si="195"/>
        <v>-1.09333369597161E-2</v>
      </c>
      <c r="AG491" s="13">
        <f t="shared" si="196"/>
        <v>-1.464115910770726</v>
      </c>
      <c r="AH491" s="13">
        <f>IF($T491=1,$AU491,VLOOKUP(U491,'Cortes naturales'!$A$25:$C$29,3,9))</f>
        <v>3</v>
      </c>
      <c r="AI491" s="13" t="b">
        <f t="shared" si="197"/>
        <v>0</v>
      </c>
      <c r="AJ491" s="13" t="str">
        <f t="shared" si="198"/>
        <v>Cambio en corte</v>
      </c>
      <c r="AK491" s="28">
        <v>0.81759069605862034</v>
      </c>
      <c r="AL491" s="28">
        <v>45.762625942975042</v>
      </c>
      <c r="AM491" s="28">
        <v>0.401816200350053</v>
      </c>
      <c r="AN491" s="13">
        <v>3</v>
      </c>
      <c r="AO491" s="33">
        <f t="shared" si="199"/>
        <v>-1</v>
      </c>
      <c r="AP491" s="13">
        <f t="shared" si="209"/>
        <v>40.181620035005302</v>
      </c>
      <c r="AQ491" s="13">
        <f>IFERROR(VLOOKUP(U491,'Cortes naturales'!$E$15:$G$19,3,9),U491)</f>
        <v>4</v>
      </c>
      <c r="AR491" s="28">
        <f t="shared" si="200"/>
        <v>-0.29877708176479323</v>
      </c>
      <c r="AS491" s="13" t="b">
        <f t="shared" si="201"/>
        <v>1</v>
      </c>
      <c r="AT491" s="13" t="str">
        <f t="shared" si="210"/>
        <v>Efecto ponderador</v>
      </c>
      <c r="AU491" s="13">
        <v>3</v>
      </c>
      <c r="AV491">
        <f t="shared" si="202"/>
        <v>-1</v>
      </c>
      <c r="AW491" s="13">
        <v>0</v>
      </c>
      <c r="AX491" s="13">
        <v>0</v>
      </c>
      <c r="AY491" s="13">
        <v>0</v>
      </c>
      <c r="AZ491" s="13">
        <v>0</v>
      </c>
      <c r="BA491">
        <v>0</v>
      </c>
      <c r="BB491" t="s">
        <v>2839</v>
      </c>
      <c r="BC491">
        <v>6</v>
      </c>
      <c r="BD491" s="184" t="s">
        <v>2917</v>
      </c>
      <c r="BE491">
        <v>1</v>
      </c>
      <c r="BF491" s="232" t="s">
        <v>2846</v>
      </c>
      <c r="BG491" s="232" t="s">
        <v>2846</v>
      </c>
      <c r="BH491" s="253">
        <v>21.7</v>
      </c>
      <c r="BI491" s="253">
        <v>6.5307373907711179</v>
      </c>
      <c r="BJ491" s="25">
        <v>13.772831205491755</v>
      </c>
      <c r="BK491" t="s">
        <v>377</v>
      </c>
      <c r="BL491">
        <v>0</v>
      </c>
      <c r="BM491" t="s">
        <v>377</v>
      </c>
      <c r="BN491" s="322">
        <v>12835.831187</v>
      </c>
      <c r="BO491" s="322">
        <v>2232.5456709999999</v>
      </c>
      <c r="BP491" s="10">
        <v>7088</v>
      </c>
      <c r="BQ491" s="254">
        <f t="shared" si="203"/>
        <v>1.8109242645316026</v>
      </c>
      <c r="BR491" s="254">
        <f t="shared" si="204"/>
        <v>0.31497540505079002</v>
      </c>
      <c r="BS491" s="25">
        <v>44.867736168181104</v>
      </c>
      <c r="BT491" s="25">
        <v>84.706138352144464</v>
      </c>
      <c r="BU491" s="25">
        <v>51.000792065473703</v>
      </c>
      <c r="BV491" s="25">
        <v>92.041926371976885</v>
      </c>
      <c r="BW491" s="25">
        <v>51.760116582628413</v>
      </c>
      <c r="BX491" s="25">
        <v>68.154148239444041</v>
      </c>
      <c r="BY491" s="25">
        <v>51.565652078070151</v>
      </c>
      <c r="BZ491">
        <v>62</v>
      </c>
      <c r="CA491">
        <v>0</v>
      </c>
      <c r="CB491">
        <v>7</v>
      </c>
      <c r="CC491">
        <v>10911.753484999999</v>
      </c>
      <c r="CD491" s="10">
        <v>3942.676594</v>
      </c>
      <c r="CE491" s="255">
        <v>0.36132383300446236</v>
      </c>
      <c r="CF491" t="str">
        <f>IFERROR(VLOOKUP(CE491,'Rangos amb etnico'!$A$2:$C$6,3,9),"N.D.")</f>
        <v>31% - 50%</v>
      </c>
      <c r="CG491" s="256">
        <v>1.1470732469031845E-4</v>
      </c>
      <c r="CH491" s="232">
        <v>0</v>
      </c>
      <c r="CI491" s="311">
        <f t="shared" si="211"/>
        <v>0</v>
      </c>
      <c r="CJ491" s="232">
        <f>IFERROR(VLOOKUP(CI491,'Rangos amb etnico'!$A$2:$C$6,3,9),"N.D.")</f>
        <v>0</v>
      </c>
      <c r="CK491" s="311">
        <f t="shared" si="212"/>
        <v>0</v>
      </c>
      <c r="CL491" s="10">
        <v>0</v>
      </c>
      <c r="CM491" s="255">
        <f t="shared" si="213"/>
        <v>0</v>
      </c>
      <c r="CN491" s="232">
        <f>IFERROR(VLOOKUP(CM491,'Rangos amb etnico'!$A$2:$C$6,3,9),"N.D.")</f>
        <v>0</v>
      </c>
      <c r="CO491" s="311">
        <f t="shared" si="214"/>
        <v>0</v>
      </c>
      <c r="CP491">
        <v>0.95533140474596667</v>
      </c>
      <c r="CQ491" t="s">
        <v>2864</v>
      </c>
      <c r="CR491">
        <f t="shared" si="205"/>
        <v>2</v>
      </c>
      <c r="CS491" t="str">
        <f t="shared" si="215"/>
        <v>No es Candidato</v>
      </c>
      <c r="CT491">
        <v>0</v>
      </c>
      <c r="CU491">
        <v>0</v>
      </c>
      <c r="CV491" s="25">
        <v>56.966991424560547</v>
      </c>
      <c r="CW491" s="25">
        <v>27.671770095825199</v>
      </c>
      <c r="CX491" s="25">
        <v>58.187671661376953</v>
      </c>
      <c r="CY491" s="25">
        <v>69.91851806640625</v>
      </c>
      <c r="CZ491" s="25">
        <v>58.641693115234382</v>
      </c>
      <c r="DA491" s="25">
        <v>74.872276306152344</v>
      </c>
      <c r="DB491" s="25">
        <v>52.510017395019531</v>
      </c>
      <c r="DC491">
        <v>25</v>
      </c>
      <c r="DD491" s="253" t="s">
        <v>380</v>
      </c>
    </row>
    <row r="492" spans="1:108" hidden="1">
      <c r="A492" s="13">
        <v>68861</v>
      </c>
      <c r="B492" s="13" t="s">
        <v>1432</v>
      </c>
      <c r="C492" s="13" t="s">
        <v>431</v>
      </c>
      <c r="D492" s="13" t="s">
        <v>432</v>
      </c>
      <c r="E492" s="13" t="s">
        <v>1433</v>
      </c>
      <c r="F492" s="14">
        <v>65.545133333333297</v>
      </c>
      <c r="G492" s="13">
        <v>59.72</v>
      </c>
      <c r="H492" s="13">
        <v>59.32</v>
      </c>
      <c r="I492" s="13">
        <v>62.81</v>
      </c>
      <c r="J492" s="14">
        <v>61.132023546160482</v>
      </c>
      <c r="K492" s="14">
        <v>63.322432128142239</v>
      </c>
      <c r="L492" s="14">
        <v>60.679761188838754</v>
      </c>
      <c r="M492" s="14">
        <v>56.653300000000002</v>
      </c>
      <c r="N492" s="14">
        <f t="shared" si="189"/>
        <v>61.848783333333323</v>
      </c>
      <c r="O492" s="14">
        <f t="shared" si="190"/>
        <v>60.446879215785373</v>
      </c>
      <c r="P492" s="14">
        <f t="shared" si="206"/>
        <v>61.147831274559351</v>
      </c>
      <c r="Q492" s="14">
        <v>53.315487996180131</v>
      </c>
      <c r="R492" s="17">
        <f t="shared" si="191"/>
        <v>46.684512003819869</v>
      </c>
      <c r="S492" s="14">
        <f t="shared" si="207"/>
        <v>0.5201606080343788</v>
      </c>
      <c r="T492" s="13">
        <v>0</v>
      </c>
      <c r="U492" s="13">
        <f t="shared" si="208"/>
        <v>31.806693095758398</v>
      </c>
      <c r="V492" s="13">
        <f>IF($T492=1,$AU492,(VLOOKUP(U492,'Cortes naturales'!$A$35:$C$39,3,9)))</f>
        <v>3</v>
      </c>
      <c r="W492" s="13">
        <v>3</v>
      </c>
      <c r="X492" s="14" t="b">
        <f t="shared" si="192"/>
        <v>1</v>
      </c>
      <c r="Y492" s="17">
        <f>IF($T492=1,$AU492,VLOOKUP(U492,'Cortes naturales'!$A$45:$C$49,3,9))</f>
        <v>3</v>
      </c>
      <c r="Z492" s="14">
        <v>61.002978630857797</v>
      </c>
      <c r="AA492" s="14">
        <v>0.52845430452120512</v>
      </c>
      <c r="AB492" s="14">
        <v>32.237286646091896</v>
      </c>
      <c r="AC492" s="13">
        <v>3</v>
      </c>
      <c r="AD492" s="13">
        <f t="shared" si="193"/>
        <v>0</v>
      </c>
      <c r="AE492" s="14">
        <f t="shared" si="194"/>
        <v>0.14485264370155448</v>
      </c>
      <c r="AF492" s="14">
        <f t="shared" si="195"/>
        <v>-8.2936964868263185E-3</v>
      </c>
      <c r="AG492" s="13">
        <f t="shared" si="196"/>
        <v>-0.43059355033349789</v>
      </c>
      <c r="AH492" s="13">
        <f>IF($T492=1,$AU492,VLOOKUP(U492,'Cortes naturales'!$A$25:$C$29,3,9))</f>
        <v>3</v>
      </c>
      <c r="AI492" s="13" t="b">
        <f t="shared" si="197"/>
        <v>1</v>
      </c>
      <c r="AJ492" s="13">
        <f t="shared" si="198"/>
        <v>0</v>
      </c>
      <c r="AK492" s="28">
        <v>0.81759069605862034</v>
      </c>
      <c r="AL492" s="28">
        <v>49.875467760452167</v>
      </c>
      <c r="AM492" s="28">
        <v>0.45326351614277077</v>
      </c>
      <c r="AN492" s="13">
        <v>3</v>
      </c>
      <c r="AO492" s="33">
        <f t="shared" si="199"/>
        <v>0</v>
      </c>
      <c r="AP492" s="13">
        <f t="shared" si="209"/>
        <v>45.32635161427708</v>
      </c>
      <c r="AQ492" s="13">
        <f>IFERROR(VLOOKUP(U492,'Cortes naturales'!$E$15:$G$19,3,9),U492)</f>
        <v>4</v>
      </c>
      <c r="AR492" s="28">
        <f t="shared" si="200"/>
        <v>-0.29743008802424153</v>
      </c>
      <c r="AS492" s="13" t="b">
        <f t="shared" si="201"/>
        <v>0</v>
      </c>
      <c r="AT492" s="13">
        <f t="shared" si="210"/>
        <v>0</v>
      </c>
      <c r="AU492" s="13">
        <v>3</v>
      </c>
      <c r="AV492">
        <f t="shared" si="202"/>
        <v>0</v>
      </c>
      <c r="AW492" s="13">
        <v>0</v>
      </c>
      <c r="AX492" s="13">
        <v>0</v>
      </c>
      <c r="AY492" s="13">
        <v>0</v>
      </c>
      <c r="AZ492" s="13">
        <v>0</v>
      </c>
      <c r="BA492">
        <v>0</v>
      </c>
      <c r="BB492" t="s">
        <v>2839</v>
      </c>
      <c r="BC492">
        <v>6</v>
      </c>
      <c r="BD492" t="s">
        <v>2919</v>
      </c>
      <c r="BE492">
        <v>1</v>
      </c>
      <c r="BF492" s="232" t="s">
        <v>2846</v>
      </c>
      <c r="BG492" s="232" t="s">
        <v>2846</v>
      </c>
      <c r="BH492" s="253">
        <v>32.299999999999997</v>
      </c>
      <c r="BI492" s="253">
        <v>12.697203786312697</v>
      </c>
      <c r="BJ492" s="25">
        <v>5.347142857142857</v>
      </c>
      <c r="BK492" t="s">
        <v>377</v>
      </c>
      <c r="BL492">
        <v>4.3169031224214898</v>
      </c>
      <c r="BM492" t="s">
        <v>383</v>
      </c>
      <c r="BN492" s="322">
        <v>34397.048656999999</v>
      </c>
      <c r="BO492" s="322">
        <v>6363.7825039999998</v>
      </c>
      <c r="BP492" s="10">
        <v>26750</v>
      </c>
      <c r="BQ492" s="254">
        <f t="shared" si="203"/>
        <v>1.2858709778317756</v>
      </c>
      <c r="BR492" s="254">
        <f t="shared" si="204"/>
        <v>0.23789841136448597</v>
      </c>
      <c r="BS492" s="25">
        <v>60.545606824112006</v>
      </c>
      <c r="BT492" s="25">
        <v>85.016798037383182</v>
      </c>
      <c r="BU492" s="25">
        <v>47.640746180616993</v>
      </c>
      <c r="BV492" s="25">
        <v>92.066774421289281</v>
      </c>
      <c r="BW492" s="25">
        <v>50.265672038677373</v>
      </c>
      <c r="BX492" s="25">
        <v>71.317481365850369</v>
      </c>
      <c r="BY492" s="25">
        <v>50.875473174363563</v>
      </c>
      <c r="BZ492">
        <v>25</v>
      </c>
      <c r="CA492">
        <v>1</v>
      </c>
      <c r="CB492">
        <v>6</v>
      </c>
      <c r="CC492">
        <v>44698.404067000003</v>
      </c>
      <c r="CD492" s="10">
        <v>22184.691723</v>
      </c>
      <c r="CE492" s="255">
        <v>0.49631954845069165</v>
      </c>
      <c r="CF492" t="str">
        <f>IFERROR(VLOOKUP(CE492,'Rangos amb etnico'!$A$2:$C$6,3,9),"N.D.")</f>
        <v>31% - 50%</v>
      </c>
      <c r="CG492" s="256">
        <v>6.4543631108303411E-4</v>
      </c>
      <c r="CH492" s="232">
        <v>0</v>
      </c>
      <c r="CI492" s="311">
        <f t="shared" si="211"/>
        <v>0</v>
      </c>
      <c r="CJ492" s="232">
        <f>IFERROR(VLOOKUP(CI492,'Rangos amb etnico'!$A$2:$C$6,3,9),"N.D.")</f>
        <v>0</v>
      </c>
      <c r="CK492" s="311">
        <f t="shared" si="212"/>
        <v>0</v>
      </c>
      <c r="CL492" s="10">
        <v>0</v>
      </c>
      <c r="CM492" s="255">
        <f t="shared" si="213"/>
        <v>0</v>
      </c>
      <c r="CN492" s="232">
        <f>IFERROR(VLOOKUP(CM492,'Rangos amb etnico'!$A$2:$C$6,3,9),"N.D.")</f>
        <v>0</v>
      </c>
      <c r="CO492" s="311">
        <f t="shared" si="214"/>
        <v>0</v>
      </c>
      <c r="CP492">
        <v>0.90991070704782484</v>
      </c>
      <c r="CQ492" t="s">
        <v>2864</v>
      </c>
      <c r="CR492">
        <f t="shared" si="205"/>
        <v>2</v>
      </c>
      <c r="CS492" t="str">
        <f t="shared" si="215"/>
        <v>No es Candidato</v>
      </c>
      <c r="CT492">
        <v>0</v>
      </c>
      <c r="CU492">
        <v>0</v>
      </c>
      <c r="CV492" s="25">
        <v>50.562259674072273</v>
      </c>
      <c r="CW492" s="25">
        <v>29.118991851806641</v>
      </c>
      <c r="CX492" s="25">
        <v>53.676231384277337</v>
      </c>
      <c r="CY492" s="25">
        <v>67.771842956542969</v>
      </c>
      <c r="CZ492" s="25">
        <v>55.987071990966797</v>
      </c>
      <c r="DA492" s="25">
        <v>46.436946868896477</v>
      </c>
      <c r="DB492" s="25">
        <v>50.382461547851563</v>
      </c>
      <c r="DC492">
        <v>255</v>
      </c>
      <c r="DD492" s="253" t="s">
        <v>380</v>
      </c>
    </row>
    <row r="493" spans="1:108" hidden="1">
      <c r="A493" s="13">
        <v>25862</v>
      </c>
      <c r="B493" s="13" t="s">
        <v>1434</v>
      </c>
      <c r="C493" s="13" t="s">
        <v>461</v>
      </c>
      <c r="D493" s="13" t="s">
        <v>462</v>
      </c>
      <c r="E493" s="13" t="s">
        <v>1435</v>
      </c>
      <c r="F493" s="14">
        <v>50.937433333333303</v>
      </c>
      <c r="G493" s="13">
        <v>45.07</v>
      </c>
      <c r="H493" s="13">
        <v>61.25</v>
      </c>
      <c r="I493" s="13">
        <v>68.84</v>
      </c>
      <c r="J493" s="14">
        <v>53.2741783365747</v>
      </c>
      <c r="K493" s="14">
        <v>51.872269246191493</v>
      </c>
      <c r="L493" s="14">
        <v>58.431159810945665</v>
      </c>
      <c r="M493" s="14">
        <v>67.674700000000001</v>
      </c>
      <c r="N493" s="14">
        <f t="shared" si="189"/>
        <v>56.524358333333325</v>
      </c>
      <c r="O493" s="14">
        <f t="shared" si="190"/>
        <v>57.813076848427968</v>
      </c>
      <c r="P493" s="14">
        <f t="shared" si="206"/>
        <v>57.168717590880647</v>
      </c>
      <c r="Q493" s="14">
        <v>54.967839285676469</v>
      </c>
      <c r="R493" s="17">
        <f t="shared" si="191"/>
        <v>45.032160714323531</v>
      </c>
      <c r="S493" s="14">
        <f t="shared" si="207"/>
        <v>0.50528944642891183</v>
      </c>
      <c r="T493" s="13">
        <v>0</v>
      </c>
      <c r="U493" s="13">
        <f t="shared" si="208"/>
        <v>28.886749664546876</v>
      </c>
      <c r="V493" s="13">
        <f>IF($T493=1,$AU493,(VLOOKUP(U493,'Cortes naturales'!$A$35:$C$39,3,9)))</f>
        <v>4</v>
      </c>
      <c r="W493" s="13">
        <v>4</v>
      </c>
      <c r="X493" s="14" t="b">
        <f t="shared" si="192"/>
        <v>1</v>
      </c>
      <c r="Y493" s="17">
        <f>IF($T493=1,$AU493,VLOOKUP(U493,'Cortes naturales'!$A$45:$C$49,3,9))</f>
        <v>3</v>
      </c>
      <c r="Z493" s="14">
        <v>53.805429697526279</v>
      </c>
      <c r="AA493" s="14">
        <v>0.52652477785998242</v>
      </c>
      <c r="AB493" s="14">
        <v>28.329891919150924</v>
      </c>
      <c r="AC493" s="13">
        <v>3</v>
      </c>
      <c r="AD493" s="13">
        <f t="shared" si="193"/>
        <v>0</v>
      </c>
      <c r="AE493" s="14">
        <f t="shared" si="194"/>
        <v>3.363287893354368</v>
      </c>
      <c r="AF493" s="14">
        <f t="shared" si="195"/>
        <v>-2.1235331431070592E-2</v>
      </c>
      <c r="AG493" s="13">
        <f t="shared" si="196"/>
        <v>0.55685774539595201</v>
      </c>
      <c r="AH493" s="13">
        <f>IF($T493=1,$AU493,VLOOKUP(U493,'Cortes naturales'!$A$25:$C$29,3,9))</f>
        <v>3</v>
      </c>
      <c r="AI493" s="13" t="b">
        <f t="shared" si="197"/>
        <v>1</v>
      </c>
      <c r="AJ493" s="13">
        <f t="shared" si="198"/>
        <v>0</v>
      </c>
      <c r="AK493" s="28">
        <v>0.81759069605862034</v>
      </c>
      <c r="AL493" s="28">
        <v>43.990818718133674</v>
      </c>
      <c r="AM493" s="28">
        <v>0.37965275962814643</v>
      </c>
      <c r="AN493" s="13">
        <v>3</v>
      </c>
      <c r="AO493" s="33">
        <f t="shared" si="199"/>
        <v>0</v>
      </c>
      <c r="AP493" s="13">
        <f t="shared" si="209"/>
        <v>37.965275962814644</v>
      </c>
      <c r="AQ493" s="13">
        <f>IFERROR(VLOOKUP(U493,'Cortes naturales'!$E$15:$G$19,3,9),U493)</f>
        <v>4</v>
      </c>
      <c r="AR493" s="28">
        <f t="shared" si="200"/>
        <v>-0.31230124962970851</v>
      </c>
      <c r="AS493" s="13" t="b">
        <f t="shared" si="201"/>
        <v>0</v>
      </c>
      <c r="AT493" s="13">
        <f t="shared" si="210"/>
        <v>0</v>
      </c>
      <c r="AU493" s="13">
        <v>3</v>
      </c>
      <c r="AV493">
        <f t="shared" si="202"/>
        <v>0</v>
      </c>
      <c r="AW493" s="13">
        <v>0</v>
      </c>
      <c r="AX493" s="13">
        <v>0</v>
      </c>
      <c r="AY493" s="13">
        <v>0</v>
      </c>
      <c r="AZ493" s="13">
        <v>0</v>
      </c>
      <c r="BA493">
        <v>0</v>
      </c>
      <c r="BB493" t="s">
        <v>2840</v>
      </c>
      <c r="BC493">
        <v>6</v>
      </c>
      <c r="BD493" t="s">
        <v>2919</v>
      </c>
      <c r="BE493">
        <v>0</v>
      </c>
      <c r="BF493" s="232" t="s">
        <v>2846</v>
      </c>
      <c r="BG493" s="232" t="s">
        <v>2846</v>
      </c>
      <c r="BH493" s="253">
        <v>50</v>
      </c>
      <c r="BI493" s="253">
        <v>22.415506958250496</v>
      </c>
      <c r="BJ493" s="25">
        <v>1.5149999999999999</v>
      </c>
      <c r="BK493" t="s">
        <v>381</v>
      </c>
      <c r="BL493">
        <v>1.0903268047175572</v>
      </c>
      <c r="BM493" t="s">
        <v>383</v>
      </c>
      <c r="BN493" s="322">
        <v>21172.659060000002</v>
      </c>
      <c r="BO493" s="322">
        <v>2952.0073539999999</v>
      </c>
      <c r="BP493" s="10">
        <v>6708</v>
      </c>
      <c r="BQ493" s="254">
        <f t="shared" si="203"/>
        <v>3.1563296153846156</v>
      </c>
      <c r="BR493" s="254">
        <f t="shared" si="204"/>
        <v>0.440072652653548</v>
      </c>
      <c r="BS493" s="25">
        <v>51.226399106943937</v>
      </c>
      <c r="BT493" s="25">
        <v>85.189159797257005</v>
      </c>
      <c r="BU493" s="25">
        <v>40.659061590406331</v>
      </c>
      <c r="BV493" s="25">
        <v>91.417786371910324</v>
      </c>
      <c r="BW493" s="25">
        <v>68.765845013588546</v>
      </c>
      <c r="BX493" s="25">
        <v>67.123101716629407</v>
      </c>
      <c r="BY493" s="25">
        <v>68.702759069708307</v>
      </c>
      <c r="BZ493">
        <v>37</v>
      </c>
      <c r="CA493">
        <v>0</v>
      </c>
      <c r="CB493">
        <v>7</v>
      </c>
      <c r="CC493">
        <v>14449.245865999999</v>
      </c>
      <c r="CD493" s="10">
        <v>5916.6360969999996</v>
      </c>
      <c r="CE493" s="255">
        <v>0.40947715554638203</v>
      </c>
      <c r="CF493" t="str">
        <f>IFERROR(VLOOKUP(CE493,'Rangos amb etnico'!$A$2:$C$6,3,9),"N.D.")</f>
        <v>31% - 50%</v>
      </c>
      <c r="CG493" s="256">
        <v>1.7213724779908677E-4</v>
      </c>
      <c r="CH493" s="232">
        <v>0</v>
      </c>
      <c r="CI493" s="311">
        <f t="shared" si="211"/>
        <v>0</v>
      </c>
      <c r="CJ493" s="232">
        <f>IFERROR(VLOOKUP(CI493,'Rangos amb etnico'!$A$2:$C$6,3,9),"N.D.")</f>
        <v>0</v>
      </c>
      <c r="CK493" s="311">
        <f t="shared" si="212"/>
        <v>0</v>
      </c>
      <c r="CL493" s="10">
        <v>0</v>
      </c>
      <c r="CM493" s="255">
        <f t="shared" si="213"/>
        <v>0</v>
      </c>
      <c r="CN493" s="232">
        <f>IFERROR(VLOOKUP(CM493,'Rangos amb etnico'!$A$2:$C$6,3,9),"N.D.")</f>
        <v>0</v>
      </c>
      <c r="CO493" s="311">
        <f t="shared" si="214"/>
        <v>0</v>
      </c>
      <c r="CP493">
        <v>0.9718689602851236</v>
      </c>
      <c r="CQ493" t="s">
        <v>2864</v>
      </c>
      <c r="CR493">
        <f t="shared" si="205"/>
        <v>4</v>
      </c>
      <c r="CS493" t="str">
        <f t="shared" si="215"/>
        <v>Candidato</v>
      </c>
      <c r="CT493">
        <v>0</v>
      </c>
      <c r="CU493">
        <v>0</v>
      </c>
      <c r="CV493" s="25">
        <v>45.646289825439453</v>
      </c>
      <c r="CW493" s="25">
        <v>18.924739837646481</v>
      </c>
      <c r="CX493" s="25">
        <v>53.245071411132813</v>
      </c>
      <c r="CY493" s="25">
        <v>70.017982482910156</v>
      </c>
      <c r="CZ493" s="25">
        <v>29.400699615478519</v>
      </c>
      <c r="DA493" s="25">
        <v>64.188568115234375</v>
      </c>
      <c r="DB493" s="25">
        <v>38.100677490234382</v>
      </c>
      <c r="DC493">
        <v>38</v>
      </c>
      <c r="DD493" s="253" t="s">
        <v>380</v>
      </c>
    </row>
    <row r="494" spans="1:108" hidden="1">
      <c r="A494" s="13">
        <v>54599</v>
      </c>
      <c r="B494" s="13" t="s">
        <v>1436</v>
      </c>
      <c r="C494" s="13" t="s">
        <v>517</v>
      </c>
      <c r="D494" s="13" t="s">
        <v>518</v>
      </c>
      <c r="E494" s="13" t="s">
        <v>1437</v>
      </c>
      <c r="F494" s="14">
        <v>61.0456</v>
      </c>
      <c r="G494" s="13">
        <v>62.4</v>
      </c>
      <c r="H494" s="13">
        <v>66.17</v>
      </c>
      <c r="I494" s="13">
        <v>80.66</v>
      </c>
      <c r="J494" s="14">
        <v>69.383620594358746</v>
      </c>
      <c r="K494" s="14">
        <v>62.312259777867062</v>
      </c>
      <c r="L494" s="14">
        <v>50.910213651722287</v>
      </c>
      <c r="M494" s="14">
        <v>60.02</v>
      </c>
      <c r="N494" s="14">
        <f t="shared" si="189"/>
        <v>67.568899999999999</v>
      </c>
      <c r="O494" s="14">
        <f t="shared" si="190"/>
        <v>60.656523505987032</v>
      </c>
      <c r="P494" s="14">
        <f t="shared" si="206"/>
        <v>64.112711752993519</v>
      </c>
      <c r="Q494" s="14">
        <v>53.25043377495102</v>
      </c>
      <c r="R494" s="17">
        <f t="shared" si="191"/>
        <v>46.74956622504898</v>
      </c>
      <c r="S494" s="14">
        <f t="shared" si="207"/>
        <v>0.52074609602544086</v>
      </c>
      <c r="T494" s="13">
        <v>0</v>
      </c>
      <c r="U494" s="13">
        <f t="shared" si="208"/>
        <v>33.386444350975772</v>
      </c>
      <c r="V494" s="13">
        <f>IF($T494=1,$AU494,(VLOOKUP(U494,'Cortes naturales'!$A$35:$C$39,3,9)))</f>
        <v>3</v>
      </c>
      <c r="W494" s="13">
        <v>3</v>
      </c>
      <c r="X494" s="14" t="b">
        <f t="shared" si="192"/>
        <v>1</v>
      </c>
      <c r="Y494" s="17">
        <f>IF($T494=1,$AU494,VLOOKUP(U494,'Cortes naturales'!$A$45:$C$49,3,9))</f>
        <v>3</v>
      </c>
      <c r="Z494" s="14">
        <v>60.414651389078848</v>
      </c>
      <c r="AA494" s="14">
        <v>0.52981285785253474</v>
      </c>
      <c r="AB494" s="14">
        <v>32.00845910861247</v>
      </c>
      <c r="AC494" s="13">
        <v>3</v>
      </c>
      <c r="AD494" s="13">
        <f t="shared" si="193"/>
        <v>0</v>
      </c>
      <c r="AE494" s="14">
        <f t="shared" si="194"/>
        <v>3.6980603639146707</v>
      </c>
      <c r="AF494" s="14">
        <f t="shared" si="195"/>
        <v>-9.0667618270938721E-3</v>
      </c>
      <c r="AG494" s="13">
        <f t="shared" si="196"/>
        <v>1.3779852423633017</v>
      </c>
      <c r="AH494" s="13">
        <f>IF($T494=1,$AU494,VLOOKUP(U494,'Cortes naturales'!$A$25:$C$29,3,9))</f>
        <v>3</v>
      </c>
      <c r="AI494" s="13" t="b">
        <f t="shared" si="197"/>
        <v>1</v>
      </c>
      <c r="AJ494" s="13">
        <f t="shared" si="198"/>
        <v>0</v>
      </c>
      <c r="AK494" s="28">
        <v>0.81759069605862034</v>
      </c>
      <c r="AL494" s="28">
        <v>49.39445688133587</v>
      </c>
      <c r="AM494" s="28">
        <v>0.44724657707828491</v>
      </c>
      <c r="AN494" s="13">
        <v>3</v>
      </c>
      <c r="AO494" s="33">
        <f t="shared" si="199"/>
        <v>0</v>
      </c>
      <c r="AP494" s="13">
        <f t="shared" si="209"/>
        <v>44.724657707828491</v>
      </c>
      <c r="AQ494" s="13">
        <f>IFERROR(VLOOKUP(U494,'Cortes naturales'!$E$15:$G$19,3,9),U494)</f>
        <v>4</v>
      </c>
      <c r="AR494" s="28">
        <f t="shared" si="200"/>
        <v>-0.29684460003317947</v>
      </c>
      <c r="AS494" s="13" t="b">
        <f t="shared" si="201"/>
        <v>0</v>
      </c>
      <c r="AT494" s="13">
        <f t="shared" si="210"/>
        <v>0</v>
      </c>
      <c r="AU494" s="13">
        <v>3</v>
      </c>
      <c r="AV494">
        <f t="shared" si="202"/>
        <v>0</v>
      </c>
      <c r="AW494" s="13">
        <v>0</v>
      </c>
      <c r="AX494" s="13">
        <v>0</v>
      </c>
      <c r="AY494" s="13">
        <v>0</v>
      </c>
      <c r="AZ494" s="13">
        <v>0</v>
      </c>
      <c r="BA494">
        <v>0</v>
      </c>
      <c r="BB494" t="s">
        <v>2839</v>
      </c>
      <c r="BC494">
        <v>6</v>
      </c>
      <c r="BD494" t="s">
        <v>2919</v>
      </c>
      <c r="BE494">
        <v>0</v>
      </c>
      <c r="BF494" s="232" t="s">
        <v>2846</v>
      </c>
      <c r="BG494" s="232" t="s">
        <v>2846</v>
      </c>
      <c r="BH494" s="253">
        <v>41.4</v>
      </c>
      <c r="BI494" s="253">
        <v>19.624605091990336</v>
      </c>
      <c r="BJ494" s="25">
        <v>0</v>
      </c>
      <c r="BK494" t="s">
        <v>381</v>
      </c>
      <c r="BL494">
        <v>0.27542809368579174</v>
      </c>
      <c r="BM494" t="s">
        <v>383</v>
      </c>
      <c r="BN494" s="322">
        <v>20014.154626</v>
      </c>
      <c r="BO494" s="322">
        <v>1003.9453119999999</v>
      </c>
      <c r="BP494" s="10">
        <v>6653</v>
      </c>
      <c r="BQ494" s="254">
        <f t="shared" si="203"/>
        <v>3.0082901887870133</v>
      </c>
      <c r="BR494" s="254">
        <f t="shared" si="204"/>
        <v>0.15090114414549827</v>
      </c>
      <c r="BS494" s="25">
        <v>66.864254030479174</v>
      </c>
      <c r="BT494" s="25">
        <v>97.254903333333331</v>
      </c>
      <c r="BU494" s="25">
        <v>38.963423266608643</v>
      </c>
      <c r="BV494" s="25">
        <v>93.863539592221869</v>
      </c>
      <c r="BW494" s="25">
        <v>50.647209918898298</v>
      </c>
      <c r="BX494" s="25">
        <v>74.236530055660751</v>
      </c>
      <c r="BY494" s="25">
        <v>51.628799314123214</v>
      </c>
      <c r="BZ494">
        <v>24</v>
      </c>
      <c r="CA494">
        <v>0</v>
      </c>
      <c r="CB494">
        <v>7</v>
      </c>
      <c r="CC494">
        <v>9782.1844469999996</v>
      </c>
      <c r="CD494" s="10">
        <v>469.09953400000001</v>
      </c>
      <c r="CE494" s="255">
        <v>4.7954476481361322E-2</v>
      </c>
      <c r="CF494" t="str">
        <f>IFERROR(VLOOKUP(CE494,'Rangos amb etnico'!$A$2:$C$6,3,9),"N.D.")</f>
        <v>0,1% - 30%</v>
      </c>
      <c r="CG494" s="256">
        <v>1.364787379226141E-5</v>
      </c>
      <c r="CH494" s="232">
        <v>0</v>
      </c>
      <c r="CI494" s="311">
        <f t="shared" si="211"/>
        <v>0</v>
      </c>
      <c r="CJ494" s="232">
        <f>IFERROR(VLOOKUP(CI494,'Rangos amb etnico'!$A$2:$C$6,3,9),"N.D.")</f>
        <v>0</v>
      </c>
      <c r="CK494" s="311">
        <f t="shared" si="212"/>
        <v>0</v>
      </c>
      <c r="CL494" s="10">
        <v>0</v>
      </c>
      <c r="CM494" s="255">
        <f t="shared" si="213"/>
        <v>0</v>
      </c>
      <c r="CN494" s="232">
        <f>IFERROR(VLOOKUP(CM494,'Rangos amb etnico'!$A$2:$C$6,3,9),"N.D.")</f>
        <v>0</v>
      </c>
      <c r="CO494" s="311">
        <f t="shared" si="214"/>
        <v>0</v>
      </c>
      <c r="CP494">
        <v>0.98876273670521675</v>
      </c>
      <c r="CQ494" t="s">
        <v>2864</v>
      </c>
      <c r="CR494">
        <f t="shared" si="205"/>
        <v>3</v>
      </c>
      <c r="CS494" t="str">
        <f t="shared" si="215"/>
        <v>Candidato</v>
      </c>
      <c r="CT494">
        <v>1</v>
      </c>
      <c r="CU494" t="s">
        <v>2836</v>
      </c>
      <c r="CV494" s="25">
        <v>51.457851409912109</v>
      </c>
      <c r="CW494" s="25">
        <v>21.56065559387207</v>
      </c>
      <c r="CX494" s="25">
        <v>42.820415496826172</v>
      </c>
      <c r="CY494" s="25">
        <v>74.406814575195313</v>
      </c>
      <c r="CZ494" s="25">
        <v>34.931533813476563</v>
      </c>
      <c r="DA494" s="25">
        <v>86.602790832519531</v>
      </c>
      <c r="DB494" s="25">
        <v>48.424896240234382</v>
      </c>
      <c r="DC494">
        <v>26</v>
      </c>
      <c r="DD494" s="253" t="s">
        <v>380</v>
      </c>
    </row>
    <row r="495" spans="1:108" hidden="1">
      <c r="A495" s="13">
        <v>23466</v>
      </c>
      <c r="B495" s="13" t="s">
        <v>1438</v>
      </c>
      <c r="C495" s="13" t="s">
        <v>567</v>
      </c>
      <c r="D495" s="13" t="s">
        <v>568</v>
      </c>
      <c r="E495" s="13" t="s">
        <v>1439</v>
      </c>
      <c r="F495" s="14">
        <v>67.348366666666706</v>
      </c>
      <c r="G495" s="13">
        <v>59.05</v>
      </c>
      <c r="H495" s="13">
        <v>58.79</v>
      </c>
      <c r="I495" s="13">
        <v>72.3</v>
      </c>
      <c r="J495" s="14">
        <v>59.327135374825872</v>
      </c>
      <c r="K495" s="14">
        <v>72.412328982565938</v>
      </c>
      <c r="L495" s="14">
        <v>61.814259547083601</v>
      </c>
      <c r="M495" s="14">
        <v>60.156799999999997</v>
      </c>
      <c r="N495" s="14">
        <f t="shared" si="189"/>
        <v>64.372091666666677</v>
      </c>
      <c r="O495" s="14">
        <f t="shared" si="190"/>
        <v>63.427630976118849</v>
      </c>
      <c r="P495" s="14">
        <f t="shared" si="206"/>
        <v>63.899861321392763</v>
      </c>
      <c r="Q495" s="14">
        <v>53.209708876132254</v>
      </c>
      <c r="R495" s="17">
        <f t="shared" si="191"/>
        <v>46.790291123867746</v>
      </c>
      <c r="S495" s="14">
        <f t="shared" si="207"/>
        <v>0.52111262011480974</v>
      </c>
      <c r="T495" s="13">
        <v>0</v>
      </c>
      <c r="U495" s="13">
        <f t="shared" si="208"/>
        <v>33.299024158163974</v>
      </c>
      <c r="V495" s="13">
        <f>IF($T495=1,$AU495,(VLOOKUP(U495,'Cortes naturales'!$A$35:$C$39,3,9)))</f>
        <v>3</v>
      </c>
      <c r="W495" s="13">
        <v>3</v>
      </c>
      <c r="X495" s="14" t="b">
        <f t="shared" si="192"/>
        <v>1</v>
      </c>
      <c r="Y495" s="17">
        <f>IF($T495=1,$AU495,VLOOKUP(U495,'Cortes naturales'!$A$45:$C$49,3,9))</f>
        <v>3</v>
      </c>
      <c r="Z495" s="14">
        <v>61.778578026786263</v>
      </c>
      <c r="AA495" s="14">
        <v>0.52937703488421328</v>
      </c>
      <c r="AB495" s="14">
        <v>32.704160455183121</v>
      </c>
      <c r="AC495" s="13">
        <v>3</v>
      </c>
      <c r="AD495" s="13">
        <f t="shared" si="193"/>
        <v>0</v>
      </c>
      <c r="AE495" s="14">
        <f t="shared" si="194"/>
        <v>2.1212832946064992</v>
      </c>
      <c r="AF495" s="14">
        <f t="shared" si="195"/>
        <v>-8.2644147694035386E-3</v>
      </c>
      <c r="AG495" s="13">
        <f t="shared" si="196"/>
        <v>0.59486370298085234</v>
      </c>
      <c r="AH495" s="13">
        <f>IF($T495=1,$AU495,VLOOKUP(U495,'Cortes naturales'!$A$25:$C$29,3,9))</f>
        <v>3</v>
      </c>
      <c r="AI495" s="13" t="b">
        <f t="shared" si="197"/>
        <v>1</v>
      </c>
      <c r="AJ495" s="13">
        <f t="shared" si="198"/>
        <v>0</v>
      </c>
      <c r="AK495" s="28">
        <v>0.81759069605862034</v>
      </c>
      <c r="AL495" s="28">
        <v>50.509590610431971</v>
      </c>
      <c r="AM495" s="28">
        <v>0.46119572456752878</v>
      </c>
      <c r="AN495" s="13">
        <v>3</v>
      </c>
      <c r="AO495" s="33">
        <f t="shared" si="199"/>
        <v>0</v>
      </c>
      <c r="AP495" s="13">
        <f t="shared" si="209"/>
        <v>46.119572456752877</v>
      </c>
      <c r="AQ495" s="13">
        <f>IFERROR(VLOOKUP(U495,'Cortes naturales'!$E$15:$G$19,3,9),U495)</f>
        <v>4</v>
      </c>
      <c r="AR495" s="28">
        <f t="shared" si="200"/>
        <v>-0.29647807594381059</v>
      </c>
      <c r="AS495" s="13" t="b">
        <f t="shared" si="201"/>
        <v>0</v>
      </c>
      <c r="AT495" s="13">
        <f t="shared" si="210"/>
        <v>0</v>
      </c>
      <c r="AU495" s="13">
        <v>3</v>
      </c>
      <c r="AV495">
        <f t="shared" si="202"/>
        <v>0</v>
      </c>
      <c r="AW495" s="13">
        <v>0</v>
      </c>
      <c r="AX495" s="13">
        <v>0</v>
      </c>
      <c r="AY495" s="13">
        <v>0</v>
      </c>
      <c r="AZ495" s="13">
        <v>1</v>
      </c>
      <c r="BA495">
        <v>1</v>
      </c>
      <c r="BB495" t="s">
        <v>2839</v>
      </c>
      <c r="BC495">
        <v>5</v>
      </c>
      <c r="BD495" t="s">
        <v>2919</v>
      </c>
      <c r="BE495">
        <v>1</v>
      </c>
      <c r="BF495" s="232" t="s">
        <v>2846</v>
      </c>
      <c r="BG495" s="232" t="s">
        <v>2846</v>
      </c>
      <c r="BH495" s="253">
        <v>41.1</v>
      </c>
      <c r="BI495" s="253">
        <v>26.992420442512401</v>
      </c>
      <c r="BJ495" s="25">
        <v>0</v>
      </c>
      <c r="BK495" t="s">
        <v>381</v>
      </c>
      <c r="BL495">
        <v>8.6818634373269887</v>
      </c>
      <c r="BM495" t="s">
        <v>379</v>
      </c>
      <c r="BN495" s="322">
        <v>157614.40530000001</v>
      </c>
      <c r="BO495" s="322">
        <v>28219.920030000001</v>
      </c>
      <c r="BP495" s="10">
        <v>87467</v>
      </c>
      <c r="BQ495" s="254">
        <f t="shared" si="203"/>
        <v>1.801987095704666</v>
      </c>
      <c r="BR495" s="254">
        <f t="shared" si="204"/>
        <v>0.32263505127648145</v>
      </c>
      <c r="BS495" s="25">
        <v>61.35384524166534</v>
      </c>
      <c r="BT495" s="25">
        <v>98.705413145897055</v>
      </c>
      <c r="BU495" s="25">
        <v>42.753812149351887</v>
      </c>
      <c r="BV495" s="25">
        <v>94.351761688539042</v>
      </c>
      <c r="BW495" s="25">
        <v>48.832024993633382</v>
      </c>
      <c r="BX495" s="25">
        <v>74.291208056363331</v>
      </c>
      <c r="BY495" s="25">
        <v>49.289829729313666</v>
      </c>
      <c r="BZ495">
        <v>67</v>
      </c>
      <c r="CA495">
        <v>0</v>
      </c>
      <c r="CB495">
        <v>6</v>
      </c>
      <c r="CC495">
        <v>155083.89618800001</v>
      </c>
      <c r="CD495" s="10">
        <v>57282.285600000003</v>
      </c>
      <c r="CE495" s="255">
        <v>0.36936320925648991</v>
      </c>
      <c r="CF495" t="str">
        <f>IFERROR(VLOOKUP(CE495,'Rangos amb etnico'!$A$2:$C$6,3,9),"N.D.")</f>
        <v>31% - 50%</v>
      </c>
      <c r="CG495" s="256">
        <v>1.6665576231441603E-3</v>
      </c>
      <c r="CH495" s="232">
        <v>684.92596600000002</v>
      </c>
      <c r="CI495" s="311">
        <f t="shared" si="211"/>
        <v>4.4164867071027182E-3</v>
      </c>
      <c r="CJ495" s="232" t="str">
        <f>IFERROR(VLOOKUP(CI495,'Rangos amb etnico'!$A$2:$C$6,3,9),"N.D.")</f>
        <v>0,1% - 30%</v>
      </c>
      <c r="CK495" s="311">
        <f t="shared" si="212"/>
        <v>2.7196045197815307E-5</v>
      </c>
      <c r="CL495" s="10">
        <v>0</v>
      </c>
      <c r="CM495" s="255">
        <f t="shared" si="213"/>
        <v>0</v>
      </c>
      <c r="CN495" s="232">
        <f>IFERROR(VLOOKUP(CM495,'Rangos amb etnico'!$A$2:$C$6,3,9),"N.D.")</f>
        <v>0</v>
      </c>
      <c r="CO495" s="311">
        <f t="shared" si="214"/>
        <v>0</v>
      </c>
      <c r="CP495">
        <v>0.93282073978702829</v>
      </c>
      <c r="CQ495" t="s">
        <v>2864</v>
      </c>
      <c r="CR495">
        <f t="shared" si="205"/>
        <v>3</v>
      </c>
      <c r="CS495" t="str">
        <f t="shared" si="215"/>
        <v>Candidato</v>
      </c>
      <c r="CT495">
        <v>0</v>
      </c>
      <c r="CU495">
        <v>0</v>
      </c>
      <c r="CV495" s="25">
        <v>46.306301116943359</v>
      </c>
      <c r="CW495" s="25">
        <v>44.563003540039063</v>
      </c>
      <c r="CX495" s="25">
        <v>48.186565399169922</v>
      </c>
      <c r="CY495" s="25">
        <v>67.556938171386719</v>
      </c>
      <c r="CZ495" s="25">
        <v>11.25333309173584</v>
      </c>
      <c r="DA495" s="25">
        <v>68.937690734863281</v>
      </c>
      <c r="DB495" s="25">
        <v>37.34027099609375</v>
      </c>
      <c r="DC495">
        <v>9213</v>
      </c>
      <c r="DD495" s="253" t="s">
        <v>380</v>
      </c>
    </row>
    <row r="496" spans="1:108">
      <c r="A496" s="13">
        <v>5411</v>
      </c>
      <c r="B496" s="13" t="s">
        <v>1440</v>
      </c>
      <c r="C496" s="13" t="s">
        <v>435</v>
      </c>
      <c r="D496" s="13" t="s">
        <v>436</v>
      </c>
      <c r="E496" s="13" t="s">
        <v>1441</v>
      </c>
      <c r="F496" s="14">
        <v>63.894799999999996</v>
      </c>
      <c r="G496" s="13">
        <v>68.98</v>
      </c>
      <c r="H496" s="13">
        <v>52.76</v>
      </c>
      <c r="I496" s="13">
        <v>45.12</v>
      </c>
      <c r="J496" s="14">
        <v>49.697234504710735</v>
      </c>
      <c r="K496" s="14">
        <v>44.762920654759654</v>
      </c>
      <c r="L496" s="14">
        <v>54.825490750411404</v>
      </c>
      <c r="M496" s="14">
        <v>38.544899999999998</v>
      </c>
      <c r="N496" s="14">
        <f t="shared" si="189"/>
        <v>57.688699999999997</v>
      </c>
      <c r="O496" s="14">
        <f t="shared" si="190"/>
        <v>46.957636477470444</v>
      </c>
      <c r="P496" s="14">
        <f t="shared" si="206"/>
        <v>52.323168238735221</v>
      </c>
      <c r="Q496" s="14">
        <v>52.859968495714313</v>
      </c>
      <c r="R496" s="17">
        <f t="shared" si="191"/>
        <v>47.140031504285687</v>
      </c>
      <c r="S496" s="14">
        <f t="shared" si="207"/>
        <v>0.52426028353857124</v>
      </c>
      <c r="T496" s="13">
        <v>0</v>
      </c>
      <c r="U496" s="13">
        <f t="shared" si="208"/>
        <v>27.430959016475693</v>
      </c>
      <c r="V496" s="13">
        <f>IF($T496=1,$AU496,(VLOOKUP(U496,'Cortes naturales'!$A$35:$C$39,3,9)))</f>
        <v>4</v>
      </c>
      <c r="W496" s="13">
        <v>4</v>
      </c>
      <c r="X496" s="14" t="b">
        <f t="shared" si="192"/>
        <v>1</v>
      </c>
      <c r="Y496" s="17">
        <f>IF($T496=1,$AU496,VLOOKUP(U496,'Cortes naturales'!$A$45:$C$49,3,9))</f>
        <v>4</v>
      </c>
      <c r="Z496" s="14">
        <v>55.745550928894801</v>
      </c>
      <c r="AA496" s="14">
        <v>0.52696248989294336</v>
      </c>
      <c r="AB496" s="14">
        <v>29.375814317944286</v>
      </c>
      <c r="AC496" s="13">
        <v>3</v>
      </c>
      <c r="AD496" s="13">
        <f t="shared" si="193"/>
        <v>-1</v>
      </c>
      <c r="AE496" s="14">
        <f t="shared" si="194"/>
        <v>-3.42238269015958</v>
      </c>
      <c r="AF496" s="14">
        <f t="shared" si="195"/>
        <v>-2.7022063543721275E-3</v>
      </c>
      <c r="AG496" s="13">
        <f t="shared" si="196"/>
        <v>-1.9448553014685928</v>
      </c>
      <c r="AH496" s="13">
        <f>IF($T496=1,$AU496,VLOOKUP(U496,'Cortes naturales'!$A$25:$C$29,3,9))</f>
        <v>4</v>
      </c>
      <c r="AI496" s="13" t="b">
        <f t="shared" si="197"/>
        <v>1</v>
      </c>
      <c r="AJ496" s="13" t="str">
        <f t="shared" si="198"/>
        <v>Efecto ponderador</v>
      </c>
      <c r="AK496" s="28">
        <v>0.81759069605862034</v>
      </c>
      <c r="AL496" s="28">
        <v>45.577043786126367</v>
      </c>
      <c r="AM496" s="28">
        <v>0.39949476318990856</v>
      </c>
      <c r="AN496" s="13">
        <v>3</v>
      </c>
      <c r="AO496" s="33">
        <f t="shared" si="199"/>
        <v>-1</v>
      </c>
      <c r="AP496" s="13">
        <f t="shared" si="209"/>
        <v>39.949476318990854</v>
      </c>
      <c r="AQ496" s="13">
        <f>IFERROR(VLOOKUP(U496,'Cortes naturales'!$E$15:$G$19,3,9),U496)</f>
        <v>4</v>
      </c>
      <c r="AR496" s="28">
        <f t="shared" si="200"/>
        <v>-0.2933304125200491</v>
      </c>
      <c r="AS496" s="13" t="b">
        <f t="shared" si="201"/>
        <v>1</v>
      </c>
      <c r="AT496" s="13" t="str">
        <f t="shared" si="210"/>
        <v>Efecto ponderador</v>
      </c>
      <c r="AU496" s="13">
        <v>3</v>
      </c>
      <c r="AV496">
        <f t="shared" si="202"/>
        <v>-1</v>
      </c>
      <c r="AW496" s="13">
        <v>0</v>
      </c>
      <c r="AX496" s="13">
        <v>0</v>
      </c>
      <c r="AY496" s="13">
        <v>0</v>
      </c>
      <c r="AZ496" s="13">
        <v>0</v>
      </c>
      <c r="BA496">
        <v>0</v>
      </c>
      <c r="BB496" t="s">
        <v>2841</v>
      </c>
      <c r="BC496">
        <v>6</v>
      </c>
      <c r="BD496" t="s">
        <v>2919</v>
      </c>
      <c r="BE496">
        <v>1</v>
      </c>
      <c r="BF496" s="232" t="s">
        <v>2846</v>
      </c>
      <c r="BG496" s="232" t="s">
        <v>2845</v>
      </c>
      <c r="BH496" s="253">
        <v>43.3</v>
      </c>
      <c r="BI496" s="253">
        <v>13.857251328777524</v>
      </c>
      <c r="BJ496" s="25">
        <v>64.4045036351325</v>
      </c>
      <c r="BK496" t="s">
        <v>376</v>
      </c>
      <c r="BL496">
        <v>1.2084957913016752</v>
      </c>
      <c r="BM496" t="s">
        <v>383</v>
      </c>
      <c r="BN496" s="322">
        <v>23335.209566000001</v>
      </c>
      <c r="BO496" s="322">
        <v>2051.1898900000001</v>
      </c>
      <c r="BP496" s="10">
        <v>10817</v>
      </c>
      <c r="BQ496" s="254">
        <f t="shared" si="203"/>
        <v>2.1572718467227512</v>
      </c>
      <c r="BR496" s="254">
        <f t="shared" si="204"/>
        <v>0.18962650365165942</v>
      </c>
      <c r="BS496" s="25">
        <v>53.327760334786738</v>
      </c>
      <c r="BT496" s="25">
        <v>92.099693975840481</v>
      </c>
      <c r="BU496" s="25">
        <v>47.626666666666672</v>
      </c>
      <c r="BV496" s="25">
        <v>91.643609926440192</v>
      </c>
      <c r="BW496" s="25">
        <v>41.714020481961732</v>
      </c>
      <c r="BX496" s="25">
        <v>71.174432725933514</v>
      </c>
      <c r="BY496" s="25">
        <v>41.502599947250722</v>
      </c>
      <c r="BZ496">
        <v>90</v>
      </c>
      <c r="CA496">
        <v>0</v>
      </c>
      <c r="CB496">
        <v>7</v>
      </c>
      <c r="CC496">
        <v>21638.676512999999</v>
      </c>
      <c r="CD496" s="10">
        <v>9413.6068730000006</v>
      </c>
      <c r="CE496" s="255">
        <v>0.43503616625279884</v>
      </c>
      <c r="CF496" t="str">
        <f>IFERROR(VLOOKUP(CE496,'Rangos amb etnico'!$A$2:$C$6,3,9),"N.D.")</f>
        <v>31% - 50%</v>
      </c>
      <c r="CG496" s="256">
        <v>2.738773100820616E-4</v>
      </c>
      <c r="CH496" s="232">
        <v>0</v>
      </c>
      <c r="CI496" s="311">
        <f t="shared" si="211"/>
        <v>0</v>
      </c>
      <c r="CJ496" s="232">
        <f>IFERROR(VLOOKUP(CI496,'Rangos amb etnico'!$A$2:$C$6,3,9),"N.D.")</f>
        <v>0</v>
      </c>
      <c r="CK496" s="311">
        <f t="shared" si="212"/>
        <v>0</v>
      </c>
      <c r="CL496" s="10">
        <v>0</v>
      </c>
      <c r="CM496" s="255">
        <f t="shared" si="213"/>
        <v>0</v>
      </c>
      <c r="CN496" s="232">
        <f>IFERROR(VLOOKUP(CM496,'Rangos amb etnico'!$A$2:$C$6,3,9),"N.D.")</f>
        <v>0</v>
      </c>
      <c r="CO496" s="311">
        <f t="shared" si="214"/>
        <v>0</v>
      </c>
      <c r="CP496">
        <v>0.90557894316437926</v>
      </c>
      <c r="CQ496" t="s">
        <v>2864</v>
      </c>
      <c r="CR496">
        <f t="shared" si="205"/>
        <v>1</v>
      </c>
      <c r="CS496" t="str">
        <f t="shared" si="215"/>
        <v>No es Candidato</v>
      </c>
      <c r="CT496">
        <v>0</v>
      </c>
      <c r="CU496">
        <v>0</v>
      </c>
      <c r="CV496" s="25">
        <v>45.096832275390618</v>
      </c>
      <c r="CW496" s="25">
        <v>13.273026466369631</v>
      </c>
      <c r="CX496" s="25">
        <v>53.295906066894531</v>
      </c>
      <c r="CY496" s="25">
        <v>57.515216827392578</v>
      </c>
      <c r="CZ496" s="25">
        <v>40.093166351318359</v>
      </c>
      <c r="DA496" s="25">
        <v>57.101909637451172</v>
      </c>
      <c r="DB496" s="25">
        <v>49.3017578125</v>
      </c>
      <c r="DC496">
        <v>214</v>
      </c>
      <c r="DD496" s="253" t="s">
        <v>380</v>
      </c>
    </row>
    <row r="497" spans="1:108">
      <c r="A497" s="13">
        <v>5145</v>
      </c>
      <c r="B497" s="13" t="s">
        <v>1442</v>
      </c>
      <c r="C497" s="13" t="s">
        <v>435</v>
      </c>
      <c r="D497" s="13" t="s">
        <v>436</v>
      </c>
      <c r="E497" s="13" t="s">
        <v>1443</v>
      </c>
      <c r="F497" s="14">
        <v>45.513599999999997</v>
      </c>
      <c r="G497" s="13">
        <v>32.99</v>
      </c>
      <c r="H497" s="13">
        <v>31.25</v>
      </c>
      <c r="I497" s="13">
        <v>29.82</v>
      </c>
      <c r="J497" s="14">
        <v>57.490397893224738</v>
      </c>
      <c r="K497" s="14">
        <v>50.526182927806033</v>
      </c>
      <c r="L497" s="14">
        <v>72.892178227043345</v>
      </c>
      <c r="M497" s="14">
        <v>41.747999999999998</v>
      </c>
      <c r="N497" s="14">
        <f t="shared" si="189"/>
        <v>34.8934</v>
      </c>
      <c r="O497" s="14">
        <f t="shared" si="190"/>
        <v>55.664189762018523</v>
      </c>
      <c r="P497" s="14">
        <f t="shared" si="206"/>
        <v>45.278794881009262</v>
      </c>
      <c r="Q497" s="14">
        <v>53.612640060906415</v>
      </c>
      <c r="R497" s="17">
        <f t="shared" si="191"/>
        <v>46.387359939093585</v>
      </c>
      <c r="S497" s="14">
        <f t="shared" si="207"/>
        <v>0.51748623945184224</v>
      </c>
      <c r="T497" s="13">
        <v>0</v>
      </c>
      <c r="U497" s="13">
        <f t="shared" si="208"/>
        <v>23.431153289884808</v>
      </c>
      <c r="V497" s="13">
        <f>IF($T497=1,$AU497,(VLOOKUP(U497,'Cortes naturales'!$A$35:$C$39,3,9)))</f>
        <v>4</v>
      </c>
      <c r="W497" s="13">
        <v>4</v>
      </c>
      <c r="X497" s="14" t="b">
        <f t="shared" si="192"/>
        <v>1</v>
      </c>
      <c r="Y497" s="17">
        <f>IF($T497=1,$AU497,VLOOKUP(U497,'Cortes naturales'!$A$45:$C$49,3,9))</f>
        <v>4</v>
      </c>
      <c r="Z497" s="14">
        <v>48.085073963539017</v>
      </c>
      <c r="AA497" s="14">
        <v>0.52911983858481193</v>
      </c>
      <c r="AB497" s="14">
        <v>25.442766573926509</v>
      </c>
      <c r="AC497" s="13">
        <v>4</v>
      </c>
      <c r="AD497" s="13">
        <f t="shared" si="193"/>
        <v>0</v>
      </c>
      <c r="AE497" s="14">
        <f t="shared" si="194"/>
        <v>-2.8062790825297554</v>
      </c>
      <c r="AF497" s="14">
        <f t="shared" si="195"/>
        <v>-1.1633599132969685E-2</v>
      </c>
      <c r="AG497" s="13">
        <f t="shared" si="196"/>
        <v>-2.0116132840417009</v>
      </c>
      <c r="AH497" s="13">
        <f>IF($T497=1,$AU497,VLOOKUP(U497,'Cortes naturales'!$A$25:$C$29,3,9))</f>
        <v>4</v>
      </c>
      <c r="AI497" s="13" t="b">
        <f t="shared" si="197"/>
        <v>1</v>
      </c>
      <c r="AJ497" s="13">
        <f t="shared" si="198"/>
        <v>0</v>
      </c>
      <c r="AK497" s="28">
        <v>0.81759069605862034</v>
      </c>
      <c r="AL497" s="28">
        <v>39.313909091880106</v>
      </c>
      <c r="AM497" s="28">
        <v>0.32114955013115076</v>
      </c>
      <c r="AN497" s="13">
        <v>4</v>
      </c>
      <c r="AO497" s="33">
        <f t="shared" si="199"/>
        <v>0</v>
      </c>
      <c r="AP497" s="13">
        <f t="shared" si="209"/>
        <v>32.114955013115079</v>
      </c>
      <c r="AQ497" s="13">
        <f>IFERROR(VLOOKUP(U497,'Cortes naturales'!$E$15:$G$19,3,9),U497)</f>
        <v>4</v>
      </c>
      <c r="AR497" s="28">
        <f t="shared" si="200"/>
        <v>-0.30010445660677809</v>
      </c>
      <c r="AS497" s="13" t="b">
        <f t="shared" si="201"/>
        <v>1</v>
      </c>
      <c r="AT497" s="13">
        <f t="shared" si="210"/>
        <v>0</v>
      </c>
      <c r="AU497" s="13">
        <v>4</v>
      </c>
      <c r="AV497">
        <f t="shared" si="202"/>
        <v>0</v>
      </c>
      <c r="AW497" s="13">
        <v>0</v>
      </c>
      <c r="AX497" s="13">
        <v>0</v>
      </c>
      <c r="AY497" s="13">
        <v>0</v>
      </c>
      <c r="AZ497" s="13">
        <v>0</v>
      </c>
      <c r="BA497">
        <v>0</v>
      </c>
      <c r="BB497" t="s">
        <v>2839</v>
      </c>
      <c r="BC497">
        <v>6</v>
      </c>
      <c r="BD497" t="s">
        <v>2919</v>
      </c>
      <c r="BE497">
        <v>1</v>
      </c>
      <c r="BF497" s="232" t="s">
        <v>2846</v>
      </c>
      <c r="BG497" s="232" t="s">
        <v>2845</v>
      </c>
      <c r="BH497" s="253">
        <v>30.5</v>
      </c>
      <c r="BI497" s="253">
        <v>8.9248067463106118</v>
      </c>
      <c r="BJ497" s="25">
        <v>45.716653880295809</v>
      </c>
      <c r="BK497" t="s">
        <v>376</v>
      </c>
      <c r="BL497">
        <v>0.37629303853057822</v>
      </c>
      <c r="BM497" t="s">
        <v>383</v>
      </c>
      <c r="BN497" s="322">
        <v>11628.047245</v>
      </c>
      <c r="BO497" s="322">
        <v>2007.6466849999999</v>
      </c>
      <c r="BP497" s="10">
        <v>4556</v>
      </c>
      <c r="BQ497" s="254">
        <f t="shared" si="203"/>
        <v>2.5522491758121157</v>
      </c>
      <c r="BR497" s="254">
        <f t="shared" si="204"/>
        <v>0.44065993964003508</v>
      </c>
      <c r="BS497" s="25">
        <v>60.40249774398368</v>
      </c>
      <c r="BT497" s="25">
        <v>97.533508925958429</v>
      </c>
      <c r="BU497" s="25">
        <v>52.291372301654043</v>
      </c>
      <c r="BV497" s="25">
        <v>88.078225155497094</v>
      </c>
      <c r="BW497" s="25">
        <v>55.30295047581172</v>
      </c>
      <c r="BX497" s="25">
        <v>74.576401031773315</v>
      </c>
      <c r="BY497" s="25">
        <v>55.736743765401997</v>
      </c>
      <c r="BZ497">
        <v>31</v>
      </c>
      <c r="CA497">
        <v>0</v>
      </c>
      <c r="CB497">
        <v>7</v>
      </c>
      <c r="CC497">
        <v>9206.2654020000009</v>
      </c>
      <c r="CD497" s="10">
        <v>422.20738799999998</v>
      </c>
      <c r="CE497" s="255">
        <v>4.5860875128396601E-2</v>
      </c>
      <c r="CF497" t="str">
        <f>IFERROR(VLOOKUP(CE497,'Rangos amb etnico'!$A$2:$C$6,3,9),"N.D.")</f>
        <v>0,1% - 30%</v>
      </c>
      <c r="CG497" s="256">
        <v>1.2283604497429205E-5</v>
      </c>
      <c r="CH497" s="232">
        <v>2.8015249999999998</v>
      </c>
      <c r="CI497" s="311">
        <f t="shared" si="211"/>
        <v>3.0430634765226154E-4</v>
      </c>
      <c r="CJ497" s="232">
        <f>IFERROR(VLOOKUP(CI497,'Rangos amb etnico'!$A$2:$C$6,3,9),"N.D.")</f>
        <v>0</v>
      </c>
      <c r="CK497" s="311">
        <f t="shared" si="212"/>
        <v>1.1123888464583268E-7</v>
      </c>
      <c r="CL497" s="10">
        <v>0</v>
      </c>
      <c r="CM497" s="255">
        <f t="shared" si="213"/>
        <v>0</v>
      </c>
      <c r="CN497" s="232">
        <f>IFERROR(VLOOKUP(CM497,'Rangos amb etnico'!$A$2:$C$6,3,9),"N.D.")</f>
        <v>0</v>
      </c>
      <c r="CO497" s="311">
        <f t="shared" si="214"/>
        <v>0</v>
      </c>
      <c r="CP497">
        <v>0.83051345832667001</v>
      </c>
      <c r="CQ497" t="s">
        <v>2865</v>
      </c>
      <c r="CR497">
        <f t="shared" si="205"/>
        <v>1</v>
      </c>
      <c r="CS497" t="str">
        <f t="shared" si="215"/>
        <v>No es Candidato</v>
      </c>
      <c r="CT497">
        <v>0</v>
      </c>
      <c r="CU497">
        <v>0</v>
      </c>
      <c r="CV497" s="25">
        <v>42.56732177734375</v>
      </c>
      <c r="CW497" s="25">
        <v>18.818729400634769</v>
      </c>
      <c r="CX497" s="25">
        <v>41.764865875244141</v>
      </c>
      <c r="CY497" s="25">
        <v>58.735103607177727</v>
      </c>
      <c r="CZ497" s="25">
        <v>32.172969818115227</v>
      </c>
      <c r="DA497" s="25">
        <v>47.994358062744141</v>
      </c>
      <c r="DB497" s="25">
        <v>55.917915344238281</v>
      </c>
      <c r="DC497">
        <v>44</v>
      </c>
      <c r="DD497" s="253" t="s">
        <v>380</v>
      </c>
    </row>
    <row r="498" spans="1:108" hidden="1">
      <c r="A498" s="13">
        <v>68418</v>
      </c>
      <c r="B498" s="13" t="s">
        <v>1444</v>
      </c>
      <c r="C498" s="13" t="s">
        <v>431</v>
      </c>
      <c r="D498" s="13" t="s">
        <v>432</v>
      </c>
      <c r="E498" s="13" t="s">
        <v>1445</v>
      </c>
      <c r="F498" s="14">
        <v>59.292999999999999</v>
      </c>
      <c r="G498" s="13">
        <v>47.14</v>
      </c>
      <c r="H498" s="13">
        <v>45.97</v>
      </c>
      <c r="I498" s="13">
        <v>44.73</v>
      </c>
      <c r="J498" s="14">
        <v>61.29347274146285</v>
      </c>
      <c r="K498" s="14">
        <v>69.599037578060091</v>
      </c>
      <c r="L498" s="14">
        <v>65.028481406693828</v>
      </c>
      <c r="M498" s="14">
        <v>53.381999999999998</v>
      </c>
      <c r="N498" s="14">
        <f t="shared" si="189"/>
        <v>49.283249999999995</v>
      </c>
      <c r="O498" s="14">
        <f t="shared" si="190"/>
        <v>62.325747931554197</v>
      </c>
      <c r="P498" s="14">
        <f t="shared" si="206"/>
        <v>55.8044989657771</v>
      </c>
      <c r="Q498" s="14">
        <v>52.691097245766215</v>
      </c>
      <c r="R498" s="17">
        <f t="shared" si="191"/>
        <v>47.308902754233785</v>
      </c>
      <c r="S498" s="14">
        <f t="shared" si="207"/>
        <v>0.5257801247881041</v>
      </c>
      <c r="T498" s="13">
        <v>0</v>
      </c>
      <c r="U498" s="13">
        <f t="shared" si="208"/>
        <v>29.340896429963909</v>
      </c>
      <c r="V498" s="13">
        <f>IF($T498=1,$AU498,(VLOOKUP(U498,'Cortes naturales'!$A$35:$C$39,3,9)))</f>
        <v>4</v>
      </c>
      <c r="W498" s="13">
        <v>4</v>
      </c>
      <c r="X498" s="14" t="b">
        <f t="shared" si="192"/>
        <v>1</v>
      </c>
      <c r="Y498" s="17">
        <f>IF($T498=1,$AU498,VLOOKUP(U498,'Cortes naturales'!$A$45:$C$49,3,9))</f>
        <v>3</v>
      </c>
      <c r="Z498" s="14">
        <v>58.061561542319303</v>
      </c>
      <c r="AA498" s="14">
        <v>0.52823793518512618</v>
      </c>
      <c r="AB498" s="14">
        <v>30.670319382738878</v>
      </c>
      <c r="AC498" s="13">
        <v>3</v>
      </c>
      <c r="AD498" s="13">
        <f t="shared" si="193"/>
        <v>0</v>
      </c>
      <c r="AE498" s="14">
        <f t="shared" si="194"/>
        <v>-2.2570625765422037</v>
      </c>
      <c r="AF498" s="14">
        <f t="shared" si="195"/>
        <v>-2.4578103970220866E-3</v>
      </c>
      <c r="AG498" s="13">
        <f t="shared" si="196"/>
        <v>-1.3294229527749692</v>
      </c>
      <c r="AH498" s="13">
        <f>IF($T498=1,$AU498,VLOOKUP(U498,'Cortes naturales'!$A$25:$C$29,3,9))</f>
        <v>3</v>
      </c>
      <c r="AI498" s="13" t="b">
        <f t="shared" si="197"/>
        <v>1</v>
      </c>
      <c r="AJ498" s="13">
        <f t="shared" si="198"/>
        <v>0</v>
      </c>
      <c r="AK498" s="28">
        <v>0.81759069605862034</v>
      </c>
      <c r="AL498" s="28">
        <v>47.470592515635261</v>
      </c>
      <c r="AM498" s="28">
        <v>0.42318106180756387</v>
      </c>
      <c r="AN498" s="13">
        <v>3</v>
      </c>
      <c r="AO498" s="33">
        <f t="shared" si="199"/>
        <v>0</v>
      </c>
      <c r="AP498" s="13">
        <f t="shared" si="209"/>
        <v>42.318106180756388</v>
      </c>
      <c r="AQ498" s="13">
        <f>IFERROR(VLOOKUP(U498,'Cortes naturales'!$E$15:$G$19,3,9),U498)</f>
        <v>4</v>
      </c>
      <c r="AR498" s="28">
        <f t="shared" si="200"/>
        <v>-0.29181057127051624</v>
      </c>
      <c r="AS498" s="13" t="b">
        <f t="shared" si="201"/>
        <v>0</v>
      </c>
      <c r="AT498" s="13">
        <f t="shared" si="210"/>
        <v>0</v>
      </c>
      <c r="AU498" s="13">
        <v>3</v>
      </c>
      <c r="AV498">
        <f t="shared" si="202"/>
        <v>0</v>
      </c>
      <c r="AW498" s="13">
        <v>0</v>
      </c>
      <c r="AX498" s="13">
        <v>0</v>
      </c>
      <c r="AY498" s="13">
        <v>0</v>
      </c>
      <c r="AZ498" s="13">
        <v>0</v>
      </c>
      <c r="BA498">
        <v>0</v>
      </c>
      <c r="BB498" t="s">
        <v>2840</v>
      </c>
      <c r="BC498">
        <v>6</v>
      </c>
      <c r="BD498" t="s">
        <v>2919</v>
      </c>
      <c r="BE498">
        <v>0</v>
      </c>
      <c r="BF498" s="232" t="s">
        <v>2846</v>
      </c>
      <c r="BG498" s="232" t="s">
        <v>2845</v>
      </c>
      <c r="BH498" s="253">
        <v>44.6</v>
      </c>
      <c r="BI498" s="253">
        <v>21.123921631863258</v>
      </c>
      <c r="BJ498" s="25">
        <v>3</v>
      </c>
      <c r="BK498" t="s">
        <v>381</v>
      </c>
      <c r="BL498">
        <v>0</v>
      </c>
      <c r="BM498" t="s">
        <v>377</v>
      </c>
      <c r="BN498" s="322">
        <v>29548.283201999999</v>
      </c>
      <c r="BO498" s="322">
        <v>6955.2498450000003</v>
      </c>
      <c r="BP498" s="10">
        <v>16737</v>
      </c>
      <c r="BQ498" s="254">
        <f t="shared" si="203"/>
        <v>1.7654468065961642</v>
      </c>
      <c r="BR498" s="254">
        <f t="shared" si="204"/>
        <v>0.41556132192149131</v>
      </c>
      <c r="BS498" s="25">
        <v>57.54994079486314</v>
      </c>
      <c r="BT498" s="25">
        <v>82.344640986038925</v>
      </c>
      <c r="BU498" s="25">
        <v>37.854999999999997</v>
      </c>
      <c r="BV498" s="25">
        <v>94.839502234459474</v>
      </c>
      <c r="BW498" s="25">
        <v>58.782587092590141</v>
      </c>
      <c r="BX498" s="25">
        <v>68.147271003840387</v>
      </c>
      <c r="BY498" s="25">
        <v>58.831112411338587</v>
      </c>
      <c r="BZ498">
        <v>39</v>
      </c>
      <c r="CA498">
        <v>0</v>
      </c>
      <c r="CB498">
        <v>7</v>
      </c>
      <c r="CC498">
        <v>28958.256506999998</v>
      </c>
      <c r="CD498" s="10">
        <v>827.46496000000002</v>
      </c>
      <c r="CE498" s="255">
        <v>2.857440536173092E-2</v>
      </c>
      <c r="CF498" t="str">
        <f>IFERROR(VLOOKUP(CE498,'Rangos amb etnico'!$A$2:$C$6,3,9),"N.D.")</f>
        <v>0,1% - 30%</v>
      </c>
      <c r="CG498" s="256">
        <v>2.407407495228643E-5</v>
      </c>
      <c r="CH498" s="232">
        <v>0</v>
      </c>
      <c r="CI498" s="311">
        <f t="shared" si="211"/>
        <v>0</v>
      </c>
      <c r="CJ498" s="232">
        <f>IFERROR(VLOOKUP(CI498,'Rangos amb etnico'!$A$2:$C$6,3,9),"N.D.")</f>
        <v>0</v>
      </c>
      <c r="CK498" s="311">
        <f t="shared" si="212"/>
        <v>0</v>
      </c>
      <c r="CL498" s="10">
        <v>0</v>
      </c>
      <c r="CM498" s="255">
        <f t="shared" si="213"/>
        <v>0</v>
      </c>
      <c r="CN498" s="232">
        <f>IFERROR(VLOOKUP(CM498,'Rangos amb etnico'!$A$2:$C$6,3,9),"N.D.")</f>
        <v>0</v>
      </c>
      <c r="CO498" s="311">
        <f t="shared" si="214"/>
        <v>0</v>
      </c>
      <c r="CP498">
        <v>0.89761636622471785</v>
      </c>
      <c r="CQ498" t="s">
        <v>2864</v>
      </c>
      <c r="CR498">
        <f t="shared" si="205"/>
        <v>1</v>
      </c>
      <c r="CS498" t="str">
        <f t="shared" si="215"/>
        <v>No es Candidato</v>
      </c>
      <c r="CT498">
        <v>0</v>
      </c>
      <c r="CU498">
        <v>0</v>
      </c>
      <c r="CV498" s="25">
        <v>55.951705932617188</v>
      </c>
      <c r="CW498" s="25">
        <v>27.32297325134277</v>
      </c>
      <c r="CX498" s="25">
        <v>61.144668579101563</v>
      </c>
      <c r="CY498" s="25">
        <v>68.145484924316406</v>
      </c>
      <c r="CZ498" s="25">
        <v>54.015033721923828</v>
      </c>
      <c r="DA498" s="25">
        <v>78.141014099121094</v>
      </c>
      <c r="DB498" s="25">
        <v>46.941070556640618</v>
      </c>
      <c r="DC498">
        <v>82</v>
      </c>
      <c r="DD498" s="253" t="s">
        <v>380</v>
      </c>
    </row>
    <row r="499" spans="1:108" hidden="1">
      <c r="A499" s="13">
        <v>15466</v>
      </c>
      <c r="B499" s="13" t="s">
        <v>1446</v>
      </c>
      <c r="C499" s="13" t="s">
        <v>498</v>
      </c>
      <c r="D499" s="13" t="s">
        <v>499</v>
      </c>
      <c r="E499" s="13" t="s">
        <v>1447</v>
      </c>
      <c r="F499" s="14">
        <v>61.044899999999998</v>
      </c>
      <c r="G499" s="13">
        <v>49.02</v>
      </c>
      <c r="H499" s="13">
        <v>49.25</v>
      </c>
      <c r="I499" s="13">
        <v>52.57</v>
      </c>
      <c r="J499" s="14">
        <v>64.926707823682676</v>
      </c>
      <c r="K499" s="14">
        <v>55.604749108082643</v>
      </c>
      <c r="L499" s="14">
        <v>68.264966397715227</v>
      </c>
      <c r="M499" s="14">
        <v>52.915900000000001</v>
      </c>
      <c r="N499" s="14">
        <f t="shared" si="189"/>
        <v>52.971224999999997</v>
      </c>
      <c r="O499" s="14">
        <f t="shared" si="190"/>
        <v>60.428080832370135</v>
      </c>
      <c r="P499" s="14">
        <f t="shared" si="206"/>
        <v>56.699652916185066</v>
      </c>
      <c r="Q499" s="14">
        <v>53.887844407565389</v>
      </c>
      <c r="R499" s="17">
        <f t="shared" si="191"/>
        <v>46.112155592434611</v>
      </c>
      <c r="S499" s="14">
        <f t="shared" si="207"/>
        <v>0.51500940033191156</v>
      </c>
      <c r="T499" s="13">
        <v>0</v>
      </c>
      <c r="U499" s="13">
        <f t="shared" si="208"/>
        <v>29.200854247391991</v>
      </c>
      <c r="V499" s="13">
        <f>IF($T499=1,$AU499,(VLOOKUP(U499,'Cortes naturales'!$A$35:$C$39,3,9)))</f>
        <v>4</v>
      </c>
      <c r="W499" s="13">
        <v>4</v>
      </c>
      <c r="X499" s="14" t="b">
        <f t="shared" si="192"/>
        <v>1</v>
      </c>
      <c r="Y499" s="17">
        <f>IF($T499=1,$AU499,VLOOKUP(U499,'Cortes naturales'!$A$45:$C$49,3,9))</f>
        <v>3</v>
      </c>
      <c r="Z499" s="14">
        <v>58.373395965658545</v>
      </c>
      <c r="AA499" s="14">
        <v>0.52815714145382131</v>
      </c>
      <c r="AB499" s="14">
        <v>30.830325950174242</v>
      </c>
      <c r="AC499" s="13">
        <v>3</v>
      </c>
      <c r="AD499" s="13">
        <f t="shared" si="193"/>
        <v>0</v>
      </c>
      <c r="AE499" s="14">
        <f t="shared" si="194"/>
        <v>-1.6737430494734795</v>
      </c>
      <c r="AF499" s="14">
        <f t="shared" si="195"/>
        <v>-1.3147741121909751E-2</v>
      </c>
      <c r="AG499" s="13">
        <f t="shared" si="196"/>
        <v>-1.6294717027822507</v>
      </c>
      <c r="AH499" s="13">
        <f>IF($T499=1,$AU499,VLOOKUP(U499,'Cortes naturales'!$A$25:$C$29,3,9))</f>
        <v>3</v>
      </c>
      <c r="AI499" s="13" t="b">
        <f t="shared" si="197"/>
        <v>1</v>
      </c>
      <c r="AJ499" s="13">
        <f t="shared" si="198"/>
        <v>0</v>
      </c>
      <c r="AK499" s="28">
        <v>0.81759069605862034</v>
      </c>
      <c r="AL499" s="28">
        <v>47.725545438868231</v>
      </c>
      <c r="AM499" s="28">
        <v>0.42637025413149554</v>
      </c>
      <c r="AN499" s="13">
        <v>3</v>
      </c>
      <c r="AO499" s="33">
        <f t="shared" si="199"/>
        <v>0</v>
      </c>
      <c r="AP499" s="13">
        <f t="shared" si="209"/>
        <v>42.637025413149551</v>
      </c>
      <c r="AQ499" s="13">
        <f>IFERROR(VLOOKUP(U499,'Cortes naturales'!$E$15:$G$19,3,9),U499)</f>
        <v>4</v>
      </c>
      <c r="AR499" s="28">
        <f t="shared" si="200"/>
        <v>-0.30258129572670878</v>
      </c>
      <c r="AS499" s="13" t="b">
        <f t="shared" si="201"/>
        <v>0</v>
      </c>
      <c r="AT499" s="13">
        <f t="shared" si="210"/>
        <v>0</v>
      </c>
      <c r="AU499" s="13">
        <v>3</v>
      </c>
      <c r="AV499">
        <f t="shared" si="202"/>
        <v>0</v>
      </c>
      <c r="AW499" s="13">
        <v>0</v>
      </c>
      <c r="AX499" s="13">
        <v>0</v>
      </c>
      <c r="AY499" s="13">
        <v>0</v>
      </c>
      <c r="AZ499" s="13">
        <v>0</v>
      </c>
      <c r="BA499">
        <v>0</v>
      </c>
      <c r="BB499" t="s">
        <v>2839</v>
      </c>
      <c r="BC499">
        <v>6</v>
      </c>
      <c r="BD499" s="184" t="s">
        <v>2917</v>
      </c>
      <c r="BE499">
        <v>1</v>
      </c>
      <c r="BF499" s="232" t="s">
        <v>2846</v>
      </c>
      <c r="BG499" s="232" t="s">
        <v>2846</v>
      </c>
      <c r="BH499" s="253">
        <v>28.8</v>
      </c>
      <c r="BI499" s="253">
        <v>12.066752246469832</v>
      </c>
      <c r="BJ499" s="25">
        <v>57.700199371642846</v>
      </c>
      <c r="BK499" t="s">
        <v>376</v>
      </c>
      <c r="BL499">
        <v>0</v>
      </c>
      <c r="BM499" t="s">
        <v>377</v>
      </c>
      <c r="BN499" s="322">
        <v>12571.290719000001</v>
      </c>
      <c r="BO499" s="322">
        <v>736.22809500000005</v>
      </c>
      <c r="BP499" s="10">
        <v>4325</v>
      </c>
      <c r="BQ499" s="254">
        <f t="shared" si="203"/>
        <v>2.9066568136416184</v>
      </c>
      <c r="BR499" s="254">
        <f t="shared" si="204"/>
        <v>0.17022614913294798</v>
      </c>
      <c r="BS499" s="25">
        <v>72.045276395064789</v>
      </c>
      <c r="BT499" s="25">
        <v>80.873946647398839</v>
      </c>
      <c r="BU499" s="25">
        <v>34.880752688172031</v>
      </c>
      <c r="BV499" s="25">
        <v>92.016927692730007</v>
      </c>
      <c r="BW499" s="25">
        <v>54.182124843611177</v>
      </c>
      <c r="BX499" s="25">
        <v>69.954225855841415</v>
      </c>
      <c r="BY499" s="25">
        <v>54.912824034238547</v>
      </c>
      <c r="BZ499">
        <v>62</v>
      </c>
      <c r="CA499">
        <v>0</v>
      </c>
      <c r="CB499">
        <v>7</v>
      </c>
      <c r="CC499">
        <v>6867.3881970000002</v>
      </c>
      <c r="CD499" s="10">
        <v>6287.7180040000003</v>
      </c>
      <c r="CE499" s="255">
        <v>0.9155908802049042</v>
      </c>
      <c r="CF499" t="str">
        <f>IFERROR(VLOOKUP(CE499,'Rangos amb etnico'!$A$2:$C$6,3,9),"N.D.")</f>
        <v>71% - 100%</v>
      </c>
      <c r="CG499" s="256">
        <v>1.8293341932827805E-4</v>
      </c>
      <c r="CH499" s="232">
        <v>0</v>
      </c>
      <c r="CI499" s="311">
        <f t="shared" si="211"/>
        <v>0</v>
      </c>
      <c r="CJ499" s="232">
        <f>IFERROR(VLOOKUP(CI499,'Rangos amb etnico'!$A$2:$C$6,3,9),"N.D.")</f>
        <v>0</v>
      </c>
      <c r="CK499" s="311">
        <f t="shared" si="212"/>
        <v>0</v>
      </c>
      <c r="CL499" s="10">
        <v>0</v>
      </c>
      <c r="CM499" s="255">
        <f t="shared" si="213"/>
        <v>0</v>
      </c>
      <c r="CN499" s="232">
        <f>IFERROR(VLOOKUP(CM499,'Rangos amb etnico'!$A$2:$C$6,3,9),"N.D.")</f>
        <v>0</v>
      </c>
      <c r="CO499" s="311">
        <f t="shared" si="214"/>
        <v>0</v>
      </c>
      <c r="CP499">
        <v>0.94786727252999081</v>
      </c>
      <c r="CQ499" t="s">
        <v>2864</v>
      </c>
      <c r="CR499">
        <f t="shared" si="205"/>
        <v>1</v>
      </c>
      <c r="CS499" t="str">
        <f t="shared" si="215"/>
        <v>No es Candidato</v>
      </c>
      <c r="CT499">
        <v>0</v>
      </c>
      <c r="CU499">
        <v>0</v>
      </c>
      <c r="CV499" s="25">
        <v>51.823780059814453</v>
      </c>
      <c r="CW499" s="25">
        <v>27.322624206542969</v>
      </c>
      <c r="CX499" s="25">
        <v>51.837642669677727</v>
      </c>
      <c r="CY499" s="25">
        <v>68.252082824707031</v>
      </c>
      <c r="CZ499" s="25">
        <v>52.919906616210938</v>
      </c>
      <c r="DA499" s="25">
        <v>49.470790863037109</v>
      </c>
      <c r="DB499" s="25">
        <v>61.139644622802727</v>
      </c>
      <c r="DC499">
        <v>13</v>
      </c>
      <c r="DD499" s="253" t="s">
        <v>380</v>
      </c>
    </row>
    <row r="500" spans="1:108" hidden="1">
      <c r="A500" s="13">
        <v>47555</v>
      </c>
      <c r="B500" s="13" t="s">
        <v>1448</v>
      </c>
      <c r="C500" s="13" t="s">
        <v>638</v>
      </c>
      <c r="D500" s="13" t="s">
        <v>639</v>
      </c>
      <c r="E500" s="13" t="s">
        <v>1449</v>
      </c>
      <c r="F500" s="14">
        <v>57.006700000000002</v>
      </c>
      <c r="G500" s="13">
        <v>59.78</v>
      </c>
      <c r="H500" s="13">
        <v>62.59</v>
      </c>
      <c r="I500" s="13">
        <v>60.82</v>
      </c>
      <c r="J500" s="14">
        <v>59.599630227159267</v>
      </c>
      <c r="K500" s="14">
        <v>50.250061368484296</v>
      </c>
      <c r="L500" s="14">
        <v>57.200103765508892</v>
      </c>
      <c r="M500" s="14">
        <v>57.796900000000001</v>
      </c>
      <c r="N500" s="14">
        <f t="shared" si="189"/>
        <v>60.049174999999998</v>
      </c>
      <c r="O500" s="14">
        <f t="shared" si="190"/>
        <v>56.211673840288114</v>
      </c>
      <c r="P500" s="14">
        <f t="shared" si="206"/>
        <v>58.130424420144053</v>
      </c>
      <c r="Q500" s="14">
        <v>53.162990134317198</v>
      </c>
      <c r="R500" s="17">
        <f t="shared" si="191"/>
        <v>46.837009865682802</v>
      </c>
      <c r="S500" s="14">
        <f t="shared" si="207"/>
        <v>0.52153308879114524</v>
      </c>
      <c r="T500" s="13">
        <v>0</v>
      </c>
      <c r="U500" s="13">
        <f t="shared" si="208"/>
        <v>30.316939800577945</v>
      </c>
      <c r="V500" s="13">
        <f>IF($T500=1,$AU500,(VLOOKUP(U500,'Cortes naturales'!$A$35:$C$39,3,9)))</f>
        <v>3</v>
      </c>
      <c r="W500" s="13">
        <v>3</v>
      </c>
      <c r="X500" s="14" t="b">
        <f t="shared" si="192"/>
        <v>1</v>
      </c>
      <c r="Y500" s="17">
        <f>IF($T500=1,$AU500,VLOOKUP(U500,'Cortes naturales'!$A$45:$C$49,3,9))</f>
        <v>3</v>
      </c>
      <c r="Z500" s="14">
        <v>52.819194574714224</v>
      </c>
      <c r="AA500" s="14">
        <v>0.52746597389824534</v>
      </c>
      <c r="AB500" s="14">
        <v>27.860327906872556</v>
      </c>
      <c r="AC500" s="13">
        <v>3</v>
      </c>
      <c r="AD500" s="13">
        <f t="shared" si="193"/>
        <v>0</v>
      </c>
      <c r="AE500" s="14">
        <f t="shared" si="194"/>
        <v>5.3112298454298283</v>
      </c>
      <c r="AF500" s="14">
        <f t="shared" si="195"/>
        <v>-5.9328851071001054E-3</v>
      </c>
      <c r="AG500" s="13">
        <f t="shared" si="196"/>
        <v>2.4566118937053893</v>
      </c>
      <c r="AH500" s="13">
        <f>IF($T500=1,$AU500,VLOOKUP(U500,'Cortes naturales'!$A$25:$C$29,3,9))</f>
        <v>3</v>
      </c>
      <c r="AI500" s="13" t="b">
        <f t="shared" si="197"/>
        <v>1</v>
      </c>
      <c r="AJ500" s="13">
        <f t="shared" si="198"/>
        <v>0</v>
      </c>
      <c r="AK500" s="28">
        <v>0.81759069605862034</v>
      </c>
      <c r="AL500" s="28">
        <v>43.184482057596306</v>
      </c>
      <c r="AM500" s="28">
        <v>0.36956633796378052</v>
      </c>
      <c r="AN500" s="13">
        <v>3</v>
      </c>
      <c r="AO500" s="33">
        <f t="shared" si="199"/>
        <v>0</v>
      </c>
      <c r="AP500" s="13">
        <f t="shared" si="209"/>
        <v>36.95663379637805</v>
      </c>
      <c r="AQ500" s="13">
        <f>IFERROR(VLOOKUP(U500,'Cortes naturales'!$E$15:$G$19,3,9),U500)</f>
        <v>4</v>
      </c>
      <c r="AR500" s="28">
        <f t="shared" si="200"/>
        <v>-0.2960576072674751</v>
      </c>
      <c r="AS500" s="13" t="b">
        <f t="shared" si="201"/>
        <v>0</v>
      </c>
      <c r="AT500" s="13">
        <f t="shared" si="210"/>
        <v>0</v>
      </c>
      <c r="AU500" s="13">
        <v>3</v>
      </c>
      <c r="AV500">
        <f t="shared" si="202"/>
        <v>0</v>
      </c>
      <c r="AW500" s="13">
        <v>0</v>
      </c>
      <c r="AX500" s="13">
        <v>0</v>
      </c>
      <c r="AY500" s="13">
        <v>0</v>
      </c>
      <c r="AZ500" s="13">
        <v>0</v>
      </c>
      <c r="BA500">
        <v>0</v>
      </c>
      <c r="BB500" t="s">
        <v>2839</v>
      </c>
      <c r="BC500">
        <v>6</v>
      </c>
      <c r="BD500" t="s">
        <v>2919</v>
      </c>
      <c r="BE500">
        <v>1</v>
      </c>
      <c r="BF500" s="232" t="s">
        <v>2846</v>
      </c>
      <c r="BG500" s="232" t="s">
        <v>2845</v>
      </c>
      <c r="BH500" s="253">
        <v>52.7</v>
      </c>
      <c r="BI500" s="253">
        <v>37.417413139102095</v>
      </c>
      <c r="BJ500" s="25">
        <v>6.4814814814814818</v>
      </c>
      <c r="BK500" t="s">
        <v>377</v>
      </c>
      <c r="BL500">
        <v>1.6769014309954908</v>
      </c>
      <c r="BM500" t="s">
        <v>383</v>
      </c>
      <c r="BN500" s="322">
        <v>109998.449175</v>
      </c>
      <c r="BO500" s="322">
        <v>10831.612523</v>
      </c>
      <c r="BP500" s="10">
        <v>72742</v>
      </c>
      <c r="BQ500" s="254">
        <f t="shared" si="203"/>
        <v>1.5121724612328504</v>
      </c>
      <c r="BR500" s="254">
        <f t="shared" si="204"/>
        <v>0.14890451902614721</v>
      </c>
      <c r="BS500" s="25">
        <v>56.16904047663553</v>
      </c>
      <c r="BT500" s="25">
        <v>93.743896570073787</v>
      </c>
      <c r="BU500" s="25">
        <v>32.892132965945997</v>
      </c>
      <c r="BV500" s="25">
        <v>96.072937409460394</v>
      </c>
      <c r="BW500" s="25">
        <v>52.071687643661448</v>
      </c>
      <c r="BX500" s="25">
        <v>69.719501855528932</v>
      </c>
      <c r="BY500" s="25">
        <v>53.222822026578157</v>
      </c>
      <c r="BZ500">
        <v>74</v>
      </c>
      <c r="CA500">
        <v>1</v>
      </c>
      <c r="CB500">
        <v>6</v>
      </c>
      <c r="CC500">
        <v>145559.656113</v>
      </c>
      <c r="CD500" s="10">
        <v>50889.495122</v>
      </c>
      <c r="CE500" s="255">
        <v>0.34961263636466527</v>
      </c>
      <c r="CF500" t="str">
        <f>IFERROR(VLOOKUP(CE500,'Rangos amb etnico'!$A$2:$C$6,3,9),"N.D.")</f>
        <v>31% - 50%</v>
      </c>
      <c r="CG500" s="256">
        <v>1.4805672494591705E-3</v>
      </c>
      <c r="CH500" s="232">
        <v>0</v>
      </c>
      <c r="CI500" s="311">
        <f t="shared" si="211"/>
        <v>0</v>
      </c>
      <c r="CJ500" s="232">
        <f>IFERROR(VLOOKUP(CI500,'Rangos amb etnico'!$A$2:$C$6,3,9),"N.D.")</f>
        <v>0</v>
      </c>
      <c r="CK500" s="311">
        <f t="shared" si="212"/>
        <v>0</v>
      </c>
      <c r="CL500" s="10">
        <v>38.684385322799898</v>
      </c>
      <c r="CM500" s="255">
        <f t="shared" si="213"/>
        <v>2.6576309917061543E-4</v>
      </c>
      <c r="CN500" s="232">
        <f>IFERROR(VLOOKUP(CM500,'Rangos amb etnico'!$A$2:$C$6,3,9),"N.D.")</f>
        <v>0</v>
      </c>
      <c r="CO500" s="311">
        <f t="shared" si="214"/>
        <v>2.4259246743222079E-5</v>
      </c>
      <c r="CP500">
        <v>0.87625353916367321</v>
      </c>
      <c r="CQ500" t="s">
        <v>2864</v>
      </c>
      <c r="CR500">
        <f t="shared" si="205"/>
        <v>2</v>
      </c>
      <c r="CS500" t="str">
        <f t="shared" si="215"/>
        <v>No es Candidato</v>
      </c>
      <c r="CT500">
        <v>0</v>
      </c>
      <c r="CU500">
        <v>0</v>
      </c>
      <c r="CV500" s="25">
        <v>49.509140014648438</v>
      </c>
      <c r="CW500" s="25">
        <v>31.711105346679691</v>
      </c>
      <c r="CX500" s="25">
        <v>57.300052642822273</v>
      </c>
      <c r="CY500" s="25">
        <v>48.216205596923828</v>
      </c>
      <c r="CZ500" s="25">
        <v>29.36509895324707</v>
      </c>
      <c r="DA500" s="25">
        <v>80.484344482421875</v>
      </c>
      <c r="DB500" s="25">
        <v>49.978034973144531</v>
      </c>
      <c r="DC500">
        <v>10602</v>
      </c>
      <c r="DD500" s="253" t="s">
        <v>380</v>
      </c>
    </row>
    <row r="501" spans="1:108" hidden="1">
      <c r="A501" s="13">
        <v>50606</v>
      </c>
      <c r="B501" s="13" t="s">
        <v>1450</v>
      </c>
      <c r="C501" s="13" t="s">
        <v>605</v>
      </c>
      <c r="D501" s="13" t="s">
        <v>606</v>
      </c>
      <c r="E501" s="13" t="s">
        <v>837</v>
      </c>
      <c r="F501" s="14">
        <v>70.9369333333333</v>
      </c>
      <c r="G501" s="13">
        <v>66.98</v>
      </c>
      <c r="H501" s="13">
        <v>65.63</v>
      </c>
      <c r="I501" s="13">
        <v>74.38</v>
      </c>
      <c r="J501" s="14">
        <v>57.794645879929234</v>
      </c>
      <c r="K501" s="14">
        <v>63.547959058840163</v>
      </c>
      <c r="L501" s="14">
        <v>66.581362633635152</v>
      </c>
      <c r="M501" s="14">
        <v>55.637</v>
      </c>
      <c r="N501" s="14">
        <f t="shared" si="189"/>
        <v>69.481733333333324</v>
      </c>
      <c r="O501" s="14">
        <f t="shared" si="190"/>
        <v>60.890241893101134</v>
      </c>
      <c r="P501" s="14">
        <f t="shared" si="206"/>
        <v>65.185987613217236</v>
      </c>
      <c r="Q501" s="14">
        <v>54.281834328021326</v>
      </c>
      <c r="R501" s="17">
        <f t="shared" si="191"/>
        <v>45.718165671978674</v>
      </c>
      <c r="S501" s="14">
        <f t="shared" si="207"/>
        <v>0.51146349104780808</v>
      </c>
      <c r="T501" s="13">
        <v>0</v>
      </c>
      <c r="U501" s="13">
        <f t="shared" si="208"/>
        <v>33.34025279205526</v>
      </c>
      <c r="V501" s="13">
        <f>IF($T501=1,$AU501,(VLOOKUP(U501,'Cortes naturales'!$A$35:$C$39,3,9)))</f>
        <v>3</v>
      </c>
      <c r="W501" s="13">
        <v>3</v>
      </c>
      <c r="X501" s="14" t="b">
        <f t="shared" si="192"/>
        <v>1</v>
      </c>
      <c r="Y501" s="17">
        <f>IF($T501=1,$AU501,VLOOKUP(U501,'Cortes naturales'!$A$45:$C$49,3,9))</f>
        <v>3</v>
      </c>
      <c r="Z501" s="14">
        <v>66.12853255601695</v>
      </c>
      <c r="AA501" s="14">
        <v>0.52572643552176679</v>
      </c>
      <c r="AB501" s="14">
        <v>34.765517706959898</v>
      </c>
      <c r="AC501" s="13">
        <v>3</v>
      </c>
      <c r="AD501" s="13">
        <f t="shared" si="193"/>
        <v>0</v>
      </c>
      <c r="AE501" s="14">
        <f t="shared" si="194"/>
        <v>-0.94254494279971368</v>
      </c>
      <c r="AF501" s="14">
        <f t="shared" si="195"/>
        <v>-1.4262944473958705E-2</v>
      </c>
      <c r="AG501" s="13">
        <f t="shared" si="196"/>
        <v>-1.4252649149046377</v>
      </c>
      <c r="AH501" s="13">
        <f>IF($T501=1,$AU501,VLOOKUP(U501,'Cortes naturales'!$A$25:$C$29,3,9))</f>
        <v>3</v>
      </c>
      <c r="AI501" s="13" t="b">
        <f t="shared" si="197"/>
        <v>1</v>
      </c>
      <c r="AJ501" s="13">
        <f t="shared" si="198"/>
        <v>0</v>
      </c>
      <c r="AK501" s="28">
        <v>0.81759069605862034</v>
      </c>
      <c r="AL501" s="28">
        <v>54.066072961809034</v>
      </c>
      <c r="AM501" s="28">
        <v>0.50568356989749097</v>
      </c>
      <c r="AN501" s="13">
        <v>2</v>
      </c>
      <c r="AO501" s="33">
        <f t="shared" si="199"/>
        <v>-1</v>
      </c>
      <c r="AP501" s="13">
        <f t="shared" si="209"/>
        <v>50.568356989749098</v>
      </c>
      <c r="AQ501" s="13">
        <f>IFERROR(VLOOKUP(U501,'Cortes naturales'!$E$15:$G$19,3,9),U501)</f>
        <v>4</v>
      </c>
      <c r="AR501" s="28">
        <f t="shared" si="200"/>
        <v>-0.30612720501081225</v>
      </c>
      <c r="AS501" s="13" t="b">
        <f t="shared" si="201"/>
        <v>0</v>
      </c>
      <c r="AT501" s="13" t="str">
        <f t="shared" si="210"/>
        <v>Cambio en corte</v>
      </c>
      <c r="AU501" s="13">
        <v>2</v>
      </c>
      <c r="AV501">
        <f t="shared" si="202"/>
        <v>-1</v>
      </c>
      <c r="AW501" s="13">
        <v>0</v>
      </c>
      <c r="AX501" s="13">
        <v>0</v>
      </c>
      <c r="AY501" s="13">
        <v>0</v>
      </c>
      <c r="AZ501" s="13">
        <v>0</v>
      </c>
      <c r="BA501">
        <v>0</v>
      </c>
      <c r="BB501" t="s">
        <v>2838</v>
      </c>
      <c r="BC501">
        <v>6</v>
      </c>
      <c r="BD501" s="184" t="s">
        <v>2917</v>
      </c>
      <c r="BE501">
        <v>0</v>
      </c>
      <c r="BF501" s="232" t="s">
        <v>2846</v>
      </c>
      <c r="BG501" s="232" t="s">
        <v>2846</v>
      </c>
      <c r="BH501" s="253">
        <v>15.3</v>
      </c>
      <c r="BI501" s="253">
        <v>6.056924678930927</v>
      </c>
      <c r="BJ501" s="25">
        <v>0.65611111111111109</v>
      </c>
      <c r="BK501" t="s">
        <v>381</v>
      </c>
      <c r="BL501">
        <v>0.97639076640178413</v>
      </c>
      <c r="BM501" t="s">
        <v>383</v>
      </c>
      <c r="BN501" s="322">
        <v>38683.047671</v>
      </c>
      <c r="BO501" s="322">
        <v>15721.475476</v>
      </c>
      <c r="BP501" s="10">
        <v>21173</v>
      </c>
      <c r="BQ501" s="254">
        <f t="shared" si="203"/>
        <v>1.8269988981722005</v>
      </c>
      <c r="BR501" s="254">
        <f t="shared" si="204"/>
        <v>0.74252470013696692</v>
      </c>
      <c r="BS501" s="25">
        <v>72.882465799132476</v>
      </c>
      <c r="BT501" s="25">
        <v>84.598709616492698</v>
      </c>
      <c r="BU501" s="25">
        <v>59.561666666666667</v>
      </c>
      <c r="BV501" s="25">
        <v>87.674281147163583</v>
      </c>
      <c r="BW501" s="25">
        <v>66.732112131182561</v>
      </c>
      <c r="BX501" s="25">
        <v>76.179280807363853</v>
      </c>
      <c r="BY501" s="25">
        <v>67.261500313843015</v>
      </c>
      <c r="BZ501">
        <v>88</v>
      </c>
      <c r="CA501">
        <v>0</v>
      </c>
      <c r="CB501">
        <v>7</v>
      </c>
      <c r="CC501">
        <v>36449.231718000003</v>
      </c>
      <c r="CD501" s="10">
        <v>5719.5109190000003</v>
      </c>
      <c r="CE501" s="255">
        <v>0.15691718726064369</v>
      </c>
      <c r="CF501" t="str">
        <f>IFERROR(VLOOKUP(CE501,'Rangos amb etnico'!$A$2:$C$6,3,9),"N.D.")</f>
        <v>0,1% - 30%</v>
      </c>
      <c r="CG501" s="256">
        <v>1.6640213327513787E-4</v>
      </c>
      <c r="CH501" s="232">
        <v>0</v>
      </c>
      <c r="CI501" s="311">
        <f t="shared" si="211"/>
        <v>0</v>
      </c>
      <c r="CJ501" s="232">
        <f>IFERROR(VLOOKUP(CI501,'Rangos amb etnico'!$A$2:$C$6,3,9),"N.D.")</f>
        <v>0</v>
      </c>
      <c r="CK501" s="311">
        <f t="shared" si="212"/>
        <v>0</v>
      </c>
      <c r="CL501" s="10">
        <v>0</v>
      </c>
      <c r="CM501" s="255">
        <f t="shared" si="213"/>
        <v>0</v>
      </c>
      <c r="CN501" s="232">
        <f>IFERROR(VLOOKUP(CM501,'Rangos amb etnico'!$A$2:$C$6,3,9),"N.D.")</f>
        <v>0</v>
      </c>
      <c r="CO501" s="311">
        <f t="shared" si="214"/>
        <v>0</v>
      </c>
      <c r="CP501">
        <v>0.9756870471474397</v>
      </c>
      <c r="CQ501" t="s">
        <v>2864</v>
      </c>
      <c r="CR501">
        <f t="shared" si="205"/>
        <v>3</v>
      </c>
      <c r="CS501" t="str">
        <f t="shared" si="215"/>
        <v>Candidato</v>
      </c>
      <c r="CT501">
        <v>0</v>
      </c>
      <c r="CU501">
        <v>0</v>
      </c>
      <c r="CV501" s="25">
        <v>52.630142211914063</v>
      </c>
      <c r="CW501" s="25">
        <v>37.749168395996087</v>
      </c>
      <c r="CX501" s="25">
        <v>44.477630615234382</v>
      </c>
      <c r="CY501" s="25">
        <v>84.033981323242188</v>
      </c>
      <c r="CZ501" s="25">
        <v>47.202770233154297</v>
      </c>
      <c r="DA501" s="25">
        <v>46.454490661621087</v>
      </c>
      <c r="DB501" s="25">
        <v>55.862812042236328</v>
      </c>
      <c r="DC501">
        <v>116</v>
      </c>
      <c r="DD501" s="253" t="s">
        <v>380</v>
      </c>
    </row>
    <row r="502" spans="1:108" hidden="1">
      <c r="A502" s="13">
        <v>25322</v>
      </c>
      <c r="B502" s="13" t="s">
        <v>1451</v>
      </c>
      <c r="C502" s="13" t="s">
        <v>461</v>
      </c>
      <c r="D502" s="13" t="s">
        <v>462</v>
      </c>
      <c r="E502" s="13" t="s">
        <v>1452</v>
      </c>
      <c r="F502" s="14">
        <v>70.499133333333305</v>
      </c>
      <c r="G502" s="13">
        <v>74.2</v>
      </c>
      <c r="H502" s="13">
        <v>82.08</v>
      </c>
      <c r="I502" s="13">
        <v>78.88</v>
      </c>
      <c r="J502" s="14">
        <v>63.055107371305461</v>
      </c>
      <c r="K502" s="14">
        <v>61.900397618212949</v>
      </c>
      <c r="L502" s="14">
        <v>14.889938837999745</v>
      </c>
      <c r="M502" s="14">
        <v>61.644399999999997</v>
      </c>
      <c r="N502" s="14">
        <f t="shared" si="189"/>
        <v>76.414783333333318</v>
      </c>
      <c r="O502" s="14">
        <f t="shared" si="190"/>
        <v>50.372460956879536</v>
      </c>
      <c r="P502" s="14">
        <f t="shared" si="206"/>
        <v>63.393622145106427</v>
      </c>
      <c r="Q502" s="14">
        <v>53.895191148522272</v>
      </c>
      <c r="R502" s="17">
        <f t="shared" si="191"/>
        <v>46.104808851477728</v>
      </c>
      <c r="S502" s="14">
        <f t="shared" si="207"/>
        <v>0.51494327966329956</v>
      </c>
      <c r="T502" s="13">
        <v>0</v>
      </c>
      <c r="U502" s="13">
        <f t="shared" si="208"/>
        <v>32.644119697137079</v>
      </c>
      <c r="V502" s="13">
        <f>IF($T502=1,$AU502,(VLOOKUP(U502,'Cortes naturales'!$A$35:$C$39,3,9)))</f>
        <v>3</v>
      </c>
      <c r="W502" s="13">
        <v>3</v>
      </c>
      <c r="X502" s="14" t="b">
        <f t="shared" si="192"/>
        <v>1</v>
      </c>
      <c r="Y502" s="17">
        <f>IF($T502=1,$AU502,VLOOKUP(U502,'Cortes naturales'!$A$45:$C$49,3,9))</f>
        <v>3</v>
      </c>
      <c r="Z502" s="14">
        <v>61.104388554850161</v>
      </c>
      <c r="AA502" s="14">
        <v>0.5255990002342289</v>
      </c>
      <c r="AB502" s="14">
        <v>32.116405534353106</v>
      </c>
      <c r="AC502" s="13">
        <v>3</v>
      </c>
      <c r="AD502" s="13">
        <f t="shared" si="193"/>
        <v>0</v>
      </c>
      <c r="AE502" s="14">
        <f t="shared" si="194"/>
        <v>2.2892335902562664</v>
      </c>
      <c r="AF502" s="14">
        <f t="shared" si="195"/>
        <v>-1.0655720570929339E-2</v>
      </c>
      <c r="AG502" s="13">
        <f t="shared" si="196"/>
        <v>0.52771416278397254</v>
      </c>
      <c r="AH502" s="13">
        <f>IF($T502=1,$AU502,VLOOKUP(U502,'Cortes naturales'!$A$25:$C$29,3,9))</f>
        <v>3</v>
      </c>
      <c r="AI502" s="13" t="b">
        <f t="shared" si="197"/>
        <v>1</v>
      </c>
      <c r="AJ502" s="13">
        <f t="shared" si="198"/>
        <v>0</v>
      </c>
      <c r="AK502" s="28">
        <v>0.81759069605862034</v>
      </c>
      <c r="AL502" s="28">
        <v>49.958379570796339</v>
      </c>
      <c r="AM502" s="28">
        <v>0.45430065549289023</v>
      </c>
      <c r="AN502" s="13">
        <v>3</v>
      </c>
      <c r="AO502" s="33">
        <f t="shared" si="199"/>
        <v>0</v>
      </c>
      <c r="AP502" s="13">
        <f t="shared" si="209"/>
        <v>45.430065549289026</v>
      </c>
      <c r="AQ502" s="13">
        <f>IFERROR(VLOOKUP(U502,'Cortes naturales'!$E$15:$G$19,3,9),U502)</f>
        <v>4</v>
      </c>
      <c r="AR502" s="28">
        <f t="shared" si="200"/>
        <v>-0.30264741639532078</v>
      </c>
      <c r="AS502" s="13" t="b">
        <f t="shared" si="201"/>
        <v>0</v>
      </c>
      <c r="AT502" s="13">
        <f t="shared" si="210"/>
        <v>0</v>
      </c>
      <c r="AU502" s="13">
        <v>2</v>
      </c>
      <c r="AV502">
        <f t="shared" si="202"/>
        <v>-1</v>
      </c>
      <c r="AW502" s="13">
        <v>0</v>
      </c>
      <c r="AX502" s="13">
        <v>0</v>
      </c>
      <c r="AY502" s="13">
        <v>0</v>
      </c>
      <c r="AZ502" s="13">
        <v>0</v>
      </c>
      <c r="BA502">
        <v>0</v>
      </c>
      <c r="BB502" t="s">
        <v>2839</v>
      </c>
      <c r="BC502">
        <v>6</v>
      </c>
      <c r="BD502" t="s">
        <v>2919</v>
      </c>
      <c r="BE502">
        <v>0</v>
      </c>
      <c r="BF502" s="232" t="s">
        <v>2846</v>
      </c>
      <c r="BG502" s="232" t="s">
        <v>2846</v>
      </c>
      <c r="BH502" s="253">
        <v>15.5</v>
      </c>
      <c r="BI502" s="253">
        <v>4.7478935401899154</v>
      </c>
      <c r="BJ502" s="25">
        <v>4.9889739844184753</v>
      </c>
      <c r="BK502" t="s">
        <v>381</v>
      </c>
      <c r="BL502">
        <v>0</v>
      </c>
      <c r="BM502" t="s">
        <v>377</v>
      </c>
      <c r="BN502" s="322">
        <v>27511.956352000001</v>
      </c>
      <c r="BO502" s="322">
        <v>12339.401027</v>
      </c>
      <c r="BP502" s="10">
        <v>17529</v>
      </c>
      <c r="BQ502" s="254">
        <f t="shared" si="203"/>
        <v>1.5695108877859547</v>
      </c>
      <c r="BR502" s="254">
        <f t="shared" si="204"/>
        <v>0.70394209749557879</v>
      </c>
      <c r="BS502" s="25">
        <v>63.243836841271758</v>
      </c>
      <c r="BT502" s="25">
        <v>83.776056756042365</v>
      </c>
      <c r="BU502" s="25">
        <v>49.207070257437458</v>
      </c>
      <c r="BV502" s="25">
        <v>92.857176691900577</v>
      </c>
      <c r="BW502" s="25">
        <v>67.479423758425838</v>
      </c>
      <c r="BX502" s="25">
        <v>72.271035136663045</v>
      </c>
      <c r="BY502" s="25">
        <v>69.502430485421158</v>
      </c>
      <c r="BZ502">
        <v>87</v>
      </c>
      <c r="CA502">
        <v>1</v>
      </c>
      <c r="CB502">
        <v>7</v>
      </c>
      <c r="CC502">
        <v>36008.425671999998</v>
      </c>
      <c r="CD502" s="10">
        <v>25586.542614999998</v>
      </c>
      <c r="CE502" s="255">
        <v>0.71057098824778631</v>
      </c>
      <c r="CF502" t="str">
        <f>IFERROR(VLOOKUP(CE502,'Rangos amb etnico'!$A$2:$C$6,3,9),"N.D.")</f>
        <v>71% - 100%</v>
      </c>
      <c r="CG502" s="256">
        <v>7.4440897737032964E-4</v>
      </c>
      <c r="CH502" s="232">
        <v>0</v>
      </c>
      <c r="CI502" s="311">
        <f t="shared" si="211"/>
        <v>0</v>
      </c>
      <c r="CJ502" s="232">
        <f>IFERROR(VLOOKUP(CI502,'Rangos amb etnico'!$A$2:$C$6,3,9),"N.D.")</f>
        <v>0</v>
      </c>
      <c r="CK502" s="311">
        <f t="shared" si="212"/>
        <v>0</v>
      </c>
      <c r="CL502" s="10">
        <v>0</v>
      </c>
      <c r="CM502" s="255">
        <f t="shared" si="213"/>
        <v>0</v>
      </c>
      <c r="CN502" s="232">
        <f>IFERROR(VLOOKUP(CM502,'Rangos amb etnico'!$A$2:$C$6,3,9),"N.D.")</f>
        <v>0</v>
      </c>
      <c r="CO502" s="311">
        <f t="shared" si="214"/>
        <v>0</v>
      </c>
      <c r="CP502">
        <v>0.89264823109466529</v>
      </c>
      <c r="CQ502" t="s">
        <v>2864</v>
      </c>
      <c r="CR502">
        <f t="shared" si="205"/>
        <v>4</v>
      </c>
      <c r="CS502" t="str">
        <f t="shared" si="215"/>
        <v>Candidato</v>
      </c>
      <c r="CT502">
        <v>0</v>
      </c>
      <c r="CU502">
        <v>0</v>
      </c>
      <c r="CV502" s="25">
        <v>57.942665100097663</v>
      </c>
      <c r="CW502" s="25">
        <v>41.6397705078125</v>
      </c>
      <c r="CX502" s="25">
        <v>54.184116363525391</v>
      </c>
      <c r="CY502" s="25">
        <v>65.591201782226563</v>
      </c>
      <c r="CZ502" s="25">
        <v>66.481452941894531</v>
      </c>
      <c r="DA502" s="25">
        <v>50.360992431640618</v>
      </c>
      <c r="DB502" s="25">
        <v>69.398468017578125</v>
      </c>
      <c r="DC502">
        <v>98</v>
      </c>
      <c r="DD502" s="253" t="s">
        <v>380</v>
      </c>
    </row>
    <row r="503" spans="1:108" hidden="1">
      <c r="A503" s="13">
        <v>23570</v>
      </c>
      <c r="B503" s="13" t="s">
        <v>1453</v>
      </c>
      <c r="C503" s="13" t="s">
        <v>567</v>
      </c>
      <c r="D503" s="13" t="s">
        <v>568</v>
      </c>
      <c r="E503" s="13" t="s">
        <v>1454</v>
      </c>
      <c r="F503" s="14">
        <v>65.500699999999995</v>
      </c>
      <c r="G503" s="13">
        <v>65.88</v>
      </c>
      <c r="H503" s="13">
        <v>62.02</v>
      </c>
      <c r="I503" s="13">
        <v>64.77</v>
      </c>
      <c r="J503" s="14">
        <v>58.200341090340075</v>
      </c>
      <c r="K503" s="14">
        <v>67.585112765141162</v>
      </c>
      <c r="L503" s="14">
        <v>58.668357184156449</v>
      </c>
      <c r="M503" s="14">
        <v>56.197600000000001</v>
      </c>
      <c r="N503" s="14">
        <f t="shared" si="189"/>
        <v>64.542675000000003</v>
      </c>
      <c r="O503" s="14">
        <f t="shared" si="190"/>
        <v>60.16285275990942</v>
      </c>
      <c r="P503" s="14">
        <f t="shared" si="206"/>
        <v>62.352763879954708</v>
      </c>
      <c r="Q503" s="14">
        <v>53.301186747931254</v>
      </c>
      <c r="R503" s="17">
        <f t="shared" si="191"/>
        <v>46.698813252068746</v>
      </c>
      <c r="S503" s="14">
        <f t="shared" si="207"/>
        <v>0.52028931926861866</v>
      </c>
      <c r="T503" s="13">
        <v>0</v>
      </c>
      <c r="U503" s="13">
        <f t="shared" si="208"/>
        <v>32.44147707361855</v>
      </c>
      <c r="V503" s="13">
        <f>IF($T503=1,$AU503,(VLOOKUP(U503,'Cortes naturales'!$A$35:$C$39,3,9)))</f>
        <v>3</v>
      </c>
      <c r="W503" s="13">
        <v>3</v>
      </c>
      <c r="X503" s="14" t="b">
        <f t="shared" si="192"/>
        <v>1</v>
      </c>
      <c r="Y503" s="17">
        <f>IF($T503=1,$AU503,VLOOKUP(U503,'Cortes naturales'!$A$45:$C$49,3,9))</f>
        <v>3</v>
      </c>
      <c r="Z503" s="14">
        <v>61.828137894739726</v>
      </c>
      <c r="AA503" s="14">
        <v>0.5271712003929081</v>
      </c>
      <c r="AB503" s="14">
        <v>32.59401367202819</v>
      </c>
      <c r="AC503" s="13">
        <v>3</v>
      </c>
      <c r="AD503" s="13">
        <f t="shared" si="193"/>
        <v>0</v>
      </c>
      <c r="AE503" s="14">
        <f t="shared" si="194"/>
        <v>0.52462598521498194</v>
      </c>
      <c r="AF503" s="14">
        <f t="shared" si="195"/>
        <v>-6.8818811242894462E-3</v>
      </c>
      <c r="AG503" s="13">
        <f t="shared" si="196"/>
        <v>-0.15253659840963962</v>
      </c>
      <c r="AH503" s="13">
        <f>IF($T503=1,$AU503,VLOOKUP(U503,'Cortes naturales'!$A$25:$C$29,3,9))</f>
        <v>3</v>
      </c>
      <c r="AI503" s="13" t="b">
        <f t="shared" si="197"/>
        <v>1</v>
      </c>
      <c r="AJ503" s="13">
        <f t="shared" si="198"/>
        <v>0</v>
      </c>
      <c r="AK503" s="28">
        <v>0.81759069605862034</v>
      </c>
      <c r="AL503" s="28">
        <v>50.550110297368612</v>
      </c>
      <c r="AM503" s="28">
        <v>0.46170258313933016</v>
      </c>
      <c r="AN503" s="13">
        <v>3</v>
      </c>
      <c r="AO503" s="33">
        <f t="shared" si="199"/>
        <v>0</v>
      </c>
      <c r="AP503" s="13">
        <f t="shared" si="209"/>
        <v>46.170258313933019</v>
      </c>
      <c r="AQ503" s="13">
        <f>IFERROR(VLOOKUP(U503,'Cortes naturales'!$E$15:$G$19,3,9),U503)</f>
        <v>4</v>
      </c>
      <c r="AR503" s="28">
        <f t="shared" si="200"/>
        <v>-0.29730137679000168</v>
      </c>
      <c r="AS503" s="13" t="b">
        <f t="shared" si="201"/>
        <v>0</v>
      </c>
      <c r="AT503" s="13">
        <f t="shared" si="210"/>
        <v>0</v>
      </c>
      <c r="AU503" s="13">
        <v>3</v>
      </c>
      <c r="AV503">
        <f t="shared" si="202"/>
        <v>0</v>
      </c>
      <c r="AW503" s="13">
        <v>0</v>
      </c>
      <c r="AX503" s="13">
        <v>0</v>
      </c>
      <c r="AY503" s="13">
        <v>0</v>
      </c>
      <c r="AZ503" s="13">
        <v>0</v>
      </c>
      <c r="BA503">
        <v>0</v>
      </c>
      <c r="BB503" t="s">
        <v>2841</v>
      </c>
      <c r="BC503">
        <v>6</v>
      </c>
      <c r="BD503" t="s">
        <v>2919</v>
      </c>
      <c r="BE503">
        <v>0</v>
      </c>
      <c r="BF503" s="232" t="s">
        <v>2846</v>
      </c>
      <c r="BG503" s="232" t="s">
        <v>2845</v>
      </c>
      <c r="BH503" s="253">
        <v>52.9</v>
      </c>
      <c r="BI503" s="253">
        <v>42.861910412340549</v>
      </c>
      <c r="BJ503" s="25">
        <v>21.74</v>
      </c>
      <c r="BK503" t="s">
        <v>379</v>
      </c>
      <c r="BL503">
        <v>4.7166473962927986</v>
      </c>
      <c r="BM503" t="s">
        <v>383</v>
      </c>
      <c r="BN503" s="322">
        <v>76497.616129999995</v>
      </c>
      <c r="BO503" s="322">
        <v>10569.880369</v>
      </c>
      <c r="BP503" s="10">
        <v>37976</v>
      </c>
      <c r="BQ503" s="254">
        <f t="shared" si="203"/>
        <v>2.0143673933536967</v>
      </c>
      <c r="BR503" s="254">
        <f t="shared" si="204"/>
        <v>0.27833053425847903</v>
      </c>
      <c r="BS503" s="25">
        <v>50.515925514019358</v>
      </c>
      <c r="BT503" s="25">
        <v>92.655038396180032</v>
      </c>
      <c r="BU503" s="25">
        <v>40.758953274199001</v>
      </c>
      <c r="BV503" s="25">
        <v>97.24076340614117</v>
      </c>
      <c r="BW503" s="25">
        <v>52.132432119472369</v>
      </c>
      <c r="BX503" s="25">
        <v>70.292670147634894</v>
      </c>
      <c r="BY503" s="25">
        <v>52.526231780795811</v>
      </c>
      <c r="BZ503">
        <v>10</v>
      </c>
      <c r="CA503">
        <v>0</v>
      </c>
      <c r="CB503">
        <v>7</v>
      </c>
      <c r="CC503">
        <v>84895.155691000007</v>
      </c>
      <c r="CD503" s="10">
        <v>23145.976642000001</v>
      </c>
      <c r="CE503" s="255">
        <v>0.27264190110265357</v>
      </c>
      <c r="CF503" t="str">
        <f>IFERROR(VLOOKUP(CE503,'Rangos amb etnico'!$A$2:$C$6,3,9),"N.D.")</f>
        <v>0,1% - 30%</v>
      </c>
      <c r="CG503" s="256">
        <v>6.7340371309907669E-4</v>
      </c>
      <c r="CH503" s="232">
        <v>0</v>
      </c>
      <c r="CI503" s="311">
        <f t="shared" si="211"/>
        <v>0</v>
      </c>
      <c r="CJ503" s="232">
        <f>IFERROR(VLOOKUP(CI503,'Rangos amb etnico'!$A$2:$C$6,3,9),"N.D.")</f>
        <v>0</v>
      </c>
      <c r="CK503" s="311">
        <f t="shared" si="212"/>
        <v>0</v>
      </c>
      <c r="CL503" s="10">
        <v>0</v>
      </c>
      <c r="CM503" s="255">
        <f t="shared" si="213"/>
        <v>0</v>
      </c>
      <c r="CN503" s="232">
        <f>IFERROR(VLOOKUP(CM503,'Rangos amb etnico'!$A$2:$C$6,3,9),"N.D.")</f>
        <v>0</v>
      </c>
      <c r="CO503" s="311">
        <f t="shared" si="214"/>
        <v>0</v>
      </c>
      <c r="CP503">
        <v>0.94366101292625792</v>
      </c>
      <c r="CQ503" t="s">
        <v>2864</v>
      </c>
      <c r="CR503">
        <f t="shared" si="205"/>
        <v>2</v>
      </c>
      <c r="CS503" t="str">
        <f t="shared" si="215"/>
        <v>No es Candidato</v>
      </c>
      <c r="CT503">
        <v>0</v>
      </c>
      <c r="CU503">
        <v>0</v>
      </c>
      <c r="CV503" s="25">
        <v>54.524436950683587</v>
      </c>
      <c r="CW503" s="25">
        <v>24.296152114868161</v>
      </c>
      <c r="CX503" s="25">
        <v>52.875606536865227</v>
      </c>
      <c r="CY503" s="25">
        <v>54.349346160888672</v>
      </c>
      <c r="CZ503" s="25">
        <v>46.463821411132813</v>
      </c>
      <c r="DA503" s="25">
        <v>86.987380981445313</v>
      </c>
      <c r="DB503" s="25">
        <v>62.174324035644531</v>
      </c>
      <c r="DC503">
        <v>9174</v>
      </c>
      <c r="DD503" s="253" t="s">
        <v>380</v>
      </c>
    </row>
    <row r="504" spans="1:108" hidden="1">
      <c r="A504" s="13">
        <v>17653</v>
      </c>
      <c r="B504" s="13" t="s">
        <v>1455</v>
      </c>
      <c r="C504" s="13" t="s">
        <v>506</v>
      </c>
      <c r="D504" s="13" t="s">
        <v>507</v>
      </c>
      <c r="E504" s="13" t="s">
        <v>1278</v>
      </c>
      <c r="F504" s="14">
        <v>57.1995</v>
      </c>
      <c r="G504" s="13">
        <v>57.03</v>
      </c>
      <c r="H504" s="13">
        <v>59.25</v>
      </c>
      <c r="I504" s="13">
        <v>64.680000000000007</v>
      </c>
      <c r="J504" s="14">
        <v>50.064763547147777</v>
      </c>
      <c r="K504" s="14">
        <v>48.96906494794456</v>
      </c>
      <c r="L504" s="14">
        <v>55.004149430113131</v>
      </c>
      <c r="M504" s="14">
        <v>54.245199999999997</v>
      </c>
      <c r="N504" s="14">
        <f t="shared" si="189"/>
        <v>59.539875000000002</v>
      </c>
      <c r="O504" s="14">
        <f t="shared" si="190"/>
        <v>52.070794481301363</v>
      </c>
      <c r="P504" s="14">
        <f t="shared" si="206"/>
        <v>55.805334740650679</v>
      </c>
      <c r="Q504" s="14">
        <v>53.735657704967046</v>
      </c>
      <c r="R504" s="17">
        <f t="shared" si="191"/>
        <v>46.264342295032954</v>
      </c>
      <c r="S504" s="14">
        <f t="shared" si="207"/>
        <v>0.51637908065529659</v>
      </c>
      <c r="T504" s="13">
        <v>0</v>
      </c>
      <c r="U504" s="13">
        <f t="shared" si="208"/>
        <v>28.816707449038283</v>
      </c>
      <c r="V504" s="13">
        <f>IF($T504=1,$AU504,(VLOOKUP(U504,'Cortes naturales'!$A$35:$C$39,3,9)))</f>
        <v>4</v>
      </c>
      <c r="W504" s="13">
        <v>4</v>
      </c>
      <c r="X504" s="14" t="b">
        <f t="shared" si="192"/>
        <v>1</v>
      </c>
      <c r="Y504" s="17">
        <f>IF($T504=1,$AU504,VLOOKUP(U504,'Cortes naturales'!$A$45:$C$49,3,9))</f>
        <v>3</v>
      </c>
      <c r="Z504" s="14">
        <v>53.592416360396165</v>
      </c>
      <c r="AA504" s="14">
        <v>0.52826810548152037</v>
      </c>
      <c r="AB504" s="14">
        <v>28.31116425888332</v>
      </c>
      <c r="AC504" s="13">
        <v>3</v>
      </c>
      <c r="AD504" s="13">
        <f t="shared" si="193"/>
        <v>0</v>
      </c>
      <c r="AE504" s="14">
        <f t="shared" si="194"/>
        <v>2.2129183802545143</v>
      </c>
      <c r="AF504" s="14">
        <f t="shared" si="195"/>
        <v>-1.1889024826223782E-2</v>
      </c>
      <c r="AG504" s="13">
        <f t="shared" si="196"/>
        <v>0.50554319015496318</v>
      </c>
      <c r="AH504" s="13">
        <f>IF($T504=1,$AU504,VLOOKUP(U504,'Cortes naturales'!$A$25:$C$29,3,9))</f>
        <v>3</v>
      </c>
      <c r="AI504" s="13" t="b">
        <f t="shared" si="197"/>
        <v>1</v>
      </c>
      <c r="AJ504" s="13">
        <f t="shared" si="198"/>
        <v>0</v>
      </c>
      <c r="AK504" s="28">
        <v>0.81759069605862034</v>
      </c>
      <c r="AL504" s="28">
        <v>43.816660995559694</v>
      </c>
      <c r="AM504" s="28">
        <v>0.37747423009828956</v>
      </c>
      <c r="AN504" s="13">
        <v>3</v>
      </c>
      <c r="AO504" s="33">
        <f t="shared" si="199"/>
        <v>0</v>
      </c>
      <c r="AP504" s="13">
        <f t="shared" si="209"/>
        <v>37.747423009828957</v>
      </c>
      <c r="AQ504" s="13">
        <f>IFERROR(VLOOKUP(U504,'Cortes naturales'!$E$15:$G$19,3,9),U504)</f>
        <v>4</v>
      </c>
      <c r="AR504" s="28">
        <f t="shared" si="200"/>
        <v>-0.30121161540332375</v>
      </c>
      <c r="AS504" s="13" t="b">
        <f t="shared" si="201"/>
        <v>0</v>
      </c>
      <c r="AT504" s="13">
        <f t="shared" si="210"/>
        <v>0</v>
      </c>
      <c r="AU504" s="13">
        <v>3</v>
      </c>
      <c r="AV504">
        <f t="shared" si="202"/>
        <v>0</v>
      </c>
      <c r="AW504" s="13">
        <v>0</v>
      </c>
      <c r="AX504" s="13">
        <v>0</v>
      </c>
      <c r="AY504" s="13">
        <v>0</v>
      </c>
      <c r="AZ504" s="13">
        <v>0</v>
      </c>
      <c r="BA504">
        <v>0</v>
      </c>
      <c r="BB504" t="s">
        <v>2839</v>
      </c>
      <c r="BC504">
        <v>6</v>
      </c>
      <c r="BD504" t="s">
        <v>2919</v>
      </c>
      <c r="BE504">
        <v>0</v>
      </c>
      <c r="BF504" s="232" t="s">
        <v>2846</v>
      </c>
      <c r="BG504" s="232" t="s">
        <v>2846</v>
      </c>
      <c r="BH504" s="253">
        <v>28.7</v>
      </c>
      <c r="BI504" s="253">
        <v>10.297427163797822</v>
      </c>
      <c r="BJ504" s="25">
        <v>25.220542039433674</v>
      </c>
      <c r="BK504" t="s">
        <v>379</v>
      </c>
      <c r="BL504">
        <v>0.46337936203458957</v>
      </c>
      <c r="BM504" t="s">
        <v>383</v>
      </c>
      <c r="BN504" s="322">
        <v>36497.612589999997</v>
      </c>
      <c r="BO504" s="322">
        <v>4039.6546990000002</v>
      </c>
      <c r="BP504" s="10">
        <v>19511</v>
      </c>
      <c r="BQ504" s="254">
        <f t="shared" si="203"/>
        <v>1.870617220542258</v>
      </c>
      <c r="BR504" s="254">
        <f t="shared" si="204"/>
        <v>0.2070449848290708</v>
      </c>
      <c r="BS504" s="25">
        <v>50.726144242583807</v>
      </c>
      <c r="BT504" s="25">
        <v>92.735721729622597</v>
      </c>
      <c r="BU504" s="25">
        <v>44.680484810653333</v>
      </c>
      <c r="BV504" s="25">
        <v>96.960139074588383</v>
      </c>
      <c r="BW504" s="25">
        <v>34.65743364487156</v>
      </c>
      <c r="BX504" s="25">
        <v>71.27562246436203</v>
      </c>
      <c r="BY504" s="25">
        <v>34.974881099157557</v>
      </c>
      <c r="BZ504">
        <v>19</v>
      </c>
      <c r="CA504">
        <v>0</v>
      </c>
      <c r="CB504">
        <v>6</v>
      </c>
      <c r="CC504">
        <v>38795.878925999998</v>
      </c>
      <c r="CD504" s="10">
        <v>3068.7613769999998</v>
      </c>
      <c r="CE504" s="255">
        <v>7.9100189555014702E-2</v>
      </c>
      <c r="CF504" t="str">
        <f>IFERROR(VLOOKUP(CE504,'Rangos amb etnico'!$A$2:$C$6,3,9),"N.D.")</f>
        <v>0,1% - 30%</v>
      </c>
      <c r="CG504" s="256">
        <v>8.9281836659983402E-5</v>
      </c>
      <c r="CH504" s="232">
        <v>0</v>
      </c>
      <c r="CI504" s="311">
        <f t="shared" si="211"/>
        <v>0</v>
      </c>
      <c r="CJ504" s="232">
        <f>IFERROR(VLOOKUP(CI504,'Rangos amb etnico'!$A$2:$C$6,3,9),"N.D.")</f>
        <v>0</v>
      </c>
      <c r="CK504" s="311">
        <f t="shared" si="212"/>
        <v>0</v>
      </c>
      <c r="CL504" s="10">
        <v>0</v>
      </c>
      <c r="CM504" s="255">
        <f t="shared" si="213"/>
        <v>0</v>
      </c>
      <c r="CN504" s="232">
        <f>IFERROR(VLOOKUP(CM504,'Rangos amb etnico'!$A$2:$C$6,3,9),"N.D.")</f>
        <v>0</v>
      </c>
      <c r="CO504" s="311">
        <f t="shared" si="214"/>
        <v>0</v>
      </c>
      <c r="CP504">
        <v>0.9540749596071707</v>
      </c>
      <c r="CQ504" t="s">
        <v>2864</v>
      </c>
      <c r="CR504">
        <f t="shared" si="205"/>
        <v>2</v>
      </c>
      <c r="CS504" t="str">
        <f t="shared" si="215"/>
        <v>No es Candidato</v>
      </c>
      <c r="CT504">
        <v>0</v>
      </c>
      <c r="CU504">
        <v>0</v>
      </c>
      <c r="CV504" s="25">
        <v>56.436805725097663</v>
      </c>
      <c r="CW504" s="25">
        <v>26.894609451293949</v>
      </c>
      <c r="CX504" s="25">
        <v>59.240467071533203</v>
      </c>
      <c r="CY504" s="25">
        <v>61.858612060546882</v>
      </c>
      <c r="CZ504" s="25">
        <v>47.479362487792969</v>
      </c>
      <c r="DA504" s="25">
        <v>89.476997375488281</v>
      </c>
      <c r="DB504" s="25">
        <v>53.670791625976563</v>
      </c>
      <c r="DC504">
        <v>458</v>
      </c>
      <c r="DD504" s="253" t="s">
        <v>380</v>
      </c>
    </row>
    <row r="505" spans="1:108" hidden="1">
      <c r="A505" s="13">
        <v>15162</v>
      </c>
      <c r="B505" s="13" t="s">
        <v>1456</v>
      </c>
      <c r="C505" s="13" t="s">
        <v>498</v>
      </c>
      <c r="D505" s="13" t="s">
        <v>499</v>
      </c>
      <c r="E505" s="13" t="s">
        <v>1457</v>
      </c>
      <c r="F505" s="14">
        <v>60.259333333333302</v>
      </c>
      <c r="G505" s="13">
        <v>51.21</v>
      </c>
      <c r="H505" s="13">
        <v>55.51</v>
      </c>
      <c r="I505" s="13">
        <v>79.8</v>
      </c>
      <c r="J505" s="14">
        <v>62.349018727422667</v>
      </c>
      <c r="K505" s="14">
        <v>45.868851854087055</v>
      </c>
      <c r="L505" s="14">
        <v>53.849602007042073</v>
      </c>
      <c r="M505" s="14">
        <v>48.0914</v>
      </c>
      <c r="N505" s="14">
        <f t="shared" si="189"/>
        <v>61.694833333333321</v>
      </c>
      <c r="O505" s="14">
        <f t="shared" si="190"/>
        <v>52.539718147137947</v>
      </c>
      <c r="P505" s="14">
        <f t="shared" si="206"/>
        <v>57.117275740235634</v>
      </c>
      <c r="Q505" s="14">
        <v>54.420280401497742</v>
      </c>
      <c r="R505" s="17">
        <f t="shared" si="191"/>
        <v>45.579719598502258</v>
      </c>
      <c r="S505" s="14">
        <f t="shared" si="207"/>
        <v>0.51021747638652037</v>
      </c>
      <c r="T505" s="13">
        <v>0</v>
      </c>
      <c r="U505" s="13">
        <f t="shared" si="208"/>
        <v>29.142232286256046</v>
      </c>
      <c r="V505" s="13">
        <f>IF($T505=1,$AU505,(VLOOKUP(U505,'Cortes naturales'!$A$35:$C$39,3,9)))</f>
        <v>4</v>
      </c>
      <c r="W505" s="13">
        <v>4</v>
      </c>
      <c r="X505" s="14" t="b">
        <f t="shared" si="192"/>
        <v>1</v>
      </c>
      <c r="Y505" s="17">
        <f>IF($T505=1,$AU505,VLOOKUP(U505,'Cortes naturales'!$A$45:$C$49,3,9))</f>
        <v>3</v>
      </c>
      <c r="Z505" s="14">
        <v>55.042775608656058</v>
      </c>
      <c r="AA505" s="14">
        <v>0.5283049849454855</v>
      </c>
      <c r="AB505" s="14">
        <v>29.079372739288775</v>
      </c>
      <c r="AC505" s="13">
        <v>3</v>
      </c>
      <c r="AD505" s="13">
        <f t="shared" si="193"/>
        <v>0</v>
      </c>
      <c r="AE505" s="14">
        <f t="shared" si="194"/>
        <v>2.0745001315795761</v>
      </c>
      <c r="AF505" s="14">
        <f t="shared" si="195"/>
        <v>-1.8087508558965126E-2</v>
      </c>
      <c r="AG505" s="13">
        <f t="shared" si="196"/>
        <v>6.2859546967271029E-2</v>
      </c>
      <c r="AH505" s="13">
        <f>IF($T505=1,$AU505,VLOOKUP(U505,'Cortes naturales'!$A$25:$C$29,3,9))</f>
        <v>3</v>
      </c>
      <c r="AI505" s="13" t="b">
        <f t="shared" si="197"/>
        <v>1</v>
      </c>
      <c r="AJ505" s="13">
        <f t="shared" si="198"/>
        <v>0</v>
      </c>
      <c r="AK505" s="28">
        <v>0.81759069605862034</v>
      </c>
      <c r="AL505" s="28">
        <v>45.002461222879553</v>
      </c>
      <c r="AM505" s="28">
        <v>0.39230734099080217</v>
      </c>
      <c r="AN505" s="13">
        <v>3</v>
      </c>
      <c r="AO505" s="33">
        <f t="shared" si="199"/>
        <v>0</v>
      </c>
      <c r="AP505" s="13">
        <f t="shared" si="209"/>
        <v>39.230734099080216</v>
      </c>
      <c r="AQ505" s="13">
        <f>IFERROR(VLOOKUP(U505,'Cortes naturales'!$E$15:$G$19,3,9),U505)</f>
        <v>4</v>
      </c>
      <c r="AR505" s="28">
        <f t="shared" si="200"/>
        <v>-0.30737321967209996</v>
      </c>
      <c r="AS505" s="13" t="b">
        <f t="shared" si="201"/>
        <v>0</v>
      </c>
      <c r="AT505" s="13">
        <f t="shared" si="210"/>
        <v>0</v>
      </c>
      <c r="AU505" s="13">
        <v>3</v>
      </c>
      <c r="AV505">
        <f t="shared" si="202"/>
        <v>0</v>
      </c>
      <c r="AW505" s="13">
        <v>0</v>
      </c>
      <c r="AX505" s="13">
        <v>0</v>
      </c>
      <c r="AY505" s="13">
        <v>0</v>
      </c>
      <c r="AZ505" s="13">
        <v>0</v>
      </c>
      <c r="BA505">
        <v>0</v>
      </c>
      <c r="BB505" t="s">
        <v>2839</v>
      </c>
      <c r="BC505">
        <v>6</v>
      </c>
      <c r="BD505" s="184" t="s">
        <v>2917</v>
      </c>
      <c r="BE505">
        <v>0</v>
      </c>
      <c r="BF505" s="232" t="s">
        <v>2846</v>
      </c>
      <c r="BG505" s="232" t="s">
        <v>2846</v>
      </c>
      <c r="BH505" s="253">
        <v>29.4</v>
      </c>
      <c r="BI505" s="253">
        <v>8.6083608360836088</v>
      </c>
      <c r="BJ505" s="25">
        <v>16.197109521657051</v>
      </c>
      <c r="BK505" t="s">
        <v>379</v>
      </c>
      <c r="BL505">
        <v>0</v>
      </c>
      <c r="BM505" t="s">
        <v>377</v>
      </c>
      <c r="BN505" s="322">
        <v>8019.8010450000002</v>
      </c>
      <c r="BO505" s="322">
        <v>623.90056900000002</v>
      </c>
      <c r="BP505" s="10">
        <v>3583</v>
      </c>
      <c r="BQ505" s="254">
        <f t="shared" si="203"/>
        <v>2.2382922257884457</v>
      </c>
      <c r="BR505" s="254">
        <f t="shared" si="204"/>
        <v>0.17412798464973486</v>
      </c>
      <c r="BS505" s="25">
        <v>66.327682438058616</v>
      </c>
      <c r="BT505" s="25">
        <v>90.858312401153583</v>
      </c>
      <c r="BU505" s="25">
        <v>49.827707641195992</v>
      </c>
      <c r="BV505" s="25">
        <v>96.115185183155333</v>
      </c>
      <c r="BW505" s="25">
        <v>53.836075521118033</v>
      </c>
      <c r="BX505" s="25">
        <v>75.782221915890872</v>
      </c>
      <c r="BY505" s="25">
        <v>54.238776930275542</v>
      </c>
      <c r="BZ505">
        <v>21</v>
      </c>
      <c r="CA505">
        <v>0</v>
      </c>
      <c r="CB505">
        <v>7</v>
      </c>
      <c r="CC505">
        <v>6345.3069859999996</v>
      </c>
      <c r="CD505" s="10">
        <v>3180.01667</v>
      </c>
      <c r="CE505" s="255">
        <v>0.50116041304482917</v>
      </c>
      <c r="CF505" t="str">
        <f>IFERROR(VLOOKUP(CE505,'Rangos amb etnico'!$A$2:$C$6,3,9),"N.D.")</f>
        <v>31% - 50%</v>
      </c>
      <c r="CG505" s="256">
        <v>9.2518672528562771E-5</v>
      </c>
      <c r="CH505" s="232">
        <v>0</v>
      </c>
      <c r="CI505" s="311">
        <f t="shared" si="211"/>
        <v>0</v>
      </c>
      <c r="CJ505" s="232">
        <f>IFERROR(VLOOKUP(CI505,'Rangos amb etnico'!$A$2:$C$6,3,9),"N.D.")</f>
        <v>0</v>
      </c>
      <c r="CK505" s="311">
        <f t="shared" si="212"/>
        <v>0</v>
      </c>
      <c r="CL505" s="10">
        <v>0</v>
      </c>
      <c r="CM505" s="255">
        <f t="shared" si="213"/>
        <v>0</v>
      </c>
      <c r="CN505" s="232">
        <f>IFERROR(VLOOKUP(CM505,'Rangos amb etnico'!$A$2:$C$6,3,9),"N.D.")</f>
        <v>0</v>
      </c>
      <c r="CO505" s="311">
        <f t="shared" si="214"/>
        <v>0</v>
      </c>
      <c r="CP505">
        <v>0.96007046208835123</v>
      </c>
      <c r="CQ505" t="s">
        <v>2864</v>
      </c>
      <c r="CR505">
        <f t="shared" si="205"/>
        <v>2</v>
      </c>
      <c r="CS505" t="str">
        <f t="shared" si="215"/>
        <v>No es Candidato</v>
      </c>
      <c r="CT505">
        <v>0</v>
      </c>
      <c r="CU505">
        <v>0</v>
      </c>
      <c r="CV505" s="25">
        <v>54.697887420654297</v>
      </c>
      <c r="CW505" s="25">
        <v>27.346626281738281</v>
      </c>
      <c r="CX505" s="25">
        <v>46.919731140136719</v>
      </c>
      <c r="CY505" s="25">
        <v>74.730293273925781</v>
      </c>
      <c r="CZ505" s="25">
        <v>53.566337585449219</v>
      </c>
      <c r="DA505" s="25">
        <v>71.953857421875</v>
      </c>
      <c r="DB505" s="25">
        <v>53.670490264892578</v>
      </c>
      <c r="DC505">
        <v>25</v>
      </c>
      <c r="DD505" s="253" t="s">
        <v>380</v>
      </c>
    </row>
    <row r="506" spans="1:108" hidden="1">
      <c r="A506" s="13">
        <v>52788</v>
      </c>
      <c r="B506" s="13" t="s">
        <v>1458</v>
      </c>
      <c r="C506" s="13" t="s">
        <v>672</v>
      </c>
      <c r="D506" s="13" t="s">
        <v>673</v>
      </c>
      <c r="E506" s="13" t="s">
        <v>1459</v>
      </c>
      <c r="F506" s="14">
        <v>72.949633333333296</v>
      </c>
      <c r="G506" s="13">
        <v>62.91</v>
      </c>
      <c r="H506" s="13">
        <v>64.069999999999993</v>
      </c>
      <c r="I506" s="13">
        <v>71.31</v>
      </c>
      <c r="J506" s="14">
        <v>46.000040952950641</v>
      </c>
      <c r="K506" s="14">
        <v>58.421047966732274</v>
      </c>
      <c r="L506" s="14">
        <v>57.601414616152461</v>
      </c>
      <c r="M506" s="14">
        <v>55.657800000000002</v>
      </c>
      <c r="N506" s="14">
        <f t="shared" si="189"/>
        <v>67.809908333333325</v>
      </c>
      <c r="O506" s="14">
        <f t="shared" si="190"/>
        <v>54.420075883958845</v>
      </c>
      <c r="P506" s="14">
        <f t="shared" si="206"/>
        <v>61.114992108646085</v>
      </c>
      <c r="Q506" s="14">
        <v>53.302637790781048</v>
      </c>
      <c r="R506" s="17">
        <f t="shared" si="191"/>
        <v>46.697362209218952</v>
      </c>
      <c r="S506" s="14">
        <f t="shared" si="207"/>
        <v>0.52027625988297055</v>
      </c>
      <c r="T506" s="13">
        <v>0</v>
      </c>
      <c r="U506" s="13">
        <f t="shared" si="208"/>
        <v>31.796679517063644</v>
      </c>
      <c r="V506" s="13">
        <f>IF($T506=1,$AU506,(VLOOKUP(U506,'Cortes naturales'!$A$35:$C$39,3,9)))</f>
        <v>3</v>
      </c>
      <c r="W506" s="13">
        <v>3</v>
      </c>
      <c r="X506" s="14" t="b">
        <f t="shared" si="192"/>
        <v>1</v>
      </c>
      <c r="Y506" s="17">
        <f>IF($T506=1,$AU506,VLOOKUP(U506,'Cortes naturales'!$A$45:$C$49,3,9))</f>
        <v>3</v>
      </c>
      <c r="Z506" s="14">
        <v>61.773789457980747</v>
      </c>
      <c r="AA506" s="14">
        <v>0.52748828915248591</v>
      </c>
      <c r="AB506" s="14">
        <v>32.584950515656132</v>
      </c>
      <c r="AC506" s="13">
        <v>3</v>
      </c>
      <c r="AD506" s="13">
        <f t="shared" si="193"/>
        <v>0</v>
      </c>
      <c r="AE506" s="14">
        <f t="shared" si="194"/>
        <v>-0.65879734933466239</v>
      </c>
      <c r="AF506" s="14">
        <f t="shared" si="195"/>
        <v>-7.2120292695153632E-3</v>
      </c>
      <c r="AG506" s="13">
        <f t="shared" si="196"/>
        <v>-0.78827099859248762</v>
      </c>
      <c r="AH506" s="13">
        <f>IF($T506=1,$AU506,VLOOKUP(U506,'Cortes naturales'!$A$25:$C$29,3,9))</f>
        <v>3</v>
      </c>
      <c r="AI506" s="13" t="b">
        <f t="shared" si="197"/>
        <v>1</v>
      </c>
      <c r="AJ506" s="13">
        <f t="shared" si="198"/>
        <v>0</v>
      </c>
      <c r="AK506" s="28">
        <v>0.81759069605862034</v>
      </c>
      <c r="AL506" s="28">
        <v>50.505675521129142</v>
      </c>
      <c r="AM506" s="28">
        <v>0.4611467509272435</v>
      </c>
      <c r="AN506" s="13">
        <v>3</v>
      </c>
      <c r="AO506" s="33">
        <f t="shared" si="199"/>
        <v>0</v>
      </c>
      <c r="AP506" s="13">
        <f t="shared" si="209"/>
        <v>46.114675092724347</v>
      </c>
      <c r="AQ506" s="13">
        <f>IFERROR(VLOOKUP(U506,'Cortes naturales'!$E$15:$G$19,3,9),U506)</f>
        <v>4</v>
      </c>
      <c r="AR506" s="28">
        <f t="shared" si="200"/>
        <v>-0.29731443617564979</v>
      </c>
      <c r="AS506" s="13" t="b">
        <f t="shared" si="201"/>
        <v>0</v>
      </c>
      <c r="AT506" s="13">
        <f t="shared" si="210"/>
        <v>0</v>
      </c>
      <c r="AU506" s="13">
        <v>3</v>
      </c>
      <c r="AV506">
        <f t="shared" si="202"/>
        <v>0</v>
      </c>
      <c r="AW506" s="13">
        <v>0</v>
      </c>
      <c r="AX506" s="13">
        <v>0</v>
      </c>
      <c r="AY506" s="13">
        <v>0</v>
      </c>
      <c r="AZ506" s="13">
        <v>0</v>
      </c>
      <c r="BA506">
        <v>0</v>
      </c>
      <c r="BB506" t="s">
        <v>2840</v>
      </c>
      <c r="BC506">
        <v>6</v>
      </c>
      <c r="BD506" t="s">
        <v>2919</v>
      </c>
      <c r="BE506">
        <v>0</v>
      </c>
      <c r="BF506" s="232" t="s">
        <v>2846</v>
      </c>
      <c r="BG506" s="232" t="s">
        <v>2845</v>
      </c>
      <c r="BH506" s="253">
        <v>46</v>
      </c>
      <c r="BI506" s="253">
        <v>22.369567321653278</v>
      </c>
      <c r="BJ506" s="25">
        <v>54.764347411767737</v>
      </c>
      <c r="BK506" t="s">
        <v>376</v>
      </c>
      <c r="BL506">
        <v>0.15761587196496368</v>
      </c>
      <c r="BM506" t="s">
        <v>377</v>
      </c>
      <c r="BN506" s="322">
        <v>25794.246238</v>
      </c>
      <c r="BO506" s="322">
        <v>2433.7028439999999</v>
      </c>
      <c r="BP506" s="10">
        <v>14521</v>
      </c>
      <c r="BQ506" s="254">
        <f t="shared" si="203"/>
        <v>1.7763409020039942</v>
      </c>
      <c r="BR506" s="254">
        <f t="shared" si="204"/>
        <v>0.16759884608498038</v>
      </c>
      <c r="BS506" s="25">
        <v>52.973601866334008</v>
      </c>
      <c r="BT506" s="25">
        <v>78.798098996625569</v>
      </c>
      <c r="BU506" s="25">
        <v>43.621823990940698</v>
      </c>
      <c r="BV506" s="25">
        <v>93.214016840782804</v>
      </c>
      <c r="BW506" s="25">
        <v>52.233844505128161</v>
      </c>
      <c r="BX506" s="25">
        <v>67.151885423670763</v>
      </c>
      <c r="BY506" s="25">
        <v>52.01090792635889</v>
      </c>
      <c r="BZ506">
        <v>80</v>
      </c>
      <c r="CA506">
        <v>0</v>
      </c>
      <c r="CB506">
        <v>7</v>
      </c>
      <c r="CC506">
        <v>21818.721960999999</v>
      </c>
      <c r="CD506" s="10">
        <v>14255.820266999999</v>
      </c>
      <c r="CE506" s="255">
        <v>0.6533755869148361</v>
      </c>
      <c r="CF506" t="str">
        <f>IFERROR(VLOOKUP(CE506,'Rangos amb etnico'!$A$2:$C$6,3,9),"N.D.")</f>
        <v>51% - 70%</v>
      </c>
      <c r="CG506" s="256">
        <v>4.1475555123697549E-4</v>
      </c>
      <c r="CH506" s="232">
        <v>473.07690000000002</v>
      </c>
      <c r="CI506" s="311">
        <f t="shared" si="211"/>
        <v>2.1682154474748982E-2</v>
      </c>
      <c r="CJ506" s="232" t="str">
        <f>IFERROR(VLOOKUP(CI506,'Rangos amb etnico'!$A$2:$C$6,3,9),"N.D.")</f>
        <v>0,1% - 30%</v>
      </c>
      <c r="CK506" s="311">
        <f t="shared" si="212"/>
        <v>1.8784250259308101E-5</v>
      </c>
      <c r="CL506" s="10">
        <v>0</v>
      </c>
      <c r="CM506" s="255">
        <f t="shared" si="213"/>
        <v>0</v>
      </c>
      <c r="CN506" s="232">
        <f>IFERROR(VLOOKUP(CM506,'Rangos amb etnico'!$A$2:$C$6,3,9),"N.D.")</f>
        <v>0</v>
      </c>
      <c r="CO506" s="311">
        <f t="shared" si="214"/>
        <v>0</v>
      </c>
      <c r="CP506">
        <v>0.8760458099806061</v>
      </c>
      <c r="CQ506" t="s">
        <v>2864</v>
      </c>
      <c r="CR506">
        <f t="shared" si="205"/>
        <v>2</v>
      </c>
      <c r="CS506" t="str">
        <f t="shared" si="215"/>
        <v>No es Candidato</v>
      </c>
      <c r="CT506">
        <v>0</v>
      </c>
      <c r="CU506">
        <v>0</v>
      </c>
      <c r="CV506" s="25">
        <v>52.265945434570313</v>
      </c>
      <c r="CW506" s="25">
        <v>24.462650299072269</v>
      </c>
      <c r="CX506" s="25">
        <v>47.785842895507813</v>
      </c>
      <c r="CY506" s="25">
        <v>62.006351470947273</v>
      </c>
      <c r="CZ506" s="25">
        <v>54.38665771484375</v>
      </c>
      <c r="DA506" s="25">
        <v>75.427665710449219</v>
      </c>
      <c r="DB506" s="25">
        <v>49.526508331298828</v>
      </c>
      <c r="DC506">
        <v>1319</v>
      </c>
      <c r="DD506" s="253" t="s">
        <v>380</v>
      </c>
    </row>
    <row r="507" spans="1:108" hidden="1">
      <c r="A507" s="13">
        <v>25793</v>
      </c>
      <c r="B507" s="13" t="s">
        <v>1460</v>
      </c>
      <c r="C507" s="13" t="s">
        <v>461</v>
      </c>
      <c r="D507" s="13" t="s">
        <v>462</v>
      </c>
      <c r="E507" s="13" t="s">
        <v>1461</v>
      </c>
      <c r="F507" s="14">
        <v>69.519400000000005</v>
      </c>
      <c r="G507" s="13">
        <v>61.49</v>
      </c>
      <c r="H507" s="13">
        <v>64.489999999999995</v>
      </c>
      <c r="I507" s="13">
        <v>81.09</v>
      </c>
      <c r="J507" s="14">
        <v>53.71807599262096</v>
      </c>
      <c r="K507" s="14">
        <v>57.60955953266842</v>
      </c>
      <c r="L507" s="14">
        <v>68.313063961633077</v>
      </c>
      <c r="M507" s="14">
        <v>70.062899999999999</v>
      </c>
      <c r="N507" s="14">
        <f t="shared" si="189"/>
        <v>69.147349999999989</v>
      </c>
      <c r="O507" s="14">
        <f t="shared" si="190"/>
        <v>62.425899871730621</v>
      </c>
      <c r="P507" s="14">
        <f t="shared" si="206"/>
        <v>65.786624935865305</v>
      </c>
      <c r="Q507" s="14">
        <v>54.92213272591836</v>
      </c>
      <c r="R507" s="17">
        <f t="shared" si="191"/>
        <v>45.07786727408164</v>
      </c>
      <c r="S507" s="14">
        <f t="shared" si="207"/>
        <v>0.50570080546673479</v>
      </c>
      <c r="T507" s="13">
        <v>0</v>
      </c>
      <c r="U507" s="13">
        <f t="shared" si="208"/>
        <v>33.268349219005067</v>
      </c>
      <c r="V507" s="13">
        <f>IF($T507=1,$AU507,(VLOOKUP(U507,'Cortes naturales'!$A$35:$C$39,3,9)))</f>
        <v>3</v>
      </c>
      <c r="W507" s="13">
        <v>3</v>
      </c>
      <c r="X507" s="14" t="b">
        <f t="shared" si="192"/>
        <v>1</v>
      </c>
      <c r="Y507" s="17">
        <f>IF($T507=1,$AU507,VLOOKUP(U507,'Cortes naturales'!$A$45:$C$49,3,9))</f>
        <v>3</v>
      </c>
      <c r="Z507" s="14">
        <v>63.182869264625907</v>
      </c>
      <c r="AA507" s="14">
        <v>0.52316122084167482</v>
      </c>
      <c r="AB507" s="14">
        <v>33.054827020761621</v>
      </c>
      <c r="AC507" s="13">
        <v>3</v>
      </c>
      <c r="AD507" s="13">
        <f t="shared" si="193"/>
        <v>0</v>
      </c>
      <c r="AE507" s="14">
        <f t="shared" si="194"/>
        <v>2.6037556712393979</v>
      </c>
      <c r="AF507" s="14">
        <f t="shared" si="195"/>
        <v>-1.746041537494003E-2</v>
      </c>
      <c r="AG507" s="13">
        <f t="shared" si="196"/>
        <v>0.21352219824344587</v>
      </c>
      <c r="AH507" s="13">
        <f>IF($T507=1,$AU507,VLOOKUP(U507,'Cortes naturales'!$A$25:$C$29,3,9))</f>
        <v>3</v>
      </c>
      <c r="AI507" s="13" t="b">
        <f t="shared" si="197"/>
        <v>1</v>
      </c>
      <c r="AJ507" s="13">
        <f t="shared" si="198"/>
        <v>0</v>
      </c>
      <c r="AK507" s="28">
        <v>0.81759069605862034</v>
      </c>
      <c r="AL507" s="28">
        <v>51.657726061046304</v>
      </c>
      <c r="AM507" s="28">
        <v>0.47555768880587218</v>
      </c>
      <c r="AN507" s="13">
        <v>3</v>
      </c>
      <c r="AO507" s="33">
        <f t="shared" si="199"/>
        <v>0</v>
      </c>
      <c r="AP507" s="13">
        <f t="shared" si="209"/>
        <v>47.555768880587216</v>
      </c>
      <c r="AQ507" s="13">
        <f>IFERROR(VLOOKUP(U507,'Cortes naturales'!$E$15:$G$19,3,9),U507)</f>
        <v>4</v>
      </c>
      <c r="AR507" s="28">
        <f t="shared" si="200"/>
        <v>-0.31188989059188554</v>
      </c>
      <c r="AS507" s="13" t="b">
        <f t="shared" si="201"/>
        <v>0</v>
      </c>
      <c r="AT507" s="13">
        <f t="shared" si="210"/>
        <v>0</v>
      </c>
      <c r="AU507" s="13">
        <v>3</v>
      </c>
      <c r="AV507">
        <f t="shared" si="202"/>
        <v>0</v>
      </c>
      <c r="AW507" s="13">
        <v>0</v>
      </c>
      <c r="AX507" s="13">
        <v>0</v>
      </c>
      <c r="AY507" s="13">
        <v>0</v>
      </c>
      <c r="AZ507" s="13">
        <v>0</v>
      </c>
      <c r="BA507">
        <v>0</v>
      </c>
      <c r="BB507" t="s">
        <v>2841</v>
      </c>
      <c r="BC507">
        <v>6</v>
      </c>
      <c r="BD507" s="184" t="s">
        <v>2917</v>
      </c>
      <c r="BE507">
        <v>0</v>
      </c>
      <c r="BF507" s="232" t="s">
        <v>2846</v>
      </c>
      <c r="BG507" s="232" t="s">
        <v>2845</v>
      </c>
      <c r="BH507" s="253">
        <v>24.3</v>
      </c>
      <c r="BI507" s="253">
        <v>8.0968031072602322</v>
      </c>
      <c r="BJ507" s="25">
        <v>23.170391558463852</v>
      </c>
      <c r="BK507" t="s">
        <v>379</v>
      </c>
      <c r="BL507">
        <v>0</v>
      </c>
      <c r="BM507" t="s">
        <v>377</v>
      </c>
      <c r="BN507" s="322">
        <v>18746.172290999999</v>
      </c>
      <c r="BO507" s="322">
        <v>6504.9831279999999</v>
      </c>
      <c r="BP507" s="10">
        <v>8560</v>
      </c>
      <c r="BQ507" s="254">
        <f t="shared" si="203"/>
        <v>2.1899733984813081</v>
      </c>
      <c r="BR507" s="254">
        <f t="shared" si="204"/>
        <v>0.75992793551401872</v>
      </c>
      <c r="BS507" s="25">
        <v>62.35237208272796</v>
      </c>
      <c r="BT507" s="25">
        <v>88.640965732087238</v>
      </c>
      <c r="BU507" s="25">
        <v>53.805</v>
      </c>
      <c r="BV507" s="25">
        <v>92.071829550378013</v>
      </c>
      <c r="BW507" s="25">
        <v>74.965265108875712</v>
      </c>
      <c r="BX507" s="25">
        <v>74.217541841298299</v>
      </c>
      <c r="BY507" s="25">
        <v>75.725553893483578</v>
      </c>
      <c r="BZ507">
        <v>36</v>
      </c>
      <c r="CA507">
        <v>0</v>
      </c>
      <c r="CB507">
        <v>7</v>
      </c>
      <c r="CC507">
        <v>20159.873928000001</v>
      </c>
      <c r="CD507" s="10">
        <v>18777.641903</v>
      </c>
      <c r="CE507" s="255">
        <v>0.93143647475492286</v>
      </c>
      <c r="CF507" t="str">
        <f>IFERROR(VLOOKUP(CE507,'Rangos amb etnico'!$A$2:$C$6,3,9),"N.D.")</f>
        <v>71% - 100%</v>
      </c>
      <c r="CG507" s="256">
        <v>5.4631238838200036E-4</v>
      </c>
      <c r="CH507" s="232">
        <v>0</v>
      </c>
      <c r="CI507" s="311">
        <f t="shared" si="211"/>
        <v>0</v>
      </c>
      <c r="CJ507" s="232">
        <f>IFERROR(VLOOKUP(CI507,'Rangos amb etnico'!$A$2:$C$6,3,9),"N.D.")</f>
        <v>0</v>
      </c>
      <c r="CK507" s="311">
        <f t="shared" si="212"/>
        <v>0</v>
      </c>
      <c r="CL507" s="10">
        <v>0</v>
      </c>
      <c r="CM507" s="255">
        <f t="shared" si="213"/>
        <v>0</v>
      </c>
      <c r="CN507" s="232">
        <f>IFERROR(VLOOKUP(CM507,'Rangos amb etnico'!$A$2:$C$6,3,9),"N.D.")</f>
        <v>0</v>
      </c>
      <c r="CO507" s="311">
        <f t="shared" si="214"/>
        <v>0</v>
      </c>
      <c r="CP507">
        <v>0.96846800121739218</v>
      </c>
      <c r="CQ507" t="s">
        <v>2864</v>
      </c>
      <c r="CR507">
        <f t="shared" si="205"/>
        <v>4</v>
      </c>
      <c r="CS507" t="str">
        <f t="shared" si="215"/>
        <v>Candidato</v>
      </c>
      <c r="CT507">
        <v>0</v>
      </c>
      <c r="CU507">
        <v>0</v>
      </c>
      <c r="CV507" s="25">
        <v>55.131626129150391</v>
      </c>
      <c r="CW507" s="25">
        <v>32.113044738769531</v>
      </c>
      <c r="CX507" s="25">
        <v>66.728958129882813</v>
      </c>
      <c r="CY507" s="25">
        <v>63.493968963623047</v>
      </c>
      <c r="CZ507" s="25">
        <v>63.819812774658203</v>
      </c>
      <c r="DA507" s="25">
        <v>38.080692291259773</v>
      </c>
      <c r="DB507" s="25">
        <v>66.55328369140625</v>
      </c>
      <c r="DC507">
        <v>79</v>
      </c>
      <c r="DD507" s="253" t="s">
        <v>380</v>
      </c>
    </row>
    <row r="508" spans="1:108" hidden="1">
      <c r="A508" s="13">
        <v>18001</v>
      </c>
      <c r="B508" s="13" t="s">
        <v>1462</v>
      </c>
      <c r="C508" s="13" t="s">
        <v>1463</v>
      </c>
      <c r="D508" s="13" t="s">
        <v>1464</v>
      </c>
      <c r="E508" s="13" t="s">
        <v>1246</v>
      </c>
      <c r="F508" s="14">
        <v>65.388400000000004</v>
      </c>
      <c r="G508" s="13">
        <v>60.78</v>
      </c>
      <c r="H508" s="13">
        <v>66.239999999999995</v>
      </c>
      <c r="I508" s="13">
        <v>66.45</v>
      </c>
      <c r="J508" s="14">
        <v>42.262601973190861</v>
      </c>
      <c r="K508" s="14">
        <v>47.216486881606073</v>
      </c>
      <c r="L508" s="14">
        <v>54.489847755349743</v>
      </c>
      <c r="M508" s="14">
        <v>39.151499999999999</v>
      </c>
      <c r="N508" s="14">
        <f t="shared" si="189"/>
        <v>64.714600000000004</v>
      </c>
      <c r="O508" s="14">
        <f t="shared" si="190"/>
        <v>45.780109152536667</v>
      </c>
      <c r="P508" s="14">
        <f t="shared" si="206"/>
        <v>55.247354576268336</v>
      </c>
      <c r="Q508" s="14">
        <v>53.118515561209321</v>
      </c>
      <c r="R508" s="17">
        <f t="shared" si="191"/>
        <v>46.881484438790679</v>
      </c>
      <c r="S508" s="14">
        <f t="shared" si="207"/>
        <v>0.52193335994911616</v>
      </c>
      <c r="T508" s="13">
        <v>0</v>
      </c>
      <c r="U508" s="13">
        <f t="shared" si="208"/>
        <v>28.835437402291912</v>
      </c>
      <c r="V508" s="13">
        <f>IF($T508=1,$AU508,(VLOOKUP(U508,'Cortes naturales'!$A$35:$C$39,3,9)))</f>
        <v>4</v>
      </c>
      <c r="W508" s="13">
        <v>4</v>
      </c>
      <c r="X508" s="14" t="b">
        <f t="shared" si="192"/>
        <v>1</v>
      </c>
      <c r="Y508" s="17">
        <f>IF($T508=1,$AU508,VLOOKUP(U508,'Cortes naturales'!$A$45:$C$49,3,9))</f>
        <v>3</v>
      </c>
      <c r="Z508" s="14">
        <v>55.317998522584439</v>
      </c>
      <c r="AA508" s="14">
        <v>0.52617343938891226</v>
      </c>
      <c r="AB508" s="14">
        <v>29.106861542739022</v>
      </c>
      <c r="AC508" s="13">
        <v>3</v>
      </c>
      <c r="AD508" s="13">
        <f t="shared" si="193"/>
        <v>0</v>
      </c>
      <c r="AE508" s="14">
        <f t="shared" si="194"/>
        <v>-7.0643946316103268E-2</v>
      </c>
      <c r="AF508" s="14">
        <f t="shared" si="195"/>
        <v>-4.2400794397960961E-3</v>
      </c>
      <c r="AG508" s="13">
        <f t="shared" si="196"/>
        <v>-0.27142414044710961</v>
      </c>
      <c r="AH508" s="13">
        <f>IF($T508=1,$AU508,VLOOKUP(U508,'Cortes naturales'!$A$25:$C$29,3,9))</f>
        <v>3</v>
      </c>
      <c r="AI508" s="13" t="b">
        <f t="shared" si="197"/>
        <v>1</v>
      </c>
      <c r="AJ508" s="13">
        <f t="shared" si="198"/>
        <v>0</v>
      </c>
      <c r="AK508" s="28">
        <v>0.81759069605862034</v>
      </c>
      <c r="AL508" s="28">
        <v>45.22748091664954</v>
      </c>
      <c r="AM508" s="28">
        <v>0.39512210016674987</v>
      </c>
      <c r="AN508" s="13">
        <v>3</v>
      </c>
      <c r="AO508" s="33">
        <f t="shared" si="199"/>
        <v>0</v>
      </c>
      <c r="AP508" s="13">
        <f t="shared" si="209"/>
        <v>39.512210016674985</v>
      </c>
      <c r="AQ508" s="13">
        <f>IFERROR(VLOOKUP(U508,'Cortes naturales'!$E$15:$G$19,3,9),U508)</f>
        <v>4</v>
      </c>
      <c r="AR508" s="28">
        <f t="shared" si="200"/>
        <v>-0.29565733610950418</v>
      </c>
      <c r="AS508" s="13" t="b">
        <f t="shared" si="201"/>
        <v>0</v>
      </c>
      <c r="AT508" s="13">
        <f t="shared" si="210"/>
        <v>0</v>
      </c>
      <c r="AU508" s="13">
        <v>3</v>
      </c>
      <c r="AV508">
        <f t="shared" si="202"/>
        <v>0</v>
      </c>
      <c r="AW508" s="13">
        <v>1</v>
      </c>
      <c r="AX508" s="13">
        <v>0</v>
      </c>
      <c r="AY508" s="13">
        <v>0</v>
      </c>
      <c r="AZ508" s="13">
        <v>1</v>
      </c>
      <c r="BA508">
        <v>1</v>
      </c>
      <c r="BB508" t="s">
        <v>2838</v>
      </c>
      <c r="BC508">
        <v>2</v>
      </c>
      <c r="BD508" t="s">
        <v>2920</v>
      </c>
      <c r="BE508">
        <v>1</v>
      </c>
      <c r="BF508" s="232" t="s">
        <v>2845</v>
      </c>
      <c r="BG508" s="232" t="s">
        <v>2846</v>
      </c>
      <c r="BH508" s="253">
        <v>29.6</v>
      </c>
      <c r="BI508" s="253">
        <v>14.509358972677308</v>
      </c>
      <c r="BJ508" s="25">
        <v>0.92000000000000015</v>
      </c>
      <c r="BK508" t="s">
        <v>381</v>
      </c>
      <c r="BL508">
        <v>3.3154051686764934</v>
      </c>
      <c r="BM508" t="s">
        <v>383</v>
      </c>
      <c r="BN508" s="322">
        <v>460830.67764200002</v>
      </c>
      <c r="BO508" s="322">
        <v>78793.534920000006</v>
      </c>
      <c r="BP508" s="10">
        <v>184170</v>
      </c>
      <c r="BQ508" s="254">
        <f t="shared" si="203"/>
        <v>2.5022027346581965</v>
      </c>
      <c r="BR508" s="254">
        <f t="shared" si="204"/>
        <v>0.42783045512298423</v>
      </c>
      <c r="BS508" s="25">
        <v>69.587507111196473</v>
      </c>
      <c r="BT508" s="25">
        <v>96.729430206586756</v>
      </c>
      <c r="BU508" s="25">
        <v>56.056445389457501</v>
      </c>
      <c r="BV508" s="25">
        <v>81.6693286248032</v>
      </c>
      <c r="BW508" s="25">
        <v>57.371901127762698</v>
      </c>
      <c r="BX508" s="25">
        <v>76.010677833010988</v>
      </c>
      <c r="BY508" s="25">
        <v>59.450277484789403</v>
      </c>
      <c r="BZ508">
        <v>3</v>
      </c>
      <c r="CA508">
        <v>1</v>
      </c>
      <c r="CB508">
        <v>3</v>
      </c>
      <c r="CC508">
        <v>254694.239336</v>
      </c>
      <c r="CD508" s="10">
        <v>99286.198239000005</v>
      </c>
      <c r="CE508" s="255">
        <v>0.38982506435105813</v>
      </c>
      <c r="CF508" t="str">
        <f>IFERROR(VLOOKUP(CE508,'Rangos amb etnico'!$A$2:$C$6,3,9),"N.D.")</f>
        <v>31% - 50%</v>
      </c>
      <c r="CG508" s="256">
        <v>2.8886097825015513E-3</v>
      </c>
      <c r="CH508" s="232">
        <v>2173.7228620000001</v>
      </c>
      <c r="CI508" s="311">
        <f t="shared" si="211"/>
        <v>8.5346369343374199E-3</v>
      </c>
      <c r="CJ508" s="232" t="str">
        <f>IFERROR(VLOOKUP(CI508,'Rangos amb etnico'!$A$2:$C$6,3,9),"N.D.")</f>
        <v>0,1% - 30%</v>
      </c>
      <c r="CK508" s="311">
        <f t="shared" si="212"/>
        <v>8.6311029420771653E-5</v>
      </c>
      <c r="CL508" s="10">
        <v>0</v>
      </c>
      <c r="CM508" s="255">
        <f t="shared" si="213"/>
        <v>0</v>
      </c>
      <c r="CN508" s="232">
        <f>IFERROR(VLOOKUP(CM508,'Rangos amb etnico'!$A$2:$C$6,3,9),"N.D.")</f>
        <v>0</v>
      </c>
      <c r="CO508" s="311">
        <f t="shared" si="214"/>
        <v>0</v>
      </c>
      <c r="CP508">
        <v>0.92845314666581058</v>
      </c>
      <c r="CQ508" t="s">
        <v>2864</v>
      </c>
      <c r="CR508">
        <f t="shared" si="205"/>
        <v>2</v>
      </c>
      <c r="CS508" t="str">
        <f t="shared" si="215"/>
        <v>No es Candidato</v>
      </c>
      <c r="CT508">
        <v>0</v>
      </c>
      <c r="CU508">
        <v>0</v>
      </c>
      <c r="CV508" s="25">
        <v>48.08148193359375</v>
      </c>
      <c r="CW508" s="25">
        <v>48.851581573486328</v>
      </c>
      <c r="CX508" s="25">
        <v>45.170974731445313</v>
      </c>
      <c r="CY508" s="25">
        <v>77.029518127441406</v>
      </c>
      <c r="CZ508" s="25">
        <v>46.619178771972663</v>
      </c>
      <c r="DA508" s="25">
        <v>26.43306732177734</v>
      </c>
      <c r="DB508" s="25">
        <v>44.384563446044922</v>
      </c>
      <c r="DC508">
        <v>4362</v>
      </c>
      <c r="DD508" s="253">
        <v>4.3945020651507889</v>
      </c>
    </row>
    <row r="509" spans="1:108" hidden="1">
      <c r="A509" s="13">
        <v>15480</v>
      </c>
      <c r="B509" s="13" t="s">
        <v>1465</v>
      </c>
      <c r="C509" s="13" t="s">
        <v>498</v>
      </c>
      <c r="D509" s="13" t="s">
        <v>499</v>
      </c>
      <c r="E509" s="13" t="s">
        <v>1466</v>
      </c>
      <c r="F509" s="14">
        <v>62.392766666666702</v>
      </c>
      <c r="G509" s="13">
        <v>84.05</v>
      </c>
      <c r="H509" s="13">
        <v>79.38</v>
      </c>
      <c r="I509" s="13">
        <v>87.93</v>
      </c>
      <c r="J509" s="14">
        <v>72.493093254907308</v>
      </c>
      <c r="K509" s="14">
        <v>55.370548291090913</v>
      </c>
      <c r="L509" s="14">
        <v>60.282940206648689</v>
      </c>
      <c r="M509" s="14">
        <v>43.900799999999997</v>
      </c>
      <c r="N509" s="14">
        <f t="shared" si="189"/>
        <v>78.438191666666683</v>
      </c>
      <c r="O509" s="14">
        <f t="shared" si="190"/>
        <v>58.011845438161728</v>
      </c>
      <c r="P509" s="14">
        <f t="shared" si="206"/>
        <v>68.225018552414213</v>
      </c>
      <c r="Q509" s="14">
        <v>54.644703599231782</v>
      </c>
      <c r="R509" s="17">
        <f t="shared" si="191"/>
        <v>45.355296400768218</v>
      </c>
      <c r="S509" s="203">
        <f t="shared" si="207"/>
        <v>0.50819766760691398</v>
      </c>
      <c r="T509" s="13">
        <v>0</v>
      </c>
      <c r="U509" s="13">
        <f t="shared" si="208"/>
        <v>34.671795300775337</v>
      </c>
      <c r="V509" s="13">
        <f>IF($T509=1,$AU509,(VLOOKUP(U509,'Cortes naturales'!$A$35:$C$39,3,9)))</f>
        <v>3</v>
      </c>
      <c r="W509" s="13">
        <v>3</v>
      </c>
      <c r="X509" s="14" t="b">
        <f t="shared" si="192"/>
        <v>1</v>
      </c>
      <c r="Y509" s="17">
        <f>IF($T509=1,$AU509,VLOOKUP(U509,'Cortes naturales'!$A$45:$C$49,3,9))</f>
        <v>3</v>
      </c>
      <c r="Z509" s="14">
        <v>66.838064198881909</v>
      </c>
      <c r="AA509" s="203">
        <v>0.52472676290281006</v>
      </c>
      <c r="AB509" s="14">
        <v>35.071721065769502</v>
      </c>
      <c r="AC509" s="13">
        <v>2</v>
      </c>
      <c r="AD509" s="13">
        <f t="shared" si="193"/>
        <v>-1</v>
      </c>
      <c r="AE509" s="14">
        <f t="shared" si="194"/>
        <v>1.3869543535323032</v>
      </c>
      <c r="AF509" s="14">
        <f t="shared" si="195"/>
        <v>-1.6529095295896079E-2</v>
      </c>
      <c r="AG509" s="13">
        <f t="shared" si="196"/>
        <v>-0.39992576499416543</v>
      </c>
      <c r="AH509" s="13">
        <f>IF($T509=1,$AU509,VLOOKUP(U509,'Cortes naturales'!$A$25:$C$29,3,9))</f>
        <v>3</v>
      </c>
      <c r="AI509" s="13" t="b">
        <f t="shared" si="197"/>
        <v>1</v>
      </c>
      <c r="AJ509" s="13" t="str">
        <f t="shared" si="198"/>
        <v>Efecto ponderador</v>
      </c>
      <c r="AK509" s="28">
        <v>0.81759069605862034</v>
      </c>
      <c r="AL509" s="28">
        <v>54.646179431574609</v>
      </c>
      <c r="AM509" s="28">
        <v>0.51294009034440069</v>
      </c>
      <c r="AN509" s="13">
        <v>2</v>
      </c>
      <c r="AO509" s="33">
        <f t="shared" si="199"/>
        <v>-1</v>
      </c>
      <c r="AP509" s="13">
        <f t="shared" si="209"/>
        <v>51.294009034440066</v>
      </c>
      <c r="AQ509" s="13">
        <f>IFERROR(VLOOKUP(U509,'Cortes naturales'!$E$15:$G$19,3,9),U509)</f>
        <v>4</v>
      </c>
      <c r="AR509" s="28">
        <f t="shared" si="200"/>
        <v>-0.30939302845170635</v>
      </c>
      <c r="AS509" s="13" t="b">
        <f t="shared" si="201"/>
        <v>0</v>
      </c>
      <c r="AT509" s="13" t="str">
        <f t="shared" si="210"/>
        <v>Cambio en corte</v>
      </c>
      <c r="AU509" s="13">
        <v>3</v>
      </c>
      <c r="AV509">
        <f t="shared" si="202"/>
        <v>0</v>
      </c>
      <c r="AW509" s="13">
        <v>0</v>
      </c>
      <c r="AX509" s="13">
        <v>0</v>
      </c>
      <c r="AY509" s="13">
        <v>0</v>
      </c>
      <c r="AZ509" s="13">
        <v>0</v>
      </c>
      <c r="BA509">
        <v>0</v>
      </c>
      <c r="BB509" t="s">
        <v>2839</v>
      </c>
      <c r="BC509">
        <v>6</v>
      </c>
      <c r="BD509" t="s">
        <v>2919</v>
      </c>
      <c r="BE509">
        <v>0</v>
      </c>
      <c r="BF509" s="232" t="s">
        <v>2846</v>
      </c>
      <c r="BG509" s="232" t="s">
        <v>2846</v>
      </c>
      <c r="BH509" s="253">
        <v>40.700000000000003</v>
      </c>
      <c r="BI509" s="253">
        <v>23.062429343047356</v>
      </c>
      <c r="BJ509" s="25">
        <v>20.612616377098455</v>
      </c>
      <c r="BK509" t="s">
        <v>379</v>
      </c>
      <c r="BL509">
        <v>2.0515946510311323</v>
      </c>
      <c r="BM509" t="s">
        <v>383</v>
      </c>
      <c r="BN509" s="322">
        <v>24899.759889000001</v>
      </c>
      <c r="BO509" s="322">
        <v>4173.6129389999996</v>
      </c>
      <c r="BP509" s="10">
        <v>8228</v>
      </c>
      <c r="BQ509" s="254">
        <f t="shared" si="203"/>
        <v>3.0262226408604764</v>
      </c>
      <c r="BR509" s="254">
        <f t="shared" si="204"/>
        <v>0.50724513113757896</v>
      </c>
      <c r="BS509" s="25">
        <v>64.759091726387723</v>
      </c>
      <c r="BT509" s="25">
        <v>92.166123210176636</v>
      </c>
      <c r="BU509" s="25">
        <v>60.195822676896832</v>
      </c>
      <c r="BV509" s="25">
        <v>93.029210420958762</v>
      </c>
      <c r="BW509" s="25">
        <v>39.917983053584337</v>
      </c>
      <c r="BX509" s="25">
        <v>77.537562008604993</v>
      </c>
      <c r="BY509" s="25">
        <v>40.282010256763577</v>
      </c>
      <c r="BZ509">
        <v>86</v>
      </c>
      <c r="CA509">
        <v>0</v>
      </c>
      <c r="CB509">
        <v>7</v>
      </c>
      <c r="CC509">
        <v>13771.030446999999</v>
      </c>
      <c r="CD509" s="10">
        <v>28.678132000000002</v>
      </c>
      <c r="CE509" s="255">
        <v>2.0824971748027391E-3</v>
      </c>
      <c r="CF509" t="str">
        <f>IFERROR(VLOOKUP(CE509,'Rangos amb etnico'!$A$2:$C$6,3,9),"N.D.")</f>
        <v>0,1% - 30%</v>
      </c>
      <c r="CG509" s="256">
        <v>8.3435496683698112E-7</v>
      </c>
      <c r="CH509" s="232">
        <v>0</v>
      </c>
      <c r="CI509" s="311">
        <f t="shared" si="211"/>
        <v>0</v>
      </c>
      <c r="CJ509" s="232">
        <f>IFERROR(VLOOKUP(CI509,'Rangos amb etnico'!$A$2:$C$6,3,9),"N.D.")</f>
        <v>0</v>
      </c>
      <c r="CK509" s="311">
        <f t="shared" si="212"/>
        <v>0</v>
      </c>
      <c r="CL509" s="10">
        <v>0</v>
      </c>
      <c r="CM509" s="255">
        <f t="shared" si="213"/>
        <v>0</v>
      </c>
      <c r="CN509" s="232">
        <f>IFERROR(VLOOKUP(CM509,'Rangos amb etnico'!$A$2:$C$6,3,9),"N.D.")</f>
        <v>0</v>
      </c>
      <c r="CO509" s="311">
        <f t="shared" si="214"/>
        <v>0</v>
      </c>
      <c r="CP509">
        <v>0.86341846512998877</v>
      </c>
      <c r="CQ509" t="s">
        <v>2864</v>
      </c>
      <c r="CR509">
        <f t="shared" si="205"/>
        <v>2</v>
      </c>
      <c r="CS509" t="str">
        <f t="shared" si="215"/>
        <v>No es Candidato</v>
      </c>
      <c r="CT509">
        <v>0</v>
      </c>
      <c r="CU509">
        <v>0</v>
      </c>
      <c r="CV509" s="25">
        <v>46.341526031494141</v>
      </c>
      <c r="CW509" s="25">
        <v>17.515981674194339</v>
      </c>
      <c r="CX509" s="25">
        <v>48.736827850341797</v>
      </c>
      <c r="CY509" s="25">
        <v>58.606124877929688</v>
      </c>
      <c r="CZ509" s="25">
        <v>31.495815277099609</v>
      </c>
      <c r="DA509" s="25">
        <v>64.889106750488281</v>
      </c>
      <c r="DB509" s="25">
        <v>56.805294036865227</v>
      </c>
      <c r="DC509">
        <v>40</v>
      </c>
      <c r="DD509" s="253" t="s">
        <v>380</v>
      </c>
    </row>
    <row r="510" spans="1:108" hidden="1">
      <c r="A510" s="13">
        <v>52720</v>
      </c>
      <c r="B510" s="13" t="s">
        <v>1467</v>
      </c>
      <c r="C510" s="13" t="s">
        <v>672</v>
      </c>
      <c r="D510" s="13" t="s">
        <v>673</v>
      </c>
      <c r="E510" s="13" t="s">
        <v>1468</v>
      </c>
      <c r="F510" s="14">
        <v>53.873033333333296</v>
      </c>
      <c r="G510" s="13">
        <v>57.49</v>
      </c>
      <c r="H510" s="13">
        <v>47.11</v>
      </c>
      <c r="I510" s="13">
        <v>50.41</v>
      </c>
      <c r="J510" s="14">
        <v>54.405518397141478</v>
      </c>
      <c r="K510" s="14">
        <v>52.511314139588848</v>
      </c>
      <c r="L510" s="14">
        <v>65.99240388329352</v>
      </c>
      <c r="M510" s="14">
        <v>54.345399999999998</v>
      </c>
      <c r="N510" s="14">
        <f t="shared" si="189"/>
        <v>52.220758333333329</v>
      </c>
      <c r="O510" s="14">
        <f t="shared" si="190"/>
        <v>56.813659105005954</v>
      </c>
      <c r="P510" s="14">
        <f t="shared" si="206"/>
        <v>54.517208719169645</v>
      </c>
      <c r="Q510" s="14">
        <v>53.974862756518341</v>
      </c>
      <c r="R510" s="17">
        <f t="shared" si="191"/>
        <v>46.025137243481659</v>
      </c>
      <c r="S510" s="14">
        <f t="shared" si="207"/>
        <v>0.51422623519133492</v>
      </c>
      <c r="T510" s="13">
        <v>0</v>
      </c>
      <c r="U510" s="13">
        <f t="shared" si="208"/>
        <v>28.034178992798825</v>
      </c>
      <c r="V510" s="13">
        <f>IF($T510=1,$AU510,(VLOOKUP(U510,'Cortes naturales'!$A$35:$C$39,3,9)))</f>
        <v>4</v>
      </c>
      <c r="W510" s="13">
        <v>4</v>
      </c>
      <c r="X510" s="14" t="b">
        <f t="shared" si="192"/>
        <v>1</v>
      </c>
      <c r="Y510" s="17">
        <f>IF($T510=1,$AU510,VLOOKUP(U510,'Cortes naturales'!$A$45:$C$49,3,9))</f>
        <v>4</v>
      </c>
      <c r="Z510" s="14">
        <v>54.611284552943175</v>
      </c>
      <c r="AA510" s="14">
        <v>0.52604989987539763</v>
      </c>
      <c r="AB510" s="14">
        <v>28.728260771142608</v>
      </c>
      <c r="AC510" s="13">
        <v>3</v>
      </c>
      <c r="AD510" s="13">
        <f t="shared" si="193"/>
        <v>-1</v>
      </c>
      <c r="AE510" s="14">
        <f t="shared" si="194"/>
        <v>-9.4075833773530348E-2</v>
      </c>
      <c r="AF510" s="14">
        <f t="shared" si="195"/>
        <v>-1.1823664684062707E-2</v>
      </c>
      <c r="AG510" s="13">
        <f t="shared" si="196"/>
        <v>-0.69408177834378293</v>
      </c>
      <c r="AH510" s="13">
        <f>IF($T510=1,$AU510,VLOOKUP(U510,'Cortes naturales'!$A$25:$C$29,3,9))</f>
        <v>3</v>
      </c>
      <c r="AI510" s="13" t="b">
        <f t="shared" si="197"/>
        <v>0</v>
      </c>
      <c r="AJ510" s="13" t="str">
        <f t="shared" si="198"/>
        <v>Cambio en corte</v>
      </c>
      <c r="AK510" s="28">
        <v>0.81759069605862034</v>
      </c>
      <c r="AL510" s="28">
        <v>44.649678150296189</v>
      </c>
      <c r="AM510" s="28">
        <v>0.38789439662119479</v>
      </c>
      <c r="AN510" s="13">
        <v>3</v>
      </c>
      <c r="AO510" s="33">
        <f t="shared" si="199"/>
        <v>-1</v>
      </c>
      <c r="AP510" s="13">
        <f t="shared" si="209"/>
        <v>38.789439662119477</v>
      </c>
      <c r="AQ510" s="13">
        <f>IFERROR(VLOOKUP(U510,'Cortes naturales'!$E$15:$G$19,3,9),U510)</f>
        <v>4</v>
      </c>
      <c r="AR510" s="28">
        <f t="shared" si="200"/>
        <v>-0.30336446086728541</v>
      </c>
      <c r="AS510" s="13" t="b">
        <f t="shared" si="201"/>
        <v>1</v>
      </c>
      <c r="AT510" s="13" t="str">
        <f t="shared" si="210"/>
        <v>Efecto ponderador</v>
      </c>
      <c r="AU510" s="13">
        <v>3</v>
      </c>
      <c r="AV510">
        <f t="shared" si="202"/>
        <v>-1</v>
      </c>
      <c r="AW510" s="13">
        <v>0</v>
      </c>
      <c r="AX510" s="13">
        <v>0</v>
      </c>
      <c r="AY510" s="13">
        <v>0</v>
      </c>
      <c r="AZ510" s="13">
        <v>0</v>
      </c>
      <c r="BA510">
        <v>0</v>
      </c>
      <c r="BB510" t="s">
        <v>2840</v>
      </c>
      <c r="BC510">
        <v>6</v>
      </c>
      <c r="BD510" t="s">
        <v>2919</v>
      </c>
      <c r="BE510">
        <v>0</v>
      </c>
      <c r="BF510" s="232" t="s">
        <v>2846</v>
      </c>
      <c r="BG510" s="232" t="s">
        <v>2846</v>
      </c>
      <c r="BH510" s="253">
        <v>43</v>
      </c>
      <c r="BI510" s="253">
        <v>25.935596170583114</v>
      </c>
      <c r="BJ510" s="25">
        <v>44.133723321345443</v>
      </c>
      <c r="BK510" t="s">
        <v>376</v>
      </c>
      <c r="BL510">
        <v>17.693154546858853</v>
      </c>
      <c r="BM510" t="s">
        <v>376</v>
      </c>
      <c r="BN510" s="322">
        <v>20173.89618</v>
      </c>
      <c r="BO510" s="322">
        <v>997.06064200000003</v>
      </c>
      <c r="BP510" s="10">
        <v>7368</v>
      </c>
      <c r="BQ510" s="254">
        <f t="shared" si="203"/>
        <v>2.7380423697068403</v>
      </c>
      <c r="BR510" s="254">
        <f t="shared" si="204"/>
        <v>0.13532310559174809</v>
      </c>
      <c r="BS510" s="25">
        <v>59.377292852624919</v>
      </c>
      <c r="BT510" s="25">
        <v>87.726202290988056</v>
      </c>
      <c r="BU510" s="25">
        <v>39.266666666666673</v>
      </c>
      <c r="BV510" s="25">
        <v>95.644820983874169</v>
      </c>
      <c r="BW510" s="25">
        <v>44.390984849342622</v>
      </c>
      <c r="BX510" s="25">
        <v>70.503745698538452</v>
      </c>
      <c r="BY510" s="25">
        <v>45.272380943804251</v>
      </c>
      <c r="BZ510">
        <v>70</v>
      </c>
      <c r="CA510">
        <v>0</v>
      </c>
      <c r="CB510">
        <v>7</v>
      </c>
      <c r="CC510">
        <v>11568.031976</v>
      </c>
      <c r="CD510" s="10">
        <v>8602.187398</v>
      </c>
      <c r="CE510" s="255">
        <v>0.74361718707614333</v>
      </c>
      <c r="CF510" t="str">
        <f>IFERROR(VLOOKUP(CE510,'Rangos amb etnico'!$A$2:$C$6,3,9),"N.D.")</f>
        <v>71% - 100%</v>
      </c>
      <c r="CG510" s="256">
        <v>2.5027005877453198E-4</v>
      </c>
      <c r="CH510" s="232">
        <v>0</v>
      </c>
      <c r="CI510" s="311">
        <f t="shared" si="211"/>
        <v>0</v>
      </c>
      <c r="CJ510" s="232">
        <f>IFERROR(VLOOKUP(CI510,'Rangos amb etnico'!$A$2:$C$6,3,9),"N.D.")</f>
        <v>0</v>
      </c>
      <c r="CK510" s="311">
        <f t="shared" si="212"/>
        <v>0</v>
      </c>
      <c r="CL510" s="10">
        <v>0</v>
      </c>
      <c r="CM510" s="255">
        <f t="shared" si="213"/>
        <v>0</v>
      </c>
      <c r="CN510" s="232">
        <f>IFERROR(VLOOKUP(CM510,'Rangos amb etnico'!$A$2:$C$6,3,9),"N.D.")</f>
        <v>0</v>
      </c>
      <c r="CO510" s="311">
        <f t="shared" si="214"/>
        <v>0</v>
      </c>
      <c r="CP510">
        <v>0.99207300607767612</v>
      </c>
      <c r="CQ510" t="s">
        <v>2864</v>
      </c>
      <c r="CR510">
        <f t="shared" si="205"/>
        <v>1</v>
      </c>
      <c r="CS510" t="str">
        <f t="shared" si="215"/>
        <v>No es Candidato</v>
      </c>
      <c r="CT510">
        <v>0</v>
      </c>
      <c r="CU510">
        <v>0</v>
      </c>
      <c r="CV510" s="25">
        <v>54.420322418212891</v>
      </c>
      <c r="CW510" s="25">
        <v>24.464740753173832</v>
      </c>
      <c r="CX510" s="25">
        <v>49.370311737060547</v>
      </c>
      <c r="CY510" s="25">
        <v>61.319667816162109</v>
      </c>
      <c r="CZ510" s="25">
        <v>55.256607055664063</v>
      </c>
      <c r="DA510" s="25">
        <v>81.087265014648438</v>
      </c>
      <c r="DB510" s="25">
        <v>55.023334503173828</v>
      </c>
      <c r="DC510">
        <v>2012</v>
      </c>
      <c r="DD510" s="253" t="s">
        <v>380</v>
      </c>
    </row>
    <row r="511" spans="1:108" hidden="1">
      <c r="A511" s="13">
        <v>54673</v>
      </c>
      <c r="B511" s="13" t="s">
        <v>1469</v>
      </c>
      <c r="C511" s="13" t="s">
        <v>517</v>
      </c>
      <c r="D511" s="13" t="s">
        <v>518</v>
      </c>
      <c r="E511" s="13" t="s">
        <v>1470</v>
      </c>
      <c r="F511" s="14">
        <v>74.337800000000001</v>
      </c>
      <c r="G511" s="13">
        <v>67.91</v>
      </c>
      <c r="H511" s="13">
        <v>57.51</v>
      </c>
      <c r="I511" s="13">
        <v>79.14</v>
      </c>
      <c r="J511" s="14">
        <v>47.139521920399218</v>
      </c>
      <c r="K511" s="14">
        <v>65.973832439754474</v>
      </c>
      <c r="L511" s="14">
        <v>62.233306583823449</v>
      </c>
      <c r="M511" s="14">
        <v>59.530999999999999</v>
      </c>
      <c r="N511" s="14">
        <f t="shared" si="189"/>
        <v>69.72444999999999</v>
      </c>
      <c r="O511" s="14">
        <f t="shared" si="190"/>
        <v>58.71941523599429</v>
      </c>
      <c r="P511" s="14">
        <f t="shared" si="206"/>
        <v>64.22193261799714</v>
      </c>
      <c r="Q511" s="14">
        <v>52.978567224874951</v>
      </c>
      <c r="R511" s="17">
        <f t="shared" si="191"/>
        <v>47.021432775125049</v>
      </c>
      <c r="S511" s="14">
        <f t="shared" si="207"/>
        <v>0.52319289497612542</v>
      </c>
      <c r="T511" s="13">
        <v>0</v>
      </c>
      <c r="U511" s="13">
        <f t="shared" si="208"/>
        <v>33.600458847371584</v>
      </c>
      <c r="V511" s="13">
        <f>IF($T511=1,$AU511,(VLOOKUP(U511,'Cortes naturales'!$A$35:$C$39,3,9)))</f>
        <v>3</v>
      </c>
      <c r="W511" s="13">
        <v>3</v>
      </c>
      <c r="X511" s="14" t="b">
        <f t="shared" si="192"/>
        <v>1</v>
      </c>
      <c r="Y511" s="17">
        <f>IF($T511=1,$AU511,VLOOKUP(U511,'Cortes naturales'!$A$45:$C$49,3,9))</f>
        <v>3</v>
      </c>
      <c r="Z511" s="14">
        <v>62.290080359908394</v>
      </c>
      <c r="AA511" s="14">
        <v>0.52703400273864087</v>
      </c>
      <c r="AB511" s="14">
        <v>32.828990382994121</v>
      </c>
      <c r="AC511" s="13">
        <v>3</v>
      </c>
      <c r="AD511" s="13">
        <f t="shared" si="193"/>
        <v>0</v>
      </c>
      <c r="AE511" s="14">
        <f t="shared" si="194"/>
        <v>1.9318522580887461</v>
      </c>
      <c r="AF511" s="14">
        <f t="shared" si="195"/>
        <v>-3.8411077625154499E-3</v>
      </c>
      <c r="AG511" s="13">
        <f t="shared" si="196"/>
        <v>0.77146846437746319</v>
      </c>
      <c r="AH511" s="13">
        <f>IF($T511=1,$AU511,VLOOKUP(U511,'Cortes naturales'!$A$25:$C$29,3,9))</f>
        <v>3</v>
      </c>
      <c r="AI511" s="13" t="b">
        <f t="shared" si="197"/>
        <v>1</v>
      </c>
      <c r="AJ511" s="13">
        <f t="shared" si="198"/>
        <v>0</v>
      </c>
      <c r="AK511" s="28">
        <v>0.81759069605862034</v>
      </c>
      <c r="AL511" s="28">
        <v>50.9277901590049</v>
      </c>
      <c r="AM511" s="28">
        <v>0.46642696009630025</v>
      </c>
      <c r="AN511" s="13">
        <v>3</v>
      </c>
      <c r="AO511" s="33">
        <f t="shared" si="199"/>
        <v>0</v>
      </c>
      <c r="AP511" s="13">
        <f t="shared" si="209"/>
        <v>46.642696009630022</v>
      </c>
      <c r="AQ511" s="13">
        <f>IFERROR(VLOOKUP(U511,'Cortes naturales'!$E$15:$G$19,3,9),U511)</f>
        <v>4</v>
      </c>
      <c r="AR511" s="28">
        <f t="shared" si="200"/>
        <v>-0.29439780108249491</v>
      </c>
      <c r="AS511" s="13" t="b">
        <f t="shared" si="201"/>
        <v>0</v>
      </c>
      <c r="AT511" s="13">
        <f t="shared" si="210"/>
        <v>0</v>
      </c>
      <c r="AU511" s="13">
        <v>3</v>
      </c>
      <c r="AV511">
        <f t="shared" si="202"/>
        <v>0</v>
      </c>
      <c r="AW511" s="13">
        <v>0</v>
      </c>
      <c r="AX511" s="13">
        <v>0</v>
      </c>
      <c r="AY511" s="13">
        <v>0</v>
      </c>
      <c r="AZ511" s="13">
        <v>0</v>
      </c>
      <c r="BA511">
        <v>0</v>
      </c>
      <c r="BB511" t="s">
        <v>2838</v>
      </c>
      <c r="BC511">
        <v>6</v>
      </c>
      <c r="BD511" s="184" t="s">
        <v>2917</v>
      </c>
      <c r="BE511">
        <v>1</v>
      </c>
      <c r="BF511" s="232" t="s">
        <v>2846</v>
      </c>
      <c r="BG511" s="232" t="s">
        <v>2846</v>
      </c>
      <c r="BH511" s="253">
        <v>37.6</v>
      </c>
      <c r="BI511" s="253">
        <v>22.92945933802606</v>
      </c>
      <c r="BJ511" s="25">
        <v>14.681626450259197</v>
      </c>
      <c r="BK511" t="s">
        <v>379</v>
      </c>
      <c r="BL511">
        <v>20.615190906921502</v>
      </c>
      <c r="BM511" t="s">
        <v>376</v>
      </c>
      <c r="BN511" s="322">
        <v>30775.181302000001</v>
      </c>
      <c r="BO511" s="322">
        <v>8594.4575000000004</v>
      </c>
      <c r="BP511" s="10">
        <v>8712</v>
      </c>
      <c r="BQ511" s="254">
        <f t="shared" si="203"/>
        <v>3.5325047408172638</v>
      </c>
      <c r="BR511" s="254">
        <f t="shared" si="204"/>
        <v>0.98650797750229569</v>
      </c>
      <c r="BS511" s="25">
        <v>66.951820325463416</v>
      </c>
      <c r="BT511" s="25">
        <v>76.754804107744107</v>
      </c>
      <c r="BU511" s="25">
        <v>53.401666666666671</v>
      </c>
      <c r="BV511" s="25">
        <v>88.98385642019214</v>
      </c>
      <c r="BW511" s="25">
        <v>58.411415901409264</v>
      </c>
      <c r="BX511" s="25">
        <v>71.523036880016591</v>
      </c>
      <c r="BY511" s="25">
        <v>60.680229056812422</v>
      </c>
      <c r="BZ511">
        <v>73</v>
      </c>
      <c r="CA511">
        <v>0</v>
      </c>
      <c r="CB511">
        <v>7</v>
      </c>
      <c r="CC511">
        <v>13897.553894000001</v>
      </c>
      <c r="CD511" s="10">
        <v>7552.4948670000003</v>
      </c>
      <c r="CE511" s="255">
        <v>0.54344058850965449</v>
      </c>
      <c r="CF511" t="str">
        <f>IFERROR(VLOOKUP(CE511,'Rangos amb etnico'!$A$2:$C$6,3,9),"N.D.")</f>
        <v>51% - 70%</v>
      </c>
      <c r="CG511" s="256">
        <v>2.1973054605830866E-4</v>
      </c>
      <c r="CH511" s="232">
        <v>0</v>
      </c>
      <c r="CI511" s="311">
        <f t="shared" si="211"/>
        <v>0</v>
      </c>
      <c r="CJ511" s="232">
        <f>IFERROR(VLOOKUP(CI511,'Rangos amb etnico'!$A$2:$C$6,3,9),"N.D.")</f>
        <v>0</v>
      </c>
      <c r="CK511" s="311">
        <f t="shared" si="212"/>
        <v>0</v>
      </c>
      <c r="CL511" s="10">
        <v>0</v>
      </c>
      <c r="CM511" s="255">
        <f t="shared" si="213"/>
        <v>0</v>
      </c>
      <c r="CN511" s="232">
        <f>IFERROR(VLOOKUP(CM511,'Rangos amb etnico'!$A$2:$C$6,3,9),"N.D.")</f>
        <v>0</v>
      </c>
      <c r="CO511" s="311">
        <f t="shared" si="214"/>
        <v>0</v>
      </c>
      <c r="CP511">
        <v>0.93859164034429976</v>
      </c>
      <c r="CQ511" t="s">
        <v>2864</v>
      </c>
      <c r="CR511">
        <f t="shared" si="205"/>
        <v>3</v>
      </c>
      <c r="CS511" t="str">
        <f t="shared" si="215"/>
        <v>Candidato</v>
      </c>
      <c r="CT511">
        <v>1</v>
      </c>
      <c r="CU511" t="s">
        <v>2835</v>
      </c>
      <c r="CV511" s="25">
        <v>49.585308074951172</v>
      </c>
      <c r="CW511" s="25">
        <v>40.198772430419922</v>
      </c>
      <c r="CX511" s="25">
        <v>50.855838775634773</v>
      </c>
      <c r="CY511" s="25">
        <v>60.318630218505859</v>
      </c>
      <c r="CZ511" s="25">
        <v>48.943977355957031</v>
      </c>
      <c r="DA511" s="25">
        <v>23.330465316772461</v>
      </c>
      <c r="DB511" s="25">
        <v>73.864173889160156</v>
      </c>
      <c r="DC511">
        <v>123</v>
      </c>
      <c r="DD511" s="253" t="s">
        <v>380</v>
      </c>
    </row>
    <row r="512" spans="1:108" hidden="1">
      <c r="A512" s="13">
        <v>25095</v>
      </c>
      <c r="B512" s="13" t="s">
        <v>1471</v>
      </c>
      <c r="C512" s="13" t="s">
        <v>461</v>
      </c>
      <c r="D512" s="13" t="s">
        <v>462</v>
      </c>
      <c r="E512" s="13" t="s">
        <v>1472</v>
      </c>
      <c r="F512" s="14">
        <v>60.313466666666699</v>
      </c>
      <c r="G512" s="13">
        <v>82.78</v>
      </c>
      <c r="H512" s="13">
        <v>77.760000000000005</v>
      </c>
      <c r="I512" s="13">
        <v>72.19</v>
      </c>
      <c r="J512" s="14">
        <v>51.728833948277156</v>
      </c>
      <c r="K512" s="14">
        <v>56.326676800230608</v>
      </c>
      <c r="L512" s="14">
        <v>60.052447613000844</v>
      </c>
      <c r="M512" s="14">
        <v>53.48</v>
      </c>
      <c r="N512" s="14">
        <f t="shared" si="189"/>
        <v>73.260866666666672</v>
      </c>
      <c r="O512" s="14">
        <f t="shared" si="190"/>
        <v>55.396989590377153</v>
      </c>
      <c r="P512" s="14">
        <f t="shared" si="206"/>
        <v>64.328928128521909</v>
      </c>
      <c r="Q512" s="14">
        <v>54.930836680947046</v>
      </c>
      <c r="R512" s="17">
        <f t="shared" si="191"/>
        <v>45.069163319052954</v>
      </c>
      <c r="S512" s="14">
        <f t="shared" si="207"/>
        <v>0.50562246987147663</v>
      </c>
      <c r="T512" s="13">
        <v>0</v>
      </c>
      <c r="U512" s="13">
        <f t="shared" si="208"/>
        <v>32.526151524527954</v>
      </c>
      <c r="V512" s="13">
        <f>IF($T512=1,$AU512,(VLOOKUP(U512,'Cortes naturales'!$A$35:$C$39,3,9)))</f>
        <v>3</v>
      </c>
      <c r="W512" s="13">
        <v>3</v>
      </c>
      <c r="X512" s="14" t="b">
        <f t="shared" si="192"/>
        <v>1</v>
      </c>
      <c r="Y512" s="17">
        <f>IF($T512=1,$AU512,VLOOKUP(U512,'Cortes naturales'!$A$45:$C$49,3,9))</f>
        <v>3</v>
      </c>
      <c r="Z512" s="14">
        <v>60.997905202738636</v>
      </c>
      <c r="AA512" s="14">
        <v>0.52339962058412803</v>
      </c>
      <c r="AB512" s="14">
        <v>31.926280439540012</v>
      </c>
      <c r="AC512" s="13">
        <v>3</v>
      </c>
      <c r="AD512" s="13">
        <f t="shared" si="193"/>
        <v>0</v>
      </c>
      <c r="AE512" s="14">
        <f t="shared" si="194"/>
        <v>3.3310229257832731</v>
      </c>
      <c r="AF512" s="14">
        <f t="shared" si="195"/>
        <v>-1.7777150712651402E-2</v>
      </c>
      <c r="AG512" s="13">
        <f t="shared" si="196"/>
        <v>0.59987108498794228</v>
      </c>
      <c r="AH512" s="13">
        <f>IF($T512=1,$AU512,VLOOKUP(U512,'Cortes naturales'!$A$25:$C$29,3,9))</f>
        <v>3</v>
      </c>
      <c r="AI512" s="13" t="b">
        <f t="shared" si="197"/>
        <v>1</v>
      </c>
      <c r="AJ512" s="13">
        <f t="shared" si="198"/>
        <v>0</v>
      </c>
      <c r="AK512" s="28">
        <v>0.81759069605862034</v>
      </c>
      <c r="AL512" s="28">
        <v>49.871319772824819</v>
      </c>
      <c r="AM512" s="28">
        <v>0.45321162918994373</v>
      </c>
      <c r="AN512" s="13">
        <v>3</v>
      </c>
      <c r="AO512" s="33">
        <f t="shared" si="199"/>
        <v>0</v>
      </c>
      <c r="AP512" s="13">
        <f t="shared" si="209"/>
        <v>45.321162918994375</v>
      </c>
      <c r="AQ512" s="13">
        <f>IFERROR(VLOOKUP(U512,'Cortes naturales'!$E$15:$G$19,3,9),U512)</f>
        <v>4</v>
      </c>
      <c r="AR512" s="28">
        <f t="shared" si="200"/>
        <v>-0.3119682261871437</v>
      </c>
      <c r="AS512" s="13" t="b">
        <f t="shared" si="201"/>
        <v>0</v>
      </c>
      <c r="AT512" s="13">
        <f t="shared" si="210"/>
        <v>0</v>
      </c>
      <c r="AU512" s="13">
        <v>3</v>
      </c>
      <c r="AV512">
        <f t="shared" si="202"/>
        <v>0</v>
      </c>
      <c r="AW512" s="13">
        <v>0</v>
      </c>
      <c r="AX512" s="13">
        <v>0</v>
      </c>
      <c r="AY512" s="13">
        <v>0</v>
      </c>
      <c r="AZ512" s="13">
        <v>0</v>
      </c>
      <c r="BA512">
        <v>0</v>
      </c>
      <c r="BB512" t="s">
        <v>2841</v>
      </c>
      <c r="BC512">
        <v>6</v>
      </c>
      <c r="BD512" t="s">
        <v>2919</v>
      </c>
      <c r="BE512">
        <v>0</v>
      </c>
      <c r="BF512" s="232" t="s">
        <v>2846</v>
      </c>
      <c r="BG512" s="232" t="s">
        <v>2846</v>
      </c>
      <c r="BH512" s="253">
        <v>29.3</v>
      </c>
      <c r="BI512" s="253">
        <v>9.6716149347728297</v>
      </c>
      <c r="BJ512" s="25">
        <v>9.85</v>
      </c>
      <c r="BK512" t="s">
        <v>377</v>
      </c>
      <c r="BL512">
        <v>0</v>
      </c>
      <c r="BM512" t="s">
        <v>377</v>
      </c>
      <c r="BN512" s="322">
        <v>9317.1982220000009</v>
      </c>
      <c r="BO512" s="322">
        <v>1248.335957</v>
      </c>
      <c r="BP512" s="10">
        <v>2476</v>
      </c>
      <c r="BQ512" s="254">
        <f t="shared" si="203"/>
        <v>3.7630041284329567</v>
      </c>
      <c r="BR512" s="254">
        <f t="shared" si="204"/>
        <v>0.50417445759289181</v>
      </c>
      <c r="BS512" s="25">
        <v>65.465499396239423</v>
      </c>
      <c r="BT512" s="25">
        <v>84.975767366720518</v>
      </c>
      <c r="BU512" s="25">
        <v>37.644331689947933</v>
      </c>
      <c r="BV512" s="25">
        <v>98.605325517883117</v>
      </c>
      <c r="BW512" s="25">
        <v>55.354990110634724</v>
      </c>
      <c r="BX512" s="25">
        <v>71.672730992697751</v>
      </c>
      <c r="BY512" s="25">
        <v>56.843365454440907</v>
      </c>
      <c r="BZ512">
        <v>52</v>
      </c>
      <c r="CA512">
        <v>0</v>
      </c>
      <c r="CB512">
        <v>7</v>
      </c>
      <c r="CC512">
        <v>6101.6943650000003</v>
      </c>
      <c r="CD512" s="10">
        <v>3338.3576170000001</v>
      </c>
      <c r="CE512" s="255">
        <v>0.54711976990345368</v>
      </c>
      <c r="CF512" t="str">
        <f>IFERROR(VLOOKUP(CE512,'Rangos amb etnico'!$A$2:$C$6,3,9),"N.D.")</f>
        <v>51% - 70%</v>
      </c>
      <c r="CG512" s="256">
        <v>9.7125407569154725E-5</v>
      </c>
      <c r="CH512" s="232">
        <v>0</v>
      </c>
      <c r="CI512" s="311">
        <f t="shared" si="211"/>
        <v>0</v>
      </c>
      <c r="CJ512" s="232">
        <f>IFERROR(VLOOKUP(CI512,'Rangos amb etnico'!$A$2:$C$6,3,9),"N.D.")</f>
        <v>0</v>
      </c>
      <c r="CK512" s="311">
        <f t="shared" si="212"/>
        <v>0</v>
      </c>
      <c r="CL512" s="10">
        <v>0</v>
      </c>
      <c r="CM512" s="255">
        <f t="shared" si="213"/>
        <v>0</v>
      </c>
      <c r="CN512" s="232">
        <f>IFERROR(VLOOKUP(CM512,'Rangos amb etnico'!$A$2:$C$6,3,9),"N.D.")</f>
        <v>0</v>
      </c>
      <c r="CO512" s="311">
        <f t="shared" si="214"/>
        <v>0</v>
      </c>
      <c r="CP512">
        <v>0.9595871426419964</v>
      </c>
      <c r="CQ512" t="s">
        <v>2864</v>
      </c>
      <c r="CR512">
        <f t="shared" si="205"/>
        <v>2</v>
      </c>
      <c r="CS512" t="str">
        <f t="shared" si="215"/>
        <v>No es Candidato</v>
      </c>
      <c r="CT512">
        <v>0</v>
      </c>
      <c r="CU512">
        <v>0</v>
      </c>
      <c r="CV512" s="25">
        <v>46.352561950683587</v>
      </c>
      <c r="CW512" s="25">
        <v>14.306514739990231</v>
      </c>
      <c r="CX512" s="25">
        <v>43.994850158691413</v>
      </c>
      <c r="CY512" s="25">
        <v>69.288619995117188</v>
      </c>
      <c r="CZ512" s="25">
        <v>48.592288970947273</v>
      </c>
      <c r="DA512" s="25">
        <v>60.884716033935547</v>
      </c>
      <c r="DB512" s="25">
        <v>41.048389434814453</v>
      </c>
      <c r="DC512">
        <v>17</v>
      </c>
      <c r="DD512" s="253" t="s">
        <v>380</v>
      </c>
    </row>
    <row r="513" spans="1:108" hidden="1">
      <c r="A513" s="13">
        <v>54099</v>
      </c>
      <c r="B513" s="13" t="s">
        <v>1473</v>
      </c>
      <c r="C513" s="13" t="s">
        <v>517</v>
      </c>
      <c r="D513" s="13" t="s">
        <v>518</v>
      </c>
      <c r="E513" s="13" t="s">
        <v>1474</v>
      </c>
      <c r="F513" s="14">
        <v>65.432466666666699</v>
      </c>
      <c r="G513" s="13">
        <v>70.62</v>
      </c>
      <c r="H513" s="13">
        <v>50.77</v>
      </c>
      <c r="I513" s="13">
        <v>43.94</v>
      </c>
      <c r="J513" s="14">
        <v>52.693580438073823</v>
      </c>
      <c r="K513" s="14">
        <v>59.415426912283841</v>
      </c>
      <c r="L513" s="14">
        <v>60.990052172307834</v>
      </c>
      <c r="M513" s="14">
        <v>49.725099999999998</v>
      </c>
      <c r="N513" s="14">
        <f t="shared" si="189"/>
        <v>57.690616666666678</v>
      </c>
      <c r="O513" s="14">
        <f t="shared" si="190"/>
        <v>55.706039880666374</v>
      </c>
      <c r="P513" s="14">
        <f t="shared" si="206"/>
        <v>56.698328273666526</v>
      </c>
      <c r="Q513" s="14">
        <v>53.383193429074346</v>
      </c>
      <c r="R513" s="17">
        <f t="shared" si="191"/>
        <v>46.616806570925654</v>
      </c>
      <c r="S513" s="14">
        <f t="shared" si="207"/>
        <v>0.51955125913833089</v>
      </c>
      <c r="T513" s="13">
        <v>0</v>
      </c>
      <c r="U513" s="13">
        <f t="shared" si="208"/>
        <v>29.457687845621869</v>
      </c>
      <c r="V513" s="13">
        <f>IF($T513=1,$AU513,(VLOOKUP(U513,'Cortes naturales'!$A$35:$C$39,3,9)))</f>
        <v>4</v>
      </c>
      <c r="W513" s="13">
        <v>4</v>
      </c>
      <c r="X513" s="14" t="b">
        <f t="shared" si="192"/>
        <v>1</v>
      </c>
      <c r="Y513" s="17">
        <f>IF($T513=1,$AU513,VLOOKUP(U513,'Cortes naturales'!$A$45:$C$49,3,9))</f>
        <v>3</v>
      </c>
      <c r="Z513" s="14">
        <v>59.746195308397695</v>
      </c>
      <c r="AA513" s="14">
        <v>0.52680833229118018</v>
      </c>
      <c r="AB513" s="14">
        <v>31.474793511160122</v>
      </c>
      <c r="AC513" s="13">
        <v>3</v>
      </c>
      <c r="AD513" s="13">
        <f t="shared" si="193"/>
        <v>0</v>
      </c>
      <c r="AE513" s="14">
        <f t="shared" si="194"/>
        <v>-3.0478670347311692</v>
      </c>
      <c r="AF513" s="14">
        <f t="shared" si="195"/>
        <v>-7.2570731528492916E-3</v>
      </c>
      <c r="AG513" s="13">
        <f t="shared" si="196"/>
        <v>-2.0171056655382529</v>
      </c>
      <c r="AH513" s="13">
        <f>IF($T513=1,$AU513,VLOOKUP(U513,'Cortes naturales'!$A$25:$C$29,3,9))</f>
        <v>3</v>
      </c>
      <c r="AI513" s="13" t="b">
        <f t="shared" si="197"/>
        <v>1</v>
      </c>
      <c r="AJ513" s="13">
        <f t="shared" si="198"/>
        <v>0</v>
      </c>
      <c r="AK513" s="28">
        <v>0.81759069605862034</v>
      </c>
      <c r="AL513" s="28">
        <v>48.847933409047151</v>
      </c>
      <c r="AM513" s="28">
        <v>0.44041014452999455</v>
      </c>
      <c r="AN513" s="13">
        <v>3</v>
      </c>
      <c r="AO513" s="33">
        <f t="shared" si="199"/>
        <v>0</v>
      </c>
      <c r="AP513" s="13">
        <f t="shared" si="209"/>
        <v>44.041014452999455</v>
      </c>
      <c r="AQ513" s="13">
        <f>IFERROR(VLOOKUP(U513,'Cortes naturales'!$E$15:$G$19,3,9),U513)</f>
        <v>4</v>
      </c>
      <c r="AR513" s="28">
        <f t="shared" si="200"/>
        <v>-0.29803943692028945</v>
      </c>
      <c r="AS513" s="13" t="b">
        <f t="shared" si="201"/>
        <v>0</v>
      </c>
      <c r="AT513" s="13">
        <f t="shared" si="210"/>
        <v>0</v>
      </c>
      <c r="AU513" s="13">
        <v>3</v>
      </c>
      <c r="AV513">
        <f t="shared" si="202"/>
        <v>0</v>
      </c>
      <c r="AW513" s="13">
        <v>0</v>
      </c>
      <c r="AX513" s="13">
        <v>0</v>
      </c>
      <c r="AY513" s="13">
        <v>0</v>
      </c>
      <c r="AZ513" s="13">
        <v>0</v>
      </c>
      <c r="BA513">
        <v>0</v>
      </c>
      <c r="BB513" t="s">
        <v>2839</v>
      </c>
      <c r="BC513">
        <v>6</v>
      </c>
      <c r="BD513" t="s">
        <v>2919</v>
      </c>
      <c r="BE513">
        <v>0</v>
      </c>
      <c r="BF513" s="232" t="s">
        <v>2846</v>
      </c>
      <c r="BG513" s="232" t="s">
        <v>2846</v>
      </c>
      <c r="BH513" s="253">
        <v>36.299999999999997</v>
      </c>
      <c r="BI513" s="253">
        <v>16.19338867045289</v>
      </c>
      <c r="BJ513" s="25">
        <v>31.613891315929674</v>
      </c>
      <c r="BK513" t="s">
        <v>379</v>
      </c>
      <c r="BL513">
        <v>0.91416916004087856</v>
      </c>
      <c r="BM513" t="s">
        <v>383</v>
      </c>
      <c r="BN513" s="322">
        <v>24030.811075000001</v>
      </c>
      <c r="BO513" s="322">
        <v>2535.0086449999999</v>
      </c>
      <c r="BP513" s="10">
        <v>9467</v>
      </c>
      <c r="BQ513" s="254">
        <f t="shared" si="203"/>
        <v>2.5383765791697477</v>
      </c>
      <c r="BR513" s="254">
        <f t="shared" si="204"/>
        <v>0.267773174712158</v>
      </c>
      <c r="BS513" s="25">
        <v>52.489936532776909</v>
      </c>
      <c r="BT513" s="25">
        <v>83.162068469772194</v>
      </c>
      <c r="BU513" s="25">
        <v>39.298888888888868</v>
      </c>
      <c r="BV513" s="25">
        <v>95.599093487320076</v>
      </c>
      <c r="BW513" s="25">
        <v>59.676843058659188</v>
      </c>
      <c r="BX513" s="25">
        <v>67.637496844689522</v>
      </c>
      <c r="BY513" s="25">
        <v>59.791194270716041</v>
      </c>
      <c r="BZ513">
        <v>1</v>
      </c>
      <c r="CA513">
        <v>0</v>
      </c>
      <c r="CB513">
        <v>7</v>
      </c>
      <c r="CC513">
        <v>16996.362807000001</v>
      </c>
      <c r="CD513" s="10">
        <v>7023.226447</v>
      </c>
      <c r="CE513" s="255">
        <v>0.41321937680145682</v>
      </c>
      <c r="CF513" t="str">
        <f>IFERROR(VLOOKUP(CE513,'Rangos amb etnico'!$A$2:$C$6,3,9),"N.D.")</f>
        <v>31% - 50%</v>
      </c>
      <c r="CG513" s="256">
        <v>2.0433213255574993E-4</v>
      </c>
      <c r="CH513" s="232">
        <v>0</v>
      </c>
      <c r="CI513" s="311">
        <f t="shared" si="211"/>
        <v>0</v>
      </c>
      <c r="CJ513" s="232">
        <f>IFERROR(VLOOKUP(CI513,'Rangos amb etnico'!$A$2:$C$6,3,9),"N.D.")</f>
        <v>0</v>
      </c>
      <c r="CK513" s="311">
        <f t="shared" si="212"/>
        <v>0</v>
      </c>
      <c r="CL513" s="10">
        <v>0</v>
      </c>
      <c r="CM513" s="255">
        <f t="shared" si="213"/>
        <v>0</v>
      </c>
      <c r="CN513" s="232">
        <f>IFERROR(VLOOKUP(CM513,'Rangos amb etnico'!$A$2:$C$6,3,9),"N.D.")</f>
        <v>0</v>
      </c>
      <c r="CO513" s="311">
        <f t="shared" si="214"/>
        <v>0</v>
      </c>
      <c r="CP513">
        <v>0.93529477424778951</v>
      </c>
      <c r="CQ513" t="s">
        <v>2864</v>
      </c>
      <c r="CR513">
        <f t="shared" si="205"/>
        <v>1</v>
      </c>
      <c r="CS513" t="str">
        <f t="shared" si="215"/>
        <v>No es Candidato</v>
      </c>
      <c r="CT513">
        <v>1</v>
      </c>
      <c r="CU513" t="s">
        <v>2836</v>
      </c>
      <c r="CV513" s="25">
        <v>48.300949096679688</v>
      </c>
      <c r="CW513" s="25">
        <v>31.92648887634277</v>
      </c>
      <c r="CX513" s="25">
        <v>49.116832733154297</v>
      </c>
      <c r="CY513" s="25">
        <v>59.203681945800781</v>
      </c>
      <c r="CZ513" s="25">
        <v>44.237392425537109</v>
      </c>
      <c r="DA513" s="25">
        <v>48.381671905517578</v>
      </c>
      <c r="DB513" s="25">
        <v>56.93963623046875</v>
      </c>
      <c r="DC513">
        <v>124</v>
      </c>
      <c r="DD513" s="253" t="s">
        <v>380</v>
      </c>
    </row>
    <row r="514" spans="1:108" hidden="1">
      <c r="A514" s="13">
        <v>25851</v>
      </c>
      <c r="B514" s="13" t="s">
        <v>1475</v>
      </c>
      <c r="C514" s="13" t="s">
        <v>461</v>
      </c>
      <c r="D514" s="13" t="s">
        <v>462</v>
      </c>
      <c r="E514" s="13" t="s">
        <v>1476</v>
      </c>
      <c r="F514" s="14">
        <v>68.246333333333297</v>
      </c>
      <c r="G514" s="13">
        <v>62.6</v>
      </c>
      <c r="H514" s="13">
        <v>23.17</v>
      </c>
      <c r="I514" s="13">
        <v>57.1</v>
      </c>
      <c r="J514" s="14">
        <v>61.213013443395063</v>
      </c>
      <c r="K514" s="14">
        <v>54.290844126341547</v>
      </c>
      <c r="L514" s="14">
        <v>60.179320478704057</v>
      </c>
      <c r="M514" s="14">
        <v>65.2714</v>
      </c>
      <c r="N514" s="14">
        <f t="shared" si="189"/>
        <v>52.779083333333325</v>
      </c>
      <c r="O514" s="14">
        <f t="shared" si="190"/>
        <v>60.238644512110163</v>
      </c>
      <c r="P514" s="14">
        <f t="shared" si="206"/>
        <v>56.508863922721744</v>
      </c>
      <c r="Q514" s="14">
        <v>54.902085728326163</v>
      </c>
      <c r="R514" s="17">
        <f t="shared" si="191"/>
        <v>45.097914271673837</v>
      </c>
      <c r="S514" s="14">
        <f t="shared" si="207"/>
        <v>0.50588122844506456</v>
      </c>
      <c r="T514" s="13">
        <v>0</v>
      </c>
      <c r="U514" s="13">
        <f t="shared" si="208"/>
        <v>28.586773499261465</v>
      </c>
      <c r="V514" s="13">
        <f>IF($T514=1,$AU514,(VLOOKUP(U514,'Cortes naturales'!$A$35:$C$39,3,9)))</f>
        <v>4</v>
      </c>
      <c r="W514" s="13">
        <v>4</v>
      </c>
      <c r="X514" s="14" t="b">
        <f t="shared" si="192"/>
        <v>1</v>
      </c>
      <c r="Y514" s="17">
        <f>IF($T514=1,$AU514,VLOOKUP(U514,'Cortes naturales'!$A$45:$C$49,3,9))</f>
        <v>3</v>
      </c>
      <c r="Z514" s="14">
        <v>56.94300208186236</v>
      </c>
      <c r="AA514" s="14">
        <v>0.52359551060771825</v>
      </c>
      <c r="AB514" s="14">
        <v>29.815100250589087</v>
      </c>
      <c r="AC514" s="13">
        <v>3</v>
      </c>
      <c r="AD514" s="13">
        <f t="shared" si="193"/>
        <v>0</v>
      </c>
      <c r="AE514" s="14">
        <f t="shared" si="194"/>
        <v>-0.43413815914061615</v>
      </c>
      <c r="AF514" s="14">
        <f t="shared" si="195"/>
        <v>-1.7714282162653694E-2</v>
      </c>
      <c r="AG514" s="13">
        <f t="shared" si="196"/>
        <v>-1.2283267513276215</v>
      </c>
      <c r="AH514" s="13">
        <f>IF($T514=1,$AU514,VLOOKUP(U514,'Cortes naturales'!$A$25:$C$29,3,9))</f>
        <v>3</v>
      </c>
      <c r="AI514" s="13" t="b">
        <f t="shared" si="197"/>
        <v>1</v>
      </c>
      <c r="AJ514" s="13">
        <f t="shared" si="198"/>
        <v>0</v>
      </c>
      <c r="AK514" s="28">
        <v>0.81759069605862034</v>
      </c>
      <c r="AL514" s="28">
        <v>46.556068707777314</v>
      </c>
      <c r="AM514" s="28">
        <v>0.41174133297022009</v>
      </c>
      <c r="AN514" s="13">
        <v>3</v>
      </c>
      <c r="AO514" s="33">
        <f t="shared" si="199"/>
        <v>0</v>
      </c>
      <c r="AP514" s="13">
        <f t="shared" si="209"/>
        <v>41.17413329702201</v>
      </c>
      <c r="AQ514" s="13">
        <f>IFERROR(VLOOKUP(U514,'Cortes naturales'!$E$15:$G$19,3,9),U514)</f>
        <v>4</v>
      </c>
      <c r="AR514" s="28">
        <f t="shared" si="200"/>
        <v>-0.31170946761355578</v>
      </c>
      <c r="AS514" s="13" t="b">
        <f t="shared" si="201"/>
        <v>0</v>
      </c>
      <c r="AT514" s="13">
        <f t="shared" si="210"/>
        <v>0</v>
      </c>
      <c r="AU514" s="13">
        <v>3</v>
      </c>
      <c r="AV514">
        <f t="shared" si="202"/>
        <v>0</v>
      </c>
      <c r="AW514" s="13">
        <v>0</v>
      </c>
      <c r="AX514" s="13">
        <v>0</v>
      </c>
      <c r="AY514" s="13">
        <v>0</v>
      </c>
      <c r="AZ514" s="13">
        <v>0</v>
      </c>
      <c r="BA514">
        <v>0</v>
      </c>
      <c r="BB514" t="s">
        <v>2839</v>
      </c>
      <c r="BC514">
        <v>6</v>
      </c>
      <c r="BD514" t="s">
        <v>2919</v>
      </c>
      <c r="BE514">
        <v>0</v>
      </c>
      <c r="BF514" s="232" t="s">
        <v>2846</v>
      </c>
      <c r="BG514" s="232" t="s">
        <v>2846</v>
      </c>
      <c r="BH514" s="253">
        <v>35.5</v>
      </c>
      <c r="BI514" s="253">
        <v>16.919631749191343</v>
      </c>
      <c r="BJ514" s="25">
        <v>3.3254545454545452</v>
      </c>
      <c r="BK514" t="s">
        <v>381</v>
      </c>
      <c r="BL514">
        <v>1.7346108256870223</v>
      </c>
      <c r="BM514" t="s">
        <v>383</v>
      </c>
      <c r="BN514" s="322">
        <v>13458.380846</v>
      </c>
      <c r="BO514" s="322">
        <v>1635.1875680000001</v>
      </c>
      <c r="BP514" s="10">
        <v>4342</v>
      </c>
      <c r="BQ514" s="254">
        <f t="shared" si="203"/>
        <v>3.0995810331644402</v>
      </c>
      <c r="BR514" s="254">
        <f t="shared" si="204"/>
        <v>0.37659778166743435</v>
      </c>
      <c r="BS514" s="25">
        <v>44.537492309585332</v>
      </c>
      <c r="BT514" s="25">
        <v>91.017964071856284</v>
      </c>
      <c r="BU514" s="25">
        <v>46.399031677465793</v>
      </c>
      <c r="BV514" s="25">
        <v>95.907966905459645</v>
      </c>
      <c r="BW514" s="25">
        <v>56.213292907616179</v>
      </c>
      <c r="BX514" s="25">
        <v>69.465613741091758</v>
      </c>
      <c r="BY514" s="25">
        <v>57.418945448608788</v>
      </c>
      <c r="BZ514">
        <v>37</v>
      </c>
      <c r="CA514">
        <v>0</v>
      </c>
      <c r="CB514">
        <v>7</v>
      </c>
      <c r="CC514">
        <v>9199.4126180000003</v>
      </c>
      <c r="CD514" s="10">
        <v>1968.7799520000001</v>
      </c>
      <c r="CE514" s="255">
        <v>0.21401148461889766</v>
      </c>
      <c r="CF514" t="str">
        <f>IFERROR(VLOOKUP(CE514,'Rangos amb etnico'!$A$2:$C$6,3,9),"N.D.")</f>
        <v>0,1% - 30%</v>
      </c>
      <c r="CG514" s="256">
        <v>5.7279230445005043E-5</v>
      </c>
      <c r="CH514" s="232">
        <v>0</v>
      </c>
      <c r="CI514" s="311">
        <f t="shared" si="211"/>
        <v>0</v>
      </c>
      <c r="CJ514" s="232">
        <f>IFERROR(VLOOKUP(CI514,'Rangos amb etnico'!$A$2:$C$6,3,9),"N.D.")</f>
        <v>0</v>
      </c>
      <c r="CK514" s="311">
        <f t="shared" si="212"/>
        <v>0</v>
      </c>
      <c r="CL514" s="10">
        <v>0</v>
      </c>
      <c r="CM514" s="255">
        <f t="shared" si="213"/>
        <v>0</v>
      </c>
      <c r="CN514" s="232">
        <f>IFERROR(VLOOKUP(CM514,'Rangos amb etnico'!$A$2:$C$6,3,9),"N.D.")</f>
        <v>0</v>
      </c>
      <c r="CO514" s="311">
        <f t="shared" si="214"/>
        <v>0</v>
      </c>
      <c r="CP514">
        <v>0.930278845280049</v>
      </c>
      <c r="CQ514" t="s">
        <v>2864</v>
      </c>
      <c r="CR514">
        <f t="shared" si="205"/>
        <v>2</v>
      </c>
      <c r="CS514" t="str">
        <f t="shared" si="215"/>
        <v>No es Candidato</v>
      </c>
      <c r="CT514">
        <v>0</v>
      </c>
      <c r="CU514">
        <v>0</v>
      </c>
      <c r="CV514" s="25">
        <v>44.676750183105469</v>
      </c>
      <c r="CW514" s="25">
        <v>24.81660270690918</v>
      </c>
      <c r="CX514" s="25">
        <v>47.797882080078118</v>
      </c>
      <c r="CY514" s="25">
        <v>67.882164001464844</v>
      </c>
      <c r="CZ514" s="25">
        <v>33.133705139160163</v>
      </c>
      <c r="DA514" s="25">
        <v>52.422737121582031</v>
      </c>
      <c r="DB514" s="25">
        <v>42.007411956787109</v>
      </c>
      <c r="DC514">
        <v>73</v>
      </c>
      <c r="DD514" s="253" t="s">
        <v>380</v>
      </c>
    </row>
    <row r="515" spans="1:108" hidden="1">
      <c r="A515" s="13">
        <v>20550</v>
      </c>
      <c r="B515" s="13" t="s">
        <v>1477</v>
      </c>
      <c r="C515" s="13" t="s">
        <v>893</v>
      </c>
      <c r="D515" s="13" t="s">
        <v>894</v>
      </c>
      <c r="E515" s="13" t="s">
        <v>1478</v>
      </c>
      <c r="F515" s="14">
        <v>71.645066666666693</v>
      </c>
      <c r="G515" s="13">
        <v>69.36</v>
      </c>
      <c r="H515" s="13">
        <v>89.41</v>
      </c>
      <c r="I515" s="13">
        <v>90.7</v>
      </c>
      <c r="J515" s="14">
        <v>50.096927366222275</v>
      </c>
      <c r="K515" s="14">
        <v>53.014509731754302</v>
      </c>
      <c r="L515" s="14">
        <v>62.022436497617107</v>
      </c>
      <c r="M515" s="14">
        <v>66.478099999999998</v>
      </c>
      <c r="N515" s="14">
        <f t="shared" ref="N515:N578" si="216">IFERROR(AVERAGE(F515:I515),"N.D.")</f>
        <v>80.278766666666669</v>
      </c>
      <c r="O515" s="14">
        <f t="shared" ref="O515:O578" si="217">IFERROR(AVERAGE(J515:M515),"N.D.")</f>
        <v>57.902993398898417</v>
      </c>
      <c r="P515" s="14">
        <f t="shared" si="206"/>
        <v>69.090880032782536</v>
      </c>
      <c r="Q515" s="14">
        <v>53.607098635477648</v>
      </c>
      <c r="R515" s="17">
        <f t="shared" ref="R515:R578" si="218">IFERROR(MAX($Q$3:$Q$1105)-Q515,"N.D.")</f>
        <v>46.392901364522352</v>
      </c>
      <c r="S515" s="14">
        <f t="shared" si="207"/>
        <v>0.51753611228070118</v>
      </c>
      <c r="T515" s="13">
        <v>0</v>
      </c>
      <c r="U515" s="13">
        <f t="shared" si="208"/>
        <v>35.757025446218599</v>
      </c>
      <c r="V515" s="13">
        <f>IF($T515=1,$AU515,(VLOOKUP(U515,'Cortes naturales'!$A$35:$C$39,3,9)))</f>
        <v>3</v>
      </c>
      <c r="W515" s="13">
        <v>3</v>
      </c>
      <c r="X515" s="14" t="b">
        <f t="shared" ref="X515:X578" si="219">V515=W515</f>
        <v>1</v>
      </c>
      <c r="Y515" s="17">
        <f>IF($T515=1,$AU515,VLOOKUP(U515,'Cortes naturales'!$A$45:$C$49,3,9))</f>
        <v>2</v>
      </c>
      <c r="Z515" s="14">
        <v>64.190666395768375</v>
      </c>
      <c r="AA515" s="14">
        <v>0.52509007699034538</v>
      </c>
      <c r="AB515" s="14">
        <v>33.705881959815592</v>
      </c>
      <c r="AC515" s="13">
        <v>3</v>
      </c>
      <c r="AD515" s="13">
        <f t="shared" ref="AD515:AD578" si="220">IFERROR(AC515-Y515,)</f>
        <v>1</v>
      </c>
      <c r="AE515" s="14">
        <f t="shared" ref="AE515:AE578" si="221">IFERROR(P515-Z515,"N.D.")</f>
        <v>4.9002136370141613</v>
      </c>
      <c r="AF515" s="14">
        <f t="shared" ref="AF515:AF578" si="222">IFERROR(S515-AA515,"N.D.")</f>
        <v>-7.5539647096442009E-3</v>
      </c>
      <c r="AG515" s="13">
        <f t="shared" ref="AG515:AG578" si="223">IFERROR(U515-AB515,0)</f>
        <v>2.0511434864030065</v>
      </c>
      <c r="AH515" s="13">
        <f>IF($T515=1,$AU515,VLOOKUP(U515,'Cortes naturales'!$A$25:$C$29,3,9))</f>
        <v>2</v>
      </c>
      <c r="AI515" s="13" t="b">
        <f t="shared" ref="AI515:AI578" si="224">AH515=Y515</f>
        <v>1</v>
      </c>
      <c r="AJ515" s="13" t="str">
        <f t="shared" ref="AJ515:AJ578" si="225">IF(AD515=0,0,IF(AI515=TRUE,"Efecto ponderador","Cambio en corte"))</f>
        <v>Efecto ponderador</v>
      </c>
      <c r="AK515" s="28">
        <v>0.81759069605862034</v>
      </c>
      <c r="AL515" s="28">
        <v>52.481691618982957</v>
      </c>
      <c r="AM515" s="28">
        <v>0.48586462939409375</v>
      </c>
      <c r="AN515" s="13">
        <v>2</v>
      </c>
      <c r="AO515" s="33">
        <f t="shared" ref="AO515:AO578" si="226">IF(AND(ISNUMBER(AN515),ISNUMBER(Y515)),AN515-Y515,IF(AN515="SC- Centro aglomeración",Y515,IF(OR(AN515="Bogotá",AN515="Ciudades grandes"),0,0)))</f>
        <v>0</v>
      </c>
      <c r="AP515" s="13">
        <f t="shared" si="209"/>
        <v>48.586462939409373</v>
      </c>
      <c r="AQ515" s="13">
        <f>IFERROR(VLOOKUP(U515,'Cortes naturales'!$E$15:$G$19,3,9),U515)</f>
        <v>3</v>
      </c>
      <c r="AR515" s="28">
        <f t="shared" ref="AR515:AR578" si="227">IFERROR(S515-AK515,"N.D.")</f>
        <v>-0.30005458377791916</v>
      </c>
      <c r="AS515" s="13" t="b">
        <f t="shared" ref="AS515:AS578" si="228">AQ515=Y515</f>
        <v>0</v>
      </c>
      <c r="AT515" s="13">
        <f t="shared" si="210"/>
        <v>0</v>
      </c>
      <c r="AU515" s="13">
        <v>2</v>
      </c>
      <c r="AV515">
        <f t="shared" ref="AV515:AV578" si="229">IF(AND(ISNUMBER(AU515),ISNUMBER(Y515)),AU515-Y515,IF(AU515="SC- Centro aglomeración",Y515,IF(OR(AU515="Bogotá",AU515="Ciudades grandes"),0,0)))</f>
        <v>0</v>
      </c>
      <c r="AW515" s="13">
        <v>0</v>
      </c>
      <c r="AX515" s="13">
        <v>0</v>
      </c>
      <c r="AY515" s="13">
        <v>0</v>
      </c>
      <c r="AZ515" s="13">
        <v>0</v>
      </c>
      <c r="BA515">
        <v>1</v>
      </c>
      <c r="BB515" t="s">
        <v>2839</v>
      </c>
      <c r="BC515">
        <v>6</v>
      </c>
      <c r="BD515" t="s">
        <v>2919</v>
      </c>
      <c r="BE515">
        <v>0</v>
      </c>
      <c r="BF515" s="232" t="s">
        <v>2846</v>
      </c>
      <c r="BG515" s="232" t="s">
        <v>2845</v>
      </c>
      <c r="BH515" s="253">
        <v>51</v>
      </c>
      <c r="BI515" s="253">
        <v>26.759344404175906</v>
      </c>
      <c r="BJ515" s="25">
        <v>1.111</v>
      </c>
      <c r="BK515" t="s">
        <v>381</v>
      </c>
      <c r="BL515">
        <v>13.489608455407371</v>
      </c>
      <c r="BM515" t="s">
        <v>376</v>
      </c>
      <c r="BN515" s="322">
        <v>49273.659099999997</v>
      </c>
      <c r="BO515" s="322">
        <v>4395.0896350000003</v>
      </c>
      <c r="BP515" s="10">
        <v>24204</v>
      </c>
      <c r="BQ515" s="254">
        <f t="shared" ref="BQ515:BQ578" si="230">BN515/BP515</f>
        <v>2.0357651255990743</v>
      </c>
      <c r="BR515" s="254">
        <f t="shared" ref="BR515:BR578" si="231">BO515/BP515</f>
        <v>0.18158526008097836</v>
      </c>
      <c r="BS515" s="25">
        <v>61.375962065448903</v>
      </c>
      <c r="BT515" s="25">
        <v>95.090495350079877</v>
      </c>
      <c r="BU515" s="25">
        <v>49.677062706270597</v>
      </c>
      <c r="BV515" s="25">
        <v>92.177771050498677</v>
      </c>
      <c r="BW515" s="25">
        <v>51.465048325893477</v>
      </c>
      <c r="BX515" s="25">
        <v>74.580322793074515</v>
      </c>
      <c r="BY515" s="25">
        <v>52.361474278534757</v>
      </c>
      <c r="BZ515">
        <v>8</v>
      </c>
      <c r="CA515">
        <v>0</v>
      </c>
      <c r="CB515">
        <v>7</v>
      </c>
      <c r="CC515">
        <v>42273.952237999998</v>
      </c>
      <c r="CD515" s="10">
        <v>8424.7564839999995</v>
      </c>
      <c r="CE515" s="255">
        <v>0.19928953972813068</v>
      </c>
      <c r="CF515" t="str">
        <f>IFERROR(VLOOKUP(CE515,'Rangos amb etnico'!$A$2:$C$6,3,9),"N.D.")</f>
        <v>0,1% - 30%</v>
      </c>
      <c r="CG515" s="256">
        <v>2.4510792463112524E-4</v>
      </c>
      <c r="CH515" s="232">
        <v>0</v>
      </c>
      <c r="CI515" s="311">
        <f t="shared" si="211"/>
        <v>0</v>
      </c>
      <c r="CJ515" s="232">
        <f>IFERROR(VLOOKUP(CI515,'Rangos amb etnico'!$A$2:$C$6,3,9),"N.D.")</f>
        <v>0</v>
      </c>
      <c r="CK515" s="311">
        <f t="shared" si="212"/>
        <v>0</v>
      </c>
      <c r="CL515" s="10">
        <v>0</v>
      </c>
      <c r="CM515" s="255">
        <f t="shared" si="213"/>
        <v>0</v>
      </c>
      <c r="CN515" s="232">
        <f>IFERROR(VLOOKUP(CM515,'Rangos amb etnico'!$A$2:$C$6,3,9),"N.D.")</f>
        <v>0</v>
      </c>
      <c r="CO515" s="311">
        <f t="shared" si="214"/>
        <v>0</v>
      </c>
      <c r="CP515">
        <v>0.93653459347204371</v>
      </c>
      <c r="CQ515" t="s">
        <v>2864</v>
      </c>
      <c r="CR515">
        <f t="shared" ref="CR515:CR578" si="232">IF(BY515&gt;=60,1,0)+IF(M515&gt;=60,1,0)+IF(I515&gt;=60,1,0)+IF(OR(CQ515="Crítico Bajo",CQ515="Aceptable"),1,0)</f>
        <v>3</v>
      </c>
      <c r="CS515" t="str">
        <f t="shared" si="215"/>
        <v>Candidato</v>
      </c>
      <c r="CT515">
        <v>0</v>
      </c>
      <c r="CU515">
        <v>0</v>
      </c>
      <c r="CV515" s="25">
        <v>42.133380889892578</v>
      </c>
      <c r="CW515" s="25">
        <v>30.318790435791019</v>
      </c>
      <c r="CX515" s="25">
        <v>44.401443481445313</v>
      </c>
      <c r="CY515" s="25">
        <v>68.272216796875</v>
      </c>
      <c r="CZ515" s="25">
        <v>17.43058967590332</v>
      </c>
      <c r="DA515" s="25">
        <v>36.089134216308587</v>
      </c>
      <c r="DB515" s="25">
        <v>56.288116455078118</v>
      </c>
      <c r="DC515">
        <v>4724</v>
      </c>
      <c r="DD515" s="253" t="s">
        <v>380</v>
      </c>
    </row>
    <row r="516" spans="1:108">
      <c r="A516" s="13">
        <v>5138</v>
      </c>
      <c r="B516" s="13" t="s">
        <v>1479</v>
      </c>
      <c r="C516" s="13" t="s">
        <v>435</v>
      </c>
      <c r="D516" s="13" t="s">
        <v>436</v>
      </c>
      <c r="E516" s="13" t="s">
        <v>1480</v>
      </c>
      <c r="F516" s="14">
        <v>72.985933333333307</v>
      </c>
      <c r="G516" s="13">
        <v>74.63</v>
      </c>
      <c r="H516" s="13">
        <v>64.290000000000006</v>
      </c>
      <c r="I516" s="13">
        <v>72.180000000000007</v>
      </c>
      <c r="J516" s="14">
        <v>56.487503442979964</v>
      </c>
      <c r="K516" s="14">
        <v>54.765483448628025</v>
      </c>
      <c r="L516" s="14">
        <v>71.422309023754082</v>
      </c>
      <c r="M516" s="14">
        <v>59.349400000000003</v>
      </c>
      <c r="N516" s="14">
        <f t="shared" si="216"/>
        <v>71.021483333333336</v>
      </c>
      <c r="O516" s="14">
        <f t="shared" si="217"/>
        <v>60.506173978840522</v>
      </c>
      <c r="P516" s="14">
        <f t="shared" ref="P516:P579" si="233">IFERROR(AVERAGE(N516:O516),"N.D.")</f>
        <v>65.763828656086929</v>
      </c>
      <c r="Q516" s="14">
        <v>53.649583224820262</v>
      </c>
      <c r="R516" s="17">
        <f t="shared" si="218"/>
        <v>46.350416775179738</v>
      </c>
      <c r="S516" s="14">
        <f t="shared" ref="S516:S579" si="234">IFERROR((0.1+(1-0.1)*(R516%-0)/(1-0)),"N.D.")</f>
        <v>0.51715375097661764</v>
      </c>
      <c r="T516" s="13">
        <v>0</v>
      </c>
      <c r="U516" s="13">
        <f t="shared" ref="U516:U579" si="235">$P516*$S516</f>
        <v>34.010010668078934</v>
      </c>
      <c r="V516" s="13">
        <f>IF($T516=1,$AU516,(VLOOKUP(U516,'Cortes naturales'!$A$35:$C$39,3,9)))</f>
        <v>3</v>
      </c>
      <c r="W516" s="13">
        <v>3</v>
      </c>
      <c r="X516" s="14" t="b">
        <f t="shared" si="219"/>
        <v>1</v>
      </c>
      <c r="Y516" s="17">
        <f>IF($T516=1,$AU516,VLOOKUP(U516,'Cortes naturales'!$A$45:$C$49,3,9))</f>
        <v>3</v>
      </c>
      <c r="Z516" s="14">
        <v>64.80198451281079</v>
      </c>
      <c r="AA516" s="14">
        <v>0.52433112245081481</v>
      </c>
      <c r="AB516" s="14">
        <v>33.977697276642402</v>
      </c>
      <c r="AC516" s="13">
        <v>3</v>
      </c>
      <c r="AD516" s="13">
        <f t="shared" si="220"/>
        <v>0</v>
      </c>
      <c r="AE516" s="14">
        <f t="shared" si="221"/>
        <v>0.96184414327613865</v>
      </c>
      <c r="AF516" s="14">
        <f t="shared" si="222"/>
        <v>-7.1773714741971695E-3</v>
      </c>
      <c r="AG516" s="13">
        <f t="shared" si="223"/>
        <v>3.2313391436531447E-2</v>
      </c>
      <c r="AH516" s="13">
        <f>IF($T516=1,$AU516,VLOOKUP(U516,'Cortes naturales'!$A$25:$C$29,3,9))</f>
        <v>3</v>
      </c>
      <c r="AI516" s="13" t="b">
        <f t="shared" si="224"/>
        <v>1</v>
      </c>
      <c r="AJ516" s="13">
        <f t="shared" si="225"/>
        <v>0</v>
      </c>
      <c r="AK516" s="28">
        <v>0.81759069605862034</v>
      </c>
      <c r="AL516" s="28">
        <v>52.981499623808908</v>
      </c>
      <c r="AM516" s="28">
        <v>0.49211670068716917</v>
      </c>
      <c r="AN516" s="13">
        <v>2</v>
      </c>
      <c r="AO516" s="33">
        <f t="shared" si="226"/>
        <v>-1</v>
      </c>
      <c r="AP516" s="13">
        <f t="shared" ref="AP516:AP579" si="236">IFERROR(AM516*100,"N.D")</f>
        <v>49.21167006871692</v>
      </c>
      <c r="AQ516" s="13">
        <f>IFERROR(VLOOKUP(U516,'Cortes naturales'!$E$15:$G$19,3,9),U516)</f>
        <v>4</v>
      </c>
      <c r="AR516" s="28">
        <f t="shared" si="227"/>
        <v>-0.30043694508200269</v>
      </c>
      <c r="AS516" s="13" t="b">
        <f t="shared" si="228"/>
        <v>0</v>
      </c>
      <c r="AT516" s="13" t="str">
        <f t="shared" ref="AT516:AT579" si="237">IF(AO516=0,0,IF(AS516=TRUE,"Efecto ponderador","Cambio en corte"))</f>
        <v>Cambio en corte</v>
      </c>
      <c r="AU516" s="13">
        <v>2</v>
      </c>
      <c r="AV516">
        <f t="shared" si="229"/>
        <v>-1</v>
      </c>
      <c r="AW516" s="13">
        <v>0</v>
      </c>
      <c r="AX516" s="13">
        <v>0</v>
      </c>
      <c r="AY516" s="13">
        <v>0</v>
      </c>
      <c r="AZ516" s="13">
        <v>0</v>
      </c>
      <c r="BA516">
        <v>0</v>
      </c>
      <c r="BB516" t="s">
        <v>2840</v>
      </c>
      <c r="BC516">
        <v>6</v>
      </c>
      <c r="BD516" t="s">
        <v>2919</v>
      </c>
      <c r="BE516">
        <v>1</v>
      </c>
      <c r="BF516" s="232" t="s">
        <v>2846</v>
      </c>
      <c r="BG516" s="232" t="s">
        <v>2845</v>
      </c>
      <c r="BH516" s="253">
        <v>45.3</v>
      </c>
      <c r="BI516" s="253">
        <v>22.791623654328269</v>
      </c>
      <c r="BJ516" s="25">
        <v>46.126595388865127</v>
      </c>
      <c r="BK516" t="s">
        <v>376</v>
      </c>
      <c r="BL516">
        <v>4.0951249853289431</v>
      </c>
      <c r="BM516" t="s">
        <v>383</v>
      </c>
      <c r="BN516" s="322">
        <v>41483.101116999998</v>
      </c>
      <c r="BO516" s="322">
        <v>7555.5245240000004</v>
      </c>
      <c r="BP516" s="10">
        <v>15570</v>
      </c>
      <c r="BQ516" s="254">
        <f t="shared" si="230"/>
        <v>2.6642967962106616</v>
      </c>
      <c r="BR516" s="254">
        <f t="shared" si="231"/>
        <v>0.48526169068721903</v>
      </c>
      <c r="BS516" s="25">
        <v>62.145106928275247</v>
      </c>
      <c r="BT516" s="25">
        <v>93.393971295784354</v>
      </c>
      <c r="BU516" s="25">
        <v>56.335000000000001</v>
      </c>
      <c r="BV516" s="25">
        <v>90.382709054999395</v>
      </c>
      <c r="BW516" s="25">
        <v>48.108373839253417</v>
      </c>
      <c r="BX516" s="25">
        <v>75.56419681976476</v>
      </c>
      <c r="BY516" s="25">
        <v>50.092733403209799</v>
      </c>
      <c r="BZ516">
        <v>99</v>
      </c>
      <c r="CA516">
        <v>0</v>
      </c>
      <c r="CB516">
        <v>7</v>
      </c>
      <c r="CC516">
        <v>36483.860142999998</v>
      </c>
      <c r="CD516" s="10">
        <v>24773.535251000001</v>
      </c>
      <c r="CE516" s="255">
        <v>0.67902725078703585</v>
      </c>
      <c r="CF516" t="str">
        <f>IFERROR(VLOOKUP(CE516,'Rangos amb etnico'!$A$2:$C$6,3,9),"N.D.")</f>
        <v>51% - 70%</v>
      </c>
      <c r="CG516" s="256">
        <v>7.2075552838598027E-4</v>
      </c>
      <c r="CH516" s="232">
        <v>0</v>
      </c>
      <c r="CI516" s="311">
        <f t="shared" ref="CI516:CI579" si="238">IFERROR(CH516/CC516,"N.D.")</f>
        <v>0</v>
      </c>
      <c r="CJ516" s="232">
        <f>IFERROR(VLOOKUP(CI516,'Rangos amb etnico'!$A$2:$C$6,3,9),"N.D.")</f>
        <v>0</v>
      </c>
      <c r="CK516" s="311">
        <f t="shared" ref="CK516:CK579" si="239">IFERROR(CH516/$CH$1,"N.D.")</f>
        <v>0</v>
      </c>
      <c r="CL516" s="10">
        <v>0</v>
      </c>
      <c r="CM516" s="255">
        <f t="shared" ref="CM516:CM579" si="240">IFERROR(CL516/CC516,"N.D.")</f>
        <v>0</v>
      </c>
      <c r="CN516" s="232">
        <f>IFERROR(VLOOKUP(CM516,'Rangos amb etnico'!$A$2:$C$6,3,9),"N.D.")</f>
        <v>0</v>
      </c>
      <c r="CO516" s="311">
        <f t="shared" ref="CO516:CO579" si="241">IFERROR(CL516/$CL$1,"N.D.")</f>
        <v>0</v>
      </c>
      <c r="CP516">
        <v>0.91020006886932348</v>
      </c>
      <c r="CQ516" t="s">
        <v>2864</v>
      </c>
      <c r="CR516">
        <f t="shared" si="232"/>
        <v>2</v>
      </c>
      <c r="CS516" t="str">
        <f t="shared" ref="CS516:CS579" si="242">IF(CR516&gt;=3,"Candidato","No es Candidato")</f>
        <v>No es Candidato</v>
      </c>
      <c r="CT516">
        <v>0</v>
      </c>
      <c r="CU516">
        <v>0</v>
      </c>
      <c r="CV516" s="25">
        <v>44.481388092041023</v>
      </c>
      <c r="CW516" s="25">
        <v>22.546115875244141</v>
      </c>
      <c r="CX516" s="25">
        <v>44.960739135742188</v>
      </c>
      <c r="CY516" s="25">
        <v>55.724994659423828</v>
      </c>
      <c r="CZ516" s="25">
        <v>45.022743225097663</v>
      </c>
      <c r="DA516" s="25">
        <v>56.88055419921875</v>
      </c>
      <c r="DB516" s="25">
        <v>41.753185272216797</v>
      </c>
      <c r="DC516">
        <v>240</v>
      </c>
      <c r="DD516" s="253" t="s">
        <v>380</v>
      </c>
    </row>
    <row r="517" spans="1:108" hidden="1">
      <c r="A517" s="13">
        <v>20250</v>
      </c>
      <c r="B517" s="13" t="s">
        <v>1481</v>
      </c>
      <c r="C517" s="13" t="s">
        <v>893</v>
      </c>
      <c r="D517" s="13" t="s">
        <v>894</v>
      </c>
      <c r="E517" s="13" t="s">
        <v>1482</v>
      </c>
      <c r="F517" s="14">
        <v>71.152833333333305</v>
      </c>
      <c r="G517" s="13">
        <v>54.35</v>
      </c>
      <c r="H517" s="13">
        <v>46.73</v>
      </c>
      <c r="I517" s="13">
        <v>30.72</v>
      </c>
      <c r="J517" s="14">
        <v>54.692059758463827</v>
      </c>
      <c r="K517" s="14">
        <v>46.624684439806323</v>
      </c>
      <c r="L517" s="14">
        <v>59.016637550892533</v>
      </c>
      <c r="M517" s="14">
        <v>73.697000000000003</v>
      </c>
      <c r="N517" s="14">
        <f t="shared" si="216"/>
        <v>50.738208333333326</v>
      </c>
      <c r="O517" s="14">
        <f t="shared" si="217"/>
        <v>58.507595437290675</v>
      </c>
      <c r="P517" s="14">
        <f t="shared" si="233"/>
        <v>54.622901885312004</v>
      </c>
      <c r="Q517" s="14">
        <v>53.33174272574044</v>
      </c>
      <c r="R517" s="17">
        <f t="shared" si="218"/>
        <v>46.66825727425956</v>
      </c>
      <c r="S517" s="14">
        <f t="shared" si="234"/>
        <v>0.5200143154683361</v>
      </c>
      <c r="T517" s="13">
        <v>0</v>
      </c>
      <c r="U517" s="13">
        <f t="shared" si="235"/>
        <v>28.404690932784607</v>
      </c>
      <c r="V517" s="13">
        <f>IF($T517=1,$AU517,(VLOOKUP(U517,'Cortes naturales'!$A$35:$C$39,3,9)))</f>
        <v>4</v>
      </c>
      <c r="W517" s="13">
        <v>4</v>
      </c>
      <c r="X517" s="14" t="b">
        <f t="shared" si="219"/>
        <v>1</v>
      </c>
      <c r="Y517" s="17">
        <f>IF($T517=1,$AU517,VLOOKUP(U517,'Cortes naturales'!$A$45:$C$49,3,9))</f>
        <v>3</v>
      </c>
      <c r="Z517" s="14">
        <v>58.426484867450611</v>
      </c>
      <c r="AA517" s="14">
        <v>0.52438554331456244</v>
      </c>
      <c r="AB517" s="14">
        <v>30.63800401117815</v>
      </c>
      <c r="AC517" s="13">
        <v>3</v>
      </c>
      <c r="AD517" s="13">
        <f t="shared" si="220"/>
        <v>0</v>
      </c>
      <c r="AE517" s="14">
        <f t="shared" si="221"/>
        <v>-3.8035829821386073</v>
      </c>
      <c r="AF517" s="14">
        <f t="shared" si="222"/>
        <v>-4.3712278462263443E-3</v>
      </c>
      <c r="AG517" s="13">
        <f t="shared" si="223"/>
        <v>-2.2333130783935431</v>
      </c>
      <c r="AH517" s="13">
        <f>IF($T517=1,$AU517,VLOOKUP(U517,'Cortes naturales'!$A$25:$C$29,3,9))</f>
        <v>3</v>
      </c>
      <c r="AI517" s="13" t="b">
        <f t="shared" si="224"/>
        <v>1</v>
      </c>
      <c r="AJ517" s="13">
        <f t="shared" si="225"/>
        <v>0</v>
      </c>
      <c r="AK517" s="28">
        <v>0.81759069605862034</v>
      </c>
      <c r="AL517" s="28">
        <v>47.768950431037396</v>
      </c>
      <c r="AM517" s="28">
        <v>0.42691320483035738</v>
      </c>
      <c r="AN517" s="13">
        <v>3</v>
      </c>
      <c r="AO517" s="33">
        <f t="shared" si="226"/>
        <v>0</v>
      </c>
      <c r="AP517" s="13">
        <f t="shared" si="236"/>
        <v>42.691320483035739</v>
      </c>
      <c r="AQ517" s="13">
        <f>IFERROR(VLOOKUP(U517,'Cortes naturales'!$E$15:$G$19,3,9),U517)</f>
        <v>4</v>
      </c>
      <c r="AR517" s="28">
        <f t="shared" si="227"/>
        <v>-0.29757638059028424</v>
      </c>
      <c r="AS517" s="13" t="b">
        <f t="shared" si="228"/>
        <v>0</v>
      </c>
      <c r="AT517" s="13">
        <f t="shared" si="237"/>
        <v>0</v>
      </c>
      <c r="AU517" s="13">
        <v>2</v>
      </c>
      <c r="AV517">
        <f t="shared" si="229"/>
        <v>-1</v>
      </c>
      <c r="AW517" s="13">
        <v>0</v>
      </c>
      <c r="AX517" s="13">
        <v>0</v>
      </c>
      <c r="AY517" s="13">
        <v>0</v>
      </c>
      <c r="AZ517" s="13">
        <v>0</v>
      </c>
      <c r="BA517">
        <v>0</v>
      </c>
      <c r="BB517" t="s">
        <v>2840</v>
      </c>
      <c r="BC517">
        <v>6</v>
      </c>
      <c r="BD517" t="s">
        <v>2919</v>
      </c>
      <c r="BE517">
        <v>0</v>
      </c>
      <c r="BF517" s="232" t="s">
        <v>2846</v>
      </c>
      <c r="BG517" s="232" t="s">
        <v>2845</v>
      </c>
      <c r="BH517" s="253">
        <v>40.700000000000003</v>
      </c>
      <c r="BI517" s="253">
        <v>22.784517619872904</v>
      </c>
      <c r="BJ517" s="25">
        <v>56.622307692307693</v>
      </c>
      <c r="BK517" t="s">
        <v>376</v>
      </c>
      <c r="BL517">
        <v>3.8149333902973188</v>
      </c>
      <c r="BM517" t="s">
        <v>383</v>
      </c>
      <c r="BN517" s="322">
        <v>101270.189769</v>
      </c>
      <c r="BO517" s="322">
        <v>20092.361524</v>
      </c>
      <c r="BP517" s="10">
        <v>45704</v>
      </c>
      <c r="BQ517" s="254">
        <f t="shared" si="230"/>
        <v>2.2157839525862069</v>
      </c>
      <c r="BR517" s="254">
        <f t="shared" si="231"/>
        <v>0.43961932268510412</v>
      </c>
      <c r="BS517" s="25">
        <v>62.910371015201271</v>
      </c>
      <c r="BT517" s="25">
        <v>93.55748441449326</v>
      </c>
      <c r="BU517" s="25">
        <v>43.047026242419001</v>
      </c>
      <c r="BV517" s="25">
        <v>90.198595390981765</v>
      </c>
      <c r="BW517" s="25">
        <v>59.539196912199998</v>
      </c>
      <c r="BX517" s="25">
        <v>72.428369265773824</v>
      </c>
      <c r="BY517" s="25">
        <v>59.476657594939937</v>
      </c>
      <c r="BZ517">
        <v>47</v>
      </c>
      <c r="CA517">
        <v>0</v>
      </c>
      <c r="CB517">
        <v>6</v>
      </c>
      <c r="CC517">
        <v>81231.387925000003</v>
      </c>
      <c r="CD517" s="10">
        <v>5597.8303109999997</v>
      </c>
      <c r="CE517" s="255">
        <v>6.8912158883317517E-2</v>
      </c>
      <c r="CF517" t="str">
        <f>IFERROR(VLOOKUP(CE517,'Rangos amb etnico'!$A$2:$C$6,3,9),"N.D.")</f>
        <v>0,1% - 30%</v>
      </c>
      <c r="CG517" s="256">
        <v>1.6286198569326107E-4</v>
      </c>
      <c r="CH517" s="232">
        <v>0</v>
      </c>
      <c r="CI517" s="311">
        <f t="shared" si="238"/>
        <v>0</v>
      </c>
      <c r="CJ517" s="232">
        <f>IFERROR(VLOOKUP(CI517,'Rangos amb etnico'!$A$2:$C$6,3,9),"N.D.")</f>
        <v>0</v>
      </c>
      <c r="CK517" s="311">
        <f t="shared" si="239"/>
        <v>0</v>
      </c>
      <c r="CL517" s="10">
        <v>0</v>
      </c>
      <c r="CM517" s="255">
        <f t="shared" si="240"/>
        <v>0</v>
      </c>
      <c r="CN517" s="232">
        <f>IFERROR(VLOOKUP(CM517,'Rangos amb etnico'!$A$2:$C$6,3,9),"N.D.")</f>
        <v>0</v>
      </c>
      <c r="CO517" s="311">
        <f t="shared" si="241"/>
        <v>0</v>
      </c>
      <c r="CP517">
        <v>0.89856678982123483</v>
      </c>
      <c r="CQ517" t="s">
        <v>2864</v>
      </c>
      <c r="CR517">
        <f t="shared" si="232"/>
        <v>2</v>
      </c>
      <c r="CS517" t="str">
        <f t="shared" si="242"/>
        <v>No es Candidato</v>
      </c>
      <c r="CT517">
        <v>0</v>
      </c>
      <c r="CU517">
        <v>0</v>
      </c>
      <c r="CV517" s="25">
        <v>44.038105010986328</v>
      </c>
      <c r="CW517" s="25">
        <v>33.521762847900391</v>
      </c>
      <c r="CX517" s="25">
        <v>51.437442779541023</v>
      </c>
      <c r="CY517" s="25">
        <v>53.154605865478523</v>
      </c>
      <c r="CZ517" s="25">
        <v>21.45754432678223</v>
      </c>
      <c r="DA517" s="25">
        <v>40.56463623046875</v>
      </c>
      <c r="DB517" s="25">
        <v>64.092643737792969</v>
      </c>
      <c r="DC517">
        <v>30616</v>
      </c>
      <c r="DD517" s="253" t="s">
        <v>380</v>
      </c>
    </row>
    <row r="518" spans="1:108" hidden="1">
      <c r="A518" s="13">
        <v>15814</v>
      </c>
      <c r="B518" s="13" t="s">
        <v>1483</v>
      </c>
      <c r="C518" s="13" t="s">
        <v>498</v>
      </c>
      <c r="D518" s="13" t="s">
        <v>499</v>
      </c>
      <c r="E518" s="13" t="s">
        <v>1484</v>
      </c>
      <c r="F518" s="14">
        <v>80.220166666666699</v>
      </c>
      <c r="G518" s="13">
        <v>65.59</v>
      </c>
      <c r="H518" s="13">
        <v>69.069999999999993</v>
      </c>
      <c r="I518" s="13">
        <v>67.319999999999993</v>
      </c>
      <c r="J518" s="14">
        <v>71.521442118586378</v>
      </c>
      <c r="K518" s="14">
        <v>73.866839883285792</v>
      </c>
      <c r="L518" s="14">
        <v>68.914852903995197</v>
      </c>
      <c r="M518" s="14">
        <v>58.891800000000003</v>
      </c>
      <c r="N518" s="14">
        <f t="shared" si="216"/>
        <v>70.550041666666672</v>
      </c>
      <c r="O518" s="14">
        <f t="shared" si="217"/>
        <v>68.298733726466835</v>
      </c>
      <c r="P518" s="14">
        <f t="shared" si="233"/>
        <v>69.424387696566754</v>
      </c>
      <c r="Q518" s="14">
        <v>54.379092413944363</v>
      </c>
      <c r="R518" s="17">
        <f t="shared" si="218"/>
        <v>45.620907586055637</v>
      </c>
      <c r="S518" s="14">
        <f t="shared" si="234"/>
        <v>0.51058816827450071</v>
      </c>
      <c r="T518" s="13">
        <v>0</v>
      </c>
      <c r="U518" s="13">
        <f t="shared" si="235"/>
        <v>35.447270947568803</v>
      </c>
      <c r="V518" s="13">
        <f>IF($T518=1,$AU518,(VLOOKUP(U518,'Cortes naturales'!$A$35:$C$39,3,9)))</f>
        <v>3</v>
      </c>
      <c r="W518" s="13">
        <v>3</v>
      </c>
      <c r="X518" s="14" t="b">
        <f t="shared" si="219"/>
        <v>1</v>
      </c>
      <c r="Y518" s="17">
        <f>IF($T518=1,$AU518,VLOOKUP(U518,'Cortes naturales'!$A$45:$C$49,3,9))</f>
        <v>3</v>
      </c>
      <c r="Z518" s="14">
        <v>71.327760034206634</v>
      </c>
      <c r="AA518" s="14">
        <v>0.52287279500421258</v>
      </c>
      <c r="AB518" s="14">
        <v>37.295345250475393</v>
      </c>
      <c r="AC518" s="13">
        <v>2</v>
      </c>
      <c r="AD518" s="13">
        <f t="shared" si="220"/>
        <v>-1</v>
      </c>
      <c r="AE518" s="14">
        <f t="shared" si="221"/>
        <v>-1.9033723376398797</v>
      </c>
      <c r="AF518" s="14">
        <f t="shared" si="222"/>
        <v>-1.2284626729711867E-2</v>
      </c>
      <c r="AG518" s="13">
        <f t="shared" si="223"/>
        <v>-1.8480743029065891</v>
      </c>
      <c r="AH518" s="13">
        <f>IF($T518=1,$AU518,VLOOKUP(U518,'Cortes naturales'!$A$25:$C$29,3,9))</f>
        <v>2</v>
      </c>
      <c r="AI518" s="13" t="b">
        <f t="shared" si="224"/>
        <v>0</v>
      </c>
      <c r="AJ518" s="13" t="str">
        <f t="shared" si="225"/>
        <v>Cambio en corte</v>
      </c>
      <c r="AK518" s="28">
        <v>0.81759069605862034</v>
      </c>
      <c r="AL518" s="28">
        <v>58.316912974669243</v>
      </c>
      <c r="AM518" s="28">
        <v>0.55885709765064195</v>
      </c>
      <c r="AN518" s="13">
        <v>2</v>
      </c>
      <c r="AO518" s="33">
        <f t="shared" si="226"/>
        <v>-1</v>
      </c>
      <c r="AP518" s="13">
        <f t="shared" si="236"/>
        <v>55.885709765064192</v>
      </c>
      <c r="AQ518" s="13">
        <f>IFERROR(VLOOKUP(U518,'Cortes naturales'!$E$15:$G$19,3,9),U518)</f>
        <v>3</v>
      </c>
      <c r="AR518" s="28">
        <f t="shared" si="227"/>
        <v>-0.30700252778411963</v>
      </c>
      <c r="AS518" s="13" t="b">
        <f t="shared" si="228"/>
        <v>1</v>
      </c>
      <c r="AT518" s="13" t="str">
        <f t="shared" si="237"/>
        <v>Efecto ponderador</v>
      </c>
      <c r="AU518" s="13">
        <v>2</v>
      </c>
      <c r="AV518">
        <f t="shared" si="229"/>
        <v>-1</v>
      </c>
      <c r="AW518" s="13">
        <v>0</v>
      </c>
      <c r="AX518" s="13">
        <v>0</v>
      </c>
      <c r="AY518" s="13">
        <v>0</v>
      </c>
      <c r="AZ518" s="13">
        <v>0</v>
      </c>
      <c r="BA518">
        <v>0</v>
      </c>
      <c r="BB518" t="s">
        <v>2839</v>
      </c>
      <c r="BC518">
        <v>6</v>
      </c>
      <c r="BD518" t="s">
        <v>2919</v>
      </c>
      <c r="BE518">
        <v>0</v>
      </c>
      <c r="BF518" s="232" t="s">
        <v>2846</v>
      </c>
      <c r="BG518" s="232" t="s">
        <v>2846</v>
      </c>
      <c r="BH518" s="253">
        <v>30.2</v>
      </c>
      <c r="BI518" s="253">
        <v>9.8885953830251516</v>
      </c>
      <c r="BJ518" s="25">
        <v>38.248600107077202</v>
      </c>
      <c r="BK518" t="s">
        <v>376</v>
      </c>
      <c r="BL518">
        <v>0</v>
      </c>
      <c r="BM518" t="s">
        <v>377</v>
      </c>
      <c r="BN518" s="322">
        <v>22920.117921000001</v>
      </c>
      <c r="BO518" s="322">
        <v>1807.3767170000001</v>
      </c>
      <c r="BP518" s="10">
        <v>8960</v>
      </c>
      <c r="BQ518" s="254">
        <f t="shared" si="230"/>
        <v>2.5580488751116071</v>
      </c>
      <c r="BR518" s="254">
        <f t="shared" si="231"/>
        <v>0.20171615145089286</v>
      </c>
      <c r="BS518" s="25">
        <v>74.095306118383036</v>
      </c>
      <c r="BT518" s="25">
        <v>96.294844523809545</v>
      </c>
      <c r="BU518" s="25">
        <v>59.6503181683021</v>
      </c>
      <c r="BV518" s="25">
        <v>87.259724193307349</v>
      </c>
      <c r="BW518" s="25">
        <v>51.808582461093224</v>
      </c>
      <c r="BX518" s="25">
        <v>79.325048250950502</v>
      </c>
      <c r="BY518" s="25">
        <v>52.244836937005488</v>
      </c>
      <c r="BZ518">
        <v>79</v>
      </c>
      <c r="CA518">
        <v>0</v>
      </c>
      <c r="CB518">
        <v>7</v>
      </c>
      <c r="CC518">
        <v>16794.120220000001</v>
      </c>
      <c r="CD518" s="10">
        <v>6687.5327180000004</v>
      </c>
      <c r="CE518" s="255">
        <v>0.39820679085266192</v>
      </c>
      <c r="CF518" t="str">
        <f>IFERROR(VLOOKUP(CE518,'Rangos amb etnico'!$A$2:$C$6,3,9),"N.D.")</f>
        <v>31% - 50%</v>
      </c>
      <c r="CG518" s="256">
        <v>1.9456553652616272E-4</v>
      </c>
      <c r="CH518" s="232">
        <v>0</v>
      </c>
      <c r="CI518" s="311">
        <f t="shared" si="238"/>
        <v>0</v>
      </c>
      <c r="CJ518" s="232">
        <f>IFERROR(VLOOKUP(CI518,'Rangos amb etnico'!$A$2:$C$6,3,9),"N.D.")</f>
        <v>0</v>
      </c>
      <c r="CK518" s="311">
        <f t="shared" si="239"/>
        <v>0</v>
      </c>
      <c r="CL518" s="10">
        <v>0</v>
      </c>
      <c r="CM518" s="255">
        <f t="shared" si="240"/>
        <v>0</v>
      </c>
      <c r="CN518" s="232">
        <f>IFERROR(VLOOKUP(CM518,'Rangos amb etnico'!$A$2:$C$6,3,9),"N.D.")</f>
        <v>0</v>
      </c>
      <c r="CO518" s="311">
        <f t="shared" si="241"/>
        <v>0</v>
      </c>
      <c r="CP518">
        <v>0.97438721188646449</v>
      </c>
      <c r="CQ518" t="s">
        <v>2864</v>
      </c>
      <c r="CR518">
        <f t="shared" si="232"/>
        <v>2</v>
      </c>
      <c r="CS518" t="str">
        <f t="shared" si="242"/>
        <v>No es Candidato</v>
      </c>
      <c r="CT518">
        <v>0</v>
      </c>
      <c r="CU518">
        <v>0</v>
      </c>
      <c r="CV518" s="25">
        <v>51.490737915039063</v>
      </c>
      <c r="CW518" s="25">
        <v>30.538419723510739</v>
      </c>
      <c r="CX518" s="25">
        <v>47.820205688476563</v>
      </c>
      <c r="CY518" s="25">
        <v>68.199531555175781</v>
      </c>
      <c r="CZ518" s="25">
        <v>62.4827880859375</v>
      </c>
      <c r="DA518" s="25">
        <v>47.953868865966797</v>
      </c>
      <c r="DB518" s="25">
        <v>51.949615478515618</v>
      </c>
      <c r="DC518">
        <v>36</v>
      </c>
      <c r="DD518" s="253" t="s">
        <v>380</v>
      </c>
    </row>
    <row r="519" spans="1:108">
      <c r="A519" s="13">
        <v>5002</v>
      </c>
      <c r="B519" s="13" t="s">
        <v>1485</v>
      </c>
      <c r="C519" s="13" t="s">
        <v>435</v>
      </c>
      <c r="D519" s="13" t="s">
        <v>436</v>
      </c>
      <c r="E519" s="13" t="s">
        <v>1486</v>
      </c>
      <c r="F519" s="14">
        <v>62.9072666666667</v>
      </c>
      <c r="G519" s="13">
        <v>41.54</v>
      </c>
      <c r="H519" s="13">
        <v>28.46</v>
      </c>
      <c r="I519" s="13">
        <v>39.369999999999997</v>
      </c>
      <c r="J519" s="14">
        <v>50.808558975151769</v>
      </c>
      <c r="K519" s="14">
        <v>62.925519489100978</v>
      </c>
      <c r="L519" s="14">
        <v>65.49887848289697</v>
      </c>
      <c r="M519" s="14">
        <v>49.944899999999997</v>
      </c>
      <c r="N519" s="14">
        <f t="shared" si="216"/>
        <v>43.06931666666668</v>
      </c>
      <c r="O519" s="14">
        <f t="shared" si="217"/>
        <v>57.294464236787427</v>
      </c>
      <c r="P519" s="14">
        <f t="shared" si="233"/>
        <v>50.181890451727057</v>
      </c>
      <c r="Q519" s="14">
        <v>53.887956318216943</v>
      </c>
      <c r="R519" s="17">
        <f t="shared" si="218"/>
        <v>46.112043681783057</v>
      </c>
      <c r="S519" s="14">
        <f t="shared" si="234"/>
        <v>0.51500839313604752</v>
      </c>
      <c r="T519" s="13">
        <v>0</v>
      </c>
      <c r="U519" s="13">
        <f t="shared" si="235"/>
        <v>25.844094766073116</v>
      </c>
      <c r="V519" s="13">
        <f>IF($T519=1,$AU519,(VLOOKUP(U519,'Cortes naturales'!$A$35:$C$39,3,9)))</f>
        <v>4</v>
      </c>
      <c r="W519" s="13">
        <v>4</v>
      </c>
      <c r="X519" s="14" t="b">
        <f t="shared" si="219"/>
        <v>1</v>
      </c>
      <c r="Y519" s="17">
        <f>IF($T519=1,$AU519,VLOOKUP(U519,'Cortes naturales'!$A$45:$C$49,3,9))</f>
        <v>4</v>
      </c>
      <c r="Z519" s="14">
        <v>54.158768123507357</v>
      </c>
      <c r="AA519" s="14">
        <v>0.52419525755831931</v>
      </c>
      <c r="AB519" s="14">
        <v>28.389769405543234</v>
      </c>
      <c r="AC519" s="13">
        <v>3</v>
      </c>
      <c r="AD519" s="13">
        <f t="shared" si="220"/>
        <v>-1</v>
      </c>
      <c r="AE519" s="14">
        <f t="shared" si="221"/>
        <v>-3.9768776717803007</v>
      </c>
      <c r="AF519" s="14">
        <f t="shared" si="222"/>
        <v>-9.1868644222717899E-3</v>
      </c>
      <c r="AG519" s="13">
        <f t="shared" si="223"/>
        <v>-2.5456746394701177</v>
      </c>
      <c r="AH519" s="13">
        <f>IF($T519=1,$AU519,VLOOKUP(U519,'Cortes naturales'!$A$25:$C$29,3,9))</f>
        <v>4</v>
      </c>
      <c r="AI519" s="13" t="b">
        <f t="shared" si="224"/>
        <v>1</v>
      </c>
      <c r="AJ519" s="13" t="str">
        <f t="shared" si="225"/>
        <v>Efecto ponderador</v>
      </c>
      <c r="AK519" s="28">
        <v>0.81759069605862034</v>
      </c>
      <c r="AL519" s="28">
        <v>44.279704927775796</v>
      </c>
      <c r="AM519" s="28">
        <v>0.38326642159600116</v>
      </c>
      <c r="AN519" s="13">
        <v>3</v>
      </c>
      <c r="AO519" s="33">
        <f t="shared" si="226"/>
        <v>-1</v>
      </c>
      <c r="AP519" s="13">
        <f t="shared" si="236"/>
        <v>38.326642159600119</v>
      </c>
      <c r="AQ519" s="13">
        <f>IFERROR(VLOOKUP(U519,'Cortes naturales'!$E$15:$G$19,3,9),U519)</f>
        <v>4</v>
      </c>
      <c r="AR519" s="28">
        <f t="shared" si="227"/>
        <v>-0.30258230292257282</v>
      </c>
      <c r="AS519" s="13" t="b">
        <f t="shared" si="228"/>
        <v>1</v>
      </c>
      <c r="AT519" s="13" t="str">
        <f t="shared" si="237"/>
        <v>Efecto ponderador</v>
      </c>
      <c r="AU519" s="13">
        <v>2</v>
      </c>
      <c r="AV519">
        <f t="shared" si="229"/>
        <v>-2</v>
      </c>
      <c r="AW519" s="13">
        <v>0</v>
      </c>
      <c r="AX519" s="13">
        <v>0</v>
      </c>
      <c r="AY519" s="13">
        <v>0</v>
      </c>
      <c r="AZ519" s="13">
        <v>0</v>
      </c>
      <c r="BA519">
        <v>1</v>
      </c>
      <c r="BB519" t="s">
        <v>2840</v>
      </c>
      <c r="BC519">
        <v>6</v>
      </c>
      <c r="BD519" t="s">
        <v>2919</v>
      </c>
      <c r="BE519">
        <v>1</v>
      </c>
      <c r="BF519" s="232" t="s">
        <v>2846</v>
      </c>
      <c r="BG519" s="232" t="s">
        <v>2845</v>
      </c>
      <c r="BH519" s="253">
        <v>40.6</v>
      </c>
      <c r="BI519" s="253">
        <v>13.958914243441644</v>
      </c>
      <c r="BJ519" s="25">
        <v>33.659093709679453</v>
      </c>
      <c r="BK519" t="s">
        <v>379</v>
      </c>
      <c r="BL519">
        <v>15.931426255479797</v>
      </c>
      <c r="BM519" t="s">
        <v>376</v>
      </c>
      <c r="BN519" s="322">
        <v>38552.668971999999</v>
      </c>
      <c r="BO519" s="322">
        <v>4691.7905419999997</v>
      </c>
      <c r="BP519" s="10">
        <v>21121</v>
      </c>
      <c r="BQ519" s="254">
        <f t="shared" si="230"/>
        <v>1.8253240363619148</v>
      </c>
      <c r="BR519" s="254">
        <f t="shared" si="231"/>
        <v>0.22213865546138914</v>
      </c>
      <c r="BS519" s="25">
        <v>59.933281951292898</v>
      </c>
      <c r="BT519" s="25">
        <v>88.6078469187065</v>
      </c>
      <c r="BU519" s="25">
        <v>33.8645632798574</v>
      </c>
      <c r="BV519" s="25">
        <v>89.740253796046048</v>
      </c>
      <c r="BW519" s="25">
        <v>47.778632163113762</v>
      </c>
      <c r="BX519" s="25">
        <v>68.03648648647571</v>
      </c>
      <c r="BY519" s="25">
        <v>48.755379053533247</v>
      </c>
      <c r="BZ519">
        <v>65</v>
      </c>
      <c r="CA519">
        <v>0</v>
      </c>
      <c r="CB519">
        <v>6</v>
      </c>
      <c r="CC519">
        <v>50695.279803999998</v>
      </c>
      <c r="CD519" s="10">
        <v>5678.776511</v>
      </c>
      <c r="CE519" s="255">
        <v>0.11201785517222708</v>
      </c>
      <c r="CF519" t="str">
        <f>IFERROR(VLOOKUP(CE519,'Rangos amb etnico'!$A$2:$C$6,3,9),"N.D.")</f>
        <v>0,1% - 30%</v>
      </c>
      <c r="CG519" s="256">
        <v>1.652170157913365E-4</v>
      </c>
      <c r="CH519" s="232">
        <v>0</v>
      </c>
      <c r="CI519" s="311">
        <f t="shared" si="238"/>
        <v>0</v>
      </c>
      <c r="CJ519" s="232">
        <f>IFERROR(VLOOKUP(CI519,'Rangos amb etnico'!$A$2:$C$6,3,9),"N.D.")</f>
        <v>0</v>
      </c>
      <c r="CK519" s="311">
        <f t="shared" si="239"/>
        <v>0</v>
      </c>
      <c r="CL519" s="10">
        <v>0</v>
      </c>
      <c r="CM519" s="255">
        <f t="shared" si="240"/>
        <v>0</v>
      </c>
      <c r="CN519" s="232">
        <f>IFERROR(VLOOKUP(CM519,'Rangos amb etnico'!$A$2:$C$6,3,9),"N.D.")</f>
        <v>0</v>
      </c>
      <c r="CO519" s="311">
        <f t="shared" si="241"/>
        <v>0</v>
      </c>
      <c r="CP519">
        <v>0.81294975298069971</v>
      </c>
      <c r="CQ519" t="s">
        <v>2865</v>
      </c>
      <c r="CR519">
        <f t="shared" si="232"/>
        <v>1</v>
      </c>
      <c r="CS519" t="str">
        <f t="shared" si="242"/>
        <v>No es Candidato</v>
      </c>
      <c r="CT519">
        <v>0</v>
      </c>
      <c r="CU519">
        <v>0</v>
      </c>
      <c r="CV519" s="25">
        <v>40.104301452636719</v>
      </c>
      <c r="CW519" s="25">
        <v>24.699600219726559</v>
      </c>
      <c r="CX519" s="25">
        <v>36.685653686523438</v>
      </c>
      <c r="CY519" s="25">
        <v>60.504364013671882</v>
      </c>
      <c r="CZ519" s="25">
        <v>41.127140045166023</v>
      </c>
      <c r="DA519" s="25">
        <v>28.604986190795898</v>
      </c>
      <c r="DB519" s="25">
        <v>49.004074096679688</v>
      </c>
      <c r="DC519">
        <v>391</v>
      </c>
      <c r="DD519" s="253" t="s">
        <v>380</v>
      </c>
    </row>
    <row r="520" spans="1:108" hidden="1">
      <c r="A520" s="13">
        <v>68179</v>
      </c>
      <c r="B520" s="13" t="s">
        <v>1487</v>
      </c>
      <c r="C520" s="13" t="s">
        <v>431</v>
      </c>
      <c r="D520" s="13" t="s">
        <v>432</v>
      </c>
      <c r="E520" s="13" t="s">
        <v>1488</v>
      </c>
      <c r="F520" s="14">
        <v>63.519166666666699</v>
      </c>
      <c r="G520" s="13">
        <v>47.31</v>
      </c>
      <c r="H520" s="13">
        <v>55.53</v>
      </c>
      <c r="I520" s="13">
        <v>53.65</v>
      </c>
      <c r="J520" s="14">
        <v>49.770634038337498</v>
      </c>
      <c r="K520" s="14">
        <v>52.108862680768127</v>
      </c>
      <c r="L520" s="14">
        <v>53.797399782593928</v>
      </c>
      <c r="M520" s="14">
        <v>50.746299999999998</v>
      </c>
      <c r="N520" s="14">
        <f t="shared" si="216"/>
        <v>55.002291666666679</v>
      </c>
      <c r="O520" s="14">
        <f t="shared" si="217"/>
        <v>51.605799125424888</v>
      </c>
      <c r="P520" s="14">
        <f t="shared" si="233"/>
        <v>53.30404539604578</v>
      </c>
      <c r="Q520" s="14">
        <v>54.183016241553261</v>
      </c>
      <c r="R520" s="17">
        <f t="shared" si="218"/>
        <v>45.816983758446739</v>
      </c>
      <c r="S520" s="14">
        <f t="shared" si="234"/>
        <v>0.51235285382602069</v>
      </c>
      <c r="T520" s="13">
        <v>0</v>
      </c>
      <c r="U520" s="13">
        <f t="shared" si="235"/>
        <v>27.310479779135814</v>
      </c>
      <c r="V520" s="13">
        <f>IF($T520=1,$AU520,(VLOOKUP(U520,'Cortes naturales'!$A$35:$C$39,3,9)))</f>
        <v>4</v>
      </c>
      <c r="W520" s="13">
        <v>4</v>
      </c>
      <c r="X520" s="14" t="b">
        <f t="shared" si="219"/>
        <v>1</v>
      </c>
      <c r="Y520" s="17">
        <f>IF($T520=1,$AU520,VLOOKUP(U520,'Cortes naturales'!$A$45:$C$49,3,9))</f>
        <v>4</v>
      </c>
      <c r="Z520" s="14">
        <v>53.720210408710436</v>
      </c>
      <c r="AA520" s="14">
        <v>0.52320957629345011</v>
      </c>
      <c r="AB520" s="14">
        <v>28.106928526336375</v>
      </c>
      <c r="AC520" s="13">
        <v>3</v>
      </c>
      <c r="AD520" s="13">
        <f t="shared" si="220"/>
        <v>-1</v>
      </c>
      <c r="AE520" s="14">
        <f t="shared" si="221"/>
        <v>-0.41616501266465633</v>
      </c>
      <c r="AF520" s="14">
        <f t="shared" si="222"/>
        <v>-1.0856722467429414E-2</v>
      </c>
      <c r="AG520" s="13">
        <f t="shared" si="223"/>
        <v>-0.7964487472005608</v>
      </c>
      <c r="AH520" s="13">
        <f>IF($T520=1,$AU520,VLOOKUP(U520,'Cortes naturales'!$A$25:$C$29,3,9))</f>
        <v>4</v>
      </c>
      <c r="AI520" s="13" t="b">
        <f t="shared" si="224"/>
        <v>1</v>
      </c>
      <c r="AJ520" s="13" t="str">
        <f t="shared" si="225"/>
        <v>Efecto ponderador</v>
      </c>
      <c r="AK520" s="28">
        <v>0.81759069605862034</v>
      </c>
      <c r="AL520" s="28">
        <v>43.92114422047311</v>
      </c>
      <c r="AM520" s="28">
        <v>0.37878120510625607</v>
      </c>
      <c r="AN520" s="13">
        <v>3</v>
      </c>
      <c r="AO520" s="33">
        <f t="shared" si="226"/>
        <v>-1</v>
      </c>
      <c r="AP520" s="13">
        <f t="shared" si="236"/>
        <v>37.878120510625607</v>
      </c>
      <c r="AQ520" s="13">
        <f>IFERROR(VLOOKUP(U520,'Cortes naturales'!$E$15:$G$19,3,9),U520)</f>
        <v>4</v>
      </c>
      <c r="AR520" s="28">
        <f t="shared" si="227"/>
        <v>-0.30523784223259964</v>
      </c>
      <c r="AS520" s="13" t="b">
        <f t="shared" si="228"/>
        <v>1</v>
      </c>
      <c r="AT520" s="13" t="str">
        <f t="shared" si="237"/>
        <v>Efecto ponderador</v>
      </c>
      <c r="AU520" s="13">
        <v>3</v>
      </c>
      <c r="AV520">
        <f t="shared" si="229"/>
        <v>-1</v>
      </c>
      <c r="AW520" s="13">
        <v>0</v>
      </c>
      <c r="AX520" s="13">
        <v>0</v>
      </c>
      <c r="AY520" s="13">
        <v>0</v>
      </c>
      <c r="AZ520" s="13">
        <v>0</v>
      </c>
      <c r="BA520">
        <v>0</v>
      </c>
      <c r="BB520" t="s">
        <v>2840</v>
      </c>
      <c r="BC520">
        <v>6</v>
      </c>
      <c r="BD520" t="s">
        <v>2919</v>
      </c>
      <c r="BE520">
        <v>1</v>
      </c>
      <c r="BF520" s="232" t="s">
        <v>2846</v>
      </c>
      <c r="BG520" s="232" t="s">
        <v>2845</v>
      </c>
      <c r="BH520" s="253">
        <v>42.8</v>
      </c>
      <c r="BI520" s="253">
        <v>15.244464944649447</v>
      </c>
      <c r="BJ520" s="25">
        <v>17.684999999999999</v>
      </c>
      <c r="BK520" t="s">
        <v>379</v>
      </c>
      <c r="BL520">
        <v>0</v>
      </c>
      <c r="BM520" t="s">
        <v>377</v>
      </c>
      <c r="BN520" s="322">
        <v>12847.278818999999</v>
      </c>
      <c r="BO520" s="322">
        <v>1045.2142859999999</v>
      </c>
      <c r="BP520" s="10">
        <v>5247</v>
      </c>
      <c r="BQ520" s="254">
        <f t="shared" si="230"/>
        <v>2.4484998702115495</v>
      </c>
      <c r="BR520" s="254">
        <f t="shared" si="231"/>
        <v>0.19920226529445395</v>
      </c>
      <c r="BS520" s="25">
        <v>45.913841034751051</v>
      </c>
      <c r="BT520" s="25">
        <v>82.763286885204252</v>
      </c>
      <c r="BU520" s="25">
        <v>47.534313725490158</v>
      </c>
      <c r="BV520" s="25">
        <v>97.010708110698303</v>
      </c>
      <c r="BW520" s="25">
        <v>61.231065591298631</v>
      </c>
      <c r="BX520" s="25">
        <v>68.305537439035945</v>
      </c>
      <c r="BY520" s="25">
        <v>61.703881240377022</v>
      </c>
      <c r="BZ520">
        <v>25</v>
      </c>
      <c r="CA520">
        <v>0</v>
      </c>
      <c r="CB520">
        <v>7</v>
      </c>
      <c r="CC520">
        <v>9483.627665</v>
      </c>
      <c r="CD520" s="10">
        <v>607.29698399999995</v>
      </c>
      <c r="CE520" s="255">
        <v>6.403635881249034E-2</v>
      </c>
      <c r="CF520" t="str">
        <f>IFERROR(VLOOKUP(CE520,'Rangos amb etnico'!$A$2:$C$6,3,9),"N.D.")</f>
        <v>0,1% - 30%</v>
      </c>
      <c r="CG520" s="256">
        <v>1.7668558570883158E-5</v>
      </c>
      <c r="CH520" s="232">
        <v>0</v>
      </c>
      <c r="CI520" s="311">
        <f t="shared" si="238"/>
        <v>0</v>
      </c>
      <c r="CJ520" s="232">
        <f>IFERROR(VLOOKUP(CI520,'Rangos amb etnico'!$A$2:$C$6,3,9),"N.D.")</f>
        <v>0</v>
      </c>
      <c r="CK520" s="311">
        <f t="shared" si="239"/>
        <v>0</v>
      </c>
      <c r="CL520" s="10">
        <v>0</v>
      </c>
      <c r="CM520" s="255">
        <f t="shared" si="240"/>
        <v>0</v>
      </c>
      <c r="CN520" s="232">
        <f>IFERROR(VLOOKUP(CM520,'Rangos amb etnico'!$A$2:$C$6,3,9),"N.D.")</f>
        <v>0</v>
      </c>
      <c r="CO520" s="311">
        <f t="shared" si="241"/>
        <v>0</v>
      </c>
      <c r="CP520">
        <v>0.95443000104366504</v>
      </c>
      <c r="CQ520" t="s">
        <v>2864</v>
      </c>
      <c r="CR520">
        <f t="shared" si="232"/>
        <v>2</v>
      </c>
      <c r="CS520" t="str">
        <f t="shared" si="242"/>
        <v>No es Candidato</v>
      </c>
      <c r="CT520">
        <v>0</v>
      </c>
      <c r="CU520">
        <v>0</v>
      </c>
      <c r="CV520" s="25">
        <v>52.924118041992188</v>
      </c>
      <c r="CW520" s="25">
        <v>19.13368034362793</v>
      </c>
      <c r="CX520" s="25">
        <v>55.087272644042969</v>
      </c>
      <c r="CY520" s="25">
        <v>65.618453979492188</v>
      </c>
      <c r="CZ520" s="25">
        <v>42.700084686279297</v>
      </c>
      <c r="DA520" s="25">
        <v>73.578849792480469</v>
      </c>
      <c r="DB520" s="25">
        <v>61.426361083984382</v>
      </c>
      <c r="DC520">
        <v>59</v>
      </c>
      <c r="DD520" s="253" t="s">
        <v>380</v>
      </c>
    </row>
    <row r="521" spans="1:108" hidden="1">
      <c r="A521" s="13">
        <v>25398</v>
      </c>
      <c r="B521" s="13" t="s">
        <v>1489</v>
      </c>
      <c r="C521" s="13" t="s">
        <v>461</v>
      </c>
      <c r="D521" s="13" t="s">
        <v>462</v>
      </c>
      <c r="E521" s="13" t="s">
        <v>1490</v>
      </c>
      <c r="F521" s="14">
        <v>81.224000000000004</v>
      </c>
      <c r="G521" s="13">
        <v>80.47</v>
      </c>
      <c r="H521" s="13">
        <v>82.5</v>
      </c>
      <c r="I521" s="13">
        <v>86.11</v>
      </c>
      <c r="J521" s="14">
        <v>63.431351270264429</v>
      </c>
      <c r="K521" s="14">
        <v>59.59637057241126</v>
      </c>
      <c r="L521" s="14">
        <v>66.070542141152742</v>
      </c>
      <c r="M521" s="14">
        <v>54.9514</v>
      </c>
      <c r="N521" s="14">
        <f t="shared" si="216"/>
        <v>82.576000000000008</v>
      </c>
      <c r="O521" s="14">
        <f t="shared" si="217"/>
        <v>61.012415995957106</v>
      </c>
      <c r="P521" s="14">
        <f t="shared" si="233"/>
        <v>71.79420799797856</v>
      </c>
      <c r="Q521" s="14">
        <v>55.209242790597187</v>
      </c>
      <c r="R521" s="17">
        <f t="shared" si="218"/>
        <v>44.790757209402813</v>
      </c>
      <c r="S521" s="14">
        <f t="shared" si="234"/>
        <v>0.50311681488462534</v>
      </c>
      <c r="T521" s="13">
        <v>0</v>
      </c>
      <c r="U521" s="13">
        <f t="shared" si="235"/>
        <v>36.12087325510727</v>
      </c>
      <c r="V521" s="13">
        <f>IF($T521=1,$AU521,(VLOOKUP(U521,'Cortes naturales'!$A$35:$C$39,3,9)))</f>
        <v>3</v>
      </c>
      <c r="W521" s="13">
        <v>3</v>
      </c>
      <c r="X521" s="14" t="b">
        <f t="shared" si="219"/>
        <v>1</v>
      </c>
      <c r="Y521" s="17">
        <f>IF($T521=1,$AU521,VLOOKUP(U521,'Cortes naturales'!$A$45:$C$49,3,9))</f>
        <v>2</v>
      </c>
      <c r="Z521" s="14">
        <v>71.882566014671468</v>
      </c>
      <c r="AA521" s="14">
        <v>0.52116428908808621</v>
      </c>
      <c r="AB521" s="14">
        <v>37.462626414863685</v>
      </c>
      <c r="AC521" s="13">
        <v>2</v>
      </c>
      <c r="AD521" s="13">
        <f t="shared" si="220"/>
        <v>0</v>
      </c>
      <c r="AE521" s="14">
        <f t="shared" si="221"/>
        <v>-8.8358016692907881E-2</v>
      </c>
      <c r="AF521" s="14">
        <f t="shared" si="222"/>
        <v>-1.8047474203460867E-2</v>
      </c>
      <c r="AG521" s="13">
        <f t="shared" si="223"/>
        <v>-1.341753159756415</v>
      </c>
      <c r="AH521" s="13">
        <f>IF($T521=1,$AU521,VLOOKUP(U521,'Cortes naturales'!$A$25:$C$29,3,9))</f>
        <v>2</v>
      </c>
      <c r="AI521" s="13" t="b">
        <f t="shared" si="224"/>
        <v>1</v>
      </c>
      <c r="AJ521" s="13">
        <f t="shared" si="225"/>
        <v>0</v>
      </c>
      <c r="AK521" s="28">
        <v>0.81759069605862034</v>
      </c>
      <c r="AL521" s="28">
        <v>58.77051718241497</v>
      </c>
      <c r="AM521" s="28">
        <v>0.56453120814563662</v>
      </c>
      <c r="AN521" s="13">
        <v>2</v>
      </c>
      <c r="AO521" s="33">
        <f t="shared" si="226"/>
        <v>0</v>
      </c>
      <c r="AP521" s="13">
        <f t="shared" si="236"/>
        <v>56.453120814563661</v>
      </c>
      <c r="AQ521" s="13">
        <f>IFERROR(VLOOKUP(U521,'Cortes naturales'!$E$15:$G$19,3,9),U521)</f>
        <v>3</v>
      </c>
      <c r="AR521" s="28">
        <f t="shared" si="227"/>
        <v>-0.314473881173995</v>
      </c>
      <c r="AS521" s="13" t="b">
        <f t="shared" si="228"/>
        <v>0</v>
      </c>
      <c r="AT521" s="13">
        <f t="shared" si="237"/>
        <v>0</v>
      </c>
      <c r="AU521" s="13">
        <v>3</v>
      </c>
      <c r="AV521">
        <f t="shared" si="229"/>
        <v>1</v>
      </c>
      <c r="AW521" s="13">
        <v>0</v>
      </c>
      <c r="AX521" s="13">
        <v>0</v>
      </c>
      <c r="AY521" s="13">
        <v>0</v>
      </c>
      <c r="AZ521" s="13">
        <v>0</v>
      </c>
      <c r="BA521">
        <v>0</v>
      </c>
      <c r="BB521" t="s">
        <v>2840</v>
      </c>
      <c r="BC521">
        <v>6</v>
      </c>
      <c r="BD521" t="s">
        <v>2919</v>
      </c>
      <c r="BE521">
        <v>0</v>
      </c>
      <c r="BF521" s="232" t="s">
        <v>2846</v>
      </c>
      <c r="BG521" s="232" t="s">
        <v>2846</v>
      </c>
      <c r="BH521" s="253">
        <v>50.3</v>
      </c>
      <c r="BI521" s="253">
        <v>30.077691453940066</v>
      </c>
      <c r="BJ521" s="25">
        <v>1.3900000000000001</v>
      </c>
      <c r="BK521" t="s">
        <v>381</v>
      </c>
      <c r="BL521">
        <v>0</v>
      </c>
      <c r="BM521" t="s">
        <v>377</v>
      </c>
      <c r="BN521" s="322">
        <v>17616.568007999998</v>
      </c>
      <c r="BO521" s="322">
        <v>843.25257299999998</v>
      </c>
      <c r="BP521" s="10">
        <v>6051</v>
      </c>
      <c r="BQ521" s="254">
        <f t="shared" si="230"/>
        <v>2.9113482082300441</v>
      </c>
      <c r="BR521" s="254">
        <f t="shared" si="231"/>
        <v>0.13935755627169064</v>
      </c>
      <c r="BS521" s="25">
        <v>46.716856343438621</v>
      </c>
      <c r="BT521" s="25">
        <v>83.574235332451934</v>
      </c>
      <c r="BU521" s="25">
        <v>26.492462772050398</v>
      </c>
      <c r="BV521" s="25">
        <v>97.925789449816747</v>
      </c>
      <c r="BW521" s="25">
        <v>51.570410659359112</v>
      </c>
      <c r="BX521" s="25">
        <v>63.67733597443943</v>
      </c>
      <c r="BY521" s="25">
        <v>51.817000336975923</v>
      </c>
      <c r="BZ521">
        <v>37</v>
      </c>
      <c r="CA521">
        <v>0</v>
      </c>
      <c r="CB521">
        <v>7</v>
      </c>
      <c r="CC521">
        <v>12833.834503</v>
      </c>
      <c r="CD521" s="10">
        <v>1722.1863820000001</v>
      </c>
      <c r="CE521" s="255">
        <v>0.13419110099927087</v>
      </c>
      <c r="CF521" t="str">
        <f>IFERROR(VLOOKUP(CE521,'Rangos amb etnico'!$A$2:$C$6,3,9),"N.D.")</f>
        <v>0,1% - 30%</v>
      </c>
      <c r="CG521" s="256">
        <v>5.0104893918498963E-5</v>
      </c>
      <c r="CH521" s="232">
        <v>0</v>
      </c>
      <c r="CI521" s="311">
        <f t="shared" si="238"/>
        <v>0</v>
      </c>
      <c r="CJ521" s="232">
        <f>IFERROR(VLOOKUP(CI521,'Rangos amb etnico'!$A$2:$C$6,3,9),"N.D.")</f>
        <v>0</v>
      </c>
      <c r="CK521" s="311">
        <f t="shared" si="239"/>
        <v>0</v>
      </c>
      <c r="CL521" s="10">
        <v>0</v>
      </c>
      <c r="CM521" s="255">
        <f t="shared" si="240"/>
        <v>0</v>
      </c>
      <c r="CN521" s="232">
        <f>IFERROR(VLOOKUP(CM521,'Rangos amb etnico'!$A$2:$C$6,3,9),"N.D.")</f>
        <v>0</v>
      </c>
      <c r="CO521" s="311">
        <f t="shared" si="241"/>
        <v>0</v>
      </c>
      <c r="CP521">
        <v>0.84441537885729923</v>
      </c>
      <c r="CQ521" t="s">
        <v>2865</v>
      </c>
      <c r="CR521">
        <f t="shared" si="232"/>
        <v>2</v>
      </c>
      <c r="CS521" t="str">
        <f t="shared" si="242"/>
        <v>No es Candidato</v>
      </c>
      <c r="CT521">
        <v>0</v>
      </c>
      <c r="CU521">
        <v>0</v>
      </c>
      <c r="CV521" s="25">
        <v>47.721549987792969</v>
      </c>
      <c r="CW521" s="25">
        <v>19.760478973388668</v>
      </c>
      <c r="CX521" s="25">
        <v>47.351333618164063</v>
      </c>
      <c r="CY521" s="25">
        <v>65.630714416503906</v>
      </c>
      <c r="CZ521" s="25">
        <v>34.219364166259773</v>
      </c>
      <c r="DA521" s="25">
        <v>78.016510009765625</v>
      </c>
      <c r="DB521" s="25">
        <v>41.350879669189453</v>
      </c>
      <c r="DC521">
        <v>42</v>
      </c>
      <c r="DD521" s="253" t="s">
        <v>380</v>
      </c>
    </row>
    <row r="522" spans="1:108" hidden="1">
      <c r="A522" s="13">
        <v>15362</v>
      </c>
      <c r="B522" s="13" t="s">
        <v>1491</v>
      </c>
      <c r="C522" s="13" t="s">
        <v>498</v>
      </c>
      <c r="D522" s="13" t="s">
        <v>499</v>
      </c>
      <c r="E522" s="13" t="s">
        <v>1492</v>
      </c>
      <c r="F522" s="14">
        <v>64.556066666666695</v>
      </c>
      <c r="G522" s="13">
        <v>47.7</v>
      </c>
      <c r="H522" s="13">
        <v>43.65</v>
      </c>
      <c r="I522" s="13">
        <v>40.479999999999997</v>
      </c>
      <c r="J522" s="14">
        <v>51.44843084240361</v>
      </c>
      <c r="K522" s="14">
        <v>54.031655262271414</v>
      </c>
      <c r="L522" s="14">
        <v>60.983658835388184</v>
      </c>
      <c r="M522" s="14">
        <v>58.998800000000003</v>
      </c>
      <c r="N522" s="14">
        <f t="shared" si="216"/>
        <v>49.096516666666673</v>
      </c>
      <c r="O522" s="14">
        <f t="shared" si="217"/>
        <v>56.365636235015799</v>
      </c>
      <c r="P522" s="14">
        <f t="shared" si="233"/>
        <v>52.731076450841236</v>
      </c>
      <c r="Q522" s="14">
        <v>54.603838697081706</v>
      </c>
      <c r="R522" s="17">
        <f t="shared" si="218"/>
        <v>45.396161302918294</v>
      </c>
      <c r="S522" s="14">
        <f t="shared" si="234"/>
        <v>0.50856545172626466</v>
      </c>
      <c r="T522" s="13">
        <v>0</v>
      </c>
      <c r="U522" s="13">
        <f t="shared" si="235"/>
        <v>26.817203715234271</v>
      </c>
      <c r="V522" s="13">
        <f>IF($T522=1,$AU522,(VLOOKUP(U522,'Cortes naturales'!$A$35:$C$39,3,9)))</f>
        <v>4</v>
      </c>
      <c r="W522" s="13">
        <v>4</v>
      </c>
      <c r="X522" s="14" t="b">
        <f t="shared" si="219"/>
        <v>1</v>
      </c>
      <c r="Y522" s="17">
        <f>IF($T522=1,$AU522,VLOOKUP(U522,'Cortes naturales'!$A$45:$C$49,3,9))</f>
        <v>4</v>
      </c>
      <c r="Z522" s="14">
        <v>54.915147597144909</v>
      </c>
      <c r="AA522" s="14">
        <v>0.52323845217261655</v>
      </c>
      <c r="AB522" s="14">
        <v>28.733716829560887</v>
      </c>
      <c r="AC522" s="13">
        <v>3</v>
      </c>
      <c r="AD522" s="13">
        <f t="shared" si="220"/>
        <v>-1</v>
      </c>
      <c r="AE522" s="14">
        <f t="shared" si="221"/>
        <v>-2.1840711463036726</v>
      </c>
      <c r="AF522" s="14">
        <f t="shared" si="222"/>
        <v>-1.4673000446351891E-2</v>
      </c>
      <c r="AG522" s="13">
        <f t="shared" si="223"/>
        <v>-1.9165131143266159</v>
      </c>
      <c r="AH522" s="13">
        <f>IF($T522=1,$AU522,VLOOKUP(U522,'Cortes naturales'!$A$25:$C$29,3,9))</f>
        <v>4</v>
      </c>
      <c r="AI522" s="13" t="b">
        <f t="shared" si="224"/>
        <v>1</v>
      </c>
      <c r="AJ522" s="13" t="str">
        <f t="shared" si="225"/>
        <v>Efecto ponderador</v>
      </c>
      <c r="AK522" s="28">
        <v>0.81759069605862034</v>
      </c>
      <c r="AL522" s="28">
        <v>44.898113748111577</v>
      </c>
      <c r="AM522" s="28">
        <v>0.39100206407406102</v>
      </c>
      <c r="AN522" s="13">
        <v>3</v>
      </c>
      <c r="AO522" s="33">
        <f t="shared" si="226"/>
        <v>-1</v>
      </c>
      <c r="AP522" s="13">
        <f t="shared" si="236"/>
        <v>39.100206407406105</v>
      </c>
      <c r="AQ522" s="13">
        <f>IFERROR(VLOOKUP(U522,'Cortes naturales'!$E$15:$G$19,3,9),U522)</f>
        <v>4</v>
      </c>
      <c r="AR522" s="28">
        <f t="shared" si="227"/>
        <v>-0.30902524433235568</v>
      </c>
      <c r="AS522" s="13" t="b">
        <f t="shared" si="228"/>
        <v>1</v>
      </c>
      <c r="AT522" s="13" t="str">
        <f t="shared" si="237"/>
        <v>Efecto ponderador</v>
      </c>
      <c r="AU522" s="13">
        <v>3</v>
      </c>
      <c r="AV522">
        <f t="shared" si="229"/>
        <v>-1</v>
      </c>
      <c r="AW522" s="13">
        <v>0</v>
      </c>
      <c r="AX522" s="13">
        <v>0</v>
      </c>
      <c r="AY522" s="13">
        <v>0</v>
      </c>
      <c r="AZ522" s="13">
        <v>0</v>
      </c>
      <c r="BA522">
        <v>0</v>
      </c>
      <c r="BB522" t="s">
        <v>2839</v>
      </c>
      <c r="BC522">
        <v>6</v>
      </c>
      <c r="BD522" s="184" t="s">
        <v>2917</v>
      </c>
      <c r="BE522">
        <v>1</v>
      </c>
      <c r="BF522" s="232" t="s">
        <v>2846</v>
      </c>
      <c r="BG522" s="232" t="s">
        <v>2846</v>
      </c>
      <c r="BH522" s="253">
        <v>24.8</v>
      </c>
      <c r="BI522" s="253">
        <v>8.5390946502057616</v>
      </c>
      <c r="BJ522" s="25">
        <v>0</v>
      </c>
      <c r="BK522" t="s">
        <v>381</v>
      </c>
      <c r="BL522">
        <v>0</v>
      </c>
      <c r="BM522" t="s">
        <v>377</v>
      </c>
      <c r="BN522" s="322">
        <v>7212.0776390000001</v>
      </c>
      <c r="BO522" s="322">
        <v>461.95880699999998</v>
      </c>
      <c r="BP522" s="10">
        <v>1934</v>
      </c>
      <c r="BQ522" s="254">
        <f t="shared" si="230"/>
        <v>3.7290990894519132</v>
      </c>
      <c r="BR522" s="254">
        <f t="shared" si="231"/>
        <v>0.23886184436401239</v>
      </c>
      <c r="BS522" s="25">
        <v>61.43759456917352</v>
      </c>
      <c r="BT522" s="25">
        <v>92.073853843502249</v>
      </c>
      <c r="BU522" s="25">
        <v>59.133502001143498</v>
      </c>
      <c r="BV522" s="25">
        <v>86.507873782416269</v>
      </c>
      <c r="BW522" s="25">
        <v>64.536793172043787</v>
      </c>
      <c r="BX522" s="25">
        <v>74.788206049058886</v>
      </c>
      <c r="BY522" s="25">
        <v>70.754501506447298</v>
      </c>
      <c r="BZ522">
        <v>62</v>
      </c>
      <c r="CA522">
        <v>0</v>
      </c>
      <c r="CB522">
        <v>7</v>
      </c>
      <c r="CC522">
        <v>3418.027701</v>
      </c>
      <c r="CD522" s="10">
        <v>320.50809800000002</v>
      </c>
      <c r="CE522" s="255">
        <v>9.3769894815723731E-2</v>
      </c>
      <c r="CF522" t="str">
        <f>IFERROR(VLOOKUP(CE522,'Rangos amb etnico'!$A$2:$C$6,3,9),"N.D.")</f>
        <v>0,1% - 30%</v>
      </c>
      <c r="CG522" s="256">
        <v>9.324788779052063E-6</v>
      </c>
      <c r="CH522" s="232">
        <v>0</v>
      </c>
      <c r="CI522" s="311">
        <f t="shared" si="238"/>
        <v>0</v>
      </c>
      <c r="CJ522" s="232">
        <f>IFERROR(VLOOKUP(CI522,'Rangos amb etnico'!$A$2:$C$6,3,9),"N.D.")</f>
        <v>0</v>
      </c>
      <c r="CK522" s="311">
        <f t="shared" si="239"/>
        <v>0</v>
      </c>
      <c r="CL522" s="10">
        <v>0</v>
      </c>
      <c r="CM522" s="255">
        <f t="shared" si="240"/>
        <v>0</v>
      </c>
      <c r="CN522" s="232">
        <f>IFERROR(VLOOKUP(CM522,'Rangos amb etnico'!$A$2:$C$6,3,9),"N.D.")</f>
        <v>0</v>
      </c>
      <c r="CO522" s="311">
        <f t="shared" si="241"/>
        <v>0</v>
      </c>
      <c r="CP522">
        <v>0.87130899699153042</v>
      </c>
      <c r="CQ522" t="s">
        <v>2864</v>
      </c>
      <c r="CR522">
        <f t="shared" si="232"/>
        <v>2</v>
      </c>
      <c r="CS522" t="str">
        <f t="shared" si="242"/>
        <v>No es Candidato</v>
      </c>
      <c r="CT522">
        <v>0</v>
      </c>
      <c r="CU522">
        <v>0</v>
      </c>
      <c r="CV522" s="25">
        <v>58.482192993164063</v>
      </c>
      <c r="CW522" s="25">
        <v>27.400104522705082</v>
      </c>
      <c r="CX522" s="25">
        <v>60.460765838623047</v>
      </c>
      <c r="CY522" s="25">
        <v>87.877426147460938</v>
      </c>
      <c r="CZ522" s="25">
        <v>59.26861572265625</v>
      </c>
      <c r="DA522" s="25">
        <v>62.687026977539063</v>
      </c>
      <c r="DB522" s="25">
        <v>53.199222564697273</v>
      </c>
      <c r="DC522">
        <v>19</v>
      </c>
      <c r="DD522" s="253" t="s">
        <v>380</v>
      </c>
    </row>
    <row r="523" spans="1:108" hidden="1">
      <c r="A523" s="13">
        <v>47703</v>
      </c>
      <c r="B523" s="13" t="s">
        <v>1493</v>
      </c>
      <c r="C523" s="13" t="s">
        <v>638</v>
      </c>
      <c r="D523" s="13" t="s">
        <v>639</v>
      </c>
      <c r="E523" s="13" t="s">
        <v>1494</v>
      </c>
      <c r="F523" s="14">
        <v>65.028766666666698</v>
      </c>
      <c r="G523" s="13">
        <v>57.97</v>
      </c>
      <c r="H523" s="13">
        <v>67.72</v>
      </c>
      <c r="I523" s="13">
        <v>27.69</v>
      </c>
      <c r="J523" s="14">
        <v>38.377113453507697</v>
      </c>
      <c r="K523" s="14">
        <v>38.895290148192231</v>
      </c>
      <c r="L523" s="14">
        <v>47.189358513344459</v>
      </c>
      <c r="M523" s="14">
        <v>52.285200000000003</v>
      </c>
      <c r="N523" s="14">
        <f t="shared" si="216"/>
        <v>54.60219166666667</v>
      </c>
      <c r="O523" s="14">
        <f t="shared" si="217"/>
        <v>44.186740528761092</v>
      </c>
      <c r="P523" s="14">
        <f t="shared" si="233"/>
        <v>49.394466097713881</v>
      </c>
      <c r="Q523" s="14">
        <v>53.588241480236512</v>
      </c>
      <c r="R523" s="17">
        <f t="shared" si="218"/>
        <v>46.411758519763488</v>
      </c>
      <c r="S523" s="14">
        <f t="shared" si="234"/>
        <v>0.51770582667787146</v>
      </c>
      <c r="T523" s="13">
        <v>0</v>
      </c>
      <c r="U523" s="13">
        <f t="shared" si="235"/>
        <v>25.57180290442906</v>
      </c>
      <c r="V523" s="13">
        <f>IF($T523=1,$AU523,(VLOOKUP(U523,'Cortes naturales'!$A$35:$C$39,3,9)))</f>
        <v>4</v>
      </c>
      <c r="W523" s="13">
        <v>4</v>
      </c>
      <c r="X523" s="14" t="b">
        <f t="shared" si="219"/>
        <v>1</v>
      </c>
      <c r="Y523" s="17">
        <f>IF($T523=1,$AU523,VLOOKUP(U523,'Cortes naturales'!$A$45:$C$49,3,9))</f>
        <v>4</v>
      </c>
      <c r="Z523" s="14">
        <v>54.114943492303254</v>
      </c>
      <c r="AA523" s="14">
        <v>0.52283807345572331</v>
      </c>
      <c r="AB523" s="14">
        <v>28.293352800681166</v>
      </c>
      <c r="AC523" s="13">
        <v>3</v>
      </c>
      <c r="AD523" s="13">
        <f t="shared" si="220"/>
        <v>-1</v>
      </c>
      <c r="AE523" s="14">
        <f t="shared" si="221"/>
        <v>-4.7204773945893734</v>
      </c>
      <c r="AF523" s="14">
        <f t="shared" si="222"/>
        <v>-5.1322467778518455E-3</v>
      </c>
      <c r="AG523" s="13">
        <f t="shared" si="223"/>
        <v>-2.7215498962521067</v>
      </c>
      <c r="AH523" s="13">
        <f>IF($T523=1,$AU523,VLOOKUP(U523,'Cortes naturales'!$A$25:$C$29,3,9))</f>
        <v>4</v>
      </c>
      <c r="AI523" s="13" t="b">
        <f t="shared" si="224"/>
        <v>1</v>
      </c>
      <c r="AJ523" s="13" t="str">
        <f t="shared" si="225"/>
        <v>Efecto ponderador</v>
      </c>
      <c r="AK523" s="28">
        <v>0.81759069605862034</v>
      </c>
      <c r="AL523" s="28">
        <v>44.243874317045126</v>
      </c>
      <c r="AM523" s="28">
        <v>0.38281821842478425</v>
      </c>
      <c r="AN523" s="13">
        <v>3</v>
      </c>
      <c r="AO523" s="33">
        <f t="shared" si="226"/>
        <v>-1</v>
      </c>
      <c r="AP523" s="13">
        <f t="shared" si="236"/>
        <v>38.281821842478422</v>
      </c>
      <c r="AQ523" s="13">
        <f>IFERROR(VLOOKUP(U523,'Cortes naturales'!$E$15:$G$19,3,9),U523)</f>
        <v>4</v>
      </c>
      <c r="AR523" s="28">
        <f t="shared" si="227"/>
        <v>-0.29988486938074888</v>
      </c>
      <c r="AS523" s="13" t="b">
        <f t="shared" si="228"/>
        <v>1</v>
      </c>
      <c r="AT523" s="13" t="str">
        <f t="shared" si="237"/>
        <v>Efecto ponderador</v>
      </c>
      <c r="AU523" s="13">
        <v>3</v>
      </c>
      <c r="AV523">
        <f t="shared" si="229"/>
        <v>-1</v>
      </c>
      <c r="AW523" s="13">
        <v>0</v>
      </c>
      <c r="AX523" s="13">
        <v>0</v>
      </c>
      <c r="AY523" s="13">
        <v>0</v>
      </c>
      <c r="AZ523" s="13">
        <v>0</v>
      </c>
      <c r="BA523">
        <v>0</v>
      </c>
      <c r="BB523" t="s">
        <v>2840</v>
      </c>
      <c r="BC523">
        <v>6</v>
      </c>
      <c r="BD523" t="s">
        <v>2919</v>
      </c>
      <c r="BE523">
        <v>0</v>
      </c>
      <c r="BF523" s="232" t="s">
        <v>2846</v>
      </c>
      <c r="BG523" s="232" t="s">
        <v>2846</v>
      </c>
      <c r="BH523" s="253">
        <v>56.4</v>
      </c>
      <c r="BI523" s="253">
        <v>27.259022789749046</v>
      </c>
      <c r="BJ523" s="25">
        <v>62.5</v>
      </c>
      <c r="BK523" t="s">
        <v>376</v>
      </c>
      <c r="BL523">
        <v>3.9947976977644908</v>
      </c>
      <c r="BM523" t="s">
        <v>383</v>
      </c>
      <c r="BN523" s="322">
        <v>25744.493233000001</v>
      </c>
      <c r="BO523" s="322">
        <v>857.78863200000001</v>
      </c>
      <c r="BP523" s="10">
        <v>13973</v>
      </c>
      <c r="BQ523" s="254">
        <f t="shared" si="230"/>
        <v>1.8424456618478495</v>
      </c>
      <c r="BR523" s="254">
        <f t="shared" si="231"/>
        <v>6.1389009661490017E-2</v>
      </c>
      <c r="BS523" s="25">
        <v>55.588694436812602</v>
      </c>
      <c r="BT523" s="25">
        <v>86.669603878909314</v>
      </c>
      <c r="BU523" s="25">
        <v>35.22583698601543</v>
      </c>
      <c r="BV523" s="25">
        <v>96.681474593991382</v>
      </c>
      <c r="BW523" s="25">
        <v>39.756771452829383</v>
      </c>
      <c r="BX523" s="25">
        <v>68.54140247393218</v>
      </c>
      <c r="BY523" s="25">
        <v>39.498345969290128</v>
      </c>
      <c r="BZ523">
        <v>60</v>
      </c>
      <c r="CA523">
        <v>0</v>
      </c>
      <c r="CB523">
        <v>7</v>
      </c>
      <c r="CC523">
        <v>26853.949240999998</v>
      </c>
      <c r="CD523" s="10">
        <v>725.852845</v>
      </c>
      <c r="CE523" s="255">
        <v>2.7029649847247959E-2</v>
      </c>
      <c r="CF523" t="str">
        <f>IFERROR(VLOOKUP(CE523,'Rangos amb etnico'!$A$2:$C$6,3,9),"N.D.")</f>
        <v>0,1% - 30%</v>
      </c>
      <c r="CG523" s="256">
        <v>2.1117795483279852E-5</v>
      </c>
      <c r="CH523" s="232">
        <v>0</v>
      </c>
      <c r="CI523" s="311">
        <f t="shared" si="238"/>
        <v>0</v>
      </c>
      <c r="CJ523" s="232">
        <f>IFERROR(VLOOKUP(CI523,'Rangos amb etnico'!$A$2:$C$6,3,9),"N.D.")</f>
        <v>0</v>
      </c>
      <c r="CK523" s="311">
        <f t="shared" si="239"/>
        <v>0</v>
      </c>
      <c r="CL523" s="10">
        <v>0</v>
      </c>
      <c r="CM523" s="255">
        <f t="shared" si="240"/>
        <v>0</v>
      </c>
      <c r="CN523" s="232">
        <f>IFERROR(VLOOKUP(CM523,'Rangos amb etnico'!$A$2:$C$6,3,9),"N.D.")</f>
        <v>0</v>
      </c>
      <c r="CO523" s="311">
        <f t="shared" si="241"/>
        <v>0</v>
      </c>
      <c r="CP523">
        <v>0.88605640940572972</v>
      </c>
      <c r="CQ523" t="s">
        <v>2864</v>
      </c>
      <c r="CR523">
        <f t="shared" si="232"/>
        <v>1</v>
      </c>
      <c r="CS523" t="str">
        <f t="shared" si="242"/>
        <v>No es Candidato</v>
      </c>
      <c r="CT523">
        <v>0</v>
      </c>
      <c r="CU523">
        <v>0</v>
      </c>
      <c r="CV523" s="25">
        <v>40.624198913574219</v>
      </c>
      <c r="CW523" s="25">
        <v>17.54868125915527</v>
      </c>
      <c r="CX523" s="25">
        <v>41.489849090576172</v>
      </c>
      <c r="CY523" s="25">
        <v>45.03875732421875</v>
      </c>
      <c r="CZ523" s="25">
        <v>22.258857727050781</v>
      </c>
      <c r="DA523" s="25">
        <v>69.884628295898438</v>
      </c>
      <c r="DB523" s="25">
        <v>47.524417877197273</v>
      </c>
      <c r="DC523">
        <v>147</v>
      </c>
      <c r="DD523" s="253" t="s">
        <v>380</v>
      </c>
    </row>
    <row r="524" spans="1:108" hidden="1">
      <c r="A524" s="13">
        <v>68684</v>
      </c>
      <c r="B524" s="13" t="s">
        <v>1495</v>
      </c>
      <c r="C524" s="13" t="s">
        <v>431</v>
      </c>
      <c r="D524" s="13" t="s">
        <v>432</v>
      </c>
      <c r="E524" s="13" t="s">
        <v>1496</v>
      </c>
      <c r="F524" s="14">
        <v>55.7329333333333</v>
      </c>
      <c r="G524" s="13">
        <v>25.54</v>
      </c>
      <c r="H524" s="13">
        <v>32.68</v>
      </c>
      <c r="I524" s="13">
        <v>50.3</v>
      </c>
      <c r="J524" s="14">
        <v>60.957646090656446</v>
      </c>
      <c r="K524" s="14">
        <v>53.945132767157133</v>
      </c>
      <c r="L524" s="14">
        <v>52.719987952656602</v>
      </c>
      <c r="M524" s="14">
        <v>57.762999999999998</v>
      </c>
      <c r="N524" s="14">
        <f t="shared" si="216"/>
        <v>41.063233333333329</v>
      </c>
      <c r="O524" s="14">
        <f t="shared" si="217"/>
        <v>56.346441702617547</v>
      </c>
      <c r="P524" s="14">
        <f t="shared" si="233"/>
        <v>48.704837517975434</v>
      </c>
      <c r="Q524" s="14">
        <v>54.110865071827284</v>
      </c>
      <c r="R524" s="17">
        <f t="shared" si="218"/>
        <v>45.889134928172716</v>
      </c>
      <c r="S524" s="14">
        <f t="shared" si="234"/>
        <v>0.51300221435355442</v>
      </c>
      <c r="T524" s="13">
        <v>0</v>
      </c>
      <c r="U524" s="13">
        <f t="shared" si="235"/>
        <v>24.985689496451474</v>
      </c>
      <c r="V524" s="13">
        <f>IF($T524=1,$AU524,(VLOOKUP(U524,'Cortes naturales'!$A$35:$C$39,3,9)))</f>
        <v>4</v>
      </c>
      <c r="W524" s="13">
        <v>4</v>
      </c>
      <c r="X524" s="14" t="b">
        <f t="shared" si="219"/>
        <v>1</v>
      </c>
      <c r="Y524" s="17">
        <f>IF($T524=1,$AU524,VLOOKUP(U524,'Cortes naturales'!$A$45:$C$49,3,9))</f>
        <v>4</v>
      </c>
      <c r="Z524" s="14">
        <v>48.08350347873413</v>
      </c>
      <c r="AA524" s="14">
        <v>0.52319881457089956</v>
      </c>
      <c r="AB524" s="14">
        <v>25.15723202048942</v>
      </c>
      <c r="AC524" s="13">
        <v>4</v>
      </c>
      <c r="AD524" s="13">
        <f t="shared" si="220"/>
        <v>0</v>
      </c>
      <c r="AE524" s="14">
        <f t="shared" si="221"/>
        <v>0.62133403924130448</v>
      </c>
      <c r="AF524" s="14">
        <f t="shared" si="222"/>
        <v>-1.0196600217345142E-2</v>
      </c>
      <c r="AG524" s="13">
        <f t="shared" si="223"/>
        <v>-0.17154252403794601</v>
      </c>
      <c r="AH524" s="13">
        <f>IF($T524=1,$AU524,VLOOKUP(U524,'Cortes naturales'!$A$25:$C$29,3,9))</f>
        <v>4</v>
      </c>
      <c r="AI524" s="13" t="b">
        <f t="shared" si="224"/>
        <v>1</v>
      </c>
      <c r="AJ524" s="13">
        <f t="shared" si="225"/>
        <v>0</v>
      </c>
      <c r="AK524" s="28">
        <v>0.81759069605862034</v>
      </c>
      <c r="AL524" s="28">
        <v>39.312625078115332</v>
      </c>
      <c r="AM524" s="28">
        <v>0.32113348847243151</v>
      </c>
      <c r="AN524" s="13">
        <v>4</v>
      </c>
      <c r="AO524" s="33">
        <f t="shared" si="226"/>
        <v>0</v>
      </c>
      <c r="AP524" s="13">
        <f t="shared" si="236"/>
        <v>32.113348847243152</v>
      </c>
      <c r="AQ524" s="13">
        <f>IFERROR(VLOOKUP(U524,'Cortes naturales'!$E$15:$G$19,3,9),U524)</f>
        <v>4</v>
      </c>
      <c r="AR524" s="28">
        <f t="shared" si="227"/>
        <v>-0.30458848170506592</v>
      </c>
      <c r="AS524" s="13" t="b">
        <f t="shared" si="228"/>
        <v>1</v>
      </c>
      <c r="AT524" s="13">
        <f t="shared" si="237"/>
        <v>0</v>
      </c>
      <c r="AU524" s="13">
        <v>3</v>
      </c>
      <c r="AV524">
        <f t="shared" si="229"/>
        <v>-1</v>
      </c>
      <c r="AW524" s="13">
        <v>0</v>
      </c>
      <c r="AX524" s="13">
        <v>0</v>
      </c>
      <c r="AY524" s="13">
        <v>0</v>
      </c>
      <c r="AZ524" s="13">
        <v>0</v>
      </c>
      <c r="BA524">
        <v>0</v>
      </c>
      <c r="BB524" t="s">
        <v>2840</v>
      </c>
      <c r="BC524">
        <v>6</v>
      </c>
      <c r="BD524" t="s">
        <v>2919</v>
      </c>
      <c r="BE524">
        <v>0</v>
      </c>
      <c r="BF524" s="232" t="s">
        <v>2846</v>
      </c>
      <c r="BG524" s="232" t="s">
        <v>2846</v>
      </c>
      <c r="BH524" s="253">
        <v>47.6</v>
      </c>
      <c r="BI524" s="253">
        <v>26.234269119070667</v>
      </c>
      <c r="BJ524" s="25">
        <v>24.307499999999997</v>
      </c>
      <c r="BK524" t="s">
        <v>379</v>
      </c>
      <c r="BL524">
        <v>0</v>
      </c>
      <c r="BM524" t="s">
        <v>377</v>
      </c>
      <c r="BN524" s="322">
        <v>14170.924239</v>
      </c>
      <c r="BO524" s="322">
        <v>1095.3069149999999</v>
      </c>
      <c r="BP524" s="10">
        <v>4519</v>
      </c>
      <c r="BQ524" s="254">
        <f t="shared" si="230"/>
        <v>3.1358540028767425</v>
      </c>
      <c r="BR524" s="254">
        <f t="shared" si="231"/>
        <v>0.24237816220402741</v>
      </c>
      <c r="BS524" s="25">
        <v>55.462599854756718</v>
      </c>
      <c r="BT524" s="25">
        <v>86.289920211698757</v>
      </c>
      <c r="BU524" s="25">
        <v>39.270611270296072</v>
      </c>
      <c r="BV524" s="25">
        <v>98.479946277179224</v>
      </c>
      <c r="BW524" s="25">
        <v>53.270336844752343</v>
      </c>
      <c r="BX524" s="25">
        <v>69.875769403482693</v>
      </c>
      <c r="BY524" s="25">
        <v>53.791425610567742</v>
      </c>
      <c r="BZ524">
        <v>58</v>
      </c>
      <c r="CA524">
        <v>0</v>
      </c>
      <c r="CB524">
        <v>7</v>
      </c>
      <c r="CC524">
        <v>7513.2949550000003</v>
      </c>
      <c r="CD524" s="10">
        <v>36.926349999999999</v>
      </c>
      <c r="CE524" s="255">
        <v>4.9148010588118858E-3</v>
      </c>
      <c r="CF524" t="str">
        <f>IFERROR(VLOOKUP(CE524,'Rangos amb etnico'!$A$2:$C$6,3,9),"N.D.")</f>
        <v>0,1% - 30%</v>
      </c>
      <c r="CG524" s="256">
        <v>1.0743267214775619E-6</v>
      </c>
      <c r="CH524" s="232">
        <v>0</v>
      </c>
      <c r="CI524" s="311">
        <f t="shared" si="238"/>
        <v>0</v>
      </c>
      <c r="CJ524" s="232">
        <f>IFERROR(VLOOKUP(CI524,'Rangos amb etnico'!$A$2:$C$6,3,9),"N.D.")</f>
        <v>0</v>
      </c>
      <c r="CK524" s="311">
        <f t="shared" si="239"/>
        <v>0</v>
      </c>
      <c r="CL524" s="10">
        <v>0</v>
      </c>
      <c r="CM524" s="255">
        <f t="shared" si="240"/>
        <v>0</v>
      </c>
      <c r="CN524" s="232">
        <f>IFERROR(VLOOKUP(CM524,'Rangos amb etnico'!$A$2:$C$6,3,9),"N.D.")</f>
        <v>0</v>
      </c>
      <c r="CO524" s="311">
        <f t="shared" si="241"/>
        <v>0</v>
      </c>
      <c r="CP524">
        <v>0.93497985252371396</v>
      </c>
      <c r="CQ524" t="s">
        <v>2864</v>
      </c>
      <c r="CR524">
        <f t="shared" si="232"/>
        <v>1</v>
      </c>
      <c r="CS524" t="str">
        <f t="shared" si="242"/>
        <v>No es Candidato</v>
      </c>
      <c r="CT524">
        <v>0</v>
      </c>
      <c r="CU524">
        <v>0</v>
      </c>
      <c r="CV524" s="25">
        <v>52.498523712158203</v>
      </c>
      <c r="CW524" s="25">
        <v>21.9788703918457</v>
      </c>
      <c r="CX524" s="25">
        <v>66.136619567871094</v>
      </c>
      <c r="CY524" s="25">
        <v>63.43048095703125</v>
      </c>
      <c r="CZ524" s="25">
        <v>29.59714508056641</v>
      </c>
      <c r="DA524" s="25">
        <v>86.809211730957031</v>
      </c>
      <c r="DB524" s="25">
        <v>47.038825988769531</v>
      </c>
      <c r="DC524">
        <v>37</v>
      </c>
      <c r="DD524" s="253" t="s">
        <v>380</v>
      </c>
    </row>
    <row r="525" spans="1:108" hidden="1">
      <c r="A525" s="13">
        <v>47318</v>
      </c>
      <c r="B525" s="13" t="s">
        <v>1497</v>
      </c>
      <c r="C525" s="13" t="s">
        <v>638</v>
      </c>
      <c r="D525" s="13" t="s">
        <v>639</v>
      </c>
      <c r="E525" s="13" t="s">
        <v>1498</v>
      </c>
      <c r="F525" s="14">
        <v>33.874699999999997</v>
      </c>
      <c r="G525" s="13">
        <v>28.13</v>
      </c>
      <c r="H525" s="13">
        <v>25.58</v>
      </c>
      <c r="I525" s="13">
        <v>31.19</v>
      </c>
      <c r="J525" s="14">
        <v>45.484579145924499</v>
      </c>
      <c r="K525" s="14">
        <v>33.348024299128333</v>
      </c>
      <c r="L525" s="14">
        <v>41.908971907634793</v>
      </c>
      <c r="M525" s="14">
        <v>45.676499999999997</v>
      </c>
      <c r="N525" s="14">
        <f t="shared" si="216"/>
        <v>29.693674999999999</v>
      </c>
      <c r="O525" s="14">
        <f t="shared" si="217"/>
        <v>41.604518838171906</v>
      </c>
      <c r="P525" s="14">
        <f t="shared" si="233"/>
        <v>35.649096919085949</v>
      </c>
      <c r="Q525" s="14">
        <v>54.320406114401095</v>
      </c>
      <c r="R525" s="17">
        <f t="shared" si="218"/>
        <v>45.679593885598905</v>
      </c>
      <c r="S525" s="14">
        <f t="shared" si="234"/>
        <v>0.51111634497039016</v>
      </c>
      <c r="T525" s="13">
        <v>0</v>
      </c>
      <c r="U525" s="13">
        <f t="shared" si="235"/>
        <v>18.220836118778408</v>
      </c>
      <c r="V525" s="13">
        <f>IF($T525=1,$AU525,(VLOOKUP(U525,'Cortes naturales'!$A$35:$C$39,3,9)))</f>
        <v>5</v>
      </c>
      <c r="W525" s="13">
        <v>5</v>
      </c>
      <c r="X525" s="14" t="b">
        <f t="shared" si="219"/>
        <v>1</v>
      </c>
      <c r="Y525" s="17">
        <f>IF($T525=1,$AU525,VLOOKUP(U525,'Cortes naturales'!$A$45:$C$49,3,9))</f>
        <v>5</v>
      </c>
      <c r="Z525" s="14">
        <v>35.534169663559318</v>
      </c>
      <c r="AA525" s="14">
        <v>0.52279991237808465</v>
      </c>
      <c r="AB525" s="14">
        <v>18.577260786536804</v>
      </c>
      <c r="AC525" s="13">
        <v>5</v>
      </c>
      <c r="AD525" s="13">
        <f t="shared" si="220"/>
        <v>0</v>
      </c>
      <c r="AE525" s="14">
        <f t="shared" si="221"/>
        <v>0.11492725552663074</v>
      </c>
      <c r="AF525" s="14">
        <f t="shared" si="222"/>
        <v>-1.1683567407694495E-2</v>
      </c>
      <c r="AG525" s="13">
        <f t="shared" si="223"/>
        <v>-0.35642466775839665</v>
      </c>
      <c r="AH525" s="13">
        <f>IF($T525=1,$AU525,VLOOKUP(U525,'Cortes naturales'!$A$25:$C$29,3,9))</f>
        <v>5</v>
      </c>
      <c r="AI525" s="13" t="b">
        <f t="shared" si="224"/>
        <v>1</v>
      </c>
      <c r="AJ525" s="13">
        <f t="shared" si="225"/>
        <v>0</v>
      </c>
      <c r="AK525" s="28">
        <v>0.81759069605862034</v>
      </c>
      <c r="AL525" s="28">
        <v>29.052406509094574</v>
      </c>
      <c r="AM525" s="28">
        <v>0.19278896946379268</v>
      </c>
      <c r="AN525" s="13">
        <v>4</v>
      </c>
      <c r="AO525" s="33">
        <f t="shared" si="226"/>
        <v>-1</v>
      </c>
      <c r="AP525" s="13">
        <f t="shared" si="236"/>
        <v>19.278896946379266</v>
      </c>
      <c r="AQ525" s="13">
        <f>IFERROR(VLOOKUP(U525,'Cortes naturales'!$E$15:$G$19,3,9),U525)</f>
        <v>5</v>
      </c>
      <c r="AR525" s="28">
        <f t="shared" si="227"/>
        <v>-0.30647435108823018</v>
      </c>
      <c r="AS525" s="13" t="b">
        <f t="shared" si="228"/>
        <v>1</v>
      </c>
      <c r="AT525" s="13" t="str">
        <f t="shared" si="237"/>
        <v>Efecto ponderador</v>
      </c>
      <c r="AU525" s="13">
        <v>4</v>
      </c>
      <c r="AV525">
        <f t="shared" si="229"/>
        <v>-1</v>
      </c>
      <c r="AW525" s="13">
        <v>0</v>
      </c>
      <c r="AX525" s="13">
        <v>0</v>
      </c>
      <c r="AY525" s="13">
        <v>0</v>
      </c>
      <c r="AZ525" s="13">
        <v>0</v>
      </c>
      <c r="BA525">
        <v>0</v>
      </c>
      <c r="BB525" t="s">
        <v>2840</v>
      </c>
      <c r="BC525">
        <v>6</v>
      </c>
      <c r="BD525" t="s">
        <v>2919</v>
      </c>
      <c r="BE525">
        <v>0</v>
      </c>
      <c r="BF525" s="232" t="s">
        <v>2846</v>
      </c>
      <c r="BG525" s="232" t="s">
        <v>2846</v>
      </c>
      <c r="BH525" s="253">
        <v>60.3</v>
      </c>
      <c r="BI525" s="253">
        <v>33.246404299035881</v>
      </c>
      <c r="BJ525" s="25">
        <v>19.021739130434781</v>
      </c>
      <c r="BK525" t="s">
        <v>379</v>
      </c>
      <c r="BL525">
        <v>1.4629684945952737</v>
      </c>
      <c r="BM525" t="s">
        <v>383</v>
      </c>
      <c r="BN525" s="322">
        <v>52575.486316000002</v>
      </c>
      <c r="BO525" s="322">
        <v>3237.7039329999998</v>
      </c>
      <c r="BP525" s="10">
        <v>28668</v>
      </c>
      <c r="BQ525" s="254">
        <f t="shared" si="230"/>
        <v>1.8339432927305708</v>
      </c>
      <c r="BR525" s="254">
        <f t="shared" si="231"/>
        <v>0.11293790752755685</v>
      </c>
      <c r="BS525" s="25">
        <v>60.303234024322968</v>
      </c>
      <c r="BT525" s="25">
        <v>93.954365058834469</v>
      </c>
      <c r="BU525" s="25">
        <v>38.393151019236257</v>
      </c>
      <c r="BV525" s="25">
        <v>97.452853748344481</v>
      </c>
      <c r="BW525" s="25">
        <v>23.76055276795304</v>
      </c>
      <c r="BX525" s="25">
        <v>72.525900962684545</v>
      </c>
      <c r="BY525" s="25">
        <v>24.117092450741868</v>
      </c>
      <c r="BZ525">
        <v>60</v>
      </c>
      <c r="CA525">
        <v>0</v>
      </c>
      <c r="CB525">
        <v>7</v>
      </c>
      <c r="CC525">
        <v>56381.396053999997</v>
      </c>
      <c r="CD525" s="10">
        <v>8319.140883</v>
      </c>
      <c r="CE525" s="255">
        <v>0.14755116874070018</v>
      </c>
      <c r="CF525" t="str">
        <f>IFERROR(VLOOKUP(CE525,'Rangos amb etnico'!$A$2:$C$6,3,9),"N.D.")</f>
        <v>0,1% - 30%</v>
      </c>
      <c r="CG525" s="256">
        <v>2.4203516866257673E-4</v>
      </c>
      <c r="CH525" s="232">
        <v>0</v>
      </c>
      <c r="CI525" s="311">
        <f t="shared" si="238"/>
        <v>0</v>
      </c>
      <c r="CJ525" s="232">
        <f>IFERROR(VLOOKUP(CI525,'Rangos amb etnico'!$A$2:$C$6,3,9),"N.D.")</f>
        <v>0</v>
      </c>
      <c r="CK525" s="311">
        <f t="shared" si="239"/>
        <v>0</v>
      </c>
      <c r="CL525" s="10">
        <v>0</v>
      </c>
      <c r="CM525" s="255">
        <f t="shared" si="240"/>
        <v>0</v>
      </c>
      <c r="CN525" s="232">
        <f>IFERROR(VLOOKUP(CM525,'Rangos amb etnico'!$A$2:$C$6,3,9),"N.D.")</f>
        <v>0</v>
      </c>
      <c r="CO525" s="311">
        <f t="shared" si="241"/>
        <v>0</v>
      </c>
      <c r="CP525">
        <v>0.89671611376936555</v>
      </c>
      <c r="CQ525" t="s">
        <v>2864</v>
      </c>
      <c r="CR525">
        <f t="shared" si="232"/>
        <v>1</v>
      </c>
      <c r="CS525" t="str">
        <f t="shared" si="242"/>
        <v>No es Candidato</v>
      </c>
      <c r="CT525">
        <v>0</v>
      </c>
      <c r="CU525">
        <v>0</v>
      </c>
      <c r="CV525" s="25">
        <v>44.439029693603523</v>
      </c>
      <c r="CW525" s="25">
        <v>19.452802658081051</v>
      </c>
      <c r="CX525" s="25">
        <v>44.556781768798828</v>
      </c>
      <c r="CY525" s="25">
        <v>38.591163635253913</v>
      </c>
      <c r="CZ525" s="25">
        <v>17.21375846862793</v>
      </c>
      <c r="DA525" s="25">
        <v>92.088447570800781</v>
      </c>
      <c r="DB525" s="25">
        <v>54.731227874755859</v>
      </c>
      <c r="DC525">
        <v>463</v>
      </c>
      <c r="DD525" s="253" t="s">
        <v>380</v>
      </c>
    </row>
    <row r="526" spans="1:108" hidden="1">
      <c r="A526" s="13">
        <v>25320</v>
      </c>
      <c r="B526" s="13" t="s">
        <v>1499</v>
      </c>
      <c r="C526" s="13" t="s">
        <v>461</v>
      </c>
      <c r="D526" s="13" t="s">
        <v>462</v>
      </c>
      <c r="E526" s="13" t="s">
        <v>1500</v>
      </c>
      <c r="F526" s="14">
        <v>58.783799999999999</v>
      </c>
      <c r="G526" s="13">
        <v>70.83</v>
      </c>
      <c r="H526" s="13">
        <v>69.72</v>
      </c>
      <c r="I526" s="13">
        <v>89.17</v>
      </c>
      <c r="J526" s="14">
        <v>55.178059982476924</v>
      </c>
      <c r="K526" s="14">
        <v>67.201338863109498</v>
      </c>
      <c r="L526" s="14">
        <v>61.843873951850021</v>
      </c>
      <c r="M526" s="14">
        <v>50.298200000000001</v>
      </c>
      <c r="N526" s="14">
        <f t="shared" si="216"/>
        <v>72.125950000000003</v>
      </c>
      <c r="O526" s="14">
        <f t="shared" si="217"/>
        <v>58.630368199359111</v>
      </c>
      <c r="P526" s="14">
        <f t="shared" si="233"/>
        <v>65.37815909967955</v>
      </c>
      <c r="Q526" s="14">
        <v>56.251401716951491</v>
      </c>
      <c r="R526" s="17">
        <f t="shared" si="218"/>
        <v>43.748598283048509</v>
      </c>
      <c r="S526" s="14">
        <f t="shared" si="234"/>
        <v>0.49373738454743654</v>
      </c>
      <c r="T526" s="13">
        <v>0</v>
      </c>
      <c r="U526" s="13">
        <f t="shared" si="235"/>
        <v>32.279641280401968</v>
      </c>
      <c r="V526" s="13">
        <f>IF($T526=1,$AU526,(VLOOKUP(U526,'Cortes naturales'!$A$35:$C$39,3,9)))</f>
        <v>3</v>
      </c>
      <c r="W526" s="13">
        <v>3</v>
      </c>
      <c r="X526" s="14" t="b">
        <f t="shared" si="219"/>
        <v>1</v>
      </c>
      <c r="Y526" s="17">
        <f>IF($T526=1,$AU526,VLOOKUP(U526,'Cortes naturales'!$A$45:$C$49,3,9))</f>
        <v>3</v>
      </c>
      <c r="Z526" s="14">
        <v>61.915614167373775</v>
      </c>
      <c r="AA526" s="14">
        <v>0.52103266858483899</v>
      </c>
      <c r="AB526" s="14">
        <v>32.260057676696022</v>
      </c>
      <c r="AC526" s="13">
        <v>3</v>
      </c>
      <c r="AD526" s="13">
        <f t="shared" si="220"/>
        <v>0</v>
      </c>
      <c r="AE526" s="14">
        <f t="shared" si="221"/>
        <v>3.4625449323057751</v>
      </c>
      <c r="AF526" s="14">
        <f t="shared" si="222"/>
        <v>-2.7295284037402445E-2</v>
      </c>
      <c r="AG526" s="13">
        <f t="shared" si="223"/>
        <v>1.9583603705946473E-2</v>
      </c>
      <c r="AH526" s="13">
        <f>IF($T526=1,$AU526,VLOOKUP(U526,'Cortes naturales'!$A$25:$C$29,3,9))</f>
        <v>3</v>
      </c>
      <c r="AI526" s="13" t="b">
        <f t="shared" si="224"/>
        <v>1</v>
      </c>
      <c r="AJ526" s="13">
        <f t="shared" si="225"/>
        <v>0</v>
      </c>
      <c r="AK526" s="28">
        <v>0.81759069605862034</v>
      </c>
      <c r="AL526" s="28">
        <v>50.621630084000103</v>
      </c>
      <c r="AM526" s="28">
        <v>0.46259722028112887</v>
      </c>
      <c r="AN526" s="13">
        <v>3</v>
      </c>
      <c r="AO526" s="33">
        <f t="shared" si="226"/>
        <v>0</v>
      </c>
      <c r="AP526" s="13">
        <f t="shared" si="236"/>
        <v>46.25972202811289</v>
      </c>
      <c r="AQ526" s="13">
        <f>IFERROR(VLOOKUP(U526,'Cortes naturales'!$E$15:$G$19,3,9),U526)</f>
        <v>4</v>
      </c>
      <c r="AR526" s="28">
        <f t="shared" si="227"/>
        <v>-0.32385331151118379</v>
      </c>
      <c r="AS526" s="13" t="b">
        <f t="shared" si="228"/>
        <v>0</v>
      </c>
      <c r="AT526" s="13">
        <f t="shared" si="237"/>
        <v>0</v>
      </c>
      <c r="AU526" s="13">
        <v>3</v>
      </c>
      <c r="AV526">
        <f t="shared" si="229"/>
        <v>0</v>
      </c>
      <c r="AW526" s="13">
        <v>0</v>
      </c>
      <c r="AX526" s="13">
        <v>0</v>
      </c>
      <c r="AY526" s="13">
        <v>0</v>
      </c>
      <c r="AZ526" s="13">
        <v>0</v>
      </c>
      <c r="BA526">
        <v>0</v>
      </c>
      <c r="BB526" t="s">
        <v>2840</v>
      </c>
      <c r="BC526">
        <v>6</v>
      </c>
      <c r="BD526" t="s">
        <v>2919</v>
      </c>
      <c r="BE526">
        <v>0</v>
      </c>
      <c r="BF526" s="232" t="s">
        <v>2846</v>
      </c>
      <c r="BG526" s="232" t="s">
        <v>2846</v>
      </c>
      <c r="BH526" s="253">
        <v>27.2</v>
      </c>
      <c r="BI526" s="253">
        <v>9.4150281471812018</v>
      </c>
      <c r="BJ526" s="25">
        <v>5.9716904528861132</v>
      </c>
      <c r="BK526" t="s">
        <v>377</v>
      </c>
      <c r="BL526">
        <v>1.9424528919515047</v>
      </c>
      <c r="BM526" t="s">
        <v>383</v>
      </c>
      <c r="BN526" s="322">
        <v>48049.713052999999</v>
      </c>
      <c r="BO526" s="322">
        <v>13060.547141999999</v>
      </c>
      <c r="BP526" s="10">
        <v>30787</v>
      </c>
      <c r="BQ526" s="254">
        <f t="shared" si="230"/>
        <v>1.5607143616786305</v>
      </c>
      <c r="BR526" s="254">
        <f t="shared" si="231"/>
        <v>0.4242227934517816</v>
      </c>
      <c r="BS526" s="25">
        <v>57.850015720304349</v>
      </c>
      <c r="BT526" s="25">
        <v>84.972367717218319</v>
      </c>
      <c r="BU526" s="25">
        <v>39.200777351247602</v>
      </c>
      <c r="BV526" s="25">
        <v>88.873891329380697</v>
      </c>
      <c r="BW526" s="25">
        <v>58.812885642308068</v>
      </c>
      <c r="BX526" s="25">
        <v>67.724263029537738</v>
      </c>
      <c r="BY526" s="25">
        <v>60.488890908282677</v>
      </c>
      <c r="BZ526">
        <v>52</v>
      </c>
      <c r="CA526">
        <v>1</v>
      </c>
      <c r="CB526">
        <v>6</v>
      </c>
      <c r="CC526">
        <v>76281.970042999994</v>
      </c>
      <c r="CD526" s="10">
        <v>6641.1448929999997</v>
      </c>
      <c r="CE526" s="255">
        <v>8.7060479550494035E-2</v>
      </c>
      <c r="CF526" t="str">
        <f>IFERROR(VLOOKUP(CE526,'Rangos amb etnico'!$A$2:$C$6,3,9),"N.D.")</f>
        <v>0,1% - 30%</v>
      </c>
      <c r="CG526" s="256">
        <v>1.9321593983034186E-4</v>
      </c>
      <c r="CH526" s="232">
        <v>0</v>
      </c>
      <c r="CI526" s="311">
        <f t="shared" si="238"/>
        <v>0</v>
      </c>
      <c r="CJ526" s="232">
        <f>IFERROR(VLOOKUP(CI526,'Rangos amb etnico'!$A$2:$C$6,3,9),"N.D.")</f>
        <v>0</v>
      </c>
      <c r="CK526" s="311">
        <f t="shared" si="239"/>
        <v>0</v>
      </c>
      <c r="CL526" s="10">
        <v>0</v>
      </c>
      <c r="CM526" s="255">
        <f t="shared" si="240"/>
        <v>0</v>
      </c>
      <c r="CN526" s="232">
        <f>IFERROR(VLOOKUP(CM526,'Rangos amb etnico'!$A$2:$C$6,3,9),"N.D.")</f>
        <v>0</v>
      </c>
      <c r="CO526" s="311">
        <f t="shared" si="241"/>
        <v>0</v>
      </c>
      <c r="CP526">
        <v>0.90536321846313106</v>
      </c>
      <c r="CQ526" t="s">
        <v>2864</v>
      </c>
      <c r="CR526">
        <f t="shared" si="232"/>
        <v>3</v>
      </c>
      <c r="CS526" t="str">
        <f t="shared" si="242"/>
        <v>Candidato</v>
      </c>
      <c r="CT526">
        <v>0</v>
      </c>
      <c r="CU526">
        <v>0</v>
      </c>
      <c r="CV526" s="25">
        <v>42.207889556884773</v>
      </c>
      <c r="CW526" s="25">
        <v>30.584308624267582</v>
      </c>
      <c r="CX526" s="25">
        <v>52.162643432617188</v>
      </c>
      <c r="CY526" s="25">
        <v>59.121925354003913</v>
      </c>
      <c r="CZ526" s="25">
        <v>43.226333618164063</v>
      </c>
      <c r="DA526" s="25">
        <v>23.28993034362793</v>
      </c>
      <c r="DB526" s="25">
        <v>44.862205505371087</v>
      </c>
      <c r="DC526">
        <v>432</v>
      </c>
      <c r="DD526" s="253" t="s">
        <v>380</v>
      </c>
    </row>
    <row r="527" spans="1:108" hidden="1">
      <c r="A527" s="13">
        <v>52835</v>
      </c>
      <c r="B527" s="13" t="s">
        <v>1501</v>
      </c>
      <c r="C527" s="13" t="s">
        <v>672</v>
      </c>
      <c r="D527" s="13" t="s">
        <v>673</v>
      </c>
      <c r="E527" s="13" t="s">
        <v>1502</v>
      </c>
      <c r="F527" s="14">
        <v>54.262500000000003</v>
      </c>
      <c r="G527" s="13">
        <v>66.319999999999993</v>
      </c>
      <c r="H527" s="13">
        <v>56.42</v>
      </c>
      <c r="I527" s="13">
        <v>34.76</v>
      </c>
      <c r="J527" s="14">
        <v>51.638476144813851</v>
      </c>
      <c r="K527" s="14">
        <v>48.124083792940155</v>
      </c>
      <c r="L527" s="14">
        <v>52.120638402251089</v>
      </c>
      <c r="M527" s="14">
        <v>48.929299999999998</v>
      </c>
      <c r="N527" s="14">
        <f t="shared" si="216"/>
        <v>52.940624999999997</v>
      </c>
      <c r="O527" s="14">
        <f t="shared" si="217"/>
        <v>50.203124585001277</v>
      </c>
      <c r="P527" s="14">
        <f t="shared" si="233"/>
        <v>51.571874792500637</v>
      </c>
      <c r="Q527" s="14">
        <v>53.876381852065492</v>
      </c>
      <c r="R527" s="17">
        <f t="shared" si="218"/>
        <v>46.123618147934508</v>
      </c>
      <c r="S527" s="14">
        <f t="shared" si="234"/>
        <v>0.51511256333141064</v>
      </c>
      <c r="T527" s="13">
        <v>0</v>
      </c>
      <c r="U527" s="13">
        <f t="shared" si="235"/>
        <v>26.565320620171565</v>
      </c>
      <c r="V527" s="13">
        <f>IF($T527=1,$AU527,(VLOOKUP(U527,'Cortes naturales'!$A$35:$C$39,3,9)))</f>
        <v>4</v>
      </c>
      <c r="W527" s="13">
        <v>4</v>
      </c>
      <c r="X527" s="14" t="b">
        <f t="shared" si="219"/>
        <v>1</v>
      </c>
      <c r="Y527" s="17">
        <f>IF($T527=1,$AU527,VLOOKUP(U527,'Cortes naturales'!$A$45:$C$49,3,9))</f>
        <v>4</v>
      </c>
      <c r="Z527" s="14">
        <v>53.390988112931943</v>
      </c>
      <c r="AA527" s="14">
        <v>0.52249606119558656</v>
      </c>
      <c r="AB527" s="14">
        <v>27.896580992347324</v>
      </c>
      <c r="AC527" s="13">
        <v>3</v>
      </c>
      <c r="AD527" s="13">
        <f t="shared" si="220"/>
        <v>-1</v>
      </c>
      <c r="AE527" s="14">
        <f t="shared" si="221"/>
        <v>-1.8191133204313061</v>
      </c>
      <c r="AF527" s="14">
        <f t="shared" si="222"/>
        <v>-7.3834978641759141E-3</v>
      </c>
      <c r="AG527" s="13">
        <f t="shared" si="223"/>
        <v>-1.331260372175759</v>
      </c>
      <c r="AH527" s="13">
        <f>IF($T527=1,$AU527,VLOOKUP(U527,'Cortes naturales'!$A$25:$C$29,3,9))</f>
        <v>4</v>
      </c>
      <c r="AI527" s="13" t="b">
        <f t="shared" si="224"/>
        <v>1</v>
      </c>
      <c r="AJ527" s="13" t="str">
        <f t="shared" si="225"/>
        <v>Efecto ponderador</v>
      </c>
      <c r="AK527" s="28">
        <v>0.81759069605862034</v>
      </c>
      <c r="AL527" s="28">
        <v>43.651975134509549</v>
      </c>
      <c r="AM527" s="28">
        <v>0.37541418357181272</v>
      </c>
      <c r="AN527" s="13">
        <v>3</v>
      </c>
      <c r="AO527" s="33">
        <f t="shared" si="226"/>
        <v>-1</v>
      </c>
      <c r="AP527" s="13">
        <f t="shared" si="236"/>
        <v>37.541418357181271</v>
      </c>
      <c r="AQ527" s="13">
        <f>IFERROR(VLOOKUP(U527,'Cortes naturales'!$E$15:$G$19,3,9),U527)</f>
        <v>4</v>
      </c>
      <c r="AR527" s="28">
        <f t="shared" si="227"/>
        <v>-0.30247813272720969</v>
      </c>
      <c r="AS527" s="13" t="b">
        <f t="shared" si="228"/>
        <v>1</v>
      </c>
      <c r="AT527" s="13" t="str">
        <f t="shared" si="237"/>
        <v>Efecto ponderador</v>
      </c>
      <c r="AU527" s="13">
        <v>3</v>
      </c>
      <c r="AV527">
        <f t="shared" si="229"/>
        <v>-1</v>
      </c>
      <c r="AW527" s="13">
        <v>0</v>
      </c>
      <c r="AX527" s="13">
        <v>1</v>
      </c>
      <c r="AY527" s="13">
        <v>1</v>
      </c>
      <c r="AZ527" s="13">
        <v>1</v>
      </c>
      <c r="BA527">
        <v>1</v>
      </c>
      <c r="BB527" t="s">
        <v>2838</v>
      </c>
      <c r="BC527">
        <v>4</v>
      </c>
      <c r="BD527" t="s">
        <v>2920</v>
      </c>
      <c r="BE527">
        <v>0</v>
      </c>
      <c r="BF527" s="232" t="s">
        <v>2845</v>
      </c>
      <c r="BG527" s="232" t="s">
        <v>2846</v>
      </c>
      <c r="BH527" s="253">
        <v>53.7</v>
      </c>
      <c r="BI527" s="253">
        <v>27.616378223665674</v>
      </c>
      <c r="BJ527" s="25">
        <v>24.79018625479155</v>
      </c>
      <c r="BK527" t="s">
        <v>379</v>
      </c>
      <c r="BL527">
        <v>82.768763414127918</v>
      </c>
      <c r="BM527" t="s">
        <v>384</v>
      </c>
      <c r="BN527" s="322">
        <v>511000.77463200002</v>
      </c>
      <c r="BO527" s="322">
        <v>21826.552532000002</v>
      </c>
      <c r="BP527" s="10">
        <v>272306</v>
      </c>
      <c r="BQ527" s="254">
        <f t="shared" si="230"/>
        <v>1.8765681792982896</v>
      </c>
      <c r="BR527" s="254">
        <f t="shared" si="231"/>
        <v>8.0154504608785704E-2</v>
      </c>
      <c r="BS527" s="25">
        <v>49.641711662515718</v>
      </c>
      <c r="BT527" s="25">
        <v>84.950518234387673</v>
      </c>
      <c r="BU527" s="25">
        <v>32.02052078652887</v>
      </c>
      <c r="BV527" s="25">
        <v>93.455684786836073</v>
      </c>
      <c r="BW527" s="25">
        <v>39.177850286672353</v>
      </c>
      <c r="BX527" s="25">
        <v>65.017108867567089</v>
      </c>
      <c r="BY527" s="25">
        <v>39.30106508670152</v>
      </c>
      <c r="BZ527">
        <v>97</v>
      </c>
      <c r="CA527">
        <v>1</v>
      </c>
      <c r="CB527">
        <v>4</v>
      </c>
      <c r="CC527">
        <v>361689.08669800003</v>
      </c>
      <c r="CD527" s="10">
        <v>90321.207899000001</v>
      </c>
      <c r="CE527" s="255">
        <v>0.24972057831099451</v>
      </c>
      <c r="CF527" t="str">
        <f>IFERROR(VLOOKUP(CE527,'Rangos amb etnico'!$A$2:$C$6,3,9),"N.D.")</f>
        <v>0,1% - 30%</v>
      </c>
      <c r="CG527" s="256">
        <v>2.6277844184986045E-3</v>
      </c>
      <c r="CH527" s="232">
        <v>256877.511004</v>
      </c>
      <c r="CI527" s="311">
        <f t="shared" si="238"/>
        <v>0.71021637215856981</v>
      </c>
      <c r="CJ527" s="232" t="str">
        <f>IFERROR(VLOOKUP(CI527,'Rangos amb etnico'!$A$2:$C$6,3,9),"N.D.")</f>
        <v>71% - 100%</v>
      </c>
      <c r="CK527" s="311">
        <f t="shared" si="239"/>
        <v>1.0199719015422876E-2</v>
      </c>
      <c r="CL527" s="10">
        <v>0</v>
      </c>
      <c r="CM527" s="255">
        <f t="shared" si="240"/>
        <v>0</v>
      </c>
      <c r="CN527" s="232">
        <f>IFERROR(VLOOKUP(CM527,'Rangos amb etnico'!$A$2:$C$6,3,9),"N.D.")</f>
        <v>0</v>
      </c>
      <c r="CO527" s="311">
        <f t="shared" si="241"/>
        <v>0</v>
      </c>
      <c r="CP527">
        <v>0.92336671355490951</v>
      </c>
      <c r="CQ527" t="s">
        <v>2864</v>
      </c>
      <c r="CR527">
        <f t="shared" si="232"/>
        <v>1</v>
      </c>
      <c r="CS527" t="str">
        <f t="shared" si="242"/>
        <v>No es Candidato</v>
      </c>
      <c r="CT527">
        <v>1</v>
      </c>
      <c r="CU527" t="s">
        <v>2835</v>
      </c>
      <c r="CV527" s="25">
        <v>35.467445373535163</v>
      </c>
      <c r="CW527" s="25">
        <v>45.26983642578125</v>
      </c>
      <c r="CX527" s="25">
        <v>35.978408813476563</v>
      </c>
      <c r="CY527" s="25">
        <v>41.147624969482422</v>
      </c>
      <c r="CZ527" s="25">
        <v>6.0470547676086426</v>
      </c>
      <c r="DA527" s="25">
        <v>51.190677642822273</v>
      </c>
      <c r="DB527" s="25">
        <v>33.171073913574219</v>
      </c>
      <c r="DC527">
        <v>246700</v>
      </c>
      <c r="DD527" s="253" t="s">
        <v>380</v>
      </c>
    </row>
    <row r="528" spans="1:108" hidden="1">
      <c r="A528" s="13">
        <v>15837</v>
      </c>
      <c r="B528" s="13" t="s">
        <v>1503</v>
      </c>
      <c r="C528" s="13" t="s">
        <v>498</v>
      </c>
      <c r="D528" s="13" t="s">
        <v>499</v>
      </c>
      <c r="E528" s="13" t="s">
        <v>1504</v>
      </c>
      <c r="F528" s="14">
        <v>76.796266666666696</v>
      </c>
      <c r="G528" s="13">
        <v>70.92</v>
      </c>
      <c r="H528" s="13">
        <v>55.15</v>
      </c>
      <c r="I528" s="13">
        <v>63.84</v>
      </c>
      <c r="J528" s="14">
        <v>64.097050568115236</v>
      </c>
      <c r="K528" s="14">
        <v>76.859691384239284</v>
      </c>
      <c r="L528" s="14">
        <v>79.002196156620442</v>
      </c>
      <c r="M528" s="14">
        <v>73.111400000000003</v>
      </c>
      <c r="N528" s="14">
        <f t="shared" si="216"/>
        <v>66.676566666666673</v>
      </c>
      <c r="O528" s="14">
        <f t="shared" si="217"/>
        <v>73.267584527243741</v>
      </c>
      <c r="P528" s="14">
        <f t="shared" si="233"/>
        <v>69.972075596955207</v>
      </c>
      <c r="Q528" s="14">
        <v>54.933207071208457</v>
      </c>
      <c r="R528" s="17">
        <f t="shared" si="218"/>
        <v>45.066792928791543</v>
      </c>
      <c r="S528" s="14">
        <f t="shared" si="234"/>
        <v>0.50560113635912396</v>
      </c>
      <c r="T528" s="13">
        <v>0</v>
      </c>
      <c r="U528" s="13">
        <f t="shared" si="235"/>
        <v>35.37796093522708</v>
      </c>
      <c r="V528" s="13">
        <f>IF($T528=1,$AU528,(VLOOKUP(U528,'Cortes naturales'!$A$35:$C$39,3,9)))</f>
        <v>3</v>
      </c>
      <c r="W528" s="13">
        <v>3</v>
      </c>
      <c r="X528" s="14" t="b">
        <f t="shared" si="219"/>
        <v>1</v>
      </c>
      <c r="Y528" s="17">
        <f>IF($T528=1,$AU528,VLOOKUP(U528,'Cortes naturales'!$A$45:$C$49,3,9))</f>
        <v>3</v>
      </c>
      <c r="Z528" s="14">
        <v>70.451676562771155</v>
      </c>
      <c r="AA528" s="14">
        <v>0.52156473416994498</v>
      </c>
      <c r="AB528" s="14">
        <v>36.74510995828868</v>
      </c>
      <c r="AC528" s="13">
        <v>2</v>
      </c>
      <c r="AD528" s="13">
        <f t="shared" si="220"/>
        <v>-1</v>
      </c>
      <c r="AE528" s="14">
        <f t="shared" si="221"/>
        <v>-0.47960096581594769</v>
      </c>
      <c r="AF528" s="14">
        <f t="shared" si="222"/>
        <v>-1.5963597810821017E-2</v>
      </c>
      <c r="AG528" s="13">
        <f t="shared" si="223"/>
        <v>-1.3671490230616001</v>
      </c>
      <c r="AH528" s="13">
        <f>IF($T528=1,$AU528,VLOOKUP(U528,'Cortes naturales'!$A$25:$C$29,3,9))</f>
        <v>2</v>
      </c>
      <c r="AI528" s="13" t="b">
        <f t="shared" si="224"/>
        <v>0</v>
      </c>
      <c r="AJ528" s="13" t="str">
        <f t="shared" si="225"/>
        <v>Cambio en corte</v>
      </c>
      <c r="AK528" s="28">
        <v>0.81759069605862034</v>
      </c>
      <c r="AL528" s="28">
        <v>57.60063527945286</v>
      </c>
      <c r="AM528" s="28">
        <v>0.54989721871134389</v>
      </c>
      <c r="AN528" s="13">
        <v>2</v>
      </c>
      <c r="AO528" s="33">
        <f t="shared" si="226"/>
        <v>-1</v>
      </c>
      <c r="AP528" s="13">
        <f t="shared" si="236"/>
        <v>54.989721871134392</v>
      </c>
      <c r="AQ528" s="13">
        <f>IFERROR(VLOOKUP(U528,'Cortes naturales'!$E$15:$G$19,3,9),U528)</f>
        <v>3</v>
      </c>
      <c r="AR528" s="28">
        <f t="shared" si="227"/>
        <v>-0.31198955969949638</v>
      </c>
      <c r="AS528" s="13" t="b">
        <f t="shared" si="228"/>
        <v>1</v>
      </c>
      <c r="AT528" s="13" t="str">
        <f t="shared" si="237"/>
        <v>Efecto ponderador</v>
      </c>
      <c r="AU528" s="13">
        <v>2</v>
      </c>
      <c r="AV528">
        <f t="shared" si="229"/>
        <v>-1</v>
      </c>
      <c r="AW528" s="13">
        <v>0</v>
      </c>
      <c r="AX528" s="13">
        <v>0</v>
      </c>
      <c r="AY528" s="13">
        <v>0</v>
      </c>
      <c r="AZ528" s="13">
        <v>0</v>
      </c>
      <c r="BA528">
        <v>0</v>
      </c>
      <c r="BB528" t="s">
        <v>2839</v>
      </c>
      <c r="BC528">
        <v>6</v>
      </c>
      <c r="BD528" t="s">
        <v>2919</v>
      </c>
      <c r="BE528">
        <v>0</v>
      </c>
      <c r="BF528" s="232" t="s">
        <v>2846</v>
      </c>
      <c r="BG528" s="232" t="s">
        <v>2846</v>
      </c>
      <c r="BH528" s="253">
        <v>32.799999999999997</v>
      </c>
      <c r="BI528" s="253">
        <v>11.727864423431168</v>
      </c>
      <c r="BJ528" s="25">
        <v>6.1252287735422355</v>
      </c>
      <c r="BK528" t="s">
        <v>377</v>
      </c>
      <c r="BL528">
        <v>0</v>
      </c>
      <c r="BM528" t="s">
        <v>377</v>
      </c>
      <c r="BN528" s="322">
        <v>30039.130335000002</v>
      </c>
      <c r="BO528" s="322">
        <v>11364.687663000001</v>
      </c>
      <c r="BP528" s="10">
        <v>8251</v>
      </c>
      <c r="BQ528" s="254">
        <f t="shared" si="230"/>
        <v>3.6406654144952131</v>
      </c>
      <c r="BR528" s="254">
        <f t="shared" si="231"/>
        <v>1.3773709444915769</v>
      </c>
      <c r="BS528" s="25">
        <v>77.846729708431837</v>
      </c>
      <c r="BT528" s="25">
        <v>89.898401069769321</v>
      </c>
      <c r="BU528" s="25">
        <v>44.168333333333329</v>
      </c>
      <c r="BV528" s="25">
        <v>89.425552500964557</v>
      </c>
      <c r="BW528" s="25">
        <v>54.118779903082689</v>
      </c>
      <c r="BX528" s="25">
        <v>75.334754153124749</v>
      </c>
      <c r="BY528" s="25">
        <v>54.805514657206388</v>
      </c>
      <c r="BZ528">
        <v>21</v>
      </c>
      <c r="CA528">
        <v>0</v>
      </c>
      <c r="CB528">
        <v>6</v>
      </c>
      <c r="CC528">
        <v>16523.680907999998</v>
      </c>
      <c r="CD528" s="10">
        <v>2048.8410370000001</v>
      </c>
      <c r="CE528" s="255">
        <v>0.12399422673479772</v>
      </c>
      <c r="CF528" t="str">
        <f>IFERROR(VLOOKUP(CE528,'Rangos amb etnico'!$A$2:$C$6,3,9),"N.D.")</f>
        <v>0,1% - 30%</v>
      </c>
      <c r="CG528" s="256">
        <v>5.9608509211143218E-5</v>
      </c>
      <c r="CH528" s="232">
        <v>0</v>
      </c>
      <c r="CI528" s="311">
        <f t="shared" si="238"/>
        <v>0</v>
      </c>
      <c r="CJ528" s="232">
        <f>IFERROR(VLOOKUP(CI528,'Rangos amb etnico'!$A$2:$C$6,3,9),"N.D.")</f>
        <v>0</v>
      </c>
      <c r="CK528" s="311">
        <f t="shared" si="239"/>
        <v>0</v>
      </c>
      <c r="CL528" s="10">
        <v>0</v>
      </c>
      <c r="CM528" s="255">
        <f t="shared" si="240"/>
        <v>0</v>
      </c>
      <c r="CN528" s="232">
        <f>IFERROR(VLOOKUP(CM528,'Rangos amb etnico'!$A$2:$C$6,3,9),"N.D.")</f>
        <v>0</v>
      </c>
      <c r="CO528" s="311">
        <f t="shared" si="241"/>
        <v>0</v>
      </c>
      <c r="CP528">
        <v>0.98550380173606045</v>
      </c>
      <c r="CQ528" t="s">
        <v>2864</v>
      </c>
      <c r="CR528">
        <f t="shared" si="232"/>
        <v>3</v>
      </c>
      <c r="CS528" t="str">
        <f t="shared" si="242"/>
        <v>Candidato</v>
      </c>
      <c r="CT528">
        <v>0</v>
      </c>
      <c r="CU528">
        <v>0</v>
      </c>
      <c r="CV528" s="25">
        <v>53.341743469238281</v>
      </c>
      <c r="CW528" s="25">
        <v>41.455963134765618</v>
      </c>
      <c r="CX528" s="25">
        <v>59.432144165039063</v>
      </c>
      <c r="CY528" s="25">
        <v>70.582351684570313</v>
      </c>
      <c r="CZ528" s="25">
        <v>56.94744873046875</v>
      </c>
      <c r="DA528" s="25">
        <v>43.974727630615227</v>
      </c>
      <c r="DB528" s="25">
        <v>47.657817840576172</v>
      </c>
      <c r="DC528">
        <v>40</v>
      </c>
      <c r="DD528" s="253" t="s">
        <v>380</v>
      </c>
    </row>
    <row r="529" spans="1:108" hidden="1">
      <c r="A529" s="13">
        <v>44855</v>
      </c>
      <c r="B529" s="13" t="s">
        <v>1505</v>
      </c>
      <c r="C529" s="13" t="s">
        <v>933</v>
      </c>
      <c r="D529" s="13" t="s">
        <v>934</v>
      </c>
      <c r="E529" s="13" t="s">
        <v>1506</v>
      </c>
      <c r="F529" s="14">
        <v>69.350999999999999</v>
      </c>
      <c r="G529" s="13">
        <v>63.87</v>
      </c>
      <c r="H529" s="13">
        <v>77.42</v>
      </c>
      <c r="I529" s="13">
        <v>81.88</v>
      </c>
      <c r="J529" s="14">
        <v>45.96283405391226</v>
      </c>
      <c r="K529" s="14">
        <v>30.523649914224332</v>
      </c>
      <c r="L529" s="14">
        <v>47.999980989313258</v>
      </c>
      <c r="M529" s="14">
        <v>54.233800000000002</v>
      </c>
      <c r="N529" s="14">
        <f t="shared" si="216"/>
        <v>73.130250000000004</v>
      </c>
      <c r="O529" s="14">
        <f t="shared" si="217"/>
        <v>44.680066239362461</v>
      </c>
      <c r="P529" s="14">
        <f t="shared" si="233"/>
        <v>58.905158119681232</v>
      </c>
      <c r="Q529" s="14">
        <v>54.73849314783935</v>
      </c>
      <c r="R529" s="17">
        <f t="shared" si="218"/>
        <v>45.26150685216065</v>
      </c>
      <c r="S529" s="14">
        <f t="shared" si="234"/>
        <v>0.5073535616694459</v>
      </c>
      <c r="T529" s="13">
        <v>0</v>
      </c>
      <c r="U529" s="13">
        <f t="shared" si="235"/>
        <v>29.885741772722152</v>
      </c>
      <c r="V529" s="13">
        <f>IF($T529=1,$AU529,(VLOOKUP(U529,'Cortes naturales'!$A$35:$C$39,3,9)))</f>
        <v>3</v>
      </c>
      <c r="W529" s="13">
        <v>3</v>
      </c>
      <c r="X529" s="14" t="b">
        <f t="shared" si="219"/>
        <v>1</v>
      </c>
      <c r="Y529" s="17">
        <f>IF($T529=1,$AU529,VLOOKUP(U529,'Cortes naturales'!$A$45:$C$49,3,9))</f>
        <v>3</v>
      </c>
      <c r="Z529" s="14">
        <v>55.367237078276496</v>
      </c>
      <c r="AA529" s="14">
        <v>0.52290475905992573</v>
      </c>
      <c r="AB529" s="14">
        <v>28.951791764229956</v>
      </c>
      <c r="AC529" s="13">
        <v>3</v>
      </c>
      <c r="AD529" s="13">
        <f t="shared" si="220"/>
        <v>0</v>
      </c>
      <c r="AE529" s="14">
        <f t="shared" si="221"/>
        <v>3.5379210414047364</v>
      </c>
      <c r="AF529" s="14">
        <f t="shared" si="222"/>
        <v>-1.5551197390479832E-2</v>
      </c>
      <c r="AG529" s="13">
        <f t="shared" si="223"/>
        <v>0.93395000849219656</v>
      </c>
      <c r="AH529" s="13">
        <f>IF($T529=1,$AU529,VLOOKUP(U529,'Cortes naturales'!$A$25:$C$29,3,9))</f>
        <v>3</v>
      </c>
      <c r="AI529" s="13" t="b">
        <f t="shared" si="224"/>
        <v>1</v>
      </c>
      <c r="AJ529" s="13">
        <f t="shared" si="225"/>
        <v>0</v>
      </c>
      <c r="AK529" s="28">
        <v>0.81759069605862034</v>
      </c>
      <c r="AL529" s="28">
        <v>45.267737901670735</v>
      </c>
      <c r="AM529" s="28">
        <v>0.39562567261450293</v>
      </c>
      <c r="AN529" s="13">
        <v>3</v>
      </c>
      <c r="AO529" s="33">
        <f t="shared" si="226"/>
        <v>0</v>
      </c>
      <c r="AP529" s="13">
        <f t="shared" si="236"/>
        <v>39.56256726145029</v>
      </c>
      <c r="AQ529" s="13">
        <f>IFERROR(VLOOKUP(U529,'Cortes naturales'!$E$15:$G$19,3,9),U529)</f>
        <v>4</v>
      </c>
      <c r="AR529" s="28">
        <f t="shared" si="227"/>
        <v>-0.31023713438917444</v>
      </c>
      <c r="AS529" s="13" t="b">
        <f t="shared" si="228"/>
        <v>0</v>
      </c>
      <c r="AT529" s="13">
        <f t="shared" si="237"/>
        <v>0</v>
      </c>
      <c r="AU529" s="13">
        <v>3</v>
      </c>
      <c r="AV529">
        <f t="shared" si="229"/>
        <v>0</v>
      </c>
      <c r="AW529" s="13">
        <v>0</v>
      </c>
      <c r="AX529" s="13">
        <v>0</v>
      </c>
      <c r="AY529" s="13">
        <v>0</v>
      </c>
      <c r="AZ529" s="13">
        <v>0</v>
      </c>
      <c r="BA529">
        <v>1</v>
      </c>
      <c r="BB529" t="s">
        <v>2839</v>
      </c>
      <c r="BC529">
        <v>6</v>
      </c>
      <c r="BD529" t="s">
        <v>2919</v>
      </c>
      <c r="BE529">
        <v>1</v>
      </c>
      <c r="BF529" s="232" t="s">
        <v>2846</v>
      </c>
      <c r="BG529" s="232" t="s">
        <v>2845</v>
      </c>
      <c r="BH529" s="253">
        <v>32</v>
      </c>
      <c r="BI529" s="253">
        <v>24.963188377343673</v>
      </c>
      <c r="BJ529" s="25">
        <v>25.84</v>
      </c>
      <c r="BK529" t="s">
        <v>379</v>
      </c>
      <c r="BL529">
        <v>1.0729424033239223</v>
      </c>
      <c r="BM529" t="s">
        <v>383</v>
      </c>
      <c r="BN529" s="322">
        <v>44890.612746999999</v>
      </c>
      <c r="BO529" s="322">
        <v>2748.6289839999999</v>
      </c>
      <c r="BP529" s="10">
        <v>11700</v>
      </c>
      <c r="BQ529" s="254">
        <f t="shared" si="230"/>
        <v>3.8368045082905984</v>
      </c>
      <c r="BR529" s="254">
        <f t="shared" si="231"/>
        <v>0.23492555418803418</v>
      </c>
      <c r="BS529" s="25">
        <v>60.537586022730331</v>
      </c>
      <c r="BT529" s="25">
        <v>89.272051766381765</v>
      </c>
      <c r="BU529" s="25">
        <v>61.743333333333339</v>
      </c>
      <c r="BV529" s="25">
        <v>97.06711469552873</v>
      </c>
      <c r="BW529" s="25">
        <v>43.58344085521135</v>
      </c>
      <c r="BX529" s="25">
        <v>77.155021454493536</v>
      </c>
      <c r="BY529" s="25">
        <v>44.280709693377993</v>
      </c>
      <c r="BZ529">
        <v>47</v>
      </c>
      <c r="CA529">
        <v>0</v>
      </c>
      <c r="CB529">
        <v>7</v>
      </c>
      <c r="CC529">
        <v>24548.812484999999</v>
      </c>
      <c r="CD529" s="10">
        <v>19203.098805000001</v>
      </c>
      <c r="CE529" s="255">
        <v>0.7822414553344943</v>
      </c>
      <c r="CF529" t="str">
        <f>IFERROR(VLOOKUP(CE529,'Rangos amb etnico'!$A$2:$C$6,3,9),"N.D.")</f>
        <v>71% - 100%</v>
      </c>
      <c r="CG529" s="256">
        <v>5.5869053349126953E-4</v>
      </c>
      <c r="CH529" s="232">
        <v>0</v>
      </c>
      <c r="CI529" s="311">
        <f t="shared" si="238"/>
        <v>0</v>
      </c>
      <c r="CJ529" s="232">
        <f>IFERROR(VLOOKUP(CI529,'Rangos amb etnico'!$A$2:$C$6,3,9),"N.D.")</f>
        <v>0</v>
      </c>
      <c r="CK529" s="311">
        <f t="shared" si="239"/>
        <v>0</v>
      </c>
      <c r="CL529" s="10">
        <v>0</v>
      </c>
      <c r="CM529" s="255">
        <f t="shared" si="240"/>
        <v>0</v>
      </c>
      <c r="CN529" s="232">
        <f>IFERROR(VLOOKUP(CM529,'Rangos amb etnico'!$A$2:$C$6,3,9),"N.D.")</f>
        <v>0</v>
      </c>
      <c r="CO529" s="311">
        <f t="shared" si="241"/>
        <v>0</v>
      </c>
      <c r="CP529">
        <v>0.91701852633524683</v>
      </c>
      <c r="CQ529" t="s">
        <v>2864</v>
      </c>
      <c r="CR529">
        <f t="shared" si="232"/>
        <v>2</v>
      </c>
      <c r="CS529" t="str">
        <f t="shared" si="242"/>
        <v>No es Candidato</v>
      </c>
      <c r="CT529">
        <v>1</v>
      </c>
      <c r="CU529" t="s">
        <v>2836</v>
      </c>
      <c r="CV529" s="25">
        <v>53.823814392089837</v>
      </c>
      <c r="CW529" s="25">
        <v>29.08302116394043</v>
      </c>
      <c r="CX529" s="25">
        <v>52.385360717773438</v>
      </c>
      <c r="CY529" s="25">
        <v>60.096385955810547</v>
      </c>
      <c r="CZ529" s="25">
        <v>36.528667449951172</v>
      </c>
      <c r="DA529" s="25">
        <v>82.553359985351563</v>
      </c>
      <c r="DB529" s="25">
        <v>62.296089172363281</v>
      </c>
      <c r="DC529">
        <v>1226</v>
      </c>
      <c r="DD529" s="253" t="s">
        <v>380</v>
      </c>
    </row>
    <row r="530" spans="1:108" hidden="1">
      <c r="A530" s="13">
        <v>17013</v>
      </c>
      <c r="B530" s="13" t="s">
        <v>1507</v>
      </c>
      <c r="C530" s="13" t="s">
        <v>506</v>
      </c>
      <c r="D530" s="13" t="s">
        <v>507</v>
      </c>
      <c r="E530" s="13" t="s">
        <v>1508</v>
      </c>
      <c r="F530" s="14">
        <v>68.092799999999997</v>
      </c>
      <c r="G530" s="13">
        <v>74.599999999999994</v>
      </c>
      <c r="H530" s="13">
        <v>60.78</v>
      </c>
      <c r="I530" s="13">
        <v>72.36</v>
      </c>
      <c r="J530" s="14">
        <v>61.102461750763958</v>
      </c>
      <c r="K530" s="14">
        <v>57.725680974792425</v>
      </c>
      <c r="L530" s="14">
        <v>61.232760212018349</v>
      </c>
      <c r="M530" s="14">
        <v>54.259700000000002</v>
      </c>
      <c r="N530" s="14">
        <f t="shared" si="216"/>
        <v>68.958199999999991</v>
      </c>
      <c r="O530" s="14">
        <f t="shared" si="217"/>
        <v>58.580150734393683</v>
      </c>
      <c r="P530" s="14">
        <f t="shared" si="233"/>
        <v>63.769175367196837</v>
      </c>
      <c r="Q530" s="14">
        <v>54.128924770775065</v>
      </c>
      <c r="R530" s="17">
        <f t="shared" si="218"/>
        <v>45.871075229224935</v>
      </c>
      <c r="S530" s="14">
        <f t="shared" si="234"/>
        <v>0.51283967706302447</v>
      </c>
      <c r="T530" s="13">
        <v>0</v>
      </c>
      <c r="U530" s="13">
        <f t="shared" si="235"/>
        <v>32.703363301888601</v>
      </c>
      <c r="V530" s="13">
        <f>IF($T530=1,$AU530,(VLOOKUP(U530,'Cortes naturales'!$A$35:$C$39,3,9)))</f>
        <v>3</v>
      </c>
      <c r="W530" s="13">
        <v>3</v>
      </c>
      <c r="X530" s="14" t="b">
        <f t="shared" si="219"/>
        <v>1</v>
      </c>
      <c r="Y530" s="17">
        <f>IF($T530=1,$AU530,VLOOKUP(U530,'Cortes naturales'!$A$45:$C$49,3,9))</f>
        <v>3</v>
      </c>
      <c r="Z530" s="14">
        <v>63.948345413429649</v>
      </c>
      <c r="AA530" s="14">
        <v>0.52309053597998478</v>
      </c>
      <c r="AB530" s="14">
        <v>33.450774277344117</v>
      </c>
      <c r="AC530" s="13">
        <v>3</v>
      </c>
      <c r="AD530" s="13">
        <f t="shared" si="220"/>
        <v>0</v>
      </c>
      <c r="AE530" s="14">
        <f t="shared" si="221"/>
        <v>-0.1791700462328123</v>
      </c>
      <c r="AF530" s="14">
        <f t="shared" si="222"/>
        <v>-1.0250858916960315E-2</v>
      </c>
      <c r="AG530" s="13">
        <f t="shared" si="223"/>
        <v>-0.74741097545551582</v>
      </c>
      <c r="AH530" s="13">
        <f>IF($T530=1,$AU530,VLOOKUP(U530,'Cortes naturales'!$A$25:$C$29,3,9))</f>
        <v>3</v>
      </c>
      <c r="AI530" s="13" t="b">
        <f t="shared" si="224"/>
        <v>1</v>
      </c>
      <c r="AJ530" s="13">
        <f t="shared" si="225"/>
        <v>0</v>
      </c>
      <c r="AK530" s="28">
        <v>0.81759069605862034</v>
      </c>
      <c r="AL530" s="28">
        <v>52.283572238363028</v>
      </c>
      <c r="AM530" s="28">
        <v>0.48338636478005043</v>
      </c>
      <c r="AN530" s="13">
        <v>2</v>
      </c>
      <c r="AO530" s="33">
        <f t="shared" si="226"/>
        <v>-1</v>
      </c>
      <c r="AP530" s="13">
        <f t="shared" si="236"/>
        <v>48.338636478005043</v>
      </c>
      <c r="AQ530" s="13">
        <f>IFERROR(VLOOKUP(U530,'Cortes naturales'!$E$15:$G$19,3,9),U530)</f>
        <v>4</v>
      </c>
      <c r="AR530" s="28">
        <f t="shared" si="227"/>
        <v>-0.30475101899559587</v>
      </c>
      <c r="AS530" s="13" t="b">
        <f t="shared" si="228"/>
        <v>0</v>
      </c>
      <c r="AT530" s="13" t="str">
        <f t="shared" si="237"/>
        <v>Cambio en corte</v>
      </c>
      <c r="AU530" s="13">
        <v>3</v>
      </c>
      <c r="AV530">
        <f t="shared" si="229"/>
        <v>0</v>
      </c>
      <c r="AW530" s="13">
        <v>0</v>
      </c>
      <c r="AX530" s="13">
        <v>0</v>
      </c>
      <c r="AY530" s="13">
        <v>0</v>
      </c>
      <c r="AZ530" s="13">
        <v>0</v>
      </c>
      <c r="BA530">
        <v>0</v>
      </c>
      <c r="BB530" t="s">
        <v>2840</v>
      </c>
      <c r="BC530">
        <v>6</v>
      </c>
      <c r="BD530" t="s">
        <v>2919</v>
      </c>
      <c r="BE530">
        <v>0</v>
      </c>
      <c r="BF530" s="232" t="s">
        <v>2846</v>
      </c>
      <c r="BG530" s="232" t="s">
        <v>2845</v>
      </c>
      <c r="BH530" s="253">
        <v>30</v>
      </c>
      <c r="BI530" s="253">
        <v>11.006090133982948</v>
      </c>
      <c r="BJ530" s="25">
        <v>31.969303788008641</v>
      </c>
      <c r="BK530" t="s">
        <v>379</v>
      </c>
      <c r="BL530">
        <v>2.9800379708852205</v>
      </c>
      <c r="BM530" t="s">
        <v>383</v>
      </c>
      <c r="BN530" s="322">
        <v>46628.762645000003</v>
      </c>
      <c r="BO530" s="322">
        <v>6569.1774640000003</v>
      </c>
      <c r="BP530" s="10">
        <v>22674</v>
      </c>
      <c r="BQ530" s="254">
        <f t="shared" si="230"/>
        <v>2.0564859594689953</v>
      </c>
      <c r="BR530" s="254">
        <f t="shared" si="231"/>
        <v>0.28972291893799068</v>
      </c>
      <c r="BS530" s="25">
        <v>62.373635151913533</v>
      </c>
      <c r="BT530" s="25">
        <v>94.850433607656342</v>
      </c>
      <c r="BU530" s="25">
        <v>49.93</v>
      </c>
      <c r="BV530" s="25">
        <v>94.194976084320402</v>
      </c>
      <c r="BW530" s="25">
        <v>55.816371542090032</v>
      </c>
      <c r="BX530" s="25">
        <v>75.337261210972571</v>
      </c>
      <c r="BY530" s="25">
        <v>56.258174499078223</v>
      </c>
      <c r="BZ530">
        <v>19</v>
      </c>
      <c r="CA530">
        <v>0</v>
      </c>
      <c r="CB530">
        <v>6</v>
      </c>
      <c r="CC530">
        <v>47555.103062000002</v>
      </c>
      <c r="CD530" s="10">
        <v>5218.3619250000002</v>
      </c>
      <c r="CE530" s="255">
        <v>0.10973295375254589</v>
      </c>
      <c r="CF530" t="str">
        <f>IFERROR(VLOOKUP(CE530,'Rangos amb etnico'!$A$2:$C$6,3,9),"N.D.")</f>
        <v>0,1% - 30%</v>
      </c>
      <c r="CG530" s="256">
        <v>1.5182181987574155E-4</v>
      </c>
      <c r="CH530" s="232">
        <v>0</v>
      </c>
      <c r="CI530" s="311">
        <f t="shared" si="238"/>
        <v>0</v>
      </c>
      <c r="CJ530" s="232">
        <f>IFERROR(VLOOKUP(CI530,'Rangos amb etnico'!$A$2:$C$6,3,9),"N.D.")</f>
        <v>0</v>
      </c>
      <c r="CK530" s="311">
        <f t="shared" si="239"/>
        <v>0</v>
      </c>
      <c r="CL530" s="10">
        <v>0</v>
      </c>
      <c r="CM530" s="255">
        <f t="shared" si="240"/>
        <v>0</v>
      </c>
      <c r="CN530" s="232">
        <f>IFERROR(VLOOKUP(CM530,'Rangos amb etnico'!$A$2:$C$6,3,9),"N.D.")</f>
        <v>0</v>
      </c>
      <c r="CO530" s="311">
        <f t="shared" si="241"/>
        <v>0</v>
      </c>
      <c r="CP530">
        <v>0.95078571832844494</v>
      </c>
      <c r="CQ530" t="s">
        <v>2864</v>
      </c>
      <c r="CR530">
        <f t="shared" si="232"/>
        <v>2</v>
      </c>
      <c r="CS530" t="str">
        <f t="shared" si="242"/>
        <v>No es Candidato</v>
      </c>
      <c r="CT530">
        <v>0</v>
      </c>
      <c r="CU530">
        <v>0</v>
      </c>
      <c r="CV530" s="25">
        <v>48.275184631347663</v>
      </c>
      <c r="CW530" s="25">
        <v>18.808010101318359</v>
      </c>
      <c r="CX530" s="25">
        <v>57.033313751220703</v>
      </c>
      <c r="CY530" s="25">
        <v>55.368743896484382</v>
      </c>
      <c r="CZ530" s="25">
        <v>36.125335693359382</v>
      </c>
      <c r="DA530" s="25">
        <v>72.088752746582031</v>
      </c>
      <c r="DB530" s="25">
        <v>50.226951599121087</v>
      </c>
      <c r="DC530">
        <v>329</v>
      </c>
      <c r="DD530" s="253" t="s">
        <v>380</v>
      </c>
    </row>
    <row r="531" spans="1:108" hidden="1">
      <c r="A531" s="13">
        <v>68324</v>
      </c>
      <c r="B531" s="13" t="s">
        <v>1509</v>
      </c>
      <c r="C531" s="13" t="s">
        <v>431</v>
      </c>
      <c r="D531" s="13" t="s">
        <v>432</v>
      </c>
      <c r="E531" s="13" t="s">
        <v>1510</v>
      </c>
      <c r="F531" s="14">
        <v>65.032433333333302</v>
      </c>
      <c r="G531" s="13">
        <v>85.58</v>
      </c>
      <c r="H531" s="13">
        <v>43.18</v>
      </c>
      <c r="I531" s="13">
        <v>70.150000000000006</v>
      </c>
      <c r="J531" s="14">
        <v>47.55335040015072</v>
      </c>
      <c r="K531" s="14">
        <v>59.015635138045425</v>
      </c>
      <c r="L531" s="14">
        <v>56.860235656009991</v>
      </c>
      <c r="M531" s="14">
        <v>56.222999999999999</v>
      </c>
      <c r="N531" s="14">
        <f t="shared" si="216"/>
        <v>65.985608333333317</v>
      </c>
      <c r="O531" s="14">
        <f t="shared" si="217"/>
        <v>54.913055298551541</v>
      </c>
      <c r="P531" s="14">
        <f t="shared" si="233"/>
        <v>60.449331815942429</v>
      </c>
      <c r="Q531" s="14">
        <v>54.498198197119322</v>
      </c>
      <c r="R531" s="17">
        <f t="shared" si="218"/>
        <v>45.501801802880678</v>
      </c>
      <c r="S531" s="14">
        <f t="shared" si="234"/>
        <v>0.50951621622592613</v>
      </c>
      <c r="T531" s="13">
        <v>0</v>
      </c>
      <c r="U531" s="13">
        <f t="shared" si="235"/>
        <v>30.799914820244478</v>
      </c>
      <c r="V531" s="13">
        <f>IF($T531=1,$AU531,(VLOOKUP(U531,'Cortes naturales'!$A$35:$C$39,3,9)))</f>
        <v>3</v>
      </c>
      <c r="W531" s="13">
        <v>3</v>
      </c>
      <c r="X531" s="14" t="b">
        <f t="shared" si="219"/>
        <v>1</v>
      </c>
      <c r="Y531" s="17">
        <f>IF($T531=1,$AU531,VLOOKUP(U531,'Cortes naturales'!$A$45:$C$49,3,9))</f>
        <v>3</v>
      </c>
      <c r="Z531" s="14">
        <v>57.952557337905887</v>
      </c>
      <c r="AA531" s="14">
        <v>0.52122451929228364</v>
      </c>
      <c r="AB531" s="14">
        <v>30.206293840208502</v>
      </c>
      <c r="AC531" s="13">
        <v>3</v>
      </c>
      <c r="AD531" s="13">
        <f t="shared" si="220"/>
        <v>0</v>
      </c>
      <c r="AE531" s="14">
        <f t="shared" si="221"/>
        <v>2.4967744780365422</v>
      </c>
      <c r="AF531" s="14">
        <f t="shared" si="222"/>
        <v>-1.1708303066357506E-2</v>
      </c>
      <c r="AG531" s="13">
        <f t="shared" si="223"/>
        <v>0.59362098003597552</v>
      </c>
      <c r="AH531" s="13">
        <f>IF($T531=1,$AU531,VLOOKUP(U531,'Cortes naturales'!$A$25:$C$29,3,9))</f>
        <v>3</v>
      </c>
      <c r="AI531" s="13" t="b">
        <f t="shared" si="224"/>
        <v>1</v>
      </c>
      <c r="AJ531" s="13">
        <f t="shared" si="225"/>
        <v>0</v>
      </c>
      <c r="AK531" s="28">
        <v>0.81759069605862034</v>
      </c>
      <c r="AL531" s="28">
        <v>47.381471692275582</v>
      </c>
      <c r="AM531" s="28">
        <v>0.42206625424953703</v>
      </c>
      <c r="AN531" s="13">
        <v>3</v>
      </c>
      <c r="AO531" s="33">
        <f t="shared" si="226"/>
        <v>0</v>
      </c>
      <c r="AP531" s="13">
        <f t="shared" si="236"/>
        <v>42.2066254249537</v>
      </c>
      <c r="AQ531" s="13">
        <f>IFERROR(VLOOKUP(U531,'Cortes naturales'!$E$15:$G$19,3,9),U531)</f>
        <v>4</v>
      </c>
      <c r="AR531" s="28">
        <f t="shared" si="227"/>
        <v>-0.3080744798326942</v>
      </c>
      <c r="AS531" s="13" t="b">
        <f t="shared" si="228"/>
        <v>0</v>
      </c>
      <c r="AT531" s="13">
        <f t="shared" si="237"/>
        <v>0</v>
      </c>
      <c r="AU531" s="13">
        <v>3</v>
      </c>
      <c r="AV531">
        <f t="shared" si="229"/>
        <v>0</v>
      </c>
      <c r="AW531" s="13">
        <v>0</v>
      </c>
      <c r="AX531" s="13">
        <v>0</v>
      </c>
      <c r="AY531" s="13">
        <v>0</v>
      </c>
      <c r="AZ531" s="13">
        <v>0</v>
      </c>
      <c r="BA531">
        <v>0</v>
      </c>
      <c r="BB531" t="s">
        <v>2840</v>
      </c>
      <c r="BC531">
        <v>6</v>
      </c>
      <c r="BD531" t="s">
        <v>2919</v>
      </c>
      <c r="BE531">
        <v>1</v>
      </c>
      <c r="BF531" s="232" t="s">
        <v>2846</v>
      </c>
      <c r="BG531" s="232" t="s">
        <v>2845</v>
      </c>
      <c r="BH531" s="253">
        <v>40.4</v>
      </c>
      <c r="BI531" s="253">
        <v>13.367129135538955</v>
      </c>
      <c r="BJ531" s="25">
        <v>6.9739999999999993</v>
      </c>
      <c r="BK531" t="s">
        <v>377</v>
      </c>
      <c r="BL531">
        <v>0</v>
      </c>
      <c r="BM531" t="s">
        <v>377</v>
      </c>
      <c r="BN531" s="322">
        <v>13302.275027</v>
      </c>
      <c r="BO531" s="322">
        <v>853.332583</v>
      </c>
      <c r="BP531" s="10">
        <v>4326</v>
      </c>
      <c r="BQ531" s="254">
        <f t="shared" si="230"/>
        <v>3.0749595531668978</v>
      </c>
      <c r="BR531" s="254">
        <f t="shared" si="231"/>
        <v>0.19725672283865003</v>
      </c>
      <c r="BS531" s="25">
        <v>49.984456148050619</v>
      </c>
      <c r="BT531" s="25">
        <v>90.175681923254729</v>
      </c>
      <c r="BU531" s="25">
        <v>45.061666666666667</v>
      </c>
      <c r="BV531" s="25">
        <v>97.006936864390624</v>
      </c>
      <c r="BW531" s="25">
        <v>59.865358345107687</v>
      </c>
      <c r="BX531" s="25">
        <v>70.557185400590654</v>
      </c>
      <c r="BY531" s="25">
        <v>60.423075724431463</v>
      </c>
      <c r="BZ531">
        <v>25</v>
      </c>
      <c r="CA531">
        <v>0</v>
      </c>
      <c r="CB531">
        <v>7</v>
      </c>
      <c r="CC531">
        <v>8367.1444780000002</v>
      </c>
      <c r="CD531" s="10">
        <v>297.27020800000003</v>
      </c>
      <c r="CE531" s="255">
        <v>3.5528274763465845E-2</v>
      </c>
      <c r="CF531" t="str">
        <f>IFERROR(VLOOKUP(CE531,'Rangos amb etnico'!$A$2:$C$6,3,9),"N.D.")</f>
        <v>0,1% - 30%</v>
      </c>
      <c r="CG531" s="256">
        <v>8.6487109598861772E-6</v>
      </c>
      <c r="CH531" s="232">
        <v>0</v>
      </c>
      <c r="CI531" s="311">
        <f t="shared" si="238"/>
        <v>0</v>
      </c>
      <c r="CJ531" s="232">
        <f>IFERROR(VLOOKUP(CI531,'Rangos amb etnico'!$A$2:$C$6,3,9),"N.D.")</f>
        <v>0</v>
      </c>
      <c r="CK531" s="311">
        <f t="shared" si="239"/>
        <v>0</v>
      </c>
      <c r="CL531" s="10">
        <v>0</v>
      </c>
      <c r="CM531" s="255">
        <f t="shared" si="240"/>
        <v>0</v>
      </c>
      <c r="CN531" s="232">
        <f>IFERROR(VLOOKUP(CM531,'Rangos amb etnico'!$A$2:$C$6,3,9),"N.D.")</f>
        <v>0</v>
      </c>
      <c r="CO531" s="311">
        <f t="shared" si="241"/>
        <v>0</v>
      </c>
      <c r="CP531">
        <v>0.96108488997723929</v>
      </c>
      <c r="CQ531" t="s">
        <v>2864</v>
      </c>
      <c r="CR531">
        <f t="shared" si="232"/>
        <v>3</v>
      </c>
      <c r="CS531" t="str">
        <f t="shared" si="242"/>
        <v>Candidato</v>
      </c>
      <c r="CT531">
        <v>0</v>
      </c>
      <c r="CU531">
        <v>0</v>
      </c>
      <c r="CV531" s="25">
        <v>55.641963958740227</v>
      </c>
      <c r="CW531" s="25">
        <v>17.60958099365234</v>
      </c>
      <c r="CX531" s="25">
        <v>54.699222564697273</v>
      </c>
      <c r="CY531" s="25">
        <v>61.777889251708977</v>
      </c>
      <c r="CZ531" s="25">
        <v>46.371192932128913</v>
      </c>
      <c r="DA531" s="25">
        <v>88.573638916015625</v>
      </c>
      <c r="DB531" s="25">
        <v>64.82025146484375</v>
      </c>
      <c r="DC531">
        <v>20</v>
      </c>
      <c r="DD531" s="253" t="s">
        <v>380</v>
      </c>
    </row>
    <row r="532" spans="1:108" hidden="1">
      <c r="A532" s="13">
        <v>47692</v>
      </c>
      <c r="B532" s="13" t="s">
        <v>1511</v>
      </c>
      <c r="C532" s="13" t="s">
        <v>638</v>
      </c>
      <c r="D532" s="13" t="s">
        <v>639</v>
      </c>
      <c r="E532" s="13" t="s">
        <v>1512</v>
      </c>
      <c r="F532" s="14">
        <v>49.887</v>
      </c>
      <c r="G532" s="13">
        <v>26.68</v>
      </c>
      <c r="H532" s="13">
        <v>23.36</v>
      </c>
      <c r="I532" s="13">
        <v>83.95</v>
      </c>
      <c r="J532" s="14">
        <v>51.141769464164447</v>
      </c>
      <c r="K532" s="14">
        <v>51.234724410868402</v>
      </c>
      <c r="L532" s="14">
        <v>54.649783304447169</v>
      </c>
      <c r="M532" s="14">
        <v>50.544499999999999</v>
      </c>
      <c r="N532" s="14">
        <f t="shared" si="216"/>
        <v>45.969250000000002</v>
      </c>
      <c r="O532" s="14">
        <f t="shared" si="217"/>
        <v>51.892694294870005</v>
      </c>
      <c r="P532" s="14">
        <f t="shared" si="233"/>
        <v>48.930972147435</v>
      </c>
      <c r="Q532" s="14">
        <v>54.236855782513558</v>
      </c>
      <c r="R532" s="17">
        <f t="shared" si="218"/>
        <v>45.763144217486442</v>
      </c>
      <c r="S532" s="14">
        <f t="shared" si="234"/>
        <v>0.51186829795737798</v>
      </c>
      <c r="T532" s="13">
        <v>0</v>
      </c>
      <c r="U532" s="13">
        <f t="shared" si="235"/>
        <v>25.046213430507422</v>
      </c>
      <c r="V532" s="13">
        <f>IF($T532=1,$AU532,(VLOOKUP(U532,'Cortes naturales'!$A$35:$C$39,3,9)))</f>
        <v>4</v>
      </c>
      <c r="W532" s="13">
        <v>4</v>
      </c>
      <c r="X532" s="14" t="b">
        <f t="shared" si="219"/>
        <v>1</v>
      </c>
      <c r="Y532" s="17">
        <f>IF($T532=1,$AU532,VLOOKUP(U532,'Cortes naturales'!$A$45:$C$49,3,9))</f>
        <v>4</v>
      </c>
      <c r="Z532" s="14">
        <v>43.170803181567855</v>
      </c>
      <c r="AA532" s="14">
        <v>0.52115245915569286</v>
      </c>
      <c r="AB532" s="14">
        <v>22.498570241800497</v>
      </c>
      <c r="AC532" s="13">
        <v>4</v>
      </c>
      <c r="AD532" s="13">
        <f t="shared" si="220"/>
        <v>0</v>
      </c>
      <c r="AE532" s="14">
        <f t="shared" si="221"/>
        <v>5.7601689658671447</v>
      </c>
      <c r="AF532" s="14">
        <f t="shared" si="222"/>
        <v>-9.2841611983148775E-3</v>
      </c>
      <c r="AG532" s="13">
        <f t="shared" si="223"/>
        <v>2.5476431887069246</v>
      </c>
      <c r="AH532" s="13">
        <f>IF($T532=1,$AU532,VLOOKUP(U532,'Cortes naturales'!$A$25:$C$29,3,9))</f>
        <v>4</v>
      </c>
      <c r="AI532" s="13" t="b">
        <f t="shared" si="224"/>
        <v>1</v>
      </c>
      <c r="AJ532" s="13">
        <f t="shared" si="225"/>
        <v>0</v>
      </c>
      <c r="AK532" s="28">
        <v>0.81759069605862034</v>
      </c>
      <c r="AL532" s="28">
        <v>35.296047022627761</v>
      </c>
      <c r="AM532" s="28">
        <v>0.27089033087063336</v>
      </c>
      <c r="AN532" s="13">
        <v>4</v>
      </c>
      <c r="AO532" s="33">
        <f t="shared" si="226"/>
        <v>0</v>
      </c>
      <c r="AP532" s="13">
        <f t="shared" si="236"/>
        <v>27.089033087063335</v>
      </c>
      <c r="AQ532" s="13">
        <f>IFERROR(VLOOKUP(U532,'Cortes naturales'!$E$15:$G$19,3,9),U532)</f>
        <v>4</v>
      </c>
      <c r="AR532" s="28">
        <f t="shared" si="227"/>
        <v>-0.30572239810124235</v>
      </c>
      <c r="AS532" s="13" t="b">
        <f t="shared" si="228"/>
        <v>1</v>
      </c>
      <c r="AT532" s="13">
        <f t="shared" si="237"/>
        <v>0</v>
      </c>
      <c r="AU532" s="13">
        <v>4</v>
      </c>
      <c r="AV532">
        <f t="shared" si="229"/>
        <v>0</v>
      </c>
      <c r="AW532" s="13">
        <v>0</v>
      </c>
      <c r="AX532" s="13">
        <v>0</v>
      </c>
      <c r="AY532" s="13">
        <v>0</v>
      </c>
      <c r="AZ532" s="13">
        <v>0</v>
      </c>
      <c r="BA532">
        <v>0</v>
      </c>
      <c r="BB532" t="s">
        <v>2840</v>
      </c>
      <c r="BC532">
        <v>6</v>
      </c>
      <c r="BD532" t="s">
        <v>2919</v>
      </c>
      <c r="BE532">
        <v>0</v>
      </c>
      <c r="BF532" s="232" t="s">
        <v>2846</v>
      </c>
      <c r="BG532" s="232" t="s">
        <v>2846</v>
      </c>
      <c r="BH532" s="253">
        <v>63.8</v>
      </c>
      <c r="BI532" s="253">
        <v>42.682215743440231</v>
      </c>
      <c r="BJ532" s="25">
        <v>3.7535883111302111</v>
      </c>
      <c r="BK532" t="s">
        <v>381</v>
      </c>
      <c r="BL532">
        <v>7.2127193776080292</v>
      </c>
      <c r="BM532" t="s">
        <v>379</v>
      </c>
      <c r="BN532" s="322">
        <v>52838.612499000003</v>
      </c>
      <c r="BO532" s="322">
        <v>2885.8929240000002</v>
      </c>
      <c r="BP532" s="10">
        <v>21808</v>
      </c>
      <c r="BQ532" s="254">
        <f t="shared" si="230"/>
        <v>2.4229004264031548</v>
      </c>
      <c r="BR532" s="254">
        <f t="shared" si="231"/>
        <v>0.13233184721203228</v>
      </c>
      <c r="BS532" s="25">
        <v>64.662360312784003</v>
      </c>
      <c r="BT532" s="25">
        <v>95.980391403766205</v>
      </c>
      <c r="BU532" s="25">
        <v>24.98793001186236</v>
      </c>
      <c r="BV532" s="25">
        <v>98.330830254388431</v>
      </c>
      <c r="BW532" s="25">
        <v>41.226323328346503</v>
      </c>
      <c r="BX532" s="25">
        <v>70.990377995700257</v>
      </c>
      <c r="BY532" s="25">
        <v>41.016755812281609</v>
      </c>
      <c r="BZ532">
        <v>60</v>
      </c>
      <c r="CA532">
        <v>0</v>
      </c>
      <c r="CB532">
        <v>7</v>
      </c>
      <c r="CC532">
        <v>43711.108118999997</v>
      </c>
      <c r="CD532" s="10">
        <v>11960.296592000001</v>
      </c>
      <c r="CE532" s="255">
        <v>0.27362144559316703</v>
      </c>
      <c r="CF532" t="str">
        <f>IFERROR(VLOOKUP(CE532,'Rangos amb etnico'!$A$2:$C$6,3,9),"N.D.")</f>
        <v>0,1% - 30%</v>
      </c>
      <c r="CG532" s="256">
        <v>3.4797011417544971E-4</v>
      </c>
      <c r="CH532" s="232">
        <v>0</v>
      </c>
      <c r="CI532" s="311">
        <f t="shared" si="238"/>
        <v>0</v>
      </c>
      <c r="CJ532" s="232">
        <f>IFERROR(VLOOKUP(CI532,'Rangos amb etnico'!$A$2:$C$6,3,9),"N.D.")</f>
        <v>0</v>
      </c>
      <c r="CK532" s="311">
        <f t="shared" si="239"/>
        <v>0</v>
      </c>
      <c r="CL532" s="10">
        <v>0</v>
      </c>
      <c r="CM532" s="255">
        <f t="shared" si="240"/>
        <v>0</v>
      </c>
      <c r="CN532" s="232">
        <f>IFERROR(VLOOKUP(CM532,'Rangos amb etnico'!$A$2:$C$6,3,9),"N.D.")</f>
        <v>0</v>
      </c>
      <c r="CO532" s="311">
        <f t="shared" si="241"/>
        <v>0</v>
      </c>
      <c r="CP532">
        <v>0.7530405587137956</v>
      </c>
      <c r="CQ532" t="s">
        <v>2865</v>
      </c>
      <c r="CR532">
        <f t="shared" si="232"/>
        <v>2</v>
      </c>
      <c r="CS532" t="str">
        <f t="shared" si="242"/>
        <v>No es Candidato</v>
      </c>
      <c r="CT532">
        <v>0</v>
      </c>
      <c r="CU532">
        <v>0</v>
      </c>
      <c r="CV532" s="25">
        <v>44.667488098144531</v>
      </c>
      <c r="CW532" s="25">
        <v>17.734037399291989</v>
      </c>
      <c r="CX532" s="25">
        <v>39.387462615966797</v>
      </c>
      <c r="CY532" s="25">
        <v>55.103851318359382</v>
      </c>
      <c r="CZ532" s="25">
        <v>6.5478110313415527</v>
      </c>
      <c r="DA532" s="25">
        <v>93.650390625</v>
      </c>
      <c r="DB532" s="25">
        <v>55.581371307373047</v>
      </c>
      <c r="DC532">
        <v>208</v>
      </c>
      <c r="DD532" s="253" t="s">
        <v>380</v>
      </c>
    </row>
    <row r="533" spans="1:108" hidden="1">
      <c r="A533" s="13">
        <v>52254</v>
      </c>
      <c r="B533" s="13" t="s">
        <v>1513</v>
      </c>
      <c r="C533" s="13" t="s">
        <v>672</v>
      </c>
      <c r="D533" s="13" t="s">
        <v>673</v>
      </c>
      <c r="E533" s="13" t="s">
        <v>1514</v>
      </c>
      <c r="F533" s="14">
        <v>46.471299999999999</v>
      </c>
      <c r="G533" s="13">
        <v>39.26</v>
      </c>
      <c r="H533" s="13">
        <v>41.32</v>
      </c>
      <c r="I533" s="13">
        <v>50.37</v>
      </c>
      <c r="J533" s="14">
        <v>50.620774557860543</v>
      </c>
      <c r="K533" s="14">
        <v>57.960490009702731</v>
      </c>
      <c r="L533" s="14">
        <v>39.115259746407972</v>
      </c>
      <c r="M533" s="14">
        <v>66.644599999999997</v>
      </c>
      <c r="N533" s="14">
        <f t="shared" si="216"/>
        <v>44.355325000000001</v>
      </c>
      <c r="O533" s="14">
        <f t="shared" si="217"/>
        <v>53.585281078492805</v>
      </c>
      <c r="P533" s="14">
        <f t="shared" si="233"/>
        <v>48.970303039246403</v>
      </c>
      <c r="Q533" s="14">
        <v>54.23096017995708</v>
      </c>
      <c r="R533" s="17">
        <f t="shared" si="218"/>
        <v>45.76903982004292</v>
      </c>
      <c r="S533" s="14">
        <f t="shared" si="234"/>
        <v>0.51192135838038633</v>
      </c>
      <c r="T533" s="13">
        <v>0</v>
      </c>
      <c r="U533" s="13">
        <f t="shared" si="235"/>
        <v>25.068944052150179</v>
      </c>
      <c r="V533" s="13">
        <f>IF($T533=1,$AU533,(VLOOKUP(U533,'Cortes naturales'!$A$35:$C$39,3,9)))</f>
        <v>4</v>
      </c>
      <c r="W533" s="13">
        <v>4</v>
      </c>
      <c r="X533" s="14" t="b">
        <f t="shared" si="219"/>
        <v>1</v>
      </c>
      <c r="Y533" s="17">
        <f>IF($T533=1,$AU533,VLOOKUP(U533,'Cortes naturales'!$A$45:$C$49,3,9))</f>
        <v>4</v>
      </c>
      <c r="Z533" s="14">
        <v>47.782361201082978</v>
      </c>
      <c r="AA533" s="14">
        <v>0.52086604317127549</v>
      </c>
      <c r="AB533" s="14">
        <v>24.888209412188765</v>
      </c>
      <c r="AC533" s="13">
        <v>4</v>
      </c>
      <c r="AD533" s="13">
        <f t="shared" si="220"/>
        <v>0</v>
      </c>
      <c r="AE533" s="14">
        <f t="shared" si="221"/>
        <v>1.1879418381634252</v>
      </c>
      <c r="AF533" s="14">
        <f t="shared" si="222"/>
        <v>-8.944684790889168E-3</v>
      </c>
      <c r="AG533" s="13">
        <f t="shared" si="223"/>
        <v>0.1807346399614147</v>
      </c>
      <c r="AH533" s="13">
        <f>IF($T533=1,$AU533,VLOOKUP(U533,'Cortes naturales'!$A$25:$C$29,3,9))</f>
        <v>4</v>
      </c>
      <c r="AI533" s="13" t="b">
        <f t="shared" si="224"/>
        <v>1</v>
      </c>
      <c r="AJ533" s="13">
        <f t="shared" si="225"/>
        <v>0</v>
      </c>
      <c r="AK533" s="28">
        <v>0.81759069605862034</v>
      </c>
      <c r="AL533" s="28">
        <v>39.066413953717849</v>
      </c>
      <c r="AM533" s="28">
        <v>0.31805364683720727</v>
      </c>
      <c r="AN533" s="13">
        <v>4</v>
      </c>
      <c r="AO533" s="33">
        <f t="shared" si="226"/>
        <v>0</v>
      </c>
      <c r="AP533" s="13">
        <f t="shared" si="236"/>
        <v>31.805364683720725</v>
      </c>
      <c r="AQ533" s="13">
        <f>IFERROR(VLOOKUP(U533,'Cortes naturales'!$E$15:$G$19,3,9),U533)</f>
        <v>4</v>
      </c>
      <c r="AR533" s="28">
        <f t="shared" si="227"/>
        <v>-0.30566933767823401</v>
      </c>
      <c r="AS533" s="13" t="b">
        <f t="shared" si="228"/>
        <v>1</v>
      </c>
      <c r="AT533" s="13">
        <f t="shared" si="237"/>
        <v>0</v>
      </c>
      <c r="AU533" s="13">
        <v>4</v>
      </c>
      <c r="AV533">
        <f t="shared" si="229"/>
        <v>0</v>
      </c>
      <c r="AW533" s="13">
        <v>0</v>
      </c>
      <c r="AX533" s="13">
        <v>0</v>
      </c>
      <c r="AY533" s="13">
        <v>0</v>
      </c>
      <c r="AZ533" s="13">
        <v>0</v>
      </c>
      <c r="BA533">
        <v>1</v>
      </c>
      <c r="BB533" t="s">
        <v>2840</v>
      </c>
      <c r="BC533">
        <v>6</v>
      </c>
      <c r="BD533" t="s">
        <v>2919</v>
      </c>
      <c r="BE533">
        <v>1</v>
      </c>
      <c r="BF533" s="232" t="s">
        <v>2846</v>
      </c>
      <c r="BG533" s="232" t="s">
        <v>2846</v>
      </c>
      <c r="BH533" s="253">
        <v>43</v>
      </c>
      <c r="BI533" s="253">
        <v>16.319612590799032</v>
      </c>
      <c r="BJ533" s="25">
        <v>36.54381573840255</v>
      </c>
      <c r="BK533" t="s">
        <v>376</v>
      </c>
      <c r="BL533">
        <v>5.8435761904465169</v>
      </c>
      <c r="BM533" t="s">
        <v>379</v>
      </c>
      <c r="BN533" s="322">
        <v>17107.265711</v>
      </c>
      <c r="BO533" s="322">
        <v>790.78253299999994</v>
      </c>
      <c r="BP533" s="10">
        <v>7831</v>
      </c>
      <c r="BQ533" s="254">
        <f t="shared" si="230"/>
        <v>2.1845569800791727</v>
      </c>
      <c r="BR533" s="254">
        <f t="shared" si="231"/>
        <v>0.10098104111863107</v>
      </c>
      <c r="BS533" s="25">
        <v>56.28983934064869</v>
      </c>
      <c r="BT533" s="25">
        <v>91.350615076831389</v>
      </c>
      <c r="BU533" s="25">
        <v>52.145205932988993</v>
      </c>
      <c r="BV533" s="25">
        <v>97.097902898653217</v>
      </c>
      <c r="BW533" s="25">
        <v>51.549339892198553</v>
      </c>
      <c r="BX533" s="25">
        <v>74.220890812280572</v>
      </c>
      <c r="BY533" s="25">
        <v>51.913329663805953</v>
      </c>
      <c r="BZ533">
        <v>80</v>
      </c>
      <c r="CA533">
        <v>0</v>
      </c>
      <c r="CB533">
        <v>7</v>
      </c>
      <c r="CC533">
        <v>12123.733323</v>
      </c>
      <c r="CD533" s="10">
        <v>6630.0289759999996</v>
      </c>
      <c r="CE533" s="255">
        <v>0.54686364334838478</v>
      </c>
      <c r="CF533" t="str">
        <f>IFERROR(VLOOKUP(CE533,'Rangos amb etnico'!$A$2:$C$6,3,9),"N.D.")</f>
        <v>51% - 70%</v>
      </c>
      <c r="CG533" s="256">
        <v>1.9289253590152607E-4</v>
      </c>
      <c r="CH533" s="232">
        <v>0</v>
      </c>
      <c r="CI533" s="311">
        <f t="shared" si="238"/>
        <v>0</v>
      </c>
      <c r="CJ533" s="232">
        <f>IFERROR(VLOOKUP(CI533,'Rangos amb etnico'!$A$2:$C$6,3,9),"N.D.")</f>
        <v>0</v>
      </c>
      <c r="CK533" s="311">
        <f t="shared" si="239"/>
        <v>0</v>
      </c>
      <c r="CL533" s="10">
        <v>0</v>
      </c>
      <c r="CM533" s="255">
        <f t="shared" si="240"/>
        <v>0</v>
      </c>
      <c r="CN533" s="232">
        <f>IFERROR(VLOOKUP(CM533,'Rangos amb etnico'!$A$2:$C$6,3,9),"N.D.")</f>
        <v>0</v>
      </c>
      <c r="CO533" s="311">
        <f t="shared" si="241"/>
        <v>0</v>
      </c>
      <c r="CP533">
        <v>0.91527620977262381</v>
      </c>
      <c r="CQ533" t="s">
        <v>2864</v>
      </c>
      <c r="CR533">
        <f t="shared" si="232"/>
        <v>2</v>
      </c>
      <c r="CS533" t="str">
        <f t="shared" si="242"/>
        <v>No es Candidato</v>
      </c>
      <c r="CT533">
        <v>0</v>
      </c>
      <c r="CU533">
        <v>0</v>
      </c>
      <c r="CV533" s="25">
        <v>53.59051513671875</v>
      </c>
      <c r="CW533" s="25">
        <v>20.560304641723629</v>
      </c>
      <c r="CX533" s="25">
        <v>54.209934234619141</v>
      </c>
      <c r="CY533" s="25">
        <v>58.206741333007813</v>
      </c>
      <c r="CZ533" s="25">
        <v>56.375469207763672</v>
      </c>
      <c r="DA533" s="25">
        <v>70.018852233886719</v>
      </c>
      <c r="DB533" s="25">
        <v>62.171794891357422</v>
      </c>
      <c r="DC533">
        <v>145</v>
      </c>
      <c r="DD533" s="253" t="s">
        <v>380</v>
      </c>
    </row>
    <row r="534" spans="1:108" hidden="1">
      <c r="A534" s="13">
        <v>15500</v>
      </c>
      <c r="B534" s="13" t="s">
        <v>1515</v>
      </c>
      <c r="C534" s="13" t="s">
        <v>498</v>
      </c>
      <c r="D534" s="13" t="s">
        <v>499</v>
      </c>
      <c r="E534" s="13" t="s">
        <v>1516</v>
      </c>
      <c r="F534" s="14">
        <v>71.948733333333294</v>
      </c>
      <c r="G534" s="13">
        <v>63.21</v>
      </c>
      <c r="H534" s="13">
        <v>35.85</v>
      </c>
      <c r="I534" s="13">
        <v>31.71</v>
      </c>
      <c r="J534" s="14">
        <v>66.434313999586792</v>
      </c>
      <c r="K534" s="14">
        <v>64.383052008080384</v>
      </c>
      <c r="L534" s="14">
        <v>59.64939851055135</v>
      </c>
      <c r="M534" s="14">
        <v>51.5503</v>
      </c>
      <c r="N534" s="14">
        <f t="shared" si="216"/>
        <v>50.679683333333323</v>
      </c>
      <c r="O534" s="14">
        <f t="shared" si="217"/>
        <v>60.50426612955463</v>
      </c>
      <c r="P534" s="14">
        <f t="shared" si="233"/>
        <v>55.591974731443976</v>
      </c>
      <c r="Q534" s="14">
        <v>54.676254337362138</v>
      </c>
      <c r="R534" s="17">
        <f t="shared" si="218"/>
        <v>45.323745662637862</v>
      </c>
      <c r="S534" s="14">
        <f t="shared" si="234"/>
        <v>0.50791371096374072</v>
      </c>
      <c r="T534" s="13">
        <v>0</v>
      </c>
      <c r="U534" s="13">
        <f t="shared" si="235"/>
        <v>28.235926185650214</v>
      </c>
      <c r="V534" s="13">
        <f>IF($T534=1,$AU534,(VLOOKUP(U534,'Cortes naturales'!$A$35:$C$39,3,9)))</f>
        <v>4</v>
      </c>
      <c r="W534" s="13">
        <v>4</v>
      </c>
      <c r="X534" s="14" t="b">
        <f t="shared" si="219"/>
        <v>1</v>
      </c>
      <c r="Y534" s="17">
        <f>IF($T534=1,$AU534,VLOOKUP(U534,'Cortes naturales'!$A$45:$C$49,3,9))</f>
        <v>4</v>
      </c>
      <c r="Z534" s="14">
        <v>60.077761320635972</v>
      </c>
      <c r="AA534" s="14">
        <v>0.51915716026359204</v>
      </c>
      <c r="AB534" s="14">
        <v>31.18979996221524</v>
      </c>
      <c r="AC534" s="13">
        <v>3</v>
      </c>
      <c r="AD534" s="13">
        <f t="shared" si="220"/>
        <v>-1</v>
      </c>
      <c r="AE534" s="14">
        <f t="shared" si="221"/>
        <v>-4.4857865891919957</v>
      </c>
      <c r="AF534" s="14">
        <f t="shared" si="222"/>
        <v>-1.1243449299851327E-2</v>
      </c>
      <c r="AG534" s="13">
        <f t="shared" si="223"/>
        <v>-2.9538737765650254</v>
      </c>
      <c r="AH534" s="13">
        <f>IF($T534=1,$AU534,VLOOKUP(U534,'Cortes naturales'!$A$25:$C$29,3,9))</f>
        <v>3</v>
      </c>
      <c r="AI534" s="13" t="b">
        <f t="shared" si="224"/>
        <v>0</v>
      </c>
      <c r="AJ534" s="13" t="str">
        <f t="shared" si="225"/>
        <v>Cambio en corte</v>
      </c>
      <c r="AK534" s="28">
        <v>0.81759069605862034</v>
      </c>
      <c r="AL534" s="28">
        <v>49.119018695782422</v>
      </c>
      <c r="AM534" s="28">
        <v>0.44380113571622598</v>
      </c>
      <c r="AN534" s="13">
        <v>3</v>
      </c>
      <c r="AO534" s="33">
        <f t="shared" si="226"/>
        <v>-1</v>
      </c>
      <c r="AP534" s="13">
        <f t="shared" si="236"/>
        <v>44.380113571622601</v>
      </c>
      <c r="AQ534" s="13">
        <f>IFERROR(VLOOKUP(U534,'Cortes naturales'!$E$15:$G$19,3,9),U534)</f>
        <v>4</v>
      </c>
      <c r="AR534" s="28">
        <f t="shared" si="227"/>
        <v>-0.30967698509487962</v>
      </c>
      <c r="AS534" s="13" t="b">
        <f t="shared" si="228"/>
        <v>1</v>
      </c>
      <c r="AT534" s="13" t="str">
        <f t="shared" si="237"/>
        <v>Efecto ponderador</v>
      </c>
      <c r="AU534" s="13">
        <v>2</v>
      </c>
      <c r="AV534">
        <f t="shared" si="229"/>
        <v>-2</v>
      </c>
      <c r="AW534" s="13">
        <v>0</v>
      </c>
      <c r="AX534" s="13">
        <v>0</v>
      </c>
      <c r="AY534" s="13">
        <v>0</v>
      </c>
      <c r="AZ534" s="13">
        <v>0</v>
      </c>
      <c r="BA534">
        <v>0</v>
      </c>
      <c r="BB534" t="s">
        <v>2840</v>
      </c>
      <c r="BC534">
        <v>6</v>
      </c>
      <c r="BD534" s="184" t="s">
        <v>2917</v>
      </c>
      <c r="BE534">
        <v>0</v>
      </c>
      <c r="BF534" s="232" t="s">
        <v>2846</v>
      </c>
      <c r="BG534" s="232" t="s">
        <v>2846</v>
      </c>
      <c r="BH534" s="253">
        <v>22.8</v>
      </c>
      <c r="BI534" s="253">
        <v>6.614229531641044</v>
      </c>
      <c r="BJ534" s="25">
        <v>18.834099113882509</v>
      </c>
      <c r="BK534" t="s">
        <v>379</v>
      </c>
      <c r="BL534">
        <v>2.8300634222881702</v>
      </c>
      <c r="BM534" t="s">
        <v>383</v>
      </c>
      <c r="BN534" s="322">
        <v>8176.0289059999996</v>
      </c>
      <c r="BO534" s="322">
        <v>1452.984062</v>
      </c>
      <c r="BP534" s="10">
        <v>2929</v>
      </c>
      <c r="BQ534" s="254">
        <f t="shared" si="230"/>
        <v>2.7914062499146466</v>
      </c>
      <c r="BR534" s="254">
        <f t="shared" si="231"/>
        <v>0.49606830385797201</v>
      </c>
      <c r="BS534" s="25">
        <v>62.510668276972623</v>
      </c>
      <c r="BT534" s="25">
        <v>89.006486855582111</v>
      </c>
      <c r="BU534" s="25">
        <v>43.786666666666669</v>
      </c>
      <c r="BV534" s="25">
        <v>89.382403454606063</v>
      </c>
      <c r="BW534" s="25">
        <v>44.164601741539599</v>
      </c>
      <c r="BX534" s="25">
        <v>71.171556313456861</v>
      </c>
      <c r="BY534" s="25">
        <v>45.017797135256792</v>
      </c>
      <c r="BZ534">
        <v>79</v>
      </c>
      <c r="CA534">
        <v>0</v>
      </c>
      <c r="CB534">
        <v>7</v>
      </c>
      <c r="CC534">
        <v>6019.5517490000002</v>
      </c>
      <c r="CD534" s="10">
        <v>220.67445599999999</v>
      </c>
      <c r="CE534" s="255">
        <v>3.6659616064711062E-2</v>
      </c>
      <c r="CF534" t="str">
        <f>IFERROR(VLOOKUP(CE534,'Rangos amb etnico'!$A$2:$C$6,3,9),"N.D.")</f>
        <v>0,1% - 30%</v>
      </c>
      <c r="CG534" s="256">
        <v>6.4202517938633113E-6</v>
      </c>
      <c r="CH534" s="232">
        <v>0</v>
      </c>
      <c r="CI534" s="311">
        <f t="shared" si="238"/>
        <v>0</v>
      </c>
      <c r="CJ534" s="232">
        <f>IFERROR(VLOOKUP(CI534,'Rangos amb etnico'!$A$2:$C$6,3,9),"N.D.")</f>
        <v>0</v>
      </c>
      <c r="CK534" s="311">
        <f t="shared" si="239"/>
        <v>0</v>
      </c>
      <c r="CL534" s="10">
        <v>0</v>
      </c>
      <c r="CM534" s="255">
        <f t="shared" si="240"/>
        <v>0</v>
      </c>
      <c r="CN534" s="232">
        <f>IFERROR(VLOOKUP(CM534,'Rangos amb etnico'!$A$2:$C$6,3,9),"N.D.")</f>
        <v>0</v>
      </c>
      <c r="CO534" s="311">
        <f t="shared" si="241"/>
        <v>0</v>
      </c>
      <c r="CP534">
        <v>0.77262896717441998</v>
      </c>
      <c r="CQ534" t="s">
        <v>2865</v>
      </c>
      <c r="CR534">
        <f t="shared" si="232"/>
        <v>1</v>
      </c>
      <c r="CS534" t="str">
        <f t="shared" si="242"/>
        <v>No es Candidato</v>
      </c>
      <c r="CT534">
        <v>0</v>
      </c>
      <c r="CU534">
        <v>0</v>
      </c>
      <c r="CV534" s="25">
        <v>49.906158447265618</v>
      </c>
      <c r="CW534" s="25">
        <v>23.371099472045898</v>
      </c>
      <c r="CX534" s="25">
        <v>48.697086334228523</v>
      </c>
      <c r="CY534" s="25">
        <v>74.603469848632813</v>
      </c>
      <c r="CZ534" s="25">
        <v>62.49371337890625</v>
      </c>
      <c r="DA534" s="25">
        <v>33.175518035888672</v>
      </c>
      <c r="DB534" s="25">
        <v>57.096057891845703</v>
      </c>
      <c r="DC534">
        <v>21</v>
      </c>
      <c r="DD534" s="253" t="s">
        <v>380</v>
      </c>
    </row>
    <row r="535" spans="1:108">
      <c r="A535" s="13">
        <v>5125</v>
      </c>
      <c r="B535" s="13" t="s">
        <v>1517</v>
      </c>
      <c r="C535" s="13" t="s">
        <v>435</v>
      </c>
      <c r="D535" s="13" t="s">
        <v>436</v>
      </c>
      <c r="E535" s="13" t="s">
        <v>1518</v>
      </c>
      <c r="F535" s="14">
        <v>52.722533333333303</v>
      </c>
      <c r="G535" s="13">
        <v>47.87</v>
      </c>
      <c r="H535" s="13">
        <v>47.2</v>
      </c>
      <c r="I535" s="13">
        <v>64.42</v>
      </c>
      <c r="J535" s="14">
        <v>39.605263391269162</v>
      </c>
      <c r="K535" s="14">
        <v>56.413102368545829</v>
      </c>
      <c r="L535" s="14">
        <v>52.924687033112022</v>
      </c>
      <c r="M535" s="14">
        <v>46.898299999999999</v>
      </c>
      <c r="N535" s="14">
        <f t="shared" si="216"/>
        <v>53.053133333333335</v>
      </c>
      <c r="O535" s="14">
        <f t="shared" si="217"/>
        <v>48.960338198231753</v>
      </c>
      <c r="P535" s="14">
        <f t="shared" si="233"/>
        <v>51.006735765782544</v>
      </c>
      <c r="Q535" s="14">
        <v>53.560275783977417</v>
      </c>
      <c r="R535" s="17">
        <f t="shared" si="218"/>
        <v>46.439724216022583</v>
      </c>
      <c r="S535" s="14">
        <f t="shared" si="234"/>
        <v>0.51795751794420331</v>
      </c>
      <c r="T535" s="13">
        <v>0</v>
      </c>
      <c r="U535" s="13">
        <f t="shared" si="235"/>
        <v>26.419322255680548</v>
      </c>
      <c r="V535" s="13">
        <f>IF($T535=1,$AU535,(VLOOKUP(U535,'Cortes naturales'!$A$35:$C$39,3,9)))</f>
        <v>4</v>
      </c>
      <c r="W535" s="13">
        <v>4</v>
      </c>
      <c r="X535" s="14" t="b">
        <f t="shared" si="219"/>
        <v>1</v>
      </c>
      <c r="Y535" s="17">
        <f>IF($T535=1,$AU535,VLOOKUP(U535,'Cortes naturales'!$A$45:$C$49,3,9))</f>
        <v>4</v>
      </c>
      <c r="Z535" s="14">
        <v>49.447854957070533</v>
      </c>
      <c r="AA535" s="14">
        <v>0.52018415513214022</v>
      </c>
      <c r="AB535" s="14">
        <v>25.721990653940345</v>
      </c>
      <c r="AC535" s="13">
        <v>4</v>
      </c>
      <c r="AD535" s="13">
        <f t="shared" si="220"/>
        <v>0</v>
      </c>
      <c r="AE535" s="14">
        <f t="shared" si="221"/>
        <v>1.5588808087120114</v>
      </c>
      <c r="AF535" s="14">
        <f t="shared" si="222"/>
        <v>-2.2266371879369196E-3</v>
      </c>
      <c r="AG535" s="13">
        <f t="shared" si="223"/>
        <v>0.6973316017402027</v>
      </c>
      <c r="AH535" s="13">
        <f>IF($T535=1,$AU535,VLOOKUP(U535,'Cortes naturales'!$A$25:$C$29,3,9))</f>
        <v>4</v>
      </c>
      <c r="AI535" s="13" t="b">
        <f t="shared" si="224"/>
        <v>1</v>
      </c>
      <c r="AJ535" s="13">
        <f t="shared" si="225"/>
        <v>0</v>
      </c>
      <c r="AK535" s="28">
        <v>0.81759069605862034</v>
      </c>
      <c r="AL535" s="28">
        <v>40.428106152957</v>
      </c>
      <c r="AM535" s="28">
        <v>0.33508698089081546</v>
      </c>
      <c r="AN535" s="13">
        <v>4</v>
      </c>
      <c r="AO535" s="33">
        <f t="shared" si="226"/>
        <v>0</v>
      </c>
      <c r="AP535" s="13">
        <f t="shared" si="236"/>
        <v>33.508698089081548</v>
      </c>
      <c r="AQ535" s="13">
        <f>IFERROR(VLOOKUP(U535,'Cortes naturales'!$E$15:$G$19,3,9),U535)</f>
        <v>4</v>
      </c>
      <c r="AR535" s="28">
        <f t="shared" si="227"/>
        <v>-0.29963317811441703</v>
      </c>
      <c r="AS535" s="13" t="b">
        <f t="shared" si="228"/>
        <v>1</v>
      </c>
      <c r="AT535" s="13">
        <f t="shared" si="237"/>
        <v>0</v>
      </c>
      <c r="AU535" s="13">
        <v>4</v>
      </c>
      <c r="AV535">
        <f t="shared" si="229"/>
        <v>0</v>
      </c>
      <c r="AW535" s="13">
        <v>0</v>
      </c>
      <c r="AX535" s="13">
        <v>0</v>
      </c>
      <c r="AY535" s="13">
        <v>0</v>
      </c>
      <c r="AZ535" s="13">
        <v>0</v>
      </c>
      <c r="BA535">
        <v>1</v>
      </c>
      <c r="BB535" t="s">
        <v>2841</v>
      </c>
      <c r="BC535">
        <v>6</v>
      </c>
      <c r="BD535" t="s">
        <v>2919</v>
      </c>
      <c r="BE535">
        <v>1</v>
      </c>
      <c r="BF535" s="232" t="s">
        <v>2846</v>
      </c>
      <c r="BG535" s="232" t="s">
        <v>2846</v>
      </c>
      <c r="BH535" s="253">
        <v>54.6</v>
      </c>
      <c r="BI535" s="253">
        <v>18.617248752672843</v>
      </c>
      <c r="BJ535" s="25">
        <v>2.1710714285714285</v>
      </c>
      <c r="BK535" t="s">
        <v>381</v>
      </c>
      <c r="BL535">
        <v>3.5295718306626012</v>
      </c>
      <c r="BM535" t="s">
        <v>383</v>
      </c>
      <c r="BN535" s="322">
        <v>23988.260945000002</v>
      </c>
      <c r="BO535" s="322">
        <v>1910.2951290000001</v>
      </c>
      <c r="BP535" s="10">
        <v>9036</v>
      </c>
      <c r="BQ535" s="254">
        <f t="shared" si="230"/>
        <v>2.6547433538069947</v>
      </c>
      <c r="BR535" s="254">
        <f t="shared" si="231"/>
        <v>0.21140937682602923</v>
      </c>
      <c r="BS535" s="25">
        <v>60.415439968398474</v>
      </c>
      <c r="BT535" s="25">
        <v>92.853031204072593</v>
      </c>
      <c r="BU535" s="25">
        <v>51.971666666666657</v>
      </c>
      <c r="BV535" s="25">
        <v>94.801088261019046</v>
      </c>
      <c r="BW535" s="25">
        <v>48.912547469496161</v>
      </c>
      <c r="BX535" s="25">
        <v>75.010306525039198</v>
      </c>
      <c r="BY535" s="25">
        <v>48.424684028499087</v>
      </c>
      <c r="BZ535">
        <v>83</v>
      </c>
      <c r="CA535">
        <v>0</v>
      </c>
      <c r="CB535">
        <v>7</v>
      </c>
      <c r="CC535">
        <v>20013.033325</v>
      </c>
      <c r="CD535" s="10">
        <v>5537.5651369999996</v>
      </c>
      <c r="CE535" s="255">
        <v>0.27669794213966309</v>
      </c>
      <c r="CF535" t="str">
        <f>IFERROR(VLOOKUP(CE535,'Rangos amb etnico'!$A$2:$C$6,3,9),"N.D.")</f>
        <v>0,1% - 30%</v>
      </c>
      <c r="CG535" s="256">
        <v>1.6110864460207021E-4</v>
      </c>
      <c r="CH535" s="232">
        <v>0</v>
      </c>
      <c r="CI535" s="311">
        <f t="shared" si="238"/>
        <v>0</v>
      </c>
      <c r="CJ535" s="232">
        <f>IFERROR(VLOOKUP(CI535,'Rangos amb etnico'!$A$2:$C$6,3,9),"N.D.")</f>
        <v>0</v>
      </c>
      <c r="CK535" s="311">
        <f t="shared" si="239"/>
        <v>0</v>
      </c>
      <c r="CL535" s="10">
        <v>0</v>
      </c>
      <c r="CM535" s="255">
        <f t="shared" si="240"/>
        <v>0</v>
      </c>
      <c r="CN535" s="232">
        <f>IFERROR(VLOOKUP(CM535,'Rangos amb etnico'!$A$2:$C$6,3,9),"N.D.")</f>
        <v>0</v>
      </c>
      <c r="CO535" s="311">
        <f t="shared" si="241"/>
        <v>0</v>
      </c>
      <c r="CP535">
        <v>0.94385857288120545</v>
      </c>
      <c r="CQ535" t="s">
        <v>2864</v>
      </c>
      <c r="CR535">
        <f t="shared" si="232"/>
        <v>2</v>
      </c>
      <c r="CS535" t="str">
        <f t="shared" si="242"/>
        <v>No es Candidato</v>
      </c>
      <c r="CT535">
        <v>0</v>
      </c>
      <c r="CU535">
        <v>0</v>
      </c>
      <c r="CV535" s="25">
        <v>45.008609771728523</v>
      </c>
      <c r="CW535" s="25">
        <v>16.704446792602539</v>
      </c>
      <c r="CX535" s="25">
        <v>47.146953582763672</v>
      </c>
      <c r="CY535" s="25">
        <v>62.995998382568359</v>
      </c>
      <c r="CZ535" s="25">
        <v>37.592750549316413</v>
      </c>
      <c r="DA535" s="25">
        <v>60.7694091796875</v>
      </c>
      <c r="DB535" s="25">
        <v>44.842105865478523</v>
      </c>
      <c r="DC535">
        <v>63</v>
      </c>
      <c r="DD535" s="253" t="s">
        <v>380</v>
      </c>
    </row>
    <row r="536" spans="1:108">
      <c r="A536" s="13">
        <v>5665</v>
      </c>
      <c r="B536" s="13" t="s">
        <v>1519</v>
      </c>
      <c r="C536" s="13" t="s">
        <v>435</v>
      </c>
      <c r="D536" s="13" t="s">
        <v>436</v>
      </c>
      <c r="E536" s="13" t="s">
        <v>1520</v>
      </c>
      <c r="F536" s="14">
        <v>48.870366666666698</v>
      </c>
      <c r="G536" s="13">
        <v>46.76</v>
      </c>
      <c r="H536" s="13">
        <v>44.08</v>
      </c>
      <c r="I536" s="13">
        <v>39.35</v>
      </c>
      <c r="J536" s="14">
        <v>48.292210409921246</v>
      </c>
      <c r="K536" s="14">
        <v>49.768514580466828</v>
      </c>
      <c r="L536" s="14">
        <v>64.18144636972022</v>
      </c>
      <c r="M536" s="14">
        <v>54.6526</v>
      </c>
      <c r="N536" s="14">
        <f t="shared" si="216"/>
        <v>44.76509166666667</v>
      </c>
      <c r="O536" s="14">
        <f t="shared" si="217"/>
        <v>54.223692840027077</v>
      </c>
      <c r="P536" s="14">
        <f t="shared" si="233"/>
        <v>49.494392253346874</v>
      </c>
      <c r="Q536" s="14">
        <v>54.297967920844471</v>
      </c>
      <c r="R536" s="17">
        <f t="shared" si="218"/>
        <v>45.702032079155529</v>
      </c>
      <c r="S536" s="14">
        <f t="shared" si="234"/>
        <v>0.51131828871239982</v>
      </c>
      <c r="T536" s="13">
        <v>0</v>
      </c>
      <c r="U536" s="13">
        <f t="shared" si="235"/>
        <v>25.307387947841583</v>
      </c>
      <c r="V536" s="13">
        <f>IF($T536=1,$AU536,(VLOOKUP(U536,'Cortes naturales'!$A$35:$C$39,3,9)))</f>
        <v>4</v>
      </c>
      <c r="W536" s="13">
        <v>4</v>
      </c>
      <c r="X536" s="14" t="b">
        <f t="shared" si="219"/>
        <v>1</v>
      </c>
      <c r="Y536" s="17">
        <f>IF($T536=1,$AU536,VLOOKUP(U536,'Cortes naturales'!$A$45:$C$49,3,9))</f>
        <v>4</v>
      </c>
      <c r="Z536" s="14">
        <v>49.48760952543477</v>
      </c>
      <c r="AA536" s="14">
        <v>0.52021796849996549</v>
      </c>
      <c r="AB536" s="14">
        <v>25.744343693241216</v>
      </c>
      <c r="AC536" s="13">
        <v>4</v>
      </c>
      <c r="AD536" s="13">
        <f t="shared" si="220"/>
        <v>0</v>
      </c>
      <c r="AE536" s="14">
        <f t="shared" si="221"/>
        <v>6.7827279121033257E-3</v>
      </c>
      <c r="AF536" s="14">
        <f t="shared" si="222"/>
        <v>-8.899679787565673E-3</v>
      </c>
      <c r="AG536" s="13">
        <f t="shared" si="223"/>
        <v>-0.43695574539963289</v>
      </c>
      <c r="AH536" s="13">
        <f>IF($T536=1,$AU536,VLOOKUP(U536,'Cortes naturales'!$A$25:$C$29,3,9))</f>
        <v>4</v>
      </c>
      <c r="AI536" s="13" t="b">
        <f t="shared" si="224"/>
        <v>1</v>
      </c>
      <c r="AJ536" s="13">
        <f t="shared" si="225"/>
        <v>0</v>
      </c>
      <c r="AK536" s="28">
        <v>0.81759069605862034</v>
      </c>
      <c r="AL536" s="28">
        <v>40.460609118177423</v>
      </c>
      <c r="AM536" s="28">
        <v>0.33549355872436815</v>
      </c>
      <c r="AN536" s="13">
        <v>4</v>
      </c>
      <c r="AO536" s="33">
        <f t="shared" si="226"/>
        <v>0</v>
      </c>
      <c r="AP536" s="13">
        <f t="shared" si="236"/>
        <v>33.549355872436813</v>
      </c>
      <c r="AQ536" s="13">
        <f>IFERROR(VLOOKUP(U536,'Cortes naturales'!$E$15:$G$19,3,9),U536)</f>
        <v>4</v>
      </c>
      <c r="AR536" s="28">
        <f t="shared" si="227"/>
        <v>-0.30627240734622052</v>
      </c>
      <c r="AS536" s="13" t="b">
        <f t="shared" si="228"/>
        <v>1</v>
      </c>
      <c r="AT536" s="13">
        <f t="shared" si="237"/>
        <v>0</v>
      </c>
      <c r="AU536" s="13">
        <v>3</v>
      </c>
      <c r="AV536">
        <f t="shared" si="229"/>
        <v>-1</v>
      </c>
      <c r="AW536" s="13">
        <v>0</v>
      </c>
      <c r="AX536" s="13">
        <v>0</v>
      </c>
      <c r="AY536" s="13">
        <v>0</v>
      </c>
      <c r="AZ536" s="13">
        <v>1</v>
      </c>
      <c r="BA536">
        <v>1</v>
      </c>
      <c r="BB536" t="s">
        <v>2839</v>
      </c>
      <c r="BC536">
        <v>6</v>
      </c>
      <c r="BD536" t="s">
        <v>2919</v>
      </c>
      <c r="BE536">
        <v>1</v>
      </c>
      <c r="BF536" s="232" t="s">
        <v>2846</v>
      </c>
      <c r="BG536" s="232" t="s">
        <v>2845</v>
      </c>
      <c r="BH536" s="253">
        <v>62.3</v>
      </c>
      <c r="BI536" s="253">
        <v>66.14222990952635</v>
      </c>
      <c r="BJ536" s="25">
        <v>39.464719423634435</v>
      </c>
      <c r="BK536" t="s">
        <v>376</v>
      </c>
      <c r="BL536">
        <v>0.97158136342008605</v>
      </c>
      <c r="BM536" t="s">
        <v>383</v>
      </c>
      <c r="BN536" s="322">
        <v>77771.661179000002</v>
      </c>
      <c r="BO536" s="322">
        <v>5482.0152360000002</v>
      </c>
      <c r="BP536" s="10">
        <v>32352</v>
      </c>
      <c r="BQ536" s="254">
        <f t="shared" si="230"/>
        <v>2.4039212777880814</v>
      </c>
      <c r="BR536" s="254">
        <f t="shared" si="231"/>
        <v>0.16944903672106826</v>
      </c>
      <c r="BS536" s="25">
        <v>55.718025177795191</v>
      </c>
      <c r="BT536" s="25">
        <v>99.38370596371881</v>
      </c>
      <c r="BU536" s="25">
        <v>50.648333333333333</v>
      </c>
      <c r="BV536" s="25">
        <v>98.079950716596088</v>
      </c>
      <c r="BW536" s="25">
        <v>52.0183206609275</v>
      </c>
      <c r="BX536" s="25">
        <v>75.957503797860852</v>
      </c>
      <c r="BY536" s="25">
        <v>52.365412599069558</v>
      </c>
      <c r="BZ536">
        <v>35</v>
      </c>
      <c r="CA536">
        <v>0</v>
      </c>
      <c r="CB536">
        <v>7</v>
      </c>
      <c r="CC536">
        <v>60265.121734</v>
      </c>
      <c r="CD536" s="10">
        <v>22602.149827000001</v>
      </c>
      <c r="CE536" s="255">
        <v>0.37504528617335325</v>
      </c>
      <c r="CF536" t="str">
        <f>IFERROR(VLOOKUP(CE536,'Rangos amb etnico'!$A$2:$C$6,3,9),"N.D.")</f>
        <v>31% - 50%</v>
      </c>
      <c r="CG536" s="256">
        <v>6.5758174100569253E-4</v>
      </c>
      <c r="CH536" s="232">
        <v>95.178321999999994</v>
      </c>
      <c r="CI536" s="311">
        <f t="shared" si="238"/>
        <v>1.5793268023269068E-3</v>
      </c>
      <c r="CJ536" s="232" t="str">
        <f>IFERROR(VLOOKUP(CI536,'Rangos amb etnico'!$A$2:$C$6,3,9),"N.D.")</f>
        <v>0,1% - 30%</v>
      </c>
      <c r="CK536" s="311">
        <f t="shared" si="239"/>
        <v>3.7792025349557541E-6</v>
      </c>
      <c r="CL536" s="10">
        <v>0</v>
      </c>
      <c r="CM536" s="255">
        <f t="shared" si="240"/>
        <v>0</v>
      </c>
      <c r="CN536" s="232">
        <f>IFERROR(VLOOKUP(CM536,'Rangos amb etnico'!$A$2:$C$6,3,9),"N.D.")</f>
        <v>0</v>
      </c>
      <c r="CO536" s="311">
        <f t="shared" si="241"/>
        <v>0</v>
      </c>
      <c r="CP536">
        <v>0.94167413179843895</v>
      </c>
      <c r="CQ536" t="s">
        <v>2864</v>
      </c>
      <c r="CR536">
        <f t="shared" si="232"/>
        <v>1</v>
      </c>
      <c r="CS536" t="str">
        <f t="shared" si="242"/>
        <v>No es Candidato</v>
      </c>
      <c r="CT536">
        <v>0</v>
      </c>
      <c r="CU536">
        <v>0</v>
      </c>
      <c r="CV536" s="25">
        <v>53.326274871826172</v>
      </c>
      <c r="CW536" s="25">
        <v>30.366880416870121</v>
      </c>
      <c r="CX536" s="25">
        <v>54.027141571044922</v>
      </c>
      <c r="CY536" s="25">
        <v>52.562095642089837</v>
      </c>
      <c r="CZ536" s="25">
        <v>36.953708648681641</v>
      </c>
      <c r="DA536" s="25">
        <v>95.698890686035156</v>
      </c>
      <c r="DB536" s="25">
        <v>50.348941802978523</v>
      </c>
      <c r="DC536">
        <v>1116</v>
      </c>
      <c r="DD536" s="253" t="s">
        <v>380</v>
      </c>
    </row>
    <row r="537" spans="1:108" hidden="1">
      <c r="A537" s="13">
        <v>15842</v>
      </c>
      <c r="B537" s="13" t="s">
        <v>1521</v>
      </c>
      <c r="C537" s="13" t="s">
        <v>498</v>
      </c>
      <c r="D537" s="13" t="s">
        <v>499</v>
      </c>
      <c r="E537" s="13" t="s">
        <v>1522</v>
      </c>
      <c r="F537" s="14">
        <v>65.257233333333303</v>
      </c>
      <c r="G537" s="13">
        <v>39.54</v>
      </c>
      <c r="H537" s="13">
        <v>43.03</v>
      </c>
      <c r="I537" s="13">
        <v>34.42</v>
      </c>
      <c r="J537" s="14">
        <v>50.058564178062035</v>
      </c>
      <c r="K537" s="14">
        <v>64.478121943895047</v>
      </c>
      <c r="L537" s="14">
        <v>68.702404905075213</v>
      </c>
      <c r="M537" s="14">
        <v>65.017300000000006</v>
      </c>
      <c r="N537" s="14">
        <f t="shared" si="216"/>
        <v>45.561808333333332</v>
      </c>
      <c r="O537" s="14">
        <f t="shared" si="217"/>
        <v>62.064097756758073</v>
      </c>
      <c r="P537" s="14">
        <f t="shared" si="233"/>
        <v>53.812953045045703</v>
      </c>
      <c r="Q537" s="14">
        <v>54.600784328267395</v>
      </c>
      <c r="R537" s="17">
        <f t="shared" si="218"/>
        <v>45.399215671732605</v>
      </c>
      <c r="S537" s="14">
        <f t="shared" si="234"/>
        <v>0.50859294104559349</v>
      </c>
      <c r="T537" s="13">
        <v>0</v>
      </c>
      <c r="U537" s="13">
        <f t="shared" si="235"/>
        <v>27.36888805552822</v>
      </c>
      <c r="V537" s="13">
        <f>IF($T537=1,$AU537,(VLOOKUP(U537,'Cortes naturales'!$A$35:$C$39,3,9)))</f>
        <v>4</v>
      </c>
      <c r="W537" s="13">
        <v>4</v>
      </c>
      <c r="X537" s="14" t="b">
        <f t="shared" si="219"/>
        <v>1</v>
      </c>
      <c r="Y537" s="17">
        <f>IF($T537=1,$AU537,VLOOKUP(U537,'Cortes naturales'!$A$45:$C$49,3,9))</f>
        <v>4</v>
      </c>
      <c r="Z537" s="14">
        <v>58.184105162624292</v>
      </c>
      <c r="AA537" s="14">
        <v>0.5201086434694584</v>
      </c>
      <c r="AB537" s="14">
        <v>30.262056007616831</v>
      </c>
      <c r="AC537" s="13">
        <v>3</v>
      </c>
      <c r="AD537" s="13">
        <f t="shared" si="220"/>
        <v>-1</v>
      </c>
      <c r="AE537" s="14">
        <f t="shared" si="221"/>
        <v>-4.371152117578589</v>
      </c>
      <c r="AF537" s="14">
        <f t="shared" si="222"/>
        <v>-1.1515702423864904E-2</v>
      </c>
      <c r="AG537" s="13">
        <f t="shared" si="223"/>
        <v>-2.8931679520886107</v>
      </c>
      <c r="AH537" s="13">
        <f>IF($T537=1,$AU537,VLOOKUP(U537,'Cortes naturales'!$A$25:$C$29,3,9))</f>
        <v>4</v>
      </c>
      <c r="AI537" s="13" t="b">
        <f t="shared" si="224"/>
        <v>1</v>
      </c>
      <c r="AJ537" s="13" t="str">
        <f t="shared" si="225"/>
        <v>Efecto ponderador</v>
      </c>
      <c r="AK537" s="28">
        <v>0.81759069605862034</v>
      </c>
      <c r="AL537" s="28">
        <v>47.570783039457957</v>
      </c>
      <c r="AM537" s="28">
        <v>0.42443433964981897</v>
      </c>
      <c r="AN537" s="13">
        <v>3</v>
      </c>
      <c r="AO537" s="33">
        <f t="shared" si="226"/>
        <v>-1</v>
      </c>
      <c r="AP537" s="13">
        <f t="shared" si="236"/>
        <v>42.443433964981899</v>
      </c>
      <c r="AQ537" s="13">
        <f>IFERROR(VLOOKUP(U537,'Cortes naturales'!$E$15:$G$19,3,9),U537)</f>
        <v>4</v>
      </c>
      <c r="AR537" s="28">
        <f t="shared" si="227"/>
        <v>-0.30899775501302684</v>
      </c>
      <c r="AS537" s="13" t="b">
        <f t="shared" si="228"/>
        <v>1</v>
      </c>
      <c r="AT537" s="13" t="str">
        <f t="shared" si="237"/>
        <v>Efecto ponderador</v>
      </c>
      <c r="AU537" s="13">
        <v>3</v>
      </c>
      <c r="AV537">
        <f t="shared" si="229"/>
        <v>-1</v>
      </c>
      <c r="AW537" s="13">
        <v>0</v>
      </c>
      <c r="AX537" s="13">
        <v>0</v>
      </c>
      <c r="AY537" s="13">
        <v>0</v>
      </c>
      <c r="AZ537" s="13">
        <v>0</v>
      </c>
      <c r="BA537">
        <v>0</v>
      </c>
      <c r="BB537" t="s">
        <v>2840</v>
      </c>
      <c r="BC537">
        <v>6</v>
      </c>
      <c r="BD537" t="s">
        <v>2919</v>
      </c>
      <c r="BE537">
        <v>0</v>
      </c>
      <c r="BF537" s="232" t="s">
        <v>2846</v>
      </c>
      <c r="BG537" s="232" t="s">
        <v>2846</v>
      </c>
      <c r="BH537" s="253">
        <v>49.4</v>
      </c>
      <c r="BI537" s="253">
        <v>10.195510499637944</v>
      </c>
      <c r="BJ537" s="25">
        <v>50.102690484299067</v>
      </c>
      <c r="BK537" t="s">
        <v>376</v>
      </c>
      <c r="BL537">
        <v>0</v>
      </c>
      <c r="BM537" t="s">
        <v>377</v>
      </c>
      <c r="BN537" s="322">
        <v>18326.323796000001</v>
      </c>
      <c r="BO537" s="322">
        <v>1463.972694</v>
      </c>
      <c r="BP537" s="10">
        <v>7698</v>
      </c>
      <c r="BQ537" s="254">
        <f t="shared" si="230"/>
        <v>2.3806604047804627</v>
      </c>
      <c r="BR537" s="254">
        <f t="shared" si="231"/>
        <v>0.19017572018706158</v>
      </c>
      <c r="BS537" s="25">
        <v>62.467035717390878</v>
      </c>
      <c r="BT537" s="25">
        <v>83.621390224300683</v>
      </c>
      <c r="BU537" s="25">
        <v>46.191755179457232</v>
      </c>
      <c r="BV537" s="25">
        <v>97.792237977750133</v>
      </c>
      <c r="BW537" s="25">
        <v>46.662950246807327</v>
      </c>
      <c r="BX537" s="25">
        <v>72.518104774724733</v>
      </c>
      <c r="BY537" s="25">
        <v>46.818080130704523</v>
      </c>
      <c r="BZ537">
        <v>0</v>
      </c>
      <c r="CA537">
        <v>0</v>
      </c>
      <c r="CB537">
        <v>7</v>
      </c>
      <c r="CC537">
        <v>14584.450278</v>
      </c>
      <c r="CD537" s="10">
        <v>6638.321105</v>
      </c>
      <c r="CE537" s="255">
        <v>0.45516430022827903</v>
      </c>
      <c r="CF537" t="str">
        <f>IFERROR(VLOOKUP(CE537,'Rangos amb etnico'!$A$2:$C$6,3,9),"N.D.")</f>
        <v>31% - 50%</v>
      </c>
      <c r="CG537" s="256">
        <v>1.9313378519268643E-4</v>
      </c>
      <c r="CH537" s="232">
        <v>0</v>
      </c>
      <c r="CI537" s="311">
        <f t="shared" si="238"/>
        <v>0</v>
      </c>
      <c r="CJ537" s="232">
        <f>IFERROR(VLOOKUP(CI537,'Rangos amb etnico'!$A$2:$C$6,3,9),"N.D.")</f>
        <v>0</v>
      </c>
      <c r="CK537" s="311">
        <f t="shared" si="239"/>
        <v>0</v>
      </c>
      <c r="CL537" s="10">
        <v>0</v>
      </c>
      <c r="CM537" s="255">
        <f t="shared" si="240"/>
        <v>0</v>
      </c>
      <c r="CN537" s="232">
        <f>IFERROR(VLOOKUP(CM537,'Rangos amb etnico'!$A$2:$C$6,3,9),"N.D.")</f>
        <v>0</v>
      </c>
      <c r="CO537" s="311">
        <f t="shared" si="241"/>
        <v>0</v>
      </c>
      <c r="CP537">
        <v>0.88738719712497405</v>
      </c>
      <c r="CQ537" t="s">
        <v>2864</v>
      </c>
      <c r="CR537">
        <f t="shared" si="232"/>
        <v>2</v>
      </c>
      <c r="CS537" t="str">
        <f t="shared" si="242"/>
        <v>No es Candidato</v>
      </c>
      <c r="CT537">
        <v>0</v>
      </c>
      <c r="CU537">
        <v>0</v>
      </c>
      <c r="CV537" s="25">
        <v>57.976570129394531</v>
      </c>
      <c r="CW537" s="25">
        <v>19.918939590454102</v>
      </c>
      <c r="CX537" s="25">
        <v>56.184207916259773</v>
      </c>
      <c r="CY537" s="25">
        <v>58.402484893798828</v>
      </c>
      <c r="CZ537" s="25">
        <v>52.598968505859382</v>
      </c>
      <c r="DA537" s="25">
        <v>91.387336730957031</v>
      </c>
      <c r="DB537" s="25">
        <v>69.367469787597656</v>
      </c>
      <c r="DC537">
        <v>40</v>
      </c>
      <c r="DD537" s="253" t="s">
        <v>380</v>
      </c>
    </row>
    <row r="538" spans="1:108" hidden="1">
      <c r="A538" s="13">
        <v>15832</v>
      </c>
      <c r="B538" s="13" t="s">
        <v>1523</v>
      </c>
      <c r="C538" s="13" t="s">
        <v>498</v>
      </c>
      <c r="D538" s="13" t="s">
        <v>499</v>
      </c>
      <c r="E538" s="13" t="s">
        <v>1524</v>
      </c>
      <c r="F538" s="14">
        <v>49.295066666666699</v>
      </c>
      <c r="G538" s="13">
        <v>66.959999999999994</v>
      </c>
      <c r="H538" s="13">
        <v>45.92</v>
      </c>
      <c r="I538" s="13">
        <v>62.76</v>
      </c>
      <c r="J538" s="14">
        <v>52.80125637652344</v>
      </c>
      <c r="K538" s="14">
        <v>59.997527270407673</v>
      </c>
      <c r="L538" s="14">
        <v>48.454372084095439</v>
      </c>
      <c r="M538" s="14">
        <v>41.922800000000002</v>
      </c>
      <c r="N538" s="14">
        <f t="shared" si="216"/>
        <v>56.233766666666668</v>
      </c>
      <c r="O538" s="14">
        <f t="shared" si="217"/>
        <v>50.793988932756633</v>
      </c>
      <c r="P538" s="14">
        <f t="shared" si="233"/>
        <v>53.513877799711651</v>
      </c>
      <c r="Q538" s="14">
        <v>54.837683459303769</v>
      </c>
      <c r="R538" s="17">
        <f t="shared" si="218"/>
        <v>45.162316540696231</v>
      </c>
      <c r="S538" s="14">
        <f t="shared" si="234"/>
        <v>0.50646084886626608</v>
      </c>
      <c r="T538" s="13">
        <v>0</v>
      </c>
      <c r="U538" s="13">
        <f t="shared" si="235"/>
        <v>27.102683976567594</v>
      </c>
      <c r="V538" s="13">
        <f>IF($T538=1,$AU538,(VLOOKUP(U538,'Cortes naturales'!$A$35:$C$39,3,9)))</f>
        <v>4</v>
      </c>
      <c r="W538" s="13">
        <v>4</v>
      </c>
      <c r="X538" s="14" t="b">
        <f t="shared" si="219"/>
        <v>1</v>
      </c>
      <c r="Y538" s="17">
        <f>IF($T538=1,$AU538,VLOOKUP(U538,'Cortes naturales'!$A$45:$C$49,3,9))</f>
        <v>4</v>
      </c>
      <c r="Z538" s="14">
        <v>51.912092959226797</v>
      </c>
      <c r="AA538" s="14">
        <v>0.51911678276828488</v>
      </c>
      <c r="AB538" s="14">
        <v>26.94843868376195</v>
      </c>
      <c r="AC538" s="13">
        <v>4</v>
      </c>
      <c r="AD538" s="13">
        <f t="shared" si="220"/>
        <v>0</v>
      </c>
      <c r="AE538" s="14">
        <f t="shared" si="221"/>
        <v>1.6017848404848536</v>
      </c>
      <c r="AF538" s="14">
        <f t="shared" si="222"/>
        <v>-1.2655933902018801E-2</v>
      </c>
      <c r="AG538" s="13">
        <f t="shared" si="223"/>
        <v>0.15424529280564414</v>
      </c>
      <c r="AH538" s="13">
        <f>IF($T538=1,$AU538,VLOOKUP(U538,'Cortes naturales'!$A$25:$C$29,3,9))</f>
        <v>4</v>
      </c>
      <c r="AI538" s="13" t="b">
        <f t="shared" si="224"/>
        <v>1</v>
      </c>
      <c r="AJ538" s="13">
        <f t="shared" si="225"/>
        <v>0</v>
      </c>
      <c r="AK538" s="28">
        <v>0.81759069605862034</v>
      </c>
      <c r="AL538" s="28">
        <v>42.442844216394043</v>
      </c>
      <c r="AM538" s="28">
        <v>0.36028923033031279</v>
      </c>
      <c r="AN538" s="13">
        <v>3</v>
      </c>
      <c r="AO538" s="33">
        <f t="shared" si="226"/>
        <v>-1</v>
      </c>
      <c r="AP538" s="13">
        <f t="shared" si="236"/>
        <v>36.028923033031276</v>
      </c>
      <c r="AQ538" s="13">
        <f>IFERROR(VLOOKUP(U538,'Cortes naturales'!$E$15:$G$19,3,9),U538)</f>
        <v>4</v>
      </c>
      <c r="AR538" s="28">
        <f t="shared" si="227"/>
        <v>-0.31112984719235426</v>
      </c>
      <c r="AS538" s="13" t="b">
        <f t="shared" si="228"/>
        <v>1</v>
      </c>
      <c r="AT538" s="13" t="str">
        <f t="shared" si="237"/>
        <v>Efecto ponderador</v>
      </c>
      <c r="AU538" s="13">
        <v>3</v>
      </c>
      <c r="AV538">
        <f t="shared" si="229"/>
        <v>-1</v>
      </c>
      <c r="AW538" s="13">
        <v>0</v>
      </c>
      <c r="AX538" s="13">
        <v>0</v>
      </c>
      <c r="AY538" s="13">
        <v>0</v>
      </c>
      <c r="AZ538" s="13">
        <v>0</v>
      </c>
      <c r="BA538">
        <v>0</v>
      </c>
      <c r="BB538" t="s">
        <v>2840</v>
      </c>
      <c r="BC538">
        <v>6</v>
      </c>
      <c r="BD538" t="s">
        <v>2919</v>
      </c>
      <c r="BE538">
        <v>0</v>
      </c>
      <c r="BF538" s="232" t="s">
        <v>2846</v>
      </c>
      <c r="BG538" s="232" t="s">
        <v>2846</v>
      </c>
      <c r="BH538" s="253">
        <v>42.1</v>
      </c>
      <c r="BI538" s="253">
        <v>20.904325032765399</v>
      </c>
      <c r="BJ538" s="25">
        <v>59.694748637189569</v>
      </c>
      <c r="BK538" t="s">
        <v>376</v>
      </c>
      <c r="BL538">
        <v>0</v>
      </c>
      <c r="BM538" t="s">
        <v>377</v>
      </c>
      <c r="BN538" s="322">
        <v>8460.9500810000009</v>
      </c>
      <c r="BO538" s="322">
        <v>525.28562699999998</v>
      </c>
      <c r="BP538" s="10">
        <v>1570</v>
      </c>
      <c r="BQ538" s="254">
        <f t="shared" si="230"/>
        <v>5.3891401789808926</v>
      </c>
      <c r="BR538" s="254">
        <f t="shared" si="231"/>
        <v>0.33457683248407644</v>
      </c>
      <c r="BS538" s="25">
        <v>60.306834795321642</v>
      </c>
      <c r="BT538" s="25">
        <v>96.093418259023352</v>
      </c>
      <c r="BU538" s="25">
        <v>42.991666666666667</v>
      </c>
      <c r="BV538" s="25">
        <v>78.885821322689651</v>
      </c>
      <c r="BW538" s="25">
        <v>40.621181491321373</v>
      </c>
      <c r="BX538" s="25">
        <v>69.569435260925331</v>
      </c>
      <c r="BY538" s="25">
        <v>41.103511747001157</v>
      </c>
      <c r="BZ538">
        <v>86</v>
      </c>
      <c r="CA538">
        <v>0</v>
      </c>
      <c r="CB538">
        <v>7</v>
      </c>
      <c r="CC538">
        <v>2918.2302549999999</v>
      </c>
      <c r="CD538" s="10">
        <v>0.52743300000000004</v>
      </c>
      <c r="CE538" s="255">
        <v>1.8073728044465089E-4</v>
      </c>
      <c r="CF538">
        <f>IFERROR(VLOOKUP(CE538,'Rangos amb etnico'!$A$2:$C$6,3,9),"N.D.")</f>
        <v>0</v>
      </c>
      <c r="CG538" s="256">
        <v>1.5345014215839772E-8</v>
      </c>
      <c r="CH538" s="232">
        <v>0</v>
      </c>
      <c r="CI538" s="311">
        <f t="shared" si="238"/>
        <v>0</v>
      </c>
      <c r="CJ538" s="232">
        <f>IFERROR(VLOOKUP(CI538,'Rangos amb etnico'!$A$2:$C$6,3,9),"N.D.")</f>
        <v>0</v>
      </c>
      <c r="CK538" s="311">
        <f t="shared" si="239"/>
        <v>0</v>
      </c>
      <c r="CL538" s="10">
        <v>0</v>
      </c>
      <c r="CM538" s="255">
        <f t="shared" si="240"/>
        <v>0</v>
      </c>
      <c r="CN538" s="232">
        <f>IFERROR(VLOOKUP(CM538,'Rangos amb etnico'!$A$2:$C$6,3,9),"N.D.")</f>
        <v>0</v>
      </c>
      <c r="CO538" s="311">
        <f t="shared" si="241"/>
        <v>0</v>
      </c>
      <c r="CP538">
        <v>0.77166427676617855</v>
      </c>
      <c r="CQ538" t="s">
        <v>2865</v>
      </c>
      <c r="CR538">
        <f t="shared" si="232"/>
        <v>2</v>
      </c>
      <c r="CS538" t="str">
        <f t="shared" si="242"/>
        <v>No es Candidato</v>
      </c>
      <c r="CT538">
        <v>0</v>
      </c>
      <c r="CU538">
        <v>0</v>
      </c>
      <c r="CV538" s="25">
        <v>46.986335754394531</v>
      </c>
      <c r="CW538" s="25">
        <v>14.199690818786619</v>
      </c>
      <c r="CX538" s="25">
        <v>53.435073852539063</v>
      </c>
      <c r="CY538" s="25">
        <v>62.9957275390625</v>
      </c>
      <c r="CZ538" s="25">
        <v>39.688240051269531</v>
      </c>
      <c r="DA538" s="25">
        <v>53.976222991943359</v>
      </c>
      <c r="DB538" s="25">
        <v>57.623062133789063</v>
      </c>
      <c r="DC538">
        <v>6</v>
      </c>
      <c r="DD538" s="253" t="s">
        <v>380</v>
      </c>
    </row>
    <row r="539" spans="1:108">
      <c r="A539" s="13">
        <v>5667</v>
      </c>
      <c r="B539" s="13" t="s">
        <v>1525</v>
      </c>
      <c r="C539" s="13" t="s">
        <v>435</v>
      </c>
      <c r="D539" s="13" t="s">
        <v>436</v>
      </c>
      <c r="E539" s="13" t="s">
        <v>1526</v>
      </c>
      <c r="F539" s="14">
        <v>45.337400000000002</v>
      </c>
      <c r="G539" s="13">
        <v>57.53</v>
      </c>
      <c r="H539" s="13">
        <v>32.26</v>
      </c>
      <c r="I539" s="13">
        <v>35.96</v>
      </c>
      <c r="J539" s="14">
        <v>43.290605850124678</v>
      </c>
      <c r="K539" s="14">
        <v>58.454891213844732</v>
      </c>
      <c r="L539" s="14">
        <v>66.538898828751712</v>
      </c>
      <c r="M539" s="14">
        <v>42.163200000000003</v>
      </c>
      <c r="N539" s="14">
        <f t="shared" si="216"/>
        <v>42.771850000000001</v>
      </c>
      <c r="O539" s="14">
        <f t="shared" si="217"/>
        <v>52.611898973180288</v>
      </c>
      <c r="P539" s="14">
        <f t="shared" si="233"/>
        <v>47.691874486590144</v>
      </c>
      <c r="Q539" s="14">
        <v>53.643375079444667</v>
      </c>
      <c r="R539" s="17">
        <f t="shared" si="218"/>
        <v>46.356624920555333</v>
      </c>
      <c r="S539" s="14">
        <f t="shared" si="234"/>
        <v>0.51720962428499806</v>
      </c>
      <c r="T539" s="13">
        <v>0</v>
      </c>
      <c r="U539" s="13">
        <f t="shared" si="235"/>
        <v>24.666696484656573</v>
      </c>
      <c r="V539" s="13">
        <f>IF($T539=1,$AU539,(VLOOKUP(U539,'Cortes naturales'!$A$35:$C$39,3,9)))</f>
        <v>4</v>
      </c>
      <c r="W539" s="13">
        <v>4</v>
      </c>
      <c r="X539" s="14" t="b">
        <f t="shared" si="219"/>
        <v>1</v>
      </c>
      <c r="Y539" s="17">
        <f>IF($T539=1,$AU539,VLOOKUP(U539,'Cortes naturales'!$A$45:$C$49,3,9))</f>
        <v>4</v>
      </c>
      <c r="Z539" s="14">
        <v>49.814400335497581</v>
      </c>
      <c r="AA539" s="14">
        <v>0.52268035011450986</v>
      </c>
      <c r="AB539" s="14">
        <v>26.037008208102232</v>
      </c>
      <c r="AC539" s="13">
        <v>4</v>
      </c>
      <c r="AD539" s="13">
        <f t="shared" si="220"/>
        <v>0</v>
      </c>
      <c r="AE539" s="14">
        <f t="shared" si="221"/>
        <v>-2.1225258489074363</v>
      </c>
      <c r="AF539" s="14">
        <f t="shared" si="222"/>
        <v>-5.4707258295118022E-3</v>
      </c>
      <c r="AG539" s="13">
        <f t="shared" si="223"/>
        <v>-1.3703117234456599</v>
      </c>
      <c r="AH539" s="13">
        <f>IF($T539=1,$AU539,VLOOKUP(U539,'Cortes naturales'!$A$25:$C$29,3,9))</f>
        <v>4</v>
      </c>
      <c r="AI539" s="13" t="b">
        <f t="shared" si="224"/>
        <v>1</v>
      </c>
      <c r="AJ539" s="13">
        <f t="shared" si="225"/>
        <v>0</v>
      </c>
      <c r="AK539" s="28">
        <v>0.81759069605862034</v>
      </c>
      <c r="AL539" s="28">
        <v>40.727790244042239</v>
      </c>
      <c r="AM539" s="28">
        <v>0.33883571297348364</v>
      </c>
      <c r="AN539" s="13">
        <v>4</v>
      </c>
      <c r="AO539" s="33">
        <f t="shared" si="226"/>
        <v>0</v>
      </c>
      <c r="AP539" s="13">
        <f t="shared" si="236"/>
        <v>33.883571297348361</v>
      </c>
      <c r="AQ539" s="13">
        <f>IFERROR(VLOOKUP(U539,'Cortes naturales'!$E$15:$G$19,3,9),U539)</f>
        <v>4</v>
      </c>
      <c r="AR539" s="28">
        <f t="shared" si="227"/>
        <v>-0.30038107177362228</v>
      </c>
      <c r="AS539" s="13" t="b">
        <f t="shared" si="228"/>
        <v>1</v>
      </c>
      <c r="AT539" s="13">
        <f t="shared" si="237"/>
        <v>0</v>
      </c>
      <c r="AU539" s="13">
        <v>3</v>
      </c>
      <c r="AV539">
        <f t="shared" si="229"/>
        <v>-1</v>
      </c>
      <c r="AW539" s="13">
        <v>0</v>
      </c>
      <c r="AX539" s="13">
        <v>0</v>
      </c>
      <c r="AY539" s="13">
        <v>0</v>
      </c>
      <c r="AZ539" s="13">
        <v>0</v>
      </c>
      <c r="BA539">
        <v>1</v>
      </c>
      <c r="BB539" t="s">
        <v>2840</v>
      </c>
      <c r="BC539">
        <v>6</v>
      </c>
      <c r="BD539" t="s">
        <v>2919</v>
      </c>
      <c r="BE539">
        <v>1</v>
      </c>
      <c r="BF539" s="232" t="s">
        <v>2846</v>
      </c>
      <c r="BG539" s="232" t="s">
        <v>2845</v>
      </c>
      <c r="BH539" s="253">
        <v>36.799999999999997</v>
      </c>
      <c r="BI539" s="253">
        <v>11.117305088795094</v>
      </c>
      <c r="BJ539" s="25">
        <v>34.557506075798187</v>
      </c>
      <c r="BK539" t="s">
        <v>379</v>
      </c>
      <c r="BL539">
        <v>3.9441304642115829</v>
      </c>
      <c r="BM539" t="s">
        <v>383</v>
      </c>
      <c r="BN539" s="322">
        <v>38905.550907999997</v>
      </c>
      <c r="BO539" s="322">
        <v>5678.7375060000004</v>
      </c>
      <c r="BP539" s="10">
        <v>17222</v>
      </c>
      <c r="BQ539" s="254">
        <f t="shared" si="230"/>
        <v>2.2590611373824179</v>
      </c>
      <c r="BR539" s="254">
        <f t="shared" si="231"/>
        <v>0.32973740018580888</v>
      </c>
      <c r="BS539" s="25">
        <v>64.0070883578707</v>
      </c>
      <c r="BT539" s="25">
        <v>89.072600936786273</v>
      </c>
      <c r="BU539" s="25">
        <v>49.066666666666663</v>
      </c>
      <c r="BV539" s="25">
        <v>92.39214586291466</v>
      </c>
      <c r="BW539" s="25">
        <v>50.834022545470177</v>
      </c>
      <c r="BX539" s="25">
        <v>73.634625456059581</v>
      </c>
      <c r="BY539" s="25">
        <v>51.303242818097949</v>
      </c>
      <c r="BZ539">
        <v>84</v>
      </c>
      <c r="CA539">
        <v>0</v>
      </c>
      <c r="CB539">
        <v>7</v>
      </c>
      <c r="CC539">
        <v>36369.313326000003</v>
      </c>
      <c r="CD539" s="10">
        <v>14634.006954</v>
      </c>
      <c r="CE539" s="255">
        <v>0.40237237428231337</v>
      </c>
      <c r="CF539" t="str">
        <f>IFERROR(VLOOKUP(CE539,'Rangos amb etnico'!$A$2:$C$6,3,9),"N.D.")</f>
        <v>31% - 50%</v>
      </c>
      <c r="CG539" s="256">
        <v>4.2575842759900892E-4</v>
      </c>
      <c r="CH539" s="232">
        <v>0</v>
      </c>
      <c r="CI539" s="311">
        <f t="shared" si="238"/>
        <v>0</v>
      </c>
      <c r="CJ539" s="232">
        <f>IFERROR(VLOOKUP(CI539,'Rangos amb etnico'!$A$2:$C$6,3,9),"N.D.")</f>
        <v>0</v>
      </c>
      <c r="CK539" s="311">
        <f t="shared" si="239"/>
        <v>0</v>
      </c>
      <c r="CL539" s="10">
        <v>0</v>
      </c>
      <c r="CM539" s="255">
        <f t="shared" si="240"/>
        <v>0</v>
      </c>
      <c r="CN539" s="232">
        <f>IFERROR(VLOOKUP(CM539,'Rangos amb etnico'!$A$2:$C$6,3,9),"N.D.")</f>
        <v>0</v>
      </c>
      <c r="CO539" s="311">
        <f t="shared" si="241"/>
        <v>0</v>
      </c>
      <c r="CP539">
        <v>0.9067146362959122</v>
      </c>
      <c r="CQ539" t="s">
        <v>2864</v>
      </c>
      <c r="CR539">
        <f t="shared" si="232"/>
        <v>1</v>
      </c>
      <c r="CS539" t="str">
        <f t="shared" si="242"/>
        <v>No es Candidato</v>
      </c>
      <c r="CT539">
        <v>0</v>
      </c>
      <c r="CU539">
        <v>0</v>
      </c>
      <c r="CV539" s="25">
        <v>41.315578460693359</v>
      </c>
      <c r="CW539" s="25">
        <v>20.718267440795898</v>
      </c>
      <c r="CX539" s="25">
        <v>44.464408874511719</v>
      </c>
      <c r="CY539" s="25">
        <v>55.773067474365227</v>
      </c>
      <c r="CZ539" s="25">
        <v>21.44074630737305</v>
      </c>
      <c r="DA539" s="25">
        <v>42.790760040283203</v>
      </c>
      <c r="DB539" s="25">
        <v>62.706226348876953</v>
      </c>
      <c r="DC539">
        <v>243</v>
      </c>
      <c r="DD539" s="253" t="s">
        <v>380</v>
      </c>
    </row>
    <row r="540" spans="1:108" hidden="1">
      <c r="A540" s="13">
        <v>76250</v>
      </c>
      <c r="B540" s="13" t="s">
        <v>1527</v>
      </c>
      <c r="C540" s="13" t="s">
        <v>454</v>
      </c>
      <c r="D540" s="13" t="s">
        <v>455</v>
      </c>
      <c r="E540" s="13" t="s">
        <v>1528</v>
      </c>
      <c r="F540" s="14">
        <v>65.258866666666705</v>
      </c>
      <c r="G540" s="13">
        <v>63.66</v>
      </c>
      <c r="H540" s="13">
        <v>70.569999999999993</v>
      </c>
      <c r="I540" s="13">
        <v>73.260000000000005</v>
      </c>
      <c r="J540" s="14">
        <v>43.951175054444491</v>
      </c>
      <c r="K540" s="14">
        <v>46.172643991638452</v>
      </c>
      <c r="L540" s="14">
        <v>61.821203686586323</v>
      </c>
      <c r="M540" s="14">
        <v>48.077500000000001</v>
      </c>
      <c r="N540" s="14">
        <f t="shared" si="216"/>
        <v>68.187216666666671</v>
      </c>
      <c r="O540" s="14">
        <f t="shared" si="217"/>
        <v>50.005630683167311</v>
      </c>
      <c r="P540" s="14">
        <f t="shared" si="233"/>
        <v>59.096423674916991</v>
      </c>
      <c r="Q540" s="14">
        <v>54.617795299572144</v>
      </c>
      <c r="R540" s="17">
        <f t="shared" si="218"/>
        <v>45.382204700427856</v>
      </c>
      <c r="S540" s="14">
        <f t="shared" si="234"/>
        <v>0.50843984230385075</v>
      </c>
      <c r="T540" s="13">
        <v>0</v>
      </c>
      <c r="U540" s="13">
        <f t="shared" si="235"/>
        <v>30.046976333996348</v>
      </c>
      <c r="V540" s="13">
        <f>IF($T540=1,$AU540,(VLOOKUP(U540,'Cortes naturales'!$A$35:$C$39,3,9)))</f>
        <v>3</v>
      </c>
      <c r="W540" s="13">
        <v>3</v>
      </c>
      <c r="X540" s="14" t="b">
        <f t="shared" si="219"/>
        <v>1</v>
      </c>
      <c r="Y540" s="17">
        <f>IF($T540=1,$AU540,VLOOKUP(U540,'Cortes naturales'!$A$45:$C$49,3,9))</f>
        <v>3</v>
      </c>
      <c r="Z540" s="14">
        <v>57.763735522184973</v>
      </c>
      <c r="AA540" s="14">
        <v>0.51929733950849855</v>
      </c>
      <c r="AB540" s="14">
        <v>29.996554176743206</v>
      </c>
      <c r="AC540" s="13">
        <v>3</v>
      </c>
      <c r="AD540" s="13">
        <f t="shared" si="220"/>
        <v>0</v>
      </c>
      <c r="AE540" s="14">
        <f t="shared" si="221"/>
        <v>1.3326881527320182</v>
      </c>
      <c r="AF540" s="14">
        <f t="shared" si="222"/>
        <v>-1.0857497204647792E-2</v>
      </c>
      <c r="AG540" s="13">
        <f t="shared" si="223"/>
        <v>5.0422157253141364E-2</v>
      </c>
      <c r="AH540" s="13">
        <f>IF($T540=1,$AU540,VLOOKUP(U540,'Cortes naturales'!$A$25:$C$29,3,9))</f>
        <v>3</v>
      </c>
      <c r="AI540" s="13" t="b">
        <f t="shared" si="224"/>
        <v>1</v>
      </c>
      <c r="AJ540" s="13">
        <f t="shared" si="225"/>
        <v>0</v>
      </c>
      <c r="AK540" s="28">
        <v>0.81759069605862034</v>
      </c>
      <c r="AL540" s="28">
        <v>47.227092732529265</v>
      </c>
      <c r="AM540" s="28">
        <v>0.42013513619387305</v>
      </c>
      <c r="AN540" s="13">
        <v>3</v>
      </c>
      <c r="AO540" s="33">
        <f t="shared" si="226"/>
        <v>0</v>
      </c>
      <c r="AP540" s="13">
        <f t="shared" si="236"/>
        <v>42.013513619387304</v>
      </c>
      <c r="AQ540" s="13">
        <f>IFERROR(VLOOKUP(U540,'Cortes naturales'!$E$15:$G$19,3,9),U540)</f>
        <v>4</v>
      </c>
      <c r="AR540" s="28">
        <f t="shared" si="227"/>
        <v>-0.30915085375476958</v>
      </c>
      <c r="AS540" s="13" t="b">
        <f t="shared" si="228"/>
        <v>0</v>
      </c>
      <c r="AT540" s="13">
        <f t="shared" si="237"/>
        <v>0</v>
      </c>
      <c r="AU540" s="13">
        <v>3</v>
      </c>
      <c r="AV540">
        <f t="shared" si="229"/>
        <v>0</v>
      </c>
      <c r="AW540" s="13">
        <v>0</v>
      </c>
      <c r="AX540" s="13">
        <v>0</v>
      </c>
      <c r="AY540" s="13">
        <v>0</v>
      </c>
      <c r="AZ540" s="13">
        <v>0</v>
      </c>
      <c r="BA540">
        <v>1</v>
      </c>
      <c r="BB540" t="s">
        <v>2840</v>
      </c>
      <c r="BC540">
        <v>6</v>
      </c>
      <c r="BD540" t="s">
        <v>2919</v>
      </c>
      <c r="BE540">
        <v>1</v>
      </c>
      <c r="BF540" s="232" t="s">
        <v>2846</v>
      </c>
      <c r="BG540" s="232" t="s">
        <v>2846</v>
      </c>
      <c r="BH540" s="253">
        <v>37.200000000000003</v>
      </c>
      <c r="BI540" s="253">
        <v>16.701977401129945</v>
      </c>
      <c r="BJ540" s="25">
        <v>24.082894003456012</v>
      </c>
      <c r="BK540" t="s">
        <v>379</v>
      </c>
      <c r="BL540">
        <v>20.367383120250565</v>
      </c>
      <c r="BM540" t="s">
        <v>376</v>
      </c>
      <c r="BN540" s="322">
        <v>26454.249273000001</v>
      </c>
      <c r="BO540" s="322">
        <v>2841.7027579999999</v>
      </c>
      <c r="BP540" s="10">
        <v>9256</v>
      </c>
      <c r="BQ540" s="254">
        <f t="shared" si="230"/>
        <v>2.8580649603500432</v>
      </c>
      <c r="BR540" s="254">
        <f t="shared" si="231"/>
        <v>0.30701196607605874</v>
      </c>
      <c r="BS540" s="25">
        <v>70.767560477587026</v>
      </c>
      <c r="BT540" s="25">
        <v>97.548848198198201</v>
      </c>
      <c r="BU540" s="25">
        <v>45.868517506577597</v>
      </c>
      <c r="BV540" s="25">
        <v>82.695079714047893</v>
      </c>
      <c r="BW540" s="25">
        <v>59.327135303227998</v>
      </c>
      <c r="BX540" s="25">
        <v>74.220001474102673</v>
      </c>
      <c r="BY540" s="25">
        <v>59.903187382923669</v>
      </c>
      <c r="BZ540">
        <v>91</v>
      </c>
      <c r="CA540">
        <v>0</v>
      </c>
      <c r="CB540">
        <v>7</v>
      </c>
      <c r="CC540">
        <v>23602.934981999999</v>
      </c>
      <c r="CD540" s="10">
        <v>23503.502776000001</v>
      </c>
      <c r="CE540" s="255">
        <v>0.99578729483956863</v>
      </c>
      <c r="CF540" t="str">
        <f>IFERROR(VLOOKUP(CE540,'Rangos amb etnico'!$A$2:$C$6,3,9),"N.D.")</f>
        <v>71% - 100%</v>
      </c>
      <c r="CG540" s="256">
        <v>6.838054960909718E-4</v>
      </c>
      <c r="CH540" s="232">
        <v>110.92556999999999</v>
      </c>
      <c r="CI540" s="311">
        <f t="shared" si="238"/>
        <v>4.6996515511564018E-3</v>
      </c>
      <c r="CJ540" s="232" t="str">
        <f>IFERROR(VLOOKUP(CI540,'Rangos amb etnico'!$A$2:$C$6,3,9),"N.D.")</f>
        <v>0,1% - 30%</v>
      </c>
      <c r="CK540" s="311">
        <f t="shared" si="239"/>
        <v>4.4044713809454631E-6</v>
      </c>
      <c r="CL540" s="10">
        <v>0</v>
      </c>
      <c r="CM540" s="255">
        <f t="shared" si="240"/>
        <v>0</v>
      </c>
      <c r="CN540" s="232">
        <f>IFERROR(VLOOKUP(CM540,'Rangos amb etnico'!$A$2:$C$6,3,9),"N.D.")</f>
        <v>0</v>
      </c>
      <c r="CO540" s="311">
        <f t="shared" si="241"/>
        <v>0</v>
      </c>
      <c r="CP540">
        <v>0.98059778152832244</v>
      </c>
      <c r="CQ540" t="s">
        <v>2864</v>
      </c>
      <c r="CR540">
        <f t="shared" si="232"/>
        <v>2</v>
      </c>
      <c r="CS540" t="str">
        <f t="shared" si="242"/>
        <v>No es Candidato</v>
      </c>
      <c r="CT540">
        <v>0</v>
      </c>
      <c r="CU540">
        <v>0</v>
      </c>
      <c r="CV540" s="25">
        <v>50.393085479736328</v>
      </c>
      <c r="CW540" s="25">
        <v>24.087026596069339</v>
      </c>
      <c r="CX540" s="25">
        <v>53.265823364257813</v>
      </c>
      <c r="CY540" s="25">
        <v>57.156944274902337</v>
      </c>
      <c r="CZ540" s="25">
        <v>55.187850952148438</v>
      </c>
      <c r="DA540" s="25">
        <v>68.733741760253906</v>
      </c>
      <c r="DB540" s="25">
        <v>43.927127838134773</v>
      </c>
      <c r="DC540">
        <v>1004</v>
      </c>
      <c r="DD540" s="253" t="s">
        <v>380</v>
      </c>
    </row>
    <row r="541" spans="1:108" hidden="1">
      <c r="A541" s="13">
        <v>25394</v>
      </c>
      <c r="B541" s="13" t="s">
        <v>1529</v>
      </c>
      <c r="C541" s="13" t="s">
        <v>461</v>
      </c>
      <c r="D541" s="13" t="s">
        <v>462</v>
      </c>
      <c r="E541" s="13" t="s">
        <v>1530</v>
      </c>
      <c r="F541" s="14">
        <v>51.219166666666702</v>
      </c>
      <c r="G541" s="13">
        <v>61.95</v>
      </c>
      <c r="H541" s="13">
        <v>54.54</v>
      </c>
      <c r="I541" s="13">
        <v>42.03</v>
      </c>
      <c r="J541" s="14">
        <v>46.883354353066558</v>
      </c>
      <c r="K541" s="14">
        <v>62.539553153140261</v>
      </c>
      <c r="L541" s="14">
        <v>55.632601370226439</v>
      </c>
      <c r="M541" s="14">
        <v>49.709699999999998</v>
      </c>
      <c r="N541" s="14">
        <f t="shared" si="216"/>
        <v>52.434791666666676</v>
      </c>
      <c r="O541" s="14">
        <f t="shared" si="217"/>
        <v>53.691302219108316</v>
      </c>
      <c r="P541" s="14">
        <f t="shared" si="233"/>
        <v>53.063046942887496</v>
      </c>
      <c r="Q541" s="14">
        <v>55.270646636392442</v>
      </c>
      <c r="R541" s="17">
        <f t="shared" si="218"/>
        <v>44.729353363607558</v>
      </c>
      <c r="S541" s="14">
        <f t="shared" si="234"/>
        <v>0.50256418027246808</v>
      </c>
      <c r="T541" s="13">
        <v>0</v>
      </c>
      <c r="U541" s="13">
        <f t="shared" si="235"/>
        <v>26.667586689611749</v>
      </c>
      <c r="V541" s="13">
        <f>IF($T541=1,$AU541,(VLOOKUP(U541,'Cortes naturales'!$A$35:$C$39,3,9)))</f>
        <v>4</v>
      </c>
      <c r="W541" s="13">
        <v>4</v>
      </c>
      <c r="X541" s="14" t="b">
        <f t="shared" si="219"/>
        <v>1</v>
      </c>
      <c r="Y541" s="17">
        <f>IF($T541=1,$AU541,VLOOKUP(U541,'Cortes naturales'!$A$45:$C$49,3,9))</f>
        <v>4</v>
      </c>
      <c r="Z541" s="14">
        <v>53.010534100158452</v>
      </c>
      <c r="AA541" s="14">
        <v>0.5189683610918906</v>
      </c>
      <c r="AB541" s="14">
        <v>27.51079000256501</v>
      </c>
      <c r="AC541" s="13">
        <v>4</v>
      </c>
      <c r="AD541" s="13">
        <f t="shared" si="220"/>
        <v>0</v>
      </c>
      <c r="AE541" s="14">
        <f t="shared" si="221"/>
        <v>5.2512842729043996E-2</v>
      </c>
      <c r="AF541" s="14">
        <f t="shared" si="222"/>
        <v>-1.640418081942252E-2</v>
      </c>
      <c r="AG541" s="13">
        <f t="shared" si="223"/>
        <v>-0.84320331295326056</v>
      </c>
      <c r="AH541" s="13">
        <f>IF($T541=1,$AU541,VLOOKUP(U541,'Cortes naturales'!$A$25:$C$29,3,9))</f>
        <v>4</v>
      </c>
      <c r="AI541" s="13" t="b">
        <f t="shared" si="224"/>
        <v>1</v>
      </c>
      <c r="AJ541" s="13">
        <f t="shared" si="225"/>
        <v>0</v>
      </c>
      <c r="AK541" s="28">
        <v>0.81759069605862034</v>
      </c>
      <c r="AL541" s="28">
        <v>43.340919473387778</v>
      </c>
      <c r="AM541" s="28">
        <v>0.37152320513475223</v>
      </c>
      <c r="AN541" s="13">
        <v>3</v>
      </c>
      <c r="AO541" s="33">
        <f t="shared" si="226"/>
        <v>-1</v>
      </c>
      <c r="AP541" s="13">
        <f t="shared" si="236"/>
        <v>37.152320513475225</v>
      </c>
      <c r="AQ541" s="13">
        <f>IFERROR(VLOOKUP(U541,'Cortes naturales'!$E$15:$G$19,3,9),U541)</f>
        <v>4</v>
      </c>
      <c r="AR541" s="28">
        <f t="shared" si="227"/>
        <v>-0.31502651578615226</v>
      </c>
      <c r="AS541" s="13" t="b">
        <f t="shared" si="228"/>
        <v>1</v>
      </c>
      <c r="AT541" s="13" t="str">
        <f t="shared" si="237"/>
        <v>Efecto ponderador</v>
      </c>
      <c r="AU541" s="13">
        <v>3</v>
      </c>
      <c r="AV541">
        <f t="shared" si="229"/>
        <v>-1</v>
      </c>
      <c r="AW541" s="13">
        <v>0</v>
      </c>
      <c r="AX541" s="13">
        <v>0</v>
      </c>
      <c r="AY541" s="13">
        <v>0</v>
      </c>
      <c r="AZ541" s="13">
        <v>0</v>
      </c>
      <c r="BA541">
        <v>1</v>
      </c>
      <c r="BB541" t="s">
        <v>2839</v>
      </c>
      <c r="BC541">
        <v>6</v>
      </c>
      <c r="BD541" t="s">
        <v>2919</v>
      </c>
      <c r="BE541">
        <v>0</v>
      </c>
      <c r="BF541" s="232" t="s">
        <v>2846</v>
      </c>
      <c r="BG541" s="232" t="s">
        <v>2846</v>
      </c>
      <c r="BH541" s="253">
        <v>39.4</v>
      </c>
      <c r="BI541" s="253">
        <v>20.264660093409443</v>
      </c>
      <c r="BJ541" s="25">
        <v>3.242500000000001</v>
      </c>
      <c r="BK541" t="s">
        <v>381</v>
      </c>
      <c r="BL541">
        <v>0</v>
      </c>
      <c r="BM541" t="s">
        <v>377</v>
      </c>
      <c r="BN541" s="322">
        <v>21409.243106999998</v>
      </c>
      <c r="BO541" s="322">
        <v>1968.758484</v>
      </c>
      <c r="BP541" s="10">
        <v>9706</v>
      </c>
      <c r="BQ541" s="254">
        <f t="shared" si="230"/>
        <v>2.2057740683082629</v>
      </c>
      <c r="BR541" s="254">
        <f t="shared" si="231"/>
        <v>0.2028393245415207</v>
      </c>
      <c r="BS541" s="25">
        <v>48.899773646517502</v>
      </c>
      <c r="BT541" s="25">
        <v>80.364129003823521</v>
      </c>
      <c r="BU541" s="25">
        <v>35.070164765525973</v>
      </c>
      <c r="BV541" s="25">
        <v>94.747362412787425</v>
      </c>
      <c r="BW541" s="25">
        <v>50.844610095417181</v>
      </c>
      <c r="BX541" s="25">
        <v>64.770357457163598</v>
      </c>
      <c r="BY541" s="25">
        <v>50.865929427367227</v>
      </c>
      <c r="BZ541">
        <v>33</v>
      </c>
      <c r="CA541">
        <v>0</v>
      </c>
      <c r="CB541">
        <v>6</v>
      </c>
      <c r="CC541">
        <v>19059.401303999999</v>
      </c>
      <c r="CD541" s="10">
        <v>4130.8485680000003</v>
      </c>
      <c r="CE541" s="255">
        <v>0.21673548408538199</v>
      </c>
      <c r="CF541" t="str">
        <f>IFERROR(VLOOKUP(CE541,'Rangos amb etnico'!$A$2:$C$6,3,9),"N.D.")</f>
        <v>0,1% - 30%</v>
      </c>
      <c r="CG541" s="256">
        <v>1.2018195675932558E-4</v>
      </c>
      <c r="CH541" s="232">
        <v>0</v>
      </c>
      <c r="CI541" s="311">
        <f t="shared" si="238"/>
        <v>0</v>
      </c>
      <c r="CJ541" s="232">
        <f>IFERROR(VLOOKUP(CI541,'Rangos amb etnico'!$A$2:$C$6,3,9),"N.D.")</f>
        <v>0</v>
      </c>
      <c r="CK541" s="311">
        <f t="shared" si="239"/>
        <v>0</v>
      </c>
      <c r="CL541" s="10">
        <v>0</v>
      </c>
      <c r="CM541" s="255">
        <f t="shared" si="240"/>
        <v>0</v>
      </c>
      <c r="CN541" s="232">
        <f>IFERROR(VLOOKUP(CM541,'Rangos amb etnico'!$A$2:$C$6,3,9),"N.D.")</f>
        <v>0</v>
      </c>
      <c r="CO541" s="311">
        <f t="shared" si="241"/>
        <v>0</v>
      </c>
      <c r="CP541">
        <v>0.97312906653994213</v>
      </c>
      <c r="CQ541" t="s">
        <v>2864</v>
      </c>
      <c r="CR541">
        <f t="shared" si="232"/>
        <v>1</v>
      </c>
      <c r="CS541" t="str">
        <f t="shared" si="242"/>
        <v>No es Candidato</v>
      </c>
      <c r="CT541">
        <v>0</v>
      </c>
      <c r="CU541">
        <v>0</v>
      </c>
      <c r="CV541" s="25">
        <v>44.869125366210938</v>
      </c>
      <c r="CW541" s="25">
        <v>22.166749954223629</v>
      </c>
      <c r="CX541" s="25">
        <v>42.142448425292969</v>
      </c>
      <c r="CY541" s="25">
        <v>61.278053283691413</v>
      </c>
      <c r="CZ541" s="25">
        <v>28.78108978271484</v>
      </c>
      <c r="DA541" s="25">
        <v>76.840087890625</v>
      </c>
      <c r="DB541" s="25">
        <v>38.006320953369141</v>
      </c>
      <c r="DC541">
        <v>157</v>
      </c>
      <c r="DD541" s="253" t="s">
        <v>380</v>
      </c>
    </row>
    <row r="542" spans="1:108" hidden="1">
      <c r="A542" s="13">
        <v>25535</v>
      </c>
      <c r="B542" s="13" t="s">
        <v>1531</v>
      </c>
      <c r="C542" s="13" t="s">
        <v>461</v>
      </c>
      <c r="D542" s="13" t="s">
        <v>462</v>
      </c>
      <c r="E542" s="13" t="s">
        <v>1532</v>
      </c>
      <c r="F542" s="14">
        <v>67.269933333333299</v>
      </c>
      <c r="G542" s="13">
        <v>62.52</v>
      </c>
      <c r="H542" s="13">
        <v>64.02</v>
      </c>
      <c r="I542" s="13">
        <v>68.3</v>
      </c>
      <c r="J542" s="14">
        <v>53.059931056554241</v>
      </c>
      <c r="K542" s="14">
        <v>53.839891074972869</v>
      </c>
      <c r="L542" s="14">
        <v>58.861549105315568</v>
      </c>
      <c r="M542" s="14">
        <v>57.306800000000003</v>
      </c>
      <c r="N542" s="14">
        <f t="shared" si="216"/>
        <v>65.527483333333322</v>
      </c>
      <c r="O542" s="14">
        <f t="shared" si="217"/>
        <v>55.767042809210672</v>
      </c>
      <c r="P542" s="14">
        <f t="shared" si="233"/>
        <v>60.647263071271993</v>
      </c>
      <c r="Q542" s="14">
        <v>55.587996107652906</v>
      </c>
      <c r="R542" s="17">
        <f t="shared" si="218"/>
        <v>44.412003892347094</v>
      </c>
      <c r="S542" s="14">
        <f t="shared" si="234"/>
        <v>0.49970803503112393</v>
      </c>
      <c r="T542" s="13">
        <v>0</v>
      </c>
      <c r="U542" s="13">
        <f t="shared" si="235"/>
        <v>30.305924659360976</v>
      </c>
      <c r="V542" s="13">
        <f>IF($T542=1,$AU542,(VLOOKUP(U542,'Cortes naturales'!$A$35:$C$39,3,9)))</f>
        <v>3</v>
      </c>
      <c r="W542" s="13">
        <v>3</v>
      </c>
      <c r="X542" s="14" t="b">
        <f t="shared" si="219"/>
        <v>1</v>
      </c>
      <c r="Y542" s="17">
        <f>IF($T542=1,$AU542,VLOOKUP(U542,'Cortes naturales'!$A$45:$C$49,3,9))</f>
        <v>3</v>
      </c>
      <c r="Z542" s="14">
        <v>60.426722302469287</v>
      </c>
      <c r="AA542" s="14">
        <v>0.51723688947154012</v>
      </c>
      <c r="AB542" s="14">
        <v>31.254929884689755</v>
      </c>
      <c r="AC542" s="13">
        <v>3</v>
      </c>
      <c r="AD542" s="13">
        <f t="shared" si="220"/>
        <v>0</v>
      </c>
      <c r="AE542" s="14">
        <f t="shared" si="221"/>
        <v>0.22054076880270657</v>
      </c>
      <c r="AF542" s="14">
        <f t="shared" si="222"/>
        <v>-1.7528854440416186E-2</v>
      </c>
      <c r="AG542" s="13">
        <f t="shared" si="223"/>
        <v>-0.94900522532877929</v>
      </c>
      <c r="AH542" s="13">
        <f>IF($T542=1,$AU542,VLOOKUP(U542,'Cortes naturales'!$A$25:$C$29,3,9))</f>
        <v>3</v>
      </c>
      <c r="AI542" s="13" t="b">
        <f t="shared" si="224"/>
        <v>1</v>
      </c>
      <c r="AJ542" s="13">
        <f t="shared" si="225"/>
        <v>0</v>
      </c>
      <c r="AK542" s="28">
        <v>0.81759069605862034</v>
      </c>
      <c r="AL542" s="28">
        <v>49.404325947816822</v>
      </c>
      <c r="AM542" s="28">
        <v>0.447370028696985</v>
      </c>
      <c r="AN542" s="13">
        <v>3</v>
      </c>
      <c r="AO542" s="33">
        <f t="shared" si="226"/>
        <v>0</v>
      </c>
      <c r="AP542" s="13">
        <f t="shared" si="236"/>
        <v>44.7370028696985</v>
      </c>
      <c r="AQ542" s="13">
        <f>IFERROR(VLOOKUP(U542,'Cortes naturales'!$E$15:$G$19,3,9),U542)</f>
        <v>4</v>
      </c>
      <c r="AR542" s="28">
        <f t="shared" si="227"/>
        <v>-0.3178826610274964</v>
      </c>
      <c r="AS542" s="13" t="b">
        <f t="shared" si="228"/>
        <v>0</v>
      </c>
      <c r="AT542" s="13">
        <f t="shared" si="237"/>
        <v>0</v>
      </c>
      <c r="AU542" s="13">
        <v>3</v>
      </c>
      <c r="AV542">
        <f t="shared" si="229"/>
        <v>0</v>
      </c>
      <c r="AW542" s="13">
        <v>0</v>
      </c>
      <c r="AX542" s="13">
        <v>0</v>
      </c>
      <c r="AY542" s="13">
        <v>0</v>
      </c>
      <c r="AZ542" s="13">
        <v>0</v>
      </c>
      <c r="BA542">
        <v>0</v>
      </c>
      <c r="BB542" t="s">
        <v>2840</v>
      </c>
      <c r="BC542">
        <v>6</v>
      </c>
      <c r="BD542" t="s">
        <v>2919</v>
      </c>
      <c r="BE542">
        <v>1</v>
      </c>
      <c r="BF542" s="232" t="s">
        <v>2846</v>
      </c>
      <c r="BG542" s="232" t="s">
        <v>2846</v>
      </c>
      <c r="BH542" s="253">
        <v>30.6</v>
      </c>
      <c r="BI542" s="253">
        <v>8.1740732212756164</v>
      </c>
      <c r="BJ542" s="25">
        <v>10.911702834194324</v>
      </c>
      <c r="BK542" t="s">
        <v>377</v>
      </c>
      <c r="BL542">
        <v>2.6888082700775198</v>
      </c>
      <c r="BM542" t="s">
        <v>383</v>
      </c>
      <c r="BN542" s="322">
        <v>19695.016737999998</v>
      </c>
      <c r="BO542" s="322">
        <v>2136.241618</v>
      </c>
      <c r="BP542" s="10">
        <v>9386</v>
      </c>
      <c r="BQ542" s="254">
        <f t="shared" si="230"/>
        <v>2.098339733432772</v>
      </c>
      <c r="BR542" s="254">
        <f t="shared" si="231"/>
        <v>0.22759872341785639</v>
      </c>
      <c r="BS542" s="25">
        <v>66.128599919244436</v>
      </c>
      <c r="BT542" s="25">
        <v>90.007280090205271</v>
      </c>
      <c r="BU542" s="25">
        <v>45.017946103423142</v>
      </c>
      <c r="BV542" s="25">
        <v>67.951797036417915</v>
      </c>
      <c r="BW542" s="25">
        <v>58.794256335655597</v>
      </c>
      <c r="BX542" s="25">
        <v>67.276405787322688</v>
      </c>
      <c r="BY542" s="25">
        <v>57.965592807261572</v>
      </c>
      <c r="BZ542">
        <v>78</v>
      </c>
      <c r="CA542">
        <v>0</v>
      </c>
      <c r="CB542">
        <v>7</v>
      </c>
      <c r="CC542">
        <v>27140.82012</v>
      </c>
      <c r="CD542" s="10">
        <v>14750.559409</v>
      </c>
      <c r="CE542" s="255">
        <v>0.54348244982215366</v>
      </c>
      <c r="CF542" t="str">
        <f>IFERROR(VLOOKUP(CE542,'Rangos amb etnico'!$A$2:$C$6,3,9),"N.D.")</f>
        <v>51% - 70%</v>
      </c>
      <c r="CG542" s="256">
        <v>4.2914937787869565E-4</v>
      </c>
      <c r="CH542" s="232">
        <v>0</v>
      </c>
      <c r="CI542" s="311">
        <f t="shared" si="238"/>
        <v>0</v>
      </c>
      <c r="CJ542" s="232">
        <f>IFERROR(VLOOKUP(CI542,'Rangos amb etnico'!$A$2:$C$6,3,9),"N.D.")</f>
        <v>0</v>
      </c>
      <c r="CK542" s="311">
        <f t="shared" si="239"/>
        <v>0</v>
      </c>
      <c r="CL542" s="10">
        <v>0</v>
      </c>
      <c r="CM542" s="255">
        <f t="shared" si="240"/>
        <v>0</v>
      </c>
      <c r="CN542" s="232">
        <f>IFERROR(VLOOKUP(CM542,'Rangos amb etnico'!$A$2:$C$6,3,9),"N.D.")</f>
        <v>0</v>
      </c>
      <c r="CO542" s="311">
        <f t="shared" si="241"/>
        <v>0</v>
      </c>
      <c r="CP542">
        <v>0.95030307599465624</v>
      </c>
      <c r="CQ542" t="s">
        <v>2864</v>
      </c>
      <c r="CR542">
        <f t="shared" si="232"/>
        <v>2</v>
      </c>
      <c r="CS542" t="str">
        <f t="shared" si="242"/>
        <v>No es Candidato</v>
      </c>
      <c r="CT542">
        <v>0</v>
      </c>
      <c r="CU542">
        <v>0</v>
      </c>
      <c r="CV542" s="25">
        <v>46.59136962890625</v>
      </c>
      <c r="CW542" s="25">
        <v>24.837200164794918</v>
      </c>
      <c r="CX542" s="25">
        <v>49.866596221923828</v>
      </c>
      <c r="CY542" s="25">
        <v>62.815517425537109</v>
      </c>
      <c r="CZ542" s="25">
        <v>46.166679382324219</v>
      </c>
      <c r="DA542" s="25">
        <v>40.388095855712891</v>
      </c>
      <c r="DB542" s="25">
        <v>55.474128723144531</v>
      </c>
      <c r="DC542">
        <v>57</v>
      </c>
      <c r="DD542" s="253" t="s">
        <v>380</v>
      </c>
    </row>
    <row r="543" spans="1:108" hidden="1">
      <c r="A543" s="13">
        <v>73124</v>
      </c>
      <c r="B543" s="13" t="s">
        <v>1533</v>
      </c>
      <c r="C543" s="13" t="s">
        <v>595</v>
      </c>
      <c r="D543" s="13" t="s">
        <v>596</v>
      </c>
      <c r="E543" s="13" t="s">
        <v>1534</v>
      </c>
      <c r="F543" s="14">
        <v>48.5523666666667</v>
      </c>
      <c r="G543" s="13">
        <v>43.65</v>
      </c>
      <c r="H543" s="13">
        <v>37.11</v>
      </c>
      <c r="I543" s="13">
        <v>40.770000000000003</v>
      </c>
      <c r="J543" s="14">
        <v>53.17359832028805</v>
      </c>
      <c r="K543" s="14">
        <v>46.812359321368419</v>
      </c>
      <c r="L543" s="14">
        <v>41.650430306490428</v>
      </c>
      <c r="M543" s="14">
        <v>44.892400000000002</v>
      </c>
      <c r="N543" s="14">
        <f t="shared" si="216"/>
        <v>42.520591666666682</v>
      </c>
      <c r="O543" s="14">
        <f t="shared" si="217"/>
        <v>46.632196987036728</v>
      </c>
      <c r="P543" s="14">
        <f t="shared" si="233"/>
        <v>44.576394326851705</v>
      </c>
      <c r="Q543" s="14">
        <v>55.297322557247121</v>
      </c>
      <c r="R543" s="17">
        <f t="shared" si="218"/>
        <v>44.702677442752879</v>
      </c>
      <c r="S543" s="14">
        <f t="shared" si="234"/>
        <v>0.50232409698477598</v>
      </c>
      <c r="T543" s="13">
        <v>0</v>
      </c>
      <c r="U543" s="13">
        <f t="shared" si="235"/>
        <v>22.391797027073075</v>
      </c>
      <c r="V543" s="13">
        <f>IF($T543=1,$AU543,(VLOOKUP(U543,'Cortes naturales'!$A$35:$C$39,3,9)))</f>
        <v>4</v>
      </c>
      <c r="W543" s="13">
        <v>4</v>
      </c>
      <c r="X543" s="14" t="b">
        <f t="shared" si="219"/>
        <v>1</v>
      </c>
      <c r="Y543" s="17">
        <f>IF($T543=1,$AU543,VLOOKUP(U543,'Cortes naturales'!$A$45:$C$49,3,9))</f>
        <v>4</v>
      </c>
      <c r="Z543" s="14">
        <v>44.571188435807777</v>
      </c>
      <c r="AA543" s="14">
        <v>0.51218695225894384</v>
      </c>
      <c r="AB543" s="14">
        <v>22.828781163495467</v>
      </c>
      <c r="AC543" s="13">
        <v>4</v>
      </c>
      <c r="AD543" s="13">
        <f t="shared" si="220"/>
        <v>0</v>
      </c>
      <c r="AE543" s="14">
        <f t="shared" si="221"/>
        <v>5.2058910439285455E-3</v>
      </c>
      <c r="AF543" s="14">
        <f t="shared" si="222"/>
        <v>-9.8628552741678588E-3</v>
      </c>
      <c r="AG543" s="13">
        <f t="shared" si="223"/>
        <v>-0.43698413642239231</v>
      </c>
      <c r="AH543" s="13">
        <f>IF($T543=1,$AU543,VLOOKUP(U543,'Cortes naturales'!$A$25:$C$29,3,9))</f>
        <v>4</v>
      </c>
      <c r="AI543" s="13" t="b">
        <f t="shared" si="224"/>
        <v>1</v>
      </c>
      <c r="AJ543" s="13">
        <f t="shared" si="225"/>
        <v>0</v>
      </c>
      <c r="AK543" s="28">
        <v>0.81759069605862034</v>
      </c>
      <c r="AL543" s="28">
        <v>36.44098897739201</v>
      </c>
      <c r="AM543" s="28">
        <v>0.28521234784215416</v>
      </c>
      <c r="AN543" s="13">
        <v>4</v>
      </c>
      <c r="AO543" s="33">
        <f t="shared" si="226"/>
        <v>0</v>
      </c>
      <c r="AP543" s="13">
        <f t="shared" si="236"/>
        <v>28.521234784215416</v>
      </c>
      <c r="AQ543" s="13">
        <f>IFERROR(VLOOKUP(U543,'Cortes naturales'!$E$15:$G$19,3,9),U543)</f>
        <v>4</v>
      </c>
      <c r="AR543" s="28">
        <f t="shared" si="227"/>
        <v>-0.31526659907384436</v>
      </c>
      <c r="AS543" s="13" t="b">
        <f t="shared" si="228"/>
        <v>1</v>
      </c>
      <c r="AT543" s="13">
        <f t="shared" si="237"/>
        <v>0</v>
      </c>
      <c r="AU543" s="13">
        <v>3</v>
      </c>
      <c r="AV543">
        <f t="shared" si="229"/>
        <v>-1</v>
      </c>
      <c r="AW543" s="13">
        <v>0</v>
      </c>
      <c r="AX543" s="13">
        <v>0</v>
      </c>
      <c r="AY543" s="13">
        <v>0</v>
      </c>
      <c r="AZ543" s="13">
        <v>0</v>
      </c>
      <c r="BA543">
        <v>1</v>
      </c>
      <c r="BB543" t="s">
        <v>2840</v>
      </c>
      <c r="BC543">
        <v>6</v>
      </c>
      <c r="BD543" t="s">
        <v>2919</v>
      </c>
      <c r="BE543">
        <v>1</v>
      </c>
      <c r="BF543" s="232" t="s">
        <v>2846</v>
      </c>
      <c r="BG543" s="232" t="s">
        <v>2845</v>
      </c>
      <c r="BH543" s="253">
        <v>36.200000000000003</v>
      </c>
      <c r="BI543" s="253">
        <v>11.228273464658169</v>
      </c>
      <c r="BJ543" s="25">
        <v>48.412777777777784</v>
      </c>
      <c r="BK543" t="s">
        <v>376</v>
      </c>
      <c r="BL543">
        <v>1.1490325835664763</v>
      </c>
      <c r="BM543" t="s">
        <v>383</v>
      </c>
      <c r="BN543" s="322">
        <v>36079.842815000004</v>
      </c>
      <c r="BO543" s="322">
        <v>4964.6494469999998</v>
      </c>
      <c r="BP543" s="10">
        <v>19013</v>
      </c>
      <c r="BQ543" s="254">
        <f t="shared" si="230"/>
        <v>1.8976407097775208</v>
      </c>
      <c r="BR543" s="254">
        <f t="shared" si="231"/>
        <v>0.2611186791668858</v>
      </c>
      <c r="BS543" s="25">
        <v>67.744822728888451</v>
      </c>
      <c r="BT543" s="25">
        <v>87.51390510317502</v>
      </c>
      <c r="BU543" s="25">
        <v>34.731666666666662</v>
      </c>
      <c r="BV543" s="25">
        <v>85.889500036028906</v>
      </c>
      <c r="BW543" s="25">
        <v>50.499676133746689</v>
      </c>
      <c r="BX543" s="25">
        <v>68.969973633689762</v>
      </c>
      <c r="BY543" s="25">
        <v>49.682956227316353</v>
      </c>
      <c r="BZ543">
        <v>18</v>
      </c>
      <c r="CA543">
        <v>0</v>
      </c>
      <c r="CB543">
        <v>7</v>
      </c>
      <c r="CC543">
        <v>50838.818727999998</v>
      </c>
      <c r="CD543" s="10">
        <v>46547.285232000002</v>
      </c>
      <c r="CE543" s="255">
        <v>0.91558549936101508</v>
      </c>
      <c r="CF543" t="str">
        <f>IFERROR(VLOOKUP(CE543,'Rangos amb etnico'!$A$2:$C$6,3,9),"N.D.")</f>
        <v>71% - 100%</v>
      </c>
      <c r="CG543" s="256">
        <v>1.3542359950814392E-3</v>
      </c>
      <c r="CH543" s="232">
        <v>0</v>
      </c>
      <c r="CI543" s="311">
        <f t="shared" si="238"/>
        <v>0</v>
      </c>
      <c r="CJ543" s="232">
        <f>IFERROR(VLOOKUP(CI543,'Rangos amb etnico'!$A$2:$C$6,3,9),"N.D.")</f>
        <v>0</v>
      </c>
      <c r="CK543" s="311">
        <f t="shared" si="239"/>
        <v>0</v>
      </c>
      <c r="CL543" s="10">
        <v>0</v>
      </c>
      <c r="CM543" s="255">
        <f t="shared" si="240"/>
        <v>0</v>
      </c>
      <c r="CN543" s="232">
        <f>IFERROR(VLOOKUP(CM543,'Rangos amb etnico'!$A$2:$C$6,3,9),"N.D.")</f>
        <v>0</v>
      </c>
      <c r="CO543" s="311">
        <f t="shared" si="241"/>
        <v>0</v>
      </c>
      <c r="CP543">
        <v>0.91393661546714533</v>
      </c>
      <c r="CQ543" t="s">
        <v>2864</v>
      </c>
      <c r="CR543">
        <f t="shared" si="232"/>
        <v>1</v>
      </c>
      <c r="CS543" t="str">
        <f t="shared" si="242"/>
        <v>No es Candidato</v>
      </c>
      <c r="CT543">
        <v>0</v>
      </c>
      <c r="CU543">
        <v>0</v>
      </c>
      <c r="CV543" s="25">
        <v>46.582412719726563</v>
      </c>
      <c r="CW543" s="25">
        <v>28.423271179199219</v>
      </c>
      <c r="CX543" s="25">
        <v>42.355953216552727</v>
      </c>
      <c r="CY543" s="25">
        <v>58.566883087158203</v>
      </c>
      <c r="CZ543" s="25">
        <v>59.711772918701172</v>
      </c>
      <c r="DA543" s="25">
        <v>36.751846313476563</v>
      </c>
      <c r="DB543" s="25">
        <v>53.684749603271477</v>
      </c>
      <c r="DC543">
        <v>168</v>
      </c>
      <c r="DD543" s="253" t="s">
        <v>380</v>
      </c>
    </row>
    <row r="544" spans="1:108" hidden="1">
      <c r="A544" s="13">
        <v>68132</v>
      </c>
      <c r="B544" s="13" t="s">
        <v>1535</v>
      </c>
      <c r="C544" s="13" t="s">
        <v>431</v>
      </c>
      <c r="D544" s="13" t="s">
        <v>432</v>
      </c>
      <c r="E544" s="13" t="s">
        <v>1536</v>
      </c>
      <c r="F544" s="14">
        <v>59.553600000000003</v>
      </c>
      <c r="G544" s="13">
        <v>53.61</v>
      </c>
      <c r="H544" s="13">
        <v>29.33</v>
      </c>
      <c r="I544" s="13">
        <v>27.97</v>
      </c>
      <c r="J544" s="14">
        <v>48.273770796728904</v>
      </c>
      <c r="K544" s="14">
        <v>33.164075543717608</v>
      </c>
      <c r="L544" s="14">
        <v>48.844795099409453</v>
      </c>
      <c r="M544" s="14">
        <v>46.900199999999998</v>
      </c>
      <c r="N544" s="14">
        <f t="shared" si="216"/>
        <v>42.615900000000003</v>
      </c>
      <c r="O544" s="14">
        <f t="shared" si="217"/>
        <v>44.295710359963991</v>
      </c>
      <c r="P544" s="14">
        <f t="shared" si="233"/>
        <v>43.455805179981994</v>
      </c>
      <c r="Q544" s="14">
        <v>53.628528950447141</v>
      </c>
      <c r="R544" s="17">
        <f t="shared" si="218"/>
        <v>46.371471049552859</v>
      </c>
      <c r="S544" s="14">
        <f t="shared" si="234"/>
        <v>0.51734323944597571</v>
      </c>
      <c r="T544" s="13">
        <v>0</v>
      </c>
      <c r="U544" s="13">
        <f t="shared" si="235"/>
        <v>22.481567024545097</v>
      </c>
      <c r="V544" s="13">
        <f>IF($T544=1,$AU544,(VLOOKUP(U544,'Cortes naturales'!$A$35:$C$39,3,9)))</f>
        <v>4</v>
      </c>
      <c r="W544" s="13">
        <v>4</v>
      </c>
      <c r="X544" s="14" t="b">
        <f t="shared" si="219"/>
        <v>1</v>
      </c>
      <c r="Y544" s="17">
        <f>IF($T544=1,$AU544,VLOOKUP(U544,'Cortes naturales'!$A$45:$C$49,3,9))</f>
        <v>4</v>
      </c>
      <c r="Z544" s="14">
        <v>46.645191401003984</v>
      </c>
      <c r="AA544" s="14">
        <v>0.51896061455122955</v>
      </c>
      <c r="AB544" s="14">
        <v>24.207017195324756</v>
      </c>
      <c r="AC544" s="13">
        <v>4</v>
      </c>
      <c r="AD544" s="13">
        <f t="shared" si="220"/>
        <v>0</v>
      </c>
      <c r="AE544" s="14">
        <f t="shared" si="221"/>
        <v>-3.1893862210219908</v>
      </c>
      <c r="AF544" s="14">
        <f t="shared" si="222"/>
        <v>-1.6173751052538377E-3</v>
      </c>
      <c r="AG544" s="13">
        <f t="shared" si="223"/>
        <v>-1.7254501707796592</v>
      </c>
      <c r="AH544" s="13">
        <f>IF($T544=1,$AU544,VLOOKUP(U544,'Cortes naturales'!$A$25:$C$29,3,9))</f>
        <v>4</v>
      </c>
      <c r="AI544" s="13" t="b">
        <f t="shared" si="224"/>
        <v>1</v>
      </c>
      <c r="AJ544" s="13">
        <f t="shared" si="225"/>
        <v>0</v>
      </c>
      <c r="AK544" s="28">
        <v>0.81759069605862034</v>
      </c>
      <c r="AL544" s="28">
        <v>38.136674505334419</v>
      </c>
      <c r="AM544" s="28">
        <v>0.30642358637568656</v>
      </c>
      <c r="AN544" s="13">
        <v>4</v>
      </c>
      <c r="AO544" s="33">
        <f t="shared" si="226"/>
        <v>0</v>
      </c>
      <c r="AP544" s="13">
        <f t="shared" si="236"/>
        <v>30.642358637568655</v>
      </c>
      <c r="AQ544" s="13">
        <f>IFERROR(VLOOKUP(U544,'Cortes naturales'!$E$15:$G$19,3,9),U544)</f>
        <v>4</v>
      </c>
      <c r="AR544" s="28">
        <f t="shared" si="227"/>
        <v>-0.30024745661264463</v>
      </c>
      <c r="AS544" s="13" t="b">
        <f t="shared" si="228"/>
        <v>1</v>
      </c>
      <c r="AT544" s="13">
        <f t="shared" si="237"/>
        <v>0</v>
      </c>
      <c r="AU544" s="13">
        <v>3</v>
      </c>
      <c r="AV544">
        <f t="shared" si="229"/>
        <v>-1</v>
      </c>
      <c r="AW544" s="13">
        <v>0</v>
      </c>
      <c r="AX544" s="13">
        <v>0</v>
      </c>
      <c r="AY544" s="13">
        <v>0</v>
      </c>
      <c r="AZ544" s="13">
        <v>0</v>
      </c>
      <c r="BA544">
        <v>0</v>
      </c>
      <c r="BB544" t="s">
        <v>2839</v>
      </c>
      <c r="BC544">
        <v>6</v>
      </c>
      <c r="BD544" t="s">
        <v>2919</v>
      </c>
      <c r="BE544">
        <v>0</v>
      </c>
      <c r="BF544" s="232" t="s">
        <v>2846</v>
      </c>
      <c r="BG544" s="232" t="s">
        <v>2846</v>
      </c>
      <c r="BH544" s="253">
        <v>21.2</v>
      </c>
      <c r="BI544" s="253">
        <v>6.8946188340807177</v>
      </c>
      <c r="BJ544" s="25">
        <v>5.3033333333333337</v>
      </c>
      <c r="BK544" t="s">
        <v>377</v>
      </c>
      <c r="BL544">
        <v>0</v>
      </c>
      <c r="BM544" t="s">
        <v>377</v>
      </c>
      <c r="BN544" s="322">
        <v>4966.2631730000003</v>
      </c>
      <c r="BO544" s="322">
        <v>568.48286199999995</v>
      </c>
      <c r="BP544" s="10">
        <v>2465</v>
      </c>
      <c r="BQ544" s="254">
        <f t="shared" si="230"/>
        <v>2.0147112263691684</v>
      </c>
      <c r="BR544" s="254">
        <f t="shared" si="231"/>
        <v>0.23062185070993912</v>
      </c>
      <c r="BS544" s="25">
        <v>57.342592592592588</v>
      </c>
      <c r="BT544" s="25">
        <v>72.250480581473965</v>
      </c>
      <c r="BU544" s="25">
        <v>43.994888438133863</v>
      </c>
      <c r="BV544" s="25">
        <v>96.966037965782832</v>
      </c>
      <c r="BW544" s="25">
        <v>63.06822881016226</v>
      </c>
      <c r="BX544" s="25">
        <v>67.638499894495808</v>
      </c>
      <c r="BY544" s="25">
        <v>63.123042360703209</v>
      </c>
      <c r="BZ544">
        <v>39</v>
      </c>
      <c r="CA544">
        <v>0</v>
      </c>
      <c r="CB544">
        <v>7</v>
      </c>
      <c r="CC544">
        <v>4492.357994</v>
      </c>
      <c r="CD544" s="10">
        <v>2762.33376</v>
      </c>
      <c r="CE544" s="255">
        <v>0.61489617784009576</v>
      </c>
      <c r="CF544" t="str">
        <f>IFERROR(VLOOKUP(CE544,'Rangos amb etnico'!$A$2:$C$6,3,9),"N.D.")</f>
        <v>51% - 70%</v>
      </c>
      <c r="CG544" s="256">
        <v>8.0366702151920953E-5</v>
      </c>
      <c r="CH544" s="232">
        <v>0</v>
      </c>
      <c r="CI544" s="311">
        <f t="shared" si="238"/>
        <v>0</v>
      </c>
      <c r="CJ544" s="232">
        <f>IFERROR(VLOOKUP(CI544,'Rangos amb etnico'!$A$2:$C$6,3,9),"N.D.")</f>
        <v>0</v>
      </c>
      <c r="CK544" s="311">
        <f t="shared" si="239"/>
        <v>0</v>
      </c>
      <c r="CL544" s="10">
        <v>0</v>
      </c>
      <c r="CM544" s="255">
        <f t="shared" si="240"/>
        <v>0</v>
      </c>
      <c r="CN544" s="232">
        <f>IFERROR(VLOOKUP(CM544,'Rangos amb etnico'!$A$2:$C$6,3,9),"N.D.")</f>
        <v>0</v>
      </c>
      <c r="CO544" s="311">
        <f t="shared" si="241"/>
        <v>0</v>
      </c>
      <c r="CP544">
        <v>0.94668453447801748</v>
      </c>
      <c r="CQ544" t="s">
        <v>2864</v>
      </c>
      <c r="CR544">
        <f t="shared" si="232"/>
        <v>2</v>
      </c>
      <c r="CS544" t="str">
        <f t="shared" si="242"/>
        <v>No es Candidato</v>
      </c>
      <c r="CT544">
        <v>0</v>
      </c>
      <c r="CU544">
        <v>0</v>
      </c>
      <c r="CV544" s="25">
        <v>55.612018585205078</v>
      </c>
      <c r="CW544" s="25">
        <v>23.63301849365234</v>
      </c>
      <c r="CX544" s="25">
        <v>59.288722991943359</v>
      </c>
      <c r="CY544" s="25">
        <v>68.355941772460938</v>
      </c>
      <c r="CZ544" s="25">
        <v>56.720359802246087</v>
      </c>
      <c r="DA544" s="25">
        <v>59.718639373779297</v>
      </c>
      <c r="DB544" s="25">
        <v>65.955436706542969</v>
      </c>
      <c r="DC544">
        <v>19</v>
      </c>
      <c r="DD544" s="253" t="s">
        <v>380</v>
      </c>
    </row>
    <row r="545" spans="1:108" hidden="1">
      <c r="A545" s="13">
        <v>68673</v>
      </c>
      <c r="B545" s="13" t="s">
        <v>1537</v>
      </c>
      <c r="C545" s="13" t="s">
        <v>431</v>
      </c>
      <c r="D545" s="13" t="s">
        <v>432</v>
      </c>
      <c r="E545" s="13" t="s">
        <v>1538</v>
      </c>
      <c r="F545" s="14">
        <v>75.150933333333299</v>
      </c>
      <c r="G545" s="13">
        <v>60.98</v>
      </c>
      <c r="H545" s="13">
        <v>0</v>
      </c>
      <c r="I545" s="13">
        <v>45.77</v>
      </c>
      <c r="J545" s="14">
        <v>40.812047841514357</v>
      </c>
      <c r="K545" s="14">
        <v>41.426028741397261</v>
      </c>
      <c r="L545" s="14">
        <v>62.072941647169081</v>
      </c>
      <c r="M545" s="14">
        <v>59.605899999999998</v>
      </c>
      <c r="N545" s="14">
        <f t="shared" si="216"/>
        <v>45.475233333333328</v>
      </c>
      <c r="O545" s="14">
        <f t="shared" si="217"/>
        <v>50.979229557520171</v>
      </c>
      <c r="P545" s="14">
        <f t="shared" si="233"/>
        <v>48.227231445426753</v>
      </c>
      <c r="Q545" s="14">
        <v>55.021207530543059</v>
      </c>
      <c r="R545" s="17">
        <f t="shared" si="218"/>
        <v>44.978792469456941</v>
      </c>
      <c r="S545" s="14">
        <f t="shared" si="234"/>
        <v>0.50480913222511248</v>
      </c>
      <c r="T545" s="13">
        <v>0</v>
      </c>
      <c r="U545" s="13">
        <f t="shared" si="235"/>
        <v>24.345546855585535</v>
      </c>
      <c r="V545" s="13">
        <f>IF($T545=1,$AU545,(VLOOKUP(U545,'Cortes naturales'!$A$35:$C$39,3,9)))</f>
        <v>4</v>
      </c>
      <c r="W545" s="13">
        <v>4</v>
      </c>
      <c r="X545" s="14" t="b">
        <f t="shared" si="219"/>
        <v>1</v>
      </c>
      <c r="Y545" s="17">
        <f>IF($T545=1,$AU545,VLOOKUP(U545,'Cortes naturales'!$A$45:$C$49,3,9))</f>
        <v>4</v>
      </c>
      <c r="Z545" s="14">
        <v>57.910445577470767</v>
      </c>
      <c r="AA545" s="14">
        <v>0.51498337462347499</v>
      </c>
      <c r="AB545" s="14">
        <v>29.82291668943499</v>
      </c>
      <c r="AC545" s="13">
        <v>3</v>
      </c>
      <c r="AD545" s="13">
        <f t="shared" si="220"/>
        <v>-1</v>
      </c>
      <c r="AE545" s="14">
        <f t="shared" si="221"/>
        <v>-9.6832141320440144</v>
      </c>
      <c r="AF545" s="14">
        <f t="shared" si="222"/>
        <v>-1.017424239836251E-2</v>
      </c>
      <c r="AG545" s="13">
        <f t="shared" si="223"/>
        <v>-5.4773698338494547</v>
      </c>
      <c r="AH545" s="13">
        <f>IF($T545=1,$AU545,VLOOKUP(U545,'Cortes naturales'!$A$25:$C$29,3,9))</f>
        <v>4</v>
      </c>
      <c r="AI545" s="13" t="b">
        <f t="shared" si="224"/>
        <v>1</v>
      </c>
      <c r="AJ545" s="13" t="str">
        <f t="shared" si="225"/>
        <v>Efecto ponderador</v>
      </c>
      <c r="AK545" s="28">
        <v>0.81759069605862034</v>
      </c>
      <c r="AL545" s="28">
        <v>47.347041508749179</v>
      </c>
      <c r="AM545" s="28">
        <v>0.4216355689464561</v>
      </c>
      <c r="AN545" s="13">
        <v>3</v>
      </c>
      <c r="AO545" s="33">
        <f t="shared" si="226"/>
        <v>-1</v>
      </c>
      <c r="AP545" s="13">
        <f t="shared" si="236"/>
        <v>42.163556894645609</v>
      </c>
      <c r="AQ545" s="13">
        <f>IFERROR(VLOOKUP(U545,'Cortes naturales'!$E$15:$G$19,3,9),U545)</f>
        <v>4</v>
      </c>
      <c r="AR545" s="28">
        <f t="shared" si="227"/>
        <v>-0.31278156383350786</v>
      </c>
      <c r="AS545" s="13" t="b">
        <f t="shared" si="228"/>
        <v>1</v>
      </c>
      <c r="AT545" s="13" t="str">
        <f t="shared" si="237"/>
        <v>Efecto ponderador</v>
      </c>
      <c r="AU545" s="13">
        <v>3</v>
      </c>
      <c r="AV545">
        <f t="shared" si="229"/>
        <v>-1</v>
      </c>
      <c r="AW545" s="13">
        <v>0</v>
      </c>
      <c r="AX545" s="13">
        <v>0</v>
      </c>
      <c r="AY545" s="13">
        <v>0</v>
      </c>
      <c r="AZ545" s="13">
        <v>0</v>
      </c>
      <c r="BA545">
        <v>0</v>
      </c>
      <c r="BB545" t="s">
        <v>2840</v>
      </c>
      <c r="BC545">
        <v>6</v>
      </c>
      <c r="BD545" t="s">
        <v>2919</v>
      </c>
      <c r="BE545">
        <v>1</v>
      </c>
      <c r="BF545" s="232" t="s">
        <v>2846</v>
      </c>
      <c r="BG545" s="232" t="s">
        <v>2845</v>
      </c>
      <c r="BH545" s="253">
        <v>49.8</v>
      </c>
      <c r="BI545" s="253">
        <v>11.977818853974123</v>
      </c>
      <c r="BJ545" s="25">
        <v>93.85</v>
      </c>
      <c r="BK545" t="s">
        <v>2850</v>
      </c>
      <c r="BL545">
        <v>2.7855976140165399</v>
      </c>
      <c r="BM545" t="s">
        <v>383</v>
      </c>
      <c r="BN545" s="322">
        <v>9365.0016680000008</v>
      </c>
      <c r="BO545" s="322">
        <v>753.178313</v>
      </c>
      <c r="BP545" s="10">
        <v>3015</v>
      </c>
      <c r="BQ545" s="254">
        <f t="shared" si="230"/>
        <v>3.1061365399668328</v>
      </c>
      <c r="BR545" s="254">
        <f t="shared" si="231"/>
        <v>0.24981038573797679</v>
      </c>
      <c r="BS545" s="25">
        <v>51.34109311740891</v>
      </c>
      <c r="BT545" s="25">
        <v>89.271006080707579</v>
      </c>
      <c r="BU545" s="25">
        <v>36.675056497175127</v>
      </c>
      <c r="BV545" s="25">
        <v>100.2301119336158</v>
      </c>
      <c r="BW545" s="25">
        <v>36.786669510236607</v>
      </c>
      <c r="BX545" s="25">
        <v>69.379316907226865</v>
      </c>
      <c r="BY545" s="25">
        <v>37.425255221253998</v>
      </c>
      <c r="BZ545">
        <v>20</v>
      </c>
      <c r="CA545">
        <v>0</v>
      </c>
      <c r="CB545">
        <v>7</v>
      </c>
      <c r="CC545">
        <v>5901.8059270000003</v>
      </c>
      <c r="CD545" s="10">
        <v>29.134525</v>
      </c>
      <c r="CE545" s="255">
        <v>4.9365440613208427E-3</v>
      </c>
      <c r="CF545" t="str">
        <f>IFERROR(VLOOKUP(CE545,'Rangos amb etnico'!$A$2:$C$6,3,9),"N.D.")</f>
        <v>0,1% - 30%</v>
      </c>
      <c r="CG545" s="256">
        <v>8.4763315965580313E-7</v>
      </c>
      <c r="CH545" s="232">
        <v>0</v>
      </c>
      <c r="CI545" s="311">
        <f t="shared" si="238"/>
        <v>0</v>
      </c>
      <c r="CJ545" s="232">
        <f>IFERROR(VLOOKUP(CI545,'Rangos amb etnico'!$A$2:$C$6,3,9),"N.D.")</f>
        <v>0</v>
      </c>
      <c r="CK545" s="311">
        <f t="shared" si="239"/>
        <v>0</v>
      </c>
      <c r="CL545" s="10">
        <v>0</v>
      </c>
      <c r="CM545" s="255">
        <f t="shared" si="240"/>
        <v>0</v>
      </c>
      <c r="CN545" s="232">
        <f>IFERROR(VLOOKUP(CM545,'Rangos amb etnico'!$A$2:$C$6,3,9),"N.D.")</f>
        <v>0</v>
      </c>
      <c r="CO545" s="311">
        <f t="shared" si="241"/>
        <v>0</v>
      </c>
      <c r="CP545">
        <v>0.8899403728681472</v>
      </c>
      <c r="CQ545" t="s">
        <v>2864</v>
      </c>
      <c r="CR545">
        <f t="shared" si="232"/>
        <v>1</v>
      </c>
      <c r="CS545" t="str">
        <f t="shared" si="242"/>
        <v>No es Candidato</v>
      </c>
      <c r="CT545">
        <v>0</v>
      </c>
      <c r="CU545">
        <v>0</v>
      </c>
      <c r="CV545" s="25">
        <v>52.798328399658203</v>
      </c>
      <c r="CW545" s="25">
        <v>17.71077919006348</v>
      </c>
      <c r="CX545" s="25">
        <v>55.381988525390618</v>
      </c>
      <c r="CY545" s="25">
        <v>64.530014038085938</v>
      </c>
      <c r="CZ545" s="25">
        <v>38.305049896240227</v>
      </c>
      <c r="DA545" s="25">
        <v>91.319755554199219</v>
      </c>
      <c r="DB545" s="25">
        <v>49.542385101318359</v>
      </c>
      <c r="DC545">
        <v>19</v>
      </c>
      <c r="DD545" s="253" t="s">
        <v>380</v>
      </c>
    </row>
    <row r="546" spans="1:108" hidden="1">
      <c r="A546" s="13">
        <v>20295</v>
      </c>
      <c r="B546" s="13" t="s">
        <v>1539</v>
      </c>
      <c r="C546" s="13" t="s">
        <v>893</v>
      </c>
      <c r="D546" s="13" t="s">
        <v>894</v>
      </c>
      <c r="E546" s="13" t="s">
        <v>1540</v>
      </c>
      <c r="F546" s="14">
        <v>62.675066666666702</v>
      </c>
      <c r="G546" s="13">
        <v>59.03</v>
      </c>
      <c r="H546" s="13">
        <v>70.17</v>
      </c>
      <c r="I546" s="13">
        <v>66.31</v>
      </c>
      <c r="J546" s="14">
        <v>51.911420750081525</v>
      </c>
      <c r="K546" s="14">
        <v>56.740141844433055</v>
      </c>
      <c r="L546" s="14">
        <v>69.254707959974482</v>
      </c>
      <c r="M546" s="14">
        <v>54.717100000000002</v>
      </c>
      <c r="N546" s="14">
        <f t="shared" si="216"/>
        <v>64.546266666666682</v>
      </c>
      <c r="O546" s="14">
        <f t="shared" si="217"/>
        <v>58.155842638622275</v>
      </c>
      <c r="P546" s="14">
        <f t="shared" si="233"/>
        <v>61.351054652644478</v>
      </c>
      <c r="Q546" s="14">
        <v>54.989855900334973</v>
      </c>
      <c r="R546" s="17">
        <f t="shared" si="218"/>
        <v>45.010144099665027</v>
      </c>
      <c r="S546" s="14">
        <f t="shared" si="234"/>
        <v>0.50509129689698529</v>
      </c>
      <c r="T546" s="13">
        <v>0</v>
      </c>
      <c r="U546" s="13">
        <f t="shared" si="235"/>
        <v>30.987883760502022</v>
      </c>
      <c r="V546" s="13">
        <f>IF($T546=1,$AU546,(VLOOKUP(U546,'Cortes naturales'!$A$35:$C$39,3,9)))</f>
        <v>3</v>
      </c>
      <c r="W546" s="13">
        <v>3</v>
      </c>
      <c r="X546" s="14" t="b">
        <f t="shared" si="219"/>
        <v>1</v>
      </c>
      <c r="Y546" s="17">
        <f>IF($T546=1,$AU546,VLOOKUP(U546,'Cortes naturales'!$A$45:$C$49,3,9))</f>
        <v>3</v>
      </c>
      <c r="Z546" s="14">
        <v>58.972158774100365</v>
      </c>
      <c r="AA546" s="14">
        <v>0.51752165562149721</v>
      </c>
      <c r="AB546" s="14">
        <v>30.519369244346223</v>
      </c>
      <c r="AC546" s="13">
        <v>3</v>
      </c>
      <c r="AD546" s="13">
        <f t="shared" si="220"/>
        <v>0</v>
      </c>
      <c r="AE546" s="14">
        <f t="shared" si="221"/>
        <v>2.3788958785441139</v>
      </c>
      <c r="AF546" s="14">
        <f t="shared" si="222"/>
        <v>-1.2430358724511925E-2</v>
      </c>
      <c r="AG546" s="13">
        <f t="shared" si="223"/>
        <v>0.46851451615579975</v>
      </c>
      <c r="AH546" s="13">
        <f>IF($T546=1,$AU546,VLOOKUP(U546,'Cortes naturales'!$A$25:$C$29,3,9))</f>
        <v>3</v>
      </c>
      <c r="AI546" s="13" t="b">
        <f t="shared" si="224"/>
        <v>1</v>
      </c>
      <c r="AJ546" s="13">
        <f t="shared" si="225"/>
        <v>0</v>
      </c>
      <c r="AK546" s="28">
        <v>0.81759069605862034</v>
      </c>
      <c r="AL546" s="28">
        <v>48.215088340196189</v>
      </c>
      <c r="AM546" s="28">
        <v>0.43249391980025009</v>
      </c>
      <c r="AN546" s="13">
        <v>3</v>
      </c>
      <c r="AO546" s="33">
        <f t="shared" si="226"/>
        <v>0</v>
      </c>
      <c r="AP546" s="13">
        <f t="shared" si="236"/>
        <v>43.24939198002501</v>
      </c>
      <c r="AQ546" s="13">
        <f>IFERROR(VLOOKUP(U546,'Cortes naturales'!$E$15:$G$19,3,9),U546)</f>
        <v>4</v>
      </c>
      <c r="AR546" s="28">
        <f t="shared" si="227"/>
        <v>-0.31249939916163505</v>
      </c>
      <c r="AS546" s="13" t="b">
        <f t="shared" si="228"/>
        <v>0</v>
      </c>
      <c r="AT546" s="13">
        <f t="shared" si="237"/>
        <v>0</v>
      </c>
      <c r="AU546" s="13">
        <v>3</v>
      </c>
      <c r="AV546">
        <f t="shared" si="229"/>
        <v>0</v>
      </c>
      <c r="AW546" s="13">
        <v>0</v>
      </c>
      <c r="AX546" s="13">
        <v>0</v>
      </c>
      <c r="AY546" s="13">
        <v>0</v>
      </c>
      <c r="AZ546" s="13">
        <v>0</v>
      </c>
      <c r="BA546">
        <v>0</v>
      </c>
      <c r="BB546" t="s">
        <v>2839</v>
      </c>
      <c r="BC546">
        <v>6</v>
      </c>
      <c r="BD546" t="s">
        <v>2919</v>
      </c>
      <c r="BE546">
        <v>0</v>
      </c>
      <c r="BF546" s="232" t="s">
        <v>2846</v>
      </c>
      <c r="BG546" s="232" t="s">
        <v>2845</v>
      </c>
      <c r="BH546" s="253">
        <v>48.6</v>
      </c>
      <c r="BI546" s="253">
        <v>23.360655737704917</v>
      </c>
      <c r="BJ546" s="25">
        <v>31.898077532140107</v>
      </c>
      <c r="BK546" t="s">
        <v>379</v>
      </c>
      <c r="BL546">
        <v>1.9856502854390785</v>
      </c>
      <c r="BM546" t="s">
        <v>383</v>
      </c>
      <c r="BN546" s="322">
        <v>33918.840966000003</v>
      </c>
      <c r="BO546" s="322">
        <v>4025.858772</v>
      </c>
      <c r="BP546" s="10">
        <v>16058</v>
      </c>
      <c r="BQ546" s="254">
        <f t="shared" si="230"/>
        <v>2.1122705795242247</v>
      </c>
      <c r="BR546" s="254">
        <f t="shared" si="231"/>
        <v>0.25070735907335906</v>
      </c>
      <c r="BS546" s="25">
        <v>49.394362159629701</v>
      </c>
      <c r="BT546" s="25">
        <v>86.073319250633133</v>
      </c>
      <c r="BU546" s="25">
        <v>45.684680851063803</v>
      </c>
      <c r="BV546" s="25">
        <v>95.630730789337562</v>
      </c>
      <c r="BW546" s="25">
        <v>46.956283694264627</v>
      </c>
      <c r="BX546" s="25">
        <v>69.195773262666052</v>
      </c>
      <c r="BY546" s="25">
        <v>47.978221861771779</v>
      </c>
      <c r="BZ546">
        <v>8</v>
      </c>
      <c r="CA546">
        <v>0</v>
      </c>
      <c r="CB546">
        <v>7</v>
      </c>
      <c r="CC546">
        <v>32642.655470999998</v>
      </c>
      <c r="CD546" s="10">
        <v>2112.063701</v>
      </c>
      <c r="CE546" s="255">
        <v>6.4702570012307198E-2</v>
      </c>
      <c r="CF546" t="str">
        <f>IFERROR(VLOOKUP(CE546,'Rangos amb etnico'!$A$2:$C$6,3,9),"N.D.")</f>
        <v>0,1% - 30%</v>
      </c>
      <c r="CG546" s="256">
        <v>6.1447894835181264E-5</v>
      </c>
      <c r="CH546" s="232">
        <v>0</v>
      </c>
      <c r="CI546" s="311">
        <f t="shared" si="238"/>
        <v>0</v>
      </c>
      <c r="CJ546" s="232">
        <f>IFERROR(VLOOKUP(CI546,'Rangos amb etnico'!$A$2:$C$6,3,9),"N.D.")</f>
        <v>0</v>
      </c>
      <c r="CK546" s="311">
        <f t="shared" si="239"/>
        <v>0</v>
      </c>
      <c r="CL546" s="10">
        <v>0</v>
      </c>
      <c r="CM546" s="255">
        <f t="shared" si="240"/>
        <v>0</v>
      </c>
      <c r="CN546" s="232">
        <f>IFERROR(VLOOKUP(CM546,'Rangos amb etnico'!$A$2:$C$6,3,9),"N.D.")</f>
        <v>0</v>
      </c>
      <c r="CO546" s="311">
        <f t="shared" si="241"/>
        <v>0</v>
      </c>
      <c r="CP546">
        <v>0.84429033251726615</v>
      </c>
      <c r="CQ546" t="s">
        <v>2865</v>
      </c>
      <c r="CR546">
        <f t="shared" si="232"/>
        <v>2</v>
      </c>
      <c r="CS546" t="str">
        <f t="shared" si="242"/>
        <v>No es Candidato</v>
      </c>
      <c r="CT546">
        <v>0</v>
      </c>
      <c r="CU546">
        <v>0</v>
      </c>
      <c r="CV546" s="25">
        <v>44.344036102294922</v>
      </c>
      <c r="CW546" s="25">
        <v>29.104204177856449</v>
      </c>
      <c r="CX546" s="25">
        <v>36.015594482421882</v>
      </c>
      <c r="CY546" s="25">
        <v>56.123569488525391</v>
      </c>
      <c r="CZ546" s="25">
        <v>14.09231758117676</v>
      </c>
      <c r="DA546" s="25">
        <v>67.653633117675781</v>
      </c>
      <c r="DB546" s="25">
        <v>63.074901580810547</v>
      </c>
      <c r="DC546">
        <v>3865</v>
      </c>
      <c r="DD546" s="253" t="s">
        <v>380</v>
      </c>
    </row>
    <row r="547" spans="1:108" hidden="1">
      <c r="A547" s="13">
        <v>41306</v>
      </c>
      <c r="B547" s="13" t="s">
        <v>1541</v>
      </c>
      <c r="C547" s="13" t="s">
        <v>676</v>
      </c>
      <c r="D547" s="13" t="s">
        <v>677</v>
      </c>
      <c r="E547" s="13" t="s">
        <v>1542</v>
      </c>
      <c r="F547" s="14">
        <v>77.569299999999998</v>
      </c>
      <c r="G547" s="13">
        <v>44.64</v>
      </c>
      <c r="H547" s="13">
        <v>41.03</v>
      </c>
      <c r="I547" s="13">
        <v>44.06</v>
      </c>
      <c r="J547" s="14">
        <v>53.205064239514783</v>
      </c>
      <c r="K547" s="14">
        <v>51.834104871156157</v>
      </c>
      <c r="L547" s="14">
        <v>67.978617781328282</v>
      </c>
      <c r="M547" s="14">
        <v>45.3506</v>
      </c>
      <c r="N547" s="14">
        <f t="shared" si="216"/>
        <v>51.824825000000004</v>
      </c>
      <c r="O547" s="14">
        <f t="shared" si="217"/>
        <v>54.592096722999798</v>
      </c>
      <c r="P547" s="14">
        <f t="shared" si="233"/>
        <v>53.208460861499901</v>
      </c>
      <c r="Q547" s="14">
        <v>55.241410114344717</v>
      </c>
      <c r="R547" s="17">
        <f t="shared" si="218"/>
        <v>44.758589885655283</v>
      </c>
      <c r="S547" s="14">
        <f t="shared" si="234"/>
        <v>0.50282730897089756</v>
      </c>
      <c r="T547" s="13">
        <v>0</v>
      </c>
      <c r="U547" s="13">
        <f t="shared" si="235"/>
        <v>26.75466718947132</v>
      </c>
      <c r="V547" s="13">
        <f>IF($T547=1,$AU547,(VLOOKUP(U547,'Cortes naturales'!$A$35:$C$39,3,9)))</f>
        <v>4</v>
      </c>
      <c r="W547" s="13">
        <v>4</v>
      </c>
      <c r="X547" s="14" t="b">
        <f t="shared" si="219"/>
        <v>1</v>
      </c>
      <c r="Y547" s="17">
        <f>IF($T547=1,$AU547,VLOOKUP(U547,'Cortes naturales'!$A$45:$C$49,3,9))</f>
        <v>4</v>
      </c>
      <c r="Z547" s="14">
        <v>56.665069860748403</v>
      </c>
      <c r="AA547" s="14">
        <v>0.51815283297831161</v>
      </c>
      <c r="AB547" s="14">
        <v>29.361166479260728</v>
      </c>
      <c r="AC547" s="13">
        <v>3</v>
      </c>
      <c r="AD547" s="13">
        <f t="shared" si="220"/>
        <v>-1</v>
      </c>
      <c r="AE547" s="14">
        <f t="shared" si="221"/>
        <v>-3.4566089992485018</v>
      </c>
      <c r="AF547" s="14">
        <f t="shared" si="222"/>
        <v>-1.5325524007414049E-2</v>
      </c>
      <c r="AG547" s="13">
        <f t="shared" si="223"/>
        <v>-2.6064992897894079</v>
      </c>
      <c r="AH547" s="13">
        <f>IF($T547=1,$AU547,VLOOKUP(U547,'Cortes naturales'!$A$25:$C$29,3,9))</f>
        <v>4</v>
      </c>
      <c r="AI547" s="13" t="b">
        <f t="shared" si="224"/>
        <v>1</v>
      </c>
      <c r="AJ547" s="13" t="str">
        <f t="shared" si="225"/>
        <v>Efecto ponderador</v>
      </c>
      <c r="AK547" s="28">
        <v>0.81759069605862034</v>
      </c>
      <c r="AL547" s="28">
        <v>46.328833909659636</v>
      </c>
      <c r="AM547" s="28">
        <v>0.40889886517382285</v>
      </c>
      <c r="AN547" s="13">
        <v>3</v>
      </c>
      <c r="AO547" s="33">
        <f t="shared" si="226"/>
        <v>-1</v>
      </c>
      <c r="AP547" s="13">
        <f t="shared" si="236"/>
        <v>40.889886517382287</v>
      </c>
      <c r="AQ547" s="13">
        <f>IFERROR(VLOOKUP(U547,'Cortes naturales'!$E$15:$G$19,3,9),U547)</f>
        <v>4</v>
      </c>
      <c r="AR547" s="28">
        <f t="shared" si="227"/>
        <v>-0.31476338708772278</v>
      </c>
      <c r="AS547" s="13" t="b">
        <f t="shared" si="228"/>
        <v>1</v>
      </c>
      <c r="AT547" s="13" t="str">
        <f t="shared" si="237"/>
        <v>Efecto ponderador</v>
      </c>
      <c r="AU547" s="13">
        <v>2</v>
      </c>
      <c r="AV547">
        <f t="shared" si="229"/>
        <v>-2</v>
      </c>
      <c r="AW547" s="13">
        <v>0</v>
      </c>
      <c r="AX547" s="13">
        <v>0</v>
      </c>
      <c r="AY547" s="13">
        <v>0</v>
      </c>
      <c r="AZ547" s="13">
        <v>0</v>
      </c>
      <c r="BA547">
        <v>0</v>
      </c>
      <c r="BB547" t="s">
        <v>2839</v>
      </c>
      <c r="BC547">
        <v>6</v>
      </c>
      <c r="BD547" t="s">
        <v>2919</v>
      </c>
      <c r="BE547">
        <v>0</v>
      </c>
      <c r="BF547" s="232" t="s">
        <v>2846</v>
      </c>
      <c r="BG547" s="232" t="s">
        <v>2845</v>
      </c>
      <c r="BH547" s="253">
        <v>36.9</v>
      </c>
      <c r="BI547" s="253">
        <v>13.327734064185305</v>
      </c>
      <c r="BJ547" s="25">
        <v>0.92142857142857149</v>
      </c>
      <c r="BK547" t="s">
        <v>381</v>
      </c>
      <c r="BL547">
        <v>6.0544724702549146</v>
      </c>
      <c r="BM547" t="s">
        <v>379</v>
      </c>
      <c r="BN547" s="322">
        <v>47903.257204000001</v>
      </c>
      <c r="BO547" s="322">
        <v>9437.0075930000003</v>
      </c>
      <c r="BP547" s="10">
        <v>23760</v>
      </c>
      <c r="BQ547" s="254">
        <f t="shared" si="230"/>
        <v>2.0161303537037036</v>
      </c>
      <c r="BR547" s="254">
        <f t="shared" si="231"/>
        <v>0.39718045425084175</v>
      </c>
      <c r="BS547" s="25">
        <v>64.208738048401358</v>
      </c>
      <c r="BT547" s="25">
        <v>99.507575757575751</v>
      </c>
      <c r="BU547" s="25">
        <v>43.064974039459997</v>
      </c>
      <c r="BV547" s="25">
        <v>89.216404176966947</v>
      </c>
      <c r="BW547" s="25">
        <v>65.651078081787858</v>
      </c>
      <c r="BX547" s="25">
        <v>73.999423005601017</v>
      </c>
      <c r="BY547" s="25">
        <v>66.71854327069066</v>
      </c>
      <c r="BZ547">
        <v>30</v>
      </c>
      <c r="CA547">
        <v>0</v>
      </c>
      <c r="CB547">
        <v>7</v>
      </c>
      <c r="CC547">
        <v>50351.972304000003</v>
      </c>
      <c r="CD547" s="10">
        <v>17858.045582999999</v>
      </c>
      <c r="CE547" s="255">
        <v>0.35466427164326475</v>
      </c>
      <c r="CF547" t="str">
        <f>IFERROR(VLOOKUP(CE547,'Rangos amb etnico'!$A$2:$C$6,3,9),"N.D.")</f>
        <v>31% - 50%</v>
      </c>
      <c r="CG547" s="256">
        <v>5.1955786486292978E-4</v>
      </c>
      <c r="CH547" s="232">
        <v>0</v>
      </c>
      <c r="CI547" s="311">
        <f t="shared" si="238"/>
        <v>0</v>
      </c>
      <c r="CJ547" s="232">
        <f>IFERROR(VLOOKUP(CI547,'Rangos amb etnico'!$A$2:$C$6,3,9),"N.D.")</f>
        <v>0</v>
      </c>
      <c r="CK547" s="311">
        <f t="shared" si="239"/>
        <v>0</v>
      </c>
      <c r="CL547" s="10">
        <v>0</v>
      </c>
      <c r="CM547" s="255">
        <f t="shared" si="240"/>
        <v>0</v>
      </c>
      <c r="CN547" s="232">
        <f>IFERROR(VLOOKUP(CM547,'Rangos amb etnico'!$A$2:$C$6,3,9),"N.D.")</f>
        <v>0</v>
      </c>
      <c r="CO547" s="311">
        <f t="shared" si="241"/>
        <v>0</v>
      </c>
      <c r="CP547">
        <v>0.91745268939623914</v>
      </c>
      <c r="CQ547" t="s">
        <v>2864</v>
      </c>
      <c r="CR547">
        <f t="shared" si="232"/>
        <v>2</v>
      </c>
      <c r="CS547" t="str">
        <f t="shared" si="242"/>
        <v>No es Candidato</v>
      </c>
      <c r="CT547">
        <v>0</v>
      </c>
      <c r="CU547">
        <v>0</v>
      </c>
      <c r="CV547" s="25">
        <v>51.255485534667969</v>
      </c>
      <c r="CW547" s="25">
        <v>34.538673400878913</v>
      </c>
      <c r="CX547" s="25">
        <v>51.787246704101563</v>
      </c>
      <c r="CY547" s="25">
        <v>77.872032165527344</v>
      </c>
      <c r="CZ547" s="25">
        <v>47.650753021240227</v>
      </c>
      <c r="DA547" s="25">
        <v>34.772594451904297</v>
      </c>
      <c r="DB547" s="25">
        <v>60.911602020263672</v>
      </c>
      <c r="DC547">
        <v>312</v>
      </c>
      <c r="DD547" s="253" t="s">
        <v>380</v>
      </c>
    </row>
    <row r="548" spans="1:108">
      <c r="A548" s="13">
        <v>5134</v>
      </c>
      <c r="B548" s="13" t="s">
        <v>1543</v>
      </c>
      <c r="C548" s="13" t="s">
        <v>435</v>
      </c>
      <c r="D548" s="13" t="s">
        <v>436</v>
      </c>
      <c r="E548" s="13" t="s">
        <v>1544</v>
      </c>
      <c r="F548" s="14">
        <v>56.497433333333298</v>
      </c>
      <c r="G548" s="13">
        <v>70.77</v>
      </c>
      <c r="H548" s="13">
        <v>77.19</v>
      </c>
      <c r="I548" s="13">
        <v>0</v>
      </c>
      <c r="J548" s="14">
        <v>53.850082556279624</v>
      </c>
      <c r="K548" s="14">
        <v>40.010617468736825</v>
      </c>
      <c r="L548" s="14">
        <v>53.748871377802352</v>
      </c>
      <c r="M548" s="14">
        <v>40.371000000000002</v>
      </c>
      <c r="N548" s="14">
        <f t="shared" si="216"/>
        <v>51.114358333333321</v>
      </c>
      <c r="O548" s="14">
        <f t="shared" si="217"/>
        <v>46.995142850704703</v>
      </c>
      <c r="P548" s="14">
        <f t="shared" si="233"/>
        <v>49.054750592019012</v>
      </c>
      <c r="Q548" s="14">
        <v>54.818181598396329</v>
      </c>
      <c r="R548" s="17">
        <f t="shared" si="218"/>
        <v>45.181818401603671</v>
      </c>
      <c r="S548" s="14">
        <f t="shared" si="234"/>
        <v>0.50663636561443304</v>
      </c>
      <c r="T548" s="13">
        <v>0</v>
      </c>
      <c r="U548" s="13">
        <f t="shared" si="235"/>
        <v>24.852920556062969</v>
      </c>
      <c r="V548" s="13">
        <f>IF($T548=1,$AU548,(VLOOKUP(U548,'Cortes naturales'!$A$35:$C$39,3,9)))</f>
        <v>4</v>
      </c>
      <c r="W548" s="13">
        <v>4</v>
      </c>
      <c r="X548" s="14" t="b">
        <f t="shared" si="219"/>
        <v>1</v>
      </c>
      <c r="Y548" s="17">
        <f>IF($T548=1,$AU548,VLOOKUP(U548,'Cortes naturales'!$A$45:$C$49,3,9))</f>
        <v>4</v>
      </c>
      <c r="Z548" s="14">
        <v>56.176360326168805</v>
      </c>
      <c r="AA548" s="14">
        <v>0.5204031573937985</v>
      </c>
      <c r="AB548" s="14">
        <v>29.234355284629963</v>
      </c>
      <c r="AC548" s="13">
        <v>3</v>
      </c>
      <c r="AD548" s="13">
        <f t="shared" si="220"/>
        <v>-1</v>
      </c>
      <c r="AE548" s="14">
        <f t="shared" si="221"/>
        <v>-7.1216097341497928</v>
      </c>
      <c r="AF548" s="14">
        <f t="shared" si="222"/>
        <v>-1.3766791779365462E-2</v>
      </c>
      <c r="AG548" s="13">
        <f t="shared" si="223"/>
        <v>-4.3814347285669939</v>
      </c>
      <c r="AH548" s="13">
        <f>IF($T548=1,$AU548,VLOOKUP(U548,'Cortes naturales'!$A$25:$C$29,3,9))</f>
        <v>4</v>
      </c>
      <c r="AI548" s="13" t="b">
        <f t="shared" si="224"/>
        <v>1</v>
      </c>
      <c r="AJ548" s="13" t="str">
        <f t="shared" si="225"/>
        <v>Efecto ponderador</v>
      </c>
      <c r="AK548" s="28">
        <v>0.81759069605862034</v>
      </c>
      <c r="AL548" s="28">
        <v>45.92926954111222</v>
      </c>
      <c r="AM548" s="28">
        <v>0.4039007361038392</v>
      </c>
      <c r="AN548" s="13">
        <v>3</v>
      </c>
      <c r="AO548" s="33">
        <f t="shared" si="226"/>
        <v>-1</v>
      </c>
      <c r="AP548" s="13">
        <f t="shared" si="236"/>
        <v>40.390073610383922</v>
      </c>
      <c r="AQ548" s="13">
        <f>IFERROR(VLOOKUP(U548,'Cortes naturales'!$E$15:$G$19,3,9),U548)</f>
        <v>4</v>
      </c>
      <c r="AR548" s="28">
        <f t="shared" si="227"/>
        <v>-0.3109543304441873</v>
      </c>
      <c r="AS548" s="13" t="b">
        <f t="shared" si="228"/>
        <v>1</v>
      </c>
      <c r="AT548" s="13" t="str">
        <f t="shared" si="237"/>
        <v>Efecto ponderador</v>
      </c>
      <c r="AU548" s="13">
        <v>3</v>
      </c>
      <c r="AV548">
        <f t="shared" si="229"/>
        <v>-1</v>
      </c>
      <c r="AW548" s="13">
        <v>0</v>
      </c>
      <c r="AX548" s="13">
        <v>0</v>
      </c>
      <c r="AY548" s="13">
        <v>0</v>
      </c>
      <c r="AZ548" s="13">
        <v>0</v>
      </c>
      <c r="BA548">
        <v>1</v>
      </c>
      <c r="BB548" t="s">
        <v>2840</v>
      </c>
      <c r="BC548">
        <v>6</v>
      </c>
      <c r="BD548" t="s">
        <v>2919</v>
      </c>
      <c r="BE548">
        <v>1</v>
      </c>
      <c r="BF548" s="232" t="s">
        <v>2846</v>
      </c>
      <c r="BG548" s="232" t="s">
        <v>2845</v>
      </c>
      <c r="BH548" s="253">
        <v>59.3</v>
      </c>
      <c r="BI548" s="253">
        <v>24.641988651715753</v>
      </c>
      <c r="BJ548" s="25">
        <v>39.525365197334708</v>
      </c>
      <c r="BK548" t="s">
        <v>376</v>
      </c>
      <c r="BL548">
        <v>14.821118720087398</v>
      </c>
      <c r="BM548" t="s">
        <v>376</v>
      </c>
      <c r="BN548" s="322">
        <v>22306.630108000001</v>
      </c>
      <c r="BO548" s="322">
        <v>1229.386291</v>
      </c>
      <c r="BP548" s="10">
        <v>9940</v>
      </c>
      <c r="BQ548" s="254">
        <f t="shared" si="230"/>
        <v>2.2441277774647888</v>
      </c>
      <c r="BR548" s="254">
        <f t="shared" si="231"/>
        <v>0.12368071338028169</v>
      </c>
      <c r="BS548" s="25">
        <v>50.307045315435111</v>
      </c>
      <c r="BT548" s="25">
        <v>76.902062132796786</v>
      </c>
      <c r="BU548" s="25">
        <v>45.412284415177169</v>
      </c>
      <c r="BV548" s="25">
        <v>89.066606387271278</v>
      </c>
      <c r="BW548" s="25">
        <v>36.679803332308623</v>
      </c>
      <c r="BX548" s="25">
        <v>65.421999562670081</v>
      </c>
      <c r="BY548" s="25">
        <v>37.368508040569822</v>
      </c>
      <c r="BZ548">
        <v>61</v>
      </c>
      <c r="CA548">
        <v>0</v>
      </c>
      <c r="CB548">
        <v>7</v>
      </c>
      <c r="CC548">
        <v>23205.911914</v>
      </c>
      <c r="CD548" s="10">
        <v>679.99386100000004</v>
      </c>
      <c r="CE548" s="255">
        <v>2.9302613209945153E-2</v>
      </c>
      <c r="CF548" t="str">
        <f>IFERROR(VLOOKUP(CE548,'Rangos amb etnico'!$A$2:$C$6,3,9),"N.D.")</f>
        <v>0,1% - 30%</v>
      </c>
      <c r="CG548" s="256">
        <v>1.9783584765702515E-5</v>
      </c>
      <c r="CH548" s="232">
        <v>0</v>
      </c>
      <c r="CI548" s="311">
        <f t="shared" si="238"/>
        <v>0</v>
      </c>
      <c r="CJ548" s="232">
        <f>IFERROR(VLOOKUP(CI548,'Rangos amb etnico'!$A$2:$C$6,3,9),"N.D.")</f>
        <v>0</v>
      </c>
      <c r="CK548" s="311">
        <f t="shared" si="239"/>
        <v>0</v>
      </c>
      <c r="CL548" s="10">
        <v>0</v>
      </c>
      <c r="CM548" s="255">
        <f t="shared" si="240"/>
        <v>0</v>
      </c>
      <c r="CN548" s="232">
        <f>IFERROR(VLOOKUP(CM548,'Rangos amb etnico'!$A$2:$C$6,3,9),"N.D.")</f>
        <v>0</v>
      </c>
      <c r="CO548" s="311">
        <f t="shared" si="241"/>
        <v>0</v>
      </c>
      <c r="CP548">
        <v>0.89861198377074525</v>
      </c>
      <c r="CQ548" t="s">
        <v>2864</v>
      </c>
      <c r="CR548">
        <f t="shared" si="232"/>
        <v>1</v>
      </c>
      <c r="CS548" t="str">
        <f t="shared" si="242"/>
        <v>No es Candidato</v>
      </c>
      <c r="CT548">
        <v>0</v>
      </c>
      <c r="CU548">
        <v>0</v>
      </c>
      <c r="CV548" s="25">
        <v>42.476303100585938</v>
      </c>
      <c r="CW548" s="25">
        <v>14.753749847412109</v>
      </c>
      <c r="CX548" s="25">
        <v>45.353343963623047</v>
      </c>
      <c r="CY548" s="25">
        <v>57.228771209716797</v>
      </c>
      <c r="CZ548" s="25">
        <v>31.136627197265621</v>
      </c>
      <c r="DA548" s="25">
        <v>64.879051208496094</v>
      </c>
      <c r="DB548" s="25">
        <v>41.506275177001953</v>
      </c>
      <c r="DC548">
        <v>121</v>
      </c>
      <c r="DD548" s="253" t="s">
        <v>380</v>
      </c>
    </row>
    <row r="549" spans="1:108" hidden="1">
      <c r="A549" s="13">
        <v>41244</v>
      </c>
      <c r="B549" s="13" t="s">
        <v>1545</v>
      </c>
      <c r="C549" s="13" t="s">
        <v>676</v>
      </c>
      <c r="D549" s="13" t="s">
        <v>677</v>
      </c>
      <c r="E549" s="13" t="s">
        <v>1546</v>
      </c>
      <c r="F549" s="14">
        <v>58.710466666666697</v>
      </c>
      <c r="G549" s="13">
        <v>55.6</v>
      </c>
      <c r="H549" s="13">
        <v>52.39</v>
      </c>
      <c r="I549" s="13">
        <v>65.239999999999995</v>
      </c>
      <c r="J549" s="14">
        <v>51.494553108650905</v>
      </c>
      <c r="K549" s="14">
        <v>49.800979354885349</v>
      </c>
      <c r="L549" s="14">
        <v>48.90031771073685</v>
      </c>
      <c r="M549" s="14">
        <v>46.6648</v>
      </c>
      <c r="N549" s="14">
        <f t="shared" si="216"/>
        <v>57.98511666666667</v>
      </c>
      <c r="O549" s="14">
        <f t="shared" si="217"/>
        <v>49.215162543568283</v>
      </c>
      <c r="P549" s="14">
        <f t="shared" si="233"/>
        <v>53.600139605117477</v>
      </c>
      <c r="Q549" s="14">
        <v>54.60199927850541</v>
      </c>
      <c r="R549" s="17">
        <f t="shared" si="218"/>
        <v>45.39800072149459</v>
      </c>
      <c r="S549" s="14">
        <f t="shared" si="234"/>
        <v>0.50858200649345131</v>
      </c>
      <c r="T549" s="13">
        <v>0</v>
      </c>
      <c r="U549" s="13">
        <f t="shared" si="235"/>
        <v>27.260066548699754</v>
      </c>
      <c r="V549" s="13">
        <f>IF($T549=1,$AU549,(VLOOKUP(U549,'Cortes naturales'!$A$35:$C$39,3,9)))</f>
        <v>4</v>
      </c>
      <c r="W549" s="13">
        <v>4</v>
      </c>
      <c r="X549" s="14" t="b">
        <f t="shared" si="219"/>
        <v>1</v>
      </c>
      <c r="Y549" s="17">
        <f>IF($T549=1,$AU549,VLOOKUP(U549,'Cortes naturales'!$A$45:$C$49,3,9))</f>
        <v>4</v>
      </c>
      <c r="Z549" s="14">
        <v>52.529528911219067</v>
      </c>
      <c r="AA549" s="14">
        <v>0.5145862091342146</v>
      </c>
      <c r="AB549" s="14">
        <v>27.030971150030346</v>
      </c>
      <c r="AC549" s="13">
        <v>4</v>
      </c>
      <c r="AD549" s="13">
        <f t="shared" si="220"/>
        <v>0</v>
      </c>
      <c r="AE549" s="14">
        <f t="shared" si="221"/>
        <v>1.0706106938984092</v>
      </c>
      <c r="AF549" s="14">
        <f t="shared" si="222"/>
        <v>-6.0042026407632898E-3</v>
      </c>
      <c r="AG549" s="13">
        <f t="shared" si="223"/>
        <v>0.22909539866940776</v>
      </c>
      <c r="AH549" s="13">
        <f>IF($T549=1,$AU549,VLOOKUP(U549,'Cortes naturales'!$A$25:$C$29,3,9))</f>
        <v>4</v>
      </c>
      <c r="AI549" s="13" t="b">
        <f t="shared" si="224"/>
        <v>1</v>
      </c>
      <c r="AJ549" s="13">
        <f t="shared" si="225"/>
        <v>0</v>
      </c>
      <c r="AK549" s="28">
        <v>0.81759069605862034</v>
      </c>
      <c r="AL549" s="28">
        <v>42.947654106155021</v>
      </c>
      <c r="AM549" s="28">
        <v>0.36660386993144173</v>
      </c>
      <c r="AN549" s="13">
        <v>3</v>
      </c>
      <c r="AO549" s="33">
        <f t="shared" si="226"/>
        <v>-1</v>
      </c>
      <c r="AP549" s="13">
        <f t="shared" si="236"/>
        <v>36.660386993144172</v>
      </c>
      <c r="AQ549" s="13">
        <f>IFERROR(VLOOKUP(U549,'Cortes naturales'!$E$15:$G$19,3,9),U549)</f>
        <v>4</v>
      </c>
      <c r="AR549" s="28">
        <f t="shared" si="227"/>
        <v>-0.30900868956516903</v>
      </c>
      <c r="AS549" s="13" t="b">
        <f t="shared" si="228"/>
        <v>1</v>
      </c>
      <c r="AT549" s="13" t="str">
        <f t="shared" si="237"/>
        <v>Efecto ponderador</v>
      </c>
      <c r="AU549" s="13">
        <v>3</v>
      </c>
      <c r="AV549">
        <f t="shared" si="229"/>
        <v>-1</v>
      </c>
      <c r="AW549" s="13">
        <v>0</v>
      </c>
      <c r="AX549" s="13">
        <v>0</v>
      </c>
      <c r="AY549" s="13">
        <v>0</v>
      </c>
      <c r="AZ549" s="13">
        <v>0</v>
      </c>
      <c r="BA549">
        <v>0</v>
      </c>
      <c r="BB549" t="s">
        <v>2839</v>
      </c>
      <c r="BC549">
        <v>6</v>
      </c>
      <c r="BD549" t="s">
        <v>2919</v>
      </c>
      <c r="BE549">
        <v>0</v>
      </c>
      <c r="BF549" s="232" t="s">
        <v>2846</v>
      </c>
      <c r="BG549" s="232" t="s">
        <v>2845</v>
      </c>
      <c r="BH549" s="253">
        <v>32.299999999999997</v>
      </c>
      <c r="BI549" s="253">
        <v>9.6705062952049285</v>
      </c>
      <c r="BJ549" s="25">
        <v>24.594000000000001</v>
      </c>
      <c r="BK549" t="s">
        <v>379</v>
      </c>
      <c r="BL549">
        <v>3.7555166420214157</v>
      </c>
      <c r="BM549" t="s">
        <v>383</v>
      </c>
      <c r="BN549" s="322">
        <v>14435.833486</v>
      </c>
      <c r="BO549" s="322">
        <v>752.60705499999995</v>
      </c>
      <c r="BP549" s="10">
        <v>4683</v>
      </c>
      <c r="BQ549" s="254">
        <f t="shared" si="230"/>
        <v>3.0826037766389067</v>
      </c>
      <c r="BR549" s="254">
        <f t="shared" si="231"/>
        <v>0.16071045376895152</v>
      </c>
      <c r="BS549" s="25">
        <v>65.373265661574038</v>
      </c>
      <c r="BT549" s="25">
        <v>52.369141253469998</v>
      </c>
      <c r="BU549" s="25">
        <v>52.932327650111169</v>
      </c>
      <c r="BV549" s="25">
        <v>92.24451216952508</v>
      </c>
      <c r="BW549" s="25">
        <v>59.032207219593772</v>
      </c>
      <c r="BX549" s="25">
        <v>65.729811683670079</v>
      </c>
      <c r="BY549" s="25">
        <v>57.18528198787687</v>
      </c>
      <c r="BZ549">
        <v>54</v>
      </c>
      <c r="CA549">
        <v>0</v>
      </c>
      <c r="CB549">
        <v>7</v>
      </c>
      <c r="CC549">
        <v>8044.1799499999997</v>
      </c>
      <c r="CD549" s="10">
        <v>219.62443099999999</v>
      </c>
      <c r="CE549" s="255">
        <v>2.7302277219693475E-2</v>
      </c>
      <c r="CF549" t="str">
        <f>IFERROR(VLOOKUP(CE549,'Rangos amb etnico'!$A$2:$C$6,3,9),"N.D.")</f>
        <v>0,1% - 30%</v>
      </c>
      <c r="CG549" s="256">
        <v>6.3897026083705813E-6</v>
      </c>
      <c r="CH549" s="232">
        <v>0</v>
      </c>
      <c r="CI549" s="311">
        <f t="shared" si="238"/>
        <v>0</v>
      </c>
      <c r="CJ549" s="232">
        <f>IFERROR(VLOOKUP(CI549,'Rangos amb etnico'!$A$2:$C$6,3,9),"N.D.")</f>
        <v>0</v>
      </c>
      <c r="CK549" s="311">
        <f t="shared" si="239"/>
        <v>0</v>
      </c>
      <c r="CL549" s="10">
        <v>0</v>
      </c>
      <c r="CM549" s="255">
        <f t="shared" si="240"/>
        <v>0</v>
      </c>
      <c r="CN549" s="232">
        <f>IFERROR(VLOOKUP(CM549,'Rangos amb etnico'!$A$2:$C$6,3,9),"N.D.")</f>
        <v>0</v>
      </c>
      <c r="CO549" s="311">
        <f t="shared" si="241"/>
        <v>0</v>
      </c>
      <c r="CP549">
        <v>0.91666816083060265</v>
      </c>
      <c r="CQ549" t="s">
        <v>2864</v>
      </c>
      <c r="CR549">
        <f t="shared" si="232"/>
        <v>2</v>
      </c>
      <c r="CS549" t="str">
        <f t="shared" si="242"/>
        <v>No es Candidato</v>
      </c>
      <c r="CT549">
        <v>0</v>
      </c>
      <c r="CU549">
        <v>0</v>
      </c>
      <c r="CV549" s="25">
        <v>48.363086700439453</v>
      </c>
      <c r="CW549" s="25">
        <v>19.611211776733398</v>
      </c>
      <c r="CX549" s="25">
        <v>51.22796630859375</v>
      </c>
      <c r="CY549" s="25">
        <v>54.667751312255859</v>
      </c>
      <c r="CZ549" s="25">
        <v>32.308246612548828</v>
      </c>
      <c r="DA549" s="25">
        <v>76.462806701660156</v>
      </c>
      <c r="DB549" s="25">
        <v>55.900543212890618</v>
      </c>
      <c r="DC549">
        <v>48</v>
      </c>
      <c r="DD549" s="253" t="s">
        <v>380</v>
      </c>
    </row>
    <row r="550" spans="1:108">
      <c r="A550" s="13">
        <v>5591</v>
      </c>
      <c r="B550" s="13" t="s">
        <v>1547</v>
      </c>
      <c r="C550" s="13" t="s">
        <v>435</v>
      </c>
      <c r="D550" s="13" t="s">
        <v>436</v>
      </c>
      <c r="E550" s="13" t="s">
        <v>1548</v>
      </c>
      <c r="F550" s="14">
        <v>45.6210666666667</v>
      </c>
      <c r="G550" s="13">
        <v>47.97</v>
      </c>
      <c r="H550" s="13">
        <v>43.68</v>
      </c>
      <c r="I550" s="13">
        <v>50.39</v>
      </c>
      <c r="J550" s="14">
        <v>66.607206049177535</v>
      </c>
      <c r="K550" s="14">
        <v>68.864645870855327</v>
      </c>
      <c r="L550" s="14">
        <v>69.007049470076467</v>
      </c>
      <c r="M550" s="14">
        <v>62.200499999999998</v>
      </c>
      <c r="N550" s="14">
        <f t="shared" si="216"/>
        <v>46.915266666666682</v>
      </c>
      <c r="O550" s="14">
        <f t="shared" si="217"/>
        <v>66.66985034752733</v>
      </c>
      <c r="P550" s="14">
        <f t="shared" si="233"/>
        <v>56.792558507097006</v>
      </c>
      <c r="Q550" s="14">
        <v>54.260033392354082</v>
      </c>
      <c r="R550" s="17">
        <f t="shared" si="218"/>
        <v>45.739966607645918</v>
      </c>
      <c r="S550" s="14">
        <f t="shared" si="234"/>
        <v>0.51165969946881329</v>
      </c>
      <c r="T550" s="13">
        <v>0</v>
      </c>
      <c r="U550" s="13">
        <f t="shared" si="235"/>
        <v>29.058463417806248</v>
      </c>
      <c r="V550" s="13">
        <f>IF($T550=1,$AU550,(VLOOKUP(U550,'Cortes naturales'!$A$35:$C$39,3,9)))</f>
        <v>4</v>
      </c>
      <c r="W550" s="13">
        <v>4</v>
      </c>
      <c r="X550" s="14" t="b">
        <f t="shared" si="219"/>
        <v>1</v>
      </c>
      <c r="Y550" s="17">
        <f>IF($T550=1,$AU550,VLOOKUP(U550,'Cortes naturales'!$A$45:$C$49,3,9))</f>
        <v>3</v>
      </c>
      <c r="Z550" s="14">
        <v>56.303426274013944</v>
      </c>
      <c r="AA550" s="14">
        <v>0.51884650136996313</v>
      </c>
      <c r="AB550" s="14">
        <v>29.212835737413794</v>
      </c>
      <c r="AC550" s="13">
        <v>3</v>
      </c>
      <c r="AD550" s="13">
        <f t="shared" si="220"/>
        <v>0</v>
      </c>
      <c r="AE550" s="14">
        <f t="shared" si="221"/>
        <v>0.48913223308306186</v>
      </c>
      <c r="AF550" s="14">
        <f t="shared" si="222"/>
        <v>-7.1868019011498419E-3</v>
      </c>
      <c r="AG550" s="13">
        <f t="shared" si="223"/>
        <v>-0.15437231960754616</v>
      </c>
      <c r="AH550" s="13">
        <f>IF($T550=1,$AU550,VLOOKUP(U550,'Cortes naturales'!$A$25:$C$29,3,9))</f>
        <v>3</v>
      </c>
      <c r="AI550" s="13" t="b">
        <f t="shared" si="224"/>
        <v>1</v>
      </c>
      <c r="AJ550" s="13">
        <f t="shared" si="225"/>
        <v>0</v>
      </c>
      <c r="AK550" s="28">
        <v>0.81759069605862034</v>
      </c>
      <c r="AL550" s="28">
        <v>46.033157477856271</v>
      </c>
      <c r="AM550" s="28">
        <v>0.40520026468429982</v>
      </c>
      <c r="AN550" s="13">
        <v>3</v>
      </c>
      <c r="AO550" s="33">
        <f t="shared" si="226"/>
        <v>0</v>
      </c>
      <c r="AP550" s="13">
        <f t="shared" si="236"/>
        <v>40.520026468429982</v>
      </c>
      <c r="AQ550" s="13">
        <f>IFERROR(VLOOKUP(U550,'Cortes naturales'!$E$15:$G$19,3,9),U550)</f>
        <v>4</v>
      </c>
      <c r="AR550" s="28">
        <f t="shared" si="227"/>
        <v>-0.30593099658980705</v>
      </c>
      <c r="AS550" s="13" t="b">
        <f t="shared" si="228"/>
        <v>0</v>
      </c>
      <c r="AT550" s="13">
        <f t="shared" si="237"/>
        <v>0</v>
      </c>
      <c r="AU550" s="13">
        <v>3</v>
      </c>
      <c r="AV550">
        <f t="shared" si="229"/>
        <v>0</v>
      </c>
      <c r="AW550" s="13">
        <v>0</v>
      </c>
      <c r="AX550" s="13">
        <v>0</v>
      </c>
      <c r="AY550" s="13">
        <v>0</v>
      </c>
      <c r="AZ550" s="13">
        <v>0</v>
      </c>
      <c r="BA550">
        <v>0</v>
      </c>
      <c r="BB550" t="s">
        <v>2840</v>
      </c>
      <c r="BC550">
        <v>6</v>
      </c>
      <c r="BD550" t="s">
        <v>2919</v>
      </c>
      <c r="BE550">
        <v>1</v>
      </c>
      <c r="BF550" s="232" t="s">
        <v>2846</v>
      </c>
      <c r="BG550" s="232" t="s">
        <v>2845</v>
      </c>
      <c r="BH550" s="253">
        <v>29.3</v>
      </c>
      <c r="BI550" s="253">
        <v>13.150419625564881</v>
      </c>
      <c r="BJ550" s="25">
        <v>18.843232119862684</v>
      </c>
      <c r="BK550" t="s">
        <v>379</v>
      </c>
      <c r="BL550">
        <v>6.986851078514432</v>
      </c>
      <c r="BM550" t="s">
        <v>379</v>
      </c>
      <c r="BN550" s="322">
        <v>49303.014497999997</v>
      </c>
      <c r="BO550" s="322">
        <v>13506.118721999999</v>
      </c>
      <c r="BP550" s="10">
        <v>20006</v>
      </c>
      <c r="BQ550" s="254">
        <f t="shared" si="230"/>
        <v>2.464411401479556</v>
      </c>
      <c r="BR550" s="254">
        <f t="shared" si="231"/>
        <v>0.67510340507847644</v>
      </c>
      <c r="BS550" s="25">
        <v>72.260234719222282</v>
      </c>
      <c r="BT550" s="25">
        <v>88.069904387350448</v>
      </c>
      <c r="BU550" s="25">
        <v>66.206666666666663</v>
      </c>
      <c r="BV550" s="25">
        <v>87.86152189259208</v>
      </c>
      <c r="BW550" s="25">
        <v>65.802630763588496</v>
      </c>
      <c r="BX550" s="25">
        <v>78.599581916457865</v>
      </c>
      <c r="BY550" s="25">
        <v>67.59403059295542</v>
      </c>
      <c r="BZ550">
        <v>29</v>
      </c>
      <c r="CA550">
        <v>0</v>
      </c>
      <c r="CB550">
        <v>6</v>
      </c>
      <c r="CC550">
        <v>36965.442770000001</v>
      </c>
      <c r="CD550" s="10">
        <v>1776.8543360000001</v>
      </c>
      <c r="CE550" s="255">
        <v>4.80679846595004E-2</v>
      </c>
      <c r="CF550" t="str">
        <f>IFERROR(VLOOKUP(CE550,'Rangos amb etnico'!$A$2:$C$6,3,9),"N.D.")</f>
        <v>0,1% - 30%</v>
      </c>
      <c r="CG550" s="256">
        <v>5.1695390780244202E-5</v>
      </c>
      <c r="CH550" s="232">
        <v>0</v>
      </c>
      <c r="CI550" s="311">
        <f t="shared" si="238"/>
        <v>0</v>
      </c>
      <c r="CJ550" s="232">
        <f>IFERROR(VLOOKUP(CI550,'Rangos amb etnico'!$A$2:$C$6,3,9),"N.D.")</f>
        <v>0</v>
      </c>
      <c r="CK550" s="311">
        <f t="shared" si="239"/>
        <v>0</v>
      </c>
      <c r="CL550" s="10">
        <v>0</v>
      </c>
      <c r="CM550" s="255">
        <f t="shared" si="240"/>
        <v>0</v>
      </c>
      <c r="CN550" s="232">
        <f>IFERROR(VLOOKUP(CM550,'Rangos amb etnico'!$A$2:$C$6,3,9),"N.D.")</f>
        <v>0</v>
      </c>
      <c r="CO550" s="311">
        <f t="shared" si="241"/>
        <v>0</v>
      </c>
      <c r="CP550">
        <v>0.8544725889866549</v>
      </c>
      <c r="CQ550" t="s">
        <v>2864</v>
      </c>
      <c r="CR550">
        <f t="shared" si="232"/>
        <v>3</v>
      </c>
      <c r="CS550" t="str">
        <f t="shared" si="242"/>
        <v>Candidato</v>
      </c>
      <c r="CT550">
        <v>0</v>
      </c>
      <c r="CU550">
        <v>0</v>
      </c>
      <c r="CV550" s="25">
        <v>40.494663238525391</v>
      </c>
      <c r="CW550" s="25">
        <v>31.11333084106445</v>
      </c>
      <c r="CX550" s="25">
        <v>56.587112426757813</v>
      </c>
      <c r="CY550" s="25">
        <v>51.986804962158203</v>
      </c>
      <c r="CZ550" s="25">
        <v>24.82061767578125</v>
      </c>
      <c r="DA550" s="25">
        <v>21.71987152099609</v>
      </c>
      <c r="DB550" s="25">
        <v>56.740242004394531</v>
      </c>
      <c r="DC550">
        <v>316</v>
      </c>
      <c r="DD550" s="253" t="s">
        <v>380</v>
      </c>
    </row>
    <row r="551" spans="1:108">
      <c r="A551" s="13">
        <v>5021</v>
      </c>
      <c r="B551" s="13" t="s">
        <v>1549</v>
      </c>
      <c r="C551" s="13" t="s">
        <v>435</v>
      </c>
      <c r="D551" s="13" t="s">
        <v>436</v>
      </c>
      <c r="E551" s="13" t="s">
        <v>1550</v>
      </c>
      <c r="F551" s="14">
        <v>58.135933333333298</v>
      </c>
      <c r="G551" s="13">
        <v>61.29</v>
      </c>
      <c r="H551" s="13">
        <v>29.31</v>
      </c>
      <c r="I551" s="13">
        <v>51.67</v>
      </c>
      <c r="J551" s="14">
        <v>59.404509482865294</v>
      </c>
      <c r="K551" s="14">
        <v>38.875220635386469</v>
      </c>
      <c r="L551" s="14">
        <v>51.87270155498809</v>
      </c>
      <c r="M551" s="14">
        <v>61.3506</v>
      </c>
      <c r="N551" s="14">
        <f t="shared" si="216"/>
        <v>50.10148333333332</v>
      </c>
      <c r="O551" s="14">
        <f t="shared" si="217"/>
        <v>52.875757918309958</v>
      </c>
      <c r="P551" s="14">
        <f t="shared" si="233"/>
        <v>51.488620625821639</v>
      </c>
      <c r="Q551" s="14">
        <v>53.790650366470175</v>
      </c>
      <c r="R551" s="17">
        <f t="shared" si="218"/>
        <v>46.209349633529825</v>
      </c>
      <c r="S551" s="14">
        <f t="shared" si="234"/>
        <v>0.51588414670176852</v>
      </c>
      <c r="T551" s="13">
        <v>0</v>
      </c>
      <c r="U551" s="13">
        <f t="shared" si="235"/>
        <v>26.562163116403074</v>
      </c>
      <c r="V551" s="13">
        <f>IF($T551=1,$AU551,(VLOOKUP(U551,'Cortes naturales'!$A$35:$C$39,3,9)))</f>
        <v>4</v>
      </c>
      <c r="W551" s="13">
        <v>4</v>
      </c>
      <c r="X551" s="14" t="b">
        <f t="shared" si="219"/>
        <v>1</v>
      </c>
      <c r="Y551" s="17">
        <f>IF($T551=1,$AU551,VLOOKUP(U551,'Cortes naturales'!$A$45:$C$49,3,9))</f>
        <v>4</v>
      </c>
      <c r="Z551" s="14">
        <v>49.35791642102842</v>
      </c>
      <c r="AA551" s="14">
        <v>0.52035930220250182</v>
      </c>
      <c r="AB551" s="14">
        <v>25.683850947015756</v>
      </c>
      <c r="AC551" s="13">
        <v>4</v>
      </c>
      <c r="AD551" s="13">
        <f t="shared" si="220"/>
        <v>0</v>
      </c>
      <c r="AE551" s="14">
        <f t="shared" si="221"/>
        <v>2.1307042047932185</v>
      </c>
      <c r="AF551" s="14">
        <f t="shared" si="222"/>
        <v>-4.4751555007332966E-3</v>
      </c>
      <c r="AG551" s="13">
        <f t="shared" si="223"/>
        <v>0.87831216938731771</v>
      </c>
      <c r="AH551" s="13">
        <f>IF($T551=1,$AU551,VLOOKUP(U551,'Cortes naturales'!$A$25:$C$29,3,9))</f>
        <v>4</v>
      </c>
      <c r="AI551" s="13" t="b">
        <f t="shared" si="224"/>
        <v>1</v>
      </c>
      <c r="AJ551" s="13">
        <f t="shared" si="225"/>
        <v>0</v>
      </c>
      <c r="AK551" s="28">
        <v>0.81759069605862034</v>
      </c>
      <c r="AL551" s="28">
        <v>40.354573242671833</v>
      </c>
      <c r="AM551" s="28">
        <v>0.33416716169414157</v>
      </c>
      <c r="AN551" s="13">
        <v>4</v>
      </c>
      <c r="AO551" s="33">
        <f t="shared" si="226"/>
        <v>0</v>
      </c>
      <c r="AP551" s="13">
        <f t="shared" si="236"/>
        <v>33.416716169414158</v>
      </c>
      <c r="AQ551" s="13">
        <f>IFERROR(VLOOKUP(U551,'Cortes naturales'!$E$15:$G$19,3,9),U551)</f>
        <v>4</v>
      </c>
      <c r="AR551" s="28">
        <f t="shared" si="227"/>
        <v>-0.30170654935685182</v>
      </c>
      <c r="AS551" s="13" t="b">
        <f t="shared" si="228"/>
        <v>1</v>
      </c>
      <c r="AT551" s="13">
        <f t="shared" si="237"/>
        <v>0</v>
      </c>
      <c r="AU551" s="13">
        <v>3</v>
      </c>
      <c r="AV551">
        <f t="shared" si="229"/>
        <v>-1</v>
      </c>
      <c r="AW551" s="13">
        <v>0</v>
      </c>
      <c r="AX551" s="13">
        <v>0</v>
      </c>
      <c r="AY551" s="13">
        <v>0</v>
      </c>
      <c r="AZ551" s="13">
        <v>0</v>
      </c>
      <c r="BA551">
        <v>1</v>
      </c>
      <c r="BB551" t="s">
        <v>2840</v>
      </c>
      <c r="BC551">
        <v>6</v>
      </c>
      <c r="BD551" t="s">
        <v>2919</v>
      </c>
      <c r="BE551">
        <v>1</v>
      </c>
      <c r="BF551" s="232" t="s">
        <v>2846</v>
      </c>
      <c r="BG551" s="232" t="s">
        <v>2845</v>
      </c>
      <c r="BH551" s="253">
        <v>31.9</v>
      </c>
      <c r="BI551" s="253">
        <v>12.676424464192367</v>
      </c>
      <c r="BJ551" s="25">
        <v>18.342995711979899</v>
      </c>
      <c r="BK551" t="s">
        <v>379</v>
      </c>
      <c r="BL551">
        <v>22.908260714433165</v>
      </c>
      <c r="BM551" t="s">
        <v>384</v>
      </c>
      <c r="BN551" s="322">
        <v>16263.807421</v>
      </c>
      <c r="BO551" s="322">
        <v>1794.6838809999999</v>
      </c>
      <c r="BP551" s="10">
        <v>5196</v>
      </c>
      <c r="BQ551" s="254">
        <f t="shared" si="230"/>
        <v>3.1300630140492687</v>
      </c>
      <c r="BR551" s="254">
        <f t="shared" si="231"/>
        <v>0.3453972057351809</v>
      </c>
      <c r="BS551" s="25">
        <v>59.861331569664912</v>
      </c>
      <c r="BT551" s="25">
        <v>83.249934736977153</v>
      </c>
      <c r="BU551" s="25">
        <v>45.832051683633487</v>
      </c>
      <c r="BV551" s="25">
        <v>91.356575473809229</v>
      </c>
      <c r="BW551" s="25">
        <v>44.566387125643033</v>
      </c>
      <c r="BX551" s="25">
        <v>70.074973366021197</v>
      </c>
      <c r="BY551" s="25">
        <v>44.731284091234819</v>
      </c>
      <c r="BZ551">
        <v>72</v>
      </c>
      <c r="CA551">
        <v>0</v>
      </c>
      <c r="CB551">
        <v>7</v>
      </c>
      <c r="CC551">
        <v>12885.643964000001</v>
      </c>
      <c r="CD551" s="10">
        <v>4042.14831</v>
      </c>
      <c r="CE551" s="255">
        <v>0.31369393111380239</v>
      </c>
      <c r="CF551" t="str">
        <f>IFERROR(VLOOKUP(CE551,'Rangos amb etnico'!$A$2:$C$6,3,9),"N.D.")</f>
        <v>31% - 50%</v>
      </c>
      <c r="CG551" s="256">
        <v>1.1760133188382735E-4</v>
      </c>
      <c r="CH551" s="232">
        <v>0</v>
      </c>
      <c r="CI551" s="311">
        <f t="shared" si="238"/>
        <v>0</v>
      </c>
      <c r="CJ551" s="232">
        <f>IFERROR(VLOOKUP(CI551,'Rangos amb etnico'!$A$2:$C$6,3,9),"N.D.")</f>
        <v>0</v>
      </c>
      <c r="CK551" s="311">
        <f t="shared" si="239"/>
        <v>0</v>
      </c>
      <c r="CL551" s="10">
        <v>0</v>
      </c>
      <c r="CM551" s="255">
        <f t="shared" si="240"/>
        <v>0</v>
      </c>
      <c r="CN551" s="232">
        <f>IFERROR(VLOOKUP(CM551,'Rangos amb etnico'!$A$2:$C$6,3,9),"N.D.")</f>
        <v>0</v>
      </c>
      <c r="CO551" s="311">
        <f t="shared" si="241"/>
        <v>0</v>
      </c>
      <c r="CP551">
        <v>0.92905981949584726</v>
      </c>
      <c r="CQ551" t="s">
        <v>2864</v>
      </c>
      <c r="CR551">
        <f t="shared" si="232"/>
        <v>2</v>
      </c>
      <c r="CS551" t="str">
        <f t="shared" si="242"/>
        <v>No es Candidato</v>
      </c>
      <c r="CT551">
        <v>0</v>
      </c>
      <c r="CU551">
        <v>0</v>
      </c>
      <c r="CV551" s="25">
        <v>47.308425903320313</v>
      </c>
      <c r="CW551" s="25">
        <v>21.61342811584473</v>
      </c>
      <c r="CX551" s="25">
        <v>55.316253662109382</v>
      </c>
      <c r="CY551" s="25">
        <v>54.551227569580078</v>
      </c>
      <c r="CZ551" s="25">
        <v>47.491252899169922</v>
      </c>
      <c r="DA551" s="25">
        <v>29.02475738525391</v>
      </c>
      <c r="DB551" s="25">
        <v>75.853645324707031</v>
      </c>
      <c r="DC551">
        <v>53</v>
      </c>
      <c r="DD551" s="253" t="s">
        <v>380</v>
      </c>
    </row>
    <row r="552" spans="1:108" hidden="1">
      <c r="A552" s="13">
        <v>25777</v>
      </c>
      <c r="B552" s="13" t="s">
        <v>1551</v>
      </c>
      <c r="C552" s="13" t="s">
        <v>461</v>
      </c>
      <c r="D552" s="13" t="s">
        <v>462</v>
      </c>
      <c r="E552" s="13" t="s">
        <v>1552</v>
      </c>
      <c r="F552" s="14">
        <v>58.124466666666699</v>
      </c>
      <c r="G552" s="13">
        <v>60.04</v>
      </c>
      <c r="H552" s="13">
        <v>61.11</v>
      </c>
      <c r="I552" s="13">
        <v>66.959999999999994</v>
      </c>
      <c r="J552" s="14">
        <v>50.912751570986373</v>
      </c>
      <c r="K552" s="14">
        <v>53.195734085429464</v>
      </c>
      <c r="L552" s="14">
        <v>73.131179435678646</v>
      </c>
      <c r="M552" s="14">
        <v>51.908700000000003</v>
      </c>
      <c r="N552" s="14">
        <f t="shared" si="216"/>
        <v>61.558616666666666</v>
      </c>
      <c r="O552" s="14">
        <f t="shared" si="217"/>
        <v>57.28709127302362</v>
      </c>
      <c r="P552" s="14">
        <f t="shared" si="233"/>
        <v>59.422853969845143</v>
      </c>
      <c r="Q552" s="14">
        <v>55.652556645232998</v>
      </c>
      <c r="R552" s="17">
        <f t="shared" si="218"/>
        <v>44.347443354767002</v>
      </c>
      <c r="S552" s="14">
        <f t="shared" si="234"/>
        <v>0.49912699019290308</v>
      </c>
      <c r="T552" s="13">
        <v>0</v>
      </c>
      <c r="U552" s="13">
        <f t="shared" si="235"/>
        <v>29.659550250641207</v>
      </c>
      <c r="V552" s="13">
        <f>IF($T552=1,$AU552,(VLOOKUP(U552,'Cortes naturales'!$A$35:$C$39,3,9)))</f>
        <v>3</v>
      </c>
      <c r="W552" s="13">
        <v>3</v>
      </c>
      <c r="X552" s="14" t="b">
        <f t="shared" si="219"/>
        <v>1</v>
      </c>
      <c r="Y552" s="17">
        <f>IF($T552=1,$AU552,VLOOKUP(U552,'Cortes naturales'!$A$45:$C$49,3,9))</f>
        <v>3</v>
      </c>
      <c r="Z552" s="14">
        <v>59.47694667676241</v>
      </c>
      <c r="AA552" s="14">
        <v>0.51578267515803977</v>
      </c>
      <c r="AB552" s="14">
        <v>30.677178667172598</v>
      </c>
      <c r="AC552" s="13">
        <v>3</v>
      </c>
      <c r="AD552" s="13">
        <f t="shared" si="220"/>
        <v>0</v>
      </c>
      <c r="AE552" s="14">
        <f t="shared" si="221"/>
        <v>-5.4092706917266753E-2</v>
      </c>
      <c r="AF552" s="14">
        <f t="shared" si="222"/>
        <v>-1.6655684965136697E-2</v>
      </c>
      <c r="AG552" s="13">
        <f t="shared" si="223"/>
        <v>-1.0176284165313909</v>
      </c>
      <c r="AH552" s="13">
        <f>IF($T552=1,$AU552,VLOOKUP(U552,'Cortes naturales'!$A$25:$C$29,3,9))</f>
        <v>3</v>
      </c>
      <c r="AI552" s="13" t="b">
        <f t="shared" si="224"/>
        <v>1</v>
      </c>
      <c r="AJ552" s="13">
        <f t="shared" si="225"/>
        <v>0</v>
      </c>
      <c r="AK552" s="28">
        <v>0.81759069605862034</v>
      </c>
      <c r="AL552" s="28">
        <v>48.627798232895621</v>
      </c>
      <c r="AM552" s="28">
        <v>0.43765648552068687</v>
      </c>
      <c r="AN552" s="13">
        <v>3</v>
      </c>
      <c r="AO552" s="33">
        <f t="shared" si="226"/>
        <v>0</v>
      </c>
      <c r="AP552" s="13">
        <f t="shared" si="236"/>
        <v>43.76564855206869</v>
      </c>
      <c r="AQ552" s="13">
        <f>IFERROR(VLOOKUP(U552,'Cortes naturales'!$E$15:$G$19,3,9),U552)</f>
        <v>4</v>
      </c>
      <c r="AR552" s="28">
        <f t="shared" si="227"/>
        <v>-0.31846370586571726</v>
      </c>
      <c r="AS552" s="13" t="b">
        <f t="shared" si="228"/>
        <v>0</v>
      </c>
      <c r="AT552" s="13">
        <f t="shared" si="237"/>
        <v>0</v>
      </c>
      <c r="AU552" s="13">
        <v>4</v>
      </c>
      <c r="AV552">
        <f t="shared" si="229"/>
        <v>1</v>
      </c>
      <c r="AW552" s="13">
        <v>0</v>
      </c>
      <c r="AX552" s="13">
        <v>0</v>
      </c>
      <c r="AY552" s="13">
        <v>0</v>
      </c>
      <c r="AZ552" s="13">
        <v>0</v>
      </c>
      <c r="BA552">
        <v>0</v>
      </c>
      <c r="BB552" t="s">
        <v>2840</v>
      </c>
      <c r="BC552">
        <v>6</v>
      </c>
      <c r="BD552" t="s">
        <v>2919</v>
      </c>
      <c r="BE552">
        <v>0</v>
      </c>
      <c r="BF552" s="232" t="s">
        <v>2846</v>
      </c>
      <c r="BG552" s="232" t="s">
        <v>2846</v>
      </c>
      <c r="BH552" s="253">
        <v>28.2</v>
      </c>
      <c r="BI552" s="253">
        <v>10.410495133305121</v>
      </c>
      <c r="BJ552" s="25">
        <v>2.4206546530022695</v>
      </c>
      <c r="BK552" t="s">
        <v>381</v>
      </c>
      <c r="BL552">
        <v>0</v>
      </c>
      <c r="BM552" t="s">
        <v>377</v>
      </c>
      <c r="BN552" s="322">
        <v>12993.20168</v>
      </c>
      <c r="BO552" s="322">
        <v>2719.027439</v>
      </c>
      <c r="BP552" s="10">
        <v>5529</v>
      </c>
      <c r="BQ552" s="254">
        <f t="shared" si="230"/>
        <v>2.350009347079038</v>
      </c>
      <c r="BR552" s="254">
        <f t="shared" si="231"/>
        <v>0.49177562651474044</v>
      </c>
      <c r="BS552" s="25">
        <v>60.152343496488967</v>
      </c>
      <c r="BT552" s="25">
        <v>79.557641112316873</v>
      </c>
      <c r="BU552" s="25">
        <v>38.309342680536702</v>
      </c>
      <c r="BV552" s="25">
        <v>98.605367267779116</v>
      </c>
      <c r="BW552" s="25">
        <v>72.971184855381466</v>
      </c>
      <c r="BX552" s="25">
        <v>69.156173639280411</v>
      </c>
      <c r="BY552" s="25">
        <v>74.793876780738316</v>
      </c>
      <c r="BZ552">
        <v>37</v>
      </c>
      <c r="CA552">
        <v>0</v>
      </c>
      <c r="CB552">
        <v>7</v>
      </c>
      <c r="CC552">
        <v>13023.778994</v>
      </c>
      <c r="CD552" s="10">
        <v>8195.1454759999997</v>
      </c>
      <c r="CE552" s="255">
        <v>0.62924482055288777</v>
      </c>
      <c r="CF552" t="str">
        <f>IFERROR(VLOOKUP(CE552,'Rangos amb etnico'!$A$2:$C$6,3,9),"N.D.")</f>
        <v>51% - 70%</v>
      </c>
      <c r="CG552" s="256">
        <v>2.3842767485177262E-4</v>
      </c>
      <c r="CH552" s="232">
        <v>0</v>
      </c>
      <c r="CI552" s="311">
        <f t="shared" si="238"/>
        <v>0</v>
      </c>
      <c r="CJ552" s="232">
        <f>IFERROR(VLOOKUP(CI552,'Rangos amb etnico'!$A$2:$C$6,3,9),"N.D.")</f>
        <v>0</v>
      </c>
      <c r="CK552" s="311">
        <f t="shared" si="239"/>
        <v>0</v>
      </c>
      <c r="CL552" s="10">
        <v>0</v>
      </c>
      <c r="CM552" s="255">
        <f t="shared" si="240"/>
        <v>0</v>
      </c>
      <c r="CN552" s="232">
        <f>IFERROR(VLOOKUP(CM552,'Rangos amb etnico'!$A$2:$C$6,3,9),"N.D.")</f>
        <v>0</v>
      </c>
      <c r="CO552" s="311">
        <f t="shared" si="241"/>
        <v>0</v>
      </c>
      <c r="CP552">
        <v>0.96652040657466065</v>
      </c>
      <c r="CQ552" t="s">
        <v>2864</v>
      </c>
      <c r="CR552">
        <f t="shared" si="232"/>
        <v>3</v>
      </c>
      <c r="CS552" t="str">
        <f t="shared" si="242"/>
        <v>Candidato</v>
      </c>
      <c r="CT552">
        <v>0</v>
      </c>
      <c r="CU552">
        <v>0</v>
      </c>
      <c r="CV552" s="25">
        <v>54.603992462158203</v>
      </c>
      <c r="CW552" s="25">
        <v>20.17656135559082</v>
      </c>
      <c r="CX552" s="25">
        <v>54.519565582275391</v>
      </c>
      <c r="CY552" s="25">
        <v>74.156494140625</v>
      </c>
      <c r="CZ552" s="25">
        <v>39.828460693359382</v>
      </c>
      <c r="DA552" s="25">
        <v>79.356552124023438</v>
      </c>
      <c r="DB552" s="25">
        <v>59.586307525634773</v>
      </c>
      <c r="DC552">
        <v>42</v>
      </c>
      <c r="DD552" s="253" t="s">
        <v>380</v>
      </c>
    </row>
    <row r="553" spans="1:108" hidden="1">
      <c r="A553" s="13">
        <v>13894</v>
      </c>
      <c r="B553" s="13" t="s">
        <v>1553</v>
      </c>
      <c r="C553" s="13" t="s">
        <v>480</v>
      </c>
      <c r="D553" s="13" t="s">
        <v>481</v>
      </c>
      <c r="E553" s="13" t="s">
        <v>1554</v>
      </c>
      <c r="F553" s="14">
        <v>57.899833333333298</v>
      </c>
      <c r="G553" s="13">
        <v>47.41</v>
      </c>
      <c r="H553" s="13">
        <v>52.19</v>
      </c>
      <c r="I553" s="13">
        <v>50.37</v>
      </c>
      <c r="J553" s="14">
        <v>58.289929245972147</v>
      </c>
      <c r="K553" s="14">
        <v>65.723617649524044</v>
      </c>
      <c r="L553" s="14">
        <v>62.98555336362476</v>
      </c>
      <c r="M553" s="14">
        <v>53.314700000000002</v>
      </c>
      <c r="N553" s="14">
        <f t="shared" si="216"/>
        <v>51.967458333333326</v>
      </c>
      <c r="O553" s="14">
        <f t="shared" si="217"/>
        <v>60.078450064780242</v>
      </c>
      <c r="P553" s="14">
        <f t="shared" si="233"/>
        <v>56.022954199056784</v>
      </c>
      <c r="Q553" s="14">
        <v>54.372241112130169</v>
      </c>
      <c r="R553" s="17">
        <f t="shared" si="218"/>
        <v>45.627758887869831</v>
      </c>
      <c r="S553" s="14">
        <f t="shared" si="234"/>
        <v>0.51064982999082853</v>
      </c>
      <c r="T553" s="13">
        <v>0</v>
      </c>
      <c r="U553" s="13">
        <f t="shared" si="235"/>
        <v>28.608112037332319</v>
      </c>
      <c r="V553" s="13">
        <f>IF($T553=1,$AU553,(VLOOKUP(U553,'Cortes naturales'!$A$35:$C$39,3,9)))</f>
        <v>4</v>
      </c>
      <c r="W553" s="13">
        <v>4</v>
      </c>
      <c r="X553" s="14" t="b">
        <f t="shared" si="219"/>
        <v>1</v>
      </c>
      <c r="Y553" s="17">
        <f>IF($T553=1,$AU553,VLOOKUP(U553,'Cortes naturales'!$A$45:$C$49,3,9))</f>
        <v>3</v>
      </c>
      <c r="Z553" s="14">
        <v>57.077275277551415</v>
      </c>
      <c r="AA553" s="14">
        <v>0.5166131274529544</v>
      </c>
      <c r="AB553" s="14">
        <v>29.486869687629031</v>
      </c>
      <c r="AC553" s="13">
        <v>3</v>
      </c>
      <c r="AD553" s="13">
        <f t="shared" si="220"/>
        <v>0</v>
      </c>
      <c r="AE553" s="14">
        <f t="shared" si="221"/>
        <v>-1.0543210784946311</v>
      </c>
      <c r="AF553" s="14">
        <f t="shared" si="222"/>
        <v>-5.9632974621258716E-3</v>
      </c>
      <c r="AG553" s="13">
        <f t="shared" si="223"/>
        <v>-0.87875765029671271</v>
      </c>
      <c r="AH553" s="13">
        <f>IF($T553=1,$AU553,VLOOKUP(U553,'Cortes naturales'!$A$25:$C$29,3,9))</f>
        <v>3</v>
      </c>
      <c r="AI553" s="13" t="b">
        <f t="shared" si="224"/>
        <v>1</v>
      </c>
      <c r="AJ553" s="13">
        <f t="shared" si="225"/>
        <v>0</v>
      </c>
      <c r="AK553" s="28">
        <v>0.81759069605862034</v>
      </c>
      <c r="AL553" s="28">
        <v>46.665849223302743</v>
      </c>
      <c r="AM553" s="28">
        <v>0.41311457149987224</v>
      </c>
      <c r="AN553" s="13">
        <v>3</v>
      </c>
      <c r="AO553" s="33">
        <f t="shared" si="226"/>
        <v>0</v>
      </c>
      <c r="AP553" s="13">
        <f t="shared" si="236"/>
        <v>41.311457149987227</v>
      </c>
      <c r="AQ553" s="13">
        <f>IFERROR(VLOOKUP(U553,'Cortes naturales'!$E$15:$G$19,3,9),U553)</f>
        <v>4</v>
      </c>
      <c r="AR553" s="28">
        <f t="shared" si="227"/>
        <v>-0.30694086606779181</v>
      </c>
      <c r="AS553" s="13" t="b">
        <f t="shared" si="228"/>
        <v>0</v>
      </c>
      <c r="AT553" s="13">
        <f t="shared" si="237"/>
        <v>0</v>
      </c>
      <c r="AU553" s="13">
        <v>3</v>
      </c>
      <c r="AV553">
        <f t="shared" si="229"/>
        <v>0</v>
      </c>
      <c r="AW553" s="13">
        <v>0</v>
      </c>
      <c r="AX553" s="13">
        <v>0</v>
      </c>
      <c r="AY553" s="13">
        <v>0</v>
      </c>
      <c r="AZ553" s="13">
        <v>1</v>
      </c>
      <c r="BA553">
        <v>1</v>
      </c>
      <c r="BB553" t="s">
        <v>2840</v>
      </c>
      <c r="BC553">
        <v>6</v>
      </c>
      <c r="BD553" t="s">
        <v>2919</v>
      </c>
      <c r="BE553">
        <v>1</v>
      </c>
      <c r="BF553" s="232" t="s">
        <v>2846</v>
      </c>
      <c r="BG553" s="232" t="s">
        <v>2845</v>
      </c>
      <c r="BH553" s="253">
        <v>62.4</v>
      </c>
      <c r="BI553" s="253">
        <v>41.910794404856162</v>
      </c>
      <c r="BJ553" s="25">
        <v>13.25759357700864</v>
      </c>
      <c r="BK553" t="s">
        <v>377</v>
      </c>
      <c r="BL553">
        <v>2.947768951693674</v>
      </c>
      <c r="BM553" t="s">
        <v>383</v>
      </c>
      <c r="BN553" s="322">
        <v>34503.582097999999</v>
      </c>
      <c r="BO553" s="322">
        <v>2662.1658990000001</v>
      </c>
      <c r="BP553" s="10">
        <v>13291</v>
      </c>
      <c r="BQ553" s="254">
        <f t="shared" si="230"/>
        <v>2.5960109922503949</v>
      </c>
      <c r="BR553" s="254">
        <f t="shared" si="231"/>
        <v>0.20029838981265519</v>
      </c>
      <c r="BS553" s="25">
        <v>59.235817175704817</v>
      </c>
      <c r="BT553" s="25">
        <v>91.220394828329958</v>
      </c>
      <c r="BU553" s="25">
        <v>15.01</v>
      </c>
      <c r="BV553" s="25">
        <v>95.782434120135292</v>
      </c>
      <c r="BW553" s="25">
        <v>32.690505699620338</v>
      </c>
      <c r="BX553" s="25">
        <v>65.31216153104252</v>
      </c>
      <c r="BY553" s="25">
        <v>33.131538177319463</v>
      </c>
      <c r="BZ553">
        <v>74</v>
      </c>
      <c r="CA553">
        <v>0</v>
      </c>
      <c r="CB553">
        <v>7</v>
      </c>
      <c r="CC553">
        <v>30930.984962999999</v>
      </c>
      <c r="CD553" s="10">
        <v>3887.6601169999999</v>
      </c>
      <c r="CE553" s="255">
        <v>0.12568820946537795</v>
      </c>
      <c r="CF553" t="str">
        <f>IFERROR(VLOOKUP(CE553,'Rangos amb etnico'!$A$2:$C$6,3,9),"N.D.")</f>
        <v>0,1% - 30%</v>
      </c>
      <c r="CG553" s="256">
        <v>1.1310668798068818E-4</v>
      </c>
      <c r="CH553" s="232">
        <v>0</v>
      </c>
      <c r="CI553" s="311">
        <f t="shared" si="238"/>
        <v>0</v>
      </c>
      <c r="CJ553" s="232">
        <f>IFERROR(VLOOKUP(CI553,'Rangos amb etnico'!$A$2:$C$6,3,9),"N.D.")</f>
        <v>0</v>
      </c>
      <c r="CK553" s="311">
        <f t="shared" si="239"/>
        <v>0</v>
      </c>
      <c r="CL553" s="10">
        <v>10215.689251399899</v>
      </c>
      <c r="CM553" s="255">
        <f t="shared" si="240"/>
        <v>0.33027364836975043</v>
      </c>
      <c r="CN553" s="232" t="str">
        <f>IFERROR(VLOOKUP(CM553,'Rangos amb etnico'!$A$2:$C$6,3,9),"N.D.")</f>
        <v>31% - 50%</v>
      </c>
      <c r="CO553" s="311">
        <f t="shared" si="241"/>
        <v>6.406329689197055E-3</v>
      </c>
      <c r="CP553">
        <v>0.94750398730571406</v>
      </c>
      <c r="CQ553" t="s">
        <v>2864</v>
      </c>
      <c r="CR553">
        <f t="shared" si="232"/>
        <v>1</v>
      </c>
      <c r="CS553" t="str">
        <f t="shared" si="242"/>
        <v>No es Candidato</v>
      </c>
      <c r="CT553">
        <v>0</v>
      </c>
      <c r="CU553">
        <v>0</v>
      </c>
      <c r="CV553" s="25">
        <v>40.007919311523438</v>
      </c>
      <c r="CW553" s="25">
        <v>20.4986686706543</v>
      </c>
      <c r="CX553" s="25">
        <v>50.270584106445313</v>
      </c>
      <c r="CY553" s="25">
        <v>47.384811401367188</v>
      </c>
      <c r="CZ553" s="25">
        <v>3.535467147827148</v>
      </c>
      <c r="DA553" s="25">
        <v>60.261978149414063</v>
      </c>
      <c r="DB553" s="25">
        <v>58.096004486083977</v>
      </c>
      <c r="DC553">
        <v>825</v>
      </c>
      <c r="DD553" s="253" t="s">
        <v>380</v>
      </c>
    </row>
    <row r="554" spans="1:108">
      <c r="A554" s="13">
        <v>5501</v>
      </c>
      <c r="B554" s="13" t="s">
        <v>1555</v>
      </c>
      <c r="C554" s="13" t="s">
        <v>435</v>
      </c>
      <c r="D554" s="13" t="s">
        <v>436</v>
      </c>
      <c r="E554" s="13" t="s">
        <v>1556</v>
      </c>
      <c r="F554" s="14">
        <v>78.302633333333304</v>
      </c>
      <c r="G554" s="13">
        <v>58.78</v>
      </c>
      <c r="H554" s="13">
        <v>48.19</v>
      </c>
      <c r="I554" s="13">
        <v>50.43</v>
      </c>
      <c r="J554" s="14">
        <v>58.032794783181295</v>
      </c>
      <c r="K554" s="14">
        <v>72.660317834325909</v>
      </c>
      <c r="L554" s="14">
        <v>51.185293161794874</v>
      </c>
      <c r="M554" s="14">
        <v>46.8474</v>
      </c>
      <c r="N554" s="14">
        <f t="shared" si="216"/>
        <v>58.925658333333331</v>
      </c>
      <c r="O554" s="14">
        <f t="shared" si="217"/>
        <v>57.18145144482552</v>
      </c>
      <c r="P554" s="14">
        <f t="shared" si="233"/>
        <v>58.053554889079422</v>
      </c>
      <c r="Q554" s="14">
        <v>53.954234747825382</v>
      </c>
      <c r="R554" s="17">
        <f t="shared" si="218"/>
        <v>46.045765252174618</v>
      </c>
      <c r="S554" s="14">
        <f t="shared" si="234"/>
        <v>0.51441188726957154</v>
      </c>
      <c r="T554" s="13">
        <v>0</v>
      </c>
      <c r="U554" s="13">
        <f t="shared" si="235"/>
        <v>29.863438733199008</v>
      </c>
      <c r="V554" s="13">
        <f>IF($T554=1,$AU554,(VLOOKUP(U554,'Cortes naturales'!$A$35:$C$39,3,9)))</f>
        <v>3</v>
      </c>
      <c r="W554" s="13">
        <v>3</v>
      </c>
      <c r="X554" s="14" t="b">
        <f t="shared" si="219"/>
        <v>1</v>
      </c>
      <c r="Y554" s="17">
        <f>IF($T554=1,$AU554,VLOOKUP(U554,'Cortes naturales'!$A$45:$C$49,3,9))</f>
        <v>3</v>
      </c>
      <c r="Z554" s="14">
        <v>62.517618988717715</v>
      </c>
      <c r="AA554" s="14">
        <v>0.51457847911455756</v>
      </c>
      <c r="AB554" s="14">
        <v>32.170221297077745</v>
      </c>
      <c r="AC554" s="13">
        <v>3</v>
      </c>
      <c r="AD554" s="13">
        <f t="shared" si="220"/>
        <v>0</v>
      </c>
      <c r="AE554" s="14">
        <f t="shared" si="221"/>
        <v>-4.4640640996382928</v>
      </c>
      <c r="AF554" s="14">
        <f t="shared" si="222"/>
        <v>-1.6659184498601931E-4</v>
      </c>
      <c r="AG554" s="13">
        <f t="shared" si="223"/>
        <v>-2.3067825638787376</v>
      </c>
      <c r="AH554" s="13">
        <f>IF($T554=1,$AU554,VLOOKUP(U554,'Cortes naturales'!$A$25:$C$29,3,9))</f>
        <v>3</v>
      </c>
      <c r="AI554" s="13" t="b">
        <f t="shared" si="224"/>
        <v>1</v>
      </c>
      <c r="AJ554" s="13">
        <f t="shared" si="225"/>
        <v>0</v>
      </c>
      <c r="AK554" s="28">
        <v>0.81759069605862034</v>
      </c>
      <c r="AL554" s="28">
        <v>51.113823624913337</v>
      </c>
      <c r="AM554" s="28">
        <v>0.46875404265705778</v>
      </c>
      <c r="AN554" s="13">
        <v>3</v>
      </c>
      <c r="AO554" s="33">
        <f t="shared" si="226"/>
        <v>0</v>
      </c>
      <c r="AP554" s="13">
        <f t="shared" si="236"/>
        <v>46.875404265705775</v>
      </c>
      <c r="AQ554" s="13">
        <f>IFERROR(VLOOKUP(U554,'Cortes naturales'!$E$15:$G$19,3,9),U554)</f>
        <v>4</v>
      </c>
      <c r="AR554" s="28">
        <f t="shared" si="227"/>
        <v>-0.30317880878904879</v>
      </c>
      <c r="AS554" s="13" t="b">
        <f t="shared" si="228"/>
        <v>0</v>
      </c>
      <c r="AT554" s="13">
        <f t="shared" si="237"/>
        <v>0</v>
      </c>
      <c r="AU554" s="13">
        <v>2</v>
      </c>
      <c r="AV554">
        <f t="shared" si="229"/>
        <v>-1</v>
      </c>
      <c r="AW554" s="13">
        <v>0</v>
      </c>
      <c r="AX554" s="13">
        <v>0</v>
      </c>
      <c r="AY554" s="13">
        <v>0</v>
      </c>
      <c r="AZ554" s="13">
        <v>0</v>
      </c>
      <c r="BA554">
        <v>0</v>
      </c>
      <c r="BB554" t="s">
        <v>2841</v>
      </c>
      <c r="BC554">
        <v>6</v>
      </c>
      <c r="BD554" t="s">
        <v>2919</v>
      </c>
      <c r="BE554">
        <v>1</v>
      </c>
      <c r="BF554" s="232" t="s">
        <v>2846</v>
      </c>
      <c r="BG554" s="232" t="s">
        <v>2845</v>
      </c>
      <c r="BH554" s="253">
        <v>33.4</v>
      </c>
      <c r="BI554" s="253">
        <v>12.0264803236484</v>
      </c>
      <c r="BJ554" s="25">
        <v>29.743765431952294</v>
      </c>
      <c r="BK554" t="s">
        <v>379</v>
      </c>
      <c r="BL554">
        <v>5.6749162720849444</v>
      </c>
      <c r="BM554" t="s">
        <v>383</v>
      </c>
      <c r="BN554" s="322">
        <v>11014.955029000001</v>
      </c>
      <c r="BO554" s="322">
        <v>827.60500200000001</v>
      </c>
      <c r="BP554" s="10">
        <v>3431</v>
      </c>
      <c r="BQ554" s="254">
        <f t="shared" si="230"/>
        <v>3.2104211684640047</v>
      </c>
      <c r="BR554" s="254">
        <f t="shared" si="231"/>
        <v>0.24121393238122996</v>
      </c>
      <c r="BS554" s="25">
        <v>52.191231751027182</v>
      </c>
      <c r="BT554" s="25">
        <v>83.242252015933161</v>
      </c>
      <c r="BU554" s="25">
        <v>48.341666666666669</v>
      </c>
      <c r="BV554" s="25">
        <v>96.206063078997047</v>
      </c>
      <c r="BW554" s="25">
        <v>52.506214798701123</v>
      </c>
      <c r="BX554" s="25">
        <v>69.995303378156009</v>
      </c>
      <c r="BY554" s="25">
        <v>53.714986436316551</v>
      </c>
      <c r="BZ554">
        <v>90</v>
      </c>
      <c r="CA554">
        <v>0</v>
      </c>
      <c r="CB554">
        <v>7</v>
      </c>
      <c r="CC554">
        <v>8697.3904280000006</v>
      </c>
      <c r="CD554" s="10">
        <v>5856.9932319999998</v>
      </c>
      <c r="CE554" s="255">
        <v>0.67341960562610259</v>
      </c>
      <c r="CF554" t="str">
        <f>IFERROR(VLOOKUP(CE554,'Rangos amb etnico'!$A$2:$C$6,3,9),"N.D.")</f>
        <v>51% - 70%</v>
      </c>
      <c r="CG554" s="256">
        <v>1.7040201202260253E-4</v>
      </c>
      <c r="CH554" s="232">
        <v>0</v>
      </c>
      <c r="CI554" s="311">
        <f t="shared" si="238"/>
        <v>0</v>
      </c>
      <c r="CJ554" s="232">
        <f>IFERROR(VLOOKUP(CI554,'Rangos amb etnico'!$A$2:$C$6,3,9),"N.D.")</f>
        <v>0</v>
      </c>
      <c r="CK554" s="311">
        <f t="shared" si="239"/>
        <v>0</v>
      </c>
      <c r="CL554" s="10">
        <v>0</v>
      </c>
      <c r="CM554" s="255">
        <f t="shared" si="240"/>
        <v>0</v>
      </c>
      <c r="CN554" s="232">
        <f>IFERROR(VLOOKUP(CM554,'Rangos amb etnico'!$A$2:$C$6,3,9),"N.D.")</f>
        <v>0</v>
      </c>
      <c r="CO554" s="311">
        <f t="shared" si="241"/>
        <v>0</v>
      </c>
      <c r="CP554">
        <v>0.83425941267471737</v>
      </c>
      <c r="CQ554" t="s">
        <v>2865</v>
      </c>
      <c r="CR554">
        <f t="shared" si="232"/>
        <v>1</v>
      </c>
      <c r="CS554" t="str">
        <f t="shared" si="242"/>
        <v>No es Candidato</v>
      </c>
      <c r="CT554">
        <v>0</v>
      </c>
      <c r="CU554">
        <v>0</v>
      </c>
      <c r="CV554" s="25">
        <v>49.779594421386719</v>
      </c>
      <c r="CW554" s="25">
        <v>14.729415893554689</v>
      </c>
      <c r="CX554" s="25">
        <v>58.193023681640618</v>
      </c>
      <c r="CY554" s="25">
        <v>59.044513702392578</v>
      </c>
      <c r="CZ554" s="25">
        <v>46.97259521484375</v>
      </c>
      <c r="DA554" s="25">
        <v>74.166648864746094</v>
      </c>
      <c r="DB554" s="25">
        <v>45.571372985839837</v>
      </c>
      <c r="DC554">
        <v>64</v>
      </c>
      <c r="DD554" s="253" t="s">
        <v>380</v>
      </c>
    </row>
    <row r="555" spans="1:108" hidden="1">
      <c r="A555" s="13">
        <v>52260</v>
      </c>
      <c r="B555" s="13" t="s">
        <v>1557</v>
      </c>
      <c r="C555" s="13" t="s">
        <v>672</v>
      </c>
      <c r="D555" s="13" t="s">
        <v>673</v>
      </c>
      <c r="E555" s="13" t="s">
        <v>1558</v>
      </c>
      <c r="F555" s="14">
        <v>56.181699999999999</v>
      </c>
      <c r="G555" s="13">
        <v>46.91</v>
      </c>
      <c r="H555" s="13">
        <v>65.91</v>
      </c>
      <c r="I555" s="13">
        <v>63.97</v>
      </c>
      <c r="J555" s="14">
        <v>50.342778653131809</v>
      </c>
      <c r="K555" s="14">
        <v>58.346313485360753</v>
      </c>
      <c r="L555" s="14">
        <v>66.299334574068894</v>
      </c>
      <c r="M555" s="14">
        <v>49.878900000000002</v>
      </c>
      <c r="N555" s="14">
        <f t="shared" si="216"/>
        <v>58.242925</v>
      </c>
      <c r="O555" s="14">
        <f t="shared" si="217"/>
        <v>56.216831678140366</v>
      </c>
      <c r="P555" s="14">
        <f t="shared" si="233"/>
        <v>57.229878339070183</v>
      </c>
      <c r="Q555" s="14">
        <v>54.872065594422217</v>
      </c>
      <c r="R555" s="17">
        <f t="shared" si="218"/>
        <v>45.127934405577783</v>
      </c>
      <c r="S555" s="14">
        <f t="shared" si="234"/>
        <v>0.50615140965020011</v>
      </c>
      <c r="T555" s="13">
        <v>0</v>
      </c>
      <c r="U555" s="13">
        <f t="shared" si="235"/>
        <v>28.966983595429827</v>
      </c>
      <c r="V555" s="13">
        <f>IF($T555=1,$AU555,(VLOOKUP(U555,'Cortes naturales'!$A$35:$C$39,3,9)))</f>
        <v>4</v>
      </c>
      <c r="W555" s="13">
        <v>4</v>
      </c>
      <c r="X555" s="14" t="b">
        <f t="shared" si="219"/>
        <v>1</v>
      </c>
      <c r="Y555" s="17">
        <f>IF($T555=1,$AU555,VLOOKUP(U555,'Cortes naturales'!$A$45:$C$49,3,9))</f>
        <v>3</v>
      </c>
      <c r="Z555" s="14">
        <v>55.209390953377344</v>
      </c>
      <c r="AA555" s="14">
        <v>0.51607157499474143</v>
      </c>
      <c r="AB555" s="14">
        <v>28.491997343809874</v>
      </c>
      <c r="AC555" s="13">
        <v>3</v>
      </c>
      <c r="AD555" s="13">
        <f t="shared" si="220"/>
        <v>0</v>
      </c>
      <c r="AE555" s="14">
        <f t="shared" si="221"/>
        <v>2.0204873856928387</v>
      </c>
      <c r="AF555" s="14">
        <f t="shared" si="222"/>
        <v>-9.9201653445413207E-3</v>
      </c>
      <c r="AG555" s="13">
        <f t="shared" si="223"/>
        <v>0.47498625161995278</v>
      </c>
      <c r="AH555" s="13">
        <f>IF($T555=1,$AU555,VLOOKUP(U555,'Cortes naturales'!$A$25:$C$29,3,9))</f>
        <v>3</v>
      </c>
      <c r="AI555" s="13" t="b">
        <f t="shared" si="224"/>
        <v>1</v>
      </c>
      <c r="AJ555" s="13">
        <f t="shared" si="225"/>
        <v>0</v>
      </c>
      <c r="AK555" s="28">
        <v>0.81759069605862034</v>
      </c>
      <c r="AL555" s="28">
        <v>45.138684378544276</v>
      </c>
      <c r="AM555" s="28">
        <v>0.3940113490754269</v>
      </c>
      <c r="AN555" s="13">
        <v>3</v>
      </c>
      <c r="AO555" s="33">
        <f t="shared" si="226"/>
        <v>0</v>
      </c>
      <c r="AP555" s="13">
        <f t="shared" si="236"/>
        <v>39.401134907542691</v>
      </c>
      <c r="AQ555" s="13">
        <f>IFERROR(VLOOKUP(U555,'Cortes naturales'!$E$15:$G$19,3,9),U555)</f>
        <v>4</v>
      </c>
      <c r="AR555" s="28">
        <f t="shared" si="227"/>
        <v>-0.31143928640842022</v>
      </c>
      <c r="AS555" s="13" t="b">
        <f t="shared" si="228"/>
        <v>0</v>
      </c>
      <c r="AT555" s="13">
        <f t="shared" si="237"/>
        <v>0</v>
      </c>
      <c r="AU555" s="13">
        <v>3</v>
      </c>
      <c r="AV555">
        <f t="shared" si="229"/>
        <v>0</v>
      </c>
      <c r="AW555" s="13">
        <v>0</v>
      </c>
      <c r="AX555" s="13">
        <v>0</v>
      </c>
      <c r="AY555" s="13">
        <v>0</v>
      </c>
      <c r="AZ555" s="13">
        <v>0</v>
      </c>
      <c r="BA555">
        <v>0</v>
      </c>
      <c r="BB555" t="s">
        <v>2839</v>
      </c>
      <c r="BC555">
        <v>6</v>
      </c>
      <c r="BD555" t="s">
        <v>2919</v>
      </c>
      <c r="BE555">
        <v>1</v>
      </c>
      <c r="BF555" s="232" t="s">
        <v>2846</v>
      </c>
      <c r="BG555" s="232" t="s">
        <v>2845</v>
      </c>
      <c r="BH555" s="253">
        <v>31.9</v>
      </c>
      <c r="BI555" s="253">
        <v>16.647928043687759</v>
      </c>
      <c r="BJ555" s="25">
        <v>45.322742639215576</v>
      </c>
      <c r="BK555" t="s">
        <v>376</v>
      </c>
      <c r="BL555">
        <v>2.2704451295656054</v>
      </c>
      <c r="BM555" t="s">
        <v>383</v>
      </c>
      <c r="BN555" s="322">
        <v>27731.081237999999</v>
      </c>
      <c r="BO555" s="322">
        <v>1898.240123</v>
      </c>
      <c r="BP555" s="10">
        <v>14548</v>
      </c>
      <c r="BQ555" s="254">
        <f t="shared" si="230"/>
        <v>1.9061782539180643</v>
      </c>
      <c r="BR555" s="254">
        <f t="shared" si="231"/>
        <v>0.13048117425075612</v>
      </c>
      <c r="BS555" s="25">
        <v>61.063806625361302</v>
      </c>
      <c r="BT555" s="25">
        <v>56.042318619741543</v>
      </c>
      <c r="BU555" s="25">
        <v>47.228600737667101</v>
      </c>
      <c r="BV555" s="25">
        <v>91.514168315490451</v>
      </c>
      <c r="BW555" s="25">
        <v>38.54964695189679</v>
      </c>
      <c r="BX555" s="25">
        <v>63.962223574565101</v>
      </c>
      <c r="BY555" s="25">
        <v>36.774838304482863</v>
      </c>
      <c r="BZ555">
        <v>80</v>
      </c>
      <c r="CA555">
        <v>0</v>
      </c>
      <c r="CB555">
        <v>7</v>
      </c>
      <c r="CC555">
        <v>24654.730617000001</v>
      </c>
      <c r="CD555" s="10">
        <v>2895.709707</v>
      </c>
      <c r="CE555" s="255">
        <v>0.11745047033705336</v>
      </c>
      <c r="CF555" t="str">
        <f>IFERROR(VLOOKUP(CE555,'Rangos amb etnico'!$A$2:$C$6,3,9),"N.D.")</f>
        <v>0,1% - 30%</v>
      </c>
      <c r="CG555" s="256">
        <v>8.4247111232820502E-5</v>
      </c>
      <c r="CH555" s="232">
        <v>0</v>
      </c>
      <c r="CI555" s="311">
        <f t="shared" si="238"/>
        <v>0</v>
      </c>
      <c r="CJ555" s="232">
        <f>IFERROR(VLOOKUP(CI555,'Rangos amb etnico'!$A$2:$C$6,3,9),"N.D.")</f>
        <v>0</v>
      </c>
      <c r="CK555" s="311">
        <f t="shared" si="239"/>
        <v>0</v>
      </c>
      <c r="CL555" s="10">
        <v>0</v>
      </c>
      <c r="CM555" s="255">
        <f t="shared" si="240"/>
        <v>0</v>
      </c>
      <c r="CN555" s="232">
        <f>IFERROR(VLOOKUP(CM555,'Rangos amb etnico'!$A$2:$C$6,3,9),"N.D.")</f>
        <v>0</v>
      </c>
      <c r="CO555" s="311">
        <f t="shared" si="241"/>
        <v>0</v>
      </c>
      <c r="CP555">
        <v>0.96296221759410305</v>
      </c>
      <c r="CQ555" t="s">
        <v>2864</v>
      </c>
      <c r="CR555">
        <f t="shared" si="232"/>
        <v>2</v>
      </c>
      <c r="CS555" t="str">
        <f t="shared" si="242"/>
        <v>No es Candidato</v>
      </c>
      <c r="CT555">
        <v>0</v>
      </c>
      <c r="CU555">
        <v>0</v>
      </c>
      <c r="CV555" s="25">
        <v>47.674434661865227</v>
      </c>
      <c r="CW555" s="25">
        <v>29.009517669677731</v>
      </c>
      <c r="CX555" s="25">
        <v>52.266796112060547</v>
      </c>
      <c r="CY555" s="25">
        <v>54.778011322021477</v>
      </c>
      <c r="CZ555" s="25">
        <v>56.821189880371087</v>
      </c>
      <c r="DA555" s="25">
        <v>40.924507141113281</v>
      </c>
      <c r="DB555" s="25">
        <v>52.24658203125</v>
      </c>
      <c r="DC555">
        <v>389</v>
      </c>
      <c r="DD555" s="253" t="s">
        <v>380</v>
      </c>
    </row>
    <row r="556" spans="1:108" hidden="1">
      <c r="A556" s="13">
        <v>25594</v>
      </c>
      <c r="B556" s="13" t="s">
        <v>1559</v>
      </c>
      <c r="C556" s="13" t="s">
        <v>461</v>
      </c>
      <c r="D556" s="13" t="s">
        <v>462</v>
      </c>
      <c r="E556" s="13" t="s">
        <v>1560</v>
      </c>
      <c r="F556" s="14">
        <v>55.906166666666699</v>
      </c>
      <c r="G556" s="13">
        <v>47.94</v>
      </c>
      <c r="H556" s="13">
        <v>34.39</v>
      </c>
      <c r="I556" s="13">
        <v>44.55</v>
      </c>
      <c r="J556" s="14">
        <v>69.091105614318849</v>
      </c>
      <c r="K556" s="14">
        <v>54.495114814559535</v>
      </c>
      <c r="L556" s="14">
        <v>47.56414020627615</v>
      </c>
      <c r="M556" s="14">
        <v>59.843400000000003</v>
      </c>
      <c r="N556" s="14">
        <f t="shared" si="216"/>
        <v>45.696541666666675</v>
      </c>
      <c r="O556" s="14">
        <f t="shared" si="217"/>
        <v>57.748440158788632</v>
      </c>
      <c r="P556" s="14">
        <f t="shared" si="233"/>
        <v>51.72249091272765</v>
      </c>
      <c r="Q556" s="14">
        <v>55.592143786714431</v>
      </c>
      <c r="R556" s="17">
        <f t="shared" si="218"/>
        <v>44.407856213285569</v>
      </c>
      <c r="S556" s="14">
        <f t="shared" si="234"/>
        <v>0.49967070591957008</v>
      </c>
      <c r="T556" s="13">
        <v>0</v>
      </c>
      <c r="U556" s="13">
        <f t="shared" si="235"/>
        <v>25.844213546281175</v>
      </c>
      <c r="V556" s="13">
        <f>IF($T556=1,$AU556,(VLOOKUP(U556,'Cortes naturales'!$A$35:$C$39,3,9)))</f>
        <v>4</v>
      </c>
      <c r="W556" s="13">
        <v>4</v>
      </c>
      <c r="X556" s="14" t="b">
        <f t="shared" si="219"/>
        <v>1</v>
      </c>
      <c r="Y556" s="17">
        <f>IF($T556=1,$AU556,VLOOKUP(U556,'Cortes naturales'!$A$45:$C$49,3,9))</f>
        <v>4</v>
      </c>
      <c r="Z556" s="14">
        <v>54.462010994716103</v>
      </c>
      <c r="AA556" s="14">
        <v>0.51537187015705577</v>
      </c>
      <c r="AB556" s="14">
        <v>28.06818845886097</v>
      </c>
      <c r="AC556" s="13">
        <v>3</v>
      </c>
      <c r="AD556" s="13">
        <f t="shared" si="220"/>
        <v>-1</v>
      </c>
      <c r="AE556" s="14">
        <f t="shared" si="221"/>
        <v>-2.7395200819884522</v>
      </c>
      <c r="AF556" s="14">
        <f t="shared" si="222"/>
        <v>-1.5701164237485687E-2</v>
      </c>
      <c r="AG556" s="13">
        <f t="shared" si="223"/>
        <v>-2.223974912579795</v>
      </c>
      <c r="AH556" s="13">
        <f>IF($T556=1,$AU556,VLOOKUP(U556,'Cortes naturales'!$A$25:$C$29,3,9))</f>
        <v>4</v>
      </c>
      <c r="AI556" s="13" t="b">
        <f t="shared" si="224"/>
        <v>1</v>
      </c>
      <c r="AJ556" s="13" t="str">
        <f t="shared" si="225"/>
        <v>Efecto ponderador</v>
      </c>
      <c r="AK556" s="28">
        <v>0.81759069605862034</v>
      </c>
      <c r="AL556" s="28">
        <v>44.527633477922173</v>
      </c>
      <c r="AM556" s="28">
        <v>0.38636774641700666</v>
      </c>
      <c r="AN556" s="13">
        <v>3</v>
      </c>
      <c r="AO556" s="33">
        <f t="shared" si="226"/>
        <v>-1</v>
      </c>
      <c r="AP556" s="13">
        <f t="shared" si="236"/>
        <v>38.636774641700669</v>
      </c>
      <c r="AQ556" s="13">
        <f>IFERROR(VLOOKUP(U556,'Cortes naturales'!$E$15:$G$19,3,9),U556)</f>
        <v>4</v>
      </c>
      <c r="AR556" s="28">
        <f t="shared" si="227"/>
        <v>-0.31791999013905026</v>
      </c>
      <c r="AS556" s="13" t="b">
        <f t="shared" si="228"/>
        <v>1</v>
      </c>
      <c r="AT556" s="13" t="str">
        <f t="shared" si="237"/>
        <v>Efecto ponderador</v>
      </c>
      <c r="AU556" s="13">
        <v>3</v>
      </c>
      <c r="AV556">
        <f t="shared" si="229"/>
        <v>-1</v>
      </c>
      <c r="AW556" s="13">
        <v>0</v>
      </c>
      <c r="AX556" s="13">
        <v>0</v>
      </c>
      <c r="AY556" s="13">
        <v>0</v>
      </c>
      <c r="AZ556" s="13">
        <v>0</v>
      </c>
      <c r="BA556">
        <v>0</v>
      </c>
      <c r="BB556" t="s">
        <v>2840</v>
      </c>
      <c r="BC556">
        <v>6</v>
      </c>
      <c r="BD556" t="s">
        <v>2919</v>
      </c>
      <c r="BE556">
        <v>0</v>
      </c>
      <c r="BF556" s="232" t="s">
        <v>2846</v>
      </c>
      <c r="BG556" s="232" t="s">
        <v>2846</v>
      </c>
      <c r="BH556" s="253">
        <v>37.700000000000003</v>
      </c>
      <c r="BI556" s="253">
        <v>9.7199675324675319</v>
      </c>
      <c r="BJ556" s="25">
        <v>4.2815384615384611</v>
      </c>
      <c r="BK556" t="s">
        <v>381</v>
      </c>
      <c r="BL556">
        <v>0</v>
      </c>
      <c r="BM556" t="s">
        <v>377</v>
      </c>
      <c r="BN556" s="322">
        <v>14087.449130000001</v>
      </c>
      <c r="BO556" s="322">
        <v>2076.5745459999998</v>
      </c>
      <c r="BP556" s="10">
        <v>5182</v>
      </c>
      <c r="BQ556" s="254">
        <f t="shared" si="230"/>
        <v>2.7185351466615209</v>
      </c>
      <c r="BR556" s="254">
        <f t="shared" si="231"/>
        <v>0.40072839560015433</v>
      </c>
      <c r="BS556" s="25">
        <v>60.093602652841177</v>
      </c>
      <c r="BT556" s="25">
        <v>94.905247999485383</v>
      </c>
      <c r="BU556" s="25">
        <v>50.863333333333337</v>
      </c>
      <c r="BV556" s="25">
        <v>94.875043047150101</v>
      </c>
      <c r="BW556" s="25">
        <v>47.425586541440488</v>
      </c>
      <c r="BX556" s="25">
        <v>75.184306758202496</v>
      </c>
      <c r="BY556" s="25">
        <v>48.175094155811259</v>
      </c>
      <c r="BZ556">
        <v>40</v>
      </c>
      <c r="CA556">
        <v>0</v>
      </c>
      <c r="CB556">
        <v>7</v>
      </c>
      <c r="CC556">
        <v>13759.643059</v>
      </c>
      <c r="CD556" s="10">
        <v>2618.720703</v>
      </c>
      <c r="CE556" s="255">
        <v>0.19031894154311871</v>
      </c>
      <c r="CF556" t="str">
        <f>IFERROR(VLOOKUP(CE556,'Rangos amb etnico'!$A$2:$C$6,3,9),"N.D.")</f>
        <v>0,1% - 30%</v>
      </c>
      <c r="CG556" s="256">
        <v>7.618845695064381E-5</v>
      </c>
      <c r="CH556" s="232">
        <v>0</v>
      </c>
      <c r="CI556" s="311">
        <f t="shared" si="238"/>
        <v>0</v>
      </c>
      <c r="CJ556" s="232">
        <f>IFERROR(VLOOKUP(CI556,'Rangos amb etnico'!$A$2:$C$6,3,9),"N.D.")</f>
        <v>0</v>
      </c>
      <c r="CK556" s="311">
        <f t="shared" si="239"/>
        <v>0</v>
      </c>
      <c r="CL556" s="10">
        <v>0</v>
      </c>
      <c r="CM556" s="255">
        <f t="shared" si="240"/>
        <v>0</v>
      </c>
      <c r="CN556" s="232">
        <f>IFERROR(VLOOKUP(CM556,'Rangos amb etnico'!$A$2:$C$6,3,9),"N.D.")</f>
        <v>0</v>
      </c>
      <c r="CO556" s="311">
        <f t="shared" si="241"/>
        <v>0</v>
      </c>
      <c r="CP556">
        <v>0.91608999039534145</v>
      </c>
      <c r="CQ556" t="s">
        <v>2864</v>
      </c>
      <c r="CR556">
        <f t="shared" si="232"/>
        <v>1</v>
      </c>
      <c r="CS556" t="str">
        <f t="shared" si="242"/>
        <v>No es Candidato</v>
      </c>
      <c r="CT556">
        <v>0</v>
      </c>
      <c r="CU556">
        <v>0</v>
      </c>
      <c r="CV556" s="25">
        <v>54.429050445556641</v>
      </c>
      <c r="CW556" s="25">
        <v>24.721721649169918</v>
      </c>
      <c r="CX556" s="25">
        <v>52.655025482177727</v>
      </c>
      <c r="CY556" s="25">
        <v>62.134822845458977</v>
      </c>
      <c r="CZ556" s="25">
        <v>43.185588836669922</v>
      </c>
      <c r="DA556" s="25">
        <v>74.911933898925781</v>
      </c>
      <c r="DB556" s="25">
        <v>68.965217590332031</v>
      </c>
      <c r="DC556">
        <v>49</v>
      </c>
      <c r="DD556" s="253" t="s">
        <v>380</v>
      </c>
    </row>
    <row r="557" spans="1:108" hidden="1">
      <c r="A557" s="13">
        <v>41770</v>
      </c>
      <c r="B557" s="13" t="s">
        <v>1561</v>
      </c>
      <c r="C557" s="13" t="s">
        <v>676</v>
      </c>
      <c r="D557" s="13" t="s">
        <v>677</v>
      </c>
      <c r="E557" s="13" t="s">
        <v>1562</v>
      </c>
      <c r="F557" s="14">
        <v>55.161766666666701</v>
      </c>
      <c r="G557" s="13">
        <v>66.05</v>
      </c>
      <c r="H557" s="13">
        <v>74.7</v>
      </c>
      <c r="I557" s="13">
        <v>71.98</v>
      </c>
      <c r="J557" s="14">
        <v>60.201127163475824</v>
      </c>
      <c r="K557" s="14">
        <v>58.618454295805805</v>
      </c>
      <c r="L557" s="14">
        <v>61.51873553327156</v>
      </c>
      <c r="M557" s="14">
        <v>54.306399999999996</v>
      </c>
      <c r="N557" s="14">
        <f t="shared" si="216"/>
        <v>66.972941666666685</v>
      </c>
      <c r="O557" s="14">
        <f t="shared" si="217"/>
        <v>58.661179248138296</v>
      </c>
      <c r="P557" s="14">
        <f t="shared" si="233"/>
        <v>62.817060457402491</v>
      </c>
      <c r="Q557" s="14">
        <v>54.034107027882975</v>
      </c>
      <c r="R557" s="17">
        <f t="shared" si="218"/>
        <v>45.965892972117025</v>
      </c>
      <c r="S557" s="14">
        <f t="shared" si="234"/>
        <v>0.5136930367490532</v>
      </c>
      <c r="T557" s="13">
        <v>0</v>
      </c>
      <c r="U557" s="13">
        <f t="shared" si="235"/>
        <v>32.268686546011956</v>
      </c>
      <c r="V557" s="13">
        <f>IF($T557=1,$AU557,(VLOOKUP(U557,'Cortes naturales'!$A$35:$C$39,3,9)))</f>
        <v>3</v>
      </c>
      <c r="W557" s="13">
        <v>3</v>
      </c>
      <c r="X557" s="14" t="b">
        <f t="shared" si="219"/>
        <v>1</v>
      </c>
      <c r="Y557" s="17">
        <f>IF($T557=1,$AU557,VLOOKUP(U557,'Cortes naturales'!$A$45:$C$49,3,9))</f>
        <v>3</v>
      </c>
      <c r="Z557" s="14">
        <v>61.562970236487416</v>
      </c>
      <c r="AA557" s="14">
        <v>0.51582044478464029</v>
      </c>
      <c r="AB557" s="14">
        <v>31.755438689648511</v>
      </c>
      <c r="AC557" s="13">
        <v>3</v>
      </c>
      <c r="AD557" s="13">
        <f t="shared" si="220"/>
        <v>0</v>
      </c>
      <c r="AE557" s="14">
        <f t="shared" si="221"/>
        <v>1.2540902209150744</v>
      </c>
      <c r="AF557" s="14">
        <f t="shared" si="222"/>
        <v>-2.1274080355870861E-3</v>
      </c>
      <c r="AG557" s="13">
        <f t="shared" si="223"/>
        <v>0.51324785636344572</v>
      </c>
      <c r="AH557" s="13">
        <f>IF($T557=1,$AU557,VLOOKUP(U557,'Cortes naturales'!$A$25:$C$29,3,9))</f>
        <v>3</v>
      </c>
      <c r="AI557" s="13" t="b">
        <f t="shared" si="224"/>
        <v>1</v>
      </c>
      <c r="AJ557" s="13">
        <f t="shared" si="225"/>
        <v>0</v>
      </c>
      <c r="AK557" s="28">
        <v>0.81759069605862034</v>
      </c>
      <c r="AL557" s="28">
        <v>50.333311687085875</v>
      </c>
      <c r="AM557" s="28">
        <v>0.45899066105196912</v>
      </c>
      <c r="AN557" s="13">
        <v>3</v>
      </c>
      <c r="AO557" s="33">
        <f t="shared" si="226"/>
        <v>0</v>
      </c>
      <c r="AP557" s="13">
        <f t="shared" si="236"/>
        <v>45.899066105196908</v>
      </c>
      <c r="AQ557" s="13">
        <f>IFERROR(VLOOKUP(U557,'Cortes naturales'!$E$15:$G$19,3,9),U557)</f>
        <v>4</v>
      </c>
      <c r="AR557" s="28">
        <f t="shared" si="227"/>
        <v>-0.30389765930956714</v>
      </c>
      <c r="AS557" s="13" t="b">
        <f t="shared" si="228"/>
        <v>0</v>
      </c>
      <c r="AT557" s="13">
        <f t="shared" si="237"/>
        <v>0</v>
      </c>
      <c r="AU557" s="13">
        <v>3</v>
      </c>
      <c r="AV557">
        <f t="shared" si="229"/>
        <v>0</v>
      </c>
      <c r="AW557" s="13">
        <v>0</v>
      </c>
      <c r="AX557" s="13">
        <v>0</v>
      </c>
      <c r="AY557" s="13">
        <v>0</v>
      </c>
      <c r="AZ557" s="13">
        <v>0</v>
      </c>
      <c r="BA557">
        <v>0</v>
      </c>
      <c r="BB557" t="s">
        <v>2840</v>
      </c>
      <c r="BC557">
        <v>6</v>
      </c>
      <c r="BD557" t="s">
        <v>2919</v>
      </c>
      <c r="BE557">
        <v>0</v>
      </c>
      <c r="BF557" s="232" t="s">
        <v>2846</v>
      </c>
      <c r="BG557" s="232" t="s">
        <v>2845</v>
      </c>
      <c r="BH557" s="253">
        <v>41.6</v>
      </c>
      <c r="BI557" s="253">
        <v>15.280497638520908</v>
      </c>
      <c r="BJ557" s="25">
        <v>4.0222222222222221</v>
      </c>
      <c r="BK557" t="s">
        <v>381</v>
      </c>
      <c r="BL557">
        <v>4.2543527975882993</v>
      </c>
      <c r="BM557" t="s">
        <v>383</v>
      </c>
      <c r="BN557" s="322">
        <v>47315.636788000003</v>
      </c>
      <c r="BO557" s="322">
        <v>4017.6943959999999</v>
      </c>
      <c r="BP557" s="10">
        <v>25611</v>
      </c>
      <c r="BQ557" s="254">
        <f t="shared" si="230"/>
        <v>1.847473225879505</v>
      </c>
      <c r="BR557" s="254">
        <f t="shared" si="231"/>
        <v>0.15687378064113075</v>
      </c>
      <c r="BS557" s="25">
        <v>72.51330203442879</v>
      </c>
      <c r="BT557" s="25">
        <v>95.672268616740197</v>
      </c>
      <c r="BU557" s="25">
        <v>43.383887023826162</v>
      </c>
      <c r="BV557" s="25">
        <v>87.554665540351721</v>
      </c>
      <c r="BW557" s="25">
        <v>57.375226453926842</v>
      </c>
      <c r="BX557" s="25">
        <v>74.781030803836714</v>
      </c>
      <c r="BY557" s="25">
        <v>59.021134021968066</v>
      </c>
      <c r="BZ557">
        <v>30</v>
      </c>
      <c r="CA557">
        <v>0</v>
      </c>
      <c r="CB557">
        <v>7</v>
      </c>
      <c r="CC557">
        <v>42962.346071</v>
      </c>
      <c r="CD557" s="10">
        <v>33521.976730000002</v>
      </c>
      <c r="CE557" s="255">
        <v>0.7802641102187774</v>
      </c>
      <c r="CF557" t="str">
        <f>IFERROR(VLOOKUP(CE557,'Rangos amb etnico'!$A$2:$C$6,3,9),"N.D.")</f>
        <v>71% - 100%</v>
      </c>
      <c r="CG557" s="256">
        <v>9.7528066970572569E-4</v>
      </c>
      <c r="CH557" s="232">
        <v>0</v>
      </c>
      <c r="CI557" s="311">
        <f t="shared" si="238"/>
        <v>0</v>
      </c>
      <c r="CJ557" s="232">
        <f>IFERROR(VLOOKUP(CI557,'Rangos amb etnico'!$A$2:$C$6,3,9),"N.D.")</f>
        <v>0</v>
      </c>
      <c r="CK557" s="311">
        <f t="shared" si="239"/>
        <v>0</v>
      </c>
      <c r="CL557" s="10">
        <v>0</v>
      </c>
      <c r="CM557" s="255">
        <f t="shared" si="240"/>
        <v>0</v>
      </c>
      <c r="CN557" s="232">
        <f>IFERROR(VLOOKUP(CM557,'Rangos amb etnico'!$A$2:$C$6,3,9),"N.D.")</f>
        <v>0</v>
      </c>
      <c r="CO557" s="311">
        <f t="shared" si="241"/>
        <v>0</v>
      </c>
      <c r="CP557">
        <v>0.96999623094473508</v>
      </c>
      <c r="CQ557" t="s">
        <v>2864</v>
      </c>
      <c r="CR557">
        <f t="shared" si="232"/>
        <v>2</v>
      </c>
      <c r="CS557" t="str">
        <f t="shared" si="242"/>
        <v>No es Candidato</v>
      </c>
      <c r="CT557">
        <v>0</v>
      </c>
      <c r="CU557">
        <v>0</v>
      </c>
      <c r="CV557" s="25">
        <v>46.828475952148438</v>
      </c>
      <c r="CW557" s="25">
        <v>25.72975921630859</v>
      </c>
      <c r="CX557" s="25">
        <v>58.26141357421875</v>
      </c>
      <c r="CY557" s="25">
        <v>59.436569213867188</v>
      </c>
      <c r="CZ557" s="25">
        <v>28.237165451049801</v>
      </c>
      <c r="DA557" s="25">
        <v>45.509853363037109</v>
      </c>
      <c r="DB557" s="25">
        <v>63.796092987060547</v>
      </c>
      <c r="DC557">
        <v>271</v>
      </c>
      <c r="DD557" s="253" t="s">
        <v>380</v>
      </c>
    </row>
    <row r="558" spans="1:108" hidden="1">
      <c r="A558" s="13">
        <v>54313</v>
      </c>
      <c r="B558" s="13" t="s">
        <v>1563</v>
      </c>
      <c r="C558" s="13" t="s">
        <v>517</v>
      </c>
      <c r="D558" s="13" t="s">
        <v>518</v>
      </c>
      <c r="E558" s="13" t="s">
        <v>1564</v>
      </c>
      <c r="F558" s="14">
        <v>45.931266666666701</v>
      </c>
      <c r="G558" s="13">
        <v>48.94</v>
      </c>
      <c r="H558" s="13">
        <v>27.23</v>
      </c>
      <c r="I558" s="13">
        <v>68.510000000000005</v>
      </c>
      <c r="J558" s="14">
        <v>39.896770923778206</v>
      </c>
      <c r="K558" s="14">
        <v>40.20378073709589</v>
      </c>
      <c r="L558" s="14">
        <v>47.978181926732439</v>
      </c>
      <c r="M558" s="14">
        <v>50.599600000000002</v>
      </c>
      <c r="N558" s="14">
        <f t="shared" si="216"/>
        <v>47.652816666666681</v>
      </c>
      <c r="O558" s="14">
        <f t="shared" si="217"/>
        <v>44.669583396901636</v>
      </c>
      <c r="P558" s="14">
        <f t="shared" si="233"/>
        <v>46.161200031784162</v>
      </c>
      <c r="Q558" s="14">
        <v>54.50039283036098</v>
      </c>
      <c r="R558" s="17">
        <f t="shared" si="218"/>
        <v>45.49960716963902</v>
      </c>
      <c r="S558" s="14">
        <f t="shared" si="234"/>
        <v>0.50949646452675124</v>
      </c>
      <c r="T558" s="13">
        <v>0</v>
      </c>
      <c r="U558" s="13">
        <f t="shared" si="235"/>
        <v>23.518968214506188</v>
      </c>
      <c r="V558" s="13">
        <f>IF($T558=1,$AU558,(VLOOKUP(U558,'Cortes naturales'!$A$35:$C$39,3,9)))</f>
        <v>4</v>
      </c>
      <c r="W558" s="13">
        <v>4</v>
      </c>
      <c r="X558" s="14" t="b">
        <f t="shared" si="219"/>
        <v>1</v>
      </c>
      <c r="Y558" s="17">
        <f>IF($T558=1,$AU558,VLOOKUP(U558,'Cortes naturales'!$A$45:$C$49,3,9))</f>
        <v>4</v>
      </c>
      <c r="Z558" s="14">
        <v>40.579248709180931</v>
      </c>
      <c r="AA558" s="14">
        <v>0.51595095499211574</v>
      </c>
      <c r="AB558" s="14">
        <v>20.93690212436448</v>
      </c>
      <c r="AC558" s="13">
        <v>4</v>
      </c>
      <c r="AD558" s="13">
        <f t="shared" si="220"/>
        <v>0</v>
      </c>
      <c r="AE558" s="14">
        <f t="shared" si="221"/>
        <v>5.5819513226032313</v>
      </c>
      <c r="AF558" s="14">
        <f t="shared" si="222"/>
        <v>-6.4544904653645041E-3</v>
      </c>
      <c r="AG558" s="13">
        <f t="shared" si="223"/>
        <v>2.5820660901417085</v>
      </c>
      <c r="AH558" s="13">
        <f>IF($T558=1,$AU558,VLOOKUP(U558,'Cortes naturales'!$A$25:$C$29,3,9))</f>
        <v>4</v>
      </c>
      <c r="AI558" s="13" t="b">
        <f t="shared" si="224"/>
        <v>1</v>
      </c>
      <c r="AJ558" s="13">
        <f t="shared" si="225"/>
        <v>0</v>
      </c>
      <c r="AK558" s="28">
        <v>0.81759069605862034</v>
      </c>
      <c r="AL558" s="28">
        <v>33.177216197675108</v>
      </c>
      <c r="AM558" s="28">
        <v>0.24438599070868883</v>
      </c>
      <c r="AN558" s="13">
        <v>4</v>
      </c>
      <c r="AO558" s="33">
        <f t="shared" si="226"/>
        <v>0</v>
      </c>
      <c r="AP558" s="13">
        <f t="shared" si="236"/>
        <v>24.438599070868882</v>
      </c>
      <c r="AQ558" s="13">
        <f>IFERROR(VLOOKUP(U558,'Cortes naturales'!$E$15:$G$19,3,9),U558)</f>
        <v>4</v>
      </c>
      <c r="AR558" s="28">
        <f t="shared" si="227"/>
        <v>-0.3080942315318691</v>
      </c>
      <c r="AS558" s="13" t="b">
        <f t="shared" si="228"/>
        <v>1</v>
      </c>
      <c r="AT558" s="13">
        <f t="shared" si="237"/>
        <v>0</v>
      </c>
      <c r="AU558" s="13">
        <v>4</v>
      </c>
      <c r="AV558">
        <f t="shared" si="229"/>
        <v>0</v>
      </c>
      <c r="AW558" s="13">
        <v>0</v>
      </c>
      <c r="AX558" s="13">
        <v>0</v>
      </c>
      <c r="AY558" s="13">
        <v>0</v>
      </c>
      <c r="AZ558" s="13">
        <v>0</v>
      </c>
      <c r="BA558">
        <v>0</v>
      </c>
      <c r="BB558" t="s">
        <v>2839</v>
      </c>
      <c r="BC558">
        <v>6</v>
      </c>
      <c r="BD558" t="s">
        <v>2919</v>
      </c>
      <c r="BE558">
        <v>1</v>
      </c>
      <c r="BF558" s="232" t="s">
        <v>2846</v>
      </c>
      <c r="BG558" s="232" t="s">
        <v>2846</v>
      </c>
      <c r="BH558" s="253">
        <v>42.3</v>
      </c>
      <c r="BI558" s="253">
        <v>14.251901944209637</v>
      </c>
      <c r="BJ558" s="25">
        <v>41.71298945602684</v>
      </c>
      <c r="BK558" t="s">
        <v>376</v>
      </c>
      <c r="BL558">
        <v>3.9046240371720935</v>
      </c>
      <c r="BM558" t="s">
        <v>383</v>
      </c>
      <c r="BN558" s="322">
        <v>16366.341605</v>
      </c>
      <c r="BO558" s="322">
        <v>836.700335</v>
      </c>
      <c r="BP558" s="10">
        <v>8430</v>
      </c>
      <c r="BQ558" s="254">
        <f t="shared" si="230"/>
        <v>1.9414402852906287</v>
      </c>
      <c r="BR558" s="254">
        <f t="shared" si="231"/>
        <v>9.9252708778173188E-2</v>
      </c>
      <c r="BS558" s="25">
        <v>61.025597858931199</v>
      </c>
      <c r="BT558" s="25">
        <v>87.888493475682083</v>
      </c>
      <c r="BU558" s="25">
        <v>41.38510288065843</v>
      </c>
      <c r="BV558" s="25">
        <v>98.576084015529432</v>
      </c>
      <c r="BW558" s="25">
        <v>40.156573305700839</v>
      </c>
      <c r="BX558" s="25">
        <v>72.218819557700286</v>
      </c>
      <c r="BY558" s="25">
        <v>41.313469330088729</v>
      </c>
      <c r="BZ558">
        <v>1</v>
      </c>
      <c r="CA558">
        <v>0</v>
      </c>
      <c r="CB558">
        <v>7</v>
      </c>
      <c r="CC558">
        <v>14871.499793999999</v>
      </c>
      <c r="CD558" s="10">
        <v>9559.2443879999992</v>
      </c>
      <c r="CE558" s="255">
        <v>0.64278953168238862</v>
      </c>
      <c r="CF558" t="str">
        <f>IFERROR(VLOOKUP(CE558,'Rangos amb etnico'!$A$2:$C$6,3,9),"N.D.")</f>
        <v>51% - 70%</v>
      </c>
      <c r="CG558" s="256">
        <v>2.7811445439808761E-4</v>
      </c>
      <c r="CH558" s="232">
        <v>0</v>
      </c>
      <c r="CI558" s="311">
        <f t="shared" si="238"/>
        <v>0</v>
      </c>
      <c r="CJ558" s="232">
        <f>IFERROR(VLOOKUP(CI558,'Rangos amb etnico'!$A$2:$C$6,3,9),"N.D.")</f>
        <v>0</v>
      </c>
      <c r="CK558" s="311">
        <f t="shared" si="239"/>
        <v>0</v>
      </c>
      <c r="CL558" s="10">
        <v>0</v>
      </c>
      <c r="CM558" s="255">
        <f t="shared" si="240"/>
        <v>0</v>
      </c>
      <c r="CN558" s="232">
        <f>IFERROR(VLOOKUP(CM558,'Rangos amb etnico'!$A$2:$C$6,3,9),"N.D.")</f>
        <v>0</v>
      </c>
      <c r="CO558" s="311">
        <f t="shared" si="241"/>
        <v>0</v>
      </c>
      <c r="CP558">
        <v>0.95584762903180276</v>
      </c>
      <c r="CQ558" t="s">
        <v>2864</v>
      </c>
      <c r="CR558">
        <f t="shared" si="232"/>
        <v>2</v>
      </c>
      <c r="CS558" t="str">
        <f t="shared" si="242"/>
        <v>No es Candidato</v>
      </c>
      <c r="CT558">
        <v>0</v>
      </c>
      <c r="CU558">
        <v>0</v>
      </c>
      <c r="CV558" s="25">
        <v>51.460281372070313</v>
      </c>
      <c r="CW558" s="25">
        <v>29.736982345581051</v>
      </c>
      <c r="CX558" s="25">
        <v>49.053321838378913</v>
      </c>
      <c r="CY558" s="25">
        <v>53.25225830078125</v>
      </c>
      <c r="CZ558" s="25">
        <v>42.527469635009773</v>
      </c>
      <c r="DA558" s="25">
        <v>85.000038146972656</v>
      </c>
      <c r="DB558" s="25">
        <v>49.191623687744141</v>
      </c>
      <c r="DC558">
        <v>61</v>
      </c>
      <c r="DD558" s="253" t="s">
        <v>380</v>
      </c>
    </row>
    <row r="559" spans="1:108" hidden="1">
      <c r="A559" s="13">
        <v>76863</v>
      </c>
      <c r="B559" s="13" t="s">
        <v>1565</v>
      </c>
      <c r="C559" s="13" t="s">
        <v>454</v>
      </c>
      <c r="D559" s="13" t="s">
        <v>455</v>
      </c>
      <c r="E559" s="13" t="s">
        <v>1566</v>
      </c>
      <c r="F559" s="14">
        <v>78.145133333333305</v>
      </c>
      <c r="G559" s="13">
        <v>84.22</v>
      </c>
      <c r="H559" s="13">
        <v>80.38</v>
      </c>
      <c r="I559" s="13">
        <v>82.81</v>
      </c>
      <c r="J559" s="14">
        <v>46.206604802078495</v>
      </c>
      <c r="K559" s="14">
        <v>59.054718319344147</v>
      </c>
      <c r="L559" s="14">
        <v>56.767021907452467</v>
      </c>
      <c r="M559" s="14">
        <v>48.912500000000001</v>
      </c>
      <c r="N559" s="14">
        <f t="shared" si="216"/>
        <v>81.388783333333322</v>
      </c>
      <c r="O559" s="14">
        <f t="shared" si="217"/>
        <v>52.735211257218772</v>
      </c>
      <c r="P559" s="14">
        <f t="shared" si="233"/>
        <v>67.061997295276043</v>
      </c>
      <c r="Q559" s="14">
        <v>55.185493121269566</v>
      </c>
      <c r="R559" s="17">
        <f t="shared" si="218"/>
        <v>44.814506878730434</v>
      </c>
      <c r="S559" s="14">
        <f t="shared" si="234"/>
        <v>0.50333056190857395</v>
      </c>
      <c r="T559" s="13">
        <v>0</v>
      </c>
      <c r="U559" s="13">
        <f t="shared" si="235"/>
        <v>33.754352781342554</v>
      </c>
      <c r="V559" s="13">
        <f>IF($T559=1,$AU559,(VLOOKUP(U559,'Cortes naturales'!$A$35:$C$39,3,9)))</f>
        <v>3</v>
      </c>
      <c r="W559" s="13">
        <v>3</v>
      </c>
      <c r="X559" s="14" t="b">
        <f t="shared" si="219"/>
        <v>1</v>
      </c>
      <c r="Y559" s="17">
        <f>IF($T559=1,$AU559,VLOOKUP(U559,'Cortes naturales'!$A$45:$C$49,3,9))</f>
        <v>3</v>
      </c>
      <c r="Z559" s="14">
        <v>65.439041354362089</v>
      </c>
      <c r="AA559" s="14">
        <v>0.51415857467549775</v>
      </c>
      <c r="AB559" s="14">
        <v>33.646044230889764</v>
      </c>
      <c r="AC559" s="13">
        <v>3</v>
      </c>
      <c r="AD559" s="13">
        <f t="shared" si="220"/>
        <v>0</v>
      </c>
      <c r="AE559" s="14">
        <f t="shared" si="221"/>
        <v>1.622955940913954</v>
      </c>
      <c r="AF559" s="14">
        <f t="shared" si="222"/>
        <v>-1.08280127669238E-2</v>
      </c>
      <c r="AG559" s="13">
        <f t="shared" si="223"/>
        <v>0.10830855045279009</v>
      </c>
      <c r="AH559" s="13">
        <f>IF($T559=1,$AU559,VLOOKUP(U559,'Cortes naturales'!$A$25:$C$29,3,9))</f>
        <v>3</v>
      </c>
      <c r="AI559" s="13" t="b">
        <f t="shared" si="224"/>
        <v>1</v>
      </c>
      <c r="AJ559" s="13">
        <f t="shared" si="225"/>
        <v>0</v>
      </c>
      <c r="AK559" s="28">
        <v>0.81759069605862034</v>
      </c>
      <c r="AL559" s="28">
        <v>53.50235137032174</v>
      </c>
      <c r="AM559" s="28">
        <v>0.49863200700655286</v>
      </c>
      <c r="AN559" s="13">
        <v>2</v>
      </c>
      <c r="AO559" s="33">
        <f t="shared" si="226"/>
        <v>-1</v>
      </c>
      <c r="AP559" s="13">
        <f t="shared" si="236"/>
        <v>49.863200700655284</v>
      </c>
      <c r="AQ559" s="13">
        <f>IFERROR(VLOOKUP(U559,'Cortes naturales'!$E$15:$G$19,3,9),U559)</f>
        <v>4</v>
      </c>
      <c r="AR559" s="28">
        <f t="shared" si="227"/>
        <v>-0.31426013415004639</v>
      </c>
      <c r="AS559" s="13" t="b">
        <f t="shared" si="228"/>
        <v>0</v>
      </c>
      <c r="AT559" s="13" t="str">
        <f t="shared" si="237"/>
        <v>Cambio en corte</v>
      </c>
      <c r="AU559" s="13">
        <v>3</v>
      </c>
      <c r="AV559">
        <f t="shared" si="229"/>
        <v>0</v>
      </c>
      <c r="AW559" s="13">
        <v>0</v>
      </c>
      <c r="AX559" s="13">
        <v>0</v>
      </c>
      <c r="AY559" s="13">
        <v>0</v>
      </c>
      <c r="AZ559" s="13">
        <v>0</v>
      </c>
      <c r="BA559">
        <v>0</v>
      </c>
      <c r="BB559" t="s">
        <v>2840</v>
      </c>
      <c r="BC559">
        <v>6</v>
      </c>
      <c r="BD559" t="s">
        <v>2919</v>
      </c>
      <c r="BE559">
        <v>0</v>
      </c>
      <c r="BF559" s="232" t="s">
        <v>2846</v>
      </c>
      <c r="BG559" s="232" t="s">
        <v>2846</v>
      </c>
      <c r="BH559" s="253">
        <v>30.6</v>
      </c>
      <c r="BI559" s="253">
        <v>10.460452430611262</v>
      </c>
      <c r="BJ559" s="25">
        <v>28.128207534079181</v>
      </c>
      <c r="BK559" t="s">
        <v>379</v>
      </c>
      <c r="BL559">
        <v>4.4005424709240106</v>
      </c>
      <c r="BM559" t="s">
        <v>383</v>
      </c>
      <c r="BN559" s="322">
        <v>18567.670160000001</v>
      </c>
      <c r="BO559" s="322">
        <v>1533.344728</v>
      </c>
      <c r="BP559" s="10">
        <v>7457</v>
      </c>
      <c r="BQ559" s="254">
        <f t="shared" si="230"/>
        <v>2.4899651548880248</v>
      </c>
      <c r="BR559" s="254">
        <f t="shared" si="231"/>
        <v>0.20562487971033927</v>
      </c>
      <c r="BS559" s="25">
        <v>57.508888393815802</v>
      </c>
      <c r="BT559" s="25">
        <v>96.10171941576148</v>
      </c>
      <c r="BU559" s="25">
        <v>43.771120179228667</v>
      </c>
      <c r="BV559" s="25">
        <v>87.630890401432069</v>
      </c>
      <c r="BW559" s="25">
        <v>57.767551634873648</v>
      </c>
      <c r="BX559" s="25">
        <v>71.253154597559501</v>
      </c>
      <c r="BY559" s="25">
        <v>58.988618906930931</v>
      </c>
      <c r="BZ559">
        <v>91</v>
      </c>
      <c r="CA559">
        <v>0</v>
      </c>
      <c r="CB559">
        <v>7</v>
      </c>
      <c r="CC559">
        <v>20063.763864</v>
      </c>
      <c r="CD559" s="10">
        <v>19990.674338000001</v>
      </c>
      <c r="CE559" s="255">
        <v>0.99635713784834046</v>
      </c>
      <c r="CF559" t="str">
        <f>IFERROR(VLOOKUP(CE559,'Rangos amb etnico'!$A$2:$C$6,3,9),"N.D.")</f>
        <v>71% - 100%</v>
      </c>
      <c r="CG559" s="256">
        <v>5.8160407464234005E-4</v>
      </c>
      <c r="CH559" s="232">
        <v>0.12574099999999999</v>
      </c>
      <c r="CI559" s="311">
        <f t="shared" si="238"/>
        <v>6.2670693720441202E-6</v>
      </c>
      <c r="CJ559" s="232">
        <f>IFERROR(VLOOKUP(CI559,'Rangos amb etnico'!$A$2:$C$6,3,9),"N.D.")</f>
        <v>0</v>
      </c>
      <c r="CK559" s="311">
        <f t="shared" si="239"/>
        <v>4.9927409515359128E-9</v>
      </c>
      <c r="CL559" s="10">
        <v>0</v>
      </c>
      <c r="CM559" s="255">
        <f t="shared" si="240"/>
        <v>0</v>
      </c>
      <c r="CN559" s="232">
        <f>IFERROR(VLOOKUP(CM559,'Rangos amb etnico'!$A$2:$C$6,3,9),"N.D.")</f>
        <v>0</v>
      </c>
      <c r="CO559" s="311">
        <f t="shared" si="241"/>
        <v>0</v>
      </c>
      <c r="CP559">
        <v>0.94747451316396192</v>
      </c>
      <c r="CQ559" t="s">
        <v>2864</v>
      </c>
      <c r="CR559">
        <f t="shared" si="232"/>
        <v>2</v>
      </c>
      <c r="CS559" t="str">
        <f t="shared" si="242"/>
        <v>No es Candidato</v>
      </c>
      <c r="CT559">
        <v>0</v>
      </c>
      <c r="CU559">
        <v>0</v>
      </c>
      <c r="CV559" s="25">
        <v>48.631465911865227</v>
      </c>
      <c r="CW559" s="25">
        <v>21.919284820556641</v>
      </c>
      <c r="CX559" s="25">
        <v>42.003116607666023</v>
      </c>
      <c r="CY559" s="25">
        <v>51.562339782714837</v>
      </c>
      <c r="CZ559" s="25">
        <v>55.878425598144531</v>
      </c>
      <c r="DA559" s="25">
        <v>61.501987457275391</v>
      </c>
      <c r="DB559" s="25">
        <v>58.923648834228523</v>
      </c>
      <c r="DC559">
        <v>279</v>
      </c>
      <c r="DD559" s="253" t="s">
        <v>380</v>
      </c>
    </row>
    <row r="560" spans="1:108" hidden="1">
      <c r="A560" s="13">
        <v>81736</v>
      </c>
      <c r="B560" s="13" t="s">
        <v>1567</v>
      </c>
      <c r="C560" s="13" t="s">
        <v>1568</v>
      </c>
      <c r="D560" s="13" t="s">
        <v>1569</v>
      </c>
      <c r="E560" s="13" t="s">
        <v>1570</v>
      </c>
      <c r="F560" s="14">
        <v>74.527166666666702</v>
      </c>
      <c r="G560" s="13">
        <v>60.65</v>
      </c>
      <c r="H560" s="13">
        <v>60.92</v>
      </c>
      <c r="I560" s="13">
        <v>62.04</v>
      </c>
      <c r="J560" s="14">
        <v>69.15198612949402</v>
      </c>
      <c r="K560" s="14">
        <v>65.432117080495061</v>
      </c>
      <c r="L560" s="14">
        <v>67.035198817901374</v>
      </c>
      <c r="M560" s="14">
        <v>76.254599999999996</v>
      </c>
      <c r="N560" s="14">
        <f t="shared" si="216"/>
        <v>64.534291666666675</v>
      </c>
      <c r="O560" s="14">
        <f t="shared" si="217"/>
        <v>69.468475506972609</v>
      </c>
      <c r="P560" s="14">
        <f t="shared" si="233"/>
        <v>67.001383586819642</v>
      </c>
      <c r="Q560" s="14">
        <v>55.472647519495752</v>
      </c>
      <c r="R560" s="17">
        <f t="shared" si="218"/>
        <v>44.527352480504248</v>
      </c>
      <c r="S560" s="14">
        <f t="shared" si="234"/>
        <v>0.50074617232453822</v>
      </c>
      <c r="T560" s="13">
        <v>0</v>
      </c>
      <c r="U560" s="13">
        <f t="shared" si="235"/>
        <v>33.550686371548075</v>
      </c>
      <c r="V560" s="13">
        <f>IF($T560=1,$AU560,(VLOOKUP(U560,'Cortes naturales'!$A$35:$C$39,3,9)))</f>
        <v>3</v>
      </c>
      <c r="W560" s="13">
        <v>3</v>
      </c>
      <c r="X560" s="14" t="b">
        <f t="shared" si="219"/>
        <v>1</v>
      </c>
      <c r="Y560" s="17">
        <f>IF($T560=1,$AU560,VLOOKUP(U560,'Cortes naturales'!$A$45:$C$49,3,9))</f>
        <v>3</v>
      </c>
      <c r="Z560" s="14">
        <v>67.135425464739711</v>
      </c>
      <c r="AA560" s="14">
        <v>0.51446693006698663</v>
      </c>
      <c r="AB560" s="14">
        <v>34.538956237585637</v>
      </c>
      <c r="AC560" s="13">
        <v>3</v>
      </c>
      <c r="AD560" s="13">
        <f t="shared" si="220"/>
        <v>0</v>
      </c>
      <c r="AE560" s="14">
        <f t="shared" si="221"/>
        <v>-0.13404187792006894</v>
      </c>
      <c r="AF560" s="14">
        <f t="shared" si="222"/>
        <v>-1.3720757742448408E-2</v>
      </c>
      <c r="AG560" s="13">
        <f t="shared" si="223"/>
        <v>-0.98826986603756239</v>
      </c>
      <c r="AH560" s="13">
        <f>IF($T560=1,$AU560,VLOOKUP(U560,'Cortes naturales'!$A$25:$C$29,3,9))</f>
        <v>3</v>
      </c>
      <c r="AI560" s="13" t="b">
        <f t="shared" si="224"/>
        <v>1</v>
      </c>
      <c r="AJ560" s="13">
        <f t="shared" si="225"/>
        <v>0</v>
      </c>
      <c r="AK560" s="28">
        <v>0.81759069605862034</v>
      </c>
      <c r="AL560" s="28">
        <v>54.889299235908162</v>
      </c>
      <c r="AM560" s="28">
        <v>0.51598126282418377</v>
      </c>
      <c r="AN560" s="13">
        <v>2</v>
      </c>
      <c r="AO560" s="33">
        <f t="shared" si="226"/>
        <v>-1</v>
      </c>
      <c r="AP560" s="13">
        <f t="shared" si="236"/>
        <v>51.598126282418377</v>
      </c>
      <c r="AQ560" s="13">
        <f>IFERROR(VLOOKUP(U560,'Cortes naturales'!$E$15:$G$19,3,9),U560)</f>
        <v>4</v>
      </c>
      <c r="AR560" s="28">
        <f t="shared" si="227"/>
        <v>-0.31684452373408212</v>
      </c>
      <c r="AS560" s="13" t="b">
        <f t="shared" si="228"/>
        <v>0</v>
      </c>
      <c r="AT560" s="13" t="str">
        <f t="shared" si="237"/>
        <v>Cambio en corte</v>
      </c>
      <c r="AU560" s="13">
        <v>2</v>
      </c>
      <c r="AV560">
        <f t="shared" si="229"/>
        <v>-1</v>
      </c>
      <c r="AW560" s="13">
        <v>0</v>
      </c>
      <c r="AX560" s="13">
        <v>0</v>
      </c>
      <c r="AY560" s="13">
        <v>0</v>
      </c>
      <c r="AZ560" s="13">
        <v>1</v>
      </c>
      <c r="BA560">
        <v>1</v>
      </c>
      <c r="BB560" t="s">
        <v>2839</v>
      </c>
      <c r="BC560">
        <v>6</v>
      </c>
      <c r="BD560" t="s">
        <v>2919</v>
      </c>
      <c r="BE560">
        <v>0</v>
      </c>
      <c r="BF560" s="232" t="s">
        <v>2846</v>
      </c>
      <c r="BG560" s="232" t="s">
        <v>2846</v>
      </c>
      <c r="BH560" s="253">
        <v>39.4</v>
      </c>
      <c r="BI560" s="253">
        <v>27.950571942308429</v>
      </c>
      <c r="BJ560" s="25">
        <v>12.743397908371154</v>
      </c>
      <c r="BK560" t="s">
        <v>377</v>
      </c>
      <c r="BL560">
        <v>32.894805310650597</v>
      </c>
      <c r="BM560" t="s">
        <v>384</v>
      </c>
      <c r="BN560" s="322">
        <v>153364.42391300001</v>
      </c>
      <c r="BO560" s="322">
        <v>14468.592839999999</v>
      </c>
      <c r="BP560" s="10">
        <v>58996</v>
      </c>
      <c r="BQ560" s="254">
        <f t="shared" si="230"/>
        <v>2.5995732577293378</v>
      </c>
      <c r="BR560" s="254">
        <f t="shared" si="231"/>
        <v>0.2452470140348498</v>
      </c>
      <c r="BS560" s="25">
        <v>67.104050744229312</v>
      </c>
      <c r="BT560" s="25">
        <v>98.29655639471639</v>
      </c>
      <c r="BU560" s="25">
        <v>41.5016707139388</v>
      </c>
      <c r="BV560" s="25">
        <v>94.546093397012768</v>
      </c>
      <c r="BW560" s="25">
        <v>52.816388907843837</v>
      </c>
      <c r="BX560" s="25">
        <v>75.362092812474316</v>
      </c>
      <c r="BY560" s="25">
        <v>57.141925126760839</v>
      </c>
      <c r="BZ560">
        <v>53</v>
      </c>
      <c r="CA560">
        <v>0</v>
      </c>
      <c r="CB560">
        <v>6</v>
      </c>
      <c r="CC560">
        <v>92349.767084000006</v>
      </c>
      <c r="CD560" s="10">
        <v>16977.126958000001</v>
      </c>
      <c r="CE560" s="255">
        <v>0.18383508149574274</v>
      </c>
      <c r="CF560" t="str">
        <f>IFERROR(VLOOKUP(CE560,'Rangos amb etnico'!$A$2:$C$6,3,9),"N.D.")</f>
        <v>0,1% - 30%</v>
      </c>
      <c r="CG560" s="256">
        <v>4.9392862129337117E-4</v>
      </c>
      <c r="CH560" s="232">
        <v>10597.753210000001</v>
      </c>
      <c r="CI560" s="311">
        <f t="shared" si="238"/>
        <v>0.11475668585455595</v>
      </c>
      <c r="CJ560" s="232" t="str">
        <f>IFERROR(VLOOKUP(CI560,'Rangos amb etnico'!$A$2:$C$6,3,9),"N.D.")</f>
        <v>0,1% - 30%</v>
      </c>
      <c r="CK560" s="311">
        <f t="shared" si="239"/>
        <v>4.208001880519336E-4</v>
      </c>
      <c r="CL560" s="10">
        <v>0</v>
      </c>
      <c r="CM560" s="255">
        <f t="shared" si="240"/>
        <v>0</v>
      </c>
      <c r="CN560" s="232">
        <f>IFERROR(VLOOKUP(CM560,'Rangos amb etnico'!$A$2:$C$6,3,9),"N.D.")</f>
        <v>0</v>
      </c>
      <c r="CO560" s="311">
        <f t="shared" si="241"/>
        <v>0</v>
      </c>
      <c r="CP560">
        <v>0.9899346191740106</v>
      </c>
      <c r="CQ560" t="s">
        <v>2864</v>
      </c>
      <c r="CR560">
        <f t="shared" si="232"/>
        <v>3</v>
      </c>
      <c r="CS560" t="str">
        <f t="shared" si="242"/>
        <v>Candidato</v>
      </c>
      <c r="CT560">
        <v>1</v>
      </c>
      <c r="CU560" t="s">
        <v>2836</v>
      </c>
      <c r="CV560" s="25">
        <v>46.514987945556641</v>
      </c>
      <c r="CW560" s="25">
        <v>27.31269454956055</v>
      </c>
      <c r="CX560" s="25">
        <v>43.230876922607422</v>
      </c>
      <c r="CY560" s="25">
        <v>52.579109191894531</v>
      </c>
      <c r="CZ560" s="25">
        <v>41.756954193115227</v>
      </c>
      <c r="DA560" s="25">
        <v>52.369247436523438</v>
      </c>
      <c r="DB560" s="25">
        <v>61.841053009033203</v>
      </c>
      <c r="DC560">
        <v>2982</v>
      </c>
      <c r="DD560" s="253" t="s">
        <v>380</v>
      </c>
    </row>
    <row r="561" spans="1:108" hidden="1">
      <c r="A561" s="13">
        <v>19392</v>
      </c>
      <c r="B561" s="13" t="s">
        <v>1571</v>
      </c>
      <c r="C561" s="13" t="s">
        <v>557</v>
      </c>
      <c r="D561" s="13" t="s">
        <v>558</v>
      </c>
      <c r="E561" s="13" t="s">
        <v>1572</v>
      </c>
      <c r="F561" s="14">
        <v>66.533500000000004</v>
      </c>
      <c r="G561" s="13">
        <v>48.17</v>
      </c>
      <c r="H561" s="13">
        <v>53.42</v>
      </c>
      <c r="I561" s="13">
        <v>78.66</v>
      </c>
      <c r="J561" s="14">
        <v>47.657760798135683</v>
      </c>
      <c r="K561" s="14">
        <v>48.895073575078264</v>
      </c>
      <c r="L561" s="14">
        <v>51.509751172574362</v>
      </c>
      <c r="M561" s="14">
        <v>54.046399999999998</v>
      </c>
      <c r="N561" s="14">
        <f t="shared" si="216"/>
        <v>61.695875000000001</v>
      </c>
      <c r="O561" s="14">
        <f t="shared" si="217"/>
        <v>50.527246386447082</v>
      </c>
      <c r="P561" s="14">
        <f t="shared" si="233"/>
        <v>56.111560693223538</v>
      </c>
      <c r="Q561" s="14">
        <v>54.69289049092346</v>
      </c>
      <c r="R561" s="17">
        <f t="shared" si="218"/>
        <v>45.30710950907654</v>
      </c>
      <c r="S561" s="14">
        <f t="shared" si="234"/>
        <v>0.50776398558168889</v>
      </c>
      <c r="T561" s="13">
        <v>0</v>
      </c>
      <c r="U561" s="13">
        <f t="shared" si="235"/>
        <v>28.491429694800019</v>
      </c>
      <c r="V561" s="13">
        <f>IF($T561=1,$AU561,(VLOOKUP(U561,'Cortes naturales'!$A$35:$C$39,3,9)))</f>
        <v>4</v>
      </c>
      <c r="W561" s="13">
        <v>4</v>
      </c>
      <c r="X561" s="14" t="b">
        <f t="shared" si="219"/>
        <v>1</v>
      </c>
      <c r="Y561" s="17">
        <f>IF($T561=1,$AU561,VLOOKUP(U561,'Cortes naturales'!$A$45:$C$49,3,9))</f>
        <v>3</v>
      </c>
      <c r="Z561" s="14">
        <v>54.236133630380891</v>
      </c>
      <c r="AA561" s="14">
        <v>0.51698503303138732</v>
      </c>
      <c r="AB561" s="14">
        <v>28.039269336397201</v>
      </c>
      <c r="AC561" s="13">
        <v>3</v>
      </c>
      <c r="AD561" s="13">
        <f t="shared" si="220"/>
        <v>0</v>
      </c>
      <c r="AE561" s="14">
        <f t="shared" si="221"/>
        <v>1.8754270628426468</v>
      </c>
      <c r="AF561" s="14">
        <f t="shared" si="222"/>
        <v>-9.2210474496984274E-3</v>
      </c>
      <c r="AG561" s="13">
        <f t="shared" si="223"/>
        <v>0.45216035840281776</v>
      </c>
      <c r="AH561" s="13">
        <f>IF($T561=1,$AU561,VLOOKUP(U561,'Cortes naturales'!$A$25:$C$29,3,9))</f>
        <v>3</v>
      </c>
      <c r="AI561" s="13" t="b">
        <f t="shared" si="224"/>
        <v>1</v>
      </c>
      <c r="AJ561" s="13">
        <f t="shared" si="225"/>
        <v>0</v>
      </c>
      <c r="AK561" s="28">
        <v>0.81759069605862034</v>
      </c>
      <c r="AL561" s="28">
        <v>44.342958246391461</v>
      </c>
      <c r="AM561" s="28">
        <v>0.38405765393660057</v>
      </c>
      <c r="AN561" s="13">
        <v>3</v>
      </c>
      <c r="AO561" s="33">
        <f t="shared" si="226"/>
        <v>0</v>
      </c>
      <c r="AP561" s="13">
        <f t="shared" si="236"/>
        <v>38.405765393660054</v>
      </c>
      <c r="AQ561" s="13">
        <f>IFERROR(VLOOKUP(U561,'Cortes naturales'!$E$15:$G$19,3,9),U561)</f>
        <v>4</v>
      </c>
      <c r="AR561" s="28">
        <f t="shared" si="227"/>
        <v>-0.30982671047693144</v>
      </c>
      <c r="AS561" s="13" t="b">
        <f t="shared" si="228"/>
        <v>0</v>
      </c>
      <c r="AT561" s="13">
        <f t="shared" si="237"/>
        <v>0</v>
      </c>
      <c r="AU561" s="13">
        <v>4</v>
      </c>
      <c r="AV561">
        <f t="shared" si="229"/>
        <v>1</v>
      </c>
      <c r="AW561" s="13">
        <v>0</v>
      </c>
      <c r="AX561" s="13">
        <v>0</v>
      </c>
      <c r="AY561" s="13">
        <v>0</v>
      </c>
      <c r="AZ561" s="13">
        <v>0</v>
      </c>
      <c r="BA561">
        <v>0</v>
      </c>
      <c r="BB561" t="s">
        <v>2840</v>
      </c>
      <c r="BC561">
        <v>6</v>
      </c>
      <c r="BD561" t="s">
        <v>2919</v>
      </c>
      <c r="BE561">
        <v>0</v>
      </c>
      <c r="BF561" s="232" t="s">
        <v>2846</v>
      </c>
      <c r="BG561" s="232" t="s">
        <v>2846</v>
      </c>
      <c r="BH561" s="253">
        <v>53.6</v>
      </c>
      <c r="BI561" s="253">
        <v>23.029693004529442</v>
      </c>
      <c r="BJ561" s="25">
        <v>1.55375</v>
      </c>
      <c r="BK561" t="s">
        <v>381</v>
      </c>
      <c r="BL561">
        <v>13.95032014287502</v>
      </c>
      <c r="BM561" t="s">
        <v>376</v>
      </c>
      <c r="BN561" s="322">
        <v>29205.195605000001</v>
      </c>
      <c r="BO561" s="322">
        <v>1070.7647340000001</v>
      </c>
      <c r="BP561" s="10">
        <v>11305</v>
      </c>
      <c r="BQ561" s="254">
        <f t="shared" si="230"/>
        <v>2.5833874927023444</v>
      </c>
      <c r="BR561" s="254">
        <f t="shared" si="231"/>
        <v>9.4716031313578072E-2</v>
      </c>
      <c r="BS561" s="25">
        <v>58.38298127756903</v>
      </c>
      <c r="BT561" s="25">
        <v>88.388291359280558</v>
      </c>
      <c r="BU561" s="25">
        <v>44.031666666666673</v>
      </c>
      <c r="BV561" s="25">
        <v>88.847882697703156</v>
      </c>
      <c r="BW561" s="25">
        <v>40.085688603747528</v>
      </c>
      <c r="BX561" s="25">
        <v>69.912705500304853</v>
      </c>
      <c r="BY561" s="25">
        <v>40.241640280007147</v>
      </c>
      <c r="BZ561">
        <v>26</v>
      </c>
      <c r="CA561">
        <v>0</v>
      </c>
      <c r="CB561">
        <v>7</v>
      </c>
      <c r="CC561">
        <v>20846.739420999998</v>
      </c>
      <c r="CD561" s="10">
        <v>6390.9657299999999</v>
      </c>
      <c r="CE561" s="255">
        <v>0.30656908022566109</v>
      </c>
      <c r="CF561" t="str">
        <f>IFERROR(VLOOKUP(CE561,'Rangos amb etnico'!$A$2:$C$6,3,9),"N.D.")</f>
        <v>31% - 50%</v>
      </c>
      <c r="CG561" s="256">
        <v>1.8593728488698052E-4</v>
      </c>
      <c r="CH561" s="232">
        <v>192.322168</v>
      </c>
      <c r="CI561" s="311">
        <f t="shared" si="238"/>
        <v>9.2255275089333129E-3</v>
      </c>
      <c r="CJ561" s="232" t="str">
        <f>IFERROR(VLOOKUP(CI561,'Rangos amb etnico'!$A$2:$C$6,3,9),"N.D.")</f>
        <v>0,1% - 30%</v>
      </c>
      <c r="CK561" s="311">
        <f t="shared" si="239"/>
        <v>7.6364492413911908E-6</v>
      </c>
      <c r="CL561" s="10">
        <v>0</v>
      </c>
      <c r="CM561" s="255">
        <f t="shared" si="240"/>
        <v>0</v>
      </c>
      <c r="CN561" s="232">
        <f>IFERROR(VLOOKUP(CM561,'Rangos amb etnico'!$A$2:$C$6,3,9),"N.D.")</f>
        <v>0</v>
      </c>
      <c r="CO561" s="311">
        <f t="shared" si="241"/>
        <v>0</v>
      </c>
      <c r="CP561">
        <v>0.93557902193431985</v>
      </c>
      <c r="CQ561" t="s">
        <v>2864</v>
      </c>
      <c r="CR561">
        <f t="shared" si="232"/>
        <v>2</v>
      </c>
      <c r="CS561" t="str">
        <f t="shared" si="242"/>
        <v>No es Candidato</v>
      </c>
      <c r="CT561">
        <v>0</v>
      </c>
      <c r="CU561">
        <v>0</v>
      </c>
      <c r="CV561" s="25">
        <v>43.386508941650391</v>
      </c>
      <c r="CW561" s="25">
        <v>18.856218338012699</v>
      </c>
      <c r="CX561" s="25">
        <v>48.808158874511719</v>
      </c>
      <c r="CY561" s="25">
        <v>66.457756042480469</v>
      </c>
      <c r="CZ561" s="25">
        <v>41.082714080810547</v>
      </c>
      <c r="DA561" s="25">
        <v>39.148181915283203</v>
      </c>
      <c r="DB561" s="25">
        <v>45.966022491455078</v>
      </c>
      <c r="DC561">
        <v>3910</v>
      </c>
      <c r="DD561" s="253" t="s">
        <v>380</v>
      </c>
    </row>
    <row r="562" spans="1:108" hidden="1">
      <c r="A562" s="13">
        <v>15879</v>
      </c>
      <c r="B562" s="13" t="s">
        <v>1573</v>
      </c>
      <c r="C562" s="13" t="s">
        <v>498</v>
      </c>
      <c r="D562" s="13" t="s">
        <v>499</v>
      </c>
      <c r="E562" s="13" t="s">
        <v>1574</v>
      </c>
      <c r="F562" s="14">
        <v>75.4219333333333</v>
      </c>
      <c r="G562" s="13">
        <v>64.37</v>
      </c>
      <c r="H562" s="13">
        <v>72.959999999999994</v>
      </c>
      <c r="I562" s="13">
        <v>80.680000000000007</v>
      </c>
      <c r="J562" s="14">
        <v>54.368069138810483</v>
      </c>
      <c r="K562" s="14">
        <v>44.759978264450012</v>
      </c>
      <c r="L562" s="14">
        <v>56.629603301834663</v>
      </c>
      <c r="M562" s="14">
        <v>46.516300000000001</v>
      </c>
      <c r="N562" s="14">
        <f t="shared" si="216"/>
        <v>73.357983333333323</v>
      </c>
      <c r="O562" s="14">
        <f t="shared" si="217"/>
        <v>50.56848767627379</v>
      </c>
      <c r="P562" s="14">
        <f t="shared" si="233"/>
        <v>61.963235504803556</v>
      </c>
      <c r="Q562" s="14">
        <v>55.359573695941222</v>
      </c>
      <c r="R562" s="17">
        <f t="shared" si="218"/>
        <v>44.640426304058778</v>
      </c>
      <c r="S562" s="14">
        <f t="shared" si="234"/>
        <v>0.50176383673652902</v>
      </c>
      <c r="T562" s="13">
        <v>0</v>
      </c>
      <c r="U562" s="13">
        <f t="shared" si="235"/>
        <v>31.09091078349935</v>
      </c>
      <c r="V562" s="13">
        <f>IF($T562=1,$AU562,(VLOOKUP(U562,'Cortes naturales'!$A$35:$C$39,3,9)))</f>
        <v>3</v>
      </c>
      <c r="W562" s="13">
        <v>3</v>
      </c>
      <c r="X562" s="14" t="b">
        <f t="shared" si="219"/>
        <v>1</v>
      </c>
      <c r="Y562" s="17">
        <f>IF($T562=1,$AU562,VLOOKUP(U562,'Cortes naturales'!$A$45:$C$49,3,9))</f>
        <v>3</v>
      </c>
      <c r="Z562" s="14">
        <v>61.942747259262951</v>
      </c>
      <c r="AA562" s="14">
        <v>0.51270558274749667</v>
      </c>
      <c r="AB562" s="14">
        <v>31.758392330541312</v>
      </c>
      <c r="AC562" s="13">
        <v>3</v>
      </c>
      <c r="AD562" s="13">
        <f t="shared" si="220"/>
        <v>0</v>
      </c>
      <c r="AE562" s="14">
        <f t="shared" si="221"/>
        <v>2.0488245540605021E-2</v>
      </c>
      <c r="AF562" s="14">
        <f t="shared" si="222"/>
        <v>-1.0941746010967646E-2</v>
      </c>
      <c r="AG562" s="13">
        <f t="shared" si="223"/>
        <v>-0.66748154704196239</v>
      </c>
      <c r="AH562" s="13">
        <f>IF($T562=1,$AU562,VLOOKUP(U562,'Cortes naturales'!$A$25:$C$29,3,9))</f>
        <v>3</v>
      </c>
      <c r="AI562" s="13" t="b">
        <f t="shared" si="224"/>
        <v>1</v>
      </c>
      <c r="AJ562" s="13">
        <f t="shared" si="225"/>
        <v>0</v>
      </c>
      <c r="AK562" s="28">
        <v>0.81759069605862034</v>
      </c>
      <c r="AL562" s="28">
        <v>50.64381384748399</v>
      </c>
      <c r="AM562" s="28">
        <v>0.46287471577842149</v>
      </c>
      <c r="AN562" s="13">
        <v>3</v>
      </c>
      <c r="AO562" s="33">
        <f t="shared" si="226"/>
        <v>0</v>
      </c>
      <c r="AP562" s="13">
        <f t="shared" si="236"/>
        <v>46.287471577842147</v>
      </c>
      <c r="AQ562" s="13">
        <f>IFERROR(VLOOKUP(U562,'Cortes naturales'!$E$15:$G$19,3,9),U562)</f>
        <v>4</v>
      </c>
      <c r="AR562" s="28">
        <f t="shared" si="227"/>
        <v>-0.31582685932209131</v>
      </c>
      <c r="AS562" s="13" t="b">
        <f t="shared" si="228"/>
        <v>0</v>
      </c>
      <c r="AT562" s="13">
        <f t="shared" si="237"/>
        <v>0</v>
      </c>
      <c r="AU562" s="13">
        <v>3</v>
      </c>
      <c r="AV562">
        <f t="shared" si="229"/>
        <v>0</v>
      </c>
      <c r="AW562" s="13">
        <v>0</v>
      </c>
      <c r="AX562" s="13">
        <v>0</v>
      </c>
      <c r="AY562" s="13">
        <v>0</v>
      </c>
      <c r="AZ562" s="13">
        <v>0</v>
      </c>
      <c r="BA562">
        <v>0</v>
      </c>
      <c r="BB562" t="s">
        <v>2841</v>
      </c>
      <c r="BC562">
        <v>6</v>
      </c>
      <c r="BD562" t="s">
        <v>2919</v>
      </c>
      <c r="BE562">
        <v>0</v>
      </c>
      <c r="BF562" s="232" t="s">
        <v>2846</v>
      </c>
      <c r="BG562" s="232" t="s">
        <v>2846</v>
      </c>
      <c r="BH562" s="253">
        <v>45.1</v>
      </c>
      <c r="BI562" s="253">
        <v>13.245546088303641</v>
      </c>
      <c r="BJ562" s="25">
        <v>61.023601131071182</v>
      </c>
      <c r="BK562" t="s">
        <v>376</v>
      </c>
      <c r="BL562">
        <v>2.8509215111626562</v>
      </c>
      <c r="BM562" t="s">
        <v>383</v>
      </c>
      <c r="BN562" s="322">
        <v>10412.544241</v>
      </c>
      <c r="BO562" s="322">
        <v>391.81381399999998</v>
      </c>
      <c r="BP562" s="10">
        <v>2910</v>
      </c>
      <c r="BQ562" s="254">
        <f t="shared" si="230"/>
        <v>3.5781938972508591</v>
      </c>
      <c r="BR562" s="254">
        <f t="shared" si="231"/>
        <v>0.13464392233676975</v>
      </c>
      <c r="BS562" s="25">
        <v>45.900491334882112</v>
      </c>
      <c r="BT562" s="25">
        <v>87.18996664375716</v>
      </c>
      <c r="BU562" s="25">
        <v>37.106388888888873</v>
      </c>
      <c r="BV562" s="25">
        <v>86.687826958387618</v>
      </c>
      <c r="BW562" s="25">
        <v>54.563474310021398</v>
      </c>
      <c r="BX562" s="25">
        <v>64.221168456478935</v>
      </c>
      <c r="BY562" s="25">
        <v>54.780378567836713</v>
      </c>
      <c r="BZ562">
        <v>0</v>
      </c>
      <c r="CA562">
        <v>0</v>
      </c>
      <c r="CB562">
        <v>7</v>
      </c>
      <c r="CC562">
        <v>6246.9906449999999</v>
      </c>
      <c r="CD562" s="10">
        <v>5472.8878720000002</v>
      </c>
      <c r="CE562" s="255">
        <v>0.8760838911101011</v>
      </c>
      <c r="CF562" t="str">
        <f>IFERROR(VLOOKUP(CE562,'Rangos amb etnico'!$A$2:$C$6,3,9),"N.D.")</f>
        <v>71% - 100%</v>
      </c>
      <c r="CG562" s="256">
        <v>1.5922693915158337E-4</v>
      </c>
      <c r="CH562" s="232">
        <v>0</v>
      </c>
      <c r="CI562" s="311">
        <f t="shared" si="238"/>
        <v>0</v>
      </c>
      <c r="CJ562" s="232">
        <f>IFERROR(VLOOKUP(CI562,'Rangos amb etnico'!$A$2:$C$6,3,9),"N.D.")</f>
        <v>0</v>
      </c>
      <c r="CK562" s="311">
        <f t="shared" si="239"/>
        <v>0</v>
      </c>
      <c r="CL562" s="10">
        <v>0</v>
      </c>
      <c r="CM562" s="255">
        <f t="shared" si="240"/>
        <v>0</v>
      </c>
      <c r="CN562" s="232">
        <f>IFERROR(VLOOKUP(CM562,'Rangos amb etnico'!$A$2:$C$6,3,9),"N.D.")</f>
        <v>0</v>
      </c>
      <c r="CO562" s="311">
        <f t="shared" si="241"/>
        <v>0</v>
      </c>
      <c r="CP562">
        <v>0.92067377567601638</v>
      </c>
      <c r="CQ562" t="s">
        <v>2864</v>
      </c>
      <c r="CR562">
        <f t="shared" si="232"/>
        <v>2</v>
      </c>
      <c r="CS562" t="str">
        <f t="shared" si="242"/>
        <v>No es Candidato</v>
      </c>
      <c r="CT562">
        <v>0</v>
      </c>
      <c r="CU562">
        <v>0</v>
      </c>
      <c r="CV562" s="25">
        <v>55.953292846679688</v>
      </c>
      <c r="CW562" s="25">
        <v>20.0312614440918</v>
      </c>
      <c r="CX562" s="25">
        <v>46.890357971191413</v>
      </c>
      <c r="CY562" s="25">
        <v>63.697288513183587</v>
      </c>
      <c r="CZ562" s="25">
        <v>63.572864532470703</v>
      </c>
      <c r="DA562" s="25">
        <v>86.782730102539063</v>
      </c>
      <c r="DB562" s="25">
        <v>54.745250701904297</v>
      </c>
      <c r="DC562">
        <v>4</v>
      </c>
      <c r="DD562" s="253" t="s">
        <v>380</v>
      </c>
    </row>
    <row r="563" spans="1:108">
      <c r="A563" s="13">
        <v>5051</v>
      </c>
      <c r="B563" s="13" t="s">
        <v>1575</v>
      </c>
      <c r="C563" s="13" t="s">
        <v>435</v>
      </c>
      <c r="D563" s="13" t="s">
        <v>436</v>
      </c>
      <c r="E563" s="13" t="s">
        <v>1576</v>
      </c>
      <c r="F563" s="14">
        <v>43.874666666666698</v>
      </c>
      <c r="G563" s="13">
        <v>35</v>
      </c>
      <c r="H563" s="13">
        <v>36.229999999999997</v>
      </c>
      <c r="I563" s="13">
        <v>32.130000000000003</v>
      </c>
      <c r="J563" s="14">
        <v>52.398016476513824</v>
      </c>
      <c r="K563" s="14">
        <v>59.816224620017309</v>
      </c>
      <c r="L563" s="14">
        <v>47.234877297569099</v>
      </c>
      <c r="M563" s="14">
        <v>58.838500000000003</v>
      </c>
      <c r="N563" s="14">
        <f t="shared" si="216"/>
        <v>36.808666666666674</v>
      </c>
      <c r="O563" s="14">
        <f t="shared" si="217"/>
        <v>54.571904598525066</v>
      </c>
      <c r="P563" s="14">
        <f t="shared" si="233"/>
        <v>45.690285632595874</v>
      </c>
      <c r="Q563" s="14">
        <v>55.570793788645048</v>
      </c>
      <c r="R563" s="17">
        <f t="shared" si="218"/>
        <v>44.429206211354952</v>
      </c>
      <c r="S563" s="14">
        <f t="shared" si="234"/>
        <v>0.49986285590219459</v>
      </c>
      <c r="T563" s="13">
        <v>0</v>
      </c>
      <c r="U563" s="13">
        <f t="shared" si="235"/>
        <v>22.838876663296382</v>
      </c>
      <c r="V563" s="13">
        <f>IF($T563=1,$AU563,(VLOOKUP(U563,'Cortes naturales'!$A$35:$C$39,3,9)))</f>
        <v>4</v>
      </c>
      <c r="W563" s="13">
        <v>4</v>
      </c>
      <c r="X563" s="14" t="b">
        <f t="shared" si="219"/>
        <v>1</v>
      </c>
      <c r="Y563" s="17">
        <f>IF($T563=1,$AU563,VLOOKUP(U563,'Cortes naturales'!$A$45:$C$49,3,9))</f>
        <v>4</v>
      </c>
      <c r="Z563" s="14">
        <v>45.582024232044667</v>
      </c>
      <c r="AA563" s="14">
        <v>0.51346125283077315</v>
      </c>
      <c r="AB563" s="14">
        <v>23.404603268748314</v>
      </c>
      <c r="AC563" s="13">
        <v>4</v>
      </c>
      <c r="AD563" s="13">
        <f t="shared" si="220"/>
        <v>0</v>
      </c>
      <c r="AE563" s="14">
        <f t="shared" si="221"/>
        <v>0.10826140055120703</v>
      </c>
      <c r="AF563" s="14">
        <f t="shared" si="222"/>
        <v>-1.359839692857856E-2</v>
      </c>
      <c r="AG563" s="13">
        <f t="shared" si="223"/>
        <v>-0.56572660545193187</v>
      </c>
      <c r="AH563" s="13">
        <f>IF($T563=1,$AU563,VLOOKUP(U563,'Cortes naturales'!$A$25:$C$29,3,9))</f>
        <v>4</v>
      </c>
      <c r="AI563" s="13" t="b">
        <f t="shared" si="224"/>
        <v>1</v>
      </c>
      <c r="AJ563" s="13">
        <f t="shared" si="225"/>
        <v>0</v>
      </c>
      <c r="AK563" s="28">
        <v>0.81759069605862034</v>
      </c>
      <c r="AL563" s="28">
        <v>37.267438919638295</v>
      </c>
      <c r="AM563" s="28">
        <v>0.2955503654593013</v>
      </c>
      <c r="AN563" s="13">
        <v>4</v>
      </c>
      <c r="AO563" s="33">
        <f t="shared" si="226"/>
        <v>0</v>
      </c>
      <c r="AP563" s="13">
        <f t="shared" si="236"/>
        <v>29.555036545930129</v>
      </c>
      <c r="AQ563" s="13">
        <f>IFERROR(VLOOKUP(U563,'Cortes naturales'!$E$15:$G$19,3,9),U563)</f>
        <v>4</v>
      </c>
      <c r="AR563" s="28">
        <f t="shared" si="227"/>
        <v>-0.31772784015642574</v>
      </c>
      <c r="AS563" s="13" t="b">
        <f t="shared" si="228"/>
        <v>1</v>
      </c>
      <c r="AT563" s="13">
        <f t="shared" si="237"/>
        <v>0</v>
      </c>
      <c r="AU563" s="13">
        <v>4</v>
      </c>
      <c r="AV563">
        <f t="shared" si="229"/>
        <v>0</v>
      </c>
      <c r="AW563" s="13">
        <v>0</v>
      </c>
      <c r="AX563" s="13">
        <v>0</v>
      </c>
      <c r="AY563" s="13">
        <v>0</v>
      </c>
      <c r="AZ563" s="13">
        <v>0</v>
      </c>
      <c r="BA563">
        <v>0</v>
      </c>
      <c r="BB563" t="s">
        <v>2840</v>
      </c>
      <c r="BC563">
        <v>6</v>
      </c>
      <c r="BD563" t="s">
        <v>2919</v>
      </c>
      <c r="BE563">
        <v>1</v>
      </c>
      <c r="BF563" s="232" t="s">
        <v>2846</v>
      </c>
      <c r="BG563" s="232" t="s">
        <v>2845</v>
      </c>
      <c r="BH563" s="253">
        <v>59.1</v>
      </c>
      <c r="BI563" s="253">
        <v>62.487157045549679</v>
      </c>
      <c r="BJ563" s="25">
        <v>55.077002341420233</v>
      </c>
      <c r="BK563" t="s">
        <v>376</v>
      </c>
      <c r="BL563">
        <v>1.530367827766173</v>
      </c>
      <c r="BM563" t="s">
        <v>383</v>
      </c>
      <c r="BN563" s="322">
        <v>81324.149690000006</v>
      </c>
      <c r="BO563" s="322">
        <v>7745.1924040000004</v>
      </c>
      <c r="BP563" s="10">
        <v>31449</v>
      </c>
      <c r="BQ563" s="254">
        <f t="shared" si="230"/>
        <v>2.5859057423129514</v>
      </c>
      <c r="BR563" s="254">
        <f t="shared" si="231"/>
        <v>0.24627785951858566</v>
      </c>
      <c r="BS563" s="25">
        <v>58.662078597607767</v>
      </c>
      <c r="BT563" s="25">
        <v>93.439738230574378</v>
      </c>
      <c r="BU563" s="25">
        <v>52.956666666666671</v>
      </c>
      <c r="BV563" s="25">
        <v>96.555836228949445</v>
      </c>
      <c r="BW563" s="25">
        <v>50.648048565945942</v>
      </c>
      <c r="BX563" s="25">
        <v>75.403579930949562</v>
      </c>
      <c r="BY563" s="25">
        <v>52.565956938115967</v>
      </c>
      <c r="BZ563">
        <v>35</v>
      </c>
      <c r="CA563">
        <v>0</v>
      </c>
      <c r="CB563">
        <v>7</v>
      </c>
      <c r="CC563">
        <v>75439.450568999993</v>
      </c>
      <c r="CD563" s="10">
        <v>33169.063793000001</v>
      </c>
      <c r="CE563" s="255">
        <v>0.43967796083910005</v>
      </c>
      <c r="CF563" t="str">
        <f>IFERROR(VLOOKUP(CE563,'Rangos amb etnico'!$A$2:$C$6,3,9),"N.D.")</f>
        <v>31% - 50%</v>
      </c>
      <c r="CG563" s="256">
        <v>9.6501310200476891E-4</v>
      </c>
      <c r="CH563" s="232">
        <v>26.487044000000001</v>
      </c>
      <c r="CI563" s="311">
        <f t="shared" si="238"/>
        <v>3.5110335242664409E-4</v>
      </c>
      <c r="CJ563" s="232">
        <f>IFERROR(VLOOKUP(CI563,'Rangos amb etnico'!$A$2:$C$6,3,9),"N.D.")</f>
        <v>0</v>
      </c>
      <c r="CK563" s="311">
        <f t="shared" si="239"/>
        <v>1.051709062787266E-6</v>
      </c>
      <c r="CL563" s="10">
        <v>0</v>
      </c>
      <c r="CM563" s="255">
        <f t="shared" si="240"/>
        <v>0</v>
      </c>
      <c r="CN563" s="232">
        <f>IFERROR(VLOOKUP(CM563,'Rangos amb etnico'!$A$2:$C$6,3,9),"N.D.")</f>
        <v>0</v>
      </c>
      <c r="CO563" s="311">
        <f t="shared" si="241"/>
        <v>0</v>
      </c>
      <c r="CP563">
        <v>0.8761271336625418</v>
      </c>
      <c r="CQ563" t="s">
        <v>2864</v>
      </c>
      <c r="CR563">
        <f t="shared" si="232"/>
        <v>1</v>
      </c>
      <c r="CS563" t="str">
        <f t="shared" si="242"/>
        <v>No es Candidato</v>
      </c>
      <c r="CT563">
        <v>0</v>
      </c>
      <c r="CU563">
        <v>0</v>
      </c>
      <c r="CV563" s="25">
        <v>49.92547607421875</v>
      </c>
      <c r="CW563" s="25">
        <v>29.178693771362301</v>
      </c>
      <c r="CX563" s="25">
        <v>60.220539093017578</v>
      </c>
      <c r="CY563" s="25">
        <v>55.893520355224609</v>
      </c>
      <c r="CZ563" s="25">
        <v>23.317197799682621</v>
      </c>
      <c r="DA563" s="25">
        <v>89.161811828613281</v>
      </c>
      <c r="DB563" s="25">
        <v>41.781089782714837</v>
      </c>
      <c r="DC563">
        <v>11083</v>
      </c>
      <c r="DD563" s="253" t="s">
        <v>380</v>
      </c>
    </row>
    <row r="564" spans="1:108" hidden="1">
      <c r="A564" s="13">
        <v>73270</v>
      </c>
      <c r="B564" s="13" t="s">
        <v>1577</v>
      </c>
      <c r="C564" s="13" t="s">
        <v>595</v>
      </c>
      <c r="D564" s="13" t="s">
        <v>596</v>
      </c>
      <c r="E564" s="13" t="s">
        <v>1578</v>
      </c>
      <c r="F564" s="14">
        <v>63.846933333333297</v>
      </c>
      <c r="G564" s="13">
        <v>36.94</v>
      </c>
      <c r="H564" s="13">
        <v>35.26</v>
      </c>
      <c r="I564" s="13">
        <v>28.07</v>
      </c>
      <c r="J564" s="14">
        <v>48.288359637907945</v>
      </c>
      <c r="K564" s="14">
        <v>55.204929406778241</v>
      </c>
      <c r="L564" s="14">
        <v>54.367972480145724</v>
      </c>
      <c r="M564" s="14">
        <v>43.966900000000003</v>
      </c>
      <c r="N564" s="14">
        <f t="shared" si="216"/>
        <v>41.029233333333323</v>
      </c>
      <c r="O564" s="14">
        <f t="shared" si="217"/>
        <v>50.457040381207975</v>
      </c>
      <c r="P564" s="14">
        <f t="shared" si="233"/>
        <v>45.743136857270649</v>
      </c>
      <c r="Q564" s="14">
        <v>55.361065859141533</v>
      </c>
      <c r="R564" s="17">
        <f t="shared" si="218"/>
        <v>44.638934140858467</v>
      </c>
      <c r="S564" s="14">
        <f t="shared" si="234"/>
        <v>0.50175040726772624</v>
      </c>
      <c r="T564" s="13">
        <v>0</v>
      </c>
      <c r="U564" s="13">
        <f t="shared" si="235"/>
        <v>22.951637547838889</v>
      </c>
      <c r="V564" s="13">
        <f>IF($T564=1,$AU564,(VLOOKUP(U564,'Cortes naturales'!$A$35:$C$39,3,9)))</f>
        <v>4</v>
      </c>
      <c r="W564" s="13">
        <v>4</v>
      </c>
      <c r="X564" s="14" t="b">
        <f t="shared" si="219"/>
        <v>1</v>
      </c>
      <c r="Y564" s="17">
        <f>IF($T564=1,$AU564,VLOOKUP(U564,'Cortes naturales'!$A$45:$C$49,3,9))</f>
        <v>4</v>
      </c>
      <c r="Z564" s="14">
        <v>51.391889569054413</v>
      </c>
      <c r="AA564" s="14">
        <v>0.51178869230439639</v>
      </c>
      <c r="AB564" s="14">
        <v>26.301787957598307</v>
      </c>
      <c r="AC564" s="13">
        <v>4</v>
      </c>
      <c r="AD564" s="13">
        <f t="shared" si="220"/>
        <v>0</v>
      </c>
      <c r="AE564" s="14">
        <f t="shared" si="221"/>
        <v>-5.6487527117837644</v>
      </c>
      <c r="AF564" s="14">
        <f t="shared" si="222"/>
        <v>-1.0038285036670147E-2</v>
      </c>
      <c r="AG564" s="13">
        <f t="shared" si="223"/>
        <v>-3.3501504097594186</v>
      </c>
      <c r="AH564" s="13">
        <f>IF($T564=1,$AU564,VLOOKUP(U564,'Cortes naturales'!$A$25:$C$29,3,9))</f>
        <v>4</v>
      </c>
      <c r="AI564" s="13" t="b">
        <f t="shared" si="224"/>
        <v>1</v>
      </c>
      <c r="AJ564" s="13">
        <f t="shared" si="225"/>
        <v>0</v>
      </c>
      <c r="AK564" s="28">
        <v>0.81759069605862034</v>
      </c>
      <c r="AL564" s="28">
        <v>42.017530764530946</v>
      </c>
      <c r="AM564" s="28">
        <v>0.3549690073701422</v>
      </c>
      <c r="AN564" s="13">
        <v>3</v>
      </c>
      <c r="AO564" s="33">
        <f t="shared" si="226"/>
        <v>-1</v>
      </c>
      <c r="AP564" s="13">
        <f t="shared" si="236"/>
        <v>35.496900737014222</v>
      </c>
      <c r="AQ564" s="13">
        <f>IFERROR(VLOOKUP(U564,'Cortes naturales'!$E$15:$G$19,3,9),U564)</f>
        <v>4</v>
      </c>
      <c r="AR564" s="28">
        <f t="shared" si="227"/>
        <v>-0.3158402887908941</v>
      </c>
      <c r="AS564" s="13" t="b">
        <f t="shared" si="228"/>
        <v>1</v>
      </c>
      <c r="AT564" s="13" t="str">
        <f t="shared" si="237"/>
        <v>Efecto ponderador</v>
      </c>
      <c r="AU564" s="13">
        <v>3</v>
      </c>
      <c r="AV564">
        <f t="shared" si="229"/>
        <v>-1</v>
      </c>
      <c r="AW564" s="13">
        <v>0</v>
      </c>
      <c r="AX564" s="13">
        <v>0</v>
      </c>
      <c r="AY564" s="13">
        <v>0</v>
      </c>
      <c r="AZ564" s="13">
        <v>0</v>
      </c>
      <c r="BA564">
        <v>0</v>
      </c>
      <c r="BB564" t="s">
        <v>2841</v>
      </c>
      <c r="BC564">
        <v>6</v>
      </c>
      <c r="BD564" t="s">
        <v>2919</v>
      </c>
      <c r="BE564">
        <v>0</v>
      </c>
      <c r="BF564" s="232" t="s">
        <v>2846</v>
      </c>
      <c r="BG564" s="232" t="s">
        <v>2845</v>
      </c>
      <c r="BH564" s="253">
        <v>39.299999999999997</v>
      </c>
      <c r="BI564" s="253">
        <v>18.784029038112521</v>
      </c>
      <c r="BJ564" s="25">
        <v>54.130529226901317</v>
      </c>
      <c r="BK564" t="s">
        <v>376</v>
      </c>
      <c r="BL564">
        <v>17.163712419036344</v>
      </c>
      <c r="BM564" t="s">
        <v>376</v>
      </c>
      <c r="BN564" s="322">
        <v>18904.054791999999</v>
      </c>
      <c r="BO564" s="322">
        <v>1336.650582</v>
      </c>
      <c r="BP564" s="10">
        <v>7948</v>
      </c>
      <c r="BQ564" s="254">
        <f t="shared" si="230"/>
        <v>2.3784668837443381</v>
      </c>
      <c r="BR564" s="254">
        <f t="shared" si="231"/>
        <v>0.16817445671867137</v>
      </c>
      <c r="BS564" s="25">
        <v>64.657598640122913</v>
      </c>
      <c r="BT564" s="25">
        <v>90.834428295587983</v>
      </c>
      <c r="BU564" s="25">
        <v>39.869999999999997</v>
      </c>
      <c r="BV564" s="25">
        <v>87.379800525157805</v>
      </c>
      <c r="BW564" s="25">
        <v>61.724828349115199</v>
      </c>
      <c r="BX564" s="25">
        <v>70.685456865217176</v>
      </c>
      <c r="BY564" s="25">
        <v>60.639372886878597</v>
      </c>
      <c r="BZ564">
        <v>89</v>
      </c>
      <c r="CA564">
        <v>0</v>
      </c>
      <c r="CB564">
        <v>7</v>
      </c>
      <c r="CC564">
        <v>18119.798465</v>
      </c>
      <c r="CD564" s="10">
        <v>10245.870852</v>
      </c>
      <c r="CE564" s="255">
        <v>0.56545170034814729</v>
      </c>
      <c r="CF564" t="str">
        <f>IFERROR(VLOOKUP(CE564,'Rangos amb etnico'!$A$2:$C$6,3,9),"N.D.")</f>
        <v>51% - 70%</v>
      </c>
      <c r="CG564" s="256">
        <v>2.9809100658775302E-4</v>
      </c>
      <c r="CH564" s="232">
        <v>0</v>
      </c>
      <c r="CI564" s="311">
        <f t="shared" si="238"/>
        <v>0</v>
      </c>
      <c r="CJ564" s="232">
        <f>IFERROR(VLOOKUP(CI564,'Rangos amb etnico'!$A$2:$C$6,3,9),"N.D.")</f>
        <v>0</v>
      </c>
      <c r="CK564" s="311">
        <f t="shared" si="239"/>
        <v>0</v>
      </c>
      <c r="CL564" s="10">
        <v>0</v>
      </c>
      <c r="CM564" s="255">
        <f t="shared" si="240"/>
        <v>0</v>
      </c>
      <c r="CN564" s="232">
        <f>IFERROR(VLOOKUP(CM564,'Rangos amb etnico'!$A$2:$C$6,3,9),"N.D.")</f>
        <v>0</v>
      </c>
      <c r="CO564" s="311">
        <f t="shared" si="241"/>
        <v>0</v>
      </c>
      <c r="CP564">
        <v>0.95466091250815555</v>
      </c>
      <c r="CQ564" t="s">
        <v>2864</v>
      </c>
      <c r="CR564">
        <f t="shared" si="232"/>
        <v>2</v>
      </c>
      <c r="CS564" t="str">
        <f t="shared" si="242"/>
        <v>No es Candidato</v>
      </c>
      <c r="CT564">
        <v>0</v>
      </c>
      <c r="CU564">
        <v>0</v>
      </c>
      <c r="CV564" s="25">
        <v>41.395122528076172</v>
      </c>
      <c r="CW564" s="25">
        <v>18.265945434570309</v>
      </c>
      <c r="CX564" s="25">
        <v>48.859153747558587</v>
      </c>
      <c r="CY564" s="25">
        <v>54.248039245605469</v>
      </c>
      <c r="CZ564" s="25">
        <v>38.592830657958977</v>
      </c>
      <c r="DA564" s="25">
        <v>44.288463592529297</v>
      </c>
      <c r="DB564" s="25">
        <v>44.116298675537109</v>
      </c>
      <c r="DC564">
        <v>49</v>
      </c>
      <c r="DD564" s="253" t="s">
        <v>380</v>
      </c>
    </row>
    <row r="565" spans="1:108" hidden="1">
      <c r="A565" s="13">
        <v>47030</v>
      </c>
      <c r="B565" s="13" t="s">
        <v>1579</v>
      </c>
      <c r="C565" s="13" t="s">
        <v>638</v>
      </c>
      <c r="D565" s="13" t="s">
        <v>639</v>
      </c>
      <c r="E565" s="13" t="s">
        <v>1580</v>
      </c>
      <c r="F565" s="14">
        <v>89.073333333333295</v>
      </c>
      <c r="G565" s="13">
        <v>76.87</v>
      </c>
      <c r="H565" s="13">
        <v>77.09</v>
      </c>
      <c r="I565" s="13">
        <v>75.930000000000007</v>
      </c>
      <c r="J565" s="14">
        <v>42.075033940852897</v>
      </c>
      <c r="K565" s="14">
        <v>46.891133155761636</v>
      </c>
      <c r="L565" s="14">
        <v>50.774123955098801</v>
      </c>
      <c r="M565" s="14">
        <v>57.554000000000002</v>
      </c>
      <c r="N565" s="14">
        <f t="shared" si="216"/>
        <v>79.740833333333327</v>
      </c>
      <c r="O565" s="14">
        <f t="shared" si="217"/>
        <v>49.323572762928329</v>
      </c>
      <c r="P565" s="14">
        <f t="shared" si="233"/>
        <v>64.532203048130825</v>
      </c>
      <c r="Q565" s="14">
        <v>54.517446822376151</v>
      </c>
      <c r="R565" s="17">
        <f t="shared" si="218"/>
        <v>45.482553177623849</v>
      </c>
      <c r="S565" s="14">
        <f t="shared" si="234"/>
        <v>0.50934297859861466</v>
      </c>
      <c r="T565" s="13">
        <v>0</v>
      </c>
      <c r="U565" s="13">
        <f t="shared" si="235"/>
        <v>32.869024516065558</v>
      </c>
      <c r="V565" s="13">
        <f>IF($T565=1,$AU565,(VLOOKUP(U565,'Cortes naturales'!$A$35:$C$39,3,9)))</f>
        <v>3</v>
      </c>
      <c r="W565" s="13">
        <v>3</v>
      </c>
      <c r="X565" s="14" t="b">
        <f t="shared" si="219"/>
        <v>1</v>
      </c>
      <c r="Y565" s="17">
        <f>IF($T565=1,$AU565,VLOOKUP(U565,'Cortes naturales'!$A$45:$C$49,3,9))</f>
        <v>3</v>
      </c>
      <c r="Z565" s="14">
        <v>65.5430228321556</v>
      </c>
      <c r="AA565" s="14">
        <v>0.51347445628727895</v>
      </c>
      <c r="AB565" s="14">
        <v>33.654668012165807</v>
      </c>
      <c r="AC565" s="13">
        <v>3</v>
      </c>
      <c r="AD565" s="13">
        <f t="shared" si="220"/>
        <v>0</v>
      </c>
      <c r="AE565" s="14">
        <f t="shared" si="221"/>
        <v>-1.0108197840247755</v>
      </c>
      <c r="AF565" s="14">
        <f t="shared" si="222"/>
        <v>-4.1314776886642868E-3</v>
      </c>
      <c r="AG565" s="13">
        <f t="shared" si="223"/>
        <v>-0.78564349610024919</v>
      </c>
      <c r="AH565" s="13">
        <f>IF($T565=1,$AU565,VLOOKUP(U565,'Cortes naturales'!$A$25:$C$29,3,9))</f>
        <v>3</v>
      </c>
      <c r="AI565" s="13" t="b">
        <f t="shared" si="224"/>
        <v>1</v>
      </c>
      <c r="AJ565" s="13">
        <f t="shared" si="225"/>
        <v>0</v>
      </c>
      <c r="AK565" s="28">
        <v>0.81759069605862034</v>
      </c>
      <c r="AL565" s="28">
        <v>53.587365659128139</v>
      </c>
      <c r="AM565" s="28">
        <v>0.49969544614601363</v>
      </c>
      <c r="AN565" s="13">
        <v>2</v>
      </c>
      <c r="AO565" s="33">
        <f t="shared" si="226"/>
        <v>-1</v>
      </c>
      <c r="AP565" s="13">
        <f t="shared" si="236"/>
        <v>49.969544614601361</v>
      </c>
      <c r="AQ565" s="13">
        <f>IFERROR(VLOOKUP(U565,'Cortes naturales'!$E$15:$G$19,3,9),U565)</f>
        <v>4</v>
      </c>
      <c r="AR565" s="28">
        <f t="shared" si="227"/>
        <v>-0.30824771746000568</v>
      </c>
      <c r="AS565" s="13" t="b">
        <f t="shared" si="228"/>
        <v>0</v>
      </c>
      <c r="AT565" s="13" t="str">
        <f t="shared" si="237"/>
        <v>Cambio en corte</v>
      </c>
      <c r="AU565" s="13">
        <v>2</v>
      </c>
      <c r="AV565">
        <f t="shared" si="229"/>
        <v>-1</v>
      </c>
      <c r="AW565" s="13">
        <v>0</v>
      </c>
      <c r="AX565" s="13">
        <v>0</v>
      </c>
      <c r="AY565" s="13">
        <v>0</v>
      </c>
      <c r="AZ565" s="13">
        <v>0</v>
      </c>
      <c r="BA565">
        <v>0</v>
      </c>
      <c r="BB565" t="s">
        <v>2840</v>
      </c>
      <c r="BC565">
        <v>6</v>
      </c>
      <c r="BD565" t="s">
        <v>2919</v>
      </c>
      <c r="BE565">
        <v>0</v>
      </c>
      <c r="BF565" s="232" t="s">
        <v>2846</v>
      </c>
      <c r="BG565" s="232" t="s">
        <v>2846</v>
      </c>
      <c r="BH565" s="253">
        <v>57.3</v>
      </c>
      <c r="BI565" s="253">
        <v>29.480901077375123</v>
      </c>
      <c r="BJ565" s="25">
        <v>18.654863025257356</v>
      </c>
      <c r="BK565" t="s">
        <v>379</v>
      </c>
      <c r="BL565">
        <v>2.150147741946618</v>
      </c>
      <c r="BM565" t="s">
        <v>383</v>
      </c>
      <c r="BN565" s="322">
        <v>32498.432245</v>
      </c>
      <c r="BO565" s="322">
        <v>1523.652793</v>
      </c>
      <c r="BP565" s="10">
        <v>18615</v>
      </c>
      <c r="BQ565" s="254">
        <f t="shared" si="230"/>
        <v>1.7458196210045662</v>
      </c>
      <c r="BR565" s="254">
        <f t="shared" si="231"/>
        <v>8.1850808111737838E-2</v>
      </c>
      <c r="BS565" s="25">
        <v>55.767048210577833</v>
      </c>
      <c r="BT565" s="25">
        <v>90.102803128003117</v>
      </c>
      <c r="BU565" s="25">
        <v>24.606173969310401</v>
      </c>
      <c r="BV565" s="25">
        <v>91.460595575615727</v>
      </c>
      <c r="BW565" s="25">
        <v>48.131967823667154</v>
      </c>
      <c r="BX565" s="25">
        <v>65.484155220876772</v>
      </c>
      <c r="BY565" s="25">
        <v>46.728126996642082</v>
      </c>
      <c r="BZ565">
        <v>42</v>
      </c>
      <c r="CA565">
        <v>0</v>
      </c>
      <c r="CB565">
        <v>7</v>
      </c>
      <c r="CC565">
        <v>40591.779133000004</v>
      </c>
      <c r="CD565" s="10">
        <v>3929.580199</v>
      </c>
      <c r="CE565" s="255">
        <v>9.6807291597755044E-2</v>
      </c>
      <c r="CF565" t="str">
        <f>IFERROR(VLOOKUP(CE565,'Rangos amb etnico'!$A$2:$C$6,3,9),"N.D.")</f>
        <v>0,1% - 30%</v>
      </c>
      <c r="CG565" s="256">
        <v>1.1432630119074361E-4</v>
      </c>
      <c r="CH565" s="232">
        <v>0</v>
      </c>
      <c r="CI565" s="311">
        <f t="shared" si="238"/>
        <v>0</v>
      </c>
      <c r="CJ565" s="232">
        <f>IFERROR(VLOOKUP(CI565,'Rangos amb etnico'!$A$2:$C$6,3,9),"N.D.")</f>
        <v>0</v>
      </c>
      <c r="CK565" s="311">
        <f t="shared" si="239"/>
        <v>0</v>
      </c>
      <c r="CL565" s="10">
        <v>0</v>
      </c>
      <c r="CM565" s="255">
        <f t="shared" si="240"/>
        <v>0</v>
      </c>
      <c r="CN565" s="232">
        <f>IFERROR(VLOOKUP(CM565,'Rangos amb etnico'!$A$2:$C$6,3,9),"N.D.")</f>
        <v>0</v>
      </c>
      <c r="CO565" s="311">
        <f t="shared" si="241"/>
        <v>0</v>
      </c>
      <c r="CP565">
        <v>0.95346298069959912</v>
      </c>
      <c r="CQ565" t="s">
        <v>2864</v>
      </c>
      <c r="CR565">
        <f t="shared" si="232"/>
        <v>2</v>
      </c>
      <c r="CS565" t="str">
        <f t="shared" si="242"/>
        <v>No es Candidato</v>
      </c>
      <c r="CT565">
        <v>0</v>
      </c>
      <c r="CU565">
        <v>0</v>
      </c>
      <c r="CV565" s="25">
        <v>40.715900421142578</v>
      </c>
      <c r="CW565" s="25">
        <v>20.802059173583981</v>
      </c>
      <c r="CX565" s="25">
        <v>44.748844146728523</v>
      </c>
      <c r="CY565" s="25">
        <v>43.352439880371087</v>
      </c>
      <c r="CZ565" s="25">
        <v>19.13877105712891</v>
      </c>
      <c r="DA565" s="25">
        <v>55.844524383544922</v>
      </c>
      <c r="DB565" s="25">
        <v>60.408760070800781</v>
      </c>
      <c r="DC565">
        <v>500</v>
      </c>
      <c r="DD565" s="253" t="s">
        <v>380</v>
      </c>
    </row>
    <row r="566" spans="1:108" hidden="1">
      <c r="A566" s="13">
        <v>47258</v>
      </c>
      <c r="B566" s="13" t="s">
        <v>1581</v>
      </c>
      <c r="C566" s="13" t="s">
        <v>638</v>
      </c>
      <c r="D566" s="13" t="s">
        <v>639</v>
      </c>
      <c r="E566" s="13" t="s">
        <v>1582</v>
      </c>
      <c r="F566" s="14">
        <v>64.5065666666667</v>
      </c>
      <c r="G566" s="13">
        <v>79.16</v>
      </c>
      <c r="H566" s="13">
        <v>64.31</v>
      </c>
      <c r="I566" s="13">
        <v>63.46</v>
      </c>
      <c r="J566" s="14">
        <v>50.816774010365855</v>
      </c>
      <c r="K566" s="14">
        <v>43.234807412612689</v>
      </c>
      <c r="L566" s="14">
        <v>10.57977479513676</v>
      </c>
      <c r="M566" s="14">
        <v>27.426100000000002</v>
      </c>
      <c r="N566" s="14">
        <f t="shared" si="216"/>
        <v>67.859141666666673</v>
      </c>
      <c r="O566" s="14">
        <f t="shared" si="217"/>
        <v>33.014364054528826</v>
      </c>
      <c r="P566" s="14">
        <f t="shared" si="233"/>
        <v>50.43675286059775</v>
      </c>
      <c r="Q566" s="14">
        <v>54.622777327196602</v>
      </c>
      <c r="R566" s="17">
        <f t="shared" si="218"/>
        <v>45.377222672803398</v>
      </c>
      <c r="S566" s="14">
        <f t="shared" si="234"/>
        <v>0.50839500405523064</v>
      </c>
      <c r="T566" s="13">
        <v>0</v>
      </c>
      <c r="U566" s="13">
        <f t="shared" si="235"/>
        <v>25.641793175096257</v>
      </c>
      <c r="V566" s="13">
        <f>IF($T566=1,$AU566,(VLOOKUP(U566,'Cortes naturales'!$A$35:$C$39,3,9)))</f>
        <v>4</v>
      </c>
      <c r="W566" s="13">
        <v>4</v>
      </c>
      <c r="X566" s="14" t="b">
        <f t="shared" si="219"/>
        <v>1</v>
      </c>
      <c r="Y566" s="17">
        <f>IF($T566=1,$AU566,VLOOKUP(U566,'Cortes naturales'!$A$45:$C$49,3,9))</f>
        <v>4</v>
      </c>
      <c r="Z566" s="14">
        <v>53.496914918948377</v>
      </c>
      <c r="AA566" s="14">
        <v>0.51304088757091049</v>
      </c>
      <c r="AB566" s="14">
        <v>27.446104712322757</v>
      </c>
      <c r="AC566" s="13">
        <v>4</v>
      </c>
      <c r="AD566" s="13">
        <f t="shared" si="220"/>
        <v>0</v>
      </c>
      <c r="AE566" s="14">
        <f t="shared" si="221"/>
        <v>-3.0601620583506275</v>
      </c>
      <c r="AF566" s="14">
        <f t="shared" si="222"/>
        <v>-4.6458835156798495E-3</v>
      </c>
      <c r="AG566" s="13">
        <f t="shared" si="223"/>
        <v>-1.8043115372265</v>
      </c>
      <c r="AH566" s="13">
        <f>IF($T566=1,$AU566,VLOOKUP(U566,'Cortes naturales'!$A$25:$C$29,3,9))</f>
        <v>4</v>
      </c>
      <c r="AI566" s="13" t="b">
        <f t="shared" si="224"/>
        <v>1</v>
      </c>
      <c r="AJ566" s="13">
        <f t="shared" si="225"/>
        <v>0</v>
      </c>
      <c r="AK566" s="28">
        <v>0.81759069605862034</v>
      </c>
      <c r="AL566" s="28">
        <v>43.738579905571797</v>
      </c>
      <c r="AM566" s="28">
        <v>0.37649751796776787</v>
      </c>
      <c r="AN566" s="13">
        <v>3</v>
      </c>
      <c r="AO566" s="33">
        <f t="shared" si="226"/>
        <v>-1</v>
      </c>
      <c r="AP566" s="13">
        <f t="shared" si="236"/>
        <v>37.649751796776783</v>
      </c>
      <c r="AQ566" s="13">
        <f>IFERROR(VLOOKUP(U566,'Cortes naturales'!$E$15:$G$19,3,9),U566)</f>
        <v>4</v>
      </c>
      <c r="AR566" s="28">
        <f t="shared" si="227"/>
        <v>-0.3091956920033897</v>
      </c>
      <c r="AS566" s="13" t="b">
        <f t="shared" si="228"/>
        <v>1</v>
      </c>
      <c r="AT566" s="13" t="str">
        <f t="shared" si="237"/>
        <v>Efecto ponderador</v>
      </c>
      <c r="AU566" s="13">
        <v>3</v>
      </c>
      <c r="AV566">
        <f t="shared" si="229"/>
        <v>-1</v>
      </c>
      <c r="AW566" s="13">
        <v>0</v>
      </c>
      <c r="AX566" s="13">
        <v>0</v>
      </c>
      <c r="AY566" s="13">
        <v>0</v>
      </c>
      <c r="AZ566" s="13">
        <v>0</v>
      </c>
      <c r="BA566">
        <v>0</v>
      </c>
      <c r="BB566" t="s">
        <v>2841</v>
      </c>
      <c r="BC566">
        <v>6</v>
      </c>
      <c r="BD566" t="s">
        <v>2919</v>
      </c>
      <c r="BE566">
        <v>1</v>
      </c>
      <c r="BF566" s="232" t="s">
        <v>2846</v>
      </c>
      <c r="BG566" s="232" t="s">
        <v>2845</v>
      </c>
      <c r="BH566" s="253">
        <v>50.4</v>
      </c>
      <c r="BI566" s="253">
        <v>25.710654032817196</v>
      </c>
      <c r="BJ566" s="25">
        <v>0</v>
      </c>
      <c r="BK566" t="s">
        <v>381</v>
      </c>
      <c r="BL566">
        <v>1.8509783078665805</v>
      </c>
      <c r="BM566" t="s">
        <v>383</v>
      </c>
      <c r="BN566" s="322">
        <v>20926.635768</v>
      </c>
      <c r="BO566" s="322">
        <v>751.42433300000005</v>
      </c>
      <c r="BP566" s="10">
        <v>26170</v>
      </c>
      <c r="BQ566" s="254">
        <f t="shared" si="230"/>
        <v>0.79964217684371419</v>
      </c>
      <c r="BR566" s="254">
        <f t="shared" si="231"/>
        <v>2.8713195758502102E-2</v>
      </c>
      <c r="BS566" s="25">
        <v>50.807634941575991</v>
      </c>
      <c r="BT566" s="25">
        <v>75.78255990319704</v>
      </c>
      <c r="BU566" s="25">
        <v>25.359306508436831</v>
      </c>
      <c r="BV566" s="25">
        <v>99.400287089416977</v>
      </c>
      <c r="BW566" s="25">
        <v>36.719671302596382</v>
      </c>
      <c r="BX566" s="25">
        <v>62.837447110656711</v>
      </c>
      <c r="BY566" s="25">
        <v>37.392039475983879</v>
      </c>
      <c r="BZ566">
        <v>74</v>
      </c>
      <c r="CA566">
        <v>0</v>
      </c>
      <c r="CB566">
        <v>7</v>
      </c>
      <c r="CC566">
        <v>55668.602422999997</v>
      </c>
      <c r="CD566" s="10">
        <v>47023.28026</v>
      </c>
      <c r="CE566" s="255">
        <v>0.84470021184817634</v>
      </c>
      <c r="CF566" t="str">
        <f>IFERROR(VLOOKUP(CE566,'Rangos amb etnico'!$A$2:$C$6,3,9),"N.D.")</f>
        <v>71% - 100%</v>
      </c>
      <c r="CG566" s="256">
        <v>1.3680844847878645E-3</v>
      </c>
      <c r="CH566" s="232">
        <v>0</v>
      </c>
      <c r="CI566" s="311">
        <f t="shared" si="238"/>
        <v>0</v>
      </c>
      <c r="CJ566" s="232">
        <f>IFERROR(VLOOKUP(CI566,'Rangos amb etnico'!$A$2:$C$6,3,9),"N.D.")</f>
        <v>0</v>
      </c>
      <c r="CK566" s="311">
        <f t="shared" si="239"/>
        <v>0</v>
      </c>
      <c r="CL566" s="10">
        <v>0</v>
      </c>
      <c r="CM566" s="255">
        <f t="shared" si="240"/>
        <v>0</v>
      </c>
      <c r="CN566" s="232">
        <f>IFERROR(VLOOKUP(CM566,'Rangos amb etnico'!$A$2:$C$6,3,9),"N.D.")</f>
        <v>0</v>
      </c>
      <c r="CO566" s="311">
        <f t="shared" si="241"/>
        <v>0</v>
      </c>
      <c r="CP566">
        <v>0.85094730937261476</v>
      </c>
      <c r="CQ566" t="s">
        <v>2864</v>
      </c>
      <c r="CR566">
        <f t="shared" si="232"/>
        <v>2</v>
      </c>
      <c r="CS566" t="str">
        <f t="shared" si="242"/>
        <v>No es Candidato</v>
      </c>
      <c r="CT566">
        <v>0</v>
      </c>
      <c r="CU566">
        <v>0</v>
      </c>
      <c r="CV566" s="25">
        <v>51.243682861328118</v>
      </c>
      <c r="CW566" s="25">
        <v>12.249239921569821</v>
      </c>
      <c r="CX566" s="25">
        <v>57.866436004638672</v>
      </c>
      <c r="CY566" s="25">
        <v>60.272575378417969</v>
      </c>
      <c r="CZ566" s="25">
        <v>24.225706100463871</v>
      </c>
      <c r="DA566" s="25">
        <v>91.847648620605469</v>
      </c>
      <c r="DB566" s="25">
        <v>61.000495910644531</v>
      </c>
      <c r="DC566">
        <v>10551</v>
      </c>
      <c r="DD566" s="253" t="s">
        <v>380</v>
      </c>
    </row>
    <row r="567" spans="1:108" hidden="1">
      <c r="A567" s="13">
        <v>68209</v>
      </c>
      <c r="B567" s="13" t="s">
        <v>1583</v>
      </c>
      <c r="C567" s="13" t="s">
        <v>431</v>
      </c>
      <c r="D567" s="13" t="s">
        <v>432</v>
      </c>
      <c r="E567" s="13" t="s">
        <v>1584</v>
      </c>
      <c r="F567" s="14">
        <v>66.797566666666697</v>
      </c>
      <c r="G567" s="13">
        <v>70.3</v>
      </c>
      <c r="H567" s="13">
        <v>62.92</v>
      </c>
      <c r="I567" s="13">
        <v>63.86</v>
      </c>
      <c r="J567" s="14">
        <v>69.493284638495609</v>
      </c>
      <c r="K567" s="14">
        <v>66.058270904290964</v>
      </c>
      <c r="L567" s="14">
        <v>14.153185492793268</v>
      </c>
      <c r="M567" s="14">
        <v>59.353700000000003</v>
      </c>
      <c r="N567" s="14">
        <f t="shared" si="216"/>
        <v>65.969391666666681</v>
      </c>
      <c r="O567" s="14">
        <f t="shared" si="217"/>
        <v>52.264610258894955</v>
      </c>
      <c r="P567" s="14">
        <f t="shared" si="233"/>
        <v>59.117000962780821</v>
      </c>
      <c r="Q567" s="14">
        <v>53.968111341471449</v>
      </c>
      <c r="R567" s="17">
        <f t="shared" si="218"/>
        <v>46.031888658528551</v>
      </c>
      <c r="S567" s="14">
        <f t="shared" si="234"/>
        <v>0.51428699792675703</v>
      </c>
      <c r="T567" s="13">
        <v>0</v>
      </c>
      <c r="U567" s="13">
        <f t="shared" si="235"/>
        <v>30.403104951581753</v>
      </c>
      <c r="V567" s="13">
        <f>IF($T567=1,$AU567,(VLOOKUP(U567,'Cortes naturales'!$A$35:$C$39,3,9)))</f>
        <v>3</v>
      </c>
      <c r="W567" s="13">
        <v>3</v>
      </c>
      <c r="X567" s="14" t="b">
        <f t="shared" si="219"/>
        <v>1</v>
      </c>
      <c r="Y567" s="17">
        <f>IF($T567=1,$AU567,VLOOKUP(U567,'Cortes naturales'!$A$45:$C$49,3,9))</f>
        <v>3</v>
      </c>
      <c r="Z567" s="14">
        <v>59.559249802460428</v>
      </c>
      <c r="AA567" s="14">
        <v>0.51585071940784444</v>
      </c>
      <c r="AB567" s="14">
        <v>30.72368185799073</v>
      </c>
      <c r="AC567" s="13">
        <v>3</v>
      </c>
      <c r="AD567" s="13">
        <f t="shared" si="220"/>
        <v>0</v>
      </c>
      <c r="AE567" s="14">
        <f t="shared" si="221"/>
        <v>-0.44224883967960693</v>
      </c>
      <c r="AF567" s="14">
        <f t="shared" si="222"/>
        <v>-1.56372148108741E-3</v>
      </c>
      <c r="AG567" s="13">
        <f t="shared" si="223"/>
        <v>-0.32057690640897718</v>
      </c>
      <c r="AH567" s="13">
        <f>IF($T567=1,$AU567,VLOOKUP(U567,'Cortes naturales'!$A$25:$C$29,3,9))</f>
        <v>3</v>
      </c>
      <c r="AI567" s="13" t="b">
        <f t="shared" si="224"/>
        <v>1</v>
      </c>
      <c r="AJ567" s="13">
        <f t="shared" si="225"/>
        <v>0</v>
      </c>
      <c r="AK567" s="28">
        <v>0.81759069605862034</v>
      </c>
      <c r="AL567" s="28">
        <v>48.695088502722868</v>
      </c>
      <c r="AM567" s="28">
        <v>0.43849821586559545</v>
      </c>
      <c r="AN567" s="13">
        <v>3</v>
      </c>
      <c r="AO567" s="33">
        <f t="shared" si="226"/>
        <v>0</v>
      </c>
      <c r="AP567" s="13">
        <f t="shared" si="236"/>
        <v>43.849821586559543</v>
      </c>
      <c r="AQ567" s="13">
        <f>IFERROR(VLOOKUP(U567,'Cortes naturales'!$E$15:$G$19,3,9),U567)</f>
        <v>4</v>
      </c>
      <c r="AR567" s="28">
        <f t="shared" si="227"/>
        <v>-0.30330369813186331</v>
      </c>
      <c r="AS567" s="13" t="b">
        <f t="shared" si="228"/>
        <v>0</v>
      </c>
      <c r="AT567" s="13">
        <f t="shared" si="237"/>
        <v>0</v>
      </c>
      <c r="AU567" s="13">
        <v>3</v>
      </c>
      <c r="AV567">
        <f t="shared" si="229"/>
        <v>0</v>
      </c>
      <c r="AW567" s="13">
        <v>0</v>
      </c>
      <c r="AX567" s="13">
        <v>0</v>
      </c>
      <c r="AY567" s="13">
        <v>0</v>
      </c>
      <c r="AZ567" s="13">
        <v>0</v>
      </c>
      <c r="BA567">
        <v>0</v>
      </c>
      <c r="BB567" t="s">
        <v>2841</v>
      </c>
      <c r="BC567">
        <v>6</v>
      </c>
      <c r="BD567" t="s">
        <v>2919</v>
      </c>
      <c r="BE567">
        <v>0</v>
      </c>
      <c r="BF567" s="232" t="s">
        <v>2846</v>
      </c>
      <c r="BG567" s="232" t="s">
        <v>2845</v>
      </c>
      <c r="BH567" s="253">
        <v>32.6</v>
      </c>
      <c r="BI567" s="253">
        <v>10.854583046175051</v>
      </c>
      <c r="BJ567" s="25">
        <v>11.94</v>
      </c>
      <c r="BK567" t="s">
        <v>377</v>
      </c>
      <c r="BL567">
        <v>0</v>
      </c>
      <c r="BM567" t="s">
        <v>377</v>
      </c>
      <c r="BN567" s="322">
        <v>9908.1179400000001</v>
      </c>
      <c r="BO567" s="322">
        <v>1186.3295419999999</v>
      </c>
      <c r="BP567" s="10">
        <v>3613</v>
      </c>
      <c r="BQ567" s="254">
        <f t="shared" si="230"/>
        <v>2.7423520453916415</v>
      </c>
      <c r="BR567" s="254">
        <f t="shared" si="231"/>
        <v>0.32835027456407417</v>
      </c>
      <c r="BS567" s="25">
        <v>59.333578431372551</v>
      </c>
      <c r="BT567" s="25">
        <v>88.009547148260921</v>
      </c>
      <c r="BU567" s="25">
        <v>53.023333333333333</v>
      </c>
      <c r="BV567" s="25">
        <v>93.700897409663455</v>
      </c>
      <c r="BW567" s="25">
        <v>64.149012542198108</v>
      </c>
      <c r="BX567" s="25">
        <v>73.516839080657562</v>
      </c>
      <c r="BY567" s="25">
        <v>64.665302726882331</v>
      </c>
      <c r="BZ567">
        <v>45</v>
      </c>
      <c r="CA567">
        <v>0</v>
      </c>
      <c r="CB567">
        <v>7</v>
      </c>
      <c r="CC567">
        <v>7129.3563700000004</v>
      </c>
      <c r="CD567" s="10">
        <v>24.044975000000001</v>
      </c>
      <c r="CE567" s="255">
        <v>3.3726712135165714E-3</v>
      </c>
      <c r="CF567" t="str">
        <f>IFERROR(VLOOKUP(CE567,'Rangos amb etnico'!$A$2:$C$6,3,9),"N.D.")</f>
        <v>0,1% - 30%</v>
      </c>
      <c r="CG567" s="256">
        <v>6.995589642561461E-7</v>
      </c>
      <c r="CH567" s="232">
        <v>0</v>
      </c>
      <c r="CI567" s="311">
        <f t="shared" si="238"/>
        <v>0</v>
      </c>
      <c r="CJ567" s="232">
        <f>IFERROR(VLOOKUP(CI567,'Rangos amb etnico'!$A$2:$C$6,3,9),"N.D.")</f>
        <v>0</v>
      </c>
      <c r="CK567" s="311">
        <f t="shared" si="239"/>
        <v>0</v>
      </c>
      <c r="CL567" s="10">
        <v>0</v>
      </c>
      <c r="CM567" s="255">
        <f t="shared" si="240"/>
        <v>0</v>
      </c>
      <c r="CN567" s="232">
        <f>IFERROR(VLOOKUP(CM567,'Rangos amb etnico'!$A$2:$C$6,3,9),"N.D.")</f>
        <v>0</v>
      </c>
      <c r="CO567" s="311">
        <f t="shared" si="241"/>
        <v>0</v>
      </c>
      <c r="CP567">
        <v>0.95249597870382441</v>
      </c>
      <c r="CQ567" t="s">
        <v>2864</v>
      </c>
      <c r="CR567">
        <f t="shared" si="232"/>
        <v>3</v>
      </c>
      <c r="CS567" t="str">
        <f t="shared" si="242"/>
        <v>Candidato</v>
      </c>
      <c r="CT567">
        <v>0</v>
      </c>
      <c r="CU567">
        <v>0</v>
      </c>
      <c r="CV567" s="25">
        <v>51.352817535400391</v>
      </c>
      <c r="CW567" s="25">
        <v>19.252996444702148</v>
      </c>
      <c r="CX567" s="25">
        <v>60.886970520019531</v>
      </c>
      <c r="CY567" s="25">
        <v>55.069679260253913</v>
      </c>
      <c r="CZ567" s="25">
        <v>30.379701614379879</v>
      </c>
      <c r="DA567" s="25">
        <v>96.623908996582031</v>
      </c>
      <c r="DB567" s="25">
        <v>45.903648376464837</v>
      </c>
      <c r="DC567">
        <v>27</v>
      </c>
      <c r="DD567" s="253" t="s">
        <v>380</v>
      </c>
    </row>
    <row r="568" spans="1:108" hidden="1">
      <c r="A568" s="13">
        <v>15757</v>
      </c>
      <c r="B568" s="13" t="s">
        <v>1585</v>
      </c>
      <c r="C568" s="13" t="s">
        <v>498</v>
      </c>
      <c r="D568" s="13" t="s">
        <v>499</v>
      </c>
      <c r="E568" s="13" t="s">
        <v>1586</v>
      </c>
      <c r="F568" s="14">
        <v>54.605400000000003</v>
      </c>
      <c r="G568" s="13">
        <v>44.2</v>
      </c>
      <c r="H568" s="13">
        <v>48.42</v>
      </c>
      <c r="I568" s="13">
        <v>76.209999999999994</v>
      </c>
      <c r="J568" s="14">
        <v>51.983259409847847</v>
      </c>
      <c r="K568" s="14">
        <v>74.139905915427647</v>
      </c>
      <c r="L568" s="14">
        <v>72.045244307860827</v>
      </c>
      <c r="M568" s="14">
        <v>72.880200000000002</v>
      </c>
      <c r="N568" s="14">
        <f t="shared" si="216"/>
        <v>55.858850000000004</v>
      </c>
      <c r="O568" s="14">
        <f t="shared" si="217"/>
        <v>67.762152408284081</v>
      </c>
      <c r="P568" s="14">
        <f t="shared" si="233"/>
        <v>61.810501204142042</v>
      </c>
      <c r="Q568" s="14">
        <v>55.175021588468866</v>
      </c>
      <c r="R568" s="17">
        <f t="shared" si="218"/>
        <v>44.824978411531134</v>
      </c>
      <c r="S568" s="14">
        <f t="shared" si="234"/>
        <v>0.50342480570378023</v>
      </c>
      <c r="T568" s="13">
        <v>0</v>
      </c>
      <c r="U568" s="13">
        <f t="shared" si="235"/>
        <v>31.116939559148481</v>
      </c>
      <c r="V568" s="13">
        <f>IF($T568=1,$AU568,(VLOOKUP(U568,'Cortes naturales'!$A$35:$C$39,3,9)))</f>
        <v>3</v>
      </c>
      <c r="W568" s="13">
        <v>3</v>
      </c>
      <c r="X568" s="14" t="b">
        <f t="shared" si="219"/>
        <v>1</v>
      </c>
      <c r="Y568" s="17">
        <f>IF($T568=1,$AU568,VLOOKUP(U568,'Cortes naturales'!$A$45:$C$49,3,9))</f>
        <v>3</v>
      </c>
      <c r="Z568" s="14">
        <v>57.379472722295624</v>
      </c>
      <c r="AA568" s="14">
        <v>0.51382975682030119</v>
      </c>
      <c r="AB568" s="14">
        <v>29.483280515374265</v>
      </c>
      <c r="AC568" s="13">
        <v>3</v>
      </c>
      <c r="AD568" s="13">
        <f t="shared" si="220"/>
        <v>0</v>
      </c>
      <c r="AE568" s="14">
        <f t="shared" si="221"/>
        <v>4.4310284818464183</v>
      </c>
      <c r="AF568" s="14">
        <f t="shared" si="222"/>
        <v>-1.0404951116520955E-2</v>
      </c>
      <c r="AG568" s="13">
        <f t="shared" si="223"/>
        <v>1.633659043774216</v>
      </c>
      <c r="AH568" s="13">
        <f>IF($T568=1,$AU568,VLOOKUP(U568,'Cortes naturales'!$A$25:$C$29,3,9))</f>
        <v>3</v>
      </c>
      <c r="AI568" s="13" t="b">
        <f t="shared" si="224"/>
        <v>1</v>
      </c>
      <c r="AJ568" s="13">
        <f t="shared" si="225"/>
        <v>0</v>
      </c>
      <c r="AK568" s="28">
        <v>0.81759069605862034</v>
      </c>
      <c r="AL568" s="28">
        <v>46.912923042498299</v>
      </c>
      <c r="AM568" s="28">
        <v>0.41620520453765436</v>
      </c>
      <c r="AN568" s="13">
        <v>3</v>
      </c>
      <c r="AO568" s="33">
        <f t="shared" si="226"/>
        <v>0</v>
      </c>
      <c r="AP568" s="13">
        <f t="shared" si="236"/>
        <v>41.620520453765437</v>
      </c>
      <c r="AQ568" s="13">
        <f>IFERROR(VLOOKUP(U568,'Cortes naturales'!$E$15:$G$19,3,9),U568)</f>
        <v>4</v>
      </c>
      <c r="AR568" s="28">
        <f t="shared" si="227"/>
        <v>-0.3141658903548401</v>
      </c>
      <c r="AS568" s="13" t="b">
        <f t="shared" si="228"/>
        <v>0</v>
      </c>
      <c r="AT568" s="13">
        <f t="shared" si="237"/>
        <v>0</v>
      </c>
      <c r="AU568" s="13">
        <v>3</v>
      </c>
      <c r="AV568">
        <f t="shared" si="229"/>
        <v>0</v>
      </c>
      <c r="AW568" s="13">
        <v>0</v>
      </c>
      <c r="AX568" s="13">
        <v>0</v>
      </c>
      <c r="AY568" s="13">
        <v>0</v>
      </c>
      <c r="AZ568" s="13">
        <v>0</v>
      </c>
      <c r="BA568">
        <v>0</v>
      </c>
      <c r="BB568" t="s">
        <v>2839</v>
      </c>
      <c r="BC568">
        <v>6</v>
      </c>
      <c r="BD568" t="s">
        <v>2919</v>
      </c>
      <c r="BE568">
        <v>0</v>
      </c>
      <c r="BF568" s="232" t="s">
        <v>2846</v>
      </c>
      <c r="BG568" s="232" t="s">
        <v>2846</v>
      </c>
      <c r="BH568" s="253">
        <v>20.8</v>
      </c>
      <c r="BI568" s="253">
        <v>9.0169401093770833</v>
      </c>
      <c r="BJ568" s="25">
        <v>44.461979611786056</v>
      </c>
      <c r="BK568" t="s">
        <v>376</v>
      </c>
      <c r="BL568">
        <v>2.1898362666859249E-2</v>
      </c>
      <c r="BM568" t="s">
        <v>377</v>
      </c>
      <c r="BN568" s="322">
        <v>28297.877110000001</v>
      </c>
      <c r="BO568" s="322">
        <v>4808.4697569999998</v>
      </c>
      <c r="BP568" s="10">
        <v>8424</v>
      </c>
      <c r="BQ568" s="254">
        <f t="shared" si="230"/>
        <v>3.3591971877967715</v>
      </c>
      <c r="BR568" s="254">
        <f t="shared" si="231"/>
        <v>0.57080600154320982</v>
      </c>
      <c r="BS568" s="25">
        <v>74.359659880631185</v>
      </c>
      <c r="BT568" s="25">
        <v>98.412698412698418</v>
      </c>
      <c r="BU568" s="25">
        <v>43.694073364552267</v>
      </c>
      <c r="BV568" s="25">
        <v>90.556087068965553</v>
      </c>
      <c r="BW568" s="25">
        <v>59.2310186767793</v>
      </c>
      <c r="BX568" s="25">
        <v>76.755629681711866</v>
      </c>
      <c r="BY568" s="25">
        <v>59.787134329949623</v>
      </c>
      <c r="BZ568">
        <v>82</v>
      </c>
      <c r="CA568">
        <v>1</v>
      </c>
      <c r="CB568">
        <v>6</v>
      </c>
      <c r="CC568">
        <v>14988.258685000001</v>
      </c>
      <c r="CD568" s="10">
        <v>10141.418092</v>
      </c>
      <c r="CE568" s="255">
        <v>0.67662416996774699</v>
      </c>
      <c r="CF568" t="str">
        <f>IFERROR(VLOOKUP(CE568,'Rangos amb etnico'!$A$2:$C$6,3,9),"N.D.")</f>
        <v>51% - 70%</v>
      </c>
      <c r="CG568" s="256">
        <v>2.9505208204741576E-4</v>
      </c>
      <c r="CH568" s="232">
        <v>0</v>
      </c>
      <c r="CI568" s="311">
        <f t="shared" si="238"/>
        <v>0</v>
      </c>
      <c r="CJ568" s="232">
        <f>IFERROR(VLOOKUP(CI568,'Rangos amb etnico'!$A$2:$C$6,3,9),"N.D.")</f>
        <v>0</v>
      </c>
      <c r="CK568" s="311">
        <f t="shared" si="239"/>
        <v>0</v>
      </c>
      <c r="CL568" s="10">
        <v>0</v>
      </c>
      <c r="CM568" s="255">
        <f t="shared" si="240"/>
        <v>0</v>
      </c>
      <c r="CN568" s="232">
        <f>IFERROR(VLOOKUP(CM568,'Rangos amb etnico'!$A$2:$C$6,3,9),"N.D.")</f>
        <v>0</v>
      </c>
      <c r="CO568" s="311">
        <f t="shared" si="241"/>
        <v>0</v>
      </c>
      <c r="CP568">
        <v>0.94321037270108243</v>
      </c>
      <c r="CQ568" t="s">
        <v>2864</v>
      </c>
      <c r="CR568">
        <f t="shared" si="232"/>
        <v>3</v>
      </c>
      <c r="CS568" t="str">
        <f t="shared" si="242"/>
        <v>Candidato</v>
      </c>
      <c r="CT568">
        <v>0</v>
      </c>
      <c r="CU568">
        <v>0</v>
      </c>
      <c r="CV568" s="25">
        <v>48.617710113525391</v>
      </c>
      <c r="CW568" s="25">
        <v>33.019710540771477</v>
      </c>
      <c r="CX568" s="25">
        <v>54.504665374755859</v>
      </c>
      <c r="CY568" s="25">
        <v>65.441055297851563</v>
      </c>
      <c r="CZ568" s="25">
        <v>48.12738037109375</v>
      </c>
      <c r="DA568" s="25">
        <v>39.32073974609375</v>
      </c>
      <c r="DB568" s="25">
        <v>51.292701721191413</v>
      </c>
      <c r="DC568">
        <v>43</v>
      </c>
      <c r="DD568" s="253" t="s">
        <v>380</v>
      </c>
    </row>
    <row r="569" spans="1:108" hidden="1">
      <c r="A569" s="13">
        <v>73861</v>
      </c>
      <c r="B569" s="13" t="s">
        <v>1587</v>
      </c>
      <c r="C569" s="13" t="s">
        <v>595</v>
      </c>
      <c r="D569" s="13" t="s">
        <v>596</v>
      </c>
      <c r="E569" s="13" t="s">
        <v>1588</v>
      </c>
      <c r="F569" s="14">
        <v>47.413266666666701</v>
      </c>
      <c r="G569" s="13">
        <v>64.63</v>
      </c>
      <c r="H569" s="13">
        <v>67.14</v>
      </c>
      <c r="I569" s="13">
        <v>56.1</v>
      </c>
      <c r="J569" s="14">
        <v>56.949028336298973</v>
      </c>
      <c r="K569" s="14">
        <v>51.433246553513008</v>
      </c>
      <c r="L569" s="14">
        <v>62.171605441205131</v>
      </c>
      <c r="M569" s="14">
        <v>54.489600000000003</v>
      </c>
      <c r="N569" s="14">
        <f t="shared" si="216"/>
        <v>58.820816666666673</v>
      </c>
      <c r="O569" s="14">
        <f t="shared" si="217"/>
        <v>56.26087008275428</v>
      </c>
      <c r="P569" s="14">
        <f t="shared" si="233"/>
        <v>57.540843374710477</v>
      </c>
      <c r="Q569" s="14">
        <v>55.364537425306125</v>
      </c>
      <c r="R569" s="17">
        <f t="shared" si="218"/>
        <v>44.635462574693875</v>
      </c>
      <c r="S569" s="14">
        <f t="shared" si="234"/>
        <v>0.50171916317224485</v>
      </c>
      <c r="T569" s="13">
        <v>0</v>
      </c>
      <c r="U569" s="13">
        <f t="shared" si="235"/>
        <v>28.869343786184949</v>
      </c>
      <c r="V569" s="13">
        <f>IF($T569=1,$AU569,(VLOOKUP(U569,'Cortes naturales'!$A$35:$C$39,3,9)))</f>
        <v>4</v>
      </c>
      <c r="W569" s="13">
        <v>4</v>
      </c>
      <c r="X569" s="14" t="b">
        <f t="shared" si="219"/>
        <v>1</v>
      </c>
      <c r="Y569" s="17">
        <f>IF($T569=1,$AU569,VLOOKUP(U569,'Cortes naturales'!$A$45:$C$49,3,9))</f>
        <v>3</v>
      </c>
      <c r="Z569" s="14">
        <v>56.77281253147207</v>
      </c>
      <c r="AA569" s="14">
        <v>0.51098702579664268</v>
      </c>
      <c r="AB569" s="14">
        <v>29.010170621567276</v>
      </c>
      <c r="AC569" s="13">
        <v>3</v>
      </c>
      <c r="AD569" s="13">
        <f t="shared" si="220"/>
        <v>0</v>
      </c>
      <c r="AE569" s="14">
        <f t="shared" si="221"/>
        <v>0.76803084323840665</v>
      </c>
      <c r="AF569" s="14">
        <f t="shared" si="222"/>
        <v>-9.2678626243978268E-3</v>
      </c>
      <c r="AG569" s="13">
        <f t="shared" si="223"/>
        <v>-0.14082683538232743</v>
      </c>
      <c r="AH569" s="13">
        <f>IF($T569=1,$AU569,VLOOKUP(U569,'Cortes naturales'!$A$25:$C$29,3,9))</f>
        <v>3</v>
      </c>
      <c r="AI569" s="13" t="b">
        <f t="shared" si="224"/>
        <v>1</v>
      </c>
      <c r="AJ569" s="13">
        <f t="shared" si="225"/>
        <v>0</v>
      </c>
      <c r="AK569" s="28">
        <v>0.81759069605862034</v>
      </c>
      <c r="AL569" s="28">
        <v>46.416923314811811</v>
      </c>
      <c r="AM569" s="28">
        <v>0.41000077077729113</v>
      </c>
      <c r="AN569" s="13">
        <v>3</v>
      </c>
      <c r="AO569" s="33">
        <f t="shared" si="226"/>
        <v>0</v>
      </c>
      <c r="AP569" s="13">
        <f t="shared" si="236"/>
        <v>41.000077077729117</v>
      </c>
      <c r="AQ569" s="13">
        <f>IFERROR(VLOOKUP(U569,'Cortes naturales'!$E$15:$G$19,3,9),U569)</f>
        <v>4</v>
      </c>
      <c r="AR569" s="28">
        <f t="shared" si="227"/>
        <v>-0.31587153288637548</v>
      </c>
      <c r="AS569" s="13" t="b">
        <f t="shared" si="228"/>
        <v>0</v>
      </c>
      <c r="AT569" s="13">
        <f t="shared" si="237"/>
        <v>0</v>
      </c>
      <c r="AU569" s="13">
        <v>3</v>
      </c>
      <c r="AV569">
        <f t="shared" si="229"/>
        <v>0</v>
      </c>
      <c r="AW569" s="13">
        <v>0</v>
      </c>
      <c r="AX569" s="13">
        <v>0</v>
      </c>
      <c r="AY569" s="13">
        <v>0</v>
      </c>
      <c r="AZ569" s="13">
        <v>0</v>
      </c>
      <c r="BA569">
        <v>1</v>
      </c>
      <c r="BB569" t="s">
        <v>2840</v>
      </c>
      <c r="BC569">
        <v>6</v>
      </c>
      <c r="BD569" t="s">
        <v>2919</v>
      </c>
      <c r="BE569">
        <v>1</v>
      </c>
      <c r="BF569" s="232" t="s">
        <v>2846</v>
      </c>
      <c r="BG569" s="232" t="s">
        <v>2845</v>
      </c>
      <c r="BH569" s="253">
        <v>36.299999999999997</v>
      </c>
      <c r="BI569" s="253">
        <v>17.979197622585438</v>
      </c>
      <c r="BJ569" s="25">
        <v>26.370001884516807</v>
      </c>
      <c r="BK569" t="s">
        <v>379</v>
      </c>
      <c r="BL569">
        <v>1.8744930899548409</v>
      </c>
      <c r="BM569" t="s">
        <v>383</v>
      </c>
      <c r="BN569" s="322">
        <v>31314.341107</v>
      </c>
      <c r="BO569" s="322">
        <v>5937.3941960000002</v>
      </c>
      <c r="BP569" s="10">
        <v>13031</v>
      </c>
      <c r="BQ569" s="254">
        <f t="shared" si="230"/>
        <v>2.4030650838001688</v>
      </c>
      <c r="BR569" s="254">
        <f t="shared" si="231"/>
        <v>0.45563611357532041</v>
      </c>
      <c r="BS569" s="25">
        <v>60.213352007469659</v>
      </c>
      <c r="BT569" s="25">
        <v>90.412536679712488</v>
      </c>
      <c r="BU569" s="25">
        <v>63.096666666666671</v>
      </c>
      <c r="BV569" s="25">
        <v>91.906733639003349</v>
      </c>
      <c r="BW569" s="25">
        <v>60.251433529506983</v>
      </c>
      <c r="BX569" s="25">
        <v>76.407322248213035</v>
      </c>
      <c r="BY569" s="25">
        <v>60.497237310683303</v>
      </c>
      <c r="BZ569">
        <v>18</v>
      </c>
      <c r="CA569">
        <v>0</v>
      </c>
      <c r="CB569">
        <v>7</v>
      </c>
      <c r="CC569">
        <v>33439.856419000003</v>
      </c>
      <c r="CD569" s="10">
        <v>18891.190519</v>
      </c>
      <c r="CE569" s="255">
        <v>0.5649303717783406</v>
      </c>
      <c r="CF569" t="str">
        <f>IFERROR(VLOOKUP(CE569,'Rangos amb etnico'!$A$2:$C$6,3,9),"N.D.")</f>
        <v>51% - 70%</v>
      </c>
      <c r="CG569" s="256">
        <v>5.4961594566170968E-4</v>
      </c>
      <c r="CH569" s="232">
        <v>0</v>
      </c>
      <c r="CI569" s="311">
        <f t="shared" si="238"/>
        <v>0</v>
      </c>
      <c r="CJ569" s="232">
        <f>IFERROR(VLOOKUP(CI569,'Rangos amb etnico'!$A$2:$C$6,3,9),"N.D.")</f>
        <v>0</v>
      </c>
      <c r="CK569" s="311">
        <f t="shared" si="239"/>
        <v>0</v>
      </c>
      <c r="CL569" s="10">
        <v>1.77962615003E-3</v>
      </c>
      <c r="CM569" s="255">
        <f t="shared" si="240"/>
        <v>5.3218713852456744E-8</v>
      </c>
      <c r="CN569" s="232">
        <f>IFERROR(VLOOKUP(CM569,'Rangos amb etnico'!$A$2:$C$6,3,9),"N.D.")</f>
        <v>0</v>
      </c>
      <c r="CO569" s="311">
        <f t="shared" si="241"/>
        <v>1.116015920222547E-9</v>
      </c>
      <c r="CP569">
        <v>0.89377411351465619</v>
      </c>
      <c r="CQ569" t="s">
        <v>2864</v>
      </c>
      <c r="CR569">
        <f t="shared" si="232"/>
        <v>2</v>
      </c>
      <c r="CS569" t="str">
        <f t="shared" si="242"/>
        <v>No es Candidato</v>
      </c>
      <c r="CT569">
        <v>0</v>
      </c>
      <c r="CU569">
        <v>0</v>
      </c>
      <c r="CV569" s="25">
        <v>45.786796569824219</v>
      </c>
      <c r="CW569" s="25">
        <v>31.548677444458011</v>
      </c>
      <c r="CX569" s="25">
        <v>48.712863922119141</v>
      </c>
      <c r="CY569" s="25">
        <v>58.924972534179688</v>
      </c>
      <c r="CZ569" s="25">
        <v>31.10111236572266</v>
      </c>
      <c r="DA569" s="25">
        <v>50.879985809326172</v>
      </c>
      <c r="DB569" s="25">
        <v>53.553157806396477</v>
      </c>
      <c r="DC569">
        <v>82</v>
      </c>
      <c r="DD569" s="253" t="s">
        <v>380</v>
      </c>
    </row>
    <row r="570" spans="1:108" hidden="1">
      <c r="A570" s="13">
        <v>47170</v>
      </c>
      <c r="B570" s="13" t="s">
        <v>1589</v>
      </c>
      <c r="C570" s="13" t="s">
        <v>638</v>
      </c>
      <c r="D570" s="13" t="s">
        <v>639</v>
      </c>
      <c r="E570" s="13" t="s">
        <v>1590</v>
      </c>
      <c r="F570" s="14">
        <v>49.848399999999998</v>
      </c>
      <c r="G570" s="13">
        <v>36.28</v>
      </c>
      <c r="H570" s="13">
        <v>42</v>
      </c>
      <c r="I570" s="13">
        <v>35.58</v>
      </c>
      <c r="J570" s="14">
        <v>46.94931018359906</v>
      </c>
      <c r="K570" s="14">
        <v>48.231612575596138</v>
      </c>
      <c r="L570" s="14">
        <v>59.005711990671287</v>
      </c>
      <c r="M570" s="14">
        <v>63.362400000000001</v>
      </c>
      <c r="N570" s="14">
        <f t="shared" si="216"/>
        <v>40.927099999999996</v>
      </c>
      <c r="O570" s="14">
        <f t="shared" si="217"/>
        <v>54.38725868746662</v>
      </c>
      <c r="P570" s="14">
        <f t="shared" si="233"/>
        <v>47.657179343733304</v>
      </c>
      <c r="Q570" s="14">
        <v>54.671845247467623</v>
      </c>
      <c r="R570" s="17">
        <f t="shared" si="218"/>
        <v>45.328154752532377</v>
      </c>
      <c r="S570" s="14">
        <f t="shared" si="234"/>
        <v>0.50795339277279139</v>
      </c>
      <c r="T570" s="13">
        <v>0</v>
      </c>
      <c r="U570" s="13">
        <f t="shared" si="235"/>
        <v>24.207625937630723</v>
      </c>
      <c r="V570" s="13">
        <f>IF($T570=1,$AU570,(VLOOKUP(U570,'Cortes naturales'!$A$35:$C$39,3,9)))</f>
        <v>4</v>
      </c>
      <c r="W570" s="13">
        <v>4</v>
      </c>
      <c r="X570" s="14" t="b">
        <f t="shared" si="219"/>
        <v>1</v>
      </c>
      <c r="Y570" s="17">
        <f>IF($T570=1,$AU570,VLOOKUP(U570,'Cortes naturales'!$A$45:$C$49,3,9))</f>
        <v>4</v>
      </c>
      <c r="Z570" s="14">
        <v>48.649347628930457</v>
      </c>
      <c r="AA570" s="14">
        <v>0.51289768636110811</v>
      </c>
      <c r="AB570" s="14">
        <v>24.952137841855691</v>
      </c>
      <c r="AC570" s="13">
        <v>4</v>
      </c>
      <c r="AD570" s="13">
        <f t="shared" si="220"/>
        <v>0</v>
      </c>
      <c r="AE570" s="14">
        <f t="shared" si="221"/>
        <v>-0.9921682851971525</v>
      </c>
      <c r="AF570" s="14">
        <f t="shared" si="222"/>
        <v>-4.9442935883167172E-3</v>
      </c>
      <c r="AG570" s="13">
        <f t="shared" si="223"/>
        <v>-0.74451190422496794</v>
      </c>
      <c r="AH570" s="13">
        <f>IF($T570=1,$AU570,VLOOKUP(U570,'Cortes naturales'!$A$25:$C$29,3,9))</f>
        <v>4</v>
      </c>
      <c r="AI570" s="13" t="b">
        <f t="shared" si="224"/>
        <v>1</v>
      </c>
      <c r="AJ570" s="13">
        <f t="shared" si="225"/>
        <v>0</v>
      </c>
      <c r="AK570" s="28">
        <v>0.81759069605862034</v>
      </c>
      <c r="AL570" s="28">
        <v>39.775253990735045</v>
      </c>
      <c r="AM570" s="28">
        <v>0.32692048851246414</v>
      </c>
      <c r="AN570" s="13">
        <v>4</v>
      </c>
      <c r="AO570" s="33">
        <f t="shared" si="226"/>
        <v>0</v>
      </c>
      <c r="AP570" s="13">
        <f t="shared" si="236"/>
        <v>32.692048851246412</v>
      </c>
      <c r="AQ570" s="13">
        <f>IFERROR(VLOOKUP(U570,'Cortes naturales'!$E$15:$G$19,3,9),U570)</f>
        <v>4</v>
      </c>
      <c r="AR570" s="28">
        <f t="shared" si="227"/>
        <v>-0.30963730328582895</v>
      </c>
      <c r="AS570" s="13" t="b">
        <f t="shared" si="228"/>
        <v>1</v>
      </c>
      <c r="AT570" s="13">
        <f t="shared" si="237"/>
        <v>0</v>
      </c>
      <c r="AU570" s="13">
        <v>4</v>
      </c>
      <c r="AV570">
        <f t="shared" si="229"/>
        <v>0</v>
      </c>
      <c r="AW570" s="13">
        <v>0</v>
      </c>
      <c r="AX570" s="13">
        <v>0</v>
      </c>
      <c r="AY570" s="13">
        <v>0</v>
      </c>
      <c r="AZ570" s="13">
        <v>0</v>
      </c>
      <c r="BA570">
        <v>0</v>
      </c>
      <c r="BB570" t="s">
        <v>2840</v>
      </c>
      <c r="BC570">
        <v>6</v>
      </c>
      <c r="BD570" t="s">
        <v>2919</v>
      </c>
      <c r="BE570">
        <v>0</v>
      </c>
      <c r="BF570" s="232" t="s">
        <v>2846</v>
      </c>
      <c r="BG570" s="232" t="s">
        <v>2845</v>
      </c>
      <c r="BH570" s="253">
        <v>53.3</v>
      </c>
      <c r="BI570" s="253">
        <v>44.908831282952548</v>
      </c>
      <c r="BJ570" s="25">
        <v>22.321428571428573</v>
      </c>
      <c r="BK570" t="s">
        <v>379</v>
      </c>
      <c r="BL570">
        <v>1.0061393425086564</v>
      </c>
      <c r="BM570" t="s">
        <v>383</v>
      </c>
      <c r="BN570" s="322">
        <v>41983.223729999998</v>
      </c>
      <c r="BO570" s="322">
        <v>1691.003029</v>
      </c>
      <c r="BP570" s="10">
        <v>25934</v>
      </c>
      <c r="BQ570" s="254">
        <f t="shared" si="230"/>
        <v>1.6188487595434564</v>
      </c>
      <c r="BR570" s="254">
        <f t="shared" si="231"/>
        <v>6.5204096128634217E-2</v>
      </c>
      <c r="BS570" s="25">
        <v>53.234713872906447</v>
      </c>
      <c r="BT570" s="25">
        <v>92.235418112644922</v>
      </c>
      <c r="BU570" s="25">
        <v>34.039230052778628</v>
      </c>
      <c r="BV570" s="25">
        <v>95.351278271240403</v>
      </c>
      <c r="BW570" s="25">
        <v>17.12841652299695</v>
      </c>
      <c r="BX570" s="25">
        <v>68.715160077392596</v>
      </c>
      <c r="BY570" s="25">
        <v>17.55438301704455</v>
      </c>
      <c r="BZ570">
        <v>74</v>
      </c>
      <c r="CA570">
        <v>0</v>
      </c>
      <c r="CB570">
        <v>7</v>
      </c>
      <c r="CC570">
        <v>53609.968746999999</v>
      </c>
      <c r="CD570" s="10">
        <v>0</v>
      </c>
      <c r="CE570" s="255">
        <v>0</v>
      </c>
      <c r="CF570">
        <f>IFERROR(VLOOKUP(CE570,'Rangos amb etnico'!$A$2:$C$6,3,9),"N.D.")</f>
        <v>0</v>
      </c>
      <c r="CG570" s="256">
        <v>0</v>
      </c>
      <c r="CH570" s="232">
        <v>0</v>
      </c>
      <c r="CI570" s="311">
        <f t="shared" si="238"/>
        <v>0</v>
      </c>
      <c r="CJ570" s="232">
        <f>IFERROR(VLOOKUP(CI570,'Rangos amb etnico'!$A$2:$C$6,3,9),"N.D.")</f>
        <v>0</v>
      </c>
      <c r="CK570" s="311">
        <f t="shared" si="239"/>
        <v>0</v>
      </c>
      <c r="CL570" s="10">
        <v>0</v>
      </c>
      <c r="CM570" s="255">
        <f t="shared" si="240"/>
        <v>0</v>
      </c>
      <c r="CN570" s="232">
        <f>IFERROR(VLOOKUP(CM570,'Rangos amb etnico'!$A$2:$C$6,3,9),"N.D.")</f>
        <v>0</v>
      </c>
      <c r="CO570" s="311">
        <f t="shared" si="241"/>
        <v>0</v>
      </c>
      <c r="CP570">
        <v>0.92778447357250049</v>
      </c>
      <c r="CQ570" t="s">
        <v>2864</v>
      </c>
      <c r="CR570">
        <f t="shared" si="232"/>
        <v>2</v>
      </c>
      <c r="CS570" t="str">
        <f t="shared" si="242"/>
        <v>No es Candidato</v>
      </c>
      <c r="CT570">
        <v>0</v>
      </c>
      <c r="CU570">
        <v>0</v>
      </c>
      <c r="CV570" s="25">
        <v>43.331325531005859</v>
      </c>
      <c r="CW570" s="25">
        <v>13.94423198699951</v>
      </c>
      <c r="CX570" s="25">
        <v>47.682151794433587</v>
      </c>
      <c r="CY570" s="25">
        <v>42.526088714599609</v>
      </c>
      <c r="CZ570" s="25">
        <v>8.4048643112182617</v>
      </c>
      <c r="DA570" s="25">
        <v>84.338493347167969</v>
      </c>
      <c r="DB570" s="25">
        <v>63.092121124267578</v>
      </c>
      <c r="DC570">
        <v>707</v>
      </c>
      <c r="DD570" s="253" t="s">
        <v>380</v>
      </c>
    </row>
    <row r="571" spans="1:108" hidden="1">
      <c r="A571" s="13">
        <v>25845</v>
      </c>
      <c r="B571" s="13" t="s">
        <v>1591</v>
      </c>
      <c r="C571" s="13" t="s">
        <v>461</v>
      </c>
      <c r="D571" s="13" t="s">
        <v>462</v>
      </c>
      <c r="E571" s="13" t="s">
        <v>1592</v>
      </c>
      <c r="F571" s="14">
        <v>60.361699999999999</v>
      </c>
      <c r="G571" s="13">
        <v>51</v>
      </c>
      <c r="H571" s="13">
        <v>50.45</v>
      </c>
      <c r="I571" s="13">
        <v>74.41</v>
      </c>
      <c r="J571" s="14">
        <v>68.512527832422833</v>
      </c>
      <c r="K571" s="14">
        <v>53.909326226770901</v>
      </c>
      <c r="L571" s="14">
        <v>62.593006712495203</v>
      </c>
      <c r="M571" s="14">
        <v>62.070500000000003</v>
      </c>
      <c r="N571" s="14">
        <f t="shared" si="216"/>
        <v>59.055425</v>
      </c>
      <c r="O571" s="14">
        <f t="shared" si="217"/>
        <v>61.771340192922239</v>
      </c>
      <c r="P571" s="14">
        <f t="shared" si="233"/>
        <v>60.413382596461119</v>
      </c>
      <c r="Q571" s="14">
        <v>56.690072653396697</v>
      </c>
      <c r="R571" s="17">
        <f t="shared" si="218"/>
        <v>43.309927346603303</v>
      </c>
      <c r="S571" s="14">
        <f t="shared" si="234"/>
        <v>0.48978934611942981</v>
      </c>
      <c r="T571" s="13">
        <v>0</v>
      </c>
      <c r="U571" s="13">
        <f t="shared" si="235"/>
        <v>29.589831158783632</v>
      </c>
      <c r="V571" s="13">
        <f>IF($T571=1,$AU571,(VLOOKUP(U571,'Cortes naturales'!$A$35:$C$39,3,9)))</f>
        <v>3</v>
      </c>
      <c r="W571" s="13">
        <v>3</v>
      </c>
      <c r="X571" s="14" t="b">
        <f t="shared" si="219"/>
        <v>1</v>
      </c>
      <c r="Y571" s="17">
        <f>IF($T571=1,$AU571,VLOOKUP(U571,'Cortes naturales'!$A$45:$C$49,3,9))</f>
        <v>3</v>
      </c>
      <c r="Z571" s="14">
        <v>57.510494444380754</v>
      </c>
      <c r="AA571" s="14">
        <v>0.51110928912928577</v>
      </c>
      <c r="AB571" s="14">
        <v>29.394147932941184</v>
      </c>
      <c r="AC571" s="13">
        <v>3</v>
      </c>
      <c r="AD571" s="13">
        <f t="shared" si="220"/>
        <v>0</v>
      </c>
      <c r="AE571" s="14">
        <f t="shared" si="221"/>
        <v>2.9028881520803651</v>
      </c>
      <c r="AF571" s="14">
        <f t="shared" si="222"/>
        <v>-2.1319943009855957E-2</v>
      </c>
      <c r="AG571" s="13">
        <f t="shared" si="223"/>
        <v>0.19568322584244768</v>
      </c>
      <c r="AH571" s="13">
        <f>IF($T571=1,$AU571,VLOOKUP(U571,'Cortes naturales'!$A$25:$C$29,3,9))</f>
        <v>3</v>
      </c>
      <c r="AI571" s="13" t="b">
        <f t="shared" si="224"/>
        <v>1</v>
      </c>
      <c r="AJ571" s="13">
        <f t="shared" si="225"/>
        <v>0</v>
      </c>
      <c r="AK571" s="28">
        <v>0.81759069605862034</v>
      </c>
      <c r="AL571" s="28">
        <v>47.020045183456681</v>
      </c>
      <c r="AM571" s="28">
        <v>0.41754518960366366</v>
      </c>
      <c r="AN571" s="13">
        <v>3</v>
      </c>
      <c r="AO571" s="33">
        <f t="shared" si="226"/>
        <v>0</v>
      </c>
      <c r="AP571" s="13">
        <f t="shared" si="236"/>
        <v>41.754518960366369</v>
      </c>
      <c r="AQ571" s="13">
        <f>IFERROR(VLOOKUP(U571,'Cortes naturales'!$E$15:$G$19,3,9),U571)</f>
        <v>4</v>
      </c>
      <c r="AR571" s="28">
        <f t="shared" si="227"/>
        <v>-0.32780134993919052</v>
      </c>
      <c r="AS571" s="13" t="b">
        <f t="shared" si="228"/>
        <v>0</v>
      </c>
      <c r="AT571" s="13">
        <f t="shared" si="237"/>
        <v>0</v>
      </c>
      <c r="AU571" s="13">
        <v>3</v>
      </c>
      <c r="AV571">
        <f t="shared" si="229"/>
        <v>0</v>
      </c>
      <c r="AW571" s="13">
        <v>0</v>
      </c>
      <c r="AX571" s="13">
        <v>0</v>
      </c>
      <c r="AY571" s="13">
        <v>0</v>
      </c>
      <c r="AZ571" s="13">
        <v>0</v>
      </c>
      <c r="BA571">
        <v>0</v>
      </c>
      <c r="BB571" t="s">
        <v>2840</v>
      </c>
      <c r="BC571">
        <v>6</v>
      </c>
      <c r="BD571" t="s">
        <v>2919</v>
      </c>
      <c r="BE571">
        <v>0</v>
      </c>
      <c r="BF571" s="232" t="s">
        <v>2846</v>
      </c>
      <c r="BG571" s="232" t="s">
        <v>2845</v>
      </c>
      <c r="BH571" s="253">
        <v>29.6</v>
      </c>
      <c r="BI571" s="253">
        <v>11.925807853934213</v>
      </c>
      <c r="BJ571" s="25">
        <v>4.1277991196478592</v>
      </c>
      <c r="BK571" t="s">
        <v>381</v>
      </c>
      <c r="BL571">
        <v>1.0541311421801729</v>
      </c>
      <c r="BM571" t="s">
        <v>383</v>
      </c>
      <c r="BN571" s="322">
        <v>15752.809073</v>
      </c>
      <c r="BO571" s="322">
        <v>1648.1395990000001</v>
      </c>
      <c r="BP571" s="10">
        <v>6730</v>
      </c>
      <c r="BQ571" s="254">
        <f t="shared" si="230"/>
        <v>2.3406848548291235</v>
      </c>
      <c r="BR571" s="254">
        <f t="shared" si="231"/>
        <v>0.2448944426448737</v>
      </c>
      <c r="BS571" s="25">
        <v>63.031022908763212</v>
      </c>
      <c r="BT571" s="25">
        <v>87.166365468053485</v>
      </c>
      <c r="BU571" s="25">
        <v>38.506896149358198</v>
      </c>
      <c r="BV571" s="25">
        <v>83.519178130450456</v>
      </c>
      <c r="BW571" s="25">
        <v>53.045953084283433</v>
      </c>
      <c r="BX571" s="25">
        <v>68.055865664156329</v>
      </c>
      <c r="BY571" s="25">
        <v>53.898846292067013</v>
      </c>
      <c r="BZ571">
        <v>40</v>
      </c>
      <c r="CA571">
        <v>0</v>
      </c>
      <c r="CB571">
        <v>7</v>
      </c>
      <c r="CC571">
        <v>20886.648099999999</v>
      </c>
      <c r="CD571" s="10">
        <v>11319.460080000001</v>
      </c>
      <c r="CE571" s="255">
        <v>0.54194718203731318</v>
      </c>
      <c r="CF571" t="str">
        <f>IFERROR(VLOOKUP(CE571,'Rangos amb etnico'!$A$2:$C$6,3,9),"N.D.")</f>
        <v>51% - 70%</v>
      </c>
      <c r="CG571" s="256">
        <v>3.2932576430225413E-4</v>
      </c>
      <c r="CH571" s="232">
        <v>0</v>
      </c>
      <c r="CI571" s="311">
        <f t="shared" si="238"/>
        <v>0</v>
      </c>
      <c r="CJ571" s="232">
        <f>IFERROR(VLOOKUP(CI571,'Rangos amb etnico'!$A$2:$C$6,3,9),"N.D.")</f>
        <v>0</v>
      </c>
      <c r="CK571" s="311">
        <f t="shared" si="239"/>
        <v>0</v>
      </c>
      <c r="CL571" s="10">
        <v>0</v>
      </c>
      <c r="CM571" s="255">
        <f t="shared" si="240"/>
        <v>0</v>
      </c>
      <c r="CN571" s="232">
        <f>IFERROR(VLOOKUP(CM571,'Rangos amb etnico'!$A$2:$C$6,3,9),"N.D.")</f>
        <v>0</v>
      </c>
      <c r="CO571" s="311">
        <f t="shared" si="241"/>
        <v>0</v>
      </c>
      <c r="CP571">
        <v>0.88440518148279312</v>
      </c>
      <c r="CQ571" t="s">
        <v>2864</v>
      </c>
      <c r="CR571">
        <f t="shared" si="232"/>
        <v>3</v>
      </c>
      <c r="CS571" t="str">
        <f t="shared" si="242"/>
        <v>Candidato</v>
      </c>
      <c r="CT571">
        <v>0</v>
      </c>
      <c r="CU571">
        <v>0</v>
      </c>
      <c r="CV571" s="25">
        <v>51.768993377685547</v>
      </c>
      <c r="CW571" s="25">
        <v>38.197757720947273</v>
      </c>
      <c r="CX571" s="25">
        <v>48.966026306152337</v>
      </c>
      <c r="CY571" s="25">
        <v>65.909683227539063</v>
      </c>
      <c r="CZ571" s="25">
        <v>51.110294342041023</v>
      </c>
      <c r="DA571" s="25">
        <v>49.32952880859375</v>
      </c>
      <c r="DB571" s="25">
        <v>57.100666046142578</v>
      </c>
      <c r="DC571">
        <v>35</v>
      </c>
      <c r="DD571" s="253" t="s">
        <v>380</v>
      </c>
    </row>
    <row r="572" spans="1:108" hidden="1">
      <c r="A572" s="13">
        <v>41791</v>
      </c>
      <c r="B572" s="13" t="s">
        <v>1593</v>
      </c>
      <c r="C572" s="13" t="s">
        <v>676</v>
      </c>
      <c r="D572" s="13" t="s">
        <v>677</v>
      </c>
      <c r="E572" s="13" t="s">
        <v>1594</v>
      </c>
      <c r="F572" s="14">
        <v>66.532866666666706</v>
      </c>
      <c r="G572" s="13">
        <v>63.67</v>
      </c>
      <c r="H572" s="13">
        <v>45.9</v>
      </c>
      <c r="I572" s="13">
        <v>64.040000000000006</v>
      </c>
      <c r="J572" s="14">
        <v>54.17061055085918</v>
      </c>
      <c r="K572" s="14">
        <v>55.691063595231881</v>
      </c>
      <c r="L572" s="14">
        <v>59.503032521996957</v>
      </c>
      <c r="M572" s="14">
        <v>50.886099999999999</v>
      </c>
      <c r="N572" s="14">
        <f t="shared" si="216"/>
        <v>60.035716666666673</v>
      </c>
      <c r="O572" s="14">
        <f t="shared" si="217"/>
        <v>55.062701667022004</v>
      </c>
      <c r="P572" s="14">
        <f t="shared" si="233"/>
        <v>57.549209166844335</v>
      </c>
      <c r="Q572" s="14">
        <v>55.155602634315002</v>
      </c>
      <c r="R572" s="17">
        <f t="shared" si="218"/>
        <v>44.844397365684998</v>
      </c>
      <c r="S572" s="14">
        <f t="shared" si="234"/>
        <v>0.50359957629116503</v>
      </c>
      <c r="T572" s="13">
        <v>0</v>
      </c>
      <c r="U572" s="13">
        <f t="shared" si="235"/>
        <v>28.981757352314439</v>
      </c>
      <c r="V572" s="13">
        <f>IF($T572=1,$AU572,(VLOOKUP(U572,'Cortes naturales'!$A$35:$C$39,3,9)))</f>
        <v>4</v>
      </c>
      <c r="W572" s="13">
        <v>4</v>
      </c>
      <c r="X572" s="14" t="b">
        <f t="shared" si="219"/>
        <v>1</v>
      </c>
      <c r="Y572" s="17">
        <f>IF($T572=1,$AU572,VLOOKUP(U572,'Cortes naturales'!$A$45:$C$49,3,9))</f>
        <v>3</v>
      </c>
      <c r="Z572" s="14">
        <v>57.381205117119819</v>
      </c>
      <c r="AA572" s="14">
        <v>0.51247363553736847</v>
      </c>
      <c r="AB572" s="14">
        <v>29.406354797885843</v>
      </c>
      <c r="AC572" s="13">
        <v>3</v>
      </c>
      <c r="AD572" s="13">
        <f t="shared" si="220"/>
        <v>0</v>
      </c>
      <c r="AE572" s="14">
        <f t="shared" si="221"/>
        <v>0.16800404972451588</v>
      </c>
      <c r="AF572" s="14">
        <f t="shared" si="222"/>
        <v>-8.8740592462034362E-3</v>
      </c>
      <c r="AG572" s="13">
        <f t="shared" si="223"/>
        <v>-0.42459744557140411</v>
      </c>
      <c r="AH572" s="13">
        <f>IF($T572=1,$AU572,VLOOKUP(U572,'Cortes naturales'!$A$25:$C$29,3,9))</f>
        <v>3</v>
      </c>
      <c r="AI572" s="13" t="b">
        <f t="shared" si="224"/>
        <v>1</v>
      </c>
      <c r="AJ572" s="13">
        <f t="shared" si="225"/>
        <v>0</v>
      </c>
      <c r="AK572" s="28">
        <v>0.81759069605862034</v>
      </c>
      <c r="AL572" s="28">
        <v>46.914339432388459</v>
      </c>
      <c r="AM572" s="28">
        <v>0.4162229220821646</v>
      </c>
      <c r="AN572" s="13">
        <v>3</v>
      </c>
      <c r="AO572" s="33">
        <f t="shared" si="226"/>
        <v>0</v>
      </c>
      <c r="AP572" s="13">
        <f t="shared" si="236"/>
        <v>41.622292208216457</v>
      </c>
      <c r="AQ572" s="13">
        <f>IFERROR(VLOOKUP(U572,'Cortes naturales'!$E$15:$G$19,3,9),U572)</f>
        <v>4</v>
      </c>
      <c r="AR572" s="28">
        <f t="shared" si="227"/>
        <v>-0.31399111976745531</v>
      </c>
      <c r="AS572" s="13" t="b">
        <f t="shared" si="228"/>
        <v>0</v>
      </c>
      <c r="AT572" s="13">
        <f t="shared" si="237"/>
        <v>0</v>
      </c>
      <c r="AU572" s="13">
        <v>3</v>
      </c>
      <c r="AV572">
        <f t="shared" si="229"/>
        <v>0</v>
      </c>
      <c r="AW572" s="13">
        <v>0</v>
      </c>
      <c r="AX572" s="13">
        <v>0</v>
      </c>
      <c r="AY572" s="13">
        <v>0</v>
      </c>
      <c r="AZ572" s="13">
        <v>0</v>
      </c>
      <c r="BA572">
        <v>0</v>
      </c>
      <c r="BB572" t="s">
        <v>2839</v>
      </c>
      <c r="BC572">
        <v>6</v>
      </c>
      <c r="BD572" t="s">
        <v>2919</v>
      </c>
      <c r="BE572">
        <v>0</v>
      </c>
      <c r="BF572" s="232" t="s">
        <v>2846</v>
      </c>
      <c r="BG572" s="232" t="s">
        <v>2845</v>
      </c>
      <c r="BH572" s="253">
        <v>47.1</v>
      </c>
      <c r="BI572" s="253">
        <v>13.601936925751179</v>
      </c>
      <c r="BJ572" s="25">
        <v>4.3000000000000007</v>
      </c>
      <c r="BK572" t="s">
        <v>381</v>
      </c>
      <c r="BL572">
        <v>1.9400742035549448</v>
      </c>
      <c r="BM572" t="s">
        <v>383</v>
      </c>
      <c r="BN572" s="322">
        <v>33938.614587999997</v>
      </c>
      <c r="BO572" s="322">
        <v>2170.1423150000001</v>
      </c>
      <c r="BP572" s="10">
        <v>18649</v>
      </c>
      <c r="BQ572" s="254">
        <f t="shared" si="230"/>
        <v>1.8198624370207517</v>
      </c>
      <c r="BR572" s="254">
        <f t="shared" si="231"/>
        <v>0.11636775778862138</v>
      </c>
      <c r="BS572" s="25">
        <v>64.879811591855741</v>
      </c>
      <c r="BT572" s="25">
        <v>89.15191272906246</v>
      </c>
      <c r="BU572" s="25">
        <v>42.127970233512933</v>
      </c>
      <c r="BV572" s="25">
        <v>95.097969922477134</v>
      </c>
      <c r="BW572" s="25">
        <v>55.656619850120883</v>
      </c>
      <c r="BX572" s="25">
        <v>72.814416119227076</v>
      </c>
      <c r="BY572" s="25">
        <v>56.615807943235581</v>
      </c>
      <c r="BZ572">
        <v>54</v>
      </c>
      <c r="CA572">
        <v>0</v>
      </c>
      <c r="CB572">
        <v>7</v>
      </c>
      <c r="CC572">
        <v>36279.091738000003</v>
      </c>
      <c r="CD572" s="10">
        <v>7928.9669910000002</v>
      </c>
      <c r="CE572" s="255">
        <v>0.21855472701084519</v>
      </c>
      <c r="CF572" t="str">
        <f>IFERROR(VLOOKUP(CE572,'Rangos amb etnico'!$A$2:$C$6,3,9),"N.D.")</f>
        <v>0,1% - 30%</v>
      </c>
      <c r="CG572" s="256">
        <v>2.306835393193435E-4</v>
      </c>
      <c r="CH572" s="232">
        <v>0</v>
      </c>
      <c r="CI572" s="311">
        <f t="shared" si="238"/>
        <v>0</v>
      </c>
      <c r="CJ572" s="232">
        <f>IFERROR(VLOOKUP(CI572,'Rangos amb etnico'!$A$2:$C$6,3,9),"N.D.")</f>
        <v>0</v>
      </c>
      <c r="CK572" s="311">
        <f t="shared" si="239"/>
        <v>0</v>
      </c>
      <c r="CL572" s="10">
        <v>0</v>
      </c>
      <c r="CM572" s="255">
        <f t="shared" si="240"/>
        <v>0</v>
      </c>
      <c r="CN572" s="232">
        <f>IFERROR(VLOOKUP(CM572,'Rangos amb etnico'!$A$2:$C$6,3,9),"N.D.")</f>
        <v>0</v>
      </c>
      <c r="CO572" s="311">
        <f t="shared" si="241"/>
        <v>0</v>
      </c>
      <c r="CP572">
        <v>0.94484245854906335</v>
      </c>
      <c r="CQ572" t="s">
        <v>2864</v>
      </c>
      <c r="CR572">
        <f t="shared" si="232"/>
        <v>2</v>
      </c>
      <c r="CS572" t="str">
        <f t="shared" si="242"/>
        <v>No es Candidato</v>
      </c>
      <c r="CT572">
        <v>0</v>
      </c>
      <c r="CU572">
        <v>0</v>
      </c>
      <c r="CV572" s="25">
        <v>50.728816986083977</v>
      </c>
      <c r="CW572" s="25">
        <v>24.232421875</v>
      </c>
      <c r="CX572" s="25">
        <v>58.35943603515625</v>
      </c>
      <c r="CY572" s="25">
        <v>59.906639099121087</v>
      </c>
      <c r="CZ572" s="25">
        <v>31.64108848571777</v>
      </c>
      <c r="DA572" s="25">
        <v>75.548789978027344</v>
      </c>
      <c r="DB572" s="25">
        <v>54.684520721435547</v>
      </c>
      <c r="DC572">
        <v>327</v>
      </c>
      <c r="DD572" s="253" t="s">
        <v>380</v>
      </c>
    </row>
    <row r="573" spans="1:108" hidden="1">
      <c r="A573" s="13">
        <v>20228</v>
      </c>
      <c r="B573" s="13" t="s">
        <v>1595</v>
      </c>
      <c r="C573" s="13" t="s">
        <v>893</v>
      </c>
      <c r="D573" s="13" t="s">
        <v>894</v>
      </c>
      <c r="E573" s="13" t="s">
        <v>1596</v>
      </c>
      <c r="F573" s="14">
        <v>72.869066666666697</v>
      </c>
      <c r="G573" s="13">
        <v>49.82</v>
      </c>
      <c r="H573" s="13">
        <v>38.799999999999997</v>
      </c>
      <c r="I573" s="13">
        <v>51.68</v>
      </c>
      <c r="J573" s="14">
        <v>53.334895573751503</v>
      </c>
      <c r="K573" s="14">
        <v>55.681744759105129</v>
      </c>
      <c r="L573" s="14">
        <v>50.042779935597295</v>
      </c>
      <c r="M573" s="14">
        <v>54.902500000000003</v>
      </c>
      <c r="N573" s="14">
        <f t="shared" si="216"/>
        <v>53.292266666666677</v>
      </c>
      <c r="O573" s="14">
        <f t="shared" si="217"/>
        <v>53.490480067113488</v>
      </c>
      <c r="P573" s="14">
        <f t="shared" si="233"/>
        <v>53.391373366890079</v>
      </c>
      <c r="Q573" s="14">
        <v>54.781673657415439</v>
      </c>
      <c r="R573" s="17">
        <f t="shared" si="218"/>
        <v>45.218326342584561</v>
      </c>
      <c r="S573" s="14">
        <f t="shared" si="234"/>
        <v>0.50696493708326107</v>
      </c>
      <c r="T573" s="13">
        <v>0</v>
      </c>
      <c r="U573" s="13">
        <f t="shared" si="235"/>
        <v>27.067554239734328</v>
      </c>
      <c r="V573" s="13">
        <f>IF($T573=1,$AU573,(VLOOKUP(U573,'Cortes naturales'!$A$35:$C$39,3,9)))</f>
        <v>4</v>
      </c>
      <c r="W573" s="13">
        <v>4</v>
      </c>
      <c r="X573" s="14" t="b">
        <f t="shared" si="219"/>
        <v>1</v>
      </c>
      <c r="Y573" s="17">
        <f>IF($T573=1,$AU573,VLOOKUP(U573,'Cortes naturales'!$A$45:$C$49,3,9))</f>
        <v>4</v>
      </c>
      <c r="Z573" s="14">
        <v>55.350771694397061</v>
      </c>
      <c r="AA573" s="14">
        <v>0.51218436021386027</v>
      </c>
      <c r="AB573" s="14">
        <v>28.349799587638206</v>
      </c>
      <c r="AC573" s="13">
        <v>3</v>
      </c>
      <c r="AD573" s="13">
        <f t="shared" si="220"/>
        <v>-1</v>
      </c>
      <c r="AE573" s="14">
        <f t="shared" si="221"/>
        <v>-1.9593983275069817</v>
      </c>
      <c r="AF573" s="14">
        <f t="shared" si="222"/>
        <v>-5.2194231305991989E-3</v>
      </c>
      <c r="AG573" s="13">
        <f t="shared" si="223"/>
        <v>-1.2822453479038778</v>
      </c>
      <c r="AH573" s="13">
        <f>IF($T573=1,$AU573,VLOOKUP(U573,'Cortes naturales'!$A$25:$C$29,3,9))</f>
        <v>4</v>
      </c>
      <c r="AI573" s="13" t="b">
        <f t="shared" si="224"/>
        <v>1</v>
      </c>
      <c r="AJ573" s="13" t="str">
        <f t="shared" si="225"/>
        <v>Efecto ponderador</v>
      </c>
      <c r="AK573" s="28">
        <v>0.81759069605862034</v>
      </c>
      <c r="AL573" s="28">
        <v>45.25427595700387</v>
      </c>
      <c r="AM573" s="28">
        <v>0.39545727787694773</v>
      </c>
      <c r="AN573" s="13">
        <v>3</v>
      </c>
      <c r="AO573" s="33">
        <f t="shared" si="226"/>
        <v>-1</v>
      </c>
      <c r="AP573" s="13">
        <f t="shared" si="236"/>
        <v>39.545727787694773</v>
      </c>
      <c r="AQ573" s="13">
        <f>IFERROR(VLOOKUP(U573,'Cortes naturales'!$E$15:$G$19,3,9),U573)</f>
        <v>4</v>
      </c>
      <c r="AR573" s="28">
        <f t="shared" si="227"/>
        <v>-0.31062575897535927</v>
      </c>
      <c r="AS573" s="13" t="b">
        <f t="shared" si="228"/>
        <v>1</v>
      </c>
      <c r="AT573" s="13" t="str">
        <f t="shared" si="237"/>
        <v>Efecto ponderador</v>
      </c>
      <c r="AU573" s="13">
        <v>3</v>
      </c>
      <c r="AV573">
        <f t="shared" si="229"/>
        <v>-1</v>
      </c>
      <c r="AW573" s="13">
        <v>0</v>
      </c>
      <c r="AX573" s="13">
        <v>0</v>
      </c>
      <c r="AY573" s="13">
        <v>0</v>
      </c>
      <c r="AZ573" s="13">
        <v>0</v>
      </c>
      <c r="BA573">
        <v>1</v>
      </c>
      <c r="BB573" t="s">
        <v>2839</v>
      </c>
      <c r="BC573">
        <v>6</v>
      </c>
      <c r="BD573" t="s">
        <v>2919</v>
      </c>
      <c r="BE573">
        <v>0</v>
      </c>
      <c r="BF573" s="232" t="s">
        <v>2846</v>
      </c>
      <c r="BG573" s="232" t="s">
        <v>2846</v>
      </c>
      <c r="BH573" s="253">
        <v>45.8</v>
      </c>
      <c r="BI573" s="253">
        <v>28.662475238997501</v>
      </c>
      <c r="BJ573" s="25">
        <v>2.211851851851852</v>
      </c>
      <c r="BK573" t="s">
        <v>381</v>
      </c>
      <c r="BL573">
        <v>6.280825819211608</v>
      </c>
      <c r="BM573" t="s">
        <v>379</v>
      </c>
      <c r="BN573" s="322">
        <v>82303.585533000005</v>
      </c>
      <c r="BO573" s="322">
        <v>9250.1432060000006</v>
      </c>
      <c r="BP573" s="10">
        <v>44811</v>
      </c>
      <c r="BQ573" s="254">
        <f t="shared" si="230"/>
        <v>1.836682634464752</v>
      </c>
      <c r="BR573" s="254">
        <f t="shared" si="231"/>
        <v>0.20642572596014372</v>
      </c>
      <c r="BS573" s="25">
        <v>63.799748240843513</v>
      </c>
      <c r="BT573" s="25">
        <v>97.010549297121997</v>
      </c>
      <c r="BU573" s="25">
        <v>33.408871543264929</v>
      </c>
      <c r="BV573" s="25">
        <v>93.463316383060373</v>
      </c>
      <c r="BW573" s="25">
        <v>59.870867513205972</v>
      </c>
      <c r="BX573" s="25">
        <v>71.920621366072709</v>
      </c>
      <c r="BY573" s="25">
        <v>60.903717022344217</v>
      </c>
      <c r="BZ573">
        <v>92</v>
      </c>
      <c r="CA573">
        <v>0</v>
      </c>
      <c r="CB573">
        <v>7</v>
      </c>
      <c r="CC573">
        <v>91366.927714999998</v>
      </c>
      <c r="CD573" s="10">
        <v>40237.939879999998</v>
      </c>
      <c r="CE573" s="255">
        <v>0.44039939709381304</v>
      </c>
      <c r="CF573" t="str">
        <f>IFERROR(VLOOKUP(CE573,'Rangos amb etnico'!$A$2:$C$6,3,9),"N.D.")</f>
        <v>31% - 50%</v>
      </c>
      <c r="CG573" s="256">
        <v>1.1706733546719792E-3</v>
      </c>
      <c r="CH573" s="232">
        <v>0</v>
      </c>
      <c r="CI573" s="311">
        <f t="shared" si="238"/>
        <v>0</v>
      </c>
      <c r="CJ573" s="232">
        <f>IFERROR(VLOOKUP(CI573,'Rangos amb etnico'!$A$2:$C$6,3,9),"N.D.")</f>
        <v>0</v>
      </c>
      <c r="CK573" s="311">
        <f t="shared" si="239"/>
        <v>0</v>
      </c>
      <c r="CL573" s="10">
        <v>0</v>
      </c>
      <c r="CM573" s="255">
        <f t="shared" si="240"/>
        <v>0</v>
      </c>
      <c r="CN573" s="232">
        <f>IFERROR(VLOOKUP(CM573,'Rangos amb etnico'!$A$2:$C$6,3,9),"N.D.")</f>
        <v>0</v>
      </c>
      <c r="CO573" s="311">
        <f t="shared" si="241"/>
        <v>0</v>
      </c>
      <c r="CP573">
        <v>0.71834923246441451</v>
      </c>
      <c r="CQ573" t="s">
        <v>2866</v>
      </c>
      <c r="CR573">
        <f t="shared" si="232"/>
        <v>1</v>
      </c>
      <c r="CS573" t="str">
        <f t="shared" si="242"/>
        <v>No es Candidato</v>
      </c>
      <c r="CT573">
        <v>1</v>
      </c>
      <c r="CU573" t="s">
        <v>2835</v>
      </c>
      <c r="CV573" s="25">
        <v>45.630027770996087</v>
      </c>
      <c r="CW573" s="25">
        <v>24.57436561584473</v>
      </c>
      <c r="CX573" s="25">
        <v>47.001644134521477</v>
      </c>
      <c r="CY573" s="25">
        <v>64.261215209960938</v>
      </c>
      <c r="CZ573" s="25">
        <v>29.56217193603516</v>
      </c>
      <c r="DA573" s="25">
        <v>48.716724395751953</v>
      </c>
      <c r="DB573" s="25">
        <v>59.664047241210938</v>
      </c>
      <c r="DC573">
        <v>2405</v>
      </c>
      <c r="DD573" s="253" t="s">
        <v>380</v>
      </c>
    </row>
    <row r="574" spans="1:108">
      <c r="A574" s="13">
        <v>5837</v>
      </c>
      <c r="B574" s="13" t="s">
        <v>1597</v>
      </c>
      <c r="C574" s="13" t="s">
        <v>435</v>
      </c>
      <c r="D574" s="13" t="s">
        <v>436</v>
      </c>
      <c r="E574" s="13" t="s">
        <v>1598</v>
      </c>
      <c r="F574" s="14">
        <v>57.947299999999998</v>
      </c>
      <c r="G574" s="13">
        <v>51.83</v>
      </c>
      <c r="H574" s="13">
        <v>45.25</v>
      </c>
      <c r="I574" s="13">
        <v>67.260000000000005</v>
      </c>
      <c r="J574" s="14">
        <v>41.333431907415346</v>
      </c>
      <c r="K574" s="14">
        <v>40.770034955865739</v>
      </c>
      <c r="L574" s="14">
        <v>41.192011313069528</v>
      </c>
      <c r="M574" s="14">
        <v>41.94</v>
      </c>
      <c r="N574" s="14">
        <f t="shared" si="216"/>
        <v>55.571825000000004</v>
      </c>
      <c r="O574" s="14">
        <f t="shared" si="217"/>
        <v>41.308869544087656</v>
      </c>
      <c r="P574" s="14">
        <f t="shared" si="233"/>
        <v>48.44034727204383</v>
      </c>
      <c r="Q574" s="14">
        <v>55.475283542746048</v>
      </c>
      <c r="R574" s="17">
        <f t="shared" si="218"/>
        <v>44.524716457253952</v>
      </c>
      <c r="S574" s="14">
        <f t="shared" si="234"/>
        <v>0.50072244811528566</v>
      </c>
      <c r="T574" s="13">
        <v>0</v>
      </c>
      <c r="U574" s="13">
        <f t="shared" si="235"/>
        <v>24.255169273612385</v>
      </c>
      <c r="V574" s="13">
        <f>IF($T574=1,$AU574,(VLOOKUP(U574,'Cortes naturales'!$A$35:$C$39,3,9)))</f>
        <v>4</v>
      </c>
      <c r="W574" s="13">
        <v>4</v>
      </c>
      <c r="X574" s="14" t="b">
        <f t="shared" si="219"/>
        <v>1</v>
      </c>
      <c r="Y574" s="17">
        <f>IF($T574=1,$AU574,VLOOKUP(U574,'Cortes naturales'!$A$45:$C$49,3,9))</f>
        <v>4</v>
      </c>
      <c r="Z574" s="14">
        <v>47.584120151065648</v>
      </c>
      <c r="AA574" s="14">
        <v>0.51198484133409516</v>
      </c>
      <c r="AB574" s="14">
        <v>24.362348205565866</v>
      </c>
      <c r="AC574" s="13">
        <v>4</v>
      </c>
      <c r="AD574" s="13">
        <f t="shared" si="220"/>
        <v>0</v>
      </c>
      <c r="AE574" s="14">
        <f t="shared" si="221"/>
        <v>0.85622712097818265</v>
      </c>
      <c r="AF574" s="14">
        <f t="shared" si="222"/>
        <v>-1.1262393218809508E-2</v>
      </c>
      <c r="AG574" s="13">
        <f t="shared" si="223"/>
        <v>-0.10717893195348083</v>
      </c>
      <c r="AH574" s="13">
        <f>IF($T574=1,$AU574,VLOOKUP(U574,'Cortes naturales'!$A$25:$C$29,3,9))</f>
        <v>4</v>
      </c>
      <c r="AI574" s="13" t="b">
        <f t="shared" si="224"/>
        <v>1</v>
      </c>
      <c r="AJ574" s="13">
        <f t="shared" si="225"/>
        <v>0</v>
      </c>
      <c r="AK574" s="28">
        <v>0.81759069605862034</v>
      </c>
      <c r="AL574" s="28">
        <v>38.904333915646788</v>
      </c>
      <c r="AM574" s="28">
        <v>0.31602619640940244</v>
      </c>
      <c r="AN574" s="13">
        <v>4</v>
      </c>
      <c r="AO574" s="33">
        <f t="shared" si="226"/>
        <v>0</v>
      </c>
      <c r="AP574" s="13">
        <f t="shared" si="236"/>
        <v>31.602619640940244</v>
      </c>
      <c r="AQ574" s="13">
        <f>IFERROR(VLOOKUP(U574,'Cortes naturales'!$E$15:$G$19,3,9),U574)</f>
        <v>4</v>
      </c>
      <c r="AR574" s="28">
        <f t="shared" si="227"/>
        <v>-0.31686824794333468</v>
      </c>
      <c r="AS574" s="13" t="b">
        <f t="shared" si="228"/>
        <v>1</v>
      </c>
      <c r="AT574" s="13">
        <f t="shared" si="237"/>
        <v>0</v>
      </c>
      <c r="AU574" s="13">
        <v>3</v>
      </c>
      <c r="AV574">
        <f t="shared" si="229"/>
        <v>-1</v>
      </c>
      <c r="AW574" s="13">
        <v>0</v>
      </c>
      <c r="AX574" s="13">
        <v>1</v>
      </c>
      <c r="AY574" s="13">
        <v>1</v>
      </c>
      <c r="AZ574" s="13">
        <v>1</v>
      </c>
      <c r="BA574">
        <v>1</v>
      </c>
      <c r="BB574" t="s">
        <v>2838</v>
      </c>
      <c r="BC574">
        <v>5</v>
      </c>
      <c r="BD574" t="s">
        <v>2920</v>
      </c>
      <c r="BE574">
        <v>1</v>
      </c>
      <c r="BF574" s="232" t="s">
        <v>2845</v>
      </c>
      <c r="BG574" s="232" t="s">
        <v>2845</v>
      </c>
      <c r="BH574" s="253">
        <v>49.9</v>
      </c>
      <c r="BI574" s="253">
        <v>39.15000175112948</v>
      </c>
      <c r="BJ574" s="25">
        <v>32.764901916839811</v>
      </c>
      <c r="BK574" t="s">
        <v>379</v>
      </c>
      <c r="BL574">
        <v>6.398518825958539</v>
      </c>
      <c r="BM574" t="s">
        <v>379</v>
      </c>
      <c r="BN574" s="322">
        <v>406927.34745200002</v>
      </c>
      <c r="BO574" s="322">
        <v>32734.828164999999</v>
      </c>
      <c r="BP574" s="10">
        <v>130019</v>
      </c>
      <c r="BQ574" s="254">
        <f t="shared" si="230"/>
        <v>3.1297529395857531</v>
      </c>
      <c r="BR574" s="254">
        <f t="shared" si="231"/>
        <v>0.25176957340850181</v>
      </c>
      <c r="BS574" s="25">
        <v>64.345272650049836</v>
      </c>
      <c r="BT574" s="25">
        <v>94.418755853605091</v>
      </c>
      <c r="BU574" s="25">
        <v>68.910000000000011</v>
      </c>
      <c r="BV574" s="25">
        <v>93.421548978480743</v>
      </c>
      <c r="BW574" s="25">
        <v>61.686273256958643</v>
      </c>
      <c r="BX574" s="25">
        <v>80.273894370533924</v>
      </c>
      <c r="BY574" s="25">
        <v>62.599072200869998</v>
      </c>
      <c r="BZ574">
        <v>35</v>
      </c>
      <c r="CA574">
        <v>1</v>
      </c>
      <c r="CB574">
        <v>5</v>
      </c>
      <c r="CC574">
        <v>291920.64763199998</v>
      </c>
      <c r="CD574" s="10">
        <v>56549.437582999999</v>
      </c>
      <c r="CE574" s="255">
        <v>0.19371510046211995</v>
      </c>
      <c r="CF574" t="str">
        <f>IFERROR(VLOOKUP(CE574,'Rangos amb etnico'!$A$2:$C$6,3,9),"N.D.")</f>
        <v>0,1% - 30%</v>
      </c>
      <c r="CG574" s="256">
        <v>1.6452363117379436E-3</v>
      </c>
      <c r="CH574" s="232">
        <v>49832.899436</v>
      </c>
      <c r="CI574" s="311">
        <f t="shared" si="238"/>
        <v>0.17070700493519109</v>
      </c>
      <c r="CJ574" s="232" t="str">
        <f>IFERROR(VLOOKUP(CI574,'Rangos amb etnico'!$A$2:$C$6,3,9),"N.D.")</f>
        <v>0,1% - 30%</v>
      </c>
      <c r="CK574" s="311">
        <f t="shared" si="239"/>
        <v>1.9786923735924489E-3</v>
      </c>
      <c r="CL574" s="10">
        <v>0</v>
      </c>
      <c r="CM574" s="255">
        <f t="shared" si="240"/>
        <v>0</v>
      </c>
      <c r="CN574" s="232">
        <f>IFERROR(VLOOKUP(CM574,'Rangos amb etnico'!$A$2:$C$6,3,9),"N.D.")</f>
        <v>0</v>
      </c>
      <c r="CO574" s="311">
        <f t="shared" si="241"/>
        <v>0</v>
      </c>
      <c r="CP574">
        <v>0.86583156316197063</v>
      </c>
      <c r="CQ574" t="s">
        <v>2864</v>
      </c>
      <c r="CR574">
        <f t="shared" si="232"/>
        <v>3</v>
      </c>
      <c r="CS574" t="str">
        <f t="shared" si="242"/>
        <v>Candidato</v>
      </c>
      <c r="CT574">
        <v>0</v>
      </c>
      <c r="CU574">
        <v>0</v>
      </c>
      <c r="CV574" s="25">
        <v>46.472305297851563</v>
      </c>
      <c r="CW574" s="25">
        <v>47.605083465576172</v>
      </c>
      <c r="CX574" s="25">
        <v>50.524002075195313</v>
      </c>
      <c r="CY574" s="25">
        <v>55.479640960693359</v>
      </c>
      <c r="CZ574" s="25">
        <v>25.493146896362301</v>
      </c>
      <c r="DA574" s="25">
        <v>53.707736968994141</v>
      </c>
      <c r="DB574" s="25">
        <v>46.024223327636719</v>
      </c>
      <c r="DC574">
        <v>85476</v>
      </c>
      <c r="DD574" s="253" t="s">
        <v>380</v>
      </c>
    </row>
    <row r="575" spans="1:108" hidden="1">
      <c r="A575" s="13">
        <v>15761</v>
      </c>
      <c r="B575" s="13" t="s">
        <v>1599</v>
      </c>
      <c r="C575" s="13" t="s">
        <v>498</v>
      </c>
      <c r="D575" s="13" t="s">
        <v>499</v>
      </c>
      <c r="E575" s="13" t="s">
        <v>1600</v>
      </c>
      <c r="F575" s="14">
        <v>65.3975333333333</v>
      </c>
      <c r="G575" s="13">
        <v>62.85</v>
      </c>
      <c r="H575" s="13">
        <v>70.56</v>
      </c>
      <c r="I575" s="13">
        <v>64.42</v>
      </c>
      <c r="J575" s="14">
        <v>46.090792523351126</v>
      </c>
      <c r="K575" s="14">
        <v>39.493648219984095</v>
      </c>
      <c r="L575" s="14">
        <v>39.27256373350756</v>
      </c>
      <c r="M575" s="14">
        <v>53.459099999999999</v>
      </c>
      <c r="N575" s="14">
        <f t="shared" si="216"/>
        <v>65.806883333333332</v>
      </c>
      <c r="O575" s="14">
        <f t="shared" si="217"/>
        <v>44.579026119210695</v>
      </c>
      <c r="P575" s="14">
        <f t="shared" si="233"/>
        <v>55.192954726272013</v>
      </c>
      <c r="Q575" s="14">
        <v>55.323394927133663</v>
      </c>
      <c r="R575" s="17">
        <f t="shared" si="218"/>
        <v>44.676605072866337</v>
      </c>
      <c r="S575" s="203">
        <f t="shared" si="234"/>
        <v>0.50208944565579705</v>
      </c>
      <c r="T575" s="13">
        <v>0</v>
      </c>
      <c r="U575" s="13">
        <f t="shared" si="235"/>
        <v>27.711800042619419</v>
      </c>
      <c r="V575" s="13">
        <f>IF($T575=1,$AU575,(VLOOKUP(U575,'Cortes naturales'!$A$35:$C$39,3,9)))</f>
        <v>4</v>
      </c>
      <c r="W575" s="13">
        <v>4</v>
      </c>
      <c r="X575" s="14" t="b">
        <f t="shared" si="219"/>
        <v>1</v>
      </c>
      <c r="Y575" s="17">
        <f>IF($T575=1,$AU575,VLOOKUP(U575,'Cortes naturales'!$A$45:$C$49,3,9))</f>
        <v>4</v>
      </c>
      <c r="Z575" s="14">
        <v>54.733198363638337</v>
      </c>
      <c r="AA575" s="203">
        <v>0.51323100440037683</v>
      </c>
      <c r="AB575" s="14">
        <v>28.090774370215165</v>
      </c>
      <c r="AC575" s="13">
        <v>3</v>
      </c>
      <c r="AD575" s="13">
        <f t="shared" si="220"/>
        <v>-1</v>
      </c>
      <c r="AE575" s="14">
        <f t="shared" si="221"/>
        <v>0.45975636263367647</v>
      </c>
      <c r="AF575" s="14">
        <f t="shared" si="222"/>
        <v>-1.1141558744579783E-2</v>
      </c>
      <c r="AG575" s="13">
        <f t="shared" si="223"/>
        <v>-0.37897432759574556</v>
      </c>
      <c r="AH575" s="13">
        <f>IF($T575=1,$AU575,VLOOKUP(U575,'Cortes naturales'!$A$25:$C$29,3,9))</f>
        <v>4</v>
      </c>
      <c r="AI575" s="13" t="b">
        <f t="shared" si="224"/>
        <v>1</v>
      </c>
      <c r="AJ575" s="13" t="str">
        <f t="shared" si="225"/>
        <v>Efecto ponderador</v>
      </c>
      <c r="AK575" s="28">
        <v>0.81759069605862034</v>
      </c>
      <c r="AL575" s="28">
        <v>44.749353747641607</v>
      </c>
      <c r="AM575" s="28">
        <v>0.38914123327600275</v>
      </c>
      <c r="AN575" s="13">
        <v>3</v>
      </c>
      <c r="AO575" s="33">
        <f t="shared" si="226"/>
        <v>-1</v>
      </c>
      <c r="AP575" s="13">
        <f t="shared" si="236"/>
        <v>38.914123327600272</v>
      </c>
      <c r="AQ575" s="13">
        <f>IFERROR(VLOOKUP(U575,'Cortes naturales'!$E$15:$G$19,3,9),U575)</f>
        <v>4</v>
      </c>
      <c r="AR575" s="28">
        <f t="shared" si="227"/>
        <v>-0.31550125040282329</v>
      </c>
      <c r="AS575" s="13" t="b">
        <f t="shared" si="228"/>
        <v>1</v>
      </c>
      <c r="AT575" s="13" t="str">
        <f t="shared" si="237"/>
        <v>Efecto ponderador</v>
      </c>
      <c r="AU575" s="13">
        <v>3</v>
      </c>
      <c r="AV575">
        <f t="shared" si="229"/>
        <v>-1</v>
      </c>
      <c r="AW575" s="13">
        <v>0</v>
      </c>
      <c r="AX575" s="13">
        <v>0</v>
      </c>
      <c r="AY575" s="13">
        <v>0</v>
      </c>
      <c r="AZ575" s="13">
        <v>0</v>
      </c>
      <c r="BA575">
        <v>0</v>
      </c>
      <c r="BB575" t="s">
        <v>2840</v>
      </c>
      <c r="BC575">
        <v>6</v>
      </c>
      <c r="BD575" t="s">
        <v>2919</v>
      </c>
      <c r="BE575">
        <v>0</v>
      </c>
      <c r="BF575" s="232" t="s">
        <v>2846</v>
      </c>
      <c r="BG575" s="232" t="s">
        <v>2846</v>
      </c>
      <c r="BH575" s="253">
        <v>41</v>
      </c>
      <c r="BI575" s="253">
        <v>8.9255499153976317</v>
      </c>
      <c r="BJ575" s="25">
        <v>59.517381260794473</v>
      </c>
      <c r="BK575" t="s">
        <v>376</v>
      </c>
      <c r="BL575">
        <v>0</v>
      </c>
      <c r="BM575" t="s">
        <v>377</v>
      </c>
      <c r="BN575" s="322">
        <v>9693.0724050000008</v>
      </c>
      <c r="BO575" s="322">
        <v>889.67767300000003</v>
      </c>
      <c r="BP575" s="10">
        <v>2963</v>
      </c>
      <c r="BQ575" s="254">
        <f t="shared" si="230"/>
        <v>3.2713710445494435</v>
      </c>
      <c r="BR575" s="254">
        <f t="shared" si="231"/>
        <v>0.30026246135673307</v>
      </c>
      <c r="BS575" s="25">
        <v>54.400802005012537</v>
      </c>
      <c r="BT575" s="25">
        <v>86.387670154123086</v>
      </c>
      <c r="BU575" s="25">
        <v>47.006035875504857</v>
      </c>
      <c r="BV575" s="25">
        <v>98.556051153306313</v>
      </c>
      <c r="BW575" s="25">
        <v>52.107531474137893</v>
      </c>
      <c r="BX575" s="25">
        <v>71.587639796986693</v>
      </c>
      <c r="BY575" s="25">
        <v>51.082679104319453</v>
      </c>
      <c r="BZ575">
        <v>98</v>
      </c>
      <c r="CA575">
        <v>0</v>
      </c>
      <c r="CB575">
        <v>7</v>
      </c>
      <c r="CC575">
        <v>5869.6777080000002</v>
      </c>
      <c r="CD575" s="10">
        <v>1169.312353</v>
      </c>
      <c r="CE575" s="255">
        <v>0.19921236074108484</v>
      </c>
      <c r="CF575" t="str">
        <f>IFERROR(VLOOKUP(CE575,'Rangos amb etnico'!$A$2:$C$6,3,9),"N.D.")</f>
        <v>0,1% - 30%</v>
      </c>
      <c r="CG575" s="256">
        <v>3.4019704264886827E-5</v>
      </c>
      <c r="CH575" s="232">
        <v>0</v>
      </c>
      <c r="CI575" s="311">
        <f t="shared" si="238"/>
        <v>0</v>
      </c>
      <c r="CJ575" s="232">
        <f>IFERROR(VLOOKUP(CI575,'Rangos amb etnico'!$A$2:$C$6,3,9),"N.D.")</f>
        <v>0</v>
      </c>
      <c r="CK575" s="311">
        <f t="shared" si="239"/>
        <v>0</v>
      </c>
      <c r="CL575" s="10">
        <v>0</v>
      </c>
      <c r="CM575" s="255">
        <f t="shared" si="240"/>
        <v>0</v>
      </c>
      <c r="CN575" s="232">
        <f>IFERROR(VLOOKUP(CM575,'Rangos amb etnico'!$A$2:$C$6,3,9),"N.D.")</f>
        <v>0</v>
      </c>
      <c r="CO575" s="311">
        <f t="shared" si="241"/>
        <v>0</v>
      </c>
      <c r="CP575">
        <v>0.96513369594830256</v>
      </c>
      <c r="CQ575" t="s">
        <v>2864</v>
      </c>
      <c r="CR575">
        <f t="shared" si="232"/>
        <v>2</v>
      </c>
      <c r="CS575" t="str">
        <f t="shared" si="242"/>
        <v>No es Candidato</v>
      </c>
      <c r="CT575">
        <v>0</v>
      </c>
      <c r="CU575">
        <v>0</v>
      </c>
      <c r="CV575" s="25">
        <v>49.191242218017578</v>
      </c>
      <c r="CW575" s="25">
        <v>15.409589767456049</v>
      </c>
      <c r="CX575" s="25">
        <v>47.735729217529297</v>
      </c>
      <c r="CY575" s="25">
        <v>62.468757629394531</v>
      </c>
      <c r="CZ575" s="25">
        <v>33.165382385253913</v>
      </c>
      <c r="DA575" s="25">
        <v>83.535728454589844</v>
      </c>
      <c r="DB575" s="25">
        <v>52.832260131835938</v>
      </c>
      <c r="DC575">
        <v>19</v>
      </c>
      <c r="DD575" s="253" t="s">
        <v>380</v>
      </c>
    </row>
    <row r="576" spans="1:108" hidden="1">
      <c r="A576" s="13">
        <v>44650</v>
      </c>
      <c r="B576" s="13" t="s">
        <v>1601</v>
      </c>
      <c r="C576" s="13" t="s">
        <v>933</v>
      </c>
      <c r="D576" s="13" t="s">
        <v>934</v>
      </c>
      <c r="E576" s="13" t="s">
        <v>1602</v>
      </c>
      <c r="F576" s="14">
        <v>93.986833333333294</v>
      </c>
      <c r="G576" s="13">
        <v>89.52</v>
      </c>
      <c r="H576" s="13">
        <v>88.02</v>
      </c>
      <c r="I576" s="13">
        <v>94.42</v>
      </c>
      <c r="J576" s="14">
        <v>65.814363327406298</v>
      </c>
      <c r="K576" s="14">
        <v>70.450867192745136</v>
      </c>
      <c r="L576" s="14">
        <v>61.76589037099842</v>
      </c>
      <c r="M576" s="14">
        <v>62.8596</v>
      </c>
      <c r="N576" s="14">
        <f t="shared" si="216"/>
        <v>91.486708333333326</v>
      </c>
      <c r="O576" s="14">
        <f t="shared" si="217"/>
        <v>65.22268022278746</v>
      </c>
      <c r="P576" s="14">
        <f t="shared" si="233"/>
        <v>78.354694278060393</v>
      </c>
      <c r="Q576" s="14">
        <v>55.176791506791567</v>
      </c>
      <c r="R576" s="17">
        <f t="shared" si="218"/>
        <v>44.823208493208433</v>
      </c>
      <c r="S576" s="14">
        <f t="shared" si="234"/>
        <v>0.50340887643887589</v>
      </c>
      <c r="T576" s="13">
        <v>0</v>
      </c>
      <c r="U576" s="13">
        <f t="shared" si="235"/>
        <v>39.444448610229998</v>
      </c>
      <c r="V576" s="13">
        <f>IF($T576=1,$AU576,(VLOOKUP(U576,'Cortes naturales'!$A$35:$C$39,3,9)))</f>
        <v>2</v>
      </c>
      <c r="W576" s="13">
        <v>2</v>
      </c>
      <c r="X576" s="14" t="b">
        <f t="shared" si="219"/>
        <v>1</v>
      </c>
      <c r="Y576" s="17">
        <f>IF($T576=1,$AU576,VLOOKUP(U576,'Cortes naturales'!$A$45:$C$49,3,9))</f>
        <v>2</v>
      </c>
      <c r="Z576" s="14">
        <v>77.972463850004814</v>
      </c>
      <c r="AA576" s="14">
        <v>0.51188799411205188</v>
      </c>
      <c r="AB576" s="14">
        <v>39.913168116153443</v>
      </c>
      <c r="AC576" s="13">
        <v>2</v>
      </c>
      <c r="AD576" s="13">
        <f t="shared" si="220"/>
        <v>0</v>
      </c>
      <c r="AE576" s="14">
        <f t="shared" si="221"/>
        <v>0.38223042805557839</v>
      </c>
      <c r="AF576" s="14">
        <f t="shared" si="222"/>
        <v>-8.4791176731759954E-3</v>
      </c>
      <c r="AG576" s="13">
        <f t="shared" si="223"/>
        <v>-0.46871950592344547</v>
      </c>
      <c r="AH576" s="13">
        <f>IF($T576=1,$AU576,VLOOKUP(U576,'Cortes naturales'!$A$25:$C$29,3,9))</f>
        <v>2</v>
      </c>
      <c r="AI576" s="13" t="b">
        <f t="shared" si="224"/>
        <v>1</v>
      </c>
      <c r="AJ576" s="13">
        <f t="shared" si="225"/>
        <v>0</v>
      </c>
      <c r="AK576" s="28">
        <v>0.81759069605862034</v>
      </c>
      <c r="AL576" s="28">
        <v>63.749560992531045</v>
      </c>
      <c r="AM576" s="28">
        <v>0.62681379780330282</v>
      </c>
      <c r="AN576" s="13">
        <v>2</v>
      </c>
      <c r="AO576" s="33">
        <f t="shared" si="226"/>
        <v>0</v>
      </c>
      <c r="AP576" s="13">
        <f t="shared" si="236"/>
        <v>62.681379780330282</v>
      </c>
      <c r="AQ576" s="13">
        <f>IFERROR(VLOOKUP(U576,'Cortes naturales'!$E$15:$G$19,3,9),U576)</f>
        <v>3</v>
      </c>
      <c r="AR576" s="28">
        <f t="shared" si="227"/>
        <v>-0.31418181961974445</v>
      </c>
      <c r="AS576" s="13" t="b">
        <f t="shared" si="228"/>
        <v>0</v>
      </c>
      <c r="AT576" s="13">
        <f t="shared" si="237"/>
        <v>0</v>
      </c>
      <c r="AU576" s="13">
        <v>2</v>
      </c>
      <c r="AV576">
        <f t="shared" si="229"/>
        <v>0</v>
      </c>
      <c r="AW576" s="13">
        <v>0</v>
      </c>
      <c r="AX576" s="13">
        <v>0</v>
      </c>
      <c r="AY576" s="13">
        <v>0</v>
      </c>
      <c r="AZ576" s="13">
        <v>1</v>
      </c>
      <c r="BA576">
        <v>1</v>
      </c>
      <c r="BB576" t="s">
        <v>2839</v>
      </c>
      <c r="BC576">
        <v>6</v>
      </c>
      <c r="BD576" t="s">
        <v>2919</v>
      </c>
      <c r="BE576">
        <v>0</v>
      </c>
      <c r="BF576" s="232" t="s">
        <v>2846</v>
      </c>
      <c r="BG576" s="232" t="s">
        <v>2846</v>
      </c>
      <c r="BH576" s="253">
        <v>36.6</v>
      </c>
      <c r="BI576" s="253">
        <v>24.23778821986668</v>
      </c>
      <c r="BJ576" s="25">
        <v>3.4013636363636364</v>
      </c>
      <c r="BK576" t="s">
        <v>381</v>
      </c>
      <c r="BL576">
        <v>1.3453655346673197</v>
      </c>
      <c r="BM576" t="s">
        <v>383</v>
      </c>
      <c r="BN576" s="322">
        <v>120724.1869</v>
      </c>
      <c r="BO576" s="322">
        <v>11079.482121999999</v>
      </c>
      <c r="BP576" s="10">
        <v>57850</v>
      </c>
      <c r="BQ576" s="254">
        <f t="shared" si="230"/>
        <v>2.0868485203111495</v>
      </c>
      <c r="BR576" s="254">
        <f t="shared" si="231"/>
        <v>0.19152086641313742</v>
      </c>
      <c r="BS576" s="25">
        <v>69.980690926715951</v>
      </c>
      <c r="BT576" s="25">
        <v>94.117542944134627</v>
      </c>
      <c r="BU576" s="25">
        <v>43.317688751926028</v>
      </c>
      <c r="BV576" s="25">
        <v>92.793603490160464</v>
      </c>
      <c r="BW576" s="25">
        <v>53.64575109264748</v>
      </c>
      <c r="BX576" s="25">
        <v>75.052381528234264</v>
      </c>
      <c r="BY576" s="25">
        <v>55.984314534236837</v>
      </c>
      <c r="BZ576">
        <v>76</v>
      </c>
      <c r="CA576">
        <v>0</v>
      </c>
      <c r="CB576">
        <v>6</v>
      </c>
      <c r="CC576">
        <v>130798.197573</v>
      </c>
      <c r="CD576" s="10">
        <v>64241.253764000001</v>
      </c>
      <c r="CE576" s="255">
        <v>0.49114785185129334</v>
      </c>
      <c r="CF576" t="str">
        <f>IFERROR(VLOOKUP(CE576,'Rangos amb etnico'!$A$2:$C$6,3,9),"N.D.")</f>
        <v>31% - 50%</v>
      </c>
      <c r="CG576" s="256">
        <v>1.869020240015225E-3</v>
      </c>
      <c r="CH576" s="232">
        <v>31666.708345999999</v>
      </c>
      <c r="CI576" s="311">
        <f t="shared" si="238"/>
        <v>0.24210355290505009</v>
      </c>
      <c r="CJ576" s="232" t="str">
        <f>IFERROR(VLOOKUP(CI576,'Rangos amb etnico'!$A$2:$C$6,3,9),"N.D.")</f>
        <v>0,1% - 30%</v>
      </c>
      <c r="CK576" s="311">
        <f t="shared" si="239"/>
        <v>1.257375649624373E-3</v>
      </c>
      <c r="CL576" s="10">
        <v>0</v>
      </c>
      <c r="CM576" s="255">
        <f t="shared" si="240"/>
        <v>0</v>
      </c>
      <c r="CN576" s="232">
        <f>IFERROR(VLOOKUP(CM576,'Rangos amb etnico'!$A$2:$C$6,3,9),"N.D.")</f>
        <v>0</v>
      </c>
      <c r="CO576" s="311">
        <f t="shared" si="241"/>
        <v>0</v>
      </c>
      <c r="CP576">
        <v>0.9298720789710313</v>
      </c>
      <c r="CQ576" t="s">
        <v>2864</v>
      </c>
      <c r="CR576">
        <f t="shared" si="232"/>
        <v>3</v>
      </c>
      <c r="CS576" t="str">
        <f t="shared" si="242"/>
        <v>Candidato</v>
      </c>
      <c r="CT576">
        <v>1</v>
      </c>
      <c r="CU576" t="s">
        <v>2836</v>
      </c>
      <c r="CV576" s="25">
        <v>47.454227447509773</v>
      </c>
      <c r="CW576" s="25">
        <v>32.883529663085938</v>
      </c>
      <c r="CX576" s="25">
        <v>58.164772033691413</v>
      </c>
      <c r="CY576" s="25">
        <v>60.286064147949219</v>
      </c>
      <c r="CZ576" s="25">
        <v>21.452920913696289</v>
      </c>
      <c r="DA576" s="25">
        <v>67.925773620605469</v>
      </c>
      <c r="DB576" s="25">
        <v>44.012306213378913</v>
      </c>
      <c r="DC576">
        <v>21516</v>
      </c>
      <c r="DD576" s="253" t="s">
        <v>380</v>
      </c>
    </row>
    <row r="577" spans="1:108" hidden="1">
      <c r="A577" s="13">
        <v>68524</v>
      </c>
      <c r="B577" s="13" t="s">
        <v>1603</v>
      </c>
      <c r="C577" s="13" t="s">
        <v>431</v>
      </c>
      <c r="D577" s="13" t="s">
        <v>432</v>
      </c>
      <c r="E577" s="13" t="s">
        <v>1604</v>
      </c>
      <c r="F577" s="14">
        <v>71.787466666666703</v>
      </c>
      <c r="G577" s="13">
        <v>73.849999999999994</v>
      </c>
      <c r="H577" s="13">
        <v>60.79</v>
      </c>
      <c r="I577" s="13">
        <v>60.94</v>
      </c>
      <c r="J577" s="14">
        <v>58.987563332269701</v>
      </c>
      <c r="K577" s="14">
        <v>61.393605984942134</v>
      </c>
      <c r="L577" s="14">
        <v>51.811089091014878</v>
      </c>
      <c r="M577" s="14">
        <v>54.268900000000002</v>
      </c>
      <c r="N577" s="14">
        <f t="shared" si="216"/>
        <v>66.841866666666675</v>
      </c>
      <c r="O577" s="14">
        <f t="shared" si="217"/>
        <v>56.615289602056677</v>
      </c>
      <c r="P577" s="14">
        <f t="shared" si="233"/>
        <v>61.728578134361676</v>
      </c>
      <c r="Q577" s="14">
        <v>54.495488238961208</v>
      </c>
      <c r="R577" s="17">
        <f t="shared" si="218"/>
        <v>45.504511761038792</v>
      </c>
      <c r="S577" s="14">
        <f t="shared" si="234"/>
        <v>0.50954060584934913</v>
      </c>
      <c r="T577" s="13">
        <v>0</v>
      </c>
      <c r="U577" s="13">
        <f t="shared" si="235"/>
        <v>31.453217100801535</v>
      </c>
      <c r="V577" s="13">
        <f>IF($T577=1,$AU577,(VLOOKUP(U577,'Cortes naturales'!$A$35:$C$39,3,9)))</f>
        <v>3</v>
      </c>
      <c r="W577" s="13">
        <v>3</v>
      </c>
      <c r="X577" s="14" t="b">
        <f t="shared" si="219"/>
        <v>1</v>
      </c>
      <c r="Y577" s="17">
        <f>IF($T577=1,$AU577,VLOOKUP(U577,'Cortes naturales'!$A$45:$C$49,3,9))</f>
        <v>3</v>
      </c>
      <c r="Z577" s="14">
        <v>62.061204577593088</v>
      </c>
      <c r="AA577" s="14">
        <v>0.51455114307402838</v>
      </c>
      <c r="AB577" s="14">
        <v>31.933663755951645</v>
      </c>
      <c r="AC577" s="13">
        <v>3</v>
      </c>
      <c r="AD577" s="13">
        <f t="shared" si="220"/>
        <v>0</v>
      </c>
      <c r="AE577" s="14">
        <f t="shared" si="221"/>
        <v>-0.33262644323141188</v>
      </c>
      <c r="AF577" s="14">
        <f t="shared" si="222"/>
        <v>-5.0105372246792568E-3</v>
      </c>
      <c r="AG577" s="13">
        <f t="shared" si="223"/>
        <v>-0.48044665515011076</v>
      </c>
      <c r="AH577" s="13">
        <f>IF($T577=1,$AU577,VLOOKUP(U577,'Cortes naturales'!$A$25:$C$29,3,9))</f>
        <v>3</v>
      </c>
      <c r="AI577" s="13" t="b">
        <f t="shared" si="224"/>
        <v>1</v>
      </c>
      <c r="AJ577" s="13">
        <f t="shared" si="225"/>
        <v>0</v>
      </c>
      <c r="AK577" s="28">
        <v>0.81759069605862034</v>
      </c>
      <c r="AL577" s="28">
        <v>50.740663448830766</v>
      </c>
      <c r="AM577" s="28">
        <v>0.46408620220216701</v>
      </c>
      <c r="AN577" s="13">
        <v>3</v>
      </c>
      <c r="AO577" s="33">
        <f t="shared" si="226"/>
        <v>0</v>
      </c>
      <c r="AP577" s="13">
        <f t="shared" si="236"/>
        <v>46.408620220216704</v>
      </c>
      <c r="AQ577" s="13">
        <f>IFERROR(VLOOKUP(U577,'Cortes naturales'!$E$15:$G$19,3,9),U577)</f>
        <v>4</v>
      </c>
      <c r="AR577" s="28">
        <f t="shared" si="227"/>
        <v>-0.30805009020927121</v>
      </c>
      <c r="AS577" s="13" t="b">
        <f t="shared" si="228"/>
        <v>0</v>
      </c>
      <c r="AT577" s="13">
        <f t="shared" si="237"/>
        <v>0</v>
      </c>
      <c r="AU577" s="13">
        <v>3</v>
      </c>
      <c r="AV577">
        <f t="shared" si="229"/>
        <v>0</v>
      </c>
      <c r="AW577" s="13">
        <v>0</v>
      </c>
      <c r="AX577" s="13">
        <v>0</v>
      </c>
      <c r="AY577" s="13">
        <v>0</v>
      </c>
      <c r="AZ577" s="13">
        <v>0</v>
      </c>
      <c r="BA577">
        <v>0</v>
      </c>
      <c r="BB577" t="s">
        <v>2840</v>
      </c>
      <c r="BC577">
        <v>6</v>
      </c>
      <c r="BD577" t="s">
        <v>2919</v>
      </c>
      <c r="BE577">
        <v>0</v>
      </c>
      <c r="BF577" s="232" t="s">
        <v>2846</v>
      </c>
      <c r="BG577" s="232" t="s">
        <v>2846</v>
      </c>
      <c r="BH577" s="253">
        <v>27.3</v>
      </c>
      <c r="BI577" s="253">
        <v>12.088815789473685</v>
      </c>
      <c r="BJ577" s="25">
        <v>21.052304804804805</v>
      </c>
      <c r="BK577" t="s">
        <v>379</v>
      </c>
      <c r="BL577">
        <v>0</v>
      </c>
      <c r="BM577" t="s">
        <v>377</v>
      </c>
      <c r="BN577" s="322">
        <v>8700.4581789999993</v>
      </c>
      <c r="BO577" s="322">
        <v>805.79974800000002</v>
      </c>
      <c r="BP577" s="10">
        <v>2789</v>
      </c>
      <c r="BQ577" s="254">
        <f t="shared" si="230"/>
        <v>3.1195619143062028</v>
      </c>
      <c r="BR577" s="254">
        <f t="shared" si="231"/>
        <v>0.28892066977411257</v>
      </c>
      <c r="BS577" s="25">
        <v>59.6875</v>
      </c>
      <c r="BT577" s="25">
        <v>84.07746956137207</v>
      </c>
      <c r="BU577" s="25">
        <v>54.818333333333328</v>
      </c>
      <c r="BV577" s="25">
        <v>88.600021720930314</v>
      </c>
      <c r="BW577" s="25">
        <v>66.622174268444851</v>
      </c>
      <c r="BX577" s="25">
        <v>71.795831153908935</v>
      </c>
      <c r="BY577" s="25">
        <v>68.4155079952656</v>
      </c>
      <c r="BZ577">
        <v>45</v>
      </c>
      <c r="CA577">
        <v>0</v>
      </c>
      <c r="CB577">
        <v>7</v>
      </c>
      <c r="CC577">
        <v>5843.7725680000003</v>
      </c>
      <c r="CD577" s="10">
        <v>709.35199599999999</v>
      </c>
      <c r="CE577" s="255">
        <v>0.1213859690372536</v>
      </c>
      <c r="CF577" t="str">
        <f>IFERROR(VLOOKUP(CE577,'Rangos amb etnico'!$A$2:$C$6,3,9),"N.D.")</f>
        <v>0,1% - 30%</v>
      </c>
      <c r="CG577" s="256">
        <v>2.0637723583193159E-5</v>
      </c>
      <c r="CH577" s="232">
        <v>0</v>
      </c>
      <c r="CI577" s="311">
        <f t="shared" si="238"/>
        <v>0</v>
      </c>
      <c r="CJ577" s="232">
        <f>IFERROR(VLOOKUP(CI577,'Rangos amb etnico'!$A$2:$C$6,3,9),"N.D.")</f>
        <v>0</v>
      </c>
      <c r="CK577" s="311">
        <f t="shared" si="239"/>
        <v>0</v>
      </c>
      <c r="CL577" s="10">
        <v>0</v>
      </c>
      <c r="CM577" s="255">
        <f t="shared" si="240"/>
        <v>0</v>
      </c>
      <c r="CN577" s="232">
        <f>IFERROR(VLOOKUP(CM577,'Rangos amb etnico'!$A$2:$C$6,3,9),"N.D.")</f>
        <v>0</v>
      </c>
      <c r="CO577" s="311">
        <f t="shared" si="241"/>
        <v>0</v>
      </c>
      <c r="CP577">
        <v>0.96943521663391985</v>
      </c>
      <c r="CQ577" t="s">
        <v>2864</v>
      </c>
      <c r="CR577">
        <f t="shared" si="232"/>
        <v>3</v>
      </c>
      <c r="CS577" t="str">
        <f t="shared" si="242"/>
        <v>Candidato</v>
      </c>
      <c r="CT577">
        <v>0</v>
      </c>
      <c r="CU577">
        <v>0</v>
      </c>
      <c r="CV577" s="25">
        <v>54.777679443359382</v>
      </c>
      <c r="CW577" s="25">
        <v>22.102291107177731</v>
      </c>
      <c r="CX577" s="25">
        <v>62.961334228515618</v>
      </c>
      <c r="CY577" s="25">
        <v>65.447944641113281</v>
      </c>
      <c r="CZ577" s="25">
        <v>42.930465698242188</v>
      </c>
      <c r="DA577" s="25">
        <v>73.417015075683594</v>
      </c>
      <c r="DB577" s="25">
        <v>61.807022094726563</v>
      </c>
      <c r="DC577">
        <v>13</v>
      </c>
      <c r="DD577" s="253" t="s">
        <v>380</v>
      </c>
    </row>
    <row r="578" spans="1:108" hidden="1">
      <c r="A578" s="13">
        <v>41483</v>
      </c>
      <c r="B578" s="13" t="s">
        <v>1605</v>
      </c>
      <c r="C578" s="13" t="s">
        <v>676</v>
      </c>
      <c r="D578" s="13" t="s">
        <v>677</v>
      </c>
      <c r="E578" s="13" t="s">
        <v>1606</v>
      </c>
      <c r="F578" s="14">
        <v>66.862566666666694</v>
      </c>
      <c r="G578" s="13">
        <v>55.76</v>
      </c>
      <c r="H578" s="13">
        <v>37.5</v>
      </c>
      <c r="I578" s="13">
        <v>76.61</v>
      </c>
      <c r="J578" s="14">
        <v>48.233921946830883</v>
      </c>
      <c r="K578" s="14">
        <v>49.331467587276848</v>
      </c>
      <c r="L578" s="14">
        <v>55.3055087332759</v>
      </c>
      <c r="M578" s="14">
        <v>54.673999999999999</v>
      </c>
      <c r="N578" s="14">
        <f t="shared" si="216"/>
        <v>59.183141666666671</v>
      </c>
      <c r="O578" s="14">
        <f t="shared" si="217"/>
        <v>51.886224566845911</v>
      </c>
      <c r="P578" s="14">
        <f t="shared" si="233"/>
        <v>55.534683116756291</v>
      </c>
      <c r="Q578" s="14">
        <v>55.075662880767794</v>
      </c>
      <c r="R578" s="17">
        <f t="shared" si="218"/>
        <v>44.924337119232206</v>
      </c>
      <c r="S578" s="14">
        <f t="shared" si="234"/>
        <v>0.50431903407308987</v>
      </c>
      <c r="T578" s="13">
        <v>0</v>
      </c>
      <c r="U578" s="13">
        <f t="shared" si="235"/>
        <v>28.007197746997665</v>
      </c>
      <c r="V578" s="13">
        <f>IF($T578=1,$AU578,(VLOOKUP(U578,'Cortes naturales'!$A$35:$C$39,3,9)))</f>
        <v>4</v>
      </c>
      <c r="W578" s="13">
        <v>4</v>
      </c>
      <c r="X578" s="14" t="b">
        <f t="shared" si="219"/>
        <v>1</v>
      </c>
      <c r="Y578" s="17">
        <f>IF($T578=1,$AU578,VLOOKUP(U578,'Cortes naturales'!$A$45:$C$49,3,9))</f>
        <v>4</v>
      </c>
      <c r="Z578" s="14">
        <v>54.109429109936542</v>
      </c>
      <c r="AA578" s="14">
        <v>0.51130035168194432</v>
      </c>
      <c r="AB578" s="14">
        <v>27.66617013321979</v>
      </c>
      <c r="AC578" s="13">
        <v>4</v>
      </c>
      <c r="AD578" s="13">
        <f t="shared" si="220"/>
        <v>0</v>
      </c>
      <c r="AE578" s="14">
        <f t="shared" si="221"/>
        <v>1.425254006819749</v>
      </c>
      <c r="AF578" s="14">
        <f t="shared" si="222"/>
        <v>-6.9813176088544537E-3</v>
      </c>
      <c r="AG578" s="13">
        <f t="shared" si="223"/>
        <v>0.34102761377787516</v>
      </c>
      <c r="AH578" s="13">
        <f>IF($T578=1,$AU578,VLOOKUP(U578,'Cortes naturales'!$A$25:$C$29,3,9))</f>
        <v>3</v>
      </c>
      <c r="AI578" s="13" t="b">
        <f t="shared" si="224"/>
        <v>0</v>
      </c>
      <c r="AJ578" s="13">
        <f t="shared" si="225"/>
        <v>0</v>
      </c>
      <c r="AK578" s="28">
        <v>0.81759069605862034</v>
      </c>
      <c r="AL578" s="28">
        <v>44.239365809327587</v>
      </c>
      <c r="AM578" s="28">
        <v>0.38276182174565293</v>
      </c>
      <c r="AN578" s="13">
        <v>3</v>
      </c>
      <c r="AO578" s="33">
        <f t="shared" si="226"/>
        <v>-1</v>
      </c>
      <c r="AP578" s="13">
        <f t="shared" si="236"/>
        <v>38.276182174565292</v>
      </c>
      <c r="AQ578" s="13">
        <f>IFERROR(VLOOKUP(U578,'Cortes naturales'!$E$15:$G$19,3,9),U578)</f>
        <v>4</v>
      </c>
      <c r="AR578" s="28">
        <f t="shared" si="227"/>
        <v>-0.31327166198553047</v>
      </c>
      <c r="AS578" s="13" t="b">
        <f t="shared" si="228"/>
        <v>1</v>
      </c>
      <c r="AT578" s="13" t="str">
        <f t="shared" si="237"/>
        <v>Efecto ponderador</v>
      </c>
      <c r="AU578" s="13">
        <v>3</v>
      </c>
      <c r="AV578">
        <f t="shared" si="229"/>
        <v>-1</v>
      </c>
      <c r="AW578" s="13">
        <v>0</v>
      </c>
      <c r="AX578" s="13">
        <v>0</v>
      </c>
      <c r="AY578" s="13">
        <v>0</v>
      </c>
      <c r="AZ578" s="13">
        <v>0</v>
      </c>
      <c r="BA578">
        <v>0</v>
      </c>
      <c r="BB578" t="s">
        <v>2839</v>
      </c>
      <c r="BC578">
        <v>6</v>
      </c>
      <c r="BD578" t="s">
        <v>2919</v>
      </c>
      <c r="BE578">
        <v>0</v>
      </c>
      <c r="BF578" s="232" t="s">
        <v>2846</v>
      </c>
      <c r="BG578" s="232" t="s">
        <v>2845</v>
      </c>
      <c r="BH578" s="253">
        <v>46.9</v>
      </c>
      <c r="BI578" s="253">
        <v>18.921552704239076</v>
      </c>
      <c r="BJ578" s="25">
        <v>8.1289999999999996</v>
      </c>
      <c r="BK578" t="s">
        <v>377</v>
      </c>
      <c r="BL578">
        <v>5.2916877381849119</v>
      </c>
      <c r="BM578" t="s">
        <v>383</v>
      </c>
      <c r="BN578" s="322">
        <v>17339.637794999999</v>
      </c>
      <c r="BO578" s="322">
        <v>983.79226200000005</v>
      </c>
      <c r="BP578" s="10">
        <v>7007</v>
      </c>
      <c r="BQ578" s="254">
        <f t="shared" si="230"/>
        <v>2.4746164970743538</v>
      </c>
      <c r="BR578" s="254">
        <f t="shared" si="231"/>
        <v>0.14040135036392179</v>
      </c>
      <c r="BS578" s="25">
        <v>60.190056212444269</v>
      </c>
      <c r="BT578" s="25">
        <v>94.053565482136904</v>
      </c>
      <c r="BU578" s="25">
        <v>54.92931034482757</v>
      </c>
      <c r="BV578" s="25">
        <v>85.731534808942456</v>
      </c>
      <c r="BW578" s="25">
        <v>60.534723677973439</v>
      </c>
      <c r="BX578" s="25">
        <v>73.726116712087801</v>
      </c>
      <c r="BY578" s="25">
        <v>60.886388105290429</v>
      </c>
      <c r="BZ578">
        <v>30</v>
      </c>
      <c r="CA578">
        <v>0</v>
      </c>
      <c r="CB578">
        <v>7</v>
      </c>
      <c r="CC578">
        <v>13192.36074</v>
      </c>
      <c r="CD578" s="10">
        <v>138.37365600000001</v>
      </c>
      <c r="CE578" s="255">
        <v>1.0488923000751722E-2</v>
      </c>
      <c r="CF578" t="str">
        <f>IFERROR(VLOOKUP(CE578,'Rangos amb etnico'!$A$2:$C$6,3,9),"N.D.")</f>
        <v>0,1% - 30%</v>
      </c>
      <c r="CG578" s="256">
        <v>4.025811275399382E-6</v>
      </c>
      <c r="CH578" s="232">
        <v>872.98240599999997</v>
      </c>
      <c r="CI578" s="311">
        <f t="shared" si="238"/>
        <v>6.6173327367638368E-2</v>
      </c>
      <c r="CJ578" s="232" t="str">
        <f>IFERROR(VLOOKUP(CI578,'Rangos amb etnico'!$A$2:$C$6,3,9),"N.D.")</f>
        <v>0,1% - 30%</v>
      </c>
      <c r="CK578" s="311">
        <f t="shared" si="239"/>
        <v>3.4663117109030078E-5</v>
      </c>
      <c r="CL578" s="10">
        <v>0</v>
      </c>
      <c r="CM578" s="255">
        <f t="shared" si="240"/>
        <v>0</v>
      </c>
      <c r="CN578" s="232">
        <f>IFERROR(VLOOKUP(CM578,'Rangos amb etnico'!$A$2:$C$6,3,9),"N.D.")</f>
        <v>0</v>
      </c>
      <c r="CO578" s="311">
        <f t="shared" si="241"/>
        <v>0</v>
      </c>
      <c r="CP578">
        <v>0.97081478035508928</v>
      </c>
      <c r="CQ578" t="s">
        <v>2864</v>
      </c>
      <c r="CR578">
        <f t="shared" si="232"/>
        <v>3</v>
      </c>
      <c r="CS578" t="str">
        <f t="shared" si="242"/>
        <v>Candidato</v>
      </c>
      <c r="CT578">
        <v>0</v>
      </c>
      <c r="CU578">
        <v>0</v>
      </c>
      <c r="CV578" s="25">
        <v>45.519859313964837</v>
      </c>
      <c r="CW578" s="25">
        <v>19.452180862426761</v>
      </c>
      <c r="CX578" s="25">
        <v>57.489326477050781</v>
      </c>
      <c r="CY578" s="25">
        <v>52.921012878417969</v>
      </c>
      <c r="CZ578" s="25">
        <v>34.219413757324219</v>
      </c>
      <c r="DA578" s="25">
        <v>47.934600830078118</v>
      </c>
      <c r="DB578" s="25">
        <v>61.102607727050781</v>
      </c>
      <c r="DC578">
        <v>811</v>
      </c>
      <c r="DD578" s="253" t="s">
        <v>380</v>
      </c>
    </row>
    <row r="579" spans="1:108" hidden="1">
      <c r="A579" s="13">
        <v>15051</v>
      </c>
      <c r="B579" s="13" t="s">
        <v>1607</v>
      </c>
      <c r="C579" s="13" t="s">
        <v>498</v>
      </c>
      <c r="D579" s="13" t="s">
        <v>499</v>
      </c>
      <c r="E579" s="13" t="s">
        <v>1608</v>
      </c>
      <c r="F579" s="14">
        <v>63.246299999999998</v>
      </c>
      <c r="G579" s="13">
        <v>65.48</v>
      </c>
      <c r="H579" s="13">
        <v>65.58</v>
      </c>
      <c r="I579" s="13">
        <v>0</v>
      </c>
      <c r="J579" s="14">
        <v>54.826969603483988</v>
      </c>
      <c r="K579" s="14">
        <v>58.915158047580348</v>
      </c>
      <c r="L579" s="14">
        <v>71.081983327045918</v>
      </c>
      <c r="M579" s="14">
        <v>62.051099999999998</v>
      </c>
      <c r="N579" s="14">
        <f t="shared" ref="N579:N642" si="243">IFERROR(AVERAGE(F579:I579),"N.D.")</f>
        <v>48.576575000000005</v>
      </c>
      <c r="O579" s="14">
        <f t="shared" ref="O579:O642" si="244">IFERROR(AVERAGE(J579:M579),"N.D.")</f>
        <v>61.718802744527558</v>
      </c>
      <c r="P579" s="14">
        <f t="shared" si="233"/>
        <v>55.147688872263785</v>
      </c>
      <c r="Q579" s="14">
        <v>55.213376417312787</v>
      </c>
      <c r="R579" s="17">
        <f t="shared" ref="R579:R642" si="245">IFERROR(MAX($Q$3:$Q$1105)-Q579,"N.D.")</f>
        <v>44.786623582687213</v>
      </c>
      <c r="S579" s="14">
        <f t="shared" si="234"/>
        <v>0.50307961224418496</v>
      </c>
      <c r="T579" s="13">
        <v>0</v>
      </c>
      <c r="U579" s="13">
        <f t="shared" si="235"/>
        <v>27.74367793402142</v>
      </c>
      <c r="V579" s="13">
        <f>IF($T579=1,$AU579,(VLOOKUP(U579,'Cortes naturales'!$A$35:$C$39,3,9)))</f>
        <v>4</v>
      </c>
      <c r="W579" s="13">
        <v>4</v>
      </c>
      <c r="X579" s="14" t="b">
        <f t="shared" ref="X579:X642" si="246">V579=W579</f>
        <v>1</v>
      </c>
      <c r="Y579" s="17">
        <f>IF($T579=1,$AU579,VLOOKUP(U579,'Cortes naturales'!$A$45:$C$49,3,9))</f>
        <v>4</v>
      </c>
      <c r="Z579" s="14">
        <v>60.59575771781676</v>
      </c>
      <c r="AA579" s="14">
        <v>0.51142491135019974</v>
      </c>
      <c r="AB579" s="14">
        <v>30.990180019032618</v>
      </c>
      <c r="AC579" s="13">
        <v>3</v>
      </c>
      <c r="AD579" s="13">
        <f t="shared" ref="AD579:AD642" si="247">IFERROR(AC579-Y579,)</f>
        <v>-1</v>
      </c>
      <c r="AE579" s="14">
        <f t="shared" ref="AE579:AE642" si="248">IFERROR(P579-Z579,"N.D.")</f>
        <v>-5.4480688455529744</v>
      </c>
      <c r="AF579" s="14">
        <f t="shared" ref="AF579:AF642" si="249">IFERROR(S579-AA579,"N.D.")</f>
        <v>-8.3452991060147808E-3</v>
      </c>
      <c r="AG579" s="13">
        <f t="shared" ref="AG579:AG642" si="250">IFERROR(U579-AB579,0)</f>
        <v>-3.2465020850111976</v>
      </c>
      <c r="AH579" s="13">
        <f>IF($T579=1,$AU579,VLOOKUP(U579,'Cortes naturales'!$A$25:$C$29,3,9))</f>
        <v>4</v>
      </c>
      <c r="AI579" s="13" t="b">
        <f t="shared" ref="AI579:AI642" si="251">AH579=Y579</f>
        <v>1</v>
      </c>
      <c r="AJ579" s="13" t="str">
        <f t="shared" ref="AJ579:AJ642" si="252">IF(AD579=0,0,IF(AI579=TRUE,"Efecto ponderador","Cambio en corte"))</f>
        <v>Efecto ponderador</v>
      </c>
      <c r="AK579" s="28">
        <v>0.81759069605862034</v>
      </c>
      <c r="AL579" s="28">
        <v>49.542527730709317</v>
      </c>
      <c r="AM579" s="28">
        <v>0.44909878732255942</v>
      </c>
      <c r="AN579" s="13">
        <v>3</v>
      </c>
      <c r="AO579" s="33">
        <f t="shared" ref="AO579:AO642" si="253">IF(AND(ISNUMBER(AN579),ISNUMBER(Y579)),AN579-Y579,IF(AN579="SC- Centro aglomeración",Y579,IF(OR(AN579="Bogotá",AN579="Ciudades grandes"),0,0)))</f>
        <v>-1</v>
      </c>
      <c r="AP579" s="13">
        <f t="shared" si="236"/>
        <v>44.90987873225594</v>
      </c>
      <c r="AQ579" s="13">
        <f>IFERROR(VLOOKUP(U579,'Cortes naturales'!$E$15:$G$19,3,9),U579)</f>
        <v>4</v>
      </c>
      <c r="AR579" s="28">
        <f t="shared" ref="AR579:AR642" si="254">IFERROR(S579-AK579,"N.D.")</f>
        <v>-0.31451108381443538</v>
      </c>
      <c r="AS579" s="13" t="b">
        <f t="shared" ref="AS579:AS642" si="255">AQ579=Y579</f>
        <v>1</v>
      </c>
      <c r="AT579" s="13" t="str">
        <f t="shared" si="237"/>
        <v>Efecto ponderador</v>
      </c>
      <c r="AU579" s="13">
        <v>3</v>
      </c>
      <c r="AV579">
        <f t="shared" ref="AV579:AV642" si="256">IF(AND(ISNUMBER(AU579),ISNUMBER(Y579)),AU579-Y579,IF(AU579="SC- Centro aglomeración",Y579,IF(OR(AU579="Bogotá",AU579="Ciudades grandes"),0,0)))</f>
        <v>-1</v>
      </c>
      <c r="AW579" s="13">
        <v>0</v>
      </c>
      <c r="AX579" s="13">
        <v>0</v>
      </c>
      <c r="AY579" s="13">
        <v>0</v>
      </c>
      <c r="AZ579" s="13">
        <v>0</v>
      </c>
      <c r="BA579">
        <v>0</v>
      </c>
      <c r="BB579" t="s">
        <v>2840</v>
      </c>
      <c r="BC579">
        <v>6</v>
      </c>
      <c r="BD579" t="s">
        <v>2919</v>
      </c>
      <c r="BE579">
        <v>0</v>
      </c>
      <c r="BF579" s="232" t="s">
        <v>2846</v>
      </c>
      <c r="BG579" s="232" t="s">
        <v>2846</v>
      </c>
      <c r="BH579" s="253">
        <v>24.8</v>
      </c>
      <c r="BI579" s="253">
        <v>8.9407013034697993</v>
      </c>
      <c r="BJ579" s="25">
        <v>36.149827629711403</v>
      </c>
      <c r="BK579" t="s">
        <v>376</v>
      </c>
      <c r="BL579">
        <v>0</v>
      </c>
      <c r="BM579" t="s">
        <v>377</v>
      </c>
      <c r="BN579" s="322">
        <v>19005.620019000002</v>
      </c>
      <c r="BO579" s="322">
        <v>2376.4443430000001</v>
      </c>
      <c r="BP579" s="10">
        <v>6370</v>
      </c>
      <c r="BQ579" s="254">
        <f t="shared" ref="BQ579:BQ642" si="257">BN579/BP579</f>
        <v>2.9836138177394038</v>
      </c>
      <c r="BR579" s="254">
        <f t="shared" ref="BR579:BR642" si="258">BO579/BP579</f>
        <v>0.37306818571428574</v>
      </c>
      <c r="BS579" s="25">
        <v>61.84996491955593</v>
      </c>
      <c r="BT579" s="25">
        <v>87.462537765567774</v>
      </c>
      <c r="BU579" s="25">
        <v>34.18333333333333</v>
      </c>
      <c r="BV579" s="25">
        <v>78.304401329552519</v>
      </c>
      <c r="BW579" s="25">
        <v>60.992021319302197</v>
      </c>
      <c r="BX579" s="25">
        <v>65.450059337002386</v>
      </c>
      <c r="BY579" s="25">
        <v>59.192286324778422</v>
      </c>
      <c r="BZ579">
        <v>68</v>
      </c>
      <c r="CA579">
        <v>0</v>
      </c>
      <c r="CB579">
        <v>7</v>
      </c>
      <c r="CC579">
        <v>13766.889198999999</v>
      </c>
      <c r="CD579" s="10">
        <v>7137.4466499999999</v>
      </c>
      <c r="CE579" s="255">
        <v>0.51845021390296731</v>
      </c>
      <c r="CF579" t="str">
        <f>IFERROR(VLOOKUP(CE579,'Rangos amb etnico'!$A$2:$C$6,3,9),"N.D.")</f>
        <v>51% - 70%</v>
      </c>
      <c r="CG579" s="256">
        <v>2.0765522883294741E-4</v>
      </c>
      <c r="CH579" s="232">
        <v>0</v>
      </c>
      <c r="CI579" s="311">
        <f t="shared" si="238"/>
        <v>0</v>
      </c>
      <c r="CJ579" s="232">
        <f>IFERROR(VLOOKUP(CI579,'Rangos amb etnico'!$A$2:$C$6,3,9),"N.D.")</f>
        <v>0</v>
      </c>
      <c r="CK579" s="311">
        <f t="shared" si="239"/>
        <v>0</v>
      </c>
      <c r="CL579" s="10">
        <v>0</v>
      </c>
      <c r="CM579" s="255">
        <f t="shared" si="240"/>
        <v>0</v>
      </c>
      <c r="CN579" s="232">
        <f>IFERROR(VLOOKUP(CM579,'Rangos amb etnico'!$A$2:$C$6,3,9),"N.D.")</f>
        <v>0</v>
      </c>
      <c r="CO579" s="311">
        <f t="shared" si="241"/>
        <v>0</v>
      </c>
      <c r="CP579">
        <v>0.96945376251187021</v>
      </c>
      <c r="CQ579" t="s">
        <v>2864</v>
      </c>
      <c r="CR579">
        <f t="shared" ref="CR579:CR642" si="259">IF(BY579&gt;=60,1,0)+IF(M579&gt;=60,1,0)+IF(I579&gt;=60,1,0)+IF(OR(CQ579="Crítico Bajo",CQ579="Aceptable"),1,0)</f>
        <v>2</v>
      </c>
      <c r="CS579" t="str">
        <f t="shared" si="242"/>
        <v>No es Candidato</v>
      </c>
      <c r="CT579">
        <v>0</v>
      </c>
      <c r="CU579">
        <v>0</v>
      </c>
      <c r="CV579" s="25">
        <v>53.2838134765625</v>
      </c>
      <c r="CW579" s="25">
        <v>25.36872673034668</v>
      </c>
      <c r="CX579" s="25">
        <v>47.714923858642578</v>
      </c>
      <c r="CY579" s="25">
        <v>67.396652221679688</v>
      </c>
      <c r="CZ579" s="25">
        <v>59.769039154052727</v>
      </c>
      <c r="DA579" s="25">
        <v>51.849777221679688</v>
      </c>
      <c r="DB579" s="25">
        <v>67.603767395019531</v>
      </c>
      <c r="DC579">
        <v>24</v>
      </c>
      <c r="DD579" s="253" t="s">
        <v>380</v>
      </c>
    </row>
    <row r="580" spans="1:108" hidden="1">
      <c r="A580" s="13">
        <v>13650</v>
      </c>
      <c r="B580" s="13" t="s">
        <v>1609</v>
      </c>
      <c r="C580" s="13" t="s">
        <v>480</v>
      </c>
      <c r="D580" s="13" t="s">
        <v>481</v>
      </c>
      <c r="E580" s="13" t="s">
        <v>1610</v>
      </c>
      <c r="F580" s="14">
        <v>65.5409333333333</v>
      </c>
      <c r="G580" s="13">
        <v>64.900000000000006</v>
      </c>
      <c r="H580" s="13">
        <v>66.28</v>
      </c>
      <c r="I580" s="13">
        <v>64.62</v>
      </c>
      <c r="J580" s="14">
        <v>58.564462871314504</v>
      </c>
      <c r="K580" s="14">
        <v>41.359005697534478</v>
      </c>
      <c r="L580" s="14">
        <v>50.290058156688609</v>
      </c>
      <c r="M580" s="14">
        <v>46.107199999999999</v>
      </c>
      <c r="N580" s="14">
        <f t="shared" si="243"/>
        <v>65.335233333333321</v>
      </c>
      <c r="O580" s="14">
        <f t="shared" si="244"/>
        <v>49.080181681384403</v>
      </c>
      <c r="P580" s="14">
        <f t="shared" ref="P580:P643" si="260">IFERROR(AVERAGE(N580:O580),"N.D.")</f>
        <v>57.207707507358862</v>
      </c>
      <c r="Q580" s="14">
        <v>55.824862203144718</v>
      </c>
      <c r="R580" s="17">
        <f t="shared" si="245"/>
        <v>44.175137796855282</v>
      </c>
      <c r="S580" s="14">
        <f t="shared" ref="S580:S643" si="261">IFERROR((0.1+(1-0.1)*(R580%-0)/(1-0)),"N.D.")</f>
        <v>0.49757624017169755</v>
      </c>
      <c r="T580" s="13">
        <v>0</v>
      </c>
      <c r="U580" s="13">
        <f t="shared" ref="U580:U643" si="262">$P580*$S580</f>
        <v>28.465196010353818</v>
      </c>
      <c r="V580" s="13">
        <f>IF($T580=1,$AU580,(VLOOKUP(U580,'Cortes naturales'!$A$35:$C$39,3,9)))</f>
        <v>4</v>
      </c>
      <c r="W580" s="13">
        <v>4</v>
      </c>
      <c r="X580" s="14" t="b">
        <f t="shared" si="246"/>
        <v>1</v>
      </c>
      <c r="Y580" s="17">
        <f>IF($T580=1,$AU580,VLOOKUP(U580,'Cortes naturales'!$A$45:$C$49,3,9))</f>
        <v>3</v>
      </c>
      <c r="Z580" s="14">
        <v>56.129426601576483</v>
      </c>
      <c r="AA580" s="14">
        <v>0.51096474274239823</v>
      </c>
      <c r="AB580" s="14">
        <v>28.680158023752853</v>
      </c>
      <c r="AC580" s="13">
        <v>3</v>
      </c>
      <c r="AD580" s="13">
        <f t="shared" si="247"/>
        <v>0</v>
      </c>
      <c r="AE580" s="14">
        <f t="shared" si="248"/>
        <v>1.0782809057823783</v>
      </c>
      <c r="AF580" s="14">
        <f t="shared" si="249"/>
        <v>-1.3388502570700678E-2</v>
      </c>
      <c r="AG580" s="13">
        <f t="shared" si="250"/>
        <v>-0.21496201339903465</v>
      </c>
      <c r="AH580" s="13">
        <f>IF($T580=1,$AU580,VLOOKUP(U580,'Cortes naturales'!$A$25:$C$29,3,9))</f>
        <v>3</v>
      </c>
      <c r="AI580" s="13" t="b">
        <f t="shared" si="251"/>
        <v>1</v>
      </c>
      <c r="AJ580" s="13">
        <f t="shared" si="252"/>
        <v>0</v>
      </c>
      <c r="AK580" s="28">
        <v>0.81759069605862034</v>
      </c>
      <c r="AL580" s="28">
        <v>45.890896964554159</v>
      </c>
      <c r="AM580" s="28">
        <v>0.40342073561960623</v>
      </c>
      <c r="AN580" s="13">
        <v>3</v>
      </c>
      <c r="AO580" s="33">
        <f t="shared" si="253"/>
        <v>0</v>
      </c>
      <c r="AP580" s="13">
        <f t="shared" ref="AP580:AP643" si="263">IFERROR(AM580*100,"N.D")</f>
        <v>40.342073561960625</v>
      </c>
      <c r="AQ580" s="13">
        <f>IFERROR(VLOOKUP(U580,'Cortes naturales'!$E$15:$G$19,3,9),U580)</f>
        <v>4</v>
      </c>
      <c r="AR580" s="28">
        <f t="shared" si="254"/>
        <v>-0.32001445588692279</v>
      </c>
      <c r="AS580" s="13" t="b">
        <f t="shared" si="255"/>
        <v>0</v>
      </c>
      <c r="AT580" s="13">
        <f t="shared" ref="AT580:AT643" si="264">IF(AO580=0,0,IF(AS580=TRUE,"Efecto ponderador","Cambio en corte"))</f>
        <v>0</v>
      </c>
      <c r="AU580" s="13">
        <v>4</v>
      </c>
      <c r="AV580">
        <f t="shared" si="256"/>
        <v>1</v>
      </c>
      <c r="AW580" s="13">
        <v>0</v>
      </c>
      <c r="AX580" s="13">
        <v>0</v>
      </c>
      <c r="AY580" s="13">
        <v>0</v>
      </c>
      <c r="AZ580" s="13">
        <v>0</v>
      </c>
      <c r="BA580">
        <v>0</v>
      </c>
      <c r="BB580" t="s">
        <v>2841</v>
      </c>
      <c r="BC580">
        <v>6</v>
      </c>
      <c r="BD580" t="s">
        <v>2919</v>
      </c>
      <c r="BE580">
        <v>0</v>
      </c>
      <c r="BF580" s="232" t="s">
        <v>2846</v>
      </c>
      <c r="BG580" s="232" t="s">
        <v>2845</v>
      </c>
      <c r="BH580" s="253">
        <v>64.3</v>
      </c>
      <c r="BI580" s="253">
        <v>40.732405891980363</v>
      </c>
      <c r="BJ580" s="25">
        <v>42.274230769230762</v>
      </c>
      <c r="BK580" t="s">
        <v>376</v>
      </c>
      <c r="BL580">
        <v>0.90255647249301074</v>
      </c>
      <c r="BM580" t="s">
        <v>383</v>
      </c>
      <c r="BN580" s="322">
        <v>29966.610489999999</v>
      </c>
      <c r="BO580" s="322">
        <v>1092.5973180000001</v>
      </c>
      <c r="BP580" s="10">
        <v>12766</v>
      </c>
      <c r="BQ580" s="254">
        <f t="shared" si="257"/>
        <v>2.3473766637944538</v>
      </c>
      <c r="BR580" s="254">
        <f t="shared" si="258"/>
        <v>8.5586504621651266E-2</v>
      </c>
      <c r="BS580" s="25">
        <v>48.502899944157811</v>
      </c>
      <c r="BT580" s="25">
        <v>91.776922705102095</v>
      </c>
      <c r="BU580" s="25">
        <v>27.412858880778561</v>
      </c>
      <c r="BV580" s="25">
        <v>98.151166724821437</v>
      </c>
      <c r="BW580" s="25">
        <v>9.2756467822657811</v>
      </c>
      <c r="BX580" s="25">
        <v>66.460962063714973</v>
      </c>
      <c r="BY580" s="25">
        <v>9.3113085594146501</v>
      </c>
      <c r="BZ580">
        <v>60</v>
      </c>
      <c r="CA580">
        <v>0</v>
      </c>
      <c r="CB580">
        <v>7</v>
      </c>
      <c r="CC580">
        <v>31777.725966999998</v>
      </c>
      <c r="CD580" s="10">
        <v>1907.5841829999999</v>
      </c>
      <c r="CE580" s="255">
        <v>6.0028970763388041E-2</v>
      </c>
      <c r="CF580" t="str">
        <f>IFERROR(VLOOKUP(CE580,'Rangos amb etnico'!$A$2:$C$6,3,9),"N.D.")</f>
        <v>0,1% - 30%</v>
      </c>
      <c r="CG580" s="256">
        <v>5.5498814837232589E-5</v>
      </c>
      <c r="CH580" s="232">
        <v>0</v>
      </c>
      <c r="CI580" s="311">
        <f t="shared" ref="CI580:CI643" si="265">IFERROR(CH580/CC580,"N.D.")</f>
        <v>0</v>
      </c>
      <c r="CJ580" s="232">
        <f>IFERROR(VLOOKUP(CI580,'Rangos amb etnico'!$A$2:$C$6,3,9),"N.D.")</f>
        <v>0</v>
      </c>
      <c r="CK580" s="311">
        <f t="shared" ref="CK580:CK643" si="266">IFERROR(CH580/$CH$1,"N.D.")</f>
        <v>0</v>
      </c>
      <c r="CL580" s="10">
        <v>0</v>
      </c>
      <c r="CM580" s="255">
        <f t="shared" ref="CM580:CM643" si="267">IFERROR(CL580/CC580,"N.D.")</f>
        <v>0</v>
      </c>
      <c r="CN580" s="232">
        <f>IFERROR(VLOOKUP(CM580,'Rangos amb etnico'!$A$2:$C$6,3,9),"N.D.")</f>
        <v>0</v>
      </c>
      <c r="CO580" s="311">
        <f t="shared" ref="CO580:CO643" si="268">IFERROR(CL580/$CL$1,"N.D.")</f>
        <v>0</v>
      </c>
      <c r="CP580">
        <v>0.75188344719595901</v>
      </c>
      <c r="CQ580" t="s">
        <v>2865</v>
      </c>
      <c r="CR580">
        <f t="shared" si="259"/>
        <v>2</v>
      </c>
      <c r="CS580" t="str">
        <f t="shared" ref="CS580:CS643" si="269">IF(CR580&gt;=3,"Candidato","No es Candidato")</f>
        <v>No es Candidato</v>
      </c>
      <c r="CT580">
        <v>0</v>
      </c>
      <c r="CU580">
        <v>0</v>
      </c>
      <c r="CV580" s="25">
        <v>42.291110992431641</v>
      </c>
      <c r="CW580" s="25">
        <v>12.238584518432621</v>
      </c>
      <c r="CX580" s="25">
        <v>50.804088592529297</v>
      </c>
      <c r="CY580" s="25">
        <v>41.457588195800781</v>
      </c>
      <c r="CZ580" s="25">
        <v>2.9134149551391602</v>
      </c>
      <c r="DA580" s="25">
        <v>95.707977294921875</v>
      </c>
      <c r="DB580" s="25">
        <v>50.625011444091797</v>
      </c>
      <c r="DC580">
        <v>379</v>
      </c>
      <c r="DD580" s="253" t="s">
        <v>380</v>
      </c>
    </row>
    <row r="581" spans="1:108" hidden="1">
      <c r="A581" s="13">
        <v>70124</v>
      </c>
      <c r="B581" s="13" t="s">
        <v>1611</v>
      </c>
      <c r="C581" s="13" t="s">
        <v>494</v>
      </c>
      <c r="D581" s="13" t="s">
        <v>495</v>
      </c>
      <c r="E581" s="13" t="s">
        <v>1612</v>
      </c>
      <c r="F581" s="14">
        <v>57.100533333333303</v>
      </c>
      <c r="G581" s="13">
        <v>36.76</v>
      </c>
      <c r="H581" s="13">
        <v>36.96</v>
      </c>
      <c r="I581" s="13">
        <v>37.92</v>
      </c>
      <c r="J581" s="14">
        <v>46.379901972630812</v>
      </c>
      <c r="K581" s="14">
        <v>50.325112093040467</v>
      </c>
      <c r="L581" s="14">
        <v>47.786649543512198</v>
      </c>
      <c r="M581" s="14">
        <v>39.5032</v>
      </c>
      <c r="N581" s="14">
        <f t="shared" si="243"/>
        <v>42.185133333333326</v>
      </c>
      <c r="O581" s="14">
        <f t="shared" si="244"/>
        <v>45.998715902295871</v>
      </c>
      <c r="P581" s="14">
        <f t="shared" si="260"/>
        <v>44.091924617814598</v>
      </c>
      <c r="Q581" s="14">
        <v>54.994522797005963</v>
      </c>
      <c r="R581" s="17">
        <f t="shared" si="245"/>
        <v>45.005477202994037</v>
      </c>
      <c r="S581" s="14">
        <f t="shared" si="261"/>
        <v>0.50504929482694638</v>
      </c>
      <c r="T581" s="13">
        <v>0</v>
      </c>
      <c r="U581" s="13">
        <f t="shared" si="262"/>
        <v>22.268595435790139</v>
      </c>
      <c r="V581" s="13">
        <f>IF($T581=1,$AU581,(VLOOKUP(U581,'Cortes naturales'!$A$35:$C$39,3,9)))</f>
        <v>4</v>
      </c>
      <c r="W581" s="13">
        <v>4</v>
      </c>
      <c r="X581" s="14" t="b">
        <f t="shared" si="246"/>
        <v>1</v>
      </c>
      <c r="Y581" s="17">
        <f>IF($T581=1,$AU581,VLOOKUP(U581,'Cortes naturales'!$A$45:$C$49,3,9))</f>
        <v>4</v>
      </c>
      <c r="Z581" s="14">
        <v>48.034483789217475</v>
      </c>
      <c r="AA581" s="14">
        <v>0.51090356753019039</v>
      </c>
      <c r="AB581" s="14">
        <v>24.540989132382308</v>
      </c>
      <c r="AC581" s="13">
        <v>4</v>
      </c>
      <c r="AD581" s="13">
        <f t="shared" si="247"/>
        <v>0</v>
      </c>
      <c r="AE581" s="14">
        <f t="shared" si="248"/>
        <v>-3.9425591714028769</v>
      </c>
      <c r="AF581" s="14">
        <f t="shared" si="249"/>
        <v>-5.8542727032440123E-3</v>
      </c>
      <c r="AG581" s="13">
        <f t="shared" si="250"/>
        <v>-2.2723936965921681</v>
      </c>
      <c r="AH581" s="13">
        <f>IF($T581=1,$AU581,VLOOKUP(U581,'Cortes naturales'!$A$25:$C$29,3,9))</f>
        <v>4</v>
      </c>
      <c r="AI581" s="13" t="b">
        <f t="shared" si="251"/>
        <v>1</v>
      </c>
      <c r="AJ581" s="13">
        <f t="shared" si="252"/>
        <v>0</v>
      </c>
      <c r="AK581" s="28">
        <v>0.81759069605862034</v>
      </c>
      <c r="AL581" s="28">
        <v>39.27254703604283</v>
      </c>
      <c r="AM581" s="28">
        <v>0.32063215441234294</v>
      </c>
      <c r="AN581" s="13">
        <v>4</v>
      </c>
      <c r="AO581" s="33">
        <f t="shared" si="253"/>
        <v>0</v>
      </c>
      <c r="AP581" s="13">
        <f t="shared" si="263"/>
        <v>32.063215441234291</v>
      </c>
      <c r="AQ581" s="13">
        <f>IFERROR(VLOOKUP(U581,'Cortes naturales'!$E$15:$G$19,3,9),U581)</f>
        <v>4</v>
      </c>
      <c r="AR581" s="28">
        <f t="shared" si="254"/>
        <v>-0.31254140123167395</v>
      </c>
      <c r="AS581" s="13" t="b">
        <f t="shared" si="255"/>
        <v>1</v>
      </c>
      <c r="AT581" s="13">
        <f t="shared" si="264"/>
        <v>0</v>
      </c>
      <c r="AU581" s="13">
        <v>4</v>
      </c>
      <c r="AV581">
        <f t="shared" si="256"/>
        <v>0</v>
      </c>
      <c r="AW581" s="13">
        <v>0</v>
      </c>
      <c r="AX581" s="13">
        <v>0</v>
      </c>
      <c r="AY581" s="13">
        <v>0</v>
      </c>
      <c r="AZ581" s="13">
        <v>0</v>
      </c>
      <c r="BA581">
        <v>0</v>
      </c>
      <c r="BB581" t="s">
        <v>2841</v>
      </c>
      <c r="BC581">
        <v>6</v>
      </c>
      <c r="BD581" t="s">
        <v>2919</v>
      </c>
      <c r="BE581">
        <v>0</v>
      </c>
      <c r="BF581" s="232" t="s">
        <v>2846</v>
      </c>
      <c r="BG581" s="232" t="s">
        <v>2846</v>
      </c>
      <c r="BH581" s="253">
        <v>58.7</v>
      </c>
      <c r="BI581" s="253">
        <v>32.18813292326157</v>
      </c>
      <c r="BJ581" s="25">
        <v>20.833333333333332</v>
      </c>
      <c r="BK581" t="s">
        <v>379</v>
      </c>
      <c r="BL581">
        <v>8.706683673556799E-2</v>
      </c>
      <c r="BM581" t="s">
        <v>377</v>
      </c>
      <c r="BN581" s="322">
        <v>33288.383819000002</v>
      </c>
      <c r="BO581" s="322">
        <v>3227.9998289999999</v>
      </c>
      <c r="BP581" s="10">
        <v>17498</v>
      </c>
      <c r="BQ581" s="254">
        <f t="shared" si="257"/>
        <v>1.9024107794605098</v>
      </c>
      <c r="BR581" s="254">
        <f t="shared" si="258"/>
        <v>0.18447821631043548</v>
      </c>
      <c r="BS581" s="25">
        <v>52.988898659589722</v>
      </c>
      <c r="BT581" s="25">
        <v>88.941669524136088</v>
      </c>
      <c r="BU581" s="25">
        <v>44.781229508196702</v>
      </c>
      <c r="BV581" s="25">
        <v>97.410958921095684</v>
      </c>
      <c r="BW581" s="25">
        <v>27.801138439958539</v>
      </c>
      <c r="BX581" s="25">
        <v>71.030689153254542</v>
      </c>
      <c r="BY581" s="25">
        <v>28.740766052972901</v>
      </c>
      <c r="BZ581">
        <v>10</v>
      </c>
      <c r="CA581">
        <v>0</v>
      </c>
      <c r="CB581">
        <v>7</v>
      </c>
      <c r="CC581">
        <v>41222.408659000001</v>
      </c>
      <c r="CD581" s="10">
        <v>2182.3947939999998</v>
      </c>
      <c r="CE581" s="255">
        <v>5.2941952326299162E-2</v>
      </c>
      <c r="CF581" t="str">
        <f>IFERROR(VLOOKUP(CE581,'Rangos amb etnico'!$A$2:$C$6,3,9),"N.D.")</f>
        <v>0,1% - 30%</v>
      </c>
      <c r="CG581" s="256">
        <v>6.3494091455226935E-5</v>
      </c>
      <c r="CH581" s="232">
        <v>0</v>
      </c>
      <c r="CI581" s="311">
        <f t="shared" si="265"/>
        <v>0</v>
      </c>
      <c r="CJ581" s="232">
        <f>IFERROR(VLOOKUP(CI581,'Rangos amb etnico'!$A$2:$C$6,3,9),"N.D.")</f>
        <v>0</v>
      </c>
      <c r="CK581" s="311">
        <f t="shared" si="266"/>
        <v>0</v>
      </c>
      <c r="CL581" s="10">
        <v>0</v>
      </c>
      <c r="CM581" s="255">
        <f t="shared" si="267"/>
        <v>0</v>
      </c>
      <c r="CN581" s="232">
        <f>IFERROR(VLOOKUP(CM581,'Rangos amb etnico'!$A$2:$C$6,3,9),"N.D.")</f>
        <v>0</v>
      </c>
      <c r="CO581" s="311">
        <f t="shared" si="268"/>
        <v>0</v>
      </c>
      <c r="CP581">
        <v>0.72152457406291126</v>
      </c>
      <c r="CQ581" t="s">
        <v>2866</v>
      </c>
      <c r="CR581">
        <f t="shared" si="259"/>
        <v>0</v>
      </c>
      <c r="CS581" t="str">
        <f t="shared" si="269"/>
        <v>No es Candidato</v>
      </c>
      <c r="CT581">
        <v>0</v>
      </c>
      <c r="CU581">
        <v>0</v>
      </c>
      <c r="CV581" s="25">
        <v>46.464889526367188</v>
      </c>
      <c r="CW581" s="25">
        <v>13.71867561340332</v>
      </c>
      <c r="CX581" s="25">
        <v>49.235885620117188</v>
      </c>
      <c r="CY581" s="25">
        <v>35.358131408691413</v>
      </c>
      <c r="CZ581" s="25">
        <v>30.303354263305661</v>
      </c>
      <c r="DA581" s="25">
        <v>90.423622131347656</v>
      </c>
      <c r="DB581" s="25">
        <v>59.749664306640618</v>
      </c>
      <c r="DC581">
        <v>952</v>
      </c>
      <c r="DD581" s="253" t="s">
        <v>380</v>
      </c>
    </row>
    <row r="582" spans="1:108" hidden="1">
      <c r="A582" s="13">
        <v>19532</v>
      </c>
      <c r="B582" s="13" t="s">
        <v>1613</v>
      </c>
      <c r="C582" s="13" t="s">
        <v>557</v>
      </c>
      <c r="D582" s="13" t="s">
        <v>558</v>
      </c>
      <c r="E582" s="13" t="s">
        <v>1614</v>
      </c>
      <c r="F582" s="14">
        <v>59.175533333333298</v>
      </c>
      <c r="G582" s="13">
        <v>79.400000000000006</v>
      </c>
      <c r="H582" s="13">
        <v>66.36</v>
      </c>
      <c r="I582" s="13">
        <v>58.49</v>
      </c>
      <c r="J582" s="14">
        <v>30.844374585759557</v>
      </c>
      <c r="K582" s="14">
        <v>44.943126679409765</v>
      </c>
      <c r="L582" s="14">
        <v>45.899634301552467</v>
      </c>
      <c r="M582" s="14">
        <v>42.661099999999998</v>
      </c>
      <c r="N582" s="14">
        <f t="shared" si="243"/>
        <v>65.856383333333326</v>
      </c>
      <c r="O582" s="14">
        <f t="shared" si="244"/>
        <v>41.087058891680449</v>
      </c>
      <c r="P582" s="14">
        <f t="shared" si="260"/>
        <v>53.471721112506884</v>
      </c>
      <c r="Q582" s="14">
        <v>55.414287266012906</v>
      </c>
      <c r="R582" s="17">
        <f t="shared" si="245"/>
        <v>44.585712733987094</v>
      </c>
      <c r="S582" s="14">
        <f t="shared" si="261"/>
        <v>0.50127141460588387</v>
      </c>
      <c r="T582" s="13">
        <v>0</v>
      </c>
      <c r="U582" s="13">
        <f t="shared" si="262"/>
        <v>26.803845283477632</v>
      </c>
      <c r="V582" s="13">
        <f>IF($T582=1,$AU582,(VLOOKUP(U582,'Cortes naturales'!$A$35:$C$39,3,9)))</f>
        <v>4</v>
      </c>
      <c r="W582" s="13">
        <v>4</v>
      </c>
      <c r="X582" s="14" t="b">
        <f t="shared" si="246"/>
        <v>1</v>
      </c>
      <c r="Y582" s="17">
        <f>IF($T582=1,$AU582,VLOOKUP(U582,'Cortes naturales'!$A$45:$C$49,3,9))</f>
        <v>4</v>
      </c>
      <c r="Z582" s="14">
        <v>57.056213684734374</v>
      </c>
      <c r="AA582" s="14">
        <v>0.51048051156042873</v>
      </c>
      <c r="AB582" s="14">
        <v>29.126085149484336</v>
      </c>
      <c r="AC582" s="13">
        <v>3</v>
      </c>
      <c r="AD582" s="13">
        <f t="shared" si="247"/>
        <v>-1</v>
      </c>
      <c r="AE582" s="14">
        <f t="shared" si="248"/>
        <v>-3.5844925722274894</v>
      </c>
      <c r="AF582" s="14">
        <f t="shared" si="249"/>
        <v>-9.2090969545448598E-3</v>
      </c>
      <c r="AG582" s="13">
        <f t="shared" si="250"/>
        <v>-2.3222398660067043</v>
      </c>
      <c r="AH582" s="13">
        <f>IF($T582=1,$AU582,VLOOKUP(U582,'Cortes naturales'!$A$25:$C$29,3,9))</f>
        <v>4</v>
      </c>
      <c r="AI582" s="13" t="b">
        <f t="shared" si="251"/>
        <v>1</v>
      </c>
      <c r="AJ582" s="13" t="str">
        <f t="shared" si="252"/>
        <v>Efecto ponderador</v>
      </c>
      <c r="AK582" s="28">
        <v>0.81759069605862034</v>
      </c>
      <c r="AL582" s="28">
        <v>46.648629460971357</v>
      </c>
      <c r="AM582" s="28">
        <v>0.41289917042444702</v>
      </c>
      <c r="AN582" s="13">
        <v>3</v>
      </c>
      <c r="AO582" s="33">
        <f t="shared" si="253"/>
        <v>-1</v>
      </c>
      <c r="AP582" s="13">
        <f t="shared" si="263"/>
        <v>41.289917042444699</v>
      </c>
      <c r="AQ582" s="13">
        <f>IFERROR(VLOOKUP(U582,'Cortes naturales'!$E$15:$G$19,3,9),U582)</f>
        <v>4</v>
      </c>
      <c r="AR582" s="28">
        <f t="shared" si="254"/>
        <v>-0.31631928145273647</v>
      </c>
      <c r="AS582" s="13" t="b">
        <f t="shared" si="255"/>
        <v>1</v>
      </c>
      <c r="AT582" s="13" t="str">
        <f t="shared" si="264"/>
        <v>Efecto ponderador</v>
      </c>
      <c r="AU582" s="13">
        <v>3</v>
      </c>
      <c r="AV582">
        <f t="shared" si="256"/>
        <v>-1</v>
      </c>
      <c r="AW582" s="13">
        <v>0</v>
      </c>
      <c r="AX582" s="13">
        <v>0</v>
      </c>
      <c r="AY582" s="13">
        <v>0</v>
      </c>
      <c r="AZ582" s="13">
        <v>1</v>
      </c>
      <c r="BA582">
        <v>1</v>
      </c>
      <c r="BB582" t="s">
        <v>2839</v>
      </c>
      <c r="BC582">
        <v>6</v>
      </c>
      <c r="BD582" t="s">
        <v>2919</v>
      </c>
      <c r="BE582">
        <v>1</v>
      </c>
      <c r="BF582" s="232" t="s">
        <v>2846</v>
      </c>
      <c r="BG582" s="232" t="s">
        <v>2845</v>
      </c>
      <c r="BH582" s="253">
        <v>44.1</v>
      </c>
      <c r="BI582" s="253">
        <v>20.67628080815204</v>
      </c>
      <c r="BJ582" s="25">
        <v>0</v>
      </c>
      <c r="BK582" t="s">
        <v>381</v>
      </c>
      <c r="BL582">
        <v>26.28249375830341</v>
      </c>
      <c r="BM582" t="s">
        <v>384</v>
      </c>
      <c r="BN582" s="322">
        <v>61632.619696000002</v>
      </c>
      <c r="BO582" s="322">
        <v>5249.6520659999996</v>
      </c>
      <c r="BP582" s="10">
        <v>38915</v>
      </c>
      <c r="BQ582" s="254">
        <f t="shared" si="257"/>
        <v>1.5837754001284852</v>
      </c>
      <c r="BR582" s="254">
        <f t="shared" si="258"/>
        <v>0.13490047709109598</v>
      </c>
      <c r="BS582" s="25">
        <v>58.674714823720279</v>
      </c>
      <c r="BT582" s="25">
        <v>94.937684697417453</v>
      </c>
      <c r="BU582" s="25">
        <v>36.2170506072178</v>
      </c>
      <c r="BV582" s="25">
        <v>80.08818599072039</v>
      </c>
      <c r="BW582" s="25">
        <v>50.7639162898775</v>
      </c>
      <c r="BX582" s="25">
        <v>67.479409029768973</v>
      </c>
      <c r="BY582" s="25">
        <v>51.46447679550446</v>
      </c>
      <c r="BZ582">
        <v>26</v>
      </c>
      <c r="CA582">
        <v>0</v>
      </c>
      <c r="CB582">
        <v>6</v>
      </c>
      <c r="CC582">
        <v>75583.882987999998</v>
      </c>
      <c r="CD582" s="10">
        <v>5432.8163780000004</v>
      </c>
      <c r="CE582" s="255">
        <v>7.1877974023411006E-2</v>
      </c>
      <c r="CF582" t="str">
        <f>IFERROR(VLOOKUP(CE582,'Rangos amb etnico'!$A$2:$C$6,3,9),"N.D.")</f>
        <v>0,1% - 30%</v>
      </c>
      <c r="CG582" s="256">
        <v>1.5806110833500585E-4</v>
      </c>
      <c r="CH582" s="232">
        <v>1213.6996300000001</v>
      </c>
      <c r="CI582" s="311">
        <f t="shared" si="265"/>
        <v>1.6057651208428812E-2</v>
      </c>
      <c r="CJ582" s="232" t="str">
        <f>IFERROR(VLOOKUP(CI582,'Rangos amb etnico'!$A$2:$C$6,3,9),"N.D.")</f>
        <v>0,1% - 30%</v>
      </c>
      <c r="CK582" s="311">
        <f t="shared" si="266"/>
        <v>4.8191821645803566E-5</v>
      </c>
      <c r="CL582" s="10">
        <v>0</v>
      </c>
      <c r="CM582" s="255">
        <f t="shared" si="267"/>
        <v>0</v>
      </c>
      <c r="CN582" s="232">
        <f>IFERROR(VLOOKUP(CM582,'Rangos amb etnico'!$A$2:$C$6,3,9),"N.D.")</f>
        <v>0</v>
      </c>
      <c r="CO582" s="311">
        <f t="shared" si="268"/>
        <v>0</v>
      </c>
      <c r="CP582">
        <v>0.89249807608438014</v>
      </c>
      <c r="CQ582" t="s">
        <v>2864</v>
      </c>
      <c r="CR582">
        <f t="shared" si="259"/>
        <v>1</v>
      </c>
      <c r="CS582" t="str">
        <f t="shared" si="269"/>
        <v>No es Candidato</v>
      </c>
      <c r="CT582">
        <v>0</v>
      </c>
      <c r="CU582">
        <v>0</v>
      </c>
      <c r="CV582" s="25">
        <v>39.506965637207031</v>
      </c>
      <c r="CW582" s="25">
        <v>23.979177474975589</v>
      </c>
      <c r="CX582" s="25">
        <v>37.531383514404297</v>
      </c>
      <c r="CY582" s="25">
        <v>64.430213928222656</v>
      </c>
      <c r="CZ582" s="25">
        <v>39.435821533203118</v>
      </c>
      <c r="DA582" s="25">
        <v>22.736454010009769</v>
      </c>
      <c r="DB582" s="25">
        <v>48.928749084472663</v>
      </c>
      <c r="DC582">
        <v>28545</v>
      </c>
      <c r="DD582" s="253" t="s">
        <v>380</v>
      </c>
    </row>
    <row r="583" spans="1:108" hidden="1">
      <c r="A583" s="13">
        <v>15808</v>
      </c>
      <c r="B583" s="13" t="s">
        <v>1615</v>
      </c>
      <c r="C583" s="13" t="s">
        <v>498</v>
      </c>
      <c r="D583" s="13" t="s">
        <v>499</v>
      </c>
      <c r="E583" s="13" t="s">
        <v>1616</v>
      </c>
      <c r="F583" s="14">
        <v>59.3671333333333</v>
      </c>
      <c r="G583" s="13">
        <v>62.65</v>
      </c>
      <c r="H583" s="13">
        <v>61.68</v>
      </c>
      <c r="I583" s="13">
        <v>46.57</v>
      </c>
      <c r="J583" s="14">
        <v>64.515970653278146</v>
      </c>
      <c r="K583" s="14">
        <v>55.336844503489978</v>
      </c>
      <c r="L583" s="14">
        <v>47.640217392073652</v>
      </c>
      <c r="M583" s="14">
        <v>48.2637</v>
      </c>
      <c r="N583" s="14">
        <f t="shared" si="243"/>
        <v>57.566783333333326</v>
      </c>
      <c r="O583" s="14">
        <f t="shared" si="244"/>
        <v>53.939183137210442</v>
      </c>
      <c r="P583" s="14">
        <f t="shared" si="260"/>
        <v>55.752983235271884</v>
      </c>
      <c r="Q583" s="14">
        <v>55.534720891836486</v>
      </c>
      <c r="R583" s="17">
        <f t="shared" si="245"/>
        <v>44.465279108163514</v>
      </c>
      <c r="S583" s="14">
        <f t="shared" si="261"/>
        <v>0.50018751197347167</v>
      </c>
      <c r="T583" s="13">
        <v>0</v>
      </c>
      <c r="U583" s="13">
        <f t="shared" si="262"/>
        <v>27.88694596954932</v>
      </c>
      <c r="V583" s="13">
        <f>IF($T583=1,$AU583,(VLOOKUP(U583,'Cortes naturales'!$A$35:$C$39,3,9)))</f>
        <v>4</v>
      </c>
      <c r="W583" s="13">
        <v>4</v>
      </c>
      <c r="X583" s="14" t="b">
        <f t="shared" si="246"/>
        <v>1</v>
      </c>
      <c r="Y583" s="17">
        <f>IF($T583=1,$AU583,VLOOKUP(U583,'Cortes naturales'!$A$45:$C$49,3,9))</f>
        <v>4</v>
      </c>
      <c r="Z583" s="14">
        <v>58.691193591974297</v>
      </c>
      <c r="AA583" s="14">
        <v>0.50869773178822952</v>
      </c>
      <c r="AB583" s="14">
        <v>29.856077056181196</v>
      </c>
      <c r="AC583" s="13">
        <v>3</v>
      </c>
      <c r="AD583" s="13">
        <f t="shared" si="247"/>
        <v>-1</v>
      </c>
      <c r="AE583" s="14">
        <f t="shared" si="248"/>
        <v>-2.9382103567024132</v>
      </c>
      <c r="AF583" s="14">
        <f t="shared" si="249"/>
        <v>-8.5102198147578578E-3</v>
      </c>
      <c r="AG583" s="13">
        <f t="shared" si="250"/>
        <v>-1.9691310866318759</v>
      </c>
      <c r="AH583" s="13">
        <f>IF($T583=1,$AU583,VLOOKUP(U583,'Cortes naturales'!$A$25:$C$29,3,9))</f>
        <v>3</v>
      </c>
      <c r="AI583" s="13" t="b">
        <f t="shared" si="251"/>
        <v>0</v>
      </c>
      <c r="AJ583" s="13" t="str">
        <f t="shared" si="252"/>
        <v>Cambio en corte</v>
      </c>
      <c r="AK583" s="28">
        <v>0.81759069605862034</v>
      </c>
      <c r="AL583" s="28">
        <v>47.9853738213735</v>
      </c>
      <c r="AM583" s="28">
        <v>0.42962043331170519</v>
      </c>
      <c r="AN583" s="13">
        <v>3</v>
      </c>
      <c r="AO583" s="33">
        <f t="shared" si="253"/>
        <v>-1</v>
      </c>
      <c r="AP583" s="13">
        <f t="shared" si="263"/>
        <v>42.96204333117052</v>
      </c>
      <c r="AQ583" s="13">
        <f>IFERROR(VLOOKUP(U583,'Cortes naturales'!$E$15:$G$19,3,9),U583)</f>
        <v>4</v>
      </c>
      <c r="AR583" s="28">
        <f t="shared" si="254"/>
        <v>-0.31740318408514867</v>
      </c>
      <c r="AS583" s="13" t="b">
        <f t="shared" si="255"/>
        <v>1</v>
      </c>
      <c r="AT583" s="13" t="str">
        <f t="shared" si="264"/>
        <v>Efecto ponderador</v>
      </c>
      <c r="AU583" s="13">
        <v>3</v>
      </c>
      <c r="AV583">
        <f t="shared" si="256"/>
        <v>-1</v>
      </c>
      <c r="AW583" s="13">
        <v>0</v>
      </c>
      <c r="AX583" s="13">
        <v>0</v>
      </c>
      <c r="AY583" s="13">
        <v>0</v>
      </c>
      <c r="AZ583" s="13">
        <v>0</v>
      </c>
      <c r="BA583">
        <v>0</v>
      </c>
      <c r="BB583" t="s">
        <v>2841</v>
      </c>
      <c r="BC583">
        <v>6</v>
      </c>
      <c r="BD583" t="s">
        <v>2919</v>
      </c>
      <c r="BE583">
        <v>0</v>
      </c>
      <c r="BF583" s="232" t="s">
        <v>2846</v>
      </c>
      <c r="BG583" s="232" t="s">
        <v>2846</v>
      </c>
      <c r="BH583" s="253">
        <v>35.200000000000003</v>
      </c>
      <c r="BI583" s="253">
        <v>11.885674451028233</v>
      </c>
      <c r="BJ583" s="25">
        <v>45.42683661609022</v>
      </c>
      <c r="BK583" t="s">
        <v>376</v>
      </c>
      <c r="BL583">
        <v>0</v>
      </c>
      <c r="BM583" t="s">
        <v>377</v>
      </c>
      <c r="BN583" s="322">
        <v>9374.2006529999999</v>
      </c>
      <c r="BO583" s="322">
        <v>1083.58392</v>
      </c>
      <c r="BP583" s="10">
        <v>3552</v>
      </c>
      <c r="BQ583" s="254">
        <f t="shared" si="257"/>
        <v>2.6391330667229731</v>
      </c>
      <c r="BR583" s="254">
        <f t="shared" si="258"/>
        <v>0.30506304054054056</v>
      </c>
      <c r="BS583" s="25">
        <v>61.489544424785393</v>
      </c>
      <c r="BT583" s="25">
        <v>88.795045045045029</v>
      </c>
      <c r="BU583" s="25">
        <v>47.078804691023898</v>
      </c>
      <c r="BV583" s="25">
        <v>91.323581977042565</v>
      </c>
      <c r="BW583" s="25">
        <v>61.855792435123519</v>
      </c>
      <c r="BX583" s="25">
        <v>72.171744034474216</v>
      </c>
      <c r="BY583" s="25">
        <v>64.138642493491261</v>
      </c>
      <c r="BZ583">
        <v>68</v>
      </c>
      <c r="CA583">
        <v>0</v>
      </c>
      <c r="CB583">
        <v>7</v>
      </c>
      <c r="CC583">
        <v>7963.1030419999997</v>
      </c>
      <c r="CD583" s="10">
        <v>3313.2514460000002</v>
      </c>
      <c r="CE583" s="255">
        <v>0.41607542041398093</v>
      </c>
      <c r="CF583" t="str">
        <f>IFERROR(VLOOKUP(CE583,'Rangos amb etnico'!$A$2:$C$6,3,9),"N.D.")</f>
        <v>31% - 50%</v>
      </c>
      <c r="CG583" s="256">
        <v>9.6394974412904923E-5</v>
      </c>
      <c r="CH583" s="232">
        <v>0</v>
      </c>
      <c r="CI583" s="311">
        <f t="shared" si="265"/>
        <v>0</v>
      </c>
      <c r="CJ583" s="232">
        <f>IFERROR(VLOOKUP(CI583,'Rangos amb etnico'!$A$2:$C$6,3,9),"N.D.")</f>
        <v>0</v>
      </c>
      <c r="CK583" s="311">
        <f t="shared" si="266"/>
        <v>0</v>
      </c>
      <c r="CL583" s="10">
        <v>0</v>
      </c>
      <c r="CM583" s="255">
        <f t="shared" si="267"/>
        <v>0</v>
      </c>
      <c r="CN583" s="232">
        <f>IFERROR(VLOOKUP(CM583,'Rangos amb etnico'!$A$2:$C$6,3,9),"N.D.")</f>
        <v>0</v>
      </c>
      <c r="CO583" s="311">
        <f t="shared" si="268"/>
        <v>0</v>
      </c>
      <c r="CP583">
        <v>0.93318480558854988</v>
      </c>
      <c r="CQ583" t="s">
        <v>2864</v>
      </c>
      <c r="CR583">
        <f t="shared" si="259"/>
        <v>2</v>
      </c>
      <c r="CS583" t="str">
        <f t="shared" si="269"/>
        <v>No es Candidato</v>
      </c>
      <c r="CT583">
        <v>0</v>
      </c>
      <c r="CU583">
        <v>0</v>
      </c>
      <c r="CV583" s="25">
        <v>50.806354522705078</v>
      </c>
      <c r="CW583" s="25">
        <v>17.944534301757809</v>
      </c>
      <c r="CX583" s="25">
        <v>49.328819274902337</v>
      </c>
      <c r="CY583" s="25">
        <v>64.965789794921875</v>
      </c>
      <c r="CZ583" s="25">
        <v>49.413272857666023</v>
      </c>
      <c r="DA583" s="25">
        <v>74.652801513671875</v>
      </c>
      <c r="DB583" s="25">
        <v>48.532909393310547</v>
      </c>
      <c r="DC583">
        <v>27</v>
      </c>
      <c r="DD583" s="253" t="s">
        <v>380</v>
      </c>
    </row>
    <row r="584" spans="1:108" hidden="1">
      <c r="A584" s="13">
        <v>25649</v>
      </c>
      <c r="B584" s="13" t="s">
        <v>1617</v>
      </c>
      <c r="C584" s="13" t="s">
        <v>461</v>
      </c>
      <c r="D584" s="13" t="s">
        <v>462</v>
      </c>
      <c r="E584" s="13" t="s">
        <v>1011</v>
      </c>
      <c r="F584" s="14">
        <v>58.662399999999998</v>
      </c>
      <c r="G584" s="13">
        <v>75.59</v>
      </c>
      <c r="H584" s="13">
        <v>55.58</v>
      </c>
      <c r="I584" s="13">
        <v>75.52</v>
      </c>
      <c r="J584" s="14">
        <v>65.828121237690709</v>
      </c>
      <c r="K584" s="14">
        <v>57.810263981774654</v>
      </c>
      <c r="L584" s="14">
        <v>63.466369619675227</v>
      </c>
      <c r="M584" s="14">
        <v>53.207299999999996</v>
      </c>
      <c r="N584" s="14">
        <f t="shared" si="243"/>
        <v>66.338099999999997</v>
      </c>
      <c r="O584" s="14">
        <f t="shared" si="244"/>
        <v>60.078013709785147</v>
      </c>
      <c r="P584" s="14">
        <f t="shared" si="260"/>
        <v>63.208056854892575</v>
      </c>
      <c r="Q584" s="14">
        <v>56.276164708168722</v>
      </c>
      <c r="R584" s="17">
        <f t="shared" si="245"/>
        <v>43.723835291831278</v>
      </c>
      <c r="S584" s="14">
        <f t="shared" si="261"/>
        <v>0.49351451762648157</v>
      </c>
      <c r="T584" s="13">
        <v>0</v>
      </c>
      <c r="U584" s="13">
        <f t="shared" si="262"/>
        <v>31.194093688849531</v>
      </c>
      <c r="V584" s="13">
        <f>IF($T584=1,$AU584,(VLOOKUP(U584,'Cortes naturales'!$A$35:$C$39,3,9)))</f>
        <v>3</v>
      </c>
      <c r="W584" s="13">
        <v>3</v>
      </c>
      <c r="X584" s="14" t="b">
        <f t="shared" si="246"/>
        <v>1</v>
      </c>
      <c r="Y584" s="17">
        <f>IF($T584=1,$AU584,VLOOKUP(U584,'Cortes naturales'!$A$45:$C$49,3,9))</f>
        <v>3</v>
      </c>
      <c r="Z584" s="14">
        <v>60.819966697961576</v>
      </c>
      <c r="AA584" s="14">
        <v>0.50953036759831827</v>
      </c>
      <c r="AB584" s="14">
        <v>30.989619988929835</v>
      </c>
      <c r="AC584" s="13">
        <v>3</v>
      </c>
      <c r="AD584" s="13">
        <f t="shared" si="247"/>
        <v>0</v>
      </c>
      <c r="AE584" s="14">
        <f t="shared" si="248"/>
        <v>2.3880901569309998</v>
      </c>
      <c r="AF584" s="14">
        <f t="shared" si="249"/>
        <v>-1.6015849971836693E-2</v>
      </c>
      <c r="AG584" s="13">
        <f t="shared" si="250"/>
        <v>0.20447369991969566</v>
      </c>
      <c r="AH584" s="13">
        <f>IF($T584=1,$AU584,VLOOKUP(U584,'Cortes naturales'!$A$25:$C$29,3,9))</f>
        <v>3</v>
      </c>
      <c r="AI584" s="13" t="b">
        <f t="shared" si="251"/>
        <v>1</v>
      </c>
      <c r="AJ584" s="13">
        <f t="shared" si="252"/>
        <v>0</v>
      </c>
      <c r="AK584" s="28">
        <v>0.81759069605862034</v>
      </c>
      <c r="AL584" s="28">
        <v>49.725838906848516</v>
      </c>
      <c r="AM584" s="28">
        <v>0.45139181690786767</v>
      </c>
      <c r="AN584" s="13">
        <v>3</v>
      </c>
      <c r="AO584" s="33">
        <f t="shared" si="253"/>
        <v>0</v>
      </c>
      <c r="AP584" s="13">
        <f t="shared" si="263"/>
        <v>45.139181690786771</v>
      </c>
      <c r="AQ584" s="13">
        <f>IFERROR(VLOOKUP(U584,'Cortes naturales'!$E$15:$G$19,3,9),U584)</f>
        <v>4</v>
      </c>
      <c r="AR584" s="28">
        <f t="shared" si="254"/>
        <v>-0.32407617843213876</v>
      </c>
      <c r="AS584" s="13" t="b">
        <f t="shared" si="255"/>
        <v>0</v>
      </c>
      <c r="AT584" s="13">
        <f t="shared" si="264"/>
        <v>0</v>
      </c>
      <c r="AU584" s="13">
        <v>3</v>
      </c>
      <c r="AV584">
        <f t="shared" si="256"/>
        <v>0</v>
      </c>
      <c r="AW584" s="13">
        <v>0</v>
      </c>
      <c r="AX584" s="13">
        <v>0</v>
      </c>
      <c r="AY584" s="13">
        <v>0</v>
      </c>
      <c r="AZ584" s="13">
        <v>0</v>
      </c>
      <c r="BA584">
        <v>0</v>
      </c>
      <c r="BB584" t="s">
        <v>2840</v>
      </c>
      <c r="BC584">
        <v>6</v>
      </c>
      <c r="BD584" t="s">
        <v>2919</v>
      </c>
      <c r="BE584">
        <v>1</v>
      </c>
      <c r="BF584" s="232" t="s">
        <v>2846</v>
      </c>
      <c r="BG584" s="232" t="s">
        <v>2846</v>
      </c>
      <c r="BH584" s="253">
        <v>34.799999999999997</v>
      </c>
      <c r="BI584" s="253">
        <v>8.6709886547811994</v>
      </c>
      <c r="BJ584" s="25">
        <v>1.6727272727272726</v>
      </c>
      <c r="BK584" t="s">
        <v>381</v>
      </c>
      <c r="BL584">
        <v>0.13293520086893809</v>
      </c>
      <c r="BM584" t="s">
        <v>377</v>
      </c>
      <c r="BN584" s="322">
        <v>19522.494118999999</v>
      </c>
      <c r="BO584" s="322">
        <v>1608.62895</v>
      </c>
      <c r="BP584" s="10">
        <v>8709</v>
      </c>
      <c r="BQ584" s="254">
        <f t="shared" si="257"/>
        <v>2.2416458972327478</v>
      </c>
      <c r="BR584" s="254">
        <f t="shared" si="258"/>
        <v>0.18470880124009645</v>
      </c>
      <c r="BS584" s="25">
        <v>50.910184966187678</v>
      </c>
      <c r="BT584" s="25">
        <v>88.232404080453151</v>
      </c>
      <c r="BU584" s="25">
        <v>39.053633387888702</v>
      </c>
      <c r="BV584" s="25">
        <v>96.812790478530019</v>
      </c>
      <c r="BW584" s="25">
        <v>54.812288806815637</v>
      </c>
      <c r="BX584" s="25">
        <v>68.752253228264891</v>
      </c>
      <c r="BY584" s="25">
        <v>55.741152532926357</v>
      </c>
      <c r="BZ584">
        <v>78</v>
      </c>
      <c r="CA584">
        <v>0</v>
      </c>
      <c r="CB584">
        <v>7</v>
      </c>
      <c r="CC584">
        <v>24674.977567000002</v>
      </c>
      <c r="CD584" s="10">
        <v>15461.521433</v>
      </c>
      <c r="CE584" s="255">
        <v>0.62660731467809072</v>
      </c>
      <c r="CF584" t="str">
        <f>IFERROR(VLOOKUP(CE584,'Rangos amb etnico'!$A$2:$C$6,3,9),"N.D.")</f>
        <v>51% - 70%</v>
      </c>
      <c r="CG584" s="256">
        <v>4.4983394324567537E-4</v>
      </c>
      <c r="CH584" s="232">
        <v>0</v>
      </c>
      <c r="CI584" s="311">
        <f t="shared" si="265"/>
        <v>0</v>
      </c>
      <c r="CJ584" s="232">
        <f>IFERROR(VLOOKUP(CI584,'Rangos amb etnico'!$A$2:$C$6,3,9),"N.D.")</f>
        <v>0</v>
      </c>
      <c r="CK584" s="311">
        <f t="shared" si="266"/>
        <v>0</v>
      </c>
      <c r="CL584" s="10">
        <v>0.52952857921100005</v>
      </c>
      <c r="CM584" s="255">
        <f t="shared" si="267"/>
        <v>2.1460144300969287E-5</v>
      </c>
      <c r="CN584" s="232">
        <f>IFERROR(VLOOKUP(CM584,'Rangos amb etnico'!$A$2:$C$6,3,9),"N.D.")</f>
        <v>0</v>
      </c>
      <c r="CO584" s="311">
        <f t="shared" si="268"/>
        <v>3.320710502047523E-7</v>
      </c>
      <c r="CP584">
        <v>0.96025626773018535</v>
      </c>
      <c r="CQ584" t="s">
        <v>2864</v>
      </c>
      <c r="CR584">
        <f t="shared" si="259"/>
        <v>2</v>
      </c>
      <c r="CS584" t="str">
        <f t="shared" si="269"/>
        <v>No es Candidato</v>
      </c>
      <c r="CT584">
        <v>0</v>
      </c>
      <c r="CU584">
        <v>0</v>
      </c>
      <c r="CV584" s="25">
        <v>53.706691741943359</v>
      </c>
      <c r="CW584" s="25">
        <v>29.326065063476559</v>
      </c>
      <c r="CX584" s="25">
        <v>57.086830139160163</v>
      </c>
      <c r="CY584" s="25">
        <v>75.69580078125</v>
      </c>
      <c r="CZ584" s="25">
        <v>28.60982704162598</v>
      </c>
      <c r="DA584" s="25">
        <v>79.354728698730469</v>
      </c>
      <c r="DB584" s="25">
        <v>52.166904449462891</v>
      </c>
      <c r="DC584">
        <v>68</v>
      </c>
      <c r="DD584" s="253" t="s">
        <v>380</v>
      </c>
    </row>
    <row r="585" spans="1:108" hidden="1">
      <c r="A585" s="13">
        <v>15816</v>
      </c>
      <c r="B585" s="13" t="s">
        <v>1618</v>
      </c>
      <c r="C585" s="13" t="s">
        <v>498</v>
      </c>
      <c r="D585" s="13" t="s">
        <v>499</v>
      </c>
      <c r="E585" s="13" t="s">
        <v>1619</v>
      </c>
      <c r="F585" s="14">
        <v>86.257599999999996</v>
      </c>
      <c r="G585" s="13">
        <v>67.58</v>
      </c>
      <c r="H585" s="13">
        <v>57.56</v>
      </c>
      <c r="I585" s="13">
        <v>64.760000000000005</v>
      </c>
      <c r="J585" s="14">
        <v>55.129864736066672</v>
      </c>
      <c r="K585" s="14">
        <v>50.373218276438706</v>
      </c>
      <c r="L585" s="14">
        <v>55.387343376149481</v>
      </c>
      <c r="M585" s="14">
        <v>54.309600000000003</v>
      </c>
      <c r="N585" s="14">
        <f t="shared" si="243"/>
        <v>69.039400000000001</v>
      </c>
      <c r="O585" s="14">
        <f t="shared" si="244"/>
        <v>53.800006597163716</v>
      </c>
      <c r="P585" s="14">
        <f t="shared" si="260"/>
        <v>61.419703298581858</v>
      </c>
      <c r="Q585" s="14">
        <v>56.122399512834228</v>
      </c>
      <c r="R585" s="17">
        <f t="shared" si="245"/>
        <v>43.877600487165772</v>
      </c>
      <c r="S585" s="14">
        <f t="shared" si="261"/>
        <v>0.49489840438449195</v>
      </c>
      <c r="T585" s="13">
        <v>0</v>
      </c>
      <c r="U585" s="13">
        <f t="shared" si="262"/>
        <v>30.396513160237077</v>
      </c>
      <c r="V585" s="13">
        <f>IF($T585=1,$AU585,(VLOOKUP(U585,'Cortes naturales'!$A$35:$C$39,3,9)))</f>
        <v>3</v>
      </c>
      <c r="W585" s="13">
        <v>3</v>
      </c>
      <c r="X585" s="14" t="b">
        <f t="shared" si="246"/>
        <v>1</v>
      </c>
      <c r="Y585" s="17">
        <f>IF($T585=1,$AU585,VLOOKUP(U585,'Cortes naturales'!$A$45:$C$49,3,9))</f>
        <v>3</v>
      </c>
      <c r="Z585" s="14">
        <v>63.553839476729628</v>
      </c>
      <c r="AA585" s="14">
        <v>0.50660038831161147</v>
      </c>
      <c r="AB585" s="14">
        <v>32.19639975760505</v>
      </c>
      <c r="AC585" s="13">
        <v>3</v>
      </c>
      <c r="AD585" s="13">
        <f t="shared" si="247"/>
        <v>0</v>
      </c>
      <c r="AE585" s="14">
        <f t="shared" si="248"/>
        <v>-2.1341361781477701</v>
      </c>
      <c r="AF585" s="14">
        <f t="shared" si="249"/>
        <v>-1.1701983927119519E-2</v>
      </c>
      <c r="AG585" s="13">
        <f t="shared" si="250"/>
        <v>-1.7998865973679727</v>
      </c>
      <c r="AH585" s="13">
        <f>IF($T585=1,$AU585,VLOOKUP(U585,'Cortes naturales'!$A$25:$C$29,3,9))</f>
        <v>3</v>
      </c>
      <c r="AI585" s="13" t="b">
        <f t="shared" si="251"/>
        <v>1</v>
      </c>
      <c r="AJ585" s="13">
        <f t="shared" si="252"/>
        <v>0</v>
      </c>
      <c r="AK585" s="28">
        <v>0.81759069605862034</v>
      </c>
      <c r="AL585" s="28">
        <v>51.961027854977203</v>
      </c>
      <c r="AM585" s="28">
        <v>0.47935167453772137</v>
      </c>
      <c r="AN585" s="13">
        <v>2</v>
      </c>
      <c r="AO585" s="33">
        <f t="shared" si="253"/>
        <v>-1</v>
      </c>
      <c r="AP585" s="13">
        <f t="shared" si="263"/>
        <v>47.935167453772138</v>
      </c>
      <c r="AQ585" s="13">
        <f>IFERROR(VLOOKUP(U585,'Cortes naturales'!$E$15:$G$19,3,9),U585)</f>
        <v>4</v>
      </c>
      <c r="AR585" s="28">
        <f t="shared" si="254"/>
        <v>-0.32269229167412838</v>
      </c>
      <c r="AS585" s="13" t="b">
        <f t="shared" si="255"/>
        <v>0</v>
      </c>
      <c r="AT585" s="13" t="str">
        <f t="shared" si="264"/>
        <v>Cambio en corte</v>
      </c>
      <c r="AU585" s="13">
        <v>2</v>
      </c>
      <c r="AV585">
        <f t="shared" si="256"/>
        <v>-1</v>
      </c>
      <c r="AW585" s="13">
        <v>0</v>
      </c>
      <c r="AX585" s="13">
        <v>0</v>
      </c>
      <c r="AY585" s="13">
        <v>0</v>
      </c>
      <c r="AZ585" s="13">
        <v>0</v>
      </c>
      <c r="BA585">
        <v>0</v>
      </c>
      <c r="BB585" t="s">
        <v>2841</v>
      </c>
      <c r="BC585">
        <v>6</v>
      </c>
      <c r="BD585" t="s">
        <v>2919</v>
      </c>
      <c r="BE585">
        <v>0</v>
      </c>
      <c r="BF585" s="232" t="s">
        <v>2846</v>
      </c>
      <c r="BG585" s="232" t="s">
        <v>2846</v>
      </c>
      <c r="BH585" s="253">
        <v>50</v>
      </c>
      <c r="BI585" s="253">
        <v>25.355113636363637</v>
      </c>
      <c r="BJ585" s="25">
        <v>58.623606394469647</v>
      </c>
      <c r="BK585" t="s">
        <v>376</v>
      </c>
      <c r="BL585">
        <v>0</v>
      </c>
      <c r="BM585" t="s">
        <v>377</v>
      </c>
      <c r="BN585" s="322">
        <v>15174.620290999999</v>
      </c>
      <c r="BO585" s="322">
        <v>1017.58978</v>
      </c>
      <c r="BP585" s="10">
        <v>4440</v>
      </c>
      <c r="BQ585" s="254">
        <f t="shared" si="257"/>
        <v>3.4177072727477475</v>
      </c>
      <c r="BR585" s="254">
        <f t="shared" si="258"/>
        <v>0.22918688738738738</v>
      </c>
      <c r="BS585" s="25">
        <v>70.369387852616356</v>
      </c>
      <c r="BT585" s="25">
        <v>94.266407837837846</v>
      </c>
      <c r="BU585" s="25">
        <v>43.683643507030602</v>
      </c>
      <c r="BV585" s="25">
        <v>86.463544478762628</v>
      </c>
      <c r="BW585" s="25">
        <v>56.604127240716558</v>
      </c>
      <c r="BX585" s="25">
        <v>73.695745919061864</v>
      </c>
      <c r="BY585" s="25">
        <v>57.49347152411486</v>
      </c>
      <c r="BZ585">
        <v>20</v>
      </c>
      <c r="CA585">
        <v>0</v>
      </c>
      <c r="CB585">
        <v>7</v>
      </c>
      <c r="CC585">
        <v>10127.758924</v>
      </c>
      <c r="CD585" s="10">
        <v>9.9219939999999998</v>
      </c>
      <c r="CE585" s="255">
        <v>9.7968307445466603E-4</v>
      </c>
      <c r="CF585">
        <f>IFERROR(VLOOKUP(CE585,'Rangos amb etnico'!$A$2:$C$6,3,9),"N.D.")</f>
        <v>0</v>
      </c>
      <c r="CG585" s="256">
        <v>2.8866820805576618E-7</v>
      </c>
      <c r="CH585" s="232">
        <v>0</v>
      </c>
      <c r="CI585" s="311">
        <f t="shared" si="265"/>
        <v>0</v>
      </c>
      <c r="CJ585" s="232">
        <f>IFERROR(VLOOKUP(CI585,'Rangos amb etnico'!$A$2:$C$6,3,9),"N.D.")</f>
        <v>0</v>
      </c>
      <c r="CK585" s="311">
        <f t="shared" si="266"/>
        <v>0</v>
      </c>
      <c r="CL585" s="10">
        <v>6949.1619756500004</v>
      </c>
      <c r="CM585" s="255">
        <f t="shared" si="267"/>
        <v>0.6861500187551266</v>
      </c>
      <c r="CN585" s="232" t="str">
        <f>IFERROR(VLOOKUP(CM585,'Rangos amb etnico'!$A$2:$C$6,3,9),"N.D.")</f>
        <v>51% - 70%</v>
      </c>
      <c r="CO585" s="311">
        <f t="shared" si="268"/>
        <v>4.3578677448068703E-3</v>
      </c>
      <c r="CP585">
        <v>0.97401678785493406</v>
      </c>
      <c r="CQ585" t="s">
        <v>2864</v>
      </c>
      <c r="CR585">
        <f t="shared" si="259"/>
        <v>2</v>
      </c>
      <c r="CS585" t="str">
        <f t="shared" si="269"/>
        <v>No es Candidato</v>
      </c>
      <c r="CT585">
        <v>0</v>
      </c>
      <c r="CU585">
        <v>0</v>
      </c>
      <c r="CV585" s="25">
        <v>51.447784423828118</v>
      </c>
      <c r="CW585" s="25">
        <v>17.678850173950199</v>
      </c>
      <c r="CX585" s="25">
        <v>44.830780029296882</v>
      </c>
      <c r="CY585" s="25">
        <v>64.368438720703125</v>
      </c>
      <c r="CZ585" s="25">
        <v>51.829513549804688</v>
      </c>
      <c r="DA585" s="25">
        <v>64.878913879394531</v>
      </c>
      <c r="DB585" s="25">
        <v>65.100196838378906</v>
      </c>
      <c r="DC585">
        <v>44</v>
      </c>
      <c r="DD585" s="253" t="s">
        <v>380</v>
      </c>
    </row>
    <row r="586" spans="1:108" hidden="1">
      <c r="A586" s="13">
        <v>15087</v>
      </c>
      <c r="B586" s="13" t="s">
        <v>1620</v>
      </c>
      <c r="C586" s="13" t="s">
        <v>498</v>
      </c>
      <c r="D586" s="13" t="s">
        <v>499</v>
      </c>
      <c r="E586" s="13" t="s">
        <v>997</v>
      </c>
      <c r="F586" s="14">
        <v>53.608899999999998</v>
      </c>
      <c r="G586" s="13">
        <v>38.78</v>
      </c>
      <c r="H586" s="13">
        <v>52.48</v>
      </c>
      <c r="I586" s="13">
        <v>60.01</v>
      </c>
      <c r="J586" s="14">
        <v>53.719137325401441</v>
      </c>
      <c r="K586" s="14">
        <v>63.536475808170664</v>
      </c>
      <c r="L586" s="14">
        <v>65.315960808272308</v>
      </c>
      <c r="M586" s="14">
        <v>58.9619</v>
      </c>
      <c r="N586" s="14">
        <f t="shared" si="243"/>
        <v>51.219724999999997</v>
      </c>
      <c r="O586" s="14">
        <f t="shared" si="244"/>
        <v>60.383368485461105</v>
      </c>
      <c r="P586" s="14">
        <f t="shared" si="260"/>
        <v>55.801546742730551</v>
      </c>
      <c r="Q586" s="14">
        <v>55.857709714515757</v>
      </c>
      <c r="R586" s="17">
        <f t="shared" si="245"/>
        <v>44.142290285484243</v>
      </c>
      <c r="S586" s="203">
        <f t="shared" si="261"/>
        <v>0.49728061256935818</v>
      </c>
      <c r="T586" s="13">
        <v>0</v>
      </c>
      <c r="U586" s="13">
        <f t="shared" si="262"/>
        <v>27.749027346542722</v>
      </c>
      <c r="V586" s="13">
        <f>IF($T586=1,$AU586,(VLOOKUP(U586,'Cortes naturales'!$A$35:$C$39,3,9)))</f>
        <v>4</v>
      </c>
      <c r="W586" s="13">
        <v>4</v>
      </c>
      <c r="X586" s="14" t="b">
        <f t="shared" si="246"/>
        <v>1</v>
      </c>
      <c r="Y586" s="17">
        <f>IF($T586=1,$AU586,VLOOKUP(U586,'Cortes naturales'!$A$45:$C$49,3,9))</f>
        <v>4</v>
      </c>
      <c r="Z586" s="14">
        <v>54.682875454533935</v>
      </c>
      <c r="AA586" s="203">
        <v>0.51071403804864723</v>
      </c>
      <c r="AB586" s="14">
        <v>27.927312135496283</v>
      </c>
      <c r="AC586" s="13">
        <v>3</v>
      </c>
      <c r="AD586" s="13">
        <f t="shared" si="247"/>
        <v>-1</v>
      </c>
      <c r="AE586" s="14">
        <f t="shared" si="248"/>
        <v>1.1186712881966159</v>
      </c>
      <c r="AF586" s="14">
        <f t="shared" si="249"/>
        <v>-1.3433425479289052E-2</v>
      </c>
      <c r="AG586" s="13">
        <f t="shared" si="250"/>
        <v>-0.1782847889535617</v>
      </c>
      <c r="AH586" s="13">
        <f>IF($T586=1,$AU586,VLOOKUP(U586,'Cortes naturales'!$A$25:$C$29,3,9))</f>
        <v>4</v>
      </c>
      <c r="AI586" s="13" t="b">
        <f t="shared" si="251"/>
        <v>1</v>
      </c>
      <c r="AJ586" s="13" t="str">
        <f t="shared" si="252"/>
        <v>Efecto ponderador</v>
      </c>
      <c r="AK586" s="28">
        <v>0.81759069605862034</v>
      </c>
      <c r="AL586" s="28">
        <v>44.708210205359244</v>
      </c>
      <c r="AM586" s="28">
        <v>0.38862657093143188</v>
      </c>
      <c r="AN586" s="13">
        <v>3</v>
      </c>
      <c r="AO586" s="33">
        <f t="shared" si="253"/>
        <v>-1</v>
      </c>
      <c r="AP586" s="13">
        <f t="shared" si="263"/>
        <v>38.862657093143191</v>
      </c>
      <c r="AQ586" s="13">
        <f>IFERROR(VLOOKUP(U586,'Cortes naturales'!$E$15:$G$19,3,9),U586)</f>
        <v>4</v>
      </c>
      <c r="AR586" s="28">
        <f t="shared" si="254"/>
        <v>-0.32031008348926215</v>
      </c>
      <c r="AS586" s="13" t="b">
        <f t="shared" si="255"/>
        <v>1</v>
      </c>
      <c r="AT586" s="13" t="str">
        <f t="shared" si="264"/>
        <v>Efecto ponderador</v>
      </c>
      <c r="AU586" s="13">
        <v>3</v>
      </c>
      <c r="AV586">
        <f t="shared" si="256"/>
        <v>-1</v>
      </c>
      <c r="AW586" s="13">
        <v>0</v>
      </c>
      <c r="AX586" s="13">
        <v>0</v>
      </c>
      <c r="AY586" s="13">
        <v>0</v>
      </c>
      <c r="AZ586" s="13">
        <v>0</v>
      </c>
      <c r="BA586">
        <v>0</v>
      </c>
      <c r="BB586" t="s">
        <v>2840</v>
      </c>
      <c r="BC586">
        <v>6</v>
      </c>
      <c r="BD586" t="s">
        <v>2919</v>
      </c>
      <c r="BE586">
        <v>0</v>
      </c>
      <c r="BF586" s="232" t="s">
        <v>2846</v>
      </c>
      <c r="BG586" s="232" t="s">
        <v>2846</v>
      </c>
      <c r="BH586" s="253">
        <v>25.2</v>
      </c>
      <c r="BI586" s="253">
        <v>7.6345260857689157</v>
      </c>
      <c r="BJ586" s="25">
        <v>21.764992696465086</v>
      </c>
      <c r="BK586" t="s">
        <v>379</v>
      </c>
      <c r="BL586">
        <v>1.0753096677812148</v>
      </c>
      <c r="BM586" t="s">
        <v>383</v>
      </c>
      <c r="BN586" s="322">
        <v>17668.792126</v>
      </c>
      <c r="BO586" s="322">
        <v>2799.9475339999999</v>
      </c>
      <c r="BP586" s="10">
        <v>7638</v>
      </c>
      <c r="BQ586" s="254">
        <f t="shared" si="257"/>
        <v>2.3132746957318671</v>
      </c>
      <c r="BR586" s="254">
        <f t="shared" si="258"/>
        <v>0.36658124299554856</v>
      </c>
      <c r="BS586" s="25">
        <v>79.051621771811298</v>
      </c>
      <c r="BT586" s="25">
        <v>95.758051846032984</v>
      </c>
      <c r="BU586" s="25">
        <v>52.109827983204632</v>
      </c>
      <c r="BV586" s="25">
        <v>86.400733222069519</v>
      </c>
      <c r="BW586" s="25">
        <v>64.11704456307298</v>
      </c>
      <c r="BX586" s="25">
        <v>78.330058705779606</v>
      </c>
      <c r="BY586" s="25">
        <v>66.672113812256754</v>
      </c>
      <c r="BZ586">
        <v>21</v>
      </c>
      <c r="CA586">
        <v>0</v>
      </c>
      <c r="CB586">
        <v>7</v>
      </c>
      <c r="CC586">
        <v>16277.418712999999</v>
      </c>
      <c r="CD586" s="10">
        <v>9956.8818890000002</v>
      </c>
      <c r="CE586" s="255">
        <v>0.61169907001580737</v>
      </c>
      <c r="CF586" t="str">
        <f>IFERROR(VLOOKUP(CE586,'Rangos amb etnico'!$A$2:$C$6,3,9),"N.D.")</f>
        <v>51% - 70%</v>
      </c>
      <c r="CG586" s="256">
        <v>2.8968322826243819E-4</v>
      </c>
      <c r="CH586" s="232">
        <v>0</v>
      </c>
      <c r="CI586" s="311">
        <f t="shared" si="265"/>
        <v>0</v>
      </c>
      <c r="CJ586" s="232">
        <f>IFERROR(VLOOKUP(CI586,'Rangos amb etnico'!$A$2:$C$6,3,9),"N.D.")</f>
        <v>0</v>
      </c>
      <c r="CK586" s="311">
        <f t="shared" si="266"/>
        <v>0</v>
      </c>
      <c r="CL586" s="10">
        <v>0</v>
      </c>
      <c r="CM586" s="255">
        <f t="shared" si="267"/>
        <v>0</v>
      </c>
      <c r="CN586" s="232">
        <f>IFERROR(VLOOKUP(CM586,'Rangos amb etnico'!$A$2:$C$6,3,9),"N.D.")</f>
        <v>0</v>
      </c>
      <c r="CO586" s="311">
        <f t="shared" si="268"/>
        <v>0</v>
      </c>
      <c r="CP586">
        <v>0.94132049067724477</v>
      </c>
      <c r="CQ586" t="s">
        <v>2864</v>
      </c>
      <c r="CR586">
        <f t="shared" si="259"/>
        <v>3</v>
      </c>
      <c r="CS586" t="str">
        <f t="shared" si="269"/>
        <v>Candidato</v>
      </c>
      <c r="CT586">
        <v>0</v>
      </c>
      <c r="CU586">
        <v>0</v>
      </c>
      <c r="CV586" s="25">
        <v>44.545417785644531</v>
      </c>
      <c r="CW586" s="25">
        <v>24.118108749389648</v>
      </c>
      <c r="CX586" s="25">
        <v>46.439994812011719</v>
      </c>
      <c r="CY586" s="25">
        <v>68.740943908691406</v>
      </c>
      <c r="CZ586" s="25">
        <v>25.09055328369141</v>
      </c>
      <c r="DA586" s="25">
        <v>46.831920623779297</v>
      </c>
      <c r="DB586" s="25">
        <v>56.050979614257813</v>
      </c>
      <c r="DC586">
        <v>33</v>
      </c>
      <c r="DD586" s="253" t="s">
        <v>380</v>
      </c>
    </row>
    <row r="587" spans="1:108" hidden="1">
      <c r="A587" s="13">
        <v>52215</v>
      </c>
      <c r="B587" s="13" t="s">
        <v>1621</v>
      </c>
      <c r="C587" s="13" t="s">
        <v>672</v>
      </c>
      <c r="D587" s="13" t="s">
        <v>673</v>
      </c>
      <c r="E587" s="13" t="s">
        <v>568</v>
      </c>
      <c r="F587" s="14">
        <v>55.182566666666702</v>
      </c>
      <c r="G587" s="13">
        <v>32.68</v>
      </c>
      <c r="H587" s="13">
        <v>30.47</v>
      </c>
      <c r="I587" s="13">
        <v>32.46</v>
      </c>
      <c r="J587" s="14">
        <v>52.495732582982512</v>
      </c>
      <c r="K587" s="14">
        <v>50.252717110198837</v>
      </c>
      <c r="L587" s="14">
        <v>62.565522043438882</v>
      </c>
      <c r="M587" s="14">
        <v>58.556899999999999</v>
      </c>
      <c r="N587" s="14">
        <f t="shared" si="243"/>
        <v>37.698141666666679</v>
      </c>
      <c r="O587" s="14">
        <f t="shared" si="244"/>
        <v>55.967717934155061</v>
      </c>
      <c r="P587" s="14">
        <f t="shared" si="260"/>
        <v>46.832929800410867</v>
      </c>
      <c r="Q587" s="14">
        <v>55.256115201108955</v>
      </c>
      <c r="R587" s="17">
        <f t="shared" si="245"/>
        <v>44.743884798891045</v>
      </c>
      <c r="S587" s="14">
        <f t="shared" si="261"/>
        <v>0.50269496319001938</v>
      </c>
      <c r="T587" s="13">
        <v>0</v>
      </c>
      <c r="U587" s="13">
        <f t="shared" si="262"/>
        <v>23.542677922098303</v>
      </c>
      <c r="V587" s="13">
        <f>IF($T587=1,$AU587,(VLOOKUP(U587,'Cortes naturales'!$A$35:$C$39,3,9)))</f>
        <v>4</v>
      </c>
      <c r="W587" s="13">
        <v>4</v>
      </c>
      <c r="X587" s="14" t="b">
        <f t="shared" si="246"/>
        <v>1</v>
      </c>
      <c r="Y587" s="17">
        <f>IF($T587=1,$AU587,VLOOKUP(U587,'Cortes naturales'!$A$45:$C$49,3,9))</f>
        <v>4</v>
      </c>
      <c r="Z587" s="14">
        <v>48.856381417751628</v>
      </c>
      <c r="AA587" s="14">
        <v>0.50926387700783704</v>
      </c>
      <c r="AB587" s="14">
        <v>24.880790217377839</v>
      </c>
      <c r="AC587" s="13">
        <v>4</v>
      </c>
      <c r="AD587" s="13">
        <f t="shared" si="247"/>
        <v>0</v>
      </c>
      <c r="AE587" s="14">
        <f t="shared" si="248"/>
        <v>-2.0234516173407613</v>
      </c>
      <c r="AF587" s="14">
        <f t="shared" si="249"/>
        <v>-6.5689138178176565E-3</v>
      </c>
      <c r="AG587" s="13">
        <f t="shared" si="250"/>
        <v>-1.3381122952795366</v>
      </c>
      <c r="AH587" s="13">
        <f>IF($T587=1,$AU587,VLOOKUP(U587,'Cortes naturales'!$A$25:$C$29,3,9))</f>
        <v>4</v>
      </c>
      <c r="AI587" s="13" t="b">
        <f t="shared" si="251"/>
        <v>1</v>
      </c>
      <c r="AJ587" s="13">
        <f t="shared" si="252"/>
        <v>0</v>
      </c>
      <c r="AK587" s="28">
        <v>0.81759069605862034</v>
      </c>
      <c r="AL587" s="28">
        <v>39.944522890244997</v>
      </c>
      <c r="AM587" s="28">
        <v>0.32903786401909524</v>
      </c>
      <c r="AN587" s="13">
        <v>4</v>
      </c>
      <c r="AO587" s="33">
        <f t="shared" si="253"/>
        <v>0</v>
      </c>
      <c r="AP587" s="13">
        <f t="shared" si="263"/>
        <v>32.903786401909521</v>
      </c>
      <c r="AQ587" s="13">
        <f>IFERROR(VLOOKUP(U587,'Cortes naturales'!$E$15:$G$19,3,9),U587)</f>
        <v>4</v>
      </c>
      <c r="AR587" s="28">
        <f t="shared" si="254"/>
        <v>-0.31489573286860095</v>
      </c>
      <c r="AS587" s="13" t="b">
        <f t="shared" si="255"/>
        <v>1</v>
      </c>
      <c r="AT587" s="13">
        <f t="shared" si="264"/>
        <v>0</v>
      </c>
      <c r="AU587" s="13">
        <v>3</v>
      </c>
      <c r="AV587">
        <f t="shared" si="256"/>
        <v>-1</v>
      </c>
      <c r="AW587" s="13">
        <v>0</v>
      </c>
      <c r="AX587" s="13">
        <v>0</v>
      </c>
      <c r="AY587" s="13">
        <v>0</v>
      </c>
      <c r="AZ587" s="13">
        <v>0</v>
      </c>
      <c r="BA587">
        <v>0</v>
      </c>
      <c r="BB587" t="s">
        <v>2840</v>
      </c>
      <c r="BC587">
        <v>6</v>
      </c>
      <c r="BD587" t="s">
        <v>2919</v>
      </c>
      <c r="BE587">
        <v>0</v>
      </c>
      <c r="BF587" s="232" t="s">
        <v>2846</v>
      </c>
      <c r="BG587" s="232" t="s">
        <v>2846</v>
      </c>
      <c r="BH587" s="253">
        <v>41.8</v>
      </c>
      <c r="BI587" s="253">
        <v>19.666824037229379</v>
      </c>
      <c r="BJ587" s="25">
        <v>40.02393207472408</v>
      </c>
      <c r="BK587" t="s">
        <v>376</v>
      </c>
      <c r="BL587">
        <v>1.4133455729435744</v>
      </c>
      <c r="BM587" t="s">
        <v>383</v>
      </c>
      <c r="BN587" s="322">
        <v>40357.446494999997</v>
      </c>
      <c r="BO587" s="322">
        <v>1692.0605009999999</v>
      </c>
      <c r="BP587" s="10">
        <v>16735</v>
      </c>
      <c r="BQ587" s="254">
        <f t="shared" si="257"/>
        <v>2.4115593961756794</v>
      </c>
      <c r="BR587" s="254">
        <f t="shared" si="258"/>
        <v>0.10110908282043621</v>
      </c>
      <c r="BS587" s="25">
        <v>59.753597204560307</v>
      </c>
      <c r="BT587" s="25">
        <v>88.812204117119805</v>
      </c>
      <c r="BU587" s="25">
        <v>59.110213298028839</v>
      </c>
      <c r="BV587" s="25">
        <v>90.443001556202617</v>
      </c>
      <c r="BW587" s="25">
        <v>54.937650555895161</v>
      </c>
      <c r="BX587" s="25">
        <v>74.529754043977889</v>
      </c>
      <c r="BY587" s="25">
        <v>55.458252020901242</v>
      </c>
      <c r="BZ587">
        <v>28</v>
      </c>
      <c r="CA587">
        <v>0</v>
      </c>
      <c r="CB587">
        <v>7</v>
      </c>
      <c r="CC587">
        <v>30491.737392999999</v>
      </c>
      <c r="CD587" s="10">
        <v>7194.715999</v>
      </c>
      <c r="CE587" s="255">
        <v>0.23595624959867634</v>
      </c>
      <c r="CF587" t="str">
        <f>IFERROR(VLOOKUP(CE587,'Rangos amb etnico'!$A$2:$C$6,3,9),"N.D.")</f>
        <v>0,1% - 30%</v>
      </c>
      <c r="CG587" s="256">
        <v>2.0932141008163092E-4</v>
      </c>
      <c r="CH587" s="232">
        <v>346.56376999999998</v>
      </c>
      <c r="CI587" s="311">
        <f t="shared" si="265"/>
        <v>1.1365825618043029E-2</v>
      </c>
      <c r="CJ587" s="232" t="str">
        <f>IFERROR(VLOOKUP(CI587,'Rangos amb etnico'!$A$2:$C$6,3,9),"N.D.")</f>
        <v>0,1% - 30%</v>
      </c>
      <c r="CK587" s="311">
        <f t="shared" si="266"/>
        <v>1.3760850691482279E-5</v>
      </c>
      <c r="CL587" s="10">
        <v>0</v>
      </c>
      <c r="CM587" s="255">
        <f t="shared" si="267"/>
        <v>0</v>
      </c>
      <c r="CN587" s="232">
        <f>IFERROR(VLOOKUP(CM587,'Rangos amb etnico'!$A$2:$C$6,3,9),"N.D.")</f>
        <v>0</v>
      </c>
      <c r="CO587" s="311">
        <f t="shared" si="268"/>
        <v>0</v>
      </c>
      <c r="CP587">
        <v>0.94571249148376202</v>
      </c>
      <c r="CQ587" t="s">
        <v>2864</v>
      </c>
      <c r="CR587">
        <f t="shared" si="259"/>
        <v>1</v>
      </c>
      <c r="CS587" t="str">
        <f t="shared" si="269"/>
        <v>No es Candidato</v>
      </c>
      <c r="CT587">
        <v>0</v>
      </c>
      <c r="CU587">
        <v>0</v>
      </c>
      <c r="CV587" s="25">
        <v>50.287689208984382</v>
      </c>
      <c r="CW587" s="25">
        <v>22.43550872802734</v>
      </c>
      <c r="CX587" s="25">
        <v>45.475620269775391</v>
      </c>
      <c r="CY587" s="25">
        <v>58.987201690673828</v>
      </c>
      <c r="CZ587" s="25">
        <v>47.457328796386719</v>
      </c>
      <c r="DA587" s="25">
        <v>72.491035461425781</v>
      </c>
      <c r="DB587" s="25">
        <v>54.879436492919922</v>
      </c>
      <c r="DC587">
        <v>15226</v>
      </c>
      <c r="DD587" s="253" t="s">
        <v>380</v>
      </c>
    </row>
    <row r="588" spans="1:108" hidden="1">
      <c r="A588" s="13">
        <v>15131</v>
      </c>
      <c r="B588" s="13" t="s">
        <v>1622</v>
      </c>
      <c r="C588" s="13" t="s">
        <v>498</v>
      </c>
      <c r="D588" s="13" t="s">
        <v>499</v>
      </c>
      <c r="E588" s="13" t="s">
        <v>507</v>
      </c>
      <c r="F588" s="14">
        <v>61.680333333333301</v>
      </c>
      <c r="G588" s="13">
        <v>54.22</v>
      </c>
      <c r="H588" s="13">
        <v>44.14</v>
      </c>
      <c r="I588" s="13">
        <v>48.47</v>
      </c>
      <c r="J588" s="14">
        <v>45.114255984773408</v>
      </c>
      <c r="K588" s="14">
        <v>45.959897263906427</v>
      </c>
      <c r="L588" s="14">
        <v>51.541141550886316</v>
      </c>
      <c r="M588" s="14">
        <v>49.8902</v>
      </c>
      <c r="N588" s="14">
        <f t="shared" si="243"/>
        <v>52.127583333333327</v>
      </c>
      <c r="O588" s="14">
        <f t="shared" si="244"/>
        <v>48.126373699891538</v>
      </c>
      <c r="P588" s="14">
        <f t="shared" si="260"/>
        <v>50.126978516612432</v>
      </c>
      <c r="Q588" s="14">
        <v>56.921452662826979</v>
      </c>
      <c r="R588" s="17">
        <f t="shared" si="245"/>
        <v>43.078547337173021</v>
      </c>
      <c r="S588" s="14">
        <f t="shared" si="261"/>
        <v>0.48770692603455723</v>
      </c>
      <c r="T588" s="13">
        <v>0</v>
      </c>
      <c r="U588" s="13">
        <f t="shared" si="262"/>
        <v>24.447274603737338</v>
      </c>
      <c r="V588" s="13">
        <f>IF($T588=1,$AU588,(VLOOKUP(U588,'Cortes naturales'!$A$35:$C$39,3,9)))</f>
        <v>4</v>
      </c>
      <c r="W588" s="13">
        <v>4</v>
      </c>
      <c r="X588" s="14" t="b">
        <f t="shared" si="246"/>
        <v>1</v>
      </c>
      <c r="Y588" s="17">
        <f>IF($T588=1,$AU588,VLOOKUP(U588,'Cortes naturales'!$A$45:$C$49,3,9))</f>
        <v>4</v>
      </c>
      <c r="Z588" s="14">
        <v>52.005758604562487</v>
      </c>
      <c r="AA588" s="14">
        <v>0.50702203740790319</v>
      </c>
      <c r="AB588" s="14">
        <v>26.368065684628863</v>
      </c>
      <c r="AC588" s="13">
        <v>4</v>
      </c>
      <c r="AD588" s="13">
        <f t="shared" si="247"/>
        <v>0</v>
      </c>
      <c r="AE588" s="14">
        <f t="shared" si="248"/>
        <v>-1.8787800879500551</v>
      </c>
      <c r="AF588" s="14">
        <f t="shared" si="249"/>
        <v>-1.9315111373345961E-2</v>
      </c>
      <c r="AG588" s="13">
        <f t="shared" si="250"/>
        <v>-1.9207910808915258</v>
      </c>
      <c r="AH588" s="13">
        <f>IF($T588=1,$AU588,VLOOKUP(U588,'Cortes naturales'!$A$25:$C$29,3,9))</f>
        <v>4</v>
      </c>
      <c r="AI588" s="13" t="b">
        <f t="shared" si="251"/>
        <v>1</v>
      </c>
      <c r="AJ588" s="13">
        <f t="shared" si="252"/>
        <v>0</v>
      </c>
      <c r="AK588" s="28">
        <v>0.81759069605862034</v>
      </c>
      <c r="AL588" s="28">
        <v>42.519424376560828</v>
      </c>
      <c r="AM588" s="28">
        <v>0.36124716741090157</v>
      </c>
      <c r="AN588" s="13">
        <v>3</v>
      </c>
      <c r="AO588" s="33">
        <f t="shared" si="253"/>
        <v>-1</v>
      </c>
      <c r="AP588" s="13">
        <f t="shared" si="263"/>
        <v>36.124716741090154</v>
      </c>
      <c r="AQ588" s="13">
        <f>IFERROR(VLOOKUP(U588,'Cortes naturales'!$E$15:$G$19,3,9),U588)</f>
        <v>4</v>
      </c>
      <c r="AR588" s="28">
        <f t="shared" si="254"/>
        <v>-0.32988377002406311</v>
      </c>
      <c r="AS588" s="13" t="b">
        <f t="shared" si="255"/>
        <v>1</v>
      </c>
      <c r="AT588" s="13" t="str">
        <f t="shared" si="264"/>
        <v>Efecto ponderador</v>
      </c>
      <c r="AU588" s="13">
        <v>3</v>
      </c>
      <c r="AV588">
        <f t="shared" si="256"/>
        <v>-1</v>
      </c>
      <c r="AW588" s="13">
        <v>0</v>
      </c>
      <c r="AX588" s="13">
        <v>0</v>
      </c>
      <c r="AY588" s="13">
        <v>0</v>
      </c>
      <c r="AZ588" s="13">
        <v>0</v>
      </c>
      <c r="BA588">
        <v>0</v>
      </c>
      <c r="BB588" t="s">
        <v>2841</v>
      </c>
      <c r="BC588">
        <v>6</v>
      </c>
      <c r="BD588" t="s">
        <v>2919</v>
      </c>
      <c r="BE588">
        <v>0</v>
      </c>
      <c r="BF588" s="232" t="s">
        <v>2846</v>
      </c>
      <c r="BG588" s="232" t="s">
        <v>2846</v>
      </c>
      <c r="BH588" s="253">
        <v>43.7</v>
      </c>
      <c r="BI588" s="253">
        <v>15.332252836304701</v>
      </c>
      <c r="BJ588" s="25">
        <v>63.208510915970592</v>
      </c>
      <c r="BK588" t="s">
        <v>376</v>
      </c>
      <c r="BL588">
        <v>2.5819176913897235</v>
      </c>
      <c r="BM588" t="s">
        <v>383</v>
      </c>
      <c r="BN588" s="322">
        <v>11688.486081999999</v>
      </c>
      <c r="BO588" s="322">
        <v>1054.5686499999999</v>
      </c>
      <c r="BP588" s="10">
        <v>2893</v>
      </c>
      <c r="BQ588" s="254">
        <f t="shared" si="257"/>
        <v>4.0402648053923258</v>
      </c>
      <c r="BR588" s="254">
        <f t="shared" si="258"/>
        <v>0.36452424818527479</v>
      </c>
      <c r="BS588" s="25">
        <v>49.086968867036148</v>
      </c>
      <c r="BT588" s="25">
        <v>81.658690606060603</v>
      </c>
      <c r="BU588" s="25">
        <v>59.5975438596491</v>
      </c>
      <c r="BV588" s="25">
        <v>77.016141574964095</v>
      </c>
      <c r="BW588" s="25">
        <v>54.609500618923477</v>
      </c>
      <c r="BX588" s="25">
        <v>66.839836226927488</v>
      </c>
      <c r="BY588" s="25">
        <v>56.252767411599251</v>
      </c>
      <c r="BZ588">
        <v>86</v>
      </c>
      <c r="CA588">
        <v>0</v>
      </c>
      <c r="CB588">
        <v>7</v>
      </c>
      <c r="CC588">
        <v>7885.6883989999997</v>
      </c>
      <c r="CD588" s="10">
        <v>0</v>
      </c>
      <c r="CE588" s="255">
        <v>0</v>
      </c>
      <c r="CF588">
        <f>IFERROR(VLOOKUP(CE588,'Rangos amb etnico'!$A$2:$C$6,3,9),"N.D.")</f>
        <v>0</v>
      </c>
      <c r="CG588" s="256">
        <v>0</v>
      </c>
      <c r="CH588" s="232">
        <v>0</v>
      </c>
      <c r="CI588" s="311">
        <f t="shared" si="265"/>
        <v>0</v>
      </c>
      <c r="CJ588" s="232">
        <f>IFERROR(VLOOKUP(CI588,'Rangos amb etnico'!$A$2:$C$6,3,9),"N.D.")</f>
        <v>0</v>
      </c>
      <c r="CK588" s="311">
        <f t="shared" si="266"/>
        <v>0</v>
      </c>
      <c r="CL588" s="10">
        <v>0</v>
      </c>
      <c r="CM588" s="255">
        <f t="shared" si="267"/>
        <v>0</v>
      </c>
      <c r="CN588" s="232">
        <f>IFERROR(VLOOKUP(CM588,'Rangos amb etnico'!$A$2:$C$6,3,9),"N.D.")</f>
        <v>0</v>
      </c>
      <c r="CO588" s="311">
        <f t="shared" si="268"/>
        <v>0</v>
      </c>
      <c r="CP588">
        <v>0.88701798360511186</v>
      </c>
      <c r="CQ588" t="s">
        <v>2864</v>
      </c>
      <c r="CR588">
        <f t="shared" si="259"/>
        <v>1</v>
      </c>
      <c r="CS588" t="str">
        <f t="shared" si="269"/>
        <v>No es Candidato</v>
      </c>
      <c r="CT588">
        <v>0</v>
      </c>
      <c r="CU588">
        <v>0</v>
      </c>
      <c r="CV588" s="25">
        <v>45.847206115722663</v>
      </c>
      <c r="CW588" s="25">
        <v>15.73504161834717</v>
      </c>
      <c r="CX588" s="25">
        <v>51.921882629394531</v>
      </c>
      <c r="CY588" s="25">
        <v>63.635757446289063</v>
      </c>
      <c r="CZ588" s="25">
        <v>48.289192199707031</v>
      </c>
      <c r="DA588" s="25">
        <v>53.038002014160163</v>
      </c>
      <c r="DB588" s="25">
        <v>42.463359832763672</v>
      </c>
      <c r="DC588">
        <v>23</v>
      </c>
      <c r="DD588" s="253" t="s">
        <v>380</v>
      </c>
    </row>
    <row r="589" spans="1:108" hidden="1">
      <c r="A589" s="13">
        <v>15380</v>
      </c>
      <c r="B589" s="13" t="s">
        <v>1623</v>
      </c>
      <c r="C589" s="13" t="s">
        <v>498</v>
      </c>
      <c r="D589" s="13" t="s">
        <v>499</v>
      </c>
      <c r="E589" s="13" t="s">
        <v>1624</v>
      </c>
      <c r="F589" s="14">
        <v>75.666633333333294</v>
      </c>
      <c r="G589" s="13">
        <v>69.069999999999993</v>
      </c>
      <c r="H589" s="13">
        <v>46.35</v>
      </c>
      <c r="I589" s="13">
        <v>82.25</v>
      </c>
      <c r="J589" s="14">
        <v>61.555662480401459</v>
      </c>
      <c r="K589" s="14">
        <v>41.968396056447901</v>
      </c>
      <c r="L589" s="14">
        <v>55.216654749448175</v>
      </c>
      <c r="M589" s="14">
        <v>48.873100000000001</v>
      </c>
      <c r="N589" s="14">
        <f t="shared" si="243"/>
        <v>68.33415833333332</v>
      </c>
      <c r="O589" s="14">
        <f t="shared" si="244"/>
        <v>51.903453321574382</v>
      </c>
      <c r="P589" s="14">
        <f t="shared" si="260"/>
        <v>60.118805827453855</v>
      </c>
      <c r="Q589" s="14">
        <v>56.050594363014739</v>
      </c>
      <c r="R589" s="17">
        <f t="shared" si="245"/>
        <v>43.949405636985261</v>
      </c>
      <c r="S589" s="14">
        <f t="shared" si="261"/>
        <v>0.49554465073286735</v>
      </c>
      <c r="T589" s="13">
        <v>0</v>
      </c>
      <c r="U589" s="13">
        <f t="shared" si="262"/>
        <v>29.791552636242692</v>
      </c>
      <c r="V589" s="13">
        <f>IF($T589=1,$AU589,(VLOOKUP(U589,'Cortes naturales'!$A$35:$C$39,3,9)))</f>
        <v>3</v>
      </c>
      <c r="W589" s="13">
        <v>3</v>
      </c>
      <c r="X589" s="14" t="b">
        <f t="shared" si="246"/>
        <v>1</v>
      </c>
      <c r="Y589" s="17">
        <f>IF($T589=1,$AU589,VLOOKUP(U589,'Cortes naturales'!$A$45:$C$49,3,9))</f>
        <v>3</v>
      </c>
      <c r="Z589" s="14">
        <v>59.261884182341788</v>
      </c>
      <c r="AA589" s="14">
        <v>0.51073456062515965</v>
      </c>
      <c r="AB589" s="14">
        <v>30.267092379687433</v>
      </c>
      <c r="AC589" s="13">
        <v>3</v>
      </c>
      <c r="AD589" s="13">
        <f t="shared" si="247"/>
        <v>0</v>
      </c>
      <c r="AE589" s="14">
        <f t="shared" si="248"/>
        <v>0.8569216451120667</v>
      </c>
      <c r="AF589" s="14">
        <f t="shared" si="249"/>
        <v>-1.5189909892292297E-2</v>
      </c>
      <c r="AG589" s="13">
        <f t="shared" si="250"/>
        <v>-0.4755397434447417</v>
      </c>
      <c r="AH589" s="13">
        <f>IF($T589=1,$AU589,VLOOKUP(U589,'Cortes naturales'!$A$25:$C$29,3,9))</f>
        <v>3</v>
      </c>
      <c r="AI589" s="13" t="b">
        <f t="shared" si="251"/>
        <v>1</v>
      </c>
      <c r="AJ589" s="13">
        <f t="shared" si="252"/>
        <v>0</v>
      </c>
      <c r="AK589" s="28">
        <v>0.81759069605862034</v>
      </c>
      <c r="AL589" s="28">
        <v>48.451965138386164</v>
      </c>
      <c r="AM589" s="28">
        <v>0.43545699885392569</v>
      </c>
      <c r="AN589" s="13">
        <v>3</v>
      </c>
      <c r="AO589" s="33">
        <f t="shared" si="253"/>
        <v>0</v>
      </c>
      <c r="AP589" s="13">
        <f t="shared" si="263"/>
        <v>43.545699885392573</v>
      </c>
      <c r="AQ589" s="13">
        <f>IFERROR(VLOOKUP(U589,'Cortes naturales'!$E$15:$G$19,3,9),U589)</f>
        <v>4</v>
      </c>
      <c r="AR589" s="28">
        <f t="shared" si="254"/>
        <v>-0.32204604532575298</v>
      </c>
      <c r="AS589" s="13" t="b">
        <f t="shared" si="255"/>
        <v>0</v>
      </c>
      <c r="AT589" s="13">
        <f t="shared" si="264"/>
        <v>0</v>
      </c>
      <c r="AU589" s="13">
        <v>3</v>
      </c>
      <c r="AV589">
        <f t="shared" si="256"/>
        <v>0</v>
      </c>
      <c r="AW589" s="13">
        <v>0</v>
      </c>
      <c r="AX589" s="13">
        <v>0</v>
      </c>
      <c r="AY589" s="13">
        <v>0</v>
      </c>
      <c r="AZ589" s="13">
        <v>0</v>
      </c>
      <c r="BA589">
        <v>0</v>
      </c>
      <c r="BB589" t="s">
        <v>2839</v>
      </c>
      <c r="BC589">
        <v>6</v>
      </c>
      <c r="BD589" t="s">
        <v>2919</v>
      </c>
      <c r="BE589">
        <v>0</v>
      </c>
      <c r="BF589" s="232" t="s">
        <v>2846</v>
      </c>
      <c r="BG589" s="232" t="s">
        <v>2846</v>
      </c>
      <c r="BH589" s="253">
        <v>31.6</v>
      </c>
      <c r="BI589" s="253">
        <v>7.1366024518388791</v>
      </c>
      <c r="BJ589" s="25">
        <v>53.013299093050058</v>
      </c>
      <c r="BK589" t="s">
        <v>376</v>
      </c>
      <c r="BL589">
        <v>0</v>
      </c>
      <c r="BM589" t="s">
        <v>377</v>
      </c>
      <c r="BN589" s="322">
        <v>12102.785302</v>
      </c>
      <c r="BO589" s="322">
        <v>983.63687800000002</v>
      </c>
      <c r="BP589" s="10">
        <v>2586</v>
      </c>
      <c r="BQ589" s="254">
        <f t="shared" si="257"/>
        <v>4.6801180595514307</v>
      </c>
      <c r="BR589" s="254">
        <f t="shared" si="258"/>
        <v>0.38037002242846096</v>
      </c>
      <c r="BS589" s="25">
        <v>60.304850378379797</v>
      </c>
      <c r="BT589" s="25">
        <v>87.669502449084817</v>
      </c>
      <c r="BU589" s="25">
        <v>47.745179063360872</v>
      </c>
      <c r="BV589" s="25">
        <v>94.891166991544267</v>
      </c>
      <c r="BW589" s="25">
        <v>64.688335875378598</v>
      </c>
      <c r="BX589" s="25">
        <v>72.652674720592429</v>
      </c>
      <c r="BY589" s="25">
        <v>65.175708286492409</v>
      </c>
      <c r="BZ589">
        <v>98</v>
      </c>
      <c r="CA589">
        <v>0</v>
      </c>
      <c r="CB589">
        <v>7</v>
      </c>
      <c r="CC589">
        <v>5683.7152729999998</v>
      </c>
      <c r="CD589" s="10">
        <v>5288.1881309999999</v>
      </c>
      <c r="CE589" s="255">
        <v>0.93041045812429812</v>
      </c>
      <c r="CF589" t="str">
        <f>IFERROR(VLOOKUP(CE589,'Rangos amb etnico'!$A$2:$C$6,3,9),"N.D.")</f>
        <v>71% - 100%</v>
      </c>
      <c r="CG589" s="256">
        <v>1.5385332742970224E-4</v>
      </c>
      <c r="CH589" s="232">
        <v>0</v>
      </c>
      <c r="CI589" s="311">
        <f t="shared" si="265"/>
        <v>0</v>
      </c>
      <c r="CJ589" s="232">
        <f>IFERROR(VLOOKUP(CI589,'Rangos amb etnico'!$A$2:$C$6,3,9),"N.D.")</f>
        <v>0</v>
      </c>
      <c r="CK589" s="311">
        <f t="shared" si="266"/>
        <v>0</v>
      </c>
      <c r="CL589" s="10">
        <v>0</v>
      </c>
      <c r="CM589" s="255">
        <f t="shared" si="267"/>
        <v>0</v>
      </c>
      <c r="CN589" s="232">
        <f>IFERROR(VLOOKUP(CM589,'Rangos amb etnico'!$A$2:$C$6,3,9),"N.D.")</f>
        <v>0</v>
      </c>
      <c r="CO589" s="311">
        <f t="shared" si="268"/>
        <v>0</v>
      </c>
      <c r="CP589">
        <v>0.94356564525106168</v>
      </c>
      <c r="CQ589" t="s">
        <v>2864</v>
      </c>
      <c r="CR589">
        <f t="shared" si="259"/>
        <v>3</v>
      </c>
      <c r="CS589" t="str">
        <f t="shared" si="269"/>
        <v>Candidato</v>
      </c>
      <c r="CT589">
        <v>0</v>
      </c>
      <c r="CU589">
        <v>0</v>
      </c>
      <c r="CV589" s="25">
        <v>48.724925994873047</v>
      </c>
      <c r="CW589" s="25">
        <v>20.8176383972168</v>
      </c>
      <c r="CX589" s="25">
        <v>46.633346557617188</v>
      </c>
      <c r="CY589" s="25">
        <v>62.443862915039063</v>
      </c>
      <c r="CZ589" s="25">
        <v>42.094757080078118</v>
      </c>
      <c r="DA589" s="25">
        <v>68.753379821777344</v>
      </c>
      <c r="DB589" s="25">
        <v>51.6065673828125</v>
      </c>
      <c r="DC589">
        <v>17</v>
      </c>
      <c r="DD589" s="253" t="s">
        <v>380</v>
      </c>
    </row>
    <row r="590" spans="1:108" hidden="1">
      <c r="A590" s="13">
        <v>15810</v>
      </c>
      <c r="B590" s="13" t="s">
        <v>1625</v>
      </c>
      <c r="C590" s="13" t="s">
        <v>498</v>
      </c>
      <c r="D590" s="13" t="s">
        <v>499</v>
      </c>
      <c r="E590" s="13" t="s">
        <v>1626</v>
      </c>
      <c r="F590" s="14">
        <v>73.085666666666697</v>
      </c>
      <c r="G590" s="13">
        <v>46.82</v>
      </c>
      <c r="H590" s="13">
        <v>58.31</v>
      </c>
      <c r="I590" s="13">
        <v>86.34</v>
      </c>
      <c r="J590" s="14">
        <v>36.67821299545362</v>
      </c>
      <c r="K590" s="14">
        <v>39.261039081038263</v>
      </c>
      <c r="L590" s="14">
        <v>48.06423516222155</v>
      </c>
      <c r="M590" s="14">
        <v>43.263399999999997</v>
      </c>
      <c r="N590" s="14">
        <f t="shared" si="243"/>
        <v>66.138916666666674</v>
      </c>
      <c r="O590" s="14">
        <f t="shared" si="244"/>
        <v>41.816721809678356</v>
      </c>
      <c r="P590" s="14">
        <f t="shared" si="260"/>
        <v>53.977819238172515</v>
      </c>
      <c r="Q590" s="14">
        <v>56.387304656858241</v>
      </c>
      <c r="R590" s="17">
        <f t="shared" si="245"/>
        <v>43.612695343141759</v>
      </c>
      <c r="S590" s="14">
        <f t="shared" si="261"/>
        <v>0.49251425808827587</v>
      </c>
      <c r="T590" s="13">
        <v>0</v>
      </c>
      <c r="U590" s="13">
        <f t="shared" si="262"/>
        <v>26.584845595311599</v>
      </c>
      <c r="V590" s="13">
        <f>IF($T590=1,$AU590,(VLOOKUP(U590,'Cortes naturales'!$A$35:$C$39,3,9)))</f>
        <v>4</v>
      </c>
      <c r="W590" s="13">
        <v>4</v>
      </c>
      <c r="X590" s="14" t="b">
        <f t="shared" si="246"/>
        <v>1</v>
      </c>
      <c r="Y590" s="17">
        <f>IF($T590=1,$AU590,VLOOKUP(U590,'Cortes naturales'!$A$45:$C$49,3,9))</f>
        <v>4</v>
      </c>
      <c r="Z590" s="14">
        <v>52.176708032872426</v>
      </c>
      <c r="AA590" s="14">
        <v>0.50928406417916083</v>
      </c>
      <c r="AB590" s="14">
        <v>26.572765922470737</v>
      </c>
      <c r="AC590" s="13">
        <v>4</v>
      </c>
      <c r="AD590" s="13">
        <f t="shared" si="247"/>
        <v>0</v>
      </c>
      <c r="AE590" s="14">
        <f t="shared" si="248"/>
        <v>1.8011112053000886</v>
      </c>
      <c r="AF590" s="14">
        <f t="shared" si="249"/>
        <v>-1.6769806090884964E-2</v>
      </c>
      <c r="AG590" s="13">
        <f t="shared" si="250"/>
        <v>1.2079672840862088E-2</v>
      </c>
      <c r="AH590" s="13">
        <f>IF($T590=1,$AU590,VLOOKUP(U590,'Cortes naturales'!$A$25:$C$29,3,9))</f>
        <v>4</v>
      </c>
      <c r="AI590" s="13" t="b">
        <f t="shared" si="251"/>
        <v>1</v>
      </c>
      <c r="AJ590" s="13">
        <f t="shared" si="252"/>
        <v>0</v>
      </c>
      <c r="AK590" s="28">
        <v>0.81759069605862034</v>
      </c>
      <c r="AL590" s="28">
        <v>42.659191038643577</v>
      </c>
      <c r="AM590" s="28">
        <v>0.36299550102560796</v>
      </c>
      <c r="AN590" s="13">
        <v>3</v>
      </c>
      <c r="AO590" s="33">
        <f t="shared" si="253"/>
        <v>-1</v>
      </c>
      <c r="AP590" s="13">
        <f t="shared" si="263"/>
        <v>36.299550102560794</v>
      </c>
      <c r="AQ590" s="13">
        <f>IFERROR(VLOOKUP(U590,'Cortes naturales'!$E$15:$G$19,3,9),U590)</f>
        <v>4</v>
      </c>
      <c r="AR590" s="28">
        <f t="shared" si="254"/>
        <v>-0.32507643797034447</v>
      </c>
      <c r="AS590" s="13" t="b">
        <f t="shared" si="255"/>
        <v>1</v>
      </c>
      <c r="AT590" s="13" t="str">
        <f t="shared" si="264"/>
        <v>Efecto ponderador</v>
      </c>
      <c r="AU590" s="13">
        <v>3</v>
      </c>
      <c r="AV590">
        <f t="shared" si="256"/>
        <v>-1</v>
      </c>
      <c r="AW590" s="13">
        <v>0</v>
      </c>
      <c r="AX590" s="13">
        <v>0</v>
      </c>
      <c r="AY590" s="13">
        <v>0</v>
      </c>
      <c r="AZ590" s="13">
        <v>0</v>
      </c>
      <c r="BA590">
        <v>0</v>
      </c>
      <c r="BB590" t="s">
        <v>2840</v>
      </c>
      <c r="BC590">
        <v>6</v>
      </c>
      <c r="BD590" t="s">
        <v>2919</v>
      </c>
      <c r="BE590">
        <v>0</v>
      </c>
      <c r="BF590" s="232" t="s">
        <v>2846</v>
      </c>
      <c r="BG590" s="232" t="s">
        <v>2846</v>
      </c>
      <c r="BH590" s="253">
        <v>41.6</v>
      </c>
      <c r="BI590" s="253">
        <v>24.413443246670894</v>
      </c>
      <c r="BJ590" s="25">
        <v>43.359141396933566</v>
      </c>
      <c r="BK590" t="s">
        <v>376</v>
      </c>
      <c r="BL590">
        <v>0</v>
      </c>
      <c r="BM590" t="s">
        <v>377</v>
      </c>
      <c r="BN590" s="322">
        <v>15694.869898000001</v>
      </c>
      <c r="BO590" s="322">
        <v>718.56331599999999</v>
      </c>
      <c r="BP590" s="10">
        <v>3217</v>
      </c>
      <c r="BQ590" s="254">
        <f t="shared" si="257"/>
        <v>4.8787285974510413</v>
      </c>
      <c r="BR590" s="254">
        <f t="shared" si="258"/>
        <v>0.22336441280696301</v>
      </c>
      <c r="BS590" s="25">
        <v>65.424224249953582</v>
      </c>
      <c r="BT590" s="25">
        <v>88.590819604186095</v>
      </c>
      <c r="BU590" s="25">
        <v>42.307417840375557</v>
      </c>
      <c r="BV590" s="25">
        <v>98.688227540685446</v>
      </c>
      <c r="BW590" s="25">
        <v>52.376522598946387</v>
      </c>
      <c r="BX590" s="25">
        <v>73.752672308800172</v>
      </c>
      <c r="BY590" s="25">
        <v>54.450483031162499</v>
      </c>
      <c r="BZ590">
        <v>82</v>
      </c>
      <c r="CA590">
        <v>0</v>
      </c>
      <c r="CB590">
        <v>7</v>
      </c>
      <c r="CC590">
        <v>7179.3050620000004</v>
      </c>
      <c r="CD590" s="10">
        <v>420.40924999999999</v>
      </c>
      <c r="CE590" s="255">
        <v>5.8558488094512452E-2</v>
      </c>
      <c r="CF590" t="str">
        <f>IFERROR(VLOOKUP(CE590,'Rangos amb etnico'!$A$2:$C$6,3,9),"N.D.")</f>
        <v>0,1% - 30%</v>
      </c>
      <c r="CG590" s="256">
        <v>1.2231289884630913E-5</v>
      </c>
      <c r="CH590" s="232">
        <v>0</v>
      </c>
      <c r="CI590" s="311">
        <f t="shared" si="265"/>
        <v>0</v>
      </c>
      <c r="CJ590" s="232">
        <f>IFERROR(VLOOKUP(CI590,'Rangos amb etnico'!$A$2:$C$6,3,9),"N.D.")</f>
        <v>0</v>
      </c>
      <c r="CK590" s="311">
        <f t="shared" si="266"/>
        <v>0</v>
      </c>
      <c r="CL590" s="10">
        <v>0</v>
      </c>
      <c r="CM590" s="255">
        <f t="shared" si="267"/>
        <v>0</v>
      </c>
      <c r="CN590" s="232">
        <f>IFERROR(VLOOKUP(CM590,'Rangos amb etnico'!$A$2:$C$6,3,9),"N.D.")</f>
        <v>0</v>
      </c>
      <c r="CO590" s="311">
        <f t="shared" si="268"/>
        <v>0</v>
      </c>
      <c r="CP590">
        <v>0.97302704561091535</v>
      </c>
      <c r="CQ590" t="s">
        <v>2864</v>
      </c>
      <c r="CR590">
        <f t="shared" si="259"/>
        <v>2</v>
      </c>
      <c r="CS590" t="str">
        <f t="shared" si="269"/>
        <v>No es Candidato</v>
      </c>
      <c r="CT590">
        <v>0</v>
      </c>
      <c r="CU590">
        <v>0</v>
      </c>
      <c r="CV590" s="25">
        <v>52.634387969970703</v>
      </c>
      <c r="CW590" s="25">
        <v>24.209365844726559</v>
      </c>
      <c r="CX590" s="25">
        <v>47.776576995849609</v>
      </c>
      <c r="CY590" s="25">
        <v>59.305503845214837</v>
      </c>
      <c r="CZ590" s="25">
        <v>35.172538757324219</v>
      </c>
      <c r="DA590" s="25">
        <v>93.940826416015625</v>
      </c>
      <c r="DB590" s="25">
        <v>55.401508331298828</v>
      </c>
      <c r="DC590">
        <v>37</v>
      </c>
      <c r="DD590" s="253" t="s">
        <v>380</v>
      </c>
    </row>
    <row r="591" spans="1:108" hidden="1">
      <c r="A591" s="13">
        <v>25324</v>
      </c>
      <c r="B591" s="13" t="s">
        <v>1627</v>
      </c>
      <c r="C591" s="13" t="s">
        <v>461</v>
      </c>
      <c r="D591" s="13" t="s">
        <v>462</v>
      </c>
      <c r="E591" s="13" t="s">
        <v>1628</v>
      </c>
      <c r="F591" s="14">
        <v>66.689300000000003</v>
      </c>
      <c r="G591" s="13">
        <v>62.79</v>
      </c>
      <c r="H591" s="13">
        <v>59.52</v>
      </c>
      <c r="I591" s="13">
        <v>72.489999999999995</v>
      </c>
      <c r="J591" s="14">
        <v>53.481091300202074</v>
      </c>
      <c r="K591" s="14">
        <v>54.159385402806208</v>
      </c>
      <c r="L591" s="14">
        <v>64.096034739175593</v>
      </c>
      <c r="M591" s="14">
        <v>51.439399999999999</v>
      </c>
      <c r="N591" s="14">
        <f t="shared" si="243"/>
        <v>65.372325000000004</v>
      </c>
      <c r="O591" s="14">
        <f t="shared" si="244"/>
        <v>55.793977860545972</v>
      </c>
      <c r="P591" s="14">
        <f t="shared" si="260"/>
        <v>60.583151430272991</v>
      </c>
      <c r="Q591" s="14">
        <v>56.04079866898558</v>
      </c>
      <c r="R591" s="17">
        <f t="shared" si="245"/>
        <v>43.95920133101442</v>
      </c>
      <c r="S591" s="14">
        <f t="shared" si="261"/>
        <v>0.49563281197912978</v>
      </c>
      <c r="T591" s="13">
        <v>0</v>
      </c>
      <c r="U591" s="13">
        <f t="shared" si="262"/>
        <v>30.026997701943642</v>
      </c>
      <c r="V591" s="13">
        <f>IF($T591=1,$AU591,(VLOOKUP(U591,'Cortes naturales'!$A$35:$C$39,3,9)))</f>
        <v>3</v>
      </c>
      <c r="W591" s="13">
        <v>3</v>
      </c>
      <c r="X591" s="14" t="b">
        <f t="shared" si="246"/>
        <v>1</v>
      </c>
      <c r="Y591" s="17">
        <f>IF($T591=1,$AU591,VLOOKUP(U591,'Cortes naturales'!$A$45:$C$49,3,9))</f>
        <v>3</v>
      </c>
      <c r="Z591" s="14">
        <v>60.2837829950928</v>
      </c>
      <c r="AA591" s="14">
        <v>0.50830180511811107</v>
      </c>
      <c r="AB591" s="14">
        <v>30.64235571575416</v>
      </c>
      <c r="AC591" s="13">
        <v>3</v>
      </c>
      <c r="AD591" s="13">
        <f t="shared" si="247"/>
        <v>0</v>
      </c>
      <c r="AE591" s="14">
        <f t="shared" si="248"/>
        <v>0.29936843518019174</v>
      </c>
      <c r="AF591" s="14">
        <f t="shared" si="249"/>
        <v>-1.2668993138981288E-2</v>
      </c>
      <c r="AG591" s="13">
        <f t="shared" si="250"/>
        <v>-0.61535801381051769</v>
      </c>
      <c r="AH591" s="13">
        <f>IF($T591=1,$AU591,VLOOKUP(U591,'Cortes naturales'!$A$25:$C$29,3,9))</f>
        <v>3</v>
      </c>
      <c r="AI591" s="13" t="b">
        <f t="shared" si="251"/>
        <v>1</v>
      </c>
      <c r="AJ591" s="13">
        <f t="shared" si="252"/>
        <v>0</v>
      </c>
      <c r="AK591" s="28">
        <v>0.81759069605862034</v>
      </c>
      <c r="AL591" s="28">
        <v>49.287460100004743</v>
      </c>
      <c r="AM591" s="28">
        <v>0.44590816012907109</v>
      </c>
      <c r="AN591" s="13">
        <v>3</v>
      </c>
      <c r="AO591" s="33">
        <f t="shared" si="253"/>
        <v>0</v>
      </c>
      <c r="AP591" s="13">
        <f t="shared" si="263"/>
        <v>44.590816012907112</v>
      </c>
      <c r="AQ591" s="13">
        <f>IFERROR(VLOOKUP(U591,'Cortes naturales'!$E$15:$G$19,3,9),U591)</f>
        <v>4</v>
      </c>
      <c r="AR591" s="28">
        <f t="shared" si="254"/>
        <v>-0.32195788407949055</v>
      </c>
      <c r="AS591" s="13" t="b">
        <f t="shared" si="255"/>
        <v>0</v>
      </c>
      <c r="AT591" s="13">
        <f t="shared" si="264"/>
        <v>0</v>
      </c>
      <c r="AU591" s="13">
        <v>3</v>
      </c>
      <c r="AV591">
        <f t="shared" si="256"/>
        <v>0</v>
      </c>
      <c r="AW591" s="13">
        <v>0</v>
      </c>
      <c r="AX591" s="13">
        <v>0</v>
      </c>
      <c r="AY591" s="13">
        <v>0</v>
      </c>
      <c r="AZ591" s="13">
        <v>0</v>
      </c>
      <c r="BA591">
        <v>0</v>
      </c>
      <c r="BB591" t="s">
        <v>2840</v>
      </c>
      <c r="BC591">
        <v>6</v>
      </c>
      <c r="BD591" t="s">
        <v>2919</v>
      </c>
      <c r="BE591">
        <v>0</v>
      </c>
      <c r="BF591" s="232" t="s">
        <v>2846</v>
      </c>
      <c r="BG591" s="232" t="s">
        <v>2846</v>
      </c>
      <c r="BH591" s="253">
        <v>32.9</v>
      </c>
      <c r="BI591" s="253">
        <v>12.512664640324214</v>
      </c>
      <c r="BJ591" s="25">
        <v>2.5434233615221986</v>
      </c>
      <c r="BK591" t="s">
        <v>381</v>
      </c>
      <c r="BL591">
        <v>2.5563234337099816</v>
      </c>
      <c r="BM591" t="s">
        <v>383</v>
      </c>
      <c r="BN591" s="322">
        <v>10550.404358</v>
      </c>
      <c r="BO591" s="322">
        <v>1111.8846289999999</v>
      </c>
      <c r="BP591" s="10">
        <v>3118</v>
      </c>
      <c r="BQ591" s="254">
        <f t="shared" si="257"/>
        <v>3.3837089025016036</v>
      </c>
      <c r="BR591" s="254">
        <f t="shared" si="258"/>
        <v>0.35660186946760741</v>
      </c>
      <c r="BS591" s="25">
        <v>54.960329314698242</v>
      </c>
      <c r="BT591" s="25">
        <v>82.317725037417148</v>
      </c>
      <c r="BU591" s="25">
        <v>28.475016932752769</v>
      </c>
      <c r="BV591" s="25">
        <v>93.866748120842161</v>
      </c>
      <c r="BW591" s="25">
        <v>55.807077603514401</v>
      </c>
      <c r="BX591" s="25">
        <v>64.904954851427576</v>
      </c>
      <c r="BY591" s="25">
        <v>56.033805607572347</v>
      </c>
      <c r="BZ591">
        <v>55</v>
      </c>
      <c r="CA591">
        <v>0</v>
      </c>
      <c r="CB591">
        <v>7</v>
      </c>
      <c r="CC591">
        <v>9089.2175530000004</v>
      </c>
      <c r="CD591" s="10">
        <v>8139.5478480000002</v>
      </c>
      <c r="CE591" s="255">
        <v>0.89551689136469714</v>
      </c>
      <c r="CF591" t="str">
        <f>IFERROR(VLOOKUP(CE591,'Rangos amb etnico'!$A$2:$C$6,3,9),"N.D.")</f>
        <v>71% - 100%</v>
      </c>
      <c r="CG591" s="256">
        <v>2.3681013026880763E-4</v>
      </c>
      <c r="CH591" s="232">
        <v>0</v>
      </c>
      <c r="CI591" s="311">
        <f t="shared" si="265"/>
        <v>0</v>
      </c>
      <c r="CJ591" s="232">
        <f>IFERROR(VLOOKUP(CI591,'Rangos amb etnico'!$A$2:$C$6,3,9),"N.D.")</f>
        <v>0</v>
      </c>
      <c r="CK591" s="311">
        <f t="shared" si="266"/>
        <v>0</v>
      </c>
      <c r="CL591" s="10">
        <v>0</v>
      </c>
      <c r="CM591" s="255">
        <f t="shared" si="267"/>
        <v>0</v>
      </c>
      <c r="CN591" s="232">
        <f>IFERROR(VLOOKUP(CM591,'Rangos amb etnico'!$A$2:$C$6,3,9),"N.D.")</f>
        <v>0</v>
      </c>
      <c r="CO591" s="311">
        <f t="shared" si="268"/>
        <v>0</v>
      </c>
      <c r="CP591">
        <v>0.8042599065075966</v>
      </c>
      <c r="CQ591" t="s">
        <v>2865</v>
      </c>
      <c r="CR591">
        <f t="shared" si="259"/>
        <v>2</v>
      </c>
      <c r="CS591" t="str">
        <f t="shared" si="269"/>
        <v>No es Candidato</v>
      </c>
      <c r="CT591">
        <v>0</v>
      </c>
      <c r="CU591">
        <v>0</v>
      </c>
      <c r="CV591" s="25">
        <v>50.183578491210938</v>
      </c>
      <c r="CW591" s="25">
        <v>22.477764129638668</v>
      </c>
      <c r="CX591" s="25">
        <v>57.072303771972663</v>
      </c>
      <c r="CY591" s="25">
        <v>70.543502807617188</v>
      </c>
      <c r="CZ591" s="25">
        <v>30.8239631652832</v>
      </c>
      <c r="DA591" s="25">
        <v>71.157768249511719</v>
      </c>
      <c r="DB591" s="25">
        <v>49.026172637939453</v>
      </c>
      <c r="DC591">
        <v>102</v>
      </c>
      <c r="DD591" s="253" t="s">
        <v>380</v>
      </c>
    </row>
    <row r="592" spans="1:108" hidden="1">
      <c r="A592" s="13">
        <v>23090</v>
      </c>
      <c r="B592" s="13" t="s">
        <v>1629</v>
      </c>
      <c r="C592" s="13" t="s">
        <v>567</v>
      </c>
      <c r="D592" s="13" t="s">
        <v>568</v>
      </c>
      <c r="E592" s="13" t="s">
        <v>1630</v>
      </c>
      <c r="F592" s="14">
        <v>46.853733333333302</v>
      </c>
      <c r="G592" s="13">
        <v>38.83</v>
      </c>
      <c r="H592" s="13">
        <v>33.31</v>
      </c>
      <c r="I592" s="13">
        <v>46.51</v>
      </c>
      <c r="J592" s="14">
        <v>53.98183594383778</v>
      </c>
      <c r="K592" s="14">
        <v>51.580717839985468</v>
      </c>
      <c r="L592" s="14">
        <v>11.302324899111554</v>
      </c>
      <c r="M592" s="14">
        <v>58.7149</v>
      </c>
      <c r="N592" s="14">
        <f t="shared" si="243"/>
        <v>41.375933333333322</v>
      </c>
      <c r="O592" s="14">
        <f t="shared" si="244"/>
        <v>43.8949446707337</v>
      </c>
      <c r="P592" s="14">
        <f t="shared" si="260"/>
        <v>42.635439002033507</v>
      </c>
      <c r="Q592" s="14">
        <v>55.708646149186634</v>
      </c>
      <c r="R592" s="17">
        <f t="shared" si="245"/>
        <v>44.291353850813366</v>
      </c>
      <c r="S592" s="14">
        <f t="shared" si="261"/>
        <v>0.49862218465732033</v>
      </c>
      <c r="T592" s="13">
        <v>0</v>
      </c>
      <c r="U592" s="13">
        <f t="shared" si="262"/>
        <v>21.25897573901787</v>
      </c>
      <c r="V592" s="13">
        <f>IF($T592=1,$AU592,(VLOOKUP(U592,'Cortes naturales'!$A$35:$C$39,3,9)))</f>
        <v>5</v>
      </c>
      <c r="W592" s="13">
        <v>5</v>
      </c>
      <c r="X592" s="14" t="b">
        <f t="shared" si="246"/>
        <v>1</v>
      </c>
      <c r="Y592" s="17">
        <f>IF($T592=1,$AU592,VLOOKUP(U592,'Cortes naturales'!$A$45:$C$49,3,9))</f>
        <v>4</v>
      </c>
      <c r="Z592" s="14">
        <v>42.085456599699782</v>
      </c>
      <c r="AA592" s="14">
        <v>0.50857280039581954</v>
      </c>
      <c r="AB592" s="14">
        <v>21.403518518846042</v>
      </c>
      <c r="AC592" s="13">
        <v>4</v>
      </c>
      <c r="AD592" s="13">
        <f t="shared" si="247"/>
        <v>0</v>
      </c>
      <c r="AE592" s="14">
        <f t="shared" si="248"/>
        <v>0.54998240233372542</v>
      </c>
      <c r="AF592" s="14">
        <f t="shared" si="249"/>
        <v>-9.9506157384992022E-3</v>
      </c>
      <c r="AG592" s="13">
        <f t="shared" si="250"/>
        <v>-0.14454277982817132</v>
      </c>
      <c r="AH592" s="13">
        <f>IF($T592=1,$AU592,VLOOKUP(U592,'Cortes naturales'!$A$25:$C$29,3,9))</f>
        <v>4</v>
      </c>
      <c r="AI592" s="13" t="b">
        <f t="shared" si="251"/>
        <v>1</v>
      </c>
      <c r="AJ592" s="13">
        <f t="shared" si="252"/>
        <v>0</v>
      </c>
      <c r="AK592" s="28">
        <v>0.81759069605862034</v>
      </c>
      <c r="AL592" s="28">
        <v>34.408677755293404</v>
      </c>
      <c r="AM592" s="28">
        <v>0.25979027671165589</v>
      </c>
      <c r="AN592" s="13">
        <v>4</v>
      </c>
      <c r="AO592" s="33">
        <f t="shared" si="253"/>
        <v>0</v>
      </c>
      <c r="AP592" s="13">
        <f t="shared" si="263"/>
        <v>25.979027671165589</v>
      </c>
      <c r="AQ592" s="13">
        <f>IFERROR(VLOOKUP(U592,'Cortes naturales'!$E$15:$G$19,3,9),U592)</f>
        <v>4</v>
      </c>
      <c r="AR592" s="28">
        <f t="shared" si="254"/>
        <v>-0.3189685114013</v>
      </c>
      <c r="AS592" s="13" t="b">
        <f t="shared" si="255"/>
        <v>1</v>
      </c>
      <c r="AT592" s="13">
        <f t="shared" si="264"/>
        <v>0</v>
      </c>
      <c r="AU592" s="13">
        <v>4</v>
      </c>
      <c r="AV592">
        <f t="shared" si="256"/>
        <v>0</v>
      </c>
      <c r="AW592" s="13">
        <v>0</v>
      </c>
      <c r="AX592" s="13">
        <v>0</v>
      </c>
      <c r="AY592" s="13">
        <v>0</v>
      </c>
      <c r="AZ592" s="13">
        <v>0</v>
      </c>
      <c r="BA592">
        <v>0</v>
      </c>
      <c r="BB592" t="s">
        <v>2841</v>
      </c>
      <c r="BC592">
        <v>6</v>
      </c>
      <c r="BD592" t="s">
        <v>2919</v>
      </c>
      <c r="BE592">
        <v>1</v>
      </c>
      <c r="BF592" s="232" t="s">
        <v>2846</v>
      </c>
      <c r="BG592" s="232" t="s">
        <v>2846</v>
      </c>
      <c r="BH592" s="253">
        <v>68.2</v>
      </c>
      <c r="BI592" s="253">
        <v>75.375901827253728</v>
      </c>
      <c r="BJ592" s="25" t="s">
        <v>2849</v>
      </c>
      <c r="BK592" t="s">
        <v>2849</v>
      </c>
      <c r="BL592">
        <v>3.1967658069967673</v>
      </c>
      <c r="BM592" t="s">
        <v>383</v>
      </c>
      <c r="BN592" s="322">
        <v>70659.877689000001</v>
      </c>
      <c r="BO592" s="322">
        <v>3905.5646630000001</v>
      </c>
      <c r="BP592" s="10">
        <v>16420</v>
      </c>
      <c r="BQ592" s="254">
        <f t="shared" si="257"/>
        <v>4.3032812234470157</v>
      </c>
      <c r="BR592" s="254">
        <f t="shared" si="258"/>
        <v>0.23785412076735687</v>
      </c>
      <c r="BS592" s="25">
        <v>61.566752720598878</v>
      </c>
      <c r="BT592" s="25">
        <v>90.980565238095252</v>
      </c>
      <c r="BU592" s="25">
        <v>53.438829446730672</v>
      </c>
      <c r="BV592" s="25">
        <v>97.48750007367488</v>
      </c>
      <c r="BW592" s="25">
        <v>60.133005563596448</v>
      </c>
      <c r="BX592" s="25">
        <v>75.868411869774917</v>
      </c>
      <c r="BY592" s="25">
        <v>60.891341632188571</v>
      </c>
      <c r="BZ592">
        <v>56</v>
      </c>
      <c r="CA592">
        <v>0</v>
      </c>
      <c r="CB592">
        <v>7</v>
      </c>
      <c r="CC592">
        <v>42008.897123000002</v>
      </c>
      <c r="CD592" s="10">
        <v>767.27020900000002</v>
      </c>
      <c r="CE592" s="255">
        <v>1.8264469232635892E-2</v>
      </c>
      <c r="CF592" t="str">
        <f>IFERROR(VLOOKUP(CE592,'Rangos amb etnico'!$A$2:$C$6,3,9),"N.D.")</f>
        <v>0,1% - 30%</v>
      </c>
      <c r="CG592" s="256">
        <v>2.2322782731636726E-5</v>
      </c>
      <c r="CH592" s="232">
        <v>0</v>
      </c>
      <c r="CI592" s="311">
        <f t="shared" si="265"/>
        <v>0</v>
      </c>
      <c r="CJ592" s="232">
        <f>IFERROR(VLOOKUP(CI592,'Rangos amb etnico'!$A$2:$C$6,3,9),"N.D.")</f>
        <v>0</v>
      </c>
      <c r="CK592" s="311">
        <f t="shared" si="266"/>
        <v>0</v>
      </c>
      <c r="CL592" s="10">
        <v>0</v>
      </c>
      <c r="CM592" s="255">
        <f t="shared" si="267"/>
        <v>0</v>
      </c>
      <c r="CN592" s="232">
        <f>IFERROR(VLOOKUP(CM592,'Rangos amb etnico'!$A$2:$C$6,3,9),"N.D.")</f>
        <v>0</v>
      </c>
      <c r="CO592" s="311">
        <f t="shared" si="268"/>
        <v>0</v>
      </c>
      <c r="CP592">
        <v>0.92768013252179848</v>
      </c>
      <c r="CQ592" t="s">
        <v>2864</v>
      </c>
      <c r="CR592">
        <f t="shared" si="259"/>
        <v>2</v>
      </c>
      <c r="CS592" t="str">
        <f t="shared" si="269"/>
        <v>No es Candidato</v>
      </c>
      <c r="CT592">
        <v>0</v>
      </c>
      <c r="CU592">
        <v>0</v>
      </c>
      <c r="CV592" s="25">
        <v>49.331623077392578</v>
      </c>
      <c r="CW592" s="25">
        <v>25.964092254638668</v>
      </c>
      <c r="CX592" s="25">
        <v>50.627887725830078</v>
      </c>
      <c r="CY592" s="25">
        <v>33.939594268798828</v>
      </c>
      <c r="CZ592" s="25">
        <v>37.754352569580078</v>
      </c>
      <c r="DA592" s="25">
        <v>91.491424560546875</v>
      </c>
      <c r="DB592" s="25">
        <v>56.212390899658203</v>
      </c>
      <c r="DC592">
        <v>596</v>
      </c>
      <c r="DD592" s="253" t="s">
        <v>380</v>
      </c>
    </row>
    <row r="593" spans="1:108" hidden="1">
      <c r="A593" s="13">
        <v>15696</v>
      </c>
      <c r="B593" s="13" t="s">
        <v>1631</v>
      </c>
      <c r="C593" s="13" t="s">
        <v>498</v>
      </c>
      <c r="D593" s="13" t="s">
        <v>499</v>
      </c>
      <c r="E593" s="13" t="s">
        <v>1632</v>
      </c>
      <c r="F593" s="14">
        <v>64.999333333333297</v>
      </c>
      <c r="G593" s="13">
        <v>58.31</v>
      </c>
      <c r="H593" s="13">
        <v>59.52</v>
      </c>
      <c r="I593" s="13">
        <v>74.19</v>
      </c>
      <c r="J593" s="14">
        <v>66.670994087771049</v>
      </c>
      <c r="K593" s="14">
        <v>60.677723658002478</v>
      </c>
      <c r="L593" s="14">
        <v>69.82518730946822</v>
      </c>
      <c r="M593" s="14">
        <v>60.869799999999998</v>
      </c>
      <c r="N593" s="14">
        <f t="shared" si="243"/>
        <v>64.254833333333323</v>
      </c>
      <c r="O593" s="14">
        <f t="shared" si="244"/>
        <v>64.510926263810433</v>
      </c>
      <c r="P593" s="14">
        <f t="shared" si="260"/>
        <v>64.382879798571878</v>
      </c>
      <c r="Q593" s="14">
        <v>55.984845589359963</v>
      </c>
      <c r="R593" s="17">
        <f t="shared" si="245"/>
        <v>44.015154410640037</v>
      </c>
      <c r="S593" s="14">
        <f t="shared" si="261"/>
        <v>0.49613638969576035</v>
      </c>
      <c r="T593" s="13">
        <v>0</v>
      </c>
      <c r="U593" s="13">
        <f t="shared" si="262"/>
        <v>31.942689541479552</v>
      </c>
      <c r="V593" s="13">
        <f>IF($T593=1,$AU593,(VLOOKUP(U593,'Cortes naturales'!$A$35:$C$39,3,9)))</f>
        <v>3</v>
      </c>
      <c r="W593" s="13">
        <v>3</v>
      </c>
      <c r="X593" s="14" t="b">
        <f t="shared" si="246"/>
        <v>1</v>
      </c>
      <c r="Y593" s="17">
        <f>IF($T593=1,$AU593,VLOOKUP(U593,'Cortes naturales'!$A$45:$C$49,3,9))</f>
        <v>3</v>
      </c>
      <c r="Z593" s="14">
        <v>64.045346583440576</v>
      </c>
      <c r="AA593" s="14">
        <v>0.50629232094032228</v>
      </c>
      <c r="AB593" s="14">
        <v>32.425667167157471</v>
      </c>
      <c r="AC593" s="13">
        <v>3</v>
      </c>
      <c r="AD593" s="13">
        <f t="shared" si="247"/>
        <v>0</v>
      </c>
      <c r="AE593" s="14">
        <f t="shared" si="248"/>
        <v>0.33753321513130174</v>
      </c>
      <c r="AF593" s="14">
        <f t="shared" si="249"/>
        <v>-1.0155931244561933E-2</v>
      </c>
      <c r="AG593" s="13">
        <f t="shared" si="250"/>
        <v>-0.48297762567791835</v>
      </c>
      <c r="AH593" s="13">
        <f>IF($T593=1,$AU593,VLOOKUP(U593,'Cortes naturales'!$A$25:$C$29,3,9))</f>
        <v>3</v>
      </c>
      <c r="AI593" s="13" t="b">
        <f t="shared" si="251"/>
        <v>1</v>
      </c>
      <c r="AJ593" s="13">
        <f t="shared" si="252"/>
        <v>0</v>
      </c>
      <c r="AK593" s="28">
        <v>0.81759069605862034</v>
      </c>
      <c r="AL593" s="28">
        <v>52.362879492470761</v>
      </c>
      <c r="AM593" s="28">
        <v>0.48437841493121248</v>
      </c>
      <c r="AN593" s="13">
        <v>2</v>
      </c>
      <c r="AO593" s="33">
        <f t="shared" si="253"/>
        <v>-1</v>
      </c>
      <c r="AP593" s="13">
        <f t="shared" si="263"/>
        <v>48.437841493121248</v>
      </c>
      <c r="AQ593" s="13">
        <f>IFERROR(VLOOKUP(U593,'Cortes naturales'!$E$15:$G$19,3,9),U593)</f>
        <v>4</v>
      </c>
      <c r="AR593" s="28">
        <f t="shared" si="254"/>
        <v>-0.32145430636285999</v>
      </c>
      <c r="AS593" s="13" t="b">
        <f t="shared" si="255"/>
        <v>0</v>
      </c>
      <c r="AT593" s="13" t="str">
        <f t="shared" si="264"/>
        <v>Cambio en corte</v>
      </c>
      <c r="AU593" s="13">
        <v>2</v>
      </c>
      <c r="AV593">
        <f t="shared" si="256"/>
        <v>-1</v>
      </c>
      <c r="AW593" s="13">
        <v>0</v>
      </c>
      <c r="AX593" s="13">
        <v>0</v>
      </c>
      <c r="AY593" s="13">
        <v>0</v>
      </c>
      <c r="AZ593" s="13">
        <v>0</v>
      </c>
      <c r="BA593">
        <v>0</v>
      </c>
      <c r="BB593" t="s">
        <v>2840</v>
      </c>
      <c r="BC593">
        <v>6</v>
      </c>
      <c r="BD593" t="s">
        <v>2919</v>
      </c>
      <c r="BE593">
        <v>0</v>
      </c>
      <c r="BF593" s="232" t="s">
        <v>2846</v>
      </c>
      <c r="BG593" s="232" t="s">
        <v>2846</v>
      </c>
      <c r="BH593" s="253">
        <v>31.4</v>
      </c>
      <c r="BI593" s="253">
        <v>10.054719562243502</v>
      </c>
      <c r="BJ593" s="25">
        <v>27.842445900185748</v>
      </c>
      <c r="BK593" t="s">
        <v>379</v>
      </c>
      <c r="BL593">
        <v>0</v>
      </c>
      <c r="BM593" t="s">
        <v>377</v>
      </c>
      <c r="BN593" s="322">
        <v>13434.30141</v>
      </c>
      <c r="BO593" s="322">
        <v>5814.3161239999999</v>
      </c>
      <c r="BP593" s="10">
        <v>3338</v>
      </c>
      <c r="BQ593" s="254">
        <f t="shared" si="257"/>
        <v>4.0246559047333736</v>
      </c>
      <c r="BR593" s="254">
        <f t="shared" si="258"/>
        <v>1.7418562384661473</v>
      </c>
      <c r="BS593" s="25">
        <v>68.367576935034037</v>
      </c>
      <c r="BT593" s="25">
        <v>91.082484521669656</v>
      </c>
      <c r="BU593" s="25">
        <v>47.880217640320701</v>
      </c>
      <c r="BV593" s="25">
        <v>84.288062533342867</v>
      </c>
      <c r="BW593" s="25">
        <v>63.185627252719421</v>
      </c>
      <c r="BX593" s="25">
        <v>72.90458540759181</v>
      </c>
      <c r="BY593" s="25">
        <v>64.899522471216159</v>
      </c>
      <c r="BZ593">
        <v>68</v>
      </c>
      <c r="CA593">
        <v>0</v>
      </c>
      <c r="CB593">
        <v>7</v>
      </c>
      <c r="CC593">
        <v>7744.2032849999996</v>
      </c>
      <c r="CD593" s="10">
        <v>5775.5793080000003</v>
      </c>
      <c r="CE593" s="255">
        <v>0.74579386612783116</v>
      </c>
      <c r="CF593" t="str">
        <f>IFERROR(VLOOKUP(CE593,'Rangos amb etnico'!$A$2:$C$6,3,9),"N.D.")</f>
        <v>71% - 100%</v>
      </c>
      <c r="CG593" s="256">
        <v>1.6803337407020425E-4</v>
      </c>
      <c r="CH593" s="232">
        <v>0</v>
      </c>
      <c r="CI593" s="311">
        <f t="shared" si="265"/>
        <v>0</v>
      </c>
      <c r="CJ593" s="232">
        <f>IFERROR(VLOOKUP(CI593,'Rangos amb etnico'!$A$2:$C$6,3,9),"N.D.")</f>
        <v>0</v>
      </c>
      <c r="CK593" s="311">
        <f t="shared" si="266"/>
        <v>0</v>
      </c>
      <c r="CL593" s="10">
        <v>0</v>
      </c>
      <c r="CM593" s="255">
        <f t="shared" si="267"/>
        <v>0</v>
      </c>
      <c r="CN593" s="232">
        <f>IFERROR(VLOOKUP(CM593,'Rangos amb etnico'!$A$2:$C$6,3,9),"N.D.")</f>
        <v>0</v>
      </c>
      <c r="CO593" s="311">
        <f t="shared" si="268"/>
        <v>0</v>
      </c>
      <c r="CP593">
        <v>0.95001513982761809</v>
      </c>
      <c r="CQ593" t="s">
        <v>2864</v>
      </c>
      <c r="CR593">
        <f t="shared" si="259"/>
        <v>4</v>
      </c>
      <c r="CS593" t="str">
        <f t="shared" si="269"/>
        <v>Candidato</v>
      </c>
      <c r="CT593">
        <v>0</v>
      </c>
      <c r="CU593">
        <v>0</v>
      </c>
      <c r="CV593" s="25">
        <v>46.399082183837891</v>
      </c>
      <c r="CW593" s="25">
        <v>21.995487213134769</v>
      </c>
      <c r="CX593" s="25">
        <v>50.446643829345703</v>
      </c>
      <c r="CY593" s="25">
        <v>60.706306457519531</v>
      </c>
      <c r="CZ593" s="25">
        <v>26.698724746704102</v>
      </c>
      <c r="DA593" s="25">
        <v>74.477561950683594</v>
      </c>
      <c r="DB593" s="25">
        <v>44.069774627685547</v>
      </c>
      <c r="DC593">
        <v>28</v>
      </c>
      <c r="DD593" s="253" t="s">
        <v>380</v>
      </c>
    </row>
    <row r="594" spans="1:108" hidden="1">
      <c r="A594" s="13">
        <v>68266</v>
      </c>
      <c r="B594" s="13" t="s">
        <v>1633</v>
      </c>
      <c r="C594" s="13" t="s">
        <v>431</v>
      </c>
      <c r="D594" s="13" t="s">
        <v>432</v>
      </c>
      <c r="E594" s="13" t="s">
        <v>1634</v>
      </c>
      <c r="F594" s="14">
        <v>80.806933333333305</v>
      </c>
      <c r="G594" s="13">
        <v>82.14</v>
      </c>
      <c r="H594" s="13">
        <v>37.39</v>
      </c>
      <c r="I594" s="13">
        <v>59.34</v>
      </c>
      <c r="J594" s="14">
        <v>62.20217973278033</v>
      </c>
      <c r="K594" s="14">
        <v>46.639877881693401</v>
      </c>
      <c r="L594" s="14">
        <v>60.045480109157573</v>
      </c>
      <c r="M594" s="14">
        <v>56.249899999999997</v>
      </c>
      <c r="N594" s="14">
        <f t="shared" si="243"/>
        <v>64.919233333333324</v>
      </c>
      <c r="O594" s="14">
        <f t="shared" si="244"/>
        <v>56.284359430907827</v>
      </c>
      <c r="P594" s="14">
        <f t="shared" si="260"/>
        <v>60.601796382120575</v>
      </c>
      <c r="Q594" s="14">
        <v>55.256870247906967</v>
      </c>
      <c r="R594" s="17">
        <f t="shared" si="245"/>
        <v>44.743129752093033</v>
      </c>
      <c r="S594" s="14">
        <f t="shared" si="261"/>
        <v>0.50268816776883729</v>
      </c>
      <c r="T594" s="13">
        <v>0</v>
      </c>
      <c r="U594" s="13">
        <f t="shared" si="262"/>
        <v>30.463805986828344</v>
      </c>
      <c r="V594" s="13">
        <f>IF($T594=1,$AU594,(VLOOKUP(U594,'Cortes naturales'!$A$35:$C$39,3,9)))</f>
        <v>3</v>
      </c>
      <c r="W594" s="13">
        <v>3</v>
      </c>
      <c r="X594" s="14" t="b">
        <f t="shared" si="246"/>
        <v>1</v>
      </c>
      <c r="Y594" s="17">
        <f>IF($T594=1,$AU594,VLOOKUP(U594,'Cortes naturales'!$A$45:$C$49,3,9))</f>
        <v>3</v>
      </c>
      <c r="Z594" s="14">
        <v>62.67987765545422</v>
      </c>
      <c r="AA594" s="14">
        <v>0.50830327342680359</v>
      </c>
      <c r="AB594" s="14">
        <v>31.860386990258942</v>
      </c>
      <c r="AC594" s="13">
        <v>3</v>
      </c>
      <c r="AD594" s="13">
        <f t="shared" si="247"/>
        <v>0</v>
      </c>
      <c r="AE594" s="14">
        <f t="shared" si="248"/>
        <v>-2.0780812733336447</v>
      </c>
      <c r="AF594" s="14">
        <f t="shared" si="249"/>
        <v>-5.6151056579663017E-3</v>
      </c>
      <c r="AG594" s="13">
        <f t="shared" si="250"/>
        <v>-1.3965810034305974</v>
      </c>
      <c r="AH594" s="13">
        <f>IF($T594=1,$AU594,VLOOKUP(U594,'Cortes naturales'!$A$25:$C$29,3,9))</f>
        <v>3</v>
      </c>
      <c r="AI594" s="13" t="b">
        <f t="shared" si="251"/>
        <v>1</v>
      </c>
      <c r="AJ594" s="13">
        <f t="shared" si="252"/>
        <v>0</v>
      </c>
      <c r="AK594" s="28">
        <v>0.81759069605862034</v>
      </c>
      <c r="AL594" s="28">
        <v>51.246484801191983</v>
      </c>
      <c r="AM594" s="28">
        <v>0.47041349413424283</v>
      </c>
      <c r="AN594" s="13">
        <v>3</v>
      </c>
      <c r="AO594" s="33">
        <f t="shared" si="253"/>
        <v>0</v>
      </c>
      <c r="AP594" s="13">
        <f t="shared" si="263"/>
        <v>47.041349413424285</v>
      </c>
      <c r="AQ594" s="13">
        <f>IFERROR(VLOOKUP(U594,'Cortes naturales'!$E$15:$G$19,3,9),U594)</f>
        <v>4</v>
      </c>
      <c r="AR594" s="28">
        <f t="shared" si="254"/>
        <v>-0.31490252828978305</v>
      </c>
      <c r="AS594" s="13" t="b">
        <f t="shared" si="255"/>
        <v>0</v>
      </c>
      <c r="AT594" s="13">
        <f t="shared" si="264"/>
        <v>0</v>
      </c>
      <c r="AU594" s="13">
        <v>3</v>
      </c>
      <c r="AV594">
        <f t="shared" si="256"/>
        <v>0</v>
      </c>
      <c r="AW594" s="13">
        <v>0</v>
      </c>
      <c r="AX594" s="13">
        <v>0</v>
      </c>
      <c r="AY594" s="13">
        <v>0</v>
      </c>
      <c r="AZ594" s="13">
        <v>0</v>
      </c>
      <c r="BA594">
        <v>0</v>
      </c>
      <c r="BB594" t="s">
        <v>2841</v>
      </c>
      <c r="BC594">
        <v>6</v>
      </c>
      <c r="BD594" t="s">
        <v>2919</v>
      </c>
      <c r="BE594">
        <v>0</v>
      </c>
      <c r="BF594" s="232" t="s">
        <v>2846</v>
      </c>
      <c r="BG594" s="232" t="s">
        <v>2845</v>
      </c>
      <c r="BH594" s="253">
        <v>35.299999999999997</v>
      </c>
      <c r="BI594" s="253">
        <v>19.485511531638085</v>
      </c>
      <c r="BJ594" s="25">
        <v>4.3563330598851522</v>
      </c>
      <c r="BK594" t="s">
        <v>381</v>
      </c>
      <c r="BL594">
        <v>2.3449988180822618</v>
      </c>
      <c r="BM594" t="s">
        <v>383</v>
      </c>
      <c r="BN594" s="322">
        <v>12949.451969</v>
      </c>
      <c r="BO594" s="322">
        <v>686.73949000000005</v>
      </c>
      <c r="BP594" s="10">
        <v>3921</v>
      </c>
      <c r="BQ594" s="254">
        <f t="shared" si="257"/>
        <v>3.3025891275184902</v>
      </c>
      <c r="BR594" s="254">
        <f t="shared" si="258"/>
        <v>0.17514396582504466</v>
      </c>
      <c r="BS594" s="25">
        <v>69.856152092889587</v>
      </c>
      <c r="BT594" s="25">
        <v>83.385499079316503</v>
      </c>
      <c r="BU594" s="25">
        <v>36.558893962455599</v>
      </c>
      <c r="BV594" s="25">
        <v>97.460982856641337</v>
      </c>
      <c r="BW594" s="25">
        <v>39.503108596337427</v>
      </c>
      <c r="BX594" s="25">
        <v>71.815381997825767</v>
      </c>
      <c r="BY594" s="25">
        <v>39.919609466857182</v>
      </c>
      <c r="BZ594">
        <v>58</v>
      </c>
      <c r="CA594">
        <v>0</v>
      </c>
      <c r="CB594">
        <v>7</v>
      </c>
      <c r="CC594">
        <v>7465.4550259999996</v>
      </c>
      <c r="CD594" s="10">
        <v>1979.749043</v>
      </c>
      <c r="CE594" s="255">
        <v>0.26518799404793308</v>
      </c>
      <c r="CF594" t="str">
        <f>IFERROR(VLOOKUP(CE594,'Rangos amb etnico'!$A$2:$C$6,3,9),"N.D.")</f>
        <v>0,1% - 30%</v>
      </c>
      <c r="CG594" s="256">
        <v>5.7598362651995957E-5</v>
      </c>
      <c r="CH594" s="232">
        <v>0</v>
      </c>
      <c r="CI594" s="311">
        <f t="shared" si="265"/>
        <v>0</v>
      </c>
      <c r="CJ594" s="232">
        <f>IFERROR(VLOOKUP(CI594,'Rangos amb etnico'!$A$2:$C$6,3,9),"N.D.")</f>
        <v>0</v>
      </c>
      <c r="CK594" s="311">
        <f t="shared" si="266"/>
        <v>0</v>
      </c>
      <c r="CL594" s="10">
        <v>0</v>
      </c>
      <c r="CM594" s="255">
        <f t="shared" si="267"/>
        <v>0</v>
      </c>
      <c r="CN594" s="232">
        <f>IFERROR(VLOOKUP(CM594,'Rangos amb etnico'!$A$2:$C$6,3,9),"N.D.")</f>
        <v>0</v>
      </c>
      <c r="CO594" s="311">
        <f t="shared" si="268"/>
        <v>0</v>
      </c>
      <c r="CP594">
        <v>0.9167942680684783</v>
      </c>
      <c r="CQ594" t="s">
        <v>2864</v>
      </c>
      <c r="CR594">
        <f t="shared" si="259"/>
        <v>1</v>
      </c>
      <c r="CS594" t="str">
        <f t="shared" si="269"/>
        <v>No es Candidato</v>
      </c>
      <c r="CT594">
        <v>0</v>
      </c>
      <c r="CU594">
        <v>0</v>
      </c>
      <c r="CV594" s="25">
        <v>54.591037750244141</v>
      </c>
      <c r="CW594" s="25">
        <v>17.91751670837402</v>
      </c>
      <c r="CX594" s="25">
        <v>65.699409484863281</v>
      </c>
      <c r="CY594" s="25">
        <v>63.675113677978523</v>
      </c>
      <c r="CZ594" s="25">
        <v>37.993389129638672</v>
      </c>
      <c r="DA594" s="25">
        <v>98.189964294433594</v>
      </c>
      <c r="DB594" s="25">
        <v>44.070838928222663</v>
      </c>
      <c r="DC594">
        <v>12</v>
      </c>
      <c r="DD594" s="253" t="s">
        <v>380</v>
      </c>
    </row>
    <row r="595" spans="1:108" hidden="1">
      <c r="A595" s="13">
        <v>85440</v>
      </c>
      <c r="B595" s="13" t="s">
        <v>1635</v>
      </c>
      <c r="C595" s="13" t="s">
        <v>1351</v>
      </c>
      <c r="D595" s="13" t="s">
        <v>1352</v>
      </c>
      <c r="E595" s="13" t="s">
        <v>720</v>
      </c>
      <c r="F595" s="14">
        <v>65.656433333333297</v>
      </c>
      <c r="G595" s="13">
        <v>87.46</v>
      </c>
      <c r="H595" s="13">
        <v>85.51</v>
      </c>
      <c r="I595" s="13">
        <v>81.02</v>
      </c>
      <c r="J595" s="14">
        <v>47.860839002676876</v>
      </c>
      <c r="K595" s="14">
        <v>53.985127004396929</v>
      </c>
      <c r="L595" s="14">
        <v>56.648511878146714</v>
      </c>
      <c r="M595" s="14">
        <v>57.168399999999998</v>
      </c>
      <c r="N595" s="14">
        <f t="shared" si="243"/>
        <v>79.911608333333319</v>
      </c>
      <c r="O595" s="14">
        <f t="shared" si="244"/>
        <v>53.915719471305124</v>
      </c>
      <c r="P595" s="14">
        <f t="shared" si="260"/>
        <v>66.913663902319229</v>
      </c>
      <c r="Q595" s="14">
        <v>56.038529295263864</v>
      </c>
      <c r="R595" s="17">
        <f t="shared" si="245"/>
        <v>43.961470704736136</v>
      </c>
      <c r="S595" s="14">
        <f t="shared" si="261"/>
        <v>0.49565323634262526</v>
      </c>
      <c r="T595" s="13">
        <v>0</v>
      </c>
      <c r="U595" s="13">
        <f t="shared" si="262"/>
        <v>33.165974068727223</v>
      </c>
      <c r="V595" s="13">
        <f>IF($T595=1,$AU595,(VLOOKUP(U595,'Cortes naturales'!$A$35:$C$39,3,9)))</f>
        <v>3</v>
      </c>
      <c r="W595" s="13">
        <v>3</v>
      </c>
      <c r="X595" s="14" t="b">
        <f t="shared" si="246"/>
        <v>1</v>
      </c>
      <c r="Y595" s="17">
        <f>IF($T595=1,$AU595,VLOOKUP(U595,'Cortes naturales'!$A$45:$C$49,3,9))</f>
        <v>3</v>
      </c>
      <c r="Z595" s="14">
        <v>63.373102320023307</v>
      </c>
      <c r="AA595" s="14">
        <v>0.50632723805315882</v>
      </c>
      <c r="AB595" s="14">
        <v>32.087527864557636</v>
      </c>
      <c r="AC595" s="13">
        <v>3</v>
      </c>
      <c r="AD595" s="13">
        <f t="shared" si="247"/>
        <v>0</v>
      </c>
      <c r="AE595" s="14">
        <f t="shared" si="248"/>
        <v>3.540561582295922</v>
      </c>
      <c r="AF595" s="14">
        <f t="shared" si="249"/>
        <v>-1.0674001710533565E-2</v>
      </c>
      <c r="AG595" s="13">
        <f t="shared" si="250"/>
        <v>1.0784462041695875</v>
      </c>
      <c r="AH595" s="13">
        <f>IF($T595=1,$AU595,VLOOKUP(U595,'Cortes naturales'!$A$25:$C$29,3,9))</f>
        <v>3</v>
      </c>
      <c r="AI595" s="13" t="b">
        <f t="shared" si="251"/>
        <v>1</v>
      </c>
      <c r="AJ595" s="13">
        <f t="shared" si="252"/>
        <v>0</v>
      </c>
      <c r="AK595" s="28">
        <v>0.81759069605862034</v>
      </c>
      <c r="AL595" s="28">
        <v>51.813258837222023</v>
      </c>
      <c r="AM595" s="28">
        <v>0.47750323988883087</v>
      </c>
      <c r="AN595" s="13">
        <v>3</v>
      </c>
      <c r="AO595" s="33">
        <f t="shared" si="253"/>
        <v>0</v>
      </c>
      <c r="AP595" s="13">
        <f t="shared" si="263"/>
        <v>47.750323988883089</v>
      </c>
      <c r="AQ595" s="13">
        <f>IFERROR(VLOOKUP(U595,'Cortes naturales'!$E$15:$G$19,3,9),U595)</f>
        <v>4</v>
      </c>
      <c r="AR595" s="28">
        <f t="shared" si="254"/>
        <v>-0.32193745971599508</v>
      </c>
      <c r="AS595" s="13" t="b">
        <f t="shared" si="255"/>
        <v>0</v>
      </c>
      <c r="AT595" s="13">
        <f t="shared" si="264"/>
        <v>0</v>
      </c>
      <c r="AU595" s="13">
        <v>3</v>
      </c>
      <c r="AV595">
        <f t="shared" si="256"/>
        <v>0</v>
      </c>
      <c r="AW595" s="13">
        <v>0</v>
      </c>
      <c r="AX595" s="13">
        <v>0</v>
      </c>
      <c r="AY595" s="13">
        <v>0</v>
      </c>
      <c r="AZ595" s="13">
        <v>0</v>
      </c>
      <c r="BA595">
        <v>1</v>
      </c>
      <c r="BB595" t="s">
        <v>2839</v>
      </c>
      <c r="BC595">
        <v>5</v>
      </c>
      <c r="BD595" t="s">
        <v>2919</v>
      </c>
      <c r="BE595">
        <v>0</v>
      </c>
      <c r="BF595" s="232" t="s">
        <v>2846</v>
      </c>
      <c r="BG595" s="232" t="s">
        <v>2846</v>
      </c>
      <c r="BH595" s="253">
        <v>24.6</v>
      </c>
      <c r="BI595" s="253">
        <v>12.672367549146445</v>
      </c>
      <c r="BJ595" s="25">
        <v>0.99827586206896557</v>
      </c>
      <c r="BK595" t="s">
        <v>381</v>
      </c>
      <c r="BL595">
        <v>9.960738145948822</v>
      </c>
      <c r="BM595" t="s">
        <v>379</v>
      </c>
      <c r="BN595" s="322">
        <v>81464.523738999997</v>
      </c>
      <c r="BO595" s="322">
        <v>36647.414319000003</v>
      </c>
      <c r="BP595" s="10">
        <v>40889</v>
      </c>
      <c r="BQ595" s="254">
        <f t="shared" si="257"/>
        <v>1.9923334818410818</v>
      </c>
      <c r="BR595" s="254">
        <f t="shared" si="258"/>
        <v>0.89626584947051779</v>
      </c>
      <c r="BS595" s="25">
        <v>73.279958817447707</v>
      </c>
      <c r="BT595" s="25">
        <v>95.078777296692138</v>
      </c>
      <c r="BU595" s="25">
        <v>60.319999999999993</v>
      </c>
      <c r="BV595" s="25">
        <v>90.305471655588136</v>
      </c>
      <c r="BW595" s="25">
        <v>56.2337754836838</v>
      </c>
      <c r="BX595" s="25">
        <v>79.74605194243199</v>
      </c>
      <c r="BY595" s="25">
        <v>57.295291514450128</v>
      </c>
      <c r="BZ595">
        <v>41</v>
      </c>
      <c r="CA595">
        <v>0</v>
      </c>
      <c r="CB595">
        <v>6</v>
      </c>
      <c r="CC595">
        <v>83218.052427000002</v>
      </c>
      <c r="CD595" s="10">
        <v>13923.730696000001</v>
      </c>
      <c r="CE595" s="255">
        <v>0.16731622874993482</v>
      </c>
      <c r="CF595" t="str">
        <f>IFERROR(VLOOKUP(CE595,'Rangos amb etnico'!$A$2:$C$6,3,9),"N.D.")</f>
        <v>0,1% - 30%</v>
      </c>
      <c r="CG595" s="256">
        <v>4.0509381375007745E-4</v>
      </c>
      <c r="CH595" s="232">
        <v>0</v>
      </c>
      <c r="CI595" s="311">
        <f t="shared" si="265"/>
        <v>0</v>
      </c>
      <c r="CJ595" s="232">
        <f>IFERROR(VLOOKUP(CI595,'Rangos amb etnico'!$A$2:$C$6,3,9),"N.D.")</f>
        <v>0</v>
      </c>
      <c r="CK595" s="311">
        <f t="shared" si="266"/>
        <v>0</v>
      </c>
      <c r="CL595" s="10">
        <v>0</v>
      </c>
      <c r="CM595" s="255">
        <f t="shared" si="267"/>
        <v>0</v>
      </c>
      <c r="CN595" s="232">
        <f>IFERROR(VLOOKUP(CM595,'Rangos amb etnico'!$A$2:$C$6,3,9),"N.D.")</f>
        <v>0</v>
      </c>
      <c r="CO595" s="311">
        <f t="shared" si="268"/>
        <v>0</v>
      </c>
      <c r="CP595">
        <v>0.93189383964486128</v>
      </c>
      <c r="CQ595" t="s">
        <v>2864</v>
      </c>
      <c r="CR595">
        <f t="shared" si="259"/>
        <v>2</v>
      </c>
      <c r="CS595" t="str">
        <f t="shared" si="269"/>
        <v>No es Candidato</v>
      </c>
      <c r="CT595">
        <v>0</v>
      </c>
      <c r="CU595">
        <v>0</v>
      </c>
      <c r="CV595" s="25">
        <v>46.6314697265625</v>
      </c>
      <c r="CW595" s="25">
        <v>39.666145324707031</v>
      </c>
      <c r="CX595" s="25">
        <v>48.392017364501953</v>
      </c>
      <c r="CY595" s="25">
        <v>74.48907470703125</v>
      </c>
      <c r="CZ595" s="25">
        <v>38.558811187744141</v>
      </c>
      <c r="DA595" s="25">
        <v>25.608316421508789</v>
      </c>
      <c r="DB595" s="25">
        <v>53.074462890625</v>
      </c>
      <c r="DC595">
        <v>1943</v>
      </c>
      <c r="DD595" s="253" t="s">
        <v>380</v>
      </c>
    </row>
    <row r="596" spans="1:108" hidden="1">
      <c r="A596" s="13">
        <v>54418</v>
      </c>
      <c r="B596" s="13" t="s">
        <v>1636</v>
      </c>
      <c r="C596" s="13" t="s">
        <v>517</v>
      </c>
      <c r="D596" s="13" t="s">
        <v>518</v>
      </c>
      <c r="E596" s="13" t="s">
        <v>1637</v>
      </c>
      <c r="F596" s="14">
        <v>42.2783333333333</v>
      </c>
      <c r="G596" s="13">
        <v>34.1</v>
      </c>
      <c r="H596" s="13">
        <v>54.96</v>
      </c>
      <c r="I596" s="13">
        <v>32.700000000000003</v>
      </c>
      <c r="J596" s="14">
        <v>43.79695494794143</v>
      </c>
      <c r="K596" s="14">
        <v>46.398792368834933</v>
      </c>
      <c r="L596" s="14">
        <v>47.756663382925531</v>
      </c>
      <c r="M596" s="14">
        <v>55.238100000000003</v>
      </c>
      <c r="N596" s="14">
        <f t="shared" si="243"/>
        <v>41.009583333333325</v>
      </c>
      <c r="O596" s="14">
        <f t="shared" si="244"/>
        <v>48.297627674925472</v>
      </c>
      <c r="P596" s="14">
        <f t="shared" si="260"/>
        <v>44.653605504129402</v>
      </c>
      <c r="Q596" s="14">
        <v>55.433748528002866</v>
      </c>
      <c r="R596" s="17">
        <f t="shared" si="245"/>
        <v>44.566251471997134</v>
      </c>
      <c r="S596" s="14">
        <f t="shared" si="261"/>
        <v>0.50109626324797418</v>
      </c>
      <c r="T596" s="13">
        <v>0</v>
      </c>
      <c r="U596" s="13">
        <f t="shared" si="262"/>
        <v>22.375754858668415</v>
      </c>
      <c r="V596" s="13">
        <f>IF($T596=1,$AU596,(VLOOKUP(U596,'Cortes naturales'!$A$35:$C$39,3,9)))</f>
        <v>4</v>
      </c>
      <c r="W596" s="13">
        <v>4</v>
      </c>
      <c r="X596" s="14" t="b">
        <f t="shared" si="246"/>
        <v>1</v>
      </c>
      <c r="Y596" s="17">
        <f>IF($T596=1,$AU596,VLOOKUP(U596,'Cortes naturales'!$A$45:$C$49,3,9))</f>
        <v>4</v>
      </c>
      <c r="Z596" s="14">
        <v>45.507999934024745</v>
      </c>
      <c r="AA596" s="14">
        <v>0.50749467215200361</v>
      </c>
      <c r="AB596" s="14">
        <v>23.09506750681129</v>
      </c>
      <c r="AC596" s="13">
        <v>4</v>
      </c>
      <c r="AD596" s="13">
        <f t="shared" si="247"/>
        <v>0</v>
      </c>
      <c r="AE596" s="14">
        <f t="shared" si="248"/>
        <v>-0.85439442989534342</v>
      </c>
      <c r="AF596" s="14">
        <f t="shared" si="249"/>
        <v>-6.398408904029429E-3</v>
      </c>
      <c r="AG596" s="13">
        <f t="shared" si="250"/>
        <v>-0.71931264814287488</v>
      </c>
      <c r="AH596" s="13">
        <f>IF($T596=1,$AU596,VLOOKUP(U596,'Cortes naturales'!$A$25:$C$29,3,9))</f>
        <v>4</v>
      </c>
      <c r="AI596" s="13" t="b">
        <f t="shared" si="251"/>
        <v>1</v>
      </c>
      <c r="AJ596" s="13">
        <f t="shared" si="252"/>
        <v>0</v>
      </c>
      <c r="AK596" s="28">
        <v>0.81759069605862034</v>
      </c>
      <c r="AL596" s="28">
        <v>37.206917342294943</v>
      </c>
      <c r="AM596" s="28">
        <v>0.29479330432249179</v>
      </c>
      <c r="AN596" s="13">
        <v>4</v>
      </c>
      <c r="AO596" s="33">
        <f t="shared" si="253"/>
        <v>0</v>
      </c>
      <c r="AP596" s="13">
        <f t="shared" si="263"/>
        <v>29.479330432249178</v>
      </c>
      <c r="AQ596" s="13">
        <f>IFERROR(VLOOKUP(U596,'Cortes naturales'!$E$15:$G$19,3,9),U596)</f>
        <v>4</v>
      </c>
      <c r="AR596" s="28">
        <f t="shared" si="254"/>
        <v>-0.31649443281064615</v>
      </c>
      <c r="AS596" s="13" t="b">
        <f t="shared" si="255"/>
        <v>1</v>
      </c>
      <c r="AT596" s="13">
        <f t="shared" si="264"/>
        <v>0</v>
      </c>
      <c r="AU596" s="13">
        <v>4</v>
      </c>
      <c r="AV596">
        <f t="shared" si="256"/>
        <v>0</v>
      </c>
      <c r="AW596" s="13">
        <v>0</v>
      </c>
      <c r="AX596" s="13">
        <v>0</v>
      </c>
      <c r="AY596" s="13">
        <v>0</v>
      </c>
      <c r="AZ596" s="13">
        <v>0</v>
      </c>
      <c r="BA596">
        <v>0</v>
      </c>
      <c r="BB596" t="s">
        <v>2839</v>
      </c>
      <c r="BC596">
        <v>6</v>
      </c>
      <c r="BD596" t="s">
        <v>2919</v>
      </c>
      <c r="BE596">
        <v>0</v>
      </c>
      <c r="BF596" s="232" t="s">
        <v>2846</v>
      </c>
      <c r="BG596" s="232" t="s">
        <v>2846</v>
      </c>
      <c r="BH596" s="253">
        <v>45.3</v>
      </c>
      <c r="BI596" s="253">
        <v>22.04330927262632</v>
      </c>
      <c r="BJ596" s="25">
        <v>0</v>
      </c>
      <c r="BK596" t="s">
        <v>381</v>
      </c>
      <c r="BL596">
        <v>0</v>
      </c>
      <c r="BM596" t="s">
        <v>377</v>
      </c>
      <c r="BN596" s="322">
        <v>13559.614798000001</v>
      </c>
      <c r="BO596" s="322">
        <v>688.67454899999996</v>
      </c>
      <c r="BP596" s="10">
        <v>4520</v>
      </c>
      <c r="BQ596" s="254">
        <f t="shared" si="257"/>
        <v>2.9999147783185842</v>
      </c>
      <c r="BR596" s="254">
        <f t="shared" si="258"/>
        <v>0.15236162588495575</v>
      </c>
      <c r="BS596" s="25">
        <v>55.471493684426747</v>
      </c>
      <c r="BT596" s="25">
        <v>89.651737345132744</v>
      </c>
      <c r="BU596" s="25">
        <v>48.844753758424027</v>
      </c>
      <c r="BV596" s="25">
        <v>98.92535241619106</v>
      </c>
      <c r="BW596" s="25">
        <v>51.628382993040518</v>
      </c>
      <c r="BX596" s="25">
        <v>73.22333430104365</v>
      </c>
      <c r="BY596" s="25">
        <v>51.859102483723362</v>
      </c>
      <c r="BZ596">
        <v>1</v>
      </c>
      <c r="CA596">
        <v>0</v>
      </c>
      <c r="CB596">
        <v>7</v>
      </c>
      <c r="CC596">
        <v>8641.0083379999996</v>
      </c>
      <c r="CD596" s="10">
        <v>83.419459000000003</v>
      </c>
      <c r="CE596" s="255">
        <v>9.6539033104680247E-3</v>
      </c>
      <c r="CF596" t="str">
        <f>IFERROR(VLOOKUP(CE596,'Rangos amb etnico'!$A$2:$C$6,3,9),"N.D.")</f>
        <v>0,1% - 30%</v>
      </c>
      <c r="CG596" s="256">
        <v>2.426986525743863E-6</v>
      </c>
      <c r="CH596" s="232">
        <v>0</v>
      </c>
      <c r="CI596" s="311">
        <f t="shared" si="265"/>
        <v>0</v>
      </c>
      <c r="CJ596" s="232">
        <f>IFERROR(VLOOKUP(CI596,'Rangos amb etnico'!$A$2:$C$6,3,9),"N.D.")</f>
        <v>0</v>
      </c>
      <c r="CK596" s="311">
        <f t="shared" si="266"/>
        <v>0</v>
      </c>
      <c r="CL596" s="10">
        <v>0</v>
      </c>
      <c r="CM596" s="255">
        <f t="shared" si="267"/>
        <v>0</v>
      </c>
      <c r="CN596" s="232">
        <f>IFERROR(VLOOKUP(CM596,'Rangos amb etnico'!$A$2:$C$6,3,9),"N.D.")</f>
        <v>0</v>
      </c>
      <c r="CO596" s="311">
        <f t="shared" si="268"/>
        <v>0</v>
      </c>
      <c r="CP596">
        <v>0.94644726381974309</v>
      </c>
      <c r="CQ596" t="s">
        <v>2864</v>
      </c>
      <c r="CR596">
        <f t="shared" si="259"/>
        <v>1</v>
      </c>
      <c r="CS596" t="str">
        <f t="shared" si="269"/>
        <v>No es Candidato</v>
      </c>
      <c r="CT596">
        <v>0</v>
      </c>
      <c r="CU596">
        <v>0</v>
      </c>
      <c r="CV596" s="25">
        <v>57.579025268554688</v>
      </c>
      <c r="CW596" s="25">
        <v>22.421737670898441</v>
      </c>
      <c r="CX596" s="25">
        <v>47.914894104003913</v>
      </c>
      <c r="CY596" s="25">
        <v>74.741737365722656</v>
      </c>
      <c r="CZ596" s="25">
        <v>40.573905944824219</v>
      </c>
      <c r="DA596" s="25">
        <v>85.235565185546875</v>
      </c>
      <c r="DB596" s="25">
        <v>74.5863037109375</v>
      </c>
      <c r="DC596">
        <v>27</v>
      </c>
      <c r="DD596" s="253" t="s">
        <v>380</v>
      </c>
    </row>
    <row r="597" spans="1:108" hidden="1">
      <c r="A597" s="13">
        <v>15109</v>
      </c>
      <c r="B597" s="13" t="s">
        <v>1638</v>
      </c>
      <c r="C597" s="13" t="s">
        <v>498</v>
      </c>
      <c r="D597" s="13" t="s">
        <v>499</v>
      </c>
      <c r="E597" s="13" t="s">
        <v>1064</v>
      </c>
      <c r="F597" s="14">
        <v>60.9472666666667</v>
      </c>
      <c r="G597" s="13">
        <v>67.849999999999994</v>
      </c>
      <c r="H597" s="13">
        <v>65.83</v>
      </c>
      <c r="I597" s="13">
        <v>63.93</v>
      </c>
      <c r="J597" s="14">
        <v>70.314902266810748</v>
      </c>
      <c r="K597" s="14">
        <v>60.357350063793433</v>
      </c>
      <c r="L597" s="14">
        <v>57.546247045896344</v>
      </c>
      <c r="M597" s="14">
        <v>50.979900000000001</v>
      </c>
      <c r="N597" s="14">
        <f t="shared" si="243"/>
        <v>64.639316666666673</v>
      </c>
      <c r="O597" s="14">
        <f t="shared" si="244"/>
        <v>59.799599844125126</v>
      </c>
      <c r="P597" s="14">
        <f t="shared" si="260"/>
        <v>62.219458255395899</v>
      </c>
      <c r="Q597" s="14">
        <v>56.29936527320092</v>
      </c>
      <c r="R597" s="17">
        <f t="shared" si="245"/>
        <v>43.70063472679908</v>
      </c>
      <c r="S597" s="14">
        <f t="shared" si="261"/>
        <v>0.49330571254119171</v>
      </c>
      <c r="T597" s="13">
        <v>0</v>
      </c>
      <c r="U597" s="13">
        <f t="shared" si="262"/>
        <v>30.693214188605008</v>
      </c>
      <c r="V597" s="13">
        <f>IF($T597=1,$AU597,(VLOOKUP(U597,'Cortes naturales'!$A$35:$C$39,3,9)))</f>
        <v>3</v>
      </c>
      <c r="W597" s="13">
        <v>3</v>
      </c>
      <c r="X597" s="14" t="b">
        <f t="shared" si="246"/>
        <v>1</v>
      </c>
      <c r="Y597" s="17">
        <f>IF($T597=1,$AU597,VLOOKUP(U597,'Cortes naturales'!$A$45:$C$49,3,9))</f>
        <v>3</v>
      </c>
      <c r="Z597" s="14">
        <v>61.28373579852277</v>
      </c>
      <c r="AA597" s="14">
        <v>0.50510207348529435</v>
      </c>
      <c r="AB597" s="14">
        <v>30.954542022758812</v>
      </c>
      <c r="AC597" s="13">
        <v>3</v>
      </c>
      <c r="AD597" s="13">
        <f t="shared" si="247"/>
        <v>0</v>
      </c>
      <c r="AE597" s="14">
        <f t="shared" si="248"/>
        <v>0.93572245687312972</v>
      </c>
      <c r="AF597" s="14">
        <f t="shared" si="249"/>
        <v>-1.1796360944102635E-2</v>
      </c>
      <c r="AG597" s="13">
        <f t="shared" si="250"/>
        <v>-0.26132783415380345</v>
      </c>
      <c r="AH597" s="13">
        <f>IF($T597=1,$AU597,VLOOKUP(U597,'Cortes naturales'!$A$25:$C$29,3,9))</f>
        <v>3</v>
      </c>
      <c r="AI597" s="13" t="b">
        <f t="shared" si="251"/>
        <v>1</v>
      </c>
      <c r="AJ597" s="13">
        <f t="shared" si="252"/>
        <v>0</v>
      </c>
      <c r="AK597" s="28">
        <v>0.81759069605862034</v>
      </c>
      <c r="AL597" s="28">
        <v>50.105012208586821</v>
      </c>
      <c r="AM597" s="28">
        <v>0.45613487522627977</v>
      </c>
      <c r="AN597" s="13">
        <v>3</v>
      </c>
      <c r="AO597" s="33">
        <f t="shared" si="253"/>
        <v>0</v>
      </c>
      <c r="AP597" s="13">
        <f t="shared" si="263"/>
        <v>45.613487522627977</v>
      </c>
      <c r="AQ597" s="13">
        <f>IFERROR(VLOOKUP(U597,'Cortes naturales'!$E$15:$G$19,3,9),U597)</f>
        <v>4</v>
      </c>
      <c r="AR597" s="28">
        <f t="shared" si="254"/>
        <v>-0.32428498351742863</v>
      </c>
      <c r="AS597" s="13" t="b">
        <f t="shared" si="255"/>
        <v>0</v>
      </c>
      <c r="AT597" s="13">
        <f t="shared" si="264"/>
        <v>0</v>
      </c>
      <c r="AU597" s="13">
        <v>3</v>
      </c>
      <c r="AV597">
        <f t="shared" si="256"/>
        <v>0</v>
      </c>
      <c r="AW597" s="13">
        <v>0</v>
      </c>
      <c r="AX597" s="13">
        <v>0</v>
      </c>
      <c r="AY597" s="13">
        <v>0</v>
      </c>
      <c r="AZ597" s="13">
        <v>0</v>
      </c>
      <c r="BA597">
        <v>0</v>
      </c>
      <c r="BB597" t="s">
        <v>2841</v>
      </c>
      <c r="BC597">
        <v>6</v>
      </c>
      <c r="BD597" t="s">
        <v>2919</v>
      </c>
      <c r="BE597">
        <v>0</v>
      </c>
      <c r="BF597" s="232" t="s">
        <v>2846</v>
      </c>
      <c r="BG597" s="232" t="s">
        <v>2846</v>
      </c>
      <c r="BH597" s="253">
        <v>44.9</v>
      </c>
      <c r="BI597" s="253">
        <v>14.599056603773585</v>
      </c>
      <c r="BJ597" s="25">
        <v>50.34535672092413</v>
      </c>
      <c r="BK597" t="s">
        <v>376</v>
      </c>
      <c r="BL597">
        <v>0</v>
      </c>
      <c r="BM597" t="s">
        <v>377</v>
      </c>
      <c r="BN597" s="322">
        <v>15092.192343000001</v>
      </c>
      <c r="BO597" s="322">
        <v>1042.4086440000001</v>
      </c>
      <c r="BP597" s="10">
        <v>4509</v>
      </c>
      <c r="BQ597" s="254">
        <f t="shared" si="257"/>
        <v>3.3471262681304061</v>
      </c>
      <c r="BR597" s="254">
        <f t="shared" si="258"/>
        <v>0.23118399733865605</v>
      </c>
      <c r="BS597" s="25">
        <v>67.854609308559972</v>
      </c>
      <c r="BT597" s="25">
        <v>96.399793006579443</v>
      </c>
      <c r="BU597" s="25">
        <v>34.044584676800227</v>
      </c>
      <c r="BV597" s="25">
        <v>79.986927200059085</v>
      </c>
      <c r="BW597" s="25">
        <v>54.345242409991968</v>
      </c>
      <c r="BX597" s="25">
        <v>69.571478547999689</v>
      </c>
      <c r="BY597" s="25">
        <v>57.505270144152867</v>
      </c>
      <c r="BZ597">
        <v>86</v>
      </c>
      <c r="CA597">
        <v>0</v>
      </c>
      <c r="CB597">
        <v>7</v>
      </c>
      <c r="CC597">
        <v>11001.024751999999</v>
      </c>
      <c r="CD597" s="10">
        <v>194.86886999999999</v>
      </c>
      <c r="CE597" s="255">
        <v>1.7713701622621345E-2</v>
      </c>
      <c r="CF597" t="str">
        <f>IFERROR(VLOOKUP(CE597,'Rangos amb etnico'!$A$2:$C$6,3,9),"N.D.")</f>
        <v>0,1% - 30%</v>
      </c>
      <c r="CG597" s="256">
        <v>5.6694700187031E-6</v>
      </c>
      <c r="CH597" s="232">
        <v>0</v>
      </c>
      <c r="CI597" s="311">
        <f t="shared" si="265"/>
        <v>0</v>
      </c>
      <c r="CJ597" s="232">
        <f>IFERROR(VLOOKUP(CI597,'Rangos amb etnico'!$A$2:$C$6,3,9),"N.D.")</f>
        <v>0</v>
      </c>
      <c r="CK597" s="311">
        <f t="shared" si="266"/>
        <v>0</v>
      </c>
      <c r="CL597" s="10">
        <v>0</v>
      </c>
      <c r="CM597" s="255">
        <f t="shared" si="267"/>
        <v>0</v>
      </c>
      <c r="CN597" s="232">
        <f>IFERROR(VLOOKUP(CM597,'Rangos amb etnico'!$A$2:$C$6,3,9),"N.D.")</f>
        <v>0</v>
      </c>
      <c r="CO597" s="311">
        <f t="shared" si="268"/>
        <v>0</v>
      </c>
      <c r="CP597">
        <v>0.93884817343483784</v>
      </c>
      <c r="CQ597" t="s">
        <v>2864</v>
      </c>
      <c r="CR597">
        <f t="shared" si="259"/>
        <v>2</v>
      </c>
      <c r="CS597" t="str">
        <f t="shared" si="269"/>
        <v>No es Candidato</v>
      </c>
      <c r="CT597">
        <v>0</v>
      </c>
      <c r="CU597">
        <v>0</v>
      </c>
      <c r="CV597" s="25">
        <v>48.123207092285163</v>
      </c>
      <c r="CW597" s="25">
        <v>11.08606052398682</v>
      </c>
      <c r="CX597" s="25">
        <v>51.024879455566413</v>
      </c>
      <c r="CY597" s="25">
        <v>54.696155548095703</v>
      </c>
      <c r="CZ597" s="25">
        <v>46.651824951171882</v>
      </c>
      <c r="DA597" s="25">
        <v>66.631988525390625</v>
      </c>
      <c r="DB597" s="25">
        <v>58.648330688476563</v>
      </c>
      <c r="DC597">
        <v>25</v>
      </c>
      <c r="DD597" s="253" t="s">
        <v>380</v>
      </c>
    </row>
    <row r="598" spans="1:108" hidden="1">
      <c r="A598" s="13">
        <v>15232</v>
      </c>
      <c r="B598" s="13" t="s">
        <v>1639</v>
      </c>
      <c r="C598" s="13" t="s">
        <v>498</v>
      </c>
      <c r="D598" s="13" t="s">
        <v>499</v>
      </c>
      <c r="E598" s="13" t="s">
        <v>1640</v>
      </c>
      <c r="F598" s="14">
        <v>58.347900000000003</v>
      </c>
      <c r="G598" s="13">
        <v>68.27</v>
      </c>
      <c r="H598" s="13">
        <v>52.56</v>
      </c>
      <c r="I598" s="13">
        <v>37.51</v>
      </c>
      <c r="J598" s="14">
        <v>55.074262473874789</v>
      </c>
      <c r="K598" s="14">
        <v>47.086295404886251</v>
      </c>
      <c r="L598" s="14">
        <v>61.894865306317243</v>
      </c>
      <c r="M598" s="14">
        <v>57.260599999999997</v>
      </c>
      <c r="N598" s="14">
        <f t="shared" si="243"/>
        <v>54.171974999999996</v>
      </c>
      <c r="O598" s="14">
        <f t="shared" si="244"/>
        <v>55.32900579626957</v>
      </c>
      <c r="P598" s="14">
        <f t="shared" si="260"/>
        <v>54.750490398134787</v>
      </c>
      <c r="Q598" s="14">
        <v>56.085964532140807</v>
      </c>
      <c r="R598" s="17">
        <f t="shared" si="245"/>
        <v>43.914035467859193</v>
      </c>
      <c r="S598" s="14">
        <f t="shared" si="261"/>
        <v>0.49522631921073279</v>
      </c>
      <c r="T598" s="13">
        <v>0</v>
      </c>
      <c r="U598" s="13">
        <f t="shared" si="262"/>
        <v>27.11388383485086</v>
      </c>
      <c r="V598" s="13">
        <f>IF($T598=1,$AU598,(VLOOKUP(U598,'Cortes naturales'!$A$35:$C$39,3,9)))</f>
        <v>4</v>
      </c>
      <c r="W598" s="13">
        <v>4</v>
      </c>
      <c r="X598" s="14" t="b">
        <f t="shared" si="246"/>
        <v>1</v>
      </c>
      <c r="Y598" s="17">
        <f>IF($T598=1,$AU598,VLOOKUP(U598,'Cortes naturales'!$A$45:$C$49,3,9))</f>
        <v>4</v>
      </c>
      <c r="Z598" s="14">
        <v>57.067631134529918</v>
      </c>
      <c r="AA598" s="14">
        <v>0.50648947559562729</v>
      </c>
      <c r="AB598" s="14">
        <v>28.90415456681275</v>
      </c>
      <c r="AC598" s="13">
        <v>3</v>
      </c>
      <c r="AD598" s="13">
        <f t="shared" si="247"/>
        <v>-1</v>
      </c>
      <c r="AE598" s="14">
        <f t="shared" si="248"/>
        <v>-2.3171407363951317</v>
      </c>
      <c r="AF598" s="14">
        <f t="shared" si="249"/>
        <v>-1.1263156384894502E-2</v>
      </c>
      <c r="AG598" s="13">
        <f t="shared" si="250"/>
        <v>-1.7902707319618898</v>
      </c>
      <c r="AH598" s="13">
        <f>IF($T598=1,$AU598,VLOOKUP(U598,'Cortes naturales'!$A$25:$C$29,3,9))</f>
        <v>4</v>
      </c>
      <c r="AI598" s="13" t="b">
        <f t="shared" si="251"/>
        <v>1</v>
      </c>
      <c r="AJ598" s="13" t="str">
        <f t="shared" si="252"/>
        <v>Efecto ponderador</v>
      </c>
      <c r="AK598" s="28">
        <v>0.81759069605862034</v>
      </c>
      <c r="AL598" s="28">
        <v>46.657964261696911</v>
      </c>
      <c r="AM598" s="28">
        <v>0.41301593894171623</v>
      </c>
      <c r="AN598" s="13">
        <v>3</v>
      </c>
      <c r="AO598" s="33">
        <f t="shared" si="253"/>
        <v>-1</v>
      </c>
      <c r="AP598" s="13">
        <f t="shared" si="263"/>
        <v>41.301593894171624</v>
      </c>
      <c r="AQ598" s="13">
        <f>IFERROR(VLOOKUP(U598,'Cortes naturales'!$E$15:$G$19,3,9),U598)</f>
        <v>4</v>
      </c>
      <c r="AR598" s="28">
        <f t="shared" si="254"/>
        <v>-0.32236437684788755</v>
      </c>
      <c r="AS598" s="13" t="b">
        <f t="shared" si="255"/>
        <v>1</v>
      </c>
      <c r="AT598" s="13" t="str">
        <f t="shared" si="264"/>
        <v>Efecto ponderador</v>
      </c>
      <c r="AU598" s="13">
        <v>3</v>
      </c>
      <c r="AV598">
        <f t="shared" si="256"/>
        <v>-1</v>
      </c>
      <c r="AW598" s="13">
        <v>0</v>
      </c>
      <c r="AX598" s="13">
        <v>0</v>
      </c>
      <c r="AY598" s="13">
        <v>0</v>
      </c>
      <c r="AZ598" s="13">
        <v>0</v>
      </c>
      <c r="BA598">
        <v>0</v>
      </c>
      <c r="BB598" t="s">
        <v>2841</v>
      </c>
      <c r="BC598">
        <v>6</v>
      </c>
      <c r="BD598" t="s">
        <v>2919</v>
      </c>
      <c r="BE598">
        <v>0</v>
      </c>
      <c r="BF598" s="232" t="s">
        <v>2846</v>
      </c>
      <c r="BG598" s="232" t="s">
        <v>2846</v>
      </c>
      <c r="BH598" s="253">
        <v>51.3</v>
      </c>
      <c r="BI598" s="253">
        <v>17.759374281113413</v>
      </c>
      <c r="BJ598" s="25">
        <v>10.04042578591325</v>
      </c>
      <c r="BK598" t="s">
        <v>377</v>
      </c>
      <c r="BL598">
        <v>0</v>
      </c>
      <c r="BM598" t="s">
        <v>377</v>
      </c>
      <c r="BN598" s="322">
        <v>15364.882856</v>
      </c>
      <c r="BO598" s="322">
        <v>841.85726599999998</v>
      </c>
      <c r="BP598" s="10">
        <v>4813</v>
      </c>
      <c r="BQ598" s="254">
        <f t="shared" si="257"/>
        <v>3.1923712561811759</v>
      </c>
      <c r="BR598" s="254">
        <f t="shared" si="258"/>
        <v>0.17491320714730937</v>
      </c>
      <c r="BS598" s="25">
        <v>51.784145074771267</v>
      </c>
      <c r="BT598" s="25">
        <v>93.262826050973061</v>
      </c>
      <c r="BU598" s="25">
        <v>47.013065667380431</v>
      </c>
      <c r="BV598" s="25">
        <v>95.941457130860798</v>
      </c>
      <c r="BW598" s="25">
        <v>60.130412804643747</v>
      </c>
      <c r="BX598" s="25">
        <v>72.000373480996387</v>
      </c>
      <c r="BY598" s="25">
        <v>60.84461195011859</v>
      </c>
      <c r="BZ598">
        <v>68</v>
      </c>
      <c r="CA598">
        <v>0</v>
      </c>
      <c r="CB598">
        <v>7</v>
      </c>
      <c r="CC598">
        <v>11631.848795</v>
      </c>
      <c r="CD598" s="10">
        <v>7858.4823610000003</v>
      </c>
      <c r="CE598" s="255">
        <v>0.67560045694352588</v>
      </c>
      <c r="CF598" t="str">
        <f>IFERROR(VLOOKUP(CE598,'Rangos amb etnico'!$A$2:$C$6,3,9),"N.D.")</f>
        <v>51% - 70%</v>
      </c>
      <c r="CG598" s="256">
        <v>2.2863287572918474E-4</v>
      </c>
      <c r="CH598" s="232">
        <v>0</v>
      </c>
      <c r="CI598" s="311">
        <f t="shared" si="265"/>
        <v>0</v>
      </c>
      <c r="CJ598" s="232">
        <f>IFERROR(VLOOKUP(CI598,'Rangos amb etnico'!$A$2:$C$6,3,9),"N.D.")</f>
        <v>0</v>
      </c>
      <c r="CK598" s="311">
        <f t="shared" si="266"/>
        <v>0</v>
      </c>
      <c r="CL598" s="10">
        <v>0</v>
      </c>
      <c r="CM598" s="255">
        <f t="shared" si="267"/>
        <v>0</v>
      </c>
      <c r="CN598" s="232">
        <f>IFERROR(VLOOKUP(CM598,'Rangos amb etnico'!$A$2:$C$6,3,9),"N.D.")</f>
        <v>0</v>
      </c>
      <c r="CO598" s="311">
        <f t="shared" si="268"/>
        <v>0</v>
      </c>
      <c r="CP598">
        <v>0.95883498273902945</v>
      </c>
      <c r="CQ598" t="s">
        <v>2864</v>
      </c>
      <c r="CR598">
        <f t="shared" si="259"/>
        <v>2</v>
      </c>
      <c r="CS598" t="str">
        <f t="shared" si="269"/>
        <v>No es Candidato</v>
      </c>
      <c r="CT598">
        <v>0</v>
      </c>
      <c r="CU598">
        <v>0</v>
      </c>
      <c r="CV598" s="25">
        <v>54.743759155273438</v>
      </c>
      <c r="CW598" s="25">
        <v>17.812700271606449</v>
      </c>
      <c r="CX598" s="25">
        <v>50.708141326904297</v>
      </c>
      <c r="CY598" s="25">
        <v>60.051311492919922</v>
      </c>
      <c r="CZ598" s="25">
        <v>62.622470855712891</v>
      </c>
      <c r="DA598" s="25">
        <v>69.771209716796875</v>
      </c>
      <c r="DB598" s="25">
        <v>67.496734619140625</v>
      </c>
      <c r="DC598">
        <v>18</v>
      </c>
      <c r="DD598" s="253" t="s">
        <v>380</v>
      </c>
    </row>
    <row r="599" spans="1:108" hidden="1">
      <c r="A599" s="13">
        <v>41006</v>
      </c>
      <c r="B599" s="13" t="s">
        <v>1641</v>
      </c>
      <c r="C599" s="13" t="s">
        <v>676</v>
      </c>
      <c r="D599" s="13" t="s">
        <v>677</v>
      </c>
      <c r="E599" s="13" t="s">
        <v>1642</v>
      </c>
      <c r="F599" s="14">
        <v>82.5809</v>
      </c>
      <c r="G599" s="13">
        <v>61.42</v>
      </c>
      <c r="H599" s="13">
        <v>60.27</v>
      </c>
      <c r="I599" s="13">
        <v>73.959999999999994</v>
      </c>
      <c r="J599" s="14">
        <v>63.160998869608207</v>
      </c>
      <c r="K599" s="14">
        <v>57.363546108040708</v>
      </c>
      <c r="L599" s="14">
        <v>63.584769049274712</v>
      </c>
      <c r="M599" s="14">
        <v>63.767800000000001</v>
      </c>
      <c r="N599" s="14">
        <f t="shared" si="243"/>
        <v>69.557725000000005</v>
      </c>
      <c r="O599" s="14">
        <f t="shared" si="244"/>
        <v>61.969278506730909</v>
      </c>
      <c r="P599" s="14">
        <f t="shared" si="260"/>
        <v>65.76350175336546</v>
      </c>
      <c r="Q599" s="14">
        <v>55.682501141123453</v>
      </c>
      <c r="R599" s="17">
        <f t="shared" si="245"/>
        <v>44.317498858876547</v>
      </c>
      <c r="S599" s="14">
        <f t="shared" si="261"/>
        <v>0.49885748972988897</v>
      </c>
      <c r="T599" s="13">
        <v>0</v>
      </c>
      <c r="U599" s="13">
        <f t="shared" si="262"/>
        <v>32.806615400531044</v>
      </c>
      <c r="V599" s="13">
        <f>IF($T599=1,$AU599,(VLOOKUP(U599,'Cortes naturales'!$A$35:$C$39,3,9)))</f>
        <v>3</v>
      </c>
      <c r="W599" s="13">
        <v>3</v>
      </c>
      <c r="X599" s="14" t="b">
        <f t="shared" si="246"/>
        <v>1</v>
      </c>
      <c r="Y599" s="17">
        <f>IF($T599=1,$AU599,VLOOKUP(U599,'Cortes naturales'!$A$45:$C$49,3,9))</f>
        <v>3</v>
      </c>
      <c r="Z599" s="14">
        <v>66.387320423105706</v>
      </c>
      <c r="AA599" s="14">
        <v>0.5061673747542349</v>
      </c>
      <c r="AB599" s="14">
        <v>33.603095695531621</v>
      </c>
      <c r="AC599" s="13">
        <v>3</v>
      </c>
      <c r="AD599" s="13">
        <f t="shared" si="247"/>
        <v>0</v>
      </c>
      <c r="AE599" s="14">
        <f t="shared" si="248"/>
        <v>-0.62381866974024547</v>
      </c>
      <c r="AF599" s="14">
        <f t="shared" si="249"/>
        <v>-7.3098850243459301E-3</v>
      </c>
      <c r="AG599" s="13">
        <f t="shared" si="250"/>
        <v>-0.7964802950005776</v>
      </c>
      <c r="AH599" s="13">
        <f>IF($T599=1,$AU599,VLOOKUP(U599,'Cortes naturales'!$A$25:$C$29,3,9))</f>
        <v>3</v>
      </c>
      <c r="AI599" s="13" t="b">
        <f t="shared" si="251"/>
        <v>1</v>
      </c>
      <c r="AJ599" s="13">
        <f t="shared" si="252"/>
        <v>0</v>
      </c>
      <c r="AK599" s="28">
        <v>0.81759069605862034</v>
      </c>
      <c r="AL599" s="28">
        <v>54.277655514193654</v>
      </c>
      <c r="AM599" s="28">
        <v>0.50833024459878984</v>
      </c>
      <c r="AN599" s="13">
        <v>2</v>
      </c>
      <c r="AO599" s="33">
        <f t="shared" si="253"/>
        <v>-1</v>
      </c>
      <c r="AP599" s="13">
        <f t="shared" si="263"/>
        <v>50.833024459878985</v>
      </c>
      <c r="AQ599" s="13">
        <f>IFERROR(VLOOKUP(U599,'Cortes naturales'!$E$15:$G$19,3,9),U599)</f>
        <v>4</v>
      </c>
      <c r="AR599" s="28">
        <f t="shared" si="254"/>
        <v>-0.31873320632873137</v>
      </c>
      <c r="AS599" s="13" t="b">
        <f t="shared" si="255"/>
        <v>0</v>
      </c>
      <c r="AT599" s="13" t="str">
        <f t="shared" si="264"/>
        <v>Cambio en corte</v>
      </c>
      <c r="AU599" s="13">
        <v>2</v>
      </c>
      <c r="AV599">
        <f t="shared" si="256"/>
        <v>-1</v>
      </c>
      <c r="AW599" s="13">
        <v>0</v>
      </c>
      <c r="AX599" s="13">
        <v>0</v>
      </c>
      <c r="AY599" s="13">
        <v>0</v>
      </c>
      <c r="AZ599" s="13">
        <v>0</v>
      </c>
      <c r="BA599">
        <v>1</v>
      </c>
      <c r="BB599" t="s">
        <v>2840</v>
      </c>
      <c r="BC599">
        <v>6</v>
      </c>
      <c r="BD599" t="s">
        <v>2919</v>
      </c>
      <c r="BE599">
        <v>0</v>
      </c>
      <c r="BF599" s="232" t="s">
        <v>2846</v>
      </c>
      <c r="BG599" s="232" t="s">
        <v>2845</v>
      </c>
      <c r="BH599" s="253">
        <v>51</v>
      </c>
      <c r="BI599" s="253">
        <v>19.330673397931765</v>
      </c>
      <c r="BJ599" s="25">
        <v>5.8062500000000004</v>
      </c>
      <c r="BK599" t="s">
        <v>377</v>
      </c>
      <c r="BL599">
        <v>6.5352541025507058</v>
      </c>
      <c r="BM599" t="s">
        <v>379</v>
      </c>
      <c r="BN599" s="322">
        <v>60580.793634000001</v>
      </c>
      <c r="BO599" s="322">
        <v>4397.1118470000001</v>
      </c>
      <c r="BP599" s="10">
        <v>25976</v>
      </c>
      <c r="BQ599" s="254">
        <f t="shared" si="257"/>
        <v>2.3321833089775179</v>
      </c>
      <c r="BR599" s="254">
        <f t="shared" si="258"/>
        <v>0.16927594113797351</v>
      </c>
      <c r="BS599" s="25">
        <v>73.035376594095681</v>
      </c>
      <c r="BT599" s="25">
        <v>100</v>
      </c>
      <c r="BU599" s="25">
        <v>44.823333333333331</v>
      </c>
      <c r="BV599" s="25">
        <v>85.018718718776668</v>
      </c>
      <c r="BW599" s="25">
        <v>57.822775727099263</v>
      </c>
      <c r="BX599" s="25">
        <v>75.719357161551414</v>
      </c>
      <c r="BY599" s="25">
        <v>58.769881153251632</v>
      </c>
      <c r="BZ599">
        <v>54</v>
      </c>
      <c r="CA599">
        <v>0</v>
      </c>
      <c r="CB599">
        <v>7</v>
      </c>
      <c r="CC599">
        <v>52180.677217999997</v>
      </c>
      <c r="CD599" s="10">
        <v>41810.940233000001</v>
      </c>
      <c r="CE599" s="255">
        <v>0.80127247215137909</v>
      </c>
      <c r="CF599" t="str">
        <f>IFERROR(VLOOKUP(CE599,'Rangos amb etnico'!$A$2:$C$6,3,9),"N.D.")</f>
        <v>71% - 100%</v>
      </c>
      <c r="CG599" s="256">
        <v>1.2164378646254824E-3</v>
      </c>
      <c r="CH599" s="232">
        <v>0</v>
      </c>
      <c r="CI599" s="311">
        <f t="shared" si="265"/>
        <v>0</v>
      </c>
      <c r="CJ599" s="232">
        <f>IFERROR(VLOOKUP(CI599,'Rangos amb etnico'!$A$2:$C$6,3,9),"N.D.")</f>
        <v>0</v>
      </c>
      <c r="CK599" s="311">
        <f t="shared" si="266"/>
        <v>0</v>
      </c>
      <c r="CL599" s="10">
        <v>0</v>
      </c>
      <c r="CM599" s="255">
        <f t="shared" si="267"/>
        <v>0</v>
      </c>
      <c r="CN599" s="232">
        <f>IFERROR(VLOOKUP(CM599,'Rangos amb etnico'!$A$2:$C$6,3,9),"N.D.")</f>
        <v>0</v>
      </c>
      <c r="CO599" s="311">
        <f t="shared" si="268"/>
        <v>0</v>
      </c>
      <c r="CP599">
        <v>0.94830925152811374</v>
      </c>
      <c r="CQ599" t="s">
        <v>2864</v>
      </c>
      <c r="CR599">
        <f t="shared" si="259"/>
        <v>3</v>
      </c>
      <c r="CS599" t="str">
        <f t="shared" si="269"/>
        <v>Candidato</v>
      </c>
      <c r="CT599">
        <v>0</v>
      </c>
      <c r="CU599">
        <v>0</v>
      </c>
      <c r="CV599" s="25">
        <v>39.279598236083977</v>
      </c>
      <c r="CW599" s="25">
        <v>28.237773895263668</v>
      </c>
      <c r="CX599" s="25">
        <v>45.719470977783203</v>
      </c>
      <c r="CY599" s="25">
        <v>52.029975891113281</v>
      </c>
      <c r="CZ599" s="25">
        <v>32.353244781494141</v>
      </c>
      <c r="DA599" s="25">
        <v>24.88558387756348</v>
      </c>
      <c r="DB599" s="25">
        <v>52.4515380859375</v>
      </c>
      <c r="DC599">
        <v>497</v>
      </c>
      <c r="DD599" s="253" t="s">
        <v>380</v>
      </c>
    </row>
    <row r="600" spans="1:108" hidden="1">
      <c r="A600" s="13">
        <v>19075</v>
      </c>
      <c r="B600" s="13" t="s">
        <v>1643</v>
      </c>
      <c r="C600" s="13" t="s">
        <v>557</v>
      </c>
      <c r="D600" s="13" t="s">
        <v>558</v>
      </c>
      <c r="E600" s="13" t="s">
        <v>1301</v>
      </c>
      <c r="F600" s="14">
        <v>35.026033333333302</v>
      </c>
      <c r="G600" s="13">
        <v>37.729999999999997</v>
      </c>
      <c r="H600" s="13">
        <v>55.99</v>
      </c>
      <c r="I600" s="13">
        <v>53.52</v>
      </c>
      <c r="J600" s="14">
        <v>38.993592925427038</v>
      </c>
      <c r="K600" s="14">
        <v>46.486422612099823</v>
      </c>
      <c r="L600" s="14">
        <v>54.395201807779785</v>
      </c>
      <c r="M600" s="14">
        <v>53.368400000000001</v>
      </c>
      <c r="N600" s="14">
        <f t="shared" si="243"/>
        <v>45.566508333333331</v>
      </c>
      <c r="O600" s="14">
        <f t="shared" si="244"/>
        <v>48.310904336326665</v>
      </c>
      <c r="P600" s="14">
        <f t="shared" si="260"/>
        <v>46.938706334830002</v>
      </c>
      <c r="Q600" s="14">
        <v>55.845399085900503</v>
      </c>
      <c r="R600" s="17">
        <f t="shared" si="245"/>
        <v>44.154600914099497</v>
      </c>
      <c r="S600" s="14">
        <f t="shared" si="261"/>
        <v>0.49739140822689543</v>
      </c>
      <c r="T600" s="13">
        <v>0</v>
      </c>
      <c r="U600" s="13">
        <f t="shared" si="262"/>
        <v>23.346909244229792</v>
      </c>
      <c r="V600" s="13">
        <f>IF($T600=1,$AU600,(VLOOKUP(U600,'Cortes naturales'!$A$35:$C$39,3,9)))</f>
        <v>4</v>
      </c>
      <c r="W600" s="13">
        <v>4</v>
      </c>
      <c r="X600" s="14" t="b">
        <f t="shared" si="246"/>
        <v>1</v>
      </c>
      <c r="Y600" s="17">
        <f>IF($T600=1,$AU600,VLOOKUP(U600,'Cortes naturales'!$A$45:$C$49,3,9))</f>
        <v>4</v>
      </c>
      <c r="Z600" s="14">
        <v>42.910050548359351</v>
      </c>
      <c r="AA600" s="14">
        <v>0.50641675991443857</v>
      </c>
      <c r="AB600" s="14">
        <v>21.73036876646492</v>
      </c>
      <c r="AC600" s="13">
        <v>4</v>
      </c>
      <c r="AD600" s="13">
        <f t="shared" si="247"/>
        <v>0</v>
      </c>
      <c r="AE600" s="14">
        <f t="shared" si="248"/>
        <v>4.0286557864706509</v>
      </c>
      <c r="AF600" s="14">
        <f t="shared" si="249"/>
        <v>-9.0253516875431483E-3</v>
      </c>
      <c r="AG600" s="13">
        <f t="shared" si="250"/>
        <v>1.6165404777648718</v>
      </c>
      <c r="AH600" s="13">
        <f>IF($T600=1,$AU600,VLOOKUP(U600,'Cortes naturales'!$A$25:$C$29,3,9))</f>
        <v>4</v>
      </c>
      <c r="AI600" s="13" t="b">
        <f t="shared" si="251"/>
        <v>1</v>
      </c>
      <c r="AJ600" s="13">
        <f t="shared" si="252"/>
        <v>0</v>
      </c>
      <c r="AK600" s="28">
        <v>0.81759069605862034</v>
      </c>
      <c r="AL600" s="28">
        <v>35.082858095743703</v>
      </c>
      <c r="AM600" s="28">
        <v>0.26822356211762483</v>
      </c>
      <c r="AN600" s="13">
        <v>4</v>
      </c>
      <c r="AO600" s="33">
        <f t="shared" si="253"/>
        <v>0</v>
      </c>
      <c r="AP600" s="13">
        <f t="shared" si="263"/>
        <v>26.822356211762482</v>
      </c>
      <c r="AQ600" s="13">
        <f>IFERROR(VLOOKUP(U600,'Cortes naturales'!$E$15:$G$19,3,9),U600)</f>
        <v>4</v>
      </c>
      <c r="AR600" s="28">
        <f t="shared" si="254"/>
        <v>-0.32019928783172491</v>
      </c>
      <c r="AS600" s="13" t="b">
        <f t="shared" si="255"/>
        <v>1</v>
      </c>
      <c r="AT600" s="13">
        <f t="shared" si="264"/>
        <v>0</v>
      </c>
      <c r="AU600" s="13">
        <v>4</v>
      </c>
      <c r="AV600">
        <f t="shared" si="256"/>
        <v>0</v>
      </c>
      <c r="AW600" s="13">
        <v>0</v>
      </c>
      <c r="AX600" s="13">
        <v>0</v>
      </c>
      <c r="AY600" s="13">
        <v>0</v>
      </c>
      <c r="AZ600" s="13">
        <v>1</v>
      </c>
      <c r="BA600">
        <v>1</v>
      </c>
      <c r="BB600" t="s">
        <v>2840</v>
      </c>
      <c r="BC600">
        <v>6</v>
      </c>
      <c r="BD600" t="s">
        <v>2919</v>
      </c>
      <c r="BE600">
        <v>1</v>
      </c>
      <c r="BF600" s="232" t="s">
        <v>2846</v>
      </c>
      <c r="BG600" s="232" t="s">
        <v>2846</v>
      </c>
      <c r="BH600" s="253">
        <v>47.1</v>
      </c>
      <c r="BI600" s="253">
        <v>20.360770207363522</v>
      </c>
      <c r="BJ600" s="25">
        <v>6.21</v>
      </c>
      <c r="BK600" t="s">
        <v>377</v>
      </c>
      <c r="BL600">
        <v>87.481171711150125</v>
      </c>
      <c r="BM600" t="s">
        <v>384</v>
      </c>
      <c r="BN600" s="322">
        <v>55210.650135000004</v>
      </c>
      <c r="BO600" s="322">
        <v>2441.2401799999998</v>
      </c>
      <c r="BP600" s="10">
        <v>22220</v>
      </c>
      <c r="BQ600" s="254">
        <f t="shared" si="257"/>
        <v>2.4847277288478851</v>
      </c>
      <c r="BR600" s="254">
        <f t="shared" si="258"/>
        <v>0.10986679477947794</v>
      </c>
      <c r="BS600" s="25">
        <v>60.021616266181489</v>
      </c>
      <c r="BT600" s="25">
        <v>95.957747803780379</v>
      </c>
      <c r="BU600" s="25">
        <v>42.068361307969639</v>
      </c>
      <c r="BV600" s="25">
        <v>88.709509076436731</v>
      </c>
      <c r="BW600" s="25">
        <v>51.622123861199398</v>
      </c>
      <c r="BX600" s="25">
        <v>71.689308613592061</v>
      </c>
      <c r="BY600" s="25">
        <v>53.097067747387783</v>
      </c>
      <c r="BZ600">
        <v>26</v>
      </c>
      <c r="CA600">
        <v>0</v>
      </c>
      <c r="CB600">
        <v>7</v>
      </c>
      <c r="CC600">
        <v>41355.223710999999</v>
      </c>
      <c r="CD600" s="10">
        <v>3259.4072529999999</v>
      </c>
      <c r="CE600" s="255">
        <v>7.8814886259049213E-2</v>
      </c>
      <c r="CF600" t="str">
        <f>IFERROR(VLOOKUP(CE600,'Rangos amb etnico'!$A$2:$C$6,3,9),"N.D.")</f>
        <v>0,1% - 30%</v>
      </c>
      <c r="CG600" s="256">
        <v>9.482844386395287E-5</v>
      </c>
      <c r="CH600" s="232">
        <v>483.81363900000002</v>
      </c>
      <c r="CI600" s="311">
        <f t="shared" si="265"/>
        <v>1.1698972840311617E-2</v>
      </c>
      <c r="CJ600" s="232" t="str">
        <f>IFERROR(VLOOKUP(CI600,'Rangos amb etnico'!$A$2:$C$6,3,9),"N.D.")</f>
        <v>0,1% - 30%</v>
      </c>
      <c r="CK600" s="311">
        <f t="shared" si="266"/>
        <v>1.9210569093190867E-5</v>
      </c>
      <c r="CL600" s="10">
        <v>0</v>
      </c>
      <c r="CM600" s="255">
        <f t="shared" si="267"/>
        <v>0</v>
      </c>
      <c r="CN600" s="232">
        <f>IFERROR(VLOOKUP(CM600,'Rangos amb etnico'!$A$2:$C$6,3,9),"N.D.")</f>
        <v>0</v>
      </c>
      <c r="CO600" s="311">
        <f t="shared" si="268"/>
        <v>0</v>
      </c>
      <c r="CP600">
        <v>0.87890316428287441</v>
      </c>
      <c r="CQ600" t="s">
        <v>2864</v>
      </c>
      <c r="CR600">
        <f t="shared" si="259"/>
        <v>1</v>
      </c>
      <c r="CS600" t="str">
        <f t="shared" si="269"/>
        <v>No es Candidato</v>
      </c>
      <c r="CT600">
        <v>0</v>
      </c>
      <c r="CU600">
        <v>0</v>
      </c>
      <c r="CV600" s="25">
        <v>38.774398803710938</v>
      </c>
      <c r="CW600" s="25">
        <v>13.728493690490721</v>
      </c>
      <c r="CX600" s="25">
        <v>52.404754638671882</v>
      </c>
      <c r="CY600" s="25">
        <v>46.669559478759773</v>
      </c>
      <c r="CZ600" s="25">
        <v>24.079275131225589</v>
      </c>
      <c r="DA600" s="25">
        <v>46.012123107910163</v>
      </c>
      <c r="DB600" s="25">
        <v>49.752197265625</v>
      </c>
      <c r="DC600">
        <v>4555</v>
      </c>
      <c r="DD600" s="253" t="s">
        <v>380</v>
      </c>
    </row>
    <row r="601" spans="1:108" hidden="1">
      <c r="A601" s="13">
        <v>25506</v>
      </c>
      <c r="B601" s="13" t="s">
        <v>1644</v>
      </c>
      <c r="C601" s="13" t="s">
        <v>461</v>
      </c>
      <c r="D601" s="13" t="s">
        <v>462</v>
      </c>
      <c r="E601" s="13" t="s">
        <v>953</v>
      </c>
      <c r="F601" s="14">
        <v>67.913566666666696</v>
      </c>
      <c r="G601" s="13">
        <v>65.58</v>
      </c>
      <c r="H601" s="13">
        <v>68.88</v>
      </c>
      <c r="I601" s="13">
        <v>75.08</v>
      </c>
      <c r="J601" s="14">
        <v>42.80872551471839</v>
      </c>
      <c r="K601" s="14">
        <v>46.636279072344372</v>
      </c>
      <c r="L601" s="14">
        <v>63.013198064211004</v>
      </c>
      <c r="M601" s="14">
        <v>52.9375</v>
      </c>
      <c r="N601" s="14">
        <f t="shared" si="243"/>
        <v>69.363391666666672</v>
      </c>
      <c r="O601" s="14">
        <f t="shared" si="244"/>
        <v>51.348925662818438</v>
      </c>
      <c r="P601" s="14">
        <f t="shared" si="260"/>
        <v>60.356158664742551</v>
      </c>
      <c r="Q601" s="14">
        <v>56.515563125494374</v>
      </c>
      <c r="R601" s="17">
        <f t="shared" si="245"/>
        <v>43.484436874505626</v>
      </c>
      <c r="S601" s="14">
        <f t="shared" si="261"/>
        <v>0.49135993187055071</v>
      </c>
      <c r="T601" s="13">
        <v>0</v>
      </c>
      <c r="U601" s="13">
        <f t="shared" si="262"/>
        <v>29.656598009476049</v>
      </c>
      <c r="V601" s="13">
        <f>IF($T601=1,$AU601,(VLOOKUP(U601,'Cortes naturales'!$A$35:$C$39,3,9)))</f>
        <v>3</v>
      </c>
      <c r="W601" s="13">
        <v>3</v>
      </c>
      <c r="X601" s="14" t="b">
        <f t="shared" si="246"/>
        <v>1</v>
      </c>
      <c r="Y601" s="17">
        <f>IF($T601=1,$AU601,VLOOKUP(U601,'Cortes naturales'!$A$45:$C$49,3,9))</f>
        <v>3</v>
      </c>
      <c r="Z601" s="14">
        <v>56.718558876257944</v>
      </c>
      <c r="AA601" s="14">
        <v>0.50505770406170392</v>
      </c>
      <c r="AB601" s="14">
        <v>28.646145123731415</v>
      </c>
      <c r="AC601" s="13">
        <v>3</v>
      </c>
      <c r="AD601" s="13">
        <f t="shared" si="247"/>
        <v>0</v>
      </c>
      <c r="AE601" s="14">
        <f t="shared" si="248"/>
        <v>3.6375997884846072</v>
      </c>
      <c r="AF601" s="14">
        <f t="shared" si="249"/>
        <v>-1.3697772191153201E-2</v>
      </c>
      <c r="AG601" s="13">
        <f t="shared" si="250"/>
        <v>1.010452885744634</v>
      </c>
      <c r="AH601" s="13">
        <f>IF($T601=1,$AU601,VLOOKUP(U601,'Cortes naturales'!$A$25:$C$29,3,9))</f>
        <v>3</v>
      </c>
      <c r="AI601" s="13" t="b">
        <f t="shared" si="251"/>
        <v>1</v>
      </c>
      <c r="AJ601" s="13">
        <f t="shared" si="252"/>
        <v>0</v>
      </c>
      <c r="AK601" s="28">
        <v>0.81759069605862034</v>
      </c>
      <c r="AL601" s="28">
        <v>46.372566031081568</v>
      </c>
      <c r="AM601" s="28">
        <v>0.40944590791481011</v>
      </c>
      <c r="AN601" s="13">
        <v>3</v>
      </c>
      <c r="AO601" s="33">
        <f t="shared" si="253"/>
        <v>0</v>
      </c>
      <c r="AP601" s="13">
        <f t="shared" si="263"/>
        <v>40.944590791481012</v>
      </c>
      <c r="AQ601" s="13">
        <f>IFERROR(VLOOKUP(U601,'Cortes naturales'!$E$15:$G$19,3,9),U601)</f>
        <v>4</v>
      </c>
      <c r="AR601" s="28">
        <f t="shared" si="254"/>
        <v>-0.32623076418806962</v>
      </c>
      <c r="AS601" s="13" t="b">
        <f t="shared" si="255"/>
        <v>0</v>
      </c>
      <c r="AT601" s="13">
        <f t="shared" si="264"/>
        <v>0</v>
      </c>
      <c r="AU601" s="13">
        <v>3</v>
      </c>
      <c r="AV601">
        <f t="shared" si="256"/>
        <v>0</v>
      </c>
      <c r="AW601" s="13">
        <v>0</v>
      </c>
      <c r="AX601" s="13">
        <v>0</v>
      </c>
      <c r="AY601" s="13">
        <v>0</v>
      </c>
      <c r="AZ601" s="13">
        <v>0</v>
      </c>
      <c r="BA601">
        <v>0</v>
      </c>
      <c r="BB601" t="s">
        <v>2840</v>
      </c>
      <c r="BC601">
        <v>6</v>
      </c>
      <c r="BD601" t="s">
        <v>2919</v>
      </c>
      <c r="BE601">
        <v>1</v>
      </c>
      <c r="BF601" s="232" t="s">
        <v>2846</v>
      </c>
      <c r="BG601" s="232" t="s">
        <v>2846</v>
      </c>
      <c r="BH601" s="253">
        <v>38.1</v>
      </c>
      <c r="BI601" s="253">
        <v>13.419386264003897</v>
      </c>
      <c r="BJ601" s="25">
        <v>5.8409090909090908</v>
      </c>
      <c r="BK601" t="s">
        <v>377</v>
      </c>
      <c r="BL601">
        <v>4.0803169477516485</v>
      </c>
      <c r="BM601" t="s">
        <v>383</v>
      </c>
      <c r="BN601" s="322">
        <v>12779.664526</v>
      </c>
      <c r="BO601" s="322">
        <v>911.29602399999999</v>
      </c>
      <c r="BP601" s="10">
        <v>4505</v>
      </c>
      <c r="BQ601" s="254">
        <f t="shared" si="257"/>
        <v>2.8367734796892341</v>
      </c>
      <c r="BR601" s="254">
        <f t="shared" si="258"/>
        <v>0.20228546592674806</v>
      </c>
      <c r="BS601" s="25">
        <v>62.957085202022519</v>
      </c>
      <c r="BT601" s="25">
        <v>88.016491043285228</v>
      </c>
      <c r="BU601" s="25">
        <v>39.238655913978469</v>
      </c>
      <c r="BV601" s="25">
        <v>87.971054790033648</v>
      </c>
      <c r="BW601" s="25">
        <v>52.63402312886798</v>
      </c>
      <c r="BX601" s="25">
        <v>69.545821737329973</v>
      </c>
      <c r="BY601" s="25">
        <v>53.876938356307427</v>
      </c>
      <c r="BZ601">
        <v>78</v>
      </c>
      <c r="CA601">
        <v>0</v>
      </c>
      <c r="CB601">
        <v>7</v>
      </c>
      <c r="CC601">
        <v>12208.121246000001</v>
      </c>
      <c r="CD601" s="10">
        <v>3696.7168929999998</v>
      </c>
      <c r="CE601" s="255">
        <v>0.30280800939876246</v>
      </c>
      <c r="CF601" t="str">
        <f>IFERROR(VLOOKUP(CE601,'Rangos amb etnico'!$A$2:$C$6,3,9),"N.D.")</f>
        <v>0,1% - 30%</v>
      </c>
      <c r="CG601" s="256">
        <v>1.0755142980249629E-4</v>
      </c>
      <c r="CH601" s="232">
        <v>0</v>
      </c>
      <c r="CI601" s="311">
        <f t="shared" si="265"/>
        <v>0</v>
      </c>
      <c r="CJ601" s="232">
        <f>IFERROR(VLOOKUP(CI601,'Rangos amb etnico'!$A$2:$C$6,3,9),"N.D.")</f>
        <v>0</v>
      </c>
      <c r="CK601" s="311">
        <f t="shared" si="266"/>
        <v>0</v>
      </c>
      <c r="CL601" s="10">
        <v>8478.1806319499901</v>
      </c>
      <c r="CM601" s="255">
        <f t="shared" si="267"/>
        <v>0.69447054637730365</v>
      </c>
      <c r="CN601" s="232" t="str">
        <f>IFERROR(VLOOKUP(CM601,'Rangos amb etnico'!$A$2:$C$6,3,9),"N.D.")</f>
        <v>51% - 70%</v>
      </c>
      <c r="CO601" s="311">
        <f t="shared" si="268"/>
        <v>5.3167259649556974E-3</v>
      </c>
      <c r="CP601">
        <v>0.97231915319923901</v>
      </c>
      <c r="CQ601" t="s">
        <v>2864</v>
      </c>
      <c r="CR601">
        <f t="shared" si="259"/>
        <v>2</v>
      </c>
      <c r="CS601" t="str">
        <f t="shared" si="269"/>
        <v>No es Candidato</v>
      </c>
      <c r="CT601">
        <v>0</v>
      </c>
      <c r="CU601">
        <v>0</v>
      </c>
      <c r="CV601" s="25">
        <v>41.532936096191413</v>
      </c>
      <c r="CW601" s="25">
        <v>22.507827758789059</v>
      </c>
      <c r="CX601" s="25">
        <v>47.494762420654297</v>
      </c>
      <c r="CY601" s="25">
        <v>63.148086547851563</v>
      </c>
      <c r="CZ601" s="25">
        <v>29.957607269287109</v>
      </c>
      <c r="DA601" s="25">
        <v>40.385688781738281</v>
      </c>
      <c r="DB601" s="25">
        <v>45.703651428222663</v>
      </c>
      <c r="DC601">
        <v>41</v>
      </c>
      <c r="DD601" s="253" t="s">
        <v>380</v>
      </c>
    </row>
    <row r="602" spans="1:108" hidden="1">
      <c r="A602" s="13">
        <v>70265</v>
      </c>
      <c r="B602" s="13" t="s">
        <v>1645</v>
      </c>
      <c r="C602" s="13" t="s">
        <v>494</v>
      </c>
      <c r="D602" s="13" t="s">
        <v>495</v>
      </c>
      <c r="E602" s="13" t="s">
        <v>1646</v>
      </c>
      <c r="F602" s="14">
        <v>48.150633333333303</v>
      </c>
      <c r="G602" s="13">
        <v>24.78</v>
      </c>
      <c r="H602" s="13">
        <v>34.979999999999997</v>
      </c>
      <c r="I602" s="13">
        <v>23.72</v>
      </c>
      <c r="J602" s="14">
        <v>56.630837346158685</v>
      </c>
      <c r="K602" s="14">
        <v>56.468788612997301</v>
      </c>
      <c r="L602" s="14">
        <v>57.920704028834393</v>
      </c>
      <c r="M602" s="14">
        <v>64.007199999999997</v>
      </c>
      <c r="N602" s="14">
        <f t="shared" si="243"/>
        <v>32.907658333333323</v>
      </c>
      <c r="O602" s="14">
        <f t="shared" si="244"/>
        <v>58.756882496997591</v>
      </c>
      <c r="P602" s="14">
        <f t="shared" si="260"/>
        <v>45.832270415165453</v>
      </c>
      <c r="Q602" s="14">
        <v>55.591315025263278</v>
      </c>
      <c r="R602" s="17">
        <f t="shared" si="245"/>
        <v>44.408684974736722</v>
      </c>
      <c r="S602" s="14">
        <f t="shared" si="261"/>
        <v>0.4996781647726305</v>
      </c>
      <c r="T602" s="13">
        <v>0</v>
      </c>
      <c r="U602" s="13">
        <f t="shared" si="262"/>
        <v>22.9013847684128</v>
      </c>
      <c r="V602" s="13">
        <f>IF($T602=1,$AU602,(VLOOKUP(U602,'Cortes naturales'!$A$35:$C$39,3,9)))</f>
        <v>4</v>
      </c>
      <c r="W602" s="13">
        <v>4</v>
      </c>
      <c r="X602" s="14" t="b">
        <f t="shared" si="246"/>
        <v>1</v>
      </c>
      <c r="Y602" s="17">
        <f>IF($T602=1,$AU602,VLOOKUP(U602,'Cortes naturales'!$A$45:$C$49,3,9))</f>
        <v>4</v>
      </c>
      <c r="Z602" s="14">
        <v>47.598493335015107</v>
      </c>
      <c r="AA602" s="14">
        <v>0.50495075530399702</v>
      </c>
      <c r="AB602" s="14">
        <v>24.034895160848148</v>
      </c>
      <c r="AC602" s="13">
        <v>4</v>
      </c>
      <c r="AD602" s="13">
        <f t="shared" si="247"/>
        <v>0</v>
      </c>
      <c r="AE602" s="14">
        <f t="shared" si="248"/>
        <v>-1.7662229198496533</v>
      </c>
      <c r="AF602" s="14">
        <f t="shared" si="249"/>
        <v>-5.2725905313665278E-3</v>
      </c>
      <c r="AG602" s="13">
        <f t="shared" si="250"/>
        <v>-1.1335103924353476</v>
      </c>
      <c r="AH602" s="13">
        <f>IF($T602=1,$AU602,VLOOKUP(U602,'Cortes naturales'!$A$25:$C$29,3,9))</f>
        <v>4</v>
      </c>
      <c r="AI602" s="13" t="b">
        <f t="shared" si="251"/>
        <v>1</v>
      </c>
      <c r="AJ602" s="13">
        <f t="shared" si="252"/>
        <v>0</v>
      </c>
      <c r="AK602" s="28">
        <v>0.81759069605862034</v>
      </c>
      <c r="AL602" s="28">
        <v>38.916085297116602</v>
      </c>
      <c r="AM602" s="28">
        <v>0.31617319380446612</v>
      </c>
      <c r="AN602" s="13">
        <v>4</v>
      </c>
      <c r="AO602" s="33">
        <f t="shared" si="253"/>
        <v>0</v>
      </c>
      <c r="AP602" s="13">
        <f t="shared" si="263"/>
        <v>31.617319380446613</v>
      </c>
      <c r="AQ602" s="13">
        <f>IFERROR(VLOOKUP(U602,'Cortes naturales'!$E$15:$G$19,3,9),U602)</f>
        <v>4</v>
      </c>
      <c r="AR602" s="28">
        <f t="shared" si="254"/>
        <v>-0.31791253128598984</v>
      </c>
      <c r="AS602" s="13" t="b">
        <f t="shared" si="255"/>
        <v>1</v>
      </c>
      <c r="AT602" s="13">
        <f t="shared" si="264"/>
        <v>0</v>
      </c>
      <c r="AU602" s="13">
        <v>4</v>
      </c>
      <c r="AV602">
        <f t="shared" si="256"/>
        <v>0</v>
      </c>
      <c r="AW602" s="13">
        <v>0</v>
      </c>
      <c r="AX602" s="13">
        <v>0</v>
      </c>
      <c r="AY602" s="13">
        <v>0</v>
      </c>
      <c r="AZ602" s="13">
        <v>0</v>
      </c>
      <c r="BA602">
        <v>0</v>
      </c>
      <c r="BB602" t="s">
        <v>2839</v>
      </c>
      <c r="BC602">
        <v>6</v>
      </c>
      <c r="BD602" t="s">
        <v>2919</v>
      </c>
      <c r="BE602">
        <v>0</v>
      </c>
      <c r="BF602" s="232" t="s">
        <v>2846</v>
      </c>
      <c r="BG602" s="232" t="s">
        <v>2846</v>
      </c>
      <c r="BH602" s="253">
        <v>66.099999999999994</v>
      </c>
      <c r="BI602" s="253">
        <v>58.170060186963759</v>
      </c>
      <c r="BJ602" s="25">
        <v>21.180555555555557</v>
      </c>
      <c r="BK602" t="s">
        <v>379</v>
      </c>
      <c r="BL602">
        <v>3.9380692449649888</v>
      </c>
      <c r="BM602" t="s">
        <v>383</v>
      </c>
      <c r="BN602" s="322">
        <v>90088.591417000003</v>
      </c>
      <c r="BO602" s="322">
        <v>4934.0763010000001</v>
      </c>
      <c r="BP602" s="10">
        <v>19509</v>
      </c>
      <c r="BQ602" s="254">
        <f t="shared" si="257"/>
        <v>4.6177964742939155</v>
      </c>
      <c r="BR602" s="254">
        <f t="shared" si="258"/>
        <v>0.2529128249013276</v>
      </c>
      <c r="BS602" s="25">
        <v>58.111853566353581</v>
      </c>
      <c r="BT602" s="25">
        <v>98.71253586908999</v>
      </c>
      <c r="BU602" s="25">
        <v>37.198952209558072</v>
      </c>
      <c r="BV602" s="25">
        <v>95.675433526405598</v>
      </c>
      <c r="BW602" s="25">
        <v>51.453742862234932</v>
      </c>
      <c r="BX602" s="25">
        <v>72.424693792851812</v>
      </c>
      <c r="BY602" s="25">
        <v>52.832157975826973</v>
      </c>
      <c r="BZ602">
        <v>64</v>
      </c>
      <c r="CA602">
        <v>0</v>
      </c>
      <c r="CB602">
        <v>7</v>
      </c>
      <c r="CC602">
        <v>36139.744513999998</v>
      </c>
      <c r="CD602" s="10">
        <v>3200.6057799999999</v>
      </c>
      <c r="CE602" s="255">
        <v>8.8561937087301021E-2</v>
      </c>
      <c r="CF602" t="str">
        <f>IFERROR(VLOOKUP(CE602,'Rangos amb etnico'!$A$2:$C$6,3,9),"N.D.")</f>
        <v>0,1% - 30%</v>
      </c>
      <c r="CG602" s="256">
        <v>9.31176873525148E-5</v>
      </c>
      <c r="CH602" s="232">
        <v>0</v>
      </c>
      <c r="CI602" s="311">
        <f t="shared" si="265"/>
        <v>0</v>
      </c>
      <c r="CJ602" s="232">
        <f>IFERROR(VLOOKUP(CI602,'Rangos amb etnico'!$A$2:$C$6,3,9),"N.D.")</f>
        <v>0</v>
      </c>
      <c r="CK602" s="311">
        <f t="shared" si="266"/>
        <v>0</v>
      </c>
      <c r="CL602" s="10">
        <v>0</v>
      </c>
      <c r="CM602" s="255">
        <f t="shared" si="267"/>
        <v>0</v>
      </c>
      <c r="CN602" s="232">
        <f>IFERROR(VLOOKUP(CM602,'Rangos amb etnico'!$A$2:$C$6,3,9),"N.D.")</f>
        <v>0</v>
      </c>
      <c r="CO602" s="311">
        <f t="shared" si="268"/>
        <v>0</v>
      </c>
      <c r="CP602">
        <v>0.90045801935553871</v>
      </c>
      <c r="CQ602" t="s">
        <v>2864</v>
      </c>
      <c r="CR602">
        <f t="shared" si="259"/>
        <v>2</v>
      </c>
      <c r="CS602" t="str">
        <f t="shared" si="269"/>
        <v>No es Candidato</v>
      </c>
      <c r="CT602">
        <v>0</v>
      </c>
      <c r="CU602">
        <v>0</v>
      </c>
      <c r="CV602" s="25">
        <v>40.752754211425781</v>
      </c>
      <c r="CW602" s="25">
        <v>18.630229949951168</v>
      </c>
      <c r="CX602" s="25">
        <v>41.596321105957031</v>
      </c>
      <c r="CY602" s="25">
        <v>36.701816558837891</v>
      </c>
      <c r="CZ602" s="25">
        <v>13.70090389251709</v>
      </c>
      <c r="DA602" s="25">
        <v>82.017257690429688</v>
      </c>
      <c r="DB602" s="25">
        <v>51.870006561279297</v>
      </c>
      <c r="DC602">
        <v>335</v>
      </c>
      <c r="DD602" s="253" t="s">
        <v>380</v>
      </c>
    </row>
    <row r="603" spans="1:108" hidden="1">
      <c r="A603" s="13">
        <v>20238</v>
      </c>
      <c r="B603" s="13" t="s">
        <v>1647</v>
      </c>
      <c r="C603" s="13" t="s">
        <v>893</v>
      </c>
      <c r="D603" s="13" t="s">
        <v>894</v>
      </c>
      <c r="E603" s="13" t="s">
        <v>1648</v>
      </c>
      <c r="F603" s="14">
        <v>53.168100000000003</v>
      </c>
      <c r="G603" s="13">
        <v>61.56</v>
      </c>
      <c r="H603" s="13">
        <v>54.15</v>
      </c>
      <c r="I603" s="13">
        <v>53.35</v>
      </c>
      <c r="J603" s="14">
        <v>58.32206054805868</v>
      </c>
      <c r="K603" s="14">
        <v>64.933806858099913</v>
      </c>
      <c r="L603" s="14">
        <v>60.678248017181375</v>
      </c>
      <c r="M603" s="14">
        <v>60.093200000000003</v>
      </c>
      <c r="N603" s="14">
        <f t="shared" si="243"/>
        <v>55.557025000000003</v>
      </c>
      <c r="O603" s="14">
        <f t="shared" si="244"/>
        <v>61.006828855834989</v>
      </c>
      <c r="P603" s="14">
        <f t="shared" si="260"/>
        <v>58.281926927917496</v>
      </c>
      <c r="Q603" s="14">
        <v>55.863665040138734</v>
      </c>
      <c r="R603" s="17">
        <f t="shared" si="245"/>
        <v>44.136334959861266</v>
      </c>
      <c r="S603" s="14">
        <f t="shared" si="261"/>
        <v>0.49722701463875141</v>
      </c>
      <c r="T603" s="13">
        <v>0</v>
      </c>
      <c r="U603" s="13">
        <f t="shared" si="262"/>
        <v>28.979348533762273</v>
      </c>
      <c r="V603" s="13">
        <f>IF($T603=1,$AU603,(VLOOKUP(U603,'Cortes naturales'!$A$35:$C$39,3,9)))</f>
        <v>4</v>
      </c>
      <c r="W603" s="13">
        <v>4</v>
      </c>
      <c r="X603" s="14" t="b">
        <f t="shared" si="246"/>
        <v>1</v>
      </c>
      <c r="Y603" s="17">
        <f>IF($T603=1,$AU603,VLOOKUP(U603,'Cortes naturales'!$A$45:$C$49,3,9))</f>
        <v>3</v>
      </c>
      <c r="Z603" s="14">
        <v>58.357706368102711</v>
      </c>
      <c r="AA603" s="14">
        <v>0.50443425718380419</v>
      </c>
      <c r="AB603" s="14">
        <v>29.437626262744452</v>
      </c>
      <c r="AC603" s="13">
        <v>3</v>
      </c>
      <c r="AD603" s="13">
        <f t="shared" si="247"/>
        <v>0</v>
      </c>
      <c r="AE603" s="14">
        <f t="shared" si="248"/>
        <v>-7.5779440185215208E-2</v>
      </c>
      <c r="AF603" s="14">
        <f t="shared" si="249"/>
        <v>-7.2072425450527833E-3</v>
      </c>
      <c r="AG603" s="13">
        <f t="shared" si="250"/>
        <v>-0.45827772898217844</v>
      </c>
      <c r="AH603" s="13">
        <f>IF($T603=1,$AU603,VLOOKUP(U603,'Cortes naturales'!$A$25:$C$29,3,9))</f>
        <v>3</v>
      </c>
      <c r="AI603" s="13" t="b">
        <f t="shared" si="251"/>
        <v>1</v>
      </c>
      <c r="AJ603" s="13">
        <f t="shared" si="252"/>
        <v>0</v>
      </c>
      <c r="AK603" s="28">
        <v>0.81759069605862034</v>
      </c>
      <c r="AL603" s="28">
        <v>47.712717769881678</v>
      </c>
      <c r="AM603" s="28">
        <v>0.42620979351411142</v>
      </c>
      <c r="AN603" s="13">
        <v>3</v>
      </c>
      <c r="AO603" s="33">
        <f t="shared" si="253"/>
        <v>0</v>
      </c>
      <c r="AP603" s="13">
        <f t="shared" si="263"/>
        <v>42.620979351411144</v>
      </c>
      <c r="AQ603" s="13">
        <f>IFERROR(VLOOKUP(U603,'Cortes naturales'!$E$15:$G$19,3,9),U603)</f>
        <v>4</v>
      </c>
      <c r="AR603" s="28">
        <f t="shared" si="254"/>
        <v>-0.32036368141986893</v>
      </c>
      <c r="AS603" s="13" t="b">
        <f t="shared" si="255"/>
        <v>0</v>
      </c>
      <c r="AT603" s="13">
        <f t="shared" si="264"/>
        <v>0</v>
      </c>
      <c r="AU603" s="13">
        <v>3</v>
      </c>
      <c r="AV603">
        <f t="shared" si="256"/>
        <v>0</v>
      </c>
      <c r="AW603" s="13">
        <v>0</v>
      </c>
      <c r="AX603" s="13">
        <v>0</v>
      </c>
      <c r="AY603" s="13">
        <v>0</v>
      </c>
      <c r="AZ603" s="13">
        <v>0</v>
      </c>
      <c r="BA603">
        <v>1</v>
      </c>
      <c r="BB603" t="s">
        <v>2839</v>
      </c>
      <c r="BC603">
        <v>6</v>
      </c>
      <c r="BD603" t="s">
        <v>2919</v>
      </c>
      <c r="BE603">
        <v>0</v>
      </c>
      <c r="BF603" s="232" t="s">
        <v>2846</v>
      </c>
      <c r="BG603" s="232" t="s">
        <v>2845</v>
      </c>
      <c r="BH603" s="253">
        <v>48.2</v>
      </c>
      <c r="BI603" s="253">
        <v>26.984238178633976</v>
      </c>
      <c r="BJ603" s="25">
        <v>20.591206896551725</v>
      </c>
      <c r="BK603" t="s">
        <v>379</v>
      </c>
      <c r="BL603">
        <v>9.0723519570674593</v>
      </c>
      <c r="BM603" t="s">
        <v>379</v>
      </c>
      <c r="BN603" s="322">
        <v>60943.280675000002</v>
      </c>
      <c r="BO603" s="322">
        <v>8326.4595609999997</v>
      </c>
      <c r="BP603" s="10">
        <v>34776</v>
      </c>
      <c r="BQ603" s="254">
        <f t="shared" si="257"/>
        <v>1.7524522853404647</v>
      </c>
      <c r="BR603" s="254">
        <f t="shared" si="258"/>
        <v>0.23943120430756842</v>
      </c>
      <c r="BS603" s="25">
        <v>63.974421982518798</v>
      </c>
      <c r="BT603" s="25">
        <v>95.4706822329576</v>
      </c>
      <c r="BU603" s="25">
        <v>49.660702860241258</v>
      </c>
      <c r="BV603" s="25">
        <v>89.762502217667972</v>
      </c>
      <c r="BW603" s="25">
        <v>57.203272429863027</v>
      </c>
      <c r="BX603" s="25">
        <v>74.717077323346402</v>
      </c>
      <c r="BY603" s="25">
        <v>58.372711927619648</v>
      </c>
      <c r="BZ603">
        <v>42</v>
      </c>
      <c r="CA603">
        <v>0</v>
      </c>
      <c r="CB603">
        <v>7</v>
      </c>
      <c r="CC603">
        <v>95514.981860999993</v>
      </c>
      <c r="CD603" s="10">
        <v>56727.105386000003</v>
      </c>
      <c r="CE603" s="255">
        <v>0.59390793235508554</v>
      </c>
      <c r="CF603" t="str">
        <f>IFERROR(VLOOKUP(CE603,'Rangos amb etnico'!$A$2:$C$6,3,9),"N.D.")</f>
        <v>51% - 70%</v>
      </c>
      <c r="CG603" s="256">
        <v>1.6504053378753527E-3</v>
      </c>
      <c r="CH603" s="232">
        <v>174.408412</v>
      </c>
      <c r="CI603" s="311">
        <f t="shared" si="265"/>
        <v>1.8259796379777487E-3</v>
      </c>
      <c r="CJ603" s="232" t="str">
        <f>IFERROR(VLOOKUP(CI603,'Rangos amb etnico'!$A$2:$C$6,3,9),"N.D.")</f>
        <v>0,1% - 30%</v>
      </c>
      <c r="CK603" s="311">
        <f t="shared" si="266"/>
        <v>6.9251558432392582E-6</v>
      </c>
      <c r="CL603" s="10">
        <v>0</v>
      </c>
      <c r="CM603" s="255">
        <f t="shared" si="267"/>
        <v>0</v>
      </c>
      <c r="CN603" s="232">
        <f>IFERROR(VLOOKUP(CM603,'Rangos amb etnico'!$A$2:$C$6,3,9),"N.D.")</f>
        <v>0</v>
      </c>
      <c r="CO603" s="311">
        <f t="shared" si="268"/>
        <v>0</v>
      </c>
      <c r="CP603">
        <v>0.93133361882961263</v>
      </c>
      <c r="CQ603" t="s">
        <v>2864</v>
      </c>
      <c r="CR603">
        <f t="shared" si="259"/>
        <v>2</v>
      </c>
      <c r="CS603" t="str">
        <f t="shared" si="269"/>
        <v>No es Candidato</v>
      </c>
      <c r="CT603">
        <v>0</v>
      </c>
      <c r="CU603">
        <v>0</v>
      </c>
      <c r="CV603" s="25">
        <v>42.3114013671875</v>
      </c>
      <c r="CW603" s="25">
        <v>32.254180908203118</v>
      </c>
      <c r="CX603" s="25">
        <v>49.280609130859382</v>
      </c>
      <c r="CY603" s="25">
        <v>55.637920379638672</v>
      </c>
      <c r="CZ603" s="25">
        <v>12.05730628967285</v>
      </c>
      <c r="DA603" s="25">
        <v>50.897953033447273</v>
      </c>
      <c r="DB603" s="25">
        <v>53.740432739257813</v>
      </c>
      <c r="DC603">
        <v>15721</v>
      </c>
      <c r="DD603" s="253" t="s">
        <v>380</v>
      </c>
    </row>
    <row r="604" spans="1:108" hidden="1">
      <c r="A604" s="13">
        <v>15114</v>
      </c>
      <c r="B604" s="13" t="s">
        <v>1649</v>
      </c>
      <c r="C604" s="13" t="s">
        <v>498</v>
      </c>
      <c r="D604" s="13" t="s">
        <v>499</v>
      </c>
      <c r="E604" s="13" t="s">
        <v>1650</v>
      </c>
      <c r="F604" s="14">
        <v>59.530999999999999</v>
      </c>
      <c r="G604" s="13">
        <v>57.65</v>
      </c>
      <c r="H604" s="13">
        <v>41.53</v>
      </c>
      <c r="I604" s="13">
        <v>65.56</v>
      </c>
      <c r="J604" s="14">
        <v>54.550435311750746</v>
      </c>
      <c r="K604" s="14">
        <v>56.8637062240159</v>
      </c>
      <c r="L604" s="14">
        <v>57.5742803741758</v>
      </c>
      <c r="M604" s="14">
        <v>55.588900000000002</v>
      </c>
      <c r="N604" s="14">
        <f t="shared" si="243"/>
        <v>56.067750000000004</v>
      </c>
      <c r="O604" s="14">
        <f t="shared" si="244"/>
        <v>56.14433047748561</v>
      </c>
      <c r="P604" s="14">
        <f t="shared" si="260"/>
        <v>56.106040238742807</v>
      </c>
      <c r="Q604" s="14">
        <v>55.535996404298515</v>
      </c>
      <c r="R604" s="17">
        <f t="shared" si="245"/>
        <v>44.464003595701485</v>
      </c>
      <c r="S604" s="14">
        <f t="shared" si="261"/>
        <v>0.50017603236131336</v>
      </c>
      <c r="T604" s="13">
        <v>0</v>
      </c>
      <c r="U604" s="13">
        <f t="shared" si="262"/>
        <v>28.06289659811857</v>
      </c>
      <c r="V604" s="13">
        <f>IF($T604=1,$AU604,(VLOOKUP(U604,'Cortes naturales'!$A$35:$C$39,3,9)))</f>
        <v>4</v>
      </c>
      <c r="W604" s="13">
        <v>4</v>
      </c>
      <c r="X604" s="14" t="b">
        <f t="shared" si="246"/>
        <v>1</v>
      </c>
      <c r="Y604" s="17">
        <f>IF($T604=1,$AU604,VLOOKUP(U604,'Cortes naturales'!$A$45:$C$49,3,9))</f>
        <v>4</v>
      </c>
      <c r="Z604" s="14">
        <v>54.254046586726481</v>
      </c>
      <c r="AA604" s="14">
        <v>0.50557722268755667</v>
      </c>
      <c r="AB604" s="14">
        <v>27.429610192878489</v>
      </c>
      <c r="AC604" s="13">
        <v>4</v>
      </c>
      <c r="AD604" s="13">
        <f t="shared" si="247"/>
        <v>0</v>
      </c>
      <c r="AE604" s="14">
        <f t="shared" si="248"/>
        <v>1.8519936520163256</v>
      </c>
      <c r="AF604" s="14">
        <f t="shared" si="249"/>
        <v>-5.4011903262433103E-3</v>
      </c>
      <c r="AG604" s="13">
        <f t="shared" si="250"/>
        <v>0.63328640524008151</v>
      </c>
      <c r="AH604" s="13">
        <f>IF($T604=1,$AU604,VLOOKUP(U604,'Cortes naturales'!$A$25:$C$29,3,9))</f>
        <v>3</v>
      </c>
      <c r="AI604" s="13" t="b">
        <f t="shared" si="251"/>
        <v>0</v>
      </c>
      <c r="AJ604" s="13">
        <f t="shared" si="252"/>
        <v>0</v>
      </c>
      <c r="AK604" s="28">
        <v>0.81759069605862034</v>
      </c>
      <c r="AL604" s="28">
        <v>44.357603712838518</v>
      </c>
      <c r="AM604" s="28">
        <v>0.38424085328407642</v>
      </c>
      <c r="AN604" s="13">
        <v>3</v>
      </c>
      <c r="AO604" s="33">
        <f t="shared" si="253"/>
        <v>-1</v>
      </c>
      <c r="AP604" s="13">
        <f t="shared" si="263"/>
        <v>38.424085328407642</v>
      </c>
      <c r="AQ604" s="13">
        <f>IFERROR(VLOOKUP(U604,'Cortes naturales'!$E$15:$G$19,3,9),U604)</f>
        <v>4</v>
      </c>
      <c r="AR604" s="28">
        <f t="shared" si="254"/>
        <v>-0.31741466369730698</v>
      </c>
      <c r="AS604" s="13" t="b">
        <f t="shared" si="255"/>
        <v>1</v>
      </c>
      <c r="AT604" s="13" t="str">
        <f t="shared" si="264"/>
        <v>Efecto ponderador</v>
      </c>
      <c r="AU604" s="13">
        <v>3</v>
      </c>
      <c r="AV604">
        <f t="shared" si="256"/>
        <v>-1</v>
      </c>
      <c r="AW604" s="13">
        <v>0</v>
      </c>
      <c r="AX604" s="13">
        <v>0</v>
      </c>
      <c r="AY604" s="13">
        <v>0</v>
      </c>
      <c r="AZ604" s="13">
        <v>0</v>
      </c>
      <c r="BA604">
        <v>0</v>
      </c>
      <c r="BB604" t="s">
        <v>2840</v>
      </c>
      <c r="BC604">
        <v>6</v>
      </c>
      <c r="BD604" s="184" t="s">
        <v>2917</v>
      </c>
      <c r="BE604">
        <v>0</v>
      </c>
      <c r="BF604" s="232" t="s">
        <v>2846</v>
      </c>
      <c r="BG604" s="232" t="s">
        <v>2846</v>
      </c>
      <c r="BH604" s="253">
        <v>31.3</v>
      </c>
      <c r="BI604" s="253">
        <v>10.379464285714286</v>
      </c>
      <c r="BJ604" s="25">
        <v>7.8866333333333323</v>
      </c>
      <c r="BK604" t="s">
        <v>377</v>
      </c>
      <c r="BL604">
        <v>0</v>
      </c>
      <c r="BM604" t="s">
        <v>377</v>
      </c>
      <c r="BN604" s="322">
        <v>4719.4295529999999</v>
      </c>
      <c r="BO604" s="322">
        <v>312.03243900000001</v>
      </c>
      <c r="BP604" s="10">
        <v>1288</v>
      </c>
      <c r="BQ604" s="254">
        <f t="shared" si="257"/>
        <v>3.6641533796583849</v>
      </c>
      <c r="BR604" s="254">
        <f t="shared" si="258"/>
        <v>0.24226121040372672</v>
      </c>
      <c r="BS604" s="25">
        <v>53.95590828924162</v>
      </c>
      <c r="BT604" s="25">
        <v>89.958592132505188</v>
      </c>
      <c r="BU604" s="25">
        <v>51.616304347826073</v>
      </c>
      <c r="BV604" s="25">
        <v>95.651297478056847</v>
      </c>
      <c r="BW604" s="25">
        <v>61.581556888180607</v>
      </c>
      <c r="BX604" s="25">
        <v>72.795525561907425</v>
      </c>
      <c r="BY604" s="25">
        <v>63.02950231041509</v>
      </c>
      <c r="BZ604">
        <v>21</v>
      </c>
      <c r="CA604">
        <v>0</v>
      </c>
      <c r="CB604">
        <v>7</v>
      </c>
      <c r="CC604">
        <v>2530.119275</v>
      </c>
      <c r="CD604" s="10">
        <v>0</v>
      </c>
      <c r="CE604" s="255">
        <v>0</v>
      </c>
      <c r="CF604">
        <f>IFERROR(VLOOKUP(CE604,'Rangos amb etnico'!$A$2:$C$6,3,9),"N.D.")</f>
        <v>0</v>
      </c>
      <c r="CG604" s="256">
        <v>0</v>
      </c>
      <c r="CH604" s="232">
        <v>0</v>
      </c>
      <c r="CI604" s="311">
        <f t="shared" si="265"/>
        <v>0</v>
      </c>
      <c r="CJ604" s="232">
        <f>IFERROR(VLOOKUP(CI604,'Rangos amb etnico'!$A$2:$C$6,3,9),"N.D.")</f>
        <v>0</v>
      </c>
      <c r="CK604" s="311">
        <f t="shared" si="266"/>
        <v>0</v>
      </c>
      <c r="CL604" s="10">
        <v>0</v>
      </c>
      <c r="CM604" s="255">
        <f t="shared" si="267"/>
        <v>0</v>
      </c>
      <c r="CN604" s="232">
        <f>IFERROR(VLOOKUP(CM604,'Rangos amb etnico'!$A$2:$C$6,3,9),"N.D.")</f>
        <v>0</v>
      </c>
      <c r="CO604" s="311">
        <f t="shared" si="268"/>
        <v>0</v>
      </c>
      <c r="CP604">
        <v>0.95983764853948417</v>
      </c>
      <c r="CQ604" t="s">
        <v>2864</v>
      </c>
      <c r="CR604">
        <f t="shared" si="259"/>
        <v>3</v>
      </c>
      <c r="CS604" t="str">
        <f t="shared" si="269"/>
        <v>Candidato</v>
      </c>
      <c r="CT604">
        <v>0</v>
      </c>
      <c r="CU604">
        <v>0</v>
      </c>
      <c r="CV604" s="25">
        <v>55.860519409179688</v>
      </c>
      <c r="CW604" s="25">
        <v>22.97178840637207</v>
      </c>
      <c r="CX604" s="25">
        <v>60.446155548095703</v>
      </c>
      <c r="CY604" s="25">
        <v>68.293869018554688</v>
      </c>
      <c r="CZ604" s="25">
        <v>46.999439239501953</v>
      </c>
      <c r="DA604" s="25">
        <v>78.334144592285156</v>
      </c>
      <c r="DB604" s="25">
        <v>58.117717742919922</v>
      </c>
      <c r="DC604">
        <v>10</v>
      </c>
      <c r="DD604" s="253" t="s">
        <v>380</v>
      </c>
    </row>
    <row r="605" spans="1:108" hidden="1">
      <c r="A605" s="13">
        <v>70429</v>
      </c>
      <c r="B605" s="13" t="s">
        <v>1651</v>
      </c>
      <c r="C605" s="13" t="s">
        <v>494</v>
      </c>
      <c r="D605" s="13" t="s">
        <v>495</v>
      </c>
      <c r="E605" s="13" t="s">
        <v>1652</v>
      </c>
      <c r="F605" s="14">
        <v>43.325200000000002</v>
      </c>
      <c r="G605" s="13">
        <v>48.47</v>
      </c>
      <c r="H605" s="13">
        <v>66.11</v>
      </c>
      <c r="I605" s="13">
        <v>69.53</v>
      </c>
      <c r="J605" s="14">
        <v>51.244496879488153</v>
      </c>
      <c r="K605" s="14">
        <v>53.782558688465755</v>
      </c>
      <c r="L605" s="14">
        <v>54.371153783297437</v>
      </c>
      <c r="M605" s="14">
        <v>50.717399999999998</v>
      </c>
      <c r="N605" s="14">
        <f t="shared" si="243"/>
        <v>56.858799999999995</v>
      </c>
      <c r="O605" s="14">
        <f t="shared" si="244"/>
        <v>52.528902337812838</v>
      </c>
      <c r="P605" s="14">
        <f t="shared" si="260"/>
        <v>54.69385116890642</v>
      </c>
      <c r="Q605" s="14">
        <v>56.286140720117103</v>
      </c>
      <c r="R605" s="17">
        <f t="shared" si="245"/>
        <v>43.713859279882897</v>
      </c>
      <c r="S605" s="14">
        <f t="shared" si="261"/>
        <v>0.49342473351894611</v>
      </c>
      <c r="T605" s="13">
        <v>0</v>
      </c>
      <c r="U605" s="13">
        <f t="shared" si="262"/>
        <v>26.987298938142551</v>
      </c>
      <c r="V605" s="13">
        <f>IF($T605=1,$AU605,(VLOOKUP(U605,'Cortes naturales'!$A$35:$C$39,3,9)))</f>
        <v>4</v>
      </c>
      <c r="W605" s="13">
        <v>4</v>
      </c>
      <c r="X605" s="14" t="b">
        <f t="shared" si="246"/>
        <v>1</v>
      </c>
      <c r="Y605" s="17">
        <f>IF($T605=1,$AU605,VLOOKUP(U605,'Cortes naturales'!$A$45:$C$49,3,9))</f>
        <v>4</v>
      </c>
      <c r="Z605" s="14">
        <v>51.852018225208568</v>
      </c>
      <c r="AA605" s="14">
        <v>0.50328005097257311</v>
      </c>
      <c r="AB605" s="14">
        <v>26.096086375413758</v>
      </c>
      <c r="AC605" s="13">
        <v>4</v>
      </c>
      <c r="AD605" s="13">
        <f t="shared" si="247"/>
        <v>0</v>
      </c>
      <c r="AE605" s="14">
        <f t="shared" si="248"/>
        <v>2.8418329436978524</v>
      </c>
      <c r="AF605" s="14">
        <f t="shared" si="249"/>
        <v>-9.8553174536269994E-3</v>
      </c>
      <c r="AG605" s="13">
        <f t="shared" si="250"/>
        <v>0.89121256272879279</v>
      </c>
      <c r="AH605" s="13">
        <f>IF($T605=1,$AU605,VLOOKUP(U605,'Cortes naturales'!$A$25:$C$29,3,9))</f>
        <v>4</v>
      </c>
      <c r="AI605" s="13" t="b">
        <f t="shared" si="251"/>
        <v>1</v>
      </c>
      <c r="AJ605" s="13">
        <f t="shared" si="252"/>
        <v>0</v>
      </c>
      <c r="AK605" s="28">
        <v>0.81759069605862034</v>
      </c>
      <c r="AL605" s="28">
        <v>42.393727672792544</v>
      </c>
      <c r="AM605" s="28">
        <v>0.35967483414357515</v>
      </c>
      <c r="AN605" s="13">
        <v>3</v>
      </c>
      <c r="AO605" s="33">
        <f t="shared" si="253"/>
        <v>-1</v>
      </c>
      <c r="AP605" s="13">
        <f t="shared" si="263"/>
        <v>35.967483414357517</v>
      </c>
      <c r="AQ605" s="13">
        <f>IFERROR(VLOOKUP(U605,'Cortes naturales'!$E$15:$G$19,3,9),U605)</f>
        <v>4</v>
      </c>
      <c r="AR605" s="28">
        <f t="shared" si="254"/>
        <v>-0.32416596253967422</v>
      </c>
      <c r="AS605" s="13" t="b">
        <f t="shared" si="255"/>
        <v>1</v>
      </c>
      <c r="AT605" s="13" t="str">
        <f t="shared" si="264"/>
        <v>Efecto ponderador</v>
      </c>
      <c r="AU605" s="13">
        <v>4</v>
      </c>
      <c r="AV605">
        <f t="shared" si="256"/>
        <v>0</v>
      </c>
      <c r="AW605" s="13">
        <v>0</v>
      </c>
      <c r="AX605" s="13">
        <v>0</v>
      </c>
      <c r="AY605" s="13">
        <v>0</v>
      </c>
      <c r="AZ605" s="13">
        <v>0</v>
      </c>
      <c r="BA605">
        <v>0</v>
      </c>
      <c r="BB605" t="s">
        <v>2841</v>
      </c>
      <c r="BC605">
        <v>6</v>
      </c>
      <c r="BD605" t="s">
        <v>2919</v>
      </c>
      <c r="BE605">
        <v>0</v>
      </c>
      <c r="BF605" s="232" t="s">
        <v>2846</v>
      </c>
      <c r="BG605" s="232" t="s">
        <v>2845</v>
      </c>
      <c r="BH605" s="253">
        <v>64.400000000000006</v>
      </c>
      <c r="BI605" s="253">
        <v>51.646128379621118</v>
      </c>
      <c r="BJ605" s="25">
        <v>20.348837209302324</v>
      </c>
      <c r="BK605" t="s">
        <v>379</v>
      </c>
      <c r="BL605">
        <v>4.6053293621620366</v>
      </c>
      <c r="BM605" t="s">
        <v>383</v>
      </c>
      <c r="BN605" s="322">
        <v>89375.627842999995</v>
      </c>
      <c r="BO605" s="322">
        <v>5499.0652890000001</v>
      </c>
      <c r="BP605" s="10">
        <v>40125</v>
      </c>
      <c r="BQ605" s="254">
        <f t="shared" si="257"/>
        <v>2.2274299773956385</v>
      </c>
      <c r="BR605" s="254">
        <f t="shared" si="258"/>
        <v>0.13704835611214952</v>
      </c>
      <c r="BS605" s="25">
        <v>61.417431898012538</v>
      </c>
      <c r="BT605" s="25">
        <v>100</v>
      </c>
      <c r="BU605" s="25">
        <v>38.921506379669857</v>
      </c>
      <c r="BV605" s="25">
        <v>97.143894218371997</v>
      </c>
      <c r="BW605" s="25">
        <v>30.80828864677294</v>
      </c>
      <c r="BX605" s="25">
        <v>74.370708124013603</v>
      </c>
      <c r="BY605" s="25">
        <v>30.58469586543956</v>
      </c>
      <c r="BZ605">
        <v>64</v>
      </c>
      <c r="CA605">
        <v>1</v>
      </c>
      <c r="CB605">
        <v>6</v>
      </c>
      <c r="CC605">
        <v>84458.564876000004</v>
      </c>
      <c r="CD605" s="10">
        <v>12994.731818</v>
      </c>
      <c r="CE605" s="255">
        <v>0.15385925438205761</v>
      </c>
      <c r="CF605" t="str">
        <f>IFERROR(VLOOKUP(CE605,'Rangos amb etnico'!$A$2:$C$6,3,9),"N.D.")</f>
        <v>0,1% - 30%</v>
      </c>
      <c r="CG605" s="256">
        <v>3.7806573437429094E-4</v>
      </c>
      <c r="CH605" s="232">
        <v>0</v>
      </c>
      <c r="CI605" s="311">
        <f t="shared" si="265"/>
        <v>0</v>
      </c>
      <c r="CJ605" s="232">
        <f>IFERROR(VLOOKUP(CI605,'Rangos amb etnico'!$A$2:$C$6,3,9),"N.D.")</f>
        <v>0</v>
      </c>
      <c r="CK605" s="311">
        <f t="shared" si="266"/>
        <v>0</v>
      </c>
      <c r="CL605" s="10">
        <v>0</v>
      </c>
      <c r="CM605" s="255">
        <f t="shared" si="267"/>
        <v>0</v>
      </c>
      <c r="CN605" s="232">
        <f>IFERROR(VLOOKUP(CM605,'Rangos amb etnico'!$A$2:$C$6,3,9),"N.D.")</f>
        <v>0</v>
      </c>
      <c r="CO605" s="311">
        <f t="shared" si="268"/>
        <v>0</v>
      </c>
      <c r="CP605">
        <v>0.87002984616862156</v>
      </c>
      <c r="CQ605" t="s">
        <v>2864</v>
      </c>
      <c r="CR605">
        <f t="shared" si="259"/>
        <v>2</v>
      </c>
      <c r="CS605" t="str">
        <f t="shared" si="269"/>
        <v>No es Candidato</v>
      </c>
      <c r="CT605">
        <v>0</v>
      </c>
      <c r="CU605">
        <v>0</v>
      </c>
      <c r="CV605" s="25">
        <v>39.111839294433587</v>
      </c>
      <c r="CW605" s="25">
        <v>11.46619987487793</v>
      </c>
      <c r="CX605" s="25">
        <v>41.453727722167969</v>
      </c>
      <c r="CY605" s="25">
        <v>41.962020874023438</v>
      </c>
      <c r="CZ605" s="25">
        <v>3.3532719612121582</v>
      </c>
      <c r="DA605" s="25">
        <v>83.284919738769531</v>
      </c>
      <c r="DB605" s="25">
        <v>53.150897979736328</v>
      </c>
      <c r="DC605">
        <v>1734</v>
      </c>
      <c r="DD605" s="253" t="s">
        <v>380</v>
      </c>
    </row>
    <row r="606" spans="1:108" hidden="1">
      <c r="A606" s="13">
        <v>47745</v>
      </c>
      <c r="B606" s="13" t="s">
        <v>1653</v>
      </c>
      <c r="C606" s="13" t="s">
        <v>638</v>
      </c>
      <c r="D606" s="13" t="s">
        <v>639</v>
      </c>
      <c r="E606" s="13" t="s">
        <v>1654</v>
      </c>
      <c r="F606" s="14">
        <v>66.9953</v>
      </c>
      <c r="G606" s="13">
        <v>47.72</v>
      </c>
      <c r="H606" s="13">
        <v>29.2</v>
      </c>
      <c r="I606" s="13">
        <v>64.34</v>
      </c>
      <c r="J606" s="14">
        <v>54.962587622556661</v>
      </c>
      <c r="K606" s="14">
        <v>52.586642907143379</v>
      </c>
      <c r="L606" s="14">
        <v>49.756827866222785</v>
      </c>
      <c r="M606" s="14">
        <v>64.569500000000005</v>
      </c>
      <c r="N606" s="14">
        <f t="shared" si="243"/>
        <v>52.063825000000001</v>
      </c>
      <c r="O606" s="14">
        <f t="shared" si="244"/>
        <v>55.468889598980709</v>
      </c>
      <c r="P606" s="14">
        <f t="shared" si="260"/>
        <v>53.766357299490352</v>
      </c>
      <c r="Q606" s="14">
        <v>56.063149362372364</v>
      </c>
      <c r="R606" s="17">
        <f t="shared" si="245"/>
        <v>43.936850637627636</v>
      </c>
      <c r="S606" s="14">
        <f t="shared" si="261"/>
        <v>0.49543165573864867</v>
      </c>
      <c r="T606" s="13">
        <v>0</v>
      </c>
      <c r="U606" s="13">
        <f t="shared" si="262"/>
        <v>26.637555419922283</v>
      </c>
      <c r="V606" s="13">
        <f>IF($T606=1,$AU606,(VLOOKUP(U606,'Cortes naturales'!$A$35:$C$39,3,9)))</f>
        <v>4</v>
      </c>
      <c r="W606" s="13">
        <v>4</v>
      </c>
      <c r="X606" s="14" t="b">
        <f t="shared" si="246"/>
        <v>1</v>
      </c>
      <c r="Y606" s="17">
        <f>IF($T606=1,$AU606,VLOOKUP(U606,'Cortes naturales'!$A$45:$C$49,3,9))</f>
        <v>4</v>
      </c>
      <c r="Z606" s="14">
        <v>52.759116031716154</v>
      </c>
      <c r="AA606" s="14">
        <v>0.50271732796829449</v>
      </c>
      <c r="AB606" s="14">
        <v>26.522921837433554</v>
      </c>
      <c r="AC606" s="13">
        <v>4</v>
      </c>
      <c r="AD606" s="13">
        <f t="shared" si="247"/>
        <v>0</v>
      </c>
      <c r="AE606" s="14">
        <f t="shared" si="248"/>
        <v>1.007241267774198</v>
      </c>
      <c r="AF606" s="14">
        <f t="shared" si="249"/>
        <v>-7.2856722296458232E-3</v>
      </c>
      <c r="AG606" s="13">
        <f t="shared" si="250"/>
        <v>0.11463358248872879</v>
      </c>
      <c r="AH606" s="13">
        <f>IF($T606=1,$AU606,VLOOKUP(U606,'Cortes naturales'!$A$25:$C$29,3,9))</f>
        <v>4</v>
      </c>
      <c r="AI606" s="13" t="b">
        <f t="shared" si="251"/>
        <v>1</v>
      </c>
      <c r="AJ606" s="13">
        <f t="shared" si="252"/>
        <v>0</v>
      </c>
      <c r="AK606" s="28">
        <v>0.81759069605862034</v>
      </c>
      <c r="AL606" s="28">
        <v>43.135362399808322</v>
      </c>
      <c r="AM606" s="28">
        <v>0.36895190282185258</v>
      </c>
      <c r="AN606" s="13">
        <v>3</v>
      </c>
      <c r="AO606" s="33">
        <f t="shared" si="253"/>
        <v>-1</v>
      </c>
      <c r="AP606" s="13">
        <f t="shared" si="263"/>
        <v>36.895190282185261</v>
      </c>
      <c r="AQ606" s="13">
        <f>IFERROR(VLOOKUP(U606,'Cortes naturales'!$E$15:$G$19,3,9),U606)</f>
        <v>4</v>
      </c>
      <c r="AR606" s="28">
        <f t="shared" si="254"/>
        <v>-0.32215904031997167</v>
      </c>
      <c r="AS606" s="13" t="b">
        <f t="shared" si="255"/>
        <v>1</v>
      </c>
      <c r="AT606" s="13" t="str">
        <f t="shared" si="264"/>
        <v>Efecto ponderador</v>
      </c>
      <c r="AU606" s="13">
        <v>3</v>
      </c>
      <c r="AV606">
        <f t="shared" si="256"/>
        <v>-1</v>
      </c>
      <c r="AW606" s="13">
        <v>0</v>
      </c>
      <c r="AX606" s="13">
        <v>0</v>
      </c>
      <c r="AY606" s="13">
        <v>0</v>
      </c>
      <c r="AZ606" s="13">
        <v>0</v>
      </c>
      <c r="BA606">
        <v>0</v>
      </c>
      <c r="BB606" t="s">
        <v>2840</v>
      </c>
      <c r="BC606">
        <v>5</v>
      </c>
      <c r="BD606" s="184" t="s">
        <v>2917</v>
      </c>
      <c r="BE606">
        <v>0</v>
      </c>
      <c r="BF606" s="232" t="s">
        <v>2846</v>
      </c>
      <c r="BG606" s="232" t="s">
        <v>2846</v>
      </c>
      <c r="BH606" s="253">
        <v>70.7</v>
      </c>
      <c r="BI606" s="253">
        <v>48.550612308169278</v>
      </c>
      <c r="BJ606" s="25">
        <v>27.631578947368421</v>
      </c>
      <c r="BK606" t="s">
        <v>379</v>
      </c>
      <c r="BL606">
        <v>1.9363250740801512</v>
      </c>
      <c r="BM606" t="s">
        <v>383</v>
      </c>
      <c r="BN606" s="322">
        <v>60801.281718999999</v>
      </c>
      <c r="BO606" s="322">
        <v>20882.072982000002</v>
      </c>
      <c r="BP606" s="10">
        <v>28889</v>
      </c>
      <c r="BQ606" s="254">
        <f t="shared" si="257"/>
        <v>2.1046516569974729</v>
      </c>
      <c r="BR606" s="254">
        <f t="shared" si="258"/>
        <v>0.72283820769150897</v>
      </c>
      <c r="BS606" s="25">
        <v>56.878109890479841</v>
      </c>
      <c r="BT606" s="25">
        <v>84.429934549136348</v>
      </c>
      <c r="BU606" s="25">
        <v>3.573465783664457</v>
      </c>
      <c r="BV606" s="25">
        <v>89.749326528166307</v>
      </c>
      <c r="BW606" s="25">
        <v>46.476127356868119</v>
      </c>
      <c r="BX606" s="25">
        <v>58.657709187861741</v>
      </c>
      <c r="BY606" s="25">
        <v>46.770438616114909</v>
      </c>
      <c r="BZ606">
        <v>5</v>
      </c>
      <c r="CA606">
        <v>0</v>
      </c>
      <c r="CB606">
        <v>7</v>
      </c>
      <c r="CC606">
        <v>97021.714435999995</v>
      </c>
      <c r="CD606" s="10">
        <v>94286.538534000007</v>
      </c>
      <c r="CE606" s="255">
        <v>0.97180862121536482</v>
      </c>
      <c r="CF606" t="str">
        <f>IFERROR(VLOOKUP(CE606,'Rangos amb etnico'!$A$2:$C$6,3,9),"N.D.")</f>
        <v>71% - 100%</v>
      </c>
      <c r="CG606" s="256">
        <v>2.7431508346397637E-3</v>
      </c>
      <c r="CH606" s="232">
        <v>0</v>
      </c>
      <c r="CI606" s="311">
        <f t="shared" si="265"/>
        <v>0</v>
      </c>
      <c r="CJ606" s="232">
        <f>IFERROR(VLOOKUP(CI606,'Rangos amb etnico'!$A$2:$C$6,3,9),"N.D.")</f>
        <v>0</v>
      </c>
      <c r="CK606" s="311">
        <f t="shared" si="266"/>
        <v>0</v>
      </c>
      <c r="CL606" s="10">
        <v>0</v>
      </c>
      <c r="CM606" s="255">
        <f t="shared" si="267"/>
        <v>0</v>
      </c>
      <c r="CN606" s="232">
        <f>IFERROR(VLOOKUP(CM606,'Rangos amb etnico'!$A$2:$C$6,3,9),"N.D.")</f>
        <v>0</v>
      </c>
      <c r="CO606" s="311">
        <f t="shared" si="268"/>
        <v>0</v>
      </c>
      <c r="CP606">
        <v>0.90365243183219124</v>
      </c>
      <c r="CQ606" t="s">
        <v>2864</v>
      </c>
      <c r="CR606">
        <f t="shared" si="259"/>
        <v>3</v>
      </c>
      <c r="CS606" t="str">
        <f t="shared" si="269"/>
        <v>Candidato</v>
      </c>
      <c r="CT606">
        <v>0</v>
      </c>
      <c r="CU606">
        <v>0</v>
      </c>
      <c r="CV606" s="25">
        <v>47.630867004394531</v>
      </c>
      <c r="CW606" s="25">
        <v>41.688743591308587</v>
      </c>
      <c r="CX606" s="25">
        <v>52.781051635742188</v>
      </c>
      <c r="CY606" s="25">
        <v>38.342544555664063</v>
      </c>
      <c r="CZ606" s="25">
        <v>27.298017501831051</v>
      </c>
      <c r="DA606" s="25">
        <v>54.548210144042969</v>
      </c>
      <c r="DB606" s="25">
        <v>71.126640319824219</v>
      </c>
      <c r="DC606">
        <v>408</v>
      </c>
      <c r="DD606" s="253" t="s">
        <v>380</v>
      </c>
    </row>
    <row r="607" spans="1:108" hidden="1">
      <c r="A607" s="13">
        <v>50226</v>
      </c>
      <c r="B607" s="13" t="s">
        <v>1655</v>
      </c>
      <c r="C607" s="13" t="s">
        <v>605</v>
      </c>
      <c r="D607" s="13" t="s">
        <v>606</v>
      </c>
      <c r="E607" s="13" t="s">
        <v>1656</v>
      </c>
      <c r="F607" s="14">
        <v>75.259533333333295</v>
      </c>
      <c r="G607" s="13">
        <v>60.82</v>
      </c>
      <c r="H607" s="13">
        <v>54.4</v>
      </c>
      <c r="I607" s="13">
        <v>53.26</v>
      </c>
      <c r="J607" s="14">
        <v>54.789131223598964</v>
      </c>
      <c r="K607" s="14">
        <v>55.386017816684785</v>
      </c>
      <c r="L607" s="14">
        <v>58.365991444025447</v>
      </c>
      <c r="M607" s="14">
        <v>61.125100000000003</v>
      </c>
      <c r="N607" s="14">
        <f t="shared" si="243"/>
        <v>60.934883333333325</v>
      </c>
      <c r="O607" s="14">
        <f t="shared" si="244"/>
        <v>57.416560121077296</v>
      </c>
      <c r="P607" s="14">
        <f t="shared" si="260"/>
        <v>59.175721727205314</v>
      </c>
      <c r="Q607" s="14">
        <v>57.409345198219619</v>
      </c>
      <c r="R607" s="17">
        <f t="shared" si="245"/>
        <v>42.590654801780381</v>
      </c>
      <c r="S607" s="14">
        <f t="shared" si="261"/>
        <v>0.48331589321602342</v>
      </c>
      <c r="T607" s="13">
        <v>0</v>
      </c>
      <c r="U607" s="13">
        <f t="shared" si="262"/>
        <v>28.60056680328708</v>
      </c>
      <c r="V607" s="13">
        <f>IF($T607=1,$AU607,(VLOOKUP(U607,'Cortes naturales'!$A$35:$C$39,3,9)))</f>
        <v>4</v>
      </c>
      <c r="W607" s="13">
        <v>4</v>
      </c>
      <c r="X607" s="14" t="b">
        <f t="shared" si="246"/>
        <v>1</v>
      </c>
      <c r="Y607" s="17">
        <f>IF($T607=1,$AU607,VLOOKUP(U607,'Cortes naturales'!$A$45:$C$49,3,9))</f>
        <v>3</v>
      </c>
      <c r="Z607" s="14">
        <v>62.058421376167466</v>
      </c>
      <c r="AA607" s="14">
        <v>0.50159492640632342</v>
      </c>
      <c r="AB607" s="14">
        <v>31.128189303071327</v>
      </c>
      <c r="AC607" s="13">
        <v>3</v>
      </c>
      <c r="AD607" s="13">
        <f t="shared" si="247"/>
        <v>0</v>
      </c>
      <c r="AE607" s="14">
        <f t="shared" si="248"/>
        <v>-2.8826996489621521</v>
      </c>
      <c r="AF607" s="14">
        <f t="shared" si="249"/>
        <v>-1.8279033190299998E-2</v>
      </c>
      <c r="AG607" s="13">
        <f t="shared" si="250"/>
        <v>-2.5276224997842469</v>
      </c>
      <c r="AH607" s="13">
        <f>IF($T607=1,$AU607,VLOOKUP(U607,'Cortes naturales'!$A$25:$C$29,3,9))</f>
        <v>3</v>
      </c>
      <c r="AI607" s="13" t="b">
        <f t="shared" si="251"/>
        <v>1</v>
      </c>
      <c r="AJ607" s="13">
        <f t="shared" si="252"/>
        <v>0</v>
      </c>
      <c r="AK607" s="28">
        <v>0.81759069605862034</v>
      </c>
      <c r="AL607" s="28">
        <v>50.73838792923992</v>
      </c>
      <c r="AM607" s="28">
        <v>0.46405773785070925</v>
      </c>
      <c r="AN607" s="13">
        <v>3</v>
      </c>
      <c r="AO607" s="33">
        <f t="shared" si="253"/>
        <v>0</v>
      </c>
      <c r="AP607" s="13">
        <f t="shared" si="263"/>
        <v>46.405773785070927</v>
      </c>
      <c r="AQ607" s="13">
        <f>IFERROR(VLOOKUP(U607,'Cortes naturales'!$E$15:$G$19,3,9),U607)</f>
        <v>4</v>
      </c>
      <c r="AR607" s="28">
        <f t="shared" si="254"/>
        <v>-0.33427480284259692</v>
      </c>
      <c r="AS607" s="13" t="b">
        <f t="shared" si="255"/>
        <v>0</v>
      </c>
      <c r="AT607" s="13">
        <f t="shared" si="264"/>
        <v>0</v>
      </c>
      <c r="AU607" s="13">
        <v>2</v>
      </c>
      <c r="AV607">
        <f t="shared" si="256"/>
        <v>-1</v>
      </c>
      <c r="AW607" s="13">
        <v>0</v>
      </c>
      <c r="AX607" s="13">
        <v>0</v>
      </c>
      <c r="AY607" s="13">
        <v>0</v>
      </c>
      <c r="AZ607" s="13">
        <v>0</v>
      </c>
      <c r="BA607">
        <v>0</v>
      </c>
      <c r="BB607" t="s">
        <v>2840</v>
      </c>
      <c r="BC607">
        <v>6</v>
      </c>
      <c r="BD607" t="s">
        <v>2919</v>
      </c>
      <c r="BE607">
        <v>0</v>
      </c>
      <c r="BF607" s="232" t="s">
        <v>2846</v>
      </c>
      <c r="BG607" s="232" t="s">
        <v>2846</v>
      </c>
      <c r="BH607" s="253">
        <v>22.7</v>
      </c>
      <c r="BI607" s="253">
        <v>8.3758744564189822</v>
      </c>
      <c r="BJ607" s="25">
        <v>15.11</v>
      </c>
      <c r="BK607" t="s">
        <v>379</v>
      </c>
      <c r="BL607">
        <v>0.55033053918317143</v>
      </c>
      <c r="BM607" t="s">
        <v>383</v>
      </c>
      <c r="BN607" s="322">
        <v>46947.113302999998</v>
      </c>
      <c r="BO607" s="322">
        <v>19701.051500000001</v>
      </c>
      <c r="BP607" s="10">
        <v>24556</v>
      </c>
      <c r="BQ607" s="254">
        <f t="shared" si="257"/>
        <v>1.9118387890128685</v>
      </c>
      <c r="BR607" s="254">
        <f t="shared" si="258"/>
        <v>0.80229074360645058</v>
      </c>
      <c r="BS607" s="25">
        <v>74.768867140245987</v>
      </c>
      <c r="BT607" s="25">
        <v>96.454085058369984</v>
      </c>
      <c r="BU607" s="25">
        <v>36.071794871794857</v>
      </c>
      <c r="BV607" s="25">
        <v>88.040227087811914</v>
      </c>
      <c r="BW607" s="25">
        <v>57.167655759638251</v>
      </c>
      <c r="BX607" s="25">
        <v>73.833743539555684</v>
      </c>
      <c r="BY607" s="25">
        <v>58.229239492922822</v>
      </c>
      <c r="BZ607">
        <v>88</v>
      </c>
      <c r="CA607">
        <v>0</v>
      </c>
      <c r="CB607">
        <v>7</v>
      </c>
      <c r="CC607">
        <v>62382.771252999999</v>
      </c>
      <c r="CD607" s="10">
        <v>228.20449300000001</v>
      </c>
      <c r="CE607" s="255">
        <v>3.6581333021338904E-3</v>
      </c>
      <c r="CF607" t="str">
        <f>IFERROR(VLOOKUP(CE607,'Rangos amb etnico'!$A$2:$C$6,3,9),"N.D.")</f>
        <v>0,1% - 30%</v>
      </c>
      <c r="CG607" s="256">
        <v>6.6393289559119506E-6</v>
      </c>
      <c r="CH607" s="232">
        <v>0</v>
      </c>
      <c r="CI607" s="311">
        <f t="shared" si="265"/>
        <v>0</v>
      </c>
      <c r="CJ607" s="232">
        <f>IFERROR(VLOOKUP(CI607,'Rangos amb etnico'!$A$2:$C$6,3,9),"N.D.")</f>
        <v>0</v>
      </c>
      <c r="CK607" s="311">
        <f t="shared" si="266"/>
        <v>0</v>
      </c>
      <c r="CL607" s="10">
        <v>0</v>
      </c>
      <c r="CM607" s="255">
        <f t="shared" si="267"/>
        <v>0</v>
      </c>
      <c r="CN607" s="232">
        <f>IFERROR(VLOOKUP(CM607,'Rangos amb etnico'!$A$2:$C$6,3,9),"N.D.")</f>
        <v>0</v>
      </c>
      <c r="CO607" s="311">
        <f t="shared" si="268"/>
        <v>0</v>
      </c>
      <c r="CP607">
        <v>0.91749094589709834</v>
      </c>
      <c r="CQ607" t="s">
        <v>2864</v>
      </c>
      <c r="CR607">
        <f t="shared" si="259"/>
        <v>2</v>
      </c>
      <c r="CS607" t="str">
        <f t="shared" si="269"/>
        <v>No es Candidato</v>
      </c>
      <c r="CT607">
        <v>0</v>
      </c>
      <c r="CU607">
        <v>0</v>
      </c>
      <c r="CV607" s="25">
        <v>47.80255126953125</v>
      </c>
      <c r="CW607" s="25">
        <v>32.74127197265625</v>
      </c>
      <c r="CX607" s="25">
        <v>56.085189819335938</v>
      </c>
      <c r="CY607" s="25">
        <v>60.958675384521477</v>
      </c>
      <c r="CZ607" s="25">
        <v>37.147052764892578</v>
      </c>
      <c r="DA607" s="25">
        <v>32.054275512695313</v>
      </c>
      <c r="DB607" s="25">
        <v>67.828849792480469</v>
      </c>
      <c r="DC607">
        <v>436</v>
      </c>
      <c r="DD607" s="253" t="s">
        <v>380</v>
      </c>
    </row>
    <row r="608" spans="1:108" hidden="1">
      <c r="A608" s="13">
        <v>13440</v>
      </c>
      <c r="B608" s="13" t="s">
        <v>1657</v>
      </c>
      <c r="C608" s="13" t="s">
        <v>480</v>
      </c>
      <c r="D608" s="13" t="s">
        <v>481</v>
      </c>
      <c r="E608" s="13" t="s">
        <v>1658</v>
      </c>
      <c r="F608" s="14">
        <v>55.348999999999997</v>
      </c>
      <c r="G608" s="13">
        <v>64.540000000000006</v>
      </c>
      <c r="H608" s="13">
        <v>32.520000000000003</v>
      </c>
      <c r="I608" s="13">
        <v>33.409999999999997</v>
      </c>
      <c r="J608" s="14">
        <v>50.925635666592129</v>
      </c>
      <c r="K608" s="14">
        <v>49.604748036303576</v>
      </c>
      <c r="L608" s="14">
        <v>52.425875211245184</v>
      </c>
      <c r="M608" s="14">
        <v>46.040700000000001</v>
      </c>
      <c r="N608" s="14">
        <f t="shared" si="243"/>
        <v>46.454750000000004</v>
      </c>
      <c r="O608" s="14">
        <f t="shared" si="244"/>
        <v>49.74923972853523</v>
      </c>
      <c r="P608" s="14">
        <f t="shared" si="260"/>
        <v>48.101994864267617</v>
      </c>
      <c r="Q608" s="14">
        <v>56.303925476590258</v>
      </c>
      <c r="R608" s="17">
        <f t="shared" si="245"/>
        <v>43.696074523409742</v>
      </c>
      <c r="S608" s="14">
        <f t="shared" si="261"/>
        <v>0.49326467071068769</v>
      </c>
      <c r="T608" s="13">
        <v>0</v>
      </c>
      <c r="U608" s="13">
        <f t="shared" si="262"/>
        <v>23.727014657250155</v>
      </c>
      <c r="V608" s="13">
        <f>IF($T608=1,$AU608,(VLOOKUP(U608,'Cortes naturales'!$A$35:$C$39,3,9)))</f>
        <v>4</v>
      </c>
      <c r="W608" s="13">
        <v>4</v>
      </c>
      <c r="X608" s="14" t="b">
        <f t="shared" si="246"/>
        <v>1</v>
      </c>
      <c r="Y608" s="17">
        <f>IF($T608=1,$AU608,VLOOKUP(U608,'Cortes naturales'!$A$45:$C$49,3,9))</f>
        <v>4</v>
      </c>
      <c r="Z608" s="14">
        <v>49.557027306789792</v>
      </c>
      <c r="AA608" s="14">
        <v>0.50302115445276208</v>
      </c>
      <c r="AB608" s="14">
        <v>24.928233087108456</v>
      </c>
      <c r="AC608" s="13">
        <v>4</v>
      </c>
      <c r="AD608" s="13">
        <f t="shared" si="247"/>
        <v>0</v>
      </c>
      <c r="AE608" s="14">
        <f t="shared" si="248"/>
        <v>-1.4550324425221746</v>
      </c>
      <c r="AF608" s="14">
        <f t="shared" si="249"/>
        <v>-9.7564837420743844E-3</v>
      </c>
      <c r="AG608" s="13">
        <f t="shared" si="250"/>
        <v>-1.2012184298583009</v>
      </c>
      <c r="AH608" s="13">
        <f>IF($T608=1,$AU608,VLOOKUP(U608,'Cortes naturales'!$A$25:$C$29,3,9))</f>
        <v>4</v>
      </c>
      <c r="AI608" s="13" t="b">
        <f t="shared" si="251"/>
        <v>1</v>
      </c>
      <c r="AJ608" s="13">
        <f t="shared" si="252"/>
        <v>0</v>
      </c>
      <c r="AK608" s="28">
        <v>0.81759069605862034</v>
      </c>
      <c r="AL608" s="28">
        <v>40.517364450354322</v>
      </c>
      <c r="AM608" s="28">
        <v>0.3362035081041419</v>
      </c>
      <c r="AN608" s="13">
        <v>4</v>
      </c>
      <c r="AO608" s="33">
        <f t="shared" si="253"/>
        <v>0</v>
      </c>
      <c r="AP608" s="13">
        <f t="shared" si="263"/>
        <v>33.620350810414187</v>
      </c>
      <c r="AQ608" s="13">
        <f>IFERROR(VLOOKUP(U608,'Cortes naturales'!$E$15:$G$19,3,9),U608)</f>
        <v>4</v>
      </c>
      <c r="AR608" s="28">
        <f t="shared" si="254"/>
        <v>-0.32432602534793264</v>
      </c>
      <c r="AS608" s="13" t="b">
        <f t="shared" si="255"/>
        <v>1</v>
      </c>
      <c r="AT608" s="13">
        <f t="shared" si="264"/>
        <v>0</v>
      </c>
      <c r="AU608" s="13">
        <v>4</v>
      </c>
      <c r="AV608">
        <f t="shared" si="256"/>
        <v>0</v>
      </c>
      <c r="AW608" s="13">
        <v>0</v>
      </c>
      <c r="AX608" s="13">
        <v>0</v>
      </c>
      <c r="AY608" s="13">
        <v>0</v>
      </c>
      <c r="AZ608" s="13">
        <v>0</v>
      </c>
      <c r="BA608">
        <v>0</v>
      </c>
      <c r="BB608" t="s">
        <v>2841</v>
      </c>
      <c r="BC608">
        <v>6</v>
      </c>
      <c r="BD608" t="s">
        <v>2919</v>
      </c>
      <c r="BE608">
        <v>0</v>
      </c>
      <c r="BF608" s="232" t="s">
        <v>2846</v>
      </c>
      <c r="BG608" s="232" t="s">
        <v>2845</v>
      </c>
      <c r="BH608" s="253">
        <v>65.599999999999994</v>
      </c>
      <c r="BI608" s="253">
        <v>36.697530864197532</v>
      </c>
      <c r="BJ608" s="25">
        <v>74.132499999999993</v>
      </c>
      <c r="BK608" t="s">
        <v>376</v>
      </c>
      <c r="BL608">
        <v>1.6728283818307248</v>
      </c>
      <c r="BM608" t="s">
        <v>383</v>
      </c>
      <c r="BN608" s="322">
        <v>29758.943078</v>
      </c>
      <c r="BO608" s="322">
        <v>939.08885499999997</v>
      </c>
      <c r="BP608" s="10">
        <v>11721</v>
      </c>
      <c r="BQ608" s="254">
        <f t="shared" si="257"/>
        <v>2.5389423323948468</v>
      </c>
      <c r="BR608" s="254">
        <f t="shared" si="258"/>
        <v>8.0120199215084037E-2</v>
      </c>
      <c r="BS608" s="25">
        <v>56.044033045664733</v>
      </c>
      <c r="BT608" s="25">
        <v>79.802428885760591</v>
      </c>
      <c r="BU608" s="25">
        <v>30.391552778862401</v>
      </c>
      <c r="BV608" s="25">
        <v>95.884817184107234</v>
      </c>
      <c r="BW608" s="25">
        <v>51.0625315252626</v>
      </c>
      <c r="BX608" s="25">
        <v>65.530707973598737</v>
      </c>
      <c r="BY608" s="25">
        <v>50.114647899865908</v>
      </c>
      <c r="BZ608">
        <v>60</v>
      </c>
      <c r="CA608">
        <v>0</v>
      </c>
      <c r="CB608">
        <v>7</v>
      </c>
      <c r="CC608">
        <v>29262.005966000001</v>
      </c>
      <c r="CD608" s="10">
        <v>1849.84411</v>
      </c>
      <c r="CE608" s="255">
        <v>6.3216585771644088E-2</v>
      </c>
      <c r="CF608" t="str">
        <f>IFERROR(VLOOKUP(CE608,'Rangos amb etnico'!$A$2:$C$6,3,9),"N.D.")</f>
        <v>0,1% - 30%</v>
      </c>
      <c r="CG608" s="256">
        <v>5.3818938452917182E-5</v>
      </c>
      <c r="CH608" s="232">
        <v>0</v>
      </c>
      <c r="CI608" s="311">
        <f t="shared" si="265"/>
        <v>0</v>
      </c>
      <c r="CJ608" s="232">
        <f>IFERROR(VLOOKUP(CI608,'Rangos amb etnico'!$A$2:$C$6,3,9),"N.D.")</f>
        <v>0</v>
      </c>
      <c r="CK608" s="311">
        <f t="shared" si="266"/>
        <v>0</v>
      </c>
      <c r="CL608" s="10">
        <v>0</v>
      </c>
      <c r="CM608" s="255">
        <f t="shared" si="267"/>
        <v>0</v>
      </c>
      <c r="CN608" s="232">
        <f>IFERROR(VLOOKUP(CM608,'Rangos amb etnico'!$A$2:$C$6,3,9),"N.D.")</f>
        <v>0</v>
      </c>
      <c r="CO608" s="311">
        <f t="shared" si="268"/>
        <v>0</v>
      </c>
      <c r="CP608">
        <v>0.90647010812949347</v>
      </c>
      <c r="CQ608" t="s">
        <v>2864</v>
      </c>
      <c r="CR608">
        <f t="shared" si="259"/>
        <v>1</v>
      </c>
      <c r="CS608" t="str">
        <f t="shared" si="269"/>
        <v>No es Candidato</v>
      </c>
      <c r="CT608">
        <v>0</v>
      </c>
      <c r="CU608">
        <v>0</v>
      </c>
      <c r="CV608" s="25">
        <v>38.407901763916023</v>
      </c>
      <c r="CW608" s="25">
        <v>10.912235260009769</v>
      </c>
      <c r="CX608" s="25">
        <v>34.967994689941413</v>
      </c>
      <c r="CY608" s="25">
        <v>36.678779602050781</v>
      </c>
      <c r="CZ608" s="25">
        <v>3.683438777923584</v>
      </c>
      <c r="DA608" s="25">
        <v>88.709403991699219</v>
      </c>
      <c r="DB608" s="25">
        <v>55.495571136474609</v>
      </c>
      <c r="DC608">
        <v>120</v>
      </c>
      <c r="DD608" s="253" t="s">
        <v>380</v>
      </c>
    </row>
    <row r="609" spans="1:108" hidden="1">
      <c r="A609" s="13">
        <v>68500</v>
      </c>
      <c r="B609" s="13" t="s">
        <v>1659</v>
      </c>
      <c r="C609" s="13" t="s">
        <v>431</v>
      </c>
      <c r="D609" s="13" t="s">
        <v>432</v>
      </c>
      <c r="E609" s="13" t="s">
        <v>1660</v>
      </c>
      <c r="F609" s="14">
        <v>56.586066666666703</v>
      </c>
      <c r="G609" s="13">
        <v>58.41</v>
      </c>
      <c r="H609" s="13">
        <v>50.57</v>
      </c>
      <c r="I609" s="13">
        <v>57.32</v>
      </c>
      <c r="J609" s="14">
        <v>52.953767420023354</v>
      </c>
      <c r="K609" s="14">
        <v>54.946727324300156</v>
      </c>
      <c r="L609" s="14">
        <v>75.084603603221979</v>
      </c>
      <c r="M609" s="14">
        <v>55.806199999999997</v>
      </c>
      <c r="N609" s="14">
        <f t="shared" si="243"/>
        <v>55.721516666666673</v>
      </c>
      <c r="O609" s="14">
        <f t="shared" si="244"/>
        <v>59.69782458688637</v>
      </c>
      <c r="P609" s="14">
        <f t="shared" si="260"/>
        <v>57.709670626776521</v>
      </c>
      <c r="Q609" s="14">
        <v>56.161590343696218</v>
      </c>
      <c r="R609" s="17">
        <f t="shared" si="245"/>
        <v>43.838409656303782</v>
      </c>
      <c r="S609" s="14">
        <f t="shared" si="261"/>
        <v>0.49454568690673406</v>
      </c>
      <c r="T609" s="13">
        <v>0</v>
      </c>
      <c r="U609" s="13">
        <f t="shared" si="262"/>
        <v>28.540068701280568</v>
      </c>
      <c r="V609" s="13">
        <f>IF($T609=1,$AU609,(VLOOKUP(U609,'Cortes naturales'!$A$35:$C$39,3,9)))</f>
        <v>4</v>
      </c>
      <c r="W609" s="13">
        <v>4</v>
      </c>
      <c r="X609" s="14" t="b">
        <f t="shared" si="246"/>
        <v>1</v>
      </c>
      <c r="Y609" s="17">
        <f>IF($T609=1,$AU609,VLOOKUP(U609,'Cortes naturales'!$A$45:$C$49,3,9))</f>
        <v>3</v>
      </c>
      <c r="Z609" s="14">
        <v>58.057606622756097</v>
      </c>
      <c r="AA609" s="14">
        <v>0.50036354756838153</v>
      </c>
      <c r="AB609" s="14">
        <v>29.049910013091804</v>
      </c>
      <c r="AC609" s="13">
        <v>3</v>
      </c>
      <c r="AD609" s="13">
        <f t="shared" si="247"/>
        <v>0</v>
      </c>
      <c r="AE609" s="14">
        <f t="shared" si="248"/>
        <v>-0.34793599597957581</v>
      </c>
      <c r="AF609" s="14">
        <f t="shared" si="249"/>
        <v>-5.8178606616474671E-3</v>
      </c>
      <c r="AG609" s="13">
        <f t="shared" si="250"/>
        <v>-0.50984131181123615</v>
      </c>
      <c r="AH609" s="13">
        <f>IF($T609=1,$AU609,VLOOKUP(U609,'Cortes naturales'!$A$25:$C$29,3,9))</f>
        <v>3</v>
      </c>
      <c r="AI609" s="13" t="b">
        <f t="shared" si="251"/>
        <v>1</v>
      </c>
      <c r="AJ609" s="13">
        <f t="shared" si="252"/>
        <v>0</v>
      </c>
      <c r="AK609" s="28">
        <v>0.81759069605862034</v>
      </c>
      <c r="AL609" s="28">
        <v>47.467359010196724</v>
      </c>
      <c r="AM609" s="28">
        <v>0.42314061406296383</v>
      </c>
      <c r="AN609" s="13">
        <v>3</v>
      </c>
      <c r="AO609" s="33">
        <f t="shared" si="253"/>
        <v>0</v>
      </c>
      <c r="AP609" s="13">
        <f t="shared" si="263"/>
        <v>42.314061406296382</v>
      </c>
      <c r="AQ609" s="13">
        <f>IFERROR(VLOOKUP(U609,'Cortes naturales'!$E$15:$G$19,3,9),U609)</f>
        <v>4</v>
      </c>
      <c r="AR609" s="28">
        <f t="shared" si="254"/>
        <v>-0.32304500915188628</v>
      </c>
      <c r="AS609" s="13" t="b">
        <f t="shared" si="255"/>
        <v>0</v>
      </c>
      <c r="AT609" s="13">
        <f t="shared" si="264"/>
        <v>0</v>
      </c>
      <c r="AU609" s="13">
        <v>3</v>
      </c>
      <c r="AV609">
        <f t="shared" si="256"/>
        <v>0</v>
      </c>
      <c r="AW609" s="13">
        <v>0</v>
      </c>
      <c r="AX609" s="13">
        <v>0</v>
      </c>
      <c r="AY609" s="13">
        <v>0</v>
      </c>
      <c r="AZ609" s="13">
        <v>0</v>
      </c>
      <c r="BA609">
        <v>0</v>
      </c>
      <c r="BB609" t="s">
        <v>2840</v>
      </c>
      <c r="BC609">
        <v>6</v>
      </c>
      <c r="BD609" t="s">
        <v>2919</v>
      </c>
      <c r="BE609">
        <v>0</v>
      </c>
      <c r="BF609" s="232" t="s">
        <v>2846</v>
      </c>
      <c r="BG609" s="232" t="s">
        <v>2845</v>
      </c>
      <c r="BH609" s="253">
        <v>31.8</v>
      </c>
      <c r="BI609" s="253">
        <v>12.592665810022734</v>
      </c>
      <c r="BJ609" s="25">
        <v>1.4933333333333334</v>
      </c>
      <c r="BK609" t="s">
        <v>381</v>
      </c>
      <c r="BL609">
        <v>0</v>
      </c>
      <c r="BM609" t="s">
        <v>377</v>
      </c>
      <c r="BN609" s="322">
        <v>25218.896314000001</v>
      </c>
      <c r="BO609" s="322">
        <v>3663.334249</v>
      </c>
      <c r="BP609" s="10">
        <v>11595</v>
      </c>
      <c r="BQ609" s="254">
        <f t="shared" si="257"/>
        <v>2.1749802771884434</v>
      </c>
      <c r="BR609" s="254">
        <f t="shared" si="258"/>
        <v>0.31594085804225958</v>
      </c>
      <c r="BS609" s="25">
        <v>65.794365139848864</v>
      </c>
      <c r="BT609" s="25">
        <v>95.590053183843608</v>
      </c>
      <c r="BU609" s="25">
        <v>60.134999999999998</v>
      </c>
      <c r="BV609" s="25">
        <v>90.240963835944697</v>
      </c>
      <c r="BW609" s="25">
        <v>51.275866047839543</v>
      </c>
      <c r="BX609" s="25">
        <v>77.940095539909294</v>
      </c>
      <c r="BY609" s="25">
        <v>53.105086220796721</v>
      </c>
      <c r="BZ609">
        <v>20</v>
      </c>
      <c r="CA609">
        <v>0</v>
      </c>
      <c r="CB609">
        <v>7</v>
      </c>
      <c r="CC609">
        <v>28734.076481</v>
      </c>
      <c r="CD609" s="10">
        <v>624.55306900000005</v>
      </c>
      <c r="CE609" s="255">
        <v>2.1735623534411379E-2</v>
      </c>
      <c r="CF609" t="str">
        <f>IFERROR(VLOOKUP(CE609,'Rangos amb etnico'!$A$2:$C$6,3,9),"N.D.")</f>
        <v>0,1% - 30%</v>
      </c>
      <c r="CG609" s="256">
        <v>1.8170603133196744E-5</v>
      </c>
      <c r="CH609" s="232">
        <v>0</v>
      </c>
      <c r="CI609" s="311">
        <f t="shared" si="265"/>
        <v>0</v>
      </c>
      <c r="CJ609" s="232">
        <f>IFERROR(VLOOKUP(CI609,'Rangos amb etnico'!$A$2:$C$6,3,9),"N.D.")</f>
        <v>0</v>
      </c>
      <c r="CK609" s="311">
        <f t="shared" si="266"/>
        <v>0</v>
      </c>
      <c r="CL609" s="10">
        <v>0</v>
      </c>
      <c r="CM609" s="255">
        <f t="shared" si="267"/>
        <v>0</v>
      </c>
      <c r="CN609" s="232">
        <f>IFERROR(VLOOKUP(CM609,'Rangos amb etnico'!$A$2:$C$6,3,9),"N.D.")</f>
        <v>0</v>
      </c>
      <c r="CO609" s="311">
        <f t="shared" si="268"/>
        <v>0</v>
      </c>
      <c r="CP609">
        <v>0.95678322361686774</v>
      </c>
      <c r="CQ609" t="s">
        <v>2864</v>
      </c>
      <c r="CR609">
        <f t="shared" si="259"/>
        <v>1</v>
      </c>
      <c r="CS609" t="str">
        <f t="shared" si="269"/>
        <v>No es Candidato</v>
      </c>
      <c r="CT609">
        <v>0</v>
      </c>
      <c r="CU609">
        <v>0</v>
      </c>
      <c r="CV609" s="25">
        <v>49.99822998046875</v>
      </c>
      <c r="CW609" s="25">
        <v>26.420284271240231</v>
      </c>
      <c r="CX609" s="25">
        <v>51.386940002441413</v>
      </c>
      <c r="CY609" s="25">
        <v>77.217193603515625</v>
      </c>
      <c r="CZ609" s="25">
        <v>34.623908996582031</v>
      </c>
      <c r="DA609" s="25">
        <v>59.348133087158203</v>
      </c>
      <c r="DB609" s="25">
        <v>50.992916107177727</v>
      </c>
      <c r="DC609">
        <v>78</v>
      </c>
      <c r="DD609" s="253" t="s">
        <v>380</v>
      </c>
    </row>
    <row r="610" spans="1:108" hidden="1">
      <c r="A610" s="13">
        <v>73504</v>
      </c>
      <c r="B610" s="13" t="s">
        <v>1661</v>
      </c>
      <c r="C610" s="13" t="s">
        <v>595</v>
      </c>
      <c r="D610" s="13" t="s">
        <v>596</v>
      </c>
      <c r="E610" s="13" t="s">
        <v>1662</v>
      </c>
      <c r="F610" s="14">
        <v>83.756533333333294</v>
      </c>
      <c r="G610" s="13">
        <v>74.430000000000007</v>
      </c>
      <c r="H610" s="13">
        <v>66.400000000000006</v>
      </c>
      <c r="I610" s="13">
        <v>70.290000000000006</v>
      </c>
      <c r="J610" s="14">
        <v>37.377139950588806</v>
      </c>
      <c r="K610" s="14">
        <v>46.376639293125351</v>
      </c>
      <c r="L610" s="14">
        <v>43.60836667851359</v>
      </c>
      <c r="M610" s="14">
        <v>48.498600000000003</v>
      </c>
      <c r="N610" s="14">
        <f t="shared" si="243"/>
        <v>73.719133333333332</v>
      </c>
      <c r="O610" s="14">
        <f t="shared" si="244"/>
        <v>43.965186480556937</v>
      </c>
      <c r="P610" s="14">
        <f t="shared" si="260"/>
        <v>58.842159906945135</v>
      </c>
      <c r="Q610" s="14">
        <v>55.78657151521783</v>
      </c>
      <c r="R610" s="17">
        <f t="shared" si="245"/>
        <v>44.21342848478217</v>
      </c>
      <c r="S610" s="14">
        <f t="shared" si="261"/>
        <v>0.49792085636303951</v>
      </c>
      <c r="T610" s="13">
        <v>0</v>
      </c>
      <c r="U610" s="13">
        <f t="shared" si="262"/>
        <v>29.298738651117031</v>
      </c>
      <c r="V610" s="13">
        <f>IF($T610=1,$AU610,(VLOOKUP(U610,'Cortes naturales'!$A$35:$C$39,3,9)))</f>
        <v>4</v>
      </c>
      <c r="W610" s="13">
        <v>4</v>
      </c>
      <c r="X610" s="14" t="b">
        <f t="shared" si="246"/>
        <v>1</v>
      </c>
      <c r="Y610" s="17">
        <f>IF($T610=1,$AU610,VLOOKUP(U610,'Cortes naturales'!$A$45:$C$49,3,9))</f>
        <v>3</v>
      </c>
      <c r="Z610" s="14">
        <v>60.579677915098941</v>
      </c>
      <c r="AA610" s="14">
        <v>0.50265718175493534</v>
      </c>
      <c r="AB610" s="14">
        <v>30.450810172425332</v>
      </c>
      <c r="AC610" s="13">
        <v>3</v>
      </c>
      <c r="AD610" s="13">
        <f t="shared" si="247"/>
        <v>0</v>
      </c>
      <c r="AE610" s="14">
        <f t="shared" si="248"/>
        <v>-1.7375180081538062</v>
      </c>
      <c r="AF610" s="14">
        <f t="shared" si="249"/>
        <v>-4.7363253918958348E-3</v>
      </c>
      <c r="AG610" s="13">
        <f t="shared" si="250"/>
        <v>-1.1520715213083008</v>
      </c>
      <c r="AH610" s="13">
        <f>IF($T610=1,$AU610,VLOOKUP(U610,'Cortes naturales'!$A$25:$C$29,3,9))</f>
        <v>3</v>
      </c>
      <c r="AI610" s="13" t="b">
        <f t="shared" si="251"/>
        <v>1</v>
      </c>
      <c r="AJ610" s="13">
        <f t="shared" si="252"/>
        <v>0</v>
      </c>
      <c r="AK610" s="28">
        <v>0.81759069605862034</v>
      </c>
      <c r="AL610" s="28">
        <v>49.529381033612772</v>
      </c>
      <c r="AM610" s="28">
        <v>0.44893433599980664</v>
      </c>
      <c r="AN610" s="13">
        <v>3</v>
      </c>
      <c r="AO610" s="33">
        <f t="shared" si="253"/>
        <v>0</v>
      </c>
      <c r="AP610" s="13">
        <f t="shared" si="263"/>
        <v>44.893433599980668</v>
      </c>
      <c r="AQ610" s="13">
        <f>IFERROR(VLOOKUP(U610,'Cortes naturales'!$E$15:$G$19,3,9),U610)</f>
        <v>4</v>
      </c>
      <c r="AR610" s="28">
        <f t="shared" si="254"/>
        <v>-0.31966983969558083</v>
      </c>
      <c r="AS610" s="13" t="b">
        <f t="shared" si="255"/>
        <v>0</v>
      </c>
      <c r="AT610" s="13">
        <f t="shared" si="264"/>
        <v>0</v>
      </c>
      <c r="AU610" s="13">
        <v>2</v>
      </c>
      <c r="AV610">
        <f t="shared" si="256"/>
        <v>-1</v>
      </c>
      <c r="AW610" s="13">
        <v>0</v>
      </c>
      <c r="AX610" s="13">
        <v>0</v>
      </c>
      <c r="AY610" s="13">
        <v>0</v>
      </c>
      <c r="AZ610" s="13">
        <v>0</v>
      </c>
      <c r="BA610">
        <v>1</v>
      </c>
      <c r="BB610" t="s">
        <v>2841</v>
      </c>
      <c r="BC610">
        <v>6</v>
      </c>
      <c r="BD610" t="s">
        <v>2919</v>
      </c>
      <c r="BE610">
        <v>0</v>
      </c>
      <c r="BF610" s="232" t="s">
        <v>2846</v>
      </c>
      <c r="BG610" s="232" t="s">
        <v>2846</v>
      </c>
      <c r="BH610" s="253">
        <v>51.3</v>
      </c>
      <c r="BI610" s="253">
        <v>28.346031960083607</v>
      </c>
      <c r="BJ610" s="25">
        <v>5.9366666666666674</v>
      </c>
      <c r="BK610" t="s">
        <v>377</v>
      </c>
      <c r="BL610">
        <v>1.3906480944167474</v>
      </c>
      <c r="BM610" t="s">
        <v>383</v>
      </c>
      <c r="BN610" s="322">
        <v>69379.132624000005</v>
      </c>
      <c r="BO610" s="322">
        <v>4587.0006149999999</v>
      </c>
      <c r="BP610" s="10">
        <v>36303</v>
      </c>
      <c r="BQ610" s="254">
        <f t="shared" si="257"/>
        <v>1.9111129279673857</v>
      </c>
      <c r="BR610" s="254">
        <f t="shared" si="258"/>
        <v>0.12635321089166185</v>
      </c>
      <c r="BS610" s="25">
        <v>57.380377820853937</v>
      </c>
      <c r="BT610" s="25">
        <v>88.557809731059876</v>
      </c>
      <c r="BU610" s="25">
        <v>39.353159743537269</v>
      </c>
      <c r="BV610" s="25">
        <v>92.68990124400905</v>
      </c>
      <c r="BW610" s="25">
        <v>58.962630290803531</v>
      </c>
      <c r="BX610" s="25">
        <v>69.495312134865031</v>
      </c>
      <c r="BY610" s="25">
        <v>59.887629299819778</v>
      </c>
      <c r="BZ610">
        <v>15</v>
      </c>
      <c r="CA610">
        <v>0</v>
      </c>
      <c r="CB610">
        <v>7</v>
      </c>
      <c r="CC610">
        <v>95328.589739000003</v>
      </c>
      <c r="CD610" s="10">
        <v>66084.029519999996</v>
      </c>
      <c r="CE610" s="255">
        <v>0.69322361424763923</v>
      </c>
      <c r="CF610" t="str">
        <f>IFERROR(VLOOKUP(CE610,'Rangos amb etnico'!$A$2:$C$6,3,9),"N.D.")</f>
        <v>51% - 70%</v>
      </c>
      <c r="CG610" s="256">
        <v>1.9226335334049539E-3</v>
      </c>
      <c r="CH610" s="232">
        <v>5992.2007839999997</v>
      </c>
      <c r="CI610" s="311">
        <f t="shared" si="265"/>
        <v>6.2858380685228185E-2</v>
      </c>
      <c r="CJ610" s="232" t="str">
        <f>IFERROR(VLOOKUP(CI610,'Rangos amb etnico'!$A$2:$C$6,3,9),"N.D.")</f>
        <v>0,1% - 30%</v>
      </c>
      <c r="CK610" s="311">
        <f t="shared" si="266"/>
        <v>2.3792960326466628E-4</v>
      </c>
      <c r="CL610" s="10">
        <v>0</v>
      </c>
      <c r="CM610" s="255">
        <f t="shared" si="267"/>
        <v>0</v>
      </c>
      <c r="CN610" s="232">
        <f>IFERROR(VLOOKUP(CM610,'Rangos amb etnico'!$A$2:$C$6,3,9),"N.D.")</f>
        <v>0</v>
      </c>
      <c r="CO610" s="311">
        <f t="shared" si="268"/>
        <v>0</v>
      </c>
      <c r="CP610">
        <v>0.98504206950728923</v>
      </c>
      <c r="CQ610" t="s">
        <v>2864</v>
      </c>
      <c r="CR610">
        <f t="shared" si="259"/>
        <v>2</v>
      </c>
      <c r="CS610" t="str">
        <f t="shared" si="269"/>
        <v>No es Candidato</v>
      </c>
      <c r="CT610">
        <v>0</v>
      </c>
      <c r="CU610">
        <v>0</v>
      </c>
      <c r="CV610" s="25">
        <v>38.743152618408203</v>
      </c>
      <c r="CW610" s="25">
        <v>22.000644683837891</v>
      </c>
      <c r="CX610" s="25">
        <v>41.106021881103523</v>
      </c>
      <c r="CY610" s="25">
        <v>54.18634033203125</v>
      </c>
      <c r="CZ610" s="25">
        <v>22.832662582397461</v>
      </c>
      <c r="DA610" s="25">
        <v>52.991977691650391</v>
      </c>
      <c r="DB610" s="25">
        <v>39.341262817382813</v>
      </c>
      <c r="DC610">
        <v>16922</v>
      </c>
      <c r="DD610" s="253" t="s">
        <v>380</v>
      </c>
    </row>
    <row r="611" spans="1:108" hidden="1">
      <c r="A611" s="13">
        <v>23855</v>
      </c>
      <c r="B611" s="13" t="s">
        <v>1663</v>
      </c>
      <c r="C611" s="13" t="s">
        <v>567</v>
      </c>
      <c r="D611" s="13" t="s">
        <v>568</v>
      </c>
      <c r="E611" s="13" t="s">
        <v>1664</v>
      </c>
      <c r="F611" s="14">
        <v>61.563966666666701</v>
      </c>
      <c r="G611" s="13">
        <v>51.44</v>
      </c>
      <c r="H611" s="13">
        <v>54.55</v>
      </c>
      <c r="I611" s="13">
        <v>65.58</v>
      </c>
      <c r="J611" s="14">
        <v>55.528880598563255</v>
      </c>
      <c r="K611" s="14">
        <v>67.812909842977419</v>
      </c>
      <c r="L611" s="14">
        <v>60.215162204377165</v>
      </c>
      <c r="M611" s="14">
        <v>64.746700000000004</v>
      </c>
      <c r="N611" s="14">
        <f t="shared" si="243"/>
        <v>58.283491666666677</v>
      </c>
      <c r="O611" s="14">
        <f t="shared" si="244"/>
        <v>62.075913161479455</v>
      </c>
      <c r="P611" s="14">
        <f t="shared" si="260"/>
        <v>60.179702414073063</v>
      </c>
      <c r="Q611" s="14">
        <v>56.064984759372891</v>
      </c>
      <c r="R611" s="17">
        <f t="shared" si="245"/>
        <v>43.935015240627109</v>
      </c>
      <c r="S611" s="14">
        <f t="shared" si="261"/>
        <v>0.495415137165644</v>
      </c>
      <c r="T611" s="13">
        <v>0</v>
      </c>
      <c r="U611" s="13">
        <f t="shared" si="262"/>
        <v>29.813935526055644</v>
      </c>
      <c r="V611" s="13">
        <f>IF($T611=1,$AU611,(VLOOKUP(U611,'Cortes naturales'!$A$35:$C$39,3,9)))</f>
        <v>3</v>
      </c>
      <c r="W611" s="13">
        <v>3</v>
      </c>
      <c r="X611" s="14" t="b">
        <f t="shared" si="246"/>
        <v>1</v>
      </c>
      <c r="Y611" s="17">
        <f>IF($T611=1,$AU611,VLOOKUP(U611,'Cortes naturales'!$A$45:$C$49,3,9))</f>
        <v>3</v>
      </c>
      <c r="Z611" s="14">
        <v>57.91579751474876</v>
      </c>
      <c r="AA611" s="14">
        <v>0.50184517029575559</v>
      </c>
      <c r="AB611" s="14">
        <v>29.064763266603592</v>
      </c>
      <c r="AC611" s="13">
        <v>3</v>
      </c>
      <c r="AD611" s="13">
        <f t="shared" si="247"/>
        <v>0</v>
      </c>
      <c r="AE611" s="14">
        <f t="shared" si="248"/>
        <v>2.2639048993243023</v>
      </c>
      <c r="AF611" s="14">
        <f t="shared" si="249"/>
        <v>-6.4300331301115898E-3</v>
      </c>
      <c r="AG611" s="13">
        <f t="shared" si="250"/>
        <v>0.74917225945205246</v>
      </c>
      <c r="AH611" s="13">
        <f>IF($T611=1,$AU611,VLOOKUP(U611,'Cortes naturales'!$A$25:$C$29,3,9))</f>
        <v>3</v>
      </c>
      <c r="AI611" s="13" t="b">
        <f t="shared" si="251"/>
        <v>1</v>
      </c>
      <c r="AJ611" s="13">
        <f t="shared" si="252"/>
        <v>0</v>
      </c>
      <c r="AK611" s="28">
        <v>0.81759069605862034</v>
      </c>
      <c r="AL611" s="28">
        <v>47.351417202873556</v>
      </c>
      <c r="AM611" s="28">
        <v>0.42169030426753568</v>
      </c>
      <c r="AN611" s="13">
        <v>3</v>
      </c>
      <c r="AO611" s="33">
        <f t="shared" si="253"/>
        <v>0</v>
      </c>
      <c r="AP611" s="13">
        <f t="shared" si="263"/>
        <v>42.169030426753565</v>
      </c>
      <c r="AQ611" s="13">
        <f>IFERROR(VLOOKUP(U611,'Cortes naturales'!$E$15:$G$19,3,9),U611)</f>
        <v>4</v>
      </c>
      <c r="AR611" s="28">
        <f t="shared" si="254"/>
        <v>-0.32217555889297633</v>
      </c>
      <c r="AS611" s="13" t="b">
        <f t="shared" si="255"/>
        <v>0</v>
      </c>
      <c r="AT611" s="13">
        <f t="shared" si="264"/>
        <v>0</v>
      </c>
      <c r="AU611" s="13">
        <v>3</v>
      </c>
      <c r="AV611">
        <f t="shared" si="256"/>
        <v>0</v>
      </c>
      <c r="AW611" s="13">
        <v>0</v>
      </c>
      <c r="AX611" s="13">
        <v>0</v>
      </c>
      <c r="AY611" s="13">
        <v>0</v>
      </c>
      <c r="AZ611" s="13">
        <v>1</v>
      </c>
      <c r="BA611">
        <v>1</v>
      </c>
      <c r="BB611" t="s">
        <v>2840</v>
      </c>
      <c r="BC611">
        <v>6</v>
      </c>
      <c r="BD611" t="s">
        <v>2919</v>
      </c>
      <c r="BE611">
        <v>1</v>
      </c>
      <c r="BF611" s="232" t="s">
        <v>2846</v>
      </c>
      <c r="BG611" s="232" t="s">
        <v>2845</v>
      </c>
      <c r="BH611" s="253">
        <v>53.1</v>
      </c>
      <c r="BI611" s="253">
        <v>55.931481724092755</v>
      </c>
      <c r="BJ611" s="25" t="s">
        <v>2849</v>
      </c>
      <c r="BK611" t="s">
        <v>2849</v>
      </c>
      <c r="BL611">
        <v>2.4785776061170113</v>
      </c>
      <c r="BM611" t="s">
        <v>383</v>
      </c>
      <c r="BN611" s="322">
        <v>66935.783186999994</v>
      </c>
      <c r="BO611" s="322">
        <v>5757.3963759999997</v>
      </c>
      <c r="BP611" s="10">
        <v>36721</v>
      </c>
      <c r="BQ611" s="254">
        <f t="shared" si="257"/>
        <v>1.8228202714250699</v>
      </c>
      <c r="BR611" s="254">
        <f t="shared" si="258"/>
        <v>0.1567875704909997</v>
      </c>
      <c r="BS611" s="25">
        <v>56.354195149644703</v>
      </c>
      <c r="BT611" s="25">
        <v>96.147952352423218</v>
      </c>
      <c r="BU611" s="25">
        <v>26.553588915414501</v>
      </c>
      <c r="BV611" s="25">
        <v>98.813881046249904</v>
      </c>
      <c r="BW611" s="25">
        <v>52.302705051190308</v>
      </c>
      <c r="BX611" s="25">
        <v>69.467404365933078</v>
      </c>
      <c r="BY611" s="25">
        <v>52.581495646918519</v>
      </c>
      <c r="BZ611">
        <v>56</v>
      </c>
      <c r="CA611">
        <v>0</v>
      </c>
      <c r="CB611">
        <v>7</v>
      </c>
      <c r="CC611">
        <v>91922.065724999993</v>
      </c>
      <c r="CD611" s="10">
        <v>14415.906333000001</v>
      </c>
      <c r="CE611" s="255">
        <v>0.15682748444891959</v>
      </c>
      <c r="CF611" t="str">
        <f>IFERROR(VLOOKUP(CE611,'Rangos amb etnico'!$A$2:$C$6,3,9),"N.D.")</f>
        <v>0,1% - 30%</v>
      </c>
      <c r="CG611" s="256">
        <v>4.1941305836779193E-4</v>
      </c>
      <c r="CH611" s="232">
        <v>4.6744450000000004</v>
      </c>
      <c r="CI611" s="311">
        <f t="shared" si="265"/>
        <v>5.0852262328224573E-5</v>
      </c>
      <c r="CJ611" s="232">
        <f>IFERROR(VLOOKUP(CI611,'Rangos amb etnico'!$A$2:$C$6,3,9),"N.D.")</f>
        <v>0</v>
      </c>
      <c r="CK611" s="311">
        <f t="shared" si="266"/>
        <v>1.8560607102856105E-7</v>
      </c>
      <c r="CL611" s="10">
        <v>0</v>
      </c>
      <c r="CM611" s="255">
        <f t="shared" si="267"/>
        <v>0</v>
      </c>
      <c r="CN611" s="232">
        <f>IFERROR(VLOOKUP(CM611,'Rangos amb etnico'!$A$2:$C$6,3,9),"N.D.")</f>
        <v>0</v>
      </c>
      <c r="CO611" s="311">
        <f t="shared" si="268"/>
        <v>0</v>
      </c>
      <c r="CP611">
        <v>0.95543636232202389</v>
      </c>
      <c r="CQ611" t="s">
        <v>2864</v>
      </c>
      <c r="CR611">
        <f t="shared" si="259"/>
        <v>3</v>
      </c>
      <c r="CS611" t="str">
        <f t="shared" si="269"/>
        <v>Candidato</v>
      </c>
      <c r="CT611">
        <v>0</v>
      </c>
      <c r="CU611">
        <v>0</v>
      </c>
      <c r="CV611" s="25">
        <v>48.579494476318359</v>
      </c>
      <c r="CW611" s="25">
        <v>24.874448776245121</v>
      </c>
      <c r="CX611" s="25">
        <v>49.161067962646477</v>
      </c>
      <c r="CY611" s="25">
        <v>41.990634918212891</v>
      </c>
      <c r="CZ611" s="25">
        <v>33.422214508056641</v>
      </c>
      <c r="DA611" s="25">
        <v>98.526214599609375</v>
      </c>
      <c r="DB611" s="25">
        <v>43.502384185791023</v>
      </c>
      <c r="DC611">
        <v>3189</v>
      </c>
      <c r="DD611" s="253" t="s">
        <v>380</v>
      </c>
    </row>
    <row r="612" spans="1:108">
      <c r="A612" s="13">
        <v>5819</v>
      </c>
      <c r="B612" s="13" t="s">
        <v>1665</v>
      </c>
      <c r="C612" s="13" t="s">
        <v>435</v>
      </c>
      <c r="D612" s="13" t="s">
        <v>436</v>
      </c>
      <c r="E612" s="13" t="s">
        <v>1666</v>
      </c>
      <c r="F612" s="14">
        <v>59.343866666666699</v>
      </c>
      <c r="G612" s="13">
        <v>72.55</v>
      </c>
      <c r="H612" s="13">
        <v>76.61</v>
      </c>
      <c r="I612" s="13">
        <v>50.7</v>
      </c>
      <c r="J612" s="14">
        <v>57.922204404847264</v>
      </c>
      <c r="K612" s="14">
        <v>48.81335522431894</v>
      </c>
      <c r="L612" s="14">
        <v>49.010860622089055</v>
      </c>
      <c r="M612" s="14">
        <v>47.9133</v>
      </c>
      <c r="N612" s="14">
        <f t="shared" si="243"/>
        <v>64.800966666666667</v>
      </c>
      <c r="O612" s="14">
        <f t="shared" si="244"/>
        <v>50.914930062813809</v>
      </c>
      <c r="P612" s="14">
        <f t="shared" si="260"/>
        <v>57.857948364740238</v>
      </c>
      <c r="Q612" s="14">
        <v>57.165857563140719</v>
      </c>
      <c r="R612" s="17">
        <f t="shared" si="245"/>
        <v>42.834142436859281</v>
      </c>
      <c r="S612" s="14">
        <f t="shared" si="261"/>
        <v>0.48550728193173354</v>
      </c>
      <c r="T612" s="13">
        <v>0</v>
      </c>
      <c r="U612" s="13">
        <f t="shared" si="262"/>
        <v>28.090455248711621</v>
      </c>
      <c r="V612" s="13">
        <f>IF($T612=1,$AU612,(VLOOKUP(U612,'Cortes naturales'!$A$35:$C$39,3,9)))</f>
        <v>4</v>
      </c>
      <c r="W612" s="13">
        <v>4</v>
      </c>
      <c r="X612" s="14" t="b">
        <f t="shared" si="246"/>
        <v>1</v>
      </c>
      <c r="Y612" s="17">
        <f>IF($T612=1,$AU612,VLOOKUP(U612,'Cortes naturales'!$A$45:$C$49,3,9))</f>
        <v>4</v>
      </c>
      <c r="Z612" s="14">
        <v>57.950708908079271</v>
      </c>
      <c r="AA612" s="14">
        <v>0.50406656314839349</v>
      </c>
      <c r="AB612" s="14">
        <v>29.211014671308508</v>
      </c>
      <c r="AC612" s="13">
        <v>3</v>
      </c>
      <c r="AD612" s="13">
        <f t="shared" si="247"/>
        <v>-1</v>
      </c>
      <c r="AE612" s="14">
        <f t="shared" si="248"/>
        <v>-9.2760543339032608E-2</v>
      </c>
      <c r="AF612" s="14">
        <f t="shared" si="249"/>
        <v>-1.8559281216659951E-2</v>
      </c>
      <c r="AG612" s="13">
        <f t="shared" si="250"/>
        <v>-1.1205594225968873</v>
      </c>
      <c r="AH612" s="13">
        <f>IF($T612=1,$AU612,VLOOKUP(U612,'Cortes naturales'!$A$25:$C$29,3,9))</f>
        <v>3</v>
      </c>
      <c r="AI612" s="13" t="b">
        <f t="shared" si="251"/>
        <v>0</v>
      </c>
      <c r="AJ612" s="13" t="str">
        <f t="shared" si="252"/>
        <v>Cambio en corte</v>
      </c>
      <c r="AK612" s="28">
        <v>0.81759069605862034</v>
      </c>
      <c r="AL612" s="28">
        <v>47.379960433247021</v>
      </c>
      <c r="AM612" s="28">
        <v>0.42204734999210691</v>
      </c>
      <c r="AN612" s="13">
        <v>3</v>
      </c>
      <c r="AO612" s="33">
        <f t="shared" si="253"/>
        <v>-1</v>
      </c>
      <c r="AP612" s="13">
        <f t="shared" si="263"/>
        <v>42.204734999210693</v>
      </c>
      <c r="AQ612" s="13">
        <f>IFERROR(VLOOKUP(U612,'Cortes naturales'!$E$15:$G$19,3,9),U612)</f>
        <v>4</v>
      </c>
      <c r="AR612" s="28">
        <f t="shared" si="254"/>
        <v>-0.3320834141268868</v>
      </c>
      <c r="AS612" s="13" t="b">
        <f t="shared" si="255"/>
        <v>1</v>
      </c>
      <c r="AT612" s="13" t="str">
        <f t="shared" si="264"/>
        <v>Efecto ponderador</v>
      </c>
      <c r="AU612" s="13">
        <v>3</v>
      </c>
      <c r="AV612">
        <f t="shared" si="256"/>
        <v>-1</v>
      </c>
      <c r="AW612" s="13">
        <v>0</v>
      </c>
      <c r="AX612" s="13">
        <v>0</v>
      </c>
      <c r="AY612" s="13">
        <v>0</v>
      </c>
      <c r="AZ612" s="13">
        <v>0</v>
      </c>
      <c r="BA612">
        <v>1</v>
      </c>
      <c r="BB612" t="s">
        <v>2840</v>
      </c>
      <c r="BC612">
        <v>6</v>
      </c>
      <c r="BD612" t="s">
        <v>2919</v>
      </c>
      <c r="BE612">
        <v>1</v>
      </c>
      <c r="BF612" s="232" t="s">
        <v>2846</v>
      </c>
      <c r="BG612" s="232" t="s">
        <v>2846</v>
      </c>
      <c r="BH612" s="253">
        <v>53.5</v>
      </c>
      <c r="BI612" s="253">
        <v>23.913043478260871</v>
      </c>
      <c r="BJ612" s="25">
        <v>1.4749999999999999</v>
      </c>
      <c r="BK612" t="s">
        <v>381</v>
      </c>
      <c r="BL612">
        <v>24.000608944047215</v>
      </c>
      <c r="BM612" t="s">
        <v>384</v>
      </c>
      <c r="BN612" s="322">
        <v>21881.010837000002</v>
      </c>
      <c r="BO612" s="322">
        <v>2864.121975</v>
      </c>
      <c r="BP612" s="10">
        <v>4867</v>
      </c>
      <c r="BQ612" s="254">
        <f t="shared" si="257"/>
        <v>4.495790186357099</v>
      </c>
      <c r="BR612" s="254">
        <f t="shared" si="258"/>
        <v>0.58847790733511407</v>
      </c>
      <c r="BS612" s="25">
        <v>55.384110934884127</v>
      </c>
      <c r="BT612" s="25">
        <v>90.070085412642968</v>
      </c>
      <c r="BU612" s="25">
        <v>49.776666666666657</v>
      </c>
      <c r="BV612" s="25">
        <v>63.964384460966812</v>
      </c>
      <c r="BW612" s="25">
        <v>60.070347722769739</v>
      </c>
      <c r="BX612" s="25">
        <v>64.798811868790139</v>
      </c>
      <c r="BY612" s="25">
        <v>58.391937684563757</v>
      </c>
      <c r="BZ612">
        <v>99</v>
      </c>
      <c r="CA612">
        <v>0</v>
      </c>
      <c r="CB612">
        <v>7</v>
      </c>
      <c r="CC612">
        <v>13441.75424</v>
      </c>
      <c r="CD612" s="10">
        <v>1964.385642</v>
      </c>
      <c r="CE612" s="255">
        <v>0.1461405711580693</v>
      </c>
      <c r="CF612" t="str">
        <f>IFERROR(VLOOKUP(CE612,'Rangos amb etnico'!$A$2:$C$6,3,9),"N.D.")</f>
        <v>0,1% - 30%</v>
      </c>
      <c r="CG612" s="256">
        <v>5.7151383402027434E-5</v>
      </c>
      <c r="CH612" s="232">
        <v>0</v>
      </c>
      <c r="CI612" s="311">
        <f t="shared" si="265"/>
        <v>0</v>
      </c>
      <c r="CJ612" s="232">
        <f>IFERROR(VLOOKUP(CI612,'Rangos amb etnico'!$A$2:$C$6,3,9),"N.D.")</f>
        <v>0</v>
      </c>
      <c r="CK612" s="311">
        <f t="shared" si="266"/>
        <v>0</v>
      </c>
      <c r="CL612" s="10">
        <v>0</v>
      </c>
      <c r="CM612" s="255">
        <f t="shared" si="267"/>
        <v>0</v>
      </c>
      <c r="CN612" s="232">
        <f>IFERROR(VLOOKUP(CM612,'Rangos amb etnico'!$A$2:$C$6,3,9),"N.D.")</f>
        <v>0</v>
      </c>
      <c r="CO612" s="311">
        <f t="shared" si="268"/>
        <v>0</v>
      </c>
      <c r="CP612">
        <v>0.91078787150723117</v>
      </c>
      <c r="CQ612" t="s">
        <v>2864</v>
      </c>
      <c r="CR612">
        <f t="shared" si="259"/>
        <v>1</v>
      </c>
      <c r="CS612" t="str">
        <f t="shared" si="269"/>
        <v>No es Candidato</v>
      </c>
      <c r="CT612">
        <v>0</v>
      </c>
      <c r="CU612">
        <v>0</v>
      </c>
      <c r="CV612" s="25">
        <v>39.395515441894531</v>
      </c>
      <c r="CW612" s="25">
        <v>11.49117374420166</v>
      </c>
      <c r="CX612" s="25">
        <v>46.498226165771477</v>
      </c>
      <c r="CY612" s="25">
        <v>64.125236511230469</v>
      </c>
      <c r="CZ612" s="25">
        <v>38.994056701660163</v>
      </c>
      <c r="DA612" s="25">
        <v>29.459293365478519</v>
      </c>
      <c r="DB612" s="25">
        <v>45.805110931396477</v>
      </c>
      <c r="DC612">
        <v>59</v>
      </c>
      <c r="DD612" s="253" t="s">
        <v>380</v>
      </c>
    </row>
    <row r="613" spans="1:108" hidden="1">
      <c r="A613" s="13">
        <v>86001</v>
      </c>
      <c r="B613" s="13" t="s">
        <v>1667</v>
      </c>
      <c r="C613" s="13" t="s">
        <v>943</v>
      </c>
      <c r="D613" s="13" t="s">
        <v>944</v>
      </c>
      <c r="E613" s="13" t="s">
        <v>1668</v>
      </c>
      <c r="F613" s="14">
        <v>72.089299999999994</v>
      </c>
      <c r="G613" s="13">
        <v>64.53</v>
      </c>
      <c r="H613" s="13">
        <v>59.21</v>
      </c>
      <c r="I613" s="13">
        <v>72.849999999999994</v>
      </c>
      <c r="J613" s="14">
        <v>48.923789380408181</v>
      </c>
      <c r="K613" s="14">
        <v>52.67373208399993</v>
      </c>
      <c r="L613" s="14">
        <v>55.827896604012423</v>
      </c>
      <c r="M613" s="14">
        <v>60.917099999999998</v>
      </c>
      <c r="N613" s="14">
        <f t="shared" si="243"/>
        <v>67.169825000000003</v>
      </c>
      <c r="O613" s="14">
        <f t="shared" si="244"/>
        <v>54.585629517105133</v>
      </c>
      <c r="P613" s="14">
        <f t="shared" si="260"/>
        <v>60.877727258552568</v>
      </c>
      <c r="Q613" s="14">
        <v>56.034373984207406</v>
      </c>
      <c r="R613" s="17">
        <f t="shared" si="245"/>
        <v>43.965626015792594</v>
      </c>
      <c r="S613" s="14">
        <f t="shared" si="261"/>
        <v>0.49569063414213332</v>
      </c>
      <c r="T613" s="13">
        <v>0</v>
      </c>
      <c r="U613" s="13">
        <f t="shared" si="262"/>
        <v>30.176519229923759</v>
      </c>
      <c r="V613" s="13">
        <f>IF($T613=1,$AU613,(VLOOKUP(U613,'Cortes naturales'!$A$35:$C$39,3,9)))</f>
        <v>3</v>
      </c>
      <c r="W613" s="13">
        <v>3</v>
      </c>
      <c r="X613" s="14" t="b">
        <f t="shared" si="246"/>
        <v>1</v>
      </c>
      <c r="Y613" s="17">
        <f>IF($T613=1,$AU613,VLOOKUP(U613,'Cortes naturales'!$A$45:$C$49,3,9))</f>
        <v>3</v>
      </c>
      <c r="Z613" s="14">
        <v>56.936115526438314</v>
      </c>
      <c r="AA613" s="14">
        <v>0.50152387874427795</v>
      </c>
      <c r="AB613" s="14">
        <v>28.554821499451652</v>
      </c>
      <c r="AC613" s="13">
        <v>3</v>
      </c>
      <c r="AD613" s="13">
        <f t="shared" si="247"/>
        <v>0</v>
      </c>
      <c r="AE613" s="14">
        <f t="shared" si="248"/>
        <v>3.9416117321142536</v>
      </c>
      <c r="AF613" s="14">
        <f t="shared" si="249"/>
        <v>-5.8332446021446271E-3</v>
      </c>
      <c r="AG613" s="13">
        <f t="shared" si="250"/>
        <v>1.621697730472107</v>
      </c>
      <c r="AH613" s="13">
        <f>IF($T613=1,$AU613,VLOOKUP(U613,'Cortes naturales'!$A$25:$C$29,3,9))</f>
        <v>3</v>
      </c>
      <c r="AI613" s="13" t="b">
        <f t="shared" si="251"/>
        <v>1</v>
      </c>
      <c r="AJ613" s="13">
        <f t="shared" si="252"/>
        <v>0</v>
      </c>
      <c r="AK613" s="28">
        <v>0.81759069605862034</v>
      </c>
      <c r="AL613" s="28">
        <v>46.550438324134724</v>
      </c>
      <c r="AM613" s="28">
        <v>0.41167090280583507</v>
      </c>
      <c r="AN613" s="13">
        <v>3</v>
      </c>
      <c r="AO613" s="33">
        <f t="shared" si="253"/>
        <v>0</v>
      </c>
      <c r="AP613" s="13">
        <f t="shared" si="263"/>
        <v>41.167090280583508</v>
      </c>
      <c r="AQ613" s="13">
        <f>IFERROR(VLOOKUP(U613,'Cortes naturales'!$E$15:$G$19,3,9),U613)</f>
        <v>4</v>
      </c>
      <c r="AR613" s="28">
        <f t="shared" si="254"/>
        <v>-0.32190006191648701</v>
      </c>
      <c r="AS613" s="13" t="b">
        <f t="shared" si="255"/>
        <v>0</v>
      </c>
      <c r="AT613" s="13">
        <f t="shared" si="264"/>
        <v>0</v>
      </c>
      <c r="AU613" s="13">
        <v>2</v>
      </c>
      <c r="AV613">
        <f t="shared" si="256"/>
        <v>-1</v>
      </c>
      <c r="AW613" s="13">
        <v>1</v>
      </c>
      <c r="AX613" s="13">
        <v>0</v>
      </c>
      <c r="AY613" s="13">
        <v>0</v>
      </c>
      <c r="AZ613" s="13">
        <v>1</v>
      </c>
      <c r="BA613">
        <v>1</v>
      </c>
      <c r="BB613" t="s">
        <v>2839</v>
      </c>
      <c r="BC613">
        <v>6</v>
      </c>
      <c r="BD613" t="s">
        <v>2920</v>
      </c>
      <c r="BE613">
        <v>0</v>
      </c>
      <c r="BF613" s="232" t="s">
        <v>2846</v>
      </c>
      <c r="BG613" s="232" t="s">
        <v>2846</v>
      </c>
      <c r="BH613" s="253">
        <v>24.8</v>
      </c>
      <c r="BI613" s="253">
        <v>10.665384534983382</v>
      </c>
      <c r="BJ613" s="25">
        <v>0.38240359286608794</v>
      </c>
      <c r="BK613" t="s">
        <v>381</v>
      </c>
      <c r="BL613">
        <v>2.6166523361322516</v>
      </c>
      <c r="BM613" t="s">
        <v>383</v>
      </c>
      <c r="BN613" s="322">
        <v>100614.723942</v>
      </c>
      <c r="BO613" s="322">
        <v>18551.070519000001</v>
      </c>
      <c r="BP613" s="10">
        <v>65766</v>
      </c>
      <c r="BQ613" s="254">
        <f t="shared" si="257"/>
        <v>1.5298896685521393</v>
      </c>
      <c r="BR613" s="254">
        <f t="shared" si="258"/>
        <v>0.2820769169327616</v>
      </c>
      <c r="BS613" s="25">
        <v>65.275716531752082</v>
      </c>
      <c r="BT613" s="25">
        <v>91.611025020944396</v>
      </c>
      <c r="BU613" s="25">
        <v>52.12833333333333</v>
      </c>
      <c r="BV613" s="25">
        <v>85.541324992094601</v>
      </c>
      <c r="BW613" s="25">
        <v>45.430122408476549</v>
      </c>
      <c r="BX613" s="25">
        <v>73.639099969531102</v>
      </c>
      <c r="BY613" s="25">
        <v>46.754028656507863</v>
      </c>
      <c r="BZ613">
        <v>81</v>
      </c>
      <c r="CA613">
        <v>1</v>
      </c>
      <c r="CB613">
        <v>5</v>
      </c>
      <c r="CC613">
        <v>130526.518947</v>
      </c>
      <c r="CD613" s="10">
        <v>43964.255713999999</v>
      </c>
      <c r="CE613" s="255">
        <v>0.33682240259430796</v>
      </c>
      <c r="CF613" t="str">
        <f>IFERROR(VLOOKUP(CE613,'Rangos amb etnico'!$A$2:$C$6,3,9),"N.D.")</f>
        <v>31% - 50%</v>
      </c>
      <c r="CG613" s="256">
        <v>1.2790859292462643E-3</v>
      </c>
      <c r="CH613" s="232">
        <v>70240.883499000003</v>
      </c>
      <c r="CI613" s="311">
        <f t="shared" si="265"/>
        <v>0.5381349634208904</v>
      </c>
      <c r="CJ613" s="232" t="str">
        <f>IFERROR(VLOOKUP(CI613,'Rangos amb etnico'!$A$2:$C$6,3,9),"N.D.")</f>
        <v>51% - 70%</v>
      </c>
      <c r="CK613" s="311">
        <f t="shared" si="266"/>
        <v>2.78902295605666E-3</v>
      </c>
      <c r="CL613" s="10">
        <v>0</v>
      </c>
      <c r="CM613" s="255">
        <f t="shared" si="267"/>
        <v>0</v>
      </c>
      <c r="CN613" s="232">
        <f>IFERROR(VLOOKUP(CM613,'Rangos amb etnico'!$A$2:$C$6,3,9),"N.D.")</f>
        <v>0</v>
      </c>
      <c r="CO613" s="311">
        <f t="shared" si="268"/>
        <v>0</v>
      </c>
      <c r="CP613">
        <v>0.93905340752638533</v>
      </c>
      <c r="CQ613" t="s">
        <v>2864</v>
      </c>
      <c r="CR613">
        <f t="shared" si="259"/>
        <v>3</v>
      </c>
      <c r="CS613" t="str">
        <f t="shared" si="269"/>
        <v>Candidato</v>
      </c>
      <c r="CT613">
        <v>0</v>
      </c>
      <c r="CU613">
        <v>0</v>
      </c>
      <c r="CV613" s="25">
        <v>43.869640350341797</v>
      </c>
      <c r="CW613" s="25">
        <v>38.908363342285163</v>
      </c>
      <c r="CX613" s="25">
        <v>30.949604034423832</v>
      </c>
      <c r="CY613" s="25">
        <v>75.374351501464844</v>
      </c>
      <c r="CZ613" s="25">
        <v>31.985246658325199</v>
      </c>
      <c r="DA613" s="25">
        <v>20.055673599243161</v>
      </c>
      <c r="DB613" s="25">
        <v>65.944587707519531</v>
      </c>
      <c r="DC613">
        <v>11229</v>
      </c>
      <c r="DD613" s="253">
        <v>3.8588506955039508</v>
      </c>
    </row>
    <row r="614" spans="1:108" hidden="1">
      <c r="A614" s="13">
        <v>73217</v>
      </c>
      <c r="B614" s="13" t="s">
        <v>1669</v>
      </c>
      <c r="C614" s="13" t="s">
        <v>595</v>
      </c>
      <c r="D614" s="13" t="s">
        <v>596</v>
      </c>
      <c r="E614" s="13" t="s">
        <v>1670</v>
      </c>
      <c r="F614" s="14">
        <v>49.454466666666697</v>
      </c>
      <c r="G614" s="13">
        <v>46.17</v>
      </c>
      <c r="H614" s="13">
        <v>40.85</v>
      </c>
      <c r="I614" s="13">
        <v>41.31</v>
      </c>
      <c r="J614" s="14">
        <v>46.689820271729687</v>
      </c>
      <c r="K614" s="14">
        <v>46.809387771979942</v>
      </c>
      <c r="L614" s="14">
        <v>48.12266412982278</v>
      </c>
      <c r="M614" s="14">
        <v>51.049300000000002</v>
      </c>
      <c r="N614" s="14">
        <f t="shared" si="243"/>
        <v>44.446116666666676</v>
      </c>
      <c r="O614" s="14">
        <f t="shared" si="244"/>
        <v>48.167793043383099</v>
      </c>
      <c r="P614" s="14">
        <f t="shared" si="260"/>
        <v>46.306954855024884</v>
      </c>
      <c r="Q614" s="14">
        <v>56.16408967644626</v>
      </c>
      <c r="R614" s="17">
        <f t="shared" si="245"/>
        <v>43.83591032355374</v>
      </c>
      <c r="S614" s="14">
        <f t="shared" si="261"/>
        <v>0.49452319291198366</v>
      </c>
      <c r="T614" s="13">
        <v>0</v>
      </c>
      <c r="U614" s="13">
        <f t="shared" si="262"/>
        <v>22.899863168937991</v>
      </c>
      <c r="V614" s="13">
        <f>IF($T614=1,$AU614,(VLOOKUP(U614,'Cortes naturales'!$A$35:$C$39,3,9)))</f>
        <v>4</v>
      </c>
      <c r="W614" s="13">
        <v>4</v>
      </c>
      <c r="X614" s="14" t="b">
        <f t="shared" si="246"/>
        <v>1</v>
      </c>
      <c r="Y614" s="17">
        <f>IF($T614=1,$AU614,VLOOKUP(U614,'Cortes naturales'!$A$45:$C$49,3,9))</f>
        <v>4</v>
      </c>
      <c r="Z614" s="14">
        <v>45.674104857757527</v>
      </c>
      <c r="AA614" s="14">
        <v>0.50212560864624201</v>
      </c>
      <c r="AB614" s="14">
        <v>22.934137701073777</v>
      </c>
      <c r="AC614" s="13">
        <v>4</v>
      </c>
      <c r="AD614" s="13">
        <f t="shared" si="247"/>
        <v>0</v>
      </c>
      <c r="AE614" s="14">
        <f t="shared" si="248"/>
        <v>0.63284999726735691</v>
      </c>
      <c r="AF614" s="14">
        <f t="shared" si="249"/>
        <v>-7.6024157342583498E-3</v>
      </c>
      <c r="AG614" s="13">
        <f t="shared" si="250"/>
        <v>-3.4274532135786018E-2</v>
      </c>
      <c r="AH614" s="13">
        <f>IF($T614=1,$AU614,VLOOKUP(U614,'Cortes naturales'!$A$25:$C$29,3,9))</f>
        <v>4</v>
      </c>
      <c r="AI614" s="13" t="b">
        <f t="shared" si="251"/>
        <v>1</v>
      </c>
      <c r="AJ614" s="13">
        <f t="shared" si="252"/>
        <v>0</v>
      </c>
      <c r="AK614" s="28">
        <v>0.81759069605862034</v>
      </c>
      <c r="AL614" s="28">
        <v>37.342723182508387</v>
      </c>
      <c r="AM614" s="28">
        <v>0.29649209223071293</v>
      </c>
      <c r="AN614" s="13">
        <v>4</v>
      </c>
      <c r="AO614" s="33">
        <f t="shared" si="253"/>
        <v>0</v>
      </c>
      <c r="AP614" s="13">
        <f t="shared" si="263"/>
        <v>29.649209223071292</v>
      </c>
      <c r="AQ614" s="13">
        <f>IFERROR(VLOOKUP(U614,'Cortes naturales'!$E$15:$G$19,3,9),U614)</f>
        <v>4</v>
      </c>
      <c r="AR614" s="28">
        <f t="shared" si="254"/>
        <v>-0.32306750314663668</v>
      </c>
      <c r="AS614" s="13" t="b">
        <f t="shared" si="255"/>
        <v>1</v>
      </c>
      <c r="AT614" s="13">
        <f t="shared" si="264"/>
        <v>0</v>
      </c>
      <c r="AU614" s="13">
        <v>3</v>
      </c>
      <c r="AV614">
        <f t="shared" si="256"/>
        <v>-1</v>
      </c>
      <c r="AW614" s="13">
        <v>0</v>
      </c>
      <c r="AX614" s="13">
        <v>0</v>
      </c>
      <c r="AY614" s="13">
        <v>0</v>
      </c>
      <c r="AZ614" s="13">
        <v>0</v>
      </c>
      <c r="BA614">
        <v>0</v>
      </c>
      <c r="BB614" t="s">
        <v>2841</v>
      </c>
      <c r="BC614">
        <v>6</v>
      </c>
      <c r="BD614" t="s">
        <v>2919</v>
      </c>
      <c r="BE614">
        <v>0</v>
      </c>
      <c r="BF614" s="232" t="s">
        <v>2846</v>
      </c>
      <c r="BG614" s="232" t="s">
        <v>2846</v>
      </c>
      <c r="BH614" s="253">
        <v>62.1</v>
      </c>
      <c r="BI614" s="253">
        <v>37.570398442023262</v>
      </c>
      <c r="BJ614" s="25">
        <v>35.217596991876803</v>
      </c>
      <c r="BK614" t="s">
        <v>376</v>
      </c>
      <c r="BL614">
        <v>2.8951948560329521</v>
      </c>
      <c r="BM614" t="s">
        <v>383</v>
      </c>
      <c r="BN614" s="322">
        <v>58166.024829000002</v>
      </c>
      <c r="BO614" s="322">
        <v>3820.0524829999999</v>
      </c>
      <c r="BP614" s="10">
        <v>23625</v>
      </c>
      <c r="BQ614" s="254">
        <f t="shared" si="257"/>
        <v>2.4620539610158731</v>
      </c>
      <c r="BR614" s="254">
        <f t="shared" si="258"/>
        <v>0.1616953431957672</v>
      </c>
      <c r="BS614" s="25">
        <v>62.649711536618547</v>
      </c>
      <c r="BT614" s="25">
        <v>93.781348324515008</v>
      </c>
      <c r="BU614" s="25">
        <v>33.734730421094042</v>
      </c>
      <c r="BV614" s="25">
        <v>91.690389010677038</v>
      </c>
      <c r="BW614" s="25">
        <v>57.243026271282623</v>
      </c>
      <c r="BX614" s="25">
        <v>70.46404482322616</v>
      </c>
      <c r="BY614" s="25">
        <v>57.474380944760888</v>
      </c>
      <c r="BZ614">
        <v>15</v>
      </c>
      <c r="CA614">
        <v>0</v>
      </c>
      <c r="CB614">
        <v>7</v>
      </c>
      <c r="CC614">
        <v>66869.383885999996</v>
      </c>
      <c r="CD614" s="10">
        <v>8366.5436169999994</v>
      </c>
      <c r="CE614" s="255">
        <v>0.12511770156673521</v>
      </c>
      <c r="CF614" t="str">
        <f>IFERROR(VLOOKUP(CE614,'Rangos amb etnico'!$A$2:$C$6,3,9),"N.D.")</f>
        <v>0,1% - 30%</v>
      </c>
      <c r="CG614" s="256">
        <v>2.4341429288707474E-4</v>
      </c>
      <c r="CH614" s="232">
        <v>8767.6288380000005</v>
      </c>
      <c r="CI614" s="311">
        <f t="shared" si="265"/>
        <v>0.13111574129271469</v>
      </c>
      <c r="CJ614" s="232" t="str">
        <f>IFERROR(VLOOKUP(CI614,'Rangos amb etnico'!$A$2:$C$6,3,9),"N.D.")</f>
        <v>0,1% - 30%</v>
      </c>
      <c r="CK614" s="311">
        <f t="shared" si="266"/>
        <v>3.4813226829236155E-4</v>
      </c>
      <c r="CL614" s="10">
        <v>0</v>
      </c>
      <c r="CM614" s="255">
        <f t="shared" si="267"/>
        <v>0</v>
      </c>
      <c r="CN614" s="232">
        <f>IFERROR(VLOOKUP(CM614,'Rangos amb etnico'!$A$2:$C$6,3,9),"N.D.")</f>
        <v>0</v>
      </c>
      <c r="CO614" s="311">
        <f t="shared" si="268"/>
        <v>0</v>
      </c>
      <c r="CP614">
        <v>0.8751811723507924</v>
      </c>
      <c r="CQ614" t="s">
        <v>2864</v>
      </c>
      <c r="CR614">
        <f t="shared" si="259"/>
        <v>1</v>
      </c>
      <c r="CS614" t="str">
        <f t="shared" si="269"/>
        <v>No es Candidato</v>
      </c>
      <c r="CT614">
        <v>0</v>
      </c>
      <c r="CU614">
        <v>0</v>
      </c>
      <c r="CV614" s="25">
        <v>40.900703430175781</v>
      </c>
      <c r="CW614" s="25">
        <v>19.17536735534668</v>
      </c>
      <c r="CX614" s="25">
        <v>38.980693817138672</v>
      </c>
      <c r="CY614" s="25">
        <v>53.347908020019531</v>
      </c>
      <c r="CZ614" s="25">
        <v>29.690435409545898</v>
      </c>
      <c r="DA614" s="25">
        <v>54.58428955078125</v>
      </c>
      <c r="DB614" s="25">
        <v>49.625522613525391</v>
      </c>
      <c r="DC614">
        <v>11343</v>
      </c>
      <c r="DD614" s="253" t="s">
        <v>380</v>
      </c>
    </row>
    <row r="615" spans="1:108" hidden="1">
      <c r="A615" s="13">
        <v>52258</v>
      </c>
      <c r="B615" s="13" t="s">
        <v>1671</v>
      </c>
      <c r="C615" s="13" t="s">
        <v>672</v>
      </c>
      <c r="D615" s="13" t="s">
        <v>673</v>
      </c>
      <c r="E615" s="13" t="s">
        <v>1672</v>
      </c>
      <c r="F615" s="14">
        <v>47.016733333333299</v>
      </c>
      <c r="G615" s="13">
        <v>33.21</v>
      </c>
      <c r="H615" s="13">
        <v>47.09</v>
      </c>
      <c r="I615" s="13">
        <v>48.35</v>
      </c>
      <c r="J615" s="14">
        <v>62.001012342978328</v>
      </c>
      <c r="K615" s="14">
        <v>55.424318481883056</v>
      </c>
      <c r="L615" s="14">
        <v>64.215856586942522</v>
      </c>
      <c r="M615" s="14">
        <v>56.6584</v>
      </c>
      <c r="N615" s="14">
        <f t="shared" si="243"/>
        <v>43.916683333333324</v>
      </c>
      <c r="O615" s="14">
        <f t="shared" si="244"/>
        <v>59.574896852950978</v>
      </c>
      <c r="P615" s="14">
        <f t="shared" si="260"/>
        <v>51.745790093142148</v>
      </c>
      <c r="Q615" s="14">
        <v>56.490892774615489</v>
      </c>
      <c r="R615" s="17">
        <f t="shared" si="245"/>
        <v>43.509107225384511</v>
      </c>
      <c r="S615" s="14">
        <f t="shared" si="261"/>
        <v>0.49158196502846063</v>
      </c>
      <c r="T615" s="13">
        <v>0</v>
      </c>
      <c r="U615" s="13">
        <f t="shared" si="262"/>
        <v>25.437297175937069</v>
      </c>
      <c r="V615" s="13">
        <f>IF($T615=1,$AU615,(VLOOKUP(U615,'Cortes naturales'!$A$35:$C$39,3,9)))</f>
        <v>4</v>
      </c>
      <c r="W615" s="13">
        <v>4</v>
      </c>
      <c r="X615" s="14" t="b">
        <f t="shared" si="246"/>
        <v>1</v>
      </c>
      <c r="Y615" s="17">
        <f>IF($T615=1,$AU615,VLOOKUP(U615,'Cortes naturales'!$A$45:$C$49,3,9))</f>
        <v>4</v>
      </c>
      <c r="Z615" s="14">
        <v>52.423060822761499</v>
      </c>
      <c r="AA615" s="14">
        <v>0.5014783991893067</v>
      </c>
      <c r="AB615" s="14">
        <v>26.289032622002097</v>
      </c>
      <c r="AC615" s="13">
        <v>4</v>
      </c>
      <c r="AD615" s="13">
        <f t="shared" si="247"/>
        <v>0</v>
      </c>
      <c r="AE615" s="14">
        <f t="shared" si="248"/>
        <v>-0.67727072961935164</v>
      </c>
      <c r="AF615" s="14">
        <f t="shared" si="249"/>
        <v>-9.8964341608460682E-3</v>
      </c>
      <c r="AG615" s="13">
        <f t="shared" si="250"/>
        <v>-0.85173544606502816</v>
      </c>
      <c r="AH615" s="13">
        <f>IF($T615=1,$AU615,VLOOKUP(U615,'Cortes naturales'!$A$25:$C$29,3,9))</f>
        <v>4</v>
      </c>
      <c r="AI615" s="13" t="b">
        <f t="shared" si="251"/>
        <v>1</v>
      </c>
      <c r="AJ615" s="13">
        <f t="shared" si="252"/>
        <v>0</v>
      </c>
      <c r="AK615" s="28">
        <v>0.81759069605862034</v>
      </c>
      <c r="AL615" s="28">
        <v>42.860606787604965</v>
      </c>
      <c r="AM615" s="28">
        <v>0.36551499973290313</v>
      </c>
      <c r="AN615" s="13">
        <v>3</v>
      </c>
      <c r="AO615" s="33">
        <f t="shared" si="253"/>
        <v>-1</v>
      </c>
      <c r="AP615" s="13">
        <f t="shared" si="263"/>
        <v>36.551499973290312</v>
      </c>
      <c r="AQ615" s="13">
        <f>IFERROR(VLOOKUP(U615,'Cortes naturales'!$E$15:$G$19,3,9),U615)</f>
        <v>4</v>
      </c>
      <c r="AR615" s="28">
        <f t="shared" si="254"/>
        <v>-0.3260087310301597</v>
      </c>
      <c r="AS615" s="13" t="b">
        <f t="shared" si="255"/>
        <v>1</v>
      </c>
      <c r="AT615" s="13" t="str">
        <f t="shared" si="264"/>
        <v>Efecto ponderador</v>
      </c>
      <c r="AU615" s="13">
        <v>4</v>
      </c>
      <c r="AV615">
        <f t="shared" si="256"/>
        <v>0</v>
      </c>
      <c r="AW615" s="13">
        <v>0</v>
      </c>
      <c r="AX615" s="13">
        <v>0</v>
      </c>
      <c r="AY615" s="13">
        <v>0</v>
      </c>
      <c r="AZ615" s="13">
        <v>0</v>
      </c>
      <c r="BA615">
        <v>0</v>
      </c>
      <c r="BB615" t="s">
        <v>2841</v>
      </c>
      <c r="BC615">
        <v>6</v>
      </c>
      <c r="BD615" t="s">
        <v>2919</v>
      </c>
      <c r="BE615">
        <v>0</v>
      </c>
      <c r="BF615" s="232" t="s">
        <v>2846</v>
      </c>
      <c r="BG615" s="232" t="s">
        <v>2845</v>
      </c>
      <c r="BH615" s="253">
        <v>50.4</v>
      </c>
      <c r="BI615" s="253">
        <v>25.810351341140915</v>
      </c>
      <c r="BJ615" s="25">
        <v>49.070556675156574</v>
      </c>
      <c r="BK615" t="s">
        <v>376</v>
      </c>
      <c r="BL615">
        <v>3.9982858986115062</v>
      </c>
      <c r="BM615" t="s">
        <v>383</v>
      </c>
      <c r="BN615" s="322">
        <v>35729.721502</v>
      </c>
      <c r="BO615" s="322">
        <v>1171.9030990000001</v>
      </c>
      <c r="BP615" s="10">
        <v>14671</v>
      </c>
      <c r="BQ615" s="254">
        <f t="shared" si="257"/>
        <v>2.4353978257787472</v>
      </c>
      <c r="BR615" s="254">
        <f t="shared" si="258"/>
        <v>7.9878883443528059E-2</v>
      </c>
      <c r="BS615" s="25">
        <v>65.655262539867721</v>
      </c>
      <c r="BT615" s="25">
        <v>94.448475374548423</v>
      </c>
      <c r="BU615" s="25">
        <v>48.458333333333343</v>
      </c>
      <c r="BV615" s="25">
        <v>93.36830575422907</v>
      </c>
      <c r="BW615" s="25">
        <v>30.499176927182219</v>
      </c>
      <c r="BX615" s="25">
        <v>75.482594250494643</v>
      </c>
      <c r="BY615" s="25">
        <v>31.035260604244812</v>
      </c>
      <c r="BZ615">
        <v>69</v>
      </c>
      <c r="CA615">
        <v>0</v>
      </c>
      <c r="CB615">
        <v>7</v>
      </c>
      <c r="CC615">
        <v>30711.093982999999</v>
      </c>
      <c r="CD615" s="10">
        <v>16275.803779</v>
      </c>
      <c r="CE615" s="255">
        <v>0.52996496275936655</v>
      </c>
      <c r="CF615" t="str">
        <f>IFERROR(VLOOKUP(CE615,'Rangos amb etnico'!$A$2:$C$6,3,9),"N.D.")</f>
        <v>51% - 70%</v>
      </c>
      <c r="CG615" s="256">
        <v>4.735244862626602E-4</v>
      </c>
      <c r="CH615" s="232">
        <v>8997.6119699999999</v>
      </c>
      <c r="CI615" s="311">
        <f t="shared" si="265"/>
        <v>0.29297595113285746</v>
      </c>
      <c r="CJ615" s="232" t="str">
        <f>IFERROR(VLOOKUP(CI615,'Rangos amb etnico'!$A$2:$C$6,3,9),"N.D.")</f>
        <v>0,1% - 30%</v>
      </c>
      <c r="CK615" s="311">
        <f t="shared" si="266"/>
        <v>3.5726410437843443E-4</v>
      </c>
      <c r="CL615" s="10">
        <v>0</v>
      </c>
      <c r="CM615" s="255">
        <f t="shared" si="267"/>
        <v>0</v>
      </c>
      <c r="CN615" s="232">
        <f>IFERROR(VLOOKUP(CM615,'Rangos amb etnico'!$A$2:$C$6,3,9),"N.D.")</f>
        <v>0</v>
      </c>
      <c r="CO615" s="311">
        <f t="shared" si="268"/>
        <v>0</v>
      </c>
      <c r="CP615">
        <v>0.92132412259375962</v>
      </c>
      <c r="CQ615" t="s">
        <v>2864</v>
      </c>
      <c r="CR615">
        <f t="shared" si="259"/>
        <v>1</v>
      </c>
      <c r="CS615" t="str">
        <f t="shared" si="269"/>
        <v>No es Candidato</v>
      </c>
      <c r="CT615">
        <v>0</v>
      </c>
      <c r="CU615">
        <v>0</v>
      </c>
      <c r="CV615" s="25">
        <v>53.697086334228523</v>
      </c>
      <c r="CW615" s="25">
        <v>18.275209426879879</v>
      </c>
      <c r="CX615" s="25">
        <v>44.824851989746087</v>
      </c>
      <c r="CY615" s="25">
        <v>61.373805999755859</v>
      </c>
      <c r="CZ615" s="25">
        <v>43.693771362304688</v>
      </c>
      <c r="DA615" s="25">
        <v>96.220481872558594</v>
      </c>
      <c r="DB615" s="25">
        <v>57.794410705566413</v>
      </c>
      <c r="DC615">
        <v>2257</v>
      </c>
      <c r="DD615" s="253" t="s">
        <v>380</v>
      </c>
    </row>
    <row r="616" spans="1:108" hidden="1">
      <c r="A616" s="13">
        <v>63690</v>
      </c>
      <c r="B616" s="13" t="s">
        <v>1673</v>
      </c>
      <c r="C616" s="13" t="s">
        <v>473</v>
      </c>
      <c r="D616" s="13" t="s">
        <v>474</v>
      </c>
      <c r="E616" s="13" t="s">
        <v>1674</v>
      </c>
      <c r="F616" s="14">
        <v>76.819266666666707</v>
      </c>
      <c r="G616" s="13">
        <v>70.86</v>
      </c>
      <c r="H616" s="13">
        <v>66.05</v>
      </c>
      <c r="I616" s="13">
        <v>75.33</v>
      </c>
      <c r="J616" s="14">
        <v>54.012249421983299</v>
      </c>
      <c r="K616" s="14">
        <v>54.634426811492609</v>
      </c>
      <c r="L616" s="14">
        <v>59.43670344624654</v>
      </c>
      <c r="M616" s="14">
        <v>59.631799999999998</v>
      </c>
      <c r="N616" s="14">
        <f t="shared" si="243"/>
        <v>72.264816666666675</v>
      </c>
      <c r="O616" s="14">
        <f t="shared" si="244"/>
        <v>56.92879491993061</v>
      </c>
      <c r="P616" s="14">
        <f t="shared" si="260"/>
        <v>64.596805793298643</v>
      </c>
      <c r="Q616" s="14">
        <v>56.517753596850483</v>
      </c>
      <c r="R616" s="17">
        <f t="shared" si="245"/>
        <v>43.482246403149517</v>
      </c>
      <c r="S616" s="14">
        <f t="shared" si="261"/>
        <v>0.49134021762834568</v>
      </c>
      <c r="T616" s="13">
        <v>0</v>
      </c>
      <c r="U616" s="13">
        <f t="shared" si="262"/>
        <v>31.739008616575337</v>
      </c>
      <c r="V616" s="13">
        <f>IF($T616=1,$AU616,(VLOOKUP(U616,'Cortes naturales'!$A$35:$C$39,3,9)))</f>
        <v>3</v>
      </c>
      <c r="W616" s="13">
        <v>3</v>
      </c>
      <c r="X616" s="14" t="b">
        <f t="shared" si="246"/>
        <v>1</v>
      </c>
      <c r="Y616" s="17">
        <f>IF($T616=1,$AU616,VLOOKUP(U616,'Cortes naturales'!$A$45:$C$49,3,9))</f>
        <v>3</v>
      </c>
      <c r="Z616" s="14">
        <v>63.905935950165969</v>
      </c>
      <c r="AA616" s="14">
        <v>0.49901784734296206</v>
      </c>
      <c r="AB616" s="14">
        <v>31.890202590289032</v>
      </c>
      <c r="AC616" s="13">
        <v>3</v>
      </c>
      <c r="AD616" s="13">
        <f t="shared" si="247"/>
        <v>0</v>
      </c>
      <c r="AE616" s="14">
        <f t="shared" si="248"/>
        <v>0.69086984313267408</v>
      </c>
      <c r="AF616" s="14">
        <f t="shared" si="249"/>
        <v>-7.6776297146163852E-3</v>
      </c>
      <c r="AG616" s="13">
        <f t="shared" si="250"/>
        <v>-0.15119397371369558</v>
      </c>
      <c r="AH616" s="13">
        <f>IF($T616=1,$AU616,VLOOKUP(U616,'Cortes naturales'!$A$25:$C$29,3,9))</f>
        <v>3</v>
      </c>
      <c r="AI616" s="13" t="b">
        <f t="shared" si="251"/>
        <v>1</v>
      </c>
      <c r="AJ616" s="13">
        <f t="shared" si="252"/>
        <v>0</v>
      </c>
      <c r="AK616" s="28">
        <v>0.81759069605862034</v>
      </c>
      <c r="AL616" s="28">
        <v>52.2488986557738</v>
      </c>
      <c r="AM616" s="28">
        <v>0.48295263481126033</v>
      </c>
      <c r="AN616" s="13">
        <v>2</v>
      </c>
      <c r="AO616" s="33">
        <f t="shared" si="253"/>
        <v>-1</v>
      </c>
      <c r="AP616" s="13">
        <f t="shared" si="263"/>
        <v>48.295263481126035</v>
      </c>
      <c r="AQ616" s="13">
        <f>IFERROR(VLOOKUP(U616,'Cortes naturales'!$E$15:$G$19,3,9),U616)</f>
        <v>4</v>
      </c>
      <c r="AR616" s="28">
        <f t="shared" si="254"/>
        <v>-0.32625047843027466</v>
      </c>
      <c r="AS616" s="13" t="b">
        <f t="shared" si="255"/>
        <v>0</v>
      </c>
      <c r="AT616" s="13" t="str">
        <f t="shared" si="264"/>
        <v>Cambio en corte</v>
      </c>
      <c r="AU616" s="13">
        <v>2</v>
      </c>
      <c r="AV616">
        <f t="shared" si="256"/>
        <v>-1</v>
      </c>
      <c r="AW616" s="13">
        <v>0</v>
      </c>
      <c r="AX616" s="13">
        <v>0</v>
      </c>
      <c r="AY616" s="13">
        <v>0</v>
      </c>
      <c r="AZ616" s="13">
        <v>0</v>
      </c>
      <c r="BA616">
        <v>1</v>
      </c>
      <c r="BB616" t="s">
        <v>2840</v>
      </c>
      <c r="BC616">
        <v>6</v>
      </c>
      <c r="BD616" t="s">
        <v>2919</v>
      </c>
      <c r="BE616">
        <v>1</v>
      </c>
      <c r="BF616" s="232" t="s">
        <v>2846</v>
      </c>
      <c r="BG616" s="232" t="s">
        <v>2846</v>
      </c>
      <c r="BH616" s="253">
        <v>19.7</v>
      </c>
      <c r="BI616" s="253">
        <v>5.8344459279038716</v>
      </c>
      <c r="BJ616" s="25">
        <v>0.21210526315789474</v>
      </c>
      <c r="BK616" t="s">
        <v>381</v>
      </c>
      <c r="BL616">
        <v>0.87299966257904582</v>
      </c>
      <c r="BM616" t="s">
        <v>383</v>
      </c>
      <c r="BN616" s="322">
        <v>19489.109005999999</v>
      </c>
      <c r="BO616" s="322">
        <v>6358.0197939999998</v>
      </c>
      <c r="BP616" s="10">
        <v>10264</v>
      </c>
      <c r="BQ616" s="254">
        <f t="shared" si="257"/>
        <v>1.8987830286438034</v>
      </c>
      <c r="BR616" s="254">
        <f t="shared" si="258"/>
        <v>0.61944853799688226</v>
      </c>
      <c r="BS616" s="25">
        <v>84.085784313725483</v>
      </c>
      <c r="BT616" s="25">
        <v>74.020281579631074</v>
      </c>
      <c r="BU616" s="25">
        <v>45.223967341002229</v>
      </c>
      <c r="BV616" s="25">
        <v>79.643276644535391</v>
      </c>
      <c r="BW616" s="25">
        <v>69.531074850392429</v>
      </c>
      <c r="BX616" s="25">
        <v>70.743327469723553</v>
      </c>
      <c r="BY616" s="25">
        <v>70.726313849479894</v>
      </c>
      <c r="BZ616">
        <v>16</v>
      </c>
      <c r="CA616">
        <v>0</v>
      </c>
      <c r="CB616">
        <v>7</v>
      </c>
      <c r="CC616">
        <v>34631.828513</v>
      </c>
      <c r="CD616" s="10">
        <v>32836.737680999999</v>
      </c>
      <c r="CE616" s="255">
        <v>0.94816644372889047</v>
      </c>
      <c r="CF616" t="str">
        <f>IFERROR(VLOOKUP(CE616,'Rangos amb etnico'!$A$2:$C$6,3,9),"N.D.")</f>
        <v>71% - 100%</v>
      </c>
      <c r="CG616" s="256">
        <v>9.5534448264850027E-4</v>
      </c>
      <c r="CH616" s="232">
        <v>0</v>
      </c>
      <c r="CI616" s="311">
        <f t="shared" si="265"/>
        <v>0</v>
      </c>
      <c r="CJ616" s="232">
        <f>IFERROR(VLOOKUP(CI616,'Rangos amb etnico'!$A$2:$C$6,3,9),"N.D.")</f>
        <v>0</v>
      </c>
      <c r="CK616" s="311">
        <f t="shared" si="266"/>
        <v>0</v>
      </c>
      <c r="CL616" s="10">
        <v>0</v>
      </c>
      <c r="CM616" s="255">
        <f t="shared" si="267"/>
        <v>0</v>
      </c>
      <c r="CN616" s="232">
        <f>IFERROR(VLOOKUP(CM616,'Rangos amb etnico'!$A$2:$C$6,3,9),"N.D.")</f>
        <v>0</v>
      </c>
      <c r="CO616" s="311">
        <f t="shared" si="268"/>
        <v>0</v>
      </c>
      <c r="CP616">
        <v>0.85799935939784833</v>
      </c>
      <c r="CQ616" t="s">
        <v>2864</v>
      </c>
      <c r="CR616">
        <f t="shared" si="259"/>
        <v>3</v>
      </c>
      <c r="CS616" t="str">
        <f t="shared" si="269"/>
        <v>Candidato</v>
      </c>
      <c r="CT616">
        <v>0</v>
      </c>
      <c r="CU616">
        <v>0</v>
      </c>
      <c r="CV616" s="25">
        <v>56.891040802001953</v>
      </c>
      <c r="CW616" s="25">
        <v>27.693378448486332</v>
      </c>
      <c r="CX616" s="25">
        <v>56.519588470458977</v>
      </c>
      <c r="CY616" s="25">
        <v>81.723800659179688</v>
      </c>
      <c r="CZ616" s="25">
        <v>50.646579742431641</v>
      </c>
      <c r="DA616" s="25">
        <v>39.554683685302727</v>
      </c>
      <c r="DB616" s="25">
        <v>85.208206176757813</v>
      </c>
      <c r="DC616">
        <v>123</v>
      </c>
      <c r="DD616" s="253" t="s">
        <v>380</v>
      </c>
    </row>
    <row r="617" spans="1:108" hidden="1">
      <c r="A617" s="13">
        <v>41349</v>
      </c>
      <c r="B617" s="13" t="s">
        <v>1675</v>
      </c>
      <c r="C617" s="13" t="s">
        <v>676</v>
      </c>
      <c r="D617" s="13" t="s">
        <v>677</v>
      </c>
      <c r="E617" s="13" t="s">
        <v>1676</v>
      </c>
      <c r="F617" s="14">
        <v>77.356999999999999</v>
      </c>
      <c r="G617" s="13">
        <v>77.87</v>
      </c>
      <c r="H617" s="13">
        <v>72.66</v>
      </c>
      <c r="I617" s="13">
        <v>90.71</v>
      </c>
      <c r="J617" s="14">
        <v>55.919232149828602</v>
      </c>
      <c r="K617" s="14">
        <v>48.478091395143899</v>
      </c>
      <c r="L617" s="14">
        <v>64.037196305567875</v>
      </c>
      <c r="M617" s="14">
        <v>48.688499999999998</v>
      </c>
      <c r="N617" s="14">
        <f t="shared" si="243"/>
        <v>79.649249999999995</v>
      </c>
      <c r="O617" s="14">
        <f t="shared" si="244"/>
        <v>54.280754962635093</v>
      </c>
      <c r="P617" s="14">
        <f t="shared" si="260"/>
        <v>66.965002481317541</v>
      </c>
      <c r="Q617" s="14">
        <v>56.023493502829943</v>
      </c>
      <c r="R617" s="17">
        <f t="shared" si="245"/>
        <v>43.976506497170057</v>
      </c>
      <c r="S617" s="14">
        <f t="shared" si="261"/>
        <v>0.49578855847453052</v>
      </c>
      <c r="T617" s="13">
        <v>0</v>
      </c>
      <c r="U617" s="13">
        <f t="shared" si="262"/>
        <v>33.200482048455783</v>
      </c>
      <c r="V617" s="13">
        <f>IF($T617=1,$AU617,(VLOOKUP(U617,'Cortes naturales'!$A$35:$C$39,3,9)))</f>
        <v>3</v>
      </c>
      <c r="W617" s="13">
        <v>3</v>
      </c>
      <c r="X617" s="14" t="b">
        <f t="shared" si="246"/>
        <v>1</v>
      </c>
      <c r="Y617" s="17">
        <f>IF($T617=1,$AU617,VLOOKUP(U617,'Cortes naturales'!$A$45:$C$49,3,9))</f>
        <v>3</v>
      </c>
      <c r="Z617" s="14">
        <v>66.608537577546642</v>
      </c>
      <c r="AA617" s="14">
        <v>0.50159300505923887</v>
      </c>
      <c r="AB617" s="14">
        <v>33.410376526122853</v>
      </c>
      <c r="AC617" s="13">
        <v>3</v>
      </c>
      <c r="AD617" s="13">
        <f t="shared" si="247"/>
        <v>0</v>
      </c>
      <c r="AE617" s="14">
        <f t="shared" si="248"/>
        <v>0.3564649037708989</v>
      </c>
      <c r="AF617" s="14">
        <f t="shared" si="249"/>
        <v>-5.8044465847083559E-3</v>
      </c>
      <c r="AG617" s="13">
        <f t="shared" si="250"/>
        <v>-0.20989447766707059</v>
      </c>
      <c r="AH617" s="13">
        <f>IF($T617=1,$AU617,VLOOKUP(U617,'Cortes naturales'!$A$25:$C$29,3,9))</f>
        <v>3</v>
      </c>
      <c r="AI617" s="13" t="b">
        <f t="shared" si="251"/>
        <v>1</v>
      </c>
      <c r="AJ617" s="13">
        <f t="shared" si="252"/>
        <v>0</v>
      </c>
      <c r="AK617" s="28">
        <v>0.81759069605862034</v>
      </c>
      <c r="AL617" s="28">
        <v>54.458520601473126</v>
      </c>
      <c r="AM617" s="28">
        <v>0.51059267619088355</v>
      </c>
      <c r="AN617" s="13">
        <v>2</v>
      </c>
      <c r="AO617" s="33">
        <f t="shared" si="253"/>
        <v>-1</v>
      </c>
      <c r="AP617" s="13">
        <f t="shared" si="263"/>
        <v>51.059267619088352</v>
      </c>
      <c r="AQ617" s="13">
        <f>IFERROR(VLOOKUP(U617,'Cortes naturales'!$E$15:$G$19,3,9),U617)</f>
        <v>4</v>
      </c>
      <c r="AR617" s="28">
        <f t="shared" si="254"/>
        <v>-0.32180213758408982</v>
      </c>
      <c r="AS617" s="13" t="b">
        <f t="shared" si="255"/>
        <v>0</v>
      </c>
      <c r="AT617" s="13" t="str">
        <f t="shared" si="264"/>
        <v>Cambio en corte</v>
      </c>
      <c r="AU617" s="13">
        <v>2</v>
      </c>
      <c r="AV617">
        <f t="shared" si="256"/>
        <v>-1</v>
      </c>
      <c r="AW617" s="13">
        <v>0</v>
      </c>
      <c r="AX617" s="13">
        <v>0</v>
      </c>
      <c r="AY617" s="13">
        <v>0</v>
      </c>
      <c r="AZ617" s="13">
        <v>0</v>
      </c>
      <c r="BA617">
        <v>1</v>
      </c>
      <c r="BB617" t="s">
        <v>2840</v>
      </c>
      <c r="BC617">
        <v>6</v>
      </c>
      <c r="BD617" t="s">
        <v>2919</v>
      </c>
      <c r="BE617">
        <v>0</v>
      </c>
      <c r="BF617" s="232" t="s">
        <v>2846</v>
      </c>
      <c r="BG617" s="232" t="s">
        <v>2845</v>
      </c>
      <c r="BH617" s="253">
        <v>38.799999999999997</v>
      </c>
      <c r="BI617" s="253">
        <v>20.430750822614417</v>
      </c>
      <c r="BJ617" s="25">
        <v>5.806</v>
      </c>
      <c r="BK617" t="s">
        <v>377</v>
      </c>
      <c r="BL617">
        <v>9.4389124076005757</v>
      </c>
      <c r="BM617" t="s">
        <v>379</v>
      </c>
      <c r="BN617" s="322">
        <v>22726.465242999999</v>
      </c>
      <c r="BO617" s="322">
        <v>4058.5100149999998</v>
      </c>
      <c r="BP617" s="10">
        <v>7995</v>
      </c>
      <c r="BQ617" s="254">
        <f t="shared" si="257"/>
        <v>2.8425847708567855</v>
      </c>
      <c r="BR617" s="254">
        <f t="shared" si="258"/>
        <v>0.50763102126328952</v>
      </c>
      <c r="BS617" s="25">
        <v>71.757539372454843</v>
      </c>
      <c r="BT617" s="25">
        <v>96.472795497185743</v>
      </c>
      <c r="BU617" s="25">
        <v>65.968079470198674</v>
      </c>
      <c r="BV617" s="25">
        <v>76.172248758086866</v>
      </c>
      <c r="BW617" s="25">
        <v>63.503773302560113</v>
      </c>
      <c r="BX617" s="25">
        <v>77.592665774481532</v>
      </c>
      <c r="BY617" s="25">
        <v>65.005472681676096</v>
      </c>
      <c r="BZ617">
        <v>71</v>
      </c>
      <c r="CA617">
        <v>0</v>
      </c>
      <c r="CB617">
        <v>7</v>
      </c>
      <c r="CC617">
        <v>19427.530922000002</v>
      </c>
      <c r="CD617" s="10">
        <v>3861.565803</v>
      </c>
      <c r="CE617" s="255">
        <v>0.19876770849079489</v>
      </c>
      <c r="CF617" t="str">
        <f>IFERROR(VLOOKUP(CE617,'Rangos amb etnico'!$A$2:$C$6,3,9),"N.D.")</f>
        <v>0,1% - 30%</v>
      </c>
      <c r="CG617" s="256">
        <v>1.1234750601960007E-4</v>
      </c>
      <c r="CH617" s="232">
        <v>0</v>
      </c>
      <c r="CI617" s="311">
        <f t="shared" si="265"/>
        <v>0</v>
      </c>
      <c r="CJ617" s="232">
        <f>IFERROR(VLOOKUP(CI617,'Rangos amb etnico'!$A$2:$C$6,3,9),"N.D.")</f>
        <v>0</v>
      </c>
      <c r="CK617" s="311">
        <f t="shared" si="266"/>
        <v>0</v>
      </c>
      <c r="CL617" s="10">
        <v>0</v>
      </c>
      <c r="CM617" s="255">
        <f t="shared" si="267"/>
        <v>0</v>
      </c>
      <c r="CN617" s="232">
        <f>IFERROR(VLOOKUP(CM617,'Rangos amb etnico'!$A$2:$C$6,3,9),"N.D.")</f>
        <v>0</v>
      </c>
      <c r="CO617" s="311">
        <f t="shared" si="268"/>
        <v>0</v>
      </c>
      <c r="CP617">
        <v>0.84896105919968434</v>
      </c>
      <c r="CQ617" t="s">
        <v>2865</v>
      </c>
      <c r="CR617">
        <f t="shared" si="259"/>
        <v>3</v>
      </c>
      <c r="CS617" t="str">
        <f t="shared" si="269"/>
        <v>Candidato</v>
      </c>
      <c r="CT617">
        <v>0</v>
      </c>
      <c r="CU617">
        <v>0</v>
      </c>
      <c r="CV617" s="25">
        <v>46.109367370605469</v>
      </c>
      <c r="CW617" s="25">
        <v>25.324726104736332</v>
      </c>
      <c r="CX617" s="25">
        <v>46.659450531005859</v>
      </c>
      <c r="CY617" s="25">
        <v>57.073192596435547</v>
      </c>
      <c r="CZ617" s="25">
        <v>57.1248779296875</v>
      </c>
      <c r="DA617" s="25">
        <v>17.026124954223629</v>
      </c>
      <c r="DB617" s="25">
        <v>73.447830200195313</v>
      </c>
      <c r="DC617">
        <v>151</v>
      </c>
      <c r="DD617" s="253" t="s">
        <v>380</v>
      </c>
    </row>
    <row r="618" spans="1:108" hidden="1">
      <c r="A618" s="13">
        <v>15185</v>
      </c>
      <c r="B618" s="13" t="s">
        <v>1677</v>
      </c>
      <c r="C618" s="13" t="s">
        <v>498</v>
      </c>
      <c r="D618" s="13" t="s">
        <v>499</v>
      </c>
      <c r="E618" s="13" t="s">
        <v>1678</v>
      </c>
      <c r="F618" s="14">
        <v>57.233533333333298</v>
      </c>
      <c r="G618" s="13">
        <v>43.87</v>
      </c>
      <c r="H618" s="13">
        <v>50</v>
      </c>
      <c r="I618" s="13">
        <v>66.959999999999994</v>
      </c>
      <c r="J618" s="14">
        <v>41.208949686581541</v>
      </c>
      <c r="K618" s="14">
        <v>49.711227589727748</v>
      </c>
      <c r="L618" s="14">
        <v>62.068320964813701</v>
      </c>
      <c r="M618" s="14">
        <v>53.430700000000002</v>
      </c>
      <c r="N618" s="14">
        <f t="shared" si="243"/>
        <v>54.515883333333321</v>
      </c>
      <c r="O618" s="14">
        <f t="shared" si="244"/>
        <v>51.604799560280746</v>
      </c>
      <c r="P618" s="14">
        <f t="shared" si="260"/>
        <v>53.06034144680703</v>
      </c>
      <c r="Q618" s="14">
        <v>57.15118255967139</v>
      </c>
      <c r="R618" s="17">
        <f t="shared" si="245"/>
        <v>42.84881744032861</v>
      </c>
      <c r="S618" s="14">
        <f t="shared" si="261"/>
        <v>0.48563935696295746</v>
      </c>
      <c r="T618" s="13">
        <v>0</v>
      </c>
      <c r="U618" s="13">
        <f t="shared" si="262"/>
        <v>25.768190100462327</v>
      </c>
      <c r="V618" s="13">
        <f>IF($T618=1,$AU618,(VLOOKUP(U618,'Cortes naturales'!$A$35:$C$39,3,9)))</f>
        <v>4</v>
      </c>
      <c r="W618" s="13">
        <v>4</v>
      </c>
      <c r="X618" s="14" t="b">
        <f t="shared" si="246"/>
        <v>1</v>
      </c>
      <c r="Y618" s="17">
        <f>IF($T618=1,$AU618,VLOOKUP(U618,'Cortes naturales'!$A$45:$C$49,3,9))</f>
        <v>4</v>
      </c>
      <c r="Z618" s="14">
        <v>50.622751135751088</v>
      </c>
      <c r="AA618" s="14">
        <v>0.4968672533077314</v>
      </c>
      <c r="AB618" s="14">
        <v>25.152787311701484</v>
      </c>
      <c r="AC618" s="13">
        <v>4</v>
      </c>
      <c r="AD618" s="13">
        <f t="shared" si="247"/>
        <v>0</v>
      </c>
      <c r="AE618" s="14">
        <f t="shared" si="248"/>
        <v>2.437590311055942</v>
      </c>
      <c r="AF618" s="14">
        <f t="shared" si="249"/>
        <v>-1.1227896344773947E-2</v>
      </c>
      <c r="AG618" s="13">
        <f t="shared" si="250"/>
        <v>0.61540278876084287</v>
      </c>
      <c r="AH618" s="13">
        <f>IF($T618=1,$AU618,VLOOKUP(U618,'Cortes naturales'!$A$25:$C$29,3,9))</f>
        <v>4</v>
      </c>
      <c r="AI618" s="13" t="b">
        <f t="shared" si="251"/>
        <v>1</v>
      </c>
      <c r="AJ618" s="13">
        <f t="shared" si="252"/>
        <v>0</v>
      </c>
      <c r="AK618" s="28">
        <v>0.81759069605862034</v>
      </c>
      <c r="AL618" s="28">
        <v>41.388690337481044</v>
      </c>
      <c r="AM618" s="28">
        <v>0.34710287648803861</v>
      </c>
      <c r="AN618" s="13">
        <v>4</v>
      </c>
      <c r="AO618" s="33">
        <f t="shared" si="253"/>
        <v>0</v>
      </c>
      <c r="AP618" s="13">
        <f t="shared" si="263"/>
        <v>34.710287648803863</v>
      </c>
      <c r="AQ618" s="13">
        <f>IFERROR(VLOOKUP(U618,'Cortes naturales'!$E$15:$G$19,3,9),U618)</f>
        <v>4</v>
      </c>
      <c r="AR618" s="28">
        <f t="shared" si="254"/>
        <v>-0.33195133909566288</v>
      </c>
      <c r="AS618" s="13" t="b">
        <f t="shared" si="255"/>
        <v>1</v>
      </c>
      <c r="AT618" s="13">
        <f t="shared" si="264"/>
        <v>0</v>
      </c>
      <c r="AU618" s="13">
        <v>3</v>
      </c>
      <c r="AV618">
        <f t="shared" si="256"/>
        <v>-1</v>
      </c>
      <c r="AW618" s="13">
        <v>0</v>
      </c>
      <c r="AX618" s="13">
        <v>0</v>
      </c>
      <c r="AY618" s="13">
        <v>0</v>
      </c>
      <c r="AZ618" s="13">
        <v>0</v>
      </c>
      <c r="BA618">
        <v>0</v>
      </c>
      <c r="BB618" t="s">
        <v>2841</v>
      </c>
      <c r="BC618">
        <v>6</v>
      </c>
      <c r="BD618" t="s">
        <v>2919</v>
      </c>
      <c r="BE618">
        <v>0</v>
      </c>
      <c r="BF618" s="232" t="s">
        <v>2846</v>
      </c>
      <c r="BG618" s="232" t="s">
        <v>2846</v>
      </c>
      <c r="BH618" s="253">
        <v>46.4</v>
      </c>
      <c r="BI618" s="253">
        <v>22.920406941950926</v>
      </c>
      <c r="BJ618" s="25">
        <v>41.885653710247347</v>
      </c>
      <c r="BK618" t="s">
        <v>376</v>
      </c>
      <c r="BL618">
        <v>0</v>
      </c>
      <c r="BM618" t="s">
        <v>377</v>
      </c>
      <c r="BN618" s="322">
        <v>16484.677827</v>
      </c>
      <c r="BO618" s="322">
        <v>1571.817391</v>
      </c>
      <c r="BP618" s="10">
        <v>5961</v>
      </c>
      <c r="BQ618" s="254">
        <f t="shared" si="257"/>
        <v>2.7654215445395067</v>
      </c>
      <c r="BR618" s="254">
        <f t="shared" si="258"/>
        <v>0.26368350796846168</v>
      </c>
      <c r="BS618" s="25">
        <v>60.730158730158728</v>
      </c>
      <c r="BT618" s="25">
        <v>91.878645513057094</v>
      </c>
      <c r="BU618" s="25">
        <v>34.252546725174703</v>
      </c>
      <c r="BV618" s="25">
        <v>79.925302914172718</v>
      </c>
      <c r="BW618" s="25">
        <v>49.440516281258567</v>
      </c>
      <c r="BX618" s="25">
        <v>66.696663470640814</v>
      </c>
      <c r="BY618" s="25">
        <v>50.21638304986147</v>
      </c>
      <c r="BZ618">
        <v>20</v>
      </c>
      <c r="CA618">
        <v>0</v>
      </c>
      <c r="CB618">
        <v>7</v>
      </c>
      <c r="CC618">
        <v>15827.015342999999</v>
      </c>
      <c r="CD618" s="10">
        <v>10.163385999999999</v>
      </c>
      <c r="CE618" s="255">
        <v>6.4215430261114136E-4</v>
      </c>
      <c r="CF618">
        <f>IFERROR(VLOOKUP(CE618,'Rangos amb etnico'!$A$2:$C$6,3,9),"N.D.")</f>
        <v>0</v>
      </c>
      <c r="CG618" s="256">
        <v>2.9569121130279466E-7</v>
      </c>
      <c r="CH618" s="232">
        <v>0</v>
      </c>
      <c r="CI618" s="311">
        <f t="shared" si="265"/>
        <v>0</v>
      </c>
      <c r="CJ618" s="232">
        <f>IFERROR(VLOOKUP(CI618,'Rangos amb etnico'!$A$2:$C$6,3,9),"N.D.")</f>
        <v>0</v>
      </c>
      <c r="CK618" s="311">
        <f t="shared" si="266"/>
        <v>0</v>
      </c>
      <c r="CL618" s="10">
        <v>0</v>
      </c>
      <c r="CM618" s="255">
        <f t="shared" si="267"/>
        <v>0</v>
      </c>
      <c r="CN618" s="232">
        <f>IFERROR(VLOOKUP(CM618,'Rangos amb etnico'!$A$2:$C$6,3,9),"N.D.")</f>
        <v>0</v>
      </c>
      <c r="CO618" s="311">
        <f t="shared" si="268"/>
        <v>0</v>
      </c>
      <c r="CP618">
        <v>0.9236970363339998</v>
      </c>
      <c r="CQ618" t="s">
        <v>2864</v>
      </c>
      <c r="CR618">
        <f t="shared" si="259"/>
        <v>2</v>
      </c>
      <c r="CS618" t="str">
        <f t="shared" si="269"/>
        <v>No es Candidato</v>
      </c>
      <c r="CT618">
        <v>0</v>
      </c>
      <c r="CU618">
        <v>0</v>
      </c>
      <c r="CV618" s="25">
        <v>46.345233917236328</v>
      </c>
      <c r="CW618" s="25">
        <v>11.62608051300049</v>
      </c>
      <c r="CX618" s="25">
        <v>46.157432556152337</v>
      </c>
      <c r="CY618" s="25">
        <v>58.053947448730469</v>
      </c>
      <c r="CZ618" s="25">
        <v>43.372219085693359</v>
      </c>
      <c r="DA618" s="25">
        <v>67.554832458496094</v>
      </c>
      <c r="DB618" s="25">
        <v>51.306888580322273</v>
      </c>
      <c r="DC618">
        <v>32</v>
      </c>
      <c r="DD618" s="253" t="s">
        <v>380</v>
      </c>
    </row>
    <row r="619" spans="1:108" hidden="1">
      <c r="A619" s="13">
        <v>52678</v>
      </c>
      <c r="B619" s="13" t="s">
        <v>1679</v>
      </c>
      <c r="C619" s="13" t="s">
        <v>672</v>
      </c>
      <c r="D619" s="13" t="s">
        <v>673</v>
      </c>
      <c r="E619" s="13" t="s">
        <v>1680</v>
      </c>
      <c r="F619" s="14">
        <v>62.130766666666702</v>
      </c>
      <c r="G619" s="13">
        <v>48.45</v>
      </c>
      <c r="H619" s="13">
        <v>38.74</v>
      </c>
      <c r="I619" s="13">
        <v>49.88</v>
      </c>
      <c r="J619" s="14">
        <v>60.077581985512111</v>
      </c>
      <c r="K619" s="14">
        <v>55.661961030147253</v>
      </c>
      <c r="L619" s="14">
        <v>60.280510751457442</v>
      </c>
      <c r="M619" s="14">
        <v>56.884300000000003</v>
      </c>
      <c r="N619" s="14">
        <f t="shared" si="243"/>
        <v>49.800191666666677</v>
      </c>
      <c r="O619" s="14">
        <f t="shared" si="244"/>
        <v>58.226088441779197</v>
      </c>
      <c r="P619" s="14">
        <f t="shared" si="260"/>
        <v>54.013140054222937</v>
      </c>
      <c r="Q619" s="14">
        <v>56.544784422994397</v>
      </c>
      <c r="R619" s="17">
        <f t="shared" si="245"/>
        <v>43.455215577005603</v>
      </c>
      <c r="S619" s="14">
        <f t="shared" si="261"/>
        <v>0.49109694019305039</v>
      </c>
      <c r="T619" s="13">
        <v>0</v>
      </c>
      <c r="U619" s="13">
        <f t="shared" si="262"/>
        <v>26.525687810847575</v>
      </c>
      <c r="V619" s="13">
        <f>IF($T619=1,$AU619,(VLOOKUP(U619,'Cortes naturales'!$A$35:$C$39,3,9)))</f>
        <v>4</v>
      </c>
      <c r="W619" s="13">
        <v>4</v>
      </c>
      <c r="X619" s="14" t="b">
        <f t="shared" si="246"/>
        <v>1</v>
      </c>
      <c r="Y619" s="17">
        <f>IF($T619=1,$AU619,VLOOKUP(U619,'Cortes naturales'!$A$45:$C$49,3,9))</f>
        <v>4</v>
      </c>
      <c r="Z619" s="14">
        <v>55.374186229195217</v>
      </c>
      <c r="AA619" s="14">
        <v>0.50090968545998926</v>
      </c>
      <c r="AB619" s="14">
        <v>27.737466206669044</v>
      </c>
      <c r="AC619" s="13">
        <v>4</v>
      </c>
      <c r="AD619" s="13">
        <f t="shared" si="247"/>
        <v>0</v>
      </c>
      <c r="AE619" s="14">
        <f t="shared" si="248"/>
        <v>-1.3610461749722802</v>
      </c>
      <c r="AF619" s="14">
        <f t="shared" si="249"/>
        <v>-9.8127452669388715E-3</v>
      </c>
      <c r="AG619" s="13">
        <f t="shared" si="250"/>
        <v>-1.2117783958214687</v>
      </c>
      <c r="AH619" s="13">
        <f>IF($T619=1,$AU619,VLOOKUP(U619,'Cortes naturales'!$A$25:$C$29,3,9))</f>
        <v>4</v>
      </c>
      <c r="AI619" s="13" t="b">
        <f t="shared" si="251"/>
        <v>1</v>
      </c>
      <c r="AJ619" s="13">
        <f t="shared" si="252"/>
        <v>0</v>
      </c>
      <c r="AK619" s="28">
        <v>0.81759069605862034</v>
      </c>
      <c r="AL619" s="28">
        <v>45.273419462807389</v>
      </c>
      <c r="AM619" s="28">
        <v>0.39569674295539253</v>
      </c>
      <c r="AN619" s="13">
        <v>3</v>
      </c>
      <c r="AO619" s="33">
        <f t="shared" si="253"/>
        <v>-1</v>
      </c>
      <c r="AP619" s="13">
        <f t="shared" si="263"/>
        <v>39.569674295539251</v>
      </c>
      <c r="AQ619" s="13">
        <f>IFERROR(VLOOKUP(U619,'Cortes naturales'!$E$15:$G$19,3,9),U619)</f>
        <v>4</v>
      </c>
      <c r="AR619" s="28">
        <f t="shared" si="254"/>
        <v>-0.32649375586556995</v>
      </c>
      <c r="AS619" s="13" t="b">
        <f t="shared" si="255"/>
        <v>1</v>
      </c>
      <c r="AT619" s="13" t="str">
        <f t="shared" si="264"/>
        <v>Efecto ponderador</v>
      </c>
      <c r="AU619" s="13">
        <v>3</v>
      </c>
      <c r="AV619">
        <f t="shared" si="256"/>
        <v>-1</v>
      </c>
      <c r="AW619" s="13">
        <v>0</v>
      </c>
      <c r="AX619" s="13">
        <v>0</v>
      </c>
      <c r="AY619" s="13">
        <v>0</v>
      </c>
      <c r="AZ619" s="13">
        <v>0</v>
      </c>
      <c r="BA619">
        <v>1</v>
      </c>
      <c r="BB619" t="s">
        <v>2840</v>
      </c>
      <c r="BC619">
        <v>6</v>
      </c>
      <c r="BD619" t="s">
        <v>2919</v>
      </c>
      <c r="BE619">
        <v>0</v>
      </c>
      <c r="BF619" s="232" t="s">
        <v>2846</v>
      </c>
      <c r="BG619" s="232" t="s">
        <v>2846</v>
      </c>
      <c r="BH619" s="253">
        <v>47.7</v>
      </c>
      <c r="BI619" s="253">
        <v>26.644722960712325</v>
      </c>
      <c r="BJ619" s="25">
        <v>52.796584777223153</v>
      </c>
      <c r="BK619" t="s">
        <v>376</v>
      </c>
      <c r="BL619">
        <v>52.794337902378871</v>
      </c>
      <c r="BM619" t="s">
        <v>384</v>
      </c>
      <c r="BN619" s="322">
        <v>58012.788503000003</v>
      </c>
      <c r="BO619" s="322">
        <v>2694.4295809999999</v>
      </c>
      <c r="BP619" s="10">
        <v>29401</v>
      </c>
      <c r="BQ619" s="254">
        <f t="shared" si="257"/>
        <v>1.9731569845583485</v>
      </c>
      <c r="BR619" s="254">
        <f t="shared" si="258"/>
        <v>9.1644147511989391E-2</v>
      </c>
      <c r="BS619" s="25">
        <v>69.378112121404456</v>
      </c>
      <c r="BT619" s="25">
        <v>96.699643388433515</v>
      </c>
      <c r="BU619" s="25">
        <v>48.796025562162527</v>
      </c>
      <c r="BV619" s="25">
        <v>93.752483589040779</v>
      </c>
      <c r="BW619" s="25">
        <v>54.675585420413121</v>
      </c>
      <c r="BX619" s="25">
        <v>77.156566165260315</v>
      </c>
      <c r="BY619" s="25">
        <v>55.425534288599771</v>
      </c>
      <c r="BZ619">
        <v>70</v>
      </c>
      <c r="CA619">
        <v>0</v>
      </c>
      <c r="CB619">
        <v>6</v>
      </c>
      <c r="CC619">
        <v>60572.244709999999</v>
      </c>
      <c r="CD619" s="10">
        <v>44433.443814999999</v>
      </c>
      <c r="CE619" s="255">
        <v>0.73356112238753446</v>
      </c>
      <c r="CF619" t="str">
        <f>IFERROR(VLOOKUP(CE619,'Rangos amb etnico'!$A$2:$C$6,3,9),"N.D.")</f>
        <v>71% - 100%</v>
      </c>
      <c r="CG619" s="256">
        <v>1.2927363797864235E-3</v>
      </c>
      <c r="CH619" s="232">
        <v>42848.265677000003</v>
      </c>
      <c r="CI619" s="311">
        <f t="shared" si="265"/>
        <v>0.70739108121456318</v>
      </c>
      <c r="CJ619" s="232" t="str">
        <f>IFERROR(VLOOKUP(CI619,'Rangos amb etnico'!$A$2:$C$6,3,9),"N.D.")</f>
        <v>71% - 100%</v>
      </c>
      <c r="CK619" s="311">
        <f t="shared" si="266"/>
        <v>1.7013566835626295E-3</v>
      </c>
      <c r="CL619" s="10">
        <v>0</v>
      </c>
      <c r="CM619" s="255">
        <f t="shared" si="267"/>
        <v>0</v>
      </c>
      <c r="CN619" s="232">
        <f>IFERROR(VLOOKUP(CM619,'Rangos amb etnico'!$A$2:$C$6,3,9),"N.D.")</f>
        <v>0</v>
      </c>
      <c r="CO619" s="311">
        <f t="shared" si="268"/>
        <v>0</v>
      </c>
      <c r="CP619">
        <v>0.95092513124364419</v>
      </c>
      <c r="CQ619" t="s">
        <v>2864</v>
      </c>
      <c r="CR619">
        <f t="shared" si="259"/>
        <v>1</v>
      </c>
      <c r="CS619" t="str">
        <f t="shared" si="269"/>
        <v>No es Candidato</v>
      </c>
      <c r="CT619">
        <v>0</v>
      </c>
      <c r="CU619">
        <v>0</v>
      </c>
      <c r="CV619" s="25">
        <v>44.767074584960938</v>
      </c>
      <c r="CW619" s="25">
        <v>21.281307220458981</v>
      </c>
      <c r="CX619" s="25">
        <v>52.032264709472663</v>
      </c>
      <c r="CY619" s="25">
        <v>58.660659790039063</v>
      </c>
      <c r="CZ619" s="25">
        <v>28.343683242797852</v>
      </c>
      <c r="DA619" s="25">
        <v>58.712062835693359</v>
      </c>
      <c r="DB619" s="25">
        <v>49.572479248046882</v>
      </c>
      <c r="DC619">
        <v>4609</v>
      </c>
      <c r="DD619" s="253" t="s">
        <v>380</v>
      </c>
    </row>
    <row r="620" spans="1:108" hidden="1">
      <c r="A620" s="13">
        <v>20517</v>
      </c>
      <c r="B620" s="13" t="s">
        <v>1681</v>
      </c>
      <c r="C620" s="13" t="s">
        <v>893</v>
      </c>
      <c r="D620" s="13" t="s">
        <v>894</v>
      </c>
      <c r="E620" s="13" t="s">
        <v>1682</v>
      </c>
      <c r="F620" s="14">
        <v>56.953600000000002</v>
      </c>
      <c r="G620" s="13">
        <v>76.53</v>
      </c>
      <c r="H620" s="13">
        <v>87.06</v>
      </c>
      <c r="I620" s="13">
        <v>95.16</v>
      </c>
      <c r="J620" s="14">
        <v>52.350953322002297</v>
      </c>
      <c r="K620" s="14">
        <v>54.969173904462536</v>
      </c>
      <c r="L620" s="14">
        <v>58.576808845273689</v>
      </c>
      <c r="M620" s="14">
        <v>52.161999999999999</v>
      </c>
      <c r="N620" s="14">
        <f t="shared" si="243"/>
        <v>78.925899999999999</v>
      </c>
      <c r="O620" s="14">
        <f t="shared" si="244"/>
        <v>54.514734017934636</v>
      </c>
      <c r="P620" s="14">
        <f t="shared" si="260"/>
        <v>66.720317008967314</v>
      </c>
      <c r="Q620" s="14">
        <v>56.449975279442299</v>
      </c>
      <c r="R620" s="17">
        <f t="shared" si="245"/>
        <v>43.550024720557701</v>
      </c>
      <c r="S620" s="14">
        <f t="shared" si="261"/>
        <v>0.4919502224850193</v>
      </c>
      <c r="T620" s="13">
        <v>0</v>
      </c>
      <c r="U620" s="13">
        <f t="shared" si="262"/>
        <v>32.823074796832486</v>
      </c>
      <c r="V620" s="13">
        <f>IF($T620=1,$AU620,(VLOOKUP(U620,'Cortes naturales'!$A$35:$C$39,3,9)))</f>
        <v>3</v>
      </c>
      <c r="W620" s="13">
        <v>3</v>
      </c>
      <c r="X620" s="14" t="b">
        <f t="shared" si="246"/>
        <v>1</v>
      </c>
      <c r="Y620" s="17">
        <f>IF($T620=1,$AU620,VLOOKUP(U620,'Cortes naturales'!$A$45:$C$49,3,9))</f>
        <v>3</v>
      </c>
      <c r="Z620" s="14">
        <v>61.003892303426973</v>
      </c>
      <c r="AA620" s="14">
        <v>0.50074986638178887</v>
      </c>
      <c r="AB620" s="14">
        <v>30.547690919710096</v>
      </c>
      <c r="AC620" s="13">
        <v>3</v>
      </c>
      <c r="AD620" s="13">
        <f t="shared" si="247"/>
        <v>0</v>
      </c>
      <c r="AE620" s="14">
        <f t="shared" si="248"/>
        <v>5.7164247055403408</v>
      </c>
      <c r="AF620" s="14">
        <f t="shared" si="249"/>
        <v>-8.7996438967695711E-3</v>
      </c>
      <c r="AG620" s="13">
        <f t="shared" si="250"/>
        <v>2.2753838771223904</v>
      </c>
      <c r="AH620" s="13">
        <f>IF($T620=1,$AU620,VLOOKUP(U620,'Cortes naturales'!$A$25:$C$29,3,9))</f>
        <v>3</v>
      </c>
      <c r="AI620" s="13" t="b">
        <f t="shared" si="251"/>
        <v>1</v>
      </c>
      <c r="AJ620" s="13">
        <f t="shared" si="252"/>
        <v>0</v>
      </c>
      <c r="AK620" s="28">
        <v>0.81759069605862034</v>
      </c>
      <c r="AL620" s="28">
        <v>49.876214770643969</v>
      </c>
      <c r="AM620" s="28">
        <v>0.4532728604528472</v>
      </c>
      <c r="AN620" s="13">
        <v>3</v>
      </c>
      <c r="AO620" s="33">
        <f t="shared" si="253"/>
        <v>0</v>
      </c>
      <c r="AP620" s="13">
        <f t="shared" si="263"/>
        <v>45.327286045284723</v>
      </c>
      <c r="AQ620" s="13">
        <f>IFERROR(VLOOKUP(U620,'Cortes naturales'!$E$15:$G$19,3,9),U620)</f>
        <v>4</v>
      </c>
      <c r="AR620" s="28">
        <f t="shared" si="254"/>
        <v>-0.32564047357360104</v>
      </c>
      <c r="AS620" s="13" t="b">
        <f t="shared" si="255"/>
        <v>0</v>
      </c>
      <c r="AT620" s="13">
        <f t="shared" si="264"/>
        <v>0</v>
      </c>
      <c r="AU620" s="13">
        <v>3</v>
      </c>
      <c r="AV620">
        <f t="shared" si="256"/>
        <v>0</v>
      </c>
      <c r="AW620" s="13">
        <v>0</v>
      </c>
      <c r="AX620" s="13">
        <v>0</v>
      </c>
      <c r="AY620" s="13">
        <v>0</v>
      </c>
      <c r="AZ620" s="13">
        <v>0</v>
      </c>
      <c r="BA620">
        <v>1</v>
      </c>
      <c r="BB620" t="s">
        <v>2840</v>
      </c>
      <c r="BC620">
        <v>6</v>
      </c>
      <c r="BD620" t="s">
        <v>2919</v>
      </c>
      <c r="BE620">
        <v>0</v>
      </c>
      <c r="BF620" s="232" t="s">
        <v>2846</v>
      </c>
      <c r="BG620" s="232" t="s">
        <v>2845</v>
      </c>
      <c r="BH620" s="253">
        <v>46.1</v>
      </c>
      <c r="BI620" s="253">
        <v>25.577380952380953</v>
      </c>
      <c r="BJ620" s="25">
        <v>12.078461538461537</v>
      </c>
      <c r="BK620" t="s">
        <v>377</v>
      </c>
      <c r="BL620">
        <v>9.6362533043982239</v>
      </c>
      <c r="BM620" t="s">
        <v>379</v>
      </c>
      <c r="BN620" s="322">
        <v>48849.973338999996</v>
      </c>
      <c r="BO620" s="322">
        <v>5672.6646179999998</v>
      </c>
      <c r="BP620" s="10">
        <v>21068</v>
      </c>
      <c r="BQ620" s="254">
        <f t="shared" si="257"/>
        <v>2.3186810964021265</v>
      </c>
      <c r="BR620" s="254">
        <f t="shared" si="258"/>
        <v>0.26925501319536738</v>
      </c>
      <c r="BS620" s="25">
        <v>58.459494538382437</v>
      </c>
      <c r="BT620" s="25">
        <v>97.322253333333336</v>
      </c>
      <c r="BU620" s="25">
        <v>33.707415730337068</v>
      </c>
      <c r="BV620" s="25">
        <v>90.476754598401669</v>
      </c>
      <c r="BW620" s="25">
        <v>51.428852014670312</v>
      </c>
      <c r="BX620" s="25">
        <v>69.991479550113624</v>
      </c>
      <c r="BY620" s="25">
        <v>52.550528913233137</v>
      </c>
      <c r="BZ620">
        <v>92</v>
      </c>
      <c r="CA620">
        <v>0</v>
      </c>
      <c r="CB620">
        <v>7</v>
      </c>
      <c r="CC620">
        <v>53090.962513999999</v>
      </c>
      <c r="CD620" s="10">
        <v>25049.101648</v>
      </c>
      <c r="CE620" s="255">
        <v>0.47181479600025322</v>
      </c>
      <c r="CF620" t="str">
        <f>IFERROR(VLOOKUP(CE620,'Rangos amb etnico'!$A$2:$C$6,3,9),"N.D.")</f>
        <v>31% - 50%</v>
      </c>
      <c r="CG620" s="256">
        <v>7.2877279366777477E-4</v>
      </c>
      <c r="CH620" s="232">
        <v>0</v>
      </c>
      <c r="CI620" s="311">
        <f t="shared" si="265"/>
        <v>0</v>
      </c>
      <c r="CJ620" s="232">
        <f>IFERROR(VLOOKUP(CI620,'Rangos amb etnico'!$A$2:$C$6,3,9),"N.D.")</f>
        <v>0</v>
      </c>
      <c r="CK620" s="311">
        <f t="shared" si="266"/>
        <v>0</v>
      </c>
      <c r="CL620" s="10">
        <v>0</v>
      </c>
      <c r="CM620" s="255">
        <f t="shared" si="267"/>
        <v>0</v>
      </c>
      <c r="CN620" s="232">
        <f>IFERROR(VLOOKUP(CM620,'Rangos amb etnico'!$A$2:$C$6,3,9),"N.D.")</f>
        <v>0</v>
      </c>
      <c r="CO620" s="311">
        <f t="shared" si="268"/>
        <v>0</v>
      </c>
      <c r="CP620">
        <v>0.96452048070805141</v>
      </c>
      <c r="CQ620" t="s">
        <v>2864</v>
      </c>
      <c r="CR620">
        <f t="shared" si="259"/>
        <v>2</v>
      </c>
      <c r="CS620" t="str">
        <f t="shared" si="269"/>
        <v>No es Candidato</v>
      </c>
      <c r="CT620">
        <v>0</v>
      </c>
      <c r="CU620">
        <v>0</v>
      </c>
      <c r="CV620" s="25">
        <v>37.007312774658203</v>
      </c>
      <c r="CW620" s="25">
        <v>22.286434173583981</v>
      </c>
      <c r="CX620" s="25">
        <v>44.328334808349609</v>
      </c>
      <c r="CY620" s="25">
        <v>48.772636413574219</v>
      </c>
      <c r="CZ620" s="25">
        <v>13.492300033569339</v>
      </c>
      <c r="DA620" s="25">
        <v>31.700922012329102</v>
      </c>
      <c r="DB620" s="25">
        <v>61.463253021240227</v>
      </c>
      <c r="DC620">
        <v>503</v>
      </c>
      <c r="DD620" s="253" t="s">
        <v>380</v>
      </c>
    </row>
    <row r="621" spans="1:108" hidden="1">
      <c r="A621" s="13">
        <v>20013</v>
      </c>
      <c r="B621" s="13" t="s">
        <v>1683</v>
      </c>
      <c r="C621" s="13" t="s">
        <v>893</v>
      </c>
      <c r="D621" s="13" t="s">
        <v>894</v>
      </c>
      <c r="E621" s="13" t="s">
        <v>1684</v>
      </c>
      <c r="F621" s="14">
        <v>59.724933333333297</v>
      </c>
      <c r="G621" s="13">
        <v>49.7</v>
      </c>
      <c r="H621" s="13">
        <v>24.49</v>
      </c>
      <c r="I621" s="13">
        <v>68.77</v>
      </c>
      <c r="J621" s="14">
        <v>55.536732254066003</v>
      </c>
      <c r="K621" s="14">
        <v>61.705200926187658</v>
      </c>
      <c r="L621" s="14">
        <v>74.960592267259273</v>
      </c>
      <c r="M621" s="14">
        <v>69.6023</v>
      </c>
      <c r="N621" s="14">
        <f t="shared" si="243"/>
        <v>50.671233333333319</v>
      </c>
      <c r="O621" s="14">
        <f t="shared" si="244"/>
        <v>65.451206361878235</v>
      </c>
      <c r="P621" s="14">
        <f t="shared" si="260"/>
        <v>58.061219847605777</v>
      </c>
      <c r="Q621" s="14">
        <v>56.55969556952931</v>
      </c>
      <c r="R621" s="17">
        <f t="shared" si="245"/>
        <v>43.44030443047069</v>
      </c>
      <c r="S621" s="14">
        <f t="shared" si="261"/>
        <v>0.49096273987423622</v>
      </c>
      <c r="T621" s="13">
        <v>0</v>
      </c>
      <c r="U621" s="13">
        <f t="shared" si="262"/>
        <v>28.505895576820915</v>
      </c>
      <c r="V621" s="13">
        <f>IF($T621=1,$AU621,(VLOOKUP(U621,'Cortes naturales'!$A$35:$C$39,3,9)))</f>
        <v>4</v>
      </c>
      <c r="W621" s="13">
        <v>4</v>
      </c>
      <c r="X621" s="14" t="b">
        <f t="shared" si="246"/>
        <v>1</v>
      </c>
      <c r="Y621" s="17">
        <f>IF($T621=1,$AU621,VLOOKUP(U621,'Cortes naturales'!$A$45:$C$49,3,9))</f>
        <v>3</v>
      </c>
      <c r="Z621" s="14">
        <v>54.094174020205642</v>
      </c>
      <c r="AA621" s="14">
        <v>0.50093376782443344</v>
      </c>
      <c r="AB621" s="14">
        <v>27.097598409292193</v>
      </c>
      <c r="AC621" s="13">
        <v>4</v>
      </c>
      <c r="AD621" s="13">
        <f t="shared" si="247"/>
        <v>1</v>
      </c>
      <c r="AE621" s="14">
        <f t="shared" si="248"/>
        <v>3.9670458274001348</v>
      </c>
      <c r="AF621" s="14">
        <f t="shared" si="249"/>
        <v>-9.9710279501972199E-3</v>
      </c>
      <c r="AG621" s="13">
        <f t="shared" si="250"/>
        <v>1.4082971675287226</v>
      </c>
      <c r="AH621" s="13">
        <f>IF($T621=1,$AU621,VLOOKUP(U621,'Cortes naturales'!$A$25:$C$29,3,9))</f>
        <v>3</v>
      </c>
      <c r="AI621" s="13" t="b">
        <f t="shared" si="251"/>
        <v>1</v>
      </c>
      <c r="AJ621" s="13" t="str">
        <f t="shared" si="252"/>
        <v>Efecto ponderador</v>
      </c>
      <c r="AK621" s="28">
        <v>0.81759069605862034</v>
      </c>
      <c r="AL621" s="28">
        <v>44.22689338989607</v>
      </c>
      <c r="AM621" s="28">
        <v>0.38260580492573398</v>
      </c>
      <c r="AN621" s="13">
        <v>3</v>
      </c>
      <c r="AO621" s="33">
        <f t="shared" si="253"/>
        <v>0</v>
      </c>
      <c r="AP621" s="13">
        <f t="shared" si="263"/>
        <v>38.260580492573396</v>
      </c>
      <c r="AQ621" s="13">
        <f>IFERROR(VLOOKUP(U621,'Cortes naturales'!$E$15:$G$19,3,9),U621)</f>
        <v>4</v>
      </c>
      <c r="AR621" s="28">
        <f t="shared" si="254"/>
        <v>-0.32662795618438412</v>
      </c>
      <c r="AS621" s="13" t="b">
        <f t="shared" si="255"/>
        <v>0</v>
      </c>
      <c r="AT621" s="13">
        <f t="shared" si="264"/>
        <v>0</v>
      </c>
      <c r="AU621" s="13">
        <v>3</v>
      </c>
      <c r="AV621">
        <f t="shared" si="256"/>
        <v>0</v>
      </c>
      <c r="AW621" s="13">
        <v>0</v>
      </c>
      <c r="AX621" s="13">
        <v>0</v>
      </c>
      <c r="AY621" s="13">
        <v>0</v>
      </c>
      <c r="AZ621" s="13">
        <v>1</v>
      </c>
      <c r="BA621">
        <v>1</v>
      </c>
      <c r="BB621" t="s">
        <v>2839</v>
      </c>
      <c r="BC621">
        <v>5</v>
      </c>
      <c r="BD621" t="s">
        <v>2919</v>
      </c>
      <c r="BE621">
        <v>1</v>
      </c>
      <c r="BF621" s="232" t="s">
        <v>2846</v>
      </c>
      <c r="BG621" s="232" t="s">
        <v>2845</v>
      </c>
      <c r="BH621" s="253">
        <v>44.5</v>
      </c>
      <c r="BI621" s="253">
        <v>28.66695168875588</v>
      </c>
      <c r="BJ621" s="25">
        <v>0.58473684210526311</v>
      </c>
      <c r="BK621" t="s">
        <v>381</v>
      </c>
      <c r="BL621">
        <v>3.4920555735629111</v>
      </c>
      <c r="BM621" t="s">
        <v>383</v>
      </c>
      <c r="BN621" s="322">
        <v>187785.56012000001</v>
      </c>
      <c r="BO621" s="322">
        <v>21215.529068</v>
      </c>
      <c r="BP621" s="10">
        <v>67850</v>
      </c>
      <c r="BQ621" s="254">
        <f t="shared" si="257"/>
        <v>2.7676574815033161</v>
      </c>
      <c r="BR621" s="254">
        <f t="shared" si="258"/>
        <v>0.31268281603537212</v>
      </c>
      <c r="BS621" s="25">
        <v>71.942422366592325</v>
      </c>
      <c r="BT621" s="25">
        <v>98.473650387275242</v>
      </c>
      <c r="BU621" s="25">
        <v>48.427124606554337</v>
      </c>
      <c r="BV621" s="25">
        <v>89.744906718219951</v>
      </c>
      <c r="BW621" s="25">
        <v>39.56355281185958</v>
      </c>
      <c r="BX621" s="25">
        <v>77.147026019660473</v>
      </c>
      <c r="BY621" s="25">
        <v>41.21002852408207</v>
      </c>
      <c r="BZ621">
        <v>47</v>
      </c>
      <c r="CA621">
        <v>0</v>
      </c>
      <c r="CB621">
        <v>7</v>
      </c>
      <c r="CC621">
        <v>175099.14585599999</v>
      </c>
      <c r="CD621" s="10">
        <v>65339.016035000001</v>
      </c>
      <c r="CE621" s="255">
        <v>0.37315439613128804</v>
      </c>
      <c r="CF621" t="str">
        <f>IFERROR(VLOOKUP(CE621,'Rangos amb etnico'!$A$2:$C$6,3,9),"N.D.")</f>
        <v>31% - 50%</v>
      </c>
      <c r="CG621" s="256">
        <v>1.9009582826748758E-3</v>
      </c>
      <c r="CH621" s="232">
        <v>8944.5692429999999</v>
      </c>
      <c r="CI621" s="311">
        <f t="shared" si="265"/>
        <v>5.1082883353160018E-2</v>
      </c>
      <c r="CJ621" s="232" t="str">
        <f>IFERROR(VLOOKUP(CI621,'Rangos amb etnico'!$A$2:$C$6,3,9),"N.D.")</f>
        <v>0,1% - 30%</v>
      </c>
      <c r="CK621" s="311">
        <f t="shared" si="266"/>
        <v>3.5515796083516657E-4</v>
      </c>
      <c r="CL621" s="10">
        <v>0</v>
      </c>
      <c r="CM621" s="255">
        <f t="shared" si="267"/>
        <v>0</v>
      </c>
      <c r="CN621" s="232">
        <f>IFERROR(VLOOKUP(CM621,'Rangos amb etnico'!$A$2:$C$6,3,9),"N.D.")</f>
        <v>0</v>
      </c>
      <c r="CO621" s="311">
        <f t="shared" si="268"/>
        <v>0</v>
      </c>
      <c r="CP621">
        <v>0.73520083415903992</v>
      </c>
      <c r="CQ621" t="s">
        <v>2866</v>
      </c>
      <c r="CR621">
        <f t="shared" si="259"/>
        <v>2</v>
      </c>
      <c r="CS621" t="str">
        <f t="shared" si="269"/>
        <v>No es Candidato</v>
      </c>
      <c r="CT621">
        <v>1</v>
      </c>
      <c r="CU621" t="s">
        <v>2835</v>
      </c>
      <c r="CV621" s="25">
        <v>46.513702392578118</v>
      </c>
      <c r="CW621" s="25">
        <v>44.015182495117188</v>
      </c>
      <c r="CX621" s="25">
        <v>46.938835144042969</v>
      </c>
      <c r="CY621" s="25">
        <v>66.921066284179688</v>
      </c>
      <c r="CZ621" s="25">
        <v>29.8326416015625</v>
      </c>
      <c r="DA621" s="25">
        <v>33.811050415039063</v>
      </c>
      <c r="DB621" s="25">
        <v>57.563434600830078</v>
      </c>
      <c r="DC621">
        <v>23224</v>
      </c>
      <c r="DD621" s="253" t="s">
        <v>380</v>
      </c>
    </row>
    <row r="622" spans="1:108">
      <c r="A622" s="13">
        <v>5044</v>
      </c>
      <c r="B622" s="13" t="s">
        <v>1685</v>
      </c>
      <c r="C622" s="13" t="s">
        <v>435</v>
      </c>
      <c r="D622" s="13" t="s">
        <v>436</v>
      </c>
      <c r="E622" s="13" t="s">
        <v>1686</v>
      </c>
      <c r="F622" s="14">
        <v>57.820166666666701</v>
      </c>
      <c r="G622" s="13">
        <v>45.8</v>
      </c>
      <c r="H622" s="13">
        <v>61.19</v>
      </c>
      <c r="I622" s="13">
        <v>56.54</v>
      </c>
      <c r="J622" s="14">
        <v>51.015658654683712</v>
      </c>
      <c r="K622" s="14">
        <v>48.234378615850019</v>
      </c>
      <c r="L622" s="14">
        <v>52.742034940365343</v>
      </c>
      <c r="M622" s="14">
        <v>47.9407</v>
      </c>
      <c r="N622" s="14">
        <f t="shared" si="243"/>
        <v>55.337541666666674</v>
      </c>
      <c r="O622" s="14">
        <f t="shared" si="244"/>
        <v>49.983193052724772</v>
      </c>
      <c r="P622" s="14">
        <f t="shared" si="260"/>
        <v>52.660367359695726</v>
      </c>
      <c r="Q622" s="14">
        <v>55.760762773901106</v>
      </c>
      <c r="R622" s="17">
        <f t="shared" si="245"/>
        <v>44.239237226098894</v>
      </c>
      <c r="S622" s="14">
        <f t="shared" si="261"/>
        <v>0.49815313503489</v>
      </c>
      <c r="T622" s="13">
        <v>0</v>
      </c>
      <c r="U622" s="13">
        <f t="shared" si="262"/>
        <v>26.232927092321418</v>
      </c>
      <c r="V622" s="13">
        <f>IF($T622=1,$AU622,(VLOOKUP(U622,'Cortes naturales'!$A$35:$C$39,3,9)))</f>
        <v>4</v>
      </c>
      <c r="W622" s="13">
        <v>4</v>
      </c>
      <c r="X622" s="14" t="b">
        <f t="shared" si="246"/>
        <v>1</v>
      </c>
      <c r="Y622" s="17">
        <f>IF($T622=1,$AU622,VLOOKUP(U622,'Cortes naturales'!$A$45:$C$49,3,9))</f>
        <v>4</v>
      </c>
      <c r="Z622" s="14">
        <v>52.677859879059</v>
      </c>
      <c r="AA622" s="14">
        <v>0.49843964434549137</v>
      </c>
      <c r="AB622" s="14">
        <v>26.256733742999796</v>
      </c>
      <c r="AC622" s="13">
        <v>4</v>
      </c>
      <c r="AD622" s="13">
        <f t="shared" si="247"/>
        <v>0</v>
      </c>
      <c r="AE622" s="14">
        <f t="shared" si="248"/>
        <v>-1.7492519363273118E-2</v>
      </c>
      <c r="AF622" s="14">
        <f t="shared" si="249"/>
        <v>-2.8650931060136831E-4</v>
      </c>
      <c r="AG622" s="13">
        <f t="shared" si="250"/>
        <v>-2.3806650678377395E-2</v>
      </c>
      <c r="AH622" s="13">
        <f>IF($T622=1,$AU622,VLOOKUP(U622,'Cortes naturales'!$A$25:$C$29,3,9))</f>
        <v>4</v>
      </c>
      <c r="AI622" s="13" t="b">
        <f t="shared" si="251"/>
        <v>1</v>
      </c>
      <c r="AJ622" s="13">
        <f t="shared" si="252"/>
        <v>0</v>
      </c>
      <c r="AK622" s="28">
        <v>0.81759069605862034</v>
      </c>
      <c r="AL622" s="28">
        <v>43.068928125398315</v>
      </c>
      <c r="AM622" s="28">
        <v>0.36812088007730942</v>
      </c>
      <c r="AN622" s="13">
        <v>3</v>
      </c>
      <c r="AO622" s="33">
        <f t="shared" si="253"/>
        <v>-1</v>
      </c>
      <c r="AP622" s="13">
        <f t="shared" si="263"/>
        <v>36.812088007730942</v>
      </c>
      <c r="AQ622" s="13">
        <f>IFERROR(VLOOKUP(U622,'Cortes naturales'!$E$15:$G$19,3,9),U622)</f>
        <v>4</v>
      </c>
      <c r="AR622" s="28">
        <f t="shared" si="254"/>
        <v>-0.31943756102373033</v>
      </c>
      <c r="AS622" s="13" t="b">
        <f t="shared" si="255"/>
        <v>1</v>
      </c>
      <c r="AT622" s="13" t="str">
        <f t="shared" si="264"/>
        <v>Efecto ponderador</v>
      </c>
      <c r="AU622" s="13">
        <v>3</v>
      </c>
      <c r="AV622">
        <f t="shared" si="256"/>
        <v>-1</v>
      </c>
      <c r="AW622" s="13">
        <v>0</v>
      </c>
      <c r="AX622" s="13">
        <v>0</v>
      </c>
      <c r="AY622" s="13">
        <v>0</v>
      </c>
      <c r="AZ622" s="13">
        <v>0</v>
      </c>
      <c r="BA622">
        <v>0</v>
      </c>
      <c r="BB622" t="s">
        <v>2841</v>
      </c>
      <c r="BC622">
        <v>6</v>
      </c>
      <c r="BD622" t="s">
        <v>2919</v>
      </c>
      <c r="BE622">
        <v>1</v>
      </c>
      <c r="BF622" s="232" t="s">
        <v>2846</v>
      </c>
      <c r="BG622" s="232" t="s">
        <v>2845</v>
      </c>
      <c r="BH622" s="253">
        <v>47.1</v>
      </c>
      <c r="BI622" s="253">
        <v>16.332602568117757</v>
      </c>
      <c r="BJ622" s="25">
        <v>53.095912360865491</v>
      </c>
      <c r="BK622" t="s">
        <v>376</v>
      </c>
      <c r="BL622">
        <v>6.0970951788250973</v>
      </c>
      <c r="BM622" t="s">
        <v>379</v>
      </c>
      <c r="BN622" s="322">
        <v>20239.809028</v>
      </c>
      <c r="BO622" s="322">
        <v>1966.657631</v>
      </c>
      <c r="BP622" s="10">
        <v>7628</v>
      </c>
      <c r="BQ622" s="254">
        <f t="shared" si="257"/>
        <v>2.6533572401678027</v>
      </c>
      <c r="BR622" s="254">
        <f t="shared" si="258"/>
        <v>0.25782087454116415</v>
      </c>
      <c r="BS622" s="25">
        <v>60.218339800672773</v>
      </c>
      <c r="BT622" s="25">
        <v>97.325642370214993</v>
      </c>
      <c r="BU622" s="25">
        <v>44.255534689619203</v>
      </c>
      <c r="BV622" s="25">
        <v>84.311065475997054</v>
      </c>
      <c r="BW622" s="25">
        <v>51.610666792511481</v>
      </c>
      <c r="BX622" s="25">
        <v>71.527645584126006</v>
      </c>
      <c r="BY622" s="25">
        <v>51.841063730417261</v>
      </c>
      <c r="BZ622">
        <v>90</v>
      </c>
      <c r="CA622">
        <v>0</v>
      </c>
      <c r="CB622">
        <v>7</v>
      </c>
      <c r="CC622">
        <v>25591.052738999999</v>
      </c>
      <c r="CD622" s="10">
        <v>8595.3165169999993</v>
      </c>
      <c r="CE622" s="255">
        <v>0.3358719394884836</v>
      </c>
      <c r="CF622" t="str">
        <f>IFERROR(VLOOKUP(CE622,'Rangos amb etnico'!$A$2:$C$6,3,9),"N.D.")</f>
        <v>31% - 50%</v>
      </c>
      <c r="CG622" s="256">
        <v>2.500701589453208E-4</v>
      </c>
      <c r="CH622" s="232">
        <v>0</v>
      </c>
      <c r="CI622" s="311">
        <f t="shared" si="265"/>
        <v>0</v>
      </c>
      <c r="CJ622" s="232">
        <f>IFERROR(VLOOKUP(CI622,'Rangos amb etnico'!$A$2:$C$6,3,9),"N.D.")</f>
        <v>0</v>
      </c>
      <c r="CK622" s="311">
        <f t="shared" si="266"/>
        <v>0</v>
      </c>
      <c r="CL622" s="10">
        <v>0</v>
      </c>
      <c r="CM622" s="255">
        <f t="shared" si="267"/>
        <v>0</v>
      </c>
      <c r="CN622" s="232">
        <f>IFERROR(VLOOKUP(CM622,'Rangos amb etnico'!$A$2:$C$6,3,9),"N.D.")</f>
        <v>0</v>
      </c>
      <c r="CO622" s="311">
        <f t="shared" si="268"/>
        <v>0</v>
      </c>
      <c r="CP622">
        <v>0.9538084534716651</v>
      </c>
      <c r="CQ622" t="s">
        <v>2864</v>
      </c>
      <c r="CR622">
        <f t="shared" si="259"/>
        <v>1</v>
      </c>
      <c r="CS622" t="str">
        <f t="shared" si="269"/>
        <v>No es Candidato</v>
      </c>
      <c r="CT622">
        <v>0</v>
      </c>
      <c r="CU622">
        <v>0</v>
      </c>
      <c r="CV622" s="25">
        <v>43.725936889648438</v>
      </c>
      <c r="CW622" s="25">
        <v>16.358871459960941</v>
      </c>
      <c r="CX622" s="25">
        <v>45.27313232421875</v>
      </c>
      <c r="CY622" s="25">
        <v>59.983837127685547</v>
      </c>
      <c r="CZ622" s="25">
        <v>45.163475036621087</v>
      </c>
      <c r="DA622" s="25">
        <v>54.492435455322273</v>
      </c>
      <c r="DB622" s="25">
        <v>41.083877563476563</v>
      </c>
      <c r="DC622">
        <v>70</v>
      </c>
      <c r="DD622" s="253" t="s">
        <v>380</v>
      </c>
    </row>
    <row r="623" spans="1:108" hidden="1">
      <c r="A623" s="13">
        <v>20570</v>
      </c>
      <c r="B623" s="13" t="s">
        <v>1687</v>
      </c>
      <c r="C623" s="13" t="s">
        <v>893</v>
      </c>
      <c r="D623" s="13" t="s">
        <v>894</v>
      </c>
      <c r="E623" s="13" t="s">
        <v>1688</v>
      </c>
      <c r="F623" s="14">
        <v>60.571666666666701</v>
      </c>
      <c r="G623" s="13">
        <v>64.33</v>
      </c>
      <c r="H623" s="13">
        <v>59.87</v>
      </c>
      <c r="I623" s="13">
        <v>49.82</v>
      </c>
      <c r="J623" s="14">
        <v>49.73462356474991</v>
      </c>
      <c r="K623" s="14">
        <v>57.457384238142744</v>
      </c>
      <c r="L623" s="14">
        <v>50.374469173624739</v>
      </c>
      <c r="M623" s="14">
        <v>40.036099999999998</v>
      </c>
      <c r="N623" s="14">
        <f t="shared" si="243"/>
        <v>58.647916666666674</v>
      </c>
      <c r="O623" s="14">
        <f t="shared" si="244"/>
        <v>49.400644244129346</v>
      </c>
      <c r="P623" s="14">
        <f t="shared" si="260"/>
        <v>54.024280455398014</v>
      </c>
      <c r="Q623" s="14">
        <v>55.584094284749732</v>
      </c>
      <c r="R623" s="17">
        <f t="shared" si="245"/>
        <v>44.415905715250268</v>
      </c>
      <c r="S623" s="14">
        <f t="shared" si="261"/>
        <v>0.49974315143725245</v>
      </c>
      <c r="T623" s="13">
        <v>0</v>
      </c>
      <c r="U623" s="13">
        <f t="shared" si="262"/>
        <v>26.998264168910566</v>
      </c>
      <c r="V623" s="13">
        <f>IF($T623=1,$AU623,(VLOOKUP(U623,'Cortes naturales'!$A$35:$C$39,3,9)))</f>
        <v>4</v>
      </c>
      <c r="W623" s="13">
        <v>4</v>
      </c>
      <c r="X623" s="14" t="b">
        <f t="shared" si="246"/>
        <v>1</v>
      </c>
      <c r="Y623" s="17">
        <f>IF($T623=1,$AU623,VLOOKUP(U623,'Cortes naturales'!$A$45:$C$49,3,9))</f>
        <v>4</v>
      </c>
      <c r="Z623" s="14">
        <v>58.176721472644573</v>
      </c>
      <c r="AA623" s="14">
        <v>0.50108770350949061</v>
      </c>
      <c r="AB623" s="14">
        <v>29.151639760438741</v>
      </c>
      <c r="AC623" s="13">
        <v>3</v>
      </c>
      <c r="AD623" s="13">
        <f t="shared" si="247"/>
        <v>-1</v>
      </c>
      <c r="AE623" s="14">
        <f t="shared" si="248"/>
        <v>-4.1524410172465593</v>
      </c>
      <c r="AF623" s="14">
        <f t="shared" si="249"/>
        <v>-1.3445520722381588E-3</v>
      </c>
      <c r="AG623" s="13">
        <f t="shared" si="250"/>
        <v>-2.1533755915281745</v>
      </c>
      <c r="AH623" s="13">
        <f>IF($T623=1,$AU623,VLOOKUP(U623,'Cortes naturales'!$A$25:$C$29,3,9))</f>
        <v>4</v>
      </c>
      <c r="AI623" s="13" t="b">
        <f t="shared" si="251"/>
        <v>1</v>
      </c>
      <c r="AJ623" s="13" t="str">
        <f t="shared" si="252"/>
        <v>Efecto ponderador</v>
      </c>
      <c r="AK623" s="28">
        <v>0.81759069605862034</v>
      </c>
      <c r="AL623" s="28">
        <v>47.564746203227962</v>
      </c>
      <c r="AM623" s="28">
        <v>0.42435882519200691</v>
      </c>
      <c r="AN623" s="13">
        <v>3</v>
      </c>
      <c r="AO623" s="33">
        <f t="shared" si="253"/>
        <v>-1</v>
      </c>
      <c r="AP623" s="13">
        <f t="shared" si="263"/>
        <v>42.435882519200689</v>
      </c>
      <c r="AQ623" s="13">
        <f>IFERROR(VLOOKUP(U623,'Cortes naturales'!$E$15:$G$19,3,9),U623)</f>
        <v>4</v>
      </c>
      <c r="AR623" s="28">
        <f t="shared" si="254"/>
        <v>-0.31784754462136788</v>
      </c>
      <c r="AS623" s="13" t="b">
        <f t="shared" si="255"/>
        <v>1</v>
      </c>
      <c r="AT623" s="13" t="str">
        <f t="shared" si="264"/>
        <v>Efecto ponderador</v>
      </c>
      <c r="AU623" s="13">
        <v>3</v>
      </c>
      <c r="AV623">
        <f t="shared" si="256"/>
        <v>-1</v>
      </c>
      <c r="AW623" s="13">
        <v>0</v>
      </c>
      <c r="AX623" s="13">
        <v>0</v>
      </c>
      <c r="AY623" s="13">
        <v>0</v>
      </c>
      <c r="AZ623" s="13">
        <v>1</v>
      </c>
      <c r="BA623">
        <v>1</v>
      </c>
      <c r="BB623" t="s">
        <v>2840</v>
      </c>
      <c r="BC623">
        <v>6</v>
      </c>
      <c r="BD623" t="s">
        <v>2919</v>
      </c>
      <c r="BE623">
        <v>0</v>
      </c>
      <c r="BF623" s="232" t="s">
        <v>2846</v>
      </c>
      <c r="BG623" s="232" t="s">
        <v>2846</v>
      </c>
      <c r="BH623" s="253">
        <v>74.900000000000006</v>
      </c>
      <c r="BI623" s="253">
        <v>64.552124060976141</v>
      </c>
      <c r="BJ623" s="25">
        <v>24.119999999999997</v>
      </c>
      <c r="BK623" t="s">
        <v>379</v>
      </c>
      <c r="BL623">
        <v>0.73633705948824391</v>
      </c>
      <c r="BM623" t="s">
        <v>383</v>
      </c>
      <c r="BN623" s="322">
        <v>42929.131718999997</v>
      </c>
      <c r="BO623" s="322">
        <v>4011.9351379999998</v>
      </c>
      <c r="BP623" s="10">
        <v>33724</v>
      </c>
      <c r="BQ623" s="254">
        <f t="shared" si="257"/>
        <v>1.2729549199086703</v>
      </c>
      <c r="BR623" s="254">
        <f t="shared" si="258"/>
        <v>0.11896379842248843</v>
      </c>
      <c r="BS623" s="25">
        <v>51.962588638023597</v>
      </c>
      <c r="BT623" s="25">
        <v>96.938029732798938</v>
      </c>
      <c r="BU623" s="25">
        <v>24.80869617393757</v>
      </c>
      <c r="BV623" s="25">
        <v>95.361261340484091</v>
      </c>
      <c r="BW623" s="25">
        <v>44.818749812420123</v>
      </c>
      <c r="BX623" s="25">
        <v>67.267643971311045</v>
      </c>
      <c r="BY623" s="25">
        <v>46.114266918362368</v>
      </c>
      <c r="BZ623">
        <v>47</v>
      </c>
      <c r="CA623">
        <v>0</v>
      </c>
      <c r="CB623">
        <v>7</v>
      </c>
      <c r="CC623">
        <v>74263.686388000002</v>
      </c>
      <c r="CD623" s="10">
        <v>53741.910996999999</v>
      </c>
      <c r="CE623" s="255">
        <v>0.72366338934777086</v>
      </c>
      <c r="CF623" t="str">
        <f>IFERROR(VLOOKUP(CE623,'Rangos amb etnico'!$A$2:$C$6,3,9),"N.D.")</f>
        <v>71% - 100%</v>
      </c>
      <c r="CG623" s="256">
        <v>1.563554779915858E-3</v>
      </c>
      <c r="CH623" s="232">
        <v>34947.961373999999</v>
      </c>
      <c r="CI623" s="311">
        <f t="shared" si="265"/>
        <v>0.47059287080646606</v>
      </c>
      <c r="CJ623" s="232" t="str">
        <f>IFERROR(VLOOKUP(CI623,'Rangos amb etnico'!$A$2:$C$6,3,9),"N.D.")</f>
        <v>31% - 50%</v>
      </c>
      <c r="CK623" s="311">
        <f t="shared" si="266"/>
        <v>1.3876628778573821E-3</v>
      </c>
      <c r="CL623" s="10">
        <v>0</v>
      </c>
      <c r="CM623" s="255">
        <f t="shared" si="267"/>
        <v>0</v>
      </c>
      <c r="CN623" s="232">
        <f>IFERROR(VLOOKUP(CM623,'Rangos amb etnico'!$A$2:$C$6,3,9),"N.D.")</f>
        <v>0</v>
      </c>
      <c r="CO623" s="311">
        <f t="shared" si="268"/>
        <v>0</v>
      </c>
      <c r="CP623">
        <v>0.9686401370957618</v>
      </c>
      <c r="CQ623" t="s">
        <v>2864</v>
      </c>
      <c r="CR623">
        <f t="shared" si="259"/>
        <v>1</v>
      </c>
      <c r="CS623" t="str">
        <f t="shared" si="269"/>
        <v>No es Candidato</v>
      </c>
      <c r="CT623">
        <v>0</v>
      </c>
      <c r="CU623">
        <v>0</v>
      </c>
      <c r="CV623" s="25">
        <v>40.877452850341797</v>
      </c>
      <c r="CW623" s="25">
        <v>24.453546524047852</v>
      </c>
      <c r="CX623" s="25">
        <v>38.285400390625</v>
      </c>
      <c r="CY623" s="25">
        <v>30.3191032409668</v>
      </c>
      <c r="CZ623" s="25">
        <v>8.6870870590209961</v>
      </c>
      <c r="DA623" s="25">
        <v>80.660003662109375</v>
      </c>
      <c r="DB623" s="25">
        <v>62.859565734863281</v>
      </c>
      <c r="DC623">
        <v>18625</v>
      </c>
      <c r="DD623" s="253" t="s">
        <v>380</v>
      </c>
    </row>
    <row r="624" spans="1:108" hidden="1">
      <c r="A624" s="13">
        <v>73678</v>
      </c>
      <c r="B624" s="13" t="s">
        <v>1689</v>
      </c>
      <c r="C624" s="13" t="s">
        <v>595</v>
      </c>
      <c r="D624" s="13" t="s">
        <v>596</v>
      </c>
      <c r="E624" s="13" t="s">
        <v>1690</v>
      </c>
      <c r="F624" s="14">
        <v>60.298066666666699</v>
      </c>
      <c r="G624" s="13">
        <v>53.98</v>
      </c>
      <c r="H624" s="13">
        <v>71.89</v>
      </c>
      <c r="I624" s="13">
        <v>77.22</v>
      </c>
      <c r="J624" s="14">
        <v>33.423655419639417</v>
      </c>
      <c r="K624" s="14">
        <v>32.290413759977838</v>
      </c>
      <c r="L624" s="14">
        <v>57.724216924488317</v>
      </c>
      <c r="M624" s="14">
        <v>44.265799999999999</v>
      </c>
      <c r="N624" s="14">
        <f t="shared" si="243"/>
        <v>65.847016666666661</v>
      </c>
      <c r="O624" s="14">
        <f t="shared" si="244"/>
        <v>41.926021526026389</v>
      </c>
      <c r="P624" s="14">
        <f t="shared" si="260"/>
        <v>53.886519096346525</v>
      </c>
      <c r="Q624" s="14">
        <v>56.093376913811873</v>
      </c>
      <c r="R624" s="17">
        <f t="shared" si="245"/>
        <v>43.906623086188127</v>
      </c>
      <c r="S624" s="14">
        <f t="shared" si="261"/>
        <v>0.49515960777569312</v>
      </c>
      <c r="T624" s="13">
        <v>0</v>
      </c>
      <c r="U624" s="13">
        <f t="shared" si="262"/>
        <v>26.682427660144342</v>
      </c>
      <c r="V624" s="13">
        <f>IF($T624=1,$AU624,(VLOOKUP(U624,'Cortes naturales'!$A$35:$C$39,3,9)))</f>
        <v>4</v>
      </c>
      <c r="W624" s="13">
        <v>4</v>
      </c>
      <c r="X624" s="14" t="b">
        <f t="shared" si="246"/>
        <v>1</v>
      </c>
      <c r="Y624" s="17">
        <f>IF($T624=1,$AU624,VLOOKUP(U624,'Cortes naturales'!$A$45:$C$49,3,9))</f>
        <v>4</v>
      </c>
      <c r="Z624" s="14">
        <v>51.902845177289628</v>
      </c>
      <c r="AA624" s="14">
        <v>0.50034207908675876</v>
      </c>
      <c r="AB624" s="14">
        <v>25.969177466523242</v>
      </c>
      <c r="AC624" s="13">
        <v>4</v>
      </c>
      <c r="AD624" s="13">
        <f t="shared" si="247"/>
        <v>0</v>
      </c>
      <c r="AE624" s="14">
        <f t="shared" si="248"/>
        <v>1.9836739190568977</v>
      </c>
      <c r="AF624" s="14">
        <f t="shared" si="249"/>
        <v>-5.1824713110656395E-3</v>
      </c>
      <c r="AG624" s="13">
        <f t="shared" si="250"/>
        <v>0.71325019362109998</v>
      </c>
      <c r="AH624" s="13">
        <f>IF($T624=1,$AU624,VLOOKUP(U624,'Cortes naturales'!$A$25:$C$29,3,9))</f>
        <v>4</v>
      </c>
      <c r="AI624" s="13" t="b">
        <f t="shared" si="251"/>
        <v>1</v>
      </c>
      <c r="AJ624" s="13">
        <f t="shared" si="252"/>
        <v>0</v>
      </c>
      <c r="AK624" s="28">
        <v>0.81759069605862034</v>
      </c>
      <c r="AL624" s="28">
        <v>42.43528331592303</v>
      </c>
      <c r="AM624" s="28">
        <v>0.36019465143536078</v>
      </c>
      <c r="AN624" s="13">
        <v>3</v>
      </c>
      <c r="AO624" s="33">
        <f t="shared" si="253"/>
        <v>-1</v>
      </c>
      <c r="AP624" s="13">
        <f t="shared" si="263"/>
        <v>36.019465143536081</v>
      </c>
      <c r="AQ624" s="13">
        <f>IFERROR(VLOOKUP(U624,'Cortes naturales'!$E$15:$G$19,3,9),U624)</f>
        <v>4</v>
      </c>
      <c r="AR624" s="28">
        <f t="shared" si="254"/>
        <v>-0.32243108828292721</v>
      </c>
      <c r="AS624" s="13" t="b">
        <f t="shared" si="255"/>
        <v>1</v>
      </c>
      <c r="AT624" s="13" t="str">
        <f t="shared" si="264"/>
        <v>Efecto ponderador</v>
      </c>
      <c r="AU624" s="13">
        <v>3</v>
      </c>
      <c r="AV624">
        <f t="shared" si="256"/>
        <v>-1</v>
      </c>
      <c r="AW624" s="13">
        <v>0</v>
      </c>
      <c r="AX624" s="13">
        <v>0</v>
      </c>
      <c r="AY624" s="13">
        <v>0</v>
      </c>
      <c r="AZ624" s="13">
        <v>0</v>
      </c>
      <c r="BA624">
        <v>0</v>
      </c>
      <c r="BB624" t="s">
        <v>2841</v>
      </c>
      <c r="BC624">
        <v>6</v>
      </c>
      <c r="BD624" t="s">
        <v>2919</v>
      </c>
      <c r="BE624">
        <v>1</v>
      </c>
      <c r="BF624" s="232" t="s">
        <v>2846</v>
      </c>
      <c r="BG624" s="232" t="s">
        <v>2846</v>
      </c>
      <c r="BH624" s="253">
        <v>39.4</v>
      </c>
      <c r="BI624" s="253">
        <v>16.088639920916055</v>
      </c>
      <c r="BJ624" s="25">
        <v>1.1237919104036989</v>
      </c>
      <c r="BK624" t="s">
        <v>381</v>
      </c>
      <c r="BL624">
        <v>4.0048887117794418</v>
      </c>
      <c r="BM624" t="s">
        <v>383</v>
      </c>
      <c r="BN624" s="322">
        <v>32642.77792</v>
      </c>
      <c r="BO624" s="322">
        <v>4007.993172</v>
      </c>
      <c r="BP624" s="10">
        <v>13979</v>
      </c>
      <c r="BQ624" s="254">
        <f t="shared" si="257"/>
        <v>2.3351296888189426</v>
      </c>
      <c r="BR624" s="254">
        <f t="shared" si="258"/>
        <v>0.28671529952070962</v>
      </c>
      <c r="BS624" s="25">
        <v>66.21813765836113</v>
      </c>
      <c r="BT624" s="25">
        <v>84.217033450413723</v>
      </c>
      <c r="BU624" s="25">
        <v>46.591666666666669</v>
      </c>
      <c r="BV624" s="25">
        <v>91.292038027740674</v>
      </c>
      <c r="BW624" s="25">
        <v>56.871674976999607</v>
      </c>
      <c r="BX624" s="25">
        <v>72.079718950795552</v>
      </c>
      <c r="BY624" s="25">
        <v>57.472698302902053</v>
      </c>
      <c r="BZ624">
        <v>18</v>
      </c>
      <c r="CA624">
        <v>0</v>
      </c>
      <c r="CB624">
        <v>7</v>
      </c>
      <c r="CC624">
        <v>41199.658581999996</v>
      </c>
      <c r="CD624" s="10">
        <v>21542.14243</v>
      </c>
      <c r="CE624" s="255">
        <v>0.52287186766668248</v>
      </c>
      <c r="CF624" t="str">
        <f>IFERROR(VLOOKUP(CE624,'Rangos amb etnico'!$A$2:$C$6,3,9),"N.D.")</f>
        <v>51% - 70%</v>
      </c>
      <c r="CG624" s="256">
        <v>6.2674212995393749E-4</v>
      </c>
      <c r="CH624" s="232">
        <v>0</v>
      </c>
      <c r="CI624" s="311">
        <f t="shared" si="265"/>
        <v>0</v>
      </c>
      <c r="CJ624" s="232">
        <f>IFERROR(VLOOKUP(CI624,'Rangos amb etnico'!$A$2:$C$6,3,9),"N.D.")</f>
        <v>0</v>
      </c>
      <c r="CK624" s="311">
        <f t="shared" si="266"/>
        <v>0</v>
      </c>
      <c r="CL624" s="10">
        <v>0</v>
      </c>
      <c r="CM624" s="255">
        <f t="shared" si="267"/>
        <v>0</v>
      </c>
      <c r="CN624" s="232">
        <f>IFERROR(VLOOKUP(CM624,'Rangos amb etnico'!$A$2:$C$6,3,9),"N.D.")</f>
        <v>0</v>
      </c>
      <c r="CO624" s="311">
        <f t="shared" si="268"/>
        <v>0</v>
      </c>
      <c r="CP624">
        <v>0.93528974477146432</v>
      </c>
      <c r="CQ624" t="s">
        <v>2864</v>
      </c>
      <c r="CR624">
        <f t="shared" si="259"/>
        <v>2</v>
      </c>
      <c r="CS624" t="str">
        <f t="shared" si="269"/>
        <v>No es Candidato</v>
      </c>
      <c r="CT624">
        <v>0</v>
      </c>
      <c r="CU624">
        <v>0</v>
      </c>
      <c r="CV624" s="25">
        <v>38.822765350341797</v>
      </c>
      <c r="CW624" s="25">
        <v>24.760942459106449</v>
      </c>
      <c r="CX624" s="25">
        <v>51.333976745605469</v>
      </c>
      <c r="CY624" s="25">
        <v>73.797294616699219</v>
      </c>
      <c r="CZ624" s="25">
        <v>10.962850570678709</v>
      </c>
      <c r="DA624" s="25">
        <v>22.201900482177731</v>
      </c>
      <c r="DB624" s="25">
        <v>49.879627227783203</v>
      </c>
      <c r="DC624">
        <v>178</v>
      </c>
      <c r="DD624" s="253" t="s">
        <v>380</v>
      </c>
    </row>
    <row r="625" spans="1:108" hidden="1">
      <c r="A625" s="13">
        <v>15215</v>
      </c>
      <c r="B625" s="13" t="s">
        <v>1691</v>
      </c>
      <c r="C625" s="13" t="s">
        <v>498</v>
      </c>
      <c r="D625" s="13" t="s">
        <v>499</v>
      </c>
      <c r="E625" s="13" t="s">
        <v>1692</v>
      </c>
      <c r="F625" s="14">
        <v>81.153466666666702</v>
      </c>
      <c r="G625" s="13">
        <v>72.069999999999993</v>
      </c>
      <c r="H625" s="13">
        <v>77.17</v>
      </c>
      <c r="I625" s="13">
        <v>85.29</v>
      </c>
      <c r="J625" s="14">
        <v>56.786667562935335</v>
      </c>
      <c r="K625" s="14">
        <v>55.982309776909773</v>
      </c>
      <c r="L625" s="14">
        <v>70.819438370966083</v>
      </c>
      <c r="M625" s="14">
        <v>55.095100000000002</v>
      </c>
      <c r="N625" s="14">
        <f t="shared" si="243"/>
        <v>78.920866666666683</v>
      </c>
      <c r="O625" s="14">
        <f t="shared" si="244"/>
        <v>59.670878927702802</v>
      </c>
      <c r="P625" s="14">
        <f t="shared" si="260"/>
        <v>69.295872797184742</v>
      </c>
      <c r="Q625" s="14">
        <v>56.918190762282975</v>
      </c>
      <c r="R625" s="17">
        <f t="shared" si="245"/>
        <v>43.081809237717025</v>
      </c>
      <c r="S625" s="14">
        <f t="shared" si="261"/>
        <v>0.48773628313945316</v>
      </c>
      <c r="T625" s="13">
        <v>0</v>
      </c>
      <c r="U625" s="13">
        <f t="shared" si="262"/>
        <v>33.798111435003229</v>
      </c>
      <c r="V625" s="13">
        <f>IF($T625=1,$AU625,(VLOOKUP(U625,'Cortes naturales'!$A$35:$C$39,3,9)))</f>
        <v>3</v>
      </c>
      <c r="W625" s="13">
        <v>3</v>
      </c>
      <c r="X625" s="14" t="b">
        <f t="shared" si="246"/>
        <v>1</v>
      </c>
      <c r="Y625" s="17">
        <f>IF($T625=1,$AU625,VLOOKUP(U625,'Cortes naturales'!$A$45:$C$49,3,9))</f>
        <v>3</v>
      </c>
      <c r="Z625" s="14">
        <v>68.960872438224754</v>
      </c>
      <c r="AA625" s="14">
        <v>0.50054470194104173</v>
      </c>
      <c r="AB625" s="14">
        <v>34.517999340185412</v>
      </c>
      <c r="AC625" s="13">
        <v>3</v>
      </c>
      <c r="AD625" s="13">
        <f t="shared" si="247"/>
        <v>0</v>
      </c>
      <c r="AE625" s="14">
        <f t="shared" si="248"/>
        <v>0.33500035895998792</v>
      </c>
      <c r="AF625" s="14">
        <f t="shared" si="249"/>
        <v>-1.2808418801588561E-2</v>
      </c>
      <c r="AG625" s="13">
        <f t="shared" si="250"/>
        <v>-0.71988790518218337</v>
      </c>
      <c r="AH625" s="13">
        <f>IF($T625=1,$AU625,VLOOKUP(U625,'Cortes naturales'!$A$25:$C$29,3,9))</f>
        <v>3</v>
      </c>
      <c r="AI625" s="13" t="b">
        <f t="shared" si="251"/>
        <v>1</v>
      </c>
      <c r="AJ625" s="13">
        <f t="shared" si="252"/>
        <v>0</v>
      </c>
      <c r="AK625" s="28">
        <v>0.81759069605862034</v>
      </c>
      <c r="AL625" s="28">
        <v>56.381767697577907</v>
      </c>
      <c r="AM625" s="28">
        <v>0.5346504700696243</v>
      </c>
      <c r="AN625" s="13">
        <v>2</v>
      </c>
      <c r="AO625" s="33">
        <f t="shared" si="253"/>
        <v>-1</v>
      </c>
      <c r="AP625" s="13">
        <f t="shared" si="263"/>
        <v>53.465047006962429</v>
      </c>
      <c r="AQ625" s="13">
        <f>IFERROR(VLOOKUP(U625,'Cortes naturales'!$E$15:$G$19,3,9),U625)</f>
        <v>4</v>
      </c>
      <c r="AR625" s="28">
        <f t="shared" si="254"/>
        <v>-0.32985441291916717</v>
      </c>
      <c r="AS625" s="13" t="b">
        <f t="shared" si="255"/>
        <v>0</v>
      </c>
      <c r="AT625" s="13" t="str">
        <f t="shared" si="264"/>
        <v>Cambio en corte</v>
      </c>
      <c r="AU625" s="13">
        <v>3</v>
      </c>
      <c r="AV625">
        <f t="shared" si="256"/>
        <v>0</v>
      </c>
      <c r="AW625" s="13">
        <v>0</v>
      </c>
      <c r="AX625" s="13">
        <v>0</v>
      </c>
      <c r="AY625" s="13">
        <v>0</v>
      </c>
      <c r="AZ625" s="13">
        <v>0</v>
      </c>
      <c r="BA625">
        <v>0</v>
      </c>
      <c r="BB625" t="s">
        <v>2840</v>
      </c>
      <c r="BC625">
        <v>6</v>
      </c>
      <c r="BD625" s="184" t="s">
        <v>2917</v>
      </c>
      <c r="BE625">
        <v>0</v>
      </c>
      <c r="BF625" s="232" t="s">
        <v>2846</v>
      </c>
      <c r="BG625" s="232" t="s">
        <v>2846</v>
      </c>
      <c r="BH625" s="253">
        <v>26.6</v>
      </c>
      <c r="BI625" s="253">
        <v>14.602662363856394</v>
      </c>
      <c r="BJ625" s="25">
        <v>26.184250454108348</v>
      </c>
      <c r="BK625" t="s">
        <v>379</v>
      </c>
      <c r="BL625">
        <v>0</v>
      </c>
      <c r="BM625" t="s">
        <v>377</v>
      </c>
      <c r="BN625" s="322">
        <v>9889.8880119999994</v>
      </c>
      <c r="BO625" s="322">
        <v>1925.9654499999999</v>
      </c>
      <c r="BP625" s="10">
        <v>2561</v>
      </c>
      <c r="BQ625" s="254">
        <f t="shared" si="257"/>
        <v>3.8617290167903162</v>
      </c>
      <c r="BR625" s="254">
        <f t="shared" si="258"/>
        <v>0.75203648965247949</v>
      </c>
      <c r="BS625" s="25">
        <v>71.256352282515067</v>
      </c>
      <c r="BT625" s="25">
        <v>89.522322009631651</v>
      </c>
      <c r="BU625" s="25">
        <v>44.683333333333337</v>
      </c>
      <c r="BV625" s="25">
        <v>94.785576459399365</v>
      </c>
      <c r="BW625" s="25">
        <v>72.724243130879842</v>
      </c>
      <c r="BX625" s="25">
        <v>75.061896021219852</v>
      </c>
      <c r="BY625" s="25">
        <v>73.101050389061015</v>
      </c>
      <c r="BZ625">
        <v>21</v>
      </c>
      <c r="CA625">
        <v>0</v>
      </c>
      <c r="CB625">
        <v>7</v>
      </c>
      <c r="CC625">
        <v>6072.6842059999999</v>
      </c>
      <c r="CD625" s="10">
        <v>419.51818700000001</v>
      </c>
      <c r="CE625" s="255">
        <v>6.9082826106041065E-2</v>
      </c>
      <c r="CF625" t="str">
        <f>IFERROR(VLOOKUP(CE625,'Rangos amb etnico'!$A$2:$C$6,3,9),"N.D.")</f>
        <v>0,1% - 30%</v>
      </c>
      <c r="CG625" s="256">
        <v>1.2205365502951707E-5</v>
      </c>
      <c r="CH625" s="232">
        <v>0</v>
      </c>
      <c r="CI625" s="311">
        <f t="shared" si="265"/>
        <v>0</v>
      </c>
      <c r="CJ625" s="232">
        <f>IFERROR(VLOOKUP(CI625,'Rangos amb etnico'!$A$2:$C$6,3,9),"N.D.")</f>
        <v>0</v>
      </c>
      <c r="CK625" s="311">
        <f t="shared" si="266"/>
        <v>0</v>
      </c>
      <c r="CL625" s="10">
        <v>0</v>
      </c>
      <c r="CM625" s="255">
        <f t="shared" si="267"/>
        <v>0</v>
      </c>
      <c r="CN625" s="232">
        <f>IFERROR(VLOOKUP(CM625,'Rangos amb etnico'!$A$2:$C$6,3,9),"N.D.")</f>
        <v>0</v>
      </c>
      <c r="CO625" s="311">
        <f t="shared" si="268"/>
        <v>0</v>
      </c>
      <c r="CP625">
        <v>0.89645279849377868</v>
      </c>
      <c r="CQ625" t="s">
        <v>2864</v>
      </c>
      <c r="CR625">
        <f t="shared" si="259"/>
        <v>3</v>
      </c>
      <c r="CS625" t="str">
        <f t="shared" si="269"/>
        <v>Candidato</v>
      </c>
      <c r="CT625">
        <v>0</v>
      </c>
      <c r="CU625">
        <v>0</v>
      </c>
      <c r="CV625" s="25">
        <v>51.763511657714837</v>
      </c>
      <c r="CW625" s="25">
        <v>24.95583534240723</v>
      </c>
      <c r="CX625" s="25">
        <v>57.735214233398438</v>
      </c>
      <c r="CY625" s="25">
        <v>70.599830627441406</v>
      </c>
      <c r="CZ625" s="25">
        <v>48.89422607421875</v>
      </c>
      <c r="DA625" s="25">
        <v>59.987545013427727</v>
      </c>
      <c r="DB625" s="25">
        <v>48.408428192138672</v>
      </c>
      <c r="DC625">
        <v>15</v>
      </c>
      <c r="DD625" s="253" t="s">
        <v>380</v>
      </c>
    </row>
    <row r="626" spans="1:108" hidden="1">
      <c r="A626" s="13">
        <v>41020</v>
      </c>
      <c r="B626" s="13" t="s">
        <v>1693</v>
      </c>
      <c r="C626" s="13" t="s">
        <v>676</v>
      </c>
      <c r="D626" s="13" t="s">
        <v>677</v>
      </c>
      <c r="E626" s="13" t="s">
        <v>1694</v>
      </c>
      <c r="F626" s="14">
        <v>61.790766666666698</v>
      </c>
      <c r="G626" s="13">
        <v>54.3</v>
      </c>
      <c r="H626" s="13">
        <v>67.03</v>
      </c>
      <c r="I626" s="13">
        <v>81.180000000000007</v>
      </c>
      <c r="J626" s="14">
        <v>64.443268991986287</v>
      </c>
      <c r="K626" s="14">
        <v>63.879303109642699</v>
      </c>
      <c r="L626" s="14">
        <v>60.309287092281465</v>
      </c>
      <c r="M626" s="14">
        <v>58.805</v>
      </c>
      <c r="N626" s="14">
        <f t="shared" si="243"/>
        <v>66.075191666666683</v>
      </c>
      <c r="O626" s="14">
        <f t="shared" si="244"/>
        <v>61.859214798477616</v>
      </c>
      <c r="P626" s="14">
        <f t="shared" si="260"/>
        <v>63.967203232572146</v>
      </c>
      <c r="Q626" s="14">
        <v>56.893268643094054</v>
      </c>
      <c r="R626" s="17">
        <f t="shared" si="245"/>
        <v>43.106731356905946</v>
      </c>
      <c r="S626" s="14">
        <f t="shared" si="261"/>
        <v>0.48796058221215355</v>
      </c>
      <c r="T626" s="13">
        <v>0</v>
      </c>
      <c r="U626" s="13">
        <f t="shared" si="262"/>
        <v>31.213473731849056</v>
      </c>
      <c r="V626" s="13">
        <f>IF($T626=1,$AU626,(VLOOKUP(U626,'Cortes naturales'!$A$35:$C$39,3,9)))</f>
        <v>3</v>
      </c>
      <c r="W626" s="13">
        <v>3</v>
      </c>
      <c r="X626" s="14" t="b">
        <f t="shared" si="246"/>
        <v>1</v>
      </c>
      <c r="Y626" s="17">
        <f>IF($T626=1,$AU626,VLOOKUP(U626,'Cortes naturales'!$A$45:$C$49,3,9))</f>
        <v>3</v>
      </c>
      <c r="Z626" s="14">
        <v>61.428406555861145</v>
      </c>
      <c r="AA626" s="14">
        <v>0.49949354147549141</v>
      </c>
      <c r="AB626" s="14">
        <v>30.683092337783378</v>
      </c>
      <c r="AC626" s="13">
        <v>3</v>
      </c>
      <c r="AD626" s="13">
        <f t="shared" si="247"/>
        <v>0</v>
      </c>
      <c r="AE626" s="14">
        <f t="shared" si="248"/>
        <v>2.5387966767110015</v>
      </c>
      <c r="AF626" s="14">
        <f t="shared" si="249"/>
        <v>-1.1532959263337861E-2</v>
      </c>
      <c r="AG626" s="13">
        <f t="shared" si="250"/>
        <v>0.53038139406567808</v>
      </c>
      <c r="AH626" s="13">
        <f>IF($T626=1,$AU626,VLOOKUP(U626,'Cortes naturales'!$A$25:$C$29,3,9))</f>
        <v>3</v>
      </c>
      <c r="AI626" s="13" t="b">
        <f t="shared" si="251"/>
        <v>1</v>
      </c>
      <c r="AJ626" s="13">
        <f t="shared" si="252"/>
        <v>0</v>
      </c>
      <c r="AK626" s="28">
        <v>0.81759069605862034</v>
      </c>
      <c r="AL626" s="28">
        <v>50.223293673778429</v>
      </c>
      <c r="AM626" s="28">
        <v>0.45761445167541021</v>
      </c>
      <c r="AN626" s="13">
        <v>3</v>
      </c>
      <c r="AO626" s="33">
        <f t="shared" si="253"/>
        <v>0</v>
      </c>
      <c r="AP626" s="13">
        <f t="shared" si="263"/>
        <v>45.761445167541019</v>
      </c>
      <c r="AQ626" s="13">
        <f>IFERROR(VLOOKUP(U626,'Cortes naturales'!$E$15:$G$19,3,9),U626)</f>
        <v>4</v>
      </c>
      <c r="AR626" s="28">
        <f t="shared" si="254"/>
        <v>-0.32963011384646679</v>
      </c>
      <c r="AS626" s="13" t="b">
        <f t="shared" si="255"/>
        <v>0</v>
      </c>
      <c r="AT626" s="13">
        <f t="shared" si="264"/>
        <v>0</v>
      </c>
      <c r="AU626" s="13">
        <v>3</v>
      </c>
      <c r="AV626">
        <f t="shared" si="256"/>
        <v>0</v>
      </c>
      <c r="AW626" s="13">
        <v>0</v>
      </c>
      <c r="AX626" s="13">
        <v>0</v>
      </c>
      <c r="AY626" s="13">
        <v>0</v>
      </c>
      <c r="AZ626" s="13">
        <v>1</v>
      </c>
      <c r="BA626">
        <v>1</v>
      </c>
      <c r="BB626" t="s">
        <v>2840</v>
      </c>
      <c r="BC626">
        <v>6</v>
      </c>
      <c r="BD626" t="s">
        <v>2919</v>
      </c>
      <c r="BE626">
        <v>0</v>
      </c>
      <c r="BF626" s="232" t="s">
        <v>2846</v>
      </c>
      <c r="BG626" s="232" t="s">
        <v>2845</v>
      </c>
      <c r="BH626" s="253">
        <v>45.2</v>
      </c>
      <c r="BI626" s="253">
        <v>20.214838870846865</v>
      </c>
      <c r="BJ626" s="25">
        <v>1.6125</v>
      </c>
      <c r="BK626" t="s">
        <v>381</v>
      </c>
      <c r="BL626">
        <v>33.276086904481325</v>
      </c>
      <c r="BM626" t="s">
        <v>384</v>
      </c>
      <c r="BN626" s="322">
        <v>48725.150787999999</v>
      </c>
      <c r="BO626" s="322">
        <v>4571.2571820000003</v>
      </c>
      <c r="BP626" s="10">
        <v>22769</v>
      </c>
      <c r="BQ626" s="254">
        <f t="shared" si="257"/>
        <v>2.1399776357327944</v>
      </c>
      <c r="BR626" s="254">
        <f t="shared" si="258"/>
        <v>0.20076670833150337</v>
      </c>
      <c r="BS626" s="25">
        <v>66.117253244620102</v>
      </c>
      <c r="BT626" s="25">
        <v>100</v>
      </c>
      <c r="BU626" s="25">
        <v>57.160951063993231</v>
      </c>
      <c r="BV626" s="25">
        <v>85.191036363129982</v>
      </c>
      <c r="BW626" s="25">
        <v>60.153504370577323</v>
      </c>
      <c r="BX626" s="25">
        <v>77.117310167935827</v>
      </c>
      <c r="BY626" s="25">
        <v>61.486650049274708</v>
      </c>
      <c r="BZ626">
        <v>71</v>
      </c>
      <c r="CA626">
        <v>0</v>
      </c>
      <c r="CB626">
        <v>7</v>
      </c>
      <c r="CC626">
        <v>58942.716248999997</v>
      </c>
      <c r="CD626" s="10">
        <v>43437.408667000003</v>
      </c>
      <c r="CE626" s="255">
        <v>0.73694277141048703</v>
      </c>
      <c r="CF626" t="str">
        <f>IFERROR(VLOOKUP(CE626,'Rangos amb etnico'!$A$2:$C$6,3,9),"N.D.")</f>
        <v>71% - 100%</v>
      </c>
      <c r="CG626" s="256">
        <v>1.2637579626120412E-3</v>
      </c>
      <c r="CH626" s="232">
        <v>0</v>
      </c>
      <c r="CI626" s="311">
        <f t="shared" si="265"/>
        <v>0</v>
      </c>
      <c r="CJ626" s="232">
        <f>IFERROR(VLOOKUP(CI626,'Rangos amb etnico'!$A$2:$C$6,3,9),"N.D.")</f>
        <v>0</v>
      </c>
      <c r="CK626" s="311">
        <f t="shared" si="266"/>
        <v>0</v>
      </c>
      <c r="CL626" s="10">
        <v>4.6255921204100003</v>
      </c>
      <c r="CM626" s="255">
        <f t="shared" si="267"/>
        <v>7.8476059719906048E-5</v>
      </c>
      <c r="CN626" s="232">
        <f>IFERROR(VLOOKUP(CM626,'Rangos amb etnico'!$A$2:$C$6,3,9),"N.D.")</f>
        <v>0</v>
      </c>
      <c r="CO626" s="311">
        <f t="shared" si="268"/>
        <v>2.9007409487360631E-6</v>
      </c>
      <c r="CP626">
        <v>0.95158526487437411</v>
      </c>
      <c r="CQ626" t="s">
        <v>2864</v>
      </c>
      <c r="CR626">
        <f t="shared" si="259"/>
        <v>3</v>
      </c>
      <c r="CS626" t="str">
        <f t="shared" si="269"/>
        <v>Candidato</v>
      </c>
      <c r="CT626">
        <v>0</v>
      </c>
      <c r="CU626">
        <v>0</v>
      </c>
      <c r="CV626" s="25">
        <v>51.852714538574219</v>
      </c>
      <c r="CW626" s="25">
        <v>29.88880729675293</v>
      </c>
      <c r="CX626" s="25">
        <v>42.471874237060547</v>
      </c>
      <c r="CY626" s="25">
        <v>73.509307861328125</v>
      </c>
      <c r="CZ626" s="25">
        <v>51.875102996826172</v>
      </c>
      <c r="DA626" s="25">
        <v>55.119312286376953</v>
      </c>
      <c r="DB626" s="25">
        <v>58.251876831054688</v>
      </c>
      <c r="DC626">
        <v>269</v>
      </c>
      <c r="DD626" s="253" t="s">
        <v>380</v>
      </c>
    </row>
    <row r="627" spans="1:108" hidden="1">
      <c r="A627" s="13">
        <v>19100</v>
      </c>
      <c r="B627" s="13" t="s">
        <v>1695</v>
      </c>
      <c r="C627" s="13" t="s">
        <v>557</v>
      </c>
      <c r="D627" s="13" t="s">
        <v>558</v>
      </c>
      <c r="E627" s="13" t="s">
        <v>481</v>
      </c>
      <c r="F627" s="14">
        <v>53.156433333333297</v>
      </c>
      <c r="G627" s="13">
        <v>46.97</v>
      </c>
      <c r="H627" s="13">
        <v>55.36</v>
      </c>
      <c r="I627" s="13">
        <v>44.92</v>
      </c>
      <c r="J627" s="14">
        <v>52.733826761534459</v>
      </c>
      <c r="K627" s="14">
        <v>44.861548620395169</v>
      </c>
      <c r="L627" s="14">
        <v>49.721264509469684</v>
      </c>
      <c r="M627" s="14">
        <v>48.479300000000002</v>
      </c>
      <c r="N627" s="14">
        <f t="shared" si="243"/>
        <v>50.101608333333331</v>
      </c>
      <c r="O627" s="14">
        <f t="shared" si="244"/>
        <v>48.948984972849829</v>
      </c>
      <c r="P627" s="14">
        <f t="shared" si="260"/>
        <v>49.52529665309158</v>
      </c>
      <c r="Q627" s="14">
        <v>57.041020610821867</v>
      </c>
      <c r="R627" s="17">
        <f t="shared" si="245"/>
        <v>42.958979389178133</v>
      </c>
      <c r="S627" s="14">
        <f t="shared" si="261"/>
        <v>0.48663081450260315</v>
      </c>
      <c r="T627" s="13">
        <v>0</v>
      </c>
      <c r="U627" s="13">
        <f t="shared" si="262"/>
        <v>24.100535448777002</v>
      </c>
      <c r="V627" s="13">
        <f>IF($T627=1,$AU627,(VLOOKUP(U627,'Cortes naturales'!$A$35:$C$39,3,9)))</f>
        <v>4</v>
      </c>
      <c r="W627" s="13">
        <v>4</v>
      </c>
      <c r="X627" s="14" t="b">
        <f t="shared" si="246"/>
        <v>1</v>
      </c>
      <c r="Y627" s="17">
        <f>IF($T627=1,$AU627,VLOOKUP(U627,'Cortes naturales'!$A$45:$C$49,3,9))</f>
        <v>4</v>
      </c>
      <c r="Z627" s="14">
        <v>49.931654722335011</v>
      </c>
      <c r="AA627" s="14">
        <v>0.49710318571534862</v>
      </c>
      <c r="AB627" s="14">
        <v>24.821184630511564</v>
      </c>
      <c r="AC627" s="13">
        <v>4</v>
      </c>
      <c r="AD627" s="13">
        <f t="shared" si="247"/>
        <v>0</v>
      </c>
      <c r="AE627" s="14">
        <f t="shared" si="248"/>
        <v>-0.40635806924343143</v>
      </c>
      <c r="AF627" s="14">
        <f t="shared" si="249"/>
        <v>-1.0472371212745468E-2</v>
      </c>
      <c r="AG627" s="13">
        <f t="shared" si="250"/>
        <v>-0.72064918173456149</v>
      </c>
      <c r="AH627" s="13">
        <f>IF($T627=1,$AU627,VLOOKUP(U627,'Cortes naturales'!$A$25:$C$29,3,9))</f>
        <v>4</v>
      </c>
      <c r="AI627" s="13" t="b">
        <f t="shared" si="251"/>
        <v>1</v>
      </c>
      <c r="AJ627" s="13">
        <f t="shared" si="252"/>
        <v>0</v>
      </c>
      <c r="AK627" s="28">
        <v>0.81759069605862034</v>
      </c>
      <c r="AL627" s="28">
        <v>40.823656339792578</v>
      </c>
      <c r="AM627" s="28">
        <v>0.34003489677893034</v>
      </c>
      <c r="AN627" s="13">
        <v>4</v>
      </c>
      <c r="AO627" s="33">
        <f t="shared" si="253"/>
        <v>0</v>
      </c>
      <c r="AP627" s="13">
        <f t="shared" si="263"/>
        <v>34.003489677893036</v>
      </c>
      <c r="AQ627" s="13">
        <f>IFERROR(VLOOKUP(U627,'Cortes naturales'!$E$15:$G$19,3,9),U627)</f>
        <v>4</v>
      </c>
      <c r="AR627" s="28">
        <f t="shared" si="254"/>
        <v>-0.33095988155601719</v>
      </c>
      <c r="AS627" s="13" t="b">
        <f t="shared" si="255"/>
        <v>1</v>
      </c>
      <c r="AT627" s="13">
        <f t="shared" si="264"/>
        <v>0</v>
      </c>
      <c r="AU627" s="13">
        <v>3</v>
      </c>
      <c r="AV627">
        <f t="shared" si="256"/>
        <v>-1</v>
      </c>
      <c r="AW627" s="13">
        <v>0</v>
      </c>
      <c r="AX627" s="13">
        <v>0</v>
      </c>
      <c r="AY627" s="13">
        <v>0</v>
      </c>
      <c r="AZ627" s="13">
        <v>0</v>
      </c>
      <c r="BA627">
        <v>0</v>
      </c>
      <c r="BB627" t="s">
        <v>2841</v>
      </c>
      <c r="BC627">
        <v>6</v>
      </c>
      <c r="BD627" t="s">
        <v>2919</v>
      </c>
      <c r="BE627">
        <v>1</v>
      </c>
      <c r="BF627" s="232" t="s">
        <v>2846</v>
      </c>
      <c r="BG627" s="232" t="s">
        <v>2846</v>
      </c>
      <c r="BH627" s="253">
        <v>51.1</v>
      </c>
      <c r="BI627" s="253">
        <v>27.486315789473686</v>
      </c>
      <c r="BJ627" s="25">
        <v>2.0699999999999998</v>
      </c>
      <c r="BK627" t="s">
        <v>381</v>
      </c>
      <c r="BL627">
        <v>12.988217232600588</v>
      </c>
      <c r="BM627" t="s">
        <v>376</v>
      </c>
      <c r="BN627" s="322">
        <v>78567.322060000006</v>
      </c>
      <c r="BO627" s="322">
        <v>2577.6984659999998</v>
      </c>
      <c r="BP627" s="10">
        <v>38005</v>
      </c>
      <c r="BQ627" s="254">
        <f t="shared" si="257"/>
        <v>2.0672890951190634</v>
      </c>
      <c r="BR627" s="254">
        <f t="shared" si="258"/>
        <v>6.7825245783449548E-2</v>
      </c>
      <c r="BS627" s="25">
        <v>55.372537010806809</v>
      </c>
      <c r="BT627" s="25">
        <v>93.302044150769632</v>
      </c>
      <c r="BU627" s="25">
        <v>28.361063471440239</v>
      </c>
      <c r="BV627" s="25">
        <v>93.585944237596848</v>
      </c>
      <c r="BW627" s="25">
        <v>48.012634017180098</v>
      </c>
      <c r="BX627" s="25">
        <v>67.655397217653388</v>
      </c>
      <c r="BY627" s="25">
        <v>48.354476706688843</v>
      </c>
      <c r="BZ627">
        <v>26</v>
      </c>
      <c r="CA627">
        <v>0</v>
      </c>
      <c r="CB627">
        <v>6</v>
      </c>
      <c r="CC627">
        <v>79834.678903000007</v>
      </c>
      <c r="CD627" s="10">
        <v>5404.2220900000002</v>
      </c>
      <c r="CE627" s="255">
        <v>6.7692663943274431E-2</v>
      </c>
      <c r="CF627" t="str">
        <f>IFERROR(VLOOKUP(CE627,'Rangos amb etnico'!$A$2:$C$6,3,9),"N.D.")</f>
        <v>0,1% - 30%</v>
      </c>
      <c r="CG627" s="256">
        <v>1.5722919270619269E-4</v>
      </c>
      <c r="CH627" s="232">
        <v>225.928291</v>
      </c>
      <c r="CI627" s="311">
        <f t="shared" si="265"/>
        <v>2.829951771641811E-3</v>
      </c>
      <c r="CJ627" s="232" t="str">
        <f>IFERROR(VLOOKUP(CI627,'Rangos amb etnico'!$A$2:$C$6,3,9),"N.D.")</f>
        <v>0,1% - 30%</v>
      </c>
      <c r="CK627" s="311">
        <f t="shared" si="266"/>
        <v>8.9708323505159231E-6</v>
      </c>
      <c r="CL627" s="10">
        <v>0</v>
      </c>
      <c r="CM627" s="255">
        <f t="shared" si="267"/>
        <v>0</v>
      </c>
      <c r="CN627" s="232">
        <f>IFERROR(VLOOKUP(CM627,'Rangos amb etnico'!$A$2:$C$6,3,9),"N.D.")</f>
        <v>0</v>
      </c>
      <c r="CO627" s="311">
        <f t="shared" si="268"/>
        <v>0</v>
      </c>
      <c r="CP627">
        <v>0.93101779894649717</v>
      </c>
      <c r="CQ627" t="s">
        <v>2864</v>
      </c>
      <c r="CR627">
        <f t="shared" si="259"/>
        <v>1</v>
      </c>
      <c r="CS627" t="str">
        <f t="shared" si="269"/>
        <v>No es Candidato</v>
      </c>
      <c r="CT627">
        <v>0</v>
      </c>
      <c r="CU627">
        <v>0</v>
      </c>
      <c r="CV627" s="25">
        <v>34.355533599853523</v>
      </c>
      <c r="CW627" s="25">
        <v>12.25880146026611</v>
      </c>
      <c r="CX627" s="25">
        <v>35.956386566162109</v>
      </c>
      <c r="CY627" s="25">
        <v>48.932365417480469</v>
      </c>
      <c r="CZ627" s="25">
        <v>17.093954086303711</v>
      </c>
      <c r="DA627" s="25">
        <v>53.601139068603523</v>
      </c>
      <c r="DB627" s="25">
        <v>38.290550231933587</v>
      </c>
      <c r="DC627">
        <v>6607</v>
      </c>
      <c r="DD627" s="253" t="s">
        <v>380</v>
      </c>
    </row>
    <row r="628" spans="1:108" hidden="1">
      <c r="A628" s="13">
        <v>15600</v>
      </c>
      <c r="B628" s="13" t="s">
        <v>1696</v>
      </c>
      <c r="C628" s="13" t="s">
        <v>498</v>
      </c>
      <c r="D628" s="13" t="s">
        <v>499</v>
      </c>
      <c r="E628" s="13" t="s">
        <v>1697</v>
      </c>
      <c r="F628" s="14">
        <v>88.154466666666707</v>
      </c>
      <c r="G628" s="13">
        <v>91.51</v>
      </c>
      <c r="H628" s="13">
        <v>93.59</v>
      </c>
      <c r="I628" s="13">
        <v>90.38</v>
      </c>
      <c r="J628" s="14">
        <v>54.826427794855789</v>
      </c>
      <c r="K628" s="14">
        <v>58.216485896772419</v>
      </c>
      <c r="L628" s="14">
        <v>64.161755000543508</v>
      </c>
      <c r="M628" s="14">
        <v>57.231000000000002</v>
      </c>
      <c r="N628" s="14">
        <f t="shared" si="243"/>
        <v>90.908616666666688</v>
      </c>
      <c r="O628" s="14">
        <f t="shared" si="244"/>
        <v>58.608917173042926</v>
      </c>
      <c r="P628" s="14">
        <f t="shared" si="260"/>
        <v>74.758766919854807</v>
      </c>
      <c r="Q628" s="14">
        <v>57.270721519459222</v>
      </c>
      <c r="R628" s="17">
        <f t="shared" si="245"/>
        <v>42.729278480540778</v>
      </c>
      <c r="S628" s="14">
        <f t="shared" si="261"/>
        <v>0.484563506324867</v>
      </c>
      <c r="T628" s="13">
        <v>0</v>
      </c>
      <c r="U628" s="13">
        <f t="shared" si="262"/>
        <v>36.225370227208323</v>
      </c>
      <c r="V628" s="13">
        <f>IF($T628=1,$AU628,(VLOOKUP(U628,'Cortes naturales'!$A$35:$C$39,3,9)))</f>
        <v>3</v>
      </c>
      <c r="W628" s="13">
        <v>3</v>
      </c>
      <c r="X628" s="14" t="b">
        <f t="shared" si="246"/>
        <v>1</v>
      </c>
      <c r="Y628" s="17">
        <f>IF($T628=1,$AU628,VLOOKUP(U628,'Cortes naturales'!$A$45:$C$49,3,9))</f>
        <v>2</v>
      </c>
      <c r="Z628" s="14">
        <v>74.561305654187819</v>
      </c>
      <c r="AA628" s="14">
        <v>0.49697317377340933</v>
      </c>
      <c r="AB628" s="14">
        <v>37.054968711650972</v>
      </c>
      <c r="AC628" s="13">
        <v>2</v>
      </c>
      <c r="AD628" s="13">
        <f t="shared" si="247"/>
        <v>0</v>
      </c>
      <c r="AE628" s="14">
        <f t="shared" si="248"/>
        <v>0.19746126566698763</v>
      </c>
      <c r="AF628" s="14">
        <f t="shared" si="249"/>
        <v>-1.2409667448542328E-2</v>
      </c>
      <c r="AG628" s="13">
        <f t="shared" si="250"/>
        <v>-0.8295984844426485</v>
      </c>
      <c r="AH628" s="13">
        <f>IF($T628=1,$AU628,VLOOKUP(U628,'Cortes naturales'!$A$25:$C$29,3,9))</f>
        <v>2</v>
      </c>
      <c r="AI628" s="13" t="b">
        <f t="shared" si="251"/>
        <v>1</v>
      </c>
      <c r="AJ628" s="13">
        <f t="shared" si="252"/>
        <v>0</v>
      </c>
      <c r="AK628" s="28">
        <v>0.81759069605862034</v>
      </c>
      <c r="AL628" s="28">
        <v>60.960629788846965</v>
      </c>
      <c r="AM628" s="28">
        <v>0.59192720825580758</v>
      </c>
      <c r="AN628" s="13">
        <v>2</v>
      </c>
      <c r="AO628" s="33">
        <f t="shared" si="253"/>
        <v>0</v>
      </c>
      <c r="AP628" s="13">
        <f t="shared" si="263"/>
        <v>59.192720825580757</v>
      </c>
      <c r="AQ628" s="13">
        <f>IFERROR(VLOOKUP(U628,'Cortes naturales'!$E$15:$G$19,3,9),U628)</f>
        <v>3</v>
      </c>
      <c r="AR628" s="28">
        <f t="shared" si="254"/>
        <v>-0.33302718973375334</v>
      </c>
      <c r="AS628" s="13" t="b">
        <f t="shared" si="255"/>
        <v>0</v>
      </c>
      <c r="AT628" s="13">
        <f t="shared" si="264"/>
        <v>0</v>
      </c>
      <c r="AU628" s="13">
        <v>2</v>
      </c>
      <c r="AV628">
        <f t="shared" si="256"/>
        <v>0</v>
      </c>
      <c r="AW628" s="13">
        <v>0</v>
      </c>
      <c r="AX628" s="13">
        <v>0</v>
      </c>
      <c r="AY628" s="13">
        <v>0</v>
      </c>
      <c r="AZ628" s="13">
        <v>0</v>
      </c>
      <c r="BA628">
        <v>0</v>
      </c>
      <c r="BB628" t="s">
        <v>2840</v>
      </c>
      <c r="BC628">
        <v>6</v>
      </c>
      <c r="BD628" t="s">
        <v>2919</v>
      </c>
      <c r="BE628">
        <v>0</v>
      </c>
      <c r="BF628" s="232" t="s">
        <v>2846</v>
      </c>
      <c r="BG628" s="232" t="s">
        <v>2846</v>
      </c>
      <c r="BH628" s="253">
        <v>31.3</v>
      </c>
      <c r="BI628" s="253">
        <v>14.037250068474391</v>
      </c>
      <c r="BJ628" s="25">
        <v>29.208292292791732</v>
      </c>
      <c r="BK628" t="s">
        <v>379</v>
      </c>
      <c r="BL628">
        <v>0</v>
      </c>
      <c r="BM628" t="s">
        <v>377</v>
      </c>
      <c r="BN628" s="322">
        <v>16894.260765999999</v>
      </c>
      <c r="BO628" s="322">
        <v>2263.7781749999999</v>
      </c>
      <c r="BP628" s="10">
        <v>8043</v>
      </c>
      <c r="BQ628" s="254">
        <f t="shared" si="257"/>
        <v>2.1004924488374983</v>
      </c>
      <c r="BR628" s="254">
        <f t="shared" si="258"/>
        <v>0.28145942745244312</v>
      </c>
      <c r="BS628" s="25">
        <v>67.876054852320678</v>
      </c>
      <c r="BT628" s="25">
        <v>89.746777736333868</v>
      </c>
      <c r="BU628" s="25">
        <v>27.937240706510568</v>
      </c>
      <c r="BV628" s="25">
        <v>87.114003911662735</v>
      </c>
      <c r="BW628" s="25">
        <v>55.429705969871428</v>
      </c>
      <c r="BX628" s="25">
        <v>68.168519301706965</v>
      </c>
      <c r="BY628" s="25">
        <v>56.764632528010061</v>
      </c>
      <c r="BZ628">
        <v>68</v>
      </c>
      <c r="CA628">
        <v>0</v>
      </c>
      <c r="CB628">
        <v>7</v>
      </c>
      <c r="CC628">
        <v>22032.645716999999</v>
      </c>
      <c r="CD628" s="10">
        <v>7255.9306040000001</v>
      </c>
      <c r="CE628" s="255">
        <v>0.32932634133909089</v>
      </c>
      <c r="CF628" t="str">
        <f>IFERROR(VLOOKUP(CE628,'Rangos amb etnico'!$A$2:$C$6,3,9),"N.D.")</f>
        <v>31% - 50%</v>
      </c>
      <c r="CG628" s="256">
        <v>2.1110237369964879E-4</v>
      </c>
      <c r="CH628" s="232">
        <v>0</v>
      </c>
      <c r="CI628" s="311">
        <f t="shared" si="265"/>
        <v>0</v>
      </c>
      <c r="CJ628" s="232">
        <f>IFERROR(VLOOKUP(CI628,'Rangos amb etnico'!$A$2:$C$6,3,9),"N.D.")</f>
        <v>0</v>
      </c>
      <c r="CK628" s="311">
        <f t="shared" si="266"/>
        <v>0</v>
      </c>
      <c r="CL628" s="10">
        <v>0</v>
      </c>
      <c r="CM628" s="255">
        <f t="shared" si="267"/>
        <v>0</v>
      </c>
      <c r="CN628" s="232">
        <f>IFERROR(VLOOKUP(CM628,'Rangos amb etnico'!$A$2:$C$6,3,9),"N.D.")</f>
        <v>0</v>
      </c>
      <c r="CO628" s="311">
        <f t="shared" si="268"/>
        <v>0</v>
      </c>
      <c r="CP628">
        <v>0.95706235527836836</v>
      </c>
      <c r="CQ628" t="s">
        <v>2864</v>
      </c>
      <c r="CR628">
        <f t="shared" si="259"/>
        <v>2</v>
      </c>
      <c r="CS628" t="str">
        <f t="shared" si="269"/>
        <v>No es Candidato</v>
      </c>
      <c r="CT628">
        <v>0</v>
      </c>
      <c r="CU628">
        <v>0</v>
      </c>
      <c r="CV628" s="25">
        <v>47.391941070556641</v>
      </c>
      <c r="CW628" s="25">
        <v>25.99993896484375</v>
      </c>
      <c r="CX628" s="25">
        <v>48.346492767333977</v>
      </c>
      <c r="CY628" s="25">
        <v>58.221225738525391</v>
      </c>
      <c r="CZ628" s="25">
        <v>44.915019989013672</v>
      </c>
      <c r="DA628" s="25">
        <v>51.796642303466797</v>
      </c>
      <c r="DB628" s="25">
        <v>55.072319030761719</v>
      </c>
      <c r="DC628">
        <v>48</v>
      </c>
      <c r="DD628" s="253" t="s">
        <v>380</v>
      </c>
    </row>
    <row r="629" spans="1:108">
      <c r="A629" s="13">
        <v>5310</v>
      </c>
      <c r="B629" s="13" t="s">
        <v>1698</v>
      </c>
      <c r="C629" s="13" t="s">
        <v>435</v>
      </c>
      <c r="D629" s="13" t="s">
        <v>436</v>
      </c>
      <c r="E629" s="13" t="s">
        <v>1699</v>
      </c>
      <c r="F629" s="14">
        <v>60.135933333333298</v>
      </c>
      <c r="G629" s="13">
        <v>45.32</v>
      </c>
      <c r="H629" s="13">
        <v>48.94</v>
      </c>
      <c r="I629" s="13">
        <v>48.46</v>
      </c>
      <c r="J629" s="14">
        <v>52.012828461550157</v>
      </c>
      <c r="K629" s="14">
        <v>68.633826222816495</v>
      </c>
      <c r="L629" s="14">
        <v>55.560618787005708</v>
      </c>
      <c r="M629" s="14">
        <v>68.955799999999996</v>
      </c>
      <c r="N629" s="14">
        <f t="shared" si="243"/>
        <v>50.713983333333324</v>
      </c>
      <c r="O629" s="14">
        <f t="shared" si="244"/>
        <v>61.290768367843086</v>
      </c>
      <c r="P629" s="14">
        <f t="shared" si="260"/>
        <v>56.002375850588209</v>
      </c>
      <c r="Q629" s="14">
        <v>55.928532309469659</v>
      </c>
      <c r="R629" s="17">
        <f t="shared" si="245"/>
        <v>44.071467690530341</v>
      </c>
      <c r="S629" s="14">
        <f t="shared" si="261"/>
        <v>0.49664320921477312</v>
      </c>
      <c r="T629" s="13">
        <v>0</v>
      </c>
      <c r="U629" s="13">
        <f t="shared" si="262"/>
        <v>27.813199666088039</v>
      </c>
      <c r="V629" s="13">
        <f>IF($T629=1,$AU629,(VLOOKUP(U629,'Cortes naturales'!$A$35:$C$39,3,9)))</f>
        <v>4</v>
      </c>
      <c r="W629" s="13">
        <v>4</v>
      </c>
      <c r="X629" s="14" t="b">
        <f t="shared" si="246"/>
        <v>1</v>
      </c>
      <c r="Y629" s="17">
        <f>IF($T629=1,$AU629,VLOOKUP(U629,'Cortes naturales'!$A$45:$C$49,3,9))</f>
        <v>4</v>
      </c>
      <c r="Z629" s="14">
        <v>55.506216257311536</v>
      </c>
      <c r="AA629" s="14">
        <v>0.50147126610051163</v>
      </c>
      <c r="AB629" s="14">
        <v>27.834772543002817</v>
      </c>
      <c r="AC629" s="13">
        <v>3</v>
      </c>
      <c r="AD629" s="13">
        <f t="shared" si="247"/>
        <v>-1</v>
      </c>
      <c r="AE629" s="14">
        <f t="shared" si="248"/>
        <v>0.49615959327667269</v>
      </c>
      <c r="AF629" s="14">
        <f t="shared" si="249"/>
        <v>-4.8280568857385076E-3</v>
      </c>
      <c r="AG629" s="13">
        <f t="shared" si="250"/>
        <v>-2.157287691477805E-2</v>
      </c>
      <c r="AH629" s="13">
        <f>IF($T629=1,$AU629,VLOOKUP(U629,'Cortes naturales'!$A$25:$C$29,3,9))</f>
        <v>3</v>
      </c>
      <c r="AI629" s="13" t="b">
        <f t="shared" si="251"/>
        <v>0</v>
      </c>
      <c r="AJ629" s="13" t="str">
        <f t="shared" si="252"/>
        <v>Cambio en corte</v>
      </c>
      <c r="AK629" s="28">
        <v>0.81759069605862034</v>
      </c>
      <c r="AL629" s="28">
        <v>45.381365985395647</v>
      </c>
      <c r="AM629" s="28">
        <v>0.39704704016661146</v>
      </c>
      <c r="AN629" s="13">
        <v>3</v>
      </c>
      <c r="AO629" s="33">
        <f t="shared" si="253"/>
        <v>-1</v>
      </c>
      <c r="AP629" s="13">
        <f t="shared" si="263"/>
        <v>39.704704016661147</v>
      </c>
      <c r="AQ629" s="13">
        <f>IFERROR(VLOOKUP(U629,'Cortes naturales'!$E$15:$G$19,3,9),U629)</f>
        <v>4</v>
      </c>
      <c r="AR629" s="28">
        <f t="shared" si="254"/>
        <v>-0.32094748684384722</v>
      </c>
      <c r="AS629" s="13" t="b">
        <f t="shared" si="255"/>
        <v>1</v>
      </c>
      <c r="AT629" s="13" t="str">
        <f t="shared" si="264"/>
        <v>Efecto ponderador</v>
      </c>
      <c r="AU629" s="13">
        <v>3</v>
      </c>
      <c r="AV629">
        <f t="shared" si="256"/>
        <v>-1</v>
      </c>
      <c r="AW629" s="13">
        <v>0</v>
      </c>
      <c r="AX629" s="13">
        <v>0</v>
      </c>
      <c r="AY629" s="13">
        <v>0</v>
      </c>
      <c r="AZ629" s="13">
        <v>0</v>
      </c>
      <c r="BA629">
        <v>0</v>
      </c>
      <c r="BB629" t="s">
        <v>2840</v>
      </c>
      <c r="BC629">
        <v>6</v>
      </c>
      <c r="BD629" t="s">
        <v>2919</v>
      </c>
      <c r="BE629">
        <v>0</v>
      </c>
      <c r="BF629" s="232" t="s">
        <v>2846</v>
      </c>
      <c r="BG629" s="232" t="s">
        <v>2846</v>
      </c>
      <c r="BH629" s="253">
        <v>34.1</v>
      </c>
      <c r="BI629" s="253">
        <v>10.39941548952752</v>
      </c>
      <c r="BJ629" s="25">
        <v>43.082316262759271</v>
      </c>
      <c r="BK629" t="s">
        <v>376</v>
      </c>
      <c r="BL629">
        <v>9.6088471477356023</v>
      </c>
      <c r="BM629" t="s">
        <v>379</v>
      </c>
      <c r="BN629" s="322">
        <v>25019.485304999998</v>
      </c>
      <c r="BO629" s="322">
        <v>4245.4222550000004</v>
      </c>
      <c r="BP629" s="10">
        <v>10301</v>
      </c>
      <c r="BQ629" s="254">
        <f t="shared" si="257"/>
        <v>2.4288404334530624</v>
      </c>
      <c r="BR629" s="254">
        <f t="shared" si="258"/>
        <v>0.41213690466944963</v>
      </c>
      <c r="BS629" s="25">
        <v>53.557529260657191</v>
      </c>
      <c r="BT629" s="25">
        <v>83.179307256253438</v>
      </c>
      <c r="BU629" s="25">
        <v>68.906666666666666</v>
      </c>
      <c r="BV629" s="25">
        <v>90.900742918132664</v>
      </c>
      <c r="BW629" s="25">
        <v>62.139310653085957</v>
      </c>
      <c r="BX629" s="25">
        <v>74.136061525427493</v>
      </c>
      <c r="BY629" s="25">
        <v>63.754274531800988</v>
      </c>
      <c r="BZ629">
        <v>61</v>
      </c>
      <c r="CA629">
        <v>0</v>
      </c>
      <c r="CB629">
        <v>7</v>
      </c>
      <c r="CC629">
        <v>33203.088994999998</v>
      </c>
      <c r="CD629" s="10">
        <v>237.105977</v>
      </c>
      <c r="CE629" s="255">
        <v>7.1410818745118992E-3</v>
      </c>
      <c r="CF629" t="str">
        <f>IFERROR(VLOOKUP(CE629,'Rangos amb etnico'!$A$2:$C$6,3,9),"N.D.")</f>
        <v>0,1% - 30%</v>
      </c>
      <c r="CG629" s="256">
        <v>6.8983066810866554E-6</v>
      </c>
      <c r="CH629" s="232">
        <v>0</v>
      </c>
      <c r="CI629" s="311">
        <f t="shared" si="265"/>
        <v>0</v>
      </c>
      <c r="CJ629" s="232">
        <f>IFERROR(VLOOKUP(CI629,'Rangos amb etnico'!$A$2:$C$6,3,9),"N.D.")</f>
        <v>0</v>
      </c>
      <c r="CK629" s="311">
        <f t="shared" si="266"/>
        <v>0</v>
      </c>
      <c r="CL629" s="10">
        <v>0</v>
      </c>
      <c r="CM629" s="255">
        <f t="shared" si="267"/>
        <v>0</v>
      </c>
      <c r="CN629" s="232">
        <f>IFERROR(VLOOKUP(CM629,'Rangos amb etnico'!$A$2:$C$6,3,9),"N.D.")</f>
        <v>0</v>
      </c>
      <c r="CO629" s="311">
        <f t="shared" si="268"/>
        <v>0</v>
      </c>
      <c r="CP629">
        <v>0.85591431598423307</v>
      </c>
      <c r="CQ629" t="s">
        <v>2864</v>
      </c>
      <c r="CR629">
        <f t="shared" si="259"/>
        <v>3</v>
      </c>
      <c r="CS629" t="str">
        <f t="shared" si="269"/>
        <v>Candidato</v>
      </c>
      <c r="CT629">
        <v>0</v>
      </c>
      <c r="CU629">
        <v>0</v>
      </c>
      <c r="CV629" s="25">
        <v>43.562839508056641</v>
      </c>
      <c r="CW629" s="25">
        <v>28.48615837097168</v>
      </c>
      <c r="CX629" s="25">
        <v>51.691028594970703</v>
      </c>
      <c r="CY629" s="25">
        <v>52.092365264892578</v>
      </c>
      <c r="CZ629" s="25">
        <v>47.723846435546882</v>
      </c>
      <c r="DA629" s="25">
        <v>27.15022087097168</v>
      </c>
      <c r="DB629" s="25">
        <v>54.233421325683587</v>
      </c>
      <c r="DC629">
        <v>284</v>
      </c>
      <c r="DD629" s="253" t="s">
        <v>380</v>
      </c>
    </row>
    <row r="630" spans="1:108">
      <c r="A630" s="13">
        <v>5038</v>
      </c>
      <c r="B630" s="13" t="s">
        <v>1700</v>
      </c>
      <c r="C630" s="13" t="s">
        <v>435</v>
      </c>
      <c r="D630" s="13" t="s">
        <v>436</v>
      </c>
      <c r="E630" s="13" t="s">
        <v>1701</v>
      </c>
      <c r="F630" s="14">
        <v>70.190100000000001</v>
      </c>
      <c r="G630" s="13">
        <v>65.55</v>
      </c>
      <c r="H630" s="13">
        <v>55.82</v>
      </c>
      <c r="I630" s="13">
        <v>61.07</v>
      </c>
      <c r="J630" s="14">
        <v>55.197579063617475</v>
      </c>
      <c r="K630" s="14">
        <v>54.155879287313745</v>
      </c>
      <c r="L630" s="14">
        <v>62.255829255617755</v>
      </c>
      <c r="M630" s="14">
        <v>54.126399999999997</v>
      </c>
      <c r="N630" s="14">
        <f t="shared" si="243"/>
        <v>63.157524999999993</v>
      </c>
      <c r="O630" s="14">
        <f t="shared" si="244"/>
        <v>56.433921901637241</v>
      </c>
      <c r="P630" s="14">
        <f t="shared" si="260"/>
        <v>59.795723450818613</v>
      </c>
      <c r="Q630" s="14">
        <v>56.043681571406182</v>
      </c>
      <c r="R630" s="17">
        <f t="shared" si="245"/>
        <v>43.956318428593818</v>
      </c>
      <c r="S630" s="14">
        <f t="shared" si="261"/>
        <v>0.49560686585734437</v>
      </c>
      <c r="T630" s="13">
        <v>0</v>
      </c>
      <c r="U630" s="13">
        <f t="shared" si="262"/>
        <v>29.635171091132722</v>
      </c>
      <c r="V630" s="13">
        <f>IF($T630=1,$AU630,(VLOOKUP(U630,'Cortes naturales'!$A$35:$C$39,3,9)))</f>
        <v>3</v>
      </c>
      <c r="W630" s="13">
        <v>3</v>
      </c>
      <c r="X630" s="14" t="b">
        <f t="shared" si="246"/>
        <v>1</v>
      </c>
      <c r="Y630" s="17">
        <f>IF($T630=1,$AU630,VLOOKUP(U630,'Cortes naturales'!$A$45:$C$49,3,9))</f>
        <v>3</v>
      </c>
      <c r="Z630" s="14">
        <v>61.0907431261721</v>
      </c>
      <c r="AA630" s="14">
        <v>0.50001400467683965</v>
      </c>
      <c r="AB630" s="14">
        <v>30.546227119201426</v>
      </c>
      <c r="AC630" s="13">
        <v>3</v>
      </c>
      <c r="AD630" s="13">
        <f t="shared" si="247"/>
        <v>0</v>
      </c>
      <c r="AE630" s="14">
        <f t="shared" si="248"/>
        <v>-1.2950196753534868</v>
      </c>
      <c r="AF630" s="14">
        <f t="shared" si="249"/>
        <v>-4.4071388194952821E-3</v>
      </c>
      <c r="AG630" s="13">
        <f t="shared" si="250"/>
        <v>-0.91105602806870323</v>
      </c>
      <c r="AH630" s="13">
        <f>IF($T630=1,$AU630,VLOOKUP(U630,'Cortes naturales'!$A$25:$C$29,3,9))</f>
        <v>3</v>
      </c>
      <c r="AI630" s="13" t="b">
        <f t="shared" si="251"/>
        <v>1</v>
      </c>
      <c r="AJ630" s="13">
        <f t="shared" si="252"/>
        <v>0</v>
      </c>
      <c r="AK630" s="28">
        <v>0.81759069605862034</v>
      </c>
      <c r="AL630" s="28">
        <v>49.947223195265423</v>
      </c>
      <c r="AM630" s="28">
        <v>0.45416110099492679</v>
      </c>
      <c r="AN630" s="13">
        <v>3</v>
      </c>
      <c r="AO630" s="33">
        <f t="shared" si="253"/>
        <v>0</v>
      </c>
      <c r="AP630" s="13">
        <f t="shared" si="263"/>
        <v>45.416110099492677</v>
      </c>
      <c r="AQ630" s="13">
        <f>IFERROR(VLOOKUP(U630,'Cortes naturales'!$E$15:$G$19,3,9),U630)</f>
        <v>4</v>
      </c>
      <c r="AR630" s="28">
        <f t="shared" si="254"/>
        <v>-0.32198383020127597</v>
      </c>
      <c r="AS630" s="13" t="b">
        <f t="shared" si="255"/>
        <v>0</v>
      </c>
      <c r="AT630" s="13">
        <f t="shared" si="264"/>
        <v>0</v>
      </c>
      <c r="AU630" s="13">
        <v>3</v>
      </c>
      <c r="AV630">
        <f t="shared" si="256"/>
        <v>0</v>
      </c>
      <c r="AW630" s="13">
        <v>0</v>
      </c>
      <c r="AX630" s="13">
        <v>0</v>
      </c>
      <c r="AY630" s="13">
        <v>0</v>
      </c>
      <c r="AZ630" s="13">
        <v>0</v>
      </c>
      <c r="BA630">
        <v>1</v>
      </c>
      <c r="BB630" t="s">
        <v>2841</v>
      </c>
      <c r="BC630">
        <v>6</v>
      </c>
      <c r="BD630" t="s">
        <v>2919</v>
      </c>
      <c r="BE630">
        <v>0</v>
      </c>
      <c r="BF630" s="232" t="s">
        <v>2846</v>
      </c>
      <c r="BG630" s="232" t="s">
        <v>2845</v>
      </c>
      <c r="BH630" s="253">
        <v>53.8</v>
      </c>
      <c r="BI630" s="253">
        <v>20.523809523809526</v>
      </c>
      <c r="BJ630" s="25">
        <v>43.230252698436303</v>
      </c>
      <c r="BK630" t="s">
        <v>376</v>
      </c>
      <c r="BL630">
        <v>15.621991306787763</v>
      </c>
      <c r="BM630" t="s">
        <v>376</v>
      </c>
      <c r="BN630" s="322">
        <v>29012.158071000002</v>
      </c>
      <c r="BO630" s="322">
        <v>3908.0862769999999</v>
      </c>
      <c r="BP630" s="10">
        <v>12413</v>
      </c>
      <c r="BQ630" s="254">
        <f t="shared" si="257"/>
        <v>2.3372398349311205</v>
      </c>
      <c r="BR630" s="254">
        <f t="shared" si="258"/>
        <v>0.31483817586401353</v>
      </c>
      <c r="BS630" s="25">
        <v>49.88049317055129</v>
      </c>
      <c r="BT630" s="25">
        <v>85.049035103789038</v>
      </c>
      <c r="BU630" s="25">
        <v>58.50333333333333</v>
      </c>
      <c r="BV630" s="25">
        <v>92.510145545961791</v>
      </c>
      <c r="BW630" s="25">
        <v>60.510436000965193</v>
      </c>
      <c r="BX630" s="25">
        <v>71.485751788408862</v>
      </c>
      <c r="BY630" s="25">
        <v>60.87076949016167</v>
      </c>
      <c r="BZ630">
        <v>61</v>
      </c>
      <c r="CA630">
        <v>0</v>
      </c>
      <c r="CB630">
        <v>7</v>
      </c>
      <c r="CC630">
        <v>33835.447371000002</v>
      </c>
      <c r="CD630" s="10">
        <v>152.26983200000001</v>
      </c>
      <c r="CE630" s="255">
        <v>4.5003049710082696E-3</v>
      </c>
      <c r="CF630" t="str">
        <f>IFERROR(VLOOKUP(CE630,'Rangos amb etnico'!$A$2:$C$6,3,9),"N.D.")</f>
        <v>0,1% - 30%</v>
      </c>
      <c r="CG630" s="256">
        <v>4.4301034191708406E-6</v>
      </c>
      <c r="CH630" s="232">
        <v>0</v>
      </c>
      <c r="CI630" s="311">
        <f t="shared" si="265"/>
        <v>0</v>
      </c>
      <c r="CJ630" s="232">
        <f>IFERROR(VLOOKUP(CI630,'Rangos amb etnico'!$A$2:$C$6,3,9),"N.D.")</f>
        <v>0</v>
      </c>
      <c r="CK630" s="311">
        <f t="shared" si="266"/>
        <v>0</v>
      </c>
      <c r="CL630" s="10">
        <v>0</v>
      </c>
      <c r="CM630" s="255">
        <f t="shared" si="267"/>
        <v>0</v>
      </c>
      <c r="CN630" s="232">
        <f>IFERROR(VLOOKUP(CM630,'Rangos amb etnico'!$A$2:$C$6,3,9),"N.D.")</f>
        <v>0</v>
      </c>
      <c r="CO630" s="311">
        <f t="shared" si="268"/>
        <v>0</v>
      </c>
      <c r="CP630">
        <v>0.92250024915712592</v>
      </c>
      <c r="CQ630" t="s">
        <v>2864</v>
      </c>
      <c r="CR630">
        <f t="shared" si="259"/>
        <v>3</v>
      </c>
      <c r="CS630" t="str">
        <f t="shared" si="269"/>
        <v>Candidato</v>
      </c>
      <c r="CT630">
        <v>0</v>
      </c>
      <c r="CU630">
        <v>0</v>
      </c>
      <c r="CV630" s="25">
        <v>41.990711212158203</v>
      </c>
      <c r="CW630" s="25">
        <v>13.905998229980471</v>
      </c>
      <c r="CX630" s="25">
        <v>36.621242523193359</v>
      </c>
      <c r="CY630" s="25">
        <v>50.583518981933587</v>
      </c>
      <c r="CZ630" s="25">
        <v>33.520343780517578</v>
      </c>
      <c r="DA630" s="25">
        <v>61.978427886962891</v>
      </c>
      <c r="DB630" s="25">
        <v>55.334732055664063</v>
      </c>
      <c r="DC630">
        <v>169</v>
      </c>
      <c r="DD630" s="253" t="s">
        <v>380</v>
      </c>
    </row>
    <row r="631" spans="1:108" hidden="1">
      <c r="A631" s="13">
        <v>8549</v>
      </c>
      <c r="B631" s="13" t="s">
        <v>1702</v>
      </c>
      <c r="C631" s="13" t="s">
        <v>442</v>
      </c>
      <c r="D631" s="13" t="s">
        <v>443</v>
      </c>
      <c r="E631" s="13" t="s">
        <v>1703</v>
      </c>
      <c r="F631" s="14">
        <v>58.106833333333299</v>
      </c>
      <c r="G631" s="13">
        <v>43.02</v>
      </c>
      <c r="H631" s="13">
        <v>42.6</v>
      </c>
      <c r="I631" s="13">
        <v>59.87</v>
      </c>
      <c r="J631" s="14">
        <v>47.296128876261129</v>
      </c>
      <c r="K631" s="14">
        <v>32.151063542701593</v>
      </c>
      <c r="L631" s="14">
        <v>35.883213858464991</v>
      </c>
      <c r="M631" s="14">
        <v>43.577599999999997</v>
      </c>
      <c r="N631" s="14">
        <f t="shared" si="243"/>
        <v>50.899208333333327</v>
      </c>
      <c r="O631" s="14">
        <f t="shared" si="244"/>
        <v>39.727001569356922</v>
      </c>
      <c r="P631" s="14">
        <f t="shared" si="260"/>
        <v>45.313104951345125</v>
      </c>
      <c r="Q631" s="14">
        <v>56.242640906638016</v>
      </c>
      <c r="R631" s="17">
        <f t="shared" si="245"/>
        <v>43.757359093361984</v>
      </c>
      <c r="S631" s="14">
        <f t="shared" si="261"/>
        <v>0.49381623184025791</v>
      </c>
      <c r="T631" s="13">
        <v>0</v>
      </c>
      <c r="U631" s="13">
        <f t="shared" si="262"/>
        <v>22.376346740055382</v>
      </c>
      <c r="V631" s="13">
        <f>IF($T631=1,$AU631,(VLOOKUP(U631,'Cortes naturales'!$A$35:$C$39,3,9)))</f>
        <v>4</v>
      </c>
      <c r="W631" s="13">
        <v>4</v>
      </c>
      <c r="X631" s="14" t="b">
        <f t="shared" si="246"/>
        <v>1</v>
      </c>
      <c r="Y631" s="17">
        <f>IF($T631=1,$AU631,VLOOKUP(U631,'Cortes naturales'!$A$45:$C$49,3,9))</f>
        <v>4</v>
      </c>
      <c r="Z631" s="14">
        <v>46.044291295041596</v>
      </c>
      <c r="AA631" s="14">
        <v>0.49757782031219389</v>
      </c>
      <c r="AB631" s="14">
        <v>22.91061810040652</v>
      </c>
      <c r="AC631" s="13">
        <v>4</v>
      </c>
      <c r="AD631" s="13">
        <f t="shared" si="247"/>
        <v>0</v>
      </c>
      <c r="AE631" s="14">
        <f t="shared" si="248"/>
        <v>-0.7311863436964714</v>
      </c>
      <c r="AF631" s="14">
        <f t="shared" si="249"/>
        <v>-3.7615884719359727E-3</v>
      </c>
      <c r="AG631" s="13">
        <f t="shared" si="250"/>
        <v>-0.53427136035113776</v>
      </c>
      <c r="AH631" s="13">
        <f>IF($T631=1,$AU631,VLOOKUP(U631,'Cortes naturales'!$A$25:$C$29,3,9))</f>
        <v>4</v>
      </c>
      <c r="AI631" s="13" t="b">
        <f t="shared" si="251"/>
        <v>1</v>
      </c>
      <c r="AJ631" s="13">
        <f t="shared" si="252"/>
        <v>0</v>
      </c>
      <c r="AK631" s="28">
        <v>0.81759069605862034</v>
      </c>
      <c r="AL631" s="28">
        <v>37.645384169438934</v>
      </c>
      <c r="AM631" s="28">
        <v>0.30027806214246194</v>
      </c>
      <c r="AN631" s="13">
        <v>4</v>
      </c>
      <c r="AO631" s="33">
        <f t="shared" si="253"/>
        <v>0</v>
      </c>
      <c r="AP631" s="13">
        <f t="shared" si="263"/>
        <v>30.027806214246194</v>
      </c>
      <c r="AQ631" s="13">
        <f>IFERROR(VLOOKUP(U631,'Cortes naturales'!$E$15:$G$19,3,9),U631)</f>
        <v>4</v>
      </c>
      <c r="AR631" s="28">
        <f t="shared" si="254"/>
        <v>-0.32377446421836242</v>
      </c>
      <c r="AS631" s="13" t="b">
        <f t="shared" si="255"/>
        <v>1</v>
      </c>
      <c r="AT631" s="13">
        <f t="shared" si="264"/>
        <v>0</v>
      </c>
      <c r="AU631" s="13">
        <v>3</v>
      </c>
      <c r="AV631">
        <f t="shared" si="256"/>
        <v>-1</v>
      </c>
      <c r="AW631" s="13">
        <v>0</v>
      </c>
      <c r="AX631" s="13">
        <v>0</v>
      </c>
      <c r="AY631" s="13">
        <v>0</v>
      </c>
      <c r="AZ631" s="13">
        <v>0</v>
      </c>
      <c r="BA631">
        <v>0</v>
      </c>
      <c r="BB631" t="s">
        <v>2840</v>
      </c>
      <c r="BC631">
        <v>6</v>
      </c>
      <c r="BD631" t="s">
        <v>2919</v>
      </c>
      <c r="BE631">
        <v>1</v>
      </c>
      <c r="BF631" s="232" t="s">
        <v>2846</v>
      </c>
      <c r="BG631" s="232" t="s">
        <v>2846</v>
      </c>
      <c r="BH631" s="253">
        <v>45.2</v>
      </c>
      <c r="BI631" s="253">
        <v>20.511000709723209</v>
      </c>
      <c r="BJ631" s="25">
        <v>0</v>
      </c>
      <c r="BK631" t="s">
        <v>381</v>
      </c>
      <c r="BL631">
        <v>2.3366284214224406</v>
      </c>
      <c r="BM631" t="s">
        <v>383</v>
      </c>
      <c r="BN631" s="322">
        <v>15885.775754</v>
      </c>
      <c r="BO631" s="322">
        <v>2724.1094859999998</v>
      </c>
      <c r="BP631" s="10">
        <v>7724</v>
      </c>
      <c r="BQ631" s="254">
        <f t="shared" si="257"/>
        <v>2.0566773373899534</v>
      </c>
      <c r="BR631" s="254">
        <f t="shared" si="258"/>
        <v>0.35268118669083376</v>
      </c>
      <c r="BS631" s="25">
        <v>52.391400529181247</v>
      </c>
      <c r="BT631" s="25">
        <v>86.013291904022097</v>
      </c>
      <c r="BU631" s="25">
        <v>33.383333333333333</v>
      </c>
      <c r="BV631" s="25">
        <v>98.182209654631606</v>
      </c>
      <c r="BW631" s="25">
        <v>47.583352748154169</v>
      </c>
      <c r="BX631" s="25">
        <v>67.49255885529206</v>
      </c>
      <c r="BY631" s="25">
        <v>48.687943528930681</v>
      </c>
      <c r="BZ631">
        <v>77</v>
      </c>
      <c r="CA631">
        <v>0</v>
      </c>
      <c r="CB631">
        <v>7</v>
      </c>
      <c r="CC631">
        <v>25278.250983000002</v>
      </c>
      <c r="CD631" s="10">
        <v>4077.1743849999998</v>
      </c>
      <c r="CE631" s="255">
        <v>0.16129179141950761</v>
      </c>
      <c r="CF631" t="str">
        <f>IFERROR(VLOOKUP(CE631,'Rangos amb etnico'!$A$2:$C$6,3,9),"N.D.")</f>
        <v>0,1% - 30%</v>
      </c>
      <c r="CG631" s="256">
        <v>1.1862037244215431E-4</v>
      </c>
      <c r="CH631" s="232">
        <v>0</v>
      </c>
      <c r="CI631" s="311">
        <f t="shared" si="265"/>
        <v>0</v>
      </c>
      <c r="CJ631" s="232">
        <f>IFERROR(VLOOKUP(CI631,'Rangos amb etnico'!$A$2:$C$6,3,9),"N.D.")</f>
        <v>0</v>
      </c>
      <c r="CK631" s="311">
        <f t="shared" si="266"/>
        <v>0</v>
      </c>
      <c r="CL631" s="10">
        <v>0</v>
      </c>
      <c r="CM631" s="255">
        <f t="shared" si="267"/>
        <v>0</v>
      </c>
      <c r="CN631" s="232">
        <f>IFERROR(VLOOKUP(CM631,'Rangos amb etnico'!$A$2:$C$6,3,9),"N.D.")</f>
        <v>0</v>
      </c>
      <c r="CO631" s="311">
        <f t="shared" si="268"/>
        <v>0</v>
      </c>
      <c r="CP631">
        <v>0.9218617492394412</v>
      </c>
      <c r="CQ631" t="s">
        <v>2864</v>
      </c>
      <c r="CR631">
        <f t="shared" si="259"/>
        <v>1</v>
      </c>
      <c r="CS631" t="str">
        <f t="shared" si="269"/>
        <v>No es Candidato</v>
      </c>
      <c r="CT631">
        <v>0</v>
      </c>
      <c r="CU631">
        <v>0</v>
      </c>
      <c r="CV631" s="25">
        <v>57.098522186279297</v>
      </c>
      <c r="CW631" s="25">
        <v>26.112871170043949</v>
      </c>
      <c r="CX631" s="25">
        <v>65.15240478515625</v>
      </c>
      <c r="CY631" s="25">
        <v>71.875389099121094</v>
      </c>
      <c r="CZ631" s="25">
        <v>54.241977691650391</v>
      </c>
      <c r="DA631" s="25">
        <v>81.39569091796875</v>
      </c>
      <c r="DB631" s="25">
        <v>43.81280517578125</v>
      </c>
      <c r="DC631">
        <v>2040</v>
      </c>
      <c r="DD631" s="253" t="s">
        <v>380</v>
      </c>
    </row>
    <row r="632" spans="1:108" hidden="1">
      <c r="A632" s="13">
        <v>19397</v>
      </c>
      <c r="B632" s="13" t="s">
        <v>1704</v>
      </c>
      <c r="C632" s="13" t="s">
        <v>557</v>
      </c>
      <c r="D632" s="13" t="s">
        <v>558</v>
      </c>
      <c r="E632" s="13" t="s">
        <v>876</v>
      </c>
      <c r="F632" s="14">
        <v>63.948533333333302</v>
      </c>
      <c r="G632" s="13">
        <v>36.770000000000003</v>
      </c>
      <c r="H632" s="13">
        <v>82.51</v>
      </c>
      <c r="I632" s="13">
        <v>74.48</v>
      </c>
      <c r="J632" s="14">
        <v>36.577139231184916</v>
      </c>
      <c r="K632" s="14">
        <v>41.775853114421892</v>
      </c>
      <c r="L632" s="14">
        <v>48.435844027257623</v>
      </c>
      <c r="M632" s="14">
        <v>45.649299999999997</v>
      </c>
      <c r="N632" s="14">
        <f t="shared" si="243"/>
        <v>64.42713333333333</v>
      </c>
      <c r="O632" s="14">
        <f t="shared" si="244"/>
        <v>43.109534093216112</v>
      </c>
      <c r="P632" s="14">
        <f t="shared" si="260"/>
        <v>53.768333713274721</v>
      </c>
      <c r="Q632" s="14">
        <v>56.648710409133493</v>
      </c>
      <c r="R632" s="17">
        <f t="shared" si="245"/>
        <v>43.351289590866507</v>
      </c>
      <c r="S632" s="14">
        <f t="shared" si="261"/>
        <v>0.49016160631779859</v>
      </c>
      <c r="T632" s="13">
        <v>0</v>
      </c>
      <c r="U632" s="13">
        <f t="shared" si="262"/>
        <v>26.355172821930182</v>
      </c>
      <c r="V632" s="13">
        <f>IF($T632=1,$AU632,(VLOOKUP(U632,'Cortes naturales'!$A$35:$C$39,3,9)))</f>
        <v>4</v>
      </c>
      <c r="W632" s="13">
        <v>4</v>
      </c>
      <c r="X632" s="14" t="b">
        <f t="shared" si="246"/>
        <v>1</v>
      </c>
      <c r="Y632" s="17">
        <f>IF($T632=1,$AU632,VLOOKUP(U632,'Cortes naturales'!$A$45:$C$49,3,9))</f>
        <v>4</v>
      </c>
      <c r="Z632" s="14">
        <v>52.779134292811577</v>
      </c>
      <c r="AA632" s="14">
        <v>0.50323513596086933</v>
      </c>
      <c r="AB632" s="14">
        <v>26.560314821740015</v>
      </c>
      <c r="AC632" s="13">
        <v>4</v>
      </c>
      <c r="AD632" s="13">
        <f t="shared" si="247"/>
        <v>0</v>
      </c>
      <c r="AE632" s="14">
        <f t="shared" si="248"/>
        <v>0.98919942046314446</v>
      </c>
      <c r="AF632" s="14">
        <f t="shared" si="249"/>
        <v>-1.3073529643070736E-2</v>
      </c>
      <c r="AG632" s="13">
        <f t="shared" si="250"/>
        <v>-0.2051419998098325</v>
      </c>
      <c r="AH632" s="13">
        <f>IF($T632=1,$AU632,VLOOKUP(U632,'Cortes naturales'!$A$25:$C$29,3,9))</f>
        <v>4</v>
      </c>
      <c r="AI632" s="13" t="b">
        <f t="shared" si="251"/>
        <v>1</v>
      </c>
      <c r="AJ632" s="13">
        <f t="shared" si="252"/>
        <v>0</v>
      </c>
      <c r="AK632" s="28">
        <v>0.81759069605862034</v>
      </c>
      <c r="AL632" s="28">
        <v>43.151729143831218</v>
      </c>
      <c r="AM632" s="28">
        <v>0.36915663353740463</v>
      </c>
      <c r="AN632" s="13">
        <v>3</v>
      </c>
      <c r="AO632" s="33">
        <f t="shared" si="253"/>
        <v>-1</v>
      </c>
      <c r="AP632" s="13">
        <f t="shared" si="263"/>
        <v>36.915663353740463</v>
      </c>
      <c r="AQ632" s="13">
        <f>IFERROR(VLOOKUP(U632,'Cortes naturales'!$E$15:$G$19,3,9),U632)</f>
        <v>4</v>
      </c>
      <c r="AR632" s="28">
        <f t="shared" si="254"/>
        <v>-0.32742908974082174</v>
      </c>
      <c r="AS632" s="13" t="b">
        <f t="shared" si="255"/>
        <v>1</v>
      </c>
      <c r="AT632" s="13" t="str">
        <f t="shared" si="264"/>
        <v>Efecto ponderador</v>
      </c>
      <c r="AU632" s="13">
        <v>3</v>
      </c>
      <c r="AV632">
        <f t="shared" si="256"/>
        <v>-1</v>
      </c>
      <c r="AW632" s="13">
        <v>0</v>
      </c>
      <c r="AX632" s="13">
        <v>0</v>
      </c>
      <c r="AY632" s="13">
        <v>0</v>
      </c>
      <c r="AZ632" s="13">
        <v>0</v>
      </c>
      <c r="BA632">
        <v>0</v>
      </c>
      <c r="BB632" t="s">
        <v>2840</v>
      </c>
      <c r="BC632">
        <v>6</v>
      </c>
      <c r="BD632" t="s">
        <v>2919</v>
      </c>
      <c r="BE632">
        <v>0</v>
      </c>
      <c r="BF632" s="232" t="s">
        <v>2846</v>
      </c>
      <c r="BG632" s="232" t="s">
        <v>2846</v>
      </c>
      <c r="BH632" s="253">
        <v>56.7</v>
      </c>
      <c r="BI632" s="253">
        <v>16.989432168680789</v>
      </c>
      <c r="BJ632" s="25">
        <v>0</v>
      </c>
      <c r="BK632" t="s">
        <v>381</v>
      </c>
      <c r="BL632">
        <v>2.3294746730892726</v>
      </c>
      <c r="BM632" t="s">
        <v>383</v>
      </c>
      <c r="BN632" s="322">
        <v>43106.761890000002</v>
      </c>
      <c r="BO632" s="322">
        <v>866.28826500000002</v>
      </c>
      <c r="BP632" s="10">
        <v>24423</v>
      </c>
      <c r="BQ632" s="254">
        <f t="shared" si="257"/>
        <v>1.7650068333128608</v>
      </c>
      <c r="BR632" s="254">
        <f t="shared" si="258"/>
        <v>3.5470182410023338E-2</v>
      </c>
      <c r="BS632" s="25">
        <v>44.184858654615361</v>
      </c>
      <c r="BT632" s="25">
        <v>87.312117265828661</v>
      </c>
      <c r="BU632" s="25">
        <v>36.127074829931971</v>
      </c>
      <c r="BV632" s="25">
        <v>91.422430656265917</v>
      </c>
      <c r="BW632" s="25">
        <v>35.343276533849547</v>
      </c>
      <c r="BX632" s="25">
        <v>64.761620351660483</v>
      </c>
      <c r="BY632" s="25">
        <v>35.744321868583476</v>
      </c>
      <c r="BZ632">
        <v>26</v>
      </c>
      <c r="CA632">
        <v>0</v>
      </c>
      <c r="CB632">
        <v>7</v>
      </c>
      <c r="CC632">
        <v>51634.694262999998</v>
      </c>
      <c r="CD632" s="10">
        <v>14498.432659</v>
      </c>
      <c r="CE632" s="255">
        <v>0.28078858345035612</v>
      </c>
      <c r="CF632" t="str">
        <f>IFERROR(VLOOKUP(CE632,'Rangos amb etnico'!$A$2:$C$6,3,9),"N.D.")</f>
        <v>0,1% - 30%</v>
      </c>
      <c r="CG632" s="256">
        <v>4.2181406028775337E-4</v>
      </c>
      <c r="CH632" s="232">
        <v>1492.8647000000001</v>
      </c>
      <c r="CI632" s="311">
        <f t="shared" si="265"/>
        <v>2.8912046857412031E-2</v>
      </c>
      <c r="CJ632" s="232" t="str">
        <f>IFERROR(VLOOKUP(CI632,'Rangos amb etnico'!$A$2:$C$6,3,9),"N.D.")</f>
        <v>0,1% - 30%</v>
      </c>
      <c r="CK632" s="311">
        <f t="shared" si="266"/>
        <v>5.9276502674484658E-5</v>
      </c>
      <c r="CL632" s="10">
        <v>0</v>
      </c>
      <c r="CM632" s="255">
        <f t="shared" si="267"/>
        <v>0</v>
      </c>
      <c r="CN632" s="232">
        <f>IFERROR(VLOOKUP(CM632,'Rangos amb etnico'!$A$2:$C$6,3,9),"N.D.")</f>
        <v>0</v>
      </c>
      <c r="CO632" s="311">
        <f t="shared" si="268"/>
        <v>0</v>
      </c>
      <c r="CP632">
        <v>0.95522678431894481</v>
      </c>
      <c r="CQ632" t="s">
        <v>2864</v>
      </c>
      <c r="CR632">
        <f t="shared" si="259"/>
        <v>2</v>
      </c>
      <c r="CS632" t="str">
        <f t="shared" si="269"/>
        <v>No es Candidato</v>
      </c>
      <c r="CT632">
        <v>0</v>
      </c>
      <c r="CU632">
        <v>0</v>
      </c>
      <c r="CV632" s="25">
        <v>42.144271850585938</v>
      </c>
      <c r="CW632" s="25">
        <v>14.316005706787109</v>
      </c>
      <c r="CX632" s="25">
        <v>34.968486785888672</v>
      </c>
      <c r="CY632" s="25">
        <v>65.773048400878906</v>
      </c>
      <c r="CZ632" s="25">
        <v>28.345880508422852</v>
      </c>
      <c r="DA632" s="25">
        <v>62.477981567382813</v>
      </c>
      <c r="DB632" s="25">
        <v>46.984237670898438</v>
      </c>
      <c r="DC632">
        <v>11825</v>
      </c>
      <c r="DD632" s="253" t="s">
        <v>380</v>
      </c>
    </row>
    <row r="633" spans="1:108">
      <c r="A633" s="13">
        <v>5647</v>
      </c>
      <c r="B633" s="13" t="s">
        <v>1705</v>
      </c>
      <c r="C633" s="13" t="s">
        <v>435</v>
      </c>
      <c r="D633" s="13" t="s">
        <v>436</v>
      </c>
      <c r="E633" s="13" t="s">
        <v>1706</v>
      </c>
      <c r="F633" s="14">
        <v>52.169533333333298</v>
      </c>
      <c r="G633" s="13">
        <v>62.66</v>
      </c>
      <c r="H633" s="13">
        <v>44.16</v>
      </c>
      <c r="I633" s="13">
        <v>58.9</v>
      </c>
      <c r="J633" s="14">
        <v>50.077365341393701</v>
      </c>
      <c r="K633" s="14">
        <v>53.582096908714547</v>
      </c>
      <c r="L633" s="14">
        <v>56.522120803855749</v>
      </c>
      <c r="M633" s="14">
        <v>34.331000000000003</v>
      </c>
      <c r="N633" s="14">
        <f t="shared" si="243"/>
        <v>54.472383333333326</v>
      </c>
      <c r="O633" s="14">
        <f t="shared" si="244"/>
        <v>48.628145763491005</v>
      </c>
      <c r="P633" s="14">
        <f t="shared" si="260"/>
        <v>51.550264548412166</v>
      </c>
      <c r="Q633" s="14">
        <v>56.121240700385854</v>
      </c>
      <c r="R633" s="17">
        <f t="shared" si="245"/>
        <v>43.878759299614146</v>
      </c>
      <c r="S633" s="14">
        <f t="shared" si="261"/>
        <v>0.49490883369652727</v>
      </c>
      <c r="T633" s="13">
        <v>0</v>
      </c>
      <c r="U633" s="13">
        <f t="shared" si="262"/>
        <v>25.512681304402101</v>
      </c>
      <c r="V633" s="13">
        <f>IF($T633=1,$AU633,(VLOOKUP(U633,'Cortes naturales'!$A$35:$C$39,3,9)))</f>
        <v>4</v>
      </c>
      <c r="W633" s="13">
        <v>4</v>
      </c>
      <c r="X633" s="14" t="b">
        <f t="shared" si="246"/>
        <v>1</v>
      </c>
      <c r="Y633" s="17">
        <f>IF($T633=1,$AU633,VLOOKUP(U633,'Cortes naturales'!$A$45:$C$49,3,9))</f>
        <v>4</v>
      </c>
      <c r="Z633" s="14">
        <v>51.245922892140385</v>
      </c>
      <c r="AA633" s="14">
        <v>0.49979782577737453</v>
      </c>
      <c r="AB633" s="14">
        <v>25.612600841446749</v>
      </c>
      <c r="AC633" s="13">
        <v>4</v>
      </c>
      <c r="AD633" s="13">
        <f t="shared" si="247"/>
        <v>0</v>
      </c>
      <c r="AE633" s="14">
        <f t="shared" si="248"/>
        <v>0.30434165627178089</v>
      </c>
      <c r="AF633" s="14">
        <f t="shared" si="249"/>
        <v>-4.8889920808472542E-3</v>
      </c>
      <c r="AG633" s="13">
        <f t="shared" si="250"/>
        <v>-9.9919537044648621E-2</v>
      </c>
      <c r="AH633" s="13">
        <f>IF($T633=1,$AU633,VLOOKUP(U633,'Cortes naturales'!$A$25:$C$29,3,9))</f>
        <v>4</v>
      </c>
      <c r="AI633" s="13" t="b">
        <f t="shared" si="251"/>
        <v>1</v>
      </c>
      <c r="AJ633" s="13">
        <f t="shared" si="252"/>
        <v>0</v>
      </c>
      <c r="AK633" s="28">
        <v>0.81759069605862034</v>
      </c>
      <c r="AL633" s="28">
        <v>41.898189767551443</v>
      </c>
      <c r="AM633" s="28">
        <v>0.35347617729519698</v>
      </c>
      <c r="AN633" s="13">
        <v>3</v>
      </c>
      <c r="AO633" s="33">
        <f t="shared" si="253"/>
        <v>-1</v>
      </c>
      <c r="AP633" s="13">
        <f t="shared" si="263"/>
        <v>35.347617729519698</v>
      </c>
      <c r="AQ633" s="13">
        <f>IFERROR(VLOOKUP(U633,'Cortes naturales'!$E$15:$G$19,3,9),U633)</f>
        <v>4</v>
      </c>
      <c r="AR633" s="28">
        <f t="shared" si="254"/>
        <v>-0.32268186236209306</v>
      </c>
      <c r="AS633" s="13" t="b">
        <f t="shared" si="255"/>
        <v>1</v>
      </c>
      <c r="AT633" s="13" t="str">
        <f t="shared" si="264"/>
        <v>Efecto ponderador</v>
      </c>
      <c r="AU633" s="13">
        <v>3</v>
      </c>
      <c r="AV633">
        <f t="shared" si="256"/>
        <v>-1</v>
      </c>
      <c r="AW633" s="13">
        <v>0</v>
      </c>
      <c r="AX633" s="13">
        <v>0</v>
      </c>
      <c r="AY633" s="13">
        <v>0</v>
      </c>
      <c r="AZ633" s="13">
        <v>0</v>
      </c>
      <c r="BA633">
        <v>1</v>
      </c>
      <c r="BB633" t="s">
        <v>2840</v>
      </c>
      <c r="BC633">
        <v>6</v>
      </c>
      <c r="BD633" t="s">
        <v>2919</v>
      </c>
      <c r="BE633">
        <v>1</v>
      </c>
      <c r="BF633" s="232" t="s">
        <v>2846</v>
      </c>
      <c r="BG633" s="232" t="s">
        <v>2845</v>
      </c>
      <c r="BH633" s="253">
        <v>48.5</v>
      </c>
      <c r="BI633" s="253">
        <v>24.543288324066719</v>
      </c>
      <c r="BJ633" s="25">
        <v>20.459481631585827</v>
      </c>
      <c r="BK633" t="s">
        <v>379</v>
      </c>
      <c r="BL633">
        <v>12.390466939921073</v>
      </c>
      <c r="BM633" t="s">
        <v>376</v>
      </c>
      <c r="BN633" s="322">
        <v>20323.114571999999</v>
      </c>
      <c r="BO633" s="322">
        <v>2175.5001219999999</v>
      </c>
      <c r="BP633" s="10">
        <v>7406</v>
      </c>
      <c r="BQ633" s="254">
        <f t="shared" si="257"/>
        <v>2.7441418541722924</v>
      </c>
      <c r="BR633" s="254">
        <f t="shared" si="258"/>
        <v>0.29374832865244394</v>
      </c>
      <c r="BS633" s="25">
        <v>52.21461736192331</v>
      </c>
      <c r="BT633" s="25">
        <v>92.695112071293536</v>
      </c>
      <c r="BU633" s="25">
        <v>44.910380241648902</v>
      </c>
      <c r="BV633" s="25">
        <v>71.619339631024388</v>
      </c>
      <c r="BW633" s="25">
        <v>42.644504098882621</v>
      </c>
      <c r="BX633" s="25">
        <v>65.359862326472538</v>
      </c>
      <c r="BY633" s="25">
        <v>41.756721693913619</v>
      </c>
      <c r="BZ633">
        <v>61</v>
      </c>
      <c r="CA633">
        <v>0</v>
      </c>
      <c r="CB633">
        <v>7</v>
      </c>
      <c r="CC633">
        <v>20682.016454000001</v>
      </c>
      <c r="CD633" s="10">
        <v>1977.3501779999999</v>
      </c>
      <c r="CE633" s="255">
        <v>9.5607223908651853E-2</v>
      </c>
      <c r="CF633" t="str">
        <f>IFERROR(VLOOKUP(CE633,'Rangos amb etnico'!$A$2:$C$6,3,9),"N.D.")</f>
        <v>0,1% - 30%</v>
      </c>
      <c r="CG633" s="256">
        <v>5.752857062622798E-5</v>
      </c>
      <c r="CH633" s="232">
        <v>0</v>
      </c>
      <c r="CI633" s="311">
        <f t="shared" si="265"/>
        <v>0</v>
      </c>
      <c r="CJ633" s="232">
        <f>IFERROR(VLOOKUP(CI633,'Rangos amb etnico'!$A$2:$C$6,3,9),"N.D.")</f>
        <v>0</v>
      </c>
      <c r="CK633" s="311">
        <f t="shared" si="266"/>
        <v>0</v>
      </c>
      <c r="CL633" s="10">
        <v>0</v>
      </c>
      <c r="CM633" s="255">
        <f t="shared" si="267"/>
        <v>0</v>
      </c>
      <c r="CN633" s="232">
        <f>IFERROR(VLOOKUP(CM633,'Rangos amb etnico'!$A$2:$C$6,3,9),"N.D.")</f>
        <v>0</v>
      </c>
      <c r="CO633" s="311">
        <f t="shared" si="268"/>
        <v>0</v>
      </c>
      <c r="CP633">
        <v>0.96398884448879874</v>
      </c>
      <c r="CQ633" t="s">
        <v>2864</v>
      </c>
      <c r="CR633">
        <f t="shared" si="259"/>
        <v>1</v>
      </c>
      <c r="CS633" t="str">
        <f t="shared" si="269"/>
        <v>No es Candidato</v>
      </c>
      <c r="CT633">
        <v>0</v>
      </c>
      <c r="CU633">
        <v>0</v>
      </c>
      <c r="CV633" s="25">
        <v>40.678993225097663</v>
      </c>
      <c r="CW633" s="25">
        <v>15.468789100646971</v>
      </c>
      <c r="CX633" s="25">
        <v>38.286392211914063</v>
      </c>
      <c r="CY633" s="25">
        <v>61.467136383056641</v>
      </c>
      <c r="CZ633" s="25">
        <v>32.261566162109382</v>
      </c>
      <c r="DA633" s="25">
        <v>38.772418975830078</v>
      </c>
      <c r="DB633" s="25">
        <v>57.817653656005859</v>
      </c>
      <c r="DC633">
        <v>120</v>
      </c>
      <c r="DD633" s="253" t="s">
        <v>380</v>
      </c>
    </row>
    <row r="634" spans="1:108">
      <c r="A634" s="13">
        <v>5579</v>
      </c>
      <c r="B634" s="13" t="s">
        <v>1707</v>
      </c>
      <c r="C634" s="13" t="s">
        <v>435</v>
      </c>
      <c r="D634" s="13" t="s">
        <v>436</v>
      </c>
      <c r="E634" s="13" t="s">
        <v>1708</v>
      </c>
      <c r="F634" s="14">
        <v>57.157166666666697</v>
      </c>
      <c r="G634" s="13">
        <v>66.819999999999993</v>
      </c>
      <c r="H634" s="13">
        <v>46.5</v>
      </c>
      <c r="I634" s="13">
        <v>48.44</v>
      </c>
      <c r="J634" s="14">
        <v>53.294701979054857</v>
      </c>
      <c r="K634" s="14">
        <v>53.156480151122373</v>
      </c>
      <c r="L634" s="14">
        <v>58.566258380331085</v>
      </c>
      <c r="M634" s="14">
        <v>54.532600000000002</v>
      </c>
      <c r="N634" s="14">
        <f t="shared" si="243"/>
        <v>54.729291666666668</v>
      </c>
      <c r="O634" s="14">
        <f t="shared" si="244"/>
        <v>54.887510127627081</v>
      </c>
      <c r="P634" s="14">
        <f t="shared" si="260"/>
        <v>54.808400897146875</v>
      </c>
      <c r="Q634" s="14">
        <v>57.082477468626578</v>
      </c>
      <c r="R634" s="17">
        <f t="shared" si="245"/>
        <v>42.917522531373422</v>
      </c>
      <c r="S634" s="14">
        <f t="shared" si="261"/>
        <v>0.4862577027823608</v>
      </c>
      <c r="T634" s="13">
        <v>0</v>
      </c>
      <c r="U634" s="13">
        <f t="shared" si="262"/>
        <v>26.651007113421322</v>
      </c>
      <c r="V634" s="13">
        <f>IF($T634=1,$AU634,(VLOOKUP(U634,'Cortes naturales'!$A$35:$C$39,3,9)))</f>
        <v>4</v>
      </c>
      <c r="W634" s="13">
        <v>4</v>
      </c>
      <c r="X634" s="14" t="b">
        <f t="shared" si="246"/>
        <v>1</v>
      </c>
      <c r="Y634" s="17">
        <f>IF($T634=1,$AU634,VLOOKUP(U634,'Cortes naturales'!$A$45:$C$49,3,9))</f>
        <v>4</v>
      </c>
      <c r="Z634" s="14">
        <v>55.099567755400543</v>
      </c>
      <c r="AA634" s="14">
        <v>0.49811916167487247</v>
      </c>
      <c r="AB634" s="14">
        <v>27.446150498967953</v>
      </c>
      <c r="AC634" s="13">
        <v>4</v>
      </c>
      <c r="AD634" s="13">
        <f t="shared" si="247"/>
        <v>0</v>
      </c>
      <c r="AE634" s="14">
        <f t="shared" si="248"/>
        <v>-0.29116685825366773</v>
      </c>
      <c r="AF634" s="14">
        <f t="shared" si="249"/>
        <v>-1.1861458892511667E-2</v>
      </c>
      <c r="AG634" s="13">
        <f t="shared" si="250"/>
        <v>-0.79514338554663055</v>
      </c>
      <c r="AH634" s="13">
        <f>IF($T634=1,$AU634,VLOOKUP(U634,'Cortes naturales'!$A$25:$C$29,3,9))</f>
        <v>4</v>
      </c>
      <c r="AI634" s="13" t="b">
        <f t="shared" si="251"/>
        <v>1</v>
      </c>
      <c r="AJ634" s="13">
        <f t="shared" si="252"/>
        <v>0</v>
      </c>
      <c r="AK634" s="28">
        <v>0.81759069605862034</v>
      </c>
      <c r="AL634" s="28">
        <v>45.04889395366704</v>
      </c>
      <c r="AM634" s="28">
        <v>0.3928881655082419</v>
      </c>
      <c r="AN634" s="13">
        <v>3</v>
      </c>
      <c r="AO634" s="33">
        <f t="shared" si="253"/>
        <v>-1</v>
      </c>
      <c r="AP634" s="13">
        <f t="shared" si="263"/>
        <v>39.288816550824194</v>
      </c>
      <c r="AQ634" s="13">
        <f>IFERROR(VLOOKUP(U634,'Cortes naturales'!$E$15:$G$19,3,9),U634)</f>
        <v>4</v>
      </c>
      <c r="AR634" s="28">
        <f t="shared" si="254"/>
        <v>-0.33133299327625954</v>
      </c>
      <c r="AS634" s="13" t="b">
        <f t="shared" si="255"/>
        <v>1</v>
      </c>
      <c r="AT634" s="13" t="str">
        <f t="shared" si="264"/>
        <v>Efecto ponderador</v>
      </c>
      <c r="AU634" s="13">
        <v>3</v>
      </c>
      <c r="AV634">
        <f t="shared" si="256"/>
        <v>-1</v>
      </c>
      <c r="AW634" s="13">
        <v>0</v>
      </c>
      <c r="AX634" s="13">
        <v>0</v>
      </c>
      <c r="AY634" s="13">
        <v>0</v>
      </c>
      <c r="AZ634" s="13">
        <v>0</v>
      </c>
      <c r="BA634">
        <v>1</v>
      </c>
      <c r="BB634" t="s">
        <v>2839</v>
      </c>
      <c r="BC634">
        <v>6</v>
      </c>
      <c r="BD634" t="s">
        <v>2919</v>
      </c>
      <c r="BE634">
        <v>0</v>
      </c>
      <c r="BF634" s="232" t="s">
        <v>2846</v>
      </c>
      <c r="BG634" s="232" t="s">
        <v>2846</v>
      </c>
      <c r="BH634" s="253">
        <v>32.1</v>
      </c>
      <c r="BI634" s="253">
        <v>13.766030566343494</v>
      </c>
      <c r="BJ634" s="25">
        <v>13.622531870849336</v>
      </c>
      <c r="BK634" t="s">
        <v>377</v>
      </c>
      <c r="BL634">
        <v>10.449976258032695</v>
      </c>
      <c r="BM634" t="s">
        <v>379</v>
      </c>
      <c r="BN634" s="322">
        <v>82492.207053000006</v>
      </c>
      <c r="BO634" s="322">
        <v>26916.393672999999</v>
      </c>
      <c r="BP634" s="10">
        <v>39164</v>
      </c>
      <c r="BQ634" s="254">
        <f t="shared" si="257"/>
        <v>2.1063274193902566</v>
      </c>
      <c r="BR634" s="254">
        <f t="shared" si="258"/>
        <v>0.68727386561638237</v>
      </c>
      <c r="BS634" s="25">
        <v>56.118566641920687</v>
      </c>
      <c r="BT634" s="25">
        <v>94.054811126500454</v>
      </c>
      <c r="BU634" s="25">
        <v>63.952690555350301</v>
      </c>
      <c r="BV634" s="25">
        <v>82.363770310011986</v>
      </c>
      <c r="BW634" s="25">
        <v>56.782369460438858</v>
      </c>
      <c r="BX634" s="25">
        <v>74.122459658445862</v>
      </c>
      <c r="BY634" s="25">
        <v>57.567750130697029</v>
      </c>
      <c r="BZ634">
        <v>29</v>
      </c>
      <c r="CA634">
        <v>0</v>
      </c>
      <c r="CB634">
        <v>6</v>
      </c>
      <c r="CC634">
        <v>121893.16271400001</v>
      </c>
      <c r="CD634" s="10">
        <v>11805.823548</v>
      </c>
      <c r="CE634" s="255">
        <v>9.6853861899540705E-2</v>
      </c>
      <c r="CF634" t="str">
        <f>IFERROR(VLOOKUP(CE634,'Rangos amb etnico'!$A$2:$C$6,3,9),"N.D.")</f>
        <v>0,1% - 30%</v>
      </c>
      <c r="CG634" s="256">
        <v>3.4347591101382724E-4</v>
      </c>
      <c r="CH634" s="232">
        <v>145.61415400000001</v>
      </c>
      <c r="CI634" s="311">
        <f t="shared" si="265"/>
        <v>1.1946047732115785E-3</v>
      </c>
      <c r="CJ634" s="232" t="str">
        <f>IFERROR(VLOOKUP(CI634,'Rangos amb etnico'!$A$2:$C$6,3,9),"N.D.")</f>
        <v>0,1% - 30%</v>
      </c>
      <c r="CK634" s="311">
        <f t="shared" si="266"/>
        <v>5.7818352788593782E-6</v>
      </c>
      <c r="CL634" s="10">
        <v>54.535687358899899</v>
      </c>
      <c r="CM634" s="255">
        <f t="shared" si="267"/>
        <v>4.4740563083803074E-4</v>
      </c>
      <c r="CN634" s="232">
        <f>IFERROR(VLOOKUP(CM634,'Rangos amb etnico'!$A$2:$C$6,3,9),"N.D.")</f>
        <v>0</v>
      </c>
      <c r="CO634" s="311">
        <f t="shared" si="268"/>
        <v>3.4199708355480062E-5</v>
      </c>
      <c r="CP634">
        <v>0.86302222077184343</v>
      </c>
      <c r="CQ634" t="s">
        <v>2864</v>
      </c>
      <c r="CR634">
        <f t="shared" si="259"/>
        <v>1</v>
      </c>
      <c r="CS634" t="str">
        <f t="shared" si="269"/>
        <v>No es Candidato</v>
      </c>
      <c r="CT634">
        <v>0</v>
      </c>
      <c r="CU634">
        <v>0</v>
      </c>
      <c r="CV634" s="25">
        <v>34.242885589599609</v>
      </c>
      <c r="CW634" s="25">
        <v>36.604789733886719</v>
      </c>
      <c r="CX634" s="25">
        <v>35.978019714355469</v>
      </c>
      <c r="CY634" s="25">
        <v>52.326339721679688</v>
      </c>
      <c r="CZ634" s="25">
        <v>23.05842399597168</v>
      </c>
      <c r="DA634" s="25">
        <v>17.000980377197269</v>
      </c>
      <c r="DB634" s="25">
        <v>40.488761901855469</v>
      </c>
      <c r="DC634">
        <v>2514</v>
      </c>
      <c r="DD634" s="253" t="s">
        <v>380</v>
      </c>
    </row>
    <row r="635" spans="1:108" hidden="1">
      <c r="A635" s="13">
        <v>68370</v>
      </c>
      <c r="B635" s="13" t="s">
        <v>1709</v>
      </c>
      <c r="C635" s="13" t="s">
        <v>431</v>
      </c>
      <c r="D635" s="13" t="s">
        <v>432</v>
      </c>
      <c r="E635" s="13" t="s">
        <v>1710</v>
      </c>
      <c r="F635" s="14">
        <v>57.234733333333303</v>
      </c>
      <c r="G635" s="13">
        <v>57.6</v>
      </c>
      <c r="H635" s="13">
        <v>58.77</v>
      </c>
      <c r="I635" s="13">
        <v>58.19</v>
      </c>
      <c r="J635" s="14">
        <v>46.232480551592523</v>
      </c>
      <c r="K635" s="14">
        <v>35.438973979781451</v>
      </c>
      <c r="L635" s="14">
        <v>53.726256227044907</v>
      </c>
      <c r="M635" s="14">
        <v>43.918999999999997</v>
      </c>
      <c r="N635" s="14">
        <f t="shared" si="243"/>
        <v>57.948683333333328</v>
      </c>
      <c r="O635" s="14">
        <f t="shared" si="244"/>
        <v>44.82917768960472</v>
      </c>
      <c r="P635" s="14">
        <f t="shared" si="260"/>
        <v>51.388930511469027</v>
      </c>
      <c r="Q635" s="14">
        <v>55.771505152703135</v>
      </c>
      <c r="R635" s="17">
        <f t="shared" si="245"/>
        <v>44.228494847296865</v>
      </c>
      <c r="S635" s="14">
        <f t="shared" si="261"/>
        <v>0.49805645362567186</v>
      </c>
      <c r="T635" s="13">
        <v>0</v>
      </c>
      <c r="U635" s="13">
        <f t="shared" si="262"/>
        <v>25.594588486158347</v>
      </c>
      <c r="V635" s="13">
        <f>IF($T635=1,$AU635,(VLOOKUP(U635,'Cortes naturales'!$A$35:$C$39,3,9)))</f>
        <v>4</v>
      </c>
      <c r="W635" s="13">
        <v>4</v>
      </c>
      <c r="X635" s="14" t="b">
        <f t="shared" si="246"/>
        <v>1</v>
      </c>
      <c r="Y635" s="17">
        <f>IF($T635=1,$AU635,VLOOKUP(U635,'Cortes naturales'!$A$45:$C$49,3,9))</f>
        <v>4</v>
      </c>
      <c r="Z635" s="14">
        <v>50.339269345387848</v>
      </c>
      <c r="AA635" s="14">
        <v>0.49947962411333469</v>
      </c>
      <c r="AB635" s="14">
        <v>25.143439330774235</v>
      </c>
      <c r="AC635" s="13">
        <v>4</v>
      </c>
      <c r="AD635" s="13">
        <f t="shared" si="247"/>
        <v>0</v>
      </c>
      <c r="AE635" s="14">
        <f t="shared" si="248"/>
        <v>1.0496611660811794</v>
      </c>
      <c r="AF635" s="14">
        <f t="shared" si="249"/>
        <v>-1.4231704876628282E-3</v>
      </c>
      <c r="AG635" s="13">
        <f t="shared" si="250"/>
        <v>0.45114915538411182</v>
      </c>
      <c r="AH635" s="13">
        <f>IF($T635=1,$AU635,VLOOKUP(U635,'Cortes naturales'!$A$25:$C$29,3,9))</f>
        <v>4</v>
      </c>
      <c r="AI635" s="13" t="b">
        <f t="shared" si="251"/>
        <v>1</v>
      </c>
      <c r="AJ635" s="13">
        <f t="shared" si="252"/>
        <v>0</v>
      </c>
      <c r="AK635" s="28">
        <v>0.81759069605862034</v>
      </c>
      <c r="AL635" s="28">
        <v>41.156918263178021</v>
      </c>
      <c r="AM635" s="28">
        <v>0.3442036521493026</v>
      </c>
      <c r="AN635" s="13">
        <v>4</v>
      </c>
      <c r="AO635" s="33">
        <f t="shared" si="253"/>
        <v>0</v>
      </c>
      <c r="AP635" s="13">
        <f t="shared" si="263"/>
        <v>34.420365214930257</v>
      </c>
      <c r="AQ635" s="13">
        <f>IFERROR(VLOOKUP(U635,'Cortes naturales'!$E$15:$G$19,3,9),U635)</f>
        <v>4</v>
      </c>
      <c r="AR635" s="28">
        <f t="shared" si="254"/>
        <v>-0.31953424243294848</v>
      </c>
      <c r="AS635" s="13" t="b">
        <f t="shared" si="255"/>
        <v>1</v>
      </c>
      <c r="AT635" s="13">
        <f t="shared" si="264"/>
        <v>0</v>
      </c>
      <c r="AU635" s="13">
        <v>3</v>
      </c>
      <c r="AV635">
        <f t="shared" si="256"/>
        <v>-1</v>
      </c>
      <c r="AW635" s="13">
        <v>0</v>
      </c>
      <c r="AX635" s="13">
        <v>0</v>
      </c>
      <c r="AY635" s="13">
        <v>0</v>
      </c>
      <c r="AZ635" s="13">
        <v>0</v>
      </c>
      <c r="BA635">
        <v>0</v>
      </c>
      <c r="BB635" t="s">
        <v>2841</v>
      </c>
      <c r="BC635">
        <v>6</v>
      </c>
      <c r="BD635" t="s">
        <v>2919</v>
      </c>
      <c r="BE635">
        <v>0</v>
      </c>
      <c r="BF635" s="232" t="s">
        <v>2846</v>
      </c>
      <c r="BG635" s="232" t="s">
        <v>2846</v>
      </c>
      <c r="BH635" s="253">
        <v>53.7</v>
      </c>
      <c r="BI635" s="253">
        <v>24.849527085124677</v>
      </c>
      <c r="BJ635" s="25">
        <v>74.405000000000001</v>
      </c>
      <c r="BK635" t="s">
        <v>376</v>
      </c>
      <c r="BL635">
        <v>0</v>
      </c>
      <c r="BM635" t="s">
        <v>377</v>
      </c>
      <c r="BN635" s="322">
        <v>7894.5741509999998</v>
      </c>
      <c r="BO635" s="322">
        <v>310.86616900000001</v>
      </c>
      <c r="BP635" s="10">
        <v>1551</v>
      </c>
      <c r="BQ635" s="254">
        <f t="shared" si="257"/>
        <v>5.0899897814313348</v>
      </c>
      <c r="BR635" s="254">
        <f t="shared" si="258"/>
        <v>0.20042950934880724</v>
      </c>
      <c r="BS635" s="25">
        <v>62.039007543012112</v>
      </c>
      <c r="BT635" s="25">
        <v>89.956850889748537</v>
      </c>
      <c r="BU635" s="25">
        <v>44.62</v>
      </c>
      <c r="BV635" s="25">
        <v>100.2301119336158</v>
      </c>
      <c r="BW635" s="25">
        <v>51.761299711746553</v>
      </c>
      <c r="BX635" s="25">
        <v>74.211492591594123</v>
      </c>
      <c r="BY635" s="25">
        <v>52.068010265343979</v>
      </c>
      <c r="BZ635">
        <v>4</v>
      </c>
      <c r="CA635">
        <v>0</v>
      </c>
      <c r="CB635">
        <v>7</v>
      </c>
      <c r="CC635">
        <v>3982.3963319999998</v>
      </c>
      <c r="CD635" s="10">
        <v>407.09914199999997</v>
      </c>
      <c r="CE635" s="255">
        <v>0.10222466777824463</v>
      </c>
      <c r="CF635" t="str">
        <f>IFERROR(VLOOKUP(CE635,'Rangos amb etnico'!$A$2:$C$6,3,9),"N.D.")</f>
        <v>0,1% - 30%</v>
      </c>
      <c r="CG635" s="256">
        <v>1.1844048668259615E-5</v>
      </c>
      <c r="CH635" s="232">
        <v>0</v>
      </c>
      <c r="CI635" s="311">
        <f t="shared" si="265"/>
        <v>0</v>
      </c>
      <c r="CJ635" s="232">
        <f>IFERROR(VLOOKUP(CI635,'Rangos amb etnico'!$A$2:$C$6,3,9),"N.D.")</f>
        <v>0</v>
      </c>
      <c r="CK635" s="311">
        <f t="shared" si="266"/>
        <v>0</v>
      </c>
      <c r="CL635" s="10">
        <v>0</v>
      </c>
      <c r="CM635" s="255">
        <f t="shared" si="267"/>
        <v>0</v>
      </c>
      <c r="CN635" s="232">
        <f>IFERROR(VLOOKUP(CM635,'Rangos amb etnico'!$A$2:$C$6,3,9),"N.D.")</f>
        <v>0</v>
      </c>
      <c r="CO635" s="311">
        <f t="shared" si="268"/>
        <v>0</v>
      </c>
      <c r="CP635">
        <v>0.9531521035292152</v>
      </c>
      <c r="CQ635" t="s">
        <v>2864</v>
      </c>
      <c r="CR635">
        <f t="shared" si="259"/>
        <v>1</v>
      </c>
      <c r="CS635" t="str">
        <f t="shared" si="269"/>
        <v>No es Candidato</v>
      </c>
      <c r="CT635">
        <v>0</v>
      </c>
      <c r="CU635">
        <v>0</v>
      </c>
      <c r="CV635" s="25">
        <v>54.557609558105469</v>
      </c>
      <c r="CW635" s="25">
        <v>21.113063812255859</v>
      </c>
      <c r="CX635" s="25">
        <v>56.53369140625</v>
      </c>
      <c r="CY635" s="25">
        <v>40.642692565917969</v>
      </c>
      <c r="CZ635" s="25">
        <v>54.844760894775391</v>
      </c>
      <c r="DA635" s="25">
        <v>100</v>
      </c>
      <c r="DB635" s="25">
        <v>54.211444854736328</v>
      </c>
      <c r="DC635">
        <v>9</v>
      </c>
      <c r="DD635" s="253" t="s">
        <v>380</v>
      </c>
    </row>
    <row r="636" spans="1:108" hidden="1">
      <c r="A636" s="13">
        <v>25335</v>
      </c>
      <c r="B636" s="13" t="s">
        <v>1711</v>
      </c>
      <c r="C636" s="13" t="s">
        <v>461</v>
      </c>
      <c r="D636" s="13" t="s">
        <v>462</v>
      </c>
      <c r="E636" s="13" t="s">
        <v>1712</v>
      </c>
      <c r="F636" s="14">
        <v>62.014400000000002</v>
      </c>
      <c r="G636" s="13">
        <v>69.959999999999994</v>
      </c>
      <c r="H636" s="13">
        <v>40.369999999999997</v>
      </c>
      <c r="I636" s="13">
        <v>69.47</v>
      </c>
      <c r="J636" s="14">
        <v>52.276602344721063</v>
      </c>
      <c r="K636" s="14">
        <v>64.797279161120628</v>
      </c>
      <c r="L636" s="14">
        <v>56.602487234874516</v>
      </c>
      <c r="M636" s="14">
        <v>53.6982</v>
      </c>
      <c r="N636" s="14">
        <f t="shared" si="243"/>
        <v>60.453600000000002</v>
      </c>
      <c r="O636" s="14">
        <f t="shared" si="244"/>
        <v>56.84364218517905</v>
      </c>
      <c r="P636" s="14">
        <f t="shared" si="260"/>
        <v>58.648621092589522</v>
      </c>
      <c r="Q636" s="14">
        <v>58.755054692528354</v>
      </c>
      <c r="R636" s="17">
        <f t="shared" si="245"/>
        <v>41.244945307471646</v>
      </c>
      <c r="S636" s="14">
        <f t="shared" si="261"/>
        <v>0.47120450776724487</v>
      </c>
      <c r="T636" s="13">
        <v>0</v>
      </c>
      <c r="U636" s="13">
        <f t="shared" si="262"/>
        <v>27.635494633161301</v>
      </c>
      <c r="V636" s="13">
        <f>IF($T636=1,$AU636,(VLOOKUP(U636,'Cortes naturales'!$A$35:$C$39,3,9)))</f>
        <v>4</v>
      </c>
      <c r="W636" s="13">
        <v>4</v>
      </c>
      <c r="X636" s="14" t="b">
        <f t="shared" si="246"/>
        <v>1</v>
      </c>
      <c r="Y636" s="17">
        <f>IF($T636=1,$AU636,VLOOKUP(U636,'Cortes naturales'!$A$45:$C$49,3,9))</f>
        <v>4</v>
      </c>
      <c r="Z636" s="14">
        <v>58.766284080630804</v>
      </c>
      <c r="AA636" s="14">
        <v>0.49642871617204953</v>
      </c>
      <c r="AB636" s="14">
        <v>29.173270960349502</v>
      </c>
      <c r="AC636" s="13">
        <v>3</v>
      </c>
      <c r="AD636" s="13">
        <f t="shared" si="247"/>
        <v>-1</v>
      </c>
      <c r="AE636" s="14">
        <f t="shared" si="248"/>
        <v>-0.11766298804128184</v>
      </c>
      <c r="AF636" s="14">
        <f t="shared" si="249"/>
        <v>-2.522420840480466E-2</v>
      </c>
      <c r="AG636" s="13">
        <f t="shared" si="250"/>
        <v>-1.537776327188201</v>
      </c>
      <c r="AH636" s="13">
        <f>IF($T636=1,$AU636,VLOOKUP(U636,'Cortes naturales'!$A$25:$C$29,3,9))</f>
        <v>4</v>
      </c>
      <c r="AI636" s="13" t="b">
        <f t="shared" si="251"/>
        <v>1</v>
      </c>
      <c r="AJ636" s="13" t="str">
        <f t="shared" si="252"/>
        <v>Efecto ponderador</v>
      </c>
      <c r="AK636" s="28">
        <v>0.81759069605862034</v>
      </c>
      <c r="AL636" s="28">
        <v>48.046767106261555</v>
      </c>
      <c r="AM636" s="28">
        <v>0.43038839859103251</v>
      </c>
      <c r="AN636" s="13">
        <v>3</v>
      </c>
      <c r="AO636" s="33">
        <f t="shared" si="253"/>
        <v>-1</v>
      </c>
      <c r="AP636" s="13">
        <f t="shared" si="263"/>
        <v>43.038839859103248</v>
      </c>
      <c r="AQ636" s="13">
        <f>IFERROR(VLOOKUP(U636,'Cortes naturales'!$E$15:$G$19,3,9),U636)</f>
        <v>4</v>
      </c>
      <c r="AR636" s="28">
        <f t="shared" si="254"/>
        <v>-0.34638618829137546</v>
      </c>
      <c r="AS636" s="13" t="b">
        <f t="shared" si="255"/>
        <v>1</v>
      </c>
      <c r="AT636" s="13" t="str">
        <f t="shared" si="264"/>
        <v>Efecto ponderador</v>
      </c>
      <c r="AU636" s="13">
        <v>2</v>
      </c>
      <c r="AV636">
        <f t="shared" si="256"/>
        <v>-2</v>
      </c>
      <c r="AW636" s="13">
        <v>0</v>
      </c>
      <c r="AX636" s="13">
        <v>0</v>
      </c>
      <c r="AY636" s="13">
        <v>0</v>
      </c>
      <c r="AZ636" s="13">
        <v>0</v>
      </c>
      <c r="BA636">
        <v>1</v>
      </c>
      <c r="BB636" t="s">
        <v>2840</v>
      </c>
      <c r="BC636">
        <v>6</v>
      </c>
      <c r="BD636" t="s">
        <v>2919</v>
      </c>
      <c r="BE636">
        <v>0</v>
      </c>
      <c r="BF636" s="232" t="s">
        <v>2846</v>
      </c>
      <c r="BG636" s="232" t="s">
        <v>2846</v>
      </c>
      <c r="BH636" s="253">
        <v>29.6</v>
      </c>
      <c r="BI636" s="253">
        <v>9.8640041315200548</v>
      </c>
      <c r="BJ636" s="25">
        <v>1.5058333333333334</v>
      </c>
      <c r="BK636" t="s">
        <v>381</v>
      </c>
      <c r="BL636">
        <v>1.1616162586432615</v>
      </c>
      <c r="BM636" t="s">
        <v>383</v>
      </c>
      <c r="BN636" s="322">
        <v>15174.536348</v>
      </c>
      <c r="BO636" s="322">
        <v>3694.2445849999999</v>
      </c>
      <c r="BP636" s="10">
        <v>6989</v>
      </c>
      <c r="BQ636" s="254">
        <f t="shared" si="257"/>
        <v>2.1712027969666616</v>
      </c>
      <c r="BR636" s="254">
        <f t="shared" si="258"/>
        <v>0.52857985191014445</v>
      </c>
      <c r="BS636" s="25">
        <v>58.278034583119329</v>
      </c>
      <c r="BT636" s="25">
        <v>78.077920924786568</v>
      </c>
      <c r="BU636" s="25">
        <v>45.478674033149169</v>
      </c>
      <c r="BV636" s="25">
        <v>98.081353884475405</v>
      </c>
      <c r="BW636" s="25">
        <v>51.768878585414427</v>
      </c>
      <c r="BX636" s="25">
        <v>69.97899585638261</v>
      </c>
      <c r="BY636" s="25">
        <v>53.212745411311793</v>
      </c>
      <c r="BZ636">
        <v>40</v>
      </c>
      <c r="CA636">
        <v>0</v>
      </c>
      <c r="CB636">
        <v>7</v>
      </c>
      <c r="CC636">
        <v>22250.484634</v>
      </c>
      <c r="CD636" s="10">
        <v>3573.7434490000001</v>
      </c>
      <c r="CE636" s="255">
        <v>0.16061418471484068</v>
      </c>
      <c r="CF636" t="str">
        <f>IFERROR(VLOOKUP(CE636,'Rangos amb etnico'!$A$2:$C$6,3,9),"N.D.")</f>
        <v>0,1% - 30%</v>
      </c>
      <c r="CG636" s="256">
        <v>1.0397366874782059E-4</v>
      </c>
      <c r="CH636" s="232">
        <v>0</v>
      </c>
      <c r="CI636" s="311">
        <f t="shared" si="265"/>
        <v>0</v>
      </c>
      <c r="CJ636" s="232">
        <f>IFERROR(VLOOKUP(CI636,'Rangos amb etnico'!$A$2:$C$6,3,9),"N.D.")</f>
        <v>0</v>
      </c>
      <c r="CK636" s="311">
        <f t="shared" si="266"/>
        <v>0</v>
      </c>
      <c r="CL636" s="10">
        <v>0</v>
      </c>
      <c r="CM636" s="255">
        <f t="shared" si="267"/>
        <v>0</v>
      </c>
      <c r="CN636" s="232">
        <f>IFERROR(VLOOKUP(CM636,'Rangos amb etnico'!$A$2:$C$6,3,9),"N.D.")</f>
        <v>0</v>
      </c>
      <c r="CO636" s="311">
        <f t="shared" si="268"/>
        <v>0</v>
      </c>
      <c r="CP636">
        <v>0.93990254259824213</v>
      </c>
      <c r="CQ636" t="s">
        <v>2864</v>
      </c>
      <c r="CR636">
        <f t="shared" si="259"/>
        <v>2</v>
      </c>
      <c r="CS636" t="str">
        <f t="shared" si="269"/>
        <v>No es Candidato</v>
      </c>
      <c r="CT636">
        <v>0</v>
      </c>
      <c r="CU636">
        <v>0</v>
      </c>
      <c r="CV636" s="25">
        <v>53.064041137695313</v>
      </c>
      <c r="CW636" s="25">
        <v>25.134990692138668</v>
      </c>
      <c r="CX636" s="25">
        <v>47.409088134765618</v>
      </c>
      <c r="CY636" s="25">
        <v>73.060630798339844</v>
      </c>
      <c r="CZ636" s="25">
        <v>41.540176391601563</v>
      </c>
      <c r="DA636" s="25">
        <v>57.496517181396477</v>
      </c>
      <c r="DB636" s="25">
        <v>73.742835998535156</v>
      </c>
      <c r="DC636">
        <v>189</v>
      </c>
      <c r="DD636" s="253" t="s">
        <v>380</v>
      </c>
    </row>
    <row r="637" spans="1:108" hidden="1">
      <c r="A637" s="13">
        <v>27001</v>
      </c>
      <c r="B637" s="13" t="s">
        <v>1713</v>
      </c>
      <c r="C637" s="13" t="s">
        <v>1714</v>
      </c>
      <c r="D637" s="13" t="s">
        <v>1715</v>
      </c>
      <c r="E637" s="13" t="s">
        <v>1716</v>
      </c>
      <c r="F637" s="14">
        <v>65.175566666666697</v>
      </c>
      <c r="G637" s="13">
        <v>74.180000000000007</v>
      </c>
      <c r="H637" s="13">
        <v>74.44</v>
      </c>
      <c r="I637" s="13">
        <v>69.83</v>
      </c>
      <c r="J637" s="14">
        <v>52.540767449971092</v>
      </c>
      <c r="K637" s="14">
        <v>52.404762168050141</v>
      </c>
      <c r="L637" s="14">
        <v>56.749752178011462</v>
      </c>
      <c r="M637" s="14">
        <v>56.714500000000001</v>
      </c>
      <c r="N637" s="14">
        <f t="shared" si="243"/>
        <v>70.906391666666678</v>
      </c>
      <c r="O637" s="14">
        <f t="shared" si="244"/>
        <v>54.602445449008172</v>
      </c>
      <c r="P637" s="14">
        <f t="shared" si="260"/>
        <v>62.754418557837425</v>
      </c>
      <c r="Q637" s="14">
        <v>56.819844560168839</v>
      </c>
      <c r="R637" s="17">
        <f t="shared" si="245"/>
        <v>43.180155439831161</v>
      </c>
      <c r="S637" s="14">
        <f t="shared" si="261"/>
        <v>0.48862139895848045</v>
      </c>
      <c r="T637" s="13">
        <v>0</v>
      </c>
      <c r="U637" s="13">
        <f t="shared" si="262"/>
        <v>30.663151786556551</v>
      </c>
      <c r="V637" s="13">
        <f>IF($T637=1,$AU637,(VLOOKUP(U637,'Cortes naturales'!$A$35:$C$39,3,9)))</f>
        <v>3</v>
      </c>
      <c r="W637" s="13">
        <v>3</v>
      </c>
      <c r="X637" s="14" t="b">
        <f t="shared" si="246"/>
        <v>1</v>
      </c>
      <c r="Y637" s="17">
        <f>IF($T637=1,$AU637,VLOOKUP(U637,'Cortes naturales'!$A$45:$C$49,3,9))</f>
        <v>3</v>
      </c>
      <c r="Z637" s="14">
        <v>61.578475611445086</v>
      </c>
      <c r="AA637" s="14">
        <v>0.49688745056033268</v>
      </c>
      <c r="AB637" s="14">
        <v>30.597571755962573</v>
      </c>
      <c r="AC637" s="13">
        <v>3</v>
      </c>
      <c r="AD637" s="13">
        <f t="shared" si="247"/>
        <v>0</v>
      </c>
      <c r="AE637" s="14">
        <f t="shared" si="248"/>
        <v>1.1759429463923396</v>
      </c>
      <c r="AF637" s="14">
        <f t="shared" si="249"/>
        <v>-8.2660516018522312E-3</v>
      </c>
      <c r="AG637" s="13">
        <f t="shared" si="250"/>
        <v>6.5580030593977767E-2</v>
      </c>
      <c r="AH637" s="13">
        <f>IF($T637=1,$AU637,VLOOKUP(U637,'Cortes naturales'!$A$25:$C$29,3,9))</f>
        <v>3</v>
      </c>
      <c r="AI637" s="13" t="b">
        <f t="shared" si="251"/>
        <v>1</v>
      </c>
      <c r="AJ637" s="13">
        <f t="shared" si="252"/>
        <v>0</v>
      </c>
      <c r="AK637" s="28">
        <v>0.81759069605862034</v>
      </c>
      <c r="AL637" s="28">
        <v>50.345988737390165</v>
      </c>
      <c r="AM637" s="28">
        <v>0.4591492375884052</v>
      </c>
      <c r="AN637" s="13">
        <v>3</v>
      </c>
      <c r="AO637" s="33">
        <f t="shared" si="253"/>
        <v>0</v>
      </c>
      <c r="AP637" s="13">
        <f t="shared" si="263"/>
        <v>45.914923758840523</v>
      </c>
      <c r="AQ637" s="13">
        <f>IFERROR(VLOOKUP(U637,'Cortes naturales'!$E$15:$G$19,3,9),U637)</f>
        <v>4</v>
      </c>
      <c r="AR637" s="28">
        <f t="shared" si="254"/>
        <v>-0.32896929710013989</v>
      </c>
      <c r="AS637" s="13" t="b">
        <f t="shared" si="255"/>
        <v>0</v>
      </c>
      <c r="AT637" s="13">
        <f t="shared" si="264"/>
        <v>0</v>
      </c>
      <c r="AU637" s="13">
        <v>3</v>
      </c>
      <c r="AV637">
        <f t="shared" si="256"/>
        <v>0</v>
      </c>
      <c r="AW637" s="13">
        <v>1</v>
      </c>
      <c r="AX637" s="13">
        <v>0</v>
      </c>
      <c r="AY637" s="13">
        <v>0</v>
      </c>
      <c r="AZ637" s="13">
        <v>0</v>
      </c>
      <c r="BA637">
        <v>1</v>
      </c>
      <c r="BB637" t="s">
        <v>2838</v>
      </c>
      <c r="BC637">
        <v>3</v>
      </c>
      <c r="BD637" t="s">
        <v>2920</v>
      </c>
      <c r="BE637">
        <v>0</v>
      </c>
      <c r="BF637" s="232" t="s">
        <v>2845</v>
      </c>
      <c r="BG637" s="232" t="s">
        <v>2845</v>
      </c>
      <c r="BH637" s="253">
        <v>44.4</v>
      </c>
      <c r="BI637" s="253">
        <v>72.809902829738618</v>
      </c>
      <c r="BJ637" s="25">
        <v>0</v>
      </c>
      <c r="BK637" t="s">
        <v>381</v>
      </c>
      <c r="BL637">
        <v>13.880724609101222</v>
      </c>
      <c r="BM637" t="s">
        <v>376</v>
      </c>
      <c r="BN637" s="322">
        <v>459693.72049500002</v>
      </c>
      <c r="BO637" s="322">
        <v>41414.784291999997</v>
      </c>
      <c r="BP637" s="10">
        <v>140076</v>
      </c>
      <c r="BQ637" s="254">
        <f t="shared" si="257"/>
        <v>3.281745056219481</v>
      </c>
      <c r="BR637" s="254">
        <f t="shared" si="258"/>
        <v>0.29565938698991973</v>
      </c>
      <c r="BS637" s="25">
        <v>70.744041492810695</v>
      </c>
      <c r="BT637" s="25">
        <v>96.315640432654888</v>
      </c>
      <c r="BU637" s="25">
        <v>47.278333333333343</v>
      </c>
      <c r="BV637" s="25">
        <v>76.746549637844581</v>
      </c>
      <c r="BW637" s="25">
        <v>61.339615400040792</v>
      </c>
      <c r="BX637" s="25">
        <v>72.771141224160871</v>
      </c>
      <c r="BY637" s="25">
        <v>62.666918824943558</v>
      </c>
      <c r="BZ637">
        <v>51</v>
      </c>
      <c r="CA637">
        <v>1</v>
      </c>
      <c r="CB637">
        <v>4</v>
      </c>
      <c r="CC637">
        <v>350865.59180699999</v>
      </c>
      <c r="CD637" s="10">
        <v>27354.01254</v>
      </c>
      <c r="CE637" s="255">
        <v>7.7961513407808228E-2</v>
      </c>
      <c r="CF637" t="str">
        <f>IFERROR(VLOOKUP(CE637,'Rangos amb etnico'!$A$2:$C$6,3,9),"N.D.")</f>
        <v>0,1% - 30%</v>
      </c>
      <c r="CG637" s="256">
        <v>7.9583134025849607E-4</v>
      </c>
      <c r="CH637" s="232">
        <v>328663.47884400003</v>
      </c>
      <c r="CI637" s="311">
        <f t="shared" si="265"/>
        <v>0.93672188586901206</v>
      </c>
      <c r="CJ637" s="232" t="str">
        <f>IFERROR(VLOOKUP(CI637,'Rangos amb etnico'!$A$2:$C$6,3,9),"N.D.")</f>
        <v>71% - 100%</v>
      </c>
      <c r="CK637" s="311">
        <f t="shared" si="266"/>
        <v>1.3050091935794182E-2</v>
      </c>
      <c r="CL637" s="10">
        <v>0</v>
      </c>
      <c r="CM637" s="255">
        <f t="shared" si="267"/>
        <v>0</v>
      </c>
      <c r="CN637" s="232">
        <f>IFERROR(VLOOKUP(CM637,'Rangos amb etnico'!$A$2:$C$6,3,9),"N.D.")</f>
        <v>0</v>
      </c>
      <c r="CO637" s="311">
        <f t="shared" si="268"/>
        <v>0</v>
      </c>
      <c r="CP637">
        <v>0.90046156153229417</v>
      </c>
      <c r="CQ637" t="s">
        <v>2864</v>
      </c>
      <c r="CR637">
        <f t="shared" si="259"/>
        <v>3</v>
      </c>
      <c r="CS637" t="str">
        <f t="shared" si="269"/>
        <v>Candidato</v>
      </c>
      <c r="CT637">
        <v>0</v>
      </c>
      <c r="CU637">
        <v>0</v>
      </c>
      <c r="CV637" s="25">
        <v>40.153556823730469</v>
      </c>
      <c r="CW637" s="25">
        <v>44.556087493896477</v>
      </c>
      <c r="CX637" s="25">
        <v>44.245162963867188</v>
      </c>
      <c r="CY637" s="25">
        <v>60.579315185546882</v>
      </c>
      <c r="CZ637" s="25">
        <v>23.677593231201168</v>
      </c>
      <c r="DA637" s="25">
        <v>19.992979049682621</v>
      </c>
      <c r="DB637" s="25">
        <v>47.870212554931641</v>
      </c>
      <c r="DC637">
        <v>125475</v>
      </c>
      <c r="DD637" s="253">
        <v>4.0128034331481945</v>
      </c>
    </row>
    <row r="638" spans="1:108" hidden="1">
      <c r="A638" s="13">
        <v>68368</v>
      </c>
      <c r="B638" s="13" t="s">
        <v>1717</v>
      </c>
      <c r="C638" s="13" t="s">
        <v>431</v>
      </c>
      <c r="D638" s="13" t="s">
        <v>432</v>
      </c>
      <c r="E638" s="13" t="s">
        <v>1718</v>
      </c>
      <c r="F638" s="14">
        <v>47.589933333333299</v>
      </c>
      <c r="G638" s="13">
        <v>57.14</v>
      </c>
      <c r="H638" s="13">
        <v>61.45</v>
      </c>
      <c r="I638" s="13">
        <v>68.25</v>
      </c>
      <c r="J638" s="14">
        <v>51.340423707309959</v>
      </c>
      <c r="K638" s="14">
        <v>66.806669985131876</v>
      </c>
      <c r="L638" s="14">
        <v>60.110066407810663</v>
      </c>
      <c r="M638" s="14">
        <v>56.779299999999999</v>
      </c>
      <c r="N638" s="14">
        <f t="shared" si="243"/>
        <v>58.60748333333332</v>
      </c>
      <c r="O638" s="14">
        <f t="shared" si="244"/>
        <v>58.759115025063132</v>
      </c>
      <c r="P638" s="14">
        <f t="shared" si="260"/>
        <v>58.683299179198229</v>
      </c>
      <c r="Q638" s="14">
        <v>56.972437885173768</v>
      </c>
      <c r="R638" s="17">
        <f t="shared" si="245"/>
        <v>43.027562114826232</v>
      </c>
      <c r="S638" s="14">
        <f t="shared" si="261"/>
        <v>0.48724805903343615</v>
      </c>
      <c r="T638" s="13">
        <v>0</v>
      </c>
      <c r="U638" s="13">
        <f t="shared" si="262"/>
        <v>28.593323622742773</v>
      </c>
      <c r="V638" s="13">
        <f>IF($T638=1,$AU638,(VLOOKUP(U638,'Cortes naturales'!$A$35:$C$39,3,9)))</f>
        <v>4</v>
      </c>
      <c r="W638" s="13">
        <v>4</v>
      </c>
      <c r="X638" s="14" t="b">
        <f t="shared" si="246"/>
        <v>1</v>
      </c>
      <c r="Y638" s="17">
        <f>IF($T638=1,$AU638,VLOOKUP(U638,'Cortes naturales'!$A$45:$C$49,3,9))</f>
        <v>3</v>
      </c>
      <c r="Z638" s="14">
        <v>55.702386877988744</v>
      </c>
      <c r="AA638" s="14">
        <v>0.4961008675422629</v>
      </c>
      <c r="AB638" s="14">
        <v>27.634002454344976</v>
      </c>
      <c r="AC638" s="13">
        <v>4</v>
      </c>
      <c r="AD638" s="13">
        <f t="shared" si="247"/>
        <v>1</v>
      </c>
      <c r="AE638" s="14">
        <f t="shared" si="248"/>
        <v>2.9809123012094858</v>
      </c>
      <c r="AF638" s="14">
        <f t="shared" si="249"/>
        <v>-8.8528085088267483E-3</v>
      </c>
      <c r="AG638" s="13">
        <f t="shared" si="250"/>
        <v>0.95932116839779624</v>
      </c>
      <c r="AH638" s="13">
        <f>IF($T638=1,$AU638,VLOOKUP(U638,'Cortes naturales'!$A$25:$C$29,3,9))</f>
        <v>3</v>
      </c>
      <c r="AI638" s="13" t="b">
        <f t="shared" si="251"/>
        <v>1</v>
      </c>
      <c r="AJ638" s="13" t="str">
        <f t="shared" si="252"/>
        <v>Efecto ponderador</v>
      </c>
      <c r="AK638" s="28">
        <v>0.81759069605862034</v>
      </c>
      <c r="AL638" s="28">
        <v>45.541753259701373</v>
      </c>
      <c r="AM638" s="28">
        <v>0.39905331590405313</v>
      </c>
      <c r="AN638" s="13">
        <v>3</v>
      </c>
      <c r="AO638" s="33">
        <f t="shared" si="253"/>
        <v>0</v>
      </c>
      <c r="AP638" s="13">
        <f t="shared" si="263"/>
        <v>39.905331590405311</v>
      </c>
      <c r="AQ638" s="13">
        <f>IFERROR(VLOOKUP(U638,'Cortes naturales'!$E$15:$G$19,3,9),U638)</f>
        <v>4</v>
      </c>
      <c r="AR638" s="28">
        <f t="shared" si="254"/>
        <v>-0.33034263702518418</v>
      </c>
      <c r="AS638" s="13" t="b">
        <f t="shared" si="255"/>
        <v>0</v>
      </c>
      <c r="AT638" s="13">
        <f t="shared" si="264"/>
        <v>0</v>
      </c>
      <c r="AU638" s="13">
        <v>3</v>
      </c>
      <c r="AV638">
        <f t="shared" si="256"/>
        <v>0</v>
      </c>
      <c r="AW638" s="13">
        <v>0</v>
      </c>
      <c r="AX638" s="13">
        <v>0</v>
      </c>
      <c r="AY638" s="13">
        <v>0</v>
      </c>
      <c r="AZ638" s="13">
        <v>0</v>
      </c>
      <c r="BA638">
        <v>0</v>
      </c>
      <c r="BB638" t="s">
        <v>2841</v>
      </c>
      <c r="BC638">
        <v>6</v>
      </c>
      <c r="BD638" t="s">
        <v>2919</v>
      </c>
      <c r="BE638">
        <v>1</v>
      </c>
      <c r="BF638" s="232" t="s">
        <v>2846</v>
      </c>
      <c r="BG638" s="232" t="s">
        <v>2846</v>
      </c>
      <c r="BH638" s="253">
        <v>40.799999999999997</v>
      </c>
      <c r="BI638" s="253">
        <v>12.520924004017409</v>
      </c>
      <c r="BJ638" s="25">
        <v>17.68</v>
      </c>
      <c r="BK638" t="s">
        <v>379</v>
      </c>
      <c r="BL638">
        <v>2.4904889408312934</v>
      </c>
      <c r="BM638" t="s">
        <v>383</v>
      </c>
      <c r="BN638" s="322">
        <v>13523.420082000001</v>
      </c>
      <c r="BO638" s="322">
        <v>4116.5470189999996</v>
      </c>
      <c r="BP638" s="10">
        <v>3429</v>
      </c>
      <c r="BQ638" s="254">
        <f t="shared" si="257"/>
        <v>3.9438378775153109</v>
      </c>
      <c r="BR638" s="254">
        <f t="shared" si="258"/>
        <v>1.2005094835228929</v>
      </c>
      <c r="BS638" s="25">
        <v>54.938404952254047</v>
      </c>
      <c r="BT638" s="25">
        <v>92.543987557110924</v>
      </c>
      <c r="BU638" s="25">
        <v>28.913821590440861</v>
      </c>
      <c r="BV638" s="25">
        <v>99.370165445024426</v>
      </c>
      <c r="BW638" s="25">
        <v>35.628661351785773</v>
      </c>
      <c r="BX638" s="25">
        <v>68.941594886207568</v>
      </c>
      <c r="BY638" s="25">
        <v>36.065002211856871</v>
      </c>
      <c r="BZ638">
        <v>25</v>
      </c>
      <c r="CA638">
        <v>0</v>
      </c>
      <c r="CB638">
        <v>7</v>
      </c>
      <c r="CC638">
        <v>8946.6448130000008</v>
      </c>
      <c r="CD638" s="10">
        <v>205.00043299999999</v>
      </c>
      <c r="CE638" s="255">
        <v>2.2913666216202336E-2</v>
      </c>
      <c r="CF638" t="str">
        <f>IFERROR(VLOOKUP(CE638,'Rangos amb etnico'!$A$2:$C$6,3,9),"N.D.")</f>
        <v>0,1% - 30%</v>
      </c>
      <c r="CG638" s="256">
        <v>5.9642353789738378E-6</v>
      </c>
      <c r="CH638" s="232">
        <v>0</v>
      </c>
      <c r="CI638" s="311">
        <f t="shared" si="265"/>
        <v>0</v>
      </c>
      <c r="CJ638" s="232">
        <f>IFERROR(VLOOKUP(CI638,'Rangos amb etnico'!$A$2:$C$6,3,9),"N.D.")</f>
        <v>0</v>
      </c>
      <c r="CK638" s="311">
        <f t="shared" si="266"/>
        <v>0</v>
      </c>
      <c r="CL638" s="10">
        <v>0</v>
      </c>
      <c r="CM638" s="255">
        <f t="shared" si="267"/>
        <v>0</v>
      </c>
      <c r="CN638" s="232">
        <f>IFERROR(VLOOKUP(CM638,'Rangos amb etnico'!$A$2:$C$6,3,9),"N.D.")</f>
        <v>0</v>
      </c>
      <c r="CO638" s="311">
        <f t="shared" si="268"/>
        <v>0</v>
      </c>
      <c r="CP638">
        <v>0.94439935146310261</v>
      </c>
      <c r="CQ638" t="s">
        <v>2864</v>
      </c>
      <c r="CR638">
        <f t="shared" si="259"/>
        <v>2</v>
      </c>
      <c r="CS638" t="str">
        <f t="shared" si="269"/>
        <v>No es Candidato</v>
      </c>
      <c r="CT638">
        <v>0</v>
      </c>
      <c r="CU638">
        <v>0</v>
      </c>
      <c r="CV638" s="25">
        <v>53.266517639160163</v>
      </c>
      <c r="CW638" s="25">
        <v>15.11625957489014</v>
      </c>
      <c r="CX638" s="25">
        <v>55.746967315673828</v>
      </c>
      <c r="CY638" s="25">
        <v>68.747482299804688</v>
      </c>
      <c r="CZ638" s="25">
        <v>46.858463287353523</v>
      </c>
      <c r="DA638" s="25">
        <v>86.2236328125</v>
      </c>
      <c r="DB638" s="25">
        <v>46.906299591064453</v>
      </c>
      <c r="DC638">
        <v>20</v>
      </c>
      <c r="DD638" s="253" t="s">
        <v>380</v>
      </c>
    </row>
    <row r="639" spans="1:108" hidden="1">
      <c r="A639" s="13">
        <v>68322</v>
      </c>
      <c r="B639" s="13" t="s">
        <v>1719</v>
      </c>
      <c r="C639" s="13" t="s">
        <v>431</v>
      </c>
      <c r="D639" s="13" t="s">
        <v>432</v>
      </c>
      <c r="E639" s="13" t="s">
        <v>1720</v>
      </c>
      <c r="F639" s="14">
        <v>67.341399999999993</v>
      </c>
      <c r="G639" s="13">
        <v>59.08</v>
      </c>
      <c r="H639" s="13">
        <v>53.69</v>
      </c>
      <c r="I639" s="13">
        <v>53.15</v>
      </c>
      <c r="J639" s="14">
        <v>64.312195258911956</v>
      </c>
      <c r="K639" s="14">
        <v>51.137201108311913</v>
      </c>
      <c r="L639" s="14">
        <v>60.878240568534125</v>
      </c>
      <c r="M639" s="14">
        <v>61.160600000000002</v>
      </c>
      <c r="N639" s="14">
        <f t="shared" si="243"/>
        <v>58.315350000000002</v>
      </c>
      <c r="O639" s="14">
        <f t="shared" si="244"/>
        <v>59.372059233939495</v>
      </c>
      <c r="P639" s="14">
        <f t="shared" si="260"/>
        <v>58.843704616969745</v>
      </c>
      <c r="Q639" s="14">
        <v>56.482072718680662</v>
      </c>
      <c r="R639" s="17">
        <f t="shared" si="245"/>
        <v>43.517927281319338</v>
      </c>
      <c r="S639" s="14">
        <f t="shared" si="261"/>
        <v>0.49166134553187402</v>
      </c>
      <c r="T639" s="13">
        <v>0</v>
      </c>
      <c r="U639" s="13">
        <f t="shared" si="262"/>
        <v>28.931174988059492</v>
      </c>
      <c r="V639" s="13">
        <f>IF($T639=1,$AU639,(VLOOKUP(U639,'Cortes naturales'!$A$35:$C$39,3,9)))</f>
        <v>4</v>
      </c>
      <c r="W639" s="13">
        <v>4</v>
      </c>
      <c r="X639" s="14" t="b">
        <f t="shared" si="246"/>
        <v>1</v>
      </c>
      <c r="Y639" s="17">
        <f>IF($T639=1,$AU639,VLOOKUP(U639,'Cortes naturales'!$A$45:$C$49,3,9))</f>
        <v>3</v>
      </c>
      <c r="Z639" s="14">
        <v>58.7947063429596</v>
      </c>
      <c r="AA639" s="14">
        <v>0.49597223310345562</v>
      </c>
      <c r="AB639" s="14">
        <v>29.16054179957958</v>
      </c>
      <c r="AC639" s="13">
        <v>3</v>
      </c>
      <c r="AD639" s="13">
        <f t="shared" si="247"/>
        <v>0</v>
      </c>
      <c r="AE639" s="14">
        <f t="shared" si="248"/>
        <v>4.8998274010145337E-2</v>
      </c>
      <c r="AF639" s="14">
        <f t="shared" si="249"/>
        <v>-4.3108875715816009E-3</v>
      </c>
      <c r="AG639" s="13">
        <f t="shared" si="250"/>
        <v>-0.22936681152008731</v>
      </c>
      <c r="AH639" s="13">
        <f>IF($T639=1,$AU639,VLOOKUP(U639,'Cortes naturales'!$A$25:$C$29,3,9))</f>
        <v>3</v>
      </c>
      <c r="AI639" s="13" t="b">
        <f t="shared" si="251"/>
        <v>1</v>
      </c>
      <c r="AJ639" s="13">
        <f t="shared" si="252"/>
        <v>0</v>
      </c>
      <c r="AK639" s="28">
        <v>0.81759069605862034</v>
      </c>
      <c r="AL639" s="28">
        <v>48.07000488350252</v>
      </c>
      <c r="AM639" s="28">
        <v>0.43067907868939093</v>
      </c>
      <c r="AN639" s="13">
        <v>3</v>
      </c>
      <c r="AO639" s="33">
        <f t="shared" si="253"/>
        <v>0</v>
      </c>
      <c r="AP639" s="13">
        <f t="shared" si="263"/>
        <v>43.067907868939095</v>
      </c>
      <c r="AQ639" s="13">
        <f>IFERROR(VLOOKUP(U639,'Cortes naturales'!$E$15:$G$19,3,9),U639)</f>
        <v>4</v>
      </c>
      <c r="AR639" s="28">
        <f t="shared" si="254"/>
        <v>-0.32592935052674632</v>
      </c>
      <c r="AS639" s="13" t="b">
        <f t="shared" si="255"/>
        <v>0</v>
      </c>
      <c r="AT639" s="13">
        <f t="shared" si="264"/>
        <v>0</v>
      </c>
      <c r="AU639" s="13">
        <v>3</v>
      </c>
      <c r="AV639">
        <f t="shared" si="256"/>
        <v>0</v>
      </c>
      <c r="AW639" s="13">
        <v>0</v>
      </c>
      <c r="AX639" s="13">
        <v>0</v>
      </c>
      <c r="AY639" s="13">
        <v>0</v>
      </c>
      <c r="AZ639" s="13">
        <v>0</v>
      </c>
      <c r="BA639">
        <v>0</v>
      </c>
      <c r="BB639" t="s">
        <v>2840</v>
      </c>
      <c r="BC639">
        <v>6</v>
      </c>
      <c r="BD639" t="s">
        <v>2919</v>
      </c>
      <c r="BE639">
        <v>0</v>
      </c>
      <c r="BF639" s="232" t="s">
        <v>2846</v>
      </c>
      <c r="BG639" s="232" t="s">
        <v>2845</v>
      </c>
      <c r="BH639" s="253">
        <v>31.4</v>
      </c>
      <c r="BI639" s="253">
        <v>12.573099415204679</v>
      </c>
      <c r="BJ639" s="25">
        <v>13.041999999999998</v>
      </c>
      <c r="BK639" t="s">
        <v>377</v>
      </c>
      <c r="BL639">
        <v>0</v>
      </c>
      <c r="BM639" t="s">
        <v>377</v>
      </c>
      <c r="BN639" s="322">
        <v>10465.238941</v>
      </c>
      <c r="BO639" s="322">
        <v>916.77727900000002</v>
      </c>
      <c r="BP639" s="10">
        <v>2634</v>
      </c>
      <c r="BQ639" s="254">
        <f t="shared" si="257"/>
        <v>3.9731355129081245</v>
      </c>
      <c r="BR639" s="254">
        <f t="shared" si="258"/>
        <v>0.34805515527714503</v>
      </c>
      <c r="BS639" s="25">
        <v>62.660564807472007</v>
      </c>
      <c r="BT639" s="25">
        <v>77.539995659326749</v>
      </c>
      <c r="BU639" s="25">
        <v>50.408082576740163</v>
      </c>
      <c r="BV639" s="25">
        <v>94.632624254458676</v>
      </c>
      <c r="BW639" s="25">
        <v>47.085076624454032</v>
      </c>
      <c r="BX639" s="25">
        <v>71.310316824499409</v>
      </c>
      <c r="BY639" s="25">
        <v>49.724566921405433</v>
      </c>
      <c r="BZ639">
        <v>45</v>
      </c>
      <c r="CA639">
        <v>0</v>
      </c>
      <c r="CB639">
        <v>7</v>
      </c>
      <c r="CC639">
        <v>6718.3621590000002</v>
      </c>
      <c r="CD639" s="10">
        <v>186.25626500000001</v>
      </c>
      <c r="CE639" s="255">
        <v>2.7723463039349382E-2</v>
      </c>
      <c r="CF639" t="str">
        <f>IFERROR(VLOOKUP(CE639,'Rangos amb etnico'!$A$2:$C$6,3,9),"N.D.")</f>
        <v>0,1% - 30%</v>
      </c>
      <c r="CG639" s="256">
        <v>5.4188968726155164E-6</v>
      </c>
      <c r="CH639" s="232">
        <v>0</v>
      </c>
      <c r="CI639" s="311">
        <f t="shared" si="265"/>
        <v>0</v>
      </c>
      <c r="CJ639" s="232">
        <f>IFERROR(VLOOKUP(CI639,'Rangos amb etnico'!$A$2:$C$6,3,9),"N.D.")</f>
        <v>0</v>
      </c>
      <c r="CK639" s="311">
        <f t="shared" si="266"/>
        <v>0</v>
      </c>
      <c r="CL639" s="10">
        <v>0</v>
      </c>
      <c r="CM639" s="255">
        <f t="shared" si="267"/>
        <v>0</v>
      </c>
      <c r="CN639" s="232">
        <f>IFERROR(VLOOKUP(CM639,'Rangos amb etnico'!$A$2:$C$6,3,9),"N.D.")</f>
        <v>0</v>
      </c>
      <c r="CO639" s="311">
        <f t="shared" si="268"/>
        <v>0</v>
      </c>
      <c r="CP639">
        <v>0.93732604225819094</v>
      </c>
      <c r="CQ639" t="s">
        <v>2864</v>
      </c>
      <c r="CR639">
        <f t="shared" si="259"/>
        <v>2</v>
      </c>
      <c r="CS639" t="str">
        <f t="shared" si="269"/>
        <v>No es Candidato</v>
      </c>
      <c r="CT639">
        <v>0</v>
      </c>
      <c r="CU639">
        <v>0</v>
      </c>
      <c r="CV639" s="25">
        <v>53.412097930908203</v>
      </c>
      <c r="CW639" s="25">
        <v>23.560148239135739</v>
      </c>
      <c r="CX639" s="25">
        <v>54.095493316650391</v>
      </c>
      <c r="CY639" s="25">
        <v>61.78717041015625</v>
      </c>
      <c r="CZ639" s="25">
        <v>43.864601135253913</v>
      </c>
      <c r="DA639" s="25">
        <v>94.208526611328125</v>
      </c>
      <c r="DB639" s="25">
        <v>42.956657409667969</v>
      </c>
      <c r="DC639">
        <v>19</v>
      </c>
      <c r="DD639" s="253" t="s">
        <v>380</v>
      </c>
    </row>
    <row r="640" spans="1:108" hidden="1">
      <c r="A640" s="13">
        <v>25258</v>
      </c>
      <c r="B640" s="13" t="s">
        <v>1721</v>
      </c>
      <c r="C640" s="13" t="s">
        <v>461</v>
      </c>
      <c r="D640" s="13" t="s">
        <v>462</v>
      </c>
      <c r="E640" s="13" t="s">
        <v>1722</v>
      </c>
      <c r="F640" s="14">
        <v>61.770766666666702</v>
      </c>
      <c r="G640" s="13">
        <v>64.69</v>
      </c>
      <c r="H640" s="13">
        <v>67.17</v>
      </c>
      <c r="I640" s="13">
        <v>60.17</v>
      </c>
      <c r="J640" s="14">
        <v>63.965384349714611</v>
      </c>
      <c r="K640" s="14">
        <v>47.105861311239664</v>
      </c>
      <c r="L640" s="14">
        <v>48.220086952743017</v>
      </c>
      <c r="M640" s="14">
        <v>53.467300000000002</v>
      </c>
      <c r="N640" s="14">
        <f t="shared" si="243"/>
        <v>63.450191666666683</v>
      </c>
      <c r="O640" s="14">
        <f t="shared" si="244"/>
        <v>53.189658153424325</v>
      </c>
      <c r="P640" s="14">
        <f t="shared" si="260"/>
        <v>58.319924910045501</v>
      </c>
      <c r="Q640" s="14">
        <v>57.866115177738244</v>
      </c>
      <c r="R640" s="17">
        <f t="shared" si="245"/>
        <v>42.133884822261756</v>
      </c>
      <c r="S640" s="14">
        <f t="shared" si="261"/>
        <v>0.47920496340035579</v>
      </c>
      <c r="T640" s="13">
        <v>0</v>
      </c>
      <c r="U640" s="13">
        <f t="shared" si="262"/>
        <v>27.947197482029853</v>
      </c>
      <c r="V640" s="13">
        <f>IF($T640=1,$AU640,(VLOOKUP(U640,'Cortes naturales'!$A$35:$C$39,3,9)))</f>
        <v>4</v>
      </c>
      <c r="W640" s="13">
        <v>4</v>
      </c>
      <c r="X640" s="14" t="b">
        <f t="shared" si="246"/>
        <v>1</v>
      </c>
      <c r="Y640" s="17">
        <f>IF($T640=1,$AU640,VLOOKUP(U640,'Cortes naturales'!$A$45:$C$49,3,9))</f>
        <v>4</v>
      </c>
      <c r="Z640" s="14">
        <v>57.91352290479734</v>
      </c>
      <c r="AA640" s="14">
        <v>0.49578959548473034</v>
      </c>
      <c r="AB640" s="14">
        <v>28.712922094065139</v>
      </c>
      <c r="AC640" s="13">
        <v>3</v>
      </c>
      <c r="AD640" s="13">
        <f t="shared" si="247"/>
        <v>-1</v>
      </c>
      <c r="AE640" s="14">
        <f t="shared" si="248"/>
        <v>0.40640200524816095</v>
      </c>
      <c r="AF640" s="14">
        <f t="shared" si="249"/>
        <v>-1.6584632084374551E-2</v>
      </c>
      <c r="AG640" s="13">
        <f t="shared" si="250"/>
        <v>-0.76572461203528519</v>
      </c>
      <c r="AH640" s="13">
        <f>IF($T640=1,$AU640,VLOOKUP(U640,'Cortes naturales'!$A$25:$C$29,3,9))</f>
        <v>3</v>
      </c>
      <c r="AI640" s="13" t="b">
        <f t="shared" si="251"/>
        <v>0</v>
      </c>
      <c r="AJ640" s="13" t="str">
        <f t="shared" si="252"/>
        <v>Cambio en corte</v>
      </c>
      <c r="AK640" s="28">
        <v>0.81759069605862034</v>
      </c>
      <c r="AL640" s="28">
        <v>47.349557502940108</v>
      </c>
      <c r="AM640" s="28">
        <v>0.42166704138167677</v>
      </c>
      <c r="AN640" s="13">
        <v>3</v>
      </c>
      <c r="AO640" s="33">
        <f t="shared" si="253"/>
        <v>-1</v>
      </c>
      <c r="AP640" s="13">
        <f t="shared" si="263"/>
        <v>42.166704138167674</v>
      </c>
      <c r="AQ640" s="13">
        <f>IFERROR(VLOOKUP(U640,'Cortes naturales'!$E$15:$G$19,3,9),U640)</f>
        <v>4</v>
      </c>
      <c r="AR640" s="28">
        <f t="shared" si="254"/>
        <v>-0.33838573265826455</v>
      </c>
      <c r="AS640" s="13" t="b">
        <f t="shared" si="255"/>
        <v>1</v>
      </c>
      <c r="AT640" s="13" t="str">
        <f t="shared" si="264"/>
        <v>Efecto ponderador</v>
      </c>
      <c r="AU640" s="13">
        <v>3</v>
      </c>
      <c r="AV640">
        <f t="shared" si="256"/>
        <v>-1</v>
      </c>
      <c r="AW640" s="13">
        <v>0</v>
      </c>
      <c r="AX640" s="13">
        <v>0</v>
      </c>
      <c r="AY640" s="13">
        <v>0</v>
      </c>
      <c r="AZ640" s="13">
        <v>0</v>
      </c>
      <c r="BA640">
        <v>1</v>
      </c>
      <c r="BB640" t="s">
        <v>2841</v>
      </c>
      <c r="BC640">
        <v>6</v>
      </c>
      <c r="BD640" t="s">
        <v>2919</v>
      </c>
      <c r="BE640">
        <v>0</v>
      </c>
      <c r="BF640" s="232" t="s">
        <v>2846</v>
      </c>
      <c r="BG640" s="232" t="s">
        <v>2845</v>
      </c>
      <c r="BH640" s="253">
        <v>49.5</v>
      </c>
      <c r="BI640" s="253">
        <v>25.766338924233661</v>
      </c>
      <c r="BJ640" s="25">
        <v>0.61579854809437384</v>
      </c>
      <c r="BK640" t="s">
        <v>381</v>
      </c>
      <c r="BL640">
        <v>1.5975221908805202</v>
      </c>
      <c r="BM640" t="s">
        <v>383</v>
      </c>
      <c r="BN640" s="322">
        <v>13353.97364</v>
      </c>
      <c r="BO640" s="322">
        <v>1107.884947</v>
      </c>
      <c r="BP640" s="10">
        <v>4710</v>
      </c>
      <c r="BQ640" s="254">
        <f t="shared" si="257"/>
        <v>2.8352385647558385</v>
      </c>
      <c r="BR640" s="254">
        <f t="shared" si="258"/>
        <v>0.23521973397027601</v>
      </c>
      <c r="BS640" s="25">
        <v>43.530766060177832</v>
      </c>
      <c r="BT640" s="25">
        <v>74.589968152866234</v>
      </c>
      <c r="BU640" s="25">
        <v>24.734517317612362</v>
      </c>
      <c r="BV640" s="25">
        <v>97.269718016531272</v>
      </c>
      <c r="BW640" s="25">
        <v>50.925959876582581</v>
      </c>
      <c r="BX640" s="25">
        <v>60.031242386796933</v>
      </c>
      <c r="BY640" s="25">
        <v>50.608443278626417</v>
      </c>
      <c r="BZ640">
        <v>33</v>
      </c>
      <c r="CA640">
        <v>0</v>
      </c>
      <c r="CB640">
        <v>7</v>
      </c>
      <c r="CC640">
        <v>13394.40905</v>
      </c>
      <c r="CD640" s="10">
        <v>4327.5733950000003</v>
      </c>
      <c r="CE640" s="255">
        <v>0.32308804209619091</v>
      </c>
      <c r="CF640" t="str">
        <f>IFERROR(VLOOKUP(CE640,'Rangos amb etnico'!$A$2:$C$6,3,9),"N.D.")</f>
        <v>31% - 50%</v>
      </c>
      <c r="CG640" s="256">
        <v>1.2590542356349525E-4</v>
      </c>
      <c r="CH640" s="232">
        <v>0</v>
      </c>
      <c r="CI640" s="311">
        <f t="shared" si="265"/>
        <v>0</v>
      </c>
      <c r="CJ640" s="232">
        <f>IFERROR(VLOOKUP(CI640,'Rangos amb etnico'!$A$2:$C$6,3,9),"N.D.")</f>
        <v>0</v>
      </c>
      <c r="CK640" s="311">
        <f t="shared" si="266"/>
        <v>0</v>
      </c>
      <c r="CL640" s="10">
        <v>0</v>
      </c>
      <c r="CM640" s="255">
        <f t="shared" si="267"/>
        <v>0</v>
      </c>
      <c r="CN640" s="232">
        <f>IFERROR(VLOOKUP(CM640,'Rangos amb etnico'!$A$2:$C$6,3,9),"N.D.")</f>
        <v>0</v>
      </c>
      <c r="CO640" s="311">
        <f t="shared" si="268"/>
        <v>0</v>
      </c>
      <c r="CP640">
        <v>0.90444170797115686</v>
      </c>
      <c r="CQ640" t="s">
        <v>2864</v>
      </c>
      <c r="CR640">
        <f t="shared" si="259"/>
        <v>2</v>
      </c>
      <c r="CS640" t="str">
        <f t="shared" si="269"/>
        <v>No es Candidato</v>
      </c>
      <c r="CT640">
        <v>0</v>
      </c>
      <c r="CU640">
        <v>0</v>
      </c>
      <c r="CV640" s="25">
        <v>43.586204528808587</v>
      </c>
      <c r="CW640" s="25">
        <v>6.979802131652832</v>
      </c>
      <c r="CX640" s="25">
        <v>44.310787200927727</v>
      </c>
      <c r="CY640" s="25">
        <v>72.563209533691406</v>
      </c>
      <c r="CZ640" s="25">
        <v>30.560358047485352</v>
      </c>
      <c r="DA640" s="25">
        <v>68.836448669433594</v>
      </c>
      <c r="DB640" s="25">
        <v>38.266616821289063</v>
      </c>
      <c r="DC640">
        <v>69</v>
      </c>
      <c r="DD640" s="253" t="s">
        <v>380</v>
      </c>
    </row>
    <row r="641" spans="1:108" hidden="1">
      <c r="A641" s="13">
        <v>25436</v>
      </c>
      <c r="B641" s="13" t="s">
        <v>1723</v>
      </c>
      <c r="C641" s="13" t="s">
        <v>461</v>
      </c>
      <c r="D641" s="13" t="s">
        <v>462</v>
      </c>
      <c r="E641" s="13" t="s">
        <v>1724</v>
      </c>
      <c r="F641" s="14">
        <v>52.438733333333303</v>
      </c>
      <c r="G641" s="13">
        <v>64.39</v>
      </c>
      <c r="H641" s="13">
        <v>66.52</v>
      </c>
      <c r="I641" s="13">
        <v>62.21</v>
      </c>
      <c r="J641" s="14">
        <v>43.618674621454659</v>
      </c>
      <c r="K641" s="14">
        <v>49.284769849262062</v>
      </c>
      <c r="L641" s="14">
        <v>58.418182384931207</v>
      </c>
      <c r="M641" s="14">
        <v>50.226399999999998</v>
      </c>
      <c r="N641" s="14">
        <f t="shared" si="243"/>
        <v>61.38968333333333</v>
      </c>
      <c r="O641" s="14">
        <f t="shared" si="244"/>
        <v>50.387006713911987</v>
      </c>
      <c r="P641" s="14">
        <f t="shared" si="260"/>
        <v>55.888345023622662</v>
      </c>
      <c r="Q641" s="14">
        <v>58.191084016891558</v>
      </c>
      <c r="R641" s="17">
        <f t="shared" si="245"/>
        <v>41.808915983108442</v>
      </c>
      <c r="S641" s="14">
        <f t="shared" si="261"/>
        <v>0.47628024384797596</v>
      </c>
      <c r="T641" s="13">
        <v>0</v>
      </c>
      <c r="U641" s="13">
        <f t="shared" si="262"/>
        <v>26.618514596110817</v>
      </c>
      <c r="V641" s="13">
        <f>IF($T641=1,$AU641,(VLOOKUP(U641,'Cortes naturales'!$A$35:$C$39,3,9)))</f>
        <v>4</v>
      </c>
      <c r="W641" s="13">
        <v>4</v>
      </c>
      <c r="X641" s="14" t="b">
        <f t="shared" si="246"/>
        <v>1</v>
      </c>
      <c r="Y641" s="17">
        <f>IF($T641=1,$AU641,VLOOKUP(U641,'Cortes naturales'!$A$45:$C$49,3,9))</f>
        <v>4</v>
      </c>
      <c r="Z641" s="14">
        <v>54.231201856719096</v>
      </c>
      <c r="AA641" s="14">
        <v>0.49836379553671861</v>
      </c>
      <c r="AB641" s="14">
        <v>27.026867593832471</v>
      </c>
      <c r="AC641" s="13">
        <v>4</v>
      </c>
      <c r="AD641" s="13">
        <f t="shared" si="247"/>
        <v>0</v>
      </c>
      <c r="AE641" s="14">
        <f t="shared" si="248"/>
        <v>1.6571431669035661</v>
      </c>
      <c r="AF641" s="14">
        <f t="shared" si="249"/>
        <v>-2.2083551688742653E-2</v>
      </c>
      <c r="AG641" s="13">
        <f t="shared" si="250"/>
        <v>-0.40835299772165357</v>
      </c>
      <c r="AH641" s="13">
        <f>IF($T641=1,$AU641,VLOOKUP(U641,'Cortes naturales'!$A$25:$C$29,3,9))</f>
        <v>4</v>
      </c>
      <c r="AI641" s="13" t="b">
        <f t="shared" si="251"/>
        <v>1</v>
      </c>
      <c r="AJ641" s="13">
        <f t="shared" si="252"/>
        <v>0</v>
      </c>
      <c r="AK641" s="28">
        <v>0.81759069605862034</v>
      </c>
      <c r="AL641" s="28">
        <v>44.338926074130512</v>
      </c>
      <c r="AM641" s="28">
        <v>0.38400721571192625</v>
      </c>
      <c r="AN641" s="13">
        <v>3</v>
      </c>
      <c r="AO641" s="33">
        <f t="shared" si="253"/>
        <v>-1</v>
      </c>
      <c r="AP641" s="13">
        <f t="shared" si="263"/>
        <v>38.400721571192626</v>
      </c>
      <c r="AQ641" s="13">
        <f>IFERROR(VLOOKUP(U641,'Cortes naturales'!$E$15:$G$19,3,9),U641)</f>
        <v>4</v>
      </c>
      <c r="AR641" s="28">
        <f t="shared" si="254"/>
        <v>-0.34131045221064438</v>
      </c>
      <c r="AS641" s="13" t="b">
        <f t="shared" si="255"/>
        <v>1</v>
      </c>
      <c r="AT641" s="13" t="str">
        <f t="shared" si="264"/>
        <v>Efecto ponderador</v>
      </c>
      <c r="AU641" s="13">
        <v>3</v>
      </c>
      <c r="AV641">
        <f t="shared" si="256"/>
        <v>-1</v>
      </c>
      <c r="AW641" s="13">
        <v>0</v>
      </c>
      <c r="AX641" s="13">
        <v>0</v>
      </c>
      <c r="AY641" s="13">
        <v>0</v>
      </c>
      <c r="AZ641" s="13">
        <v>0</v>
      </c>
      <c r="BA641">
        <v>0</v>
      </c>
      <c r="BB641" t="s">
        <v>2840</v>
      </c>
      <c r="BC641">
        <v>6</v>
      </c>
      <c r="BD641" t="s">
        <v>2919</v>
      </c>
      <c r="BE641">
        <v>0</v>
      </c>
      <c r="BF641" s="232" t="s">
        <v>2846</v>
      </c>
      <c r="BG641" s="232" t="s">
        <v>2846</v>
      </c>
      <c r="BH641" s="253">
        <v>35.5</v>
      </c>
      <c r="BI641" s="253">
        <v>7.6021634615384617</v>
      </c>
      <c r="BJ641" s="25">
        <v>5.6446153846153839</v>
      </c>
      <c r="BK641" t="s">
        <v>377</v>
      </c>
      <c r="BL641">
        <v>0</v>
      </c>
      <c r="BM641" t="s">
        <v>377</v>
      </c>
      <c r="BN641" s="322">
        <v>9290.1146989999997</v>
      </c>
      <c r="BO641" s="322">
        <v>709.93113900000003</v>
      </c>
      <c r="BP641" s="10">
        <v>3502</v>
      </c>
      <c r="BQ641" s="254">
        <f t="shared" si="257"/>
        <v>2.6528025982295831</v>
      </c>
      <c r="BR641" s="254">
        <f t="shared" si="258"/>
        <v>0.20272162735579669</v>
      </c>
      <c r="BS641" s="25">
        <v>56.123456790123463</v>
      </c>
      <c r="BT641" s="25">
        <v>81.576442358652201</v>
      </c>
      <c r="BU641" s="25">
        <v>52.800084745762703</v>
      </c>
      <c r="BV641" s="25">
        <v>96.287647164855969</v>
      </c>
      <c r="BW641" s="25">
        <v>56.49651928234276</v>
      </c>
      <c r="BX641" s="25">
        <v>71.696907764848589</v>
      </c>
      <c r="BY641" s="25">
        <v>57.171568030944663</v>
      </c>
      <c r="BZ641">
        <v>87</v>
      </c>
      <c r="CA641">
        <v>0</v>
      </c>
      <c r="CB641">
        <v>7</v>
      </c>
      <c r="CC641">
        <v>10773.563292999999</v>
      </c>
      <c r="CD641" s="10">
        <v>4989.5338760000004</v>
      </c>
      <c r="CE641" s="255">
        <v>0.46312754102831449</v>
      </c>
      <c r="CF641" t="str">
        <f>IFERROR(VLOOKUP(CE641,'Rangos amb etnico'!$A$2:$C$6,3,9),"N.D.")</f>
        <v>31% - 50%</v>
      </c>
      <c r="CG641" s="256">
        <v>1.4516434932519223E-4</v>
      </c>
      <c r="CH641" s="232">
        <v>0</v>
      </c>
      <c r="CI641" s="311">
        <f t="shared" si="265"/>
        <v>0</v>
      </c>
      <c r="CJ641" s="232">
        <f>IFERROR(VLOOKUP(CI641,'Rangos amb etnico'!$A$2:$C$6,3,9),"N.D.")</f>
        <v>0</v>
      </c>
      <c r="CK641" s="311">
        <f t="shared" si="266"/>
        <v>0</v>
      </c>
      <c r="CL641" s="10">
        <v>0</v>
      </c>
      <c r="CM641" s="255">
        <f t="shared" si="267"/>
        <v>0</v>
      </c>
      <c r="CN641" s="232">
        <f>IFERROR(VLOOKUP(CM641,'Rangos amb etnico'!$A$2:$C$6,3,9),"N.D.")</f>
        <v>0</v>
      </c>
      <c r="CO641" s="311">
        <f t="shared" si="268"/>
        <v>0</v>
      </c>
      <c r="CP641">
        <v>0.95546686437332529</v>
      </c>
      <c r="CQ641" t="s">
        <v>2864</v>
      </c>
      <c r="CR641">
        <f t="shared" si="259"/>
        <v>2</v>
      </c>
      <c r="CS641" t="str">
        <f t="shared" si="269"/>
        <v>No es Candidato</v>
      </c>
      <c r="CT641">
        <v>0</v>
      </c>
      <c r="CU641">
        <v>0</v>
      </c>
      <c r="CV641" s="25">
        <v>52.91705322265625</v>
      </c>
      <c r="CW641" s="25">
        <v>16.621248245239261</v>
      </c>
      <c r="CX641" s="25">
        <v>46.439884185791023</v>
      </c>
      <c r="CY641" s="25">
        <v>50.949611663818359</v>
      </c>
      <c r="CZ641" s="25">
        <v>67.059852600097656</v>
      </c>
      <c r="DA641" s="25">
        <v>78.174697875976563</v>
      </c>
      <c r="DB641" s="25">
        <v>58.257030487060547</v>
      </c>
      <c r="DC641">
        <v>34</v>
      </c>
      <c r="DD641" s="253" t="s">
        <v>380</v>
      </c>
    </row>
    <row r="642" spans="1:108" hidden="1">
      <c r="A642" s="13">
        <v>15226</v>
      </c>
      <c r="B642" s="13" t="s">
        <v>1725</v>
      </c>
      <c r="C642" s="13" t="s">
        <v>498</v>
      </c>
      <c r="D642" s="13" t="s">
        <v>499</v>
      </c>
      <c r="E642" s="13" t="s">
        <v>1726</v>
      </c>
      <c r="F642" s="14">
        <v>74.850433333333299</v>
      </c>
      <c r="G642" s="13">
        <v>40.729999999999997</v>
      </c>
      <c r="H642" s="13">
        <v>67.69</v>
      </c>
      <c r="I642" s="13">
        <v>47.86</v>
      </c>
      <c r="J642" s="14">
        <v>53.282488835371296</v>
      </c>
      <c r="K642" s="14">
        <v>60.896152940505644</v>
      </c>
      <c r="L642" s="14">
        <v>62.286424887167811</v>
      </c>
      <c r="M642" s="14">
        <v>65.174999999999997</v>
      </c>
      <c r="N642" s="14">
        <f t="shared" si="243"/>
        <v>57.782608333333329</v>
      </c>
      <c r="O642" s="14">
        <f t="shared" si="244"/>
        <v>60.410016665761191</v>
      </c>
      <c r="P642" s="14">
        <f t="shared" si="260"/>
        <v>59.09631249954726</v>
      </c>
      <c r="Q642" s="14">
        <v>57.181997097959268</v>
      </c>
      <c r="R642" s="17">
        <f t="shared" si="245"/>
        <v>42.818002902040732</v>
      </c>
      <c r="S642" s="14">
        <f t="shared" si="261"/>
        <v>0.48536202611836654</v>
      </c>
      <c r="T642" s="13">
        <v>0</v>
      </c>
      <c r="U642" s="13">
        <f t="shared" si="262"/>
        <v>28.683105970904407</v>
      </c>
      <c r="V642" s="13">
        <f>IF($T642=1,$AU642,(VLOOKUP(U642,'Cortes naturales'!$A$35:$C$39,3,9)))</f>
        <v>4</v>
      </c>
      <c r="W642" s="13">
        <v>4</v>
      </c>
      <c r="X642" s="14" t="b">
        <f t="shared" si="246"/>
        <v>1</v>
      </c>
      <c r="Y642" s="17">
        <f>IF($T642=1,$AU642,VLOOKUP(U642,'Cortes naturales'!$A$45:$C$49,3,9))</f>
        <v>3</v>
      </c>
      <c r="Z642" s="14">
        <v>60.426257410001185</v>
      </c>
      <c r="AA642" s="14">
        <v>0.49699410471219141</v>
      </c>
      <c r="AB642" s="14">
        <v>30.031493702591959</v>
      </c>
      <c r="AC642" s="13">
        <v>3</v>
      </c>
      <c r="AD642" s="13">
        <f t="shared" si="247"/>
        <v>0</v>
      </c>
      <c r="AE642" s="14">
        <f t="shared" si="248"/>
        <v>-1.3299449104539249</v>
      </c>
      <c r="AF642" s="14">
        <f t="shared" si="249"/>
        <v>-1.1632078593824868E-2</v>
      </c>
      <c r="AG642" s="13">
        <f t="shared" si="250"/>
        <v>-1.3483877316875521</v>
      </c>
      <c r="AH642" s="13">
        <f>IF($T642=1,$AU642,VLOOKUP(U642,'Cortes naturales'!$A$25:$C$29,3,9))</f>
        <v>3</v>
      </c>
      <c r="AI642" s="13" t="b">
        <f t="shared" si="251"/>
        <v>1</v>
      </c>
      <c r="AJ642" s="13">
        <f t="shared" si="252"/>
        <v>0</v>
      </c>
      <c r="AK642" s="28">
        <v>0.81759069605862034</v>
      </c>
      <c r="AL642" s="28">
        <v>49.403945856060233</v>
      </c>
      <c r="AM642" s="28">
        <v>0.44736527414976457</v>
      </c>
      <c r="AN642" s="13">
        <v>3</v>
      </c>
      <c r="AO642" s="33">
        <f t="shared" si="253"/>
        <v>0</v>
      </c>
      <c r="AP642" s="13">
        <f t="shared" si="263"/>
        <v>44.736527414976457</v>
      </c>
      <c r="AQ642" s="13">
        <f>IFERROR(VLOOKUP(U642,'Cortes naturales'!$E$15:$G$19,3,9),U642)</f>
        <v>4</v>
      </c>
      <c r="AR642" s="28">
        <f t="shared" si="254"/>
        <v>-0.3322286699402538</v>
      </c>
      <c r="AS642" s="13" t="b">
        <f t="shared" si="255"/>
        <v>0</v>
      </c>
      <c r="AT642" s="13">
        <f t="shared" si="264"/>
        <v>0</v>
      </c>
      <c r="AU642" s="13">
        <v>3</v>
      </c>
      <c r="AV642">
        <f t="shared" si="256"/>
        <v>0</v>
      </c>
      <c r="AW642" s="13">
        <v>0</v>
      </c>
      <c r="AX642" s="13">
        <v>0</v>
      </c>
      <c r="AY642" s="13">
        <v>0</v>
      </c>
      <c r="AZ642" s="13">
        <v>0</v>
      </c>
      <c r="BA642">
        <v>0</v>
      </c>
      <c r="BB642" t="s">
        <v>2841</v>
      </c>
      <c r="BC642">
        <v>6</v>
      </c>
      <c r="BD642" t="s">
        <v>2919</v>
      </c>
      <c r="BE642">
        <v>1</v>
      </c>
      <c r="BF642" s="232" t="s">
        <v>2846</v>
      </c>
      <c r="BG642" s="232" t="s">
        <v>2846</v>
      </c>
      <c r="BH642" s="253">
        <v>40.700000000000003</v>
      </c>
      <c r="BI642" s="253">
        <v>9.5823095823095823</v>
      </c>
      <c r="BJ642" s="25">
        <v>12.546002617801047</v>
      </c>
      <c r="BK642" t="s">
        <v>377</v>
      </c>
      <c r="BL642">
        <v>0</v>
      </c>
      <c r="BM642" t="s">
        <v>377</v>
      </c>
      <c r="BN642" s="322">
        <v>7379.2450360000003</v>
      </c>
      <c r="BO642" s="322">
        <v>681.33883000000003</v>
      </c>
      <c r="BP642" s="10">
        <v>1837</v>
      </c>
      <c r="BQ642" s="254">
        <f t="shared" si="257"/>
        <v>4.0170087294501906</v>
      </c>
      <c r="BR642" s="254">
        <f t="shared" si="258"/>
        <v>0.37089756668481222</v>
      </c>
      <c r="BS642" s="25">
        <v>54.091728266057771</v>
      </c>
      <c r="BT642" s="25">
        <v>92.070404645254939</v>
      </c>
      <c r="BU642" s="25">
        <v>43.983129215477433</v>
      </c>
      <c r="BV642" s="25">
        <v>70.241487681293037</v>
      </c>
      <c r="BW642" s="25">
        <v>59.879676204904861</v>
      </c>
      <c r="BX642" s="25">
        <v>65.096687452020788</v>
      </c>
      <c r="BY642" s="25">
        <v>60.064059742688372</v>
      </c>
      <c r="BZ642">
        <v>62</v>
      </c>
      <c r="CA642">
        <v>0</v>
      </c>
      <c r="CB642">
        <v>7</v>
      </c>
      <c r="CC642">
        <v>4403.9840620000004</v>
      </c>
      <c r="CD642" s="10">
        <v>995.72273099999995</v>
      </c>
      <c r="CE642" s="255">
        <v>0.22609589793742532</v>
      </c>
      <c r="CF642" t="str">
        <f>IFERROR(VLOOKUP(CE642,'Rangos amb etnico'!$A$2:$C$6,3,9),"N.D.")</f>
        <v>0,1% - 30%</v>
      </c>
      <c r="CG642" s="256">
        <v>2.8969327786144971E-5</v>
      </c>
      <c r="CH642" s="232">
        <v>0</v>
      </c>
      <c r="CI642" s="311">
        <f t="shared" si="265"/>
        <v>0</v>
      </c>
      <c r="CJ642" s="232">
        <f>IFERROR(VLOOKUP(CI642,'Rangos amb etnico'!$A$2:$C$6,3,9),"N.D.")</f>
        <v>0</v>
      </c>
      <c r="CK642" s="311">
        <f t="shared" si="266"/>
        <v>0</v>
      </c>
      <c r="CL642" s="10">
        <v>0</v>
      </c>
      <c r="CM642" s="255">
        <f t="shared" si="267"/>
        <v>0</v>
      </c>
      <c r="CN642" s="232">
        <f>IFERROR(VLOOKUP(CM642,'Rangos amb etnico'!$A$2:$C$6,3,9),"N.D.")</f>
        <v>0</v>
      </c>
      <c r="CO642" s="311">
        <f t="shared" si="268"/>
        <v>0</v>
      </c>
      <c r="CP642">
        <v>0.94606678508613995</v>
      </c>
      <c r="CQ642" t="s">
        <v>2864</v>
      </c>
      <c r="CR642">
        <f t="shared" si="259"/>
        <v>3</v>
      </c>
      <c r="CS642" t="str">
        <f t="shared" si="269"/>
        <v>Candidato</v>
      </c>
      <c r="CT642">
        <v>0</v>
      </c>
      <c r="CU642">
        <v>0</v>
      </c>
      <c r="CV642" s="25">
        <v>52.625907897949219</v>
      </c>
      <c r="CW642" s="25">
        <v>18.933341979980469</v>
      </c>
      <c r="CX642" s="25">
        <v>52.057651519775391</v>
      </c>
      <c r="CY642" s="25">
        <v>70.487236022949219</v>
      </c>
      <c r="CZ642" s="25">
        <v>53.083988189697273</v>
      </c>
      <c r="DA642" s="25">
        <v>63.8623046875</v>
      </c>
      <c r="DB642" s="25">
        <v>57.330928802490227</v>
      </c>
      <c r="DC642">
        <v>15</v>
      </c>
      <c r="DD642" s="253" t="s">
        <v>380</v>
      </c>
    </row>
    <row r="643" spans="1:108">
      <c r="A643" s="13">
        <v>5206</v>
      </c>
      <c r="B643" s="13" t="s">
        <v>1727</v>
      </c>
      <c r="C643" s="13" t="s">
        <v>435</v>
      </c>
      <c r="D643" s="13" t="s">
        <v>436</v>
      </c>
      <c r="E643" s="13" t="s">
        <v>1728</v>
      </c>
      <c r="F643" s="14">
        <v>68.377200000000002</v>
      </c>
      <c r="G643" s="13">
        <v>66.150000000000006</v>
      </c>
      <c r="H643" s="13">
        <v>71.98</v>
      </c>
      <c r="I643" s="13">
        <v>70.41</v>
      </c>
      <c r="J643" s="14">
        <v>58.361678092831937</v>
      </c>
      <c r="K643" s="14">
        <v>64.825972186263243</v>
      </c>
      <c r="L643" s="14">
        <v>74.917075920234041</v>
      </c>
      <c r="M643" s="14">
        <v>60.979199999999999</v>
      </c>
      <c r="N643" s="14">
        <f t="shared" ref="N643:N706" si="270">IFERROR(AVERAGE(F643:I643),"N.D.")</f>
        <v>69.229299999999995</v>
      </c>
      <c r="O643" s="14">
        <f t="shared" ref="O643:O706" si="271">IFERROR(AVERAGE(J643:M643),"N.D.")</f>
        <v>64.7709815498323</v>
      </c>
      <c r="P643" s="14">
        <f t="shared" si="260"/>
        <v>67.000140774916147</v>
      </c>
      <c r="Q643" s="14">
        <v>56.208219666605551</v>
      </c>
      <c r="R643" s="17">
        <f t="shared" ref="R643:R706" si="272">IFERROR(MAX($Q$3:$Q$1105)-Q643,"N.D.")</f>
        <v>43.791780333394449</v>
      </c>
      <c r="S643" s="14">
        <f t="shared" si="261"/>
        <v>0.49412602300055009</v>
      </c>
      <c r="T643" s="13">
        <v>0</v>
      </c>
      <c r="U643" s="13">
        <f t="shared" si="262"/>
        <v>33.106513101586309</v>
      </c>
      <c r="V643" s="13">
        <f>IF($T643=1,$AU643,(VLOOKUP(U643,'Cortes naturales'!$A$35:$C$39,3,9)))</f>
        <v>3</v>
      </c>
      <c r="W643" s="13">
        <v>3</v>
      </c>
      <c r="X643" s="14" t="b">
        <f t="shared" ref="X643:X706" si="273">V643=W643</f>
        <v>1</v>
      </c>
      <c r="Y643" s="17">
        <f>IF($T643=1,$AU643,VLOOKUP(U643,'Cortes naturales'!$A$45:$C$49,3,9))</f>
        <v>3</v>
      </c>
      <c r="Z643" s="14">
        <v>68.264681923862909</v>
      </c>
      <c r="AA643" s="14">
        <v>0.5005913985565299</v>
      </c>
      <c r="AB643" s="14">
        <v>34.172712596283198</v>
      </c>
      <c r="AC643" s="13">
        <v>3</v>
      </c>
      <c r="AD643" s="13">
        <f t="shared" ref="AD643:AD706" si="274">IFERROR(AC643-Y643,)</f>
        <v>0</v>
      </c>
      <c r="AE643" s="14">
        <f t="shared" ref="AE643:AE706" si="275">IFERROR(P643-Z643,"N.D.")</f>
        <v>-1.264541148946762</v>
      </c>
      <c r="AF643" s="14">
        <f t="shared" ref="AF643:AF706" si="276">IFERROR(S643-AA643,"N.D.")</f>
        <v>-6.4653755559798132E-3</v>
      </c>
      <c r="AG643" s="13">
        <f t="shared" ref="AG643:AG706" si="277">IFERROR(U643-AB643,0)</f>
        <v>-1.0661994946968889</v>
      </c>
      <c r="AH643" s="13">
        <f>IF($T643=1,$AU643,VLOOKUP(U643,'Cortes naturales'!$A$25:$C$29,3,9))</f>
        <v>3</v>
      </c>
      <c r="AI643" s="13" t="b">
        <f t="shared" ref="AI643:AI706" si="278">AH643=Y643</f>
        <v>1</v>
      </c>
      <c r="AJ643" s="13">
        <f t="shared" ref="AJ643:AJ706" si="279">IF(AD643=0,0,IF(AI643=TRUE,"Efecto ponderador","Cambio en corte"))</f>
        <v>0</v>
      </c>
      <c r="AK643" s="28">
        <v>0.81759069605862034</v>
      </c>
      <c r="AL643" s="28">
        <v>55.812568810351394</v>
      </c>
      <c r="AM643" s="28">
        <v>0.52753039198260243</v>
      </c>
      <c r="AN643" s="13">
        <v>2</v>
      </c>
      <c r="AO643" s="33">
        <f t="shared" ref="AO643:AO706" si="280">IF(AND(ISNUMBER(AN643),ISNUMBER(Y643)),AN643-Y643,IF(AN643="SC- Centro aglomeración",Y643,IF(OR(AN643="Bogotá",AN643="Ciudades grandes"),0,0)))</f>
        <v>-1</v>
      </c>
      <c r="AP643" s="13">
        <f t="shared" si="263"/>
        <v>52.75303919826024</v>
      </c>
      <c r="AQ643" s="13">
        <f>IFERROR(VLOOKUP(U643,'Cortes naturales'!$E$15:$G$19,3,9),U643)</f>
        <v>4</v>
      </c>
      <c r="AR643" s="28">
        <f t="shared" ref="AR643:AR706" si="281">IFERROR(S643-AK643,"N.D.")</f>
        <v>-0.32346467305807025</v>
      </c>
      <c r="AS643" s="13" t="b">
        <f t="shared" ref="AS643:AS706" si="282">AQ643=Y643</f>
        <v>0</v>
      </c>
      <c r="AT643" s="13" t="str">
        <f t="shared" si="264"/>
        <v>Cambio en corte</v>
      </c>
      <c r="AU643" s="13">
        <v>3</v>
      </c>
      <c r="AV643">
        <f t="shared" ref="AV643:AV706" si="283">IF(AND(ISNUMBER(AU643),ISNUMBER(Y643)),AU643-Y643,IF(AU643="SC- Centro aglomeración",Y643,IF(OR(AU643="Bogotá",AU643="Ciudades grandes"),0,0)))</f>
        <v>0</v>
      </c>
      <c r="AW643" s="13">
        <v>0</v>
      </c>
      <c r="AX643" s="13">
        <v>0</v>
      </c>
      <c r="AY643" s="13">
        <v>0</v>
      </c>
      <c r="AZ643" s="13">
        <v>0</v>
      </c>
      <c r="BA643">
        <v>1</v>
      </c>
      <c r="BB643" t="s">
        <v>2840</v>
      </c>
      <c r="BC643">
        <v>6</v>
      </c>
      <c r="BD643" t="s">
        <v>2919</v>
      </c>
      <c r="BE643">
        <v>1</v>
      </c>
      <c r="BF643" s="232" t="s">
        <v>2846</v>
      </c>
      <c r="BG643" s="232" t="s">
        <v>2845</v>
      </c>
      <c r="BH643" s="253">
        <v>33</v>
      </c>
      <c r="BI643" s="253">
        <v>12.483978467059728</v>
      </c>
      <c r="BJ643" s="25">
        <v>1.5091176470588237</v>
      </c>
      <c r="BK643" t="s">
        <v>381</v>
      </c>
      <c r="BL643">
        <v>2.0262596926061986</v>
      </c>
      <c r="BM643" t="s">
        <v>383</v>
      </c>
      <c r="BN643" s="322">
        <v>15890.552016</v>
      </c>
      <c r="BO643" s="322">
        <v>2441.6740410000002</v>
      </c>
      <c r="BP643" s="10">
        <v>5108</v>
      </c>
      <c r="BQ643" s="254">
        <f t="shared" ref="BQ643:BQ706" si="284">BN643/BP643</f>
        <v>3.1109146468285043</v>
      </c>
      <c r="BR643" s="254">
        <f t="shared" ref="BR643:BR706" si="285">BO643/BP643</f>
        <v>0.47800979659357873</v>
      </c>
      <c r="BS643" s="25">
        <v>59.214955055075492</v>
      </c>
      <c r="BT643" s="25">
        <v>80.493972808666157</v>
      </c>
      <c r="BU643" s="25">
        <v>35.266935360049132</v>
      </c>
      <c r="BV643" s="25">
        <v>90.3893111623197</v>
      </c>
      <c r="BW643" s="25">
        <v>55.815000169695047</v>
      </c>
      <c r="BX643" s="25">
        <v>66.34129359652762</v>
      </c>
      <c r="BY643" s="25">
        <v>57.123009110673443</v>
      </c>
      <c r="BZ643">
        <v>22</v>
      </c>
      <c r="CA643">
        <v>0</v>
      </c>
      <c r="CB643">
        <v>7</v>
      </c>
      <c r="CC643">
        <v>20195.259136000001</v>
      </c>
      <c r="CD643" s="10">
        <v>10158.731186000001</v>
      </c>
      <c r="CE643" s="255">
        <v>0.50302554265773602</v>
      </c>
      <c r="CF643" t="str">
        <f>IFERROR(VLOOKUP(CE643,'Rangos amb etnico'!$A$2:$C$6,3,9),"N.D.")</f>
        <v>31% - 50%</v>
      </c>
      <c r="CG643" s="256">
        <v>2.9555578521644425E-4</v>
      </c>
      <c r="CH643" s="232">
        <v>0</v>
      </c>
      <c r="CI643" s="311">
        <f t="shared" si="265"/>
        <v>0</v>
      </c>
      <c r="CJ643" s="232">
        <f>IFERROR(VLOOKUP(CI643,'Rangos amb etnico'!$A$2:$C$6,3,9),"N.D.")</f>
        <v>0</v>
      </c>
      <c r="CK643" s="311">
        <f t="shared" si="266"/>
        <v>0</v>
      </c>
      <c r="CL643" s="10">
        <v>0</v>
      </c>
      <c r="CM643" s="255">
        <f t="shared" si="267"/>
        <v>0</v>
      </c>
      <c r="CN643" s="232">
        <f>IFERROR(VLOOKUP(CM643,'Rangos amb etnico'!$A$2:$C$6,3,9),"N.D.")</f>
        <v>0</v>
      </c>
      <c r="CO643" s="311">
        <f t="shared" si="268"/>
        <v>0</v>
      </c>
      <c r="CP643">
        <v>0.92097267494741808</v>
      </c>
      <c r="CQ643" t="s">
        <v>2864</v>
      </c>
      <c r="CR643">
        <f t="shared" ref="CR643:CR706" si="286">IF(BY643&gt;=60,1,0)+IF(M643&gt;=60,1,0)+IF(I643&gt;=60,1,0)+IF(OR(CQ643="Crítico Bajo",CQ643="Aceptable"),1,0)</f>
        <v>3</v>
      </c>
      <c r="CS643" t="str">
        <f t="shared" si="269"/>
        <v>Candidato</v>
      </c>
      <c r="CT643">
        <v>0</v>
      </c>
      <c r="CU643">
        <v>0</v>
      </c>
      <c r="CV643" s="25">
        <v>49.880878448486328</v>
      </c>
      <c r="CW643" s="25">
        <v>33.204032897949219</v>
      </c>
      <c r="CX643" s="25">
        <v>47.090404510498047</v>
      </c>
      <c r="CY643" s="25">
        <v>69.473533630371094</v>
      </c>
      <c r="CZ643" s="25">
        <v>55.728336334228523</v>
      </c>
      <c r="DA643" s="25">
        <v>25.858844757080082</v>
      </c>
      <c r="DB643" s="25">
        <v>67.93011474609375</v>
      </c>
      <c r="DC643">
        <v>58</v>
      </c>
      <c r="DD643" s="253" t="s">
        <v>380</v>
      </c>
    </row>
    <row r="644" spans="1:108" hidden="1">
      <c r="A644" s="13">
        <v>68770</v>
      </c>
      <c r="B644" s="13" t="s">
        <v>1729</v>
      </c>
      <c r="C644" s="13" t="s">
        <v>431</v>
      </c>
      <c r="D644" s="13" t="s">
        <v>432</v>
      </c>
      <c r="E644" s="13" t="s">
        <v>1730</v>
      </c>
      <c r="F644" s="14">
        <v>54.1957666666667</v>
      </c>
      <c r="G644" s="13">
        <v>67.489999999999995</v>
      </c>
      <c r="H644" s="13">
        <v>52.53</v>
      </c>
      <c r="I644" s="13">
        <v>49.86</v>
      </c>
      <c r="J644" s="14">
        <v>65.287483078071006</v>
      </c>
      <c r="K644" s="14">
        <v>55.959798747895995</v>
      </c>
      <c r="L644" s="14">
        <v>56.620120380831047</v>
      </c>
      <c r="M644" s="14">
        <v>51.307499999999997</v>
      </c>
      <c r="N644" s="14">
        <f t="shared" si="270"/>
        <v>56.018941666666677</v>
      </c>
      <c r="O644" s="14">
        <f t="shared" si="271"/>
        <v>57.293725551699517</v>
      </c>
      <c r="P644" s="14">
        <f t="shared" ref="P644:P707" si="287">IFERROR(AVERAGE(N644:O644),"N.D.")</f>
        <v>56.656333609183093</v>
      </c>
      <c r="Q644" s="14">
        <v>57.414867384573476</v>
      </c>
      <c r="R644" s="17">
        <f t="shared" si="272"/>
        <v>42.585132615426524</v>
      </c>
      <c r="S644" s="14">
        <f t="shared" ref="S644:S707" si="288">IFERROR((0.1+(1-0.1)*(R644%-0)/(1-0)),"N.D.")</f>
        <v>0.48326619353883871</v>
      </c>
      <c r="T644" s="13">
        <v>0</v>
      </c>
      <c r="U644" s="13">
        <f t="shared" ref="U644:U707" si="289">$P644*$S644</f>
        <v>27.380090683176491</v>
      </c>
      <c r="V644" s="13">
        <f>IF($T644=1,$AU644,(VLOOKUP(U644,'Cortes naturales'!$A$35:$C$39,3,9)))</f>
        <v>4</v>
      </c>
      <c r="W644" s="13">
        <v>4</v>
      </c>
      <c r="X644" s="14" t="b">
        <f t="shared" si="273"/>
        <v>1</v>
      </c>
      <c r="Y644" s="17">
        <f>IF($T644=1,$AU644,VLOOKUP(U644,'Cortes naturales'!$A$45:$C$49,3,9))</f>
        <v>4</v>
      </c>
      <c r="Z644" s="14">
        <v>56.999664466596485</v>
      </c>
      <c r="AA644" s="14">
        <v>0.49320406367890623</v>
      </c>
      <c r="AB644" s="14">
        <v>28.112466143259542</v>
      </c>
      <c r="AC644" s="13">
        <v>3</v>
      </c>
      <c r="AD644" s="13">
        <f t="shared" si="274"/>
        <v>-1</v>
      </c>
      <c r="AE644" s="14">
        <f t="shared" si="275"/>
        <v>-0.34333085741339175</v>
      </c>
      <c r="AF644" s="14">
        <f t="shared" si="276"/>
        <v>-9.9378701400675284E-3</v>
      </c>
      <c r="AG644" s="13">
        <f t="shared" si="277"/>
        <v>-0.73237546008305188</v>
      </c>
      <c r="AH644" s="13">
        <f>IF($T644=1,$AU644,VLOOKUP(U644,'Cortes naturales'!$A$25:$C$29,3,9))</f>
        <v>4</v>
      </c>
      <c r="AI644" s="13" t="b">
        <f t="shared" si="278"/>
        <v>1</v>
      </c>
      <c r="AJ644" s="13" t="str">
        <f t="shared" si="279"/>
        <v>Efecto ponderador</v>
      </c>
      <c r="AK644" s="28">
        <v>0.81759069605862034</v>
      </c>
      <c r="AL644" s="28">
        <v>46.602395346352431</v>
      </c>
      <c r="AM644" s="28">
        <v>0.41232083038591483</v>
      </c>
      <c r="AN644" s="13">
        <v>3</v>
      </c>
      <c r="AO644" s="33">
        <f t="shared" si="280"/>
        <v>-1</v>
      </c>
      <c r="AP644" s="13">
        <f t="shared" ref="AP644:AP707" si="290">IFERROR(AM644*100,"N.D")</f>
        <v>41.232083038591483</v>
      </c>
      <c r="AQ644" s="13">
        <f>IFERROR(VLOOKUP(U644,'Cortes naturales'!$E$15:$G$19,3,9),U644)</f>
        <v>4</v>
      </c>
      <c r="AR644" s="28">
        <f t="shared" si="281"/>
        <v>-0.33432450251978163</v>
      </c>
      <c r="AS644" s="13" t="b">
        <f t="shared" si="282"/>
        <v>1</v>
      </c>
      <c r="AT644" s="13" t="str">
        <f t="shared" ref="AT644:AT707" si="291">IF(AO644=0,0,IF(AS644=TRUE,"Efecto ponderador","Cambio en corte"))</f>
        <v>Efecto ponderador</v>
      </c>
      <c r="AU644" s="13">
        <v>3</v>
      </c>
      <c r="AV644">
        <f t="shared" si="283"/>
        <v>-1</v>
      </c>
      <c r="AW644" s="13">
        <v>0</v>
      </c>
      <c r="AX644" s="13">
        <v>0</v>
      </c>
      <c r="AY644" s="13">
        <v>0</v>
      </c>
      <c r="AZ644" s="13">
        <v>0</v>
      </c>
      <c r="BA644">
        <v>0</v>
      </c>
      <c r="BB644" t="s">
        <v>2841</v>
      </c>
      <c r="BC644">
        <v>6</v>
      </c>
      <c r="BD644" t="s">
        <v>2919</v>
      </c>
      <c r="BE644">
        <v>0</v>
      </c>
      <c r="BF644" s="232" t="s">
        <v>2846</v>
      </c>
      <c r="BG644" s="232" t="s">
        <v>2846</v>
      </c>
      <c r="BH644" s="253">
        <v>37.799999999999997</v>
      </c>
      <c r="BI644" s="253">
        <v>14.166380592745165</v>
      </c>
      <c r="BJ644" s="25">
        <v>25.274984566457768</v>
      </c>
      <c r="BK644" t="s">
        <v>379</v>
      </c>
      <c r="BL644">
        <v>0.27892295167213704</v>
      </c>
      <c r="BM644" t="s">
        <v>383</v>
      </c>
      <c r="BN644" s="322">
        <v>23139.186478</v>
      </c>
      <c r="BO644" s="322">
        <v>2377.7690389999998</v>
      </c>
      <c r="BP644" s="10">
        <v>10286</v>
      </c>
      <c r="BQ644" s="254">
        <f t="shared" si="284"/>
        <v>2.2495806414544042</v>
      </c>
      <c r="BR644" s="254">
        <f t="shared" si="285"/>
        <v>0.23116556863698229</v>
      </c>
      <c r="BS644" s="25">
        <v>69.628835736240603</v>
      </c>
      <c r="BT644" s="25">
        <v>58.116515914835702</v>
      </c>
      <c r="BU644" s="25">
        <v>49.547136957741927</v>
      </c>
      <c r="BV644" s="25">
        <v>92.763106399472278</v>
      </c>
      <c r="BW644" s="25">
        <v>63.225569280613541</v>
      </c>
      <c r="BX644" s="25">
        <v>67.513898752072635</v>
      </c>
      <c r="BY644" s="25">
        <v>60.975234033591903</v>
      </c>
      <c r="BZ644">
        <v>20</v>
      </c>
      <c r="CA644">
        <v>0</v>
      </c>
      <c r="CB644">
        <v>7</v>
      </c>
      <c r="CC644">
        <v>28292.678642999999</v>
      </c>
      <c r="CD644" s="10">
        <v>1161.292821</v>
      </c>
      <c r="CE644" s="255">
        <v>4.1045700750123919E-2</v>
      </c>
      <c r="CF644" t="str">
        <f>IFERROR(VLOOKUP(CE644,'Rangos amb etnico'!$A$2:$C$6,3,9),"N.D.")</f>
        <v>0,1% - 30%</v>
      </c>
      <c r="CG644" s="256">
        <v>3.3786385848055903E-5</v>
      </c>
      <c r="CH644" s="232">
        <v>0</v>
      </c>
      <c r="CI644" s="311">
        <f t="shared" ref="CI644:CI707" si="292">IFERROR(CH644/CC644,"N.D.")</f>
        <v>0</v>
      </c>
      <c r="CJ644" s="232">
        <f>IFERROR(VLOOKUP(CI644,'Rangos amb etnico'!$A$2:$C$6,3,9),"N.D.")</f>
        <v>0</v>
      </c>
      <c r="CK644" s="311">
        <f t="shared" ref="CK644:CK707" si="293">IFERROR(CH644/$CH$1,"N.D.")</f>
        <v>0</v>
      </c>
      <c r="CL644" s="10">
        <v>0</v>
      </c>
      <c r="CM644" s="255">
        <f t="shared" ref="CM644:CM707" si="294">IFERROR(CL644/CC644,"N.D.")</f>
        <v>0</v>
      </c>
      <c r="CN644" s="232">
        <f>IFERROR(VLOOKUP(CM644,'Rangos amb etnico'!$A$2:$C$6,3,9),"N.D.")</f>
        <v>0</v>
      </c>
      <c r="CO644" s="311">
        <f t="shared" ref="CO644:CO707" si="295">IFERROR(CL644/$CL$1,"N.D.")</f>
        <v>0</v>
      </c>
      <c r="CP644">
        <v>0.93281052067438575</v>
      </c>
      <c r="CQ644" t="s">
        <v>2864</v>
      </c>
      <c r="CR644">
        <f t="shared" si="286"/>
        <v>2</v>
      </c>
      <c r="CS644" t="str">
        <f t="shared" ref="CS644:CS707" si="296">IF(CR644&gt;=3,"Candidato","No es Candidato")</f>
        <v>No es Candidato</v>
      </c>
      <c r="CT644">
        <v>0</v>
      </c>
      <c r="CU644">
        <v>0</v>
      </c>
      <c r="CV644" s="25">
        <v>45.669784545898438</v>
      </c>
      <c r="CW644" s="25">
        <v>13.81151676177979</v>
      </c>
      <c r="CX644" s="25">
        <v>49.52935791015625</v>
      </c>
      <c r="CY644" s="25">
        <v>66.842689514160156</v>
      </c>
      <c r="CZ644" s="25">
        <v>35.506412506103523</v>
      </c>
      <c r="DA644" s="25">
        <v>61.583118438720703</v>
      </c>
      <c r="DB644" s="25">
        <v>46.745616912841797</v>
      </c>
      <c r="DC644">
        <v>77</v>
      </c>
      <c r="DD644" s="253" t="s">
        <v>380</v>
      </c>
    </row>
    <row r="645" spans="1:108" hidden="1">
      <c r="A645" s="13">
        <v>54520</v>
      </c>
      <c r="B645" s="13" t="s">
        <v>1731</v>
      </c>
      <c r="C645" s="13" t="s">
        <v>517</v>
      </c>
      <c r="D645" s="13" t="s">
        <v>518</v>
      </c>
      <c r="E645" s="13" t="s">
        <v>1732</v>
      </c>
      <c r="F645" s="14">
        <v>84.271533333333295</v>
      </c>
      <c r="G645" s="13">
        <v>83.06</v>
      </c>
      <c r="H645" s="13">
        <v>67.97</v>
      </c>
      <c r="I645" s="13">
        <v>71.349999999999994</v>
      </c>
      <c r="J645" s="14">
        <v>48.378610798372378</v>
      </c>
      <c r="K645" s="14">
        <v>62.998721415757892</v>
      </c>
      <c r="L645" s="14">
        <v>63.32980873416178</v>
      </c>
      <c r="M645" s="14">
        <v>52.435699999999997</v>
      </c>
      <c r="N645" s="14">
        <f t="shared" si="270"/>
        <v>76.662883333333326</v>
      </c>
      <c r="O645" s="14">
        <f t="shared" si="271"/>
        <v>56.785710237073012</v>
      </c>
      <c r="P645" s="14">
        <f t="shared" si="287"/>
        <v>66.724296785203165</v>
      </c>
      <c r="Q645" s="14">
        <v>56.679478768325289</v>
      </c>
      <c r="R645" s="17">
        <f t="shared" si="272"/>
        <v>43.320521231674711</v>
      </c>
      <c r="S645" s="14">
        <f t="shared" si="288"/>
        <v>0.48988469108507249</v>
      </c>
      <c r="T645" s="13">
        <v>0</v>
      </c>
      <c r="U645" s="13">
        <f t="shared" si="289"/>
        <v>32.687211518487949</v>
      </c>
      <c r="V645" s="13">
        <f>IF($T645=1,$AU645,(VLOOKUP(U645,'Cortes naturales'!$A$35:$C$39,3,9)))</f>
        <v>3</v>
      </c>
      <c r="W645" s="13">
        <v>3</v>
      </c>
      <c r="X645" s="14" t="b">
        <f t="shared" si="273"/>
        <v>1</v>
      </c>
      <c r="Y645" s="17">
        <f>IF($T645=1,$AU645,VLOOKUP(U645,'Cortes naturales'!$A$45:$C$49,3,9))</f>
        <v>3</v>
      </c>
      <c r="Z645" s="14">
        <v>67.792241111971123</v>
      </c>
      <c r="AA645" s="14">
        <v>0.49658563243210718</v>
      </c>
      <c r="AB645" s="14">
        <v>33.664652926578079</v>
      </c>
      <c r="AC645" s="13">
        <v>3</v>
      </c>
      <c r="AD645" s="13">
        <f t="shared" si="274"/>
        <v>0</v>
      </c>
      <c r="AE645" s="14">
        <f t="shared" si="275"/>
        <v>-1.0679443267679574</v>
      </c>
      <c r="AF645" s="14">
        <f t="shared" si="276"/>
        <v>-6.7009413470346946E-3</v>
      </c>
      <c r="AG645" s="13">
        <f t="shared" si="277"/>
        <v>-0.97744140809012947</v>
      </c>
      <c r="AH645" s="13">
        <f>IF($T645=1,$AU645,VLOOKUP(U645,'Cortes naturales'!$A$25:$C$29,3,9))</f>
        <v>3</v>
      </c>
      <c r="AI645" s="13" t="b">
        <f t="shared" si="278"/>
        <v>1</v>
      </c>
      <c r="AJ645" s="13">
        <f t="shared" si="279"/>
        <v>0</v>
      </c>
      <c r="AK645" s="28">
        <v>0.81759069605862034</v>
      </c>
      <c r="AL645" s="28">
        <v>55.426305598110289</v>
      </c>
      <c r="AM645" s="28">
        <v>0.52269864635727048</v>
      </c>
      <c r="AN645" s="13">
        <v>2</v>
      </c>
      <c r="AO645" s="33">
        <f t="shared" si="280"/>
        <v>-1</v>
      </c>
      <c r="AP645" s="13">
        <f t="shared" si="290"/>
        <v>52.269864635727046</v>
      </c>
      <c r="AQ645" s="13">
        <f>IFERROR(VLOOKUP(U645,'Cortes naturales'!$E$15:$G$19,3,9),U645)</f>
        <v>4</v>
      </c>
      <c r="AR645" s="28">
        <f t="shared" si="281"/>
        <v>-0.32770600497354785</v>
      </c>
      <c r="AS645" s="13" t="b">
        <f t="shared" si="282"/>
        <v>0</v>
      </c>
      <c r="AT645" s="13" t="str">
        <f t="shared" si="291"/>
        <v>Cambio en corte</v>
      </c>
      <c r="AU645" s="13">
        <v>2</v>
      </c>
      <c r="AV645">
        <f t="shared" si="283"/>
        <v>-1</v>
      </c>
      <c r="AW645" s="13">
        <v>0</v>
      </c>
      <c r="AX645" s="13">
        <v>0</v>
      </c>
      <c r="AY645" s="13">
        <v>0</v>
      </c>
      <c r="AZ645" s="13">
        <v>0</v>
      </c>
      <c r="BA645">
        <v>0</v>
      </c>
      <c r="BB645" t="s">
        <v>2841</v>
      </c>
      <c r="BC645">
        <v>6</v>
      </c>
      <c r="BD645" t="s">
        <v>2919</v>
      </c>
      <c r="BE645">
        <v>1</v>
      </c>
      <c r="BF645" s="232" t="s">
        <v>2846</v>
      </c>
      <c r="BG645" s="232" t="s">
        <v>2846</v>
      </c>
      <c r="BH645" s="253">
        <v>41.7</v>
      </c>
      <c r="BI645" s="253">
        <v>16.047879894501929</v>
      </c>
      <c r="BJ645" s="25">
        <v>48.932603942939572</v>
      </c>
      <c r="BK645" t="s">
        <v>376</v>
      </c>
      <c r="BL645">
        <v>1.375687150148809</v>
      </c>
      <c r="BM645" t="s">
        <v>383</v>
      </c>
      <c r="BN645" s="322">
        <v>16869.24826</v>
      </c>
      <c r="BO645" s="322">
        <v>2008.167837</v>
      </c>
      <c r="BP645" s="10">
        <v>6204</v>
      </c>
      <c r="BQ645" s="254">
        <f t="shared" si="284"/>
        <v>2.7190922404900064</v>
      </c>
      <c r="BR645" s="254">
        <f t="shared" si="285"/>
        <v>0.32368920647969052</v>
      </c>
      <c r="BS645" s="25">
        <v>57.427073841404763</v>
      </c>
      <c r="BT645" s="25">
        <v>84.885529952718684</v>
      </c>
      <c r="BU645" s="25">
        <v>40.887466036621369</v>
      </c>
      <c r="BV645" s="25">
        <v>100.2301119336158</v>
      </c>
      <c r="BW645" s="25">
        <v>54.475336972581992</v>
      </c>
      <c r="BX645" s="25">
        <v>70.857545441090167</v>
      </c>
      <c r="BY645" s="25">
        <v>57.941138035880613</v>
      </c>
      <c r="BZ645">
        <v>24</v>
      </c>
      <c r="CA645">
        <v>0</v>
      </c>
      <c r="CB645">
        <v>7</v>
      </c>
      <c r="CC645">
        <v>17054.166133999999</v>
      </c>
      <c r="CD645" s="10">
        <v>4671.1062609999999</v>
      </c>
      <c r="CE645" s="255">
        <v>0.27389825009898666</v>
      </c>
      <c r="CF645" t="str">
        <f>IFERROR(VLOOKUP(CE645,'Rangos amb etnico'!$A$2:$C$6,3,9),"N.D.")</f>
        <v>0,1% - 30%</v>
      </c>
      <c r="CG645" s="256">
        <v>1.3590008963933458E-4</v>
      </c>
      <c r="CH645" s="232">
        <v>0</v>
      </c>
      <c r="CI645" s="311">
        <f t="shared" si="292"/>
        <v>0</v>
      </c>
      <c r="CJ645" s="232">
        <f>IFERROR(VLOOKUP(CI645,'Rangos amb etnico'!$A$2:$C$6,3,9),"N.D.")</f>
        <v>0</v>
      </c>
      <c r="CK645" s="311">
        <f t="shared" si="293"/>
        <v>0</v>
      </c>
      <c r="CL645" s="10">
        <v>0</v>
      </c>
      <c r="CM645" s="255">
        <f t="shared" si="294"/>
        <v>0</v>
      </c>
      <c r="CN645" s="232">
        <f>IFERROR(VLOOKUP(CM645,'Rangos amb etnico'!$A$2:$C$6,3,9),"N.D.")</f>
        <v>0</v>
      </c>
      <c r="CO645" s="311">
        <f t="shared" si="295"/>
        <v>0</v>
      </c>
      <c r="CP645">
        <v>0.9543001457692778</v>
      </c>
      <c r="CQ645" t="s">
        <v>2864</v>
      </c>
      <c r="CR645">
        <f t="shared" si="286"/>
        <v>2</v>
      </c>
      <c r="CS645" t="str">
        <f t="shared" si="296"/>
        <v>No es Candidato</v>
      </c>
      <c r="CT645">
        <v>1</v>
      </c>
      <c r="CU645" t="s">
        <v>2836</v>
      </c>
      <c r="CV645" s="25">
        <v>54.72332763671875</v>
      </c>
      <c r="CW645" s="25">
        <v>18.50629997253418</v>
      </c>
      <c r="CX645" s="25">
        <v>52.490386962890618</v>
      </c>
      <c r="CY645" s="25">
        <v>64.886024475097656</v>
      </c>
      <c r="CZ645" s="25">
        <v>41.584609985351563</v>
      </c>
      <c r="DA645" s="25">
        <v>87.5</v>
      </c>
      <c r="DB645" s="25">
        <v>63.372646331787109</v>
      </c>
      <c r="DC645">
        <v>86</v>
      </c>
      <c r="DD645" s="253" t="s">
        <v>380</v>
      </c>
    </row>
    <row r="646" spans="1:108">
      <c r="A646" s="13">
        <v>5490</v>
      </c>
      <c r="B646" s="13" t="s">
        <v>1733</v>
      </c>
      <c r="C646" s="13" t="s">
        <v>435</v>
      </c>
      <c r="D646" s="13" t="s">
        <v>436</v>
      </c>
      <c r="E646" s="13" t="s">
        <v>1734</v>
      </c>
      <c r="F646" s="14">
        <v>44.947099999999999</v>
      </c>
      <c r="G646" s="13">
        <v>44.74</v>
      </c>
      <c r="H646" s="13">
        <v>63.25</v>
      </c>
      <c r="I646" s="13">
        <v>66.89</v>
      </c>
      <c r="J646" s="14">
        <v>52.567289018073673</v>
      </c>
      <c r="K646" s="14">
        <v>55.330890793142508</v>
      </c>
      <c r="L646" s="14">
        <v>55.824546894645707</v>
      </c>
      <c r="M646" s="14">
        <v>51.299100000000003</v>
      </c>
      <c r="N646" s="14">
        <f t="shared" si="270"/>
        <v>54.956774999999993</v>
      </c>
      <c r="O646" s="14">
        <f t="shared" si="271"/>
        <v>53.755456676465471</v>
      </c>
      <c r="P646" s="14">
        <f t="shared" si="287"/>
        <v>54.356115838232732</v>
      </c>
      <c r="Q646" s="14">
        <v>57.587849217874322</v>
      </c>
      <c r="R646" s="17">
        <f t="shared" si="272"/>
        <v>42.412150782125678</v>
      </c>
      <c r="S646" s="14">
        <f t="shared" si="288"/>
        <v>0.48170935703913109</v>
      </c>
      <c r="T646" s="13">
        <v>0</v>
      </c>
      <c r="U646" s="13">
        <f t="shared" si="289"/>
        <v>26.183849611579621</v>
      </c>
      <c r="V646" s="13">
        <f>IF($T646=1,$AU646,(VLOOKUP(U646,'Cortes naturales'!$A$35:$C$39,3,9)))</f>
        <v>4</v>
      </c>
      <c r="W646" s="13">
        <v>4</v>
      </c>
      <c r="X646" s="14" t="b">
        <f t="shared" si="273"/>
        <v>1</v>
      </c>
      <c r="Y646" s="17">
        <f>IF($T646=1,$AU646,VLOOKUP(U646,'Cortes naturales'!$A$45:$C$49,3,9))</f>
        <v>4</v>
      </c>
      <c r="Z646" s="14">
        <v>52.181031820245806</v>
      </c>
      <c r="AA646" s="14">
        <v>0.49499946842021791</v>
      </c>
      <c r="AB646" s="14">
        <v>25.82958301264015</v>
      </c>
      <c r="AC646" s="13">
        <v>4</v>
      </c>
      <c r="AD646" s="13">
        <f t="shared" si="274"/>
        <v>0</v>
      </c>
      <c r="AE646" s="14">
        <f t="shared" si="275"/>
        <v>2.1750840179869257</v>
      </c>
      <c r="AF646" s="14">
        <f t="shared" si="276"/>
        <v>-1.3290111381086822E-2</v>
      </c>
      <c r="AG646" s="13">
        <f t="shared" si="277"/>
        <v>0.35426659893947132</v>
      </c>
      <c r="AH646" s="13">
        <f>IF($T646=1,$AU646,VLOOKUP(U646,'Cortes naturales'!$A$25:$C$29,3,9))</f>
        <v>4</v>
      </c>
      <c r="AI646" s="13" t="b">
        <f t="shared" si="278"/>
        <v>1</v>
      </c>
      <c r="AJ646" s="13">
        <f t="shared" si="279"/>
        <v>0</v>
      </c>
      <c r="AK646" s="28">
        <v>0.81759069605862034</v>
      </c>
      <c r="AL646" s="28">
        <v>42.662726126971783</v>
      </c>
      <c r="AM646" s="28">
        <v>0.36303972125425948</v>
      </c>
      <c r="AN646" s="13">
        <v>3</v>
      </c>
      <c r="AO646" s="33">
        <f t="shared" si="280"/>
        <v>-1</v>
      </c>
      <c r="AP646" s="13">
        <f t="shared" si="290"/>
        <v>36.30397212542595</v>
      </c>
      <c r="AQ646" s="13">
        <f>IFERROR(VLOOKUP(U646,'Cortes naturales'!$E$15:$G$19,3,9),U646)</f>
        <v>4</v>
      </c>
      <c r="AR646" s="28">
        <f t="shared" si="281"/>
        <v>-0.33588133901948924</v>
      </c>
      <c r="AS646" s="13" t="b">
        <f t="shared" si="282"/>
        <v>1</v>
      </c>
      <c r="AT646" s="13" t="str">
        <f t="shared" si="291"/>
        <v>Efecto ponderador</v>
      </c>
      <c r="AU646" s="13">
        <v>3</v>
      </c>
      <c r="AV646">
        <f t="shared" si="283"/>
        <v>-1</v>
      </c>
      <c r="AW646" s="13">
        <v>0</v>
      </c>
      <c r="AX646" s="13">
        <v>0</v>
      </c>
      <c r="AY646" s="13">
        <v>0</v>
      </c>
      <c r="AZ646" s="13">
        <v>1</v>
      </c>
      <c r="BA646">
        <v>1</v>
      </c>
      <c r="BB646" t="s">
        <v>2840</v>
      </c>
      <c r="BC646">
        <v>6</v>
      </c>
      <c r="BD646" t="s">
        <v>2919</v>
      </c>
      <c r="BE646">
        <v>1</v>
      </c>
      <c r="BF646" s="232" t="s">
        <v>2846</v>
      </c>
      <c r="BG646" s="232" t="s">
        <v>2845</v>
      </c>
      <c r="BH646" s="253">
        <v>62.7</v>
      </c>
      <c r="BI646" s="253">
        <v>57.628839146277983</v>
      </c>
      <c r="BJ646" s="25">
        <v>56.535104436635187</v>
      </c>
      <c r="BK646" t="s">
        <v>376</v>
      </c>
      <c r="BL646">
        <v>8.0983231411584615</v>
      </c>
      <c r="BM646" t="s">
        <v>379</v>
      </c>
      <c r="BN646" s="322">
        <v>136236.92960900001</v>
      </c>
      <c r="BO646" s="322">
        <v>14969.475211999999</v>
      </c>
      <c r="BP646" s="10">
        <v>42718</v>
      </c>
      <c r="BQ646" s="254">
        <f t="shared" si="284"/>
        <v>3.189216012196264</v>
      </c>
      <c r="BR646" s="254">
        <f t="shared" si="285"/>
        <v>0.35042546963809168</v>
      </c>
      <c r="BS646" s="25">
        <v>64.210744760642328</v>
      </c>
      <c r="BT646" s="25">
        <v>98.235655491698594</v>
      </c>
      <c r="BU646" s="25">
        <v>50.373333333333328</v>
      </c>
      <c r="BV646" s="25">
        <v>94.176886624980639</v>
      </c>
      <c r="BW646" s="25">
        <v>55.501910460549098</v>
      </c>
      <c r="BX646" s="25">
        <v>76.749155052663724</v>
      </c>
      <c r="BY646" s="25">
        <v>57.154235505318333</v>
      </c>
      <c r="BZ646">
        <v>35</v>
      </c>
      <c r="CA646">
        <v>0</v>
      </c>
      <c r="CB646">
        <v>7</v>
      </c>
      <c r="CC646">
        <v>125611.451325</v>
      </c>
      <c r="CD646" s="10">
        <v>33204.320943999999</v>
      </c>
      <c r="CE646" s="255">
        <v>0.26434151181080623</v>
      </c>
      <c r="CF646" t="str">
        <f>IFERROR(VLOOKUP(CE646,'Rangos amb etnico'!$A$2:$C$6,3,9),"N.D.")</f>
        <v>0,1% - 30%</v>
      </c>
      <c r="CG646" s="256">
        <v>9.66038865435015E-4</v>
      </c>
      <c r="CH646" s="232">
        <v>2681.9353780000001</v>
      </c>
      <c r="CI646" s="311">
        <f t="shared" si="292"/>
        <v>2.1351042040433969E-2</v>
      </c>
      <c r="CJ646" s="232" t="str">
        <f>IFERROR(VLOOKUP(CI646,'Rangos amb etnico'!$A$2:$C$6,3,9),"N.D.")</f>
        <v>0,1% - 30%</v>
      </c>
      <c r="CK646" s="311">
        <f t="shared" si="293"/>
        <v>1.0649039367520179E-4</v>
      </c>
      <c r="CL646" s="10">
        <v>0</v>
      </c>
      <c r="CM646" s="255">
        <f t="shared" si="294"/>
        <v>0</v>
      </c>
      <c r="CN646" s="232">
        <f>IFERROR(VLOOKUP(CM646,'Rangos amb etnico'!$A$2:$C$6,3,9),"N.D.")</f>
        <v>0</v>
      </c>
      <c r="CO646" s="311">
        <f t="shared" si="295"/>
        <v>0</v>
      </c>
      <c r="CP646">
        <v>0.89680238434216619</v>
      </c>
      <c r="CQ646" t="s">
        <v>2864</v>
      </c>
      <c r="CR646">
        <f t="shared" si="286"/>
        <v>2</v>
      </c>
      <c r="CS646" t="str">
        <f t="shared" si="296"/>
        <v>No es Candidato</v>
      </c>
      <c r="CT646">
        <v>0</v>
      </c>
      <c r="CU646">
        <v>0</v>
      </c>
      <c r="CV646" s="25">
        <v>44.815101623535163</v>
      </c>
      <c r="CW646" s="25">
        <v>34.376361846923828</v>
      </c>
      <c r="CX646" s="25">
        <v>46.569515228271477</v>
      </c>
      <c r="CY646" s="25">
        <v>55.917320251464837</v>
      </c>
      <c r="CZ646" s="25">
        <v>27.830844879150391</v>
      </c>
      <c r="DA646" s="25">
        <v>57.261894226074219</v>
      </c>
      <c r="DB646" s="25">
        <v>46.934680938720703</v>
      </c>
      <c r="DC646">
        <v>23747</v>
      </c>
      <c r="DD646" s="253" t="s">
        <v>380</v>
      </c>
    </row>
    <row r="647" spans="1:108" hidden="1">
      <c r="A647" s="13">
        <v>15296</v>
      </c>
      <c r="B647" s="13" t="s">
        <v>1735</v>
      </c>
      <c r="C647" s="13" t="s">
        <v>498</v>
      </c>
      <c r="D647" s="13" t="s">
        <v>499</v>
      </c>
      <c r="E647" s="13" t="s">
        <v>1736</v>
      </c>
      <c r="F647" s="14">
        <v>64.678533333333306</v>
      </c>
      <c r="G647" s="13">
        <v>83.84</v>
      </c>
      <c r="H647" s="13">
        <v>35.08</v>
      </c>
      <c r="I647" s="13">
        <v>30.7</v>
      </c>
      <c r="J647" s="14">
        <v>57.265800226534068</v>
      </c>
      <c r="K647" s="14">
        <v>70.453804009922209</v>
      </c>
      <c r="L647" s="14">
        <v>50.973051547259267</v>
      </c>
      <c r="M647" s="14">
        <v>49.624299999999998</v>
      </c>
      <c r="N647" s="14">
        <f t="shared" si="270"/>
        <v>53.574633333333324</v>
      </c>
      <c r="O647" s="14">
        <f t="shared" si="271"/>
        <v>57.079238945928886</v>
      </c>
      <c r="P647" s="14">
        <f t="shared" si="287"/>
        <v>55.326936139631101</v>
      </c>
      <c r="Q647" s="14">
        <v>57.812266765565802</v>
      </c>
      <c r="R647" s="17">
        <f t="shared" si="272"/>
        <v>42.187733234434198</v>
      </c>
      <c r="S647" s="14">
        <f t="shared" si="288"/>
        <v>0.47968959910990783</v>
      </c>
      <c r="T647" s="13">
        <v>0</v>
      </c>
      <c r="U647" s="13">
        <f t="shared" si="289"/>
        <v>26.539755816799115</v>
      </c>
      <c r="V647" s="13">
        <f>IF($T647=1,$AU647,(VLOOKUP(U647,'Cortes naturales'!$A$35:$C$39,3,9)))</f>
        <v>4</v>
      </c>
      <c r="W647" s="13">
        <v>4</v>
      </c>
      <c r="X647" s="14" t="b">
        <f t="shared" si="273"/>
        <v>1</v>
      </c>
      <c r="Y647" s="17">
        <f>IF($T647=1,$AU647,VLOOKUP(U647,'Cortes naturales'!$A$45:$C$49,3,9))</f>
        <v>4</v>
      </c>
      <c r="Z647" s="14">
        <v>59.703354131061459</v>
      </c>
      <c r="AA647" s="14">
        <v>0.4957937206658215</v>
      </c>
      <c r="AB647" s="14">
        <v>29.600548080868105</v>
      </c>
      <c r="AC647" s="13">
        <v>3</v>
      </c>
      <c r="AD647" s="13">
        <f t="shared" si="274"/>
        <v>-1</v>
      </c>
      <c r="AE647" s="14">
        <f t="shared" si="275"/>
        <v>-4.3764179914303583</v>
      </c>
      <c r="AF647" s="14">
        <f t="shared" si="276"/>
        <v>-1.6104121555913675E-2</v>
      </c>
      <c r="AG647" s="13">
        <f t="shared" si="277"/>
        <v>-3.06079226406899</v>
      </c>
      <c r="AH647" s="13">
        <f>IF($T647=1,$AU647,VLOOKUP(U647,'Cortes naturales'!$A$25:$C$29,3,9))</f>
        <v>4</v>
      </c>
      <c r="AI647" s="13" t="b">
        <f t="shared" si="278"/>
        <v>1</v>
      </c>
      <c r="AJ647" s="13" t="str">
        <f t="shared" si="279"/>
        <v>Efecto ponderador</v>
      </c>
      <c r="AK647" s="28">
        <v>0.81759069605862034</v>
      </c>
      <c r="AL647" s="28">
        <v>48.812906861048845</v>
      </c>
      <c r="AM647" s="28">
        <v>0.43997199933599751</v>
      </c>
      <c r="AN647" s="13">
        <v>3</v>
      </c>
      <c r="AO647" s="33">
        <f t="shared" si="280"/>
        <v>-1</v>
      </c>
      <c r="AP647" s="13">
        <f t="shared" si="290"/>
        <v>43.997199933599752</v>
      </c>
      <c r="AQ647" s="13">
        <f>IFERROR(VLOOKUP(U647,'Cortes naturales'!$E$15:$G$19,3,9),U647)</f>
        <v>4</v>
      </c>
      <c r="AR647" s="28">
        <f t="shared" si="281"/>
        <v>-0.33790109694871251</v>
      </c>
      <c r="AS647" s="13" t="b">
        <f t="shared" si="282"/>
        <v>1</v>
      </c>
      <c r="AT647" s="13" t="str">
        <f t="shared" si="291"/>
        <v>Efecto ponderador</v>
      </c>
      <c r="AU647" s="13">
        <v>3</v>
      </c>
      <c r="AV647">
        <f t="shared" si="283"/>
        <v>-1</v>
      </c>
      <c r="AW647" s="13">
        <v>0</v>
      </c>
      <c r="AX647" s="13">
        <v>0</v>
      </c>
      <c r="AY647" s="13">
        <v>0</v>
      </c>
      <c r="AZ647" s="13">
        <v>0</v>
      </c>
      <c r="BA647">
        <v>0</v>
      </c>
      <c r="BB647" t="s">
        <v>2840</v>
      </c>
      <c r="BC647">
        <v>6</v>
      </c>
      <c r="BD647" t="s">
        <v>2919</v>
      </c>
      <c r="BE647">
        <v>1</v>
      </c>
      <c r="BF647" s="232" t="s">
        <v>2846</v>
      </c>
      <c r="BG647" s="232" t="s">
        <v>2846</v>
      </c>
      <c r="BH647" s="253">
        <v>43.7</v>
      </c>
      <c r="BI647" s="253">
        <v>14.630261660978384</v>
      </c>
      <c r="BJ647" s="25">
        <v>49.909832768635042</v>
      </c>
      <c r="BK647" t="s">
        <v>376</v>
      </c>
      <c r="BL647">
        <v>0.14448121596788308</v>
      </c>
      <c r="BM647" t="s">
        <v>377</v>
      </c>
      <c r="BN647" s="322">
        <v>15447.504611</v>
      </c>
      <c r="BO647" s="322">
        <v>764.02724699999999</v>
      </c>
      <c r="BP647" s="10">
        <v>4687</v>
      </c>
      <c r="BQ647" s="254">
        <f t="shared" si="284"/>
        <v>3.2958192043951358</v>
      </c>
      <c r="BR647" s="254">
        <f t="shared" si="285"/>
        <v>0.1630098670791551</v>
      </c>
      <c r="BS647" s="25">
        <v>56.201224548295883</v>
      </c>
      <c r="BT647" s="25">
        <v>92.125595619088259</v>
      </c>
      <c r="BU647" s="25">
        <v>30.560003095016999</v>
      </c>
      <c r="BV647" s="25">
        <v>91.19302941019059</v>
      </c>
      <c r="BW647" s="25">
        <v>36.292763913166318</v>
      </c>
      <c r="BX647" s="25">
        <v>67.519963168147939</v>
      </c>
      <c r="BY647" s="25">
        <v>36.766378017812713</v>
      </c>
      <c r="BZ647">
        <v>62</v>
      </c>
      <c r="CA647">
        <v>0</v>
      </c>
      <c r="CB647">
        <v>7</v>
      </c>
      <c r="CC647">
        <v>12341.894098000001</v>
      </c>
      <c r="CD647" s="10">
        <v>9335.9232119999997</v>
      </c>
      <c r="CE647" s="255">
        <v>0.75644168859890659</v>
      </c>
      <c r="CF647" t="str">
        <f>IFERROR(VLOOKUP(CE647,'Rangos amb etnico'!$A$2:$C$6,3,9),"N.D.")</f>
        <v>71% - 100%</v>
      </c>
      <c r="CG647" s="256">
        <v>2.7161719954217595E-4</v>
      </c>
      <c r="CH647" s="232">
        <v>0</v>
      </c>
      <c r="CI647" s="311">
        <f t="shared" si="292"/>
        <v>0</v>
      </c>
      <c r="CJ647" s="232">
        <f>IFERROR(VLOOKUP(CI647,'Rangos amb etnico'!$A$2:$C$6,3,9),"N.D.")</f>
        <v>0</v>
      </c>
      <c r="CK647" s="311">
        <f t="shared" si="293"/>
        <v>0</v>
      </c>
      <c r="CL647" s="10">
        <v>0</v>
      </c>
      <c r="CM647" s="255">
        <f t="shared" si="294"/>
        <v>0</v>
      </c>
      <c r="CN647" s="232">
        <f>IFERROR(VLOOKUP(CM647,'Rangos amb etnico'!$A$2:$C$6,3,9),"N.D.")</f>
        <v>0</v>
      </c>
      <c r="CO647" s="311">
        <f t="shared" si="295"/>
        <v>0</v>
      </c>
      <c r="CP647">
        <v>0.98994912521304257</v>
      </c>
      <c r="CQ647" t="s">
        <v>2864</v>
      </c>
      <c r="CR647">
        <f t="shared" si="286"/>
        <v>1</v>
      </c>
      <c r="CS647" t="str">
        <f t="shared" si="296"/>
        <v>No es Candidato</v>
      </c>
      <c r="CT647">
        <v>0</v>
      </c>
      <c r="CU647">
        <v>0</v>
      </c>
      <c r="CV647" s="25">
        <v>48.557373046875</v>
      </c>
      <c r="CW647" s="25">
        <v>21.9721565246582</v>
      </c>
      <c r="CX647" s="25">
        <v>50.058753967285163</v>
      </c>
      <c r="CY647" s="25">
        <v>68.676864624023438</v>
      </c>
      <c r="CZ647" s="25">
        <v>47.135066986083977</v>
      </c>
      <c r="DA647" s="25">
        <v>55.625938415527337</v>
      </c>
      <c r="DB647" s="25">
        <v>47.875461578369141</v>
      </c>
      <c r="DC647">
        <v>26</v>
      </c>
      <c r="DD647" s="253" t="s">
        <v>380</v>
      </c>
    </row>
    <row r="648" spans="1:108" hidden="1">
      <c r="A648" s="13">
        <v>13580</v>
      </c>
      <c r="B648" s="13" t="s">
        <v>1737</v>
      </c>
      <c r="C648" s="13" t="s">
        <v>480</v>
      </c>
      <c r="D648" s="13" t="s">
        <v>481</v>
      </c>
      <c r="E648" s="13" t="s">
        <v>1738</v>
      </c>
      <c r="F648" s="14">
        <v>49.881100000000004</v>
      </c>
      <c r="G648" s="13">
        <v>34.549999999999997</v>
      </c>
      <c r="H648" s="13">
        <v>34.99</v>
      </c>
      <c r="I648" s="13">
        <v>22.22</v>
      </c>
      <c r="J648" s="14">
        <v>56.110809073809961</v>
      </c>
      <c r="K648" s="14">
        <v>45.090060836550975</v>
      </c>
      <c r="L648" s="14">
        <v>51.010443915316692</v>
      </c>
      <c r="M648" s="14">
        <v>60.274700000000003</v>
      </c>
      <c r="N648" s="14">
        <f t="shared" si="270"/>
        <v>35.410274999999999</v>
      </c>
      <c r="O648" s="14">
        <f t="shared" si="271"/>
        <v>53.121503456419404</v>
      </c>
      <c r="P648" s="14">
        <f t="shared" si="287"/>
        <v>44.265889228209701</v>
      </c>
      <c r="Q648" s="14">
        <v>56.586635221560577</v>
      </c>
      <c r="R648" s="17">
        <f t="shared" si="272"/>
        <v>43.413364778439423</v>
      </c>
      <c r="S648" s="14">
        <f t="shared" si="288"/>
        <v>0.49072028300595483</v>
      </c>
      <c r="T648" s="13">
        <v>0</v>
      </c>
      <c r="U648" s="13">
        <f t="shared" si="289"/>
        <v>21.722169689577314</v>
      </c>
      <c r="V648" s="13">
        <f>IF($T648=1,$AU648,(VLOOKUP(U648,'Cortes naturales'!$A$35:$C$39,3,9)))</f>
        <v>5</v>
      </c>
      <c r="W648" s="13">
        <v>5</v>
      </c>
      <c r="X648" s="14" t="b">
        <f t="shared" si="273"/>
        <v>1</v>
      </c>
      <c r="Y648" s="17">
        <f>IF($T648=1,$AU648,VLOOKUP(U648,'Cortes naturales'!$A$45:$C$49,3,9))</f>
        <v>4</v>
      </c>
      <c r="Z648" s="14">
        <v>45.637908270753783</v>
      </c>
      <c r="AA648" s="14">
        <v>0.49438752013553844</v>
      </c>
      <c r="AB648" s="14">
        <v>22.562812294151144</v>
      </c>
      <c r="AC648" s="13">
        <v>4</v>
      </c>
      <c r="AD648" s="13">
        <f t="shared" si="274"/>
        <v>0</v>
      </c>
      <c r="AE648" s="14">
        <f t="shared" si="275"/>
        <v>-1.3720190425440819</v>
      </c>
      <c r="AF648" s="14">
        <f t="shared" si="276"/>
        <v>-3.6672371295836115E-3</v>
      </c>
      <c r="AG648" s="13">
        <f t="shared" si="277"/>
        <v>-0.84064260457383</v>
      </c>
      <c r="AH648" s="13">
        <f>IF($T648=1,$AU648,VLOOKUP(U648,'Cortes naturales'!$A$25:$C$29,3,9))</f>
        <v>4</v>
      </c>
      <c r="AI648" s="13" t="b">
        <f t="shared" si="278"/>
        <v>1</v>
      </c>
      <c r="AJ648" s="13">
        <f t="shared" si="279"/>
        <v>0</v>
      </c>
      <c r="AK648" s="28">
        <v>0.81759069605862034</v>
      </c>
      <c r="AL648" s="28">
        <v>37.313129189745055</v>
      </c>
      <c r="AM648" s="28">
        <v>0.29612190257625243</v>
      </c>
      <c r="AN648" s="13">
        <v>4</v>
      </c>
      <c r="AO648" s="33">
        <f t="shared" si="280"/>
        <v>0</v>
      </c>
      <c r="AP648" s="13">
        <f t="shared" si="290"/>
        <v>29.612190257625244</v>
      </c>
      <c r="AQ648" s="13">
        <f>IFERROR(VLOOKUP(U648,'Cortes naturales'!$E$15:$G$19,3,9),U648)</f>
        <v>4</v>
      </c>
      <c r="AR648" s="28">
        <f t="shared" si="281"/>
        <v>-0.32687041305266551</v>
      </c>
      <c r="AS648" s="13" t="b">
        <f t="shared" si="282"/>
        <v>1</v>
      </c>
      <c r="AT648" s="13">
        <f t="shared" si="291"/>
        <v>0</v>
      </c>
      <c r="AU648" s="13">
        <v>4</v>
      </c>
      <c r="AV648">
        <f t="shared" si="283"/>
        <v>0</v>
      </c>
      <c r="AW648" s="13">
        <v>0</v>
      </c>
      <c r="AX648" s="13">
        <v>0</v>
      </c>
      <c r="AY648" s="13">
        <v>0</v>
      </c>
      <c r="AZ648" s="13">
        <v>0</v>
      </c>
      <c r="BA648">
        <v>0</v>
      </c>
      <c r="BB648" t="s">
        <v>2840</v>
      </c>
      <c r="BC648">
        <v>6</v>
      </c>
      <c r="BD648" t="s">
        <v>2919</v>
      </c>
      <c r="BE648">
        <v>0</v>
      </c>
      <c r="BF648" s="232" t="s">
        <v>2846</v>
      </c>
      <c r="BG648" s="232" t="s">
        <v>2846</v>
      </c>
      <c r="BH648" s="253">
        <v>48.9</v>
      </c>
      <c r="BI648" s="253">
        <v>27.010309278350515</v>
      </c>
      <c r="BJ648" s="25">
        <v>12.618620689655172</v>
      </c>
      <c r="BK648" t="s">
        <v>377</v>
      </c>
      <c r="BL648">
        <v>3.4009281719489395</v>
      </c>
      <c r="BM648" t="s">
        <v>383</v>
      </c>
      <c r="BN648" s="322">
        <v>25935.87803</v>
      </c>
      <c r="BO648" s="322">
        <v>604.73540800000001</v>
      </c>
      <c r="BP648" s="10">
        <v>7810</v>
      </c>
      <c r="BQ648" s="254">
        <f t="shared" si="284"/>
        <v>3.320855061459667</v>
      </c>
      <c r="BR648" s="254">
        <f t="shared" si="285"/>
        <v>7.7430910115236881E-2</v>
      </c>
      <c r="BS648" s="25">
        <v>49.644602394602387</v>
      </c>
      <c r="BT648" s="25">
        <v>82.757453568075121</v>
      </c>
      <c r="BU648" s="25">
        <v>29.6044110060189</v>
      </c>
      <c r="BV648" s="25">
        <v>95.116474690344191</v>
      </c>
      <c r="BW648" s="25">
        <v>39.311025294344468</v>
      </c>
      <c r="BX648" s="25">
        <v>64.280735414760144</v>
      </c>
      <c r="BY648" s="25">
        <v>38.976949217685103</v>
      </c>
      <c r="BZ648">
        <v>92</v>
      </c>
      <c r="CA648">
        <v>0</v>
      </c>
      <c r="CB648">
        <v>7</v>
      </c>
      <c r="CC648">
        <v>18324.156696999999</v>
      </c>
      <c r="CD648" s="10">
        <v>6616.0584429999999</v>
      </c>
      <c r="CE648" s="255">
        <v>0.36105663973519558</v>
      </c>
      <c r="CF648" t="str">
        <f>IFERROR(VLOOKUP(CE648,'Rangos amb etnico'!$A$2:$C$6,3,9),"N.D.")</f>
        <v>31% - 50%</v>
      </c>
      <c r="CG648" s="256">
        <v>1.924860804323236E-4</v>
      </c>
      <c r="CH648" s="232">
        <v>0</v>
      </c>
      <c r="CI648" s="311">
        <f t="shared" si="292"/>
        <v>0</v>
      </c>
      <c r="CJ648" s="232">
        <f>IFERROR(VLOOKUP(CI648,'Rangos amb etnico'!$A$2:$C$6,3,9),"N.D.")</f>
        <v>0</v>
      </c>
      <c r="CK648" s="311">
        <f t="shared" si="293"/>
        <v>0</v>
      </c>
      <c r="CL648" s="10">
        <v>0</v>
      </c>
      <c r="CM648" s="255">
        <f t="shared" si="294"/>
        <v>0</v>
      </c>
      <c r="CN648" s="232">
        <f>IFERROR(VLOOKUP(CM648,'Rangos amb etnico'!$A$2:$C$6,3,9),"N.D.")</f>
        <v>0</v>
      </c>
      <c r="CO648" s="311">
        <f t="shared" si="295"/>
        <v>0</v>
      </c>
      <c r="CP648">
        <v>0.83029662710572527</v>
      </c>
      <c r="CQ648" t="s">
        <v>2865</v>
      </c>
      <c r="CR648">
        <f t="shared" si="286"/>
        <v>2</v>
      </c>
      <c r="CS648" t="str">
        <f t="shared" si="296"/>
        <v>No es Candidato</v>
      </c>
      <c r="CT648">
        <v>0</v>
      </c>
      <c r="CU648">
        <v>0</v>
      </c>
      <c r="CV648" s="25">
        <v>40.001667022705078</v>
      </c>
      <c r="CW648" s="25">
        <v>15.37758731842041</v>
      </c>
      <c r="CX648" s="25">
        <v>51.547290802001953</v>
      </c>
      <c r="CY648" s="25">
        <v>45.110744476318359</v>
      </c>
      <c r="CZ648" s="25">
        <v>3.740009069442749</v>
      </c>
      <c r="DA648" s="25">
        <v>62.5</v>
      </c>
      <c r="DB648" s="25">
        <v>61.734367370605469</v>
      </c>
      <c r="DC648">
        <v>489</v>
      </c>
      <c r="DD648" s="253" t="s">
        <v>380</v>
      </c>
    </row>
    <row r="649" spans="1:108" hidden="1">
      <c r="A649" s="13">
        <v>27810</v>
      </c>
      <c r="B649" s="13" t="s">
        <v>1739</v>
      </c>
      <c r="C649" s="13" t="s">
        <v>1714</v>
      </c>
      <c r="D649" s="13" t="s">
        <v>1715</v>
      </c>
      <c r="E649" s="13" t="s">
        <v>1740</v>
      </c>
      <c r="F649" s="14">
        <v>58.077366666666698</v>
      </c>
      <c r="G649" s="13">
        <v>82.15</v>
      </c>
      <c r="H649" s="13">
        <v>81.95</v>
      </c>
      <c r="I649" s="13">
        <v>75.06</v>
      </c>
      <c r="J649" s="14">
        <v>47.283644054599677</v>
      </c>
      <c r="K649" s="14">
        <v>55.611494346753901</v>
      </c>
      <c r="L649" s="14">
        <v>53.820839178031683</v>
      </c>
      <c r="M649" s="14">
        <v>42.776899999999998</v>
      </c>
      <c r="N649" s="14">
        <f t="shared" si="270"/>
        <v>74.309341666666683</v>
      </c>
      <c r="O649" s="14">
        <f t="shared" si="271"/>
        <v>49.873219394846316</v>
      </c>
      <c r="P649" s="14">
        <f t="shared" si="287"/>
        <v>62.091280530756499</v>
      </c>
      <c r="Q649" s="14">
        <v>57.105624517749561</v>
      </c>
      <c r="R649" s="17">
        <f t="shared" si="272"/>
        <v>42.894375482250439</v>
      </c>
      <c r="S649" s="14">
        <f t="shared" si="288"/>
        <v>0.48604937934025394</v>
      </c>
      <c r="T649" s="13">
        <v>0</v>
      </c>
      <c r="U649" s="13">
        <f t="shared" si="289"/>
        <v>30.179428364415791</v>
      </c>
      <c r="V649" s="13">
        <f>IF($T649=1,$AU649,(VLOOKUP(U649,'Cortes naturales'!$A$35:$C$39,3,9)))</f>
        <v>3</v>
      </c>
      <c r="W649" s="13">
        <v>3</v>
      </c>
      <c r="X649" s="14" t="b">
        <f t="shared" si="273"/>
        <v>1</v>
      </c>
      <c r="Y649" s="17">
        <f>IF($T649=1,$AU649,VLOOKUP(U649,'Cortes naturales'!$A$45:$C$49,3,9))</f>
        <v>3</v>
      </c>
      <c r="Z649" s="14">
        <v>57.671066483067484</v>
      </c>
      <c r="AA649" s="14">
        <v>0.4951114670268818</v>
      </c>
      <c r="AB649" s="14">
        <v>28.553606331436374</v>
      </c>
      <c r="AC649" s="13">
        <v>3</v>
      </c>
      <c r="AD649" s="13">
        <f t="shared" si="274"/>
        <v>0</v>
      </c>
      <c r="AE649" s="14">
        <f t="shared" si="275"/>
        <v>4.420214047689015</v>
      </c>
      <c r="AF649" s="14">
        <f t="shared" si="276"/>
        <v>-9.0620876866278621E-3</v>
      </c>
      <c r="AG649" s="13">
        <f t="shared" si="277"/>
        <v>1.6258220329794177</v>
      </c>
      <c r="AH649" s="13">
        <f>IF($T649=1,$AU649,VLOOKUP(U649,'Cortes naturales'!$A$25:$C$29,3,9))</f>
        <v>3</v>
      </c>
      <c r="AI649" s="13" t="b">
        <f t="shared" si="278"/>
        <v>1</v>
      </c>
      <c r="AJ649" s="13">
        <f t="shared" si="279"/>
        <v>0</v>
      </c>
      <c r="AK649" s="28">
        <v>0.81759069605862034</v>
      </c>
      <c r="AL649" s="28">
        <v>47.151327388334117</v>
      </c>
      <c r="AM649" s="28">
        <v>0.41918739160219243</v>
      </c>
      <c r="AN649" s="13">
        <v>3</v>
      </c>
      <c r="AO649" s="33">
        <f t="shared" si="280"/>
        <v>0</v>
      </c>
      <c r="AP649" s="13">
        <f t="shared" si="290"/>
        <v>41.918739160219246</v>
      </c>
      <c r="AQ649" s="13">
        <f>IFERROR(VLOOKUP(U649,'Cortes naturales'!$E$15:$G$19,3,9),U649)</f>
        <v>4</v>
      </c>
      <c r="AR649" s="28">
        <f t="shared" si="281"/>
        <v>-0.3315413167183664</v>
      </c>
      <c r="AS649" s="13" t="b">
        <f t="shared" si="282"/>
        <v>0</v>
      </c>
      <c r="AT649" s="13">
        <f t="shared" si="291"/>
        <v>0</v>
      </c>
      <c r="AU649" s="13">
        <v>4</v>
      </c>
      <c r="AV649">
        <f t="shared" si="283"/>
        <v>1</v>
      </c>
      <c r="AW649" s="13">
        <v>0</v>
      </c>
      <c r="AX649" s="13">
        <v>0</v>
      </c>
      <c r="AY649" s="13">
        <v>0</v>
      </c>
      <c r="AZ649" s="13">
        <v>0</v>
      </c>
      <c r="BA649">
        <v>0</v>
      </c>
      <c r="BB649" t="s">
        <v>2840</v>
      </c>
      <c r="BC649">
        <v>6</v>
      </c>
      <c r="BD649" t="s">
        <v>2919</v>
      </c>
      <c r="BE649">
        <v>0</v>
      </c>
      <c r="BF649" s="232" t="s">
        <v>2846</v>
      </c>
      <c r="BG649" s="232" t="s">
        <v>2846</v>
      </c>
      <c r="BH649" s="253">
        <v>57.4</v>
      </c>
      <c r="BI649" s="253">
        <v>52.152369154537006</v>
      </c>
      <c r="BJ649" s="25">
        <v>96.9</v>
      </c>
      <c r="BK649" t="s">
        <v>2850</v>
      </c>
      <c r="BL649">
        <v>0.62685698671562506</v>
      </c>
      <c r="BM649" t="s">
        <v>383</v>
      </c>
      <c r="BN649" s="322">
        <v>24927.517259</v>
      </c>
      <c r="BO649" s="322">
        <v>1968.7070020000001</v>
      </c>
      <c r="BP649" s="10">
        <v>7202</v>
      </c>
      <c r="BQ649" s="254">
        <f t="shared" si="284"/>
        <v>3.4611937321577342</v>
      </c>
      <c r="BR649" s="254">
        <f t="shared" si="285"/>
        <v>0.27335559594557068</v>
      </c>
      <c r="BS649" s="25">
        <v>67.287616933565872</v>
      </c>
      <c r="BT649" s="25">
        <v>90.390064886396544</v>
      </c>
      <c r="BU649" s="25">
        <v>28.253265306122429</v>
      </c>
      <c r="BV649" s="25">
        <v>87.873243733735805</v>
      </c>
      <c r="BW649" s="25">
        <v>61.775277524852683</v>
      </c>
      <c r="BX649" s="25">
        <v>68.451047714955166</v>
      </c>
      <c r="BY649" s="25">
        <v>60.483023547879156</v>
      </c>
      <c r="BZ649">
        <v>27</v>
      </c>
      <c r="CA649">
        <v>0</v>
      </c>
      <c r="CB649">
        <v>7</v>
      </c>
      <c r="CC649">
        <v>17783.774308</v>
      </c>
      <c r="CD649" s="10">
        <v>482.54818899999998</v>
      </c>
      <c r="CE649" s="255">
        <v>2.7134183140354325E-2</v>
      </c>
      <c r="CF649" t="str">
        <f>IFERROR(VLOOKUP(CE649,'Rangos amb etnico'!$A$2:$C$6,3,9),"N.D.")</f>
        <v>0,1% - 30%</v>
      </c>
      <c r="CG649" s="256">
        <v>1.4039145863138515E-5</v>
      </c>
      <c r="CH649" s="232">
        <v>17017.252679000001</v>
      </c>
      <c r="CI649" s="311">
        <f t="shared" si="292"/>
        <v>0.95689769698352611</v>
      </c>
      <c r="CJ649" s="232" t="str">
        <f>IFERROR(VLOOKUP(CI649,'Rangos amb etnico'!$A$2:$C$6,3,9),"N.D.")</f>
        <v>71% - 100%</v>
      </c>
      <c r="CK649" s="311">
        <f t="shared" si="293"/>
        <v>6.7569634672125668E-4</v>
      </c>
      <c r="CL649" s="10">
        <v>0</v>
      </c>
      <c r="CM649" s="255">
        <f t="shared" si="294"/>
        <v>0</v>
      </c>
      <c r="CN649" s="232">
        <f>IFERROR(VLOOKUP(CM649,'Rangos amb etnico'!$A$2:$C$6,3,9),"N.D.")</f>
        <v>0</v>
      </c>
      <c r="CO649" s="311">
        <f t="shared" si="295"/>
        <v>0</v>
      </c>
      <c r="CP649">
        <v>0.91145228099828712</v>
      </c>
      <c r="CQ649" t="s">
        <v>2864</v>
      </c>
      <c r="CR649">
        <f t="shared" si="286"/>
        <v>3</v>
      </c>
      <c r="CS649" t="str">
        <f t="shared" si="296"/>
        <v>Candidato</v>
      </c>
      <c r="CT649">
        <v>0</v>
      </c>
      <c r="CU649">
        <v>0</v>
      </c>
      <c r="CV649" s="25">
        <v>41.205818176269531</v>
      </c>
      <c r="CW649" s="25">
        <v>24.8203010559082</v>
      </c>
      <c r="CX649" s="25">
        <v>61.246635437011719</v>
      </c>
      <c r="CY649" s="25">
        <v>49.618583679199219</v>
      </c>
      <c r="CZ649" s="25">
        <v>13.31832695007324</v>
      </c>
      <c r="DA649" s="25">
        <v>54.960994720458977</v>
      </c>
      <c r="DB649" s="25">
        <v>43.270069122314453</v>
      </c>
      <c r="DC649">
        <v>6334</v>
      </c>
      <c r="DD649" s="253" t="s">
        <v>380</v>
      </c>
    </row>
    <row r="650" spans="1:108" hidden="1">
      <c r="A650" s="13">
        <v>44110</v>
      </c>
      <c r="B650" s="13" t="s">
        <v>1741</v>
      </c>
      <c r="C650" s="13" t="s">
        <v>933</v>
      </c>
      <c r="D650" s="13" t="s">
        <v>934</v>
      </c>
      <c r="E650" s="13" t="s">
        <v>1742</v>
      </c>
      <c r="F650" s="14">
        <v>70.149066666666698</v>
      </c>
      <c r="G650" s="13">
        <v>61.42</v>
      </c>
      <c r="H650" s="13">
        <v>67.27</v>
      </c>
      <c r="I650" s="13">
        <v>69.14</v>
      </c>
      <c r="J650" s="14">
        <v>57.391616133744954</v>
      </c>
      <c r="K650" s="14">
        <v>70.664459837024509</v>
      </c>
      <c r="L650" s="14">
        <v>66.087767692280579</v>
      </c>
      <c r="M650" s="14">
        <v>69.770499999999998</v>
      </c>
      <c r="N650" s="14">
        <f t="shared" si="270"/>
        <v>66.994766666666663</v>
      </c>
      <c r="O650" s="14">
        <f t="shared" si="271"/>
        <v>65.978585915762508</v>
      </c>
      <c r="P650" s="14">
        <f t="shared" si="287"/>
        <v>66.486676291214593</v>
      </c>
      <c r="Q650" s="14">
        <v>58.199334886538686</v>
      </c>
      <c r="R650" s="17">
        <f t="shared" si="272"/>
        <v>41.800665113461314</v>
      </c>
      <c r="S650" s="14">
        <f t="shared" si="288"/>
        <v>0.47620598602115183</v>
      </c>
      <c r="T650" s="13">
        <v>0</v>
      </c>
      <c r="U650" s="13">
        <f t="shared" si="289"/>
        <v>31.661353240526982</v>
      </c>
      <c r="V650" s="13">
        <f>IF($T650=1,$AU650,(VLOOKUP(U650,'Cortes naturales'!$A$35:$C$39,3,9)))</f>
        <v>3</v>
      </c>
      <c r="W650" s="13">
        <v>3</v>
      </c>
      <c r="X650" s="14" t="b">
        <f t="shared" si="273"/>
        <v>1</v>
      </c>
      <c r="Y650" s="17">
        <f>IF($T650=1,$AU650,VLOOKUP(U650,'Cortes naturales'!$A$45:$C$49,3,9))</f>
        <v>3</v>
      </c>
      <c r="Z650" s="14">
        <v>65.631351230046533</v>
      </c>
      <c r="AA650" s="14">
        <v>0.49525499796097694</v>
      </c>
      <c r="AB650" s="14">
        <v>32.50425471961286</v>
      </c>
      <c r="AC650" s="13">
        <v>3</v>
      </c>
      <c r="AD650" s="13">
        <f t="shared" si="274"/>
        <v>0</v>
      </c>
      <c r="AE650" s="14">
        <f t="shared" si="275"/>
        <v>0.85532506116805962</v>
      </c>
      <c r="AF650" s="14">
        <f t="shared" si="276"/>
        <v>-1.9049011939825111E-2</v>
      </c>
      <c r="AG650" s="13">
        <f t="shared" si="277"/>
        <v>-0.84290147908587798</v>
      </c>
      <c r="AH650" s="13">
        <f>IF($T650=1,$AU650,VLOOKUP(U650,'Cortes naturales'!$A$25:$C$29,3,9))</f>
        <v>3</v>
      </c>
      <c r="AI650" s="13" t="b">
        <f t="shared" si="278"/>
        <v>1</v>
      </c>
      <c r="AJ650" s="13">
        <f t="shared" si="279"/>
        <v>0</v>
      </c>
      <c r="AK650" s="28">
        <v>0.81759069605862034</v>
      </c>
      <c r="AL650" s="28">
        <v>53.659582135441532</v>
      </c>
      <c r="AM650" s="28">
        <v>0.50059879814135277</v>
      </c>
      <c r="AN650" s="13">
        <v>2</v>
      </c>
      <c r="AO650" s="33">
        <f t="shared" si="280"/>
        <v>-1</v>
      </c>
      <c r="AP650" s="13">
        <f t="shared" si="290"/>
        <v>50.059879814135279</v>
      </c>
      <c r="AQ650" s="13">
        <f>IFERROR(VLOOKUP(U650,'Cortes naturales'!$E$15:$G$19,3,9),U650)</f>
        <v>4</v>
      </c>
      <c r="AR650" s="28">
        <f t="shared" si="281"/>
        <v>-0.34138471003746851</v>
      </c>
      <c r="AS650" s="13" t="b">
        <f t="shared" si="282"/>
        <v>0</v>
      </c>
      <c r="AT650" s="13" t="str">
        <f t="shared" si="291"/>
        <v>Cambio en corte</v>
      </c>
      <c r="AU650" s="13">
        <v>3</v>
      </c>
      <c r="AV650">
        <f t="shared" si="283"/>
        <v>0</v>
      </c>
      <c r="AW650" s="13">
        <v>0</v>
      </c>
      <c r="AX650" s="13">
        <v>0</v>
      </c>
      <c r="AY650" s="13">
        <v>0</v>
      </c>
      <c r="AZ650" s="13">
        <v>0</v>
      </c>
      <c r="BA650">
        <v>1</v>
      </c>
      <c r="BB650" t="s">
        <v>2840</v>
      </c>
      <c r="BC650">
        <v>6</v>
      </c>
      <c r="BD650" t="s">
        <v>2919</v>
      </c>
      <c r="BE650">
        <v>1</v>
      </c>
      <c r="BF650" s="232" t="s">
        <v>2846</v>
      </c>
      <c r="BG650" s="232" t="s">
        <v>2846</v>
      </c>
      <c r="BH650" s="253">
        <v>37</v>
      </c>
      <c r="BI650" s="253">
        <v>26.640815740341807</v>
      </c>
      <c r="BJ650" s="25">
        <v>23.952222222222222</v>
      </c>
      <c r="BK650" t="s">
        <v>379</v>
      </c>
      <c r="BL650">
        <v>6.5625042296038549E-2</v>
      </c>
      <c r="BM650" t="s">
        <v>377</v>
      </c>
      <c r="BN650" s="322">
        <v>38844.685659000002</v>
      </c>
      <c r="BO650" s="322">
        <v>922.58693900000003</v>
      </c>
      <c r="BP650" s="10">
        <v>7527</v>
      </c>
      <c r="BQ650" s="254">
        <f t="shared" si="284"/>
        <v>5.1607128549222798</v>
      </c>
      <c r="BR650" s="254">
        <f t="shared" si="285"/>
        <v>0.12257033864753554</v>
      </c>
      <c r="BS650" s="25">
        <v>66.059583444532137</v>
      </c>
      <c r="BT650" s="25">
        <v>97.492707396040927</v>
      </c>
      <c r="BU650" s="25">
        <v>44.796663745252708</v>
      </c>
      <c r="BV650" s="25">
        <v>94.584468853023978</v>
      </c>
      <c r="BW650" s="25">
        <v>46.462171858264817</v>
      </c>
      <c r="BX650" s="25">
        <v>75.733355859712432</v>
      </c>
      <c r="BY650" s="25">
        <v>49.178849143716732</v>
      </c>
      <c r="BZ650">
        <v>76</v>
      </c>
      <c r="CA650">
        <v>0</v>
      </c>
      <c r="CB650">
        <v>7</v>
      </c>
      <c r="CC650">
        <v>24127.16532</v>
      </c>
      <c r="CD650" s="10">
        <v>18472.979948</v>
      </c>
      <c r="CE650" s="255">
        <v>0.7656506557231979</v>
      </c>
      <c r="CF650" t="str">
        <f>IFERROR(VLOOKUP(CE650,'Rangos amb etnico'!$A$2:$C$6,3,9),"N.D.")</f>
        <v>71% - 100%</v>
      </c>
      <c r="CG650" s="256">
        <v>5.3744862363747255E-4</v>
      </c>
      <c r="CH650" s="232">
        <v>0</v>
      </c>
      <c r="CI650" s="311">
        <f t="shared" si="292"/>
        <v>0</v>
      </c>
      <c r="CJ650" s="232">
        <f>IFERROR(VLOOKUP(CI650,'Rangos amb etnico'!$A$2:$C$6,3,9),"N.D.")</f>
        <v>0</v>
      </c>
      <c r="CK650" s="311">
        <f t="shared" si="293"/>
        <v>0</v>
      </c>
      <c r="CL650" s="10">
        <v>0</v>
      </c>
      <c r="CM650" s="255">
        <f t="shared" si="294"/>
        <v>0</v>
      </c>
      <c r="CN650" s="232">
        <f>IFERROR(VLOOKUP(CM650,'Rangos amb etnico'!$A$2:$C$6,3,9),"N.D.")</f>
        <v>0</v>
      </c>
      <c r="CO650" s="311">
        <f t="shared" si="295"/>
        <v>0</v>
      </c>
      <c r="CP650">
        <v>0.89874652112885434</v>
      </c>
      <c r="CQ650" t="s">
        <v>2864</v>
      </c>
      <c r="CR650">
        <f t="shared" si="286"/>
        <v>3</v>
      </c>
      <c r="CS650" t="str">
        <f t="shared" si="296"/>
        <v>Candidato</v>
      </c>
      <c r="CT650">
        <v>1</v>
      </c>
      <c r="CU650" t="s">
        <v>2835</v>
      </c>
      <c r="CV650" s="25">
        <v>51.507049560546882</v>
      </c>
      <c r="CW650" s="25">
        <v>22.514019012451168</v>
      </c>
      <c r="CX650" s="25">
        <v>59.703681945800781</v>
      </c>
      <c r="CY650" s="25">
        <v>53.898696899414063</v>
      </c>
      <c r="CZ650" s="25">
        <v>36.19549560546875</v>
      </c>
      <c r="DA650" s="25">
        <v>74.589149475097656</v>
      </c>
      <c r="DB650" s="25">
        <v>62.141250610351563</v>
      </c>
      <c r="DC650">
        <v>986</v>
      </c>
      <c r="DD650" s="253" t="s">
        <v>380</v>
      </c>
    </row>
    <row r="651" spans="1:108" hidden="1">
      <c r="A651" s="13">
        <v>15442</v>
      </c>
      <c r="B651" s="13" t="s">
        <v>1743</v>
      </c>
      <c r="C651" s="13" t="s">
        <v>498</v>
      </c>
      <c r="D651" s="13" t="s">
        <v>499</v>
      </c>
      <c r="E651" s="13" t="s">
        <v>1744</v>
      </c>
      <c r="F651" s="14">
        <v>68.038499999999999</v>
      </c>
      <c r="G651" s="13">
        <v>62.52</v>
      </c>
      <c r="H651" s="13">
        <v>43.67</v>
      </c>
      <c r="I651" s="13">
        <v>66.2</v>
      </c>
      <c r="J651" s="14">
        <v>45.560457315505026</v>
      </c>
      <c r="K651" s="14">
        <v>62.276116946903088</v>
      </c>
      <c r="L651" s="14">
        <v>47.4398554207351</v>
      </c>
      <c r="M651" s="14">
        <v>51.167999999999999</v>
      </c>
      <c r="N651" s="14">
        <f t="shared" si="270"/>
        <v>60.107124999999996</v>
      </c>
      <c r="O651" s="14">
        <f t="shared" si="271"/>
        <v>51.6111074207858</v>
      </c>
      <c r="P651" s="14">
        <f t="shared" si="287"/>
        <v>55.859116210392898</v>
      </c>
      <c r="Q651" s="14">
        <v>57.588863165740577</v>
      </c>
      <c r="R651" s="17">
        <f t="shared" si="272"/>
        <v>42.411136834259423</v>
      </c>
      <c r="S651" s="14">
        <f t="shared" si="288"/>
        <v>0.48170023150833485</v>
      </c>
      <c r="T651" s="13">
        <v>0</v>
      </c>
      <c r="U651" s="13">
        <f t="shared" si="289"/>
        <v>26.907349210397239</v>
      </c>
      <c r="V651" s="13">
        <f>IF($T651=1,$AU651,(VLOOKUP(U651,'Cortes naturales'!$A$35:$C$39,3,9)))</f>
        <v>4</v>
      </c>
      <c r="W651" s="13">
        <v>4</v>
      </c>
      <c r="X651" s="14" t="b">
        <f t="shared" si="273"/>
        <v>1</v>
      </c>
      <c r="Y651" s="17">
        <f>IF($T651=1,$AU651,VLOOKUP(U651,'Cortes naturales'!$A$45:$C$49,3,9))</f>
        <v>4</v>
      </c>
      <c r="Z651" s="14">
        <v>56.570340830000646</v>
      </c>
      <c r="AA651" s="14">
        <v>0.49257712146712951</v>
      </c>
      <c r="AB651" s="14">
        <v>27.865255646456145</v>
      </c>
      <c r="AC651" s="13">
        <v>3</v>
      </c>
      <c r="AD651" s="13">
        <f t="shared" si="274"/>
        <v>-1</v>
      </c>
      <c r="AE651" s="14">
        <f t="shared" si="275"/>
        <v>-0.71122461960774785</v>
      </c>
      <c r="AF651" s="14">
        <f t="shared" si="276"/>
        <v>-1.0876889958794655E-2</v>
      </c>
      <c r="AG651" s="13">
        <f t="shared" si="277"/>
        <v>-0.9579064360589058</v>
      </c>
      <c r="AH651" s="13">
        <f>IF($T651=1,$AU651,VLOOKUP(U651,'Cortes naturales'!$A$25:$C$29,3,9))</f>
        <v>4</v>
      </c>
      <c r="AI651" s="13" t="b">
        <f t="shared" si="278"/>
        <v>1</v>
      </c>
      <c r="AJ651" s="13" t="str">
        <f t="shared" si="279"/>
        <v>Efecto ponderador</v>
      </c>
      <c r="AK651" s="28">
        <v>0.81759069605862034</v>
      </c>
      <c r="AL651" s="28">
        <v>46.251384335473617</v>
      </c>
      <c r="AM651" s="28">
        <v>0.40793005264030224</v>
      </c>
      <c r="AN651" s="13">
        <v>3</v>
      </c>
      <c r="AO651" s="33">
        <f t="shared" si="280"/>
        <v>-1</v>
      </c>
      <c r="AP651" s="13">
        <f t="shared" si="290"/>
        <v>40.793005264030228</v>
      </c>
      <c r="AQ651" s="13">
        <f>IFERROR(VLOOKUP(U651,'Cortes naturales'!$E$15:$G$19,3,9),U651)</f>
        <v>4</v>
      </c>
      <c r="AR651" s="28">
        <f t="shared" si="281"/>
        <v>-0.33589046455028548</v>
      </c>
      <c r="AS651" s="13" t="b">
        <f t="shared" si="282"/>
        <v>1</v>
      </c>
      <c r="AT651" s="13" t="str">
        <f t="shared" si="291"/>
        <v>Efecto ponderador</v>
      </c>
      <c r="AU651" s="13">
        <v>3</v>
      </c>
      <c r="AV651">
        <f t="shared" si="283"/>
        <v>-1</v>
      </c>
      <c r="AW651" s="13">
        <v>0</v>
      </c>
      <c r="AX651" s="13">
        <v>0</v>
      </c>
      <c r="AY651" s="13">
        <v>0</v>
      </c>
      <c r="AZ651" s="13">
        <v>0</v>
      </c>
      <c r="BA651">
        <v>0</v>
      </c>
      <c r="BB651" t="s">
        <v>2841</v>
      </c>
      <c r="BC651">
        <v>6</v>
      </c>
      <c r="BD651" t="s">
        <v>2919</v>
      </c>
      <c r="BE651">
        <v>0</v>
      </c>
      <c r="BF651" s="232" t="s">
        <v>2846</v>
      </c>
      <c r="BG651" s="232" t="s">
        <v>2846</v>
      </c>
      <c r="BH651" s="253">
        <v>67</v>
      </c>
      <c r="BI651" s="253">
        <v>32.032125513634668</v>
      </c>
      <c r="BJ651" s="25">
        <v>6.0233492376878353</v>
      </c>
      <c r="BK651" t="s">
        <v>377</v>
      </c>
      <c r="BL651">
        <v>20.880753486588816</v>
      </c>
      <c r="BM651" t="s">
        <v>376</v>
      </c>
      <c r="BN651" s="322">
        <v>22705.834762999999</v>
      </c>
      <c r="BO651" s="322">
        <v>1754.7599640000001</v>
      </c>
      <c r="BP651" s="10">
        <v>5887</v>
      </c>
      <c r="BQ651" s="254">
        <f t="shared" si="284"/>
        <v>3.8569449232206554</v>
      </c>
      <c r="BR651" s="254">
        <f t="shared" si="285"/>
        <v>0.29807371564464075</v>
      </c>
      <c r="BS651" s="25">
        <v>57.504103084716007</v>
      </c>
      <c r="BT651" s="25">
        <v>86.173985051809083</v>
      </c>
      <c r="BU651" s="25">
        <v>27.679090909090899</v>
      </c>
      <c r="BV651" s="25">
        <v>88.254693788597066</v>
      </c>
      <c r="BW651" s="25">
        <v>48.098264087214368</v>
      </c>
      <c r="BX651" s="25">
        <v>64.902968208553276</v>
      </c>
      <c r="BY651" s="25">
        <v>48.554218441737248</v>
      </c>
      <c r="BZ651">
        <v>86</v>
      </c>
      <c r="CA651">
        <v>0</v>
      </c>
      <c r="CB651">
        <v>7</v>
      </c>
      <c r="CC651">
        <v>16047.834117</v>
      </c>
      <c r="CD651" s="10">
        <v>0</v>
      </c>
      <c r="CE651" s="255">
        <v>0</v>
      </c>
      <c r="CF651">
        <f>IFERROR(VLOOKUP(CE651,'Rangos amb etnico'!$A$2:$C$6,3,9),"N.D.")</f>
        <v>0</v>
      </c>
      <c r="CG651" s="256">
        <v>0</v>
      </c>
      <c r="CH651" s="232">
        <v>0</v>
      </c>
      <c r="CI651" s="311">
        <f t="shared" si="292"/>
        <v>0</v>
      </c>
      <c r="CJ651" s="232">
        <f>IFERROR(VLOOKUP(CI651,'Rangos amb etnico'!$A$2:$C$6,3,9),"N.D.")</f>
        <v>0</v>
      </c>
      <c r="CK651" s="311">
        <f t="shared" si="293"/>
        <v>0</v>
      </c>
      <c r="CL651" s="10">
        <v>0</v>
      </c>
      <c r="CM651" s="255">
        <f t="shared" si="294"/>
        <v>0</v>
      </c>
      <c r="CN651" s="232">
        <f>IFERROR(VLOOKUP(CM651,'Rangos amb etnico'!$A$2:$C$6,3,9),"N.D.")</f>
        <v>0</v>
      </c>
      <c r="CO651" s="311">
        <f t="shared" si="295"/>
        <v>0</v>
      </c>
      <c r="CP651">
        <v>0.91517139183615259</v>
      </c>
      <c r="CQ651" t="s">
        <v>2864</v>
      </c>
      <c r="CR651">
        <f t="shared" si="286"/>
        <v>2</v>
      </c>
      <c r="CS651" t="str">
        <f t="shared" si="296"/>
        <v>No es Candidato</v>
      </c>
      <c r="CT651">
        <v>0</v>
      </c>
      <c r="CU651">
        <v>0</v>
      </c>
      <c r="CV651" s="25">
        <v>45.505840301513672</v>
      </c>
      <c r="CW651" s="25">
        <v>10.924545288085939</v>
      </c>
      <c r="CX651" s="25">
        <v>49.422626495361328</v>
      </c>
      <c r="CY651" s="25">
        <v>51.972785949707031</v>
      </c>
      <c r="CZ651" s="25">
        <v>43.497364044189453</v>
      </c>
      <c r="DA651" s="25">
        <v>59.836189270019531</v>
      </c>
      <c r="DB651" s="25">
        <v>57.381538391113281</v>
      </c>
      <c r="DC651">
        <v>52</v>
      </c>
      <c r="DD651" s="253" t="s">
        <v>380</v>
      </c>
    </row>
    <row r="652" spans="1:108">
      <c r="A652" s="13">
        <v>5113</v>
      </c>
      <c r="B652" s="13" t="s">
        <v>1745</v>
      </c>
      <c r="C652" s="13" t="s">
        <v>435</v>
      </c>
      <c r="D652" s="13" t="s">
        <v>436</v>
      </c>
      <c r="E652" s="13" t="s">
        <v>1746</v>
      </c>
      <c r="F652" s="14">
        <v>78.316266666666706</v>
      </c>
      <c r="G652" s="13">
        <v>81.680000000000007</v>
      </c>
      <c r="H652" s="13">
        <v>75.44</v>
      </c>
      <c r="I652" s="13">
        <v>62.57</v>
      </c>
      <c r="J652" s="14">
        <v>48.619765570297218</v>
      </c>
      <c r="K652" s="14">
        <v>63.52111709000819</v>
      </c>
      <c r="L652" s="14">
        <v>72.069263058588731</v>
      </c>
      <c r="M652" s="14">
        <v>55.500500000000002</v>
      </c>
      <c r="N652" s="14">
        <f t="shared" si="270"/>
        <v>74.501566666666676</v>
      </c>
      <c r="O652" s="14">
        <f t="shared" si="271"/>
        <v>59.927661429723528</v>
      </c>
      <c r="P652" s="14">
        <f t="shared" si="287"/>
        <v>67.214614048195102</v>
      </c>
      <c r="Q652" s="14">
        <v>55.788837614928731</v>
      </c>
      <c r="R652" s="17">
        <f t="shared" si="272"/>
        <v>44.211162385071269</v>
      </c>
      <c r="S652" s="14">
        <f t="shared" si="288"/>
        <v>0.49790046146564138</v>
      </c>
      <c r="T652" s="13">
        <v>0</v>
      </c>
      <c r="U652" s="13">
        <f t="shared" si="289"/>
        <v>33.466187351831323</v>
      </c>
      <c r="V652" s="13">
        <f>IF($T652=1,$AU652,(VLOOKUP(U652,'Cortes naturales'!$A$35:$C$39,3,9)))</f>
        <v>3</v>
      </c>
      <c r="W652" s="13">
        <v>3</v>
      </c>
      <c r="X652" s="14" t="b">
        <f t="shared" si="273"/>
        <v>1</v>
      </c>
      <c r="Y652" s="17">
        <f>IF($T652=1,$AU652,VLOOKUP(U652,'Cortes naturales'!$A$45:$C$49,3,9))</f>
        <v>3</v>
      </c>
      <c r="Z652" s="14">
        <v>69.51555191716389</v>
      </c>
      <c r="AA652" s="14">
        <v>0.49407003686023643</v>
      </c>
      <c r="AB652" s="14">
        <v>34.345551298072841</v>
      </c>
      <c r="AC652" s="13">
        <v>3</v>
      </c>
      <c r="AD652" s="13">
        <f t="shared" si="274"/>
        <v>0</v>
      </c>
      <c r="AE652" s="14">
        <f t="shared" si="275"/>
        <v>-2.3009378689687878</v>
      </c>
      <c r="AF652" s="14">
        <f t="shared" si="276"/>
        <v>3.8304246054049473E-3</v>
      </c>
      <c r="AG652" s="13">
        <f t="shared" si="277"/>
        <v>-0.87936394624151859</v>
      </c>
      <c r="AH652" s="13">
        <f>IF($T652=1,$AU652,VLOOKUP(U652,'Cortes naturales'!$A$25:$C$29,3,9))</f>
        <v>3</v>
      </c>
      <c r="AI652" s="13" t="b">
        <f t="shared" si="278"/>
        <v>1</v>
      </c>
      <c r="AJ652" s="13">
        <f t="shared" si="279"/>
        <v>0</v>
      </c>
      <c r="AK652" s="28">
        <v>0.81759069605862034</v>
      </c>
      <c r="AL652" s="28">
        <v>56.835268478853187</v>
      </c>
      <c r="AM652" s="28">
        <v>0.54032328680849551</v>
      </c>
      <c r="AN652" s="13">
        <v>2</v>
      </c>
      <c r="AO652" s="33">
        <f t="shared" si="280"/>
        <v>-1</v>
      </c>
      <c r="AP652" s="13">
        <f t="shared" si="290"/>
        <v>54.032328680849552</v>
      </c>
      <c r="AQ652" s="13">
        <f>IFERROR(VLOOKUP(U652,'Cortes naturales'!$E$15:$G$19,3,9),U652)</f>
        <v>4</v>
      </c>
      <c r="AR652" s="28">
        <f t="shared" si="281"/>
        <v>-0.31969023459297896</v>
      </c>
      <c r="AS652" s="13" t="b">
        <f t="shared" si="282"/>
        <v>0</v>
      </c>
      <c r="AT652" s="13" t="str">
        <f t="shared" si="291"/>
        <v>Cambio en corte</v>
      </c>
      <c r="AU652" s="13">
        <v>2</v>
      </c>
      <c r="AV652">
        <f t="shared" si="283"/>
        <v>-1</v>
      </c>
      <c r="AW652" s="13">
        <v>0</v>
      </c>
      <c r="AX652" s="13">
        <v>0</v>
      </c>
      <c r="AY652" s="13">
        <v>0</v>
      </c>
      <c r="AZ652" s="13">
        <v>0</v>
      </c>
      <c r="BA652">
        <v>0</v>
      </c>
      <c r="BB652" t="s">
        <v>2841</v>
      </c>
      <c r="BC652">
        <v>6</v>
      </c>
      <c r="BD652" t="s">
        <v>2919</v>
      </c>
      <c r="BE652">
        <v>1</v>
      </c>
      <c r="BF652" s="232" t="s">
        <v>2846</v>
      </c>
      <c r="BG652" s="232" t="s">
        <v>2845</v>
      </c>
      <c r="BH652" s="253">
        <v>51.3</v>
      </c>
      <c r="BI652" s="253">
        <v>29.139522258414768</v>
      </c>
      <c r="BJ652" s="25">
        <v>0.25357142857142856</v>
      </c>
      <c r="BK652" t="s">
        <v>381</v>
      </c>
      <c r="BL652">
        <v>22.960961435312971</v>
      </c>
      <c r="BM652" t="s">
        <v>384</v>
      </c>
      <c r="BN652" s="322">
        <v>63558.265588000002</v>
      </c>
      <c r="BO652" s="322">
        <v>10253.943096999999</v>
      </c>
      <c r="BP652" s="10">
        <v>10848</v>
      </c>
      <c r="BQ652" s="254">
        <f t="shared" si="284"/>
        <v>5.8589846596607673</v>
      </c>
      <c r="BR652" s="254">
        <f t="shared" si="285"/>
        <v>0.94523811734882002</v>
      </c>
      <c r="BS652" s="25">
        <v>60.851163508168327</v>
      </c>
      <c r="BT652" s="25">
        <v>92.244346116027529</v>
      </c>
      <c r="BU652" s="25">
        <v>67.383309636650864</v>
      </c>
      <c r="BV652" s="25">
        <v>95.720458529544771</v>
      </c>
      <c r="BW652" s="25">
        <v>58.07375618561872</v>
      </c>
      <c r="BX652" s="25">
        <v>79.049819447597883</v>
      </c>
      <c r="BY652" s="25">
        <v>60.019095189346629</v>
      </c>
      <c r="BZ652">
        <v>90</v>
      </c>
      <c r="CA652">
        <v>0</v>
      </c>
      <c r="CB652">
        <v>7</v>
      </c>
      <c r="CC652">
        <v>35519.124244999999</v>
      </c>
      <c r="CD652" s="10">
        <v>6463.067779</v>
      </c>
      <c r="CE652" s="255">
        <v>0.18196022329885572</v>
      </c>
      <c r="CF652" t="str">
        <f>IFERROR(VLOOKUP(CE652,'Rangos amb etnico'!$A$2:$C$6,3,9),"N.D.")</f>
        <v>0,1% - 30%</v>
      </c>
      <c r="CG652" s="256">
        <v>1.8803500529297745E-4</v>
      </c>
      <c r="CH652" s="232">
        <v>0</v>
      </c>
      <c r="CI652" s="311">
        <f t="shared" si="292"/>
        <v>0</v>
      </c>
      <c r="CJ652" s="232">
        <f>IFERROR(VLOOKUP(CI652,'Rangos amb etnico'!$A$2:$C$6,3,9),"N.D.")</f>
        <v>0</v>
      </c>
      <c r="CK652" s="311">
        <f t="shared" si="293"/>
        <v>0</v>
      </c>
      <c r="CL652" s="10">
        <v>0</v>
      </c>
      <c r="CM652" s="255">
        <f t="shared" si="294"/>
        <v>0</v>
      </c>
      <c r="CN652" s="232">
        <f>IFERROR(VLOOKUP(CM652,'Rangos amb etnico'!$A$2:$C$6,3,9),"N.D.")</f>
        <v>0</v>
      </c>
      <c r="CO652" s="311">
        <f t="shared" si="295"/>
        <v>0</v>
      </c>
      <c r="CP652">
        <v>0.88931618291811332</v>
      </c>
      <c r="CQ652" t="s">
        <v>2864</v>
      </c>
      <c r="CR652">
        <f t="shared" si="286"/>
        <v>3</v>
      </c>
      <c r="CS652" t="str">
        <f t="shared" si="296"/>
        <v>Candidato</v>
      </c>
      <c r="CT652">
        <v>0</v>
      </c>
      <c r="CU652">
        <v>0</v>
      </c>
      <c r="CV652" s="25">
        <v>46.241474151611328</v>
      </c>
      <c r="CW652" s="25">
        <v>17.098085403442379</v>
      </c>
      <c r="CX652" s="25">
        <v>53.06915283203125</v>
      </c>
      <c r="CY652" s="25">
        <v>64.777107238769531</v>
      </c>
      <c r="CZ652" s="25">
        <v>44.117900848388672</v>
      </c>
      <c r="DA652" s="25">
        <v>44.655990600585938</v>
      </c>
      <c r="DB652" s="25">
        <v>53.730609893798828</v>
      </c>
      <c r="DC652">
        <v>111</v>
      </c>
      <c r="DD652" s="253" t="s">
        <v>380</v>
      </c>
    </row>
    <row r="653" spans="1:108" hidden="1">
      <c r="A653" s="13">
        <v>66456</v>
      </c>
      <c r="B653" s="13" t="s">
        <v>1747</v>
      </c>
      <c r="C653" s="13" t="s">
        <v>467</v>
      </c>
      <c r="D653" s="13" t="s">
        <v>468</v>
      </c>
      <c r="E653" s="13" t="s">
        <v>1748</v>
      </c>
      <c r="F653" s="14">
        <v>58.681800000000003</v>
      </c>
      <c r="G653" s="13">
        <v>60.92</v>
      </c>
      <c r="H653" s="13">
        <v>57.28</v>
      </c>
      <c r="I653" s="13">
        <v>73.38</v>
      </c>
      <c r="J653" s="14">
        <v>65.831418197256554</v>
      </c>
      <c r="K653" s="14">
        <v>57.029679862254142</v>
      </c>
      <c r="L653" s="14">
        <v>53.933622363712104</v>
      </c>
      <c r="M653" s="14">
        <v>59.604500000000002</v>
      </c>
      <c r="N653" s="14">
        <f t="shared" si="270"/>
        <v>62.565449999999998</v>
      </c>
      <c r="O653" s="14">
        <f t="shared" si="271"/>
        <v>59.0998051058057</v>
      </c>
      <c r="P653" s="14">
        <f t="shared" si="287"/>
        <v>60.832627552902849</v>
      </c>
      <c r="Q653" s="14">
        <v>56.923810315839084</v>
      </c>
      <c r="R653" s="17">
        <f t="shared" si="272"/>
        <v>43.076189684160916</v>
      </c>
      <c r="S653" s="14">
        <f t="shared" si="288"/>
        <v>0.4876857071574483</v>
      </c>
      <c r="T653" s="13">
        <v>0</v>
      </c>
      <c r="U653" s="13">
        <f t="shared" si="289"/>
        <v>29.667202986383099</v>
      </c>
      <c r="V653" s="13">
        <f>IF($T653=1,$AU653,(VLOOKUP(U653,'Cortes naturales'!$A$35:$C$39,3,9)))</f>
        <v>3</v>
      </c>
      <c r="W653" s="13">
        <v>3</v>
      </c>
      <c r="X653" s="14" t="b">
        <f t="shared" si="273"/>
        <v>1</v>
      </c>
      <c r="Y653" s="17">
        <f>IF($T653=1,$AU653,VLOOKUP(U653,'Cortes naturales'!$A$45:$C$49,3,9))</f>
        <v>3</v>
      </c>
      <c r="Z653" s="14">
        <v>59.320907672128399</v>
      </c>
      <c r="AA653" s="14">
        <v>0.49421984832089794</v>
      </c>
      <c r="AB653" s="14">
        <v>29.317569991977287</v>
      </c>
      <c r="AC653" s="13">
        <v>3</v>
      </c>
      <c r="AD653" s="13">
        <f t="shared" si="274"/>
        <v>0</v>
      </c>
      <c r="AE653" s="14">
        <f t="shared" si="275"/>
        <v>1.5117198807744501</v>
      </c>
      <c r="AF653" s="14">
        <f t="shared" si="276"/>
        <v>-6.534141163449636E-3</v>
      </c>
      <c r="AG653" s="13">
        <f t="shared" si="277"/>
        <v>0.34963299440581252</v>
      </c>
      <c r="AH653" s="13">
        <f>IF($T653=1,$AU653,VLOOKUP(U653,'Cortes naturales'!$A$25:$C$29,3,9))</f>
        <v>3</v>
      </c>
      <c r="AI653" s="13" t="b">
        <f t="shared" si="278"/>
        <v>1</v>
      </c>
      <c r="AJ653" s="13">
        <f t="shared" si="279"/>
        <v>0</v>
      </c>
      <c r="AK653" s="28">
        <v>0.81759069605862034</v>
      </c>
      <c r="AL653" s="28">
        <v>48.500222194484607</v>
      </c>
      <c r="AM653" s="28">
        <v>0.43606064375798531</v>
      </c>
      <c r="AN653" s="13">
        <v>3</v>
      </c>
      <c r="AO653" s="33">
        <f t="shared" si="280"/>
        <v>0</v>
      </c>
      <c r="AP653" s="13">
        <f t="shared" si="290"/>
        <v>43.606064375798532</v>
      </c>
      <c r="AQ653" s="13">
        <f>IFERROR(VLOOKUP(U653,'Cortes naturales'!$E$15:$G$19,3,9),U653)</f>
        <v>4</v>
      </c>
      <c r="AR653" s="28">
        <f t="shared" si="281"/>
        <v>-0.32990498890117204</v>
      </c>
      <c r="AS653" s="13" t="b">
        <f t="shared" si="282"/>
        <v>0</v>
      </c>
      <c r="AT653" s="13">
        <f t="shared" si="291"/>
        <v>0</v>
      </c>
      <c r="AU653" s="13">
        <v>3</v>
      </c>
      <c r="AV653">
        <f t="shared" si="283"/>
        <v>0</v>
      </c>
      <c r="AW653" s="13">
        <v>0</v>
      </c>
      <c r="AX653" s="13">
        <v>0</v>
      </c>
      <c r="AY653" s="13">
        <v>0</v>
      </c>
      <c r="AZ653" s="13">
        <v>0</v>
      </c>
      <c r="BA653">
        <v>1</v>
      </c>
      <c r="BB653" t="s">
        <v>2841</v>
      </c>
      <c r="BC653">
        <v>6</v>
      </c>
      <c r="BD653" t="s">
        <v>2919</v>
      </c>
      <c r="BE653">
        <v>1</v>
      </c>
      <c r="BF653" s="232" t="s">
        <v>2846</v>
      </c>
      <c r="BG653" s="232" t="s">
        <v>2846</v>
      </c>
      <c r="BH653" s="253">
        <v>65.3</v>
      </c>
      <c r="BI653" s="253">
        <v>41.172036932353492</v>
      </c>
      <c r="BJ653" s="25">
        <v>30.645524467558413</v>
      </c>
      <c r="BK653" t="s">
        <v>379</v>
      </c>
      <c r="BL653">
        <v>4.3029137038478034</v>
      </c>
      <c r="BM653" t="s">
        <v>383</v>
      </c>
      <c r="BN653" s="322">
        <v>40991.042451000001</v>
      </c>
      <c r="BO653" s="322">
        <v>2882.2662460000001</v>
      </c>
      <c r="BP653" s="10">
        <v>18387</v>
      </c>
      <c r="BQ653" s="254">
        <f t="shared" si="284"/>
        <v>2.2293491298743677</v>
      </c>
      <c r="BR653" s="254">
        <f t="shared" si="285"/>
        <v>0.15675565595257521</v>
      </c>
      <c r="BS653" s="25">
        <v>53.330649240409343</v>
      </c>
      <c r="BT653" s="25">
        <v>98.18892763403818</v>
      </c>
      <c r="BU653" s="25">
        <v>47.831142636556628</v>
      </c>
      <c r="BV653" s="25">
        <v>97.358205607820636</v>
      </c>
      <c r="BW653" s="25">
        <v>58.854126802261497</v>
      </c>
      <c r="BX653" s="25">
        <v>74.177231279706191</v>
      </c>
      <c r="BY653" s="25">
        <v>60.496733247692241</v>
      </c>
      <c r="BZ653">
        <v>31</v>
      </c>
      <c r="CA653">
        <v>0</v>
      </c>
      <c r="CB653">
        <v>7</v>
      </c>
      <c r="CC653">
        <v>56473.615899999997</v>
      </c>
      <c r="CD653" s="10">
        <v>34163.966464999998</v>
      </c>
      <c r="CE653" s="255">
        <v>0.60495447158006399</v>
      </c>
      <c r="CF653" t="str">
        <f>IFERROR(VLOOKUP(CE653,'Rangos amb etnico'!$A$2:$C$6,3,9),"N.D.")</f>
        <v>51% - 70%</v>
      </c>
      <c r="CG653" s="256">
        <v>9.9395857118325594E-4</v>
      </c>
      <c r="CH653" s="232">
        <v>19685.520851000001</v>
      </c>
      <c r="CI653" s="311">
        <f t="shared" si="292"/>
        <v>0.34857907603894017</v>
      </c>
      <c r="CJ653" s="232" t="str">
        <f>IFERROR(VLOOKUP(CI653,'Rangos amb etnico'!$A$2:$C$6,3,9),"N.D.")</f>
        <v>31% - 50%</v>
      </c>
      <c r="CK653" s="311">
        <f t="shared" si="293"/>
        <v>7.8164406283632074E-4</v>
      </c>
      <c r="CL653" s="10">
        <v>0</v>
      </c>
      <c r="CM653" s="255">
        <f t="shared" si="294"/>
        <v>0</v>
      </c>
      <c r="CN653" s="232">
        <f>IFERROR(VLOOKUP(CM653,'Rangos amb etnico'!$A$2:$C$6,3,9),"N.D.")</f>
        <v>0</v>
      </c>
      <c r="CO653" s="311">
        <f t="shared" si="295"/>
        <v>0</v>
      </c>
      <c r="CP653">
        <v>0.95946309691438669</v>
      </c>
      <c r="CQ653" t="s">
        <v>2864</v>
      </c>
      <c r="CR653">
        <f t="shared" si="286"/>
        <v>3</v>
      </c>
      <c r="CS653" t="str">
        <f t="shared" si="296"/>
        <v>Candidato</v>
      </c>
      <c r="CT653">
        <v>0</v>
      </c>
      <c r="CU653">
        <v>0</v>
      </c>
      <c r="CV653" s="25">
        <v>46.211769104003913</v>
      </c>
      <c r="CW653" s="25">
        <v>19.13657188415527</v>
      </c>
      <c r="CX653" s="25">
        <v>52.222187042236328</v>
      </c>
      <c r="CY653" s="25">
        <v>23.202890396118161</v>
      </c>
      <c r="CZ653" s="25">
        <v>35.142993927001953</v>
      </c>
      <c r="DA653" s="25">
        <v>90.235496520996094</v>
      </c>
      <c r="DB653" s="25">
        <v>57.330482482910163</v>
      </c>
      <c r="DC653">
        <v>8769</v>
      </c>
      <c r="DD653" s="253" t="s">
        <v>380</v>
      </c>
    </row>
    <row r="654" spans="1:108" hidden="1">
      <c r="A654" s="13">
        <v>25572</v>
      </c>
      <c r="B654" s="13" t="s">
        <v>1749</v>
      </c>
      <c r="C654" s="13" t="s">
        <v>461</v>
      </c>
      <c r="D654" s="13" t="s">
        <v>462</v>
      </c>
      <c r="E654" s="13" t="s">
        <v>1750</v>
      </c>
      <c r="F654" s="14">
        <v>68.329666666666697</v>
      </c>
      <c r="G654" s="13">
        <v>88.12</v>
      </c>
      <c r="H654" s="13">
        <v>61.07</v>
      </c>
      <c r="I654" s="13">
        <v>63.84</v>
      </c>
      <c r="J654" s="14">
        <v>60.395593116170161</v>
      </c>
      <c r="K654" s="14">
        <v>68.628799015667454</v>
      </c>
      <c r="L654" s="14">
        <v>35.597240396035041</v>
      </c>
      <c r="M654" s="14">
        <v>60.714199999999998</v>
      </c>
      <c r="N654" s="14">
        <f t="shared" si="270"/>
        <v>70.339916666666682</v>
      </c>
      <c r="O654" s="14">
        <f t="shared" si="271"/>
        <v>56.33395813196816</v>
      </c>
      <c r="P654" s="14">
        <f t="shared" si="287"/>
        <v>63.336937399317421</v>
      </c>
      <c r="Q654" s="14">
        <v>58.724584173350991</v>
      </c>
      <c r="R654" s="17">
        <f t="shared" si="272"/>
        <v>41.275415826649009</v>
      </c>
      <c r="S654" s="14">
        <f t="shared" si="288"/>
        <v>0.47147874243984111</v>
      </c>
      <c r="T654" s="13">
        <v>0</v>
      </c>
      <c r="U654" s="13">
        <f t="shared" si="289"/>
        <v>29.862019595021117</v>
      </c>
      <c r="V654" s="13">
        <f>IF($T654=1,$AU654,(VLOOKUP(U654,'Cortes naturales'!$A$35:$C$39,3,9)))</f>
        <v>3</v>
      </c>
      <c r="W654" s="13">
        <v>3</v>
      </c>
      <c r="X654" s="14" t="b">
        <f t="shared" si="273"/>
        <v>1</v>
      </c>
      <c r="Y654" s="17">
        <f>IF($T654=1,$AU654,VLOOKUP(U654,'Cortes naturales'!$A$45:$C$49,3,9))</f>
        <v>3</v>
      </c>
      <c r="Z654" s="14">
        <v>63.656991906969452</v>
      </c>
      <c r="AA654" s="14">
        <v>0.49354491753632335</v>
      </c>
      <c r="AB654" s="14">
        <v>31.417584821335641</v>
      </c>
      <c r="AC654" s="13">
        <v>3</v>
      </c>
      <c r="AD654" s="13">
        <f t="shared" si="274"/>
        <v>0</v>
      </c>
      <c r="AE654" s="14">
        <f t="shared" si="275"/>
        <v>-0.32005450765203136</v>
      </c>
      <c r="AF654" s="14">
        <f t="shared" si="276"/>
        <v>-2.2066175096482232E-2</v>
      </c>
      <c r="AG654" s="13">
        <f t="shared" si="277"/>
        <v>-1.5555652263145241</v>
      </c>
      <c r="AH654" s="13">
        <f>IF($T654=1,$AU654,VLOOKUP(U654,'Cortes naturales'!$A$25:$C$29,3,9))</f>
        <v>3</v>
      </c>
      <c r="AI654" s="13" t="b">
        <f t="shared" si="278"/>
        <v>1</v>
      </c>
      <c r="AJ654" s="13">
        <f t="shared" si="279"/>
        <v>0</v>
      </c>
      <c r="AK654" s="28">
        <v>0.81759069605862034</v>
      </c>
      <c r="AL654" s="28">
        <v>52.045364322217118</v>
      </c>
      <c r="AM654" s="28">
        <v>0.48040663484387669</v>
      </c>
      <c r="AN654" s="13">
        <v>2</v>
      </c>
      <c r="AO654" s="33">
        <f t="shared" si="280"/>
        <v>-1</v>
      </c>
      <c r="AP654" s="13">
        <f t="shared" si="290"/>
        <v>48.040663484387672</v>
      </c>
      <c r="AQ654" s="13">
        <f>IFERROR(VLOOKUP(U654,'Cortes naturales'!$E$15:$G$19,3,9),U654)</f>
        <v>4</v>
      </c>
      <c r="AR654" s="28">
        <f t="shared" si="281"/>
        <v>-0.34611195361877922</v>
      </c>
      <c r="AS654" s="13" t="b">
        <f t="shared" si="282"/>
        <v>0</v>
      </c>
      <c r="AT654" s="13" t="str">
        <f t="shared" si="291"/>
        <v>Cambio en corte</v>
      </c>
      <c r="AU654" s="13">
        <v>3</v>
      </c>
      <c r="AV654">
        <f t="shared" si="283"/>
        <v>0</v>
      </c>
      <c r="AW654" s="13">
        <v>0</v>
      </c>
      <c r="AX654" s="13">
        <v>0</v>
      </c>
      <c r="AY654" s="13">
        <v>0</v>
      </c>
      <c r="AZ654" s="13">
        <v>0</v>
      </c>
      <c r="BA654">
        <v>0</v>
      </c>
      <c r="BB654" t="s">
        <v>2840</v>
      </c>
      <c r="BC654">
        <v>6</v>
      </c>
      <c r="BD654" t="s">
        <v>2919</v>
      </c>
      <c r="BE654">
        <v>0</v>
      </c>
      <c r="BF654" s="232" t="s">
        <v>2846</v>
      </c>
      <c r="BG654" s="232" t="s">
        <v>2846</v>
      </c>
      <c r="BH654" s="253">
        <v>31</v>
      </c>
      <c r="BI654" s="253">
        <v>13.763528691035328</v>
      </c>
      <c r="BJ654" s="25">
        <v>6.3833333333333337</v>
      </c>
      <c r="BK654" t="s">
        <v>377</v>
      </c>
      <c r="BL654">
        <v>0.54931943583280274</v>
      </c>
      <c r="BM654" t="s">
        <v>383</v>
      </c>
      <c r="BN654" s="322">
        <v>41398.223676000001</v>
      </c>
      <c r="BO654" s="322">
        <v>17014.763809</v>
      </c>
      <c r="BP654" s="10">
        <v>15771</v>
      </c>
      <c r="BQ654" s="254">
        <f t="shared" si="284"/>
        <v>2.6249587011603577</v>
      </c>
      <c r="BR654" s="254">
        <f t="shared" si="285"/>
        <v>1.0788639787584808</v>
      </c>
      <c r="BS654" s="25">
        <v>61.122194767177596</v>
      </c>
      <c r="BT654" s="25">
        <v>81.38594549679793</v>
      </c>
      <c r="BU654" s="25">
        <v>30.417010915197299</v>
      </c>
      <c r="BV654" s="25">
        <v>90.35236110680745</v>
      </c>
      <c r="BW654" s="25">
        <v>82.721289594514516</v>
      </c>
      <c r="BX654" s="25">
        <v>65.819378071495066</v>
      </c>
      <c r="BY654" s="25">
        <v>83.927292668226258</v>
      </c>
      <c r="BZ654">
        <v>29</v>
      </c>
      <c r="CA654">
        <v>0</v>
      </c>
      <c r="CB654">
        <v>7</v>
      </c>
      <c r="CC654">
        <v>51525.272193999997</v>
      </c>
      <c r="CD654" s="10">
        <v>15374.839913</v>
      </c>
      <c r="CE654" s="255">
        <v>0.29839415219606286</v>
      </c>
      <c r="CF654" t="str">
        <f>IFERROR(VLOOKUP(CE654,'Rangos amb etnico'!$A$2:$C$6,3,9),"N.D.")</f>
        <v>0,1% - 30%</v>
      </c>
      <c r="CG654" s="256">
        <v>4.4731205106856361E-4</v>
      </c>
      <c r="CH654" s="232">
        <v>0</v>
      </c>
      <c r="CI654" s="311">
        <f t="shared" si="292"/>
        <v>0</v>
      </c>
      <c r="CJ654" s="232">
        <f>IFERROR(VLOOKUP(CI654,'Rangos amb etnico'!$A$2:$C$6,3,9),"N.D.")</f>
        <v>0</v>
      </c>
      <c r="CK654" s="311">
        <f t="shared" si="293"/>
        <v>0</v>
      </c>
      <c r="CL654" s="10">
        <v>0</v>
      </c>
      <c r="CM654" s="255">
        <f t="shared" si="294"/>
        <v>0</v>
      </c>
      <c r="CN654" s="232">
        <f>IFERROR(VLOOKUP(CM654,'Rangos amb etnico'!$A$2:$C$6,3,9),"N.D.")</f>
        <v>0</v>
      </c>
      <c r="CO654" s="311">
        <f t="shared" si="295"/>
        <v>0</v>
      </c>
      <c r="CP654">
        <v>0.96062662370881879</v>
      </c>
      <c r="CQ654" t="s">
        <v>2864</v>
      </c>
      <c r="CR654">
        <f t="shared" si="286"/>
        <v>4</v>
      </c>
      <c r="CS654" t="str">
        <f t="shared" si="296"/>
        <v>Candidato</v>
      </c>
      <c r="CT654">
        <v>0</v>
      </c>
      <c r="CU654">
        <v>0</v>
      </c>
      <c r="CV654" s="25">
        <v>44.819965362548828</v>
      </c>
      <c r="CW654" s="25">
        <v>28.66744422912598</v>
      </c>
      <c r="CX654" s="25">
        <v>48.840957641601563</v>
      </c>
      <c r="CY654" s="25">
        <v>60.226200103759773</v>
      </c>
      <c r="CZ654" s="25">
        <v>34.992771148681641</v>
      </c>
      <c r="DA654" s="25">
        <v>53.526027679443359</v>
      </c>
      <c r="DB654" s="25">
        <v>42.666400909423828</v>
      </c>
      <c r="DC654">
        <v>197</v>
      </c>
      <c r="DD654" s="253" t="s">
        <v>380</v>
      </c>
    </row>
    <row r="655" spans="1:108">
      <c r="A655" s="13">
        <v>5660</v>
      </c>
      <c r="B655" s="13" t="s">
        <v>1751</v>
      </c>
      <c r="C655" s="13" t="s">
        <v>435</v>
      </c>
      <c r="D655" s="13" t="s">
        <v>436</v>
      </c>
      <c r="E655" s="13" t="s">
        <v>1690</v>
      </c>
      <c r="F655" s="14">
        <v>57.367699999999999</v>
      </c>
      <c r="G655" s="13">
        <v>50.91</v>
      </c>
      <c r="H655" s="13">
        <v>49.06</v>
      </c>
      <c r="I655" s="13">
        <v>54.59</v>
      </c>
      <c r="J655" s="14">
        <v>48.094557786180644</v>
      </c>
      <c r="K655" s="14">
        <v>47.991879361318965</v>
      </c>
      <c r="L655" s="14">
        <v>62.605817993640663</v>
      </c>
      <c r="M655" s="14">
        <v>61.2149</v>
      </c>
      <c r="N655" s="14">
        <f t="shared" si="270"/>
        <v>52.981924999999997</v>
      </c>
      <c r="O655" s="14">
        <f t="shared" si="271"/>
        <v>54.976788785285066</v>
      </c>
      <c r="P655" s="14">
        <f t="shared" si="287"/>
        <v>53.979356892642528</v>
      </c>
      <c r="Q655" s="14">
        <v>58.183027857542534</v>
      </c>
      <c r="R655" s="17">
        <f t="shared" si="272"/>
        <v>41.816972142457466</v>
      </c>
      <c r="S655" s="14">
        <f t="shared" si="288"/>
        <v>0.47635274928211724</v>
      </c>
      <c r="T655" s="13">
        <v>0</v>
      </c>
      <c r="U655" s="13">
        <f t="shared" si="289"/>
        <v>25.713215060290874</v>
      </c>
      <c r="V655" s="13">
        <f>IF($T655=1,$AU655,(VLOOKUP(U655,'Cortes naturales'!$A$35:$C$39,3,9)))</f>
        <v>4</v>
      </c>
      <c r="W655" s="13">
        <v>4</v>
      </c>
      <c r="X655" s="14" t="b">
        <f t="shared" si="273"/>
        <v>1</v>
      </c>
      <c r="Y655" s="17">
        <f>IF($T655=1,$AU655,VLOOKUP(U655,'Cortes naturales'!$A$45:$C$49,3,9))</f>
        <v>4</v>
      </c>
      <c r="Z655" s="14">
        <v>52.914538760756955</v>
      </c>
      <c r="AA655" s="14">
        <v>0.4966085831860676</v>
      </c>
      <c r="AB655" s="14">
        <v>26.277814123923768</v>
      </c>
      <c r="AC655" s="13">
        <v>4</v>
      </c>
      <c r="AD655" s="13">
        <f t="shared" si="274"/>
        <v>0</v>
      </c>
      <c r="AE655" s="14">
        <f t="shared" si="275"/>
        <v>1.0648181318855734</v>
      </c>
      <c r="AF655" s="14">
        <f t="shared" si="276"/>
        <v>-2.025583390395036E-2</v>
      </c>
      <c r="AG655" s="13">
        <f t="shared" si="277"/>
        <v>-0.56459906363289392</v>
      </c>
      <c r="AH655" s="13">
        <f>IF($T655=1,$AU655,VLOOKUP(U655,'Cortes naturales'!$A$25:$C$29,3,9))</f>
        <v>4</v>
      </c>
      <c r="AI655" s="13" t="b">
        <f t="shared" si="278"/>
        <v>1</v>
      </c>
      <c r="AJ655" s="13">
        <f t="shared" si="279"/>
        <v>0</v>
      </c>
      <c r="AK655" s="28">
        <v>0.81759069605862034</v>
      </c>
      <c r="AL655" s="28">
        <v>43.262434577028124</v>
      </c>
      <c r="AM655" s="28">
        <v>0.37054144181217186</v>
      </c>
      <c r="AN655" s="13">
        <v>3</v>
      </c>
      <c r="AO655" s="33">
        <f t="shared" si="280"/>
        <v>-1</v>
      </c>
      <c r="AP655" s="13">
        <f t="shared" si="290"/>
        <v>37.054144181217183</v>
      </c>
      <c r="AQ655" s="13">
        <f>IFERROR(VLOOKUP(U655,'Cortes naturales'!$E$15:$G$19,3,9),U655)</f>
        <v>4</v>
      </c>
      <c r="AR655" s="28">
        <f t="shared" si="281"/>
        <v>-0.3412379467765031</v>
      </c>
      <c r="AS655" s="13" t="b">
        <f t="shared" si="282"/>
        <v>1</v>
      </c>
      <c r="AT655" s="13" t="str">
        <f t="shared" si="291"/>
        <v>Efecto ponderador</v>
      </c>
      <c r="AU655" s="13">
        <v>3</v>
      </c>
      <c r="AV655">
        <f t="shared" si="283"/>
        <v>-1</v>
      </c>
      <c r="AW655" s="13">
        <v>0</v>
      </c>
      <c r="AX655" s="13">
        <v>0</v>
      </c>
      <c r="AY655" s="13">
        <v>0</v>
      </c>
      <c r="AZ655" s="13">
        <v>0</v>
      </c>
      <c r="BA655">
        <v>1</v>
      </c>
      <c r="BB655" t="s">
        <v>2840</v>
      </c>
      <c r="BC655">
        <v>6</v>
      </c>
      <c r="BD655" t="s">
        <v>2919</v>
      </c>
      <c r="BE655">
        <v>1</v>
      </c>
      <c r="BF655" s="232" t="s">
        <v>2846</v>
      </c>
      <c r="BG655" s="232" t="s">
        <v>2845</v>
      </c>
      <c r="BH655" s="253">
        <v>32.4</v>
      </c>
      <c r="BI655" s="253">
        <v>12.992161455987025</v>
      </c>
      <c r="BJ655" s="25">
        <v>16.903259807120588</v>
      </c>
      <c r="BK655" t="s">
        <v>379</v>
      </c>
      <c r="BL655">
        <v>2.3524420187213044</v>
      </c>
      <c r="BM655" t="s">
        <v>383</v>
      </c>
      <c r="BN655" s="322">
        <v>31755.057088000001</v>
      </c>
      <c r="BO655" s="322">
        <v>3950.6239150000001</v>
      </c>
      <c r="BP655" s="10">
        <v>14242</v>
      </c>
      <c r="BQ655" s="254">
        <f t="shared" si="284"/>
        <v>2.2296768071900015</v>
      </c>
      <c r="BR655" s="254">
        <f t="shared" si="285"/>
        <v>0.27739249508496</v>
      </c>
      <c r="BS655" s="25">
        <v>72.515661256563689</v>
      </c>
      <c r="BT655" s="25">
        <v>94.531288892477662</v>
      </c>
      <c r="BU655" s="25">
        <v>51.75</v>
      </c>
      <c r="BV655" s="25">
        <v>89.227729393522964</v>
      </c>
      <c r="BW655" s="25">
        <v>64.710197305566524</v>
      </c>
      <c r="BX655" s="25">
        <v>77.006169885641071</v>
      </c>
      <c r="BY655" s="25">
        <v>66.104597247505382</v>
      </c>
      <c r="BZ655">
        <v>84</v>
      </c>
      <c r="CA655">
        <v>0</v>
      </c>
      <c r="CB655">
        <v>7</v>
      </c>
      <c r="CC655">
        <v>51837.978260000004</v>
      </c>
      <c r="CD655" s="10">
        <v>10996.919110999999</v>
      </c>
      <c r="CE655" s="255">
        <v>0.21214020068150702</v>
      </c>
      <c r="CF655" t="str">
        <f>IFERROR(VLOOKUP(CE655,'Rangos amb etnico'!$A$2:$C$6,3,9),"N.D.")</f>
        <v>0,1% - 30%</v>
      </c>
      <c r="CG655" s="256">
        <v>3.199418316425689E-4</v>
      </c>
      <c r="CH655" s="232">
        <v>0</v>
      </c>
      <c r="CI655" s="311">
        <f t="shared" si="292"/>
        <v>0</v>
      </c>
      <c r="CJ655" s="232">
        <f>IFERROR(VLOOKUP(CI655,'Rangos amb etnico'!$A$2:$C$6,3,9),"N.D.")</f>
        <v>0</v>
      </c>
      <c r="CK655" s="311">
        <f t="shared" si="293"/>
        <v>0</v>
      </c>
      <c r="CL655" s="10">
        <v>0</v>
      </c>
      <c r="CM655" s="255">
        <f t="shared" si="294"/>
        <v>0</v>
      </c>
      <c r="CN655" s="232">
        <f>IFERROR(VLOOKUP(CM655,'Rangos amb etnico'!$A$2:$C$6,3,9),"N.D.")</f>
        <v>0</v>
      </c>
      <c r="CO655" s="311">
        <f t="shared" si="295"/>
        <v>0</v>
      </c>
      <c r="CP655">
        <v>0.88932362085342609</v>
      </c>
      <c r="CQ655" t="s">
        <v>2864</v>
      </c>
      <c r="CR655">
        <f t="shared" si="286"/>
        <v>3</v>
      </c>
      <c r="CS655" t="str">
        <f t="shared" si="296"/>
        <v>Candidato</v>
      </c>
      <c r="CT655">
        <v>0</v>
      </c>
      <c r="CU655">
        <v>0</v>
      </c>
      <c r="CV655" s="25">
        <v>43.439071655273438</v>
      </c>
      <c r="CW655" s="25">
        <v>20.763345718383789</v>
      </c>
      <c r="CX655" s="25">
        <v>50.450557708740227</v>
      </c>
      <c r="CY655" s="25">
        <v>62.674674987792969</v>
      </c>
      <c r="CZ655" s="25">
        <v>26.909420013427731</v>
      </c>
      <c r="DA655" s="25">
        <v>48.338741302490227</v>
      </c>
      <c r="DB655" s="25">
        <v>51.497692108154297</v>
      </c>
      <c r="DC655">
        <v>462</v>
      </c>
      <c r="DD655" s="253" t="s">
        <v>380</v>
      </c>
    </row>
    <row r="656" spans="1:108" hidden="1">
      <c r="A656" s="13">
        <v>68689</v>
      </c>
      <c r="B656" s="13" t="s">
        <v>1752</v>
      </c>
      <c r="C656" s="13" t="s">
        <v>431</v>
      </c>
      <c r="D656" s="13" t="s">
        <v>432</v>
      </c>
      <c r="E656" s="13" t="s">
        <v>1753</v>
      </c>
      <c r="F656" s="14">
        <v>63.134066666666698</v>
      </c>
      <c r="G656" s="13">
        <v>64.7</v>
      </c>
      <c r="H656" s="13">
        <v>63.84</v>
      </c>
      <c r="I656" s="13">
        <v>45.65</v>
      </c>
      <c r="J656" s="14">
        <v>66.323915038301152</v>
      </c>
      <c r="K656" s="14">
        <v>55.736572105499071</v>
      </c>
      <c r="L656" s="14">
        <v>58.615675345537994</v>
      </c>
      <c r="M656" s="14">
        <v>50.1389</v>
      </c>
      <c r="N656" s="14">
        <f t="shared" si="270"/>
        <v>59.331016666666677</v>
      </c>
      <c r="O656" s="14">
        <f t="shared" si="271"/>
        <v>57.703765622334558</v>
      </c>
      <c r="P656" s="14">
        <f t="shared" si="287"/>
        <v>58.517391144500621</v>
      </c>
      <c r="Q656" s="14">
        <v>57.106195577188522</v>
      </c>
      <c r="R656" s="17">
        <f t="shared" si="272"/>
        <v>42.893804422811478</v>
      </c>
      <c r="S656" s="14">
        <f t="shared" si="288"/>
        <v>0.48604423980530331</v>
      </c>
      <c r="T656" s="13">
        <v>0</v>
      </c>
      <c r="U656" s="13">
        <f t="shared" si="289"/>
        <v>28.442040894218394</v>
      </c>
      <c r="V656" s="13">
        <f>IF($T656=1,$AU656,(VLOOKUP(U656,'Cortes naturales'!$A$35:$C$39,3,9)))</f>
        <v>4</v>
      </c>
      <c r="W656" s="13">
        <v>4</v>
      </c>
      <c r="X656" s="14" t="b">
        <f t="shared" si="273"/>
        <v>1</v>
      </c>
      <c r="Y656" s="17">
        <f>IF($T656=1,$AU656,VLOOKUP(U656,'Cortes naturales'!$A$45:$C$49,3,9))</f>
        <v>3</v>
      </c>
      <c r="Z656" s="14">
        <v>61.815858542840708</v>
      </c>
      <c r="AA656" s="14">
        <v>0.49423622010232815</v>
      </c>
      <c r="AB656" s="14">
        <v>30.551636268593803</v>
      </c>
      <c r="AC656" s="13">
        <v>3</v>
      </c>
      <c r="AD656" s="13">
        <f t="shared" si="274"/>
        <v>0</v>
      </c>
      <c r="AE656" s="14">
        <f t="shared" si="275"/>
        <v>-3.2984673983400867</v>
      </c>
      <c r="AF656" s="14">
        <f t="shared" si="276"/>
        <v>-8.1919802970248368E-3</v>
      </c>
      <c r="AG656" s="13">
        <f t="shared" si="277"/>
        <v>-2.1095953743754094</v>
      </c>
      <c r="AH656" s="13">
        <f>IF($T656=1,$AU656,VLOOKUP(U656,'Cortes naturales'!$A$25:$C$29,3,9))</f>
        <v>3</v>
      </c>
      <c r="AI656" s="13" t="b">
        <f t="shared" si="278"/>
        <v>1</v>
      </c>
      <c r="AJ656" s="13">
        <f t="shared" si="279"/>
        <v>0</v>
      </c>
      <c r="AK656" s="28">
        <v>0.81759069605862034</v>
      </c>
      <c r="AL656" s="28">
        <v>50.540070813502346</v>
      </c>
      <c r="AM656" s="28">
        <v>0.46157699977877664</v>
      </c>
      <c r="AN656" s="13">
        <v>3</v>
      </c>
      <c r="AO656" s="33">
        <f t="shared" si="280"/>
        <v>0</v>
      </c>
      <c r="AP656" s="13">
        <f t="shared" si="290"/>
        <v>46.157699977877662</v>
      </c>
      <c r="AQ656" s="13">
        <f>IFERROR(VLOOKUP(U656,'Cortes naturales'!$E$15:$G$19,3,9),U656)</f>
        <v>4</v>
      </c>
      <c r="AR656" s="28">
        <f t="shared" si="281"/>
        <v>-0.33154645625331702</v>
      </c>
      <c r="AS656" s="13" t="b">
        <f t="shared" si="282"/>
        <v>0</v>
      </c>
      <c r="AT656" s="13">
        <f t="shared" si="291"/>
        <v>0</v>
      </c>
      <c r="AU656" s="13">
        <v>3</v>
      </c>
      <c r="AV656">
        <f t="shared" si="283"/>
        <v>0</v>
      </c>
      <c r="AW656" s="13">
        <v>0</v>
      </c>
      <c r="AX656" s="13">
        <v>0</v>
      </c>
      <c r="AY656" s="13">
        <v>0</v>
      </c>
      <c r="AZ656" s="13">
        <v>0</v>
      </c>
      <c r="BA656">
        <v>0</v>
      </c>
      <c r="BB656" t="s">
        <v>2840</v>
      </c>
      <c r="BC656">
        <v>6</v>
      </c>
      <c r="BD656" t="s">
        <v>2919</v>
      </c>
      <c r="BE656">
        <v>0</v>
      </c>
      <c r="BF656" s="232" t="s">
        <v>2846</v>
      </c>
      <c r="BG656" s="232" t="s">
        <v>2846</v>
      </c>
      <c r="BH656" s="253">
        <v>34.9</v>
      </c>
      <c r="BI656" s="253">
        <v>22.176634214186372</v>
      </c>
      <c r="BJ656" s="25">
        <v>29.692802891232621</v>
      </c>
      <c r="BK656" t="s">
        <v>379</v>
      </c>
      <c r="BL656">
        <v>1.6724097913896345</v>
      </c>
      <c r="BM656" t="s">
        <v>383</v>
      </c>
      <c r="BN656" s="322">
        <v>60579.349762999998</v>
      </c>
      <c r="BO656" s="322">
        <v>13256.843456000001</v>
      </c>
      <c r="BP656" s="10">
        <v>35766</v>
      </c>
      <c r="BQ656" s="254">
        <f t="shared" si="284"/>
        <v>1.6937692155398982</v>
      </c>
      <c r="BR656" s="254">
        <f t="shared" si="285"/>
        <v>0.37065490846054916</v>
      </c>
      <c r="BS656" s="25">
        <v>62.643988054992107</v>
      </c>
      <c r="BT656" s="25">
        <v>85.32796621763687</v>
      </c>
      <c r="BU656" s="25">
        <v>47.957038644348003</v>
      </c>
      <c r="BV656" s="25">
        <v>94.394895457017469</v>
      </c>
      <c r="BW656" s="25">
        <v>59.280272031324238</v>
      </c>
      <c r="BX656" s="25">
        <v>72.580972093498616</v>
      </c>
      <c r="BY656" s="25">
        <v>60.440354317253593</v>
      </c>
      <c r="BZ656">
        <v>95</v>
      </c>
      <c r="CA656">
        <v>0</v>
      </c>
      <c r="CB656">
        <v>6</v>
      </c>
      <c r="CC656">
        <v>111468.35960700001</v>
      </c>
      <c r="CD656" s="10">
        <v>85829.785938000001</v>
      </c>
      <c r="CE656" s="255">
        <v>0.7699923659108916</v>
      </c>
      <c r="CF656" t="str">
        <f>IFERROR(VLOOKUP(CE656,'Rangos amb etnico'!$A$2:$C$6,3,9),"N.D.")</f>
        <v>71% - 100%</v>
      </c>
      <c r="CG656" s="256">
        <v>2.4971120224959275E-3</v>
      </c>
      <c r="CH656" s="232">
        <v>0</v>
      </c>
      <c r="CI656" s="311">
        <f t="shared" si="292"/>
        <v>0</v>
      </c>
      <c r="CJ656" s="232">
        <f>IFERROR(VLOOKUP(CI656,'Rangos amb etnico'!$A$2:$C$6,3,9),"N.D.")</f>
        <v>0</v>
      </c>
      <c r="CK656" s="311">
        <f t="shared" si="293"/>
        <v>0</v>
      </c>
      <c r="CL656" s="10">
        <v>0</v>
      </c>
      <c r="CM656" s="255">
        <f t="shared" si="294"/>
        <v>0</v>
      </c>
      <c r="CN656" s="232">
        <f>IFERROR(VLOOKUP(CM656,'Rangos amb etnico'!$A$2:$C$6,3,9),"N.D.")</f>
        <v>0</v>
      </c>
      <c r="CO656" s="311">
        <f t="shared" si="295"/>
        <v>0</v>
      </c>
      <c r="CP656">
        <v>0.96024223986344093</v>
      </c>
      <c r="CQ656" t="s">
        <v>2864</v>
      </c>
      <c r="CR656">
        <f t="shared" si="286"/>
        <v>2</v>
      </c>
      <c r="CS656" t="str">
        <f t="shared" si="296"/>
        <v>No es Candidato</v>
      </c>
      <c r="CT656">
        <v>0</v>
      </c>
      <c r="CU656">
        <v>0</v>
      </c>
      <c r="CV656" s="25">
        <v>50.825996398925781</v>
      </c>
      <c r="CW656" s="25">
        <v>32.119449615478523</v>
      </c>
      <c r="CX656" s="25">
        <v>59.720390319824219</v>
      </c>
      <c r="CY656" s="25">
        <v>64.151641845703125</v>
      </c>
      <c r="CZ656" s="25">
        <v>52.605403900146477</v>
      </c>
      <c r="DA656" s="25">
        <v>62.428287506103523</v>
      </c>
      <c r="DB656" s="25">
        <v>33.930816650390618</v>
      </c>
      <c r="DC656">
        <v>317</v>
      </c>
      <c r="DD656" s="253" t="s">
        <v>380</v>
      </c>
    </row>
    <row r="657" spans="1:108" hidden="1">
      <c r="A657" s="13">
        <v>86757</v>
      </c>
      <c r="B657" s="13" t="s">
        <v>1754</v>
      </c>
      <c r="C657" s="13" t="s">
        <v>943</v>
      </c>
      <c r="D657" s="13" t="s">
        <v>944</v>
      </c>
      <c r="E657" s="13" t="s">
        <v>1755</v>
      </c>
      <c r="F657" s="14">
        <v>46.623633333333302</v>
      </c>
      <c r="G657" s="13">
        <v>48.65</v>
      </c>
      <c r="H657" s="13">
        <v>51.21</v>
      </c>
      <c r="I657" s="13">
        <v>46.37</v>
      </c>
      <c r="J657" s="14">
        <v>54.882885386138533</v>
      </c>
      <c r="K657" s="14">
        <v>62.931213170237612</v>
      </c>
      <c r="L657" s="14">
        <v>63.671317374275276</v>
      </c>
      <c r="M657" s="14">
        <v>59.328400000000002</v>
      </c>
      <c r="N657" s="14">
        <f t="shared" si="270"/>
        <v>48.213408333333327</v>
      </c>
      <c r="O657" s="14">
        <f t="shared" si="271"/>
        <v>60.20345398266285</v>
      </c>
      <c r="P657" s="14">
        <f t="shared" si="287"/>
        <v>54.208431157998092</v>
      </c>
      <c r="Q657" s="14">
        <v>57.619451725796026</v>
      </c>
      <c r="R657" s="17">
        <f t="shared" si="272"/>
        <v>42.380548274203974</v>
      </c>
      <c r="S657" s="14">
        <f t="shared" si="288"/>
        <v>0.48142493446783574</v>
      </c>
      <c r="T657" s="13">
        <v>0</v>
      </c>
      <c r="U657" s="13">
        <f t="shared" si="289"/>
        <v>26.097290417843418</v>
      </c>
      <c r="V657" s="13">
        <f>IF($T657=1,$AU657,(VLOOKUP(U657,'Cortes naturales'!$A$35:$C$39,3,9)))</f>
        <v>4</v>
      </c>
      <c r="W657" s="13">
        <v>4</v>
      </c>
      <c r="X657" s="14" t="b">
        <f t="shared" si="273"/>
        <v>1</v>
      </c>
      <c r="Y657" s="17">
        <f>IF($T657=1,$AU657,VLOOKUP(U657,'Cortes naturales'!$A$45:$C$49,3,9))</f>
        <v>4</v>
      </c>
      <c r="Z657" s="14">
        <v>52.888553540303171</v>
      </c>
      <c r="AA657" s="14">
        <v>0.49292207452434378</v>
      </c>
      <c r="AB657" s="14">
        <v>26.069935529678066</v>
      </c>
      <c r="AC657" s="13">
        <v>4</v>
      </c>
      <c r="AD657" s="13">
        <f t="shared" si="274"/>
        <v>0</v>
      </c>
      <c r="AE657" s="14">
        <f t="shared" si="275"/>
        <v>1.319877617694921</v>
      </c>
      <c r="AF657" s="14">
        <f t="shared" si="276"/>
        <v>-1.1497140056508037E-2</v>
      </c>
      <c r="AG657" s="13">
        <f t="shared" si="277"/>
        <v>2.7354888165351809E-2</v>
      </c>
      <c r="AH657" s="13">
        <f>IF($T657=1,$AU657,VLOOKUP(U657,'Cortes naturales'!$A$25:$C$29,3,9))</f>
        <v>4</v>
      </c>
      <c r="AI657" s="13" t="b">
        <f t="shared" si="278"/>
        <v>1</v>
      </c>
      <c r="AJ657" s="13">
        <f t="shared" si="279"/>
        <v>0</v>
      </c>
      <c r="AK657" s="28">
        <v>0.81759069605862034</v>
      </c>
      <c r="AL657" s="28">
        <v>43.241189302550076</v>
      </c>
      <c r="AM657" s="28">
        <v>0.37027568582308168</v>
      </c>
      <c r="AN657" s="13">
        <v>3</v>
      </c>
      <c r="AO657" s="33">
        <f t="shared" si="280"/>
        <v>-1</v>
      </c>
      <c r="AP657" s="13">
        <f t="shared" si="290"/>
        <v>37.02756858230817</v>
      </c>
      <c r="AQ657" s="13">
        <f>IFERROR(VLOOKUP(U657,'Cortes naturales'!$E$15:$G$19,3,9),U657)</f>
        <v>4</v>
      </c>
      <c r="AR657" s="28">
        <f t="shared" si="281"/>
        <v>-0.3361657615907846</v>
      </c>
      <c r="AS657" s="13" t="b">
        <f t="shared" si="282"/>
        <v>1</v>
      </c>
      <c r="AT657" s="13" t="str">
        <f t="shared" si="291"/>
        <v>Efecto ponderador</v>
      </c>
      <c r="AU657" s="13">
        <v>3</v>
      </c>
      <c r="AV657">
        <f t="shared" si="283"/>
        <v>-1</v>
      </c>
      <c r="AW657" s="13">
        <v>0</v>
      </c>
      <c r="AX657" s="13">
        <v>0</v>
      </c>
      <c r="AY657" s="13">
        <v>0</v>
      </c>
      <c r="AZ657" s="13">
        <v>1</v>
      </c>
      <c r="BA657">
        <v>1</v>
      </c>
      <c r="BB657" t="s">
        <v>2840</v>
      </c>
      <c r="BC657">
        <v>6</v>
      </c>
      <c r="BD657" t="s">
        <v>2919</v>
      </c>
      <c r="BE657">
        <v>0</v>
      </c>
      <c r="BF657" s="232" t="s">
        <v>2846</v>
      </c>
      <c r="BG657" s="232" t="s">
        <v>2846</v>
      </c>
      <c r="BH657" s="253">
        <v>48.5</v>
      </c>
      <c r="BI657" s="253">
        <v>23.023807811263755</v>
      </c>
      <c r="BJ657" s="25">
        <v>0</v>
      </c>
      <c r="BK657" t="s">
        <v>381</v>
      </c>
      <c r="BL657">
        <v>21.923750109102173</v>
      </c>
      <c r="BM657" t="s">
        <v>376</v>
      </c>
      <c r="BN657" s="322">
        <v>71665.570141000004</v>
      </c>
      <c r="BO657" s="322">
        <v>4220.5699619999996</v>
      </c>
      <c r="BP657" s="10">
        <v>19566</v>
      </c>
      <c r="BQ657" s="254">
        <f t="shared" si="284"/>
        <v>3.662760407901462</v>
      </c>
      <c r="BR657" s="254">
        <f t="shared" si="285"/>
        <v>0.21570939190432381</v>
      </c>
      <c r="BS657" s="25">
        <v>63.534612238048283</v>
      </c>
      <c r="BT657" s="25">
        <v>96.296296666666663</v>
      </c>
      <c r="BU657" s="25">
        <v>30.78394315146889</v>
      </c>
      <c r="BV657" s="25">
        <v>93.284164613199223</v>
      </c>
      <c r="BW657" s="25">
        <v>42.468833405056387</v>
      </c>
      <c r="BX657" s="25">
        <v>70.974754167345765</v>
      </c>
      <c r="BY657" s="25">
        <v>43.254466040558157</v>
      </c>
      <c r="BZ657">
        <v>11</v>
      </c>
      <c r="CA657">
        <v>0</v>
      </c>
      <c r="CB657">
        <v>7</v>
      </c>
      <c r="CC657">
        <v>37364.269954000003</v>
      </c>
      <c r="CD657" s="10">
        <v>1885.5675369999999</v>
      </c>
      <c r="CE657" s="255">
        <v>5.0464455462969425E-2</v>
      </c>
      <c r="CF657" t="str">
        <f>IFERROR(VLOOKUP(CE657,'Rangos amb etnico'!$A$2:$C$6,3,9),"N.D.")</f>
        <v>0,1% - 30%</v>
      </c>
      <c r="CG657" s="256">
        <v>5.4858267609707739E-5</v>
      </c>
      <c r="CH657" s="232">
        <v>8096.8764030000002</v>
      </c>
      <c r="CI657" s="311">
        <f t="shared" si="292"/>
        <v>0.21670104656047737</v>
      </c>
      <c r="CJ657" s="232" t="str">
        <f>IFERROR(VLOOKUP(CI657,'Rangos amb etnico'!$A$2:$C$6,3,9),"N.D.")</f>
        <v>0,1% - 30%</v>
      </c>
      <c r="CK657" s="311">
        <f t="shared" si="293"/>
        <v>3.2149900507219526E-4</v>
      </c>
      <c r="CL657" s="10">
        <v>247.16670920300001</v>
      </c>
      <c r="CM657" s="255">
        <f t="shared" si="294"/>
        <v>6.6150552254143468E-3</v>
      </c>
      <c r="CN657" s="232" t="str">
        <f>IFERROR(VLOOKUP(CM657,'Rangos amb etnico'!$A$2:$C$6,3,9),"N.D.")</f>
        <v>0,1% - 30%</v>
      </c>
      <c r="CO657" s="311">
        <f t="shared" si="295"/>
        <v>1.5499996019664847E-4</v>
      </c>
      <c r="CP657">
        <v>0.97773557047864168</v>
      </c>
      <c r="CQ657" t="s">
        <v>2864</v>
      </c>
      <c r="CR657">
        <f t="shared" si="286"/>
        <v>1</v>
      </c>
      <c r="CS657" t="str">
        <f t="shared" si="296"/>
        <v>No es Candidato</v>
      </c>
      <c r="CT657">
        <v>1</v>
      </c>
      <c r="CU657" t="s">
        <v>2836</v>
      </c>
      <c r="CV657" s="25">
        <v>37.856555938720703</v>
      </c>
      <c r="CW657" s="25">
        <v>20.8269157409668</v>
      </c>
      <c r="CX657" s="25">
        <v>26.140727996826168</v>
      </c>
      <c r="CY657" s="25">
        <v>62.855373382568359</v>
      </c>
      <c r="CZ657" s="25">
        <v>10.828691482543951</v>
      </c>
      <c r="DA657" s="25">
        <v>55.429798126220703</v>
      </c>
      <c r="DB657" s="25">
        <v>51.057819366455078</v>
      </c>
      <c r="DC657">
        <v>5015</v>
      </c>
      <c r="DD657" s="253" t="s">
        <v>380</v>
      </c>
    </row>
    <row r="658" spans="1:108">
      <c r="A658" s="13">
        <v>5628</v>
      </c>
      <c r="B658" s="13" t="s">
        <v>1756</v>
      </c>
      <c r="C658" s="13" t="s">
        <v>435</v>
      </c>
      <c r="D658" s="13" t="s">
        <v>436</v>
      </c>
      <c r="E658" s="13" t="s">
        <v>634</v>
      </c>
      <c r="F658" s="14">
        <v>61.9217333333333</v>
      </c>
      <c r="G658" s="13">
        <v>59.74</v>
      </c>
      <c r="H658" s="13">
        <v>28.18</v>
      </c>
      <c r="I658" s="13">
        <v>59.48</v>
      </c>
      <c r="J658" s="14">
        <v>55.65555811473272</v>
      </c>
      <c r="K658" s="14">
        <v>40.270135941345885</v>
      </c>
      <c r="L658" s="14">
        <v>47.407903874876219</v>
      </c>
      <c r="M658" s="14">
        <v>40.014200000000002</v>
      </c>
      <c r="N658" s="14">
        <f t="shared" si="270"/>
        <v>52.330433333333325</v>
      </c>
      <c r="O658" s="14">
        <f t="shared" si="271"/>
        <v>45.836949482738703</v>
      </c>
      <c r="P658" s="14">
        <f t="shared" si="287"/>
        <v>49.083691408036017</v>
      </c>
      <c r="Q658" s="14">
        <v>56.753784967639994</v>
      </c>
      <c r="R658" s="17">
        <f t="shared" si="272"/>
        <v>43.246215032360006</v>
      </c>
      <c r="S658" s="14">
        <f t="shared" si="288"/>
        <v>0.48921593529124008</v>
      </c>
      <c r="T658" s="13">
        <v>0</v>
      </c>
      <c r="U658" s="13">
        <f t="shared" si="289"/>
        <v>24.012523999728945</v>
      </c>
      <c r="V658" s="13">
        <f>IF($T658=1,$AU658,(VLOOKUP(U658,'Cortes naturales'!$A$35:$C$39,3,9)))</f>
        <v>4</v>
      </c>
      <c r="W658" s="13">
        <v>4</v>
      </c>
      <c r="X658" s="14" t="b">
        <f t="shared" si="273"/>
        <v>1</v>
      </c>
      <c r="Y658" s="17">
        <f>IF($T658=1,$AU658,VLOOKUP(U658,'Cortes naturales'!$A$45:$C$49,3,9))</f>
        <v>4</v>
      </c>
      <c r="Z658" s="14">
        <v>51.303577873292603</v>
      </c>
      <c r="AA658" s="14">
        <v>0.49206732111855411</v>
      </c>
      <c r="AB658" s="14">
        <v>25.244814127908217</v>
      </c>
      <c r="AC658" s="13">
        <v>4</v>
      </c>
      <c r="AD658" s="13">
        <f t="shared" si="274"/>
        <v>0</v>
      </c>
      <c r="AE658" s="14">
        <f t="shared" si="275"/>
        <v>-2.219886465256586</v>
      </c>
      <c r="AF658" s="14">
        <f t="shared" si="276"/>
        <v>-2.8513858273140347E-3</v>
      </c>
      <c r="AG658" s="13">
        <f t="shared" si="277"/>
        <v>-1.2322901281792724</v>
      </c>
      <c r="AH658" s="13">
        <f>IF($T658=1,$AU658,VLOOKUP(U658,'Cortes naturales'!$A$25:$C$29,3,9))</f>
        <v>4</v>
      </c>
      <c r="AI658" s="13" t="b">
        <f t="shared" si="278"/>
        <v>1</v>
      </c>
      <c r="AJ658" s="13">
        <f t="shared" si="279"/>
        <v>0</v>
      </c>
      <c r="AK658" s="28">
        <v>0.81759069605862034</v>
      </c>
      <c r="AL658" s="28">
        <v>41.94532794372293</v>
      </c>
      <c r="AM658" s="28">
        <v>0.35406582619078097</v>
      </c>
      <c r="AN658" s="13">
        <v>3</v>
      </c>
      <c r="AO658" s="33">
        <f t="shared" si="280"/>
        <v>-1</v>
      </c>
      <c r="AP658" s="13">
        <f t="shared" si="290"/>
        <v>35.406582619078094</v>
      </c>
      <c r="AQ658" s="13">
        <f>IFERROR(VLOOKUP(U658,'Cortes naturales'!$E$15:$G$19,3,9),U658)</f>
        <v>4</v>
      </c>
      <c r="AR658" s="28">
        <f t="shared" si="281"/>
        <v>-0.32837476076738026</v>
      </c>
      <c r="AS658" s="13" t="b">
        <f t="shared" si="282"/>
        <v>1</v>
      </c>
      <c r="AT658" s="13" t="str">
        <f t="shared" si="291"/>
        <v>Efecto ponderador</v>
      </c>
      <c r="AU658" s="13">
        <v>3</v>
      </c>
      <c r="AV658">
        <f t="shared" si="283"/>
        <v>-1</v>
      </c>
      <c r="AW658" s="13">
        <v>0</v>
      </c>
      <c r="AX658" s="13">
        <v>0</v>
      </c>
      <c r="AY658" s="13">
        <v>0</v>
      </c>
      <c r="AZ658" s="13">
        <v>0</v>
      </c>
      <c r="BA658">
        <v>0</v>
      </c>
      <c r="BB658" t="s">
        <v>2840</v>
      </c>
      <c r="BC658">
        <v>6</v>
      </c>
      <c r="BD658" t="s">
        <v>2919</v>
      </c>
      <c r="BE658">
        <v>1</v>
      </c>
      <c r="BF658" s="232" t="s">
        <v>2846</v>
      </c>
      <c r="BG658" s="232" t="s">
        <v>2845</v>
      </c>
      <c r="BH658" s="253">
        <v>52.8</v>
      </c>
      <c r="BI658" s="253">
        <v>27.569435556124407</v>
      </c>
      <c r="BJ658" s="25">
        <v>3.133142857142857</v>
      </c>
      <c r="BK658" t="s">
        <v>381</v>
      </c>
      <c r="BL658">
        <v>10.559214619976508</v>
      </c>
      <c r="BM658" t="s">
        <v>379</v>
      </c>
      <c r="BN658" s="322">
        <v>34748.044213000001</v>
      </c>
      <c r="BO658" s="322">
        <v>2534.2344889999999</v>
      </c>
      <c r="BP658" s="10">
        <v>9827</v>
      </c>
      <c r="BQ658" s="254">
        <f t="shared" si="284"/>
        <v>3.5359768202910349</v>
      </c>
      <c r="BR658" s="254">
        <f t="shared" si="285"/>
        <v>0.25788485692479901</v>
      </c>
      <c r="BS658" s="25">
        <v>52.251125833052683</v>
      </c>
      <c r="BT658" s="25">
        <v>92.159497096774189</v>
      </c>
      <c r="BU658" s="25">
        <v>48.314999999999998</v>
      </c>
      <c r="BV658" s="25">
        <v>87.954936673700743</v>
      </c>
      <c r="BW658" s="25">
        <v>55.863059559171802</v>
      </c>
      <c r="BX658" s="25">
        <v>70.170139900881907</v>
      </c>
      <c r="BY658" s="25">
        <v>56.052342833720452</v>
      </c>
      <c r="BZ658">
        <v>99</v>
      </c>
      <c r="CA658">
        <v>0</v>
      </c>
      <c r="CB658">
        <v>7</v>
      </c>
      <c r="CC658">
        <v>26572.701215000001</v>
      </c>
      <c r="CD658" s="10">
        <v>12491.964822</v>
      </c>
      <c r="CE658" s="255">
        <v>0.47010519257817951</v>
      </c>
      <c r="CF658" t="str">
        <f>IFERROR(VLOOKUP(CE658,'Rangos amb etnico'!$A$2:$C$6,3,9),"N.D.")</f>
        <v>31% - 50%</v>
      </c>
      <c r="CG658" s="256">
        <v>3.6343834719738873E-4</v>
      </c>
      <c r="CH658" s="232">
        <v>0</v>
      </c>
      <c r="CI658" s="311">
        <f t="shared" si="292"/>
        <v>0</v>
      </c>
      <c r="CJ658" s="232">
        <f>IFERROR(VLOOKUP(CI658,'Rangos amb etnico'!$A$2:$C$6,3,9),"N.D.")</f>
        <v>0</v>
      </c>
      <c r="CK658" s="311">
        <f t="shared" si="293"/>
        <v>0</v>
      </c>
      <c r="CL658" s="10">
        <v>0</v>
      </c>
      <c r="CM658" s="255">
        <f t="shared" si="294"/>
        <v>0</v>
      </c>
      <c r="CN658" s="232">
        <f>IFERROR(VLOOKUP(CM658,'Rangos amb etnico'!$A$2:$C$6,3,9),"N.D.")</f>
        <v>0</v>
      </c>
      <c r="CO658" s="311">
        <f t="shared" si="295"/>
        <v>0</v>
      </c>
      <c r="CP658">
        <v>0.93583448546957237</v>
      </c>
      <c r="CQ658" t="s">
        <v>2864</v>
      </c>
      <c r="CR658">
        <f t="shared" si="286"/>
        <v>1</v>
      </c>
      <c r="CS658" t="str">
        <f t="shared" si="296"/>
        <v>No es Candidato</v>
      </c>
      <c r="CT658">
        <v>0</v>
      </c>
      <c r="CU658">
        <v>0</v>
      </c>
      <c r="CV658" s="25">
        <v>43.708732604980469</v>
      </c>
      <c r="CW658" s="25">
        <v>11.78963088989258</v>
      </c>
      <c r="CX658" s="25">
        <v>46.929939270019531</v>
      </c>
      <c r="CY658" s="25">
        <v>52.378524780273438</v>
      </c>
      <c r="CZ658" s="25">
        <v>30.607522964477539</v>
      </c>
      <c r="DA658" s="25">
        <v>64.017463684082031</v>
      </c>
      <c r="DB658" s="25">
        <v>56.529304504394531</v>
      </c>
      <c r="DC658">
        <v>228</v>
      </c>
      <c r="DD658" s="253" t="s">
        <v>380</v>
      </c>
    </row>
    <row r="659" spans="1:108" hidden="1">
      <c r="A659" s="13">
        <v>25297</v>
      </c>
      <c r="B659" s="13" t="s">
        <v>1757</v>
      </c>
      <c r="C659" s="13" t="s">
        <v>461</v>
      </c>
      <c r="D659" s="13" t="s">
        <v>462</v>
      </c>
      <c r="E659" s="13" t="s">
        <v>1758</v>
      </c>
      <c r="F659" s="14">
        <v>67.554566666666702</v>
      </c>
      <c r="G659" s="13">
        <v>84.67</v>
      </c>
      <c r="H659" s="13">
        <v>79.61</v>
      </c>
      <c r="I659" s="13">
        <v>90.97</v>
      </c>
      <c r="J659" s="14">
        <v>53.12298988540627</v>
      </c>
      <c r="K659" s="14">
        <v>51.250639318805248</v>
      </c>
      <c r="L659" s="14">
        <v>54.444512968839476</v>
      </c>
      <c r="M659" s="14">
        <v>55.955399999999997</v>
      </c>
      <c r="N659" s="14">
        <f t="shared" si="270"/>
        <v>80.701141666666672</v>
      </c>
      <c r="O659" s="14">
        <f t="shared" si="271"/>
        <v>53.69338554326275</v>
      </c>
      <c r="P659" s="14">
        <f t="shared" si="287"/>
        <v>67.197263604964718</v>
      </c>
      <c r="Q659" s="14">
        <v>58.152418304658141</v>
      </c>
      <c r="R659" s="17">
        <f t="shared" si="272"/>
        <v>41.847581695341859</v>
      </c>
      <c r="S659" s="14">
        <f t="shared" si="288"/>
        <v>0.47662823525807674</v>
      </c>
      <c r="T659" s="13">
        <v>0</v>
      </c>
      <c r="U659" s="13">
        <f t="shared" si="289"/>
        <v>32.028113166206118</v>
      </c>
      <c r="V659" s="13">
        <f>IF($T659=1,$AU659,(VLOOKUP(U659,'Cortes naturales'!$A$35:$C$39,3,9)))</f>
        <v>3</v>
      </c>
      <c r="W659" s="13">
        <v>3</v>
      </c>
      <c r="X659" s="14" t="b">
        <f t="shared" si="273"/>
        <v>1</v>
      </c>
      <c r="Y659" s="17">
        <f>IF($T659=1,$AU659,VLOOKUP(U659,'Cortes naturales'!$A$45:$C$49,3,9))</f>
        <v>3</v>
      </c>
      <c r="Z659" s="14">
        <v>64.201244514041292</v>
      </c>
      <c r="AA659" s="14">
        <v>0.49168659648669577</v>
      </c>
      <c r="AB659" s="14">
        <v>31.566891405319112</v>
      </c>
      <c r="AC659" s="13">
        <v>3</v>
      </c>
      <c r="AD659" s="13">
        <f t="shared" si="274"/>
        <v>0</v>
      </c>
      <c r="AE659" s="14">
        <f t="shared" si="275"/>
        <v>2.9960190909234257</v>
      </c>
      <c r="AF659" s="14">
        <f t="shared" si="276"/>
        <v>-1.5058361228619033E-2</v>
      </c>
      <c r="AG659" s="13">
        <f t="shared" si="277"/>
        <v>0.46122176088700684</v>
      </c>
      <c r="AH659" s="13">
        <f>IF($T659=1,$AU659,VLOOKUP(U659,'Cortes naturales'!$A$25:$C$29,3,9))</f>
        <v>3</v>
      </c>
      <c r="AI659" s="13" t="b">
        <f t="shared" si="278"/>
        <v>1</v>
      </c>
      <c r="AJ659" s="13">
        <f t="shared" si="279"/>
        <v>0</v>
      </c>
      <c r="AK659" s="28">
        <v>0.81759069605862034</v>
      </c>
      <c r="AL659" s="28">
        <v>52.4903401900647</v>
      </c>
      <c r="AM659" s="28">
        <v>0.48597281390187314</v>
      </c>
      <c r="AN659" s="13">
        <v>2</v>
      </c>
      <c r="AO659" s="33">
        <f t="shared" si="280"/>
        <v>-1</v>
      </c>
      <c r="AP659" s="13">
        <f t="shared" si="290"/>
        <v>48.597281390187312</v>
      </c>
      <c r="AQ659" s="13">
        <f>IFERROR(VLOOKUP(U659,'Cortes naturales'!$E$15:$G$19,3,9),U659)</f>
        <v>4</v>
      </c>
      <c r="AR659" s="28">
        <f t="shared" si="281"/>
        <v>-0.3409624608005436</v>
      </c>
      <c r="AS659" s="13" t="b">
        <f t="shared" si="282"/>
        <v>0</v>
      </c>
      <c r="AT659" s="13" t="str">
        <f t="shared" si="291"/>
        <v>Cambio en corte</v>
      </c>
      <c r="AU659" s="13">
        <v>3</v>
      </c>
      <c r="AV659">
        <f t="shared" si="283"/>
        <v>0</v>
      </c>
      <c r="AW659" s="13">
        <v>0</v>
      </c>
      <c r="AX659" s="13">
        <v>0</v>
      </c>
      <c r="AY659" s="13">
        <v>0</v>
      </c>
      <c r="AZ659" s="13">
        <v>0</v>
      </c>
      <c r="BA659">
        <v>0</v>
      </c>
      <c r="BB659" t="s">
        <v>2840</v>
      </c>
      <c r="BC659">
        <v>6</v>
      </c>
      <c r="BD659" t="s">
        <v>2919</v>
      </c>
      <c r="BE659">
        <v>0</v>
      </c>
      <c r="BF659" s="232" t="s">
        <v>2846</v>
      </c>
      <c r="BG659" s="232" t="s">
        <v>2846</v>
      </c>
      <c r="BH659" s="253">
        <v>43.2</v>
      </c>
      <c r="BI659" s="253">
        <v>15.995040297582145</v>
      </c>
      <c r="BJ659" s="25">
        <v>5.0424999999999995</v>
      </c>
      <c r="BK659" t="s">
        <v>377</v>
      </c>
      <c r="BL659">
        <v>0</v>
      </c>
      <c r="BM659" t="s">
        <v>377</v>
      </c>
      <c r="BN659" s="322">
        <v>27281.867985000001</v>
      </c>
      <c r="BO659" s="322">
        <v>3284.8910810000002</v>
      </c>
      <c r="BP659" s="10">
        <v>8619</v>
      </c>
      <c r="BQ659" s="254">
        <f t="shared" si="284"/>
        <v>3.1653170884093282</v>
      </c>
      <c r="BR659" s="254">
        <f t="shared" si="285"/>
        <v>0.38112206532080289</v>
      </c>
      <c r="BS659" s="25">
        <v>60.148309915193032</v>
      </c>
      <c r="BT659" s="25">
        <v>96.096709612484048</v>
      </c>
      <c r="BU659" s="25">
        <v>30.54619117888177</v>
      </c>
      <c r="BV659" s="25">
        <v>87.818359211338603</v>
      </c>
      <c r="BW659" s="25">
        <v>31.21224119459503</v>
      </c>
      <c r="BX659" s="25">
        <v>68.652392479474358</v>
      </c>
      <c r="BY659" s="25">
        <v>33.170513600791537</v>
      </c>
      <c r="BZ659">
        <v>87</v>
      </c>
      <c r="CA659">
        <v>0</v>
      </c>
      <c r="CB659">
        <v>6</v>
      </c>
      <c r="CC659">
        <v>25850.579107000001</v>
      </c>
      <c r="CD659" s="10">
        <v>14090.429122</v>
      </c>
      <c r="CE659" s="255">
        <v>0.54507208769588045</v>
      </c>
      <c r="CF659" t="str">
        <f>IFERROR(VLOOKUP(CE659,'Rangos amb etnico'!$A$2:$C$6,3,9),"N.D.")</f>
        <v>51% - 70%</v>
      </c>
      <c r="CG659" s="256">
        <v>4.0994369935967734E-4</v>
      </c>
      <c r="CH659" s="232">
        <v>0</v>
      </c>
      <c r="CI659" s="311">
        <f t="shared" si="292"/>
        <v>0</v>
      </c>
      <c r="CJ659" s="232">
        <f>IFERROR(VLOOKUP(CI659,'Rangos amb etnico'!$A$2:$C$6,3,9),"N.D.")</f>
        <v>0</v>
      </c>
      <c r="CK659" s="311">
        <f t="shared" si="293"/>
        <v>0</v>
      </c>
      <c r="CL659" s="10">
        <v>0</v>
      </c>
      <c r="CM659" s="255">
        <f t="shared" si="294"/>
        <v>0</v>
      </c>
      <c r="CN659" s="232">
        <f>IFERROR(VLOOKUP(CM659,'Rangos amb etnico'!$A$2:$C$6,3,9),"N.D.")</f>
        <v>0</v>
      </c>
      <c r="CO659" s="311">
        <f t="shared" si="295"/>
        <v>0</v>
      </c>
      <c r="CP659">
        <v>0.97611280296536607</v>
      </c>
      <c r="CQ659" t="s">
        <v>2864</v>
      </c>
      <c r="CR659">
        <f t="shared" si="286"/>
        <v>2</v>
      </c>
      <c r="CS659" t="str">
        <f t="shared" si="296"/>
        <v>No es Candidato</v>
      </c>
      <c r="CT659">
        <v>0</v>
      </c>
      <c r="CU659">
        <v>0</v>
      </c>
      <c r="CV659" s="25">
        <v>47.555164337158203</v>
      </c>
      <c r="CW659" s="25">
        <v>15.76296424865723</v>
      </c>
      <c r="CX659" s="25">
        <v>43.338848114013672</v>
      </c>
      <c r="CY659" s="25">
        <v>68.083015441894531</v>
      </c>
      <c r="CZ659" s="25">
        <v>57.218151092529297</v>
      </c>
      <c r="DA659" s="25">
        <v>47.640674591064453</v>
      </c>
      <c r="DB659" s="25">
        <v>53.287326812744141</v>
      </c>
      <c r="DC659">
        <v>65</v>
      </c>
      <c r="DD659" s="253" t="s">
        <v>380</v>
      </c>
    </row>
    <row r="660" spans="1:108" hidden="1">
      <c r="A660" s="13">
        <v>76246</v>
      </c>
      <c r="B660" s="13" t="s">
        <v>1759</v>
      </c>
      <c r="C660" s="13" t="s">
        <v>454</v>
      </c>
      <c r="D660" s="13" t="s">
        <v>455</v>
      </c>
      <c r="E660" s="13" t="s">
        <v>1760</v>
      </c>
      <c r="F660" s="14">
        <v>75.612533333333303</v>
      </c>
      <c r="G660" s="13">
        <v>75.98</v>
      </c>
      <c r="H660" s="13">
        <v>31.77</v>
      </c>
      <c r="I660" s="13">
        <v>65.5</v>
      </c>
      <c r="J660" s="14">
        <v>42.648265408900983</v>
      </c>
      <c r="K660" s="14">
        <v>45.580078972286842</v>
      </c>
      <c r="L660" s="14">
        <v>49.700514507035535</v>
      </c>
      <c r="M660" s="14">
        <v>53.601999999999997</v>
      </c>
      <c r="N660" s="14">
        <f t="shared" si="270"/>
        <v>62.215633333333329</v>
      </c>
      <c r="O660" s="14">
        <f t="shared" si="271"/>
        <v>47.882714722055844</v>
      </c>
      <c r="P660" s="14">
        <f t="shared" si="287"/>
        <v>55.04917402769459</v>
      </c>
      <c r="Q660" s="14">
        <v>57.473034053331261</v>
      </c>
      <c r="R660" s="17">
        <f t="shared" si="272"/>
        <v>42.526965946668739</v>
      </c>
      <c r="S660" s="14">
        <f t="shared" si="288"/>
        <v>0.48274269352001864</v>
      </c>
      <c r="T660" s="13">
        <v>0</v>
      </c>
      <c r="U660" s="13">
        <f t="shared" si="289"/>
        <v>26.574586546181539</v>
      </c>
      <c r="V660" s="13">
        <f>IF($T660=1,$AU660,(VLOOKUP(U660,'Cortes naturales'!$A$35:$C$39,3,9)))</f>
        <v>4</v>
      </c>
      <c r="W660" s="13">
        <v>4</v>
      </c>
      <c r="X660" s="14" t="b">
        <f t="shared" si="273"/>
        <v>1</v>
      </c>
      <c r="Y660" s="17">
        <f>IF($T660=1,$AU660,VLOOKUP(U660,'Cortes naturales'!$A$45:$C$49,3,9))</f>
        <v>4</v>
      </c>
      <c r="Z660" s="14">
        <v>54.596213270121829</v>
      </c>
      <c r="AA660" s="14">
        <v>0.49272896176606107</v>
      </c>
      <c r="AB660" s="14">
        <v>26.901135480945573</v>
      </c>
      <c r="AC660" s="13">
        <v>4</v>
      </c>
      <c r="AD660" s="13">
        <f t="shared" si="274"/>
        <v>0</v>
      </c>
      <c r="AE660" s="14">
        <f t="shared" si="275"/>
        <v>0.452960757572761</v>
      </c>
      <c r="AF660" s="14">
        <f t="shared" si="276"/>
        <v>-9.986268246042429E-3</v>
      </c>
      <c r="AG660" s="13">
        <f t="shared" si="277"/>
        <v>-0.32654893476403402</v>
      </c>
      <c r="AH660" s="13">
        <f>IF($T660=1,$AU660,VLOOKUP(U660,'Cortes naturales'!$A$25:$C$29,3,9))</f>
        <v>4</v>
      </c>
      <c r="AI660" s="13" t="b">
        <f t="shared" si="278"/>
        <v>1</v>
      </c>
      <c r="AJ660" s="13">
        <f t="shared" si="279"/>
        <v>0</v>
      </c>
      <c r="AK660" s="28">
        <v>0.81759069605862034</v>
      </c>
      <c r="AL660" s="28">
        <v>44.637356009683792</v>
      </c>
      <c r="AM660" s="28">
        <v>0.3877402596308942</v>
      </c>
      <c r="AN660" s="13">
        <v>3</v>
      </c>
      <c r="AO660" s="33">
        <f t="shared" si="280"/>
        <v>-1</v>
      </c>
      <c r="AP660" s="13">
        <f t="shared" si="290"/>
        <v>38.774025963089422</v>
      </c>
      <c r="AQ660" s="13">
        <f>IFERROR(VLOOKUP(U660,'Cortes naturales'!$E$15:$G$19,3,9),U660)</f>
        <v>4</v>
      </c>
      <c r="AR660" s="28">
        <f t="shared" si="281"/>
        <v>-0.3348480025386017</v>
      </c>
      <c r="AS660" s="13" t="b">
        <f t="shared" si="282"/>
        <v>1</v>
      </c>
      <c r="AT660" s="13" t="str">
        <f t="shared" si="291"/>
        <v>Efecto ponderador</v>
      </c>
      <c r="AU660" s="13">
        <v>3</v>
      </c>
      <c r="AV660">
        <f t="shared" si="283"/>
        <v>-1</v>
      </c>
      <c r="AW660" s="13">
        <v>0</v>
      </c>
      <c r="AX660" s="13">
        <v>0</v>
      </c>
      <c r="AY660" s="13">
        <v>0</v>
      </c>
      <c r="AZ660" s="13">
        <v>0</v>
      </c>
      <c r="BA660">
        <v>1</v>
      </c>
      <c r="BB660" t="s">
        <v>2840</v>
      </c>
      <c r="BC660">
        <v>6</v>
      </c>
      <c r="BD660" t="s">
        <v>2919</v>
      </c>
      <c r="BE660">
        <v>0</v>
      </c>
      <c r="BF660" s="232" t="s">
        <v>2846</v>
      </c>
      <c r="BG660" s="232" t="s">
        <v>2846</v>
      </c>
      <c r="BH660" s="253">
        <v>35.799999999999997</v>
      </c>
      <c r="BI660" s="253">
        <v>12.299724874575174</v>
      </c>
      <c r="BJ660" s="25">
        <v>30.746305555555555</v>
      </c>
      <c r="BK660" t="s">
        <v>379</v>
      </c>
      <c r="BL660">
        <v>9.8258085272893236</v>
      </c>
      <c r="BM660" t="s">
        <v>379</v>
      </c>
      <c r="BN660" s="322">
        <v>15993.825036</v>
      </c>
      <c r="BO660" s="322">
        <v>1177.698304</v>
      </c>
      <c r="BP660" s="10">
        <v>7034</v>
      </c>
      <c r="BQ660" s="254">
        <f t="shared" si="284"/>
        <v>2.2737880346886552</v>
      </c>
      <c r="BR660" s="254">
        <f t="shared" si="285"/>
        <v>0.1674293864088712</v>
      </c>
      <c r="BS660" s="25">
        <v>54.359453383639092</v>
      </c>
      <c r="BT660" s="25">
        <v>86.967200503269851</v>
      </c>
      <c r="BU660" s="25">
        <v>33.799842873176203</v>
      </c>
      <c r="BV660" s="25">
        <v>89.674329124746535</v>
      </c>
      <c r="BW660" s="25">
        <v>60.241451103381081</v>
      </c>
      <c r="BX660" s="25">
        <v>66.20020647120792</v>
      </c>
      <c r="BY660" s="25">
        <v>61.894504221324432</v>
      </c>
      <c r="BZ660">
        <v>91</v>
      </c>
      <c r="CA660">
        <v>0</v>
      </c>
      <c r="CB660">
        <v>7</v>
      </c>
      <c r="CC660">
        <v>21423.703658999999</v>
      </c>
      <c r="CD660" s="10">
        <v>21417.438235000001</v>
      </c>
      <c r="CE660" s="255">
        <v>0.99970754711231424</v>
      </c>
      <c r="CF660" t="str">
        <f>IFERROR(VLOOKUP(CE660,'Rangos amb etnico'!$A$2:$C$6,3,9),"N.D.")</f>
        <v>71% - 100%</v>
      </c>
      <c r="CG660" s="256">
        <v>6.2311401482831991E-4</v>
      </c>
      <c r="CH660" s="232">
        <v>112.511236</v>
      </c>
      <c r="CI660" s="311">
        <f t="shared" si="292"/>
        <v>5.2517173403271262E-3</v>
      </c>
      <c r="CJ660" s="232" t="str">
        <f>IFERROR(VLOOKUP(CI660,'Rangos amb etnico'!$A$2:$C$6,3,9),"N.D.")</f>
        <v>0,1% - 30%</v>
      </c>
      <c r="CK660" s="311">
        <f t="shared" si="293"/>
        <v>4.4674327028186642E-6</v>
      </c>
      <c r="CL660" s="10">
        <v>0</v>
      </c>
      <c r="CM660" s="255">
        <f t="shared" si="294"/>
        <v>0</v>
      </c>
      <c r="CN660" s="232">
        <f>IFERROR(VLOOKUP(CM660,'Rangos amb etnico'!$A$2:$C$6,3,9),"N.D.")</f>
        <v>0</v>
      </c>
      <c r="CO660" s="311">
        <f t="shared" si="295"/>
        <v>0</v>
      </c>
      <c r="CP660">
        <v>0.94401480778472702</v>
      </c>
      <c r="CQ660" t="s">
        <v>2864</v>
      </c>
      <c r="CR660">
        <f t="shared" si="286"/>
        <v>3</v>
      </c>
      <c r="CS660" t="str">
        <f t="shared" si="296"/>
        <v>Candidato</v>
      </c>
      <c r="CT660">
        <v>0</v>
      </c>
      <c r="CU660">
        <v>0</v>
      </c>
      <c r="CV660" s="25">
        <v>46.213237762451172</v>
      </c>
      <c r="CW660" s="25">
        <v>21.934675216674801</v>
      </c>
      <c r="CX660" s="25">
        <v>59.747653961181641</v>
      </c>
      <c r="CY660" s="25">
        <v>47.760208129882813</v>
      </c>
      <c r="CZ660" s="25">
        <v>36.673122406005859</v>
      </c>
      <c r="DA660" s="25">
        <v>54.553016662597663</v>
      </c>
      <c r="DB660" s="25">
        <v>56.610752105712891</v>
      </c>
      <c r="DC660">
        <v>450</v>
      </c>
      <c r="DD660" s="253" t="s">
        <v>380</v>
      </c>
    </row>
    <row r="661" spans="1:108">
      <c r="A661" s="13">
        <v>5483</v>
      </c>
      <c r="B661" s="13" t="s">
        <v>1761</v>
      </c>
      <c r="C661" s="13" t="s">
        <v>435</v>
      </c>
      <c r="D661" s="13" t="s">
        <v>436</v>
      </c>
      <c r="E661" s="13" t="s">
        <v>673</v>
      </c>
      <c r="F661" s="14">
        <v>54.521366666666701</v>
      </c>
      <c r="G661" s="13">
        <v>67</v>
      </c>
      <c r="H661" s="13">
        <v>67.650000000000006</v>
      </c>
      <c r="I661" s="13">
        <v>66.36</v>
      </c>
      <c r="J661" s="14">
        <v>53.028533083564469</v>
      </c>
      <c r="K661" s="14">
        <v>50.703439112300025</v>
      </c>
      <c r="L661" s="14">
        <v>55.174594623404296</v>
      </c>
      <c r="M661" s="14">
        <v>49.754800000000003</v>
      </c>
      <c r="N661" s="14">
        <f t="shared" si="270"/>
        <v>63.882841666666678</v>
      </c>
      <c r="O661" s="14">
        <f t="shared" si="271"/>
        <v>52.165341704817195</v>
      </c>
      <c r="P661" s="14">
        <f t="shared" si="287"/>
        <v>58.024091685741936</v>
      </c>
      <c r="Q661" s="14">
        <v>57.109600964174255</v>
      </c>
      <c r="R661" s="17">
        <f t="shared" si="272"/>
        <v>42.890399035825745</v>
      </c>
      <c r="S661" s="14">
        <f t="shared" si="288"/>
        <v>0.48601359132243172</v>
      </c>
      <c r="T661" s="13">
        <v>0</v>
      </c>
      <c r="U661" s="13">
        <f t="shared" si="289"/>
        <v>28.200497183409489</v>
      </c>
      <c r="V661" s="13">
        <f>IF($T661=1,$AU661,(VLOOKUP(U661,'Cortes naturales'!$A$35:$C$39,3,9)))</f>
        <v>4</v>
      </c>
      <c r="W661" s="13">
        <v>4</v>
      </c>
      <c r="X661" s="14" t="b">
        <f t="shared" si="273"/>
        <v>1</v>
      </c>
      <c r="Y661" s="17">
        <f>IF($T661=1,$AU661,VLOOKUP(U661,'Cortes naturales'!$A$45:$C$49,3,9))</f>
        <v>4</v>
      </c>
      <c r="Z661" s="14">
        <v>54.371137213675901</v>
      </c>
      <c r="AA661" s="14">
        <v>0.49269207731762621</v>
      </c>
      <c r="AB661" s="14">
        <v>26.788228539927669</v>
      </c>
      <c r="AC661" s="13">
        <v>4</v>
      </c>
      <c r="AD661" s="13">
        <f t="shared" si="274"/>
        <v>0</v>
      </c>
      <c r="AE661" s="14">
        <f t="shared" si="275"/>
        <v>3.6529544720660354</v>
      </c>
      <c r="AF661" s="14">
        <f t="shared" si="276"/>
        <v>-6.6784859951944942E-3</v>
      </c>
      <c r="AG661" s="13">
        <f t="shared" si="277"/>
        <v>1.4122686434818199</v>
      </c>
      <c r="AH661" s="13">
        <f>IF($T661=1,$AU661,VLOOKUP(U661,'Cortes naturales'!$A$25:$C$29,3,9))</f>
        <v>3</v>
      </c>
      <c r="AI661" s="13" t="b">
        <f t="shared" si="278"/>
        <v>0</v>
      </c>
      <c r="AJ661" s="13">
        <f t="shared" si="279"/>
        <v>0</v>
      </c>
      <c r="AK661" s="28">
        <v>0.81759069605862034</v>
      </c>
      <c r="AL661" s="28">
        <v>44.453335920028032</v>
      </c>
      <c r="AM661" s="28">
        <v>0.38543836228475908</v>
      </c>
      <c r="AN661" s="13">
        <v>3</v>
      </c>
      <c r="AO661" s="33">
        <f t="shared" si="280"/>
        <v>-1</v>
      </c>
      <c r="AP661" s="13">
        <f t="shared" si="290"/>
        <v>38.543836228475911</v>
      </c>
      <c r="AQ661" s="13">
        <f>IFERROR(VLOOKUP(U661,'Cortes naturales'!$E$15:$G$19,3,9),U661)</f>
        <v>4</v>
      </c>
      <c r="AR661" s="28">
        <f t="shared" si="281"/>
        <v>-0.33157710473618862</v>
      </c>
      <c r="AS661" s="13" t="b">
        <f t="shared" si="282"/>
        <v>1</v>
      </c>
      <c r="AT661" s="13" t="str">
        <f t="shared" si="291"/>
        <v>Efecto ponderador</v>
      </c>
      <c r="AU661" s="13">
        <v>4</v>
      </c>
      <c r="AV661">
        <f t="shared" si="283"/>
        <v>0</v>
      </c>
      <c r="AW661" s="13">
        <v>0</v>
      </c>
      <c r="AX661" s="13">
        <v>0</v>
      </c>
      <c r="AY661" s="13">
        <v>0</v>
      </c>
      <c r="AZ661" s="13">
        <v>0</v>
      </c>
      <c r="BA661">
        <v>1</v>
      </c>
      <c r="BB661" t="s">
        <v>2840</v>
      </c>
      <c r="BC661">
        <v>6</v>
      </c>
      <c r="BD661" t="s">
        <v>2919</v>
      </c>
      <c r="BE661">
        <v>1</v>
      </c>
      <c r="BF661" s="232" t="s">
        <v>2846</v>
      </c>
      <c r="BG661" s="232" t="s">
        <v>2845</v>
      </c>
      <c r="BH661" s="253">
        <v>51.8</v>
      </c>
      <c r="BI661" s="253">
        <v>15.641353645772764</v>
      </c>
      <c r="BJ661" s="25">
        <v>41.054321422617818</v>
      </c>
      <c r="BK661" t="s">
        <v>376</v>
      </c>
      <c r="BL661">
        <v>18.778597953194666</v>
      </c>
      <c r="BM661" t="s">
        <v>376</v>
      </c>
      <c r="BN661" s="322">
        <v>24553.860471</v>
      </c>
      <c r="BO661" s="322">
        <v>1859.112601</v>
      </c>
      <c r="BP661" s="10">
        <v>10906</v>
      </c>
      <c r="BQ661" s="254">
        <f t="shared" si="284"/>
        <v>2.2514084422336329</v>
      </c>
      <c r="BR661" s="254">
        <f t="shared" si="285"/>
        <v>0.17046695406198423</v>
      </c>
      <c r="BS661" s="25">
        <v>51.53595085560297</v>
      </c>
      <c r="BT661" s="25">
        <v>77.852835113393226</v>
      </c>
      <c r="BU661" s="25">
        <v>45.59</v>
      </c>
      <c r="BV661" s="25">
        <v>91.873098533979388</v>
      </c>
      <c r="BW661" s="25">
        <v>54.406055798564417</v>
      </c>
      <c r="BX661" s="25">
        <v>66.712971125743891</v>
      </c>
      <c r="BY661" s="25">
        <v>54.874691306745582</v>
      </c>
      <c r="BZ661">
        <v>13</v>
      </c>
      <c r="CA661">
        <v>0</v>
      </c>
      <c r="CB661">
        <v>7</v>
      </c>
      <c r="CC661">
        <v>31662.008293999999</v>
      </c>
      <c r="CD661" s="10">
        <v>14281.865186000001</v>
      </c>
      <c r="CE661" s="255">
        <v>0.45107262474902571</v>
      </c>
      <c r="CF661" t="str">
        <f>IFERROR(VLOOKUP(CE661,'Rangos amb etnico'!$A$2:$C$6,3,9),"N.D.")</f>
        <v>31% - 50%</v>
      </c>
      <c r="CG661" s="256">
        <v>4.1551329611131109E-4</v>
      </c>
      <c r="CH661" s="232">
        <v>0</v>
      </c>
      <c r="CI661" s="311">
        <f t="shared" si="292"/>
        <v>0</v>
      </c>
      <c r="CJ661" s="232">
        <f>IFERROR(VLOOKUP(CI661,'Rangos amb etnico'!$A$2:$C$6,3,9),"N.D.")</f>
        <v>0</v>
      </c>
      <c r="CK661" s="311">
        <f t="shared" si="293"/>
        <v>0</v>
      </c>
      <c r="CL661" s="10">
        <v>0</v>
      </c>
      <c r="CM661" s="255">
        <f t="shared" si="294"/>
        <v>0</v>
      </c>
      <c r="CN661" s="232">
        <f>IFERROR(VLOOKUP(CM661,'Rangos amb etnico'!$A$2:$C$6,3,9),"N.D.")</f>
        <v>0</v>
      </c>
      <c r="CO661" s="311">
        <f t="shared" si="295"/>
        <v>0</v>
      </c>
      <c r="CP661">
        <v>0.97694266753914016</v>
      </c>
      <c r="CQ661" t="s">
        <v>2864</v>
      </c>
      <c r="CR661">
        <f t="shared" si="286"/>
        <v>2</v>
      </c>
      <c r="CS661" t="str">
        <f t="shared" si="296"/>
        <v>No es Candidato</v>
      </c>
      <c r="CT661">
        <v>0</v>
      </c>
      <c r="CU661">
        <v>0</v>
      </c>
      <c r="CV661" s="25">
        <v>42.53338623046875</v>
      </c>
      <c r="CW661" s="25">
        <v>17.819766998291019</v>
      </c>
      <c r="CX661" s="25">
        <v>44.440704345703118</v>
      </c>
      <c r="CY661" s="25">
        <v>46.129268646240227</v>
      </c>
      <c r="CZ661" s="25">
        <v>32.537403106689453</v>
      </c>
      <c r="DA661" s="25">
        <v>58.91241455078125</v>
      </c>
      <c r="DB661" s="25">
        <v>55.360755920410163</v>
      </c>
      <c r="DC661">
        <v>131</v>
      </c>
      <c r="DD661" s="253" t="s">
        <v>380</v>
      </c>
    </row>
    <row r="662" spans="1:108" hidden="1">
      <c r="A662" s="13">
        <v>15676</v>
      </c>
      <c r="B662" s="13" t="s">
        <v>1762</v>
      </c>
      <c r="C662" s="13" t="s">
        <v>498</v>
      </c>
      <c r="D662" s="13" t="s">
        <v>499</v>
      </c>
      <c r="E662" s="13" t="s">
        <v>1763</v>
      </c>
      <c r="F662" s="14">
        <v>59.181766666666697</v>
      </c>
      <c r="G662" s="13">
        <v>70.459999999999994</v>
      </c>
      <c r="H662" s="13">
        <v>70.09</v>
      </c>
      <c r="I662" s="13">
        <v>65.59</v>
      </c>
      <c r="J662" s="14">
        <v>56.330743537861011</v>
      </c>
      <c r="K662" s="14">
        <v>52.137142477343851</v>
      </c>
      <c r="L662" s="14">
        <v>59.322721508410353</v>
      </c>
      <c r="M662" s="14">
        <v>55.523699999999998</v>
      </c>
      <c r="N662" s="14">
        <f t="shared" si="270"/>
        <v>66.330441666666673</v>
      </c>
      <c r="O662" s="14">
        <f t="shared" si="271"/>
        <v>55.828576880903803</v>
      </c>
      <c r="P662" s="14">
        <f t="shared" si="287"/>
        <v>61.079509273785234</v>
      </c>
      <c r="Q662" s="14">
        <v>57.836104169752169</v>
      </c>
      <c r="R662" s="17">
        <f t="shared" si="272"/>
        <v>42.163895830247831</v>
      </c>
      <c r="S662" s="14">
        <f t="shared" si="288"/>
        <v>0.47947506247223048</v>
      </c>
      <c r="T662" s="13">
        <v>0</v>
      </c>
      <c r="U662" s="13">
        <f t="shared" si="289"/>
        <v>29.286101524821355</v>
      </c>
      <c r="V662" s="13">
        <f>IF($T662=1,$AU662,(VLOOKUP(U662,'Cortes naturales'!$A$35:$C$39,3,9)))</f>
        <v>4</v>
      </c>
      <c r="W662" s="13">
        <v>4</v>
      </c>
      <c r="X662" s="14" t="b">
        <f t="shared" si="273"/>
        <v>1</v>
      </c>
      <c r="Y662" s="17">
        <f>IF($T662=1,$AU662,VLOOKUP(U662,'Cortes naturales'!$A$45:$C$49,3,9))</f>
        <v>3</v>
      </c>
      <c r="Z662" s="14">
        <v>60.324521906078658</v>
      </c>
      <c r="AA662" s="14">
        <v>0.49038058555327135</v>
      </c>
      <c r="AB662" s="14">
        <v>29.581974375523998</v>
      </c>
      <c r="AC662" s="13">
        <v>3</v>
      </c>
      <c r="AD662" s="13">
        <f t="shared" si="274"/>
        <v>0</v>
      </c>
      <c r="AE662" s="14">
        <f t="shared" si="275"/>
        <v>0.75498736770657615</v>
      </c>
      <c r="AF662" s="14">
        <f t="shared" si="276"/>
        <v>-1.0905523081040869E-2</v>
      </c>
      <c r="AG662" s="13">
        <f t="shared" si="277"/>
        <v>-0.29587285070264358</v>
      </c>
      <c r="AH662" s="13">
        <f>IF($T662=1,$AU662,VLOOKUP(U662,'Cortes naturales'!$A$25:$C$29,3,9))</f>
        <v>3</v>
      </c>
      <c r="AI662" s="13" t="b">
        <f t="shared" si="278"/>
        <v>1</v>
      </c>
      <c r="AJ662" s="13">
        <f t="shared" si="279"/>
        <v>0</v>
      </c>
      <c r="AK662" s="28">
        <v>0.81759069605862034</v>
      </c>
      <c r="AL662" s="28">
        <v>49.320767854594344</v>
      </c>
      <c r="AM662" s="28">
        <v>0.44632480502930427</v>
      </c>
      <c r="AN662" s="13">
        <v>3</v>
      </c>
      <c r="AO662" s="33">
        <f t="shared" si="280"/>
        <v>0</v>
      </c>
      <c r="AP662" s="13">
        <f t="shared" si="290"/>
        <v>44.632480502930427</v>
      </c>
      <c r="AQ662" s="13">
        <f>IFERROR(VLOOKUP(U662,'Cortes naturales'!$E$15:$G$19,3,9),U662)</f>
        <v>4</v>
      </c>
      <c r="AR662" s="28">
        <f t="shared" si="281"/>
        <v>-0.33811563358638985</v>
      </c>
      <c r="AS662" s="13" t="b">
        <f t="shared" si="282"/>
        <v>0</v>
      </c>
      <c r="AT662" s="13">
        <f t="shared" si="291"/>
        <v>0</v>
      </c>
      <c r="AU662" s="13">
        <v>3</v>
      </c>
      <c r="AV662">
        <f t="shared" si="283"/>
        <v>0</v>
      </c>
      <c r="AW662" s="13">
        <v>0</v>
      </c>
      <c r="AX662" s="13">
        <v>0</v>
      </c>
      <c r="AY662" s="13">
        <v>0</v>
      </c>
      <c r="AZ662" s="13">
        <v>0</v>
      </c>
      <c r="BA662">
        <v>0</v>
      </c>
      <c r="BB662" t="s">
        <v>2841</v>
      </c>
      <c r="BC662">
        <v>6</v>
      </c>
      <c r="BD662" t="s">
        <v>2919</v>
      </c>
      <c r="BE662">
        <v>0</v>
      </c>
      <c r="BF662" s="232" t="s">
        <v>2846</v>
      </c>
      <c r="BG662" s="232" t="s">
        <v>2846</v>
      </c>
      <c r="BH662" s="253">
        <v>35.6</v>
      </c>
      <c r="BI662" s="253">
        <v>8.8934850051706302</v>
      </c>
      <c r="BJ662" s="25">
        <v>19.348830663560602</v>
      </c>
      <c r="BK662" t="s">
        <v>379</v>
      </c>
      <c r="BL662">
        <v>0</v>
      </c>
      <c r="BM662" t="s">
        <v>377</v>
      </c>
      <c r="BN662" s="322">
        <v>8955.3124069999994</v>
      </c>
      <c r="BO662" s="322">
        <v>1676.131629</v>
      </c>
      <c r="BP662" s="10">
        <v>3081</v>
      </c>
      <c r="BQ662" s="254">
        <f t="shared" si="284"/>
        <v>2.9066252538136967</v>
      </c>
      <c r="BR662" s="254">
        <f t="shared" si="285"/>
        <v>0.54402195034079848</v>
      </c>
      <c r="BS662" s="25">
        <v>67.827561327561327</v>
      </c>
      <c r="BT662" s="25">
        <v>82.930442090230443</v>
      </c>
      <c r="BU662" s="25">
        <v>67.779999999999987</v>
      </c>
      <c r="BV662" s="25">
        <v>90.006466793571349</v>
      </c>
      <c r="BW662" s="25">
        <v>64.67486362456529</v>
      </c>
      <c r="BX662" s="25">
        <v>77.136117552840773</v>
      </c>
      <c r="BY662" s="25">
        <v>63.741430187661017</v>
      </c>
      <c r="BZ662">
        <v>86</v>
      </c>
      <c r="CA662">
        <v>0</v>
      </c>
      <c r="CB662">
        <v>7</v>
      </c>
      <c r="CC662">
        <v>9386.0575320000007</v>
      </c>
      <c r="CD662" s="10">
        <v>2189.089645</v>
      </c>
      <c r="CE662" s="255">
        <v>0.23322781024266151</v>
      </c>
      <c r="CF662" t="str">
        <f>IFERROR(VLOOKUP(CE662,'Rangos amb etnico'!$A$2:$C$6,3,9),"N.D.")</f>
        <v>0,1% - 30%</v>
      </c>
      <c r="CG662" s="256">
        <v>6.3688869908163953E-5</v>
      </c>
      <c r="CH662" s="232">
        <v>0</v>
      </c>
      <c r="CI662" s="311">
        <f t="shared" si="292"/>
        <v>0</v>
      </c>
      <c r="CJ662" s="232">
        <f>IFERROR(VLOOKUP(CI662,'Rangos amb etnico'!$A$2:$C$6,3,9),"N.D.")</f>
        <v>0</v>
      </c>
      <c r="CK662" s="311">
        <f t="shared" si="293"/>
        <v>0</v>
      </c>
      <c r="CL662" s="10">
        <v>0</v>
      </c>
      <c r="CM662" s="255">
        <f t="shared" si="294"/>
        <v>0</v>
      </c>
      <c r="CN662" s="232">
        <f>IFERROR(VLOOKUP(CM662,'Rangos amb etnico'!$A$2:$C$6,3,9),"N.D.")</f>
        <v>0</v>
      </c>
      <c r="CO662" s="311">
        <f t="shared" si="295"/>
        <v>0</v>
      </c>
      <c r="CP662">
        <v>0.86910622570949747</v>
      </c>
      <c r="CQ662" t="s">
        <v>2864</v>
      </c>
      <c r="CR662">
        <f t="shared" si="286"/>
        <v>3</v>
      </c>
      <c r="CS662" t="str">
        <f t="shared" si="296"/>
        <v>Candidato</v>
      </c>
      <c r="CT662">
        <v>0</v>
      </c>
      <c r="CU662">
        <v>0</v>
      </c>
      <c r="CV662" s="25">
        <v>54.987773895263672</v>
      </c>
      <c r="CW662" s="25">
        <v>17.720230102539059</v>
      </c>
      <c r="CX662" s="25">
        <v>45.728328704833977</v>
      </c>
      <c r="CY662" s="25">
        <v>68.493942260742188</v>
      </c>
      <c r="CZ662" s="25">
        <v>45.314456939697273</v>
      </c>
      <c r="DA662" s="25">
        <v>80.570259094238281</v>
      </c>
      <c r="DB662" s="25">
        <v>72.099433898925781</v>
      </c>
      <c r="DC662">
        <v>17</v>
      </c>
      <c r="DD662" s="253" t="s">
        <v>380</v>
      </c>
    </row>
    <row r="663" spans="1:108" hidden="1">
      <c r="A663" s="13">
        <v>52227</v>
      </c>
      <c r="B663" s="13" t="s">
        <v>1764</v>
      </c>
      <c r="C663" s="13" t="s">
        <v>672</v>
      </c>
      <c r="D663" s="13" t="s">
        <v>673</v>
      </c>
      <c r="E663" s="13" t="s">
        <v>1765</v>
      </c>
      <c r="F663" s="14">
        <v>58.995266666666701</v>
      </c>
      <c r="G663" s="13">
        <v>35.46</v>
      </c>
      <c r="H663" s="13">
        <v>39.090000000000003</v>
      </c>
      <c r="I663" s="13">
        <v>39.299999999999997</v>
      </c>
      <c r="J663" s="14">
        <v>55.393886880584475</v>
      </c>
      <c r="K663" s="14">
        <v>51.273422019669084</v>
      </c>
      <c r="L663" s="14">
        <v>58.685577321890165</v>
      </c>
      <c r="M663" s="14">
        <v>56.3125</v>
      </c>
      <c r="N663" s="14">
        <f t="shared" si="270"/>
        <v>43.211316666666676</v>
      </c>
      <c r="O663" s="14">
        <f t="shared" si="271"/>
        <v>55.416346555535931</v>
      </c>
      <c r="P663" s="14">
        <f t="shared" si="287"/>
        <v>49.313831611101307</v>
      </c>
      <c r="Q663" s="14">
        <v>57.010012535142785</v>
      </c>
      <c r="R663" s="17">
        <f t="shared" si="272"/>
        <v>42.989987464857215</v>
      </c>
      <c r="S663" s="14">
        <f t="shared" si="288"/>
        <v>0.48690988718371497</v>
      </c>
      <c r="T663" s="13">
        <v>0</v>
      </c>
      <c r="U663" s="13">
        <f t="shared" si="289"/>
        <v>24.011392186358055</v>
      </c>
      <c r="V663" s="13">
        <f>IF($T663=1,$AU663,(VLOOKUP(U663,'Cortes naturales'!$A$35:$C$39,3,9)))</f>
        <v>4</v>
      </c>
      <c r="W663" s="13">
        <v>4</v>
      </c>
      <c r="X663" s="14" t="b">
        <f t="shared" si="273"/>
        <v>1</v>
      </c>
      <c r="Y663" s="17">
        <f>IF($T663=1,$AU663,VLOOKUP(U663,'Cortes naturales'!$A$45:$C$49,3,9))</f>
        <v>4</v>
      </c>
      <c r="Z663" s="14">
        <v>51.601236434679478</v>
      </c>
      <c r="AA663" s="14">
        <v>0.49198916586534336</v>
      </c>
      <c r="AB663" s="14">
        <v>25.387249271118321</v>
      </c>
      <c r="AC663" s="13">
        <v>4</v>
      </c>
      <c r="AD663" s="13">
        <f t="shared" si="274"/>
        <v>0</v>
      </c>
      <c r="AE663" s="14">
        <f t="shared" si="275"/>
        <v>-2.2874048235781714</v>
      </c>
      <c r="AF663" s="14">
        <f t="shared" si="276"/>
        <v>-5.0792786816283853E-3</v>
      </c>
      <c r="AG663" s="13">
        <f t="shared" si="277"/>
        <v>-1.3758570847602662</v>
      </c>
      <c r="AH663" s="13">
        <f>IF($T663=1,$AU663,VLOOKUP(U663,'Cortes naturales'!$A$25:$C$29,3,9))</f>
        <v>4</v>
      </c>
      <c r="AI663" s="13" t="b">
        <f t="shared" si="278"/>
        <v>1</v>
      </c>
      <c r="AJ663" s="13">
        <f t="shared" si="279"/>
        <v>0</v>
      </c>
      <c r="AK663" s="28">
        <v>0.81759069605862034</v>
      </c>
      <c r="AL663" s="28">
        <v>42.188690814115034</v>
      </c>
      <c r="AM663" s="28">
        <v>0.35711003917074069</v>
      </c>
      <c r="AN663" s="13">
        <v>3</v>
      </c>
      <c r="AO663" s="33">
        <f t="shared" si="280"/>
        <v>-1</v>
      </c>
      <c r="AP663" s="13">
        <f t="shared" si="290"/>
        <v>35.711003917074066</v>
      </c>
      <c r="AQ663" s="13">
        <f>IFERROR(VLOOKUP(U663,'Cortes naturales'!$E$15:$G$19,3,9),U663)</f>
        <v>4</v>
      </c>
      <c r="AR663" s="28">
        <f t="shared" si="281"/>
        <v>-0.33068080887490536</v>
      </c>
      <c r="AS663" s="13" t="b">
        <f t="shared" si="282"/>
        <v>1</v>
      </c>
      <c r="AT663" s="13" t="str">
        <f t="shared" si="291"/>
        <v>Efecto ponderador</v>
      </c>
      <c r="AU663" s="13">
        <v>3</v>
      </c>
      <c r="AV663">
        <f t="shared" si="283"/>
        <v>-1</v>
      </c>
      <c r="AW663" s="13">
        <v>0</v>
      </c>
      <c r="AX663" s="13">
        <v>0</v>
      </c>
      <c r="AY663" s="13">
        <v>0</v>
      </c>
      <c r="AZ663" s="13">
        <v>0</v>
      </c>
      <c r="BA663">
        <v>0</v>
      </c>
      <c r="BB663" t="s">
        <v>2841</v>
      </c>
      <c r="BC663">
        <v>6</v>
      </c>
      <c r="BD663" t="s">
        <v>2919</v>
      </c>
      <c r="BE663">
        <v>0</v>
      </c>
      <c r="BF663" s="232" t="s">
        <v>2846</v>
      </c>
      <c r="BG663" s="232" t="s">
        <v>2845</v>
      </c>
      <c r="BH663" s="253">
        <v>28.6</v>
      </c>
      <c r="BI663" s="253">
        <v>15.392384916748286</v>
      </c>
      <c r="BJ663" s="25">
        <v>43.559960743541502</v>
      </c>
      <c r="BK663" t="s">
        <v>376</v>
      </c>
      <c r="BL663">
        <v>0.22005134133837359</v>
      </c>
      <c r="BM663" t="s">
        <v>383</v>
      </c>
      <c r="BN663" s="322">
        <v>66761.422477</v>
      </c>
      <c r="BO663" s="322">
        <v>1785.8957789999999</v>
      </c>
      <c r="BP663" s="10">
        <v>40406</v>
      </c>
      <c r="BQ663" s="254">
        <f t="shared" si="284"/>
        <v>1.6522650714497846</v>
      </c>
      <c r="BR663" s="254">
        <f t="shared" si="285"/>
        <v>4.4198776889570857E-2</v>
      </c>
      <c r="BS663" s="25">
        <v>55.932330600882331</v>
      </c>
      <c r="BT663" s="25">
        <v>88.064548730551564</v>
      </c>
      <c r="BU663" s="25">
        <v>54.0767391021893</v>
      </c>
      <c r="BV663" s="25">
        <v>96.772949046218457</v>
      </c>
      <c r="BW663" s="25">
        <v>41.533030882943983</v>
      </c>
      <c r="BX663" s="25">
        <v>73.711641869960403</v>
      </c>
      <c r="BY663" s="25">
        <v>41.388212538306362</v>
      </c>
      <c r="BZ663">
        <v>28</v>
      </c>
      <c r="CA663">
        <v>0</v>
      </c>
      <c r="CB663">
        <v>7</v>
      </c>
      <c r="CC663">
        <v>91761.720776999995</v>
      </c>
      <c r="CD663" s="10">
        <v>79070.375532999999</v>
      </c>
      <c r="CE663" s="255">
        <v>0.86169237960518852</v>
      </c>
      <c r="CF663" t="str">
        <f>IFERROR(VLOOKUP(CE663,'Rangos amb etnico'!$A$2:$C$6,3,9),"N.D.")</f>
        <v>71% - 100%</v>
      </c>
      <c r="CG663" s="256">
        <v>2.3004552931001174E-3</v>
      </c>
      <c r="CH663" s="232">
        <v>8172.8888639999996</v>
      </c>
      <c r="CI663" s="311">
        <f t="shared" si="292"/>
        <v>8.9066429822755977E-2</v>
      </c>
      <c r="CJ663" s="232" t="str">
        <f>IFERROR(VLOOKUP(CI663,'Rangos amb etnico'!$A$2:$C$6,3,9),"N.D.")</f>
        <v>0,1% - 30%</v>
      </c>
      <c r="CK663" s="311">
        <f t="shared" si="293"/>
        <v>3.2451719744271655E-4</v>
      </c>
      <c r="CL663" s="10">
        <v>0</v>
      </c>
      <c r="CM663" s="255">
        <f t="shared" si="294"/>
        <v>0</v>
      </c>
      <c r="CN663" s="232">
        <f>IFERROR(VLOOKUP(CM663,'Rangos amb etnico'!$A$2:$C$6,3,9),"N.D.")</f>
        <v>0</v>
      </c>
      <c r="CO663" s="311">
        <f t="shared" si="295"/>
        <v>0</v>
      </c>
      <c r="CP663">
        <v>0.94260130306127654</v>
      </c>
      <c r="CQ663" t="s">
        <v>2864</v>
      </c>
      <c r="CR663">
        <f t="shared" si="286"/>
        <v>1</v>
      </c>
      <c r="CS663" t="str">
        <f t="shared" si="296"/>
        <v>No es Candidato</v>
      </c>
      <c r="CT663">
        <v>1</v>
      </c>
      <c r="CU663" t="s">
        <v>2835</v>
      </c>
      <c r="CV663" s="25">
        <v>47.45477294921875</v>
      </c>
      <c r="CW663" s="25">
        <v>20.932451248168949</v>
      </c>
      <c r="CX663" s="25">
        <v>43.919864654541023</v>
      </c>
      <c r="CY663" s="25">
        <v>59.448986053466797</v>
      </c>
      <c r="CZ663" s="25">
        <v>34.481037139892578</v>
      </c>
      <c r="DA663" s="25">
        <v>74.977783203125</v>
      </c>
      <c r="DB663" s="25">
        <v>50.968513488769531</v>
      </c>
      <c r="DC663">
        <v>35813</v>
      </c>
      <c r="DD663" s="253" t="s">
        <v>380</v>
      </c>
    </row>
    <row r="664" spans="1:108" hidden="1">
      <c r="A664" s="13">
        <v>15248</v>
      </c>
      <c r="B664" s="13" t="s">
        <v>1766</v>
      </c>
      <c r="C664" s="13" t="s">
        <v>498</v>
      </c>
      <c r="D664" s="13" t="s">
        <v>499</v>
      </c>
      <c r="E664" s="13" t="s">
        <v>1767</v>
      </c>
      <c r="F664" s="14">
        <v>53.080566666666698</v>
      </c>
      <c r="G664" s="13">
        <v>51.87</v>
      </c>
      <c r="H664" s="13">
        <v>67.44</v>
      </c>
      <c r="I664" s="13">
        <v>67.23</v>
      </c>
      <c r="J664" s="14">
        <v>43.373529232002781</v>
      </c>
      <c r="K664" s="14">
        <v>54.017343719217791</v>
      </c>
      <c r="L664" s="14">
        <v>48.613344512779562</v>
      </c>
      <c r="M664" s="14">
        <v>47.642200000000003</v>
      </c>
      <c r="N664" s="14">
        <f t="shared" si="270"/>
        <v>59.90514166666668</v>
      </c>
      <c r="O664" s="14">
        <f t="shared" si="271"/>
        <v>48.411604366000034</v>
      </c>
      <c r="P664" s="14">
        <f t="shared" si="287"/>
        <v>54.158373016333357</v>
      </c>
      <c r="Q664" s="14">
        <v>57.656812210797604</v>
      </c>
      <c r="R664" s="17">
        <f t="shared" si="272"/>
        <v>42.343187789202396</v>
      </c>
      <c r="S664" s="14">
        <f t="shared" si="288"/>
        <v>0.48108869010282163</v>
      </c>
      <c r="T664" s="13">
        <v>0</v>
      </c>
      <c r="U664" s="13">
        <f t="shared" si="289"/>
        <v>26.054980732527817</v>
      </c>
      <c r="V664" s="13">
        <f>IF($T664=1,$AU664,(VLOOKUP(U664,'Cortes naturales'!$A$35:$C$39,3,9)))</f>
        <v>4</v>
      </c>
      <c r="W664" s="13">
        <v>4</v>
      </c>
      <c r="X664" s="14" t="b">
        <f t="shared" si="273"/>
        <v>1</v>
      </c>
      <c r="Y664" s="17">
        <f>IF($T664=1,$AU664,VLOOKUP(U664,'Cortes naturales'!$A$45:$C$49,3,9))</f>
        <v>4</v>
      </c>
      <c r="Z664" s="14">
        <v>51.309623231525521</v>
      </c>
      <c r="AA664" s="14">
        <v>0.49224154213801574</v>
      </c>
      <c r="AB664" s="14">
        <v>25.25672806600668</v>
      </c>
      <c r="AC664" s="13">
        <v>4</v>
      </c>
      <c r="AD664" s="13">
        <f t="shared" si="274"/>
        <v>0</v>
      </c>
      <c r="AE664" s="14">
        <f t="shared" si="275"/>
        <v>2.8487497848078362</v>
      </c>
      <c r="AF664" s="14">
        <f t="shared" si="276"/>
        <v>-1.1152852035194116E-2</v>
      </c>
      <c r="AG664" s="13">
        <f t="shared" si="277"/>
        <v>0.79825266652113669</v>
      </c>
      <c r="AH664" s="13">
        <f>IF($T664=1,$AU664,VLOOKUP(U664,'Cortes naturales'!$A$25:$C$29,3,9))</f>
        <v>4</v>
      </c>
      <c r="AI664" s="13" t="b">
        <f t="shared" si="278"/>
        <v>1</v>
      </c>
      <c r="AJ664" s="13">
        <f t="shared" si="279"/>
        <v>0</v>
      </c>
      <c r="AK664" s="28">
        <v>0.81759069605862034</v>
      </c>
      <c r="AL664" s="28">
        <v>41.95027057236851</v>
      </c>
      <c r="AM664" s="28">
        <v>0.35412765326511553</v>
      </c>
      <c r="AN664" s="13">
        <v>3</v>
      </c>
      <c r="AO664" s="33">
        <f t="shared" si="280"/>
        <v>-1</v>
      </c>
      <c r="AP664" s="13">
        <f t="shared" si="290"/>
        <v>35.412765326511554</v>
      </c>
      <c r="AQ664" s="13">
        <f>IFERROR(VLOOKUP(U664,'Cortes naturales'!$E$15:$G$19,3,9),U664)</f>
        <v>4</v>
      </c>
      <c r="AR664" s="28">
        <f t="shared" si="281"/>
        <v>-0.33650200595579871</v>
      </c>
      <c r="AS664" s="13" t="b">
        <f t="shared" si="282"/>
        <v>1</v>
      </c>
      <c r="AT664" s="13" t="str">
        <f t="shared" si="291"/>
        <v>Efecto ponderador</v>
      </c>
      <c r="AU664" s="13">
        <v>3</v>
      </c>
      <c r="AV664">
        <f t="shared" si="283"/>
        <v>-1</v>
      </c>
      <c r="AW664" s="13">
        <v>0</v>
      </c>
      <c r="AX664" s="13">
        <v>0</v>
      </c>
      <c r="AY664" s="13">
        <v>0</v>
      </c>
      <c r="AZ664" s="13">
        <v>0</v>
      </c>
      <c r="BA664">
        <v>0</v>
      </c>
      <c r="BB664" t="s">
        <v>2840</v>
      </c>
      <c r="BC664">
        <v>6</v>
      </c>
      <c r="BD664" t="s">
        <v>2919</v>
      </c>
      <c r="BE664">
        <v>1</v>
      </c>
      <c r="BF664" s="232" t="s">
        <v>2846</v>
      </c>
      <c r="BG664" s="232" t="s">
        <v>2846</v>
      </c>
      <c r="BH664" s="253">
        <v>31.3</v>
      </c>
      <c r="BI664" s="253">
        <v>13.130535232961108</v>
      </c>
      <c r="BJ664" s="25">
        <v>25.076822660098518</v>
      </c>
      <c r="BK664" t="s">
        <v>379</v>
      </c>
      <c r="BL664">
        <v>0</v>
      </c>
      <c r="BM664" t="s">
        <v>377</v>
      </c>
      <c r="BN664" s="322">
        <v>10447.88126</v>
      </c>
      <c r="BO664" s="322">
        <v>985.87731399999996</v>
      </c>
      <c r="BP664" s="10">
        <v>3128</v>
      </c>
      <c r="BQ664" s="254">
        <f t="shared" si="284"/>
        <v>3.3401154923273659</v>
      </c>
      <c r="BR664" s="254">
        <f t="shared" si="285"/>
        <v>0.31517816943734012</v>
      </c>
      <c r="BS664" s="25">
        <v>62.356798559245718</v>
      </c>
      <c r="BT664" s="25">
        <v>80.372484467178182</v>
      </c>
      <c r="BU664" s="25">
        <v>42.100945626477532</v>
      </c>
      <c r="BV664" s="25">
        <v>97.058601644576768</v>
      </c>
      <c r="BW664" s="25">
        <v>60.671129380819529</v>
      </c>
      <c r="BX664" s="25">
        <v>70.472207574369548</v>
      </c>
      <c r="BY664" s="25">
        <v>61.661288225613163</v>
      </c>
      <c r="BZ664">
        <v>44</v>
      </c>
      <c r="CA664">
        <v>0</v>
      </c>
      <c r="CB664">
        <v>7</v>
      </c>
      <c r="CC664">
        <v>6924.1843040000003</v>
      </c>
      <c r="CD664" s="10">
        <v>5295.6830129999998</v>
      </c>
      <c r="CE664" s="255">
        <v>0.76480965562120595</v>
      </c>
      <c r="CF664" t="str">
        <f>IFERROR(VLOOKUP(CE664,'Rangos amb etnico'!$A$2:$C$6,3,9),"N.D.")</f>
        <v>71% - 100%</v>
      </c>
      <c r="CG664" s="256">
        <v>1.5407138180027831E-4</v>
      </c>
      <c r="CH664" s="232">
        <v>0</v>
      </c>
      <c r="CI664" s="311">
        <f t="shared" si="292"/>
        <v>0</v>
      </c>
      <c r="CJ664" s="232">
        <f>IFERROR(VLOOKUP(CI664,'Rangos amb etnico'!$A$2:$C$6,3,9),"N.D.")</f>
        <v>0</v>
      </c>
      <c r="CK664" s="311">
        <f t="shared" si="293"/>
        <v>0</v>
      </c>
      <c r="CL664" s="10">
        <v>0</v>
      </c>
      <c r="CM664" s="255">
        <f t="shared" si="294"/>
        <v>0</v>
      </c>
      <c r="CN664" s="232">
        <f>IFERROR(VLOOKUP(CM664,'Rangos amb etnico'!$A$2:$C$6,3,9),"N.D.")</f>
        <v>0</v>
      </c>
      <c r="CO664" s="311">
        <f t="shared" si="295"/>
        <v>0</v>
      </c>
      <c r="CP664">
        <v>0.98629790610207468</v>
      </c>
      <c r="CQ664" t="s">
        <v>2864</v>
      </c>
      <c r="CR664">
        <f t="shared" si="286"/>
        <v>3</v>
      </c>
      <c r="CS664" t="str">
        <f t="shared" si="296"/>
        <v>Candidato</v>
      </c>
      <c r="CT664">
        <v>0</v>
      </c>
      <c r="CU664">
        <v>0</v>
      </c>
      <c r="CV664" s="25">
        <v>50.105892181396477</v>
      </c>
      <c r="CW664" s="25">
        <v>15.253670692443849</v>
      </c>
      <c r="CX664" s="25">
        <v>50.499412536621087</v>
      </c>
      <c r="CY664" s="25">
        <v>62.387783050537109</v>
      </c>
      <c r="CZ664" s="25">
        <v>35.11981201171875</v>
      </c>
      <c r="DA664" s="25">
        <v>95.368186950683594</v>
      </c>
      <c r="DB664" s="25">
        <v>42.006484985351563</v>
      </c>
      <c r="DC664">
        <v>56</v>
      </c>
      <c r="DD664" s="253" t="s">
        <v>380</v>
      </c>
    </row>
    <row r="665" spans="1:108" hidden="1">
      <c r="A665" s="13">
        <v>17541</v>
      </c>
      <c r="B665" s="13" t="s">
        <v>1768</v>
      </c>
      <c r="C665" s="13" t="s">
        <v>506</v>
      </c>
      <c r="D665" s="13" t="s">
        <v>507</v>
      </c>
      <c r="E665" s="13" t="s">
        <v>1769</v>
      </c>
      <c r="F665" s="14">
        <v>61.202800000000003</v>
      </c>
      <c r="G665" s="13">
        <v>70.790000000000006</v>
      </c>
      <c r="H665" s="13">
        <v>54.62</v>
      </c>
      <c r="I665" s="13">
        <v>65.55</v>
      </c>
      <c r="J665" s="14">
        <v>54.802955750936967</v>
      </c>
      <c r="K665" s="14">
        <v>57.465551236442359</v>
      </c>
      <c r="L665" s="14">
        <v>63.105461642389798</v>
      </c>
      <c r="M665" s="14">
        <v>56.5548</v>
      </c>
      <c r="N665" s="14">
        <f t="shared" si="270"/>
        <v>63.040700000000001</v>
      </c>
      <c r="O665" s="14">
        <f t="shared" si="271"/>
        <v>57.982192157442284</v>
      </c>
      <c r="P665" s="14">
        <f t="shared" si="287"/>
        <v>60.511446078721143</v>
      </c>
      <c r="Q665" s="14">
        <v>57.460710803598445</v>
      </c>
      <c r="R665" s="17">
        <f t="shared" si="272"/>
        <v>42.539289196401555</v>
      </c>
      <c r="S665" s="14">
        <f t="shared" si="288"/>
        <v>0.48285360276761402</v>
      </c>
      <c r="T665" s="13">
        <v>0</v>
      </c>
      <c r="U665" s="13">
        <f t="shared" si="289"/>
        <v>29.218169747788714</v>
      </c>
      <c r="V665" s="13">
        <f>IF($T665=1,$AU665,(VLOOKUP(U665,'Cortes naturales'!$A$35:$C$39,3,9)))</f>
        <v>4</v>
      </c>
      <c r="W665" s="13">
        <v>4</v>
      </c>
      <c r="X665" s="14" t="b">
        <f t="shared" si="273"/>
        <v>1</v>
      </c>
      <c r="Y665" s="17">
        <f>IF($T665=1,$AU665,VLOOKUP(U665,'Cortes naturales'!$A$45:$C$49,3,9))</f>
        <v>3</v>
      </c>
      <c r="Z665" s="14">
        <v>59.445959817956734</v>
      </c>
      <c r="AA665" s="14">
        <v>0.49379212548255469</v>
      </c>
      <c r="AB665" s="14">
        <v>29.353946849859394</v>
      </c>
      <c r="AC665" s="13">
        <v>3</v>
      </c>
      <c r="AD665" s="13">
        <f t="shared" si="274"/>
        <v>0</v>
      </c>
      <c r="AE665" s="14">
        <f t="shared" si="275"/>
        <v>1.0654862607644091</v>
      </c>
      <c r="AF665" s="14">
        <f t="shared" si="276"/>
        <v>-1.0938522714940668E-2</v>
      </c>
      <c r="AG665" s="13">
        <f t="shared" si="277"/>
        <v>-0.13577710207067994</v>
      </c>
      <c r="AH665" s="13">
        <f>IF($T665=1,$AU665,VLOOKUP(U665,'Cortes naturales'!$A$25:$C$29,3,9))</f>
        <v>3</v>
      </c>
      <c r="AI665" s="13" t="b">
        <f t="shared" si="278"/>
        <v>1</v>
      </c>
      <c r="AJ665" s="13">
        <f t="shared" si="279"/>
        <v>0</v>
      </c>
      <c r="AK665" s="28">
        <v>0.81759069605862034</v>
      </c>
      <c r="AL665" s="28">
        <v>48.602463665436019</v>
      </c>
      <c r="AM665" s="28">
        <v>0.43733957678691854</v>
      </c>
      <c r="AN665" s="13">
        <v>3</v>
      </c>
      <c r="AO665" s="33">
        <f t="shared" si="280"/>
        <v>0</v>
      </c>
      <c r="AP665" s="13">
        <f t="shared" si="290"/>
        <v>43.733957678691851</v>
      </c>
      <c r="AQ665" s="13">
        <f>IFERROR(VLOOKUP(U665,'Cortes naturales'!$E$15:$G$19,3,9),U665)</f>
        <v>4</v>
      </c>
      <c r="AR665" s="28">
        <f t="shared" si="281"/>
        <v>-0.33473709329100632</v>
      </c>
      <c r="AS665" s="13" t="b">
        <f t="shared" si="282"/>
        <v>0</v>
      </c>
      <c r="AT665" s="13">
        <f t="shared" si="291"/>
        <v>0</v>
      </c>
      <c r="AU665" s="13">
        <v>3</v>
      </c>
      <c r="AV665">
        <f t="shared" si="283"/>
        <v>0</v>
      </c>
      <c r="AW665" s="13">
        <v>0</v>
      </c>
      <c r="AX665" s="13">
        <v>0</v>
      </c>
      <c r="AY665" s="13">
        <v>0</v>
      </c>
      <c r="AZ665" s="13">
        <v>0</v>
      </c>
      <c r="BA665">
        <v>1</v>
      </c>
      <c r="BB665" t="s">
        <v>2840</v>
      </c>
      <c r="BC665">
        <v>6</v>
      </c>
      <c r="BD665" t="s">
        <v>2919</v>
      </c>
      <c r="BE665">
        <v>0</v>
      </c>
      <c r="BF665" s="232" t="s">
        <v>2846</v>
      </c>
      <c r="BG665" s="232" t="s">
        <v>2845</v>
      </c>
      <c r="BH665" s="253">
        <v>37.299999999999997</v>
      </c>
      <c r="BI665" s="253">
        <v>10.703220903723622</v>
      </c>
      <c r="BJ665" s="25">
        <v>36.145522561605446</v>
      </c>
      <c r="BK665" t="s">
        <v>376</v>
      </c>
      <c r="BL665">
        <v>1.5257763540491684</v>
      </c>
      <c r="BM665" t="s">
        <v>383</v>
      </c>
      <c r="BN665" s="322">
        <v>36818.526593000002</v>
      </c>
      <c r="BO665" s="322">
        <v>3962.1153479999998</v>
      </c>
      <c r="BP665" s="10">
        <v>20493</v>
      </c>
      <c r="BQ665" s="254">
        <f t="shared" si="284"/>
        <v>1.796639174010638</v>
      </c>
      <c r="BR665" s="254">
        <f t="shared" si="285"/>
        <v>0.19333993793002488</v>
      </c>
      <c r="BS665" s="25">
        <v>59.972429721196249</v>
      </c>
      <c r="BT665" s="25">
        <v>94.045121098261191</v>
      </c>
      <c r="BU665" s="25">
        <v>39.163023118660028</v>
      </c>
      <c r="BV665" s="25">
        <v>98.208956667886511</v>
      </c>
      <c r="BW665" s="25">
        <v>66.172130702414123</v>
      </c>
      <c r="BX665" s="25">
        <v>72.847382651500993</v>
      </c>
      <c r="BY665" s="25">
        <v>66.779984923322644</v>
      </c>
      <c r="BZ665">
        <v>13</v>
      </c>
      <c r="CA665">
        <v>0</v>
      </c>
      <c r="CB665">
        <v>6</v>
      </c>
      <c r="CC665">
        <v>49894.378850000001</v>
      </c>
      <c r="CD665" s="10">
        <v>18526.730341999999</v>
      </c>
      <c r="CE665" s="255">
        <v>0.37131898961399734</v>
      </c>
      <c r="CF665" t="str">
        <f>IFERROR(VLOOKUP(CE665,'Rangos amb etnico'!$A$2:$C$6,3,9),"N.D.")</f>
        <v>31% - 50%</v>
      </c>
      <c r="CG665" s="256">
        <v>5.3901242521992368E-4</v>
      </c>
      <c r="CH665" s="232">
        <v>0</v>
      </c>
      <c r="CI665" s="311">
        <f t="shared" si="292"/>
        <v>0</v>
      </c>
      <c r="CJ665" s="232">
        <f>IFERROR(VLOOKUP(CI665,'Rangos amb etnico'!$A$2:$C$6,3,9),"N.D.")</f>
        <v>0</v>
      </c>
      <c r="CK665" s="311">
        <f t="shared" si="293"/>
        <v>0</v>
      </c>
      <c r="CL665" s="10">
        <v>0</v>
      </c>
      <c r="CM665" s="255">
        <f t="shared" si="294"/>
        <v>0</v>
      </c>
      <c r="CN665" s="232">
        <f>IFERROR(VLOOKUP(CM665,'Rangos amb etnico'!$A$2:$C$6,3,9),"N.D.")</f>
        <v>0</v>
      </c>
      <c r="CO665" s="311">
        <f t="shared" si="295"/>
        <v>0</v>
      </c>
      <c r="CP665">
        <v>0.91015757945086728</v>
      </c>
      <c r="CQ665" t="s">
        <v>2864</v>
      </c>
      <c r="CR665">
        <f t="shared" si="286"/>
        <v>3</v>
      </c>
      <c r="CS665" t="str">
        <f t="shared" si="296"/>
        <v>Candidato</v>
      </c>
      <c r="CT665">
        <v>0</v>
      </c>
      <c r="CU665">
        <v>0</v>
      </c>
      <c r="CV665" s="25">
        <v>52.022377014160163</v>
      </c>
      <c r="CW665" s="25">
        <v>18.4705696105957</v>
      </c>
      <c r="CX665" s="25">
        <v>51.116252899169922</v>
      </c>
      <c r="CY665" s="25">
        <v>54.124771118164063</v>
      </c>
      <c r="CZ665" s="25">
        <v>33.896064758300781</v>
      </c>
      <c r="DA665" s="25">
        <v>92.515777587890625</v>
      </c>
      <c r="DB665" s="25">
        <v>62.010818481445313</v>
      </c>
      <c r="DC665">
        <v>391</v>
      </c>
      <c r="DD665" s="253" t="s">
        <v>380</v>
      </c>
    </row>
    <row r="666" spans="1:108" hidden="1">
      <c r="A666" s="13">
        <v>73152</v>
      </c>
      <c r="B666" s="13" t="s">
        <v>1770</v>
      </c>
      <c r="C666" s="13" t="s">
        <v>595</v>
      </c>
      <c r="D666" s="13" t="s">
        <v>596</v>
      </c>
      <c r="E666" s="13" t="s">
        <v>1771</v>
      </c>
      <c r="F666" s="14">
        <v>55.659333333333301</v>
      </c>
      <c r="G666" s="13">
        <v>45.09</v>
      </c>
      <c r="H666" s="13">
        <v>45.65</v>
      </c>
      <c r="I666" s="13">
        <v>49.17</v>
      </c>
      <c r="J666" s="14">
        <v>45.397619821478692</v>
      </c>
      <c r="K666" s="14">
        <v>42.908674490655386</v>
      </c>
      <c r="L666" s="14">
        <v>42.050164105067893</v>
      </c>
      <c r="M666" s="14">
        <v>54.486800000000002</v>
      </c>
      <c r="N666" s="14">
        <f t="shared" si="270"/>
        <v>48.892333333333326</v>
      </c>
      <c r="O666" s="14">
        <f t="shared" si="271"/>
        <v>46.210814604300495</v>
      </c>
      <c r="P666" s="14">
        <f t="shared" si="287"/>
        <v>47.551573968816911</v>
      </c>
      <c r="Q666" s="14">
        <v>57.442623049945041</v>
      </c>
      <c r="R666" s="17">
        <f t="shared" si="272"/>
        <v>42.557376950054959</v>
      </c>
      <c r="S666" s="14">
        <f t="shared" si="288"/>
        <v>0.48301639255049467</v>
      </c>
      <c r="T666" s="13">
        <v>0</v>
      </c>
      <c r="U666" s="13">
        <f t="shared" si="289"/>
        <v>22.968189718515951</v>
      </c>
      <c r="V666" s="13">
        <f>IF($T666=1,$AU666,(VLOOKUP(U666,'Cortes naturales'!$A$35:$C$39,3,9)))</f>
        <v>4</v>
      </c>
      <c r="W666" s="13">
        <v>4</v>
      </c>
      <c r="X666" s="14" t="b">
        <f t="shared" si="273"/>
        <v>1</v>
      </c>
      <c r="Y666" s="17">
        <f>IF($T666=1,$AU666,VLOOKUP(U666,'Cortes naturales'!$A$45:$C$49,3,9))</f>
        <v>4</v>
      </c>
      <c r="Z666" s="14">
        <v>47.460592374047259</v>
      </c>
      <c r="AA666" s="14">
        <v>0.49259786623869473</v>
      </c>
      <c r="AB666" s="14">
        <v>23.378986533880148</v>
      </c>
      <c r="AC666" s="13">
        <v>4</v>
      </c>
      <c r="AD666" s="13">
        <f t="shared" si="274"/>
        <v>0</v>
      </c>
      <c r="AE666" s="14">
        <f t="shared" si="275"/>
        <v>9.0981594769651508E-2</v>
      </c>
      <c r="AF666" s="14">
        <f t="shared" si="276"/>
        <v>-9.5814736882000595E-3</v>
      </c>
      <c r="AG666" s="13">
        <f t="shared" si="277"/>
        <v>-0.41079681536419699</v>
      </c>
      <c r="AH666" s="13">
        <f>IF($T666=1,$AU666,VLOOKUP(U666,'Cortes naturales'!$A$25:$C$29,3,9))</f>
        <v>4</v>
      </c>
      <c r="AI666" s="13" t="b">
        <f t="shared" si="278"/>
        <v>1</v>
      </c>
      <c r="AJ666" s="13">
        <f t="shared" si="279"/>
        <v>0</v>
      </c>
      <c r="AK666" s="28">
        <v>0.81759069605862034</v>
      </c>
      <c r="AL666" s="28">
        <v>38.803338754451744</v>
      </c>
      <c r="AM666" s="28">
        <v>0.31476285340178706</v>
      </c>
      <c r="AN666" s="13">
        <v>4</v>
      </c>
      <c r="AO666" s="33">
        <f t="shared" si="280"/>
        <v>0</v>
      </c>
      <c r="AP666" s="13">
        <f t="shared" si="290"/>
        <v>31.476285340178705</v>
      </c>
      <c r="AQ666" s="13">
        <f>IFERROR(VLOOKUP(U666,'Cortes naturales'!$E$15:$G$19,3,9),U666)</f>
        <v>4</v>
      </c>
      <c r="AR666" s="28">
        <f t="shared" si="281"/>
        <v>-0.33457430350812567</v>
      </c>
      <c r="AS666" s="13" t="b">
        <f t="shared" si="282"/>
        <v>1</v>
      </c>
      <c r="AT666" s="13">
        <f t="shared" si="291"/>
        <v>0</v>
      </c>
      <c r="AU666" s="13">
        <v>3</v>
      </c>
      <c r="AV666">
        <f t="shared" si="283"/>
        <v>-1</v>
      </c>
      <c r="AW666" s="13">
        <v>0</v>
      </c>
      <c r="AX666" s="13">
        <v>0</v>
      </c>
      <c r="AY666" s="13">
        <v>0</v>
      </c>
      <c r="AZ666" s="13">
        <v>0</v>
      </c>
      <c r="BA666">
        <v>1</v>
      </c>
      <c r="BB666" t="s">
        <v>2841</v>
      </c>
      <c r="BC666">
        <v>6</v>
      </c>
      <c r="BD666" t="s">
        <v>2919</v>
      </c>
      <c r="BE666">
        <v>0</v>
      </c>
      <c r="BF666" s="232" t="s">
        <v>2846</v>
      </c>
      <c r="BG666" s="232" t="s">
        <v>2846</v>
      </c>
      <c r="BH666" s="253">
        <v>43.8</v>
      </c>
      <c r="BI666" s="253">
        <v>14.901746724890829</v>
      </c>
      <c r="BJ666" s="25">
        <v>53.336502399696151</v>
      </c>
      <c r="BK666" t="s">
        <v>376</v>
      </c>
      <c r="BL666">
        <v>7.0103578409533753</v>
      </c>
      <c r="BM666" t="s">
        <v>379</v>
      </c>
      <c r="BN666" s="322">
        <v>18490.641060999998</v>
      </c>
      <c r="BO666" s="322">
        <v>1692.0355039999999</v>
      </c>
      <c r="BP666" s="10">
        <v>6590</v>
      </c>
      <c r="BQ666" s="254">
        <f t="shared" si="284"/>
        <v>2.8058635904400604</v>
      </c>
      <c r="BR666" s="254">
        <f t="shared" si="285"/>
        <v>0.25675804309559941</v>
      </c>
      <c r="BS666" s="25">
        <v>62.237758185683163</v>
      </c>
      <c r="BT666" s="25">
        <v>95.735241461810844</v>
      </c>
      <c r="BU666" s="25">
        <v>37.951734576992301</v>
      </c>
      <c r="BV666" s="25">
        <v>94.575843061375394</v>
      </c>
      <c r="BW666" s="25">
        <v>56.268929009737363</v>
      </c>
      <c r="BX666" s="25">
        <v>72.625144321465427</v>
      </c>
      <c r="BY666" s="25">
        <v>55.444040922934143</v>
      </c>
      <c r="BZ666">
        <v>89</v>
      </c>
      <c r="CA666">
        <v>0</v>
      </c>
      <c r="CB666">
        <v>7</v>
      </c>
      <c r="CC666">
        <v>17483.995692</v>
      </c>
      <c r="CD666" s="10">
        <v>10611.660323</v>
      </c>
      <c r="CE666" s="255">
        <v>0.6069356518919462</v>
      </c>
      <c r="CF666" t="str">
        <f>IFERROR(VLOOKUP(CE666,'Rangos amb etnico'!$A$2:$C$6,3,9),"N.D.")</f>
        <v>51% - 70%</v>
      </c>
      <c r="CG666" s="256">
        <v>3.0873320120299236E-4</v>
      </c>
      <c r="CH666" s="232">
        <v>0</v>
      </c>
      <c r="CI666" s="311">
        <f t="shared" si="292"/>
        <v>0</v>
      </c>
      <c r="CJ666" s="232">
        <f>IFERROR(VLOOKUP(CI666,'Rangos amb etnico'!$A$2:$C$6,3,9),"N.D.")</f>
        <v>0</v>
      </c>
      <c r="CK666" s="311">
        <f t="shared" si="293"/>
        <v>0</v>
      </c>
      <c r="CL666" s="10">
        <v>0</v>
      </c>
      <c r="CM666" s="255">
        <f t="shared" si="294"/>
        <v>0</v>
      </c>
      <c r="CN666" s="232">
        <f>IFERROR(VLOOKUP(CM666,'Rangos amb etnico'!$A$2:$C$6,3,9),"N.D.")</f>
        <v>0</v>
      </c>
      <c r="CO666" s="311">
        <f t="shared" si="295"/>
        <v>0</v>
      </c>
      <c r="CP666">
        <v>0.93671799846225778</v>
      </c>
      <c r="CQ666" t="s">
        <v>2864</v>
      </c>
      <c r="CR666">
        <f t="shared" si="286"/>
        <v>1</v>
      </c>
      <c r="CS666" t="str">
        <f t="shared" si="296"/>
        <v>No es Candidato</v>
      </c>
      <c r="CT666">
        <v>0</v>
      </c>
      <c r="CU666">
        <v>0</v>
      </c>
      <c r="CV666" s="25">
        <v>47.041328430175781</v>
      </c>
      <c r="CW666" s="25">
        <v>15.663876533508301</v>
      </c>
      <c r="CX666" s="25">
        <v>50.212478637695313</v>
      </c>
      <c r="CY666" s="25">
        <v>52.510299682617188</v>
      </c>
      <c r="CZ666" s="25">
        <v>35.529209136962891</v>
      </c>
      <c r="DA666" s="25">
        <v>66.4979248046875</v>
      </c>
      <c r="DB666" s="25">
        <v>61.834178924560547</v>
      </c>
      <c r="DC666">
        <v>41</v>
      </c>
      <c r="DD666" s="253" t="s">
        <v>380</v>
      </c>
    </row>
    <row r="667" spans="1:108" hidden="1">
      <c r="A667" s="13">
        <v>20750</v>
      </c>
      <c r="B667" s="13" t="s">
        <v>1772</v>
      </c>
      <c r="C667" s="13" t="s">
        <v>893</v>
      </c>
      <c r="D667" s="13" t="s">
        <v>894</v>
      </c>
      <c r="E667" s="13" t="s">
        <v>1773</v>
      </c>
      <c r="F667" s="14">
        <v>72.256733333333301</v>
      </c>
      <c r="G667" s="13">
        <v>57.77</v>
      </c>
      <c r="H667" s="13">
        <v>55.35</v>
      </c>
      <c r="I667" s="13">
        <v>52.17</v>
      </c>
      <c r="J667" s="14">
        <v>39.820261552394726</v>
      </c>
      <c r="K667" s="14">
        <v>61.138433359805759</v>
      </c>
      <c r="L667" s="14">
        <v>55.467883317187429</v>
      </c>
      <c r="M667" s="14">
        <v>59.343499999999999</v>
      </c>
      <c r="N667" s="14">
        <f t="shared" si="270"/>
        <v>59.386683333333323</v>
      </c>
      <c r="O667" s="14">
        <f t="shared" si="271"/>
        <v>53.942519557346984</v>
      </c>
      <c r="P667" s="14">
        <f t="shared" si="287"/>
        <v>56.664601445340153</v>
      </c>
      <c r="Q667" s="14">
        <v>56.627834258330012</v>
      </c>
      <c r="R667" s="17">
        <f t="shared" si="272"/>
        <v>43.372165741669988</v>
      </c>
      <c r="S667" s="14">
        <f t="shared" si="288"/>
        <v>0.49034949167502995</v>
      </c>
      <c r="T667" s="13">
        <v>0</v>
      </c>
      <c r="U667" s="13">
        <f t="shared" si="289"/>
        <v>27.78545851469071</v>
      </c>
      <c r="V667" s="13">
        <f>IF($T667=1,$AU667,(VLOOKUP(U667,'Cortes naturales'!$A$35:$C$39,3,9)))</f>
        <v>4</v>
      </c>
      <c r="W667" s="13">
        <v>4</v>
      </c>
      <c r="X667" s="14" t="b">
        <f t="shared" si="273"/>
        <v>1</v>
      </c>
      <c r="Y667" s="17">
        <f>IF($T667=1,$AU667,VLOOKUP(U667,'Cortes naturales'!$A$45:$C$49,3,9))</f>
        <v>4</v>
      </c>
      <c r="Z667" s="14">
        <v>58.223730473100026</v>
      </c>
      <c r="AA667" s="14">
        <v>0.49294409785711979</v>
      </c>
      <c r="AB667" s="14">
        <v>28.701044291938388</v>
      </c>
      <c r="AC667" s="13">
        <v>3</v>
      </c>
      <c r="AD667" s="13">
        <f t="shared" si="274"/>
        <v>-1</v>
      </c>
      <c r="AE667" s="14">
        <f t="shared" si="275"/>
        <v>-1.5591290277598731</v>
      </c>
      <c r="AF667" s="14">
        <f t="shared" si="276"/>
        <v>-2.5946061820898425E-3</v>
      </c>
      <c r="AG667" s="13">
        <f t="shared" si="277"/>
        <v>-0.91558577724767787</v>
      </c>
      <c r="AH667" s="13">
        <f>IF($T667=1,$AU667,VLOOKUP(U667,'Cortes naturales'!$A$25:$C$29,3,9))</f>
        <v>3</v>
      </c>
      <c r="AI667" s="13" t="b">
        <f t="shared" si="278"/>
        <v>0</v>
      </c>
      <c r="AJ667" s="13" t="str">
        <f t="shared" si="279"/>
        <v>Cambio en corte</v>
      </c>
      <c r="AK667" s="28">
        <v>0.81759069605862034</v>
      </c>
      <c r="AL667" s="28">
        <v>47.603180324631353</v>
      </c>
      <c r="AM667" s="28">
        <v>0.4248395955373806</v>
      </c>
      <c r="AN667" s="13">
        <v>3</v>
      </c>
      <c r="AO667" s="33">
        <f t="shared" si="280"/>
        <v>-1</v>
      </c>
      <c r="AP667" s="13">
        <f t="shared" si="290"/>
        <v>42.48395955373806</v>
      </c>
      <c r="AQ667" s="13">
        <f>IFERROR(VLOOKUP(U667,'Cortes naturales'!$E$15:$G$19,3,9),U667)</f>
        <v>4</v>
      </c>
      <c r="AR667" s="28">
        <f t="shared" si="281"/>
        <v>-0.32724120438359039</v>
      </c>
      <c r="AS667" s="13" t="b">
        <f t="shared" si="282"/>
        <v>1</v>
      </c>
      <c r="AT667" s="13" t="str">
        <f t="shared" si="291"/>
        <v>Efecto ponderador</v>
      </c>
      <c r="AU667" s="13">
        <v>3</v>
      </c>
      <c r="AV667">
        <f t="shared" si="283"/>
        <v>-1</v>
      </c>
      <c r="AW667" s="13">
        <v>0</v>
      </c>
      <c r="AX667" s="13">
        <v>0</v>
      </c>
      <c r="AY667" s="13">
        <v>0</v>
      </c>
      <c r="AZ667" s="13">
        <v>1</v>
      </c>
      <c r="BA667">
        <v>1</v>
      </c>
      <c r="BB667" t="s">
        <v>2840</v>
      </c>
      <c r="BC667">
        <v>6</v>
      </c>
      <c r="BD667" t="s">
        <v>2919</v>
      </c>
      <c r="BE667">
        <v>1</v>
      </c>
      <c r="BF667" s="232" t="s">
        <v>2846</v>
      </c>
      <c r="BG667" s="232" t="s">
        <v>2845</v>
      </c>
      <c r="BH667" s="253">
        <v>40.700000000000003</v>
      </c>
      <c r="BI667" s="253">
        <v>22.520237452779277</v>
      </c>
      <c r="BJ667" s="25">
        <v>13.912608695652175</v>
      </c>
      <c r="BK667" t="s">
        <v>377</v>
      </c>
      <c r="BL667">
        <v>2.2455372009819516</v>
      </c>
      <c r="BM667" t="s">
        <v>383</v>
      </c>
      <c r="BN667" s="322">
        <v>49084.436355999998</v>
      </c>
      <c r="BO667" s="322">
        <v>3492.1088089999998</v>
      </c>
      <c r="BP667" s="10">
        <v>23324</v>
      </c>
      <c r="BQ667" s="254">
        <f t="shared" si="284"/>
        <v>2.1044604851654949</v>
      </c>
      <c r="BR667" s="254">
        <f t="shared" si="285"/>
        <v>0.14972169477791117</v>
      </c>
      <c r="BS667" s="25">
        <v>64.154188361689123</v>
      </c>
      <c r="BT667" s="25">
        <v>93.438804093065798</v>
      </c>
      <c r="BU667" s="25">
        <v>50.689641873278241</v>
      </c>
      <c r="BV667" s="25">
        <v>93.011880144538097</v>
      </c>
      <c r="BW667" s="25">
        <v>42.695387649494997</v>
      </c>
      <c r="BX667" s="25">
        <v>75.32362861814282</v>
      </c>
      <c r="BY667" s="25">
        <v>42.781020363331663</v>
      </c>
      <c r="BZ667">
        <v>47</v>
      </c>
      <c r="CA667">
        <v>0</v>
      </c>
      <c r="CB667">
        <v>7</v>
      </c>
      <c r="CC667">
        <v>64488.180290999997</v>
      </c>
      <c r="CD667" s="10">
        <v>14979.326015000001</v>
      </c>
      <c r="CE667" s="255">
        <v>0.2322801782808333</v>
      </c>
      <c r="CF667" t="str">
        <f>IFERROR(VLOOKUP(CE667,'Rangos amb etnico'!$A$2:$C$6,3,9),"N.D.")</f>
        <v>0,1% - 30%</v>
      </c>
      <c r="CG667" s="256">
        <v>4.3580506082075549E-4</v>
      </c>
      <c r="CH667" s="232">
        <v>0</v>
      </c>
      <c r="CI667" s="311">
        <f t="shared" si="292"/>
        <v>0</v>
      </c>
      <c r="CJ667" s="232">
        <f>IFERROR(VLOOKUP(CI667,'Rangos amb etnico'!$A$2:$C$6,3,9),"N.D.")</f>
        <v>0</v>
      </c>
      <c r="CK667" s="311">
        <f t="shared" si="293"/>
        <v>0</v>
      </c>
      <c r="CL667" s="10">
        <v>0</v>
      </c>
      <c r="CM667" s="255">
        <f t="shared" si="294"/>
        <v>0</v>
      </c>
      <c r="CN667" s="232">
        <f>IFERROR(VLOOKUP(CM667,'Rangos amb etnico'!$A$2:$C$6,3,9),"N.D.")</f>
        <v>0</v>
      </c>
      <c r="CO667" s="311">
        <f t="shared" si="295"/>
        <v>0</v>
      </c>
      <c r="CP667">
        <v>0.88409645947859339</v>
      </c>
      <c r="CQ667" t="s">
        <v>2864</v>
      </c>
      <c r="CR667">
        <f t="shared" si="286"/>
        <v>1</v>
      </c>
      <c r="CS667" t="str">
        <f t="shared" si="296"/>
        <v>No es Candidato</v>
      </c>
      <c r="CT667">
        <v>1</v>
      </c>
      <c r="CU667" t="s">
        <v>2836</v>
      </c>
      <c r="CV667" s="25">
        <v>42.170848846435547</v>
      </c>
      <c r="CW667" s="25">
        <v>27.903791427612301</v>
      </c>
      <c r="CX667" s="25">
        <v>50.028999328613281</v>
      </c>
      <c r="CY667" s="25">
        <v>51.339126586914063</v>
      </c>
      <c r="CZ667" s="25">
        <v>18.459421157836911</v>
      </c>
      <c r="DA667" s="25">
        <v>54.237510681152337</v>
      </c>
      <c r="DB667" s="25">
        <v>51.056243896484382</v>
      </c>
      <c r="DC667">
        <v>812</v>
      </c>
      <c r="DD667" s="253" t="s">
        <v>380</v>
      </c>
    </row>
    <row r="668" spans="1:108" hidden="1">
      <c r="A668" s="13">
        <v>20032</v>
      </c>
      <c r="B668" s="13" t="s">
        <v>1774</v>
      </c>
      <c r="C668" s="13" t="s">
        <v>893</v>
      </c>
      <c r="D668" s="13" t="s">
        <v>894</v>
      </c>
      <c r="E668" s="13" t="s">
        <v>1775</v>
      </c>
      <c r="F668" s="14">
        <v>47.772033333333297</v>
      </c>
      <c r="G668" s="13">
        <v>79.22</v>
      </c>
      <c r="H668" s="13">
        <v>37.08</v>
      </c>
      <c r="I668" s="13">
        <v>39.770000000000003</v>
      </c>
      <c r="J668" s="14">
        <v>40.503399406040117</v>
      </c>
      <c r="K668" s="14">
        <v>55.644593651951219</v>
      </c>
      <c r="L668" s="14">
        <v>47.049379496357261</v>
      </c>
      <c r="M668" s="14">
        <v>51.996899999999997</v>
      </c>
      <c r="N668" s="14">
        <f t="shared" si="270"/>
        <v>50.96050833333333</v>
      </c>
      <c r="O668" s="14">
        <f t="shared" si="271"/>
        <v>48.798568138587143</v>
      </c>
      <c r="P668" s="14">
        <f t="shared" si="287"/>
        <v>49.87953823596024</v>
      </c>
      <c r="Q668" s="14">
        <v>57.616768796213904</v>
      </c>
      <c r="R668" s="17">
        <f t="shared" si="272"/>
        <v>42.383231203786096</v>
      </c>
      <c r="S668" s="14">
        <f t="shared" si="288"/>
        <v>0.48144908083407489</v>
      </c>
      <c r="T668" s="13">
        <v>0</v>
      </c>
      <c r="U668" s="13">
        <f t="shared" si="289"/>
        <v>24.01445783613115</v>
      </c>
      <c r="V668" s="13">
        <f>IF($T668=1,$AU668,(VLOOKUP(U668,'Cortes naturales'!$A$35:$C$39,3,9)))</f>
        <v>4</v>
      </c>
      <c r="W668" s="13">
        <v>4</v>
      </c>
      <c r="X668" s="14" t="b">
        <f t="shared" si="273"/>
        <v>1</v>
      </c>
      <c r="Y668" s="17">
        <f>IF($T668=1,$AU668,VLOOKUP(U668,'Cortes naturales'!$A$45:$C$49,3,9))</f>
        <v>4</v>
      </c>
      <c r="Z668" s="14">
        <v>49.710885237021415</v>
      </c>
      <c r="AA668" s="14">
        <v>0.49133100913083627</v>
      </c>
      <c r="AB668" s="14">
        <v>24.424499408292924</v>
      </c>
      <c r="AC668" s="13">
        <v>4</v>
      </c>
      <c r="AD668" s="13">
        <f t="shared" si="274"/>
        <v>0</v>
      </c>
      <c r="AE668" s="14">
        <f t="shared" si="275"/>
        <v>0.16865299893882479</v>
      </c>
      <c r="AF668" s="14">
        <f t="shared" si="276"/>
        <v>-9.8819282967613775E-3</v>
      </c>
      <c r="AG668" s="13">
        <f t="shared" si="277"/>
        <v>-0.41004157216177362</v>
      </c>
      <c r="AH668" s="13">
        <f>IF($T668=1,$AU668,VLOOKUP(U668,'Cortes naturales'!$A$25:$C$29,3,9))</f>
        <v>4</v>
      </c>
      <c r="AI668" s="13" t="b">
        <f t="shared" si="278"/>
        <v>1</v>
      </c>
      <c r="AJ668" s="13">
        <f t="shared" si="279"/>
        <v>0</v>
      </c>
      <c r="AK668" s="28">
        <v>0.81759069605862034</v>
      </c>
      <c r="AL668" s="28">
        <v>40.643157262626531</v>
      </c>
      <c r="AM668" s="28">
        <v>0.33777704358754457</v>
      </c>
      <c r="AN668" s="13">
        <v>4</v>
      </c>
      <c r="AO668" s="33">
        <f t="shared" si="280"/>
        <v>0</v>
      </c>
      <c r="AP668" s="13">
        <f t="shared" si="290"/>
        <v>33.777704358754455</v>
      </c>
      <c r="AQ668" s="13">
        <f>IFERROR(VLOOKUP(U668,'Cortes naturales'!$E$15:$G$19,3,9),U668)</f>
        <v>4</v>
      </c>
      <c r="AR668" s="28">
        <f t="shared" si="281"/>
        <v>-0.33614161522454544</v>
      </c>
      <c r="AS668" s="13" t="b">
        <f t="shared" si="282"/>
        <v>1</v>
      </c>
      <c r="AT668" s="13">
        <f t="shared" si="291"/>
        <v>0</v>
      </c>
      <c r="AU668" s="13">
        <v>4</v>
      </c>
      <c r="AV668">
        <f t="shared" si="283"/>
        <v>0</v>
      </c>
      <c r="AW668" s="13">
        <v>0</v>
      </c>
      <c r="AX668" s="13">
        <v>0</v>
      </c>
      <c r="AY668" s="13">
        <v>0</v>
      </c>
      <c r="AZ668" s="13">
        <v>0</v>
      </c>
      <c r="BA668">
        <v>0</v>
      </c>
      <c r="BB668" t="s">
        <v>2840</v>
      </c>
      <c r="BC668">
        <v>6</v>
      </c>
      <c r="BD668" t="s">
        <v>2919</v>
      </c>
      <c r="BE668">
        <v>0</v>
      </c>
      <c r="BF668" s="232" t="s">
        <v>2846</v>
      </c>
      <c r="BG668" s="232" t="s">
        <v>2845</v>
      </c>
      <c r="BH668" s="253">
        <v>52.8</v>
      </c>
      <c r="BI668" s="253">
        <v>37.750895085168708</v>
      </c>
      <c r="BJ668" s="25">
        <v>59.343210872675243</v>
      </c>
      <c r="BK668" t="s">
        <v>376</v>
      </c>
      <c r="BL668">
        <v>4.793646973436517</v>
      </c>
      <c r="BM668" t="s">
        <v>383</v>
      </c>
      <c r="BN668" s="322">
        <v>42553.708958000003</v>
      </c>
      <c r="BO668" s="322">
        <v>3461.8834550000001</v>
      </c>
      <c r="BP668" s="10">
        <v>22144</v>
      </c>
      <c r="BQ668" s="254">
        <f t="shared" si="284"/>
        <v>1.9216812210079481</v>
      </c>
      <c r="BR668" s="254">
        <f t="shared" si="285"/>
        <v>0.15633505486813584</v>
      </c>
      <c r="BS668" s="25">
        <v>58.383049263908497</v>
      </c>
      <c r="BT668" s="25">
        <v>95.009550500963385</v>
      </c>
      <c r="BU668" s="25">
        <v>50.368393068560962</v>
      </c>
      <c r="BV668" s="25">
        <v>92.507225556931928</v>
      </c>
      <c r="BW668" s="25">
        <v>47.566062554491133</v>
      </c>
      <c r="BX668" s="25">
        <v>74.067054597591181</v>
      </c>
      <c r="BY668" s="25">
        <v>47.908376582987913</v>
      </c>
      <c r="BZ668">
        <v>47</v>
      </c>
      <c r="CA668">
        <v>0</v>
      </c>
      <c r="CB668">
        <v>7</v>
      </c>
      <c r="CC668">
        <v>63704.714943999999</v>
      </c>
      <c r="CD668" s="10">
        <v>1787.9531959999999</v>
      </c>
      <c r="CE668" s="255">
        <v>2.8066261619280622E-2</v>
      </c>
      <c r="CF668" t="str">
        <f>IFERROR(VLOOKUP(CE668,'Rangos amb etnico'!$A$2:$C$6,3,9),"N.D.")</f>
        <v>0,1% - 30%</v>
      </c>
      <c r="CG668" s="256">
        <v>5.2018298456630797E-5</v>
      </c>
      <c r="CH668" s="232">
        <v>0</v>
      </c>
      <c r="CI668" s="311">
        <f t="shared" si="292"/>
        <v>0</v>
      </c>
      <c r="CJ668" s="232">
        <f>IFERROR(VLOOKUP(CI668,'Rangos amb etnico'!$A$2:$C$6,3,9),"N.D.")</f>
        <v>0</v>
      </c>
      <c r="CK668" s="311">
        <f t="shared" si="293"/>
        <v>0</v>
      </c>
      <c r="CL668" s="10">
        <v>0</v>
      </c>
      <c r="CM668" s="255">
        <f t="shared" si="294"/>
        <v>0</v>
      </c>
      <c r="CN668" s="232">
        <f>IFERROR(VLOOKUP(CM668,'Rangos amb etnico'!$A$2:$C$6,3,9),"N.D.")</f>
        <v>0</v>
      </c>
      <c r="CO668" s="311">
        <f t="shared" si="295"/>
        <v>0</v>
      </c>
      <c r="CP668">
        <v>0.87448000430452821</v>
      </c>
      <c r="CQ668" t="s">
        <v>2864</v>
      </c>
      <c r="CR668">
        <f t="shared" si="286"/>
        <v>1</v>
      </c>
      <c r="CS668" t="str">
        <f t="shared" si="296"/>
        <v>No es Candidato</v>
      </c>
      <c r="CT668">
        <v>0</v>
      </c>
      <c r="CU668">
        <v>0</v>
      </c>
      <c r="CV668" s="25">
        <v>36.812026977539063</v>
      </c>
      <c r="CW668" s="25">
        <v>16.960561752319339</v>
      </c>
      <c r="CX668" s="25">
        <v>45.260227203369141</v>
      </c>
      <c r="CY668" s="25">
        <v>39.585708618164063</v>
      </c>
      <c r="CZ668" s="25">
        <v>5.5129451751708984</v>
      </c>
      <c r="DA668" s="25">
        <v>64.1727294921875</v>
      </c>
      <c r="DB668" s="25">
        <v>49.379997253417969</v>
      </c>
      <c r="DC668">
        <v>4484</v>
      </c>
      <c r="DD668" s="253" t="s">
        <v>380</v>
      </c>
    </row>
    <row r="669" spans="1:108" hidden="1">
      <c r="A669" s="13">
        <v>73055</v>
      </c>
      <c r="B669" s="13" t="s">
        <v>1776</v>
      </c>
      <c r="C669" s="13" t="s">
        <v>595</v>
      </c>
      <c r="D669" s="13" t="s">
        <v>596</v>
      </c>
      <c r="E669" s="13" t="s">
        <v>1777</v>
      </c>
      <c r="F669" s="14">
        <v>55.821033333333297</v>
      </c>
      <c r="G669" s="13">
        <v>44.02</v>
      </c>
      <c r="H669" s="13">
        <v>50.32</v>
      </c>
      <c r="I669" s="13">
        <v>53.13</v>
      </c>
      <c r="J669" s="14">
        <v>61.057967101452753</v>
      </c>
      <c r="K669" s="14">
        <v>52.008034743284625</v>
      </c>
      <c r="L669" s="14">
        <v>51.951173752599814</v>
      </c>
      <c r="M669" s="14">
        <v>48.297699999999999</v>
      </c>
      <c r="N669" s="14">
        <f t="shared" si="270"/>
        <v>50.822758333333326</v>
      </c>
      <c r="O669" s="14">
        <f t="shared" si="271"/>
        <v>53.328718899334298</v>
      </c>
      <c r="P669" s="14">
        <f t="shared" si="287"/>
        <v>52.075738616333808</v>
      </c>
      <c r="Q669" s="14">
        <v>58.037030030656034</v>
      </c>
      <c r="R669" s="17">
        <f t="shared" si="272"/>
        <v>41.962969969343966</v>
      </c>
      <c r="S669" s="14">
        <f t="shared" si="288"/>
        <v>0.47766672972409574</v>
      </c>
      <c r="T669" s="13">
        <v>0</v>
      </c>
      <c r="U669" s="13">
        <f t="shared" si="289"/>
        <v>24.874847762830978</v>
      </c>
      <c r="V669" s="13">
        <f>IF($T669=1,$AU669,(VLOOKUP(U669,'Cortes naturales'!$A$35:$C$39,3,9)))</f>
        <v>4</v>
      </c>
      <c r="W669" s="13">
        <v>4</v>
      </c>
      <c r="X669" s="14" t="b">
        <f t="shared" si="273"/>
        <v>1</v>
      </c>
      <c r="Y669" s="17">
        <f>IF($T669=1,$AU669,VLOOKUP(U669,'Cortes naturales'!$A$45:$C$49,3,9))</f>
        <v>4</v>
      </c>
      <c r="Z669" s="14">
        <v>53.640440603365597</v>
      </c>
      <c r="AA669" s="14">
        <v>0.48871796734868489</v>
      </c>
      <c r="AB669" s="14">
        <v>26.2150470993647</v>
      </c>
      <c r="AC669" s="13">
        <v>4</v>
      </c>
      <c r="AD669" s="13">
        <f t="shared" si="274"/>
        <v>0</v>
      </c>
      <c r="AE669" s="14">
        <f t="shared" si="275"/>
        <v>-1.5647019870317891</v>
      </c>
      <c r="AF669" s="14">
        <f t="shared" si="276"/>
        <v>-1.105123762458915E-2</v>
      </c>
      <c r="AG669" s="13">
        <f t="shared" si="277"/>
        <v>-1.3401993365337219</v>
      </c>
      <c r="AH669" s="13">
        <f>IF($T669=1,$AU669,VLOOKUP(U669,'Cortes naturales'!$A$25:$C$29,3,9))</f>
        <v>4</v>
      </c>
      <c r="AI669" s="13" t="b">
        <f t="shared" si="278"/>
        <v>1</v>
      </c>
      <c r="AJ669" s="13">
        <f t="shared" si="279"/>
        <v>0</v>
      </c>
      <c r="AK669" s="28">
        <v>0.81759069605862034</v>
      </c>
      <c r="AL669" s="28">
        <v>43.855925169796762</v>
      </c>
      <c r="AM669" s="28">
        <v>0.37796538352965442</v>
      </c>
      <c r="AN669" s="13">
        <v>3</v>
      </c>
      <c r="AO669" s="33">
        <f t="shared" si="280"/>
        <v>-1</v>
      </c>
      <c r="AP669" s="13">
        <f t="shared" si="290"/>
        <v>37.796538352965442</v>
      </c>
      <c r="AQ669" s="13">
        <f>IFERROR(VLOOKUP(U669,'Cortes naturales'!$E$15:$G$19,3,9),U669)</f>
        <v>4</v>
      </c>
      <c r="AR669" s="28">
        <f t="shared" si="281"/>
        <v>-0.3399239663345246</v>
      </c>
      <c r="AS669" s="13" t="b">
        <f t="shared" si="282"/>
        <v>1</v>
      </c>
      <c r="AT669" s="13" t="str">
        <f t="shared" si="291"/>
        <v>Efecto ponderador</v>
      </c>
      <c r="AU669" s="13">
        <v>3</v>
      </c>
      <c r="AV669">
        <f t="shared" si="283"/>
        <v>-1</v>
      </c>
      <c r="AW669" s="13">
        <v>0</v>
      </c>
      <c r="AX669" s="13">
        <v>0</v>
      </c>
      <c r="AY669" s="13">
        <v>0</v>
      </c>
      <c r="AZ669" s="13">
        <v>0</v>
      </c>
      <c r="BA669">
        <v>0</v>
      </c>
      <c r="BB669" t="s">
        <v>2840</v>
      </c>
      <c r="BC669">
        <v>6</v>
      </c>
      <c r="BD669" t="s">
        <v>2919</v>
      </c>
      <c r="BE669">
        <v>0</v>
      </c>
      <c r="BF669" s="232" t="s">
        <v>2846</v>
      </c>
      <c r="BG669" s="232" t="s">
        <v>2846</v>
      </c>
      <c r="BH669" s="253">
        <v>27.3</v>
      </c>
      <c r="BI669" s="253">
        <v>14.930248984637117</v>
      </c>
      <c r="BJ669" s="25">
        <v>2.959616551467307</v>
      </c>
      <c r="BK669" t="s">
        <v>381</v>
      </c>
      <c r="BL669">
        <v>2.1964103021312682</v>
      </c>
      <c r="BM669" t="s">
        <v>383</v>
      </c>
      <c r="BN669" s="322">
        <v>28388.258193000001</v>
      </c>
      <c r="BO669" s="322">
        <v>6701.3311379999996</v>
      </c>
      <c r="BP669" s="10">
        <v>12831</v>
      </c>
      <c r="BQ669" s="254">
        <f t="shared" si="284"/>
        <v>2.212474335047931</v>
      </c>
      <c r="BR669" s="254">
        <f t="shared" si="285"/>
        <v>0.52227660649988306</v>
      </c>
      <c r="BS669" s="25">
        <v>60.324101750689053</v>
      </c>
      <c r="BT669" s="25">
        <v>89.403063966955031</v>
      </c>
      <c r="BU669" s="25">
        <v>72.251666666666665</v>
      </c>
      <c r="BV669" s="25">
        <v>90.011365490818605</v>
      </c>
      <c r="BW669" s="25">
        <v>47.57181762937762</v>
      </c>
      <c r="BX669" s="25">
        <v>77.997549468782339</v>
      </c>
      <c r="BY669" s="25">
        <v>48.007738370212323</v>
      </c>
      <c r="BZ669">
        <v>89</v>
      </c>
      <c r="CA669">
        <v>0</v>
      </c>
      <c r="CB669">
        <v>7</v>
      </c>
      <c r="CC669">
        <v>44030.391925999997</v>
      </c>
      <c r="CD669" s="10">
        <v>6911.8483749999996</v>
      </c>
      <c r="CE669" s="255">
        <v>0.15697903363241572</v>
      </c>
      <c r="CF669" t="str">
        <f>IFERROR(VLOOKUP(CE669,'Rangos amb etnico'!$A$2:$C$6,3,9),"N.D.")</f>
        <v>0,1% - 30%</v>
      </c>
      <c r="CG669" s="256">
        <v>2.0109172458322483E-4</v>
      </c>
      <c r="CH669" s="232">
        <v>0</v>
      </c>
      <c r="CI669" s="311">
        <f t="shared" si="292"/>
        <v>0</v>
      </c>
      <c r="CJ669" s="232">
        <f>IFERROR(VLOOKUP(CI669,'Rangos amb etnico'!$A$2:$C$6,3,9),"N.D.")</f>
        <v>0</v>
      </c>
      <c r="CK669" s="311">
        <f t="shared" si="293"/>
        <v>0</v>
      </c>
      <c r="CL669" s="10">
        <v>0</v>
      </c>
      <c r="CM669" s="255">
        <f t="shared" si="294"/>
        <v>0</v>
      </c>
      <c r="CN669" s="232">
        <f>IFERROR(VLOOKUP(CM669,'Rangos amb etnico'!$A$2:$C$6,3,9),"N.D.")</f>
        <v>0</v>
      </c>
      <c r="CO669" s="311">
        <f t="shared" si="295"/>
        <v>0</v>
      </c>
      <c r="CP669">
        <v>0.88586695220322842</v>
      </c>
      <c r="CQ669" t="s">
        <v>2864</v>
      </c>
      <c r="CR669">
        <f t="shared" si="286"/>
        <v>1</v>
      </c>
      <c r="CS669" t="str">
        <f t="shared" si="296"/>
        <v>No es Candidato</v>
      </c>
      <c r="CT669">
        <v>0</v>
      </c>
      <c r="CU669">
        <v>0</v>
      </c>
      <c r="CV669" s="25">
        <v>41.506645202636719</v>
      </c>
      <c r="CW669" s="25">
        <v>26.820892333984379</v>
      </c>
      <c r="CX669" s="25">
        <v>47.563209533691413</v>
      </c>
      <c r="CY669" s="25">
        <v>57.125625610351563</v>
      </c>
      <c r="CZ669" s="25">
        <v>28.4898681640625</v>
      </c>
      <c r="DA669" s="25">
        <v>26.370357513427731</v>
      </c>
      <c r="DB669" s="25">
        <v>62.669925689697273</v>
      </c>
      <c r="DC669">
        <v>105</v>
      </c>
      <c r="DD669" s="253" t="s">
        <v>380</v>
      </c>
    </row>
    <row r="670" spans="1:108">
      <c r="A670" s="13">
        <v>5658</v>
      </c>
      <c r="B670" s="13" t="s">
        <v>1778</v>
      </c>
      <c r="C670" s="13" t="s">
        <v>435</v>
      </c>
      <c r="D670" s="13" t="s">
        <v>436</v>
      </c>
      <c r="E670" s="13" t="s">
        <v>1779</v>
      </c>
      <c r="F670" s="14">
        <v>51.300333333333299</v>
      </c>
      <c r="G670" s="13">
        <v>37.799999999999997</v>
      </c>
      <c r="H670" s="13">
        <v>45.37</v>
      </c>
      <c r="I670" s="13">
        <v>35.74</v>
      </c>
      <c r="J670" s="14">
        <v>31.34850066519698</v>
      </c>
      <c r="K670" s="14">
        <v>46.876363211482186</v>
      </c>
      <c r="L670" s="14">
        <v>47.122842846335047</v>
      </c>
      <c r="M670" s="14">
        <v>40.618400000000001</v>
      </c>
      <c r="N670" s="14">
        <f t="shared" si="270"/>
        <v>42.552583333333324</v>
      </c>
      <c r="O670" s="14">
        <f t="shared" si="271"/>
        <v>41.491526680753552</v>
      </c>
      <c r="P670" s="14">
        <f t="shared" si="287"/>
        <v>42.022055007043434</v>
      </c>
      <c r="Q670" s="14">
        <v>56.757726914125904</v>
      </c>
      <c r="R670" s="17">
        <f t="shared" si="272"/>
        <v>43.242273085874096</v>
      </c>
      <c r="S670" s="14">
        <f t="shared" si="288"/>
        <v>0.48918045777286689</v>
      </c>
      <c r="T670" s="13">
        <v>0</v>
      </c>
      <c r="U670" s="13">
        <f t="shared" si="289"/>
        <v>20.556368104902102</v>
      </c>
      <c r="V670" s="13">
        <f>IF($T670=1,$AU670,(VLOOKUP(U670,'Cortes naturales'!$A$35:$C$39,3,9)))</f>
        <v>5</v>
      </c>
      <c r="W670" s="13">
        <v>5</v>
      </c>
      <c r="X670" s="14" t="b">
        <f t="shared" si="273"/>
        <v>1</v>
      </c>
      <c r="Y670" s="17">
        <f>IF($T670=1,$AU670,VLOOKUP(U670,'Cortes naturales'!$A$45:$C$49,3,9))</f>
        <v>5</v>
      </c>
      <c r="Z670" s="14">
        <v>44.358607716275856</v>
      </c>
      <c r="AA670" s="14">
        <v>0.49388332719598804</v>
      </c>
      <c r="AB670" s="14">
        <v>21.907976768695949</v>
      </c>
      <c r="AC670" s="13">
        <v>4</v>
      </c>
      <c r="AD670" s="13">
        <f t="shared" si="274"/>
        <v>-1</v>
      </c>
      <c r="AE670" s="14">
        <f t="shared" si="275"/>
        <v>-2.3365527092324214</v>
      </c>
      <c r="AF670" s="14">
        <f t="shared" si="276"/>
        <v>-4.7028694231211476E-3</v>
      </c>
      <c r="AG670" s="13">
        <f t="shared" si="277"/>
        <v>-1.3516086637938471</v>
      </c>
      <c r="AH670" s="13">
        <f>IF($T670=1,$AU670,VLOOKUP(U670,'Cortes naturales'!$A$25:$C$29,3,9))</f>
        <v>4</v>
      </c>
      <c r="AI670" s="13" t="b">
        <f t="shared" si="278"/>
        <v>0</v>
      </c>
      <c r="AJ670" s="13" t="str">
        <f t="shared" si="279"/>
        <v>Cambio en corte</v>
      </c>
      <c r="AK670" s="28">
        <v>0.81759069605862034</v>
      </c>
      <c r="AL670" s="28">
        <v>36.267184958941264</v>
      </c>
      <c r="AM670" s="28">
        <v>0.28303824277803963</v>
      </c>
      <c r="AN670" s="13">
        <v>4</v>
      </c>
      <c r="AO670" s="33">
        <f t="shared" si="280"/>
        <v>-1</v>
      </c>
      <c r="AP670" s="13">
        <f t="shared" si="290"/>
        <v>28.303824277803962</v>
      </c>
      <c r="AQ670" s="13">
        <f>IFERROR(VLOOKUP(U670,'Cortes naturales'!$E$15:$G$19,3,9),U670)</f>
        <v>4</v>
      </c>
      <c r="AR670" s="28">
        <f t="shared" si="281"/>
        <v>-0.32841023828575344</v>
      </c>
      <c r="AS670" s="13" t="b">
        <f t="shared" si="282"/>
        <v>0</v>
      </c>
      <c r="AT670" s="13" t="str">
        <f t="shared" si="291"/>
        <v>Cambio en corte</v>
      </c>
      <c r="AU670" s="13">
        <v>4</v>
      </c>
      <c r="AV670">
        <f t="shared" si="283"/>
        <v>-1</v>
      </c>
      <c r="AW670" s="13">
        <v>0</v>
      </c>
      <c r="AX670" s="13">
        <v>0</v>
      </c>
      <c r="AY670" s="13">
        <v>0</v>
      </c>
      <c r="AZ670" s="13">
        <v>0</v>
      </c>
      <c r="BA670">
        <v>0</v>
      </c>
      <c r="BB670" t="s">
        <v>2840</v>
      </c>
      <c r="BC670">
        <v>6</v>
      </c>
      <c r="BD670" t="s">
        <v>2919</v>
      </c>
      <c r="BE670">
        <v>1</v>
      </c>
      <c r="BF670" s="232" t="s">
        <v>2846</v>
      </c>
      <c r="BG670" s="232" t="s">
        <v>2845</v>
      </c>
      <c r="BH670" s="253">
        <v>34</v>
      </c>
      <c r="BI670" s="253">
        <v>10.230352303523036</v>
      </c>
      <c r="BJ670" s="25">
        <v>1.2902499999999999</v>
      </c>
      <c r="BK670" t="s">
        <v>381</v>
      </c>
      <c r="BL670">
        <v>2.4871690392713353</v>
      </c>
      <c r="BM670" t="s">
        <v>383</v>
      </c>
      <c r="BN670" s="322">
        <v>9229.4404009999998</v>
      </c>
      <c r="BO670" s="322">
        <v>1209.767754</v>
      </c>
      <c r="BP670" s="10">
        <v>3963</v>
      </c>
      <c r="BQ670" s="254">
        <f t="shared" si="284"/>
        <v>2.3289024478930105</v>
      </c>
      <c r="BR670" s="254">
        <f t="shared" si="285"/>
        <v>0.30526564572293718</v>
      </c>
      <c r="BS670" s="25">
        <v>50.196592775041047</v>
      </c>
      <c r="BT670" s="25">
        <v>86.345286005551358</v>
      </c>
      <c r="BU670" s="25">
        <v>59.27</v>
      </c>
      <c r="BV670" s="25">
        <v>87.412735708339895</v>
      </c>
      <c r="BW670" s="25">
        <v>38.549893372962053</v>
      </c>
      <c r="BX670" s="25">
        <v>70.806153622233083</v>
      </c>
      <c r="BY670" s="25">
        <v>38.800575855498508</v>
      </c>
      <c r="BZ670">
        <v>61</v>
      </c>
      <c r="CA670">
        <v>0</v>
      </c>
      <c r="CB670">
        <v>7</v>
      </c>
      <c r="CC670">
        <v>12604.753651999999</v>
      </c>
      <c r="CD670" s="10">
        <v>4841.6315450000002</v>
      </c>
      <c r="CE670" s="255">
        <v>0.38411155653421097</v>
      </c>
      <c r="CF670" t="str">
        <f>IFERROR(VLOOKUP(CE670,'Rangos amb etnico'!$A$2:$C$6,3,9),"N.D.")</f>
        <v>31% - 50%</v>
      </c>
      <c r="CG670" s="256">
        <v>1.4086131297412805E-4</v>
      </c>
      <c r="CH670" s="232">
        <v>0</v>
      </c>
      <c r="CI670" s="311">
        <f t="shared" si="292"/>
        <v>0</v>
      </c>
      <c r="CJ670" s="232">
        <f>IFERROR(VLOOKUP(CI670,'Rangos amb etnico'!$A$2:$C$6,3,9),"N.D.")</f>
        <v>0</v>
      </c>
      <c r="CK670" s="311">
        <f t="shared" si="293"/>
        <v>0</v>
      </c>
      <c r="CL670" s="10">
        <v>0</v>
      </c>
      <c r="CM670" s="255">
        <f t="shared" si="294"/>
        <v>0</v>
      </c>
      <c r="CN670" s="232">
        <f>IFERROR(VLOOKUP(CM670,'Rangos amb etnico'!$A$2:$C$6,3,9),"N.D.")</f>
        <v>0</v>
      </c>
      <c r="CO670" s="311">
        <f t="shared" si="295"/>
        <v>0</v>
      </c>
      <c r="CP670">
        <v>0.92872951518591218</v>
      </c>
      <c r="CQ670" t="s">
        <v>2864</v>
      </c>
      <c r="CR670">
        <f t="shared" si="286"/>
        <v>1</v>
      </c>
      <c r="CS670" t="str">
        <f t="shared" si="296"/>
        <v>No es Candidato</v>
      </c>
      <c r="CT670">
        <v>0</v>
      </c>
      <c r="CU670">
        <v>0</v>
      </c>
      <c r="CV670" s="25">
        <v>44.059398651123047</v>
      </c>
      <c r="CW670" s="25">
        <v>18.738101959228519</v>
      </c>
      <c r="CX670" s="25">
        <v>45.822685241699219</v>
      </c>
      <c r="CY670" s="25">
        <v>63.642498016357422</v>
      </c>
      <c r="CZ670" s="25">
        <v>34.254146575927727</v>
      </c>
      <c r="DA670" s="25">
        <v>48.647483825683587</v>
      </c>
      <c r="DB670" s="25">
        <v>53.251472473144531</v>
      </c>
      <c r="DC670">
        <v>85</v>
      </c>
      <c r="DD670" s="253" t="s">
        <v>380</v>
      </c>
    </row>
    <row r="671" spans="1:108" hidden="1">
      <c r="A671" s="13">
        <v>73624</v>
      </c>
      <c r="B671" s="13" t="s">
        <v>1780</v>
      </c>
      <c r="C671" s="13" t="s">
        <v>595</v>
      </c>
      <c r="D671" s="13" t="s">
        <v>596</v>
      </c>
      <c r="E671" s="13" t="s">
        <v>1781</v>
      </c>
      <c r="F671" s="14">
        <v>53.529800000000002</v>
      </c>
      <c r="G671" s="13">
        <v>50.56</v>
      </c>
      <c r="H671" s="13">
        <v>51.59</v>
      </c>
      <c r="I671" s="13">
        <v>39.200000000000003</v>
      </c>
      <c r="J671" s="14">
        <v>44.804408771386193</v>
      </c>
      <c r="K671" s="14">
        <v>53.593600275322473</v>
      </c>
      <c r="L671" s="14">
        <v>55.918517784679914</v>
      </c>
      <c r="M671" s="14">
        <v>57.512700000000002</v>
      </c>
      <c r="N671" s="14">
        <f t="shared" si="270"/>
        <v>48.719949999999997</v>
      </c>
      <c r="O671" s="14">
        <f t="shared" si="271"/>
        <v>52.957306707847145</v>
      </c>
      <c r="P671" s="14">
        <f t="shared" si="287"/>
        <v>50.838628353923568</v>
      </c>
      <c r="Q671" s="14">
        <v>57.566021334479125</v>
      </c>
      <c r="R671" s="17">
        <f t="shared" si="272"/>
        <v>42.433978665520875</v>
      </c>
      <c r="S671" s="14">
        <f t="shared" si="288"/>
        <v>0.48190580798968796</v>
      </c>
      <c r="T671" s="13">
        <v>0</v>
      </c>
      <c r="U671" s="13">
        <f t="shared" si="289"/>
        <v>24.499430273984999</v>
      </c>
      <c r="V671" s="13">
        <f>IF($T671=1,$AU671,(VLOOKUP(U671,'Cortes naturales'!$A$35:$C$39,3,9)))</f>
        <v>4</v>
      </c>
      <c r="W671" s="13">
        <v>4</v>
      </c>
      <c r="X671" s="14" t="b">
        <f t="shared" si="273"/>
        <v>1</v>
      </c>
      <c r="Y671" s="17">
        <f>IF($T671=1,$AU671,VLOOKUP(U671,'Cortes naturales'!$A$45:$C$49,3,9))</f>
        <v>4</v>
      </c>
      <c r="Z671" s="14">
        <v>51.709253805262648</v>
      </c>
      <c r="AA671" s="14">
        <v>0.48967787644089955</v>
      </c>
      <c r="AB671" s="14">
        <v>25.320877595704516</v>
      </c>
      <c r="AC671" s="13">
        <v>4</v>
      </c>
      <c r="AD671" s="13">
        <f t="shared" si="274"/>
        <v>0</v>
      </c>
      <c r="AE671" s="14">
        <f t="shared" si="275"/>
        <v>-0.87062545133908031</v>
      </c>
      <c r="AF671" s="14">
        <f t="shared" si="276"/>
        <v>-7.772068451211589E-3</v>
      </c>
      <c r="AG671" s="13">
        <f t="shared" si="277"/>
        <v>-0.82144732171951773</v>
      </c>
      <c r="AH671" s="13">
        <f>IF($T671=1,$AU671,VLOOKUP(U671,'Cortes naturales'!$A$25:$C$29,3,9))</f>
        <v>4</v>
      </c>
      <c r="AI671" s="13" t="b">
        <f t="shared" si="278"/>
        <v>1</v>
      </c>
      <c r="AJ671" s="13">
        <f t="shared" si="279"/>
        <v>0</v>
      </c>
      <c r="AK671" s="28">
        <v>0.81759069605862034</v>
      </c>
      <c r="AL671" s="28">
        <v>42.277004811316552</v>
      </c>
      <c r="AM671" s="28">
        <v>0.35821475418400389</v>
      </c>
      <c r="AN671" s="13">
        <v>3</v>
      </c>
      <c r="AO671" s="33">
        <f t="shared" si="280"/>
        <v>-1</v>
      </c>
      <c r="AP671" s="13">
        <f t="shared" si="290"/>
        <v>35.821475418400389</v>
      </c>
      <c r="AQ671" s="13">
        <f>IFERROR(VLOOKUP(U671,'Cortes naturales'!$E$15:$G$19,3,9),U671)</f>
        <v>4</v>
      </c>
      <c r="AR671" s="28">
        <f t="shared" si="281"/>
        <v>-0.33568488806893237</v>
      </c>
      <c r="AS671" s="13" t="b">
        <f t="shared" si="282"/>
        <v>1</v>
      </c>
      <c r="AT671" s="13" t="str">
        <f t="shared" si="291"/>
        <v>Efecto ponderador</v>
      </c>
      <c r="AU671" s="13">
        <v>3</v>
      </c>
      <c r="AV671">
        <f t="shared" si="283"/>
        <v>-1</v>
      </c>
      <c r="AW671" s="13">
        <v>0</v>
      </c>
      <c r="AX671" s="13">
        <v>0</v>
      </c>
      <c r="AY671" s="13">
        <v>0</v>
      </c>
      <c r="AZ671" s="13">
        <v>0</v>
      </c>
      <c r="BA671">
        <v>1</v>
      </c>
      <c r="BB671" t="s">
        <v>2840</v>
      </c>
      <c r="BC671">
        <v>6</v>
      </c>
      <c r="BD671" t="s">
        <v>2919</v>
      </c>
      <c r="BE671">
        <v>1</v>
      </c>
      <c r="BF671" s="232" t="s">
        <v>2846</v>
      </c>
      <c r="BG671" s="232" t="s">
        <v>2845</v>
      </c>
      <c r="BH671" s="253">
        <v>47</v>
      </c>
      <c r="BI671" s="253">
        <v>20.840751730959447</v>
      </c>
      <c r="BJ671" s="25">
        <v>5.9871428571428584</v>
      </c>
      <c r="BK671" t="s">
        <v>377</v>
      </c>
      <c r="BL671">
        <v>15.40025445406202</v>
      </c>
      <c r="BM671" t="s">
        <v>376</v>
      </c>
      <c r="BN671" s="322">
        <v>53832.992554999997</v>
      </c>
      <c r="BO671" s="322">
        <v>4035.048256</v>
      </c>
      <c r="BP671" s="10">
        <v>22305</v>
      </c>
      <c r="BQ671" s="254">
        <f t="shared" si="284"/>
        <v>2.4134943983411792</v>
      </c>
      <c r="BR671" s="254">
        <f t="shared" si="285"/>
        <v>0.18090330670253307</v>
      </c>
      <c r="BS671" s="25">
        <v>69.415529103353379</v>
      </c>
      <c r="BT671" s="25">
        <v>98.816566666666674</v>
      </c>
      <c r="BU671" s="25">
        <v>52.123333333333328</v>
      </c>
      <c r="BV671" s="25">
        <v>85.176962942575798</v>
      </c>
      <c r="BW671" s="25">
        <v>51.329719527865848</v>
      </c>
      <c r="BX671" s="25">
        <v>76.383098011482303</v>
      </c>
      <c r="BY671" s="25">
        <v>53.622883036879188</v>
      </c>
      <c r="BZ671">
        <v>18</v>
      </c>
      <c r="CA671">
        <v>0</v>
      </c>
      <c r="CB671">
        <v>7</v>
      </c>
      <c r="CC671">
        <v>73918.893605000005</v>
      </c>
      <c r="CD671" s="10">
        <v>41334.603882000003</v>
      </c>
      <c r="CE671" s="255">
        <v>0.55918861695738442</v>
      </c>
      <c r="CF671" t="str">
        <f>IFERROR(VLOOKUP(CE671,'Rangos amb etnico'!$A$2:$C$6,3,9),"N.D.")</f>
        <v>51% - 70%</v>
      </c>
      <c r="CG671" s="256">
        <v>1.2025794445463137E-3</v>
      </c>
      <c r="CH671" s="232">
        <v>0</v>
      </c>
      <c r="CI671" s="311">
        <f t="shared" si="292"/>
        <v>0</v>
      </c>
      <c r="CJ671" s="232">
        <f>IFERROR(VLOOKUP(CI671,'Rangos amb etnico'!$A$2:$C$6,3,9),"N.D.")</f>
        <v>0</v>
      </c>
      <c r="CK671" s="311">
        <f t="shared" si="293"/>
        <v>0</v>
      </c>
      <c r="CL671" s="10">
        <v>0</v>
      </c>
      <c r="CM671" s="255">
        <f t="shared" si="294"/>
        <v>0</v>
      </c>
      <c r="CN671" s="232">
        <f>IFERROR(VLOOKUP(CM671,'Rangos amb etnico'!$A$2:$C$6,3,9),"N.D.")</f>
        <v>0</v>
      </c>
      <c r="CO671" s="311">
        <f t="shared" si="295"/>
        <v>0</v>
      </c>
      <c r="CP671">
        <v>0.95258796614067143</v>
      </c>
      <c r="CQ671" t="s">
        <v>2864</v>
      </c>
      <c r="CR671">
        <f t="shared" si="286"/>
        <v>1</v>
      </c>
      <c r="CS671" t="str">
        <f t="shared" si="296"/>
        <v>No es Candidato</v>
      </c>
      <c r="CT671">
        <v>0</v>
      </c>
      <c r="CU671">
        <v>0</v>
      </c>
      <c r="CV671" s="25">
        <v>37.998825073242188</v>
      </c>
      <c r="CW671" s="25">
        <v>28.098043441772461</v>
      </c>
      <c r="CX671" s="25">
        <v>42.524559020996087</v>
      </c>
      <c r="CY671" s="25">
        <v>57.127681732177727</v>
      </c>
      <c r="CZ671" s="25">
        <v>27.59237098693848</v>
      </c>
      <c r="DA671" s="25">
        <v>19.631185531616211</v>
      </c>
      <c r="DB671" s="25">
        <v>53.01910400390625</v>
      </c>
      <c r="DC671">
        <v>282</v>
      </c>
      <c r="DD671" s="253" t="s">
        <v>380</v>
      </c>
    </row>
    <row r="672" spans="1:108" hidden="1">
      <c r="A672" s="13">
        <v>13212</v>
      </c>
      <c r="B672" s="13" t="s">
        <v>1782</v>
      </c>
      <c r="C672" s="13" t="s">
        <v>480</v>
      </c>
      <c r="D672" s="13" t="s">
        <v>481</v>
      </c>
      <c r="E672" s="13" t="s">
        <v>568</v>
      </c>
      <c r="F672" s="14">
        <v>51.545633333333299</v>
      </c>
      <c r="G672" s="13">
        <v>39.58</v>
      </c>
      <c r="H672" s="13">
        <v>25.19</v>
      </c>
      <c r="I672" s="13">
        <v>39.18</v>
      </c>
      <c r="J672" s="14">
        <v>45.676387619247855</v>
      </c>
      <c r="K672" s="14">
        <v>53.135205494532414</v>
      </c>
      <c r="L672" s="14">
        <v>50.134919605079013</v>
      </c>
      <c r="M672" s="14">
        <v>49.029899999999998</v>
      </c>
      <c r="N672" s="14">
        <f t="shared" si="270"/>
        <v>38.873908333333326</v>
      </c>
      <c r="O672" s="14">
        <f t="shared" si="271"/>
        <v>49.49410317971482</v>
      </c>
      <c r="P672" s="14">
        <f t="shared" si="287"/>
        <v>44.184005756524073</v>
      </c>
      <c r="Q672" s="14">
        <v>57.080715973822628</v>
      </c>
      <c r="R672" s="17">
        <f t="shared" si="272"/>
        <v>42.919284026177372</v>
      </c>
      <c r="S672" s="14">
        <f t="shared" si="288"/>
        <v>0.48627355623559643</v>
      </c>
      <c r="T672" s="13">
        <v>0</v>
      </c>
      <c r="U672" s="13">
        <f t="shared" si="289"/>
        <v>21.485513607959025</v>
      </c>
      <c r="V672" s="13">
        <f>IF($T672=1,$AU672,(VLOOKUP(U672,'Cortes naturales'!$A$35:$C$39,3,9)))</f>
        <v>5</v>
      </c>
      <c r="W672" s="13">
        <v>5</v>
      </c>
      <c r="X672" s="14" t="b">
        <f t="shared" si="273"/>
        <v>1</v>
      </c>
      <c r="Y672" s="17">
        <f>IF($T672=1,$AU672,VLOOKUP(U672,'Cortes naturales'!$A$45:$C$49,3,9))</f>
        <v>4</v>
      </c>
      <c r="Z672" s="14">
        <v>45.855035144383947</v>
      </c>
      <c r="AA672" s="14">
        <v>0.49092698997467554</v>
      </c>
      <c r="AB672" s="14">
        <v>22.511474378615372</v>
      </c>
      <c r="AC672" s="13">
        <v>4</v>
      </c>
      <c r="AD672" s="13">
        <f t="shared" si="274"/>
        <v>0</v>
      </c>
      <c r="AE672" s="14">
        <f t="shared" si="275"/>
        <v>-1.6710293878598748</v>
      </c>
      <c r="AF672" s="14">
        <f t="shared" si="276"/>
        <v>-4.6534337390791158E-3</v>
      </c>
      <c r="AG672" s="13">
        <f t="shared" si="277"/>
        <v>-1.0259607706563472</v>
      </c>
      <c r="AH672" s="13">
        <f>IF($T672=1,$AU672,VLOOKUP(U672,'Cortes naturales'!$A$25:$C$29,3,9))</f>
        <v>4</v>
      </c>
      <c r="AI672" s="13" t="b">
        <f t="shared" si="278"/>
        <v>1</v>
      </c>
      <c r="AJ672" s="13">
        <f t="shared" si="279"/>
        <v>0</v>
      </c>
      <c r="AK672" s="28">
        <v>0.81759069605862034</v>
      </c>
      <c r="AL672" s="28">
        <v>37.490650101489372</v>
      </c>
      <c r="AM672" s="28">
        <v>0.29834250205749469</v>
      </c>
      <c r="AN672" s="13">
        <v>4</v>
      </c>
      <c r="AO672" s="33">
        <f t="shared" si="280"/>
        <v>0</v>
      </c>
      <c r="AP672" s="13">
        <f t="shared" si="290"/>
        <v>29.83425020574947</v>
      </c>
      <c r="AQ672" s="13">
        <f>IFERROR(VLOOKUP(U672,'Cortes naturales'!$E$15:$G$19,3,9),U672)</f>
        <v>4</v>
      </c>
      <c r="AR672" s="28">
        <f t="shared" si="281"/>
        <v>-0.33131713982302391</v>
      </c>
      <c r="AS672" s="13" t="b">
        <f t="shared" si="282"/>
        <v>1</v>
      </c>
      <c r="AT672" s="13">
        <f t="shared" si="291"/>
        <v>0</v>
      </c>
      <c r="AU672" s="13">
        <v>4</v>
      </c>
      <c r="AV672">
        <f t="shared" si="283"/>
        <v>0</v>
      </c>
      <c r="AW672" s="13">
        <v>0</v>
      </c>
      <c r="AX672" s="13">
        <v>0</v>
      </c>
      <c r="AY672" s="13">
        <v>0</v>
      </c>
      <c r="AZ672" s="13">
        <v>1</v>
      </c>
      <c r="BA672">
        <v>1</v>
      </c>
      <c r="BB672" t="s">
        <v>2841</v>
      </c>
      <c r="BC672">
        <v>6</v>
      </c>
      <c r="BD672" t="s">
        <v>2919</v>
      </c>
      <c r="BE672">
        <v>0</v>
      </c>
      <c r="BF672" s="232" t="s">
        <v>2846</v>
      </c>
      <c r="BG672" s="232" t="s">
        <v>2846</v>
      </c>
      <c r="BH672" s="253">
        <v>61.9</v>
      </c>
      <c r="BI672" s="253">
        <v>29.949306296691567</v>
      </c>
      <c r="BJ672" s="25">
        <v>15.2678125</v>
      </c>
      <c r="BK672" t="s">
        <v>379</v>
      </c>
      <c r="BL672">
        <v>1.8165988588402504</v>
      </c>
      <c r="BM672" t="s">
        <v>383</v>
      </c>
      <c r="BN672" s="322">
        <v>41015.900732000002</v>
      </c>
      <c r="BO672" s="322">
        <v>2905.096955</v>
      </c>
      <c r="BP672" s="10">
        <v>18180</v>
      </c>
      <c r="BQ672" s="254">
        <f t="shared" si="284"/>
        <v>2.2561001502750275</v>
      </c>
      <c r="BR672" s="254">
        <f t="shared" si="285"/>
        <v>0.15979631215621562</v>
      </c>
      <c r="BS672" s="25">
        <v>54.364199254837743</v>
      </c>
      <c r="BT672" s="25">
        <v>89.18059923359003</v>
      </c>
      <c r="BU672" s="25">
        <v>29.159793187347901</v>
      </c>
      <c r="BV672" s="25">
        <v>98.865908938000587</v>
      </c>
      <c r="BW672" s="25">
        <v>30.73589177732001</v>
      </c>
      <c r="BX672" s="25">
        <v>67.892625153444072</v>
      </c>
      <c r="BY672" s="25">
        <v>30.11673403562234</v>
      </c>
      <c r="BZ672">
        <v>12</v>
      </c>
      <c r="CA672">
        <v>0</v>
      </c>
      <c r="CB672">
        <v>7</v>
      </c>
      <c r="CC672">
        <v>59686.562603999999</v>
      </c>
      <c r="CD672" s="10">
        <v>7642.7067719999995</v>
      </c>
      <c r="CE672" s="255">
        <v>0.1280473600516544</v>
      </c>
      <c r="CF672" t="str">
        <f>IFERROR(VLOOKUP(CE672,'Rangos amb etnico'!$A$2:$C$6,3,9),"N.D.")</f>
        <v>0,1% - 30%</v>
      </c>
      <c r="CG672" s="256">
        <v>2.2235515044343999E-4</v>
      </c>
      <c r="CH672" s="232">
        <v>0</v>
      </c>
      <c r="CI672" s="311">
        <f t="shared" si="292"/>
        <v>0</v>
      </c>
      <c r="CJ672" s="232">
        <f>IFERROR(VLOOKUP(CI672,'Rangos amb etnico'!$A$2:$C$6,3,9),"N.D.")</f>
        <v>0</v>
      </c>
      <c r="CK672" s="311">
        <f t="shared" si="293"/>
        <v>0</v>
      </c>
      <c r="CL672" s="10">
        <v>14618.516541200001</v>
      </c>
      <c r="CM672" s="255">
        <f t="shared" si="294"/>
        <v>0.2449214011232122</v>
      </c>
      <c r="CN672" s="232" t="str">
        <f>IFERROR(VLOOKUP(CM672,'Rangos amb etnico'!$A$2:$C$6,3,9),"N.D.")</f>
        <v>0,1% - 30%</v>
      </c>
      <c r="CO672" s="311">
        <f t="shared" si="295"/>
        <v>9.1673732653011555E-3</v>
      </c>
      <c r="CP672">
        <v>0.96056810593895792</v>
      </c>
      <c r="CQ672" t="s">
        <v>2864</v>
      </c>
      <c r="CR672">
        <f t="shared" si="286"/>
        <v>1</v>
      </c>
      <c r="CS672" t="str">
        <f t="shared" si="296"/>
        <v>No es Candidato</v>
      </c>
      <c r="CT672">
        <v>0</v>
      </c>
      <c r="CU672">
        <v>0</v>
      </c>
      <c r="CV672" s="25">
        <v>48.06011962890625</v>
      </c>
      <c r="CW672" s="25">
        <v>17.068252563476559</v>
      </c>
      <c r="CX672" s="25">
        <v>61.390850067138672</v>
      </c>
      <c r="CY672" s="25">
        <v>44.558433532714837</v>
      </c>
      <c r="CZ672" s="25">
        <v>9.6584939956665039</v>
      </c>
      <c r="DA672" s="25">
        <v>92.273956298828125</v>
      </c>
      <c r="DB672" s="25">
        <v>63.410736083984382</v>
      </c>
      <c r="DC672">
        <v>693</v>
      </c>
      <c r="DD672" s="253" t="s">
        <v>380</v>
      </c>
    </row>
    <row r="673" spans="1:108">
      <c r="A673" s="13">
        <v>5756</v>
      </c>
      <c r="B673" s="13" t="s">
        <v>1783</v>
      </c>
      <c r="C673" s="13" t="s">
        <v>435</v>
      </c>
      <c r="D673" s="13" t="s">
        <v>436</v>
      </c>
      <c r="E673" s="13" t="s">
        <v>1784</v>
      </c>
      <c r="F673" s="14">
        <v>60.572133333333298</v>
      </c>
      <c r="G673" s="13">
        <v>48.35</v>
      </c>
      <c r="H673" s="13">
        <v>50.25</v>
      </c>
      <c r="I673" s="13">
        <v>43.07</v>
      </c>
      <c r="J673" s="14">
        <v>66.287514537700829</v>
      </c>
      <c r="K673" s="14">
        <v>66.011606486443696</v>
      </c>
      <c r="L673" s="14">
        <v>69.524259917676858</v>
      </c>
      <c r="M673" s="14">
        <v>65.2637</v>
      </c>
      <c r="N673" s="14">
        <f t="shared" si="270"/>
        <v>50.560533333333325</v>
      </c>
      <c r="O673" s="14">
        <f t="shared" si="271"/>
        <v>66.77177023545535</v>
      </c>
      <c r="P673" s="14">
        <f t="shared" si="287"/>
        <v>58.666151784394337</v>
      </c>
      <c r="Q673" s="14">
        <v>57.918514691540466</v>
      </c>
      <c r="R673" s="17">
        <f t="shared" si="272"/>
        <v>42.081485308459534</v>
      </c>
      <c r="S673" s="14">
        <f t="shared" si="288"/>
        <v>0.47873336777613584</v>
      </c>
      <c r="T673" s="13">
        <v>0</v>
      </c>
      <c r="U673" s="13">
        <f t="shared" si="289"/>
        <v>28.085444418209061</v>
      </c>
      <c r="V673" s="13">
        <f>IF($T673=1,$AU673,(VLOOKUP(U673,'Cortes naturales'!$A$35:$C$39,3,9)))</f>
        <v>4</v>
      </c>
      <c r="W673" s="13">
        <v>4</v>
      </c>
      <c r="X673" s="14" t="b">
        <f t="shared" si="273"/>
        <v>1</v>
      </c>
      <c r="Y673" s="17">
        <f>IF($T673=1,$AU673,VLOOKUP(U673,'Cortes naturales'!$A$45:$C$49,3,9))</f>
        <v>4</v>
      </c>
      <c r="Z673" s="14">
        <v>60.54418122205648</v>
      </c>
      <c r="AA673" s="14">
        <v>0.49045467047483682</v>
      </c>
      <c r="AB673" s="14">
        <v>29.694176450432515</v>
      </c>
      <c r="AC673" s="13">
        <v>3</v>
      </c>
      <c r="AD673" s="13">
        <f t="shared" si="274"/>
        <v>-1</v>
      </c>
      <c r="AE673" s="14">
        <f t="shared" si="275"/>
        <v>-1.8780294376621427</v>
      </c>
      <c r="AF673" s="14">
        <f t="shared" si="276"/>
        <v>-1.1721302698700975E-2</v>
      </c>
      <c r="AG673" s="13">
        <f t="shared" si="277"/>
        <v>-1.608732032223454</v>
      </c>
      <c r="AH673" s="13">
        <f>IF($T673=1,$AU673,VLOOKUP(U673,'Cortes naturales'!$A$25:$C$29,3,9))</f>
        <v>3</v>
      </c>
      <c r="AI673" s="13" t="b">
        <f t="shared" si="278"/>
        <v>0</v>
      </c>
      <c r="AJ673" s="13" t="str">
        <f t="shared" si="279"/>
        <v>Cambio en corte</v>
      </c>
      <c r="AK673" s="28">
        <v>0.81759069605862034</v>
      </c>
      <c r="AL673" s="28">
        <v>49.500359267640405</v>
      </c>
      <c r="AM673" s="28">
        <v>0.44857130429931724</v>
      </c>
      <c r="AN673" s="13">
        <v>3</v>
      </c>
      <c r="AO673" s="33">
        <f t="shared" si="280"/>
        <v>-1</v>
      </c>
      <c r="AP673" s="13">
        <f t="shared" si="290"/>
        <v>44.857130429931722</v>
      </c>
      <c r="AQ673" s="13">
        <f>IFERROR(VLOOKUP(U673,'Cortes naturales'!$E$15:$G$19,3,9),U673)</f>
        <v>4</v>
      </c>
      <c r="AR673" s="28">
        <f t="shared" si="281"/>
        <v>-0.33885732828248449</v>
      </c>
      <c r="AS673" s="13" t="b">
        <f t="shared" si="282"/>
        <v>1</v>
      </c>
      <c r="AT673" s="13" t="str">
        <f t="shared" si="291"/>
        <v>Efecto ponderador</v>
      </c>
      <c r="AU673" s="13">
        <v>2</v>
      </c>
      <c r="AV673">
        <f t="shared" si="283"/>
        <v>-2</v>
      </c>
      <c r="AW673" s="13">
        <v>0</v>
      </c>
      <c r="AX673" s="13">
        <v>0</v>
      </c>
      <c r="AY673" s="13">
        <v>0</v>
      </c>
      <c r="AZ673" s="13">
        <v>0</v>
      </c>
      <c r="BA673">
        <v>1</v>
      </c>
      <c r="BB673" t="s">
        <v>2840</v>
      </c>
      <c r="BC673">
        <v>5</v>
      </c>
      <c r="BD673" t="s">
        <v>2919</v>
      </c>
      <c r="BE673">
        <v>1</v>
      </c>
      <c r="BF673" s="232" t="s">
        <v>2846</v>
      </c>
      <c r="BG673" s="232" t="s">
        <v>2845</v>
      </c>
      <c r="BH673" s="253">
        <v>37.9</v>
      </c>
      <c r="BI673" s="253">
        <v>13.235014874359136</v>
      </c>
      <c r="BJ673" s="25">
        <v>29.963870955684396</v>
      </c>
      <c r="BK673" t="s">
        <v>379</v>
      </c>
      <c r="BL673">
        <v>7.1619663109586247</v>
      </c>
      <c r="BM673" t="s">
        <v>379</v>
      </c>
      <c r="BN673" s="322">
        <v>85335.465679000001</v>
      </c>
      <c r="BO673" s="322">
        <v>25761.050884</v>
      </c>
      <c r="BP673" s="10">
        <v>36144</v>
      </c>
      <c r="BQ673" s="254">
        <f t="shared" si="284"/>
        <v>2.3609856595562198</v>
      </c>
      <c r="BR673" s="254">
        <f t="shared" si="285"/>
        <v>0.71273381153165116</v>
      </c>
      <c r="BS673" s="25">
        <v>66.099501510286771</v>
      </c>
      <c r="BT673" s="25">
        <v>91.684539554375078</v>
      </c>
      <c r="BU673" s="25">
        <v>47.694002855782927</v>
      </c>
      <c r="BV673" s="25">
        <v>87.203608404095277</v>
      </c>
      <c r="BW673" s="25">
        <v>61.924111828246232</v>
      </c>
      <c r="BX673" s="25">
        <v>73.17041308113501</v>
      </c>
      <c r="BY673" s="25">
        <v>62.179507071224492</v>
      </c>
      <c r="BZ673">
        <v>13</v>
      </c>
      <c r="CA673">
        <v>1</v>
      </c>
      <c r="CB673">
        <v>5</v>
      </c>
      <c r="CC673">
        <v>134560.992558</v>
      </c>
      <c r="CD673" s="10">
        <v>56226.931305999999</v>
      </c>
      <c r="CE673" s="255">
        <v>0.41785461177959454</v>
      </c>
      <c r="CF673" t="str">
        <f>IFERROR(VLOOKUP(CE673,'Rangos amb etnico'!$A$2:$C$6,3,9),"N.D.")</f>
        <v>31% - 50%</v>
      </c>
      <c r="CG673" s="256">
        <v>1.6358533883993156E-3</v>
      </c>
      <c r="CH673" s="232">
        <v>0</v>
      </c>
      <c r="CI673" s="311">
        <f t="shared" si="292"/>
        <v>0</v>
      </c>
      <c r="CJ673" s="232">
        <f>IFERROR(VLOOKUP(CI673,'Rangos amb etnico'!$A$2:$C$6,3,9),"N.D.")</f>
        <v>0</v>
      </c>
      <c r="CK673" s="311">
        <f t="shared" si="293"/>
        <v>0</v>
      </c>
      <c r="CL673" s="10">
        <v>0</v>
      </c>
      <c r="CM673" s="255">
        <f t="shared" si="294"/>
        <v>0</v>
      </c>
      <c r="CN673" s="232">
        <f>IFERROR(VLOOKUP(CM673,'Rangos amb etnico'!$A$2:$C$6,3,9),"N.D.")</f>
        <v>0</v>
      </c>
      <c r="CO673" s="311">
        <f t="shared" si="295"/>
        <v>0</v>
      </c>
      <c r="CP673">
        <v>0.85572219402308169</v>
      </c>
      <c r="CQ673" t="s">
        <v>2864</v>
      </c>
      <c r="CR673">
        <f t="shared" si="286"/>
        <v>3</v>
      </c>
      <c r="CS673" t="str">
        <f t="shared" si="296"/>
        <v>Candidato</v>
      </c>
      <c r="CT673">
        <v>0</v>
      </c>
      <c r="CU673">
        <v>0</v>
      </c>
      <c r="CV673" s="25">
        <v>46.334445953369141</v>
      </c>
      <c r="CW673" s="25">
        <v>44.949005126953118</v>
      </c>
      <c r="CX673" s="25">
        <v>40.532150268554688</v>
      </c>
      <c r="CY673" s="25">
        <v>60.490390777587891</v>
      </c>
      <c r="CZ673" s="25">
        <v>36.414688110351563</v>
      </c>
      <c r="DA673" s="25">
        <v>49.529434204101563</v>
      </c>
      <c r="DB673" s="25">
        <v>46.091011047363281</v>
      </c>
      <c r="DC673">
        <v>668</v>
      </c>
      <c r="DD673" s="253" t="s">
        <v>380</v>
      </c>
    </row>
    <row r="674" spans="1:108" hidden="1">
      <c r="A674" s="13">
        <v>73030</v>
      </c>
      <c r="B674" s="13" t="s">
        <v>1785</v>
      </c>
      <c r="C674" s="13" t="s">
        <v>595</v>
      </c>
      <c r="D674" s="13" t="s">
        <v>596</v>
      </c>
      <c r="E674" s="13" t="s">
        <v>1786</v>
      </c>
      <c r="F674" s="14">
        <v>62.973133333333301</v>
      </c>
      <c r="G674" s="13">
        <v>50.63</v>
      </c>
      <c r="H674" s="13">
        <v>67.3</v>
      </c>
      <c r="I674" s="13">
        <v>64.88</v>
      </c>
      <c r="J674" s="14">
        <v>59.117349398184871</v>
      </c>
      <c r="K674" s="14">
        <v>47.763022960669261</v>
      </c>
      <c r="L674" s="14">
        <v>54.359363862922613</v>
      </c>
      <c r="M674" s="14">
        <v>52.584400000000002</v>
      </c>
      <c r="N674" s="14">
        <f t="shared" si="270"/>
        <v>61.445783333333324</v>
      </c>
      <c r="O674" s="14">
        <f t="shared" si="271"/>
        <v>53.456034055444192</v>
      </c>
      <c r="P674" s="14">
        <f t="shared" si="287"/>
        <v>57.450908694388758</v>
      </c>
      <c r="Q674" s="14">
        <v>57.784616417302679</v>
      </c>
      <c r="R674" s="17">
        <f t="shared" si="272"/>
        <v>42.215383582697321</v>
      </c>
      <c r="S674" s="14">
        <f t="shared" si="288"/>
        <v>0.47993845224427589</v>
      </c>
      <c r="T674" s="13">
        <v>0</v>
      </c>
      <c r="U674" s="13">
        <f t="shared" si="289"/>
        <v>27.572900198812153</v>
      </c>
      <c r="V674" s="13">
        <f>IF($T674=1,$AU674,(VLOOKUP(U674,'Cortes naturales'!$A$35:$C$39,3,9)))</f>
        <v>4</v>
      </c>
      <c r="W674" s="13">
        <v>4</v>
      </c>
      <c r="X674" s="14" t="b">
        <f t="shared" si="273"/>
        <v>1</v>
      </c>
      <c r="Y674" s="17">
        <f>IF($T674=1,$AU674,VLOOKUP(U674,'Cortes naturales'!$A$45:$C$49,3,9))</f>
        <v>4</v>
      </c>
      <c r="Z674" s="14">
        <v>56.844756568478076</v>
      </c>
      <c r="AA674" s="14">
        <v>0.48861904034560089</v>
      </c>
      <c r="AB674" s="14">
        <v>27.77543040316905</v>
      </c>
      <c r="AC674" s="13">
        <v>4</v>
      </c>
      <c r="AD674" s="13">
        <f t="shared" si="274"/>
        <v>0</v>
      </c>
      <c r="AE674" s="14">
        <f t="shared" si="275"/>
        <v>0.60615212591068257</v>
      </c>
      <c r="AF674" s="14">
        <f t="shared" si="276"/>
        <v>-8.680588101324993E-3</v>
      </c>
      <c r="AG674" s="13">
        <f t="shared" si="277"/>
        <v>-0.20253020435689706</v>
      </c>
      <c r="AH674" s="13">
        <f>IF($T674=1,$AU674,VLOOKUP(U674,'Cortes naturales'!$A$25:$C$29,3,9))</f>
        <v>4</v>
      </c>
      <c r="AI674" s="13" t="b">
        <f t="shared" si="278"/>
        <v>1</v>
      </c>
      <c r="AJ674" s="13">
        <f t="shared" si="279"/>
        <v>0</v>
      </c>
      <c r="AK674" s="28">
        <v>0.81759069605862034</v>
      </c>
      <c r="AL674" s="28">
        <v>46.475744090104818</v>
      </c>
      <c r="AM674" s="28">
        <v>0.41073655667326514</v>
      </c>
      <c r="AN674" s="13">
        <v>3</v>
      </c>
      <c r="AO674" s="33">
        <f t="shared" si="280"/>
        <v>-1</v>
      </c>
      <c r="AP674" s="13">
        <f t="shared" si="290"/>
        <v>41.073655667326513</v>
      </c>
      <c r="AQ674" s="13">
        <f>IFERROR(VLOOKUP(U674,'Cortes naturales'!$E$15:$G$19,3,9),U674)</f>
        <v>4</v>
      </c>
      <c r="AR674" s="28">
        <f t="shared" si="281"/>
        <v>-0.33765224381434444</v>
      </c>
      <c r="AS674" s="13" t="b">
        <f t="shared" si="282"/>
        <v>1</v>
      </c>
      <c r="AT674" s="13" t="str">
        <f t="shared" si="291"/>
        <v>Efecto ponderador</v>
      </c>
      <c r="AU674" s="13">
        <v>3</v>
      </c>
      <c r="AV674">
        <f t="shared" si="283"/>
        <v>-1</v>
      </c>
      <c r="AW674" s="13">
        <v>0</v>
      </c>
      <c r="AX674" s="13">
        <v>0</v>
      </c>
      <c r="AY674" s="13">
        <v>0</v>
      </c>
      <c r="AZ674" s="13">
        <v>0</v>
      </c>
      <c r="BA674">
        <v>0</v>
      </c>
      <c r="BB674" t="s">
        <v>2840</v>
      </c>
      <c r="BC674">
        <v>6</v>
      </c>
      <c r="BD674" t="s">
        <v>2919</v>
      </c>
      <c r="BE674">
        <v>1</v>
      </c>
      <c r="BF674" s="232" t="s">
        <v>2846</v>
      </c>
      <c r="BG674" s="232" t="s">
        <v>2846</v>
      </c>
      <c r="BH674" s="253">
        <v>32.9</v>
      </c>
      <c r="BI674" s="253">
        <v>16.477621091354997</v>
      </c>
      <c r="BJ674" s="25">
        <v>31.743913043478255</v>
      </c>
      <c r="BK674" t="s">
        <v>379</v>
      </c>
      <c r="BL674">
        <v>5.677258027563262</v>
      </c>
      <c r="BM674" t="s">
        <v>383</v>
      </c>
      <c r="BN674" s="322">
        <v>15230.053245999999</v>
      </c>
      <c r="BO674" s="322">
        <v>2741.489094</v>
      </c>
      <c r="BP674" s="10">
        <v>6761</v>
      </c>
      <c r="BQ674" s="254">
        <f t="shared" si="284"/>
        <v>2.2526332267416063</v>
      </c>
      <c r="BR674" s="254">
        <f t="shared" si="285"/>
        <v>0.40548574086673567</v>
      </c>
      <c r="BS674" s="25">
        <v>57.161477071819803</v>
      </c>
      <c r="BT674" s="25">
        <v>84.820955356702655</v>
      </c>
      <c r="BU674" s="25">
        <v>42.419405090463037</v>
      </c>
      <c r="BV674" s="25">
        <v>85.302418612756895</v>
      </c>
      <c r="BW674" s="25">
        <v>59.451390962746132</v>
      </c>
      <c r="BX674" s="25">
        <v>67.426064032935599</v>
      </c>
      <c r="BY674" s="25">
        <v>62.775531205000213</v>
      </c>
      <c r="BZ674">
        <v>52</v>
      </c>
      <c r="CA674">
        <v>0</v>
      </c>
      <c r="CB674">
        <v>7</v>
      </c>
      <c r="CC674">
        <v>23783.825438</v>
      </c>
      <c r="CD674" s="10">
        <v>5231.2889830000004</v>
      </c>
      <c r="CE674" s="255">
        <v>0.21995153793223868</v>
      </c>
      <c r="CF674" t="str">
        <f>IFERROR(VLOOKUP(CE674,'Rangos amb etnico'!$A$2:$C$6,3,9),"N.D.")</f>
        <v>0,1% - 30%</v>
      </c>
      <c r="CG674" s="256">
        <v>1.521979167236426E-4</v>
      </c>
      <c r="CH674" s="232">
        <v>0</v>
      </c>
      <c r="CI674" s="311">
        <f t="shared" si="292"/>
        <v>0</v>
      </c>
      <c r="CJ674" s="232">
        <f>IFERROR(VLOOKUP(CI674,'Rangos amb etnico'!$A$2:$C$6,3,9),"N.D.")</f>
        <v>0</v>
      </c>
      <c r="CK674" s="311">
        <f t="shared" si="293"/>
        <v>0</v>
      </c>
      <c r="CL674" s="10">
        <v>0</v>
      </c>
      <c r="CM674" s="255">
        <f t="shared" si="294"/>
        <v>0</v>
      </c>
      <c r="CN674" s="232">
        <f>IFERROR(VLOOKUP(CM674,'Rangos amb etnico'!$A$2:$C$6,3,9),"N.D.")</f>
        <v>0</v>
      </c>
      <c r="CO674" s="311">
        <f t="shared" si="295"/>
        <v>0</v>
      </c>
      <c r="CP674">
        <v>0.89218871438558145</v>
      </c>
      <c r="CQ674" t="s">
        <v>2864</v>
      </c>
      <c r="CR674">
        <f t="shared" si="286"/>
        <v>3</v>
      </c>
      <c r="CS674" t="str">
        <f t="shared" si="296"/>
        <v>Candidato</v>
      </c>
      <c r="CT674">
        <v>0</v>
      </c>
      <c r="CU674">
        <v>0</v>
      </c>
      <c r="CV674" s="25">
        <v>39.161270141601563</v>
      </c>
      <c r="CW674" s="25">
        <v>23.424856185913089</v>
      </c>
      <c r="CX674" s="25">
        <v>40.645175933837891</v>
      </c>
      <c r="CY674" s="25">
        <v>56.670513153076172</v>
      </c>
      <c r="CZ674" s="25">
        <v>37.689987182617188</v>
      </c>
      <c r="DA674" s="25">
        <v>13.43696117401123</v>
      </c>
      <c r="DB674" s="25">
        <v>63.100124359130859</v>
      </c>
      <c r="DC674">
        <v>57</v>
      </c>
      <c r="DD674" s="253" t="s">
        <v>380</v>
      </c>
    </row>
    <row r="675" spans="1:108" hidden="1">
      <c r="A675" s="13">
        <v>15276</v>
      </c>
      <c r="B675" s="13" t="s">
        <v>1787</v>
      </c>
      <c r="C675" s="13" t="s">
        <v>498</v>
      </c>
      <c r="D675" s="13" t="s">
        <v>499</v>
      </c>
      <c r="E675" s="13" t="s">
        <v>1788</v>
      </c>
      <c r="F675" s="14">
        <v>49.1021</v>
      </c>
      <c r="G675" s="14">
        <v>0</v>
      </c>
      <c r="H675" s="13">
        <v>18.93</v>
      </c>
      <c r="I675" s="13">
        <v>53.01</v>
      </c>
      <c r="J675" s="14">
        <v>72.493434925370877</v>
      </c>
      <c r="K675" s="14">
        <v>56.478280966578595</v>
      </c>
      <c r="L675" s="14">
        <v>60.284159119134223</v>
      </c>
      <c r="M675" s="14">
        <v>63.5717</v>
      </c>
      <c r="N675" s="14">
        <f t="shared" si="270"/>
        <v>30.260525000000001</v>
      </c>
      <c r="O675" s="14">
        <f t="shared" si="271"/>
        <v>63.206893752770924</v>
      </c>
      <c r="P675" s="14">
        <f t="shared" si="287"/>
        <v>46.733709376385463</v>
      </c>
      <c r="Q675" s="14">
        <v>57.759858386941318</v>
      </c>
      <c r="R675" s="17">
        <f t="shared" si="272"/>
        <v>42.240141613058682</v>
      </c>
      <c r="S675" s="14">
        <f t="shared" si="288"/>
        <v>0.48016127451752821</v>
      </c>
      <c r="T675" s="13">
        <v>0</v>
      </c>
      <c r="U675" s="13">
        <f t="shared" si="289"/>
        <v>22.439717457097004</v>
      </c>
      <c r="V675" s="13">
        <f>IF($T675=1,$AU675,(VLOOKUP(U675,'Cortes naturales'!$A$35:$C$39,3,9)))</f>
        <v>4</v>
      </c>
      <c r="W675" s="13">
        <v>4</v>
      </c>
      <c r="X675" s="14" t="b">
        <f t="shared" si="273"/>
        <v>1</v>
      </c>
      <c r="Y675" s="17">
        <f>IF($T675=1,$AU675,VLOOKUP(U675,'Cortes naturales'!$A$45:$C$49,3,9))</f>
        <v>4</v>
      </c>
      <c r="Z675" s="14">
        <v>50.273705547504136</v>
      </c>
      <c r="AA675" s="14">
        <v>0.49222449924916867</v>
      </c>
      <c r="AB675" s="14">
        <v>24.745949538520374</v>
      </c>
      <c r="AC675" s="13">
        <v>4</v>
      </c>
      <c r="AD675" s="13">
        <f t="shared" si="274"/>
        <v>0</v>
      </c>
      <c r="AE675" s="14">
        <f t="shared" si="275"/>
        <v>-3.5399961711186734</v>
      </c>
      <c r="AF675" s="14">
        <f t="shared" si="276"/>
        <v>-1.2063224731640454E-2</v>
      </c>
      <c r="AG675" s="13">
        <f t="shared" si="277"/>
        <v>-2.3062320814233708</v>
      </c>
      <c r="AH675" s="13">
        <f>IF($T675=1,$AU675,VLOOKUP(U675,'Cortes naturales'!$A$25:$C$29,3,9))</f>
        <v>4</v>
      </c>
      <c r="AI675" s="13" t="b">
        <f t="shared" si="278"/>
        <v>1</v>
      </c>
      <c r="AJ675" s="13">
        <f t="shared" si="279"/>
        <v>0</v>
      </c>
      <c r="AK675" s="28">
        <v>0.81759069605862034</v>
      </c>
      <c r="AL675" s="28">
        <v>41.103313912030032</v>
      </c>
      <c r="AM675" s="28">
        <v>0.34353311822075344</v>
      </c>
      <c r="AN675" s="13">
        <v>4</v>
      </c>
      <c r="AO675" s="33">
        <f t="shared" si="280"/>
        <v>0</v>
      </c>
      <c r="AP675" s="13">
        <f t="shared" si="290"/>
        <v>34.353311822075341</v>
      </c>
      <c r="AQ675" s="13">
        <f>IFERROR(VLOOKUP(U675,'Cortes naturales'!$E$15:$G$19,3,9),U675)</f>
        <v>4</v>
      </c>
      <c r="AR675" s="28">
        <f t="shared" si="281"/>
        <v>-0.33742942154109212</v>
      </c>
      <c r="AS675" s="13" t="b">
        <f t="shared" si="282"/>
        <v>1</v>
      </c>
      <c r="AT675" s="13">
        <f t="shared" si="291"/>
        <v>0</v>
      </c>
      <c r="AU675" s="13">
        <v>3</v>
      </c>
      <c r="AV675">
        <f t="shared" si="283"/>
        <v>-1</v>
      </c>
      <c r="AW675" s="13">
        <v>0</v>
      </c>
      <c r="AX675" s="13">
        <v>0</v>
      </c>
      <c r="AY675" s="13">
        <v>0</v>
      </c>
      <c r="AZ675" s="13">
        <v>0</v>
      </c>
      <c r="BA675">
        <v>0</v>
      </c>
      <c r="BB675" t="s">
        <v>2840</v>
      </c>
      <c r="BC675">
        <v>6</v>
      </c>
      <c r="BD675" t="s">
        <v>2919</v>
      </c>
      <c r="BE675">
        <v>0</v>
      </c>
      <c r="BF675" s="232" t="s">
        <v>2846</v>
      </c>
      <c r="BG675" s="232" t="s">
        <v>2846</v>
      </c>
      <c r="BH675" s="253">
        <v>43.9</v>
      </c>
      <c r="BI675" s="253">
        <v>15.672110552763819</v>
      </c>
      <c r="BJ675" s="25">
        <v>25.108806496883641</v>
      </c>
      <c r="BK675" t="s">
        <v>379</v>
      </c>
      <c r="BL675">
        <v>0</v>
      </c>
      <c r="BM675" t="s">
        <v>377</v>
      </c>
      <c r="BN675" s="322">
        <v>15969.197367000001</v>
      </c>
      <c r="BO675" s="322">
        <v>855.864147</v>
      </c>
      <c r="BP675" s="10">
        <v>3328</v>
      </c>
      <c r="BQ675" s="254">
        <f t="shared" si="284"/>
        <v>4.7984367088341351</v>
      </c>
      <c r="BR675" s="254">
        <f t="shared" si="285"/>
        <v>0.25717071724759616</v>
      </c>
      <c r="BS675" s="25">
        <v>64.86375438177862</v>
      </c>
      <c r="BT675" s="25">
        <v>95.73317307692308</v>
      </c>
      <c r="BU675" s="25">
        <v>64.739393939393935</v>
      </c>
      <c r="BV675" s="25">
        <v>91.651297580521771</v>
      </c>
      <c r="BW675" s="25">
        <v>51.528394395801669</v>
      </c>
      <c r="BX675" s="25">
        <v>79.246904744654358</v>
      </c>
      <c r="BY675" s="25">
        <v>52.178385368279251</v>
      </c>
      <c r="BZ675">
        <v>21</v>
      </c>
      <c r="CA675">
        <v>0</v>
      </c>
      <c r="CB675">
        <v>7</v>
      </c>
      <c r="CC675">
        <v>8795.7896280000004</v>
      </c>
      <c r="CD675" s="10">
        <v>1036.877743</v>
      </c>
      <c r="CE675" s="255">
        <v>0.11788341773196397</v>
      </c>
      <c r="CF675" t="str">
        <f>IFERROR(VLOOKUP(CE675,'Rangos amb etnico'!$A$2:$C$6,3,9),"N.D.")</f>
        <v>0,1% - 30%</v>
      </c>
      <c r="CG675" s="256">
        <v>3.0166682225842631E-5</v>
      </c>
      <c r="CH675" s="232">
        <v>0</v>
      </c>
      <c r="CI675" s="311">
        <f t="shared" si="292"/>
        <v>0</v>
      </c>
      <c r="CJ675" s="232">
        <f>IFERROR(VLOOKUP(CI675,'Rangos amb etnico'!$A$2:$C$6,3,9),"N.D.")</f>
        <v>0</v>
      </c>
      <c r="CK675" s="311">
        <f t="shared" si="293"/>
        <v>0</v>
      </c>
      <c r="CL675" s="10">
        <v>0</v>
      </c>
      <c r="CM675" s="255">
        <f t="shared" si="294"/>
        <v>0</v>
      </c>
      <c r="CN675" s="232">
        <f>IFERROR(VLOOKUP(CM675,'Rangos amb etnico'!$A$2:$C$6,3,9),"N.D.")</f>
        <v>0</v>
      </c>
      <c r="CO675" s="311">
        <f t="shared" si="295"/>
        <v>0</v>
      </c>
      <c r="CP675">
        <v>0.93461867586673397</v>
      </c>
      <c r="CQ675" t="s">
        <v>2864</v>
      </c>
      <c r="CR675">
        <f t="shared" si="286"/>
        <v>2</v>
      </c>
      <c r="CS675" t="str">
        <f t="shared" si="296"/>
        <v>No es Candidato</v>
      </c>
      <c r="CT675">
        <v>0</v>
      </c>
      <c r="CU675">
        <v>0</v>
      </c>
      <c r="CV675" s="25">
        <v>53.311180114746087</v>
      </c>
      <c r="CW675" s="25">
        <v>23.197874069213871</v>
      </c>
      <c r="CX675" s="25">
        <v>48.699970245361328</v>
      </c>
      <c r="CY675" s="25">
        <v>69.527259826660156</v>
      </c>
      <c r="CZ675" s="25">
        <v>48.228279113769531</v>
      </c>
      <c r="DA675" s="25">
        <v>76.321205139160156</v>
      </c>
      <c r="DB675" s="25">
        <v>53.892486572265618</v>
      </c>
      <c r="DC675">
        <v>18</v>
      </c>
      <c r="DD675" s="253" t="s">
        <v>380</v>
      </c>
    </row>
    <row r="676" spans="1:108" hidden="1">
      <c r="A676" s="13">
        <v>76126</v>
      </c>
      <c r="B676" s="13" t="s">
        <v>1789</v>
      </c>
      <c r="C676" s="13" t="s">
        <v>454</v>
      </c>
      <c r="D676" s="13" t="s">
        <v>455</v>
      </c>
      <c r="E676" s="13" t="s">
        <v>1790</v>
      </c>
      <c r="F676" s="14">
        <v>57.749333333333297</v>
      </c>
      <c r="G676" s="13">
        <v>64</v>
      </c>
      <c r="H676" s="13">
        <v>64.7</v>
      </c>
      <c r="I676" s="13">
        <v>63.94</v>
      </c>
      <c r="J676" s="14">
        <v>51.449055422737914</v>
      </c>
      <c r="K676" s="14">
        <v>54.623264113867307</v>
      </c>
      <c r="L676" s="14">
        <v>48.632127697170418</v>
      </c>
      <c r="M676" s="14">
        <v>50.597099999999998</v>
      </c>
      <c r="N676" s="14">
        <f t="shared" si="270"/>
        <v>62.597333333333324</v>
      </c>
      <c r="O676" s="14">
        <f t="shared" si="271"/>
        <v>51.325386808443909</v>
      </c>
      <c r="P676" s="14">
        <f t="shared" si="287"/>
        <v>56.961360070888617</v>
      </c>
      <c r="Q676" s="14">
        <v>57.969225998890586</v>
      </c>
      <c r="R676" s="17">
        <f t="shared" si="272"/>
        <v>42.030774001109414</v>
      </c>
      <c r="S676" s="14">
        <f t="shared" si="288"/>
        <v>0.47827696600998482</v>
      </c>
      <c r="T676" s="13">
        <v>0</v>
      </c>
      <c r="U676" s="13">
        <f t="shared" si="289"/>
        <v>27.243306474506902</v>
      </c>
      <c r="V676" s="13">
        <f>IF($T676=1,$AU676,(VLOOKUP(U676,'Cortes naturales'!$A$35:$C$39,3,9)))</f>
        <v>4</v>
      </c>
      <c r="W676" s="13">
        <v>4</v>
      </c>
      <c r="X676" s="14" t="b">
        <f t="shared" si="273"/>
        <v>1</v>
      </c>
      <c r="Y676" s="17">
        <f>IF($T676=1,$AU676,VLOOKUP(U676,'Cortes naturales'!$A$45:$C$49,3,9))</f>
        <v>4</v>
      </c>
      <c r="Z676" s="14">
        <v>54.929984680421676</v>
      </c>
      <c r="AA676" s="14">
        <v>0.48773506102493513</v>
      </c>
      <c r="AB676" s="14">
        <v>26.791279430204217</v>
      </c>
      <c r="AC676" s="13">
        <v>4</v>
      </c>
      <c r="AD676" s="13">
        <f t="shared" si="274"/>
        <v>0</v>
      </c>
      <c r="AE676" s="14">
        <f t="shared" si="275"/>
        <v>2.0313753904669412</v>
      </c>
      <c r="AF676" s="14">
        <f t="shared" si="276"/>
        <v>-9.4580950149503185E-3</v>
      </c>
      <c r="AG676" s="13">
        <f t="shared" si="277"/>
        <v>0.45202704430268525</v>
      </c>
      <c r="AH676" s="13">
        <f>IF($T676=1,$AU676,VLOOKUP(U676,'Cortes naturales'!$A$25:$C$29,3,9))</f>
        <v>4</v>
      </c>
      <c r="AI676" s="13" t="b">
        <f t="shared" si="278"/>
        <v>1</v>
      </c>
      <c r="AJ676" s="13">
        <f t="shared" si="279"/>
        <v>0</v>
      </c>
      <c r="AK676" s="28">
        <v>0.81759069605862034</v>
      </c>
      <c r="AL676" s="28">
        <v>44.910244409355307</v>
      </c>
      <c r="AM676" s="28">
        <v>0.39115380585929782</v>
      </c>
      <c r="AN676" s="13">
        <v>3</v>
      </c>
      <c r="AO676" s="33">
        <f t="shared" si="280"/>
        <v>-1</v>
      </c>
      <c r="AP676" s="13">
        <f t="shared" si="290"/>
        <v>39.115380585929785</v>
      </c>
      <c r="AQ676" s="13">
        <f>IFERROR(VLOOKUP(U676,'Cortes naturales'!$E$15:$G$19,3,9),U676)</f>
        <v>4</v>
      </c>
      <c r="AR676" s="28">
        <f t="shared" si="281"/>
        <v>-0.33931373004863552</v>
      </c>
      <c r="AS676" s="13" t="b">
        <f t="shared" si="282"/>
        <v>1</v>
      </c>
      <c r="AT676" s="13" t="str">
        <f t="shared" si="291"/>
        <v>Efecto ponderador</v>
      </c>
      <c r="AU676" s="13">
        <v>3</v>
      </c>
      <c r="AV676">
        <f t="shared" si="283"/>
        <v>-1</v>
      </c>
      <c r="AW676" s="13">
        <v>0</v>
      </c>
      <c r="AX676" s="13">
        <v>0</v>
      </c>
      <c r="AY676" s="13">
        <v>0</v>
      </c>
      <c r="AZ676" s="13">
        <v>0</v>
      </c>
      <c r="BA676">
        <v>1</v>
      </c>
      <c r="BB676" t="s">
        <v>2840</v>
      </c>
      <c r="BC676">
        <v>6</v>
      </c>
      <c r="BD676" t="s">
        <v>2919</v>
      </c>
      <c r="BE676">
        <v>1</v>
      </c>
      <c r="BF676" s="232" t="s">
        <v>2846</v>
      </c>
      <c r="BG676" s="232" t="s">
        <v>2846</v>
      </c>
      <c r="BH676" s="253">
        <v>25.7</v>
      </c>
      <c r="BI676" s="253">
        <v>8.7350149850149847</v>
      </c>
      <c r="BJ676" s="25">
        <v>14.827499908299593</v>
      </c>
      <c r="BK676" t="s">
        <v>379</v>
      </c>
      <c r="BL676">
        <v>3.1553005195789434</v>
      </c>
      <c r="BM676" t="s">
        <v>383</v>
      </c>
      <c r="BN676" s="322">
        <v>40341.183491999996</v>
      </c>
      <c r="BO676" s="322">
        <v>10702.746214999999</v>
      </c>
      <c r="BP676" s="10">
        <v>19194</v>
      </c>
      <c r="BQ676" s="254">
        <f t="shared" si="284"/>
        <v>2.1017601069084089</v>
      </c>
      <c r="BR676" s="254">
        <f t="shared" si="285"/>
        <v>0.55760895149525891</v>
      </c>
      <c r="BS676" s="25">
        <v>62.568201282213657</v>
      </c>
      <c r="BT676" s="25">
        <v>90.676447912889444</v>
      </c>
      <c r="BU676" s="25">
        <v>53.398718296078869</v>
      </c>
      <c r="BV676" s="25">
        <v>85.612571842318744</v>
      </c>
      <c r="BW676" s="25">
        <v>52.610231771546381</v>
      </c>
      <c r="BX676" s="25">
        <v>73.063984833375173</v>
      </c>
      <c r="BY676" s="25">
        <v>53.432310763646207</v>
      </c>
      <c r="BZ676">
        <v>66</v>
      </c>
      <c r="CA676">
        <v>0</v>
      </c>
      <c r="CB676">
        <v>7</v>
      </c>
      <c r="CC676">
        <v>79384.586439999999</v>
      </c>
      <c r="CD676" s="10">
        <v>67897.451967999994</v>
      </c>
      <c r="CE676" s="255">
        <v>0.85529767191415496</v>
      </c>
      <c r="CF676" t="str">
        <f>IFERROR(VLOOKUP(CE676,'Rangos amb etnico'!$A$2:$C$6,3,9),"N.D.")</f>
        <v>71% - 100%</v>
      </c>
      <c r="CG676" s="256">
        <v>1.9753928284128182E-3</v>
      </c>
      <c r="CH676" s="232">
        <v>12888.270678000001</v>
      </c>
      <c r="CI676" s="311">
        <f t="shared" si="292"/>
        <v>0.16235230610845519</v>
      </c>
      <c r="CJ676" s="232" t="str">
        <f>IFERROR(VLOOKUP(CI676,'Rangos amb etnico'!$A$2:$C$6,3,9),"N.D.")</f>
        <v>0,1% - 30%</v>
      </c>
      <c r="CK676" s="311">
        <f t="shared" si="293"/>
        <v>5.11748728008606E-4</v>
      </c>
      <c r="CL676" s="10">
        <v>0</v>
      </c>
      <c r="CM676" s="255">
        <f t="shared" si="294"/>
        <v>0</v>
      </c>
      <c r="CN676" s="232">
        <f>IFERROR(VLOOKUP(CM676,'Rangos amb etnico'!$A$2:$C$6,3,9),"N.D.")</f>
        <v>0</v>
      </c>
      <c r="CO676" s="311">
        <f t="shared" si="295"/>
        <v>0</v>
      </c>
      <c r="CP676">
        <v>0.96428541949258917</v>
      </c>
      <c r="CQ676" t="s">
        <v>2864</v>
      </c>
      <c r="CR676">
        <f t="shared" si="286"/>
        <v>2</v>
      </c>
      <c r="CS676" t="str">
        <f t="shared" si="296"/>
        <v>No es Candidato</v>
      </c>
      <c r="CT676">
        <v>0</v>
      </c>
      <c r="CU676">
        <v>0</v>
      </c>
      <c r="CV676" s="25">
        <v>48.999061584472663</v>
      </c>
      <c r="CW676" s="25">
        <v>26.583255767822269</v>
      </c>
      <c r="CX676" s="25">
        <v>47.5946044921875</v>
      </c>
      <c r="CY676" s="25">
        <v>70.725715637207031</v>
      </c>
      <c r="CZ676" s="25">
        <v>44.695365905761719</v>
      </c>
      <c r="DA676" s="25">
        <v>25.602956771850589</v>
      </c>
      <c r="DB676" s="25">
        <v>78.792465209960938</v>
      </c>
      <c r="DC676">
        <v>725</v>
      </c>
      <c r="DD676" s="253" t="s">
        <v>380</v>
      </c>
    </row>
    <row r="677" spans="1:108" hidden="1">
      <c r="A677" s="13">
        <v>47058</v>
      </c>
      <c r="B677" s="13" t="s">
        <v>1791</v>
      </c>
      <c r="C677" s="13" t="s">
        <v>638</v>
      </c>
      <c r="D677" s="13" t="s">
        <v>639</v>
      </c>
      <c r="E677" s="13" t="s">
        <v>1792</v>
      </c>
      <c r="F677" s="14">
        <v>72.256066666666698</v>
      </c>
      <c r="G677" s="13">
        <v>80.77</v>
      </c>
      <c r="H677" s="13">
        <v>83.86</v>
      </c>
      <c r="I677" s="13">
        <v>83.24</v>
      </c>
      <c r="J677" s="14">
        <v>53.746282459973571</v>
      </c>
      <c r="K677" s="14">
        <v>40.474826822451519</v>
      </c>
      <c r="L677" s="14">
        <v>54.672057578206413</v>
      </c>
      <c r="M677" s="14">
        <v>60.320099999999996</v>
      </c>
      <c r="N677" s="14">
        <f t="shared" si="270"/>
        <v>80.031516666666676</v>
      </c>
      <c r="O677" s="14">
        <f t="shared" si="271"/>
        <v>52.303316715157877</v>
      </c>
      <c r="P677" s="14">
        <f t="shared" si="287"/>
        <v>66.167416690912276</v>
      </c>
      <c r="Q677" s="14">
        <v>58.038120830391215</v>
      </c>
      <c r="R677" s="17">
        <f t="shared" si="272"/>
        <v>41.961879169608785</v>
      </c>
      <c r="S677" s="14">
        <f t="shared" si="288"/>
        <v>0.47765691252647913</v>
      </c>
      <c r="T677" s="13">
        <v>0</v>
      </c>
      <c r="U677" s="13">
        <f t="shared" si="289"/>
        <v>31.605323966434181</v>
      </c>
      <c r="V677" s="13">
        <f>IF($T677=1,$AU677,(VLOOKUP(U677,'Cortes naturales'!$A$35:$C$39,3,9)))</f>
        <v>3</v>
      </c>
      <c r="W677" s="13">
        <v>3</v>
      </c>
      <c r="X677" s="14" t="b">
        <f t="shared" si="273"/>
        <v>1</v>
      </c>
      <c r="Y677" s="17">
        <f>IF($T677=1,$AU677,VLOOKUP(U677,'Cortes naturales'!$A$45:$C$49,3,9))</f>
        <v>3</v>
      </c>
      <c r="Z677" s="14">
        <v>62.874112574109994</v>
      </c>
      <c r="AA677" s="14">
        <v>0.48978117563923618</v>
      </c>
      <c r="AB677" s="14">
        <v>30.794556773821274</v>
      </c>
      <c r="AC677" s="13">
        <v>3</v>
      </c>
      <c r="AD677" s="13">
        <f t="shared" si="274"/>
        <v>0</v>
      </c>
      <c r="AE677" s="14">
        <f t="shared" si="275"/>
        <v>3.2933041168022825</v>
      </c>
      <c r="AF677" s="14">
        <f t="shared" si="276"/>
        <v>-1.212426311275705E-2</v>
      </c>
      <c r="AG677" s="13">
        <f t="shared" si="277"/>
        <v>0.81076719261290719</v>
      </c>
      <c r="AH677" s="13">
        <f>IF($T677=1,$AU677,VLOOKUP(U677,'Cortes naturales'!$A$25:$C$29,3,9))</f>
        <v>3</v>
      </c>
      <c r="AI677" s="13" t="b">
        <f t="shared" si="278"/>
        <v>1</v>
      </c>
      <c r="AJ677" s="13">
        <f t="shared" si="279"/>
        <v>0</v>
      </c>
      <c r="AK677" s="28">
        <v>0.81759069605862034</v>
      </c>
      <c r="AL677" s="28">
        <v>51.405289463534643</v>
      </c>
      <c r="AM677" s="28">
        <v>0.4723999730642568</v>
      </c>
      <c r="AN677" s="13">
        <v>3</v>
      </c>
      <c r="AO677" s="33">
        <f t="shared" si="280"/>
        <v>0</v>
      </c>
      <c r="AP677" s="13">
        <f t="shared" si="290"/>
        <v>47.239997306425678</v>
      </c>
      <c r="AQ677" s="13">
        <f>IFERROR(VLOOKUP(U677,'Cortes naturales'!$E$15:$G$19,3,9),U677)</f>
        <v>4</v>
      </c>
      <c r="AR677" s="28">
        <f t="shared" si="281"/>
        <v>-0.33993378353214121</v>
      </c>
      <c r="AS677" s="13" t="b">
        <f t="shared" si="282"/>
        <v>0</v>
      </c>
      <c r="AT677" s="13">
        <f t="shared" si="291"/>
        <v>0</v>
      </c>
      <c r="AU677" s="13">
        <v>3</v>
      </c>
      <c r="AV677">
        <f t="shared" si="283"/>
        <v>0</v>
      </c>
      <c r="AW677" s="13">
        <v>0</v>
      </c>
      <c r="AX677" s="13">
        <v>0</v>
      </c>
      <c r="AY677" s="13">
        <v>0</v>
      </c>
      <c r="AZ677" s="13">
        <v>0</v>
      </c>
      <c r="BA677">
        <v>0</v>
      </c>
      <c r="BB677" t="s">
        <v>2840</v>
      </c>
      <c r="BC677">
        <v>6</v>
      </c>
      <c r="BD677" t="s">
        <v>2919</v>
      </c>
      <c r="BE677">
        <v>0</v>
      </c>
      <c r="BF677" s="232" t="s">
        <v>2846</v>
      </c>
      <c r="BG677" s="232" t="s">
        <v>2846</v>
      </c>
      <c r="BH677" s="253">
        <v>56.4</v>
      </c>
      <c r="BI677" s="253">
        <v>44.300664686748689</v>
      </c>
      <c r="BJ677" s="25">
        <v>64.558431280593254</v>
      </c>
      <c r="BK677" t="s">
        <v>376</v>
      </c>
      <c r="BL677">
        <v>2.3886129562909884</v>
      </c>
      <c r="BM677" t="s">
        <v>383</v>
      </c>
      <c r="BN677" s="322">
        <v>68739.396313000005</v>
      </c>
      <c r="BO677" s="322">
        <v>6889.8854149999997</v>
      </c>
      <c r="BP677" s="10">
        <v>31525</v>
      </c>
      <c r="BQ677" s="254">
        <f t="shared" si="284"/>
        <v>2.180472523806503</v>
      </c>
      <c r="BR677" s="254">
        <f t="shared" si="285"/>
        <v>0.21855306629658999</v>
      </c>
      <c r="BS677" s="25">
        <v>61.507433857836993</v>
      </c>
      <c r="BT677" s="25">
        <v>92.737124620357804</v>
      </c>
      <c r="BU677" s="25">
        <v>17.447959183673461</v>
      </c>
      <c r="BV677" s="25">
        <v>96.611737224833462</v>
      </c>
      <c r="BW677" s="25">
        <v>50.631553958211647</v>
      </c>
      <c r="BX677" s="25">
        <v>67.076063721675439</v>
      </c>
      <c r="BY677" s="25">
        <v>52.360390552101443</v>
      </c>
      <c r="BZ677">
        <v>74</v>
      </c>
      <c r="CA677">
        <v>0</v>
      </c>
      <c r="CB677">
        <v>7</v>
      </c>
      <c r="CC677">
        <v>113033.76147300001</v>
      </c>
      <c r="CD677" s="10">
        <v>647.61770200000001</v>
      </c>
      <c r="CE677" s="255">
        <v>5.7294183044124761E-3</v>
      </c>
      <c r="CF677" t="str">
        <f>IFERROR(VLOOKUP(CE677,'Rangos amb etnico'!$A$2:$C$6,3,9),"N.D.")</f>
        <v>0,1% - 30%</v>
      </c>
      <c r="CG677" s="256">
        <v>1.8841640253111739E-5</v>
      </c>
      <c r="CH677" s="232">
        <v>0</v>
      </c>
      <c r="CI677" s="311">
        <f t="shared" si="292"/>
        <v>0</v>
      </c>
      <c r="CJ677" s="232">
        <f>IFERROR(VLOOKUP(CI677,'Rangos amb etnico'!$A$2:$C$6,3,9),"N.D.")</f>
        <v>0</v>
      </c>
      <c r="CK677" s="311">
        <f t="shared" si="293"/>
        <v>0</v>
      </c>
      <c r="CL677" s="10">
        <v>0</v>
      </c>
      <c r="CM677" s="255">
        <f t="shared" si="294"/>
        <v>0</v>
      </c>
      <c r="CN677" s="232">
        <f>IFERROR(VLOOKUP(CM677,'Rangos amb etnico'!$A$2:$C$6,3,9),"N.D.")</f>
        <v>0</v>
      </c>
      <c r="CO677" s="311">
        <f t="shared" si="295"/>
        <v>0</v>
      </c>
      <c r="CP677">
        <v>0.84135561130009939</v>
      </c>
      <c r="CQ677" t="s">
        <v>2865</v>
      </c>
      <c r="CR677">
        <f t="shared" si="286"/>
        <v>3</v>
      </c>
      <c r="CS677" t="str">
        <f t="shared" si="296"/>
        <v>Candidato</v>
      </c>
      <c r="CT677">
        <v>0</v>
      </c>
      <c r="CU677">
        <v>0</v>
      </c>
      <c r="CV677" s="25">
        <v>38.675388336181641</v>
      </c>
      <c r="CW677" s="25">
        <v>25.832389831542969</v>
      </c>
      <c r="CX677" s="25">
        <v>41.748279571533203</v>
      </c>
      <c r="CY677" s="25">
        <v>43.060623168945313</v>
      </c>
      <c r="CZ677" s="25">
        <v>12.716171264648439</v>
      </c>
      <c r="DA677" s="25">
        <v>70.399215698242188</v>
      </c>
      <c r="DB677" s="25">
        <v>38.295654296875</v>
      </c>
      <c r="DC677">
        <v>497</v>
      </c>
      <c r="DD677" s="253" t="s">
        <v>380</v>
      </c>
    </row>
    <row r="678" spans="1:108" hidden="1">
      <c r="A678" s="13">
        <v>15106</v>
      </c>
      <c r="B678" s="13" t="s">
        <v>1793</v>
      </c>
      <c r="C678" s="13" t="s">
        <v>498</v>
      </c>
      <c r="D678" s="13" t="s">
        <v>499</v>
      </c>
      <c r="E678" s="13" t="s">
        <v>1794</v>
      </c>
      <c r="F678" s="14">
        <v>60.6</v>
      </c>
      <c r="G678" s="13">
        <v>63.84</v>
      </c>
      <c r="H678" s="13">
        <v>67.08</v>
      </c>
      <c r="I678" s="13">
        <v>79.05</v>
      </c>
      <c r="J678" s="14">
        <v>42.785280068213069</v>
      </c>
      <c r="K678" s="14">
        <v>44.854457016893946</v>
      </c>
      <c r="L678" s="14">
        <v>54.752542546477258</v>
      </c>
      <c r="M678" s="14">
        <v>48.672699999999999</v>
      </c>
      <c r="N678" s="14">
        <f t="shared" si="270"/>
        <v>67.642499999999998</v>
      </c>
      <c r="O678" s="14">
        <f t="shared" si="271"/>
        <v>47.766244907896066</v>
      </c>
      <c r="P678" s="14">
        <f t="shared" si="287"/>
        <v>57.704372453948032</v>
      </c>
      <c r="Q678" s="14">
        <v>58.079062158596969</v>
      </c>
      <c r="R678" s="17">
        <f t="shared" si="272"/>
        <v>41.920937841403031</v>
      </c>
      <c r="S678" s="14">
        <f t="shared" si="288"/>
        <v>0.47728844057262731</v>
      </c>
      <c r="T678" s="13">
        <v>0</v>
      </c>
      <c r="U678" s="13">
        <f t="shared" si="289"/>
        <v>27.541629942766928</v>
      </c>
      <c r="V678" s="13">
        <f>IF($T678=1,$AU678,(VLOOKUP(U678,'Cortes naturales'!$A$35:$C$39,3,9)))</f>
        <v>4</v>
      </c>
      <c r="W678" s="13">
        <v>4</v>
      </c>
      <c r="X678" s="14" t="b">
        <f t="shared" si="273"/>
        <v>1</v>
      </c>
      <c r="Y678" s="17">
        <f>IF($T678=1,$AU678,VLOOKUP(U678,'Cortes naturales'!$A$45:$C$49,3,9))</f>
        <v>4</v>
      </c>
      <c r="Z678" s="14">
        <v>55.170413893699433</v>
      </c>
      <c r="AA678" s="14">
        <v>0.48798502724769288</v>
      </c>
      <c r="AB678" s="14">
        <v>26.922335927183411</v>
      </c>
      <c r="AC678" s="13">
        <v>4</v>
      </c>
      <c r="AD678" s="13">
        <f t="shared" si="274"/>
        <v>0</v>
      </c>
      <c r="AE678" s="14">
        <f t="shared" si="275"/>
        <v>2.5339585602485997</v>
      </c>
      <c r="AF678" s="14">
        <f t="shared" si="276"/>
        <v>-1.0696586675065567E-2</v>
      </c>
      <c r="AG678" s="13">
        <f t="shared" si="277"/>
        <v>0.61929401558351671</v>
      </c>
      <c r="AH678" s="13">
        <f>IF($T678=1,$AU678,VLOOKUP(U678,'Cortes naturales'!$A$25:$C$29,3,9))</f>
        <v>4</v>
      </c>
      <c r="AI678" s="13" t="b">
        <f t="shared" si="278"/>
        <v>1</v>
      </c>
      <c r="AJ678" s="13">
        <f t="shared" si="279"/>
        <v>0</v>
      </c>
      <c r="AK678" s="28">
        <v>0.81759069605862034</v>
      </c>
      <c r="AL678" s="28">
        <v>45.1068170971919</v>
      </c>
      <c r="AM678" s="28">
        <v>0.39361272297698952</v>
      </c>
      <c r="AN678" s="13">
        <v>3</v>
      </c>
      <c r="AO678" s="33">
        <f t="shared" si="280"/>
        <v>-1</v>
      </c>
      <c r="AP678" s="13">
        <f t="shared" si="290"/>
        <v>39.361272297698953</v>
      </c>
      <c r="AQ678" s="13">
        <f>IFERROR(VLOOKUP(U678,'Cortes naturales'!$E$15:$G$19,3,9),U678)</f>
        <v>4</v>
      </c>
      <c r="AR678" s="28">
        <f t="shared" si="281"/>
        <v>-0.34030225548599302</v>
      </c>
      <c r="AS678" s="13" t="b">
        <f t="shared" si="282"/>
        <v>1</v>
      </c>
      <c r="AT678" s="13" t="str">
        <f t="shared" si="291"/>
        <v>Efecto ponderador</v>
      </c>
      <c r="AU678" s="13">
        <v>3</v>
      </c>
      <c r="AV678">
        <f t="shared" si="283"/>
        <v>-1</v>
      </c>
      <c r="AW678" s="13">
        <v>0</v>
      </c>
      <c r="AX678" s="13">
        <v>0</v>
      </c>
      <c r="AY678" s="13">
        <v>0</v>
      </c>
      <c r="AZ678" s="13">
        <v>0</v>
      </c>
      <c r="BA678">
        <v>0</v>
      </c>
      <c r="BB678" t="s">
        <v>2841</v>
      </c>
      <c r="BC678">
        <v>6</v>
      </c>
      <c r="BD678" t="s">
        <v>2919</v>
      </c>
      <c r="BE678">
        <v>0</v>
      </c>
      <c r="BF678" s="232" t="s">
        <v>2846</v>
      </c>
      <c r="BG678" s="232" t="s">
        <v>2846</v>
      </c>
      <c r="BH678" s="253">
        <v>48.5</v>
      </c>
      <c r="BI678" s="253">
        <v>15.61429270680372</v>
      </c>
      <c r="BJ678" s="25">
        <v>57.554118626302476</v>
      </c>
      <c r="BK678" t="s">
        <v>376</v>
      </c>
      <c r="BL678">
        <v>0</v>
      </c>
      <c r="BM678" t="s">
        <v>377</v>
      </c>
      <c r="BN678" s="322">
        <v>11304.666829</v>
      </c>
      <c r="BO678" s="322">
        <v>520.33684900000003</v>
      </c>
      <c r="BP678" s="10">
        <v>2247</v>
      </c>
      <c r="BQ678" s="254">
        <f t="shared" si="284"/>
        <v>5.0310043742768134</v>
      </c>
      <c r="BR678" s="254">
        <f t="shared" si="285"/>
        <v>0.23156958121940366</v>
      </c>
      <c r="BS678" s="25">
        <v>63.644448762793097</v>
      </c>
      <c r="BT678" s="25">
        <v>89.727042354250102</v>
      </c>
      <c r="BU678" s="25">
        <v>43.084684001444543</v>
      </c>
      <c r="BV678" s="25">
        <v>98.022616565544169</v>
      </c>
      <c r="BW678" s="25">
        <v>57.423406002156632</v>
      </c>
      <c r="BX678" s="25">
        <v>73.619697921007983</v>
      </c>
      <c r="BY678" s="25">
        <v>59.397034115428433</v>
      </c>
      <c r="BZ678">
        <v>86</v>
      </c>
      <c r="CA678">
        <v>0</v>
      </c>
      <c r="CB678">
        <v>7</v>
      </c>
      <c r="CC678">
        <v>6451.2025780000004</v>
      </c>
      <c r="CD678" s="10">
        <v>168.69486499999999</v>
      </c>
      <c r="CE678" s="255">
        <v>2.6149367185474233E-2</v>
      </c>
      <c r="CF678" t="str">
        <f>IFERROR(VLOOKUP(CE678,'Rangos amb etnico'!$A$2:$C$6,3,9),"N.D.")</f>
        <v>0,1% - 30%</v>
      </c>
      <c r="CG678" s="256">
        <v>4.9079695460165956E-6</v>
      </c>
      <c r="CH678" s="232">
        <v>0</v>
      </c>
      <c r="CI678" s="311">
        <f t="shared" si="292"/>
        <v>0</v>
      </c>
      <c r="CJ678" s="232">
        <f>IFERROR(VLOOKUP(CI678,'Rangos amb etnico'!$A$2:$C$6,3,9),"N.D.")</f>
        <v>0</v>
      </c>
      <c r="CK678" s="311">
        <f t="shared" si="293"/>
        <v>0</v>
      </c>
      <c r="CL678" s="10">
        <v>0</v>
      </c>
      <c r="CM678" s="255">
        <f t="shared" si="294"/>
        <v>0</v>
      </c>
      <c r="CN678" s="232">
        <f>IFERROR(VLOOKUP(CM678,'Rangos amb etnico'!$A$2:$C$6,3,9),"N.D.")</f>
        <v>0</v>
      </c>
      <c r="CO678" s="311">
        <f t="shared" si="295"/>
        <v>0</v>
      </c>
      <c r="CP678">
        <v>0.93300457570579032</v>
      </c>
      <c r="CQ678" t="s">
        <v>2864</v>
      </c>
      <c r="CR678">
        <f t="shared" si="286"/>
        <v>2</v>
      </c>
      <c r="CS678" t="str">
        <f t="shared" si="296"/>
        <v>No es Candidato</v>
      </c>
      <c r="CT678">
        <v>0</v>
      </c>
      <c r="CU678">
        <v>0</v>
      </c>
      <c r="CV678" s="25">
        <v>50.716777801513672</v>
      </c>
      <c r="CW678" s="25">
        <v>9.502589225769043</v>
      </c>
      <c r="CX678" s="25">
        <v>52.153404235839837</v>
      </c>
      <c r="CY678" s="25">
        <v>57.782009124755859</v>
      </c>
      <c r="CZ678" s="25">
        <v>53.088569641113281</v>
      </c>
      <c r="DA678" s="25">
        <v>84.369377136230469</v>
      </c>
      <c r="DB678" s="25">
        <v>47.404705047607422</v>
      </c>
      <c r="DC678">
        <v>13</v>
      </c>
      <c r="DD678" s="253" t="s">
        <v>380</v>
      </c>
    </row>
    <row r="679" spans="1:108" hidden="1">
      <c r="A679" s="13">
        <v>25662</v>
      </c>
      <c r="B679" s="13" t="s">
        <v>1795</v>
      </c>
      <c r="C679" s="13" t="s">
        <v>461</v>
      </c>
      <c r="D679" s="13" t="s">
        <v>462</v>
      </c>
      <c r="E679" s="13" t="s">
        <v>1796</v>
      </c>
      <c r="F679" s="14">
        <v>78.481499999999997</v>
      </c>
      <c r="G679" s="13">
        <v>72.430000000000007</v>
      </c>
      <c r="H679" s="13">
        <v>60.81</v>
      </c>
      <c r="I679" s="13">
        <v>68.319999999999993</v>
      </c>
      <c r="J679" s="14">
        <v>68.86117842583775</v>
      </c>
      <c r="K679" s="14">
        <v>65.534449682317643</v>
      </c>
      <c r="L679" s="14">
        <v>70.045277407775345</v>
      </c>
      <c r="M679" s="14">
        <v>62.867800000000003</v>
      </c>
      <c r="N679" s="14">
        <f t="shared" si="270"/>
        <v>70.010374999999996</v>
      </c>
      <c r="O679" s="14">
        <f t="shared" si="271"/>
        <v>66.827176378982685</v>
      </c>
      <c r="P679" s="14">
        <f t="shared" si="287"/>
        <v>68.418775689491341</v>
      </c>
      <c r="Q679" s="14">
        <v>58.572002975762452</v>
      </c>
      <c r="R679" s="17">
        <f t="shared" si="272"/>
        <v>41.427997024237548</v>
      </c>
      <c r="S679" s="14">
        <f t="shared" si="288"/>
        <v>0.47285197321813799</v>
      </c>
      <c r="T679" s="13">
        <v>0</v>
      </c>
      <c r="U679" s="13">
        <f t="shared" si="289"/>
        <v>32.351953089945148</v>
      </c>
      <c r="V679" s="13">
        <f>IF($T679=1,$AU679,(VLOOKUP(U679,'Cortes naturales'!$A$35:$C$39,3,9)))</f>
        <v>3</v>
      </c>
      <c r="W679" s="13">
        <v>3</v>
      </c>
      <c r="X679" s="14" t="b">
        <f t="shared" si="273"/>
        <v>1</v>
      </c>
      <c r="Y679" s="17">
        <f>IF($T679=1,$AU679,VLOOKUP(U679,'Cortes naturales'!$A$45:$C$49,3,9))</f>
        <v>3</v>
      </c>
      <c r="Z679" s="14">
        <v>68.316260221453419</v>
      </c>
      <c r="AA679" s="14">
        <v>0.48796338359315117</v>
      </c>
      <c r="AB679" s="14">
        <v>33.335833492090607</v>
      </c>
      <c r="AC679" s="13">
        <v>3</v>
      </c>
      <c r="AD679" s="13">
        <f t="shared" si="274"/>
        <v>0</v>
      </c>
      <c r="AE679" s="14">
        <f t="shared" si="275"/>
        <v>0.10251546803792166</v>
      </c>
      <c r="AF679" s="14">
        <f t="shared" si="276"/>
        <v>-1.5111410375013179E-2</v>
      </c>
      <c r="AG679" s="13">
        <f t="shared" si="277"/>
        <v>-0.98388040214545924</v>
      </c>
      <c r="AH679" s="13">
        <f>IF($T679=1,$AU679,VLOOKUP(U679,'Cortes naturales'!$A$25:$C$29,3,9))</f>
        <v>3</v>
      </c>
      <c r="AI679" s="13" t="b">
        <f t="shared" si="278"/>
        <v>1</v>
      </c>
      <c r="AJ679" s="13">
        <f t="shared" si="279"/>
        <v>0</v>
      </c>
      <c r="AK679" s="28">
        <v>0.81759069605862034</v>
      </c>
      <c r="AL679" s="28">
        <v>55.85473874657994</v>
      </c>
      <c r="AM679" s="28">
        <v>0.52805789343351883</v>
      </c>
      <c r="AN679" s="13">
        <v>2</v>
      </c>
      <c r="AO679" s="33">
        <f t="shared" si="280"/>
        <v>-1</v>
      </c>
      <c r="AP679" s="13">
        <f t="shared" si="290"/>
        <v>52.805789343351883</v>
      </c>
      <c r="AQ679" s="13">
        <f>IFERROR(VLOOKUP(U679,'Cortes naturales'!$E$15:$G$19,3,9),U679)</f>
        <v>4</v>
      </c>
      <c r="AR679" s="28">
        <f t="shared" si="281"/>
        <v>-0.34473872284048235</v>
      </c>
      <c r="AS679" s="13" t="b">
        <f t="shared" si="282"/>
        <v>0</v>
      </c>
      <c r="AT679" s="13" t="str">
        <f t="shared" si="291"/>
        <v>Cambio en corte</v>
      </c>
      <c r="AU679" s="13">
        <v>3</v>
      </c>
      <c r="AV679">
        <f t="shared" si="283"/>
        <v>0</v>
      </c>
      <c r="AW679" s="13">
        <v>0</v>
      </c>
      <c r="AX679" s="13">
        <v>0</v>
      </c>
      <c r="AY679" s="13">
        <v>0</v>
      </c>
      <c r="AZ679" s="13">
        <v>0</v>
      </c>
      <c r="BA679">
        <v>0</v>
      </c>
      <c r="BB679" t="s">
        <v>2840</v>
      </c>
      <c r="BC679">
        <v>6</v>
      </c>
      <c r="BD679" t="s">
        <v>2919</v>
      </c>
      <c r="BE679">
        <v>0</v>
      </c>
      <c r="BF679" s="232" t="s">
        <v>2846</v>
      </c>
      <c r="BG679" s="232" t="s">
        <v>2846</v>
      </c>
      <c r="BH679" s="253">
        <v>35.6</v>
      </c>
      <c r="BI679" s="253">
        <v>12.970376301040833</v>
      </c>
      <c r="BJ679" s="25">
        <v>4.3745991620504459</v>
      </c>
      <c r="BK679" t="s">
        <v>381</v>
      </c>
      <c r="BL679">
        <v>1.9668405837979686E-2</v>
      </c>
      <c r="BM679" t="s">
        <v>377</v>
      </c>
      <c r="BN679" s="322">
        <v>24415.580903999999</v>
      </c>
      <c r="BO679" s="322">
        <v>1861.977848</v>
      </c>
      <c r="BP679" s="10">
        <v>8423</v>
      </c>
      <c r="BQ679" s="254">
        <f t="shared" si="284"/>
        <v>2.8986799126202065</v>
      </c>
      <c r="BR679" s="254">
        <f t="shared" si="285"/>
        <v>0.22105874961415173</v>
      </c>
      <c r="BS679" s="25">
        <v>65.06724740855536</v>
      </c>
      <c r="BT679" s="25">
        <v>87.139103966124495</v>
      </c>
      <c r="BU679" s="25">
        <v>47.868912011683072</v>
      </c>
      <c r="BV679" s="25">
        <v>78.635828363865741</v>
      </c>
      <c r="BW679" s="25">
        <v>46.065543953045051</v>
      </c>
      <c r="BX679" s="25">
        <v>69.677772937557165</v>
      </c>
      <c r="BY679" s="25">
        <v>46.239671297704689</v>
      </c>
      <c r="BZ679">
        <v>52</v>
      </c>
      <c r="CA679">
        <v>0</v>
      </c>
      <c r="CB679">
        <v>7</v>
      </c>
      <c r="CC679">
        <v>31381.682187999999</v>
      </c>
      <c r="CD679" s="10">
        <v>17877.475256999998</v>
      </c>
      <c r="CE679" s="255">
        <v>0.56967867910650571</v>
      </c>
      <c r="CF679" t="str">
        <f>IFERROR(VLOOKUP(CE679,'Rangos amb etnico'!$A$2:$C$6,3,9),"N.D.")</f>
        <v>51% - 70%</v>
      </c>
      <c r="CG679" s="256">
        <v>5.2012314732295618E-4</v>
      </c>
      <c r="CH679" s="232">
        <v>0</v>
      </c>
      <c r="CI679" s="311">
        <f t="shared" si="292"/>
        <v>0</v>
      </c>
      <c r="CJ679" s="232">
        <f>IFERROR(VLOOKUP(CI679,'Rangos amb etnico'!$A$2:$C$6,3,9),"N.D.")</f>
        <v>0</v>
      </c>
      <c r="CK679" s="311">
        <f t="shared" si="293"/>
        <v>0</v>
      </c>
      <c r="CL679" s="10">
        <v>0</v>
      </c>
      <c r="CM679" s="255">
        <f t="shared" si="294"/>
        <v>0</v>
      </c>
      <c r="CN679" s="232">
        <f>IFERROR(VLOOKUP(CM679,'Rangos amb etnico'!$A$2:$C$6,3,9),"N.D.")</f>
        <v>0</v>
      </c>
      <c r="CO679" s="311">
        <f t="shared" si="295"/>
        <v>0</v>
      </c>
      <c r="CP679">
        <v>0.84045917781605028</v>
      </c>
      <c r="CQ679" t="s">
        <v>2865</v>
      </c>
      <c r="CR679">
        <f t="shared" si="286"/>
        <v>3</v>
      </c>
      <c r="CS679" t="str">
        <f t="shared" si="296"/>
        <v>Candidato</v>
      </c>
      <c r="CT679">
        <v>0</v>
      </c>
      <c r="CU679">
        <v>0</v>
      </c>
      <c r="CV679" s="25">
        <v>45.353816986083977</v>
      </c>
      <c r="CW679" s="25">
        <v>23.359897613525391</v>
      </c>
      <c r="CX679" s="25">
        <v>44.443252563476563</v>
      </c>
      <c r="CY679" s="25">
        <v>54.716354370117188</v>
      </c>
      <c r="CZ679" s="25">
        <v>37.056118011474609</v>
      </c>
      <c r="DA679" s="25">
        <v>62.001255035400391</v>
      </c>
      <c r="DB679" s="25">
        <v>50.546024322509773</v>
      </c>
      <c r="DC679">
        <v>129</v>
      </c>
      <c r="DD679" s="253" t="s">
        <v>380</v>
      </c>
    </row>
    <row r="680" spans="1:108" hidden="1">
      <c r="A680" s="13">
        <v>15511</v>
      </c>
      <c r="B680" s="13" t="s">
        <v>1797</v>
      </c>
      <c r="C680" s="13" t="s">
        <v>498</v>
      </c>
      <c r="D680" s="13" t="s">
        <v>499</v>
      </c>
      <c r="E680" s="13" t="s">
        <v>1798</v>
      </c>
      <c r="F680" s="14">
        <v>91.227166666666704</v>
      </c>
      <c r="G680" s="13">
        <v>87.96</v>
      </c>
      <c r="H680" s="13">
        <v>75.400000000000006</v>
      </c>
      <c r="I680" s="13">
        <v>79.489999999999995</v>
      </c>
      <c r="J680" s="14">
        <v>69.685959382537249</v>
      </c>
      <c r="K680" s="14">
        <v>56.28043760207504</v>
      </c>
      <c r="L680" s="14">
        <v>43.408684961060551</v>
      </c>
      <c r="M680" s="14">
        <v>44.794400000000003</v>
      </c>
      <c r="N680" s="14">
        <f t="shared" si="270"/>
        <v>83.519291666666675</v>
      </c>
      <c r="O680" s="14">
        <f t="shared" si="271"/>
        <v>53.542370486418207</v>
      </c>
      <c r="P680" s="14">
        <f t="shared" si="287"/>
        <v>68.530831076542441</v>
      </c>
      <c r="Q680" s="14">
        <v>58.450311180450299</v>
      </c>
      <c r="R680" s="17">
        <f t="shared" si="272"/>
        <v>41.549688819549701</v>
      </c>
      <c r="S680" s="14">
        <f t="shared" si="288"/>
        <v>0.47394719937594731</v>
      </c>
      <c r="T680" s="13">
        <v>0</v>
      </c>
      <c r="U680" s="13">
        <f t="shared" si="289"/>
        <v>32.479995459633429</v>
      </c>
      <c r="V680" s="13">
        <f>IF($T680=1,$AU680,(VLOOKUP(U680,'Cortes naturales'!$A$35:$C$39,3,9)))</f>
        <v>3</v>
      </c>
      <c r="W680" s="13">
        <v>3</v>
      </c>
      <c r="X680" s="14" t="b">
        <f t="shared" si="273"/>
        <v>1</v>
      </c>
      <c r="Y680" s="17">
        <f>IF($T680=1,$AU680,VLOOKUP(U680,'Cortes naturales'!$A$45:$C$49,3,9))</f>
        <v>3</v>
      </c>
      <c r="Z680" s="14">
        <v>70.891827835492592</v>
      </c>
      <c r="AA680" s="14">
        <v>0.48968630891513676</v>
      </c>
      <c r="AB680" s="14">
        <v>34.714757505009715</v>
      </c>
      <c r="AC680" s="13">
        <v>3</v>
      </c>
      <c r="AD680" s="13">
        <f t="shared" si="274"/>
        <v>0</v>
      </c>
      <c r="AE680" s="14">
        <f t="shared" si="275"/>
        <v>-2.3609967589501508</v>
      </c>
      <c r="AF680" s="14">
        <f t="shared" si="276"/>
        <v>-1.5739109539189444E-2</v>
      </c>
      <c r="AG680" s="13">
        <f t="shared" si="277"/>
        <v>-2.2347620453762858</v>
      </c>
      <c r="AH680" s="13">
        <f>IF($T680=1,$AU680,VLOOKUP(U680,'Cortes naturales'!$A$25:$C$29,3,9))</f>
        <v>3</v>
      </c>
      <c r="AI680" s="13" t="b">
        <f t="shared" si="278"/>
        <v>1</v>
      </c>
      <c r="AJ680" s="13">
        <f t="shared" si="279"/>
        <v>0</v>
      </c>
      <c r="AK680" s="28">
        <v>0.81759069605862034</v>
      </c>
      <c r="AL680" s="28">
        <v>57.960498864888265</v>
      </c>
      <c r="AM680" s="28">
        <v>0.55439873283316632</v>
      </c>
      <c r="AN680" s="13">
        <v>2</v>
      </c>
      <c r="AO680" s="33">
        <f t="shared" si="280"/>
        <v>-1</v>
      </c>
      <c r="AP680" s="13">
        <f t="shared" si="290"/>
        <v>55.439873283316629</v>
      </c>
      <c r="AQ680" s="13">
        <f>IFERROR(VLOOKUP(U680,'Cortes naturales'!$E$15:$G$19,3,9),U680)</f>
        <v>4</v>
      </c>
      <c r="AR680" s="28">
        <f t="shared" si="281"/>
        <v>-0.34364349668267302</v>
      </c>
      <c r="AS680" s="13" t="b">
        <f t="shared" si="282"/>
        <v>0</v>
      </c>
      <c r="AT680" s="13" t="str">
        <f t="shared" si="291"/>
        <v>Cambio en corte</v>
      </c>
      <c r="AU680" s="13">
        <v>2</v>
      </c>
      <c r="AV680">
        <f t="shared" si="283"/>
        <v>-1</v>
      </c>
      <c r="AW680" s="13">
        <v>0</v>
      </c>
      <c r="AX680" s="13">
        <v>0</v>
      </c>
      <c r="AY680" s="13">
        <v>0</v>
      </c>
      <c r="AZ680" s="13">
        <v>0</v>
      </c>
      <c r="BA680">
        <v>0</v>
      </c>
      <c r="BB680" t="s">
        <v>2841</v>
      </c>
      <c r="BC680">
        <v>6</v>
      </c>
      <c r="BD680" t="s">
        <v>2919</v>
      </c>
      <c r="BE680">
        <v>0</v>
      </c>
      <c r="BF680" s="232" t="s">
        <v>2846</v>
      </c>
      <c r="BG680" s="232" t="s">
        <v>2846</v>
      </c>
      <c r="BH680" s="253">
        <v>37.5</v>
      </c>
      <c r="BI680" s="253">
        <v>8.624502432551969</v>
      </c>
      <c r="BJ680" s="25">
        <v>45.30845753177303</v>
      </c>
      <c r="BK680" t="s">
        <v>376</v>
      </c>
      <c r="BL680">
        <v>0</v>
      </c>
      <c r="BM680" t="s">
        <v>377</v>
      </c>
      <c r="BN680" s="322">
        <v>8557.2014049999998</v>
      </c>
      <c r="BO680" s="322">
        <v>518.13432299999999</v>
      </c>
      <c r="BP680" s="10">
        <v>2301</v>
      </c>
      <c r="BQ680" s="254">
        <f t="shared" si="284"/>
        <v>3.7189054345936547</v>
      </c>
      <c r="BR680" s="254">
        <f t="shared" si="285"/>
        <v>0.225177889178618</v>
      </c>
      <c r="BS680" s="25">
        <v>61.671717171717169</v>
      </c>
      <c r="BT680" s="25">
        <v>82.855279201796307</v>
      </c>
      <c r="BU680" s="25">
        <v>32.228316407131572</v>
      </c>
      <c r="BV680" s="25">
        <v>95.511400455642317</v>
      </c>
      <c r="BW680" s="25">
        <v>54.565126915814332</v>
      </c>
      <c r="BX680" s="25">
        <v>68.066678309071833</v>
      </c>
      <c r="BY680" s="25">
        <v>59.167547880040878</v>
      </c>
      <c r="BZ680">
        <v>98</v>
      </c>
      <c r="CA680">
        <v>0</v>
      </c>
      <c r="CB680">
        <v>7</v>
      </c>
      <c r="CC680">
        <v>6657.7430610000001</v>
      </c>
      <c r="CD680" s="10">
        <v>1615.5444680000001</v>
      </c>
      <c r="CE680" s="255">
        <v>0.24265647580538255</v>
      </c>
      <c r="CF680" t="str">
        <f>IFERROR(VLOOKUP(CE680,'Rangos amb etnico'!$A$2:$C$6,3,9),"N.D.")</f>
        <v>0,1% - 30%</v>
      </c>
      <c r="CG680" s="256">
        <v>4.7002278635923994E-5</v>
      </c>
      <c r="CH680" s="232">
        <v>0</v>
      </c>
      <c r="CI680" s="311">
        <f t="shared" si="292"/>
        <v>0</v>
      </c>
      <c r="CJ680" s="232">
        <f>IFERROR(VLOOKUP(CI680,'Rangos amb etnico'!$A$2:$C$6,3,9),"N.D.")</f>
        <v>0</v>
      </c>
      <c r="CK680" s="311">
        <f t="shared" si="293"/>
        <v>0</v>
      </c>
      <c r="CL680" s="10">
        <v>0</v>
      </c>
      <c r="CM680" s="255">
        <f t="shared" si="294"/>
        <v>0</v>
      </c>
      <c r="CN680" s="232">
        <f>IFERROR(VLOOKUP(CM680,'Rangos amb etnico'!$A$2:$C$6,3,9),"N.D.")</f>
        <v>0</v>
      </c>
      <c r="CO680" s="311">
        <f t="shared" si="295"/>
        <v>0</v>
      </c>
      <c r="CP680">
        <v>0.9795448558582398</v>
      </c>
      <c r="CQ680" t="s">
        <v>2864</v>
      </c>
      <c r="CR680">
        <f t="shared" si="286"/>
        <v>2</v>
      </c>
      <c r="CS680" t="str">
        <f t="shared" si="296"/>
        <v>No es Candidato</v>
      </c>
      <c r="CT680">
        <v>0</v>
      </c>
      <c r="CU680">
        <v>0</v>
      </c>
      <c r="CV680" s="25">
        <v>52.930549621582031</v>
      </c>
      <c r="CW680" s="25">
        <v>15.50266742706299</v>
      </c>
      <c r="CX680" s="25">
        <v>47.409152984619141</v>
      </c>
      <c r="CY680" s="25">
        <v>66.367256164550781</v>
      </c>
      <c r="CZ680" s="25">
        <v>53.078754425048828</v>
      </c>
      <c r="DA680" s="25">
        <v>86.486824035644531</v>
      </c>
      <c r="DB680" s="25">
        <v>48.738636016845703</v>
      </c>
      <c r="DC680">
        <v>21</v>
      </c>
      <c r="DD680" s="253" t="s">
        <v>380</v>
      </c>
    </row>
    <row r="681" spans="1:108">
      <c r="A681" s="13">
        <v>5055</v>
      </c>
      <c r="B681" s="13" t="s">
        <v>1799</v>
      </c>
      <c r="C681" s="13" t="s">
        <v>435</v>
      </c>
      <c r="D681" s="13" t="s">
        <v>436</v>
      </c>
      <c r="E681" s="13" t="s">
        <v>1236</v>
      </c>
      <c r="F681" s="14">
        <v>54.783499999999997</v>
      </c>
      <c r="G681" s="13">
        <v>41.52</v>
      </c>
      <c r="H681" s="13">
        <v>49</v>
      </c>
      <c r="I681" s="13">
        <v>53.2</v>
      </c>
      <c r="J681" s="14">
        <v>48.641547918904003</v>
      </c>
      <c r="K681" s="14">
        <v>38.35167830067526</v>
      </c>
      <c r="L681" s="14">
        <v>48.914232179165971</v>
      </c>
      <c r="M681" s="14">
        <v>45.504100000000001</v>
      </c>
      <c r="N681" s="14">
        <f t="shared" si="270"/>
        <v>49.625874999999994</v>
      </c>
      <c r="O681" s="14">
        <f t="shared" si="271"/>
        <v>45.352889599686307</v>
      </c>
      <c r="P681" s="14">
        <f t="shared" si="287"/>
        <v>47.48938229984315</v>
      </c>
      <c r="Q681" s="14">
        <v>57.461873044255107</v>
      </c>
      <c r="R681" s="17">
        <f t="shared" si="272"/>
        <v>42.538126955744893</v>
      </c>
      <c r="S681" s="14">
        <f t="shared" si="288"/>
        <v>0.48284314260170402</v>
      </c>
      <c r="T681" s="13">
        <v>0</v>
      </c>
      <c r="U681" s="13">
        <f t="shared" si="289"/>
        <v>22.929922589870007</v>
      </c>
      <c r="V681" s="13">
        <f>IF($T681=1,$AU681,(VLOOKUP(U681,'Cortes naturales'!$A$35:$C$39,3,9)))</f>
        <v>4</v>
      </c>
      <c r="W681" s="13">
        <v>4</v>
      </c>
      <c r="X681" s="14" t="b">
        <f t="shared" si="273"/>
        <v>1</v>
      </c>
      <c r="Y681" s="17">
        <f>IF($T681=1,$AU681,VLOOKUP(U681,'Cortes naturales'!$A$45:$C$49,3,9))</f>
        <v>4</v>
      </c>
      <c r="Z681" s="14">
        <v>48.782021676142406</v>
      </c>
      <c r="AA681" s="14">
        <v>0.48884877062473397</v>
      </c>
      <c r="AB681" s="14">
        <v>23.84703132497134</v>
      </c>
      <c r="AC681" s="13">
        <v>4</v>
      </c>
      <c r="AD681" s="13">
        <f t="shared" si="274"/>
        <v>0</v>
      </c>
      <c r="AE681" s="14">
        <f t="shared" si="275"/>
        <v>-1.2926393762992561</v>
      </c>
      <c r="AF681" s="14">
        <f t="shared" si="276"/>
        <v>-6.0056280230299519E-3</v>
      </c>
      <c r="AG681" s="13">
        <f t="shared" si="277"/>
        <v>-0.91710873510133339</v>
      </c>
      <c r="AH681" s="13">
        <f>IF($T681=1,$AU681,VLOOKUP(U681,'Cortes naturales'!$A$25:$C$29,3,9))</f>
        <v>4</v>
      </c>
      <c r="AI681" s="13" t="b">
        <f t="shared" si="278"/>
        <v>1</v>
      </c>
      <c r="AJ681" s="13">
        <f t="shared" si="279"/>
        <v>0</v>
      </c>
      <c r="AK681" s="28">
        <v>0.81759069605862034</v>
      </c>
      <c r="AL681" s="28">
        <v>39.883727057343975</v>
      </c>
      <c r="AM681" s="28">
        <v>0.32827737223435194</v>
      </c>
      <c r="AN681" s="13">
        <v>4</v>
      </c>
      <c r="AO681" s="33">
        <f t="shared" si="280"/>
        <v>0</v>
      </c>
      <c r="AP681" s="13">
        <f t="shared" si="290"/>
        <v>32.827737223435193</v>
      </c>
      <c r="AQ681" s="13">
        <f>IFERROR(VLOOKUP(U681,'Cortes naturales'!$E$15:$G$19,3,9),U681)</f>
        <v>4</v>
      </c>
      <c r="AR681" s="28">
        <f t="shared" si="281"/>
        <v>-0.33474755345691631</v>
      </c>
      <c r="AS681" s="13" t="b">
        <f t="shared" si="282"/>
        <v>1</v>
      </c>
      <c r="AT681" s="13">
        <f t="shared" si="291"/>
        <v>0</v>
      </c>
      <c r="AU681" s="13">
        <v>3</v>
      </c>
      <c r="AV681">
        <f t="shared" si="283"/>
        <v>-1</v>
      </c>
      <c r="AW681" s="13">
        <v>0</v>
      </c>
      <c r="AX681" s="13">
        <v>0</v>
      </c>
      <c r="AY681" s="13">
        <v>0</v>
      </c>
      <c r="AZ681" s="13">
        <v>0</v>
      </c>
      <c r="BA681">
        <v>1</v>
      </c>
      <c r="BB681" t="s">
        <v>2840</v>
      </c>
      <c r="BC681">
        <v>6</v>
      </c>
      <c r="BD681" t="s">
        <v>2919</v>
      </c>
      <c r="BE681">
        <v>1</v>
      </c>
      <c r="BF681" s="232" t="s">
        <v>2846</v>
      </c>
      <c r="BG681" s="232" t="s">
        <v>2846</v>
      </c>
      <c r="BH681" s="253">
        <v>48.7</v>
      </c>
      <c r="BI681" s="253">
        <v>17.139462349621269</v>
      </c>
      <c r="BJ681" s="25">
        <v>12.362911266201396</v>
      </c>
      <c r="BK681" t="s">
        <v>377</v>
      </c>
      <c r="BL681">
        <v>11.725915894160742</v>
      </c>
      <c r="BM681" t="s">
        <v>376</v>
      </c>
      <c r="BN681" s="322">
        <v>19654.800367</v>
      </c>
      <c r="BO681" s="322">
        <v>1348.4257299999999</v>
      </c>
      <c r="BP681" s="10">
        <v>8170</v>
      </c>
      <c r="BQ681" s="254">
        <f t="shared" si="284"/>
        <v>2.4057283190942473</v>
      </c>
      <c r="BR681" s="254">
        <f t="shared" si="285"/>
        <v>0.16504598898408812</v>
      </c>
      <c r="BS681" s="25">
        <v>56.901696319492231</v>
      </c>
      <c r="BT681" s="25">
        <v>82.064127335781322</v>
      </c>
      <c r="BU681" s="25">
        <v>40.698021934978428</v>
      </c>
      <c r="BV681" s="25">
        <v>88.041735143057693</v>
      </c>
      <c r="BW681" s="25">
        <v>47.577237429363073</v>
      </c>
      <c r="BX681" s="25">
        <v>66.926395183327415</v>
      </c>
      <c r="BY681" s="25">
        <v>47.473146688776517</v>
      </c>
      <c r="BZ681">
        <v>13</v>
      </c>
      <c r="CA681">
        <v>0</v>
      </c>
      <c r="CB681">
        <v>7</v>
      </c>
      <c r="CC681">
        <v>24519.924075999999</v>
      </c>
      <c r="CD681" s="10">
        <v>9838.9364029999997</v>
      </c>
      <c r="CE681" s="255">
        <v>0.40126292285832604</v>
      </c>
      <c r="CF681" t="str">
        <f>IFERROR(VLOOKUP(CE681,'Rangos amb etnico'!$A$2:$C$6,3,9),"N.D.")</f>
        <v>31% - 50%</v>
      </c>
      <c r="CG681" s="256">
        <v>2.862517494597009E-4</v>
      </c>
      <c r="CH681" s="232">
        <v>0</v>
      </c>
      <c r="CI681" s="311">
        <f t="shared" si="292"/>
        <v>0</v>
      </c>
      <c r="CJ681" s="232">
        <f>IFERROR(VLOOKUP(CI681,'Rangos amb etnico'!$A$2:$C$6,3,9),"N.D.")</f>
        <v>0</v>
      </c>
      <c r="CK681" s="311">
        <f t="shared" si="293"/>
        <v>0</v>
      </c>
      <c r="CL681" s="10">
        <v>0</v>
      </c>
      <c r="CM681" s="255">
        <f t="shared" si="294"/>
        <v>0</v>
      </c>
      <c r="CN681" s="232">
        <f>IFERROR(VLOOKUP(CM681,'Rangos amb etnico'!$A$2:$C$6,3,9),"N.D.")</f>
        <v>0</v>
      </c>
      <c r="CO681" s="311">
        <f t="shared" si="295"/>
        <v>0</v>
      </c>
      <c r="CP681">
        <v>0.89251411748614484</v>
      </c>
      <c r="CQ681" t="s">
        <v>2864</v>
      </c>
      <c r="CR681">
        <f t="shared" si="286"/>
        <v>1</v>
      </c>
      <c r="CS681" t="str">
        <f t="shared" si="296"/>
        <v>No es Candidato</v>
      </c>
      <c r="CT681">
        <v>0</v>
      </c>
      <c r="CU681">
        <v>0</v>
      </c>
      <c r="CV681" s="25">
        <v>38.723537445068359</v>
      </c>
      <c r="CW681" s="25">
        <v>16.629684448242191</v>
      </c>
      <c r="CX681" s="25">
        <v>42.246288299560547</v>
      </c>
      <c r="CY681" s="25">
        <v>41.179008483886719</v>
      </c>
      <c r="CZ681" s="25">
        <v>34.478683471679688</v>
      </c>
      <c r="DA681" s="25">
        <v>46.831470489501953</v>
      </c>
      <c r="DB681" s="25">
        <v>50.976097106933587</v>
      </c>
      <c r="DC681">
        <v>177</v>
      </c>
      <c r="DD681" s="253" t="s">
        <v>380</v>
      </c>
    </row>
    <row r="682" spans="1:108" hidden="1">
      <c r="A682" s="13">
        <v>15522</v>
      </c>
      <c r="B682" s="13" t="s">
        <v>1800</v>
      </c>
      <c r="C682" s="13" t="s">
        <v>498</v>
      </c>
      <c r="D682" s="13" t="s">
        <v>499</v>
      </c>
      <c r="E682" s="13" t="s">
        <v>1801</v>
      </c>
      <c r="F682" s="14">
        <v>56.039099999999998</v>
      </c>
      <c r="G682" s="13">
        <v>48.46</v>
      </c>
      <c r="H682" s="13">
        <v>47.98</v>
      </c>
      <c r="I682" s="13">
        <v>51.24</v>
      </c>
      <c r="J682" s="14">
        <v>56.926343244610877</v>
      </c>
      <c r="K682" s="14">
        <v>62.770075348639011</v>
      </c>
      <c r="L682" s="14">
        <v>70.807701878422193</v>
      </c>
      <c r="M682" s="14">
        <v>57.137999999999998</v>
      </c>
      <c r="N682" s="14">
        <f t="shared" si="270"/>
        <v>50.929774999999999</v>
      </c>
      <c r="O682" s="14">
        <f t="shared" si="271"/>
        <v>61.910530117918022</v>
      </c>
      <c r="P682" s="14">
        <f t="shared" si="287"/>
        <v>56.42015255895901</v>
      </c>
      <c r="Q682" s="14">
        <v>58.011081672158817</v>
      </c>
      <c r="R682" s="17">
        <f t="shared" si="272"/>
        <v>41.988918327841183</v>
      </c>
      <c r="S682" s="14">
        <f t="shared" si="288"/>
        <v>0.4779002649505707</v>
      </c>
      <c r="T682" s="13">
        <v>0</v>
      </c>
      <c r="U682" s="13">
        <f t="shared" si="289"/>
        <v>26.96320585647813</v>
      </c>
      <c r="V682" s="13">
        <f>IF($T682=1,$AU682,(VLOOKUP(U682,'Cortes naturales'!$A$35:$C$39,3,9)))</f>
        <v>4</v>
      </c>
      <c r="W682" s="13">
        <v>4</v>
      </c>
      <c r="X682" s="14" t="b">
        <f t="shared" si="273"/>
        <v>1</v>
      </c>
      <c r="Y682" s="17">
        <f>IF($T682=1,$AU682,VLOOKUP(U682,'Cortes naturales'!$A$45:$C$49,3,9))</f>
        <v>4</v>
      </c>
      <c r="Z682" s="14">
        <v>57.510595730055442</v>
      </c>
      <c r="AA682" s="14">
        <v>0.48905577956999513</v>
      </c>
      <c r="AB682" s="14">
        <v>28.125889228297098</v>
      </c>
      <c r="AC682" s="13">
        <v>3</v>
      </c>
      <c r="AD682" s="13">
        <f t="shared" si="274"/>
        <v>-1</v>
      </c>
      <c r="AE682" s="14">
        <f t="shared" si="275"/>
        <v>-1.0904431710964317</v>
      </c>
      <c r="AF682" s="14">
        <f t="shared" si="276"/>
        <v>-1.1155514619424434E-2</v>
      </c>
      <c r="AG682" s="13">
        <f t="shared" si="277"/>
        <v>-1.162683371818968</v>
      </c>
      <c r="AH682" s="13">
        <f>IF($T682=1,$AU682,VLOOKUP(U682,'Cortes naturales'!$A$25:$C$29,3,9))</f>
        <v>4</v>
      </c>
      <c r="AI682" s="13" t="b">
        <f t="shared" si="278"/>
        <v>1</v>
      </c>
      <c r="AJ682" s="13" t="str">
        <f t="shared" si="279"/>
        <v>Efecto ponderador</v>
      </c>
      <c r="AK682" s="28">
        <v>0.81759069605862034</v>
      </c>
      <c r="AL682" s="28">
        <v>47.020127993681946</v>
      </c>
      <c r="AM682" s="28">
        <v>0.41754622547229153</v>
      </c>
      <c r="AN682" s="13">
        <v>3</v>
      </c>
      <c r="AO682" s="33">
        <f t="shared" si="280"/>
        <v>-1</v>
      </c>
      <c r="AP682" s="13">
        <f t="shared" si="290"/>
        <v>41.754622547229154</v>
      </c>
      <c r="AQ682" s="13">
        <f>IFERROR(VLOOKUP(U682,'Cortes naturales'!$E$15:$G$19,3,9),U682)</f>
        <v>4</v>
      </c>
      <c r="AR682" s="28">
        <f t="shared" si="281"/>
        <v>-0.33969043110804964</v>
      </c>
      <c r="AS682" s="13" t="b">
        <f t="shared" si="282"/>
        <v>1</v>
      </c>
      <c r="AT682" s="13" t="str">
        <f t="shared" si="291"/>
        <v>Efecto ponderador</v>
      </c>
      <c r="AU682" s="13">
        <v>3</v>
      </c>
      <c r="AV682">
        <f t="shared" si="283"/>
        <v>-1</v>
      </c>
      <c r="AW682" s="13">
        <v>0</v>
      </c>
      <c r="AX682" s="13">
        <v>0</v>
      </c>
      <c r="AY682" s="13">
        <v>0</v>
      </c>
      <c r="AZ682" s="13">
        <v>0</v>
      </c>
      <c r="BA682">
        <v>0</v>
      </c>
      <c r="BB682" t="s">
        <v>2840</v>
      </c>
      <c r="BC682">
        <v>6</v>
      </c>
      <c r="BD682" t="s">
        <v>2919</v>
      </c>
      <c r="BE682">
        <v>1</v>
      </c>
      <c r="BF682" s="232" t="s">
        <v>2846</v>
      </c>
      <c r="BG682" s="232" t="s">
        <v>2846</v>
      </c>
      <c r="BH682" s="253">
        <v>42.7</v>
      </c>
      <c r="BI682" s="253">
        <v>15.194564546016059</v>
      </c>
      <c r="BJ682" s="25">
        <v>35.656091510474091</v>
      </c>
      <c r="BK682" t="s">
        <v>376</v>
      </c>
      <c r="BL682">
        <v>4.7435901398107729</v>
      </c>
      <c r="BM682" t="s">
        <v>383</v>
      </c>
      <c r="BN682" s="322">
        <v>11673.102491</v>
      </c>
      <c r="BO682" s="322">
        <v>555.29980999999998</v>
      </c>
      <c r="BP682" s="10">
        <v>1725</v>
      </c>
      <c r="BQ682" s="254">
        <f t="shared" si="284"/>
        <v>6.7670159368115943</v>
      </c>
      <c r="BR682" s="254">
        <f t="shared" si="285"/>
        <v>0.32191293333333332</v>
      </c>
      <c r="BS682" s="25">
        <v>63.129810094952518</v>
      </c>
      <c r="BT682" s="25">
        <v>92.463768115942017</v>
      </c>
      <c r="BU682" s="25">
        <v>26.461036294173802</v>
      </c>
      <c r="BV682" s="25">
        <v>98.520687870207141</v>
      </c>
      <c r="BW682" s="25">
        <v>61.054396356936053</v>
      </c>
      <c r="BX682" s="25">
        <v>70.143825593818875</v>
      </c>
      <c r="BY682" s="25">
        <v>61.219878808696997</v>
      </c>
      <c r="BZ682">
        <v>44</v>
      </c>
      <c r="CA682">
        <v>0</v>
      </c>
      <c r="CB682">
        <v>7</v>
      </c>
      <c r="CC682">
        <v>3962.3876570000002</v>
      </c>
      <c r="CD682" s="10">
        <v>3168.64174</v>
      </c>
      <c r="CE682" s="255">
        <v>0.79967989361218628</v>
      </c>
      <c r="CF682" t="str">
        <f>IFERROR(VLOOKUP(CE682,'Rangos amb etnico'!$A$2:$C$6,3,9),"N.D.")</f>
        <v>71% - 100%</v>
      </c>
      <c r="CG682" s="256">
        <v>9.2187732935184688E-5</v>
      </c>
      <c r="CH682" s="232">
        <v>0</v>
      </c>
      <c r="CI682" s="311">
        <f t="shared" si="292"/>
        <v>0</v>
      </c>
      <c r="CJ682" s="232">
        <f>IFERROR(VLOOKUP(CI682,'Rangos amb etnico'!$A$2:$C$6,3,9),"N.D.")</f>
        <v>0</v>
      </c>
      <c r="CK682" s="311">
        <f t="shared" si="293"/>
        <v>0</v>
      </c>
      <c r="CL682" s="10">
        <v>0</v>
      </c>
      <c r="CM682" s="255">
        <f t="shared" si="294"/>
        <v>0</v>
      </c>
      <c r="CN682" s="232">
        <f>IFERROR(VLOOKUP(CM682,'Rangos amb etnico'!$A$2:$C$6,3,9),"N.D.")</f>
        <v>0</v>
      </c>
      <c r="CO682" s="311">
        <f t="shared" si="295"/>
        <v>0</v>
      </c>
      <c r="CP682">
        <v>0.89938921808368599</v>
      </c>
      <c r="CQ682" t="s">
        <v>2864</v>
      </c>
      <c r="CR682">
        <f t="shared" si="286"/>
        <v>2</v>
      </c>
      <c r="CS682" t="str">
        <f t="shared" si="296"/>
        <v>No es Candidato</v>
      </c>
      <c r="CT682">
        <v>0</v>
      </c>
      <c r="CU682">
        <v>0</v>
      </c>
      <c r="CV682" s="25">
        <v>44.542030334472663</v>
      </c>
      <c r="CW682" s="25">
        <v>15.903371810913089</v>
      </c>
      <c r="CX682" s="25">
        <v>50.75775146484375</v>
      </c>
      <c r="CY682" s="25">
        <v>63.414150238037109</v>
      </c>
      <c r="CZ682" s="25">
        <v>36.687431335449219</v>
      </c>
      <c r="DA682" s="25">
        <v>48.588424682617188</v>
      </c>
      <c r="DB682" s="25">
        <v>51.90106201171875</v>
      </c>
      <c r="DC682">
        <v>14</v>
      </c>
      <c r="DD682" s="253" t="s">
        <v>380</v>
      </c>
    </row>
    <row r="683" spans="1:108" hidden="1">
      <c r="A683" s="13">
        <v>68255</v>
      </c>
      <c r="B683" s="13" t="s">
        <v>1802</v>
      </c>
      <c r="C683" s="13" t="s">
        <v>431</v>
      </c>
      <c r="D683" s="13" t="s">
        <v>432</v>
      </c>
      <c r="E683" s="13" t="s">
        <v>1803</v>
      </c>
      <c r="F683" s="14">
        <v>50.7809666666667</v>
      </c>
      <c r="G683" s="13">
        <v>54.27</v>
      </c>
      <c r="H683" s="13">
        <v>49.26</v>
      </c>
      <c r="I683" s="13">
        <v>63.14</v>
      </c>
      <c r="J683" s="14">
        <v>61.295002396966801</v>
      </c>
      <c r="K683" s="14">
        <v>58.301728255361382</v>
      </c>
      <c r="L683" s="14">
        <v>53.325528535104894</v>
      </c>
      <c r="M683" s="14">
        <v>64.368200000000002</v>
      </c>
      <c r="N683" s="14">
        <f t="shared" si="270"/>
        <v>54.362741666666679</v>
      </c>
      <c r="O683" s="14">
        <f t="shared" si="271"/>
        <v>59.322614796858268</v>
      </c>
      <c r="P683" s="14">
        <f t="shared" si="287"/>
        <v>56.842678231762477</v>
      </c>
      <c r="Q683" s="14">
        <v>57.669797440459703</v>
      </c>
      <c r="R683" s="17">
        <f t="shared" si="272"/>
        <v>42.330202559540297</v>
      </c>
      <c r="S683" s="14">
        <f t="shared" si="288"/>
        <v>0.48097182303586272</v>
      </c>
      <c r="T683" s="13">
        <v>0</v>
      </c>
      <c r="U683" s="13">
        <f t="shared" si="289"/>
        <v>27.339726575371749</v>
      </c>
      <c r="V683" s="13">
        <f>IF($T683=1,$AU683,(VLOOKUP(U683,'Cortes naturales'!$A$35:$C$39,3,9)))</f>
        <v>4</v>
      </c>
      <c r="W683" s="13">
        <v>4</v>
      </c>
      <c r="X683" s="14" t="b">
        <f t="shared" si="273"/>
        <v>1</v>
      </c>
      <c r="Y683" s="17">
        <f>IF($T683=1,$AU683,VLOOKUP(U683,'Cortes naturales'!$A$45:$C$49,3,9))</f>
        <v>4</v>
      </c>
      <c r="Z683" s="14">
        <v>53.174253025418423</v>
      </c>
      <c r="AA683" s="14">
        <v>0.48296409790510209</v>
      </c>
      <c r="AB683" s="14">
        <v>25.681255144198854</v>
      </c>
      <c r="AC683" s="13">
        <v>4</v>
      </c>
      <c r="AD683" s="13">
        <f t="shared" si="274"/>
        <v>0</v>
      </c>
      <c r="AE683" s="14">
        <f t="shared" si="275"/>
        <v>3.6684252063440539</v>
      </c>
      <c r="AF683" s="14">
        <f t="shared" si="276"/>
        <v>-1.9922748692393633E-3</v>
      </c>
      <c r="AG683" s="13">
        <f t="shared" si="277"/>
        <v>1.6584714311728952</v>
      </c>
      <c r="AH683" s="13">
        <f>IF($T683=1,$AU683,VLOOKUP(U683,'Cortes naturales'!$A$25:$C$29,3,9))</f>
        <v>4</v>
      </c>
      <c r="AI683" s="13" t="b">
        <f t="shared" si="278"/>
        <v>1</v>
      </c>
      <c r="AJ683" s="13">
        <f t="shared" si="279"/>
        <v>0</v>
      </c>
      <c r="AK683" s="28">
        <v>0.81759069605862034</v>
      </c>
      <c r="AL683" s="28">
        <v>43.474774543449044</v>
      </c>
      <c r="AM683" s="28">
        <v>0.3731975909646752</v>
      </c>
      <c r="AN683" s="13">
        <v>3</v>
      </c>
      <c r="AO683" s="33">
        <f t="shared" si="280"/>
        <v>-1</v>
      </c>
      <c r="AP683" s="13">
        <f t="shared" si="290"/>
        <v>37.319759096467521</v>
      </c>
      <c r="AQ683" s="13">
        <f>IFERROR(VLOOKUP(U683,'Cortes naturales'!$E$15:$G$19,3,9),U683)</f>
        <v>4</v>
      </c>
      <c r="AR683" s="28">
        <f t="shared" si="281"/>
        <v>-0.33661887302275761</v>
      </c>
      <c r="AS683" s="13" t="b">
        <f t="shared" si="282"/>
        <v>1</v>
      </c>
      <c r="AT683" s="13" t="str">
        <f t="shared" si="291"/>
        <v>Efecto ponderador</v>
      </c>
      <c r="AU683" s="13">
        <v>3</v>
      </c>
      <c r="AV683">
        <f t="shared" si="283"/>
        <v>-1</v>
      </c>
      <c r="AW683" s="13">
        <v>0</v>
      </c>
      <c r="AX683" s="13">
        <v>0</v>
      </c>
      <c r="AY683" s="13">
        <v>0</v>
      </c>
      <c r="AZ683" s="13">
        <v>0</v>
      </c>
      <c r="BA683">
        <v>1</v>
      </c>
      <c r="BB683" t="s">
        <v>2840</v>
      </c>
      <c r="BC683">
        <v>6</v>
      </c>
      <c r="BD683" t="s">
        <v>2919</v>
      </c>
      <c r="BE683">
        <v>0</v>
      </c>
      <c r="BF683" s="232" t="s">
        <v>2846</v>
      </c>
      <c r="BG683" s="232" t="s">
        <v>2846</v>
      </c>
      <c r="BH683" s="253">
        <v>45.7</v>
      </c>
      <c r="BI683" s="253">
        <v>27.313084112149532</v>
      </c>
      <c r="BJ683" s="25">
        <v>51.223315041508371</v>
      </c>
      <c r="BK683" t="s">
        <v>376</v>
      </c>
      <c r="BL683">
        <v>0.19633550082259293</v>
      </c>
      <c r="BM683" t="s">
        <v>377</v>
      </c>
      <c r="BN683" s="322">
        <v>37289.356722999997</v>
      </c>
      <c r="BO683" s="322">
        <v>3505.8577460000001</v>
      </c>
      <c r="BP683" s="10">
        <v>15124</v>
      </c>
      <c r="BQ683" s="254">
        <f t="shared" si="284"/>
        <v>2.4655750279687911</v>
      </c>
      <c r="BR683" s="254">
        <f t="shared" si="285"/>
        <v>0.23180757379000266</v>
      </c>
      <c r="BS683" s="25">
        <v>70.00125083919356</v>
      </c>
      <c r="BT683" s="25">
        <v>89.94117799337819</v>
      </c>
      <c r="BU683" s="25">
        <v>54.641326644370103</v>
      </c>
      <c r="BV683" s="25">
        <v>95.009730930898343</v>
      </c>
      <c r="BW683" s="25">
        <v>61.18803315283477</v>
      </c>
      <c r="BX683" s="25">
        <v>77.398371601960051</v>
      </c>
      <c r="BY683" s="25">
        <v>62.076035766983658</v>
      </c>
      <c r="BZ683">
        <v>39</v>
      </c>
      <c r="CA683">
        <v>0</v>
      </c>
      <c r="CB683">
        <v>7</v>
      </c>
      <c r="CC683">
        <v>45415.314606</v>
      </c>
      <c r="CD683" s="10">
        <v>18468.304203</v>
      </c>
      <c r="CE683" s="255">
        <v>0.40665366657088131</v>
      </c>
      <c r="CF683" t="str">
        <f>IFERROR(VLOOKUP(CE683,'Rangos amb etnico'!$A$2:$C$6,3,9),"N.D.")</f>
        <v>31% - 50%</v>
      </c>
      <c r="CG683" s="256">
        <v>5.3731258858942912E-4</v>
      </c>
      <c r="CH683" s="232">
        <v>0</v>
      </c>
      <c r="CI683" s="311">
        <f t="shared" si="292"/>
        <v>0</v>
      </c>
      <c r="CJ683" s="232">
        <f>IFERROR(VLOOKUP(CI683,'Rangos amb etnico'!$A$2:$C$6,3,9),"N.D.")</f>
        <v>0</v>
      </c>
      <c r="CK683" s="311">
        <f t="shared" si="293"/>
        <v>0</v>
      </c>
      <c r="CL683" s="10">
        <v>0</v>
      </c>
      <c r="CM683" s="255">
        <f t="shared" si="294"/>
        <v>0</v>
      </c>
      <c r="CN683" s="232">
        <f>IFERROR(VLOOKUP(CM683,'Rangos amb etnico'!$A$2:$C$6,3,9),"N.D.")</f>
        <v>0</v>
      </c>
      <c r="CO683" s="311">
        <f t="shared" si="295"/>
        <v>0</v>
      </c>
      <c r="CP683">
        <v>0.93201125965696829</v>
      </c>
      <c r="CQ683" t="s">
        <v>2864</v>
      </c>
      <c r="CR683">
        <f t="shared" si="286"/>
        <v>4</v>
      </c>
      <c r="CS683" t="str">
        <f t="shared" si="296"/>
        <v>Candidato</v>
      </c>
      <c r="CT683">
        <v>0</v>
      </c>
      <c r="CU683">
        <v>0</v>
      </c>
      <c r="CV683" s="25">
        <v>45.457565307617188</v>
      </c>
      <c r="CW683" s="25">
        <v>23.477935791015621</v>
      </c>
      <c r="CX683" s="25">
        <v>47.382987976074219</v>
      </c>
      <c r="CY683" s="25">
        <v>51.108341217041023</v>
      </c>
      <c r="CZ683" s="25">
        <v>27.803167343139648</v>
      </c>
      <c r="DA683" s="25">
        <v>80.086036682128906</v>
      </c>
      <c r="DB683" s="25">
        <v>42.886917114257813</v>
      </c>
      <c r="DC683">
        <v>315</v>
      </c>
      <c r="DD683" s="253" t="s">
        <v>380</v>
      </c>
    </row>
    <row r="684" spans="1:108" hidden="1">
      <c r="A684" s="13">
        <v>47053</v>
      </c>
      <c r="B684" s="13" t="s">
        <v>1804</v>
      </c>
      <c r="C684" s="13" t="s">
        <v>638</v>
      </c>
      <c r="D684" s="13" t="s">
        <v>639</v>
      </c>
      <c r="E684" s="13" t="s">
        <v>1805</v>
      </c>
      <c r="F684" s="14">
        <v>54.163766666666703</v>
      </c>
      <c r="G684" s="13">
        <v>47.97</v>
      </c>
      <c r="H684" s="13">
        <v>43.46</v>
      </c>
      <c r="I684" s="13">
        <v>53.88</v>
      </c>
      <c r="J684" s="14">
        <v>44.307401327795219</v>
      </c>
      <c r="K684" s="14">
        <v>58.170782320274206</v>
      </c>
      <c r="L684" s="14">
        <v>38.802867610329159</v>
      </c>
      <c r="M684" s="14">
        <v>38.396099999999997</v>
      </c>
      <c r="N684" s="14">
        <f t="shared" si="270"/>
        <v>49.868441666666676</v>
      </c>
      <c r="O684" s="14">
        <f t="shared" si="271"/>
        <v>44.919287814599642</v>
      </c>
      <c r="P684" s="14">
        <f t="shared" si="287"/>
        <v>47.393864740633163</v>
      </c>
      <c r="Q684" s="14">
        <v>57.770843385537653</v>
      </c>
      <c r="R684" s="17">
        <f t="shared" si="272"/>
        <v>42.229156614462347</v>
      </c>
      <c r="S684" s="14">
        <f t="shared" si="288"/>
        <v>0.4800624095301611</v>
      </c>
      <c r="T684" s="13">
        <v>0</v>
      </c>
      <c r="U684" s="13">
        <f t="shared" si="289"/>
        <v>22.752012904334901</v>
      </c>
      <c r="V684" s="13">
        <f>IF($T684=1,$AU684,(VLOOKUP(U684,'Cortes naturales'!$A$35:$C$39,3,9)))</f>
        <v>4</v>
      </c>
      <c r="W684" s="13">
        <v>4</v>
      </c>
      <c r="X684" s="14" t="b">
        <f t="shared" si="273"/>
        <v>1</v>
      </c>
      <c r="Y684" s="17">
        <f>IF($T684=1,$AU684,VLOOKUP(U684,'Cortes naturales'!$A$45:$C$49,3,9))</f>
        <v>4</v>
      </c>
      <c r="Z684" s="14">
        <v>48.543945740151926</v>
      </c>
      <c r="AA684" s="14">
        <v>0.48815363926327049</v>
      </c>
      <c r="AB684" s="14">
        <v>23.696903777253901</v>
      </c>
      <c r="AC684" s="13">
        <v>4</v>
      </c>
      <c r="AD684" s="13">
        <f t="shared" si="274"/>
        <v>0</v>
      </c>
      <c r="AE684" s="14">
        <f t="shared" si="275"/>
        <v>-1.1500809995187637</v>
      </c>
      <c r="AF684" s="14">
        <f t="shared" si="276"/>
        <v>-8.0912297331093841E-3</v>
      </c>
      <c r="AG684" s="13">
        <f t="shared" si="277"/>
        <v>-0.9448908729190002</v>
      </c>
      <c r="AH684" s="13">
        <f>IF($T684=1,$AU684,VLOOKUP(U684,'Cortes naturales'!$A$25:$C$29,3,9))</f>
        <v>4</v>
      </c>
      <c r="AI684" s="13" t="b">
        <f t="shared" si="278"/>
        <v>1</v>
      </c>
      <c r="AJ684" s="13">
        <f t="shared" si="279"/>
        <v>0</v>
      </c>
      <c r="AK684" s="28">
        <v>0.81759069605862034</v>
      </c>
      <c r="AL684" s="28">
        <v>39.689078387122713</v>
      </c>
      <c r="AM684" s="28">
        <v>0.32584252254892232</v>
      </c>
      <c r="AN684" s="13">
        <v>4</v>
      </c>
      <c r="AO684" s="33">
        <f t="shared" si="280"/>
        <v>0</v>
      </c>
      <c r="AP684" s="13">
        <f t="shared" si="290"/>
        <v>32.584252254892235</v>
      </c>
      <c r="AQ684" s="13">
        <f>IFERROR(VLOOKUP(U684,'Cortes naturales'!$E$15:$G$19,3,9),U684)</f>
        <v>4</v>
      </c>
      <c r="AR684" s="28">
        <f t="shared" si="281"/>
        <v>-0.33752828652845923</v>
      </c>
      <c r="AS684" s="13" t="b">
        <f t="shared" si="282"/>
        <v>1</v>
      </c>
      <c r="AT684" s="13">
        <f t="shared" si="291"/>
        <v>0</v>
      </c>
      <c r="AU684" s="13">
        <v>3</v>
      </c>
      <c r="AV684">
        <f t="shared" si="283"/>
        <v>-1</v>
      </c>
      <c r="AW684" s="13">
        <v>0</v>
      </c>
      <c r="AX684" s="13">
        <v>0</v>
      </c>
      <c r="AY684" s="13">
        <v>0</v>
      </c>
      <c r="AZ684" s="13">
        <v>1</v>
      </c>
      <c r="BA684">
        <v>1</v>
      </c>
      <c r="BB684" t="s">
        <v>2839</v>
      </c>
      <c r="BC684">
        <v>6</v>
      </c>
      <c r="BD684" t="s">
        <v>2919</v>
      </c>
      <c r="BE684">
        <v>1</v>
      </c>
      <c r="BF684" s="232" t="s">
        <v>2846</v>
      </c>
      <c r="BG684" s="232" t="s">
        <v>2846</v>
      </c>
      <c r="BH684" s="253">
        <v>50</v>
      </c>
      <c r="BI684" s="253">
        <v>29.415064102564102</v>
      </c>
      <c r="BJ684" s="25">
        <v>19.910844192947163</v>
      </c>
      <c r="BK684" t="s">
        <v>379</v>
      </c>
      <c r="BL684">
        <v>5.1874154117142082</v>
      </c>
      <c r="BM684" t="s">
        <v>383</v>
      </c>
      <c r="BN684" s="322">
        <v>56071.897203</v>
      </c>
      <c r="BO684" s="322">
        <v>5526.6811390000003</v>
      </c>
      <c r="BP684" s="10">
        <v>44403</v>
      </c>
      <c r="BQ684" s="254">
        <f t="shared" si="284"/>
        <v>1.262795243632187</v>
      </c>
      <c r="BR684" s="254">
        <f t="shared" si="285"/>
        <v>0.12446639053667545</v>
      </c>
      <c r="BS684" s="25">
        <v>57.10910634758028</v>
      </c>
      <c r="BT684" s="25">
        <v>83.69349580028377</v>
      </c>
      <c r="BU684" s="25">
        <v>44.955230279274858</v>
      </c>
      <c r="BV684" s="25">
        <v>88.571609448796167</v>
      </c>
      <c r="BW684" s="25">
        <v>33.761299262333708</v>
      </c>
      <c r="BX684" s="25">
        <v>68.582360468983765</v>
      </c>
      <c r="BY684" s="25">
        <v>34.867458621186593</v>
      </c>
      <c r="BZ684">
        <v>42</v>
      </c>
      <c r="CA684">
        <v>0</v>
      </c>
      <c r="CB684">
        <v>7</v>
      </c>
      <c r="CC684">
        <v>173841.352075</v>
      </c>
      <c r="CD684" s="10">
        <v>155901.43175300001</v>
      </c>
      <c r="CE684" s="255">
        <v>0.89680291767254428</v>
      </c>
      <c r="CF684" t="str">
        <f>IFERROR(VLOOKUP(CE684,'Rangos amb etnico'!$A$2:$C$6,3,9),"N.D.")</f>
        <v>71% - 100%</v>
      </c>
      <c r="CG684" s="256">
        <v>4.5357603459009188E-3</v>
      </c>
      <c r="CH684" s="232">
        <v>111459.16518500001</v>
      </c>
      <c r="CI684" s="311">
        <f t="shared" si="292"/>
        <v>0.6411545000922072</v>
      </c>
      <c r="CJ684" s="232" t="str">
        <f>IFERROR(VLOOKUP(CI684,'Rangos amb etnico'!$A$2:$C$6,3,9),"N.D.")</f>
        <v>51% - 70%</v>
      </c>
      <c r="CK684" s="311">
        <f t="shared" si="293"/>
        <v>4.4256586033446163E-3</v>
      </c>
      <c r="CL684" s="10">
        <v>0</v>
      </c>
      <c r="CM684" s="255">
        <f t="shared" si="294"/>
        <v>0</v>
      </c>
      <c r="CN684" s="232">
        <f>IFERROR(VLOOKUP(CM684,'Rangos amb etnico'!$A$2:$C$6,3,9),"N.D.")</f>
        <v>0</v>
      </c>
      <c r="CO684" s="311">
        <f t="shared" si="295"/>
        <v>0</v>
      </c>
      <c r="CP684">
        <v>0.91656611961838319</v>
      </c>
      <c r="CQ684" t="s">
        <v>2864</v>
      </c>
      <c r="CR684">
        <f t="shared" si="286"/>
        <v>1</v>
      </c>
      <c r="CS684" t="str">
        <f t="shared" si="296"/>
        <v>No es Candidato</v>
      </c>
      <c r="CT684">
        <v>0</v>
      </c>
      <c r="CU684">
        <v>0</v>
      </c>
      <c r="CV684" s="25">
        <v>44.247859954833977</v>
      </c>
      <c r="CW684" s="25">
        <v>33.984233856201172</v>
      </c>
      <c r="CX684" s="25">
        <v>48.06414794921875</v>
      </c>
      <c r="CY684" s="25">
        <v>45.526222229003913</v>
      </c>
      <c r="CZ684" s="25">
        <v>26.09807205200195</v>
      </c>
      <c r="DA684" s="25">
        <v>54.073543548583977</v>
      </c>
      <c r="DB684" s="25">
        <v>57.740943908691413</v>
      </c>
      <c r="DC684">
        <v>8477</v>
      </c>
      <c r="DD684" s="253" t="s">
        <v>380</v>
      </c>
    </row>
    <row r="685" spans="1:108" hidden="1">
      <c r="A685" s="13">
        <v>52110</v>
      </c>
      <c r="B685" s="13" t="s">
        <v>1806</v>
      </c>
      <c r="C685" s="13" t="s">
        <v>672</v>
      </c>
      <c r="D685" s="13" t="s">
        <v>673</v>
      </c>
      <c r="E685" s="13" t="s">
        <v>1807</v>
      </c>
      <c r="F685" s="14">
        <v>49.649366666666701</v>
      </c>
      <c r="G685" s="13">
        <v>57.4</v>
      </c>
      <c r="H685" s="13">
        <v>61.29</v>
      </c>
      <c r="I685" s="13">
        <v>56.82</v>
      </c>
      <c r="J685" s="14">
        <v>46.186030888787116</v>
      </c>
      <c r="K685" s="14">
        <v>59.223831337033062</v>
      </c>
      <c r="L685" s="14">
        <v>64.504088240996765</v>
      </c>
      <c r="M685" s="14">
        <v>67.0291</v>
      </c>
      <c r="N685" s="14">
        <f t="shared" si="270"/>
        <v>56.289841666666675</v>
      </c>
      <c r="O685" s="14">
        <f t="shared" si="271"/>
        <v>59.235762616704235</v>
      </c>
      <c r="P685" s="14">
        <f t="shared" si="287"/>
        <v>57.762802141685455</v>
      </c>
      <c r="Q685" s="14">
        <v>57.709720717782467</v>
      </c>
      <c r="R685" s="17">
        <f t="shared" si="272"/>
        <v>42.290279282217533</v>
      </c>
      <c r="S685" s="14">
        <f t="shared" si="288"/>
        <v>0.48061251353995782</v>
      </c>
      <c r="T685" s="13">
        <v>0</v>
      </c>
      <c r="U685" s="13">
        <f t="shared" si="289"/>
        <v>27.761525526426706</v>
      </c>
      <c r="V685" s="13">
        <f>IF($T685=1,$AU685,(VLOOKUP(U685,'Cortes naturales'!$A$35:$C$39,3,9)))</f>
        <v>4</v>
      </c>
      <c r="W685" s="13">
        <v>4</v>
      </c>
      <c r="X685" s="14" t="b">
        <f t="shared" si="273"/>
        <v>1</v>
      </c>
      <c r="Y685" s="17">
        <f>IF($T685=1,$AU685,VLOOKUP(U685,'Cortes naturales'!$A$45:$C$49,3,9))</f>
        <v>4</v>
      </c>
      <c r="Z685" s="14">
        <v>55.56308873451917</v>
      </c>
      <c r="AA685" s="14">
        <v>0.4881310219662599</v>
      </c>
      <c r="AB685" s="14">
        <v>27.122067287582826</v>
      </c>
      <c r="AC685" s="13">
        <v>4</v>
      </c>
      <c r="AD685" s="13">
        <f t="shared" si="274"/>
        <v>0</v>
      </c>
      <c r="AE685" s="14">
        <f t="shared" si="275"/>
        <v>2.1997134071662856</v>
      </c>
      <c r="AF685" s="14">
        <f t="shared" si="276"/>
        <v>-7.518508426302084E-3</v>
      </c>
      <c r="AG685" s="13">
        <f t="shared" si="277"/>
        <v>0.6394582388438792</v>
      </c>
      <c r="AH685" s="13">
        <f>IF($T685=1,$AU685,VLOOKUP(U685,'Cortes naturales'!$A$25:$C$29,3,9))</f>
        <v>4</v>
      </c>
      <c r="AI685" s="13" t="b">
        <f t="shared" si="278"/>
        <v>1</v>
      </c>
      <c r="AJ685" s="13">
        <f t="shared" si="279"/>
        <v>0</v>
      </c>
      <c r="AK685" s="28">
        <v>0.81759069605862034</v>
      </c>
      <c r="AL685" s="28">
        <v>45.427864393622414</v>
      </c>
      <c r="AM685" s="28">
        <v>0.39762868623958603</v>
      </c>
      <c r="AN685" s="13">
        <v>3</v>
      </c>
      <c r="AO685" s="33">
        <f t="shared" si="280"/>
        <v>-1</v>
      </c>
      <c r="AP685" s="13">
        <f t="shared" si="290"/>
        <v>39.762868623958603</v>
      </c>
      <c r="AQ685" s="13">
        <f>IFERROR(VLOOKUP(U685,'Cortes naturales'!$E$15:$G$19,3,9),U685)</f>
        <v>4</v>
      </c>
      <c r="AR685" s="28">
        <f t="shared" si="281"/>
        <v>-0.33697818251866252</v>
      </c>
      <c r="AS685" s="13" t="b">
        <f t="shared" si="282"/>
        <v>1</v>
      </c>
      <c r="AT685" s="13" t="str">
        <f t="shared" si="291"/>
        <v>Efecto ponderador</v>
      </c>
      <c r="AU685" s="13">
        <v>4</v>
      </c>
      <c r="AV685">
        <f t="shared" si="283"/>
        <v>0</v>
      </c>
      <c r="AW685" s="13">
        <v>0</v>
      </c>
      <c r="AX685" s="13">
        <v>0</v>
      </c>
      <c r="AY685" s="13">
        <v>0</v>
      </c>
      <c r="AZ685" s="13">
        <v>0</v>
      </c>
      <c r="BA685">
        <v>0</v>
      </c>
      <c r="BB685" t="s">
        <v>2841</v>
      </c>
      <c r="BC685">
        <v>6</v>
      </c>
      <c r="BD685" t="s">
        <v>2919</v>
      </c>
      <c r="BE685">
        <v>0</v>
      </c>
      <c r="BF685" s="232" t="s">
        <v>2846</v>
      </c>
      <c r="BG685" s="232" t="s">
        <v>2845</v>
      </c>
      <c r="BH685" s="253">
        <v>39.200000000000003</v>
      </c>
      <c r="BI685" s="253">
        <v>16.775358683656066</v>
      </c>
      <c r="BJ685" s="25">
        <v>42.788707776403463</v>
      </c>
      <c r="BK685" t="s">
        <v>376</v>
      </c>
      <c r="BL685">
        <v>1.5224890470760155</v>
      </c>
      <c r="BM685" t="s">
        <v>383</v>
      </c>
      <c r="BN685" s="322">
        <v>44315.583867000001</v>
      </c>
      <c r="BO685" s="322">
        <v>2369.606773</v>
      </c>
      <c r="BP685" s="10">
        <v>25040</v>
      </c>
      <c r="BQ685" s="254">
        <f t="shared" si="284"/>
        <v>1.7697916879792333</v>
      </c>
      <c r="BR685" s="254">
        <f t="shared" si="285"/>
        <v>9.4632858346645365E-2</v>
      </c>
      <c r="BS685" s="25">
        <v>59.522725719007227</v>
      </c>
      <c r="BT685" s="25">
        <v>87.948866762513319</v>
      </c>
      <c r="BU685" s="25">
        <v>52.789479949150582</v>
      </c>
      <c r="BV685" s="25">
        <v>92.377258462846939</v>
      </c>
      <c r="BW685" s="25">
        <v>53.513378594649843</v>
      </c>
      <c r="BX685" s="25">
        <v>73.159582723379515</v>
      </c>
      <c r="BY685" s="25">
        <v>55.06050852701209</v>
      </c>
      <c r="BZ685">
        <v>69</v>
      </c>
      <c r="CA685">
        <v>0</v>
      </c>
      <c r="CB685">
        <v>7</v>
      </c>
      <c r="CC685">
        <v>63644.797130999999</v>
      </c>
      <c r="CD685" s="10">
        <v>20624.532637</v>
      </c>
      <c r="CE685" s="255">
        <v>0.32405685251142452</v>
      </c>
      <c r="CF685" t="str">
        <f>IFERROR(VLOOKUP(CE685,'Rangos amb etnico'!$A$2:$C$6,3,9),"N.D.")</f>
        <v>31% - 50%</v>
      </c>
      <c r="CG685" s="256">
        <v>6.0004540199383872E-4</v>
      </c>
      <c r="CH685" s="232">
        <v>2018.224778</v>
      </c>
      <c r="CI685" s="311">
        <f t="shared" si="292"/>
        <v>3.171075828627265E-2</v>
      </c>
      <c r="CJ685" s="232" t="str">
        <f>IFERROR(VLOOKUP(CI685,'Rangos amb etnico'!$A$2:$C$6,3,9),"N.D.")</f>
        <v>0,1% - 30%</v>
      </c>
      <c r="CK685" s="311">
        <f t="shared" si="293"/>
        <v>8.0136737408841E-5</v>
      </c>
      <c r="CL685" s="10">
        <v>0</v>
      </c>
      <c r="CM685" s="255">
        <f t="shared" si="294"/>
        <v>0</v>
      </c>
      <c r="CN685" s="232">
        <f>IFERROR(VLOOKUP(CM685,'Rangos amb etnico'!$A$2:$C$6,3,9),"N.D.")</f>
        <v>0</v>
      </c>
      <c r="CO685" s="311">
        <f t="shared" si="295"/>
        <v>0</v>
      </c>
      <c r="CP685">
        <v>0.95561717653402456</v>
      </c>
      <c r="CQ685" t="s">
        <v>2864</v>
      </c>
      <c r="CR685">
        <f t="shared" si="286"/>
        <v>2</v>
      </c>
      <c r="CS685" t="str">
        <f t="shared" si="296"/>
        <v>No es Candidato</v>
      </c>
      <c r="CT685">
        <v>0</v>
      </c>
      <c r="CU685">
        <v>0</v>
      </c>
      <c r="CV685" s="25">
        <v>50.050300598144531</v>
      </c>
      <c r="CW685" s="25">
        <v>23.58137130737305</v>
      </c>
      <c r="CX685" s="25">
        <v>37.595420837402337</v>
      </c>
      <c r="CY685" s="25">
        <v>55.327785491943359</v>
      </c>
      <c r="CZ685" s="25">
        <v>56.299629211425781</v>
      </c>
      <c r="DA685" s="25">
        <v>70.339195251464844</v>
      </c>
      <c r="DB685" s="25">
        <v>57.158405303955078</v>
      </c>
      <c r="DC685">
        <v>666</v>
      </c>
      <c r="DD685" s="253" t="s">
        <v>380</v>
      </c>
    </row>
    <row r="686" spans="1:108" hidden="1">
      <c r="A686" s="13">
        <v>20614</v>
      </c>
      <c r="B686" s="13" t="s">
        <v>1808</v>
      </c>
      <c r="C686" s="13" t="s">
        <v>893</v>
      </c>
      <c r="D686" s="13" t="s">
        <v>894</v>
      </c>
      <c r="E686" s="13" t="s">
        <v>1809</v>
      </c>
      <c r="F686" s="14">
        <v>43.768066666666698</v>
      </c>
      <c r="G686" s="13">
        <v>67.290000000000006</v>
      </c>
      <c r="H686" s="13">
        <v>75.86</v>
      </c>
      <c r="I686" s="13">
        <v>82.67</v>
      </c>
      <c r="J686" s="14">
        <v>54.975933779835117</v>
      </c>
      <c r="K686" s="14">
        <v>66.247176660138607</v>
      </c>
      <c r="L686" s="14">
        <v>60.279141633475945</v>
      </c>
      <c r="M686" s="14">
        <v>64.393699999999995</v>
      </c>
      <c r="N686" s="14">
        <f t="shared" si="270"/>
        <v>67.397016666666673</v>
      </c>
      <c r="O686" s="14">
        <f t="shared" si="271"/>
        <v>61.473988018362412</v>
      </c>
      <c r="P686" s="14">
        <f t="shared" si="287"/>
        <v>64.435502342514539</v>
      </c>
      <c r="Q686" s="14">
        <v>57.22792838911522</v>
      </c>
      <c r="R686" s="17">
        <f t="shared" si="272"/>
        <v>42.77207161088478</v>
      </c>
      <c r="S686" s="14">
        <f t="shared" si="288"/>
        <v>0.48494864449796304</v>
      </c>
      <c r="T686" s="13">
        <v>0</v>
      </c>
      <c r="U686" s="13">
        <f t="shared" si="289"/>
        <v>31.247909518547747</v>
      </c>
      <c r="V686" s="13">
        <f>IF($T686=1,$AU686,(VLOOKUP(U686,'Cortes naturales'!$A$35:$C$39,3,9)))</f>
        <v>3</v>
      </c>
      <c r="W686" s="13">
        <v>3</v>
      </c>
      <c r="X686" s="14" t="b">
        <f t="shared" si="273"/>
        <v>1</v>
      </c>
      <c r="Y686" s="17">
        <f>IF($T686=1,$AU686,VLOOKUP(U686,'Cortes naturales'!$A$45:$C$49,3,9))</f>
        <v>3</v>
      </c>
      <c r="Z686" s="14">
        <v>58.278828125389438</v>
      </c>
      <c r="AA686" s="14">
        <v>0.4877802463732509</v>
      </c>
      <c r="AB686" s="14">
        <v>28.427261141346804</v>
      </c>
      <c r="AC686" s="13">
        <v>3</v>
      </c>
      <c r="AD686" s="13">
        <f t="shared" si="274"/>
        <v>0</v>
      </c>
      <c r="AE686" s="14">
        <f t="shared" si="275"/>
        <v>6.1566742171251008</v>
      </c>
      <c r="AF686" s="14">
        <f t="shared" si="276"/>
        <v>-2.8316018752878591E-3</v>
      </c>
      <c r="AG686" s="13">
        <f t="shared" si="277"/>
        <v>2.8206483772009427</v>
      </c>
      <c r="AH686" s="13">
        <f>IF($T686=1,$AU686,VLOOKUP(U686,'Cortes naturales'!$A$25:$C$29,3,9))</f>
        <v>3</v>
      </c>
      <c r="AI686" s="13" t="b">
        <f t="shared" si="278"/>
        <v>1</v>
      </c>
      <c r="AJ686" s="13">
        <f t="shared" si="279"/>
        <v>0</v>
      </c>
      <c r="AK686" s="28">
        <v>0.81759069605862034</v>
      </c>
      <c r="AL686" s="28">
        <v>47.648227652517853</v>
      </c>
      <c r="AM686" s="28">
        <v>0.42540309012488131</v>
      </c>
      <c r="AN686" s="13">
        <v>3</v>
      </c>
      <c r="AO686" s="33">
        <f t="shared" si="280"/>
        <v>0</v>
      </c>
      <c r="AP686" s="13">
        <f t="shared" si="290"/>
        <v>42.54030901248813</v>
      </c>
      <c r="AQ686" s="13">
        <f>IFERROR(VLOOKUP(U686,'Cortes naturales'!$E$15:$G$19,3,9),U686)</f>
        <v>4</v>
      </c>
      <c r="AR686" s="28">
        <f t="shared" si="281"/>
        <v>-0.33264205156065729</v>
      </c>
      <c r="AS686" s="13" t="b">
        <f t="shared" si="282"/>
        <v>0</v>
      </c>
      <c r="AT686" s="13">
        <f t="shared" si="291"/>
        <v>0</v>
      </c>
      <c r="AU686" s="13">
        <v>3</v>
      </c>
      <c r="AV686">
        <f t="shared" si="283"/>
        <v>0</v>
      </c>
      <c r="AW686" s="13">
        <v>0</v>
      </c>
      <c r="AX686" s="13">
        <v>0</v>
      </c>
      <c r="AY686" s="13">
        <v>0</v>
      </c>
      <c r="AZ686" s="13">
        <v>0</v>
      </c>
      <c r="BA686">
        <v>0</v>
      </c>
      <c r="BB686" t="s">
        <v>2840</v>
      </c>
      <c r="BC686">
        <v>6</v>
      </c>
      <c r="BD686" t="s">
        <v>2919</v>
      </c>
      <c r="BE686">
        <v>1</v>
      </c>
      <c r="BF686" s="232" t="s">
        <v>2846</v>
      </c>
      <c r="BG686" s="232" t="s">
        <v>2845</v>
      </c>
      <c r="BH686" s="253">
        <v>48.3</v>
      </c>
      <c r="BI686" s="253">
        <v>21.675458078845086</v>
      </c>
      <c r="BJ686" s="25">
        <v>12.830924750554322</v>
      </c>
      <c r="BK686" t="s">
        <v>377</v>
      </c>
      <c r="BL686">
        <v>19.87513873431206</v>
      </c>
      <c r="BM686" t="s">
        <v>376</v>
      </c>
      <c r="BN686" s="322">
        <v>38182.990321999998</v>
      </c>
      <c r="BO686" s="322">
        <v>3624.533617</v>
      </c>
      <c r="BP686" s="10">
        <v>19390</v>
      </c>
      <c r="BQ686" s="254">
        <f t="shared" si="284"/>
        <v>1.9692104343476018</v>
      </c>
      <c r="BR686" s="254">
        <f t="shared" si="285"/>
        <v>0.18692798437338834</v>
      </c>
      <c r="BS686" s="25">
        <v>63.290484218957239</v>
      </c>
      <c r="BT686" s="25">
        <v>78.072371383874852</v>
      </c>
      <c r="BU686" s="25">
        <v>45.019603669089634</v>
      </c>
      <c r="BV686" s="25">
        <v>89.798750086090422</v>
      </c>
      <c r="BW686" s="25">
        <v>49.819637113893492</v>
      </c>
      <c r="BX686" s="25">
        <v>69.045302339503039</v>
      </c>
      <c r="BY686" s="25">
        <v>50.705051403102189</v>
      </c>
      <c r="BZ686">
        <v>14</v>
      </c>
      <c r="CA686">
        <v>0</v>
      </c>
      <c r="CB686">
        <v>7</v>
      </c>
      <c r="CC686">
        <v>51775.932241000002</v>
      </c>
      <c r="CD686" s="10">
        <v>5898.6984320000001</v>
      </c>
      <c r="CE686" s="255">
        <v>0.11392742103693067</v>
      </c>
      <c r="CF686" t="str">
        <f>IFERROR(VLOOKUP(CE686,'Rangos amb etnico'!$A$2:$C$6,3,9),"N.D.")</f>
        <v>0,1% - 30%</v>
      </c>
      <c r="CG686" s="256">
        <v>1.7161537350524479E-4</v>
      </c>
      <c r="CH686" s="232">
        <v>0</v>
      </c>
      <c r="CI686" s="311">
        <f t="shared" si="292"/>
        <v>0</v>
      </c>
      <c r="CJ686" s="232">
        <f>IFERROR(VLOOKUP(CI686,'Rangos amb etnico'!$A$2:$C$6,3,9),"N.D.")</f>
        <v>0</v>
      </c>
      <c r="CK686" s="311">
        <f t="shared" si="293"/>
        <v>0</v>
      </c>
      <c r="CL686" s="10">
        <v>0</v>
      </c>
      <c r="CM686" s="255">
        <f t="shared" si="294"/>
        <v>0</v>
      </c>
      <c r="CN686" s="232">
        <f>IFERROR(VLOOKUP(CM686,'Rangos amb etnico'!$A$2:$C$6,3,9),"N.D.")</f>
        <v>0</v>
      </c>
      <c r="CO686" s="311">
        <f t="shared" si="295"/>
        <v>0</v>
      </c>
      <c r="CP686">
        <v>0.96453579681806412</v>
      </c>
      <c r="CQ686" t="s">
        <v>2864</v>
      </c>
      <c r="CR686">
        <f t="shared" si="286"/>
        <v>3</v>
      </c>
      <c r="CS686" t="str">
        <f t="shared" si="296"/>
        <v>Candidato</v>
      </c>
      <c r="CT686">
        <v>0</v>
      </c>
      <c r="CU686">
        <v>0</v>
      </c>
      <c r="CV686" s="25">
        <v>38.778007507324219</v>
      </c>
      <c r="CW686" s="25">
        <v>25.660770416259769</v>
      </c>
      <c r="CX686" s="25">
        <v>50.931282043457031</v>
      </c>
      <c r="CY686" s="25">
        <v>55.567501068115227</v>
      </c>
      <c r="CZ686" s="25">
        <v>7.5201153755187988</v>
      </c>
      <c r="DA686" s="25">
        <v>35.811279296875</v>
      </c>
      <c r="DB686" s="25">
        <v>57.177101135253913</v>
      </c>
      <c r="DC686">
        <v>327</v>
      </c>
      <c r="DD686" s="253" t="s">
        <v>380</v>
      </c>
    </row>
    <row r="687" spans="1:108" hidden="1">
      <c r="A687" s="13">
        <v>47798</v>
      </c>
      <c r="B687" s="13" t="s">
        <v>1810</v>
      </c>
      <c r="C687" s="13" t="s">
        <v>638</v>
      </c>
      <c r="D687" s="13" t="s">
        <v>639</v>
      </c>
      <c r="E687" s="13" t="s">
        <v>1811</v>
      </c>
      <c r="F687" s="14">
        <v>44.433633333333297</v>
      </c>
      <c r="G687" s="13">
        <v>56.53</v>
      </c>
      <c r="H687" s="13">
        <v>19.25</v>
      </c>
      <c r="I687" s="13">
        <v>24</v>
      </c>
      <c r="J687" s="14">
        <v>50.663193354816819</v>
      </c>
      <c r="K687" s="14">
        <v>46.40272463301239</v>
      </c>
      <c r="L687" s="14">
        <v>46.540260728077769</v>
      </c>
      <c r="M687" s="14">
        <v>36.713500000000003</v>
      </c>
      <c r="N687" s="14">
        <f t="shared" si="270"/>
        <v>36.053408333333323</v>
      </c>
      <c r="O687" s="14">
        <f t="shared" si="271"/>
        <v>45.079919678976751</v>
      </c>
      <c r="P687" s="14">
        <f t="shared" si="287"/>
        <v>40.566664006155037</v>
      </c>
      <c r="Q687" s="14">
        <v>57.845664247167264</v>
      </c>
      <c r="R687" s="17">
        <f t="shared" si="272"/>
        <v>42.154335752832736</v>
      </c>
      <c r="S687" s="14">
        <f t="shared" si="288"/>
        <v>0.47938902177549469</v>
      </c>
      <c r="T687" s="13">
        <v>0</v>
      </c>
      <c r="U687" s="13">
        <f t="shared" si="289"/>
        <v>19.447213374605834</v>
      </c>
      <c r="V687" s="13">
        <f>IF($T687=1,$AU687,(VLOOKUP(U687,'Cortes naturales'!$A$35:$C$39,3,9)))</f>
        <v>5</v>
      </c>
      <c r="W687" s="13">
        <v>5</v>
      </c>
      <c r="X687" s="14" t="b">
        <f t="shared" si="273"/>
        <v>1</v>
      </c>
      <c r="Y687" s="17">
        <f>IF($T687=1,$AU687,VLOOKUP(U687,'Cortes naturales'!$A$45:$C$49,3,9))</f>
        <v>5</v>
      </c>
      <c r="Z687" s="14">
        <v>44.246889000264744</v>
      </c>
      <c r="AA687" s="14">
        <v>0.48777501517972244</v>
      </c>
      <c r="AB687" s="14">
        <v>21.582526953759629</v>
      </c>
      <c r="AC687" s="13">
        <v>4</v>
      </c>
      <c r="AD687" s="13">
        <f t="shared" si="274"/>
        <v>-1</v>
      </c>
      <c r="AE687" s="14">
        <f t="shared" si="275"/>
        <v>-3.6802249941097074</v>
      </c>
      <c r="AF687" s="14">
        <f t="shared" si="276"/>
        <v>-8.3859934042277429E-3</v>
      </c>
      <c r="AG687" s="13">
        <f t="shared" si="277"/>
        <v>-2.1353135791537952</v>
      </c>
      <c r="AH687" s="13">
        <f>IF($T687=1,$AU687,VLOOKUP(U687,'Cortes naturales'!$A$25:$C$29,3,9))</f>
        <v>5</v>
      </c>
      <c r="AI687" s="13" t="b">
        <f t="shared" si="278"/>
        <v>1</v>
      </c>
      <c r="AJ687" s="13" t="str">
        <f t="shared" si="279"/>
        <v>Efecto ponderador</v>
      </c>
      <c r="AK687" s="28">
        <v>0.81759069605862034</v>
      </c>
      <c r="AL687" s="28">
        <v>36.17584477615496</v>
      </c>
      <c r="AM687" s="28">
        <v>0.28189567337301108</v>
      </c>
      <c r="AN687" s="13">
        <v>4</v>
      </c>
      <c r="AO687" s="33">
        <f t="shared" si="280"/>
        <v>-1</v>
      </c>
      <c r="AP687" s="13">
        <f t="shared" si="290"/>
        <v>28.189567337301106</v>
      </c>
      <c r="AQ687" s="13">
        <f>IFERROR(VLOOKUP(U687,'Cortes naturales'!$E$15:$G$19,3,9),U687)</f>
        <v>4</v>
      </c>
      <c r="AR687" s="28">
        <f t="shared" si="281"/>
        <v>-0.33820167428312564</v>
      </c>
      <c r="AS687" s="13" t="b">
        <f t="shared" si="282"/>
        <v>0</v>
      </c>
      <c r="AT687" s="13" t="str">
        <f t="shared" si="291"/>
        <v>Cambio en corte</v>
      </c>
      <c r="AU687" s="13">
        <v>4</v>
      </c>
      <c r="AV687">
        <f t="shared" si="283"/>
        <v>-1</v>
      </c>
      <c r="AW687" s="13">
        <v>0</v>
      </c>
      <c r="AX687" s="13">
        <v>0</v>
      </c>
      <c r="AY687" s="13">
        <v>0</v>
      </c>
      <c r="AZ687" s="13">
        <v>0</v>
      </c>
      <c r="BA687">
        <v>0</v>
      </c>
      <c r="BB687" t="s">
        <v>2840</v>
      </c>
      <c r="BC687">
        <v>6</v>
      </c>
      <c r="BD687" t="s">
        <v>2919</v>
      </c>
      <c r="BE687">
        <v>1</v>
      </c>
      <c r="BF687" s="232" t="s">
        <v>2846</v>
      </c>
      <c r="BG687" s="232" t="s">
        <v>2846</v>
      </c>
      <c r="BH687" s="253">
        <v>56.3</v>
      </c>
      <c r="BI687" s="253">
        <v>39.380459398252995</v>
      </c>
      <c r="BJ687" s="25">
        <v>8.6245173745173744</v>
      </c>
      <c r="BK687" t="s">
        <v>377</v>
      </c>
      <c r="BL687">
        <v>3.2132753391886157</v>
      </c>
      <c r="BM687" t="s">
        <v>383</v>
      </c>
      <c r="BN687" s="322">
        <v>32623.783534999999</v>
      </c>
      <c r="BO687" s="322">
        <v>1534.6777709999999</v>
      </c>
      <c r="BP687" s="10">
        <v>14340</v>
      </c>
      <c r="BQ687" s="254">
        <f t="shared" si="284"/>
        <v>2.2750197723152024</v>
      </c>
      <c r="BR687" s="254">
        <f t="shared" si="285"/>
        <v>0.10702076506276149</v>
      </c>
      <c r="BS687" s="25">
        <v>62.549616040678508</v>
      </c>
      <c r="BT687" s="25">
        <v>83.089969628079956</v>
      </c>
      <c r="BU687" s="25">
        <v>25.21808641975306</v>
      </c>
      <c r="BV687" s="25">
        <v>98.239086820774375</v>
      </c>
      <c r="BW687" s="25">
        <v>23.391251979741611</v>
      </c>
      <c r="BX687" s="25">
        <v>67.27418972732147</v>
      </c>
      <c r="BY687" s="25">
        <v>24.12652460365662</v>
      </c>
      <c r="BZ687">
        <v>74</v>
      </c>
      <c r="CA687">
        <v>0</v>
      </c>
      <c r="CB687">
        <v>7</v>
      </c>
      <c r="CC687">
        <v>49178.018563999998</v>
      </c>
      <c r="CD687" s="10">
        <v>902.92169100000001</v>
      </c>
      <c r="CE687" s="255">
        <v>1.8360269839358061E-2</v>
      </c>
      <c r="CF687" t="str">
        <f>IFERROR(VLOOKUP(CE687,'Rangos amb etnico'!$A$2:$C$6,3,9),"N.D.")</f>
        <v>0,1% - 30%</v>
      </c>
      <c r="CG687" s="256">
        <v>2.6269395703691438E-5</v>
      </c>
      <c r="CH687" s="232">
        <v>350.876081</v>
      </c>
      <c r="CI687" s="311">
        <f t="shared" si="292"/>
        <v>7.1348153350947194E-3</v>
      </c>
      <c r="CJ687" s="232" t="str">
        <f>IFERROR(VLOOKUP(CI687,'Rangos amb etnico'!$A$2:$C$6,3,9),"N.D.")</f>
        <v>0,1% - 30%</v>
      </c>
      <c r="CK687" s="311">
        <f t="shared" si="293"/>
        <v>1.3932077671746942E-5</v>
      </c>
      <c r="CL687" s="10">
        <v>1183.3094320499899</v>
      </c>
      <c r="CM687" s="255">
        <f t="shared" si="294"/>
        <v>2.4061754958875328E-2</v>
      </c>
      <c r="CN687" s="232" t="str">
        <f>IFERROR(VLOOKUP(CM687,'Rangos amb etnico'!$A$2:$C$6,3,9),"N.D.")</f>
        <v>0,1% - 30%</v>
      </c>
      <c r="CO687" s="311">
        <f t="shared" si="295"/>
        <v>7.4206156427574811E-4</v>
      </c>
      <c r="CP687">
        <v>0.93376458284443487</v>
      </c>
      <c r="CQ687" t="s">
        <v>2864</v>
      </c>
      <c r="CR687">
        <f t="shared" si="286"/>
        <v>1</v>
      </c>
      <c r="CS687" t="str">
        <f t="shared" si="296"/>
        <v>No es Candidato</v>
      </c>
      <c r="CT687">
        <v>0</v>
      </c>
      <c r="CU687">
        <v>0</v>
      </c>
      <c r="CV687" s="25">
        <v>47.790168762207031</v>
      </c>
      <c r="CW687" s="25">
        <v>19.613033294677731</v>
      </c>
      <c r="CX687" s="25">
        <v>60.948287963867188</v>
      </c>
      <c r="CY687" s="25">
        <v>43.48529052734375</v>
      </c>
      <c r="CZ687" s="25">
        <v>5.1903715133666992</v>
      </c>
      <c r="DA687" s="25">
        <v>85.63189697265625</v>
      </c>
      <c r="DB687" s="25">
        <v>71.872123718261719</v>
      </c>
      <c r="DC687">
        <v>927</v>
      </c>
      <c r="DD687" s="253" t="s">
        <v>380</v>
      </c>
    </row>
    <row r="688" spans="1:108" hidden="1">
      <c r="A688" s="13">
        <v>20787</v>
      </c>
      <c r="B688" s="13" t="s">
        <v>1812</v>
      </c>
      <c r="C688" s="13" t="s">
        <v>893</v>
      </c>
      <c r="D688" s="13" t="s">
        <v>894</v>
      </c>
      <c r="E688" s="13" t="s">
        <v>1813</v>
      </c>
      <c r="F688" s="14">
        <v>63.073833333333297</v>
      </c>
      <c r="G688" s="13">
        <v>54.85</v>
      </c>
      <c r="H688" s="13">
        <v>51.2</v>
      </c>
      <c r="I688" s="13">
        <v>62.91</v>
      </c>
      <c r="J688" s="14">
        <v>43.649922240460285</v>
      </c>
      <c r="K688" s="14">
        <v>51.412949580545693</v>
      </c>
      <c r="L688" s="14">
        <v>43.529644622746943</v>
      </c>
      <c r="M688" s="14">
        <v>47.164499999999997</v>
      </c>
      <c r="N688" s="14">
        <f t="shared" si="270"/>
        <v>58.00845833333333</v>
      </c>
      <c r="O688" s="14">
        <f t="shared" si="271"/>
        <v>46.439254110938229</v>
      </c>
      <c r="P688" s="14">
        <f t="shared" si="287"/>
        <v>52.22385622213578</v>
      </c>
      <c r="Q688" s="14">
        <v>58.038270321888518</v>
      </c>
      <c r="R688" s="17">
        <f t="shared" si="272"/>
        <v>41.961729678111482</v>
      </c>
      <c r="S688" s="14">
        <f t="shared" si="288"/>
        <v>0.47765556710300339</v>
      </c>
      <c r="T688" s="13">
        <v>0</v>
      </c>
      <c r="U688" s="13">
        <f t="shared" si="289"/>
        <v>24.945015660089979</v>
      </c>
      <c r="V688" s="13">
        <f>IF($T688=1,$AU688,(VLOOKUP(U688,'Cortes naturales'!$A$35:$C$39,3,9)))</f>
        <v>4</v>
      </c>
      <c r="W688" s="13">
        <v>4</v>
      </c>
      <c r="X688" s="14" t="b">
        <f t="shared" si="273"/>
        <v>1</v>
      </c>
      <c r="Y688" s="17">
        <f>IF($T688=1,$AU688,VLOOKUP(U688,'Cortes naturales'!$A$45:$C$49,3,9))</f>
        <v>4</v>
      </c>
      <c r="Z688" s="14">
        <v>52.336046142366385</v>
      </c>
      <c r="AA688" s="14">
        <v>0.48775674149247616</v>
      </c>
      <c r="AB688" s="14">
        <v>25.527259329000504</v>
      </c>
      <c r="AC688" s="13">
        <v>4</v>
      </c>
      <c r="AD688" s="13">
        <f t="shared" si="274"/>
        <v>0</v>
      </c>
      <c r="AE688" s="14">
        <f t="shared" si="275"/>
        <v>-0.11218992023060537</v>
      </c>
      <c r="AF688" s="14">
        <f t="shared" si="276"/>
        <v>-1.0101174389472778E-2</v>
      </c>
      <c r="AG688" s="13">
        <f t="shared" si="277"/>
        <v>-0.58224366891052526</v>
      </c>
      <c r="AH688" s="13">
        <f>IF($T688=1,$AU688,VLOOKUP(U688,'Cortes naturales'!$A$25:$C$29,3,9))</f>
        <v>4</v>
      </c>
      <c r="AI688" s="13" t="b">
        <f t="shared" si="278"/>
        <v>1</v>
      </c>
      <c r="AJ688" s="13">
        <f t="shared" si="279"/>
        <v>0</v>
      </c>
      <c r="AK688" s="28">
        <v>0.81759069605862034</v>
      </c>
      <c r="AL688" s="28">
        <v>42.789464394493407</v>
      </c>
      <c r="AM688" s="28">
        <v>0.36462508338622851</v>
      </c>
      <c r="AN688" s="13">
        <v>3</v>
      </c>
      <c r="AO688" s="33">
        <f t="shared" si="280"/>
        <v>-1</v>
      </c>
      <c r="AP688" s="13">
        <f t="shared" si="290"/>
        <v>36.462508338622854</v>
      </c>
      <c r="AQ688" s="13">
        <f>IFERROR(VLOOKUP(U688,'Cortes naturales'!$E$15:$G$19,3,9),U688)</f>
        <v>4</v>
      </c>
      <c r="AR688" s="28">
        <f t="shared" si="281"/>
        <v>-0.33993512895561695</v>
      </c>
      <c r="AS688" s="13" t="b">
        <f t="shared" si="282"/>
        <v>1</v>
      </c>
      <c r="AT688" s="13" t="str">
        <f t="shared" si="291"/>
        <v>Efecto ponderador</v>
      </c>
      <c r="AU688" s="13">
        <v>3</v>
      </c>
      <c r="AV688">
        <f t="shared" si="283"/>
        <v>-1</v>
      </c>
      <c r="AW688" s="13">
        <v>0</v>
      </c>
      <c r="AX688" s="13">
        <v>0</v>
      </c>
      <c r="AY688" s="13">
        <v>0</v>
      </c>
      <c r="AZ688" s="13">
        <v>0</v>
      </c>
      <c r="BA688">
        <v>0</v>
      </c>
      <c r="BB688" t="s">
        <v>2840</v>
      </c>
      <c r="BC688">
        <v>6</v>
      </c>
      <c r="BD688" t="s">
        <v>2919</v>
      </c>
      <c r="BE688">
        <v>0</v>
      </c>
      <c r="BF688" s="232" t="s">
        <v>2846</v>
      </c>
      <c r="BG688" s="232" t="s">
        <v>2845</v>
      </c>
      <c r="BH688" s="253">
        <v>47.5</v>
      </c>
      <c r="BI688" s="253">
        <v>25.904856716205646</v>
      </c>
      <c r="BJ688" s="25">
        <v>7.5524237494916617</v>
      </c>
      <c r="BK688" t="s">
        <v>377</v>
      </c>
      <c r="BL688">
        <v>9.0061813935669033</v>
      </c>
      <c r="BM688" t="s">
        <v>379</v>
      </c>
      <c r="BN688" s="322">
        <v>33521.324621</v>
      </c>
      <c r="BO688" s="322">
        <v>3595.4896979999999</v>
      </c>
      <c r="BP688" s="10">
        <v>16871</v>
      </c>
      <c r="BQ688" s="254">
        <f t="shared" si="284"/>
        <v>1.9869198400213384</v>
      </c>
      <c r="BR688" s="254">
        <f t="shared" si="285"/>
        <v>0.21311657269871376</v>
      </c>
      <c r="BS688" s="25">
        <v>63.523875767304517</v>
      </c>
      <c r="BT688" s="25">
        <v>87.222481719321124</v>
      </c>
      <c r="BU688" s="25">
        <v>22.838114929682401</v>
      </c>
      <c r="BV688" s="25">
        <v>93.286128466135139</v>
      </c>
      <c r="BW688" s="25">
        <v>53.446070793148692</v>
      </c>
      <c r="BX688" s="25">
        <v>66.717650220610793</v>
      </c>
      <c r="BY688" s="25">
        <v>53.429746435273962</v>
      </c>
      <c r="BZ688">
        <v>92</v>
      </c>
      <c r="CA688">
        <v>0</v>
      </c>
      <c r="CB688">
        <v>7</v>
      </c>
      <c r="CC688">
        <v>51247.036396000003</v>
      </c>
      <c r="CD688" s="10">
        <v>18943.170269999999</v>
      </c>
      <c r="CE688" s="255">
        <v>0.36964420973772788</v>
      </c>
      <c r="CF688" t="str">
        <f>IFERROR(VLOOKUP(CE688,'Rangos amb etnico'!$A$2:$C$6,3,9),"N.D.")</f>
        <v>31% - 50%</v>
      </c>
      <c r="CG688" s="256">
        <v>5.5112823256455953E-4</v>
      </c>
      <c r="CH688" s="232">
        <v>0</v>
      </c>
      <c r="CI688" s="311">
        <f t="shared" si="292"/>
        <v>0</v>
      </c>
      <c r="CJ688" s="232">
        <f>IFERROR(VLOOKUP(CI688,'Rangos amb etnico'!$A$2:$C$6,3,9),"N.D.")</f>
        <v>0</v>
      </c>
      <c r="CK688" s="311">
        <f t="shared" si="293"/>
        <v>0</v>
      </c>
      <c r="CL688" s="10">
        <v>0</v>
      </c>
      <c r="CM688" s="255">
        <f t="shared" si="294"/>
        <v>0</v>
      </c>
      <c r="CN688" s="232">
        <f>IFERROR(VLOOKUP(CM688,'Rangos amb etnico'!$A$2:$C$6,3,9),"N.D.")</f>
        <v>0</v>
      </c>
      <c r="CO688" s="311">
        <f t="shared" si="295"/>
        <v>0</v>
      </c>
      <c r="CP688">
        <v>0.9192137007950083</v>
      </c>
      <c r="CQ688" t="s">
        <v>2864</v>
      </c>
      <c r="CR688">
        <f t="shared" si="286"/>
        <v>2</v>
      </c>
      <c r="CS688" t="str">
        <f t="shared" si="296"/>
        <v>No es Candidato</v>
      </c>
      <c r="CT688">
        <v>0</v>
      </c>
      <c r="CU688">
        <v>0</v>
      </c>
      <c r="CV688" s="25">
        <v>41.100978851318359</v>
      </c>
      <c r="CW688" s="25">
        <v>20.309268951416019</v>
      </c>
      <c r="CX688" s="25">
        <v>56.942596435546882</v>
      </c>
      <c r="CY688" s="25">
        <v>49.787422180175781</v>
      </c>
      <c r="CZ688" s="25">
        <v>5.7888617515563956</v>
      </c>
      <c r="DA688" s="25">
        <v>48.303924560546882</v>
      </c>
      <c r="DB688" s="25">
        <v>65.473808288574219</v>
      </c>
      <c r="DC688">
        <v>10260</v>
      </c>
      <c r="DD688" s="253" t="s">
        <v>380</v>
      </c>
    </row>
    <row r="689" spans="1:108" hidden="1">
      <c r="A689" s="13">
        <v>73026</v>
      </c>
      <c r="B689" s="13" t="s">
        <v>1814</v>
      </c>
      <c r="C689" s="13" t="s">
        <v>595</v>
      </c>
      <c r="D689" s="13" t="s">
        <v>596</v>
      </c>
      <c r="E689" s="13" t="s">
        <v>1815</v>
      </c>
      <c r="F689" s="14">
        <v>59.643633333333298</v>
      </c>
      <c r="G689" s="13">
        <v>48.35</v>
      </c>
      <c r="H689" s="13">
        <v>36.04</v>
      </c>
      <c r="I689" s="13">
        <v>55.09</v>
      </c>
      <c r="J689" s="14">
        <v>48.541996585509779</v>
      </c>
      <c r="K689" s="14">
        <v>50.201068608772118</v>
      </c>
      <c r="L689" s="14">
        <v>55.728480140235014</v>
      </c>
      <c r="M689" s="14">
        <v>53.1845</v>
      </c>
      <c r="N689" s="14">
        <f t="shared" si="270"/>
        <v>49.780908333333322</v>
      </c>
      <c r="O689" s="14">
        <f t="shared" si="271"/>
        <v>51.914011333629233</v>
      </c>
      <c r="P689" s="14">
        <f t="shared" si="287"/>
        <v>50.847459833481281</v>
      </c>
      <c r="Q689" s="14">
        <v>58.35942913937231</v>
      </c>
      <c r="R689" s="17">
        <f t="shared" si="272"/>
        <v>41.64057086062769</v>
      </c>
      <c r="S689" s="14">
        <f t="shared" si="288"/>
        <v>0.47476513774564921</v>
      </c>
      <c r="T689" s="13">
        <v>0</v>
      </c>
      <c r="U689" s="13">
        <f t="shared" si="289"/>
        <v>24.140601271859104</v>
      </c>
      <c r="V689" s="13">
        <f>IF($T689=1,$AU689,(VLOOKUP(U689,'Cortes naturales'!$A$35:$C$39,3,9)))</f>
        <v>4</v>
      </c>
      <c r="W689" s="13">
        <v>4</v>
      </c>
      <c r="X689" s="14" t="b">
        <f t="shared" si="273"/>
        <v>1</v>
      </c>
      <c r="Y689" s="17">
        <f>IF($T689=1,$AU689,VLOOKUP(U689,'Cortes naturales'!$A$45:$C$49,3,9))</f>
        <v>4</v>
      </c>
      <c r="Z689" s="14">
        <v>51.084979497492597</v>
      </c>
      <c r="AA689" s="14">
        <v>0.4854416566225277</v>
      </c>
      <c r="AB689" s="14">
        <v>24.798777075790667</v>
      </c>
      <c r="AC689" s="13">
        <v>4</v>
      </c>
      <c r="AD689" s="13">
        <f t="shared" si="274"/>
        <v>0</v>
      </c>
      <c r="AE689" s="14">
        <f t="shared" si="275"/>
        <v>-0.23751966401131597</v>
      </c>
      <c r="AF689" s="14">
        <f t="shared" si="276"/>
        <v>-1.0676518876878482E-2</v>
      </c>
      <c r="AG689" s="13">
        <f t="shared" si="277"/>
        <v>-0.65817580393156305</v>
      </c>
      <c r="AH689" s="13">
        <f>IF($T689=1,$AU689,VLOOKUP(U689,'Cortes naturales'!$A$25:$C$29,3,9))</f>
        <v>4</v>
      </c>
      <c r="AI689" s="13" t="b">
        <f t="shared" si="278"/>
        <v>1</v>
      </c>
      <c r="AJ689" s="13">
        <f t="shared" si="279"/>
        <v>0</v>
      </c>
      <c r="AK689" s="28">
        <v>0.81759069605862034</v>
      </c>
      <c r="AL689" s="28">
        <v>41.766603945495319</v>
      </c>
      <c r="AM689" s="28">
        <v>0.35183017736580546</v>
      </c>
      <c r="AN689" s="13">
        <v>4</v>
      </c>
      <c r="AO689" s="33">
        <f t="shared" si="280"/>
        <v>0</v>
      </c>
      <c r="AP689" s="13">
        <f t="shared" si="290"/>
        <v>35.183017736580545</v>
      </c>
      <c r="AQ689" s="13">
        <f>IFERROR(VLOOKUP(U689,'Cortes naturales'!$E$15:$G$19,3,9),U689)</f>
        <v>4</v>
      </c>
      <c r="AR689" s="28">
        <f t="shared" si="281"/>
        <v>-0.34282555831297112</v>
      </c>
      <c r="AS689" s="13" t="b">
        <f t="shared" si="282"/>
        <v>1</v>
      </c>
      <c r="AT689" s="13">
        <f t="shared" si="291"/>
        <v>0</v>
      </c>
      <c r="AU689" s="13">
        <v>3</v>
      </c>
      <c r="AV689">
        <f t="shared" si="283"/>
        <v>-1</v>
      </c>
      <c r="AW689" s="13">
        <v>0</v>
      </c>
      <c r="AX689" s="13">
        <v>0</v>
      </c>
      <c r="AY689" s="13">
        <v>0</v>
      </c>
      <c r="AZ689" s="13">
        <v>0</v>
      </c>
      <c r="BA689">
        <v>1</v>
      </c>
      <c r="BB689" t="s">
        <v>2840</v>
      </c>
      <c r="BC689">
        <v>6</v>
      </c>
      <c r="BD689" t="s">
        <v>2919</v>
      </c>
      <c r="BE689">
        <v>1</v>
      </c>
      <c r="BF689" s="232" t="s">
        <v>2846</v>
      </c>
      <c r="BG689" s="232" t="s">
        <v>2845</v>
      </c>
      <c r="BH689" s="253">
        <v>38.799999999999997</v>
      </c>
      <c r="BI689" s="253">
        <v>14.064362336114423</v>
      </c>
      <c r="BJ689" s="25">
        <v>69.648666743584258</v>
      </c>
      <c r="BK689" t="s">
        <v>376</v>
      </c>
      <c r="BL689">
        <v>2.8298319631334223</v>
      </c>
      <c r="BM689" t="s">
        <v>383</v>
      </c>
      <c r="BN689" s="322">
        <v>26915.841106</v>
      </c>
      <c r="BO689" s="322">
        <v>5992.4108900000001</v>
      </c>
      <c r="BP689" s="10">
        <v>8855</v>
      </c>
      <c r="BQ689" s="254">
        <f t="shared" si="284"/>
        <v>3.0396206782608695</v>
      </c>
      <c r="BR689" s="254">
        <f t="shared" si="285"/>
        <v>0.67672624392998304</v>
      </c>
      <c r="BS689" s="25">
        <v>61.105120327700973</v>
      </c>
      <c r="BT689" s="25">
        <v>83.528138528138527</v>
      </c>
      <c r="BU689" s="25">
        <v>63.425866332878172</v>
      </c>
      <c r="BV689" s="25">
        <v>92.674441242793364</v>
      </c>
      <c r="BW689" s="25">
        <v>62.213111468433397</v>
      </c>
      <c r="BX689" s="25">
        <v>75.183391607877752</v>
      </c>
      <c r="BY689" s="25">
        <v>63.111136435540118</v>
      </c>
      <c r="BZ689">
        <v>18</v>
      </c>
      <c r="CA689">
        <v>0</v>
      </c>
      <c r="CB689">
        <v>7</v>
      </c>
      <c r="CC689">
        <v>34411.186538000002</v>
      </c>
      <c r="CD689" s="10">
        <v>24846.625669000001</v>
      </c>
      <c r="CE689" s="255">
        <v>0.72205082616265115</v>
      </c>
      <c r="CF689" t="str">
        <f>IFERROR(VLOOKUP(CE689,'Rangos amb etnico'!$A$2:$C$6,3,9),"N.D.")</f>
        <v>71% - 100%</v>
      </c>
      <c r="CG689" s="256">
        <v>7.2288200417200735E-4</v>
      </c>
      <c r="CH689" s="232">
        <v>0</v>
      </c>
      <c r="CI689" s="311">
        <f t="shared" si="292"/>
        <v>0</v>
      </c>
      <c r="CJ689" s="232">
        <f>IFERROR(VLOOKUP(CI689,'Rangos amb etnico'!$A$2:$C$6,3,9),"N.D.")</f>
        <v>0</v>
      </c>
      <c r="CK689" s="311">
        <f t="shared" si="293"/>
        <v>0</v>
      </c>
      <c r="CL689" s="10">
        <v>0</v>
      </c>
      <c r="CM689" s="255">
        <f t="shared" si="294"/>
        <v>0</v>
      </c>
      <c r="CN689" s="232">
        <f>IFERROR(VLOOKUP(CM689,'Rangos amb etnico'!$A$2:$C$6,3,9),"N.D.")</f>
        <v>0</v>
      </c>
      <c r="CO689" s="311">
        <f t="shared" si="295"/>
        <v>0</v>
      </c>
      <c r="CP689">
        <v>0.9638949183399772</v>
      </c>
      <c r="CQ689" t="s">
        <v>2864</v>
      </c>
      <c r="CR689">
        <f t="shared" si="286"/>
        <v>2</v>
      </c>
      <c r="CS689" t="str">
        <f t="shared" si="296"/>
        <v>No es Candidato</v>
      </c>
      <c r="CT689">
        <v>0</v>
      </c>
      <c r="CU689">
        <v>0</v>
      </c>
      <c r="CV689" s="25">
        <v>45.787334442138672</v>
      </c>
      <c r="CW689" s="25">
        <v>29.303445816040039</v>
      </c>
      <c r="CX689" s="25">
        <v>51.432262420654297</v>
      </c>
      <c r="CY689" s="25">
        <v>61.715503692626953</v>
      </c>
      <c r="CZ689" s="25">
        <v>32.149532318115227</v>
      </c>
      <c r="DA689" s="25">
        <v>42.886798858642578</v>
      </c>
      <c r="DB689" s="25">
        <v>57.236454010009773</v>
      </c>
      <c r="DC689">
        <v>113</v>
      </c>
      <c r="DD689" s="253" t="s">
        <v>380</v>
      </c>
    </row>
    <row r="690" spans="1:108" hidden="1">
      <c r="A690" s="13">
        <v>15681</v>
      </c>
      <c r="B690" s="13" t="s">
        <v>1816</v>
      </c>
      <c r="C690" s="13" t="s">
        <v>498</v>
      </c>
      <c r="D690" s="13" t="s">
        <v>499</v>
      </c>
      <c r="E690" s="13" t="s">
        <v>1817</v>
      </c>
      <c r="F690" s="14">
        <v>78.303899999999999</v>
      </c>
      <c r="G690" s="13">
        <v>84.37</v>
      </c>
      <c r="H690" s="13">
        <v>74.19</v>
      </c>
      <c r="I690" s="13">
        <v>85.77</v>
      </c>
      <c r="J690" s="14">
        <v>58.897408556129491</v>
      </c>
      <c r="K690" s="14">
        <v>64.713312023235986</v>
      </c>
      <c r="L690" s="14">
        <v>62.762335414420839</v>
      </c>
      <c r="M690" s="14">
        <v>61.235900000000001</v>
      </c>
      <c r="N690" s="14">
        <f t="shared" si="270"/>
        <v>80.658474999999996</v>
      </c>
      <c r="O690" s="14">
        <f t="shared" si="271"/>
        <v>61.902238998446578</v>
      </c>
      <c r="P690" s="14">
        <f t="shared" si="287"/>
        <v>71.280356999223287</v>
      </c>
      <c r="Q690" s="14">
        <v>58.426541222455711</v>
      </c>
      <c r="R690" s="17">
        <f t="shared" si="272"/>
        <v>41.573458777544289</v>
      </c>
      <c r="S690" s="14">
        <f t="shared" si="288"/>
        <v>0.47416112899789864</v>
      </c>
      <c r="T690" s="13">
        <v>0</v>
      </c>
      <c r="U690" s="13">
        <f t="shared" si="289"/>
        <v>33.798374550124983</v>
      </c>
      <c r="V690" s="13">
        <f>IF($T690=1,$AU690,(VLOOKUP(U690,'Cortes naturales'!$A$35:$C$39,3,9)))</f>
        <v>3</v>
      </c>
      <c r="W690" s="13">
        <v>3</v>
      </c>
      <c r="X690" s="14" t="b">
        <f t="shared" si="273"/>
        <v>1</v>
      </c>
      <c r="Y690" s="17">
        <f>IF($T690=1,$AU690,VLOOKUP(U690,'Cortes naturales'!$A$45:$C$49,3,9))</f>
        <v>3</v>
      </c>
      <c r="Z690" s="14">
        <v>69.728523928672118</v>
      </c>
      <c r="AA690" s="14">
        <v>0.48569987627641431</v>
      </c>
      <c r="AB690" s="14">
        <v>33.867135445093041</v>
      </c>
      <c r="AC690" s="13">
        <v>3</v>
      </c>
      <c r="AD690" s="13">
        <f t="shared" si="274"/>
        <v>0</v>
      </c>
      <c r="AE690" s="14">
        <f t="shared" si="275"/>
        <v>1.5518330705511687</v>
      </c>
      <c r="AF690" s="14">
        <f t="shared" si="276"/>
        <v>-1.1538747278515671E-2</v>
      </c>
      <c r="AG690" s="13">
        <f t="shared" si="277"/>
        <v>-6.8760894968058039E-2</v>
      </c>
      <c r="AH690" s="13">
        <f>IF($T690=1,$AU690,VLOOKUP(U690,'Cortes naturales'!$A$25:$C$29,3,9))</f>
        <v>3</v>
      </c>
      <c r="AI690" s="13" t="b">
        <f t="shared" si="278"/>
        <v>1</v>
      </c>
      <c r="AJ690" s="13">
        <f t="shared" si="279"/>
        <v>0</v>
      </c>
      <c r="AK690" s="28">
        <v>0.81759069605862034</v>
      </c>
      <c r="AL690" s="28">
        <v>57.0093924139832</v>
      </c>
      <c r="AM690" s="28">
        <v>0.54250139369304362</v>
      </c>
      <c r="AN690" s="13">
        <v>2</v>
      </c>
      <c r="AO690" s="33">
        <f t="shared" si="280"/>
        <v>-1</v>
      </c>
      <c r="AP690" s="13">
        <f t="shared" si="290"/>
        <v>54.250139369304364</v>
      </c>
      <c r="AQ690" s="13">
        <f>IFERROR(VLOOKUP(U690,'Cortes naturales'!$E$15:$G$19,3,9),U690)</f>
        <v>4</v>
      </c>
      <c r="AR690" s="28">
        <f t="shared" si="281"/>
        <v>-0.3434295670607217</v>
      </c>
      <c r="AS690" s="13" t="b">
        <f t="shared" si="282"/>
        <v>0</v>
      </c>
      <c r="AT690" s="13" t="str">
        <f t="shared" si="291"/>
        <v>Cambio en corte</v>
      </c>
      <c r="AU690" s="13">
        <v>3</v>
      </c>
      <c r="AV690">
        <f t="shared" si="283"/>
        <v>0</v>
      </c>
      <c r="AW690" s="13">
        <v>0</v>
      </c>
      <c r="AX690" s="13">
        <v>0</v>
      </c>
      <c r="AY690" s="13">
        <v>0</v>
      </c>
      <c r="AZ690" s="13">
        <v>0</v>
      </c>
      <c r="BA690">
        <v>0</v>
      </c>
      <c r="BB690" t="s">
        <v>2841</v>
      </c>
      <c r="BC690">
        <v>6</v>
      </c>
      <c r="BD690" t="s">
        <v>2919</v>
      </c>
      <c r="BE690">
        <v>0</v>
      </c>
      <c r="BF690" s="232" t="s">
        <v>2846</v>
      </c>
      <c r="BG690" s="232" t="s">
        <v>2846</v>
      </c>
      <c r="BH690" s="253">
        <v>53.7</v>
      </c>
      <c r="BI690" s="253">
        <v>22.5501973571306</v>
      </c>
      <c r="BJ690" s="25">
        <v>54.073454430201444</v>
      </c>
      <c r="BK690" t="s">
        <v>376</v>
      </c>
      <c r="BL690">
        <v>2.4220864411044629</v>
      </c>
      <c r="BM690" t="s">
        <v>383</v>
      </c>
      <c r="BN690" s="322">
        <v>26907.128970000002</v>
      </c>
      <c r="BO690" s="322">
        <v>3144.222687</v>
      </c>
      <c r="BP690" s="10">
        <v>6772</v>
      </c>
      <c r="BQ690" s="254">
        <f t="shared" si="284"/>
        <v>3.9732913422917902</v>
      </c>
      <c r="BR690" s="254">
        <f t="shared" si="285"/>
        <v>0.46429750251033669</v>
      </c>
      <c r="BS690" s="25">
        <v>63.205466762841198</v>
      </c>
      <c r="BT690" s="25">
        <v>94.624517091947226</v>
      </c>
      <c r="BU690" s="25">
        <v>32.970905561919302</v>
      </c>
      <c r="BV690" s="25">
        <v>92.530561993688721</v>
      </c>
      <c r="BW690" s="25">
        <v>63.151920671610213</v>
      </c>
      <c r="BX690" s="25">
        <v>70.832862852599106</v>
      </c>
      <c r="BY690" s="25">
        <v>64.458009818560427</v>
      </c>
      <c r="BZ690">
        <v>86</v>
      </c>
      <c r="CA690">
        <v>0</v>
      </c>
      <c r="CB690">
        <v>7</v>
      </c>
      <c r="CC690">
        <v>19566.468363</v>
      </c>
      <c r="CD690" s="10">
        <v>3.3435579999999998</v>
      </c>
      <c r="CE690" s="255">
        <v>1.7088203849411246E-4</v>
      </c>
      <c r="CF690">
        <f>IFERROR(VLOOKUP(CE690,'Rangos amb etnico'!$A$2:$C$6,3,9),"N.D.")</f>
        <v>0</v>
      </c>
      <c r="CG690" s="256">
        <v>9.7276706314327677E-8</v>
      </c>
      <c r="CH690" s="232">
        <v>0</v>
      </c>
      <c r="CI690" s="311">
        <f t="shared" si="292"/>
        <v>0</v>
      </c>
      <c r="CJ690" s="232">
        <f>IFERROR(VLOOKUP(CI690,'Rangos amb etnico'!$A$2:$C$6,3,9),"N.D.")</f>
        <v>0</v>
      </c>
      <c r="CK690" s="311">
        <f t="shared" si="293"/>
        <v>0</v>
      </c>
      <c r="CL690" s="10">
        <v>0</v>
      </c>
      <c r="CM690" s="255">
        <f t="shared" si="294"/>
        <v>0</v>
      </c>
      <c r="CN690" s="232">
        <f>IFERROR(VLOOKUP(CM690,'Rangos amb etnico'!$A$2:$C$6,3,9),"N.D.")</f>
        <v>0</v>
      </c>
      <c r="CO690" s="311">
        <f t="shared" si="295"/>
        <v>0</v>
      </c>
      <c r="CP690">
        <v>0.9679389665424929</v>
      </c>
      <c r="CQ690" t="s">
        <v>2864</v>
      </c>
      <c r="CR690">
        <f t="shared" si="286"/>
        <v>4</v>
      </c>
      <c r="CS690" t="str">
        <f t="shared" si="296"/>
        <v>Candidato</v>
      </c>
      <c r="CT690">
        <v>0</v>
      </c>
      <c r="CU690">
        <v>0</v>
      </c>
      <c r="CV690" s="25">
        <v>42.53594970703125</v>
      </c>
      <c r="CW690" s="25">
        <v>7.3840794563293457</v>
      </c>
      <c r="CX690" s="25">
        <v>50.200298309326172</v>
      </c>
      <c r="CY690" s="25">
        <v>63.567104339599609</v>
      </c>
      <c r="CZ690" s="25">
        <v>40.448444366455078</v>
      </c>
      <c r="DA690" s="25">
        <v>44.020946502685547</v>
      </c>
      <c r="DB690" s="25">
        <v>49.594829559326172</v>
      </c>
      <c r="DC690">
        <v>81</v>
      </c>
      <c r="DD690" s="253" t="s">
        <v>380</v>
      </c>
    </row>
    <row r="691" spans="1:108" hidden="1">
      <c r="A691" s="13">
        <v>73854</v>
      </c>
      <c r="B691" s="13" t="s">
        <v>1818</v>
      </c>
      <c r="C691" s="13" t="s">
        <v>595</v>
      </c>
      <c r="D691" s="13" t="s">
        <v>596</v>
      </c>
      <c r="E691" s="13" t="s">
        <v>1819</v>
      </c>
      <c r="F691" s="14">
        <v>56.015999999999998</v>
      </c>
      <c r="G691" s="13">
        <v>45.78</v>
      </c>
      <c r="H691" s="13">
        <v>57.82</v>
      </c>
      <c r="I691" s="13">
        <v>55.56</v>
      </c>
      <c r="J691" s="14">
        <v>47.155818327990758</v>
      </c>
      <c r="K691" s="14">
        <v>52.746305875092979</v>
      </c>
      <c r="L691" s="14">
        <v>60.564465853881266</v>
      </c>
      <c r="M691" s="14">
        <v>50.966799999999999</v>
      </c>
      <c r="N691" s="14">
        <f t="shared" si="270"/>
        <v>53.793999999999997</v>
      </c>
      <c r="O691" s="14">
        <f t="shared" si="271"/>
        <v>52.858347514241252</v>
      </c>
      <c r="P691" s="14">
        <f t="shared" si="287"/>
        <v>53.326173757120628</v>
      </c>
      <c r="Q691" s="14">
        <v>57.998677149062857</v>
      </c>
      <c r="R691" s="17">
        <f t="shared" si="272"/>
        <v>42.001322850937143</v>
      </c>
      <c r="S691" s="14">
        <f t="shared" si="288"/>
        <v>0.47801190565843432</v>
      </c>
      <c r="T691" s="13">
        <v>0</v>
      </c>
      <c r="U691" s="13">
        <f t="shared" si="289"/>
        <v>25.490545939114021</v>
      </c>
      <c r="V691" s="13">
        <f>IF($T691=1,$AU691,(VLOOKUP(U691,'Cortes naturales'!$A$35:$C$39,3,9)))</f>
        <v>4</v>
      </c>
      <c r="W691" s="13">
        <v>4</v>
      </c>
      <c r="X691" s="14" t="b">
        <f t="shared" si="273"/>
        <v>1</v>
      </c>
      <c r="Y691" s="17">
        <f>IF($T691=1,$AU691,VLOOKUP(U691,'Cortes naturales'!$A$45:$C$49,3,9))</f>
        <v>4</v>
      </c>
      <c r="Z691" s="14">
        <v>52.850447443242203</v>
      </c>
      <c r="AA691" s="14">
        <v>0.48548878788085426</v>
      </c>
      <c r="AB691" s="14">
        <v>25.658299668180451</v>
      </c>
      <c r="AC691" s="13">
        <v>4</v>
      </c>
      <c r="AD691" s="13">
        <f t="shared" si="274"/>
        <v>0</v>
      </c>
      <c r="AE691" s="14">
        <f t="shared" si="275"/>
        <v>0.47572631387842534</v>
      </c>
      <c r="AF691" s="14">
        <f t="shared" si="276"/>
        <v>-7.4768822224199338E-3</v>
      </c>
      <c r="AG691" s="13">
        <f t="shared" si="277"/>
        <v>-0.16775372906642971</v>
      </c>
      <c r="AH691" s="13">
        <f>IF($T691=1,$AU691,VLOOKUP(U691,'Cortes naturales'!$A$25:$C$29,3,9))</f>
        <v>4</v>
      </c>
      <c r="AI691" s="13" t="b">
        <f t="shared" si="278"/>
        <v>1</v>
      </c>
      <c r="AJ691" s="13">
        <f t="shared" si="279"/>
        <v>0</v>
      </c>
      <c r="AK691" s="28">
        <v>0.81759069605862034</v>
      </c>
      <c r="AL691" s="28">
        <v>43.210034112129925</v>
      </c>
      <c r="AM691" s="28">
        <v>0.36988596723159178</v>
      </c>
      <c r="AN691" s="13">
        <v>3</v>
      </c>
      <c r="AO691" s="33">
        <f t="shared" si="280"/>
        <v>-1</v>
      </c>
      <c r="AP691" s="13">
        <f t="shared" si="290"/>
        <v>36.988596723159176</v>
      </c>
      <c r="AQ691" s="13">
        <f>IFERROR(VLOOKUP(U691,'Cortes naturales'!$E$15:$G$19,3,9),U691)</f>
        <v>4</v>
      </c>
      <c r="AR691" s="28">
        <f t="shared" si="281"/>
        <v>-0.33957879040018601</v>
      </c>
      <c r="AS691" s="13" t="b">
        <f t="shared" si="282"/>
        <v>1</v>
      </c>
      <c r="AT691" s="13" t="str">
        <f t="shared" si="291"/>
        <v>Efecto ponderador</v>
      </c>
      <c r="AU691" s="13">
        <v>3</v>
      </c>
      <c r="AV691">
        <f t="shared" si="283"/>
        <v>-1</v>
      </c>
      <c r="AW691" s="13">
        <v>0</v>
      </c>
      <c r="AX691" s="13">
        <v>0</v>
      </c>
      <c r="AY691" s="13">
        <v>0</v>
      </c>
      <c r="AZ691" s="13">
        <v>0</v>
      </c>
      <c r="BA691">
        <v>0</v>
      </c>
      <c r="BB691" t="s">
        <v>2840</v>
      </c>
      <c r="BC691">
        <v>6</v>
      </c>
      <c r="BD691" t="s">
        <v>2919</v>
      </c>
      <c r="BE691">
        <v>1</v>
      </c>
      <c r="BF691" s="232" t="s">
        <v>2846</v>
      </c>
      <c r="BG691" s="232" t="s">
        <v>2845</v>
      </c>
      <c r="BH691" s="253">
        <v>40.4</v>
      </c>
      <c r="BI691" s="253">
        <v>16.459351399378054</v>
      </c>
      <c r="BJ691" s="25">
        <v>32.911428571428573</v>
      </c>
      <c r="BK691" t="s">
        <v>379</v>
      </c>
      <c r="BL691">
        <v>3.2594434862263078</v>
      </c>
      <c r="BM691" t="s">
        <v>383</v>
      </c>
      <c r="BN691" s="322">
        <v>21021.771487000002</v>
      </c>
      <c r="BO691" s="322">
        <v>1212.7400190000001</v>
      </c>
      <c r="BP691" s="10">
        <v>5503</v>
      </c>
      <c r="BQ691" s="254">
        <f t="shared" si="284"/>
        <v>3.8200566031255683</v>
      </c>
      <c r="BR691" s="254">
        <f t="shared" si="285"/>
        <v>0.22037797910230786</v>
      </c>
      <c r="BS691" s="25">
        <v>65.435987721198998</v>
      </c>
      <c r="BT691" s="25">
        <v>86.893664062026787</v>
      </c>
      <c r="BU691" s="25">
        <v>31.93673756955663</v>
      </c>
      <c r="BV691" s="25">
        <v>90.950056784013498</v>
      </c>
      <c r="BW691" s="25">
        <v>51.65305987076453</v>
      </c>
      <c r="BX691" s="25">
        <v>68.804111534198981</v>
      </c>
      <c r="BY691" s="25">
        <v>52.516766281659322</v>
      </c>
      <c r="BZ691">
        <v>18</v>
      </c>
      <c r="CA691">
        <v>0</v>
      </c>
      <c r="CB691">
        <v>7</v>
      </c>
      <c r="CC691">
        <v>19774.217298</v>
      </c>
      <c r="CD691" s="10">
        <v>12068.322498</v>
      </c>
      <c r="CE691" s="255">
        <v>0.61030595123583531</v>
      </c>
      <c r="CF691" t="str">
        <f>IFERROR(VLOOKUP(CE691,'Rangos amb etnico'!$A$2:$C$6,3,9),"N.D.")</f>
        <v>51% - 70%</v>
      </c>
      <c r="CG691" s="256">
        <v>3.511129950024912E-4</v>
      </c>
      <c r="CH691" s="232">
        <v>0</v>
      </c>
      <c r="CI691" s="311">
        <f t="shared" si="292"/>
        <v>0</v>
      </c>
      <c r="CJ691" s="232">
        <f>IFERROR(VLOOKUP(CI691,'Rangos amb etnico'!$A$2:$C$6,3,9),"N.D.")</f>
        <v>0</v>
      </c>
      <c r="CK691" s="311">
        <f t="shared" si="293"/>
        <v>0</v>
      </c>
      <c r="CL691" s="10">
        <v>0</v>
      </c>
      <c r="CM691" s="255">
        <f t="shared" si="294"/>
        <v>0</v>
      </c>
      <c r="CN691" s="232">
        <f>IFERROR(VLOOKUP(CM691,'Rangos amb etnico'!$A$2:$C$6,3,9),"N.D.")</f>
        <v>0</v>
      </c>
      <c r="CO691" s="311">
        <f t="shared" si="295"/>
        <v>0</v>
      </c>
      <c r="CP691">
        <v>0.97098264917789179</v>
      </c>
      <c r="CQ691" t="s">
        <v>2864</v>
      </c>
      <c r="CR691">
        <f t="shared" si="286"/>
        <v>1</v>
      </c>
      <c r="CS691" t="str">
        <f t="shared" si="296"/>
        <v>No es Candidato</v>
      </c>
      <c r="CT691">
        <v>0</v>
      </c>
      <c r="CU691">
        <v>0</v>
      </c>
      <c r="CV691" s="25">
        <v>39.468544006347663</v>
      </c>
      <c r="CW691" s="25">
        <v>26.841876983642582</v>
      </c>
      <c r="CX691" s="25">
        <v>49.320610046386719</v>
      </c>
      <c r="CY691" s="25">
        <v>50.827613830566413</v>
      </c>
      <c r="CZ691" s="25">
        <v>37.679534912109382</v>
      </c>
      <c r="DA691" s="25">
        <v>34.363430023193359</v>
      </c>
      <c r="DB691" s="25">
        <v>37.778190612792969</v>
      </c>
      <c r="DC691">
        <v>31</v>
      </c>
      <c r="DD691" s="253" t="s">
        <v>380</v>
      </c>
    </row>
    <row r="692" spans="1:108" hidden="1">
      <c r="A692" s="13">
        <v>73200</v>
      </c>
      <c r="B692" s="13" t="s">
        <v>1820</v>
      </c>
      <c r="C692" s="13" t="s">
        <v>595</v>
      </c>
      <c r="D692" s="13" t="s">
        <v>596</v>
      </c>
      <c r="E692" s="13" t="s">
        <v>1821</v>
      </c>
      <c r="F692" s="14">
        <v>60.369266666666697</v>
      </c>
      <c r="G692" s="13">
        <v>60.38</v>
      </c>
      <c r="H692" s="13">
        <v>58.48</v>
      </c>
      <c r="I692" s="13">
        <v>64.84</v>
      </c>
      <c r="J692" s="14">
        <v>52.70586126109508</v>
      </c>
      <c r="K692" s="14">
        <v>70.255814243489056</v>
      </c>
      <c r="L692" s="14">
        <v>66.37940627110882</v>
      </c>
      <c r="M692" s="14">
        <v>54.754600000000003</v>
      </c>
      <c r="N692" s="14">
        <f t="shared" si="270"/>
        <v>61.017316666666673</v>
      </c>
      <c r="O692" s="14">
        <f t="shared" si="271"/>
        <v>61.023920443923238</v>
      </c>
      <c r="P692" s="14">
        <f t="shared" si="287"/>
        <v>61.020618555294959</v>
      </c>
      <c r="Q692" s="14">
        <v>57.921447093701929</v>
      </c>
      <c r="R692" s="17">
        <f t="shared" si="272"/>
        <v>42.078552906298071</v>
      </c>
      <c r="S692" s="14">
        <f t="shared" si="288"/>
        <v>0.47870697615668267</v>
      </c>
      <c r="T692" s="13">
        <v>0</v>
      </c>
      <c r="U692" s="13">
        <f t="shared" si="289"/>
        <v>29.210995791815613</v>
      </c>
      <c r="V692" s="13">
        <f>IF($T692=1,$AU692,(VLOOKUP(U692,'Cortes naturales'!$A$35:$C$39,3,9)))</f>
        <v>4</v>
      </c>
      <c r="W692" s="13">
        <v>4</v>
      </c>
      <c r="X692" s="14" t="b">
        <f t="shared" si="273"/>
        <v>1</v>
      </c>
      <c r="Y692" s="17">
        <f>IF($T692=1,$AU692,VLOOKUP(U692,'Cortes naturales'!$A$45:$C$49,3,9))</f>
        <v>3</v>
      </c>
      <c r="Z692" s="14">
        <v>60.462083765346861</v>
      </c>
      <c r="AA692" s="14">
        <v>0.48574372410876121</v>
      </c>
      <c r="AB692" s="14">
        <v>29.369077735555457</v>
      </c>
      <c r="AC692" s="13">
        <v>3</v>
      </c>
      <c r="AD692" s="13">
        <f t="shared" si="274"/>
        <v>0</v>
      </c>
      <c r="AE692" s="14">
        <f t="shared" si="275"/>
        <v>0.55853478994809791</v>
      </c>
      <c r="AF692" s="14">
        <f t="shared" si="276"/>
        <v>-7.036747952078537E-3</v>
      </c>
      <c r="AG692" s="13">
        <f t="shared" si="277"/>
        <v>-0.15808194373984463</v>
      </c>
      <c r="AH692" s="13">
        <f>IF($T692=1,$AU692,VLOOKUP(U692,'Cortes naturales'!$A$25:$C$29,3,9))</f>
        <v>3</v>
      </c>
      <c r="AI692" s="13" t="b">
        <f t="shared" si="278"/>
        <v>1</v>
      </c>
      <c r="AJ692" s="13">
        <f t="shared" si="279"/>
        <v>0</v>
      </c>
      <c r="AK692" s="28">
        <v>0.81759069605862034</v>
      </c>
      <c r="AL692" s="28">
        <v>49.433237150864549</v>
      </c>
      <c r="AM692" s="28">
        <v>0.4477316773718315</v>
      </c>
      <c r="AN692" s="13">
        <v>3</v>
      </c>
      <c r="AO692" s="33">
        <f t="shared" si="280"/>
        <v>0</v>
      </c>
      <c r="AP692" s="13">
        <f t="shared" si="290"/>
        <v>44.773167737183151</v>
      </c>
      <c r="AQ692" s="13">
        <f>IFERROR(VLOOKUP(U692,'Cortes naturales'!$E$15:$G$19,3,9),U692)</f>
        <v>4</v>
      </c>
      <c r="AR692" s="28">
        <f t="shared" si="281"/>
        <v>-0.33888371990193766</v>
      </c>
      <c r="AS692" s="13" t="b">
        <f t="shared" si="282"/>
        <v>0</v>
      </c>
      <c r="AT692" s="13">
        <f t="shared" si="291"/>
        <v>0</v>
      </c>
      <c r="AU692" s="13">
        <v>3</v>
      </c>
      <c r="AV692">
        <f t="shared" si="283"/>
        <v>0</v>
      </c>
      <c r="AW692" s="13">
        <v>0</v>
      </c>
      <c r="AX692" s="13">
        <v>0</v>
      </c>
      <c r="AY692" s="13">
        <v>0</v>
      </c>
      <c r="AZ692" s="13">
        <v>0</v>
      </c>
      <c r="BA692">
        <v>0</v>
      </c>
      <c r="BB692" t="s">
        <v>2841</v>
      </c>
      <c r="BC692">
        <v>6</v>
      </c>
      <c r="BD692" t="s">
        <v>2919</v>
      </c>
      <c r="BE692">
        <v>1</v>
      </c>
      <c r="BF692" s="232" t="s">
        <v>2846</v>
      </c>
      <c r="BG692" s="232" t="s">
        <v>2846</v>
      </c>
      <c r="BH692" s="253">
        <v>35.799999999999997</v>
      </c>
      <c r="BI692" s="253">
        <v>15.730486991327552</v>
      </c>
      <c r="BJ692" s="25">
        <v>50.173333333333325</v>
      </c>
      <c r="BK692" t="s">
        <v>376</v>
      </c>
      <c r="BL692">
        <v>1.0665970455214635</v>
      </c>
      <c r="BM692" t="s">
        <v>383</v>
      </c>
      <c r="BN692" s="322">
        <v>20134.695503999999</v>
      </c>
      <c r="BO692" s="322">
        <v>5931.8903179999998</v>
      </c>
      <c r="BP692" s="10">
        <v>8536</v>
      </c>
      <c r="BQ692" s="254">
        <f t="shared" si="284"/>
        <v>2.358797505154639</v>
      </c>
      <c r="BR692" s="254">
        <f t="shared" si="285"/>
        <v>0.6949262321930646</v>
      </c>
      <c r="BS692" s="25">
        <v>56.28888093913136</v>
      </c>
      <c r="BT692" s="25">
        <v>71.90848820993439</v>
      </c>
      <c r="BU692" s="25">
        <v>30.497910773830029</v>
      </c>
      <c r="BV692" s="25">
        <v>83.08063163319764</v>
      </c>
      <c r="BW692" s="25">
        <v>54.669108135575087</v>
      </c>
      <c r="BX692" s="25">
        <v>60.443977889023358</v>
      </c>
      <c r="BY692" s="25">
        <v>54.940198884993251</v>
      </c>
      <c r="BZ692">
        <v>55</v>
      </c>
      <c r="CA692">
        <v>0</v>
      </c>
      <c r="CB692">
        <v>7</v>
      </c>
      <c r="CC692">
        <v>34342.282875999997</v>
      </c>
      <c r="CD692" s="10">
        <v>17579.284984999998</v>
      </c>
      <c r="CE692" s="255">
        <v>0.5118845782172865</v>
      </c>
      <c r="CF692" t="str">
        <f>IFERROR(VLOOKUP(CE692,'Rangos amb etnico'!$A$2:$C$6,3,9),"N.D.")</f>
        <v>31% - 50%</v>
      </c>
      <c r="CG692" s="256">
        <v>5.1144766823297671E-4</v>
      </c>
      <c r="CH692" s="232">
        <v>0</v>
      </c>
      <c r="CI692" s="311">
        <f t="shared" si="292"/>
        <v>0</v>
      </c>
      <c r="CJ692" s="232">
        <f>IFERROR(VLOOKUP(CI692,'Rangos amb etnico'!$A$2:$C$6,3,9),"N.D.")</f>
        <v>0</v>
      </c>
      <c r="CK692" s="311">
        <f t="shared" si="293"/>
        <v>0</v>
      </c>
      <c r="CL692" s="10">
        <v>0</v>
      </c>
      <c r="CM692" s="255">
        <f t="shared" si="294"/>
        <v>0</v>
      </c>
      <c r="CN692" s="232">
        <f>IFERROR(VLOOKUP(CM692,'Rangos amb etnico'!$A$2:$C$6,3,9),"N.D.")</f>
        <v>0</v>
      </c>
      <c r="CO692" s="311">
        <f t="shared" si="295"/>
        <v>0</v>
      </c>
      <c r="CP692">
        <v>0.87181882823156065</v>
      </c>
      <c r="CQ692" t="s">
        <v>2864</v>
      </c>
      <c r="CR692">
        <f t="shared" si="286"/>
        <v>2</v>
      </c>
      <c r="CS692" t="str">
        <f t="shared" si="296"/>
        <v>No es Candidato</v>
      </c>
      <c r="CT692">
        <v>0</v>
      </c>
      <c r="CU692">
        <v>0</v>
      </c>
      <c r="CV692" s="25">
        <v>44.740554809570313</v>
      </c>
      <c r="CW692" s="25">
        <v>28.357402801513668</v>
      </c>
      <c r="CX692" s="25">
        <v>53.247776031494141</v>
      </c>
      <c r="CY692" s="25">
        <v>62.520553588867188</v>
      </c>
      <c r="CZ692" s="25">
        <v>27.227571487426761</v>
      </c>
      <c r="DA692" s="25">
        <v>31.84876823425293</v>
      </c>
      <c r="DB692" s="25">
        <v>65.241256713867188</v>
      </c>
      <c r="DC692">
        <v>197</v>
      </c>
      <c r="DD692" s="253" t="s">
        <v>380</v>
      </c>
    </row>
    <row r="693" spans="1:108" hidden="1">
      <c r="A693" s="13">
        <v>41378</v>
      </c>
      <c r="B693" s="13" t="s">
        <v>1822</v>
      </c>
      <c r="C693" s="13" t="s">
        <v>676</v>
      </c>
      <c r="D693" s="13" t="s">
        <v>677</v>
      </c>
      <c r="E693" s="13" t="s">
        <v>1823</v>
      </c>
      <c r="F693" s="14">
        <v>64.870666666666693</v>
      </c>
      <c r="G693" s="13">
        <v>75.17</v>
      </c>
      <c r="H693" s="13">
        <v>49.53</v>
      </c>
      <c r="I693" s="13">
        <v>61.87</v>
      </c>
      <c r="J693" s="14">
        <v>56.508845123119748</v>
      </c>
      <c r="K693" s="14">
        <v>52.539217903035869</v>
      </c>
      <c r="L693" s="14">
        <v>67.514069996933927</v>
      </c>
      <c r="M693" s="14">
        <v>53.195700000000002</v>
      </c>
      <c r="N693" s="14">
        <f t="shared" si="270"/>
        <v>62.860166666666679</v>
      </c>
      <c r="O693" s="14">
        <f t="shared" si="271"/>
        <v>57.439458255772379</v>
      </c>
      <c r="P693" s="14">
        <f t="shared" si="287"/>
        <v>60.149812461219526</v>
      </c>
      <c r="Q693" s="14">
        <v>57.71365025576538</v>
      </c>
      <c r="R693" s="17">
        <f t="shared" si="272"/>
        <v>42.28634974423462</v>
      </c>
      <c r="S693" s="14">
        <f t="shared" si="288"/>
        <v>0.48057714769811155</v>
      </c>
      <c r="T693" s="13">
        <v>0</v>
      </c>
      <c r="U693" s="13">
        <f t="shared" si="289"/>
        <v>28.906625307189206</v>
      </c>
      <c r="V693" s="13">
        <f>IF($T693=1,$AU693,(VLOOKUP(U693,'Cortes naturales'!$A$35:$C$39,3,9)))</f>
        <v>4</v>
      </c>
      <c r="W693" s="13">
        <v>4</v>
      </c>
      <c r="X693" s="14" t="b">
        <f t="shared" si="273"/>
        <v>1</v>
      </c>
      <c r="Y693" s="17">
        <f>IF($T693=1,$AU693,VLOOKUP(U693,'Cortes naturales'!$A$45:$C$49,3,9))</f>
        <v>3</v>
      </c>
      <c r="Z693" s="14">
        <v>60.533980319417196</v>
      </c>
      <c r="AA693" s="14">
        <v>0.48728848964055593</v>
      </c>
      <c r="AB693" s="14">
        <v>29.497511841779943</v>
      </c>
      <c r="AC693" s="13">
        <v>3</v>
      </c>
      <c r="AD693" s="13">
        <f t="shared" si="274"/>
        <v>0</v>
      </c>
      <c r="AE693" s="14">
        <f t="shared" si="275"/>
        <v>-0.38416785819767085</v>
      </c>
      <c r="AF693" s="14">
        <f t="shared" si="276"/>
        <v>-6.7113419424443821E-3</v>
      </c>
      <c r="AG693" s="13">
        <f t="shared" si="277"/>
        <v>-0.59088653459073726</v>
      </c>
      <c r="AH693" s="13">
        <f>IF($T693=1,$AU693,VLOOKUP(U693,'Cortes naturales'!$A$25:$C$29,3,9))</f>
        <v>3</v>
      </c>
      <c r="AI693" s="13" t="b">
        <f t="shared" si="278"/>
        <v>1</v>
      </c>
      <c r="AJ693" s="13">
        <f t="shared" si="279"/>
        <v>0</v>
      </c>
      <c r="AK693" s="28">
        <v>0.81759069605862034</v>
      </c>
      <c r="AL693" s="28">
        <v>49.492019104551133</v>
      </c>
      <c r="AM693" s="28">
        <v>0.44846697765043098</v>
      </c>
      <c r="AN693" s="13">
        <v>3</v>
      </c>
      <c r="AO693" s="33">
        <f t="shared" si="280"/>
        <v>0</v>
      </c>
      <c r="AP693" s="13">
        <f t="shared" si="290"/>
        <v>44.846697765043096</v>
      </c>
      <c r="AQ693" s="13">
        <f>IFERROR(VLOOKUP(U693,'Cortes naturales'!$E$15:$G$19,3,9),U693)</f>
        <v>4</v>
      </c>
      <c r="AR693" s="28">
        <f t="shared" si="281"/>
        <v>-0.33701354836050879</v>
      </c>
      <c r="AS693" s="13" t="b">
        <f t="shared" si="282"/>
        <v>0</v>
      </c>
      <c r="AT693" s="13">
        <f t="shared" si="291"/>
        <v>0</v>
      </c>
      <c r="AU693" s="13">
        <v>3</v>
      </c>
      <c r="AV693">
        <f t="shared" si="283"/>
        <v>0</v>
      </c>
      <c r="AW693" s="13">
        <v>0</v>
      </c>
      <c r="AX693" s="13">
        <v>0</v>
      </c>
      <c r="AY693" s="13">
        <v>0</v>
      </c>
      <c r="AZ693" s="13">
        <v>0</v>
      </c>
      <c r="BA693">
        <v>0</v>
      </c>
      <c r="BB693" t="s">
        <v>2840</v>
      </c>
      <c r="BC693">
        <v>6</v>
      </c>
      <c r="BD693" t="s">
        <v>2919</v>
      </c>
      <c r="BE693">
        <v>0</v>
      </c>
      <c r="BF693" s="232" t="s">
        <v>2846</v>
      </c>
      <c r="BG693" s="232" t="s">
        <v>2845</v>
      </c>
      <c r="BH693" s="253">
        <v>44</v>
      </c>
      <c r="BI693" s="253">
        <v>19.438877755511022</v>
      </c>
      <c r="BJ693" s="25">
        <v>0</v>
      </c>
      <c r="BK693" t="s">
        <v>381</v>
      </c>
      <c r="BL693">
        <v>2.8217833983344534</v>
      </c>
      <c r="BM693" t="s">
        <v>383</v>
      </c>
      <c r="BN693" s="322">
        <v>30347.352244999998</v>
      </c>
      <c r="BO693" s="322">
        <v>2450.4062370000001</v>
      </c>
      <c r="BP693" s="10">
        <v>13876</v>
      </c>
      <c r="BQ693" s="254">
        <f t="shared" si="284"/>
        <v>2.1870389337705389</v>
      </c>
      <c r="BR693" s="254">
        <f t="shared" si="285"/>
        <v>0.17659312748630732</v>
      </c>
      <c r="BS693" s="25">
        <v>63.733901211741312</v>
      </c>
      <c r="BT693" s="25">
        <v>97.58865333333334</v>
      </c>
      <c r="BU693" s="25">
        <v>42.149361982382473</v>
      </c>
      <c r="BV693" s="25">
        <v>96.105109194028429</v>
      </c>
      <c r="BW693" s="25">
        <v>54.700869085391957</v>
      </c>
      <c r="BX693" s="25">
        <v>74.894256430371385</v>
      </c>
      <c r="BY693" s="25">
        <v>56.074425235854171</v>
      </c>
      <c r="BZ693">
        <v>54</v>
      </c>
      <c r="CA693">
        <v>0</v>
      </c>
      <c r="CB693">
        <v>7</v>
      </c>
      <c r="CC693">
        <v>35645.750681999998</v>
      </c>
      <c r="CD693" s="10">
        <v>29668.694388</v>
      </c>
      <c r="CE693" s="255">
        <v>0.83232065029792668</v>
      </c>
      <c r="CF693" t="str">
        <f>IFERROR(VLOOKUP(CE693,'Rangos amb etnico'!$A$2:$C$6,3,9),"N.D.")</f>
        <v>71% - 100%</v>
      </c>
      <c r="CG693" s="256">
        <v>8.6317416079249051E-4</v>
      </c>
      <c r="CH693" s="232">
        <v>1395.5247240000001</v>
      </c>
      <c r="CI693" s="311">
        <f t="shared" si="292"/>
        <v>3.9149820029030752E-2</v>
      </c>
      <c r="CJ693" s="232" t="str">
        <f>IFERROR(VLOOKUP(CI693,'Rangos amb etnico'!$A$2:$C$6,3,9),"N.D.")</f>
        <v>0,1% - 30%</v>
      </c>
      <c r="CK693" s="311">
        <f t="shared" si="293"/>
        <v>5.5411468322946797E-5</v>
      </c>
      <c r="CL693" s="10">
        <v>0</v>
      </c>
      <c r="CM693" s="255">
        <f t="shared" si="294"/>
        <v>0</v>
      </c>
      <c r="CN693" s="232">
        <f>IFERROR(VLOOKUP(CM693,'Rangos amb etnico'!$A$2:$C$6,3,9),"N.D.")</f>
        <v>0</v>
      </c>
      <c r="CO693" s="311">
        <f t="shared" si="295"/>
        <v>0</v>
      </c>
      <c r="CP693">
        <v>0.96443444367706532</v>
      </c>
      <c r="CQ693" t="s">
        <v>2864</v>
      </c>
      <c r="CR693">
        <f t="shared" si="286"/>
        <v>2</v>
      </c>
      <c r="CS693" t="str">
        <f t="shared" si="296"/>
        <v>No es Candidato</v>
      </c>
      <c r="CT693">
        <v>0</v>
      </c>
      <c r="CU693">
        <v>0</v>
      </c>
      <c r="CV693" s="25">
        <v>49.990066528320313</v>
      </c>
      <c r="CW693" s="25">
        <v>13.75537204742432</v>
      </c>
      <c r="CX693" s="25">
        <v>46.597805023193359</v>
      </c>
      <c r="CY693" s="25">
        <v>78.254707336425781</v>
      </c>
      <c r="CZ693" s="25">
        <v>29.733573913574219</v>
      </c>
      <c r="DA693" s="25">
        <v>60.062656402587891</v>
      </c>
      <c r="DB693" s="25">
        <v>71.536277770996094</v>
      </c>
      <c r="DC693">
        <v>1236</v>
      </c>
      <c r="DD693" s="253" t="s">
        <v>380</v>
      </c>
    </row>
    <row r="694" spans="1:108" hidden="1">
      <c r="A694" s="13">
        <v>25326</v>
      </c>
      <c r="B694" s="13" t="s">
        <v>1824</v>
      </c>
      <c r="C694" s="13" t="s">
        <v>461</v>
      </c>
      <c r="D694" s="13" t="s">
        <v>462</v>
      </c>
      <c r="E694" s="13" t="s">
        <v>1825</v>
      </c>
      <c r="F694" s="14">
        <v>64.511200000000002</v>
      </c>
      <c r="G694" s="13">
        <v>62.68</v>
      </c>
      <c r="H694" s="13">
        <v>74.099999999999994</v>
      </c>
      <c r="I694" s="13">
        <v>40.98</v>
      </c>
      <c r="J694" s="14">
        <v>67.850457012494374</v>
      </c>
      <c r="K694" s="14">
        <v>65.984599843943982</v>
      </c>
      <c r="L694" s="14">
        <v>64.21487774089529</v>
      </c>
      <c r="M694" s="14">
        <v>55.9756</v>
      </c>
      <c r="N694" s="14">
        <f t="shared" si="270"/>
        <v>60.567799999999998</v>
      </c>
      <c r="O694" s="14">
        <f t="shared" si="271"/>
        <v>63.506383649333415</v>
      </c>
      <c r="P694" s="14">
        <f t="shared" si="287"/>
        <v>62.037091824666703</v>
      </c>
      <c r="Q694" s="14">
        <v>59.163874730753093</v>
      </c>
      <c r="R694" s="17">
        <f t="shared" si="272"/>
        <v>40.836125269246907</v>
      </c>
      <c r="S694" s="14">
        <f t="shared" si="288"/>
        <v>0.46752512742322216</v>
      </c>
      <c r="T694" s="13">
        <v>0</v>
      </c>
      <c r="U694" s="13">
        <f t="shared" si="289"/>
        <v>29.003899260293434</v>
      </c>
      <c r="V694" s="13">
        <f>IF($T694=1,$AU694,(VLOOKUP(U694,'Cortes naturales'!$A$35:$C$39,3,9)))</f>
        <v>4</v>
      </c>
      <c r="W694" s="13">
        <v>4</v>
      </c>
      <c r="X694" s="14" t="b">
        <f t="shared" si="273"/>
        <v>1</v>
      </c>
      <c r="Y694" s="17">
        <f>IF($T694=1,$AU694,VLOOKUP(U694,'Cortes naturales'!$A$45:$C$49,3,9))</f>
        <v>3</v>
      </c>
      <c r="Z694" s="14">
        <v>64.004007122295107</v>
      </c>
      <c r="AA694" s="14">
        <v>0.48488283504248886</v>
      </c>
      <c r="AB694" s="14">
        <v>31.034444427538102</v>
      </c>
      <c r="AC694" s="13">
        <v>3</v>
      </c>
      <c r="AD694" s="13">
        <f t="shared" si="274"/>
        <v>0</v>
      </c>
      <c r="AE694" s="14">
        <f t="shared" si="275"/>
        <v>-1.9669152976284039</v>
      </c>
      <c r="AF694" s="14">
        <f t="shared" si="276"/>
        <v>-1.7357707619266693E-2</v>
      </c>
      <c r="AG694" s="13">
        <f t="shared" si="277"/>
        <v>-2.0305451672446679</v>
      </c>
      <c r="AH694" s="13">
        <f>IF($T694=1,$AU694,VLOOKUP(U694,'Cortes naturales'!$A$25:$C$29,3,9))</f>
        <v>3</v>
      </c>
      <c r="AI694" s="13" t="b">
        <f t="shared" si="278"/>
        <v>1</v>
      </c>
      <c r="AJ694" s="13">
        <f t="shared" si="279"/>
        <v>0</v>
      </c>
      <c r="AK694" s="28">
        <v>0.81759069605862034</v>
      </c>
      <c r="AL694" s="28">
        <v>52.329080733658152</v>
      </c>
      <c r="AM694" s="28">
        <v>0.48395562808571674</v>
      </c>
      <c r="AN694" s="13">
        <v>2</v>
      </c>
      <c r="AO694" s="33">
        <f t="shared" si="280"/>
        <v>-1</v>
      </c>
      <c r="AP694" s="13">
        <f t="shared" si="290"/>
        <v>48.395562808571675</v>
      </c>
      <c r="AQ694" s="13">
        <f>IFERROR(VLOOKUP(U694,'Cortes naturales'!$E$15:$G$19,3,9),U694)</f>
        <v>4</v>
      </c>
      <c r="AR694" s="28">
        <f t="shared" si="281"/>
        <v>-0.35006556863539817</v>
      </c>
      <c r="AS694" s="13" t="b">
        <f t="shared" si="282"/>
        <v>0</v>
      </c>
      <c r="AT694" s="13" t="str">
        <f t="shared" si="291"/>
        <v>Cambio en corte</v>
      </c>
      <c r="AU694" s="13">
        <v>3</v>
      </c>
      <c r="AV694">
        <f t="shared" si="283"/>
        <v>0</v>
      </c>
      <c r="AW694" s="13">
        <v>0</v>
      </c>
      <c r="AX694" s="13">
        <v>0</v>
      </c>
      <c r="AY694" s="13">
        <v>0</v>
      </c>
      <c r="AZ694" s="13">
        <v>0</v>
      </c>
      <c r="BA694">
        <v>0</v>
      </c>
      <c r="BB694" t="s">
        <v>2840</v>
      </c>
      <c r="BC694">
        <v>6</v>
      </c>
      <c r="BD694" s="184" t="s">
        <v>2917</v>
      </c>
      <c r="BE694">
        <v>0</v>
      </c>
      <c r="BF694" s="232" t="s">
        <v>2846</v>
      </c>
      <c r="BG694" s="232" t="s">
        <v>2846</v>
      </c>
      <c r="BH694" s="253">
        <v>33.1</v>
      </c>
      <c r="BI694" s="253">
        <v>7.7949552481692432</v>
      </c>
      <c r="BJ694" s="25">
        <v>3.9858333333333333</v>
      </c>
      <c r="BK694" t="s">
        <v>381</v>
      </c>
      <c r="BL694">
        <v>0</v>
      </c>
      <c r="BM694" t="s">
        <v>377</v>
      </c>
      <c r="BN694" s="322">
        <v>15568.406462999999</v>
      </c>
      <c r="BO694" s="322">
        <v>5687.1779470000001</v>
      </c>
      <c r="BP694" s="10">
        <v>6391</v>
      </c>
      <c r="BQ694" s="254">
        <f t="shared" si="284"/>
        <v>2.4359891195431076</v>
      </c>
      <c r="BR694" s="254">
        <f t="shared" si="285"/>
        <v>0.88987293803786582</v>
      </c>
      <c r="BS694" s="25">
        <v>52.895440811395559</v>
      </c>
      <c r="BT694" s="25">
        <v>83.580549743562997</v>
      </c>
      <c r="BU694" s="25">
        <v>46.178333333333327</v>
      </c>
      <c r="BV694" s="25">
        <v>86.950204175509839</v>
      </c>
      <c r="BW694" s="25">
        <v>70.348027603432911</v>
      </c>
      <c r="BX694" s="25">
        <v>67.401132015950438</v>
      </c>
      <c r="BY694" s="25">
        <v>71.044179416291612</v>
      </c>
      <c r="BZ694">
        <v>87</v>
      </c>
      <c r="CA694">
        <v>0</v>
      </c>
      <c r="CB694">
        <v>7</v>
      </c>
      <c r="CC694">
        <v>25199.787784</v>
      </c>
      <c r="CD694" s="10">
        <v>16239.067392999999</v>
      </c>
      <c r="CE694" s="255">
        <v>0.6444128630047673</v>
      </c>
      <c r="CF694" t="str">
        <f>IFERROR(VLOOKUP(CE694,'Rangos amb etnico'!$A$2:$C$6,3,9),"N.D.")</f>
        <v>51% - 70%</v>
      </c>
      <c r="CG694" s="256">
        <v>4.7245568631004334E-4</v>
      </c>
      <c r="CH694" s="232">
        <v>0</v>
      </c>
      <c r="CI694" s="311">
        <f t="shared" si="292"/>
        <v>0</v>
      </c>
      <c r="CJ694" s="232">
        <f>IFERROR(VLOOKUP(CI694,'Rangos amb etnico'!$A$2:$C$6,3,9),"N.D.")</f>
        <v>0</v>
      </c>
      <c r="CK694" s="311">
        <f t="shared" si="293"/>
        <v>0</v>
      </c>
      <c r="CL694" s="10">
        <v>0</v>
      </c>
      <c r="CM694" s="255">
        <f t="shared" si="294"/>
        <v>0</v>
      </c>
      <c r="CN694" s="232">
        <f>IFERROR(VLOOKUP(CM694,'Rangos amb etnico'!$A$2:$C$6,3,9),"N.D.")</f>
        <v>0</v>
      </c>
      <c r="CO694" s="311">
        <f t="shared" si="295"/>
        <v>0</v>
      </c>
      <c r="CP694">
        <v>0.90752299141202308</v>
      </c>
      <c r="CQ694" t="s">
        <v>2864</v>
      </c>
      <c r="CR694">
        <f t="shared" si="286"/>
        <v>2</v>
      </c>
      <c r="CS694" t="str">
        <f t="shared" si="296"/>
        <v>No es Candidato</v>
      </c>
      <c r="CT694">
        <v>0</v>
      </c>
      <c r="CU694">
        <v>0</v>
      </c>
      <c r="CV694" s="25">
        <v>57.741256713867188</v>
      </c>
      <c r="CW694" s="25">
        <v>35.272350311279297</v>
      </c>
      <c r="CX694" s="25">
        <v>58.318130493164063</v>
      </c>
      <c r="CY694" s="25">
        <v>66.962821960449219</v>
      </c>
      <c r="CZ694" s="25">
        <v>54.424114227294922</v>
      </c>
      <c r="DA694" s="25">
        <v>64.112861633300781</v>
      </c>
      <c r="DB694" s="25">
        <v>67.357261657714844</v>
      </c>
      <c r="DC694">
        <v>46</v>
      </c>
      <c r="DD694" s="253" t="s">
        <v>380</v>
      </c>
    </row>
    <row r="695" spans="1:108" hidden="1">
      <c r="A695" s="13">
        <v>50270</v>
      </c>
      <c r="B695" s="13" t="s">
        <v>1826</v>
      </c>
      <c r="C695" s="13" t="s">
        <v>605</v>
      </c>
      <c r="D695" s="13" t="s">
        <v>606</v>
      </c>
      <c r="E695" s="13" t="s">
        <v>1827</v>
      </c>
      <c r="F695" s="14">
        <v>57.080100000000002</v>
      </c>
      <c r="G695" s="13">
        <v>60.98</v>
      </c>
      <c r="H695" s="13">
        <v>61.37</v>
      </c>
      <c r="I695" s="13">
        <v>58.17</v>
      </c>
      <c r="J695" s="14">
        <v>54.562844420234342</v>
      </c>
      <c r="K695" s="14">
        <v>59.014038144837031</v>
      </c>
      <c r="L695" s="14">
        <v>54.723163620892791</v>
      </c>
      <c r="M695" s="14">
        <v>53.213799999999999</v>
      </c>
      <c r="N695" s="14">
        <f t="shared" si="270"/>
        <v>59.400024999999999</v>
      </c>
      <c r="O695" s="14">
        <f t="shared" si="271"/>
        <v>55.378461546491039</v>
      </c>
      <c r="P695" s="14">
        <f t="shared" si="287"/>
        <v>57.389243273245519</v>
      </c>
      <c r="Q695" s="14">
        <v>59.002127640037806</v>
      </c>
      <c r="R695" s="17">
        <f t="shared" si="272"/>
        <v>40.997872359962194</v>
      </c>
      <c r="S695" s="14">
        <f t="shared" si="288"/>
        <v>0.46898085123965982</v>
      </c>
      <c r="T695" s="13">
        <v>0</v>
      </c>
      <c r="U695" s="13">
        <f t="shared" si="289"/>
        <v>26.914456162286605</v>
      </c>
      <c r="V695" s="13">
        <f>IF($T695=1,$AU695,(VLOOKUP(U695,'Cortes naturales'!$A$35:$C$39,3,9)))</f>
        <v>4</v>
      </c>
      <c r="W695" s="13">
        <v>4</v>
      </c>
      <c r="X695" s="14" t="b">
        <f t="shared" si="273"/>
        <v>1</v>
      </c>
      <c r="Y695" s="17">
        <f>IF($T695=1,$AU695,VLOOKUP(U695,'Cortes naturales'!$A$45:$C$49,3,9))</f>
        <v>4</v>
      </c>
      <c r="Z695" s="14">
        <v>59.887558510356939</v>
      </c>
      <c r="AA695" s="14">
        <v>0.48503164143495758</v>
      </c>
      <c r="AB695" s="14">
        <v>29.047360805810488</v>
      </c>
      <c r="AC695" s="13">
        <v>3</v>
      </c>
      <c r="AD695" s="13">
        <f t="shared" si="274"/>
        <v>-1</v>
      </c>
      <c r="AE695" s="14">
        <f t="shared" si="275"/>
        <v>-2.4983152371114201</v>
      </c>
      <c r="AF695" s="14">
        <f t="shared" si="276"/>
        <v>-1.6050790195297759E-2</v>
      </c>
      <c r="AG695" s="13">
        <f t="shared" si="277"/>
        <v>-2.132904643523883</v>
      </c>
      <c r="AH695" s="13">
        <f>IF($T695=1,$AU695,VLOOKUP(U695,'Cortes naturales'!$A$25:$C$29,3,9))</f>
        <v>4</v>
      </c>
      <c r="AI695" s="13" t="b">
        <f t="shared" si="278"/>
        <v>1</v>
      </c>
      <c r="AJ695" s="13" t="str">
        <f t="shared" si="279"/>
        <v>Efecto ponderador</v>
      </c>
      <c r="AK695" s="28">
        <v>0.81759069605862034</v>
      </c>
      <c r="AL695" s="28">
        <v>48.963510647734083</v>
      </c>
      <c r="AM695" s="28">
        <v>0.44185589395607494</v>
      </c>
      <c r="AN695" s="13">
        <v>3</v>
      </c>
      <c r="AO695" s="33">
        <f t="shared" si="280"/>
        <v>-1</v>
      </c>
      <c r="AP695" s="13">
        <f t="shared" si="290"/>
        <v>44.185589395607494</v>
      </c>
      <c r="AQ695" s="13">
        <f>IFERROR(VLOOKUP(U695,'Cortes naturales'!$E$15:$G$19,3,9),U695)</f>
        <v>4</v>
      </c>
      <c r="AR695" s="28">
        <f t="shared" si="281"/>
        <v>-0.34860984481896051</v>
      </c>
      <c r="AS695" s="13" t="b">
        <f t="shared" si="282"/>
        <v>1</v>
      </c>
      <c r="AT695" s="13" t="str">
        <f t="shared" si="291"/>
        <v>Efecto ponderador</v>
      </c>
      <c r="AU695" s="13">
        <v>3</v>
      </c>
      <c r="AV695">
        <f t="shared" si="283"/>
        <v>-1</v>
      </c>
      <c r="AW695" s="13">
        <v>0</v>
      </c>
      <c r="AX695" s="13">
        <v>0</v>
      </c>
      <c r="AY695" s="13">
        <v>0</v>
      </c>
      <c r="AZ695" s="13">
        <v>0</v>
      </c>
      <c r="BA695">
        <v>1</v>
      </c>
      <c r="BB695" t="s">
        <v>2840</v>
      </c>
      <c r="BC695">
        <v>6</v>
      </c>
      <c r="BD695" t="s">
        <v>2919</v>
      </c>
      <c r="BE695">
        <v>1</v>
      </c>
      <c r="BF695" s="232" t="s">
        <v>2846</v>
      </c>
      <c r="BG695" s="232" t="s">
        <v>2846</v>
      </c>
      <c r="BH695" s="253">
        <v>28.9</v>
      </c>
      <c r="BI695" s="253">
        <v>15.491393670183232</v>
      </c>
      <c r="BJ695" s="25">
        <v>1.4966666666666668</v>
      </c>
      <c r="BK695" t="s">
        <v>381</v>
      </c>
      <c r="BL695">
        <v>1.3792492549539066</v>
      </c>
      <c r="BM695" t="s">
        <v>383</v>
      </c>
      <c r="BN695" s="322">
        <v>14497.709814</v>
      </c>
      <c r="BO695" s="322">
        <v>1185.9789499999999</v>
      </c>
      <c r="BP695" s="10">
        <v>4122</v>
      </c>
      <c r="BQ695" s="254">
        <f t="shared" si="284"/>
        <v>3.5171542489082968</v>
      </c>
      <c r="BR695" s="254">
        <f t="shared" si="285"/>
        <v>0.28771929888403686</v>
      </c>
      <c r="BS695" s="25">
        <v>60.525849121010403</v>
      </c>
      <c r="BT695" s="25">
        <v>97.296658550865274</v>
      </c>
      <c r="BU695" s="25">
        <v>38.523835616438333</v>
      </c>
      <c r="BV695" s="25">
        <v>98.799371269190814</v>
      </c>
      <c r="BW695" s="25">
        <v>48.840341161382213</v>
      </c>
      <c r="BX695" s="25">
        <v>73.786428639376211</v>
      </c>
      <c r="BY695" s="25">
        <v>50.370956351146127</v>
      </c>
      <c r="BZ695">
        <v>63</v>
      </c>
      <c r="CA695">
        <v>0</v>
      </c>
      <c r="CB695">
        <v>7</v>
      </c>
      <c r="CC695">
        <v>11717.599548</v>
      </c>
      <c r="CD695" s="10">
        <v>361.925254</v>
      </c>
      <c r="CE695" s="255">
        <v>3.0887320608406918E-2</v>
      </c>
      <c r="CF695" t="str">
        <f>IFERROR(VLOOKUP(CE695,'Rangos amb etnico'!$A$2:$C$6,3,9),"N.D.")</f>
        <v>0,1% - 30%</v>
      </c>
      <c r="CG695" s="256">
        <v>1.0529769975904845E-5</v>
      </c>
      <c r="CH695" s="232">
        <v>0</v>
      </c>
      <c r="CI695" s="311">
        <f t="shared" si="292"/>
        <v>0</v>
      </c>
      <c r="CJ695" s="232">
        <f>IFERROR(VLOOKUP(CI695,'Rangos amb etnico'!$A$2:$C$6,3,9),"N.D.")</f>
        <v>0</v>
      </c>
      <c r="CK695" s="311">
        <f t="shared" si="293"/>
        <v>0</v>
      </c>
      <c r="CL695" s="10">
        <v>0</v>
      </c>
      <c r="CM695" s="255">
        <f t="shared" si="294"/>
        <v>0</v>
      </c>
      <c r="CN695" s="232">
        <f>IFERROR(VLOOKUP(CM695,'Rangos amb etnico'!$A$2:$C$6,3,9),"N.D.")</f>
        <v>0</v>
      </c>
      <c r="CO695" s="311">
        <f t="shared" si="295"/>
        <v>0</v>
      </c>
      <c r="CP695">
        <v>0.98593998543982453</v>
      </c>
      <c r="CQ695" t="s">
        <v>2864</v>
      </c>
      <c r="CR695">
        <f t="shared" si="286"/>
        <v>1</v>
      </c>
      <c r="CS695" t="str">
        <f t="shared" si="296"/>
        <v>No es Candidato</v>
      </c>
      <c r="CT695">
        <v>0</v>
      </c>
      <c r="CU695">
        <v>0</v>
      </c>
      <c r="CV695" s="25">
        <v>49.958648681640618</v>
      </c>
      <c r="CW695" s="25">
        <v>21.148807525634769</v>
      </c>
      <c r="CX695" s="25">
        <v>60.997127532958977</v>
      </c>
      <c r="CY695" s="25">
        <v>66.227066040039063</v>
      </c>
      <c r="CZ695" s="25">
        <v>39.699764251708977</v>
      </c>
      <c r="DA695" s="25">
        <v>60.196331024169922</v>
      </c>
      <c r="DB695" s="25">
        <v>51.4827880859375</v>
      </c>
      <c r="DC695">
        <v>90</v>
      </c>
      <c r="DD695" s="253" t="s">
        <v>380</v>
      </c>
    </row>
    <row r="696" spans="1:108">
      <c r="A696" s="13">
        <v>5842</v>
      </c>
      <c r="B696" s="13" t="s">
        <v>1828</v>
      </c>
      <c r="C696" s="13" t="s">
        <v>435</v>
      </c>
      <c r="D696" s="13" t="s">
        <v>436</v>
      </c>
      <c r="E696" s="13" t="s">
        <v>1829</v>
      </c>
      <c r="F696" s="14">
        <v>50.117033333333303</v>
      </c>
      <c r="G696" s="13">
        <v>47.14</v>
      </c>
      <c r="H696" s="13">
        <v>41.82</v>
      </c>
      <c r="I696" s="13">
        <v>41.53</v>
      </c>
      <c r="J696" s="14">
        <v>71.293695189011459</v>
      </c>
      <c r="K696" s="14">
        <v>41.402882720948035</v>
      </c>
      <c r="L696" s="14">
        <v>40.158868951058565</v>
      </c>
      <c r="M696" s="14">
        <v>41.104199999999999</v>
      </c>
      <c r="N696" s="14">
        <f t="shared" si="270"/>
        <v>45.151758333333326</v>
      </c>
      <c r="O696" s="14">
        <f t="shared" si="271"/>
        <v>48.489911715254514</v>
      </c>
      <c r="P696" s="14">
        <f t="shared" si="287"/>
        <v>46.82083502429392</v>
      </c>
      <c r="Q696" s="14">
        <v>57.582596872421554</v>
      </c>
      <c r="R696" s="17">
        <f t="shared" si="272"/>
        <v>42.417403127578446</v>
      </c>
      <c r="S696" s="14">
        <f t="shared" si="288"/>
        <v>0.48175662814820608</v>
      </c>
      <c r="T696" s="13">
        <v>0</v>
      </c>
      <c r="U696" s="13">
        <f t="shared" si="289"/>
        <v>22.55624760838727</v>
      </c>
      <c r="V696" s="13">
        <f>IF($T696=1,$AU696,(VLOOKUP(U696,'Cortes naturales'!$A$35:$C$39,3,9)))</f>
        <v>4</v>
      </c>
      <c r="W696" s="13">
        <v>4</v>
      </c>
      <c r="X696" s="14" t="b">
        <f t="shared" si="273"/>
        <v>1</v>
      </c>
      <c r="Y696" s="17">
        <f>IF($T696=1,$AU696,VLOOKUP(U696,'Cortes naturales'!$A$45:$C$49,3,9))</f>
        <v>4</v>
      </c>
      <c r="Z696" s="14">
        <v>49.599336741427749</v>
      </c>
      <c r="AA696" s="14">
        <v>0.48576778949206811</v>
      </c>
      <c r="AB696" s="14">
        <v>24.093760169156074</v>
      </c>
      <c r="AC696" s="13">
        <v>4</v>
      </c>
      <c r="AD696" s="13">
        <f t="shared" si="274"/>
        <v>0</v>
      </c>
      <c r="AE696" s="14">
        <f t="shared" si="275"/>
        <v>-2.7785017171338282</v>
      </c>
      <c r="AF696" s="14">
        <f t="shared" si="276"/>
        <v>-4.0111613438620353E-3</v>
      </c>
      <c r="AG696" s="13">
        <f t="shared" si="277"/>
        <v>-1.5375125607688034</v>
      </c>
      <c r="AH696" s="13">
        <f>IF($T696=1,$AU696,VLOOKUP(U696,'Cortes naturales'!$A$25:$C$29,3,9))</f>
        <v>4</v>
      </c>
      <c r="AI696" s="13" t="b">
        <f t="shared" si="278"/>
        <v>1</v>
      </c>
      <c r="AJ696" s="13">
        <f t="shared" si="279"/>
        <v>0</v>
      </c>
      <c r="AK696" s="28">
        <v>0.81759069605862034</v>
      </c>
      <c r="AL696" s="28">
        <v>40.551956250469814</v>
      </c>
      <c r="AM696" s="28">
        <v>0.33663621506039243</v>
      </c>
      <c r="AN696" s="13">
        <v>4</v>
      </c>
      <c r="AO696" s="33">
        <f t="shared" si="280"/>
        <v>0</v>
      </c>
      <c r="AP696" s="13">
        <f t="shared" si="290"/>
        <v>33.663621506039242</v>
      </c>
      <c r="AQ696" s="13">
        <f>IFERROR(VLOOKUP(U696,'Cortes naturales'!$E$15:$G$19,3,9),U696)</f>
        <v>4</v>
      </c>
      <c r="AR696" s="28">
        <f t="shared" si="281"/>
        <v>-0.33583406791041426</v>
      </c>
      <c r="AS696" s="13" t="b">
        <f t="shared" si="282"/>
        <v>1</v>
      </c>
      <c r="AT696" s="13">
        <f t="shared" si="291"/>
        <v>0</v>
      </c>
      <c r="AU696" s="13">
        <v>4</v>
      </c>
      <c r="AV696">
        <f t="shared" si="283"/>
        <v>0</v>
      </c>
      <c r="AW696" s="13">
        <v>0</v>
      </c>
      <c r="AX696" s="13">
        <v>0</v>
      </c>
      <c r="AY696" s="13">
        <v>0</v>
      </c>
      <c r="AZ696" s="13">
        <v>0</v>
      </c>
      <c r="BA696">
        <v>1</v>
      </c>
      <c r="BB696" t="s">
        <v>2840</v>
      </c>
      <c r="BC696">
        <v>6</v>
      </c>
      <c r="BD696" t="s">
        <v>2919</v>
      </c>
      <c r="BE696">
        <v>1</v>
      </c>
      <c r="BF696" s="232" t="s">
        <v>2846</v>
      </c>
      <c r="BG696" s="232" t="s">
        <v>2846</v>
      </c>
      <c r="BH696" s="253">
        <v>55.6</v>
      </c>
      <c r="BI696" s="253">
        <v>27.104093208646329</v>
      </c>
      <c r="BJ696" s="25">
        <v>62.122379659985491</v>
      </c>
      <c r="BK696" t="s">
        <v>376</v>
      </c>
      <c r="BL696">
        <v>1.4618107952984372</v>
      </c>
      <c r="BM696" t="s">
        <v>383</v>
      </c>
      <c r="BN696" s="322">
        <v>20714.161241999998</v>
      </c>
      <c r="BO696" s="322">
        <v>2048.3340309999999</v>
      </c>
      <c r="BP696" s="10">
        <v>7406</v>
      </c>
      <c r="BQ696" s="254">
        <f t="shared" si="284"/>
        <v>2.7969431868755059</v>
      </c>
      <c r="BR696" s="254">
        <f t="shared" si="285"/>
        <v>0.27657764393734807</v>
      </c>
      <c r="BS696" s="25">
        <v>50.737952843365207</v>
      </c>
      <c r="BT696" s="25">
        <v>93.991358358088021</v>
      </c>
      <c r="BU696" s="25">
        <v>45.3</v>
      </c>
      <c r="BV696" s="25">
        <v>95.053924980741229</v>
      </c>
      <c r="BW696" s="25">
        <v>53.500355984402532</v>
      </c>
      <c r="BX696" s="25">
        <v>71.270809045548617</v>
      </c>
      <c r="BY696" s="25">
        <v>54.534030474669763</v>
      </c>
      <c r="BZ696">
        <v>99</v>
      </c>
      <c r="CA696">
        <v>0</v>
      </c>
      <c r="CB696">
        <v>7</v>
      </c>
      <c r="CC696">
        <v>26593.702083</v>
      </c>
      <c r="CD696" s="10">
        <v>10155.123321999999</v>
      </c>
      <c r="CE696" s="255">
        <v>0.38186196454729981</v>
      </c>
      <c r="CF696" t="str">
        <f>IFERROR(VLOOKUP(CE696,'Rangos amb etnico'!$A$2:$C$6,3,9),"N.D.")</f>
        <v>31% - 50%</v>
      </c>
      <c r="CG696" s="256">
        <v>2.9545081885224474E-4</v>
      </c>
      <c r="CH696" s="232">
        <v>131.26435699999999</v>
      </c>
      <c r="CI696" s="311">
        <f t="shared" si="292"/>
        <v>4.9359189100606875E-3</v>
      </c>
      <c r="CJ696" s="232" t="str">
        <f>IFERROR(VLOOKUP(CI696,'Rangos amb etnico'!$A$2:$C$6,3,9),"N.D.")</f>
        <v>0,1% - 30%</v>
      </c>
      <c r="CK696" s="311">
        <f t="shared" si="293"/>
        <v>5.2120543869615297E-6</v>
      </c>
      <c r="CL696" s="10">
        <v>0</v>
      </c>
      <c r="CM696" s="255">
        <f t="shared" si="294"/>
        <v>0</v>
      </c>
      <c r="CN696" s="232">
        <f>IFERROR(VLOOKUP(CM696,'Rangos amb etnico'!$A$2:$C$6,3,9),"N.D.")</f>
        <v>0</v>
      </c>
      <c r="CO696" s="311">
        <f t="shared" si="295"/>
        <v>0</v>
      </c>
      <c r="CP696">
        <v>0.94598845808010124</v>
      </c>
      <c r="CQ696" t="s">
        <v>2864</v>
      </c>
      <c r="CR696">
        <f t="shared" si="286"/>
        <v>1</v>
      </c>
      <c r="CS696" t="str">
        <f t="shared" si="296"/>
        <v>No es Candidato</v>
      </c>
      <c r="CT696">
        <v>0</v>
      </c>
      <c r="CU696">
        <v>0</v>
      </c>
      <c r="CV696" s="25">
        <v>40.250442504882813</v>
      </c>
      <c r="CW696" s="25">
        <v>17.303445816040039</v>
      </c>
      <c r="CX696" s="25">
        <v>39.511611938476563</v>
      </c>
      <c r="CY696" s="25">
        <v>41.034774780273438</v>
      </c>
      <c r="CZ696" s="25">
        <v>33.628982543945313</v>
      </c>
      <c r="DA696" s="25">
        <v>68.814384460449219</v>
      </c>
      <c r="DB696" s="25">
        <v>41.209465026855469</v>
      </c>
      <c r="DC696">
        <v>253</v>
      </c>
      <c r="DD696" s="253" t="s">
        <v>380</v>
      </c>
    </row>
    <row r="697" spans="1:108" hidden="1">
      <c r="A697" s="13">
        <v>41524</v>
      </c>
      <c r="B697" s="13" t="s">
        <v>1830</v>
      </c>
      <c r="C697" s="13" t="s">
        <v>676</v>
      </c>
      <c r="D697" s="13" t="s">
        <v>677</v>
      </c>
      <c r="E697" s="13" t="s">
        <v>1831</v>
      </c>
      <c r="F697" s="14">
        <v>68.111266666666694</v>
      </c>
      <c r="G697" s="13">
        <v>80.38</v>
      </c>
      <c r="H697" s="13">
        <v>79.58</v>
      </c>
      <c r="I697" s="13">
        <v>84.23</v>
      </c>
      <c r="J697" s="14">
        <v>73.267507349953817</v>
      </c>
      <c r="K697" s="14">
        <v>54.324743468746419</v>
      </c>
      <c r="L697" s="14">
        <v>61.010131379328399</v>
      </c>
      <c r="M697" s="14">
        <v>58.768700000000003</v>
      </c>
      <c r="N697" s="14">
        <f t="shared" si="270"/>
        <v>78.07531666666668</v>
      </c>
      <c r="O697" s="14">
        <f t="shared" si="271"/>
        <v>61.842770549507158</v>
      </c>
      <c r="P697" s="14">
        <f t="shared" si="287"/>
        <v>69.959043608086915</v>
      </c>
      <c r="Q697" s="14">
        <v>58.358704837463094</v>
      </c>
      <c r="R697" s="17">
        <f t="shared" si="272"/>
        <v>41.641295162536906</v>
      </c>
      <c r="S697" s="14">
        <f t="shared" si="288"/>
        <v>0.47477165646283215</v>
      </c>
      <c r="T697" s="13">
        <v>0</v>
      </c>
      <c r="U697" s="13">
        <f t="shared" si="289"/>
        <v>33.214571018366932</v>
      </c>
      <c r="V697" s="13">
        <f>IF($T697=1,$AU697,(VLOOKUP(U697,'Cortes naturales'!$A$35:$C$39,3,9)))</f>
        <v>3</v>
      </c>
      <c r="W697" s="13">
        <v>3</v>
      </c>
      <c r="X697" s="14" t="b">
        <f t="shared" si="273"/>
        <v>1</v>
      </c>
      <c r="Y697" s="17">
        <f>IF($T697=1,$AU697,VLOOKUP(U697,'Cortes naturales'!$A$45:$C$49,3,9))</f>
        <v>3</v>
      </c>
      <c r="Z697" s="14">
        <v>67.457192226482846</v>
      </c>
      <c r="AA697" s="14">
        <v>0.48627271655644821</v>
      </c>
      <c r="AB697" s="14">
        <v>32.802592115242334</v>
      </c>
      <c r="AC697" s="13">
        <v>3</v>
      </c>
      <c r="AD697" s="13">
        <f t="shared" si="274"/>
        <v>0</v>
      </c>
      <c r="AE697" s="14">
        <f t="shared" si="275"/>
        <v>2.5018513816040695</v>
      </c>
      <c r="AF697" s="14">
        <f t="shared" si="276"/>
        <v>-1.1501060093616067E-2</v>
      </c>
      <c r="AG697" s="13">
        <f t="shared" si="277"/>
        <v>0.41197890312459862</v>
      </c>
      <c r="AH697" s="13">
        <f>IF($T697=1,$AU697,VLOOKUP(U697,'Cortes naturales'!$A$25:$C$29,3,9))</f>
        <v>3</v>
      </c>
      <c r="AI697" s="13" t="b">
        <f t="shared" si="278"/>
        <v>1</v>
      </c>
      <c r="AJ697" s="13">
        <f t="shared" si="279"/>
        <v>0</v>
      </c>
      <c r="AK697" s="28">
        <v>0.81759069605862034</v>
      </c>
      <c r="AL697" s="28">
        <v>55.152372746610261</v>
      </c>
      <c r="AM697" s="28">
        <v>0.51927203513744813</v>
      </c>
      <c r="AN697" s="13">
        <v>2</v>
      </c>
      <c r="AO697" s="33">
        <f t="shared" si="280"/>
        <v>-1</v>
      </c>
      <c r="AP697" s="13">
        <f t="shared" si="290"/>
        <v>51.927203513744814</v>
      </c>
      <c r="AQ697" s="13">
        <f>IFERROR(VLOOKUP(U697,'Cortes naturales'!$E$15:$G$19,3,9),U697)</f>
        <v>4</v>
      </c>
      <c r="AR697" s="28">
        <f t="shared" si="281"/>
        <v>-0.34281903959578819</v>
      </c>
      <c r="AS697" s="13" t="b">
        <f t="shared" si="282"/>
        <v>0</v>
      </c>
      <c r="AT697" s="13" t="str">
        <f t="shared" si="291"/>
        <v>Cambio en corte</v>
      </c>
      <c r="AU697" s="13">
        <v>2</v>
      </c>
      <c r="AV697">
        <f t="shared" si="283"/>
        <v>-1</v>
      </c>
      <c r="AW697" s="13">
        <v>0</v>
      </c>
      <c r="AX697" s="13">
        <v>0</v>
      </c>
      <c r="AY697" s="13">
        <v>0</v>
      </c>
      <c r="AZ697" s="13">
        <v>0</v>
      </c>
      <c r="BA697">
        <v>0</v>
      </c>
      <c r="BB697" t="s">
        <v>2840</v>
      </c>
      <c r="BC697">
        <v>6</v>
      </c>
      <c r="BD697" t="s">
        <v>2919</v>
      </c>
      <c r="BE697">
        <v>0</v>
      </c>
      <c r="BF697" s="232" t="s">
        <v>2846</v>
      </c>
      <c r="BG697" s="232" t="s">
        <v>2845</v>
      </c>
      <c r="BH697" s="253">
        <v>32.6</v>
      </c>
      <c r="BI697" s="253">
        <v>12.594218504100057</v>
      </c>
      <c r="BJ697" s="25">
        <v>7.5554079811197159</v>
      </c>
      <c r="BK697" t="s">
        <v>377</v>
      </c>
      <c r="BL697">
        <v>1.3484155682398471</v>
      </c>
      <c r="BM697" t="s">
        <v>383</v>
      </c>
      <c r="BN697" s="322">
        <v>69344.677137999999</v>
      </c>
      <c r="BO697" s="322">
        <v>26107.625137999999</v>
      </c>
      <c r="BP697" s="10">
        <v>26677</v>
      </c>
      <c r="BQ697" s="254">
        <f t="shared" si="284"/>
        <v>2.5994181181542153</v>
      </c>
      <c r="BR697" s="254">
        <f t="shared" si="285"/>
        <v>0.97865671319863545</v>
      </c>
      <c r="BS697" s="25">
        <v>72.160612483716406</v>
      </c>
      <c r="BT697" s="25">
        <v>88.194573070810065</v>
      </c>
      <c r="BU697" s="25">
        <v>51.263333333333343</v>
      </c>
      <c r="BV697" s="25">
        <v>84.786732443466079</v>
      </c>
      <c r="BW697" s="25">
        <v>62.784734087565923</v>
      </c>
      <c r="BX697" s="25">
        <v>74.101312832831482</v>
      </c>
      <c r="BY697" s="25">
        <v>63.818533693911782</v>
      </c>
      <c r="BZ697">
        <v>71</v>
      </c>
      <c r="CA697">
        <v>0</v>
      </c>
      <c r="CB697">
        <v>6</v>
      </c>
      <c r="CC697">
        <v>88400.206827999995</v>
      </c>
      <c r="CD697" s="10">
        <v>22301.891213999999</v>
      </c>
      <c r="CE697" s="255">
        <v>0.25228324699955418</v>
      </c>
      <c r="CF697" t="str">
        <f>IFERROR(VLOOKUP(CE697,'Rangos amb etnico'!$A$2:$C$6,3,9),"N.D.")</f>
        <v>0,1% - 30%</v>
      </c>
      <c r="CG697" s="256">
        <v>6.4884608607906989E-4</v>
      </c>
      <c r="CH697" s="232">
        <v>197.81353100000001</v>
      </c>
      <c r="CI697" s="311">
        <f t="shared" si="292"/>
        <v>2.2377043911773328E-3</v>
      </c>
      <c r="CJ697" s="232" t="str">
        <f>IFERROR(VLOOKUP(CI697,'Rangos amb etnico'!$A$2:$C$6,3,9),"N.D.")</f>
        <v>0,1% - 30%</v>
      </c>
      <c r="CK697" s="311">
        <f t="shared" si="293"/>
        <v>7.8544923055456759E-6</v>
      </c>
      <c r="CL697" s="10">
        <v>0</v>
      </c>
      <c r="CM697" s="255">
        <f t="shared" si="294"/>
        <v>0</v>
      </c>
      <c r="CN697" s="232">
        <f>IFERROR(VLOOKUP(CM697,'Rangos amb etnico'!$A$2:$C$6,3,9),"N.D.")</f>
        <v>0</v>
      </c>
      <c r="CO697" s="311">
        <f t="shared" si="295"/>
        <v>0</v>
      </c>
      <c r="CP697">
        <v>0.89849777502080297</v>
      </c>
      <c r="CQ697" t="s">
        <v>2864</v>
      </c>
      <c r="CR697">
        <f t="shared" si="286"/>
        <v>3</v>
      </c>
      <c r="CS697" t="str">
        <f t="shared" si="296"/>
        <v>Candidato</v>
      </c>
      <c r="CT697">
        <v>0</v>
      </c>
      <c r="CU697">
        <v>0</v>
      </c>
      <c r="CV697" s="25">
        <v>49.396671295166023</v>
      </c>
      <c r="CW697" s="25">
        <v>38.790424346923828</v>
      </c>
      <c r="CX697" s="25">
        <v>54.138797760009773</v>
      </c>
      <c r="CY697" s="25">
        <v>68.100921630859375</v>
      </c>
      <c r="CZ697" s="25">
        <v>51.614650726318359</v>
      </c>
      <c r="DA697" s="25">
        <v>23.276407241821289</v>
      </c>
      <c r="DB697" s="25">
        <v>60.458816528320313</v>
      </c>
      <c r="DC697">
        <v>383</v>
      </c>
      <c r="DD697" s="253" t="s">
        <v>380</v>
      </c>
    </row>
    <row r="698" spans="1:108" hidden="1">
      <c r="A698" s="13">
        <v>20770</v>
      </c>
      <c r="B698" s="13" t="s">
        <v>1832</v>
      </c>
      <c r="C698" s="13" t="s">
        <v>893</v>
      </c>
      <c r="D698" s="13" t="s">
        <v>894</v>
      </c>
      <c r="E698" s="13" t="s">
        <v>1833</v>
      </c>
      <c r="F698" s="14">
        <v>67.713999999999999</v>
      </c>
      <c r="G698" s="13">
        <v>54.71</v>
      </c>
      <c r="H698" s="13">
        <v>59.3</v>
      </c>
      <c r="I698" s="13">
        <v>73.31</v>
      </c>
      <c r="J698" s="14">
        <v>62.872887450537462</v>
      </c>
      <c r="K698" s="14">
        <v>70.338135154419774</v>
      </c>
      <c r="L698" s="14">
        <v>62.911025977375672</v>
      </c>
      <c r="M698" s="14">
        <v>56.816800000000001</v>
      </c>
      <c r="N698" s="14">
        <f t="shared" si="270"/>
        <v>63.758499999999998</v>
      </c>
      <c r="O698" s="14">
        <f t="shared" si="271"/>
        <v>63.234712145583231</v>
      </c>
      <c r="P698" s="14">
        <f t="shared" si="287"/>
        <v>63.496606072791614</v>
      </c>
      <c r="Q698" s="14">
        <v>57.267790444436386</v>
      </c>
      <c r="R698" s="17">
        <f t="shared" si="272"/>
        <v>42.732209555563614</v>
      </c>
      <c r="S698" s="14">
        <f t="shared" si="288"/>
        <v>0.48458988600007258</v>
      </c>
      <c r="T698" s="13">
        <v>0</v>
      </c>
      <c r="U698" s="13">
        <f t="shared" si="289"/>
        <v>30.769813098205603</v>
      </c>
      <c r="V698" s="13">
        <f>IF($T698=1,$AU698,(VLOOKUP(U698,'Cortes naturales'!$A$35:$C$39,3,9)))</f>
        <v>3</v>
      </c>
      <c r="W698" s="13">
        <v>3</v>
      </c>
      <c r="X698" s="14" t="b">
        <f t="shared" si="273"/>
        <v>1</v>
      </c>
      <c r="Y698" s="17">
        <f>IF($T698=1,$AU698,VLOOKUP(U698,'Cortes naturales'!$A$45:$C$49,3,9))</f>
        <v>3</v>
      </c>
      <c r="Z698" s="14">
        <v>63.41340097574615</v>
      </c>
      <c r="AA698" s="14">
        <v>0.48553240830293398</v>
      </c>
      <c r="AB698" s="14">
        <v>30.789261294433651</v>
      </c>
      <c r="AC698" s="13">
        <v>3</v>
      </c>
      <c r="AD698" s="13">
        <f t="shared" si="274"/>
        <v>0</v>
      </c>
      <c r="AE698" s="14">
        <f t="shared" si="275"/>
        <v>8.3205097045464527E-2</v>
      </c>
      <c r="AF698" s="14">
        <f t="shared" si="276"/>
        <v>-9.4252230286140382E-4</v>
      </c>
      <c r="AG698" s="13">
        <f t="shared" si="277"/>
        <v>-1.9448196228047721E-2</v>
      </c>
      <c r="AH698" s="13">
        <f>IF($T698=1,$AU698,VLOOKUP(U698,'Cortes naturales'!$A$25:$C$29,3,9))</f>
        <v>3</v>
      </c>
      <c r="AI698" s="13" t="b">
        <f t="shared" si="278"/>
        <v>1</v>
      </c>
      <c r="AJ698" s="13">
        <f t="shared" si="279"/>
        <v>0</v>
      </c>
      <c r="AK698" s="28">
        <v>0.81759069605862034</v>
      </c>
      <c r="AL698" s="28">
        <v>51.846206643204688</v>
      </c>
      <c r="AM698" s="28">
        <v>0.47791538221141283</v>
      </c>
      <c r="AN698" s="13">
        <v>3</v>
      </c>
      <c r="AO698" s="33">
        <f t="shared" si="280"/>
        <v>0</v>
      </c>
      <c r="AP698" s="13">
        <f t="shared" si="290"/>
        <v>47.79153822114128</v>
      </c>
      <c r="AQ698" s="13">
        <f>IFERROR(VLOOKUP(U698,'Cortes naturales'!$E$15:$G$19,3,9),U698)</f>
        <v>4</v>
      </c>
      <c r="AR698" s="28">
        <f t="shared" si="281"/>
        <v>-0.33300081005854776</v>
      </c>
      <c r="AS698" s="13" t="b">
        <f t="shared" si="282"/>
        <v>0</v>
      </c>
      <c r="AT698" s="13">
        <f t="shared" si="291"/>
        <v>0</v>
      </c>
      <c r="AU698" s="13">
        <v>2</v>
      </c>
      <c r="AV698">
        <f t="shared" si="283"/>
        <v>-1</v>
      </c>
      <c r="AW698" s="13">
        <v>0</v>
      </c>
      <c r="AX698" s="13">
        <v>0</v>
      </c>
      <c r="AY698" s="13">
        <v>0</v>
      </c>
      <c r="AZ698" s="13">
        <v>0</v>
      </c>
      <c r="BA698">
        <v>0</v>
      </c>
      <c r="BB698" t="s">
        <v>2840</v>
      </c>
      <c r="BC698">
        <v>6</v>
      </c>
      <c r="BD698" t="s">
        <v>2919</v>
      </c>
      <c r="BE698">
        <v>0</v>
      </c>
      <c r="BF698" s="232" t="s">
        <v>2846</v>
      </c>
      <c r="BG698" s="232" t="s">
        <v>2845</v>
      </c>
      <c r="BH698" s="253">
        <v>41.7</v>
      </c>
      <c r="BI698" s="253">
        <v>24.090553491101115</v>
      </c>
      <c r="BJ698" s="25">
        <v>1.6304347826086956</v>
      </c>
      <c r="BK698" t="s">
        <v>381</v>
      </c>
      <c r="BL698">
        <v>1.1496333591028249</v>
      </c>
      <c r="BM698" t="s">
        <v>383</v>
      </c>
      <c r="BN698" s="322">
        <v>52847.115021999998</v>
      </c>
      <c r="BO698" s="322">
        <v>18301.844227000001</v>
      </c>
      <c r="BP698" s="10">
        <v>33351</v>
      </c>
      <c r="BQ698" s="254">
        <f t="shared" si="284"/>
        <v>1.5845736266378818</v>
      </c>
      <c r="BR698" s="254">
        <f t="shared" si="285"/>
        <v>0.54876448163473368</v>
      </c>
      <c r="BS698" s="25">
        <v>61.66622138013156</v>
      </c>
      <c r="BT698" s="25">
        <v>92.071202262800725</v>
      </c>
      <c r="BU698" s="25">
        <v>67.360517354289428</v>
      </c>
      <c r="BV698" s="25">
        <v>89.261531092560645</v>
      </c>
      <c r="BW698" s="25">
        <v>53.17248894893067</v>
      </c>
      <c r="BX698" s="25">
        <v>77.589868022445586</v>
      </c>
      <c r="BY698" s="25">
        <v>54.560490249746998</v>
      </c>
      <c r="BZ698">
        <v>8</v>
      </c>
      <c r="CA698">
        <v>0</v>
      </c>
      <c r="CB698">
        <v>6</v>
      </c>
      <c r="CC698">
        <v>99173.009865999993</v>
      </c>
      <c r="CD698" s="10">
        <v>27017.027257999998</v>
      </c>
      <c r="CE698" s="255">
        <v>0.27242318544637001</v>
      </c>
      <c r="CF698" t="str">
        <f>IFERROR(VLOOKUP(CE698,'Rangos amb etnico'!$A$2:$C$6,3,9),"N.D.")</f>
        <v>0,1% - 30%</v>
      </c>
      <c r="CG698" s="256">
        <v>7.8602716808341645E-4</v>
      </c>
      <c r="CH698" s="232">
        <v>0</v>
      </c>
      <c r="CI698" s="311">
        <f t="shared" si="292"/>
        <v>0</v>
      </c>
      <c r="CJ698" s="232">
        <f>IFERROR(VLOOKUP(CI698,'Rangos amb etnico'!$A$2:$C$6,3,9),"N.D.")</f>
        <v>0</v>
      </c>
      <c r="CK698" s="311">
        <f t="shared" si="293"/>
        <v>0</v>
      </c>
      <c r="CL698" s="10">
        <v>0</v>
      </c>
      <c r="CM698" s="255">
        <f t="shared" si="294"/>
        <v>0</v>
      </c>
      <c r="CN698" s="232">
        <f>IFERROR(VLOOKUP(CM698,'Rangos amb etnico'!$A$2:$C$6,3,9),"N.D.")</f>
        <v>0</v>
      </c>
      <c r="CO698" s="311">
        <f t="shared" si="295"/>
        <v>0</v>
      </c>
      <c r="CP698">
        <v>0.91541804444968755</v>
      </c>
      <c r="CQ698" t="s">
        <v>2864</v>
      </c>
      <c r="CR698">
        <f t="shared" si="286"/>
        <v>2</v>
      </c>
      <c r="CS698" t="str">
        <f t="shared" si="296"/>
        <v>No es Candidato</v>
      </c>
      <c r="CT698">
        <v>0</v>
      </c>
      <c r="CU698">
        <v>0</v>
      </c>
      <c r="CV698" s="25">
        <v>41.494800567626953</v>
      </c>
      <c r="CW698" s="25">
        <v>34.821552276611328</v>
      </c>
      <c r="CX698" s="25">
        <v>48.940628051757813</v>
      </c>
      <c r="CY698" s="25">
        <v>60.887725830078118</v>
      </c>
      <c r="CZ698" s="25">
        <v>3.3295259475708008</v>
      </c>
      <c r="DA698" s="25">
        <v>50.577579498291023</v>
      </c>
      <c r="DB698" s="25">
        <v>50.411792755126953</v>
      </c>
      <c r="DC698">
        <v>824</v>
      </c>
      <c r="DD698" s="253" t="s">
        <v>380</v>
      </c>
    </row>
    <row r="699" spans="1:108" hidden="1">
      <c r="A699" s="13">
        <v>15293</v>
      </c>
      <c r="B699" s="13" t="s">
        <v>1834</v>
      </c>
      <c r="C699" s="13" t="s">
        <v>498</v>
      </c>
      <c r="D699" s="13" t="s">
        <v>499</v>
      </c>
      <c r="E699" s="13" t="s">
        <v>1835</v>
      </c>
      <c r="F699" s="14">
        <v>58.421566666666699</v>
      </c>
      <c r="G699" s="13">
        <v>52.06</v>
      </c>
      <c r="H699" s="13">
        <v>45.97</v>
      </c>
      <c r="I699" s="13">
        <v>84.81</v>
      </c>
      <c r="J699" s="14">
        <v>55.867154818254498</v>
      </c>
      <c r="K699" s="14">
        <v>51.148791825958718</v>
      </c>
      <c r="L699" s="14">
        <v>54.018457021781678</v>
      </c>
      <c r="M699" s="14">
        <v>55.061900000000001</v>
      </c>
      <c r="N699" s="14">
        <f t="shared" si="270"/>
        <v>60.315391666666677</v>
      </c>
      <c r="O699" s="14">
        <f t="shared" si="271"/>
        <v>54.024075916498724</v>
      </c>
      <c r="P699" s="14">
        <f t="shared" si="287"/>
        <v>57.169733791582701</v>
      </c>
      <c r="Q699" s="14">
        <v>58.714983679733187</v>
      </c>
      <c r="R699" s="17">
        <f t="shared" si="272"/>
        <v>41.285016320266813</v>
      </c>
      <c r="S699" s="14">
        <f t="shared" si="288"/>
        <v>0.47156514688240136</v>
      </c>
      <c r="T699" s="13">
        <v>0</v>
      </c>
      <c r="U699" s="13">
        <f t="shared" si="289"/>
        <v>26.95925391265548</v>
      </c>
      <c r="V699" s="13">
        <f>IF($T699=1,$AU699,(VLOOKUP(U699,'Cortes naturales'!$A$35:$C$39,3,9)))</f>
        <v>4</v>
      </c>
      <c r="W699" s="13">
        <v>4</v>
      </c>
      <c r="X699" s="14" t="b">
        <f t="shared" si="273"/>
        <v>1</v>
      </c>
      <c r="Y699" s="17">
        <f>IF($T699=1,$AU699,VLOOKUP(U699,'Cortes naturales'!$A$45:$C$49,3,9))</f>
        <v>4</v>
      </c>
      <c r="Z699" s="14">
        <v>53.373402678955102</v>
      </c>
      <c r="AA699" s="14">
        <v>0.48419159733928796</v>
      </c>
      <c r="AB699" s="14">
        <v>25.842953098556301</v>
      </c>
      <c r="AC699" s="13">
        <v>4</v>
      </c>
      <c r="AD699" s="13">
        <f t="shared" si="274"/>
        <v>0</v>
      </c>
      <c r="AE699" s="14">
        <f t="shared" si="275"/>
        <v>3.7963311126275983</v>
      </c>
      <c r="AF699" s="14">
        <f t="shared" si="276"/>
        <v>-1.2626450456886595E-2</v>
      </c>
      <c r="AG699" s="13">
        <f t="shared" si="277"/>
        <v>1.1163008140991799</v>
      </c>
      <c r="AH699" s="13">
        <f>IF($T699=1,$AU699,VLOOKUP(U699,'Cortes naturales'!$A$25:$C$29,3,9))</f>
        <v>4</v>
      </c>
      <c r="AI699" s="13" t="b">
        <f t="shared" si="278"/>
        <v>1</v>
      </c>
      <c r="AJ699" s="13">
        <f t="shared" si="279"/>
        <v>0</v>
      </c>
      <c r="AK699" s="28">
        <v>0.81759069605862034</v>
      </c>
      <c r="AL699" s="28">
        <v>43.637597447303932</v>
      </c>
      <c r="AM699" s="28">
        <v>0.37523433386038135</v>
      </c>
      <c r="AN699" s="13">
        <v>3</v>
      </c>
      <c r="AO699" s="33">
        <f t="shared" si="280"/>
        <v>-1</v>
      </c>
      <c r="AP699" s="13">
        <f t="shared" si="290"/>
        <v>37.523433386038135</v>
      </c>
      <c r="AQ699" s="13">
        <f>IFERROR(VLOOKUP(U699,'Cortes naturales'!$E$15:$G$19,3,9),U699)</f>
        <v>4</v>
      </c>
      <c r="AR699" s="28">
        <f t="shared" si="281"/>
        <v>-0.34602554917621897</v>
      </c>
      <c r="AS699" s="13" t="b">
        <f t="shared" si="282"/>
        <v>1</v>
      </c>
      <c r="AT699" s="13" t="str">
        <f t="shared" si="291"/>
        <v>Efecto ponderador</v>
      </c>
      <c r="AU699" s="13">
        <v>3</v>
      </c>
      <c r="AV699">
        <f t="shared" si="283"/>
        <v>-1</v>
      </c>
      <c r="AW699" s="13">
        <v>0</v>
      </c>
      <c r="AX699" s="13">
        <v>0</v>
      </c>
      <c r="AY699" s="13">
        <v>0</v>
      </c>
      <c r="AZ699" s="13">
        <v>0</v>
      </c>
      <c r="BA699">
        <v>0</v>
      </c>
      <c r="BB699" t="s">
        <v>2841</v>
      </c>
      <c r="BC699">
        <v>6</v>
      </c>
      <c r="BD699" t="s">
        <v>2919</v>
      </c>
      <c r="BE699">
        <v>0</v>
      </c>
      <c r="BF699" s="232" t="s">
        <v>2846</v>
      </c>
      <c r="BG699" s="232" t="s">
        <v>2846</v>
      </c>
      <c r="BH699" s="253">
        <v>51.2</v>
      </c>
      <c r="BI699" s="253">
        <v>10.459183673469388</v>
      </c>
      <c r="BJ699" s="25">
        <v>60.267520525451559</v>
      </c>
      <c r="BK699" t="s">
        <v>376</v>
      </c>
      <c r="BL699">
        <v>8.6866288303714114</v>
      </c>
      <c r="BM699" t="s">
        <v>379</v>
      </c>
      <c r="BN699" s="322">
        <v>8715.7997109999997</v>
      </c>
      <c r="BO699" s="322">
        <v>810.04259200000001</v>
      </c>
      <c r="BP699" s="10">
        <v>2765</v>
      </c>
      <c r="BQ699" s="254">
        <f t="shared" si="284"/>
        <v>3.1521879605786616</v>
      </c>
      <c r="BR699" s="254">
        <f t="shared" si="285"/>
        <v>0.29296296274864375</v>
      </c>
      <c r="BS699" s="25">
        <v>61.078271333007017</v>
      </c>
      <c r="BT699" s="25">
        <v>94.958197715491266</v>
      </c>
      <c r="BU699" s="25">
        <v>41.24378486055776</v>
      </c>
      <c r="BV699" s="25">
        <v>91.309943133972396</v>
      </c>
      <c r="BW699" s="25">
        <v>61.216663637651507</v>
      </c>
      <c r="BX699" s="25">
        <v>72.147549260757103</v>
      </c>
      <c r="BY699" s="25">
        <v>63.636949038960893</v>
      </c>
      <c r="BZ699">
        <v>68</v>
      </c>
      <c r="CA699">
        <v>0</v>
      </c>
      <c r="CB699">
        <v>7</v>
      </c>
      <c r="CC699">
        <v>8802.5661820000005</v>
      </c>
      <c r="CD699" s="10">
        <v>4959.33673</v>
      </c>
      <c r="CE699" s="255">
        <v>0.56339669903773515</v>
      </c>
      <c r="CF699" t="str">
        <f>IFERROR(VLOOKUP(CE699,'Rangos amb etnico'!$A$2:$C$6,3,9),"N.D.")</f>
        <v>51% - 70%</v>
      </c>
      <c r="CG699" s="256">
        <v>1.44285800514921E-4</v>
      </c>
      <c r="CH699" s="232">
        <v>0</v>
      </c>
      <c r="CI699" s="311">
        <f t="shared" si="292"/>
        <v>0</v>
      </c>
      <c r="CJ699" s="232">
        <f>IFERROR(VLOOKUP(CI699,'Rangos amb etnico'!$A$2:$C$6,3,9),"N.D.")</f>
        <v>0</v>
      </c>
      <c r="CK699" s="311">
        <f t="shared" si="293"/>
        <v>0</v>
      </c>
      <c r="CL699" s="10">
        <v>0</v>
      </c>
      <c r="CM699" s="255">
        <f t="shared" si="294"/>
        <v>0</v>
      </c>
      <c r="CN699" s="232">
        <f>IFERROR(VLOOKUP(CM699,'Rangos amb etnico'!$A$2:$C$6,3,9),"N.D.")</f>
        <v>0</v>
      </c>
      <c r="CO699" s="311">
        <f t="shared" si="295"/>
        <v>0</v>
      </c>
      <c r="CP699">
        <v>0.91260169139173064</v>
      </c>
      <c r="CQ699" t="s">
        <v>2864</v>
      </c>
      <c r="CR699">
        <f t="shared" si="286"/>
        <v>3</v>
      </c>
      <c r="CS699" t="str">
        <f t="shared" si="296"/>
        <v>Candidato</v>
      </c>
      <c r="CT699">
        <v>0</v>
      </c>
      <c r="CU699">
        <v>0</v>
      </c>
      <c r="CV699" s="25">
        <v>46.141002655029297</v>
      </c>
      <c r="CW699" s="25">
        <v>17.338981628417969</v>
      </c>
      <c r="CX699" s="25">
        <v>47.193813323974609</v>
      </c>
      <c r="CY699" s="25">
        <v>57.803787231445313</v>
      </c>
      <c r="CZ699" s="25">
        <v>57.525035858154297</v>
      </c>
      <c r="DA699" s="25">
        <v>45.157478332519531</v>
      </c>
      <c r="DB699" s="25">
        <v>51.826919555664063</v>
      </c>
      <c r="DC699">
        <v>13</v>
      </c>
      <c r="DD699" s="253" t="s">
        <v>380</v>
      </c>
    </row>
    <row r="700" spans="1:108" hidden="1">
      <c r="A700" s="13">
        <v>73870</v>
      </c>
      <c r="B700" s="13" t="s">
        <v>1836</v>
      </c>
      <c r="C700" s="13" t="s">
        <v>595</v>
      </c>
      <c r="D700" s="13" t="s">
        <v>596</v>
      </c>
      <c r="E700" s="13" t="s">
        <v>1837</v>
      </c>
      <c r="F700" s="14">
        <v>54.226066666666703</v>
      </c>
      <c r="G700" s="13">
        <v>43.05</v>
      </c>
      <c r="H700" s="13">
        <v>54.79</v>
      </c>
      <c r="I700" s="13">
        <v>59.49</v>
      </c>
      <c r="J700" s="14">
        <v>48.992301235594269</v>
      </c>
      <c r="K700" s="14">
        <v>50.841623849512139</v>
      </c>
      <c r="L700" s="14">
        <v>41.225969727771869</v>
      </c>
      <c r="M700" s="14">
        <v>64.093299999999999</v>
      </c>
      <c r="N700" s="14">
        <f t="shared" si="270"/>
        <v>52.889016666666677</v>
      </c>
      <c r="O700" s="14">
        <f t="shared" si="271"/>
        <v>51.288298703219567</v>
      </c>
      <c r="P700" s="14">
        <f t="shared" si="287"/>
        <v>52.088657684943122</v>
      </c>
      <c r="Q700" s="14">
        <v>58.136484246488131</v>
      </c>
      <c r="R700" s="17">
        <f t="shared" si="272"/>
        <v>41.863515753511869</v>
      </c>
      <c r="S700" s="14">
        <f t="shared" si="288"/>
        <v>0.4767716417816068</v>
      </c>
      <c r="T700" s="13">
        <v>0</v>
      </c>
      <c r="U700" s="13">
        <f t="shared" si="289"/>
        <v>24.834394842650443</v>
      </c>
      <c r="V700" s="13">
        <f>IF($T700=1,$AU700,(VLOOKUP(U700,'Cortes naturales'!$A$35:$C$39,3,9)))</f>
        <v>4</v>
      </c>
      <c r="W700" s="13">
        <v>4</v>
      </c>
      <c r="X700" s="14" t="b">
        <f t="shared" si="273"/>
        <v>1</v>
      </c>
      <c r="Y700" s="17">
        <f>IF($T700=1,$AU700,VLOOKUP(U700,'Cortes naturales'!$A$45:$C$49,3,9))</f>
        <v>4</v>
      </c>
      <c r="Z700" s="14">
        <v>48.893629454978679</v>
      </c>
      <c r="AA700" s="14">
        <v>0.48567045025622513</v>
      </c>
      <c r="AB700" s="14">
        <v>23.746191032060526</v>
      </c>
      <c r="AC700" s="13">
        <v>4</v>
      </c>
      <c r="AD700" s="13">
        <f t="shared" si="274"/>
        <v>0</v>
      </c>
      <c r="AE700" s="14">
        <f t="shared" si="275"/>
        <v>3.1950282299644428</v>
      </c>
      <c r="AF700" s="14">
        <f t="shared" si="276"/>
        <v>-8.8988084746183249E-3</v>
      </c>
      <c r="AG700" s="13">
        <f t="shared" si="277"/>
        <v>1.088203810589917</v>
      </c>
      <c r="AH700" s="13">
        <f>IF($T700=1,$AU700,VLOOKUP(U700,'Cortes naturales'!$A$25:$C$29,3,9))</f>
        <v>4</v>
      </c>
      <c r="AI700" s="13" t="b">
        <f t="shared" si="278"/>
        <v>1</v>
      </c>
      <c r="AJ700" s="13">
        <f t="shared" si="279"/>
        <v>0</v>
      </c>
      <c r="AK700" s="28">
        <v>0.81759069605862034</v>
      </c>
      <c r="AL700" s="28">
        <v>39.974976538928281</v>
      </c>
      <c r="AM700" s="28">
        <v>0.32941880706295162</v>
      </c>
      <c r="AN700" s="13">
        <v>4</v>
      </c>
      <c r="AO700" s="33">
        <f t="shared" si="280"/>
        <v>0</v>
      </c>
      <c r="AP700" s="13">
        <f t="shared" si="290"/>
        <v>32.941880706295166</v>
      </c>
      <c r="AQ700" s="13">
        <f>IFERROR(VLOOKUP(U700,'Cortes naturales'!$E$15:$G$19,3,9),U700)</f>
        <v>4</v>
      </c>
      <c r="AR700" s="28">
        <f t="shared" si="281"/>
        <v>-0.34081905427701353</v>
      </c>
      <c r="AS700" s="13" t="b">
        <f t="shared" si="282"/>
        <v>1</v>
      </c>
      <c r="AT700" s="13">
        <f t="shared" si="291"/>
        <v>0</v>
      </c>
      <c r="AU700" s="13">
        <v>3</v>
      </c>
      <c r="AV700">
        <f t="shared" si="283"/>
        <v>-1</v>
      </c>
      <c r="AW700" s="13">
        <v>0</v>
      </c>
      <c r="AX700" s="13">
        <v>0</v>
      </c>
      <c r="AY700" s="13">
        <v>0</v>
      </c>
      <c r="AZ700" s="13">
        <v>0</v>
      </c>
      <c r="BA700">
        <v>1</v>
      </c>
      <c r="BB700" t="s">
        <v>2840</v>
      </c>
      <c r="BC700">
        <v>6</v>
      </c>
      <c r="BD700" t="s">
        <v>2919</v>
      </c>
      <c r="BE700">
        <v>0</v>
      </c>
      <c r="BF700" s="232" t="s">
        <v>2846</v>
      </c>
      <c r="BG700" s="232" t="s">
        <v>2845</v>
      </c>
      <c r="BH700" s="253">
        <v>51.3</v>
      </c>
      <c r="BI700" s="253">
        <v>13.908450704225352</v>
      </c>
      <c r="BJ700" s="25">
        <v>0.87619047619047608</v>
      </c>
      <c r="BK700" t="s">
        <v>381</v>
      </c>
      <c r="BL700">
        <v>2.5488863343552599</v>
      </c>
      <c r="BM700" t="s">
        <v>383</v>
      </c>
      <c r="BN700" s="322">
        <v>12060.959709000001</v>
      </c>
      <c r="BO700" s="322">
        <v>1124.1587979999999</v>
      </c>
      <c r="BP700" s="10">
        <v>9556</v>
      </c>
      <c r="BQ700" s="254">
        <f t="shared" si="284"/>
        <v>1.2621347539765593</v>
      </c>
      <c r="BR700" s="254">
        <f t="shared" si="285"/>
        <v>0.11763905378819589</v>
      </c>
      <c r="BS700" s="25">
        <v>60.867532089051068</v>
      </c>
      <c r="BT700" s="25">
        <v>81.530657845681603</v>
      </c>
      <c r="BU700" s="25">
        <v>32.808866315525428</v>
      </c>
      <c r="BV700" s="25">
        <v>96.527089323359519</v>
      </c>
      <c r="BW700" s="25">
        <v>52.298374935472623</v>
      </c>
      <c r="BX700" s="25">
        <v>67.93353639340441</v>
      </c>
      <c r="BY700" s="25">
        <v>51.431338290522007</v>
      </c>
      <c r="BZ700">
        <v>89</v>
      </c>
      <c r="CA700">
        <v>0</v>
      </c>
      <c r="CB700">
        <v>7</v>
      </c>
      <c r="CC700">
        <v>27906.490292999999</v>
      </c>
      <c r="CD700" s="10">
        <v>18152.239308</v>
      </c>
      <c r="CE700" s="255">
        <v>0.65046658026191373</v>
      </c>
      <c r="CF700" t="str">
        <f>IFERROR(VLOOKUP(CE700,'Rangos amb etnico'!$A$2:$C$6,3,9),"N.D.")</f>
        <v>51% - 70%</v>
      </c>
      <c r="CG700" s="256">
        <v>5.2811706933503493E-4</v>
      </c>
      <c r="CH700" s="232">
        <v>0</v>
      </c>
      <c r="CI700" s="311">
        <f t="shared" si="292"/>
        <v>0</v>
      </c>
      <c r="CJ700" s="232">
        <f>IFERROR(VLOOKUP(CI700,'Rangos amb etnico'!$A$2:$C$6,3,9),"N.D.")</f>
        <v>0</v>
      </c>
      <c r="CK700" s="311">
        <f t="shared" si="293"/>
        <v>0</v>
      </c>
      <c r="CL700" s="10">
        <v>0</v>
      </c>
      <c r="CM700" s="255">
        <f t="shared" si="294"/>
        <v>0</v>
      </c>
      <c r="CN700" s="232">
        <f>IFERROR(VLOOKUP(CM700,'Rangos amb etnico'!$A$2:$C$6,3,9),"N.D.")</f>
        <v>0</v>
      </c>
      <c r="CO700" s="311">
        <f t="shared" si="295"/>
        <v>0</v>
      </c>
      <c r="CP700">
        <v>0.65290326594830339</v>
      </c>
      <c r="CQ700" t="s">
        <v>2866</v>
      </c>
      <c r="CR700">
        <f t="shared" si="286"/>
        <v>1</v>
      </c>
      <c r="CS700" t="str">
        <f t="shared" si="296"/>
        <v>No es Candidato</v>
      </c>
      <c r="CT700">
        <v>0</v>
      </c>
      <c r="CU700">
        <v>0</v>
      </c>
      <c r="CV700" s="25">
        <v>44.368114471435547</v>
      </c>
      <c r="CW700" s="25">
        <v>16.32889556884766</v>
      </c>
      <c r="CX700" s="25">
        <v>46.365493774414063</v>
      </c>
      <c r="CY700" s="25">
        <v>58.774059295654297</v>
      </c>
      <c r="CZ700" s="25">
        <v>18.616209030151371</v>
      </c>
      <c r="DA700" s="25">
        <v>74.689338684082031</v>
      </c>
      <c r="DB700" s="25">
        <v>51.434703826904297</v>
      </c>
      <c r="DC700">
        <v>93</v>
      </c>
      <c r="DD700" s="253" t="s">
        <v>380</v>
      </c>
    </row>
    <row r="701" spans="1:108" hidden="1">
      <c r="A701" s="13">
        <v>76100</v>
      </c>
      <c r="B701" s="13" t="s">
        <v>1838</v>
      </c>
      <c r="C701" s="13" t="s">
        <v>454</v>
      </c>
      <c r="D701" s="13" t="s">
        <v>455</v>
      </c>
      <c r="E701" s="13" t="s">
        <v>481</v>
      </c>
      <c r="F701" s="14">
        <v>64.009766666666707</v>
      </c>
      <c r="G701" s="13">
        <v>72.010000000000005</v>
      </c>
      <c r="H701" s="13">
        <v>44.84</v>
      </c>
      <c r="I701" s="13">
        <v>64.930000000000007</v>
      </c>
      <c r="J701" s="14">
        <v>53.087677369707819</v>
      </c>
      <c r="K701" s="14">
        <v>56.352162874232043</v>
      </c>
      <c r="L701" s="14">
        <v>52.998586307929266</v>
      </c>
      <c r="M701" s="14">
        <v>47.866199999999999</v>
      </c>
      <c r="N701" s="14">
        <f t="shared" si="270"/>
        <v>61.447441666666684</v>
      </c>
      <c r="O701" s="14">
        <f t="shared" si="271"/>
        <v>52.57615663796728</v>
      </c>
      <c r="P701" s="14">
        <f t="shared" si="287"/>
        <v>57.011799152316982</v>
      </c>
      <c r="Q701" s="14">
        <v>58.380794442946979</v>
      </c>
      <c r="R701" s="17">
        <f t="shared" si="272"/>
        <v>41.619205557053021</v>
      </c>
      <c r="S701" s="14">
        <f t="shared" si="288"/>
        <v>0.47457285001347727</v>
      </c>
      <c r="T701" s="13">
        <v>0</v>
      </c>
      <c r="U701" s="13">
        <f t="shared" si="289"/>
        <v>27.056252008111016</v>
      </c>
      <c r="V701" s="13">
        <f>IF($T701=1,$AU701,(VLOOKUP(U701,'Cortes naturales'!$A$35:$C$39,3,9)))</f>
        <v>4</v>
      </c>
      <c r="W701" s="13">
        <v>4</v>
      </c>
      <c r="X701" s="14" t="b">
        <f t="shared" si="273"/>
        <v>1</v>
      </c>
      <c r="Y701" s="17">
        <f>IF($T701=1,$AU701,VLOOKUP(U701,'Cortes naturales'!$A$45:$C$49,3,9))</f>
        <v>4</v>
      </c>
      <c r="Z701" s="14">
        <v>58.071826335715777</v>
      </c>
      <c r="AA701" s="14">
        <v>0.48540890675512705</v>
      </c>
      <c r="AB701" s="14">
        <v>28.18858173489339</v>
      </c>
      <c r="AC701" s="13">
        <v>3</v>
      </c>
      <c r="AD701" s="13">
        <f t="shared" si="274"/>
        <v>-1</v>
      </c>
      <c r="AE701" s="14">
        <f t="shared" si="275"/>
        <v>-1.0600271833987946</v>
      </c>
      <c r="AF701" s="14">
        <f t="shared" si="276"/>
        <v>-1.083605674164978E-2</v>
      </c>
      <c r="AG701" s="13">
        <f t="shared" si="277"/>
        <v>-1.1323297267823733</v>
      </c>
      <c r="AH701" s="13">
        <f>IF($T701=1,$AU701,VLOOKUP(U701,'Cortes naturales'!$A$25:$C$29,3,9))</f>
        <v>4</v>
      </c>
      <c r="AI701" s="13" t="b">
        <f t="shared" si="278"/>
        <v>1</v>
      </c>
      <c r="AJ701" s="13" t="str">
        <f t="shared" si="279"/>
        <v>Efecto ponderador</v>
      </c>
      <c r="AK701" s="28">
        <v>0.81759069605862034</v>
      </c>
      <c r="AL701" s="28">
        <v>47.478984915213182</v>
      </c>
      <c r="AM701" s="28">
        <v>0.42328604187986069</v>
      </c>
      <c r="AN701" s="13">
        <v>3</v>
      </c>
      <c r="AO701" s="33">
        <f t="shared" si="280"/>
        <v>-1</v>
      </c>
      <c r="AP701" s="13">
        <f t="shared" si="290"/>
        <v>42.328604187986066</v>
      </c>
      <c r="AQ701" s="13">
        <f>IFERROR(VLOOKUP(U701,'Cortes naturales'!$E$15:$G$19,3,9),U701)</f>
        <v>4</v>
      </c>
      <c r="AR701" s="28">
        <f t="shared" si="281"/>
        <v>-0.34301784604514307</v>
      </c>
      <c r="AS701" s="13" t="b">
        <f t="shared" si="282"/>
        <v>1</v>
      </c>
      <c r="AT701" s="13" t="str">
        <f t="shared" si="291"/>
        <v>Efecto ponderador</v>
      </c>
      <c r="AU701" s="13">
        <v>3</v>
      </c>
      <c r="AV701">
        <f t="shared" si="283"/>
        <v>-1</v>
      </c>
      <c r="AW701" s="13">
        <v>0</v>
      </c>
      <c r="AX701" s="13">
        <v>0</v>
      </c>
      <c r="AY701" s="13">
        <v>0</v>
      </c>
      <c r="AZ701" s="13">
        <v>0</v>
      </c>
      <c r="BA701">
        <v>1</v>
      </c>
      <c r="BB701" t="s">
        <v>2840</v>
      </c>
      <c r="BC701">
        <v>6</v>
      </c>
      <c r="BD701" t="s">
        <v>2919</v>
      </c>
      <c r="BE701">
        <v>0</v>
      </c>
      <c r="BF701" s="232" t="s">
        <v>2846</v>
      </c>
      <c r="BG701" s="232" t="s">
        <v>2846</v>
      </c>
      <c r="BH701" s="253">
        <v>29.7</v>
      </c>
      <c r="BI701" s="253">
        <v>15.706165911216635</v>
      </c>
      <c r="BJ701" s="25">
        <v>18.652336447920671</v>
      </c>
      <c r="BK701" t="s">
        <v>379</v>
      </c>
      <c r="BL701">
        <v>8.1927591012771881</v>
      </c>
      <c r="BM701" t="s">
        <v>379</v>
      </c>
      <c r="BN701" s="322">
        <v>28007.241986000001</v>
      </c>
      <c r="BO701" s="322">
        <v>3252.1530010000001</v>
      </c>
      <c r="BP701" s="10">
        <v>16071</v>
      </c>
      <c r="BQ701" s="254">
        <f t="shared" si="284"/>
        <v>1.7427193071993032</v>
      </c>
      <c r="BR701" s="254">
        <f t="shared" si="285"/>
        <v>0.20236158303776991</v>
      </c>
      <c r="BS701" s="25">
        <v>57.781635592871552</v>
      </c>
      <c r="BT701" s="25">
        <v>89.344432769138237</v>
      </c>
      <c r="BU701" s="25">
        <v>51.492160493827129</v>
      </c>
      <c r="BV701" s="25">
        <v>75.962964296428467</v>
      </c>
      <c r="BW701" s="25">
        <v>60.218695718081548</v>
      </c>
      <c r="BX701" s="25">
        <v>68.645298288066343</v>
      </c>
      <c r="BY701" s="25">
        <v>60.006820214030412</v>
      </c>
      <c r="BZ701">
        <v>66</v>
      </c>
      <c r="CA701">
        <v>0</v>
      </c>
      <c r="CB701">
        <v>7</v>
      </c>
      <c r="CC701">
        <v>74377.841918999999</v>
      </c>
      <c r="CD701" s="10">
        <v>61178.094889</v>
      </c>
      <c r="CE701" s="255">
        <v>0.82253119088377191</v>
      </c>
      <c r="CF701" t="str">
        <f>IFERROR(VLOOKUP(CE701,'Rangos amb etnico'!$A$2:$C$6,3,9),"N.D.")</f>
        <v>71% - 100%</v>
      </c>
      <c r="CG701" s="256">
        <v>1.7799014012579786E-3</v>
      </c>
      <c r="CH701" s="232">
        <v>6735.0689419999999</v>
      </c>
      <c r="CI701" s="311">
        <f t="shared" si="292"/>
        <v>9.0552088743509382E-2</v>
      </c>
      <c r="CJ701" s="232" t="str">
        <f>IFERROR(VLOOKUP(CI701,'Rangos amb etnico'!$A$2:$C$6,3,9),"N.D.")</f>
        <v>0,1% - 30%</v>
      </c>
      <c r="CK701" s="311">
        <f t="shared" si="293"/>
        <v>2.6742633284402906E-4</v>
      </c>
      <c r="CL701" s="10">
        <v>0</v>
      </c>
      <c r="CM701" s="255">
        <f t="shared" si="294"/>
        <v>0</v>
      </c>
      <c r="CN701" s="232">
        <f>IFERROR(VLOOKUP(CM701,'Rangos amb etnico'!$A$2:$C$6,3,9),"N.D.")</f>
        <v>0</v>
      </c>
      <c r="CO701" s="311">
        <f t="shared" si="295"/>
        <v>0</v>
      </c>
      <c r="CP701">
        <v>0.96340351480577024</v>
      </c>
      <c r="CQ701" t="s">
        <v>2864</v>
      </c>
      <c r="CR701">
        <f t="shared" si="286"/>
        <v>3</v>
      </c>
      <c r="CS701" t="str">
        <f t="shared" si="296"/>
        <v>Candidato</v>
      </c>
      <c r="CT701">
        <v>0</v>
      </c>
      <c r="CU701">
        <v>0</v>
      </c>
      <c r="CV701" s="25">
        <v>45.784080505371087</v>
      </c>
      <c r="CW701" s="25">
        <v>25.922443389892582</v>
      </c>
      <c r="CX701" s="25">
        <v>47.367855072021477</v>
      </c>
      <c r="CY701" s="25">
        <v>53.145015716552727</v>
      </c>
      <c r="CZ701" s="25">
        <v>56.844783782958977</v>
      </c>
      <c r="DA701" s="25">
        <v>41.550167083740227</v>
      </c>
      <c r="DB701" s="25">
        <v>49.874229431152337</v>
      </c>
      <c r="DC701">
        <v>2322</v>
      </c>
      <c r="DD701" s="253" t="s">
        <v>380</v>
      </c>
    </row>
    <row r="702" spans="1:108" hidden="1">
      <c r="A702" s="13">
        <v>25426</v>
      </c>
      <c r="B702" s="13" t="s">
        <v>1839</v>
      </c>
      <c r="C702" s="13" t="s">
        <v>461</v>
      </c>
      <c r="D702" s="13" t="s">
        <v>462</v>
      </c>
      <c r="E702" s="13" t="s">
        <v>1840</v>
      </c>
      <c r="F702" s="14">
        <v>55.731533333333303</v>
      </c>
      <c r="G702" s="13">
        <v>57.27</v>
      </c>
      <c r="H702" s="13">
        <v>52.53</v>
      </c>
      <c r="I702" s="13">
        <v>57.65</v>
      </c>
      <c r="J702" s="14">
        <v>49.685950074545907</v>
      </c>
      <c r="K702" s="14">
        <v>50.565946184967196</v>
      </c>
      <c r="L702" s="14">
        <v>59.363013522333262</v>
      </c>
      <c r="M702" s="14">
        <v>61.400100000000002</v>
      </c>
      <c r="N702" s="14">
        <f t="shared" si="270"/>
        <v>55.795383333333326</v>
      </c>
      <c r="O702" s="14">
        <f t="shared" si="271"/>
        <v>55.253752445461593</v>
      </c>
      <c r="P702" s="14">
        <f t="shared" si="287"/>
        <v>55.52456788939746</v>
      </c>
      <c r="Q702" s="14">
        <v>58.949049769426573</v>
      </c>
      <c r="R702" s="17">
        <f t="shared" si="272"/>
        <v>41.050950230573427</v>
      </c>
      <c r="S702" s="14">
        <f t="shared" si="288"/>
        <v>0.46945855207516085</v>
      </c>
      <c r="T702" s="13">
        <v>0</v>
      </c>
      <c r="U702" s="13">
        <f t="shared" si="289"/>
        <v>26.066483245955503</v>
      </c>
      <c r="V702" s="13">
        <f>IF($T702=1,$AU702,(VLOOKUP(U702,'Cortes naturales'!$A$35:$C$39,3,9)))</f>
        <v>4</v>
      </c>
      <c r="W702" s="13">
        <v>4</v>
      </c>
      <c r="X702" s="14" t="b">
        <f t="shared" si="273"/>
        <v>1</v>
      </c>
      <c r="Y702" s="17">
        <f>IF($T702=1,$AU702,VLOOKUP(U702,'Cortes naturales'!$A$45:$C$49,3,9))</f>
        <v>4</v>
      </c>
      <c r="Z702" s="14">
        <v>54.325841984399133</v>
      </c>
      <c r="AA702" s="14">
        <v>0.4852897537314842</v>
      </c>
      <c r="AB702" s="14">
        <v>26.363774477864581</v>
      </c>
      <c r="AC702" s="13">
        <v>4</v>
      </c>
      <c r="AD702" s="13">
        <f t="shared" si="274"/>
        <v>0</v>
      </c>
      <c r="AE702" s="14">
        <f t="shared" si="275"/>
        <v>1.1987259049983265</v>
      </c>
      <c r="AF702" s="14">
        <f t="shared" si="276"/>
        <v>-1.5831201656323346E-2</v>
      </c>
      <c r="AG702" s="13">
        <f t="shared" si="277"/>
        <v>-0.29729123190907814</v>
      </c>
      <c r="AH702" s="13">
        <f>IF($T702=1,$AU702,VLOOKUP(U702,'Cortes naturales'!$A$25:$C$29,3,9))</f>
        <v>4</v>
      </c>
      <c r="AI702" s="13" t="b">
        <f t="shared" si="278"/>
        <v>1</v>
      </c>
      <c r="AJ702" s="13">
        <f t="shared" si="279"/>
        <v>0</v>
      </c>
      <c r="AK702" s="28">
        <v>0.81759069605862034</v>
      </c>
      <c r="AL702" s="28">
        <v>44.416302961995505</v>
      </c>
      <c r="AM702" s="28">
        <v>0.38497511901618947</v>
      </c>
      <c r="AN702" s="13">
        <v>3</v>
      </c>
      <c r="AO702" s="33">
        <f t="shared" si="280"/>
        <v>-1</v>
      </c>
      <c r="AP702" s="13">
        <f t="shared" si="290"/>
        <v>38.49751190161895</v>
      </c>
      <c r="AQ702" s="13">
        <f>IFERROR(VLOOKUP(U702,'Cortes naturales'!$E$15:$G$19,3,9),U702)</f>
        <v>4</v>
      </c>
      <c r="AR702" s="28">
        <f t="shared" si="281"/>
        <v>-0.34813214398345949</v>
      </c>
      <c r="AS702" s="13" t="b">
        <f t="shared" si="282"/>
        <v>1</v>
      </c>
      <c r="AT702" s="13" t="str">
        <f t="shared" si="291"/>
        <v>Efecto ponderador</v>
      </c>
      <c r="AU702" s="13">
        <v>3</v>
      </c>
      <c r="AV702">
        <f t="shared" si="283"/>
        <v>-1</v>
      </c>
      <c r="AW702" s="13">
        <v>0</v>
      </c>
      <c r="AX702" s="13">
        <v>0</v>
      </c>
      <c r="AY702" s="13">
        <v>0</v>
      </c>
      <c r="AZ702" s="13">
        <v>0</v>
      </c>
      <c r="BA702">
        <v>0</v>
      </c>
      <c r="BB702" t="s">
        <v>2840</v>
      </c>
      <c r="BC702">
        <v>6</v>
      </c>
      <c r="BD702" t="s">
        <v>2919</v>
      </c>
      <c r="BE702">
        <v>0</v>
      </c>
      <c r="BF702" s="232" t="s">
        <v>2846</v>
      </c>
      <c r="BG702" s="232" t="s">
        <v>2846</v>
      </c>
      <c r="BH702" s="253">
        <v>38.200000000000003</v>
      </c>
      <c r="BI702" s="253">
        <v>12.786449684490202</v>
      </c>
      <c r="BJ702" s="25">
        <v>16.887469703281951</v>
      </c>
      <c r="BK702" t="s">
        <v>379</v>
      </c>
      <c r="BL702">
        <v>0</v>
      </c>
      <c r="BM702" t="s">
        <v>377</v>
      </c>
      <c r="BN702" s="322">
        <v>15360.579931</v>
      </c>
      <c r="BO702" s="322">
        <v>1956.2398599999999</v>
      </c>
      <c r="BP702" s="10">
        <v>6273</v>
      </c>
      <c r="BQ702" s="254">
        <f t="shared" si="284"/>
        <v>2.4486816405228757</v>
      </c>
      <c r="BR702" s="254">
        <f t="shared" si="285"/>
        <v>0.31185076677825602</v>
      </c>
      <c r="BS702" s="25">
        <v>62.117328465191463</v>
      </c>
      <c r="BT702" s="25">
        <v>92.502258355916908</v>
      </c>
      <c r="BU702" s="25">
        <v>55.521666666666668</v>
      </c>
      <c r="BV702" s="25">
        <v>97.366023536545455</v>
      </c>
      <c r="BW702" s="25">
        <v>48.271466964638307</v>
      </c>
      <c r="BX702" s="25">
        <v>76.876819256080125</v>
      </c>
      <c r="BY702" s="25">
        <v>48.66147792994758</v>
      </c>
      <c r="BZ702">
        <v>96</v>
      </c>
      <c r="CA702">
        <v>0</v>
      </c>
      <c r="CB702">
        <v>7</v>
      </c>
      <c r="CC702">
        <v>22883.676632999999</v>
      </c>
      <c r="CD702" s="10">
        <v>7317.516087</v>
      </c>
      <c r="CE702" s="255">
        <v>0.31977012279781941</v>
      </c>
      <c r="CF702" t="str">
        <f>IFERROR(VLOOKUP(CE702,'Rangos amb etnico'!$A$2:$C$6,3,9),"N.D.")</f>
        <v>31% - 50%</v>
      </c>
      <c r="CG702" s="256">
        <v>2.1289412755677256E-4</v>
      </c>
      <c r="CH702" s="232">
        <v>0</v>
      </c>
      <c r="CI702" s="311">
        <f t="shared" si="292"/>
        <v>0</v>
      </c>
      <c r="CJ702" s="232">
        <f>IFERROR(VLOOKUP(CI702,'Rangos amb etnico'!$A$2:$C$6,3,9),"N.D.")</f>
        <v>0</v>
      </c>
      <c r="CK702" s="311">
        <f t="shared" si="293"/>
        <v>0</v>
      </c>
      <c r="CL702" s="10">
        <v>0</v>
      </c>
      <c r="CM702" s="255">
        <f t="shared" si="294"/>
        <v>0</v>
      </c>
      <c r="CN702" s="232">
        <f>IFERROR(VLOOKUP(CM702,'Rangos amb etnico'!$A$2:$C$6,3,9),"N.D.")</f>
        <v>0</v>
      </c>
      <c r="CO702" s="311">
        <f t="shared" si="295"/>
        <v>0</v>
      </c>
      <c r="CP702">
        <v>0.94681464849679187</v>
      </c>
      <c r="CQ702" t="s">
        <v>2864</v>
      </c>
      <c r="CR702">
        <f t="shared" si="286"/>
        <v>2</v>
      </c>
      <c r="CS702" t="str">
        <f t="shared" si="296"/>
        <v>No es Candidato</v>
      </c>
      <c r="CT702">
        <v>0</v>
      </c>
      <c r="CU702">
        <v>0</v>
      </c>
      <c r="CV702" s="25">
        <v>57.833209991455078</v>
      </c>
      <c r="CW702" s="25">
        <v>19.93692588806152</v>
      </c>
      <c r="CX702" s="25">
        <v>55.538589477539063</v>
      </c>
      <c r="CY702" s="25">
        <v>59.803165435791023</v>
      </c>
      <c r="CZ702" s="25">
        <v>72.839187622070313</v>
      </c>
      <c r="DA702" s="25">
        <v>73.654823303222656</v>
      </c>
      <c r="DB702" s="25">
        <v>65.226570129394531</v>
      </c>
      <c r="DC702">
        <v>56</v>
      </c>
      <c r="DD702" s="253" t="s">
        <v>380</v>
      </c>
    </row>
    <row r="703" spans="1:108" hidden="1">
      <c r="A703" s="13">
        <v>15401</v>
      </c>
      <c r="B703" s="13" t="s">
        <v>1841</v>
      </c>
      <c r="C703" s="13" t="s">
        <v>498</v>
      </c>
      <c r="D703" s="13" t="s">
        <v>499</v>
      </c>
      <c r="E703" s="13" t="s">
        <v>1276</v>
      </c>
      <c r="F703" s="14">
        <v>66.272833333333296</v>
      </c>
      <c r="G703" s="13">
        <v>84.58</v>
      </c>
      <c r="H703" s="13">
        <v>78.61</v>
      </c>
      <c r="I703" s="13">
        <v>80.239999999999995</v>
      </c>
      <c r="J703" s="14">
        <v>45.972296544360987</v>
      </c>
      <c r="K703" s="14">
        <v>35.033727820474986</v>
      </c>
      <c r="L703" s="14">
        <v>44.542843745826843</v>
      </c>
      <c r="M703" s="14">
        <v>55.619100000000003</v>
      </c>
      <c r="N703" s="14">
        <f t="shared" si="270"/>
        <v>77.425708333333333</v>
      </c>
      <c r="O703" s="14">
        <f t="shared" si="271"/>
        <v>45.291992027665707</v>
      </c>
      <c r="P703" s="14">
        <f t="shared" si="287"/>
        <v>61.358850180499516</v>
      </c>
      <c r="Q703" s="14">
        <v>58.037326350420273</v>
      </c>
      <c r="R703" s="17">
        <f t="shared" si="272"/>
        <v>41.962673649579727</v>
      </c>
      <c r="S703" s="14">
        <f t="shared" si="288"/>
        <v>0.47766406284621754</v>
      </c>
      <c r="T703" s="13">
        <v>0</v>
      </c>
      <c r="U703" s="13">
        <f t="shared" si="289"/>
        <v>29.308917668789768</v>
      </c>
      <c r="V703" s="13">
        <f>IF($T703=1,$AU703,(VLOOKUP(U703,'Cortes naturales'!$A$35:$C$39,3,9)))</f>
        <v>4</v>
      </c>
      <c r="W703" s="13">
        <v>4</v>
      </c>
      <c r="X703" s="14" t="b">
        <f t="shared" si="273"/>
        <v>1</v>
      </c>
      <c r="Y703" s="17">
        <f>IF($T703=1,$AU703,VLOOKUP(U703,'Cortes naturales'!$A$45:$C$49,3,9))</f>
        <v>3</v>
      </c>
      <c r="Z703" s="14">
        <v>56.723149785878739</v>
      </c>
      <c r="AA703" s="14">
        <v>0.4850256205400143</v>
      </c>
      <c r="AB703" s="14">
        <v>27.512180923880013</v>
      </c>
      <c r="AC703" s="13">
        <v>4</v>
      </c>
      <c r="AD703" s="13">
        <f t="shared" si="274"/>
        <v>1</v>
      </c>
      <c r="AE703" s="14">
        <f t="shared" si="275"/>
        <v>4.6357003946207769</v>
      </c>
      <c r="AF703" s="14">
        <f t="shared" si="276"/>
        <v>-7.3615576937967608E-3</v>
      </c>
      <c r="AG703" s="13">
        <f t="shared" si="277"/>
        <v>1.7967367449097544</v>
      </c>
      <c r="AH703" s="13">
        <f>IF($T703=1,$AU703,VLOOKUP(U703,'Cortes naturales'!$A$25:$C$29,3,9))</f>
        <v>3</v>
      </c>
      <c r="AI703" s="13" t="b">
        <f t="shared" si="278"/>
        <v>1</v>
      </c>
      <c r="AJ703" s="13" t="str">
        <f t="shared" si="279"/>
        <v>Efecto ponderador</v>
      </c>
      <c r="AK703" s="28">
        <v>0.81759069605862034</v>
      </c>
      <c r="AL703" s="28">
        <v>46.376319516073977</v>
      </c>
      <c r="AM703" s="28">
        <v>0.40949286005551899</v>
      </c>
      <c r="AN703" s="13">
        <v>3</v>
      </c>
      <c r="AO703" s="33">
        <f t="shared" si="280"/>
        <v>0</v>
      </c>
      <c r="AP703" s="13">
        <f t="shared" si="290"/>
        <v>40.949286005551897</v>
      </c>
      <c r="AQ703" s="13">
        <f>IFERROR(VLOOKUP(U703,'Cortes naturales'!$E$15:$G$19,3,9),U703)</f>
        <v>4</v>
      </c>
      <c r="AR703" s="28">
        <f t="shared" si="281"/>
        <v>-0.3399266332124028</v>
      </c>
      <c r="AS703" s="13" t="b">
        <f t="shared" si="282"/>
        <v>0</v>
      </c>
      <c r="AT703" s="13">
        <f t="shared" si="291"/>
        <v>0</v>
      </c>
      <c r="AU703" s="13">
        <v>4</v>
      </c>
      <c r="AV703">
        <f t="shared" si="283"/>
        <v>1</v>
      </c>
      <c r="AW703" s="13">
        <v>0</v>
      </c>
      <c r="AX703" s="13">
        <v>0</v>
      </c>
      <c r="AY703" s="13">
        <v>0</v>
      </c>
      <c r="AZ703" s="13">
        <v>0</v>
      </c>
      <c r="BA703">
        <v>0</v>
      </c>
      <c r="BB703" t="s">
        <v>2840</v>
      </c>
      <c r="BC703">
        <v>6</v>
      </c>
      <c r="BD703" t="s">
        <v>2919</v>
      </c>
      <c r="BE703">
        <v>0</v>
      </c>
      <c r="BF703" s="232" t="s">
        <v>2846</v>
      </c>
      <c r="BG703" s="232" t="s">
        <v>2846</v>
      </c>
      <c r="BH703" s="253">
        <v>38.4</v>
      </c>
      <c r="BI703" s="253">
        <v>16.84100418410042</v>
      </c>
      <c r="BJ703" s="25">
        <v>10.807687552213867</v>
      </c>
      <c r="BK703" t="s">
        <v>377</v>
      </c>
      <c r="BL703">
        <v>0</v>
      </c>
      <c r="BM703" t="s">
        <v>377</v>
      </c>
      <c r="BN703" s="322">
        <v>7090.8527569999997</v>
      </c>
      <c r="BO703" s="322">
        <v>529.64586399999996</v>
      </c>
      <c r="BP703" s="10">
        <v>1142</v>
      </c>
      <c r="BQ703" s="254">
        <f t="shared" si="284"/>
        <v>6.2091530271453585</v>
      </c>
      <c r="BR703" s="254">
        <f t="shared" si="285"/>
        <v>0.46378797197898419</v>
      </c>
      <c r="BS703" s="25">
        <v>58.470378936132363</v>
      </c>
      <c r="BT703" s="25">
        <v>79.230720817279632</v>
      </c>
      <c r="BU703" s="25">
        <v>35.134427860696498</v>
      </c>
      <c r="BV703" s="25">
        <v>100.2301119336158</v>
      </c>
      <c r="BW703" s="25">
        <v>54.325132658102852</v>
      </c>
      <c r="BX703" s="25">
        <v>68.266409886931086</v>
      </c>
      <c r="BY703" s="25">
        <v>56.352694846076687</v>
      </c>
      <c r="BZ703">
        <v>33</v>
      </c>
      <c r="CA703">
        <v>0</v>
      </c>
      <c r="CB703">
        <v>7</v>
      </c>
      <c r="CC703">
        <v>2797.3062279999999</v>
      </c>
      <c r="CD703" s="10">
        <v>0</v>
      </c>
      <c r="CE703" s="255">
        <v>0</v>
      </c>
      <c r="CF703">
        <f>IFERROR(VLOOKUP(CE703,'Rangos amb etnico'!$A$2:$C$6,3,9),"N.D.")</f>
        <v>0</v>
      </c>
      <c r="CG703" s="256">
        <v>0</v>
      </c>
      <c r="CH703" s="232">
        <v>0</v>
      </c>
      <c r="CI703" s="311">
        <f t="shared" si="292"/>
        <v>0</v>
      </c>
      <c r="CJ703" s="232">
        <f>IFERROR(VLOOKUP(CI703,'Rangos amb etnico'!$A$2:$C$6,3,9),"N.D.")</f>
        <v>0</v>
      </c>
      <c r="CK703" s="311">
        <f t="shared" si="293"/>
        <v>0</v>
      </c>
      <c r="CL703" s="10">
        <v>0</v>
      </c>
      <c r="CM703" s="255">
        <f t="shared" si="294"/>
        <v>0</v>
      </c>
      <c r="CN703" s="232">
        <f>IFERROR(VLOOKUP(CM703,'Rangos amb etnico'!$A$2:$C$6,3,9),"N.D.")</f>
        <v>0</v>
      </c>
      <c r="CO703" s="311">
        <f t="shared" si="295"/>
        <v>0</v>
      </c>
      <c r="CP703">
        <v>0.86845769874952217</v>
      </c>
      <c r="CQ703" t="s">
        <v>2864</v>
      </c>
      <c r="CR703">
        <f t="shared" si="286"/>
        <v>2</v>
      </c>
      <c r="CS703" t="str">
        <f t="shared" si="296"/>
        <v>No es Candidato</v>
      </c>
      <c r="CT703">
        <v>0</v>
      </c>
      <c r="CU703">
        <v>0</v>
      </c>
      <c r="CV703" s="25">
        <v>49.183101654052727</v>
      </c>
      <c r="CW703" s="25">
        <v>13.052164077758791</v>
      </c>
      <c r="CX703" s="25">
        <v>53.468700408935547</v>
      </c>
      <c r="CY703" s="25">
        <v>55.532157897949219</v>
      </c>
      <c r="CZ703" s="25">
        <v>34.853984832763672</v>
      </c>
      <c r="DA703" s="25">
        <v>90.691490173339844</v>
      </c>
      <c r="DB703" s="25">
        <v>47.500099182128913</v>
      </c>
      <c r="DC703">
        <v>7</v>
      </c>
      <c r="DD703" s="253" t="s">
        <v>380</v>
      </c>
    </row>
    <row r="704" spans="1:108" hidden="1">
      <c r="A704" s="13">
        <v>25279</v>
      </c>
      <c r="B704" s="13" t="s">
        <v>1842</v>
      </c>
      <c r="C704" s="13" t="s">
        <v>461</v>
      </c>
      <c r="D704" s="13" t="s">
        <v>462</v>
      </c>
      <c r="E704" s="13" t="s">
        <v>1843</v>
      </c>
      <c r="F704" s="14">
        <v>59.7154666666667</v>
      </c>
      <c r="G704" s="13">
        <v>46.17</v>
      </c>
      <c r="H704" s="13">
        <v>53.94</v>
      </c>
      <c r="I704" s="13">
        <v>55.46</v>
      </c>
      <c r="J704" s="14">
        <v>56.547908340986886</v>
      </c>
      <c r="K704" s="14">
        <v>65.146050507655431</v>
      </c>
      <c r="L704" s="14">
        <v>68.613915109460294</v>
      </c>
      <c r="M704" s="14">
        <v>51.212499999999999</v>
      </c>
      <c r="N704" s="14">
        <f t="shared" si="270"/>
        <v>53.821366666666677</v>
      </c>
      <c r="O704" s="14">
        <f t="shared" si="271"/>
        <v>60.380093489525656</v>
      </c>
      <c r="P704" s="14">
        <f t="shared" si="287"/>
        <v>57.100730078096163</v>
      </c>
      <c r="Q704" s="14">
        <v>59.166442552447705</v>
      </c>
      <c r="R704" s="17">
        <f t="shared" si="272"/>
        <v>40.833557447552295</v>
      </c>
      <c r="S704" s="14">
        <f t="shared" si="288"/>
        <v>0.46750201702797067</v>
      </c>
      <c r="T704" s="13">
        <v>0</v>
      </c>
      <c r="U704" s="13">
        <f t="shared" si="289"/>
        <v>26.694706485279671</v>
      </c>
      <c r="V704" s="13">
        <f>IF($T704=1,$AU704,(VLOOKUP(U704,'Cortes naturales'!$A$35:$C$39,3,9)))</f>
        <v>4</v>
      </c>
      <c r="W704" s="13">
        <v>4</v>
      </c>
      <c r="X704" s="14" t="b">
        <f t="shared" si="273"/>
        <v>1</v>
      </c>
      <c r="Y704" s="17">
        <f>IF($T704=1,$AU704,VLOOKUP(U704,'Cortes naturales'!$A$45:$C$49,3,9))</f>
        <v>4</v>
      </c>
      <c r="Z704" s="14">
        <v>58.601933103210413</v>
      </c>
      <c r="AA704" s="14">
        <v>0.48454616822902163</v>
      </c>
      <c r="AB704" s="14">
        <v>28.395342135974065</v>
      </c>
      <c r="AC704" s="13">
        <v>3</v>
      </c>
      <c r="AD704" s="13">
        <f t="shared" si="274"/>
        <v>-1</v>
      </c>
      <c r="AE704" s="14">
        <f t="shared" si="275"/>
        <v>-1.5012030251142505</v>
      </c>
      <c r="AF704" s="14">
        <f t="shared" si="276"/>
        <v>-1.7044151201050961E-2</v>
      </c>
      <c r="AG704" s="13">
        <f t="shared" si="277"/>
        <v>-1.7006356506943945</v>
      </c>
      <c r="AH704" s="13">
        <f>IF($T704=1,$AU704,VLOOKUP(U704,'Cortes naturales'!$A$25:$C$29,3,9))</f>
        <v>4</v>
      </c>
      <c r="AI704" s="13" t="b">
        <f t="shared" si="278"/>
        <v>1</v>
      </c>
      <c r="AJ704" s="13" t="str">
        <f t="shared" si="279"/>
        <v>Efecto ponderador</v>
      </c>
      <c r="AK704" s="28">
        <v>0.81759069605862034</v>
      </c>
      <c r="AL704" s="28">
        <v>47.912395276234506</v>
      </c>
      <c r="AM704" s="28">
        <v>0.42870754863865396</v>
      </c>
      <c r="AN704" s="13">
        <v>3</v>
      </c>
      <c r="AO704" s="33">
        <f t="shared" si="280"/>
        <v>-1</v>
      </c>
      <c r="AP704" s="13">
        <f t="shared" si="290"/>
        <v>42.870754863865393</v>
      </c>
      <c r="AQ704" s="13">
        <f>IFERROR(VLOOKUP(U704,'Cortes naturales'!$E$15:$G$19,3,9),U704)</f>
        <v>4</v>
      </c>
      <c r="AR704" s="28">
        <f t="shared" si="281"/>
        <v>-0.35008867903064966</v>
      </c>
      <c r="AS704" s="13" t="b">
        <f t="shared" si="282"/>
        <v>1</v>
      </c>
      <c r="AT704" s="13" t="str">
        <f t="shared" si="291"/>
        <v>Efecto ponderador</v>
      </c>
      <c r="AU704" s="13">
        <v>3</v>
      </c>
      <c r="AV704">
        <f t="shared" si="283"/>
        <v>-1</v>
      </c>
      <c r="AW704" s="13">
        <v>0</v>
      </c>
      <c r="AX704" s="13">
        <v>0</v>
      </c>
      <c r="AY704" s="13">
        <v>0</v>
      </c>
      <c r="AZ704" s="13">
        <v>0</v>
      </c>
      <c r="BA704">
        <v>0</v>
      </c>
      <c r="BB704" t="s">
        <v>2840</v>
      </c>
      <c r="BC704">
        <v>6</v>
      </c>
      <c r="BD704" t="s">
        <v>2919</v>
      </c>
      <c r="BE704">
        <v>0</v>
      </c>
      <c r="BF704" s="232" t="s">
        <v>2846</v>
      </c>
      <c r="BG704" s="232" t="s">
        <v>2846</v>
      </c>
      <c r="BH704" s="253">
        <v>27.4</v>
      </c>
      <c r="BI704" s="253">
        <v>6.5215368871522932</v>
      </c>
      <c r="BJ704" s="25">
        <v>2.1908477499653309</v>
      </c>
      <c r="BK704" t="s">
        <v>381</v>
      </c>
      <c r="BL704">
        <v>0.60964257545816658</v>
      </c>
      <c r="BM704" t="s">
        <v>383</v>
      </c>
      <c r="BN704" s="322">
        <v>17444.23444</v>
      </c>
      <c r="BO704" s="322">
        <v>3404.6250540000001</v>
      </c>
      <c r="BP704" s="10">
        <v>12340</v>
      </c>
      <c r="BQ704" s="254">
        <f t="shared" si="284"/>
        <v>1.4136332609400324</v>
      </c>
      <c r="BR704" s="254">
        <f t="shared" si="285"/>
        <v>0.27590154408427875</v>
      </c>
      <c r="BS704" s="25">
        <v>58.96089624106866</v>
      </c>
      <c r="BT704" s="25">
        <v>87.219770437601298</v>
      </c>
      <c r="BU704" s="25">
        <v>50.177428139183029</v>
      </c>
      <c r="BV704" s="25">
        <v>93.896828701227832</v>
      </c>
      <c r="BW704" s="25">
        <v>67.268427784872841</v>
      </c>
      <c r="BX704" s="25">
        <v>72.563730879770205</v>
      </c>
      <c r="BY704" s="25">
        <v>67.479792344401403</v>
      </c>
      <c r="BZ704">
        <v>40</v>
      </c>
      <c r="CA704">
        <v>0</v>
      </c>
      <c r="CB704">
        <v>7</v>
      </c>
      <c r="CC704">
        <v>45951.731979999997</v>
      </c>
      <c r="CD704" s="10">
        <v>28822.475023999999</v>
      </c>
      <c r="CE704" s="255">
        <v>0.62723370332471207</v>
      </c>
      <c r="CF704" t="str">
        <f>IFERROR(VLOOKUP(CE704,'Rangos amb etnico'!$A$2:$C$6,3,9),"N.D.")</f>
        <v>51% - 70%</v>
      </c>
      <c r="CG704" s="256">
        <v>8.3855444953001947E-4</v>
      </c>
      <c r="CH704" s="232">
        <v>0</v>
      </c>
      <c r="CI704" s="311">
        <f t="shared" si="292"/>
        <v>0</v>
      </c>
      <c r="CJ704" s="232">
        <f>IFERROR(VLOOKUP(CI704,'Rangos amb etnico'!$A$2:$C$6,3,9),"N.D.")</f>
        <v>0</v>
      </c>
      <c r="CK704" s="311">
        <f t="shared" si="293"/>
        <v>0</v>
      </c>
      <c r="CL704" s="10">
        <v>0</v>
      </c>
      <c r="CM704" s="255">
        <f t="shared" si="294"/>
        <v>0</v>
      </c>
      <c r="CN704" s="232">
        <f>IFERROR(VLOOKUP(CM704,'Rangos amb etnico'!$A$2:$C$6,3,9),"N.D.")</f>
        <v>0</v>
      </c>
      <c r="CO704" s="311">
        <f t="shared" si="295"/>
        <v>0</v>
      </c>
      <c r="CP704">
        <v>0.96911171204403912</v>
      </c>
      <c r="CQ704" t="s">
        <v>2864</v>
      </c>
      <c r="CR704">
        <f t="shared" si="286"/>
        <v>2</v>
      </c>
      <c r="CS704" t="str">
        <f t="shared" si="296"/>
        <v>No es Candidato</v>
      </c>
      <c r="CT704">
        <v>0</v>
      </c>
      <c r="CU704">
        <v>0</v>
      </c>
      <c r="CV704" s="25">
        <v>56.288738250732422</v>
      </c>
      <c r="CW704" s="25">
        <v>25.26186561584473</v>
      </c>
      <c r="CX704" s="25">
        <v>52.316761016845703</v>
      </c>
      <c r="CY704" s="25">
        <v>60.58587646484375</v>
      </c>
      <c r="CZ704" s="25">
        <v>44.835334777832031</v>
      </c>
      <c r="DA704" s="25">
        <v>85.330421447753906</v>
      </c>
      <c r="DB704" s="25">
        <v>69.402183532714844</v>
      </c>
      <c r="DC704">
        <v>105</v>
      </c>
      <c r="DD704" s="253" t="s">
        <v>380</v>
      </c>
    </row>
    <row r="705" spans="1:108" hidden="1">
      <c r="A705" s="13">
        <v>54398</v>
      </c>
      <c r="B705" s="13" t="s">
        <v>1844</v>
      </c>
      <c r="C705" s="13" t="s">
        <v>517</v>
      </c>
      <c r="D705" s="13" t="s">
        <v>518</v>
      </c>
      <c r="E705" s="13" t="s">
        <v>1845</v>
      </c>
      <c r="F705" s="14">
        <v>67.220433333333304</v>
      </c>
      <c r="G705" s="13">
        <v>65.209999999999994</v>
      </c>
      <c r="H705" s="13">
        <v>71.03</v>
      </c>
      <c r="I705" s="13">
        <v>65.7</v>
      </c>
      <c r="J705" s="14">
        <v>48.100918977355548</v>
      </c>
      <c r="K705" s="14">
        <v>46.274317195114882</v>
      </c>
      <c r="L705" s="14">
        <v>50.681985919153639</v>
      </c>
      <c r="M705" s="14">
        <v>49.341000000000001</v>
      </c>
      <c r="N705" s="14">
        <f t="shared" si="270"/>
        <v>67.290108333333322</v>
      </c>
      <c r="O705" s="14">
        <f t="shared" si="271"/>
        <v>48.599555522906023</v>
      </c>
      <c r="P705" s="14">
        <f t="shared" si="287"/>
        <v>57.944831928119669</v>
      </c>
      <c r="Q705" s="14">
        <v>58.101103880360007</v>
      </c>
      <c r="R705" s="17">
        <f t="shared" si="272"/>
        <v>41.898896119639993</v>
      </c>
      <c r="S705" s="14">
        <f t="shared" si="288"/>
        <v>0.47709006507675999</v>
      </c>
      <c r="T705" s="13">
        <v>0</v>
      </c>
      <c r="U705" s="13">
        <f t="shared" si="289"/>
        <v>27.644903635448532</v>
      </c>
      <c r="V705" s="13">
        <f>IF($T705=1,$AU705,(VLOOKUP(U705,'Cortes naturales'!$A$35:$C$39,3,9)))</f>
        <v>4</v>
      </c>
      <c r="W705" s="13">
        <v>4</v>
      </c>
      <c r="X705" s="14" t="b">
        <f t="shared" si="273"/>
        <v>1</v>
      </c>
      <c r="Y705" s="17">
        <f>IF($T705=1,$AU705,VLOOKUP(U705,'Cortes naturales'!$A$45:$C$49,3,9))</f>
        <v>4</v>
      </c>
      <c r="Z705" s="14">
        <v>57.995083209386706</v>
      </c>
      <c r="AA705" s="14">
        <v>0.48501581097616042</v>
      </c>
      <c r="AB705" s="14">
        <v>28.128532315430597</v>
      </c>
      <c r="AC705" s="13">
        <v>3</v>
      </c>
      <c r="AD705" s="13">
        <f t="shared" si="274"/>
        <v>-1</v>
      </c>
      <c r="AE705" s="14">
        <f t="shared" si="275"/>
        <v>-5.0251281267037484E-2</v>
      </c>
      <c r="AF705" s="14">
        <f t="shared" si="276"/>
        <v>-7.9257458994004271E-3</v>
      </c>
      <c r="AG705" s="13">
        <f t="shared" si="277"/>
        <v>-0.48362867998206482</v>
      </c>
      <c r="AH705" s="13">
        <f>IF($T705=1,$AU705,VLOOKUP(U705,'Cortes naturales'!$A$25:$C$29,3,9))</f>
        <v>4</v>
      </c>
      <c r="AI705" s="13" t="b">
        <f t="shared" si="278"/>
        <v>1</v>
      </c>
      <c r="AJ705" s="13" t="str">
        <f t="shared" si="279"/>
        <v>Efecto ponderador</v>
      </c>
      <c r="AK705" s="28">
        <v>0.81759069605862034</v>
      </c>
      <c r="AL705" s="28">
        <v>47.416240449140084</v>
      </c>
      <c r="AM705" s="28">
        <v>0.42250117474818766</v>
      </c>
      <c r="AN705" s="13">
        <v>3</v>
      </c>
      <c r="AO705" s="33">
        <f t="shared" si="280"/>
        <v>-1</v>
      </c>
      <c r="AP705" s="13">
        <f t="shared" si="290"/>
        <v>42.250117474818765</v>
      </c>
      <c r="AQ705" s="13">
        <f>IFERROR(VLOOKUP(U705,'Cortes naturales'!$E$15:$G$19,3,9),U705)</f>
        <v>4</v>
      </c>
      <c r="AR705" s="28">
        <f t="shared" si="281"/>
        <v>-0.34050063098186034</v>
      </c>
      <c r="AS705" s="13" t="b">
        <f t="shared" si="282"/>
        <v>1</v>
      </c>
      <c r="AT705" s="13" t="str">
        <f t="shared" si="291"/>
        <v>Efecto ponderador</v>
      </c>
      <c r="AU705" s="13">
        <v>4</v>
      </c>
      <c r="AV705">
        <f t="shared" si="283"/>
        <v>0</v>
      </c>
      <c r="AW705" s="13">
        <v>0</v>
      </c>
      <c r="AX705" s="13">
        <v>0</v>
      </c>
      <c r="AY705" s="13">
        <v>0</v>
      </c>
      <c r="AZ705" s="13">
        <v>0</v>
      </c>
      <c r="BA705">
        <v>1</v>
      </c>
      <c r="BB705" t="s">
        <v>2841</v>
      </c>
      <c r="BC705">
        <v>6</v>
      </c>
      <c r="BD705" t="s">
        <v>2919</v>
      </c>
      <c r="BE705">
        <v>1</v>
      </c>
      <c r="BF705" s="232" t="s">
        <v>2846</v>
      </c>
      <c r="BG705" s="232" t="s">
        <v>2845</v>
      </c>
      <c r="BH705" s="253">
        <v>67.900000000000006</v>
      </c>
      <c r="BI705" s="253">
        <v>24.405261684858662</v>
      </c>
      <c r="BJ705" s="25">
        <v>56.688002516874505</v>
      </c>
      <c r="BK705" t="s">
        <v>376</v>
      </c>
      <c r="BL705">
        <v>34.412275299241635</v>
      </c>
      <c r="BM705" t="s">
        <v>384</v>
      </c>
      <c r="BN705" s="322">
        <v>22065.732184</v>
      </c>
      <c r="BO705" s="322">
        <v>900.68209100000001</v>
      </c>
      <c r="BP705" s="10">
        <v>8582</v>
      </c>
      <c r="BQ705" s="254">
        <f t="shared" si="284"/>
        <v>2.571164318806805</v>
      </c>
      <c r="BR705" s="254">
        <f t="shared" si="285"/>
        <v>0.10495013877883944</v>
      </c>
      <c r="BS705" s="25">
        <v>60.41461398263538</v>
      </c>
      <c r="BT705" s="25">
        <v>96.442502218597056</v>
      </c>
      <c r="BU705" s="25">
        <v>35.107539477461927</v>
      </c>
      <c r="BV705" s="25">
        <v>93.046002979684928</v>
      </c>
      <c r="BW705" s="25">
        <v>44.608330048324433</v>
      </c>
      <c r="BX705" s="25">
        <v>71.252664664594818</v>
      </c>
      <c r="BY705" s="25">
        <v>45.516838850513729</v>
      </c>
      <c r="BZ705">
        <v>14</v>
      </c>
      <c r="CA705">
        <v>0</v>
      </c>
      <c r="CB705">
        <v>7</v>
      </c>
      <c r="CC705">
        <v>24177.236669999998</v>
      </c>
      <c r="CD705" s="10">
        <v>6906.1308250000002</v>
      </c>
      <c r="CE705" s="255">
        <v>0.28564599500195903</v>
      </c>
      <c r="CF705" t="str">
        <f>IFERROR(VLOOKUP(CE705,'Rangos amb etnico'!$A$2:$C$6,3,9),"N.D.")</f>
        <v>0,1% - 30%</v>
      </c>
      <c r="CG705" s="256">
        <v>2.0092537950047542E-4</v>
      </c>
      <c r="CH705" s="232">
        <v>0</v>
      </c>
      <c r="CI705" s="311">
        <f t="shared" si="292"/>
        <v>0</v>
      </c>
      <c r="CJ705" s="232">
        <f>IFERROR(VLOOKUP(CI705,'Rangos amb etnico'!$A$2:$C$6,3,9),"N.D.")</f>
        <v>0</v>
      </c>
      <c r="CK705" s="311">
        <f t="shared" si="293"/>
        <v>0</v>
      </c>
      <c r="CL705" s="10">
        <v>732.07553665499904</v>
      </c>
      <c r="CM705" s="255">
        <f t="shared" si="294"/>
        <v>3.0279537179837644E-2</v>
      </c>
      <c r="CN705" s="232" t="str">
        <f>IFERROR(VLOOKUP(CM705,'Rangos amb etnico'!$A$2:$C$6,3,9),"N.D.")</f>
        <v>0,1% - 30%</v>
      </c>
      <c r="CO705" s="311">
        <f t="shared" si="295"/>
        <v>4.5908965413812955E-4</v>
      </c>
      <c r="CP705">
        <v>0.92915791673166592</v>
      </c>
      <c r="CQ705" t="s">
        <v>2864</v>
      </c>
      <c r="CR705">
        <f t="shared" si="286"/>
        <v>2</v>
      </c>
      <c r="CS705" t="str">
        <f t="shared" si="296"/>
        <v>No es Candidato</v>
      </c>
      <c r="CT705">
        <v>0</v>
      </c>
      <c r="CU705">
        <v>0</v>
      </c>
      <c r="CV705" s="25">
        <v>42.429367065429688</v>
      </c>
      <c r="CW705" s="25">
        <v>17.829902648925781</v>
      </c>
      <c r="CX705" s="25">
        <v>47.888298034667969</v>
      </c>
      <c r="CY705" s="25">
        <v>52.345958709716797</v>
      </c>
      <c r="CZ705" s="25">
        <v>29.932435989379879</v>
      </c>
      <c r="DA705" s="25">
        <v>45.401741027832031</v>
      </c>
      <c r="DB705" s="25">
        <v>61.177875518798828</v>
      </c>
      <c r="DC705">
        <v>38</v>
      </c>
      <c r="DD705" s="253" t="s">
        <v>380</v>
      </c>
    </row>
    <row r="706" spans="1:108">
      <c r="A706" s="13">
        <v>5150</v>
      </c>
      <c r="B706" s="13" t="s">
        <v>1846</v>
      </c>
      <c r="C706" s="13" t="s">
        <v>435</v>
      </c>
      <c r="D706" s="13" t="s">
        <v>436</v>
      </c>
      <c r="E706" s="13" t="s">
        <v>1847</v>
      </c>
      <c r="F706" s="14">
        <v>65.709733333333304</v>
      </c>
      <c r="G706" s="13">
        <v>67.25</v>
      </c>
      <c r="H706" s="13">
        <v>53.9</v>
      </c>
      <c r="I706" s="13">
        <v>79.349999999999994</v>
      </c>
      <c r="J706" s="14">
        <v>49.686145738854314</v>
      </c>
      <c r="K706" s="14">
        <v>60.354551830586217</v>
      </c>
      <c r="L706" s="14">
        <v>14.305873790683126</v>
      </c>
      <c r="M706" s="14">
        <v>56.021099999999997</v>
      </c>
      <c r="N706" s="14">
        <f t="shared" si="270"/>
        <v>66.552433333333326</v>
      </c>
      <c r="O706" s="14">
        <f t="shared" si="271"/>
        <v>45.091917840030916</v>
      </c>
      <c r="P706" s="14">
        <f t="shared" si="287"/>
        <v>55.822175586682121</v>
      </c>
      <c r="Q706" s="14">
        <v>57.915066340481516</v>
      </c>
      <c r="R706" s="17">
        <f t="shared" si="272"/>
        <v>42.084933659518484</v>
      </c>
      <c r="S706" s="14">
        <f t="shared" si="288"/>
        <v>0.47876440293566636</v>
      </c>
      <c r="T706" s="13">
        <v>0</v>
      </c>
      <c r="U706" s="13">
        <f t="shared" si="289"/>
        <v>26.725670565327796</v>
      </c>
      <c r="V706" s="13">
        <f>IF($T706=1,$AU706,(VLOOKUP(U706,'Cortes naturales'!$A$35:$C$39,3,9)))</f>
        <v>4</v>
      </c>
      <c r="W706" s="13">
        <v>4</v>
      </c>
      <c r="X706" s="14" t="b">
        <f t="shared" si="273"/>
        <v>1</v>
      </c>
      <c r="Y706" s="17">
        <f>IF($T706=1,$AU706,VLOOKUP(U706,'Cortes naturales'!$A$45:$C$49,3,9))</f>
        <v>4</v>
      </c>
      <c r="Z706" s="14">
        <v>54.458915498190009</v>
      </c>
      <c r="AA706" s="14">
        <v>0.48754409843332502</v>
      </c>
      <c r="AB706" s="14">
        <v>26.551122858221678</v>
      </c>
      <c r="AC706" s="13">
        <v>4</v>
      </c>
      <c r="AD706" s="13">
        <f t="shared" si="274"/>
        <v>0</v>
      </c>
      <c r="AE706" s="14">
        <f t="shared" si="275"/>
        <v>1.3632600884921118</v>
      </c>
      <c r="AF706" s="14">
        <f t="shared" si="276"/>
        <v>-8.7796954976586683E-3</v>
      </c>
      <c r="AG706" s="13">
        <f t="shared" si="277"/>
        <v>0.17454770710611811</v>
      </c>
      <c r="AH706" s="13">
        <f>IF($T706=1,$AU706,VLOOKUP(U706,'Cortes naturales'!$A$25:$C$29,3,9))</f>
        <v>4</v>
      </c>
      <c r="AI706" s="13" t="b">
        <f t="shared" si="278"/>
        <v>1</v>
      </c>
      <c r="AJ706" s="13">
        <f t="shared" si="279"/>
        <v>0</v>
      </c>
      <c r="AK706" s="28">
        <v>0.81759069605862034</v>
      </c>
      <c r="AL706" s="28">
        <v>44.52510262876276</v>
      </c>
      <c r="AM706" s="28">
        <v>0.38633608816178888</v>
      </c>
      <c r="AN706" s="13">
        <v>3</v>
      </c>
      <c r="AO706" s="33">
        <f t="shared" si="280"/>
        <v>-1</v>
      </c>
      <c r="AP706" s="13">
        <f t="shared" si="290"/>
        <v>38.633608816178885</v>
      </c>
      <c r="AQ706" s="13">
        <f>IFERROR(VLOOKUP(U706,'Cortes naturales'!$E$15:$G$19,3,9),U706)</f>
        <v>4</v>
      </c>
      <c r="AR706" s="28">
        <f t="shared" si="281"/>
        <v>-0.33882629312295398</v>
      </c>
      <c r="AS706" s="13" t="b">
        <f t="shared" si="282"/>
        <v>1</v>
      </c>
      <c r="AT706" s="13" t="str">
        <f t="shared" si="291"/>
        <v>Efecto ponderador</v>
      </c>
      <c r="AU706" s="13">
        <v>3</v>
      </c>
      <c r="AV706">
        <f t="shared" si="283"/>
        <v>-1</v>
      </c>
      <c r="AW706" s="13">
        <v>0</v>
      </c>
      <c r="AX706" s="13">
        <v>0</v>
      </c>
      <c r="AY706" s="13">
        <v>0</v>
      </c>
      <c r="AZ706" s="13">
        <v>0</v>
      </c>
      <c r="BA706">
        <v>0</v>
      </c>
      <c r="BB706" t="s">
        <v>2840</v>
      </c>
      <c r="BC706">
        <v>6</v>
      </c>
      <c r="BD706" t="s">
        <v>2919</v>
      </c>
      <c r="BE706">
        <v>0</v>
      </c>
      <c r="BF706" s="232" t="s">
        <v>2846</v>
      </c>
      <c r="BG706" s="232" t="s">
        <v>2845</v>
      </c>
      <c r="BH706" s="253">
        <v>20.399999999999999</v>
      </c>
      <c r="BI706" s="253">
        <v>6.2349397590361448</v>
      </c>
      <c r="BJ706" s="25">
        <v>11.102713913249584</v>
      </c>
      <c r="BK706" t="s">
        <v>377</v>
      </c>
      <c r="BL706">
        <v>0.22118710350617407</v>
      </c>
      <c r="BM706" t="s">
        <v>383</v>
      </c>
      <c r="BN706" s="322">
        <v>18142.421119999999</v>
      </c>
      <c r="BO706" s="322">
        <v>2233.2298730000002</v>
      </c>
      <c r="BP706" s="10">
        <v>3947</v>
      </c>
      <c r="BQ706" s="254">
        <f t="shared" si="284"/>
        <v>4.596509024575627</v>
      </c>
      <c r="BR706" s="254">
        <f t="shared" si="285"/>
        <v>0.56580437623511537</v>
      </c>
      <c r="BS706" s="25">
        <v>81.785067873303163</v>
      </c>
      <c r="BT706" s="25">
        <v>91.031162908538136</v>
      </c>
      <c r="BU706" s="25">
        <v>65.649095477386936</v>
      </c>
      <c r="BV706" s="25">
        <v>87.529360322136412</v>
      </c>
      <c r="BW706" s="25">
        <v>68.989778992184029</v>
      </c>
      <c r="BX706" s="25">
        <v>81.498671645341162</v>
      </c>
      <c r="BY706" s="25">
        <v>71.555599871324176</v>
      </c>
      <c r="BZ706">
        <v>61</v>
      </c>
      <c r="CA706">
        <v>0</v>
      </c>
      <c r="CB706">
        <v>7</v>
      </c>
      <c r="CC706">
        <v>14951.422484000001</v>
      </c>
      <c r="CD706" s="10">
        <v>938.12535700000001</v>
      </c>
      <c r="CE706" s="255">
        <v>6.2744889859404226E-2</v>
      </c>
      <c r="CF706" t="str">
        <f>IFERROR(VLOOKUP(CE706,'Rangos amb etnico'!$A$2:$C$6,3,9),"N.D.")</f>
        <v>0,1% - 30%</v>
      </c>
      <c r="CG706" s="256">
        <v>2.7293603053667026E-5</v>
      </c>
      <c r="CH706" s="232">
        <v>0</v>
      </c>
      <c r="CI706" s="311">
        <f t="shared" si="292"/>
        <v>0</v>
      </c>
      <c r="CJ706" s="232">
        <f>IFERROR(VLOOKUP(CI706,'Rangos amb etnico'!$A$2:$C$6,3,9),"N.D.")</f>
        <v>0</v>
      </c>
      <c r="CK706" s="311">
        <f t="shared" si="293"/>
        <v>0</v>
      </c>
      <c r="CL706" s="10">
        <v>0</v>
      </c>
      <c r="CM706" s="255">
        <f t="shared" si="294"/>
        <v>0</v>
      </c>
      <c r="CN706" s="232">
        <f>IFERROR(VLOOKUP(CM706,'Rangos amb etnico'!$A$2:$C$6,3,9),"N.D.")</f>
        <v>0</v>
      </c>
      <c r="CO706" s="311">
        <f t="shared" si="295"/>
        <v>0</v>
      </c>
      <c r="CP706">
        <v>0.94835255183861311</v>
      </c>
      <c r="CQ706" t="s">
        <v>2864</v>
      </c>
      <c r="CR706">
        <f t="shared" si="286"/>
        <v>3</v>
      </c>
      <c r="CS706" t="str">
        <f t="shared" si="296"/>
        <v>Candidato</v>
      </c>
      <c r="CT706">
        <v>0</v>
      </c>
      <c r="CU706">
        <v>0</v>
      </c>
      <c r="CV706" s="25">
        <v>39.222160339355469</v>
      </c>
      <c r="CW706" s="25">
        <v>19.285028457641602</v>
      </c>
      <c r="CX706" s="25">
        <v>40.885852813720703</v>
      </c>
      <c r="CY706" s="25">
        <v>64.064552307128906</v>
      </c>
      <c r="CZ706" s="25">
        <v>36.826641082763672</v>
      </c>
      <c r="DA706" s="25">
        <v>28.087812423706051</v>
      </c>
      <c r="DB706" s="25">
        <v>46.183090209960938</v>
      </c>
      <c r="DC706">
        <v>137</v>
      </c>
      <c r="DD706" s="253" t="s">
        <v>380</v>
      </c>
    </row>
    <row r="707" spans="1:108" hidden="1">
      <c r="A707" s="13">
        <v>44090</v>
      </c>
      <c r="B707" s="13" t="s">
        <v>1848</v>
      </c>
      <c r="C707" s="13" t="s">
        <v>933</v>
      </c>
      <c r="D707" s="13" t="s">
        <v>934</v>
      </c>
      <c r="E707" s="13" t="s">
        <v>1849</v>
      </c>
      <c r="F707" s="14">
        <v>61.345666666666702</v>
      </c>
      <c r="G707" s="13">
        <v>76.88</v>
      </c>
      <c r="H707" s="13">
        <v>73.17</v>
      </c>
      <c r="I707" s="13">
        <v>84.43</v>
      </c>
      <c r="J707" s="14">
        <v>66.593994901234566</v>
      </c>
      <c r="K707" s="14">
        <v>55.851910600306631</v>
      </c>
      <c r="L707" s="14">
        <v>67.091939779401216</v>
      </c>
      <c r="M707" s="14">
        <v>60.500300000000003</v>
      </c>
      <c r="N707" s="14">
        <f t="shared" ref="N707:N770" si="297">IFERROR(AVERAGE(F707:I707),"N.D.")</f>
        <v>73.956416666666684</v>
      </c>
      <c r="O707" s="14">
        <f t="shared" ref="O707:O770" si="298">IFERROR(AVERAGE(J707:M707),"N.D.")</f>
        <v>62.509536320235604</v>
      </c>
      <c r="P707" s="14">
        <f t="shared" si="287"/>
        <v>68.232976493451147</v>
      </c>
      <c r="Q707" s="14">
        <v>57.535676944194492</v>
      </c>
      <c r="R707" s="17">
        <f t="shared" ref="R707:R770" si="299">IFERROR(MAX($Q$3:$Q$1105)-Q707,"N.D.")</f>
        <v>42.464323055805508</v>
      </c>
      <c r="S707" s="14">
        <f t="shared" si="288"/>
        <v>0.48217890750224957</v>
      </c>
      <c r="T707" s="13">
        <v>0</v>
      </c>
      <c r="U707" s="13">
        <f t="shared" si="289"/>
        <v>32.900502061238953</v>
      </c>
      <c r="V707" s="13">
        <f>IF($T707=1,$AU707,(VLOOKUP(U707,'Cortes naturales'!$A$35:$C$39,3,9)))</f>
        <v>3</v>
      </c>
      <c r="W707" s="13">
        <v>3</v>
      </c>
      <c r="X707" s="14" t="b">
        <f t="shared" ref="X707:X770" si="300">V707=W707</f>
        <v>1</v>
      </c>
      <c r="Y707" s="17">
        <f>IF($T707=1,$AU707,VLOOKUP(U707,'Cortes naturales'!$A$45:$C$49,3,9))</f>
        <v>3</v>
      </c>
      <c r="Z707" s="14">
        <v>64.183575632920139</v>
      </c>
      <c r="AA707" s="14">
        <v>0.48541046984656866</v>
      </c>
      <c r="AB707" s="14">
        <v>31.155379604408541</v>
      </c>
      <c r="AC707" s="13">
        <v>3</v>
      </c>
      <c r="AD707" s="13">
        <f t="shared" ref="AD707:AD770" si="301">IFERROR(AC707-Y707,)</f>
        <v>0</v>
      </c>
      <c r="AE707" s="14">
        <f t="shared" ref="AE707:AE770" si="302">IFERROR(P707-Z707,"N.D.")</f>
        <v>4.0494008605310086</v>
      </c>
      <c r="AF707" s="14">
        <f t="shared" ref="AF707:AF770" si="303">IFERROR(S707-AA707,"N.D.")</f>
        <v>-3.2315623443190944E-3</v>
      </c>
      <c r="AG707" s="13">
        <f t="shared" ref="AG707:AG770" si="304">IFERROR(U707-AB707,0)</f>
        <v>1.745122456830412</v>
      </c>
      <c r="AH707" s="13">
        <f>IF($T707=1,$AU707,VLOOKUP(U707,'Cortes naturales'!$A$25:$C$29,3,9))</f>
        <v>3</v>
      </c>
      <c r="AI707" s="13" t="b">
        <f t="shared" ref="AI707:AI770" si="305">AH707=Y707</f>
        <v>1</v>
      </c>
      <c r="AJ707" s="13">
        <f t="shared" ref="AJ707:AJ770" si="306">IF(AD707=0,0,IF(AI707=TRUE,"Efecto ponderador","Cambio en corte"))</f>
        <v>0</v>
      </c>
      <c r="AK707" s="28">
        <v>0.81759069605862034</v>
      </c>
      <c r="AL707" s="28">
        <v>52.475894277250276</v>
      </c>
      <c r="AM707" s="28">
        <v>0.48579211075999212</v>
      </c>
      <c r="AN707" s="13">
        <v>2</v>
      </c>
      <c r="AO707" s="33">
        <f t="shared" ref="AO707:AO770" si="307">IF(AND(ISNUMBER(AN707),ISNUMBER(Y707)),AN707-Y707,IF(AN707="SC- Centro aglomeración",Y707,IF(OR(AN707="Bogotá",AN707="Ciudades grandes"),0,0)))</f>
        <v>-1</v>
      </c>
      <c r="AP707" s="13">
        <f t="shared" si="290"/>
        <v>48.579211075999211</v>
      </c>
      <c r="AQ707" s="13">
        <f>IFERROR(VLOOKUP(U707,'Cortes naturales'!$E$15:$G$19,3,9),U707)</f>
        <v>4</v>
      </c>
      <c r="AR707" s="28">
        <f t="shared" ref="AR707:AR770" si="308">IFERROR(S707-AK707,"N.D.")</f>
        <v>-0.33541178855637077</v>
      </c>
      <c r="AS707" s="13" t="b">
        <f t="shared" ref="AS707:AS770" si="309">AQ707=Y707</f>
        <v>0</v>
      </c>
      <c r="AT707" s="13" t="str">
        <f t="shared" si="291"/>
        <v>Cambio en corte</v>
      </c>
      <c r="AU707" s="13">
        <v>3</v>
      </c>
      <c r="AV707">
        <f t="shared" ref="AV707:AV770" si="310">IF(AND(ISNUMBER(AU707),ISNUMBER(Y707)),AU707-Y707,IF(AU707="SC- Centro aglomeración",Y707,IF(OR(AU707="Bogotá",AU707="Ciudades grandes"),0,0)))</f>
        <v>0</v>
      </c>
      <c r="AW707" s="13">
        <v>0</v>
      </c>
      <c r="AX707" s="13">
        <v>0</v>
      </c>
      <c r="AY707" s="13">
        <v>0</v>
      </c>
      <c r="AZ707" s="13">
        <v>1</v>
      </c>
      <c r="BA707">
        <v>1</v>
      </c>
      <c r="BB707" t="s">
        <v>2841</v>
      </c>
      <c r="BC707">
        <v>6</v>
      </c>
      <c r="BD707" t="s">
        <v>2919</v>
      </c>
      <c r="BE707">
        <v>0</v>
      </c>
      <c r="BF707" s="232" t="s">
        <v>2846</v>
      </c>
      <c r="BG707" s="232" t="s">
        <v>2846</v>
      </c>
      <c r="BH707" s="253">
        <v>65.5</v>
      </c>
      <c r="BI707" s="253">
        <v>55.422905137784767</v>
      </c>
      <c r="BJ707" s="25">
        <v>48.859712267180477</v>
      </c>
      <c r="BK707" t="s">
        <v>376</v>
      </c>
      <c r="BL707">
        <v>6.721134189577306</v>
      </c>
      <c r="BM707" t="s">
        <v>379</v>
      </c>
      <c r="BN707" s="322">
        <v>116820.84822</v>
      </c>
      <c r="BO707" s="322">
        <v>9571.9335649999994</v>
      </c>
      <c r="BP707" s="10">
        <v>48596</v>
      </c>
      <c r="BQ707" s="254">
        <f t="shared" ref="BQ707:BQ770" si="311">BN707/BP707</f>
        <v>2.4039190102066015</v>
      </c>
      <c r="BR707" s="254">
        <f t="shared" ref="BR707:BR770" si="312">BO707/BP707</f>
        <v>0.19696957702280021</v>
      </c>
      <c r="BS707" s="25">
        <v>50.186119499150763</v>
      </c>
      <c r="BT707" s="25">
        <v>85.013035094564302</v>
      </c>
      <c r="BU707" s="25">
        <v>44.078967971530233</v>
      </c>
      <c r="BV707" s="25">
        <v>91.853952981365566</v>
      </c>
      <c r="BW707" s="25">
        <v>51.893189007938219</v>
      </c>
      <c r="BX707" s="25">
        <v>67.783018886652712</v>
      </c>
      <c r="BY707" s="25">
        <v>52.866286648660541</v>
      </c>
      <c r="BZ707">
        <v>76</v>
      </c>
      <c r="CA707">
        <v>0</v>
      </c>
      <c r="CB707">
        <v>7</v>
      </c>
      <c r="CC707">
        <v>174678.683361</v>
      </c>
      <c r="CD707" s="10">
        <v>124431.66740400001</v>
      </c>
      <c r="CE707" s="255">
        <v>0.71234603450063272</v>
      </c>
      <c r="CF707" t="str">
        <f>IFERROR(VLOOKUP(CE707,'Rangos amb etnico'!$A$2:$C$6,3,9),"N.D.")</f>
        <v>71% - 100%</v>
      </c>
      <c r="CG707" s="256">
        <v>3.620186270512134E-3</v>
      </c>
      <c r="CH707" s="232">
        <v>125247.583988</v>
      </c>
      <c r="CI707" s="311">
        <f t="shared" si="292"/>
        <v>0.71701699130143348</v>
      </c>
      <c r="CJ707" s="232" t="str">
        <f>IFERROR(VLOOKUP(CI707,'Rangos amb etnico'!$A$2:$C$6,3,9),"N.D.")</f>
        <v>71% - 100%</v>
      </c>
      <c r="CK707" s="311">
        <f t="shared" si="293"/>
        <v>4.9731491053659612E-3</v>
      </c>
      <c r="CL707" s="10">
        <v>0</v>
      </c>
      <c r="CM707" s="255">
        <f t="shared" si="294"/>
        <v>0</v>
      </c>
      <c r="CN707" s="232">
        <f>IFERROR(VLOOKUP(CM707,'Rangos amb etnico'!$A$2:$C$6,3,9),"N.D.")</f>
        <v>0</v>
      </c>
      <c r="CO707" s="311">
        <f t="shared" si="295"/>
        <v>0</v>
      </c>
      <c r="CP707">
        <v>0.82819523877467471</v>
      </c>
      <c r="CQ707" t="s">
        <v>2865</v>
      </c>
      <c r="CR707">
        <f t="shared" ref="CR707:CR770" si="313">IF(BY707&gt;=60,1,0)+IF(M707&gt;=60,1,0)+IF(I707&gt;=60,1,0)+IF(OR(CQ707="Crítico Bajo",CQ707="Aceptable"),1,0)</f>
        <v>3</v>
      </c>
      <c r="CS707" t="str">
        <f t="shared" si="296"/>
        <v>Candidato</v>
      </c>
      <c r="CT707">
        <v>0</v>
      </c>
      <c r="CU707">
        <v>0</v>
      </c>
      <c r="CV707" s="25">
        <v>38.264835357666023</v>
      </c>
      <c r="CW707" s="25">
        <v>25.518278121948239</v>
      </c>
      <c r="CX707" s="25">
        <v>34.817798614501953</v>
      </c>
      <c r="CY707" s="25">
        <v>35.288772583007813</v>
      </c>
      <c r="CZ707" s="25">
        <v>18.75107574462891</v>
      </c>
      <c r="DA707" s="25">
        <v>54.511470794677727</v>
      </c>
      <c r="DB707" s="25">
        <v>60.701625823974609</v>
      </c>
      <c r="DC707">
        <v>17937</v>
      </c>
      <c r="DD707" s="253" t="s">
        <v>380</v>
      </c>
    </row>
    <row r="708" spans="1:108" hidden="1">
      <c r="A708" s="13">
        <v>15325</v>
      </c>
      <c r="B708" s="13" t="s">
        <v>1850</v>
      </c>
      <c r="C708" s="13" t="s">
        <v>498</v>
      </c>
      <c r="D708" s="13" t="s">
        <v>499</v>
      </c>
      <c r="E708" s="13" t="s">
        <v>1851</v>
      </c>
      <c r="F708" s="14">
        <v>79.414599999999993</v>
      </c>
      <c r="G708" s="13">
        <v>76.900000000000006</v>
      </c>
      <c r="H708" s="13">
        <v>52.46</v>
      </c>
      <c r="I708" s="13">
        <v>65.95</v>
      </c>
      <c r="J708" s="14">
        <v>41.96996577437848</v>
      </c>
      <c r="K708" s="14">
        <v>60.943553309261908</v>
      </c>
      <c r="L708" s="14">
        <v>54.46638841574871</v>
      </c>
      <c r="M708" s="14">
        <v>51.354999999999997</v>
      </c>
      <c r="N708" s="14">
        <f t="shared" si="297"/>
        <v>68.681150000000002</v>
      </c>
      <c r="O708" s="14">
        <f t="shared" si="298"/>
        <v>52.183726874847274</v>
      </c>
      <c r="P708" s="14">
        <f t="shared" ref="P708:P771" si="314">IFERROR(AVERAGE(N708:O708),"N.D.")</f>
        <v>60.432438437423642</v>
      </c>
      <c r="Q708" s="14">
        <v>58.154835854268363</v>
      </c>
      <c r="R708" s="17">
        <f t="shared" si="299"/>
        <v>41.845164145731637</v>
      </c>
      <c r="S708" s="14">
        <f t="shared" ref="S708:S771" si="315">IFERROR((0.1+(1-0.1)*(R708%-0)/(1-0)),"N.D.")</f>
        <v>0.47660647731158479</v>
      </c>
      <c r="T708" s="13">
        <v>0</v>
      </c>
      <c r="U708" s="13">
        <f t="shared" ref="U708:U771" si="316">$P708*$S708</f>
        <v>28.802491599009695</v>
      </c>
      <c r="V708" s="13">
        <f>IF($T708=1,$AU708,(VLOOKUP(U708,'Cortes naturales'!$A$35:$C$39,3,9)))</f>
        <v>4</v>
      </c>
      <c r="W708" s="13">
        <v>4</v>
      </c>
      <c r="X708" s="14" t="b">
        <f t="shared" si="300"/>
        <v>1</v>
      </c>
      <c r="Y708" s="17">
        <f>IF($T708=1,$AU708,VLOOKUP(U708,'Cortes naturales'!$A$45:$C$49,3,9))</f>
        <v>3</v>
      </c>
      <c r="Z708" s="14">
        <v>62.006149684613405</v>
      </c>
      <c r="AA708" s="14">
        <v>0.48579513844631139</v>
      </c>
      <c r="AB708" s="14">
        <v>30.122286070559475</v>
      </c>
      <c r="AC708" s="13">
        <v>3</v>
      </c>
      <c r="AD708" s="13">
        <f t="shared" si="301"/>
        <v>0</v>
      </c>
      <c r="AE708" s="14">
        <f t="shared" si="302"/>
        <v>-1.5737112471897632</v>
      </c>
      <c r="AF708" s="14">
        <f t="shared" si="303"/>
        <v>-9.1886611347266056E-3</v>
      </c>
      <c r="AG708" s="13">
        <f t="shared" si="304"/>
        <v>-1.3197944715497805</v>
      </c>
      <c r="AH708" s="13">
        <f>IF($T708=1,$AU708,VLOOKUP(U708,'Cortes naturales'!$A$25:$C$29,3,9))</f>
        <v>3</v>
      </c>
      <c r="AI708" s="13" t="b">
        <f t="shared" si="305"/>
        <v>1</v>
      </c>
      <c r="AJ708" s="13">
        <f t="shared" si="306"/>
        <v>0</v>
      </c>
      <c r="AK708" s="28">
        <v>0.81759069605862034</v>
      </c>
      <c r="AL708" s="28">
        <v>50.695651080558072</v>
      </c>
      <c r="AM708" s="28">
        <v>0.46352314492258412</v>
      </c>
      <c r="AN708" s="13">
        <v>3</v>
      </c>
      <c r="AO708" s="33">
        <f t="shared" si="307"/>
        <v>0</v>
      </c>
      <c r="AP708" s="13">
        <f t="shared" ref="AP708:AP771" si="317">IFERROR(AM708*100,"N.D")</f>
        <v>46.352314492258415</v>
      </c>
      <c r="AQ708" s="13">
        <f>IFERROR(VLOOKUP(U708,'Cortes naturales'!$E$15:$G$19,3,9),U708)</f>
        <v>4</v>
      </c>
      <c r="AR708" s="28">
        <f t="shared" si="308"/>
        <v>-0.34098421874703555</v>
      </c>
      <c r="AS708" s="13" t="b">
        <f t="shared" si="309"/>
        <v>0</v>
      </c>
      <c r="AT708" s="13">
        <f t="shared" ref="AT708:AT771" si="318">IF(AO708=0,0,IF(AS708=TRUE,"Efecto ponderador","Cambio en corte"))</f>
        <v>0</v>
      </c>
      <c r="AU708" s="13">
        <v>3</v>
      </c>
      <c r="AV708">
        <f t="shared" si="310"/>
        <v>0</v>
      </c>
      <c r="AW708" s="13">
        <v>0</v>
      </c>
      <c r="AX708" s="13">
        <v>0</v>
      </c>
      <c r="AY708" s="13">
        <v>0</v>
      </c>
      <c r="AZ708" s="13">
        <v>0</v>
      </c>
      <c r="BA708">
        <v>0</v>
      </c>
      <c r="BB708" t="s">
        <v>2840</v>
      </c>
      <c r="BC708">
        <v>6</v>
      </c>
      <c r="BD708" t="s">
        <v>2919</v>
      </c>
      <c r="BE708">
        <v>0</v>
      </c>
      <c r="BF708" s="232" t="s">
        <v>2846</v>
      </c>
      <c r="BG708" s="232" t="s">
        <v>2846</v>
      </c>
      <c r="BH708" s="253">
        <v>36.1</v>
      </c>
      <c r="BI708" s="253">
        <v>9.9384914211719</v>
      </c>
      <c r="BJ708" s="25">
        <v>31.748971505528779</v>
      </c>
      <c r="BK708" t="s">
        <v>379</v>
      </c>
      <c r="BL708">
        <v>0</v>
      </c>
      <c r="BM708" t="s">
        <v>377</v>
      </c>
      <c r="BN708" s="322">
        <v>9593.0428840000004</v>
      </c>
      <c r="BO708" s="322">
        <v>857.70039699999995</v>
      </c>
      <c r="BP708" s="10">
        <v>3455</v>
      </c>
      <c r="BQ708" s="254">
        <f t="shared" si="311"/>
        <v>2.7765681285094068</v>
      </c>
      <c r="BR708" s="254">
        <f t="shared" si="312"/>
        <v>0.24824902952243125</v>
      </c>
      <c r="BS708" s="25">
        <v>54.077872204600318</v>
      </c>
      <c r="BT708" s="25">
        <v>83.945972021225273</v>
      </c>
      <c r="BU708" s="25">
        <v>30.38555747872493</v>
      </c>
      <c r="BV708" s="25">
        <v>93.362674653062683</v>
      </c>
      <c r="BW708" s="25">
        <v>47.407152784918388</v>
      </c>
      <c r="BX708" s="25">
        <v>65.443019089403307</v>
      </c>
      <c r="BY708" s="25">
        <v>49.724069957661072</v>
      </c>
      <c r="BZ708">
        <v>98</v>
      </c>
      <c r="CA708">
        <v>0</v>
      </c>
      <c r="CB708">
        <v>7</v>
      </c>
      <c r="CC708">
        <v>9980.4203180000004</v>
      </c>
      <c r="CD708" s="10">
        <v>6321.8722209999996</v>
      </c>
      <c r="CE708" s="255">
        <v>0.63342745290980429</v>
      </c>
      <c r="CF708" t="str">
        <f>IFERROR(VLOOKUP(CE708,'Rangos amb etnico'!$A$2:$C$6,3,9),"N.D.")</f>
        <v>51% - 70%</v>
      </c>
      <c r="CG708" s="256">
        <v>1.8392709425077222E-4</v>
      </c>
      <c r="CH708" s="232">
        <v>0</v>
      </c>
      <c r="CI708" s="311">
        <f t="shared" ref="CI708:CI771" si="319">IFERROR(CH708/CC708,"N.D.")</f>
        <v>0</v>
      </c>
      <c r="CJ708" s="232">
        <f>IFERROR(VLOOKUP(CI708,'Rangos amb etnico'!$A$2:$C$6,3,9),"N.D.")</f>
        <v>0</v>
      </c>
      <c r="CK708" s="311">
        <f t="shared" ref="CK708:CK771" si="320">IFERROR(CH708/$CH$1,"N.D.")</f>
        <v>0</v>
      </c>
      <c r="CL708" s="10">
        <v>0</v>
      </c>
      <c r="CM708" s="255">
        <f t="shared" ref="CM708:CM771" si="321">IFERROR(CL708/CC708,"N.D.")</f>
        <v>0</v>
      </c>
      <c r="CN708" s="232">
        <f>IFERROR(VLOOKUP(CM708,'Rangos amb etnico'!$A$2:$C$6,3,9),"N.D.")</f>
        <v>0</v>
      </c>
      <c r="CO708" s="311">
        <f t="shared" ref="CO708:CO771" si="322">IFERROR(CL708/$CL$1,"N.D.")</f>
        <v>0</v>
      </c>
      <c r="CP708">
        <v>0.96924624418195671</v>
      </c>
      <c r="CQ708" t="s">
        <v>2864</v>
      </c>
      <c r="CR708">
        <f t="shared" si="313"/>
        <v>2</v>
      </c>
      <c r="CS708" t="str">
        <f t="shared" ref="CS708:CS771" si="323">IF(CR708&gt;=3,"Candidato","No es Candidato")</f>
        <v>No es Candidato</v>
      </c>
      <c r="CT708">
        <v>0</v>
      </c>
      <c r="CU708">
        <v>0</v>
      </c>
      <c r="CV708" s="25">
        <v>50.686477661132813</v>
      </c>
      <c r="CW708" s="25">
        <v>16.005069732666019</v>
      </c>
      <c r="CX708" s="25">
        <v>47.285614013671882</v>
      </c>
      <c r="CY708" s="25">
        <v>63.352584838867188</v>
      </c>
      <c r="CZ708" s="25">
        <v>36.840362548828118</v>
      </c>
      <c r="DA708" s="25">
        <v>87.321800231933594</v>
      </c>
      <c r="DB708" s="25">
        <v>53.313423156738281</v>
      </c>
      <c r="DC708">
        <v>27</v>
      </c>
      <c r="DD708" s="253" t="s">
        <v>380</v>
      </c>
    </row>
    <row r="709" spans="1:108" hidden="1">
      <c r="A709" s="13">
        <v>15537</v>
      </c>
      <c r="B709" s="13" t="s">
        <v>1852</v>
      </c>
      <c r="C709" s="13" t="s">
        <v>498</v>
      </c>
      <c r="D709" s="13" t="s">
        <v>499</v>
      </c>
      <c r="E709" s="13" t="s">
        <v>1853</v>
      </c>
      <c r="F709" s="14">
        <v>81.262433333333306</v>
      </c>
      <c r="G709" s="13">
        <v>85.09</v>
      </c>
      <c r="H709" s="13">
        <v>68.09</v>
      </c>
      <c r="I709" s="13">
        <v>47.16</v>
      </c>
      <c r="J709" s="14">
        <v>57.886553912385317</v>
      </c>
      <c r="K709" s="14">
        <v>60.646253622453287</v>
      </c>
      <c r="L709" s="14">
        <v>61.82815396088219</v>
      </c>
      <c r="M709" s="14">
        <v>67.297799999999995</v>
      </c>
      <c r="N709" s="14">
        <f t="shared" si="297"/>
        <v>70.400608333333324</v>
      </c>
      <c r="O709" s="14">
        <f t="shared" si="298"/>
        <v>61.914690373930199</v>
      </c>
      <c r="P709" s="14">
        <f t="shared" si="314"/>
        <v>66.157649353631768</v>
      </c>
      <c r="Q709" s="14">
        <v>58.442323613606959</v>
      </c>
      <c r="R709" s="17">
        <f t="shared" si="299"/>
        <v>41.557676386393041</v>
      </c>
      <c r="S709" s="14">
        <f t="shared" si="315"/>
        <v>0.4740190874775374</v>
      </c>
      <c r="T709" s="13">
        <v>0</v>
      </c>
      <c r="U709" s="13">
        <f t="shared" si="316"/>
        <v>31.359988576267423</v>
      </c>
      <c r="V709" s="13">
        <f>IF($T709=1,$AU709,(VLOOKUP(U709,'Cortes naturales'!$A$35:$C$39,3,9)))</f>
        <v>3</v>
      </c>
      <c r="W709" s="13">
        <v>3</v>
      </c>
      <c r="X709" s="14" t="b">
        <f t="shared" si="300"/>
        <v>1</v>
      </c>
      <c r="Y709" s="17">
        <f>IF($T709=1,$AU709,VLOOKUP(U709,'Cortes naturales'!$A$45:$C$49,3,9))</f>
        <v>3</v>
      </c>
      <c r="Z709" s="14">
        <v>69.196484130120496</v>
      </c>
      <c r="AA709" s="14">
        <v>0.48506095644698599</v>
      </c>
      <c r="AB709" s="14">
        <v>33.564512774924935</v>
      </c>
      <c r="AC709" s="13">
        <v>3</v>
      </c>
      <c r="AD709" s="13">
        <f t="shared" si="301"/>
        <v>0</v>
      </c>
      <c r="AE709" s="14">
        <f t="shared" si="302"/>
        <v>-3.0388347764887271</v>
      </c>
      <c r="AF709" s="14">
        <f t="shared" si="303"/>
        <v>-1.1041868969448587E-2</v>
      </c>
      <c r="AG709" s="13">
        <f t="shared" si="304"/>
        <v>-2.2045241986575128</v>
      </c>
      <c r="AH709" s="13">
        <f>IF($T709=1,$AU709,VLOOKUP(U709,'Cortes naturales'!$A$25:$C$29,3,9))</f>
        <v>3</v>
      </c>
      <c r="AI709" s="13" t="b">
        <f t="shared" si="305"/>
        <v>1</v>
      </c>
      <c r="AJ709" s="13">
        <f t="shared" si="306"/>
        <v>0</v>
      </c>
      <c r="AK709" s="28">
        <v>0.81759069605862034</v>
      </c>
      <c r="AL709" s="28">
        <v>56.574401624754493</v>
      </c>
      <c r="AM709" s="28">
        <v>0.5370601174433044</v>
      </c>
      <c r="AN709" s="13">
        <v>2</v>
      </c>
      <c r="AO709" s="33">
        <f t="shared" si="307"/>
        <v>-1</v>
      </c>
      <c r="AP709" s="13">
        <f t="shared" si="317"/>
        <v>53.706011744330439</v>
      </c>
      <c r="AQ709" s="13">
        <f>IFERROR(VLOOKUP(U709,'Cortes naturales'!$E$15:$G$19,3,9),U709)</f>
        <v>4</v>
      </c>
      <c r="AR709" s="28">
        <f t="shared" si="308"/>
        <v>-0.34357160858108293</v>
      </c>
      <c r="AS709" s="13" t="b">
        <f t="shared" si="309"/>
        <v>0</v>
      </c>
      <c r="AT709" s="13" t="str">
        <f t="shared" si="318"/>
        <v>Cambio en corte</v>
      </c>
      <c r="AU709" s="13">
        <v>3</v>
      </c>
      <c r="AV709">
        <f t="shared" si="310"/>
        <v>0</v>
      </c>
      <c r="AW709" s="13">
        <v>0</v>
      </c>
      <c r="AX709" s="13">
        <v>0</v>
      </c>
      <c r="AY709" s="13">
        <v>0</v>
      </c>
      <c r="AZ709" s="13">
        <v>0</v>
      </c>
      <c r="BA709">
        <v>0</v>
      </c>
      <c r="BB709" t="s">
        <v>2840</v>
      </c>
      <c r="BC709">
        <v>6</v>
      </c>
      <c r="BD709" t="s">
        <v>2919</v>
      </c>
      <c r="BE709">
        <v>0</v>
      </c>
      <c r="BF709" s="232" t="s">
        <v>2846</v>
      </c>
      <c r="BG709" s="232" t="s">
        <v>2846</v>
      </c>
      <c r="BH709" s="253">
        <v>21.6</v>
      </c>
      <c r="BI709" s="253">
        <v>7.1039603960396036</v>
      </c>
      <c r="BJ709" s="25">
        <v>19.574929494278329</v>
      </c>
      <c r="BK709" t="s">
        <v>379</v>
      </c>
      <c r="BL709">
        <v>0</v>
      </c>
      <c r="BM709" t="s">
        <v>377</v>
      </c>
      <c r="BN709" s="322">
        <v>12980.429969000001</v>
      </c>
      <c r="BO709" s="322">
        <v>2125.0972139999999</v>
      </c>
      <c r="BP709" s="10">
        <v>4373</v>
      </c>
      <c r="BQ709" s="254">
        <f t="shared" si="311"/>
        <v>2.9683123642808145</v>
      </c>
      <c r="BR709" s="254">
        <f t="shared" si="312"/>
        <v>0.4859586585867825</v>
      </c>
      <c r="BS709" s="25">
        <v>63.672565222983799</v>
      </c>
      <c r="BT709" s="25">
        <v>94.504154280051822</v>
      </c>
      <c r="BU709" s="25">
        <v>41.5470427553444</v>
      </c>
      <c r="BV709" s="25">
        <v>95.478627987827778</v>
      </c>
      <c r="BW709" s="25">
        <v>69.946182977249734</v>
      </c>
      <c r="BX709" s="25">
        <v>73.800597561551953</v>
      </c>
      <c r="BY709" s="25">
        <v>71.505897405359406</v>
      </c>
      <c r="BZ709">
        <v>82</v>
      </c>
      <c r="CA709">
        <v>0</v>
      </c>
      <c r="CB709">
        <v>6</v>
      </c>
      <c r="CC709">
        <v>12243.929774</v>
      </c>
      <c r="CD709" s="10">
        <v>3697.716144</v>
      </c>
      <c r="CE709" s="255">
        <v>0.30200403075261872</v>
      </c>
      <c r="CF709" t="str">
        <f>IFERROR(VLOOKUP(CE709,'Rangos amb etnico'!$A$2:$C$6,3,9),"N.D.")</f>
        <v>0,1% - 30%</v>
      </c>
      <c r="CG709" s="256">
        <v>1.0758050178092804E-4</v>
      </c>
      <c r="CH709" s="232">
        <v>0</v>
      </c>
      <c r="CI709" s="311">
        <f t="shared" si="319"/>
        <v>0</v>
      </c>
      <c r="CJ709" s="232">
        <f>IFERROR(VLOOKUP(CI709,'Rangos amb etnico'!$A$2:$C$6,3,9),"N.D.")</f>
        <v>0</v>
      </c>
      <c r="CK709" s="311">
        <f t="shared" si="320"/>
        <v>0</v>
      </c>
      <c r="CL709" s="10">
        <v>0</v>
      </c>
      <c r="CM709" s="255">
        <f t="shared" si="321"/>
        <v>0</v>
      </c>
      <c r="CN709" s="232">
        <f>IFERROR(VLOOKUP(CM709,'Rangos amb etnico'!$A$2:$C$6,3,9),"N.D.")</f>
        <v>0</v>
      </c>
      <c r="CO709" s="311">
        <f t="shared" si="322"/>
        <v>0</v>
      </c>
      <c r="CP709">
        <v>0.87793918233273294</v>
      </c>
      <c r="CQ709" t="s">
        <v>2864</v>
      </c>
      <c r="CR709">
        <f t="shared" si="313"/>
        <v>3</v>
      </c>
      <c r="CS709" t="str">
        <f t="shared" si="323"/>
        <v>Candidato</v>
      </c>
      <c r="CT709">
        <v>0</v>
      </c>
      <c r="CU709">
        <v>0</v>
      </c>
      <c r="CV709" s="25">
        <v>51.170326232910163</v>
      </c>
      <c r="CW709" s="25">
        <v>25.653902053833011</v>
      </c>
      <c r="CX709" s="25">
        <v>46.283535003662109</v>
      </c>
      <c r="CY709" s="25">
        <v>66.219284057617188</v>
      </c>
      <c r="CZ709" s="25">
        <v>52.644912719726563</v>
      </c>
      <c r="DA709" s="25">
        <v>61.602008819580078</v>
      </c>
      <c r="DB709" s="25">
        <v>54.618320465087891</v>
      </c>
      <c r="DC709">
        <v>25</v>
      </c>
      <c r="DD709" s="253" t="s">
        <v>380</v>
      </c>
    </row>
    <row r="710" spans="1:108" hidden="1">
      <c r="A710" s="13">
        <v>25154</v>
      </c>
      <c r="B710" s="13" t="s">
        <v>1854</v>
      </c>
      <c r="C710" s="13" t="s">
        <v>461</v>
      </c>
      <c r="D710" s="13" t="s">
        <v>462</v>
      </c>
      <c r="E710" s="13" t="s">
        <v>1855</v>
      </c>
      <c r="F710" s="14">
        <v>76.153300000000002</v>
      </c>
      <c r="G710" s="13">
        <v>72.83</v>
      </c>
      <c r="H710" s="13">
        <v>65.819999999999993</v>
      </c>
      <c r="I710" s="13">
        <v>60.12</v>
      </c>
      <c r="J710" s="14">
        <v>67.15295661003789</v>
      </c>
      <c r="K710" s="14">
        <v>51.840849262188684</v>
      </c>
      <c r="L710" s="14">
        <v>60.466042092178455</v>
      </c>
      <c r="M710" s="14">
        <v>53.315399999999997</v>
      </c>
      <c r="N710" s="14">
        <f t="shared" si="297"/>
        <v>68.730824999999996</v>
      </c>
      <c r="O710" s="14">
        <f t="shared" si="298"/>
        <v>58.193811991101256</v>
      </c>
      <c r="P710" s="14">
        <f t="shared" si="314"/>
        <v>63.462318495550626</v>
      </c>
      <c r="Q710" s="14">
        <v>59.498805371499174</v>
      </c>
      <c r="R710" s="17">
        <f t="shared" si="299"/>
        <v>40.501194628500826</v>
      </c>
      <c r="S710" s="14">
        <f t="shared" si="315"/>
        <v>0.46451075165650746</v>
      </c>
      <c r="T710" s="13">
        <v>0</v>
      </c>
      <c r="U710" s="13">
        <f t="shared" si="316"/>
        <v>29.478929266232896</v>
      </c>
      <c r="V710" s="13">
        <f>IF($T710=1,$AU710,(VLOOKUP(U710,'Cortes naturales'!$A$35:$C$39,3,9)))</f>
        <v>4</v>
      </c>
      <c r="W710" s="13">
        <v>4</v>
      </c>
      <c r="X710" s="14" t="b">
        <f t="shared" si="300"/>
        <v>1</v>
      </c>
      <c r="Y710" s="17">
        <f>IF($T710=1,$AU710,VLOOKUP(U710,'Cortes naturales'!$A$45:$C$49,3,9))</f>
        <v>3</v>
      </c>
      <c r="Z710" s="14">
        <v>66.417404120130726</v>
      </c>
      <c r="AA710" s="14">
        <v>0.48203017069740806</v>
      </c>
      <c r="AB710" s="14">
        <v>32.015192645305348</v>
      </c>
      <c r="AC710" s="13">
        <v>3</v>
      </c>
      <c r="AD710" s="13">
        <f t="shared" si="301"/>
        <v>0</v>
      </c>
      <c r="AE710" s="14">
        <f t="shared" si="302"/>
        <v>-2.9550856245801</v>
      </c>
      <c r="AF710" s="14">
        <f t="shared" si="303"/>
        <v>-1.7519419040900597E-2</v>
      </c>
      <c r="AG710" s="13">
        <f t="shared" si="304"/>
        <v>-2.5362633790724516</v>
      </c>
      <c r="AH710" s="13">
        <f>IF($T710=1,$AU710,VLOOKUP(U710,'Cortes naturales'!$A$25:$C$29,3,9))</f>
        <v>3</v>
      </c>
      <c r="AI710" s="13" t="b">
        <f t="shared" si="305"/>
        <v>1</v>
      </c>
      <c r="AJ710" s="13">
        <f t="shared" si="306"/>
        <v>0</v>
      </c>
      <c r="AK710" s="28">
        <v>0.81759069605862034</v>
      </c>
      <c r="AL710" s="28">
        <v>54.302251664984361</v>
      </c>
      <c r="AM710" s="28">
        <v>0.50863791651839485</v>
      </c>
      <c r="AN710" s="13">
        <v>2</v>
      </c>
      <c r="AO710" s="33">
        <f t="shared" si="307"/>
        <v>-1</v>
      </c>
      <c r="AP710" s="13">
        <f t="shared" si="317"/>
        <v>50.863791651839485</v>
      </c>
      <c r="AQ710" s="13">
        <f>IFERROR(VLOOKUP(U710,'Cortes naturales'!$E$15:$G$19,3,9),U710)</f>
        <v>4</v>
      </c>
      <c r="AR710" s="28">
        <f t="shared" si="308"/>
        <v>-0.35307994440211288</v>
      </c>
      <c r="AS710" s="13" t="b">
        <f t="shared" si="309"/>
        <v>0</v>
      </c>
      <c r="AT710" s="13" t="str">
        <f t="shared" si="318"/>
        <v>Cambio en corte</v>
      </c>
      <c r="AU710" s="13">
        <v>2</v>
      </c>
      <c r="AV710">
        <f t="shared" si="310"/>
        <v>-1</v>
      </c>
      <c r="AW710" s="13">
        <v>0</v>
      </c>
      <c r="AX710" s="13">
        <v>0</v>
      </c>
      <c r="AY710" s="13">
        <v>0</v>
      </c>
      <c r="AZ710" s="13">
        <v>0</v>
      </c>
      <c r="BA710">
        <v>0</v>
      </c>
      <c r="BB710" t="s">
        <v>2840</v>
      </c>
      <c r="BC710">
        <v>6</v>
      </c>
      <c r="BD710" t="s">
        <v>2919</v>
      </c>
      <c r="BE710">
        <v>0</v>
      </c>
      <c r="BF710" s="232" t="s">
        <v>2846</v>
      </c>
      <c r="BG710" s="232" t="s">
        <v>2846</v>
      </c>
      <c r="BH710" s="253">
        <v>31.2</v>
      </c>
      <c r="BI710" s="253">
        <v>13.023890784982935</v>
      </c>
      <c r="BJ710" s="25">
        <v>2.769166666666667</v>
      </c>
      <c r="BK710" t="s">
        <v>381</v>
      </c>
      <c r="BL710">
        <v>0</v>
      </c>
      <c r="BM710" t="s">
        <v>377</v>
      </c>
      <c r="BN710" s="322">
        <v>17546.813986000001</v>
      </c>
      <c r="BO710" s="322">
        <v>1721.1457559999999</v>
      </c>
      <c r="BP710" s="10">
        <v>7764</v>
      </c>
      <c r="BQ710" s="254">
        <f t="shared" si="311"/>
        <v>2.2600224093250905</v>
      </c>
      <c r="BR710" s="254">
        <f t="shared" si="312"/>
        <v>0.22168286398763523</v>
      </c>
      <c r="BS710" s="25">
        <v>53.798681299760787</v>
      </c>
      <c r="BT710" s="25">
        <v>88.874417782929754</v>
      </c>
      <c r="BU710" s="25">
        <v>52.473476707918302</v>
      </c>
      <c r="BV710" s="25">
        <v>93.237740017839769</v>
      </c>
      <c r="BW710" s="25">
        <v>48.347099475999343</v>
      </c>
      <c r="BX710" s="25">
        <v>72.096078952112151</v>
      </c>
      <c r="BY710" s="25">
        <v>48.892101107806297</v>
      </c>
      <c r="BZ710">
        <v>36</v>
      </c>
      <c r="CA710">
        <v>0</v>
      </c>
      <c r="CB710">
        <v>7</v>
      </c>
      <c r="CC710">
        <v>29814.718514</v>
      </c>
      <c r="CD710" s="10">
        <v>15732.081671</v>
      </c>
      <c r="CE710" s="255">
        <v>0.52766158646149008</v>
      </c>
      <c r="CF710" t="str">
        <f>IFERROR(VLOOKUP(CE710,'Rangos amb etnico'!$A$2:$C$6,3,9),"N.D.")</f>
        <v>51% - 70%</v>
      </c>
      <c r="CG710" s="256">
        <v>4.5770556049061647E-4</v>
      </c>
      <c r="CH710" s="232">
        <v>0</v>
      </c>
      <c r="CI710" s="311">
        <f t="shared" si="319"/>
        <v>0</v>
      </c>
      <c r="CJ710" s="232">
        <f>IFERROR(VLOOKUP(CI710,'Rangos amb etnico'!$A$2:$C$6,3,9),"N.D.")</f>
        <v>0</v>
      </c>
      <c r="CK710" s="311">
        <f t="shared" si="320"/>
        <v>0</v>
      </c>
      <c r="CL710" s="10">
        <v>0</v>
      </c>
      <c r="CM710" s="255">
        <f t="shared" si="321"/>
        <v>0</v>
      </c>
      <c r="CN710" s="232">
        <f>IFERROR(VLOOKUP(CM710,'Rangos amb etnico'!$A$2:$C$6,3,9),"N.D.")</f>
        <v>0</v>
      </c>
      <c r="CO710" s="311">
        <f t="shared" si="322"/>
        <v>0</v>
      </c>
      <c r="CP710">
        <v>0.91571576662840082</v>
      </c>
      <c r="CQ710" t="s">
        <v>2864</v>
      </c>
      <c r="CR710">
        <f t="shared" si="313"/>
        <v>2</v>
      </c>
      <c r="CS710" t="str">
        <f t="shared" si="323"/>
        <v>No es Candidato</v>
      </c>
      <c r="CT710">
        <v>0</v>
      </c>
      <c r="CU710">
        <v>0</v>
      </c>
      <c r="CV710" s="25">
        <v>48.291805267333977</v>
      </c>
      <c r="CW710" s="25">
        <v>15.39840507507324</v>
      </c>
      <c r="CX710" s="25">
        <v>46.501201629638672</v>
      </c>
      <c r="CY710" s="25">
        <v>68.769248962402344</v>
      </c>
      <c r="CZ710" s="25">
        <v>47.978466033935547</v>
      </c>
      <c r="DA710" s="25">
        <v>61.678615570068359</v>
      </c>
      <c r="DB710" s="25">
        <v>49.424884796142578</v>
      </c>
      <c r="DC710">
        <v>47</v>
      </c>
      <c r="DD710" s="253" t="s">
        <v>380</v>
      </c>
    </row>
    <row r="711" spans="1:108" hidden="1">
      <c r="A711" s="13">
        <v>15572</v>
      </c>
      <c r="B711" s="13" t="s">
        <v>1856</v>
      </c>
      <c r="C711" s="13" t="s">
        <v>498</v>
      </c>
      <c r="D711" s="13" t="s">
        <v>499</v>
      </c>
      <c r="E711" s="13" t="s">
        <v>1857</v>
      </c>
      <c r="F711" s="14">
        <v>63.215899999999998</v>
      </c>
      <c r="G711" s="13">
        <v>61.62</v>
      </c>
      <c r="H711" s="13">
        <v>62.17</v>
      </c>
      <c r="I711" s="13">
        <v>66.42</v>
      </c>
      <c r="J711" s="14">
        <v>55.418036364583315</v>
      </c>
      <c r="K711" s="14">
        <v>66.106335520131523</v>
      </c>
      <c r="L711" s="14">
        <v>53.214852750221119</v>
      </c>
      <c r="M711" s="14">
        <v>66.768100000000004</v>
      </c>
      <c r="N711" s="14">
        <f t="shared" si="297"/>
        <v>63.356475000000003</v>
      </c>
      <c r="O711" s="14">
        <f t="shared" si="298"/>
        <v>60.376831158733992</v>
      </c>
      <c r="P711" s="14">
        <f t="shared" si="314"/>
        <v>61.866653079366998</v>
      </c>
      <c r="Q711" s="14">
        <v>58.446850438855392</v>
      </c>
      <c r="R711" s="17">
        <f t="shared" si="299"/>
        <v>41.553149561144608</v>
      </c>
      <c r="S711" s="14">
        <f t="shared" si="315"/>
        <v>0.47397834605030154</v>
      </c>
      <c r="T711" s="13">
        <v>0</v>
      </c>
      <c r="U711" s="13">
        <f t="shared" si="316"/>
        <v>29.323453902226163</v>
      </c>
      <c r="V711" s="13">
        <f>IF($T711=1,$AU711,(VLOOKUP(U711,'Cortes naturales'!$A$35:$C$39,3,9)))</f>
        <v>4</v>
      </c>
      <c r="W711" s="13">
        <v>4</v>
      </c>
      <c r="X711" s="14" t="b">
        <f t="shared" si="300"/>
        <v>1</v>
      </c>
      <c r="Y711" s="17">
        <f>IF($T711=1,$AU711,VLOOKUP(U711,'Cortes naturales'!$A$45:$C$49,3,9))</f>
        <v>3</v>
      </c>
      <c r="Z711" s="14">
        <v>59.341295412318011</v>
      </c>
      <c r="AA711" s="14">
        <v>0.48494646993903245</v>
      </c>
      <c r="AB711" s="14">
        <v>28.777351731812921</v>
      </c>
      <c r="AC711" s="13">
        <v>3</v>
      </c>
      <c r="AD711" s="13">
        <f t="shared" si="301"/>
        <v>0</v>
      </c>
      <c r="AE711" s="14">
        <f t="shared" si="302"/>
        <v>2.5253576670489863</v>
      </c>
      <c r="AF711" s="14">
        <f t="shared" si="303"/>
        <v>-1.0968123888730918E-2</v>
      </c>
      <c r="AG711" s="13">
        <f t="shared" si="304"/>
        <v>0.54610217041324205</v>
      </c>
      <c r="AH711" s="13">
        <f>IF($T711=1,$AU711,VLOOKUP(U711,'Cortes naturales'!$A$25:$C$29,3,9))</f>
        <v>3</v>
      </c>
      <c r="AI711" s="13" t="b">
        <f t="shared" si="305"/>
        <v>1</v>
      </c>
      <c r="AJ711" s="13">
        <f t="shared" si="306"/>
        <v>0</v>
      </c>
      <c r="AK711" s="28">
        <v>0.81759069605862034</v>
      </c>
      <c r="AL711" s="28">
        <v>48.516891021177294</v>
      </c>
      <c r="AM711" s="28">
        <v>0.43626915320931131</v>
      </c>
      <c r="AN711" s="13">
        <v>3</v>
      </c>
      <c r="AO711" s="33">
        <f t="shared" si="307"/>
        <v>0</v>
      </c>
      <c r="AP711" s="13">
        <f t="shared" si="317"/>
        <v>43.626915320931133</v>
      </c>
      <c r="AQ711" s="13">
        <f>IFERROR(VLOOKUP(U711,'Cortes naturales'!$E$15:$G$19,3,9),U711)</f>
        <v>4</v>
      </c>
      <c r="AR711" s="28">
        <f t="shared" si="308"/>
        <v>-0.3436123500083188</v>
      </c>
      <c r="AS711" s="13" t="b">
        <f t="shared" si="309"/>
        <v>0</v>
      </c>
      <c r="AT711" s="13">
        <f t="shared" si="318"/>
        <v>0</v>
      </c>
      <c r="AU711" s="13">
        <v>2</v>
      </c>
      <c r="AV711">
        <f t="shared" si="310"/>
        <v>-1</v>
      </c>
      <c r="AW711" s="13">
        <v>0</v>
      </c>
      <c r="AX711" s="13">
        <v>1</v>
      </c>
      <c r="AY711" s="13">
        <v>0</v>
      </c>
      <c r="AZ711" s="13">
        <v>0</v>
      </c>
      <c r="BA711">
        <v>0</v>
      </c>
      <c r="BB711" t="s">
        <v>2839</v>
      </c>
      <c r="BC711">
        <v>2</v>
      </c>
      <c r="BD711" t="s">
        <v>2919</v>
      </c>
      <c r="BE711">
        <v>0</v>
      </c>
      <c r="BF711" s="232" t="s">
        <v>2846</v>
      </c>
      <c r="BG711" s="232" t="s">
        <v>2846</v>
      </c>
      <c r="BH711" s="253">
        <v>33.6</v>
      </c>
      <c r="BI711" s="253">
        <v>14.207278337417188</v>
      </c>
      <c r="BJ711" s="25">
        <v>21.260690894844881</v>
      </c>
      <c r="BK711" t="s">
        <v>379</v>
      </c>
      <c r="BL711">
        <v>4.3070107128773536</v>
      </c>
      <c r="BM711" t="s">
        <v>383</v>
      </c>
      <c r="BN711" s="322">
        <v>190745.42717000001</v>
      </c>
      <c r="BO711" s="322">
        <v>78021.254193999994</v>
      </c>
      <c r="BP711" s="10">
        <v>47787</v>
      </c>
      <c r="BQ711" s="254">
        <f t="shared" si="311"/>
        <v>3.9915756831355811</v>
      </c>
      <c r="BR711" s="254">
        <f t="shared" si="312"/>
        <v>1.6326878480339839</v>
      </c>
      <c r="BS711" s="25">
        <v>69.900943416852513</v>
      </c>
      <c r="BT711" s="25">
        <v>98.319616666666661</v>
      </c>
      <c r="BU711" s="25">
        <v>54.672815987684857</v>
      </c>
      <c r="BV711" s="25">
        <v>82.129190440206131</v>
      </c>
      <c r="BW711" s="25">
        <v>61.385413393107498</v>
      </c>
      <c r="BX711" s="25">
        <v>76.25564162785254</v>
      </c>
      <c r="BY711" s="25">
        <v>61.929601019478177</v>
      </c>
      <c r="BZ711">
        <v>29</v>
      </c>
      <c r="CA711">
        <v>0</v>
      </c>
      <c r="CB711">
        <v>5</v>
      </c>
      <c r="CC711">
        <v>151170.14046200001</v>
      </c>
      <c r="CD711" s="10">
        <v>17510.411083999999</v>
      </c>
      <c r="CE711" s="255">
        <v>0.11583247214354234</v>
      </c>
      <c r="CF711" t="str">
        <f>IFERROR(VLOOKUP(CE711,'Rangos amb etnico'!$A$2:$C$6,3,9),"N.D.")</f>
        <v>0,1% - 30%</v>
      </c>
      <c r="CG711" s="256">
        <v>5.0944386682133709E-4</v>
      </c>
      <c r="CH711" s="232">
        <v>58.433098000000001</v>
      </c>
      <c r="CI711" s="311">
        <f t="shared" si="319"/>
        <v>3.8653862344388351E-4</v>
      </c>
      <c r="CJ711" s="232">
        <f>IFERROR(VLOOKUP(CI711,'Rangos amb etnico'!$A$2:$C$6,3,9),"N.D.")</f>
        <v>0</v>
      </c>
      <c r="CK711" s="311">
        <f t="shared" si="320"/>
        <v>2.3201765638074397E-6</v>
      </c>
      <c r="CL711" s="10">
        <v>0</v>
      </c>
      <c r="CM711" s="255">
        <f t="shared" si="321"/>
        <v>0</v>
      </c>
      <c r="CN711" s="232">
        <f>IFERROR(VLOOKUP(CM711,'Rangos amb etnico'!$A$2:$C$6,3,9),"N.D.")</f>
        <v>0</v>
      </c>
      <c r="CO711" s="311">
        <f t="shared" si="322"/>
        <v>0</v>
      </c>
      <c r="CP711">
        <v>0.86041617944791438</v>
      </c>
      <c r="CQ711" t="s">
        <v>2864</v>
      </c>
      <c r="CR711">
        <f t="shared" si="313"/>
        <v>4</v>
      </c>
      <c r="CS711" t="str">
        <f t="shared" si="323"/>
        <v>Candidato</v>
      </c>
      <c r="CT711">
        <v>0</v>
      </c>
      <c r="CU711">
        <v>0</v>
      </c>
      <c r="CV711" s="25">
        <v>39.034645080566413</v>
      </c>
      <c r="CW711" s="25">
        <v>41.527183532714837</v>
      </c>
      <c r="CX711" s="25">
        <v>47.41156005859375</v>
      </c>
      <c r="CY711" s="25">
        <v>55.634395599365227</v>
      </c>
      <c r="CZ711" s="25">
        <v>30.798257827758789</v>
      </c>
      <c r="DA711" s="25">
        <v>24.678314208984379</v>
      </c>
      <c r="DB711" s="25">
        <v>34.158157348632813</v>
      </c>
      <c r="DC711">
        <v>2504</v>
      </c>
      <c r="DD711" s="253" t="s">
        <v>380</v>
      </c>
    </row>
    <row r="712" spans="1:108" hidden="1">
      <c r="A712" s="13">
        <v>68686</v>
      </c>
      <c r="B712" s="13" t="s">
        <v>1858</v>
      </c>
      <c r="C712" s="13" t="s">
        <v>431</v>
      </c>
      <c r="D712" s="13" t="s">
        <v>432</v>
      </c>
      <c r="E712" s="13" t="s">
        <v>1755</v>
      </c>
      <c r="F712" s="14">
        <v>61.625300000000003</v>
      </c>
      <c r="G712" s="13">
        <v>44</v>
      </c>
      <c r="H712" s="13">
        <v>40.58</v>
      </c>
      <c r="I712" s="13">
        <v>39.1</v>
      </c>
      <c r="J712" s="14">
        <v>45.908280914542416</v>
      </c>
      <c r="K712" s="14">
        <v>45.068213911796661</v>
      </c>
      <c r="L712" s="14">
        <v>53.161505808047124</v>
      </c>
      <c r="M712" s="14">
        <v>36.834899999999998</v>
      </c>
      <c r="N712" s="14">
        <f t="shared" si="297"/>
        <v>46.326325000000004</v>
      </c>
      <c r="O712" s="14">
        <f t="shared" si="298"/>
        <v>45.243225158596552</v>
      </c>
      <c r="P712" s="14">
        <f t="shared" si="314"/>
        <v>45.784775079298278</v>
      </c>
      <c r="Q712" s="14">
        <v>58.364171224706318</v>
      </c>
      <c r="R712" s="17">
        <f t="shared" si="299"/>
        <v>41.635828775293682</v>
      </c>
      <c r="S712" s="14">
        <f t="shared" si="315"/>
        <v>0.4747224589776432</v>
      </c>
      <c r="T712" s="13">
        <v>0</v>
      </c>
      <c r="U712" s="13">
        <f t="shared" si="316"/>
        <v>21.735061009382797</v>
      </c>
      <c r="V712" s="13">
        <f>IF($T712=1,$AU712,(VLOOKUP(U712,'Cortes naturales'!$A$35:$C$39,3,9)))</f>
        <v>5</v>
      </c>
      <c r="W712" s="13">
        <v>5</v>
      </c>
      <c r="X712" s="14" t="b">
        <f t="shared" si="300"/>
        <v>1</v>
      </c>
      <c r="Y712" s="17">
        <f>IF($T712=1,$AU712,VLOOKUP(U712,'Cortes naturales'!$A$45:$C$49,3,9))</f>
        <v>4</v>
      </c>
      <c r="Z712" s="14">
        <v>50.363831736965757</v>
      </c>
      <c r="AA712" s="14">
        <v>0.48445041736211703</v>
      </c>
      <c r="AB712" s="14">
        <v>24.398779304928496</v>
      </c>
      <c r="AC712" s="13">
        <v>4</v>
      </c>
      <c r="AD712" s="13">
        <f t="shared" si="301"/>
        <v>0</v>
      </c>
      <c r="AE712" s="14">
        <f t="shared" si="302"/>
        <v>-4.5790566576674792</v>
      </c>
      <c r="AF712" s="14">
        <f t="shared" si="303"/>
        <v>-9.7279583844738227E-3</v>
      </c>
      <c r="AG712" s="13">
        <f t="shared" si="304"/>
        <v>-2.6637182955456993</v>
      </c>
      <c r="AH712" s="13">
        <f>IF($T712=1,$AU712,VLOOKUP(U712,'Cortes naturales'!$A$25:$C$29,3,9))</f>
        <v>4</v>
      </c>
      <c r="AI712" s="13" t="b">
        <f t="shared" si="305"/>
        <v>1</v>
      </c>
      <c r="AJ712" s="13">
        <f t="shared" si="306"/>
        <v>0</v>
      </c>
      <c r="AK712" s="28">
        <v>0.81759069605862034</v>
      </c>
      <c r="AL712" s="28">
        <v>41.177000246005065</v>
      </c>
      <c r="AM712" s="28">
        <v>0.34445485658606373</v>
      </c>
      <c r="AN712" s="13">
        <v>4</v>
      </c>
      <c r="AO712" s="33">
        <f t="shared" si="307"/>
        <v>0</v>
      </c>
      <c r="AP712" s="13">
        <f t="shared" si="317"/>
        <v>34.445485658606373</v>
      </c>
      <c r="AQ712" s="13">
        <f>IFERROR(VLOOKUP(U712,'Cortes naturales'!$E$15:$G$19,3,9),U712)</f>
        <v>4</v>
      </c>
      <c r="AR712" s="28">
        <f t="shared" si="308"/>
        <v>-0.34286823708097713</v>
      </c>
      <c r="AS712" s="13" t="b">
        <f t="shared" si="309"/>
        <v>1</v>
      </c>
      <c r="AT712" s="13">
        <f t="shared" si="318"/>
        <v>0</v>
      </c>
      <c r="AU712" s="13">
        <v>3</v>
      </c>
      <c r="AV712">
        <f t="shared" si="310"/>
        <v>-1</v>
      </c>
      <c r="AW712" s="13">
        <v>0</v>
      </c>
      <c r="AX712" s="13">
        <v>0</v>
      </c>
      <c r="AY712" s="13">
        <v>0</v>
      </c>
      <c r="AZ712" s="13">
        <v>0</v>
      </c>
      <c r="BA712">
        <v>0</v>
      </c>
      <c r="BB712" t="s">
        <v>2841</v>
      </c>
      <c r="BC712">
        <v>6</v>
      </c>
      <c r="BD712" t="s">
        <v>2919</v>
      </c>
      <c r="BE712">
        <v>0</v>
      </c>
      <c r="BF712" s="232" t="s">
        <v>2846</v>
      </c>
      <c r="BG712" s="232" t="s">
        <v>2845</v>
      </c>
      <c r="BH712" s="253">
        <v>33.6</v>
      </c>
      <c r="BI712" s="253">
        <v>17.879161528976571</v>
      </c>
      <c r="BJ712" s="25">
        <v>2.2725</v>
      </c>
      <c r="BK712" t="s">
        <v>381</v>
      </c>
      <c r="BL712">
        <v>0.69390076665522127</v>
      </c>
      <c r="BM712" t="s">
        <v>383</v>
      </c>
      <c r="BN712" s="322">
        <v>10378.575693999999</v>
      </c>
      <c r="BO712" s="322">
        <v>447.28690899999998</v>
      </c>
      <c r="BP712" s="10">
        <v>2665</v>
      </c>
      <c r="BQ712" s="254">
        <f t="shared" si="311"/>
        <v>3.894399885178236</v>
      </c>
      <c r="BR712" s="254">
        <f t="shared" si="312"/>
        <v>0.16783748930581613</v>
      </c>
      <c r="BS712" s="25">
        <v>59.490953947368418</v>
      </c>
      <c r="BT712" s="25">
        <v>91.682301438399008</v>
      </c>
      <c r="BU712" s="25">
        <v>35.442958459979742</v>
      </c>
      <c r="BV712" s="25">
        <v>95.804210981450751</v>
      </c>
      <c r="BW712" s="25">
        <v>57.81243598795561</v>
      </c>
      <c r="BX712" s="25">
        <v>70.605106206799476</v>
      </c>
      <c r="BY712" s="25">
        <v>58.670117279570491</v>
      </c>
      <c r="BZ712">
        <v>58</v>
      </c>
      <c r="CA712">
        <v>0</v>
      </c>
      <c r="CB712">
        <v>7</v>
      </c>
      <c r="CC712">
        <v>7105.5943740000002</v>
      </c>
      <c r="CD712" s="10">
        <v>934.47363800000005</v>
      </c>
      <c r="CE712" s="255">
        <v>0.13151238148624442</v>
      </c>
      <c r="CF712" t="str">
        <f>IFERROR(VLOOKUP(CE712,'Rangos amb etnico'!$A$2:$C$6,3,9),"N.D.")</f>
        <v>0,1% - 30%</v>
      </c>
      <c r="CG712" s="256">
        <v>2.7187360782198895E-5</v>
      </c>
      <c r="CH712" s="232">
        <v>0</v>
      </c>
      <c r="CI712" s="311">
        <f t="shared" si="319"/>
        <v>0</v>
      </c>
      <c r="CJ712" s="232">
        <f>IFERROR(VLOOKUP(CI712,'Rangos amb etnico'!$A$2:$C$6,3,9),"N.D.")</f>
        <v>0</v>
      </c>
      <c r="CK712" s="311">
        <f t="shared" si="320"/>
        <v>0</v>
      </c>
      <c r="CL712" s="10">
        <v>0</v>
      </c>
      <c r="CM712" s="255">
        <f t="shared" si="321"/>
        <v>0</v>
      </c>
      <c r="CN712" s="232">
        <f>IFERROR(VLOOKUP(CM712,'Rangos amb etnico'!$A$2:$C$6,3,9),"N.D.")</f>
        <v>0</v>
      </c>
      <c r="CO712" s="311">
        <f t="shared" si="322"/>
        <v>0</v>
      </c>
      <c r="CP712">
        <v>0.94802363046238369</v>
      </c>
      <c r="CQ712" t="s">
        <v>2864</v>
      </c>
      <c r="CR712">
        <f t="shared" si="313"/>
        <v>1</v>
      </c>
      <c r="CS712" t="str">
        <f t="shared" si="323"/>
        <v>No es Candidato</v>
      </c>
      <c r="CT712">
        <v>0</v>
      </c>
      <c r="CU712">
        <v>0</v>
      </c>
      <c r="CV712" s="25">
        <v>55.774929046630859</v>
      </c>
      <c r="CW712" s="25">
        <v>20.127138137817379</v>
      </c>
      <c r="CX712" s="25">
        <v>55.566673278808587</v>
      </c>
      <c r="CY712" s="25">
        <v>71.332008361816406</v>
      </c>
      <c r="CZ712" s="25">
        <v>34.601932525634773</v>
      </c>
      <c r="DA712" s="25">
        <v>99.590133666992188</v>
      </c>
      <c r="DB712" s="25">
        <v>53.431697845458977</v>
      </c>
      <c r="DC712">
        <v>15</v>
      </c>
      <c r="DD712" s="253" t="s">
        <v>380</v>
      </c>
    </row>
    <row r="713" spans="1:108" hidden="1">
      <c r="A713" s="13">
        <v>73675</v>
      </c>
      <c r="B713" s="13" t="s">
        <v>1859</v>
      </c>
      <c r="C713" s="13" t="s">
        <v>595</v>
      </c>
      <c r="D713" s="13" t="s">
        <v>596</v>
      </c>
      <c r="E713" s="13" t="s">
        <v>1860</v>
      </c>
      <c r="F713" s="14">
        <v>63.446300000000001</v>
      </c>
      <c r="G713" s="13">
        <v>53.34</v>
      </c>
      <c r="H713" s="13">
        <v>46.32</v>
      </c>
      <c r="I713" s="13">
        <v>73.73</v>
      </c>
      <c r="J713" s="14">
        <v>53.127169157612457</v>
      </c>
      <c r="K713" s="14">
        <v>63.010127101923146</v>
      </c>
      <c r="L713" s="14">
        <v>51.873221821737545</v>
      </c>
      <c r="M713" s="14">
        <v>54.696899999999999</v>
      </c>
      <c r="N713" s="14">
        <f t="shared" si="297"/>
        <v>59.209074999999999</v>
      </c>
      <c r="O713" s="14">
        <f t="shared" si="298"/>
        <v>55.676854520318287</v>
      </c>
      <c r="P713" s="14">
        <f t="shared" si="314"/>
        <v>57.442964760159143</v>
      </c>
      <c r="Q713" s="14">
        <v>58.223863783348271</v>
      </c>
      <c r="R713" s="17">
        <f t="shared" si="299"/>
        <v>41.776136216651729</v>
      </c>
      <c r="S713" s="14">
        <f t="shared" si="315"/>
        <v>0.47598522594986559</v>
      </c>
      <c r="T713" s="13">
        <v>0</v>
      </c>
      <c r="U713" s="13">
        <f t="shared" si="316"/>
        <v>27.342002560594516</v>
      </c>
      <c r="V713" s="13">
        <f>IF($T713=1,$AU713,(VLOOKUP(U713,'Cortes naturales'!$A$35:$C$39,3,9)))</f>
        <v>4</v>
      </c>
      <c r="W713" s="13">
        <v>4</v>
      </c>
      <c r="X713" s="14" t="b">
        <f t="shared" si="300"/>
        <v>1</v>
      </c>
      <c r="Y713" s="17">
        <f>IF($T713=1,$AU713,VLOOKUP(U713,'Cortes naturales'!$A$45:$C$49,3,9))</f>
        <v>4</v>
      </c>
      <c r="Z713" s="14">
        <v>56.369716289162966</v>
      </c>
      <c r="AA713" s="14">
        <v>0.48415832534548486</v>
      </c>
      <c r="AB713" s="14">
        <v>27.291867438761241</v>
      </c>
      <c r="AC713" s="13">
        <v>4</v>
      </c>
      <c r="AD713" s="13">
        <f t="shared" si="301"/>
        <v>0</v>
      </c>
      <c r="AE713" s="14">
        <f t="shared" si="302"/>
        <v>1.0732484709961767</v>
      </c>
      <c r="AF713" s="14">
        <f t="shared" si="303"/>
        <v>-8.1730993956192766E-3</v>
      </c>
      <c r="AG713" s="13">
        <f t="shared" si="304"/>
        <v>5.0135121833275065E-2</v>
      </c>
      <c r="AH713" s="13">
        <f>IF($T713=1,$AU713,VLOOKUP(U713,'Cortes naturales'!$A$25:$C$29,3,9))</f>
        <v>4</v>
      </c>
      <c r="AI713" s="13" t="b">
        <f t="shared" si="305"/>
        <v>1</v>
      </c>
      <c r="AJ713" s="13">
        <f t="shared" si="306"/>
        <v>0</v>
      </c>
      <c r="AK713" s="28">
        <v>0.81759069605862034</v>
      </c>
      <c r="AL713" s="28">
        <v>46.087355577483699</v>
      </c>
      <c r="AM713" s="28">
        <v>0.4058782257804569</v>
      </c>
      <c r="AN713" s="13">
        <v>3</v>
      </c>
      <c r="AO713" s="33">
        <f t="shared" si="307"/>
        <v>-1</v>
      </c>
      <c r="AP713" s="13">
        <f t="shared" si="317"/>
        <v>40.587822578045689</v>
      </c>
      <c r="AQ713" s="13">
        <f>IFERROR(VLOOKUP(U713,'Cortes naturales'!$E$15:$G$19,3,9),U713)</f>
        <v>4</v>
      </c>
      <c r="AR713" s="28">
        <f t="shared" si="308"/>
        <v>-0.34160547010875475</v>
      </c>
      <c r="AS713" s="13" t="b">
        <f t="shared" si="309"/>
        <v>1</v>
      </c>
      <c r="AT713" s="13" t="str">
        <f t="shared" si="318"/>
        <v>Efecto ponderador</v>
      </c>
      <c r="AU713" s="13">
        <v>3</v>
      </c>
      <c r="AV713">
        <f t="shared" si="310"/>
        <v>-1</v>
      </c>
      <c r="AW713" s="13">
        <v>0</v>
      </c>
      <c r="AX713" s="13">
        <v>0</v>
      </c>
      <c r="AY713" s="13">
        <v>0</v>
      </c>
      <c r="AZ713" s="13">
        <v>0</v>
      </c>
      <c r="BA713">
        <v>1</v>
      </c>
      <c r="BB713" t="s">
        <v>2840</v>
      </c>
      <c r="BC713">
        <v>6</v>
      </c>
      <c r="BD713" t="s">
        <v>2919</v>
      </c>
      <c r="BE713">
        <v>0</v>
      </c>
      <c r="BF713" s="232" t="s">
        <v>2846</v>
      </c>
      <c r="BG713" s="232" t="s">
        <v>2845</v>
      </c>
      <c r="BH713" s="253">
        <v>53.7</v>
      </c>
      <c r="BI713" s="253">
        <v>26.258930127199861</v>
      </c>
      <c r="BJ713" s="25">
        <v>0</v>
      </c>
      <c r="BK713" t="s">
        <v>381</v>
      </c>
      <c r="BL713">
        <v>24.513545096265986</v>
      </c>
      <c r="BM713" t="s">
        <v>384</v>
      </c>
      <c r="BN713" s="322">
        <v>35874.128774999997</v>
      </c>
      <c r="BO713" s="322">
        <v>1531.756449</v>
      </c>
      <c r="BP713" s="10">
        <v>13284</v>
      </c>
      <c r="BQ713" s="254">
        <f t="shared" si="311"/>
        <v>2.7005516994128271</v>
      </c>
      <c r="BR713" s="254">
        <f t="shared" si="312"/>
        <v>0.1153083746612466</v>
      </c>
      <c r="BS713" s="25">
        <v>72.11909325315726</v>
      </c>
      <c r="BT713" s="25">
        <v>96.450869693867318</v>
      </c>
      <c r="BU713" s="25">
        <v>45.752132216014857</v>
      </c>
      <c r="BV713" s="25">
        <v>83.885374104536268</v>
      </c>
      <c r="BW713" s="25">
        <v>55.13838401393231</v>
      </c>
      <c r="BX713" s="25">
        <v>74.551867316893933</v>
      </c>
      <c r="BY713" s="25">
        <v>56.002455948988683</v>
      </c>
      <c r="BZ713">
        <v>15</v>
      </c>
      <c r="CA713">
        <v>0</v>
      </c>
      <c r="CB713">
        <v>7</v>
      </c>
      <c r="CC713">
        <v>38335.098181000001</v>
      </c>
      <c r="CD713" s="10">
        <v>23954.932500999999</v>
      </c>
      <c r="CE713" s="255">
        <v>0.62488251335359213</v>
      </c>
      <c r="CF713" t="str">
        <f>IFERROR(VLOOKUP(CE713,'Rangos amb etnico'!$A$2:$C$6,3,9),"N.D.")</f>
        <v>51% - 70%</v>
      </c>
      <c r="CG713" s="256">
        <v>6.9693928853015858E-4</v>
      </c>
      <c r="CH713" s="232">
        <v>372.64354300000002</v>
      </c>
      <c r="CI713" s="311">
        <f t="shared" si="319"/>
        <v>9.7206883686734129E-3</v>
      </c>
      <c r="CJ713" s="232" t="str">
        <f>IFERROR(VLOOKUP(CI713,'Rangos amb etnico'!$A$2:$C$6,3,9),"N.D.")</f>
        <v>0,1% - 30%</v>
      </c>
      <c r="CK713" s="311">
        <f t="shared" si="320"/>
        <v>1.4796388429084658E-5</v>
      </c>
      <c r="CL713" s="10">
        <v>0</v>
      </c>
      <c r="CM713" s="255">
        <f t="shared" si="321"/>
        <v>0</v>
      </c>
      <c r="CN713" s="232">
        <f>IFERROR(VLOOKUP(CM713,'Rangos amb etnico'!$A$2:$C$6,3,9),"N.D.")</f>
        <v>0</v>
      </c>
      <c r="CO713" s="311">
        <f t="shared" si="322"/>
        <v>0</v>
      </c>
      <c r="CP713">
        <v>0.9552250695452984</v>
      </c>
      <c r="CQ713" t="s">
        <v>2864</v>
      </c>
      <c r="CR713">
        <f t="shared" si="313"/>
        <v>2</v>
      </c>
      <c r="CS713" t="str">
        <f t="shared" si="323"/>
        <v>No es Candidato</v>
      </c>
      <c r="CT713">
        <v>0</v>
      </c>
      <c r="CU713">
        <v>0</v>
      </c>
      <c r="CV713" s="25">
        <v>39.86724853515625</v>
      </c>
      <c r="CW713" s="25">
        <v>14.589723587036129</v>
      </c>
      <c r="CX713" s="25">
        <v>43.475212097167969</v>
      </c>
      <c r="CY713" s="25">
        <v>65.475791931152344</v>
      </c>
      <c r="CZ713" s="25">
        <v>33.138168334960938</v>
      </c>
      <c r="DA713" s="25">
        <v>25.3790397644043</v>
      </c>
      <c r="DB713" s="25">
        <v>57.145549774169922</v>
      </c>
      <c r="DC713">
        <v>1890</v>
      </c>
      <c r="DD713" s="253" t="s">
        <v>380</v>
      </c>
    </row>
    <row r="714" spans="1:108" hidden="1">
      <c r="A714" s="13">
        <v>20621</v>
      </c>
      <c r="B714" s="13" t="s">
        <v>1861</v>
      </c>
      <c r="C714" s="13" t="s">
        <v>893</v>
      </c>
      <c r="D714" s="13" t="s">
        <v>894</v>
      </c>
      <c r="E714" s="13" t="s">
        <v>1862</v>
      </c>
      <c r="F714" s="14">
        <v>61.4497</v>
      </c>
      <c r="G714" s="13">
        <v>48.38</v>
      </c>
      <c r="H714" s="13">
        <v>38.99</v>
      </c>
      <c r="I714" s="13">
        <v>63.21</v>
      </c>
      <c r="J714" s="14">
        <v>54.485212163031612</v>
      </c>
      <c r="K714" s="14">
        <v>61.962615324925991</v>
      </c>
      <c r="L714" s="14">
        <v>69.204339499854726</v>
      </c>
      <c r="M714" s="14">
        <v>58.950600000000001</v>
      </c>
      <c r="N714" s="14">
        <f t="shared" si="297"/>
        <v>53.007425000000005</v>
      </c>
      <c r="O714" s="14">
        <f t="shared" si="298"/>
        <v>61.150691746953086</v>
      </c>
      <c r="P714" s="14">
        <f t="shared" si="314"/>
        <v>57.079058373476542</v>
      </c>
      <c r="Q714" s="14">
        <v>57.780828159057997</v>
      </c>
      <c r="R714" s="17">
        <f t="shared" si="299"/>
        <v>42.219171840942003</v>
      </c>
      <c r="S714" s="14">
        <f t="shared" si="315"/>
        <v>0.4799725465684781</v>
      </c>
      <c r="T714" s="13">
        <v>0</v>
      </c>
      <c r="U714" s="13">
        <f t="shared" si="316"/>
        <v>27.396381003248351</v>
      </c>
      <c r="V714" s="13">
        <f>IF($T714=1,$AU714,(VLOOKUP(U714,'Cortes naturales'!$A$35:$C$39,3,9)))</f>
        <v>4</v>
      </c>
      <c r="W714" s="13">
        <v>4</v>
      </c>
      <c r="X714" s="14" t="b">
        <f t="shared" si="300"/>
        <v>1</v>
      </c>
      <c r="Y714" s="17">
        <f>IF($T714=1,$AU714,VLOOKUP(U714,'Cortes naturales'!$A$45:$C$49,3,9))</f>
        <v>4</v>
      </c>
      <c r="Z714" s="14">
        <v>55.245031170706284</v>
      </c>
      <c r="AA714" s="14">
        <v>0.48527479663290363</v>
      </c>
      <c r="AB714" s="14">
        <v>26.809021266342913</v>
      </c>
      <c r="AC714" s="13">
        <v>4</v>
      </c>
      <c r="AD714" s="13">
        <f t="shared" si="301"/>
        <v>0</v>
      </c>
      <c r="AE714" s="14">
        <f t="shared" si="302"/>
        <v>1.8340272027702582</v>
      </c>
      <c r="AF714" s="14">
        <f t="shared" si="303"/>
        <v>-5.3022500644255288E-3</v>
      </c>
      <c r="AG714" s="13">
        <f t="shared" si="304"/>
        <v>0.5873597369054373</v>
      </c>
      <c r="AH714" s="13">
        <f>IF($T714=1,$AU714,VLOOKUP(U714,'Cortes naturales'!$A$25:$C$29,3,9))</f>
        <v>4</v>
      </c>
      <c r="AI714" s="13" t="b">
        <f t="shared" si="305"/>
        <v>1</v>
      </c>
      <c r="AJ714" s="13">
        <f t="shared" si="306"/>
        <v>0</v>
      </c>
      <c r="AK714" s="28">
        <v>0.81759069605862034</v>
      </c>
      <c r="AL714" s="28">
        <v>45.167823488637929</v>
      </c>
      <c r="AM714" s="28">
        <v>0.39437584862718122</v>
      </c>
      <c r="AN714" s="13">
        <v>3</v>
      </c>
      <c r="AO714" s="33">
        <f t="shared" si="307"/>
        <v>-1</v>
      </c>
      <c r="AP714" s="13">
        <f t="shared" si="317"/>
        <v>39.437584862718126</v>
      </c>
      <c r="AQ714" s="13">
        <f>IFERROR(VLOOKUP(U714,'Cortes naturales'!$E$15:$G$19,3,9),U714)</f>
        <v>4</v>
      </c>
      <c r="AR714" s="28">
        <f t="shared" si="308"/>
        <v>-0.33761814949014224</v>
      </c>
      <c r="AS714" s="13" t="b">
        <f t="shared" si="309"/>
        <v>1</v>
      </c>
      <c r="AT714" s="13" t="str">
        <f t="shared" si="318"/>
        <v>Efecto ponderador</v>
      </c>
      <c r="AU714" s="13">
        <v>3</v>
      </c>
      <c r="AV714">
        <f t="shared" si="310"/>
        <v>-1</v>
      </c>
      <c r="AW714" s="13">
        <v>0</v>
      </c>
      <c r="AX714" s="13">
        <v>0</v>
      </c>
      <c r="AY714" s="13">
        <v>0</v>
      </c>
      <c r="AZ714" s="13">
        <v>1</v>
      </c>
      <c r="BA714">
        <v>1</v>
      </c>
      <c r="BB714" t="s">
        <v>2840</v>
      </c>
      <c r="BC714">
        <v>6</v>
      </c>
      <c r="BD714" t="s">
        <v>2919</v>
      </c>
      <c r="BE714">
        <v>1</v>
      </c>
      <c r="BF714" s="232" t="s">
        <v>2846</v>
      </c>
      <c r="BG714" s="232" t="s">
        <v>2845</v>
      </c>
      <c r="BH714" s="253">
        <v>41.7</v>
      </c>
      <c r="BI714" s="253">
        <v>28.538594139053821</v>
      </c>
      <c r="BJ714" s="25">
        <v>18.267132617882126</v>
      </c>
      <c r="BK714" t="s">
        <v>379</v>
      </c>
      <c r="BL714">
        <v>8.1240682522146148</v>
      </c>
      <c r="BM714" t="s">
        <v>379</v>
      </c>
      <c r="BN714" s="322">
        <v>55042.869140000003</v>
      </c>
      <c r="BO714" s="322">
        <v>11085.383100999999</v>
      </c>
      <c r="BP714" s="10">
        <v>32751</v>
      </c>
      <c r="BQ714" s="254">
        <f t="shared" si="311"/>
        <v>1.680646976886202</v>
      </c>
      <c r="BR714" s="254">
        <f t="shared" si="312"/>
        <v>0.33847464507953956</v>
      </c>
      <c r="BS714" s="25">
        <v>63.851719595193522</v>
      </c>
      <c r="BT714" s="25">
        <v>88.055174261345712</v>
      </c>
      <c r="BU714" s="25">
        <v>60.02</v>
      </c>
      <c r="BV714" s="25">
        <v>90.890475855612692</v>
      </c>
      <c r="BW714" s="25">
        <v>49.030292688580531</v>
      </c>
      <c r="BX714" s="25">
        <v>75.70434242803799</v>
      </c>
      <c r="BY714" s="25">
        <v>51.57385065571399</v>
      </c>
      <c r="BZ714">
        <v>47</v>
      </c>
      <c r="CA714">
        <v>0</v>
      </c>
      <c r="CB714">
        <v>7</v>
      </c>
      <c r="CC714">
        <v>107094.643472</v>
      </c>
      <c r="CD714" s="10">
        <v>51929.389179999998</v>
      </c>
      <c r="CE714" s="255">
        <v>0.48489249785473154</v>
      </c>
      <c r="CF714" t="str">
        <f>IFERROR(VLOOKUP(CE714,'Rangos amb etnico'!$A$2:$C$6,3,9),"N.D.")</f>
        <v>31% - 50%</v>
      </c>
      <c r="CG714" s="256">
        <v>1.5108216876588609E-3</v>
      </c>
      <c r="CH714" s="232">
        <v>358.68988899999999</v>
      </c>
      <c r="CI714" s="311">
        <f t="shared" si="319"/>
        <v>3.3492794538671753E-3</v>
      </c>
      <c r="CJ714" s="232" t="str">
        <f>IFERROR(VLOOKUP(CI714,'Rangos amb etnico'!$A$2:$C$6,3,9),"N.D.")</f>
        <v>0,1% - 30%</v>
      </c>
      <c r="CK714" s="311">
        <f t="shared" si="320"/>
        <v>1.4242337007914451E-5</v>
      </c>
      <c r="CL714" s="10">
        <v>0</v>
      </c>
      <c r="CM714" s="255">
        <f t="shared" si="321"/>
        <v>0</v>
      </c>
      <c r="CN714" s="232">
        <f>IFERROR(VLOOKUP(CM714,'Rangos amb etnico'!$A$2:$C$6,3,9),"N.D.")</f>
        <v>0</v>
      </c>
      <c r="CO714" s="311">
        <f t="shared" si="322"/>
        <v>0</v>
      </c>
      <c r="CP714">
        <v>0.93995643037922338</v>
      </c>
      <c r="CQ714" t="s">
        <v>2864</v>
      </c>
      <c r="CR714">
        <f t="shared" si="313"/>
        <v>2</v>
      </c>
      <c r="CS714" t="str">
        <f t="shared" si="323"/>
        <v>No es Candidato</v>
      </c>
      <c r="CT714">
        <v>1</v>
      </c>
      <c r="CU714" t="s">
        <v>2836</v>
      </c>
      <c r="CV714" s="25">
        <v>43.303562164306641</v>
      </c>
      <c r="CW714" s="25">
        <v>32.539100646972663</v>
      </c>
      <c r="CX714" s="25">
        <v>56.896488189697273</v>
      </c>
      <c r="CY714" s="25">
        <v>48.762790679931641</v>
      </c>
      <c r="CZ714" s="25">
        <v>34.70562744140625</v>
      </c>
      <c r="DA714" s="25">
        <v>33.629085540771477</v>
      </c>
      <c r="DB714" s="25">
        <v>53.288288116455078</v>
      </c>
      <c r="DC714">
        <v>2874</v>
      </c>
      <c r="DD714" s="253" t="s">
        <v>380</v>
      </c>
    </row>
    <row r="715" spans="1:108" hidden="1">
      <c r="A715" s="13">
        <v>23079</v>
      </c>
      <c r="B715" s="13" t="s">
        <v>1863</v>
      </c>
      <c r="C715" s="13" t="s">
        <v>567</v>
      </c>
      <c r="D715" s="13" t="s">
        <v>568</v>
      </c>
      <c r="E715" s="13" t="s">
        <v>1064</v>
      </c>
      <c r="F715" s="14">
        <v>50.932233333333301</v>
      </c>
      <c r="G715" s="13">
        <v>38.630000000000003</v>
      </c>
      <c r="H715" s="13">
        <v>45.64</v>
      </c>
      <c r="I715" s="13">
        <v>52.02</v>
      </c>
      <c r="J715" s="14">
        <v>68.961386218504842</v>
      </c>
      <c r="K715" s="14">
        <v>55.137045903057647</v>
      </c>
      <c r="L715" s="14">
        <v>58.121314068904397</v>
      </c>
      <c r="M715" s="14">
        <v>62.1633</v>
      </c>
      <c r="N715" s="14">
        <f t="shared" si="297"/>
        <v>46.80555833333333</v>
      </c>
      <c r="O715" s="14">
        <f t="shared" si="298"/>
        <v>61.095761547616718</v>
      </c>
      <c r="P715" s="14">
        <f t="shared" si="314"/>
        <v>53.95065994047502</v>
      </c>
      <c r="Q715" s="14">
        <v>58.10202331721446</v>
      </c>
      <c r="R715" s="17">
        <f t="shared" si="299"/>
        <v>41.89797668278554</v>
      </c>
      <c r="S715" s="14">
        <f t="shared" si="315"/>
        <v>0.47708179014506991</v>
      </c>
      <c r="T715" s="13">
        <v>0</v>
      </c>
      <c r="U715" s="13">
        <f t="shared" si="316"/>
        <v>25.738877423909734</v>
      </c>
      <c r="V715" s="13">
        <f>IF($T715=1,$AU715,(VLOOKUP(U715,'Cortes naturales'!$A$35:$C$39,3,9)))</f>
        <v>4</v>
      </c>
      <c r="W715" s="13">
        <v>4</v>
      </c>
      <c r="X715" s="14" t="b">
        <f t="shared" si="300"/>
        <v>1</v>
      </c>
      <c r="Y715" s="17">
        <f>IF($T715=1,$AU715,VLOOKUP(U715,'Cortes naturales'!$A$45:$C$49,3,9))</f>
        <v>4</v>
      </c>
      <c r="Z715" s="14">
        <v>54.269926678185904</v>
      </c>
      <c r="AA715" s="14">
        <v>0.48407718545021683</v>
      </c>
      <c r="AB715" s="14">
        <v>26.270833360965867</v>
      </c>
      <c r="AC715" s="13">
        <v>4</v>
      </c>
      <c r="AD715" s="13">
        <f t="shared" si="301"/>
        <v>0</v>
      </c>
      <c r="AE715" s="14">
        <f t="shared" si="302"/>
        <v>-0.31926673771088332</v>
      </c>
      <c r="AF715" s="14">
        <f t="shared" si="303"/>
        <v>-6.9953953051469231E-3</v>
      </c>
      <c r="AG715" s="13">
        <f t="shared" si="304"/>
        <v>-0.5319559370561322</v>
      </c>
      <c r="AH715" s="13">
        <f>IF($T715=1,$AU715,VLOOKUP(U715,'Cortes naturales'!$A$25:$C$29,3,9))</f>
        <v>4</v>
      </c>
      <c r="AI715" s="13" t="b">
        <f t="shared" si="305"/>
        <v>1</v>
      </c>
      <c r="AJ715" s="13">
        <f t="shared" si="306"/>
        <v>0</v>
      </c>
      <c r="AK715" s="28">
        <v>0.81759069605862034</v>
      </c>
      <c r="AL715" s="28">
        <v>44.370587127868305</v>
      </c>
      <c r="AM715" s="28">
        <v>0.38440326212028963</v>
      </c>
      <c r="AN715" s="13">
        <v>3</v>
      </c>
      <c r="AO715" s="33">
        <f t="shared" si="307"/>
        <v>-1</v>
      </c>
      <c r="AP715" s="13">
        <f t="shared" si="317"/>
        <v>38.440326212028964</v>
      </c>
      <c r="AQ715" s="13">
        <f>IFERROR(VLOOKUP(U715,'Cortes naturales'!$E$15:$G$19,3,9),U715)</f>
        <v>4</v>
      </c>
      <c r="AR715" s="28">
        <f t="shared" si="308"/>
        <v>-0.34050890591355043</v>
      </c>
      <c r="AS715" s="13" t="b">
        <f t="shared" si="309"/>
        <v>1</v>
      </c>
      <c r="AT715" s="13" t="str">
        <f t="shared" si="318"/>
        <v>Efecto ponderador</v>
      </c>
      <c r="AU715" s="13">
        <v>3</v>
      </c>
      <c r="AV715">
        <f t="shared" si="310"/>
        <v>-1</v>
      </c>
      <c r="AW715" s="13">
        <v>0</v>
      </c>
      <c r="AX715" s="13">
        <v>0</v>
      </c>
      <c r="AY715" s="13">
        <v>0</v>
      </c>
      <c r="AZ715" s="13">
        <v>0</v>
      </c>
      <c r="BA715">
        <v>0</v>
      </c>
      <c r="BB715" t="s">
        <v>2840</v>
      </c>
      <c r="BC715">
        <v>6</v>
      </c>
      <c r="BD715" t="s">
        <v>2919</v>
      </c>
      <c r="BE715">
        <v>0</v>
      </c>
      <c r="BF715" s="232" t="s">
        <v>2846</v>
      </c>
      <c r="BG715" s="232" t="s">
        <v>2845</v>
      </c>
      <c r="BH715" s="253">
        <v>58</v>
      </c>
      <c r="BI715" s="253">
        <v>40.934365460095947</v>
      </c>
      <c r="BJ715" s="25">
        <v>0</v>
      </c>
      <c r="BK715" t="s">
        <v>381</v>
      </c>
      <c r="BL715">
        <v>1.9462941470462198</v>
      </c>
      <c r="BM715" t="s">
        <v>383</v>
      </c>
      <c r="BN715" s="322">
        <v>46262.830995999997</v>
      </c>
      <c r="BO715" s="322">
        <v>8101.1843310000004</v>
      </c>
      <c r="BP715" s="10">
        <v>22295</v>
      </c>
      <c r="BQ715" s="254">
        <f t="shared" si="311"/>
        <v>2.0750316661134782</v>
      </c>
      <c r="BR715" s="254">
        <f t="shared" si="312"/>
        <v>0.36336328015250058</v>
      </c>
      <c r="BS715" s="25">
        <v>55.659000594511717</v>
      </c>
      <c r="BT715" s="25">
        <v>91.127141225237366</v>
      </c>
      <c r="BU715" s="25">
        <v>53.754537953795371</v>
      </c>
      <c r="BV715" s="25">
        <v>97.494537427070625</v>
      </c>
      <c r="BW715" s="25">
        <v>46.269471006014797</v>
      </c>
      <c r="BX715" s="25">
        <v>74.50880430015377</v>
      </c>
      <c r="BY715" s="25">
        <v>46.538578794454828</v>
      </c>
      <c r="BZ715">
        <v>67</v>
      </c>
      <c r="CA715">
        <v>0</v>
      </c>
      <c r="CB715">
        <v>7</v>
      </c>
      <c r="CC715">
        <v>83458.344039999996</v>
      </c>
      <c r="CD715" s="10">
        <v>12020.821409</v>
      </c>
      <c r="CE715" s="255">
        <v>0.14403378772095751</v>
      </c>
      <c r="CF715" t="str">
        <f>IFERROR(VLOOKUP(CE715,'Rangos amb etnico'!$A$2:$C$6,3,9),"N.D.")</f>
        <v>0,1% - 30%</v>
      </c>
      <c r="CG715" s="256">
        <v>3.4973100926027776E-4</v>
      </c>
      <c r="CH715" s="232">
        <v>0</v>
      </c>
      <c r="CI715" s="311">
        <f t="shared" si="319"/>
        <v>0</v>
      </c>
      <c r="CJ715" s="232">
        <f>IFERROR(VLOOKUP(CI715,'Rangos amb etnico'!$A$2:$C$6,3,9),"N.D.")</f>
        <v>0</v>
      </c>
      <c r="CK715" s="311">
        <f t="shared" si="320"/>
        <v>0</v>
      </c>
      <c r="CL715" s="10">
        <v>0</v>
      </c>
      <c r="CM715" s="255">
        <f t="shared" si="321"/>
        <v>0</v>
      </c>
      <c r="CN715" s="232">
        <f>IFERROR(VLOOKUP(CM715,'Rangos amb etnico'!$A$2:$C$6,3,9),"N.D.")</f>
        <v>0</v>
      </c>
      <c r="CO715" s="311">
        <f t="shared" si="322"/>
        <v>0</v>
      </c>
      <c r="CP715">
        <v>0.97505372201664464</v>
      </c>
      <c r="CQ715" t="s">
        <v>2864</v>
      </c>
      <c r="CR715">
        <f t="shared" si="313"/>
        <v>2</v>
      </c>
      <c r="CS715" t="str">
        <f t="shared" si="323"/>
        <v>No es Candidato</v>
      </c>
      <c r="CT715">
        <v>0</v>
      </c>
      <c r="CU715">
        <v>0</v>
      </c>
      <c r="CV715" s="25">
        <v>54.634437561035163</v>
      </c>
      <c r="CW715" s="25">
        <v>28.836160659790039</v>
      </c>
      <c r="CX715" s="25">
        <v>48.664413452148438</v>
      </c>
      <c r="CY715" s="25">
        <v>68.856620788574219</v>
      </c>
      <c r="CZ715" s="25">
        <v>26.047050476074219</v>
      </c>
      <c r="DA715" s="25">
        <v>83.379493713378906</v>
      </c>
      <c r="DB715" s="25">
        <v>72.022880554199219</v>
      </c>
      <c r="DC715">
        <v>2045</v>
      </c>
      <c r="DD715" s="253" t="s">
        <v>380</v>
      </c>
    </row>
    <row r="716" spans="1:108">
      <c r="A716" s="13">
        <v>5736</v>
      </c>
      <c r="B716" s="13" t="s">
        <v>1864</v>
      </c>
      <c r="C716" s="13" t="s">
        <v>435</v>
      </c>
      <c r="D716" s="13" t="s">
        <v>436</v>
      </c>
      <c r="E716" s="13" t="s">
        <v>1865</v>
      </c>
      <c r="F716" s="14">
        <v>65.394966666666704</v>
      </c>
      <c r="G716" s="13">
        <v>63.34</v>
      </c>
      <c r="H716" s="13">
        <v>44.51</v>
      </c>
      <c r="I716" s="13">
        <v>48.77</v>
      </c>
      <c r="J716" s="14">
        <v>51.238520071620329</v>
      </c>
      <c r="K716" s="14">
        <v>59.584686586492211</v>
      </c>
      <c r="L716" s="14">
        <v>72.646454917225384</v>
      </c>
      <c r="M716" s="14">
        <v>46.804600000000001</v>
      </c>
      <c r="N716" s="14">
        <f t="shared" si="297"/>
        <v>55.503741666666677</v>
      </c>
      <c r="O716" s="14">
        <f t="shared" si="298"/>
        <v>57.568565393834476</v>
      </c>
      <c r="P716" s="14">
        <f t="shared" si="314"/>
        <v>56.536153530250573</v>
      </c>
      <c r="Q716" s="14">
        <v>57.514634440774735</v>
      </c>
      <c r="R716" s="17">
        <f t="shared" si="299"/>
        <v>42.485365559225265</v>
      </c>
      <c r="S716" s="14">
        <f t="shared" si="315"/>
        <v>0.48236829003302739</v>
      </c>
      <c r="T716" s="13">
        <v>0</v>
      </c>
      <c r="U716" s="13">
        <f t="shared" si="316"/>
        <v>27.271247703431673</v>
      </c>
      <c r="V716" s="13">
        <f>IF($T716=1,$AU716,(VLOOKUP(U716,'Cortes naturales'!$A$35:$C$39,3,9)))</f>
        <v>4</v>
      </c>
      <c r="W716" s="13">
        <v>4</v>
      </c>
      <c r="X716" s="14" t="b">
        <f t="shared" si="300"/>
        <v>1</v>
      </c>
      <c r="Y716" s="17">
        <f>IF($T716=1,$AU716,VLOOKUP(U716,'Cortes naturales'!$A$45:$C$49,3,9))</f>
        <v>4</v>
      </c>
      <c r="Z716" s="14">
        <v>57.873473783457868</v>
      </c>
      <c r="AA716" s="14">
        <v>0.48505069551668656</v>
      </c>
      <c r="AB716" s="14">
        <v>28.071568710632963</v>
      </c>
      <c r="AC716" s="13">
        <v>3</v>
      </c>
      <c r="AD716" s="13">
        <f t="shared" si="301"/>
        <v>-1</v>
      </c>
      <c r="AE716" s="14">
        <f t="shared" si="302"/>
        <v>-1.3373202532072952</v>
      </c>
      <c r="AF716" s="14">
        <f t="shared" si="303"/>
        <v>-2.6824054836591671E-3</v>
      </c>
      <c r="AG716" s="13">
        <f t="shared" si="304"/>
        <v>-0.80032100720129051</v>
      </c>
      <c r="AH716" s="13">
        <f>IF($T716=1,$AU716,VLOOKUP(U716,'Cortes naturales'!$A$25:$C$29,3,9))</f>
        <v>4</v>
      </c>
      <c r="AI716" s="13" t="b">
        <f t="shared" si="305"/>
        <v>1</v>
      </c>
      <c r="AJ716" s="13" t="str">
        <f t="shared" si="306"/>
        <v>Efecto ponderador</v>
      </c>
      <c r="AK716" s="28">
        <v>0.81759069605862034</v>
      </c>
      <c r="AL716" s="28">
        <v>47.316813713947631</v>
      </c>
      <c r="AM716" s="28">
        <v>0.42125745109658785</v>
      </c>
      <c r="AN716" s="13">
        <v>3</v>
      </c>
      <c r="AO716" s="33">
        <f t="shared" si="307"/>
        <v>-1</v>
      </c>
      <c r="AP716" s="13">
        <f t="shared" si="317"/>
        <v>42.125745109658787</v>
      </c>
      <c r="AQ716" s="13">
        <f>IFERROR(VLOOKUP(U716,'Cortes naturales'!$E$15:$G$19,3,9),U716)</f>
        <v>4</v>
      </c>
      <c r="AR716" s="28">
        <f t="shared" si="308"/>
        <v>-0.33522240602559294</v>
      </c>
      <c r="AS716" s="13" t="b">
        <f t="shared" si="309"/>
        <v>1</v>
      </c>
      <c r="AT716" s="13" t="str">
        <f t="shared" si="318"/>
        <v>Efecto ponderador</v>
      </c>
      <c r="AU716" s="13">
        <v>3</v>
      </c>
      <c r="AV716">
        <f t="shared" si="310"/>
        <v>-1</v>
      </c>
      <c r="AW716" s="13">
        <v>0</v>
      </c>
      <c r="AX716" s="13">
        <v>1</v>
      </c>
      <c r="AY716" s="13">
        <v>0</v>
      </c>
      <c r="AZ716" s="13">
        <v>1</v>
      </c>
      <c r="BA716">
        <v>1</v>
      </c>
      <c r="BB716" t="s">
        <v>2839</v>
      </c>
      <c r="BC716">
        <v>2</v>
      </c>
      <c r="BD716" t="s">
        <v>2919</v>
      </c>
      <c r="BE716">
        <v>1</v>
      </c>
      <c r="BF716" s="232" t="s">
        <v>2846</v>
      </c>
      <c r="BG716" s="232" t="s">
        <v>2845</v>
      </c>
      <c r="BH716" s="253">
        <v>42.8</v>
      </c>
      <c r="BI716" s="253">
        <v>23.149204443110179</v>
      </c>
      <c r="BJ716" s="25">
        <v>2.9361702127659574E-2</v>
      </c>
      <c r="BK716" t="s">
        <v>381</v>
      </c>
      <c r="BL716">
        <v>31.04207361716384</v>
      </c>
      <c r="BM716" t="s">
        <v>384</v>
      </c>
      <c r="BN716" s="322">
        <v>139478.08579000001</v>
      </c>
      <c r="BO716" s="322">
        <v>29035.146207000002</v>
      </c>
      <c r="BP716" s="10">
        <v>39116</v>
      </c>
      <c r="BQ716" s="254">
        <f t="shared" si="311"/>
        <v>3.5657553377134681</v>
      </c>
      <c r="BR716" s="254">
        <f t="shared" si="312"/>
        <v>0.74228311194907459</v>
      </c>
      <c r="BS716" s="25">
        <v>69.458113939152909</v>
      </c>
      <c r="BT716" s="25">
        <v>99.453551912568301</v>
      </c>
      <c r="BU716" s="25">
        <v>46.287043279234268</v>
      </c>
      <c r="BV716" s="25">
        <v>79.185285444702174</v>
      </c>
      <c r="BW716" s="25">
        <v>60.181920505726772</v>
      </c>
      <c r="BX716" s="25">
        <v>73.595998643914413</v>
      </c>
      <c r="BY716" s="25">
        <v>61.545423388108752</v>
      </c>
      <c r="BZ716">
        <v>72</v>
      </c>
      <c r="CA716">
        <v>1</v>
      </c>
      <c r="CB716">
        <v>6</v>
      </c>
      <c r="CC716">
        <v>113280.94016500001</v>
      </c>
      <c r="CD716" s="10">
        <v>45688.616086000002</v>
      </c>
      <c r="CE716" s="255">
        <v>0.40332130029510688</v>
      </c>
      <c r="CF716" t="str">
        <f>IFERROR(VLOOKUP(CE716,'Rangos amb etnico'!$A$2:$C$6,3,9),"N.D.")</f>
        <v>31% - 50%</v>
      </c>
      <c r="CG716" s="256">
        <v>1.3292540727290777E-3</v>
      </c>
      <c r="CH716" s="232">
        <v>1886.104388</v>
      </c>
      <c r="CI716" s="311">
        <f t="shared" si="319"/>
        <v>1.6649794619048745E-2</v>
      </c>
      <c r="CJ716" s="232" t="str">
        <f>IFERROR(VLOOKUP(CI716,'Rangos amb etnico'!$A$2:$C$6,3,9),"N.D.")</f>
        <v>0,1% - 30%</v>
      </c>
      <c r="CK716" s="311">
        <f t="shared" si="320"/>
        <v>7.48906929071598E-5</v>
      </c>
      <c r="CL716" s="10">
        <v>0</v>
      </c>
      <c r="CM716" s="255">
        <f t="shared" si="321"/>
        <v>0</v>
      </c>
      <c r="CN716" s="232">
        <f>IFERROR(VLOOKUP(CM716,'Rangos amb etnico'!$A$2:$C$6,3,9),"N.D.")</f>
        <v>0</v>
      </c>
      <c r="CO716" s="311">
        <f t="shared" si="322"/>
        <v>0</v>
      </c>
      <c r="CP716">
        <v>0.83049275967498182</v>
      </c>
      <c r="CQ716" t="s">
        <v>2865</v>
      </c>
      <c r="CR716">
        <f t="shared" si="313"/>
        <v>2</v>
      </c>
      <c r="CS716" t="str">
        <f t="shared" si="323"/>
        <v>No es Candidato</v>
      </c>
      <c r="CT716">
        <v>0</v>
      </c>
      <c r="CU716">
        <v>0</v>
      </c>
      <c r="CV716" s="25">
        <v>37.188552856445313</v>
      </c>
      <c r="CW716" s="25">
        <v>26.58388710021973</v>
      </c>
      <c r="CX716" s="25">
        <v>34.348743438720703</v>
      </c>
      <c r="CY716" s="25">
        <v>66.661933898925781</v>
      </c>
      <c r="CZ716" s="25">
        <v>27.397947311401371</v>
      </c>
      <c r="DA716" s="25">
        <v>30.20272064208984</v>
      </c>
      <c r="DB716" s="25">
        <v>37.936080932617188</v>
      </c>
      <c r="DC716">
        <v>2426</v>
      </c>
      <c r="DD716" s="253" t="s">
        <v>380</v>
      </c>
    </row>
    <row r="717" spans="1:108" hidden="1">
      <c r="A717" s="13">
        <v>66572</v>
      </c>
      <c r="B717" s="13" t="s">
        <v>1866</v>
      </c>
      <c r="C717" s="13" t="s">
        <v>467</v>
      </c>
      <c r="D717" s="13" t="s">
        <v>468</v>
      </c>
      <c r="E717" s="13" t="s">
        <v>1867</v>
      </c>
      <c r="F717" s="14">
        <v>52.316699999999997</v>
      </c>
      <c r="G717" s="13">
        <v>66.48</v>
      </c>
      <c r="H717" s="13">
        <v>38.21</v>
      </c>
      <c r="I717" s="13">
        <v>67.31</v>
      </c>
      <c r="J717" s="14">
        <v>56.862845268602285</v>
      </c>
      <c r="K717" s="14">
        <v>60.163112512037827</v>
      </c>
      <c r="L717" s="14">
        <v>60.141180562003157</v>
      </c>
      <c r="M717" s="14">
        <v>55.122100000000003</v>
      </c>
      <c r="N717" s="14">
        <f t="shared" si="297"/>
        <v>56.079174999999999</v>
      </c>
      <c r="O717" s="14">
        <f t="shared" si="298"/>
        <v>58.072309585660818</v>
      </c>
      <c r="P717" s="14">
        <f t="shared" si="314"/>
        <v>57.075742292830412</v>
      </c>
      <c r="Q717" s="14">
        <v>57.795576834530394</v>
      </c>
      <c r="R717" s="17">
        <f t="shared" si="299"/>
        <v>42.204423165469606</v>
      </c>
      <c r="S717" s="14">
        <f t="shared" si="315"/>
        <v>0.47983980848922647</v>
      </c>
      <c r="T717" s="13">
        <v>0</v>
      </c>
      <c r="U717" s="13">
        <f t="shared" si="316"/>
        <v>27.387213251172188</v>
      </c>
      <c r="V717" s="13">
        <f>IF($T717=1,$AU717,(VLOOKUP(U717,'Cortes naturales'!$A$35:$C$39,3,9)))</f>
        <v>4</v>
      </c>
      <c r="W717" s="13">
        <v>4</v>
      </c>
      <c r="X717" s="14" t="b">
        <f t="shared" si="300"/>
        <v>1</v>
      </c>
      <c r="Y717" s="17">
        <f>IF($T717=1,$AU717,VLOOKUP(U717,'Cortes naturales'!$A$45:$C$49,3,9))</f>
        <v>4</v>
      </c>
      <c r="Z717" s="14">
        <v>53.565814815316017</v>
      </c>
      <c r="AA717" s="14">
        <v>0.48343707327043128</v>
      </c>
      <c r="AB717" s="14">
        <v>25.895700741662282</v>
      </c>
      <c r="AC717" s="13">
        <v>4</v>
      </c>
      <c r="AD717" s="13">
        <f t="shared" si="301"/>
        <v>0</v>
      </c>
      <c r="AE717" s="14">
        <f t="shared" si="302"/>
        <v>3.5099274775143954</v>
      </c>
      <c r="AF717" s="14">
        <f t="shared" si="303"/>
        <v>-3.597264781204812E-3</v>
      </c>
      <c r="AG717" s="13">
        <f t="shared" si="304"/>
        <v>1.4915125095099064</v>
      </c>
      <c r="AH717" s="13">
        <f>IF($T717=1,$AU717,VLOOKUP(U717,'Cortes naturales'!$A$25:$C$29,3,9))</f>
        <v>4</v>
      </c>
      <c r="AI717" s="13" t="b">
        <f t="shared" si="305"/>
        <v>1</v>
      </c>
      <c r="AJ717" s="13">
        <f t="shared" si="306"/>
        <v>0</v>
      </c>
      <c r="AK717" s="28">
        <v>0.81759069605862034</v>
      </c>
      <c r="AL717" s="28">
        <v>43.794911819801378</v>
      </c>
      <c r="AM717" s="28">
        <v>0.37720217083534524</v>
      </c>
      <c r="AN717" s="13">
        <v>3</v>
      </c>
      <c r="AO717" s="33">
        <f t="shared" si="307"/>
        <v>-1</v>
      </c>
      <c r="AP717" s="13">
        <f t="shared" si="317"/>
        <v>37.720217083534521</v>
      </c>
      <c r="AQ717" s="13">
        <f>IFERROR(VLOOKUP(U717,'Cortes naturales'!$E$15:$G$19,3,9),U717)</f>
        <v>4</v>
      </c>
      <c r="AR717" s="28">
        <f t="shared" si="308"/>
        <v>-0.33775088756939387</v>
      </c>
      <c r="AS717" s="13" t="b">
        <f t="shared" si="309"/>
        <v>1</v>
      </c>
      <c r="AT717" s="13" t="str">
        <f t="shared" si="318"/>
        <v>Efecto ponderador</v>
      </c>
      <c r="AU717" s="13">
        <v>3</v>
      </c>
      <c r="AV717">
        <f t="shared" si="310"/>
        <v>-1</v>
      </c>
      <c r="AW717" s="13">
        <v>0</v>
      </c>
      <c r="AX717" s="13">
        <v>0</v>
      </c>
      <c r="AY717" s="13">
        <v>0</v>
      </c>
      <c r="AZ717" s="13">
        <v>0</v>
      </c>
      <c r="BA717">
        <v>1</v>
      </c>
      <c r="BB717" t="s">
        <v>2841</v>
      </c>
      <c r="BC717">
        <v>6</v>
      </c>
      <c r="BD717" t="s">
        <v>2919</v>
      </c>
      <c r="BE717">
        <v>1</v>
      </c>
      <c r="BF717" s="232" t="s">
        <v>2846</v>
      </c>
      <c r="BG717" s="232" t="s">
        <v>2846</v>
      </c>
      <c r="BH717" s="253">
        <v>70.5</v>
      </c>
      <c r="BI717" s="253">
        <v>55.471619654861733</v>
      </c>
      <c r="BJ717" s="25">
        <v>50.60604664618841</v>
      </c>
      <c r="BK717" t="s">
        <v>376</v>
      </c>
      <c r="BL717">
        <v>0.31963008572802992</v>
      </c>
      <c r="BM717" t="s">
        <v>383</v>
      </c>
      <c r="BN717" s="322">
        <v>45809.915072999996</v>
      </c>
      <c r="BO717" s="322">
        <v>3160.4387929999998</v>
      </c>
      <c r="BP717" s="10">
        <v>18266</v>
      </c>
      <c r="BQ717" s="254">
        <f t="shared" si="311"/>
        <v>2.5079335964633742</v>
      </c>
      <c r="BR717" s="254">
        <f t="shared" si="312"/>
        <v>0.17302303695390342</v>
      </c>
      <c r="BS717" s="25">
        <v>62.052815115006823</v>
      </c>
      <c r="BT717" s="25">
        <v>97.432880013175236</v>
      </c>
      <c r="BU717" s="25">
        <v>40.494689341189073</v>
      </c>
      <c r="BV717" s="25">
        <v>96.127840882381619</v>
      </c>
      <c r="BW717" s="25">
        <v>51.158091886602051</v>
      </c>
      <c r="BX717" s="25">
        <v>74.027056337938177</v>
      </c>
      <c r="BY717" s="25">
        <v>52.818716235495508</v>
      </c>
      <c r="BZ717">
        <v>31</v>
      </c>
      <c r="CA717">
        <v>0</v>
      </c>
      <c r="CB717">
        <v>7</v>
      </c>
      <c r="CC717">
        <v>61380.266205</v>
      </c>
      <c r="CD717" s="10">
        <v>40723.159814999999</v>
      </c>
      <c r="CE717" s="255">
        <v>0.66345687845326928</v>
      </c>
      <c r="CF717" t="str">
        <f>IFERROR(VLOOKUP(CE717,'Rangos amb etnico'!$A$2:$C$6,3,9),"N.D.")</f>
        <v>51% - 70%</v>
      </c>
      <c r="CG717" s="256">
        <v>1.1847902316978458E-3</v>
      </c>
      <c r="CH717" s="232">
        <v>20546.039472</v>
      </c>
      <c r="CI717" s="311">
        <f t="shared" si="319"/>
        <v>0.33473363252253757</v>
      </c>
      <c r="CJ717" s="232" t="str">
        <f>IFERROR(VLOOKUP(CI717,'Rangos amb etnico'!$A$2:$C$6,3,9),"N.D.")</f>
        <v>31% - 50%</v>
      </c>
      <c r="CK717" s="311">
        <f t="shared" si="320"/>
        <v>8.1581228607795154E-4</v>
      </c>
      <c r="CL717" s="10">
        <v>0</v>
      </c>
      <c r="CM717" s="255">
        <f t="shared" si="321"/>
        <v>0</v>
      </c>
      <c r="CN717" s="232">
        <f>IFERROR(VLOOKUP(CM717,'Rangos amb etnico'!$A$2:$C$6,3,9),"N.D.")</f>
        <v>0</v>
      </c>
      <c r="CO717" s="311">
        <f t="shared" si="322"/>
        <v>0</v>
      </c>
      <c r="CP717">
        <v>0.89839414849723642</v>
      </c>
      <c r="CQ717" t="s">
        <v>2864</v>
      </c>
      <c r="CR717">
        <f t="shared" si="313"/>
        <v>2</v>
      </c>
      <c r="CS717" t="str">
        <f t="shared" si="323"/>
        <v>No es Candidato</v>
      </c>
      <c r="CT717">
        <v>0</v>
      </c>
      <c r="CU717">
        <v>0</v>
      </c>
      <c r="CV717" s="25">
        <v>46.503646850585938</v>
      </c>
      <c r="CW717" s="25">
        <v>18.222564697265621</v>
      </c>
      <c r="CX717" s="25">
        <v>53.063945770263672</v>
      </c>
      <c r="CY717" s="25">
        <v>34.246833801269531</v>
      </c>
      <c r="CZ717" s="25">
        <v>26.338117599487301</v>
      </c>
      <c r="DA717" s="25">
        <v>78.251014709472656</v>
      </c>
      <c r="DB717" s="25">
        <v>68.899398803710938</v>
      </c>
      <c r="DC717">
        <v>10542</v>
      </c>
      <c r="DD717" s="253" t="s">
        <v>380</v>
      </c>
    </row>
    <row r="718" spans="1:108" hidden="1">
      <c r="A718" s="13">
        <v>41013</v>
      </c>
      <c r="B718" s="13" t="s">
        <v>1868</v>
      </c>
      <c r="C718" s="13" t="s">
        <v>676</v>
      </c>
      <c r="D718" s="13" t="s">
        <v>677</v>
      </c>
      <c r="E718" s="13" t="s">
        <v>1869</v>
      </c>
      <c r="F718" s="14">
        <v>56.074266666666702</v>
      </c>
      <c r="G718" s="13">
        <v>63.95</v>
      </c>
      <c r="H718" s="13">
        <v>65.27</v>
      </c>
      <c r="I718" s="13">
        <v>64.91</v>
      </c>
      <c r="J718" s="14">
        <v>51.488163909129675</v>
      </c>
      <c r="K718" s="14">
        <v>64.391592841081732</v>
      </c>
      <c r="L718" s="14">
        <v>66.498871558832974</v>
      </c>
      <c r="M718" s="14">
        <v>56.376300000000001</v>
      </c>
      <c r="N718" s="14">
        <f t="shared" si="297"/>
        <v>62.551066666666678</v>
      </c>
      <c r="O718" s="14">
        <f t="shared" si="298"/>
        <v>59.688732077261093</v>
      </c>
      <c r="P718" s="14">
        <f t="shared" si="314"/>
        <v>61.119899371963882</v>
      </c>
      <c r="Q718" s="14">
        <v>58.342102345570183</v>
      </c>
      <c r="R718" s="17">
        <f t="shared" si="299"/>
        <v>41.657897654429817</v>
      </c>
      <c r="S718" s="14">
        <f t="shared" si="315"/>
        <v>0.47492107888986834</v>
      </c>
      <c r="T718" s="13">
        <v>0</v>
      </c>
      <c r="U718" s="13">
        <f t="shared" si="316"/>
        <v>29.027128551373274</v>
      </c>
      <c r="V718" s="13">
        <f>IF($T718=1,$AU718,(VLOOKUP(U718,'Cortes naturales'!$A$35:$C$39,3,9)))</f>
        <v>4</v>
      </c>
      <c r="W718" s="13">
        <v>4</v>
      </c>
      <c r="X718" s="14" t="b">
        <f t="shared" si="300"/>
        <v>1</v>
      </c>
      <c r="Y718" s="17">
        <f>IF($T718=1,$AU718,VLOOKUP(U718,'Cortes naturales'!$A$45:$C$49,3,9))</f>
        <v>3</v>
      </c>
      <c r="Z718" s="14">
        <v>60.380389473048425</v>
      </c>
      <c r="AA718" s="14">
        <v>0.48322490677549379</v>
      </c>
      <c r="AB718" s="14">
        <v>29.17730807418183</v>
      </c>
      <c r="AC718" s="13">
        <v>3</v>
      </c>
      <c r="AD718" s="13">
        <f t="shared" si="301"/>
        <v>0</v>
      </c>
      <c r="AE718" s="14">
        <f t="shared" si="302"/>
        <v>0.7395098989154576</v>
      </c>
      <c r="AF718" s="14">
        <f t="shared" si="303"/>
        <v>-8.3038278856254477E-3</v>
      </c>
      <c r="AG718" s="13">
        <f t="shared" si="304"/>
        <v>-0.15017952280855695</v>
      </c>
      <c r="AH718" s="13">
        <f>IF($T718=1,$AU718,VLOOKUP(U718,'Cortes naturales'!$A$25:$C$29,3,9))</f>
        <v>3</v>
      </c>
      <c r="AI718" s="13" t="b">
        <f t="shared" si="305"/>
        <v>1</v>
      </c>
      <c r="AJ718" s="13">
        <f t="shared" si="306"/>
        <v>0</v>
      </c>
      <c r="AK718" s="28">
        <v>0.81759069605862034</v>
      </c>
      <c r="AL718" s="28">
        <v>49.366444657560251</v>
      </c>
      <c r="AM718" s="28">
        <v>0.44689617368651907</v>
      </c>
      <c r="AN718" s="13">
        <v>3</v>
      </c>
      <c r="AO718" s="33">
        <f t="shared" si="307"/>
        <v>0</v>
      </c>
      <c r="AP718" s="13">
        <f t="shared" si="317"/>
        <v>44.689617368651909</v>
      </c>
      <c r="AQ718" s="13">
        <f>IFERROR(VLOOKUP(U718,'Cortes naturales'!$E$15:$G$19,3,9),U718)</f>
        <v>4</v>
      </c>
      <c r="AR718" s="28">
        <f t="shared" si="308"/>
        <v>-0.34266961716875199</v>
      </c>
      <c r="AS718" s="13" t="b">
        <f t="shared" si="309"/>
        <v>0</v>
      </c>
      <c r="AT718" s="13">
        <f t="shared" si="318"/>
        <v>0</v>
      </c>
      <c r="AU718" s="13">
        <v>3</v>
      </c>
      <c r="AV718">
        <f t="shared" si="310"/>
        <v>0</v>
      </c>
      <c r="AW718" s="13">
        <v>0</v>
      </c>
      <c r="AX718" s="13">
        <v>0</v>
      </c>
      <c r="AY718" s="13">
        <v>0</v>
      </c>
      <c r="AZ718" s="13">
        <v>0</v>
      </c>
      <c r="BA718">
        <v>0</v>
      </c>
      <c r="BB718" t="s">
        <v>2840</v>
      </c>
      <c r="BC718">
        <v>6</v>
      </c>
      <c r="BD718" t="s">
        <v>2919</v>
      </c>
      <c r="BE718">
        <v>0</v>
      </c>
      <c r="BF718" s="232" t="s">
        <v>2846</v>
      </c>
      <c r="BG718" s="232" t="s">
        <v>2845</v>
      </c>
      <c r="BH718" s="253">
        <v>50</v>
      </c>
      <c r="BI718" s="253">
        <v>18.325950104919563</v>
      </c>
      <c r="BJ718" s="25">
        <v>46.933889605942475</v>
      </c>
      <c r="BK718" t="s">
        <v>376</v>
      </c>
      <c r="BL718">
        <v>2.2212572593311117</v>
      </c>
      <c r="BM718" t="s">
        <v>383</v>
      </c>
      <c r="BN718" s="322">
        <v>26485.563631000001</v>
      </c>
      <c r="BO718" s="322">
        <v>2553.9568060000001</v>
      </c>
      <c r="BP718" s="10">
        <v>9282</v>
      </c>
      <c r="BQ718" s="254">
        <f t="shared" si="311"/>
        <v>2.8534328410902825</v>
      </c>
      <c r="BR718" s="254">
        <f t="shared" si="312"/>
        <v>0.27515156280973929</v>
      </c>
      <c r="BS718" s="25">
        <v>62.468032568966827</v>
      </c>
      <c r="BT718" s="25">
        <v>88.230742169790986</v>
      </c>
      <c r="BU718" s="25">
        <v>67.343333333333348</v>
      </c>
      <c r="BV718" s="25">
        <v>90.467869260113687</v>
      </c>
      <c r="BW718" s="25">
        <v>65.673530086564824</v>
      </c>
      <c r="BX718" s="25">
        <v>77.127494333051203</v>
      </c>
      <c r="BY718" s="25">
        <v>66.014268048364499</v>
      </c>
      <c r="BZ718">
        <v>30</v>
      </c>
      <c r="CA718">
        <v>0</v>
      </c>
      <c r="CB718">
        <v>7</v>
      </c>
      <c r="CC718">
        <v>27368.701991000002</v>
      </c>
      <c r="CD718" s="10">
        <v>8302.4855920000009</v>
      </c>
      <c r="CE718" s="255">
        <v>0.30335693650105194</v>
      </c>
      <c r="CF718" t="str">
        <f>IFERROR(VLOOKUP(CE718,'Rangos amb etnico'!$A$2:$C$6,3,9),"N.D.")</f>
        <v>0,1% - 30%</v>
      </c>
      <c r="CG718" s="256">
        <v>2.4155060346251541E-4</v>
      </c>
      <c r="CH718" s="232">
        <v>0</v>
      </c>
      <c r="CI718" s="311">
        <f t="shared" si="319"/>
        <v>0</v>
      </c>
      <c r="CJ718" s="232">
        <f>IFERROR(VLOOKUP(CI718,'Rangos amb etnico'!$A$2:$C$6,3,9),"N.D.")</f>
        <v>0</v>
      </c>
      <c r="CK718" s="311">
        <f t="shared" si="320"/>
        <v>0</v>
      </c>
      <c r="CL718" s="10">
        <v>0</v>
      </c>
      <c r="CM718" s="255">
        <f t="shared" si="321"/>
        <v>0</v>
      </c>
      <c r="CN718" s="232">
        <f>IFERROR(VLOOKUP(CM718,'Rangos amb etnico'!$A$2:$C$6,3,9),"N.D.")</f>
        <v>0</v>
      </c>
      <c r="CO718" s="311">
        <f t="shared" si="322"/>
        <v>0</v>
      </c>
      <c r="CP718">
        <v>0.85306201929137337</v>
      </c>
      <c r="CQ718" t="s">
        <v>2864</v>
      </c>
      <c r="CR718">
        <f t="shared" si="313"/>
        <v>3</v>
      </c>
      <c r="CS718" t="str">
        <f t="shared" si="323"/>
        <v>Candidato</v>
      </c>
      <c r="CT718">
        <v>0</v>
      </c>
      <c r="CU718">
        <v>0</v>
      </c>
      <c r="CV718" s="25">
        <v>42.077705383300781</v>
      </c>
      <c r="CW718" s="25">
        <v>16.003240585327148</v>
      </c>
      <c r="CX718" s="25">
        <v>55.336799621582031</v>
      </c>
      <c r="CY718" s="25">
        <v>48.853199005126953</v>
      </c>
      <c r="CZ718" s="25">
        <v>34.057025909423828</v>
      </c>
      <c r="DA718" s="25">
        <v>34.006362915039063</v>
      </c>
      <c r="DB718" s="25">
        <v>64.209602355957031</v>
      </c>
      <c r="DC718">
        <v>91</v>
      </c>
      <c r="DD718" s="253" t="s">
        <v>380</v>
      </c>
    </row>
    <row r="719" spans="1:108" hidden="1">
      <c r="A719" s="13">
        <v>15097</v>
      </c>
      <c r="B719" s="13" t="s">
        <v>1870</v>
      </c>
      <c r="C719" s="13" t="s">
        <v>498</v>
      </c>
      <c r="D719" s="13" t="s">
        <v>499</v>
      </c>
      <c r="E719" s="13" t="s">
        <v>1871</v>
      </c>
      <c r="F719" s="14">
        <v>84.8596</v>
      </c>
      <c r="G719" s="13">
        <v>81.09</v>
      </c>
      <c r="H719" s="13">
        <v>81.569999999999993</v>
      </c>
      <c r="I719" s="13">
        <v>82.28</v>
      </c>
      <c r="J719" s="14">
        <v>58.690001417951279</v>
      </c>
      <c r="K719" s="14">
        <v>61.557775743672892</v>
      </c>
      <c r="L719" s="14">
        <v>58.102631602521114</v>
      </c>
      <c r="M719" s="14">
        <v>53.531100000000002</v>
      </c>
      <c r="N719" s="14">
        <f t="shared" si="297"/>
        <v>82.4499</v>
      </c>
      <c r="O719" s="14">
        <f t="shared" si="298"/>
        <v>57.970377191036327</v>
      </c>
      <c r="P719" s="14">
        <f t="shared" si="314"/>
        <v>70.21013859551816</v>
      </c>
      <c r="Q719" s="14">
        <v>58.666922750843753</v>
      </c>
      <c r="R719" s="17">
        <f t="shared" si="299"/>
        <v>41.333077249156247</v>
      </c>
      <c r="S719" s="14">
        <f t="shared" si="315"/>
        <v>0.4719976952424062</v>
      </c>
      <c r="T719" s="13">
        <v>0</v>
      </c>
      <c r="U719" s="13">
        <f t="shared" si="316"/>
        <v>33.139023599734479</v>
      </c>
      <c r="V719" s="13">
        <f>IF($T719=1,$AU719,(VLOOKUP(U719,'Cortes naturales'!$A$35:$C$39,3,9)))</f>
        <v>3</v>
      </c>
      <c r="W719" s="13">
        <v>3</v>
      </c>
      <c r="X719" s="14" t="b">
        <f t="shared" si="300"/>
        <v>1</v>
      </c>
      <c r="Y719" s="17">
        <f>IF($T719=1,$AU719,VLOOKUP(U719,'Cortes naturales'!$A$45:$C$49,3,9))</f>
        <v>3</v>
      </c>
      <c r="Z719" s="14">
        <v>70.220374392022634</v>
      </c>
      <c r="AA719" s="14">
        <v>0.48350135732458188</v>
      </c>
      <c r="AB719" s="14">
        <v>33.951646330383255</v>
      </c>
      <c r="AC719" s="13">
        <v>3</v>
      </c>
      <c r="AD719" s="13">
        <f t="shared" si="301"/>
        <v>0</v>
      </c>
      <c r="AE719" s="14">
        <f t="shared" si="302"/>
        <v>-1.0235796504474592E-2</v>
      </c>
      <c r="AF719" s="14">
        <f t="shared" si="303"/>
        <v>-1.1503662082175681E-2</v>
      </c>
      <c r="AG719" s="13">
        <f t="shared" si="304"/>
        <v>-0.81262273064877633</v>
      </c>
      <c r="AH719" s="13">
        <f>IF($T719=1,$AU719,VLOOKUP(U719,'Cortes naturales'!$A$25:$C$29,3,9))</f>
        <v>3</v>
      </c>
      <c r="AI719" s="13" t="b">
        <f t="shared" si="305"/>
        <v>1</v>
      </c>
      <c r="AJ719" s="13">
        <f t="shared" si="306"/>
        <v>0</v>
      </c>
      <c r="AK719" s="28">
        <v>0.81759069605862034</v>
      </c>
      <c r="AL719" s="28">
        <v>57.411524776670703</v>
      </c>
      <c r="AM719" s="28">
        <v>0.54753164566279877</v>
      </c>
      <c r="AN719" s="13">
        <v>2</v>
      </c>
      <c r="AO719" s="33">
        <f t="shared" si="307"/>
        <v>-1</v>
      </c>
      <c r="AP719" s="13">
        <f t="shared" si="317"/>
        <v>54.753164566279878</v>
      </c>
      <c r="AQ719" s="13">
        <f>IFERROR(VLOOKUP(U719,'Cortes naturales'!$E$15:$G$19,3,9),U719)</f>
        <v>4</v>
      </c>
      <c r="AR719" s="28">
        <f t="shared" si="308"/>
        <v>-0.34559300081621414</v>
      </c>
      <c r="AS719" s="13" t="b">
        <f t="shared" si="309"/>
        <v>0</v>
      </c>
      <c r="AT719" s="13" t="str">
        <f t="shared" si="318"/>
        <v>Cambio en corte</v>
      </c>
      <c r="AU719" s="13">
        <v>3</v>
      </c>
      <c r="AV719">
        <f t="shared" si="310"/>
        <v>0</v>
      </c>
      <c r="AW719" s="13">
        <v>0</v>
      </c>
      <c r="AX719" s="13">
        <v>0</v>
      </c>
      <c r="AY719" s="13">
        <v>0</v>
      </c>
      <c r="AZ719" s="13">
        <v>0</v>
      </c>
      <c r="BA719">
        <v>0</v>
      </c>
      <c r="BB719" t="s">
        <v>2840</v>
      </c>
      <c r="BC719">
        <v>6</v>
      </c>
      <c r="BD719" t="s">
        <v>2919</v>
      </c>
      <c r="BE719">
        <v>0</v>
      </c>
      <c r="BF719" s="232" t="s">
        <v>2846</v>
      </c>
      <c r="BG719" s="232" t="s">
        <v>2846</v>
      </c>
      <c r="BH719" s="253">
        <v>48.1</v>
      </c>
      <c r="BI719" s="253">
        <v>19.748580697485806</v>
      </c>
      <c r="BJ719" s="25">
        <v>35.93017859338498</v>
      </c>
      <c r="BK719" t="s">
        <v>376</v>
      </c>
      <c r="BL719">
        <v>1.6197182758620501</v>
      </c>
      <c r="BM719" t="s">
        <v>383</v>
      </c>
      <c r="BN719" s="322">
        <v>21305.628771</v>
      </c>
      <c r="BO719" s="322">
        <v>1774.21831</v>
      </c>
      <c r="BP719" s="10">
        <v>5145</v>
      </c>
      <c r="BQ719" s="254">
        <f t="shared" si="311"/>
        <v>4.1410357183673465</v>
      </c>
      <c r="BR719" s="254">
        <f t="shared" si="312"/>
        <v>0.34484320894071913</v>
      </c>
      <c r="BS719" s="25">
        <v>66.994774139910533</v>
      </c>
      <c r="BT719" s="25">
        <v>94.318108195659207</v>
      </c>
      <c r="BU719" s="25">
        <v>46.638861693861656</v>
      </c>
      <c r="BV719" s="25">
        <v>93.561138287816959</v>
      </c>
      <c r="BW719" s="25">
        <v>50.413122157728523</v>
      </c>
      <c r="BX719" s="25">
        <v>75.378220579312085</v>
      </c>
      <c r="BY719" s="25">
        <v>50.172153991079767</v>
      </c>
      <c r="BZ719">
        <v>44</v>
      </c>
      <c r="CA719">
        <v>0</v>
      </c>
      <c r="CB719">
        <v>7</v>
      </c>
      <c r="CC719">
        <v>14498.587831999999</v>
      </c>
      <c r="CD719" s="10">
        <v>2.8880870000000001</v>
      </c>
      <c r="CE719" s="255">
        <v>1.9919781384678515E-4</v>
      </c>
      <c r="CF719">
        <f>IFERROR(VLOOKUP(CE719,'Rangos amb etnico'!$A$2:$C$6,3,9),"N.D.")</f>
        <v>0</v>
      </c>
      <c r="CG719" s="256">
        <v>8.4025337951136994E-8</v>
      </c>
      <c r="CH719" s="232">
        <v>0</v>
      </c>
      <c r="CI719" s="311">
        <f t="shared" si="319"/>
        <v>0</v>
      </c>
      <c r="CJ719" s="232">
        <f>IFERROR(VLOOKUP(CI719,'Rangos amb etnico'!$A$2:$C$6,3,9),"N.D.")</f>
        <v>0</v>
      </c>
      <c r="CK719" s="311">
        <f t="shared" si="320"/>
        <v>0</v>
      </c>
      <c r="CL719" s="10">
        <v>0</v>
      </c>
      <c r="CM719" s="255">
        <f t="shared" si="321"/>
        <v>0</v>
      </c>
      <c r="CN719" s="232">
        <f>IFERROR(VLOOKUP(CM719,'Rangos amb etnico'!$A$2:$C$6,3,9),"N.D.")</f>
        <v>0</v>
      </c>
      <c r="CO719" s="311">
        <f t="shared" si="322"/>
        <v>0</v>
      </c>
      <c r="CP719">
        <v>0.93598970274671278</v>
      </c>
      <c r="CQ719" t="s">
        <v>2864</v>
      </c>
      <c r="CR719">
        <f t="shared" si="313"/>
        <v>2</v>
      </c>
      <c r="CS719" t="str">
        <f t="shared" si="323"/>
        <v>No es Candidato</v>
      </c>
      <c r="CT719">
        <v>0</v>
      </c>
      <c r="CU719">
        <v>0</v>
      </c>
      <c r="CV719" s="25">
        <v>49.336521148681641</v>
      </c>
      <c r="CW719" s="25">
        <v>19.156772613525391</v>
      </c>
      <c r="CX719" s="25">
        <v>42.767505645751953</v>
      </c>
      <c r="CY719" s="25">
        <v>62.967971801757813</v>
      </c>
      <c r="CZ719" s="25">
        <v>63.388816833496087</v>
      </c>
      <c r="DA719" s="25">
        <v>63.866828918457031</v>
      </c>
      <c r="DB719" s="25">
        <v>43.871242523193359</v>
      </c>
      <c r="DC719">
        <v>39</v>
      </c>
      <c r="DD719" s="253" t="s">
        <v>380</v>
      </c>
    </row>
    <row r="720" spans="1:108" hidden="1">
      <c r="A720" s="13">
        <v>54480</v>
      </c>
      <c r="B720" s="13" t="s">
        <v>1872</v>
      </c>
      <c r="C720" s="13" t="s">
        <v>517</v>
      </c>
      <c r="D720" s="13" t="s">
        <v>518</v>
      </c>
      <c r="E720" s="13" t="s">
        <v>1873</v>
      </c>
      <c r="F720" s="14">
        <v>46.9241666666667</v>
      </c>
      <c r="G720" s="13">
        <v>63.31</v>
      </c>
      <c r="H720" s="13">
        <v>50.37</v>
      </c>
      <c r="I720" s="13">
        <v>69.069999999999993</v>
      </c>
      <c r="J720" s="14">
        <v>46.725765381871867</v>
      </c>
      <c r="K720" s="14">
        <v>48.422314275041501</v>
      </c>
      <c r="L720" s="14">
        <v>53.232982593462893</v>
      </c>
      <c r="M720" s="14">
        <v>49.183500000000002</v>
      </c>
      <c r="N720" s="14">
        <f t="shared" si="297"/>
        <v>57.418541666666677</v>
      </c>
      <c r="O720" s="14">
        <f t="shared" si="298"/>
        <v>49.391140562594067</v>
      </c>
      <c r="P720" s="14">
        <f t="shared" si="314"/>
        <v>53.404841114630372</v>
      </c>
      <c r="Q720" s="14">
        <v>58.281325777773439</v>
      </c>
      <c r="R720" s="17">
        <f t="shared" si="299"/>
        <v>41.718674222226561</v>
      </c>
      <c r="S720" s="14">
        <f t="shared" si="315"/>
        <v>0.47546806800003905</v>
      </c>
      <c r="T720" s="13">
        <v>0</v>
      </c>
      <c r="U720" s="13">
        <f t="shared" si="316"/>
        <v>25.392296626622354</v>
      </c>
      <c r="V720" s="13">
        <f>IF($T720=1,$AU720,(VLOOKUP(U720,'Cortes naturales'!$A$35:$C$39,3,9)))</f>
        <v>4</v>
      </c>
      <c r="W720" s="13">
        <v>4</v>
      </c>
      <c r="X720" s="14" t="b">
        <f t="shared" si="300"/>
        <v>1</v>
      </c>
      <c r="Y720" s="17">
        <f>IF($T720=1,$AU720,VLOOKUP(U720,'Cortes naturales'!$A$45:$C$49,3,9))</f>
        <v>4</v>
      </c>
      <c r="Z720" s="14">
        <v>49.350192791735637</v>
      </c>
      <c r="AA720" s="14">
        <v>0.48431027337168753</v>
      </c>
      <c r="AB720" s="14">
        <v>23.900805361910969</v>
      </c>
      <c r="AC720" s="13">
        <v>4</v>
      </c>
      <c r="AD720" s="13">
        <f t="shared" si="301"/>
        <v>0</v>
      </c>
      <c r="AE720" s="14">
        <f t="shared" si="302"/>
        <v>4.0546483228947352</v>
      </c>
      <c r="AF720" s="14">
        <f t="shared" si="303"/>
        <v>-8.8422053716484816E-3</v>
      </c>
      <c r="AG720" s="13">
        <f t="shared" si="304"/>
        <v>1.4914912647113852</v>
      </c>
      <c r="AH720" s="13">
        <f>IF($T720=1,$AU720,VLOOKUP(U720,'Cortes naturales'!$A$25:$C$29,3,9))</f>
        <v>4</v>
      </c>
      <c r="AI720" s="13" t="b">
        <f t="shared" si="305"/>
        <v>1</v>
      </c>
      <c r="AJ720" s="13">
        <f t="shared" si="306"/>
        <v>0</v>
      </c>
      <c r="AK720" s="28">
        <v>0.81759069605862034</v>
      </c>
      <c r="AL720" s="28">
        <v>40.348258475222245</v>
      </c>
      <c r="AM720" s="28">
        <v>0.33408817060973955</v>
      </c>
      <c r="AN720" s="13">
        <v>4</v>
      </c>
      <c r="AO720" s="33">
        <f t="shared" si="307"/>
        <v>0</v>
      </c>
      <c r="AP720" s="13">
        <f t="shared" si="317"/>
        <v>33.408817060973952</v>
      </c>
      <c r="AQ720" s="13">
        <f>IFERROR(VLOOKUP(U720,'Cortes naturales'!$E$15:$G$19,3,9),U720)</f>
        <v>4</v>
      </c>
      <c r="AR720" s="28">
        <f t="shared" si="308"/>
        <v>-0.34212262805858129</v>
      </c>
      <c r="AS720" s="13" t="b">
        <f t="shared" si="309"/>
        <v>1</v>
      </c>
      <c r="AT720" s="13">
        <f t="shared" si="318"/>
        <v>0</v>
      </c>
      <c r="AU720" s="13">
        <v>4</v>
      </c>
      <c r="AV720">
        <f t="shared" si="310"/>
        <v>0</v>
      </c>
      <c r="AW720" s="13">
        <v>0</v>
      </c>
      <c r="AX720" s="13">
        <v>0</v>
      </c>
      <c r="AY720" s="13">
        <v>0</v>
      </c>
      <c r="AZ720" s="13">
        <v>0</v>
      </c>
      <c r="BA720">
        <v>0</v>
      </c>
      <c r="BB720" t="s">
        <v>2841</v>
      </c>
      <c r="BC720">
        <v>6</v>
      </c>
      <c r="BD720" t="s">
        <v>2919</v>
      </c>
      <c r="BE720">
        <v>1</v>
      </c>
      <c r="BF720" s="232" t="s">
        <v>2846</v>
      </c>
      <c r="BG720" s="232" t="s">
        <v>2846</v>
      </c>
      <c r="BH720" s="253">
        <v>42.2</v>
      </c>
      <c r="BI720" s="253">
        <v>14.85479311231046</v>
      </c>
      <c r="BJ720" s="25">
        <v>46.655822148805839</v>
      </c>
      <c r="BK720" t="s">
        <v>376</v>
      </c>
      <c r="BL720">
        <v>0</v>
      </c>
      <c r="BM720" t="s">
        <v>377</v>
      </c>
      <c r="BN720" s="322">
        <v>12207.169517</v>
      </c>
      <c r="BO720" s="322">
        <v>757.35701800000004</v>
      </c>
      <c r="BP720" s="10">
        <v>4636</v>
      </c>
      <c r="BQ720" s="254">
        <f t="shared" si="311"/>
        <v>2.6331254350733393</v>
      </c>
      <c r="BR720" s="254">
        <f t="shared" si="312"/>
        <v>0.16336432657463332</v>
      </c>
      <c r="BS720" s="25">
        <v>61.729336710760862</v>
      </c>
      <c r="BT720" s="25">
        <v>90.079615602530907</v>
      </c>
      <c r="BU720" s="25">
        <v>29.296841448189731</v>
      </c>
      <c r="BV720" s="25">
        <v>89.880145745175284</v>
      </c>
      <c r="BW720" s="25">
        <v>60.681734983714108</v>
      </c>
      <c r="BX720" s="25">
        <v>67.746484876664198</v>
      </c>
      <c r="BY720" s="25">
        <v>61.071071655316928</v>
      </c>
      <c r="BZ720">
        <v>24</v>
      </c>
      <c r="CA720">
        <v>0</v>
      </c>
      <c r="CB720">
        <v>7</v>
      </c>
      <c r="CC720">
        <v>15850.838615000001</v>
      </c>
      <c r="CD720" s="10">
        <v>13898.939668999999</v>
      </c>
      <c r="CE720" s="255">
        <v>0.87685831687461158</v>
      </c>
      <c r="CF720" t="str">
        <f>IFERROR(VLOOKUP(CE720,'Rangos amb etnico'!$A$2:$C$6,3,9),"N.D.")</f>
        <v>71% - 100%</v>
      </c>
      <c r="CG720" s="256">
        <v>4.0437254932077497E-4</v>
      </c>
      <c r="CH720" s="232">
        <v>0</v>
      </c>
      <c r="CI720" s="311">
        <f t="shared" si="319"/>
        <v>0</v>
      </c>
      <c r="CJ720" s="232">
        <f>IFERROR(VLOOKUP(CI720,'Rangos amb etnico'!$A$2:$C$6,3,9),"N.D.")</f>
        <v>0</v>
      </c>
      <c r="CK720" s="311">
        <f t="shared" si="320"/>
        <v>0</v>
      </c>
      <c r="CL720" s="10">
        <v>0</v>
      </c>
      <c r="CM720" s="255">
        <f t="shared" si="321"/>
        <v>0</v>
      </c>
      <c r="CN720" s="232">
        <f>IFERROR(VLOOKUP(CM720,'Rangos amb etnico'!$A$2:$C$6,3,9),"N.D.")</f>
        <v>0</v>
      </c>
      <c r="CO720" s="311">
        <f t="shared" si="322"/>
        <v>0</v>
      </c>
      <c r="CP720">
        <v>0.94006222699369535</v>
      </c>
      <c r="CQ720" t="s">
        <v>2864</v>
      </c>
      <c r="CR720">
        <f t="shared" si="313"/>
        <v>3</v>
      </c>
      <c r="CS720" t="str">
        <f t="shared" si="323"/>
        <v>Candidato</v>
      </c>
      <c r="CT720">
        <v>0</v>
      </c>
      <c r="CU720">
        <v>0</v>
      </c>
      <c r="CV720" s="25">
        <v>51.274375915527337</v>
      </c>
      <c r="CW720" s="25">
        <v>18.083295822143551</v>
      </c>
      <c r="CX720" s="25">
        <v>51.564781188964837</v>
      </c>
      <c r="CY720" s="25">
        <v>68.144882202148438</v>
      </c>
      <c r="CZ720" s="25">
        <v>54.867927551269531</v>
      </c>
      <c r="DA720" s="25">
        <v>57.718730926513672</v>
      </c>
      <c r="DB720" s="25">
        <v>57.266628265380859</v>
      </c>
      <c r="DC720">
        <v>28</v>
      </c>
      <c r="DD720" s="253" t="s">
        <v>380</v>
      </c>
    </row>
    <row r="721" spans="1:108">
      <c r="A721" s="13">
        <v>5250</v>
      </c>
      <c r="B721" s="13" t="s">
        <v>1874</v>
      </c>
      <c r="C721" s="13" t="s">
        <v>435</v>
      </c>
      <c r="D721" s="13" t="s">
        <v>436</v>
      </c>
      <c r="E721" s="13" t="s">
        <v>1875</v>
      </c>
      <c r="F721" s="14">
        <v>68.685500000000005</v>
      </c>
      <c r="G721" s="13">
        <v>57.24</v>
      </c>
      <c r="H721" s="13">
        <v>66.44</v>
      </c>
      <c r="I721" s="13">
        <v>61</v>
      </c>
      <c r="J721" s="14">
        <v>61.289372264448929</v>
      </c>
      <c r="K721" s="14">
        <v>63.203148349708428</v>
      </c>
      <c r="L721" s="14">
        <v>63.633900249015554</v>
      </c>
      <c r="M721" s="14">
        <v>62.408999999999999</v>
      </c>
      <c r="N721" s="14">
        <f t="shared" si="297"/>
        <v>63.341374999999999</v>
      </c>
      <c r="O721" s="14">
        <f t="shared" si="298"/>
        <v>62.633855215793226</v>
      </c>
      <c r="P721" s="14">
        <f t="shared" si="314"/>
        <v>62.987615107896616</v>
      </c>
      <c r="Q721" s="14">
        <v>58.005747657526264</v>
      </c>
      <c r="R721" s="17">
        <f t="shared" si="299"/>
        <v>41.994252342473736</v>
      </c>
      <c r="S721" s="14">
        <f t="shared" si="315"/>
        <v>0.47794827108226368</v>
      </c>
      <c r="T721" s="13">
        <v>0</v>
      </c>
      <c r="U721" s="13">
        <f t="shared" si="316"/>
        <v>30.104821740414259</v>
      </c>
      <c r="V721" s="13">
        <f>IF($T721=1,$AU721,(VLOOKUP(U721,'Cortes naturales'!$A$35:$C$39,3,9)))</f>
        <v>3</v>
      </c>
      <c r="W721" s="13">
        <v>3</v>
      </c>
      <c r="X721" s="14" t="b">
        <f t="shared" si="300"/>
        <v>1</v>
      </c>
      <c r="Y721" s="17">
        <f>IF($T721=1,$AU721,VLOOKUP(U721,'Cortes naturales'!$A$45:$C$49,3,9))</f>
        <v>3</v>
      </c>
      <c r="Z721" s="14">
        <v>63.852157202553158</v>
      </c>
      <c r="AA721" s="14">
        <v>0.48334992940472288</v>
      </c>
      <c r="AB721" s="14">
        <v>30.862935676193338</v>
      </c>
      <c r="AC721" s="13">
        <v>3</v>
      </c>
      <c r="AD721" s="13">
        <f t="shared" si="301"/>
        <v>0</v>
      </c>
      <c r="AE721" s="14">
        <f t="shared" si="302"/>
        <v>-0.8645420946565423</v>
      </c>
      <c r="AF721" s="14">
        <f t="shared" si="303"/>
        <v>-5.4016583224592019E-3</v>
      </c>
      <c r="AG721" s="13">
        <f t="shared" si="304"/>
        <v>-0.75811393577907893</v>
      </c>
      <c r="AH721" s="13">
        <f>IF($T721=1,$AU721,VLOOKUP(U721,'Cortes naturales'!$A$25:$C$29,3,9))</f>
        <v>3</v>
      </c>
      <c r="AI721" s="13" t="b">
        <f t="shared" si="305"/>
        <v>1</v>
      </c>
      <c r="AJ721" s="13">
        <f t="shared" si="306"/>
        <v>0</v>
      </c>
      <c r="AK721" s="28">
        <v>0.81759069605862034</v>
      </c>
      <c r="AL721" s="28">
        <v>52.204929652079883</v>
      </c>
      <c r="AM721" s="28">
        <v>0.48240262892274804</v>
      </c>
      <c r="AN721" s="13">
        <v>2</v>
      </c>
      <c r="AO721" s="33">
        <f t="shared" si="307"/>
        <v>-1</v>
      </c>
      <c r="AP721" s="13">
        <f t="shared" si="317"/>
        <v>48.240262892274806</v>
      </c>
      <c r="AQ721" s="13">
        <f>IFERROR(VLOOKUP(U721,'Cortes naturales'!$E$15:$G$19,3,9),U721)</f>
        <v>4</v>
      </c>
      <c r="AR721" s="28">
        <f t="shared" si="308"/>
        <v>-0.33964242497635666</v>
      </c>
      <c r="AS721" s="13" t="b">
        <f t="shared" si="309"/>
        <v>0</v>
      </c>
      <c r="AT721" s="13" t="str">
        <f t="shared" si="318"/>
        <v>Cambio en corte</v>
      </c>
      <c r="AU721" s="13">
        <v>3</v>
      </c>
      <c r="AV721">
        <f t="shared" si="310"/>
        <v>0</v>
      </c>
      <c r="AW721" s="13">
        <v>0</v>
      </c>
      <c r="AX721" s="13">
        <v>0</v>
      </c>
      <c r="AY721" s="13">
        <v>0</v>
      </c>
      <c r="AZ721" s="13">
        <v>1</v>
      </c>
      <c r="BA721">
        <v>1</v>
      </c>
      <c r="BB721" t="s">
        <v>2839</v>
      </c>
      <c r="BC721">
        <v>4</v>
      </c>
      <c r="BD721" t="s">
        <v>2919</v>
      </c>
      <c r="BE721">
        <v>1</v>
      </c>
      <c r="BF721" s="232" t="s">
        <v>2846</v>
      </c>
      <c r="BG721" s="232" t="s">
        <v>2845</v>
      </c>
      <c r="BH721" s="253">
        <v>53.7</v>
      </c>
      <c r="BI721" s="253">
        <v>35.617994069275902</v>
      </c>
      <c r="BJ721" s="25">
        <v>32.551462130514615</v>
      </c>
      <c r="BK721" t="s">
        <v>379</v>
      </c>
      <c r="BL721">
        <v>14.890401712423323</v>
      </c>
      <c r="BM721" t="s">
        <v>376</v>
      </c>
      <c r="BN721" s="322">
        <v>132914.43661400001</v>
      </c>
      <c r="BO721" s="322">
        <v>14560.505359000001</v>
      </c>
      <c r="BP721" s="10">
        <v>55742</v>
      </c>
      <c r="BQ721" s="254">
        <f t="shared" si="311"/>
        <v>2.3844576192816906</v>
      </c>
      <c r="BR721" s="254">
        <f t="shared" si="312"/>
        <v>0.26121246742133403</v>
      </c>
      <c r="BS721" s="25">
        <v>56.682743611371237</v>
      </c>
      <c r="BT721" s="25">
        <v>99.737532808398953</v>
      </c>
      <c r="BU721" s="25">
        <v>57.84</v>
      </c>
      <c r="BV721" s="25">
        <v>90.081290835359766</v>
      </c>
      <c r="BW721" s="25">
        <v>51.484961621196149</v>
      </c>
      <c r="BX721" s="25">
        <v>76.085391813782493</v>
      </c>
      <c r="BY721" s="25">
        <v>51.824873748977623</v>
      </c>
      <c r="BZ721">
        <v>67</v>
      </c>
      <c r="CA721">
        <v>0</v>
      </c>
      <c r="CB721">
        <v>6</v>
      </c>
      <c r="CC721">
        <v>155862.05491800001</v>
      </c>
      <c r="CD721" s="10">
        <v>11217.500142999999</v>
      </c>
      <c r="CE721" s="255">
        <v>7.1970693244751555E-2</v>
      </c>
      <c r="CF721" t="str">
        <f>IFERROR(VLOOKUP(CE721,'Rangos amb etnico'!$A$2:$C$6,3,9),"N.D.")</f>
        <v>0,1% - 30%</v>
      </c>
      <c r="CG721" s="256">
        <v>3.2635936538009502E-4</v>
      </c>
      <c r="CH721" s="232">
        <v>11466.629102000001</v>
      </c>
      <c r="CI721" s="311">
        <f t="shared" si="319"/>
        <v>7.3569087152306992E-2</v>
      </c>
      <c r="CJ721" s="232" t="str">
        <f>IFERROR(VLOOKUP(CI721,'Rangos amb etnico'!$A$2:$C$6,3,9),"N.D.")</f>
        <v>0,1% - 30%</v>
      </c>
      <c r="CK721" s="311">
        <f t="shared" si="320"/>
        <v>4.5530024966899322E-4</v>
      </c>
      <c r="CL721" s="10">
        <v>0</v>
      </c>
      <c r="CM721" s="255">
        <f t="shared" si="321"/>
        <v>0</v>
      </c>
      <c r="CN721" s="232">
        <f>IFERROR(VLOOKUP(CM721,'Rangos amb etnico'!$A$2:$C$6,3,9),"N.D.")</f>
        <v>0</v>
      </c>
      <c r="CO721" s="311">
        <f t="shared" si="322"/>
        <v>0</v>
      </c>
      <c r="CP721">
        <v>0.95181021988041137</v>
      </c>
      <c r="CQ721" t="s">
        <v>2864</v>
      </c>
      <c r="CR721">
        <f t="shared" si="313"/>
        <v>3</v>
      </c>
      <c r="CS721" t="str">
        <f t="shared" si="323"/>
        <v>Candidato</v>
      </c>
      <c r="CT721">
        <v>0</v>
      </c>
      <c r="CU721">
        <v>0</v>
      </c>
      <c r="CV721" s="25">
        <v>43.588436126708977</v>
      </c>
      <c r="CW721" s="25">
        <v>37.803764343261719</v>
      </c>
      <c r="CX721" s="25">
        <v>42.434436798095703</v>
      </c>
      <c r="CY721" s="25">
        <v>48.033527374267578</v>
      </c>
      <c r="CZ721" s="25">
        <v>22.024702072143551</v>
      </c>
      <c r="DA721" s="25">
        <v>67.14031982421875</v>
      </c>
      <c r="DB721" s="25">
        <v>44.093860626220703</v>
      </c>
      <c r="DC721">
        <v>5026</v>
      </c>
      <c r="DD721" s="253" t="s">
        <v>380</v>
      </c>
    </row>
    <row r="722" spans="1:108" hidden="1">
      <c r="A722" s="13">
        <v>68669</v>
      </c>
      <c r="B722" s="13" t="s">
        <v>1876</v>
      </c>
      <c r="C722" s="13" t="s">
        <v>431</v>
      </c>
      <c r="D722" s="13" t="s">
        <v>432</v>
      </c>
      <c r="E722" s="13" t="s">
        <v>1877</v>
      </c>
      <c r="F722" s="14">
        <v>70.181899999999999</v>
      </c>
      <c r="G722" s="13">
        <v>71.02</v>
      </c>
      <c r="H722" s="13">
        <v>66.8</v>
      </c>
      <c r="I722" s="13">
        <v>71.39</v>
      </c>
      <c r="J722" s="14">
        <v>55.584279374522325</v>
      </c>
      <c r="K722" s="14">
        <v>43.318635957916356</v>
      </c>
      <c r="L722" s="14">
        <v>51.251645868565674</v>
      </c>
      <c r="M722" s="14">
        <v>52.473799999999997</v>
      </c>
      <c r="N722" s="14">
        <f t="shared" si="297"/>
        <v>69.847974999999991</v>
      </c>
      <c r="O722" s="14">
        <f t="shared" si="298"/>
        <v>50.657090300251085</v>
      </c>
      <c r="P722" s="14">
        <f t="shared" si="314"/>
        <v>60.252532650125538</v>
      </c>
      <c r="Q722" s="14">
        <v>58.511571706552616</v>
      </c>
      <c r="R722" s="17">
        <f t="shared" si="299"/>
        <v>41.488428293447384</v>
      </c>
      <c r="S722" s="14">
        <f t="shared" si="315"/>
        <v>0.4733958546410264</v>
      </c>
      <c r="T722" s="13">
        <v>0</v>
      </c>
      <c r="U722" s="13">
        <f t="shared" si="316"/>
        <v>28.523299188192528</v>
      </c>
      <c r="V722" s="13">
        <f>IF($T722=1,$AU722,(VLOOKUP(U722,'Cortes naturales'!$A$35:$C$39,3,9)))</f>
        <v>4</v>
      </c>
      <c r="W722" s="13">
        <v>4</v>
      </c>
      <c r="X722" s="14" t="b">
        <f t="shared" si="300"/>
        <v>1</v>
      </c>
      <c r="Y722" s="17">
        <f>IF($T722=1,$AU722,VLOOKUP(U722,'Cortes naturales'!$A$45:$C$49,3,9))</f>
        <v>3</v>
      </c>
      <c r="Z722" s="14">
        <v>59.771761392147909</v>
      </c>
      <c r="AA722" s="14">
        <v>0.48339102293940461</v>
      </c>
      <c r="AB722" s="14">
        <v>28.893132882240387</v>
      </c>
      <c r="AC722" s="13">
        <v>3</v>
      </c>
      <c r="AD722" s="13">
        <f t="shared" si="301"/>
        <v>0</v>
      </c>
      <c r="AE722" s="14">
        <f t="shared" si="302"/>
        <v>0.48077125797762932</v>
      </c>
      <c r="AF722" s="14">
        <f t="shared" si="303"/>
        <v>-9.9951682983782097E-3</v>
      </c>
      <c r="AG722" s="13">
        <f t="shared" si="304"/>
        <v>-0.36983369404785904</v>
      </c>
      <c r="AH722" s="13">
        <f>IF($T722=1,$AU722,VLOOKUP(U722,'Cortes naturales'!$A$25:$C$29,3,9))</f>
        <v>3</v>
      </c>
      <c r="AI722" s="13" t="b">
        <f t="shared" si="305"/>
        <v>1</v>
      </c>
      <c r="AJ722" s="13">
        <f t="shared" si="306"/>
        <v>0</v>
      </c>
      <c r="AK722" s="28">
        <v>0.81759069605862034</v>
      </c>
      <c r="AL722" s="28">
        <v>48.868836001255978</v>
      </c>
      <c r="AM722" s="28">
        <v>0.44067161392511794</v>
      </c>
      <c r="AN722" s="13">
        <v>3</v>
      </c>
      <c r="AO722" s="33">
        <f t="shared" si="307"/>
        <v>0</v>
      </c>
      <c r="AP722" s="13">
        <f t="shared" si="317"/>
        <v>44.067161392511792</v>
      </c>
      <c r="AQ722" s="13">
        <f>IFERROR(VLOOKUP(U722,'Cortes naturales'!$E$15:$G$19,3,9),U722)</f>
        <v>4</v>
      </c>
      <c r="AR722" s="28">
        <f t="shared" si="308"/>
        <v>-0.34419484141759393</v>
      </c>
      <c r="AS722" s="13" t="b">
        <f t="shared" si="309"/>
        <v>0</v>
      </c>
      <c r="AT722" s="13">
        <f t="shared" si="318"/>
        <v>0</v>
      </c>
      <c r="AU722" s="13">
        <v>3</v>
      </c>
      <c r="AV722">
        <f t="shared" si="310"/>
        <v>0</v>
      </c>
      <c r="AW722" s="13">
        <v>0</v>
      </c>
      <c r="AX722" s="13">
        <v>0</v>
      </c>
      <c r="AY722" s="13">
        <v>0</v>
      </c>
      <c r="AZ722" s="13">
        <v>0</v>
      </c>
      <c r="BA722">
        <v>0</v>
      </c>
      <c r="BB722" t="s">
        <v>2840</v>
      </c>
      <c r="BC722">
        <v>6</v>
      </c>
      <c r="BD722" t="s">
        <v>2919</v>
      </c>
      <c r="BE722">
        <v>0</v>
      </c>
      <c r="BF722" s="232" t="s">
        <v>2846</v>
      </c>
      <c r="BG722" s="232" t="s">
        <v>2846</v>
      </c>
      <c r="BH722" s="253">
        <v>42.4</v>
      </c>
      <c r="BI722" s="253">
        <v>13.487789605510331</v>
      </c>
      <c r="BJ722" s="25">
        <v>5.6449999999999996</v>
      </c>
      <c r="BK722" t="s">
        <v>377</v>
      </c>
      <c r="BL722">
        <v>0.99790176074440162</v>
      </c>
      <c r="BM722" t="s">
        <v>383</v>
      </c>
      <c r="BN722" s="322">
        <v>19799.254148</v>
      </c>
      <c r="BO722" s="322">
        <v>1518.1064710000001</v>
      </c>
      <c r="BP722" s="10">
        <v>8900</v>
      </c>
      <c r="BQ722" s="254">
        <f t="shared" si="311"/>
        <v>2.2246352975280899</v>
      </c>
      <c r="BR722" s="254">
        <f t="shared" si="312"/>
        <v>0.17057376078651687</v>
      </c>
      <c r="BS722" s="25">
        <v>61.89677814342722</v>
      </c>
      <c r="BT722" s="25">
        <v>81.114438801498125</v>
      </c>
      <c r="BU722" s="25">
        <v>35.164855967078168</v>
      </c>
      <c r="BV722" s="25">
        <v>97.669468688940739</v>
      </c>
      <c r="BW722" s="25">
        <v>53.872151841430409</v>
      </c>
      <c r="BX722" s="25">
        <v>68.961385400236068</v>
      </c>
      <c r="BY722" s="25">
        <v>54.130371464239282</v>
      </c>
      <c r="BZ722">
        <v>58</v>
      </c>
      <c r="CA722">
        <v>0</v>
      </c>
      <c r="CB722">
        <v>7</v>
      </c>
      <c r="CC722">
        <v>28097.616193000002</v>
      </c>
      <c r="CD722" s="10">
        <v>11470.713887</v>
      </c>
      <c r="CE722" s="255">
        <v>0.40824509126356828</v>
      </c>
      <c r="CF722" t="str">
        <f>IFERROR(VLOOKUP(CE722,'Rangos amb etnico'!$A$2:$C$6,3,9),"N.D.")</f>
        <v>31% - 50%</v>
      </c>
      <c r="CG722" s="256">
        <v>3.3372630772410082E-4</v>
      </c>
      <c r="CH722" s="232">
        <v>0</v>
      </c>
      <c r="CI722" s="311">
        <f t="shared" si="319"/>
        <v>0</v>
      </c>
      <c r="CJ722" s="232">
        <f>IFERROR(VLOOKUP(CI722,'Rangos amb etnico'!$A$2:$C$6,3,9),"N.D.")</f>
        <v>0</v>
      </c>
      <c r="CK722" s="311">
        <f t="shared" si="320"/>
        <v>0</v>
      </c>
      <c r="CL722" s="10">
        <v>0</v>
      </c>
      <c r="CM722" s="255">
        <f t="shared" si="321"/>
        <v>0</v>
      </c>
      <c r="CN722" s="232">
        <f>IFERROR(VLOOKUP(CM722,'Rangos amb etnico'!$A$2:$C$6,3,9),"N.D.")</f>
        <v>0</v>
      </c>
      <c r="CO722" s="311">
        <f t="shared" si="322"/>
        <v>0</v>
      </c>
      <c r="CP722">
        <v>0.87611391226546131</v>
      </c>
      <c r="CQ722" t="s">
        <v>2864</v>
      </c>
      <c r="CR722">
        <f t="shared" si="313"/>
        <v>2</v>
      </c>
      <c r="CS722" t="str">
        <f t="shared" si="323"/>
        <v>No es Candidato</v>
      </c>
      <c r="CT722">
        <v>0</v>
      </c>
      <c r="CU722">
        <v>0</v>
      </c>
      <c r="CV722" s="25">
        <v>54.2266845703125</v>
      </c>
      <c r="CW722" s="25">
        <v>22.3161506652832</v>
      </c>
      <c r="CX722" s="25">
        <v>54.047786712646477</v>
      </c>
      <c r="CY722" s="25">
        <v>62.991535186767578</v>
      </c>
      <c r="CZ722" s="25">
        <v>32.090560913085938</v>
      </c>
      <c r="DA722" s="25">
        <v>97.192306518554688</v>
      </c>
      <c r="DB722" s="25">
        <v>56.721778869628913</v>
      </c>
      <c r="DC722">
        <v>61</v>
      </c>
      <c r="DD722" s="253">
        <v>4.8434819430738116</v>
      </c>
    </row>
    <row r="723" spans="1:108" hidden="1">
      <c r="A723" s="13">
        <v>19355</v>
      </c>
      <c r="B723" s="13" t="s">
        <v>1878</v>
      </c>
      <c r="C723" s="13" t="s">
        <v>557</v>
      </c>
      <c r="D723" s="13" t="s">
        <v>558</v>
      </c>
      <c r="E723" s="13" t="s">
        <v>1879</v>
      </c>
      <c r="F723" s="14">
        <v>56.5578</v>
      </c>
      <c r="G723" s="13">
        <v>64.56</v>
      </c>
      <c r="H723" s="13">
        <v>52.1</v>
      </c>
      <c r="I723" s="13">
        <v>40.99</v>
      </c>
      <c r="J723" s="14">
        <v>56.659280474008895</v>
      </c>
      <c r="K723" s="14">
        <v>55.245812782832751</v>
      </c>
      <c r="L723" s="14">
        <v>58.179424276965278</v>
      </c>
      <c r="M723" s="14">
        <v>44.777200000000001</v>
      </c>
      <c r="N723" s="14">
        <f t="shared" si="297"/>
        <v>53.551950000000005</v>
      </c>
      <c r="O723" s="14">
        <f t="shared" si="298"/>
        <v>53.715429383451728</v>
      </c>
      <c r="P723" s="14">
        <f t="shared" si="314"/>
        <v>53.633689691725863</v>
      </c>
      <c r="Q723" s="14">
        <v>58.680374088366364</v>
      </c>
      <c r="R723" s="17">
        <f t="shared" si="299"/>
        <v>41.319625911633636</v>
      </c>
      <c r="S723" s="14">
        <f t="shared" si="315"/>
        <v>0.47187663320470274</v>
      </c>
      <c r="T723" s="13">
        <v>0</v>
      </c>
      <c r="U723" s="13">
        <f t="shared" si="316"/>
        <v>25.308484918077372</v>
      </c>
      <c r="V723" s="13">
        <f>IF($T723=1,$AU723,(VLOOKUP(U723,'Cortes naturales'!$A$35:$C$39,3,9)))</f>
        <v>4</v>
      </c>
      <c r="W723" s="13">
        <v>4</v>
      </c>
      <c r="X723" s="14" t="b">
        <f t="shared" si="300"/>
        <v>1</v>
      </c>
      <c r="Y723" s="17">
        <f>IF($T723=1,$AU723,VLOOKUP(U723,'Cortes naturales'!$A$45:$C$49,3,9))</f>
        <v>4</v>
      </c>
      <c r="Z723" s="14">
        <v>55.628739942333297</v>
      </c>
      <c r="AA723" s="14">
        <v>0.4829396374931908</v>
      </c>
      <c r="AB723" s="14">
        <v>26.865323501953426</v>
      </c>
      <c r="AC723" s="13">
        <v>4</v>
      </c>
      <c r="AD723" s="13">
        <f t="shared" si="301"/>
        <v>0</v>
      </c>
      <c r="AE723" s="14">
        <f t="shared" si="302"/>
        <v>-1.9950502506074344</v>
      </c>
      <c r="AF723" s="14">
        <f t="shared" si="303"/>
        <v>-1.1063004288488054E-2</v>
      </c>
      <c r="AG723" s="13">
        <f t="shared" si="304"/>
        <v>-1.5568385838760541</v>
      </c>
      <c r="AH723" s="13">
        <f>IF($T723=1,$AU723,VLOOKUP(U723,'Cortes naturales'!$A$25:$C$29,3,9))</f>
        <v>4</v>
      </c>
      <c r="AI723" s="13" t="b">
        <f t="shared" si="305"/>
        <v>1</v>
      </c>
      <c r="AJ723" s="13">
        <f t="shared" si="306"/>
        <v>0</v>
      </c>
      <c r="AK723" s="28">
        <v>0.81759069605862034</v>
      </c>
      <c r="AL723" s="28">
        <v>45.481540210316254</v>
      </c>
      <c r="AM723" s="28">
        <v>0.39830011412678201</v>
      </c>
      <c r="AN723" s="13">
        <v>3</v>
      </c>
      <c r="AO723" s="33">
        <f t="shared" si="307"/>
        <v>-1</v>
      </c>
      <c r="AP723" s="13">
        <f t="shared" si="317"/>
        <v>39.830011412678203</v>
      </c>
      <c r="AQ723" s="13">
        <f>IFERROR(VLOOKUP(U723,'Cortes naturales'!$E$15:$G$19,3,9),U723)</f>
        <v>4</v>
      </c>
      <c r="AR723" s="28">
        <f t="shared" si="308"/>
        <v>-0.34571406285391759</v>
      </c>
      <c r="AS723" s="13" t="b">
        <f t="shared" si="309"/>
        <v>1</v>
      </c>
      <c r="AT723" s="13" t="str">
        <f t="shared" si="318"/>
        <v>Efecto ponderador</v>
      </c>
      <c r="AU723" s="13">
        <v>3</v>
      </c>
      <c r="AV723">
        <f t="shared" si="310"/>
        <v>-1</v>
      </c>
      <c r="AW723" s="13">
        <v>0</v>
      </c>
      <c r="AX723" s="13">
        <v>0</v>
      </c>
      <c r="AY723" s="13">
        <v>0</v>
      </c>
      <c r="AZ723" s="13">
        <v>0</v>
      </c>
      <c r="BA723">
        <v>0</v>
      </c>
      <c r="BB723" t="s">
        <v>2841</v>
      </c>
      <c r="BC723">
        <v>6</v>
      </c>
      <c r="BD723" t="s">
        <v>2919</v>
      </c>
      <c r="BE723">
        <v>1</v>
      </c>
      <c r="BF723" s="232" t="s">
        <v>2846</v>
      </c>
      <c r="BG723" s="232" t="s">
        <v>2846</v>
      </c>
      <c r="BH723" s="253">
        <v>59</v>
      </c>
      <c r="BI723" s="253">
        <v>19.003397508493773</v>
      </c>
      <c r="BJ723" s="25">
        <v>24.137128822716015</v>
      </c>
      <c r="BK723" t="s">
        <v>379</v>
      </c>
      <c r="BL723">
        <v>2.9358333758168813</v>
      </c>
      <c r="BM723" t="s">
        <v>383</v>
      </c>
      <c r="BN723" s="322">
        <v>53185.446240999998</v>
      </c>
      <c r="BO723" s="322">
        <v>2191.9165050000001</v>
      </c>
      <c r="BP723" s="10">
        <v>29139</v>
      </c>
      <c r="BQ723" s="254">
        <f t="shared" si="311"/>
        <v>1.8252323772607157</v>
      </c>
      <c r="BR723" s="254">
        <f t="shared" si="312"/>
        <v>7.5222777205806654E-2</v>
      </c>
      <c r="BS723" s="25">
        <v>63.168381210343718</v>
      </c>
      <c r="BT723" s="25">
        <v>93.666847924529705</v>
      </c>
      <c r="BU723" s="25">
        <v>35.27266688363347</v>
      </c>
      <c r="BV723" s="25">
        <v>94.535485437237824</v>
      </c>
      <c r="BW723" s="25">
        <v>38.576489535057007</v>
      </c>
      <c r="BX723" s="25">
        <v>71.660845363936176</v>
      </c>
      <c r="BY723" s="25">
        <v>39.460556853637733</v>
      </c>
      <c r="BZ723">
        <v>30</v>
      </c>
      <c r="CA723">
        <v>0</v>
      </c>
      <c r="CB723">
        <v>7</v>
      </c>
      <c r="CC723">
        <v>86641.159547999996</v>
      </c>
      <c r="CD723" s="10">
        <v>49590.012608999998</v>
      </c>
      <c r="CE723" s="255">
        <v>0.57236090638337633</v>
      </c>
      <c r="CF723" t="str">
        <f>IFERROR(VLOOKUP(CE723,'Rangos amb etnico'!$A$2:$C$6,3,9),"N.D.")</f>
        <v>51% - 70%</v>
      </c>
      <c r="CG723" s="256">
        <v>1.4427604045419578E-3</v>
      </c>
      <c r="CH723" s="232">
        <v>5755.0117520000003</v>
      </c>
      <c r="CI723" s="311">
        <f t="shared" si="319"/>
        <v>6.6423531056410565E-2</v>
      </c>
      <c r="CJ723" s="232" t="str">
        <f>IFERROR(VLOOKUP(CI723,'Rangos amb etnico'!$A$2:$C$6,3,9),"N.D.")</f>
        <v>0,1% - 30%</v>
      </c>
      <c r="CK723" s="311">
        <f t="shared" si="320"/>
        <v>2.2851164577012147E-4</v>
      </c>
      <c r="CL723" s="10">
        <v>0</v>
      </c>
      <c r="CM723" s="255">
        <f t="shared" si="321"/>
        <v>0</v>
      </c>
      <c r="CN723" s="232">
        <f>IFERROR(VLOOKUP(CM723,'Rangos amb etnico'!$A$2:$C$6,3,9),"N.D.")</f>
        <v>0</v>
      </c>
      <c r="CO723" s="311">
        <f t="shared" si="322"/>
        <v>0</v>
      </c>
      <c r="CP723">
        <v>0.92542443541001851</v>
      </c>
      <c r="CQ723" t="s">
        <v>2864</v>
      </c>
      <c r="CR723">
        <f t="shared" si="313"/>
        <v>1</v>
      </c>
      <c r="CS723" t="str">
        <f t="shared" si="323"/>
        <v>No es Candidato</v>
      </c>
      <c r="CT723">
        <v>0</v>
      </c>
      <c r="CU723">
        <v>0</v>
      </c>
      <c r="CV723" s="25">
        <v>42.971275329589837</v>
      </c>
      <c r="CW723" s="25">
        <v>13.530336380004879</v>
      </c>
      <c r="CX723" s="25">
        <v>49.898777008056641</v>
      </c>
      <c r="CY723" s="25">
        <v>53.92816162109375</v>
      </c>
      <c r="CZ723" s="25">
        <v>19.251008987426761</v>
      </c>
      <c r="DA723" s="25">
        <v>59.4483642578125</v>
      </c>
      <c r="DB723" s="25">
        <v>61.771003723144531</v>
      </c>
      <c r="DC723">
        <v>15118</v>
      </c>
      <c r="DD723" s="253" t="s">
        <v>380</v>
      </c>
    </row>
    <row r="724" spans="1:108" hidden="1">
      <c r="A724" s="13">
        <v>47541</v>
      </c>
      <c r="B724" s="13" t="s">
        <v>1880</v>
      </c>
      <c r="C724" s="13" t="s">
        <v>638</v>
      </c>
      <c r="D724" s="13" t="s">
        <v>639</v>
      </c>
      <c r="E724" s="13" t="s">
        <v>1881</v>
      </c>
      <c r="F724" s="14">
        <v>42.741433333333298</v>
      </c>
      <c r="G724" s="13">
        <v>17.16</v>
      </c>
      <c r="H724" s="13">
        <v>7.55</v>
      </c>
      <c r="I724" s="13">
        <v>23.87</v>
      </c>
      <c r="J724" s="14">
        <v>36.696504069594987</v>
      </c>
      <c r="K724" s="14">
        <v>31.610650389174097</v>
      </c>
      <c r="L724" s="14">
        <v>40.033115645813361</v>
      </c>
      <c r="M724" s="14">
        <v>50.817700000000002</v>
      </c>
      <c r="N724" s="14">
        <f t="shared" si="297"/>
        <v>22.830358333333326</v>
      </c>
      <c r="O724" s="14">
        <f t="shared" si="298"/>
        <v>39.789492526145608</v>
      </c>
      <c r="P724" s="14">
        <f t="shared" si="314"/>
        <v>31.309925429739465</v>
      </c>
      <c r="Q724" s="14">
        <v>57.854967186335529</v>
      </c>
      <c r="R724" s="17">
        <f t="shared" si="299"/>
        <v>42.145032813664471</v>
      </c>
      <c r="S724" s="14">
        <f t="shared" si="315"/>
        <v>0.47930529532298027</v>
      </c>
      <c r="T724" s="13">
        <v>0</v>
      </c>
      <c r="U724" s="13">
        <f t="shared" si="316"/>
        <v>15.007013054641764</v>
      </c>
      <c r="V724" s="13">
        <f>IF($T724=1,$AU724,(VLOOKUP(U724,'Cortes naturales'!$A$35:$C$39,3,9)))</f>
        <v>5</v>
      </c>
      <c r="W724" s="13">
        <v>5</v>
      </c>
      <c r="X724" s="14" t="b">
        <f t="shared" si="300"/>
        <v>1</v>
      </c>
      <c r="Y724" s="17">
        <f>IF($T724=1,$AU724,VLOOKUP(U724,'Cortes naturales'!$A$45:$C$49,3,9))</f>
        <v>5</v>
      </c>
      <c r="Z724" s="14">
        <v>33.839432211988466</v>
      </c>
      <c r="AA724" s="14">
        <v>0.48240618840204552</v>
      </c>
      <c r="AB724" s="14">
        <v>16.324351511074756</v>
      </c>
      <c r="AC724" s="13">
        <v>5</v>
      </c>
      <c r="AD724" s="13">
        <f t="shared" si="301"/>
        <v>0</v>
      </c>
      <c r="AE724" s="14">
        <f t="shared" si="302"/>
        <v>-2.5295067822490012</v>
      </c>
      <c r="AF724" s="14">
        <f t="shared" si="303"/>
        <v>-3.1008930790652478E-3</v>
      </c>
      <c r="AG724" s="13">
        <f t="shared" si="304"/>
        <v>-1.3173384564329922</v>
      </c>
      <c r="AH724" s="13">
        <f>IF($T724=1,$AU724,VLOOKUP(U724,'Cortes naturales'!$A$25:$C$29,3,9))</f>
        <v>5</v>
      </c>
      <c r="AI724" s="13" t="b">
        <f t="shared" si="305"/>
        <v>1</v>
      </c>
      <c r="AJ724" s="13">
        <f t="shared" si="306"/>
        <v>0</v>
      </c>
      <c r="AK724" s="28">
        <v>0.81759069605862034</v>
      </c>
      <c r="AL724" s="28">
        <v>27.66680493642815</v>
      </c>
      <c r="AM724" s="28">
        <v>0.17545655435146448</v>
      </c>
      <c r="AN724" s="13">
        <v>5</v>
      </c>
      <c r="AO724" s="33">
        <f t="shared" si="307"/>
        <v>0</v>
      </c>
      <c r="AP724" s="13">
        <f t="shared" si="317"/>
        <v>17.545655435146447</v>
      </c>
      <c r="AQ724" s="13">
        <f>IFERROR(VLOOKUP(U724,'Cortes naturales'!$E$15:$G$19,3,9),U724)</f>
        <v>5</v>
      </c>
      <c r="AR724" s="28">
        <f t="shared" si="308"/>
        <v>-0.33828540073564006</v>
      </c>
      <c r="AS724" s="13" t="b">
        <f t="shared" si="309"/>
        <v>1</v>
      </c>
      <c r="AT724" s="13">
        <f t="shared" si="318"/>
        <v>0</v>
      </c>
      <c r="AU724" s="13">
        <v>4</v>
      </c>
      <c r="AV724">
        <f t="shared" si="310"/>
        <v>-1</v>
      </c>
      <c r="AW724" s="13">
        <v>0</v>
      </c>
      <c r="AX724" s="13">
        <v>0</v>
      </c>
      <c r="AY724" s="13">
        <v>0</v>
      </c>
      <c r="AZ724" s="13">
        <v>0</v>
      </c>
      <c r="BA724">
        <v>0</v>
      </c>
      <c r="BB724" t="s">
        <v>2841</v>
      </c>
      <c r="BC724">
        <v>6</v>
      </c>
      <c r="BD724" t="s">
        <v>2919</v>
      </c>
      <c r="BE724">
        <v>1</v>
      </c>
      <c r="BF724" s="232" t="s">
        <v>2846</v>
      </c>
      <c r="BG724" s="232" t="s">
        <v>2846</v>
      </c>
      <c r="BH724" s="253">
        <v>56.2</v>
      </c>
      <c r="BI724" s="253">
        <v>35.050865371911748</v>
      </c>
      <c r="BJ724" s="25">
        <v>2.8846153846153846</v>
      </c>
      <c r="BK724" t="s">
        <v>381</v>
      </c>
      <c r="BL724">
        <v>0</v>
      </c>
      <c r="BM724" t="s">
        <v>377</v>
      </c>
      <c r="BN724" s="322">
        <v>23518.760854</v>
      </c>
      <c r="BO724" s="322">
        <v>254.52325999999999</v>
      </c>
      <c r="BP724" s="10">
        <v>10248</v>
      </c>
      <c r="BQ724" s="254">
        <f t="shared" si="311"/>
        <v>2.2949610513270882</v>
      </c>
      <c r="BR724" s="254">
        <f t="shared" si="312"/>
        <v>2.4836383684621387E-2</v>
      </c>
      <c r="BS724" s="25">
        <v>59.671199452369862</v>
      </c>
      <c r="BT724" s="25">
        <v>87.358859560239395</v>
      </c>
      <c r="BU724" s="25">
        <v>17.6784543292768</v>
      </c>
      <c r="BV724" s="25">
        <v>98.320657712232617</v>
      </c>
      <c r="BW724" s="25">
        <v>21.02974328548266</v>
      </c>
      <c r="BX724" s="25">
        <v>65.757292763529676</v>
      </c>
      <c r="BY724" s="25">
        <v>21.52911611064394</v>
      </c>
      <c r="BZ724">
        <v>74</v>
      </c>
      <c r="CA724">
        <v>0</v>
      </c>
      <c r="CB724">
        <v>7</v>
      </c>
      <c r="CC724">
        <v>30546.358616000001</v>
      </c>
      <c r="CD724" s="10">
        <v>30023.118121</v>
      </c>
      <c r="CE724" s="255">
        <v>0.98287060983020313</v>
      </c>
      <c r="CF724" t="str">
        <f>IFERROR(VLOOKUP(CE724,'Rangos amb etnico'!$A$2:$C$6,3,9),"N.D.")</f>
        <v>71% - 100%</v>
      </c>
      <c r="CG724" s="256">
        <v>8.7348568324428246E-4</v>
      </c>
      <c r="CH724" s="232">
        <v>0</v>
      </c>
      <c r="CI724" s="311">
        <f t="shared" si="319"/>
        <v>0</v>
      </c>
      <c r="CJ724" s="232">
        <f>IFERROR(VLOOKUP(CI724,'Rangos amb etnico'!$A$2:$C$6,3,9),"N.D.")</f>
        <v>0</v>
      </c>
      <c r="CK724" s="311">
        <f t="shared" si="320"/>
        <v>0</v>
      </c>
      <c r="CL724" s="10">
        <v>0</v>
      </c>
      <c r="CM724" s="255">
        <f t="shared" si="321"/>
        <v>0</v>
      </c>
      <c r="CN724" s="232">
        <f>IFERROR(VLOOKUP(CM724,'Rangos amb etnico'!$A$2:$C$6,3,9),"N.D.")</f>
        <v>0</v>
      </c>
      <c r="CO724" s="311">
        <f t="shared" si="322"/>
        <v>0</v>
      </c>
      <c r="CP724">
        <v>0.90555371809071794</v>
      </c>
      <c r="CQ724" t="s">
        <v>2864</v>
      </c>
      <c r="CR724">
        <f t="shared" si="313"/>
        <v>1</v>
      </c>
      <c r="CS724" t="str">
        <f t="shared" si="323"/>
        <v>No es Candidato</v>
      </c>
      <c r="CT724">
        <v>0</v>
      </c>
      <c r="CU724">
        <v>0</v>
      </c>
      <c r="CV724" s="25">
        <v>41.557537078857422</v>
      </c>
      <c r="CW724" s="25">
        <v>13.80399799346924</v>
      </c>
      <c r="CX724" s="25">
        <v>43.564750671386719</v>
      </c>
      <c r="CY724" s="25">
        <v>45.267642974853523</v>
      </c>
      <c r="CZ724" s="25">
        <v>3.8285436630249019</v>
      </c>
      <c r="DA724" s="25">
        <v>95.720176696777344</v>
      </c>
      <c r="DB724" s="25">
        <v>47.160121917724609</v>
      </c>
      <c r="DC724">
        <v>4733</v>
      </c>
      <c r="DD724" s="253" t="s">
        <v>380</v>
      </c>
    </row>
    <row r="725" spans="1:108" hidden="1">
      <c r="A725" s="13">
        <v>15455</v>
      </c>
      <c r="B725" s="13" t="s">
        <v>1882</v>
      </c>
      <c r="C725" s="13" t="s">
        <v>498</v>
      </c>
      <c r="D725" s="13" t="s">
        <v>499</v>
      </c>
      <c r="E725" s="13" t="s">
        <v>1883</v>
      </c>
      <c r="F725" s="14">
        <v>66.989699999999999</v>
      </c>
      <c r="G725" s="13">
        <v>73.260000000000005</v>
      </c>
      <c r="H725" s="13">
        <v>41.78</v>
      </c>
      <c r="I725" s="13">
        <v>57.29</v>
      </c>
      <c r="J725" s="14">
        <v>67.486588035119112</v>
      </c>
      <c r="K725" s="14">
        <v>63.460385970319166</v>
      </c>
      <c r="L725" s="14">
        <v>65.940284662646036</v>
      </c>
      <c r="M725" s="14">
        <v>70.405100000000004</v>
      </c>
      <c r="N725" s="14">
        <f t="shared" si="297"/>
        <v>59.829925000000003</v>
      </c>
      <c r="O725" s="14">
        <f t="shared" si="298"/>
        <v>66.82308966702108</v>
      </c>
      <c r="P725" s="14">
        <f t="shared" si="314"/>
        <v>63.326507333510541</v>
      </c>
      <c r="Q725" s="14">
        <v>58.76955666057615</v>
      </c>
      <c r="R725" s="17">
        <f t="shared" si="299"/>
        <v>41.23044333942385</v>
      </c>
      <c r="S725" s="14">
        <f t="shared" si="315"/>
        <v>0.47107399005481465</v>
      </c>
      <c r="T725" s="13">
        <v>0</v>
      </c>
      <c r="U725" s="13">
        <f t="shared" si="316"/>
        <v>29.831470485832291</v>
      </c>
      <c r="V725" s="13">
        <f>IF($T725=1,$AU725,(VLOOKUP(U725,'Cortes naturales'!$A$35:$C$39,3,9)))</f>
        <v>3</v>
      </c>
      <c r="W725" s="13">
        <v>3</v>
      </c>
      <c r="X725" s="14" t="b">
        <f t="shared" si="300"/>
        <v>1</v>
      </c>
      <c r="Y725" s="17">
        <f>IF($T725=1,$AU725,VLOOKUP(U725,'Cortes naturales'!$A$45:$C$49,3,9))</f>
        <v>3</v>
      </c>
      <c r="Z725" s="14">
        <v>62.989355658962985</v>
      </c>
      <c r="AA725" s="14">
        <v>0.48127095715421153</v>
      </c>
      <c r="AB725" s="14">
        <v>30.314947488516168</v>
      </c>
      <c r="AC725" s="13">
        <v>3</v>
      </c>
      <c r="AD725" s="13">
        <f t="shared" si="301"/>
        <v>0</v>
      </c>
      <c r="AE725" s="14">
        <f t="shared" si="302"/>
        <v>0.33715167454755601</v>
      </c>
      <c r="AF725" s="14">
        <f t="shared" si="303"/>
        <v>-1.0196967099396881E-2</v>
      </c>
      <c r="AG725" s="13">
        <f t="shared" si="304"/>
        <v>-0.48347700268387683</v>
      </c>
      <c r="AH725" s="13">
        <f>IF($T725=1,$AU725,VLOOKUP(U725,'Cortes naturales'!$A$25:$C$29,3,9))</f>
        <v>3</v>
      </c>
      <c r="AI725" s="13" t="b">
        <f t="shared" si="305"/>
        <v>1</v>
      </c>
      <c r="AJ725" s="13">
        <f t="shared" si="306"/>
        <v>0</v>
      </c>
      <c r="AK725" s="28">
        <v>0.81759069605862034</v>
      </c>
      <c r="AL725" s="28">
        <v>51.499511137495546</v>
      </c>
      <c r="AM725" s="28">
        <v>0.47357858688650162</v>
      </c>
      <c r="AN725" s="13">
        <v>3</v>
      </c>
      <c r="AO725" s="33">
        <f t="shared" si="307"/>
        <v>0</v>
      </c>
      <c r="AP725" s="13">
        <f t="shared" si="317"/>
        <v>47.357858688650161</v>
      </c>
      <c r="AQ725" s="13">
        <f>IFERROR(VLOOKUP(U725,'Cortes naturales'!$E$15:$G$19,3,9),U725)</f>
        <v>4</v>
      </c>
      <c r="AR725" s="28">
        <f t="shared" si="308"/>
        <v>-0.34651670600380569</v>
      </c>
      <c r="AS725" s="13" t="b">
        <f t="shared" si="309"/>
        <v>0</v>
      </c>
      <c r="AT725" s="13">
        <f t="shared" si="318"/>
        <v>0</v>
      </c>
      <c r="AU725" s="13">
        <v>2</v>
      </c>
      <c r="AV725">
        <f t="shared" si="310"/>
        <v>-1</v>
      </c>
      <c r="AW725" s="13">
        <v>0</v>
      </c>
      <c r="AX725" s="13">
        <v>0</v>
      </c>
      <c r="AY725" s="13">
        <v>0</v>
      </c>
      <c r="AZ725" s="13">
        <v>0</v>
      </c>
      <c r="BA725">
        <v>0</v>
      </c>
      <c r="BB725" t="s">
        <v>2840</v>
      </c>
      <c r="BC725">
        <v>6</v>
      </c>
      <c r="BD725" t="s">
        <v>2919</v>
      </c>
      <c r="BE725">
        <v>0</v>
      </c>
      <c r="BF725" s="232" t="s">
        <v>2846</v>
      </c>
      <c r="BG725" s="232" t="s">
        <v>2846</v>
      </c>
      <c r="BH725" s="253">
        <v>21.1</v>
      </c>
      <c r="BI725" s="253">
        <v>7.6838638858397363</v>
      </c>
      <c r="BJ725" s="25">
        <v>8.4561773371304003</v>
      </c>
      <c r="BK725" t="s">
        <v>377</v>
      </c>
      <c r="BL725">
        <v>0</v>
      </c>
      <c r="BM725" t="s">
        <v>377</v>
      </c>
      <c r="BN725" s="322">
        <v>27810.124952999999</v>
      </c>
      <c r="BO725" s="322">
        <v>10221.836772000001</v>
      </c>
      <c r="BP725" s="10">
        <v>9038</v>
      </c>
      <c r="BQ725" s="254">
        <f t="shared" si="311"/>
        <v>3.0770220129453416</v>
      </c>
      <c r="BR725" s="254">
        <f t="shared" si="312"/>
        <v>1.1309843739765435</v>
      </c>
      <c r="BS725" s="25">
        <v>71.806945699350763</v>
      </c>
      <c r="BT725" s="25">
        <v>90.88854104644588</v>
      </c>
      <c r="BU725" s="25">
        <v>50.858333333333327</v>
      </c>
      <c r="BV725" s="25">
        <v>92.576925185413074</v>
      </c>
      <c r="BW725" s="25">
        <v>65.142962258742273</v>
      </c>
      <c r="BX725" s="25">
        <v>76.532686316135766</v>
      </c>
      <c r="BY725" s="25">
        <v>66.253469442497476</v>
      </c>
      <c r="BZ725">
        <v>17</v>
      </c>
      <c r="CA725">
        <v>1</v>
      </c>
      <c r="CB725">
        <v>6</v>
      </c>
      <c r="CC725">
        <v>25823.948504</v>
      </c>
      <c r="CD725" s="10">
        <v>4795.2479599999997</v>
      </c>
      <c r="CE725" s="255">
        <v>0.18568995981606917</v>
      </c>
      <c r="CF725" t="str">
        <f>IFERROR(VLOOKUP(CE725,'Rangos amb etnico'!$A$2:$C$6,3,9),"N.D.")</f>
        <v>0,1% - 30%</v>
      </c>
      <c r="CG725" s="256">
        <v>1.3951183963589053E-4</v>
      </c>
      <c r="CH725" s="232">
        <v>0</v>
      </c>
      <c r="CI725" s="311">
        <f t="shared" si="319"/>
        <v>0</v>
      </c>
      <c r="CJ725" s="232">
        <f>IFERROR(VLOOKUP(CI725,'Rangos amb etnico'!$A$2:$C$6,3,9),"N.D.")</f>
        <v>0</v>
      </c>
      <c r="CK725" s="311">
        <f t="shared" si="320"/>
        <v>0</v>
      </c>
      <c r="CL725" s="10">
        <v>0</v>
      </c>
      <c r="CM725" s="255">
        <f t="shared" si="321"/>
        <v>0</v>
      </c>
      <c r="CN725" s="232">
        <f>IFERROR(VLOOKUP(CM725,'Rangos amb etnico'!$A$2:$C$6,3,9),"N.D.")</f>
        <v>0</v>
      </c>
      <c r="CO725" s="311">
        <f t="shared" si="322"/>
        <v>0</v>
      </c>
      <c r="CP725">
        <v>0.93124342150862471</v>
      </c>
      <c r="CQ725" t="s">
        <v>2864</v>
      </c>
      <c r="CR725">
        <f t="shared" si="313"/>
        <v>3</v>
      </c>
      <c r="CS725" t="str">
        <f t="shared" si="323"/>
        <v>Candidato</v>
      </c>
      <c r="CT725">
        <v>0</v>
      </c>
      <c r="CU725">
        <v>0</v>
      </c>
      <c r="CV725" s="25">
        <v>52.467376708984382</v>
      </c>
      <c r="CW725" s="25">
        <v>20.098516464233398</v>
      </c>
      <c r="CX725" s="25">
        <v>53.552639007568359</v>
      </c>
      <c r="CY725" s="25">
        <v>70.267204284667969</v>
      </c>
      <c r="CZ725" s="25">
        <v>50.976264953613281</v>
      </c>
      <c r="DA725" s="25">
        <v>63.331874847412109</v>
      </c>
      <c r="DB725" s="25">
        <v>56.577766418457031</v>
      </c>
      <c r="DC725">
        <v>73</v>
      </c>
      <c r="DD725" s="253" t="s">
        <v>380</v>
      </c>
    </row>
    <row r="726" spans="1:108" hidden="1">
      <c r="A726" s="13">
        <v>68320</v>
      </c>
      <c r="B726" s="13" t="s">
        <v>1884</v>
      </c>
      <c r="C726" s="13" t="s">
        <v>431</v>
      </c>
      <c r="D726" s="13" t="s">
        <v>432</v>
      </c>
      <c r="E726" s="13" t="s">
        <v>1323</v>
      </c>
      <c r="F726" s="14">
        <v>58.858333333333299</v>
      </c>
      <c r="G726" s="13">
        <v>58.33</v>
      </c>
      <c r="H726" s="13">
        <v>55.01</v>
      </c>
      <c r="I726" s="13">
        <v>61.23</v>
      </c>
      <c r="J726" s="14">
        <v>58.510518779041632</v>
      </c>
      <c r="K726" s="14">
        <v>60.804872620889796</v>
      </c>
      <c r="L726" s="14">
        <v>63.323092238448275</v>
      </c>
      <c r="M726" s="14">
        <v>52.831699999999998</v>
      </c>
      <c r="N726" s="14">
        <f t="shared" si="297"/>
        <v>58.357083333333321</v>
      </c>
      <c r="O726" s="14">
        <f t="shared" si="298"/>
        <v>58.867545909594924</v>
      </c>
      <c r="P726" s="14">
        <f t="shared" si="314"/>
        <v>58.612314621464122</v>
      </c>
      <c r="Q726" s="14">
        <v>58.813584259845641</v>
      </c>
      <c r="R726" s="17">
        <f t="shared" si="299"/>
        <v>41.186415740154359</v>
      </c>
      <c r="S726" s="14">
        <f t="shared" si="315"/>
        <v>0.4706777416613892</v>
      </c>
      <c r="T726" s="13">
        <v>0</v>
      </c>
      <c r="U726" s="13">
        <f t="shared" si="316"/>
        <v>27.587511879577555</v>
      </c>
      <c r="V726" s="13">
        <f>IF($T726=1,$AU726,(VLOOKUP(U726,'Cortes naturales'!$A$35:$C$39,3,9)))</f>
        <v>4</v>
      </c>
      <c r="W726" s="13">
        <v>4</v>
      </c>
      <c r="X726" s="14" t="b">
        <f t="shared" si="300"/>
        <v>1</v>
      </c>
      <c r="Y726" s="17">
        <f>IF($T726=1,$AU726,VLOOKUP(U726,'Cortes naturales'!$A$45:$C$49,3,9))</f>
        <v>4</v>
      </c>
      <c r="Z726" s="14">
        <v>59.062552986833843</v>
      </c>
      <c r="AA726" s="14">
        <v>0.48028274944271565</v>
      </c>
      <c r="AB726" s="14">
        <v>28.366725337622636</v>
      </c>
      <c r="AC726" s="13">
        <v>3</v>
      </c>
      <c r="AD726" s="13">
        <f t="shared" si="301"/>
        <v>-1</v>
      </c>
      <c r="AE726" s="14">
        <f t="shared" si="302"/>
        <v>-0.45023836536972084</v>
      </c>
      <c r="AF726" s="14">
        <f t="shared" si="303"/>
        <v>-9.6050077813264467E-3</v>
      </c>
      <c r="AG726" s="13">
        <f t="shared" si="304"/>
        <v>-0.77921345804508135</v>
      </c>
      <c r="AH726" s="13">
        <f>IF($T726=1,$AU726,VLOOKUP(U726,'Cortes naturales'!$A$25:$C$29,3,9))</f>
        <v>4</v>
      </c>
      <c r="AI726" s="13" t="b">
        <f t="shared" si="305"/>
        <v>1</v>
      </c>
      <c r="AJ726" s="13" t="str">
        <f t="shared" si="306"/>
        <v>Efecto ponderador</v>
      </c>
      <c r="AK726" s="28">
        <v>0.81759069605862034</v>
      </c>
      <c r="AL726" s="28">
        <v>48.288993807504625</v>
      </c>
      <c r="AM726" s="28">
        <v>0.43341839929257292</v>
      </c>
      <c r="AN726" s="13">
        <v>3</v>
      </c>
      <c r="AO726" s="33">
        <f t="shared" si="307"/>
        <v>-1</v>
      </c>
      <c r="AP726" s="13">
        <f t="shared" si="317"/>
        <v>43.34183992925729</v>
      </c>
      <c r="AQ726" s="13">
        <f>IFERROR(VLOOKUP(U726,'Cortes naturales'!$E$15:$G$19,3,9),U726)</f>
        <v>4</v>
      </c>
      <c r="AR726" s="28">
        <f t="shared" si="308"/>
        <v>-0.34691295439723113</v>
      </c>
      <c r="AS726" s="13" t="b">
        <f t="shared" si="309"/>
        <v>1</v>
      </c>
      <c r="AT726" s="13" t="str">
        <f t="shared" si="318"/>
        <v>Efecto ponderador</v>
      </c>
      <c r="AU726" s="13">
        <v>3</v>
      </c>
      <c r="AV726">
        <f t="shared" si="310"/>
        <v>-1</v>
      </c>
      <c r="AW726" s="13">
        <v>0</v>
      </c>
      <c r="AX726" s="13">
        <v>0</v>
      </c>
      <c r="AY726" s="13">
        <v>0</v>
      </c>
      <c r="AZ726" s="13">
        <v>0</v>
      </c>
      <c r="BA726">
        <v>0</v>
      </c>
      <c r="BB726" t="s">
        <v>2840</v>
      </c>
      <c r="BC726">
        <v>6</v>
      </c>
      <c r="BD726" t="s">
        <v>2919</v>
      </c>
      <c r="BE726">
        <v>0</v>
      </c>
      <c r="BF726" s="232" t="s">
        <v>2846</v>
      </c>
      <c r="BG726" s="232" t="s">
        <v>2846</v>
      </c>
      <c r="BH726" s="253">
        <v>39.1</v>
      </c>
      <c r="BI726" s="253">
        <v>13.986380303823992</v>
      </c>
      <c r="BJ726" s="25">
        <v>21.277999999999999</v>
      </c>
      <c r="BK726" t="s">
        <v>379</v>
      </c>
      <c r="BL726">
        <v>0</v>
      </c>
      <c r="BM726" t="s">
        <v>377</v>
      </c>
      <c r="BN726" s="322">
        <v>14509.910733000001</v>
      </c>
      <c r="BO726" s="322">
        <v>1244.639799</v>
      </c>
      <c r="BP726" s="10">
        <v>4608</v>
      </c>
      <c r="BQ726" s="254">
        <f t="shared" si="311"/>
        <v>3.1488521555989584</v>
      </c>
      <c r="BR726" s="254">
        <f t="shared" si="312"/>
        <v>0.27010412304687503</v>
      </c>
      <c r="BS726" s="25">
        <v>67.270269404076103</v>
      </c>
      <c r="BT726" s="25">
        <v>95.797164351851848</v>
      </c>
      <c r="BU726" s="25">
        <v>52.893700564971731</v>
      </c>
      <c r="BV726" s="25">
        <v>90.834695980057461</v>
      </c>
      <c r="BW726" s="25">
        <v>48.852275310698289</v>
      </c>
      <c r="BX726" s="25">
        <v>76.698957575239291</v>
      </c>
      <c r="BY726" s="25">
        <v>49.614621750996918</v>
      </c>
      <c r="BZ726">
        <v>20</v>
      </c>
      <c r="CA726">
        <v>0</v>
      </c>
      <c r="CB726">
        <v>7</v>
      </c>
      <c r="CC726">
        <v>14608.436947</v>
      </c>
      <c r="CD726" s="10">
        <v>290.88116400000001</v>
      </c>
      <c r="CE726" s="255">
        <v>1.991186086884782E-2</v>
      </c>
      <c r="CF726" t="str">
        <f>IFERROR(VLOOKUP(CE726,'Rangos amb etnico'!$A$2:$C$6,3,9),"N.D.")</f>
        <v>0,1% - 30%</v>
      </c>
      <c r="CG726" s="256">
        <v>8.4628295853691748E-6</v>
      </c>
      <c r="CH726" s="232">
        <v>0</v>
      </c>
      <c r="CI726" s="311">
        <f t="shared" si="319"/>
        <v>0</v>
      </c>
      <c r="CJ726" s="232">
        <f>IFERROR(VLOOKUP(CI726,'Rangos amb etnico'!$A$2:$C$6,3,9),"N.D.")</f>
        <v>0</v>
      </c>
      <c r="CK726" s="311">
        <f t="shared" si="320"/>
        <v>0</v>
      </c>
      <c r="CL726" s="10">
        <v>0</v>
      </c>
      <c r="CM726" s="255">
        <f t="shared" si="321"/>
        <v>0</v>
      </c>
      <c r="CN726" s="232">
        <f>IFERROR(VLOOKUP(CM726,'Rangos amb etnico'!$A$2:$C$6,3,9),"N.D.")</f>
        <v>0</v>
      </c>
      <c r="CO726" s="311">
        <f t="shared" si="322"/>
        <v>0</v>
      </c>
      <c r="CP726">
        <v>0.92241865644366394</v>
      </c>
      <c r="CQ726" t="s">
        <v>2864</v>
      </c>
      <c r="CR726">
        <f t="shared" si="313"/>
        <v>2</v>
      </c>
      <c r="CS726" t="str">
        <f t="shared" si="323"/>
        <v>No es Candidato</v>
      </c>
      <c r="CT726">
        <v>0</v>
      </c>
      <c r="CU726">
        <v>0</v>
      </c>
      <c r="CV726" s="25">
        <v>50.935863494873047</v>
      </c>
      <c r="CW726" s="25">
        <v>17.253080368041989</v>
      </c>
      <c r="CX726" s="25">
        <v>50.556556701660163</v>
      </c>
      <c r="CY726" s="25">
        <v>65.100837707519531</v>
      </c>
      <c r="CZ726" s="25">
        <v>38.477981567382813</v>
      </c>
      <c r="DA726" s="25">
        <v>85.136001586914063</v>
      </c>
      <c r="DB726" s="25">
        <v>49.090724945068359</v>
      </c>
      <c r="DC726">
        <v>44</v>
      </c>
      <c r="DD726" s="253" t="s">
        <v>380</v>
      </c>
    </row>
    <row r="727" spans="1:108" hidden="1">
      <c r="A727" s="13">
        <v>68167</v>
      </c>
      <c r="B727" s="13" t="s">
        <v>1885</v>
      </c>
      <c r="C727" s="13" t="s">
        <v>431</v>
      </c>
      <c r="D727" s="13" t="s">
        <v>432</v>
      </c>
      <c r="E727" s="13" t="s">
        <v>1886</v>
      </c>
      <c r="F727" s="14">
        <v>61.517166666666697</v>
      </c>
      <c r="G727" s="13">
        <v>78.25</v>
      </c>
      <c r="H727" s="13">
        <v>82.14</v>
      </c>
      <c r="I727" s="13">
        <v>76.23</v>
      </c>
      <c r="J727" s="14">
        <v>60.20272074747654</v>
      </c>
      <c r="K727" s="14">
        <v>58.304634487477735</v>
      </c>
      <c r="L727" s="14">
        <v>53.406441338322956</v>
      </c>
      <c r="M727" s="14">
        <v>58.7834</v>
      </c>
      <c r="N727" s="14">
        <f t="shared" si="297"/>
        <v>74.534291666666675</v>
      </c>
      <c r="O727" s="14">
        <f t="shared" si="298"/>
        <v>57.67429914331931</v>
      </c>
      <c r="P727" s="14">
        <f t="shared" si="314"/>
        <v>66.104295404992996</v>
      </c>
      <c r="Q727" s="14">
        <v>57.735982040367695</v>
      </c>
      <c r="R727" s="17">
        <f t="shared" si="299"/>
        <v>42.264017959632305</v>
      </c>
      <c r="S727" s="14">
        <f t="shared" si="315"/>
        <v>0.48037616163669072</v>
      </c>
      <c r="T727" s="13">
        <v>0</v>
      </c>
      <c r="U727" s="13">
        <f t="shared" si="316"/>
        <v>31.754927694348467</v>
      </c>
      <c r="V727" s="13">
        <f>IF($T727=1,$AU727,(VLOOKUP(U727,'Cortes naturales'!$A$35:$C$39,3,9)))</f>
        <v>3</v>
      </c>
      <c r="W727" s="13">
        <v>3</v>
      </c>
      <c r="X727" s="14" t="b">
        <f t="shared" si="300"/>
        <v>1</v>
      </c>
      <c r="Y727" s="17">
        <f>IF($T727=1,$AU727,VLOOKUP(U727,'Cortes naturales'!$A$45:$C$49,3,9))</f>
        <v>3</v>
      </c>
      <c r="Z727" s="14">
        <v>64.194826814922109</v>
      </c>
      <c r="AA727" s="14">
        <v>0.48348799229298034</v>
      </c>
      <c r="AB727" s="14">
        <v>31.037427932342268</v>
      </c>
      <c r="AC727" s="13">
        <v>3</v>
      </c>
      <c r="AD727" s="13">
        <f t="shared" si="301"/>
        <v>0</v>
      </c>
      <c r="AE727" s="14">
        <f t="shared" si="302"/>
        <v>1.9094685900708868</v>
      </c>
      <c r="AF727" s="14">
        <f t="shared" si="303"/>
        <v>-3.1118306562896159E-3</v>
      </c>
      <c r="AG727" s="13">
        <f t="shared" si="304"/>
        <v>0.71749976200619869</v>
      </c>
      <c r="AH727" s="13">
        <f>IF($T727=1,$AU727,VLOOKUP(U727,'Cortes naturales'!$A$25:$C$29,3,9))</f>
        <v>3</v>
      </c>
      <c r="AI727" s="13" t="b">
        <f t="shared" si="305"/>
        <v>1</v>
      </c>
      <c r="AJ727" s="13">
        <f t="shared" si="306"/>
        <v>0</v>
      </c>
      <c r="AK727" s="28">
        <v>0.81759069605862034</v>
      </c>
      <c r="AL727" s="28">
        <v>52.485093138974754</v>
      </c>
      <c r="AM727" s="28">
        <v>0.48590717882365109</v>
      </c>
      <c r="AN727" s="13">
        <v>2</v>
      </c>
      <c r="AO727" s="33">
        <f t="shared" si="307"/>
        <v>-1</v>
      </c>
      <c r="AP727" s="13">
        <f t="shared" si="317"/>
        <v>48.590717882365112</v>
      </c>
      <c r="AQ727" s="13">
        <f>IFERROR(VLOOKUP(U727,'Cortes naturales'!$E$15:$G$19,3,9),U727)</f>
        <v>4</v>
      </c>
      <c r="AR727" s="28">
        <f t="shared" si="308"/>
        <v>-0.33721453442192961</v>
      </c>
      <c r="AS727" s="13" t="b">
        <f t="shared" si="309"/>
        <v>0</v>
      </c>
      <c r="AT727" s="13" t="str">
        <f t="shared" si="318"/>
        <v>Cambio en corte</v>
      </c>
      <c r="AU727" s="13">
        <v>3</v>
      </c>
      <c r="AV727">
        <f t="shared" si="310"/>
        <v>0</v>
      </c>
      <c r="AW727" s="13">
        <v>0</v>
      </c>
      <c r="AX727" s="13">
        <v>0</v>
      </c>
      <c r="AY727" s="13">
        <v>0</v>
      </c>
      <c r="AZ727" s="13">
        <v>0</v>
      </c>
      <c r="BA727">
        <v>0</v>
      </c>
      <c r="BB727" t="s">
        <v>2840</v>
      </c>
      <c r="BC727">
        <v>6</v>
      </c>
      <c r="BD727" t="s">
        <v>2919</v>
      </c>
      <c r="BE727">
        <v>0</v>
      </c>
      <c r="BF727" s="232" t="s">
        <v>2846</v>
      </c>
      <c r="BG727" s="232" t="s">
        <v>2846</v>
      </c>
      <c r="BH727" s="253">
        <v>26.9</v>
      </c>
      <c r="BI727" s="253">
        <v>8.43241265776477</v>
      </c>
      <c r="BJ727" s="25">
        <v>1.9593824669034547</v>
      </c>
      <c r="BK727" t="s">
        <v>381</v>
      </c>
      <c r="BL727">
        <v>8.7001881894277835E-2</v>
      </c>
      <c r="BM727" t="s">
        <v>377</v>
      </c>
      <c r="BN727" s="322">
        <v>24367.281215999999</v>
      </c>
      <c r="BO727" s="322">
        <v>4085.3866269999999</v>
      </c>
      <c r="BP727" s="10">
        <v>13688</v>
      </c>
      <c r="BQ727" s="254">
        <f t="shared" si="311"/>
        <v>1.780192958503799</v>
      </c>
      <c r="BR727" s="254">
        <f t="shared" si="312"/>
        <v>0.29846483248100525</v>
      </c>
      <c r="BS727" s="25">
        <v>68.52351299664997</v>
      </c>
      <c r="BT727" s="25">
        <v>91.851743619715577</v>
      </c>
      <c r="BU727" s="25">
        <v>62.493333333333339</v>
      </c>
      <c r="BV727" s="25">
        <v>94.892843142164267</v>
      </c>
      <c r="BW727" s="25">
        <v>58.484947469781638</v>
      </c>
      <c r="BX727" s="25">
        <v>79.440358272965796</v>
      </c>
      <c r="BY727" s="25">
        <v>58.702386511500478</v>
      </c>
      <c r="BZ727">
        <v>75</v>
      </c>
      <c r="CA727">
        <v>1</v>
      </c>
      <c r="CB727">
        <v>6</v>
      </c>
      <c r="CC727">
        <v>41846.749125000002</v>
      </c>
      <c r="CD727" s="10">
        <v>29858.386342000002</v>
      </c>
      <c r="CE727" s="255">
        <v>0.71351746470939281</v>
      </c>
      <c r="CF727" t="str">
        <f>IFERROR(VLOOKUP(CE727,'Rangos amb etnico'!$A$2:$C$6,3,9),"N.D.")</f>
        <v>71% - 100%</v>
      </c>
      <c r="CG727" s="256">
        <v>8.6869301480951345E-4</v>
      </c>
      <c r="CH727" s="232">
        <v>0</v>
      </c>
      <c r="CI727" s="311">
        <f t="shared" si="319"/>
        <v>0</v>
      </c>
      <c r="CJ727" s="232">
        <f>IFERROR(VLOOKUP(CI727,'Rangos amb etnico'!$A$2:$C$6,3,9),"N.D.")</f>
        <v>0</v>
      </c>
      <c r="CK727" s="311">
        <f t="shared" si="320"/>
        <v>0</v>
      </c>
      <c r="CL727" s="10">
        <v>0</v>
      </c>
      <c r="CM727" s="255">
        <f t="shared" si="321"/>
        <v>0</v>
      </c>
      <c r="CN727" s="232">
        <f>IFERROR(VLOOKUP(CM727,'Rangos amb etnico'!$A$2:$C$6,3,9),"N.D.")</f>
        <v>0</v>
      </c>
      <c r="CO727" s="311">
        <f t="shared" si="322"/>
        <v>0</v>
      </c>
      <c r="CP727">
        <v>0.9398771339196017</v>
      </c>
      <c r="CQ727" t="s">
        <v>2864</v>
      </c>
      <c r="CR727">
        <f t="shared" si="313"/>
        <v>2</v>
      </c>
      <c r="CS727" t="str">
        <f t="shared" si="323"/>
        <v>No es Candidato</v>
      </c>
      <c r="CT727">
        <v>0</v>
      </c>
      <c r="CU727">
        <v>0</v>
      </c>
      <c r="CV727" s="25">
        <v>47.978305816650391</v>
      </c>
      <c r="CW727" s="25">
        <v>25.107698440551761</v>
      </c>
      <c r="CX727" s="25">
        <v>49.306629180908203</v>
      </c>
      <c r="CY727" s="25">
        <v>76.838302612304688</v>
      </c>
      <c r="CZ727" s="25">
        <v>24.560842514038089</v>
      </c>
      <c r="DA727" s="25">
        <v>62.531089782714837</v>
      </c>
      <c r="DB727" s="25">
        <v>49.525276184082031</v>
      </c>
      <c r="DC727">
        <v>117</v>
      </c>
      <c r="DD727" s="253" t="s">
        <v>380</v>
      </c>
    </row>
    <row r="728" spans="1:108" hidden="1">
      <c r="A728" s="13">
        <v>47460</v>
      </c>
      <c r="B728" s="13" t="s">
        <v>1887</v>
      </c>
      <c r="C728" s="13" t="s">
        <v>638</v>
      </c>
      <c r="D728" s="13" t="s">
        <v>639</v>
      </c>
      <c r="E728" s="13" t="s">
        <v>1888</v>
      </c>
      <c r="F728" s="14">
        <v>43.679366666666702</v>
      </c>
      <c r="G728" s="13">
        <v>34.979999999999997</v>
      </c>
      <c r="H728" s="13">
        <v>57.14</v>
      </c>
      <c r="I728" s="13">
        <v>64.349999999999994</v>
      </c>
      <c r="J728" s="14">
        <v>52.314538561870798</v>
      </c>
      <c r="K728" s="14">
        <v>54.300302017662894</v>
      </c>
      <c r="L728" s="14">
        <v>61.757508798939014</v>
      </c>
      <c r="M728" s="14">
        <v>52.998899999999999</v>
      </c>
      <c r="N728" s="14">
        <f t="shared" si="297"/>
        <v>50.03734166666667</v>
      </c>
      <c r="O728" s="14">
        <f t="shared" si="298"/>
        <v>55.342812344618174</v>
      </c>
      <c r="P728" s="14">
        <f t="shared" si="314"/>
        <v>52.690077005642422</v>
      </c>
      <c r="Q728" s="14">
        <v>58.225117344722378</v>
      </c>
      <c r="R728" s="17">
        <f t="shared" si="299"/>
        <v>41.774882655277622</v>
      </c>
      <c r="S728" s="14">
        <f t="shared" si="315"/>
        <v>0.47597394389749859</v>
      </c>
      <c r="T728" s="13">
        <v>0</v>
      </c>
      <c r="U728" s="13">
        <f t="shared" si="316"/>
        <v>25.079103756638528</v>
      </c>
      <c r="V728" s="13">
        <f>IF($T728=1,$AU728,(VLOOKUP(U728,'Cortes naturales'!$A$35:$C$39,3,9)))</f>
        <v>4</v>
      </c>
      <c r="W728" s="13">
        <v>4</v>
      </c>
      <c r="X728" s="14" t="b">
        <f t="shared" si="300"/>
        <v>1</v>
      </c>
      <c r="Y728" s="17">
        <f>IF($T728=1,$AU728,VLOOKUP(U728,'Cortes naturales'!$A$45:$C$49,3,9))</f>
        <v>4</v>
      </c>
      <c r="Z728" s="14">
        <v>48.970004387858424</v>
      </c>
      <c r="AA728" s="14">
        <v>0.4818958952909751</v>
      </c>
      <c r="AB728" s="14">
        <v>23.598444106890014</v>
      </c>
      <c r="AC728" s="13">
        <v>4</v>
      </c>
      <c r="AD728" s="13">
        <f t="shared" si="301"/>
        <v>0</v>
      </c>
      <c r="AE728" s="14">
        <f t="shared" si="302"/>
        <v>3.7200726177839982</v>
      </c>
      <c r="AF728" s="14">
        <f t="shared" si="303"/>
        <v>-5.92195139347651E-3</v>
      </c>
      <c r="AG728" s="13">
        <f t="shared" si="304"/>
        <v>1.4806596497485138</v>
      </c>
      <c r="AH728" s="13">
        <f>IF($T728=1,$AU728,VLOOKUP(U728,'Cortes naturales'!$A$25:$C$29,3,9))</f>
        <v>4</v>
      </c>
      <c r="AI728" s="13" t="b">
        <f t="shared" si="305"/>
        <v>1</v>
      </c>
      <c r="AJ728" s="13">
        <f t="shared" si="306"/>
        <v>0</v>
      </c>
      <c r="AK728" s="28">
        <v>0.81759069605862034</v>
      </c>
      <c r="AL728" s="28">
        <v>40.03741997346286</v>
      </c>
      <c r="AM728" s="28">
        <v>0.3301999086073949</v>
      </c>
      <c r="AN728" s="13">
        <v>4</v>
      </c>
      <c r="AO728" s="33">
        <f t="shared" si="307"/>
        <v>0</v>
      </c>
      <c r="AP728" s="13">
        <f t="shared" si="317"/>
        <v>33.01999086073949</v>
      </c>
      <c r="AQ728" s="13">
        <f>IFERROR(VLOOKUP(U728,'Cortes naturales'!$E$15:$G$19,3,9),U728)</f>
        <v>4</v>
      </c>
      <c r="AR728" s="28">
        <f t="shared" si="308"/>
        <v>-0.34161675216112175</v>
      </c>
      <c r="AS728" s="13" t="b">
        <f t="shared" si="309"/>
        <v>1</v>
      </c>
      <c r="AT728" s="13">
        <f t="shared" si="318"/>
        <v>0</v>
      </c>
      <c r="AU728" s="13">
        <v>3</v>
      </c>
      <c r="AV728">
        <f t="shared" si="310"/>
        <v>-1</v>
      </c>
      <c r="AW728" s="13">
        <v>0</v>
      </c>
      <c r="AX728" s="13">
        <v>0</v>
      </c>
      <c r="AY728" s="13">
        <v>0</v>
      </c>
      <c r="AZ728" s="13">
        <v>0</v>
      </c>
      <c r="BA728">
        <v>0</v>
      </c>
      <c r="BB728" t="s">
        <v>2840</v>
      </c>
      <c r="BC728">
        <v>6</v>
      </c>
      <c r="BD728" t="s">
        <v>2919</v>
      </c>
      <c r="BE728">
        <v>1</v>
      </c>
      <c r="BF728" s="232" t="s">
        <v>2846</v>
      </c>
      <c r="BG728" s="232" t="s">
        <v>2846</v>
      </c>
      <c r="BH728" s="253">
        <v>66.400000000000006</v>
      </c>
      <c r="BI728" s="253">
        <v>68.545381572157567</v>
      </c>
      <c r="BJ728" s="25">
        <v>10.799979864870911</v>
      </c>
      <c r="BK728" t="s">
        <v>377</v>
      </c>
      <c r="BL728">
        <v>4.7035142268329659</v>
      </c>
      <c r="BM728" t="s">
        <v>383</v>
      </c>
      <c r="BN728" s="322">
        <v>57408.638701000003</v>
      </c>
      <c r="BO728" s="322">
        <v>3848.4515540000002</v>
      </c>
      <c r="BP728" s="10">
        <v>22650</v>
      </c>
      <c r="BQ728" s="254">
        <f t="shared" si="311"/>
        <v>2.5345977351434881</v>
      </c>
      <c r="BR728" s="254">
        <f t="shared" si="312"/>
        <v>0.16990956088300221</v>
      </c>
      <c r="BS728" s="25">
        <v>60.526620270499897</v>
      </c>
      <c r="BT728" s="25">
        <v>97.423032855040489</v>
      </c>
      <c r="BU728" s="25">
        <v>32.476149719580569</v>
      </c>
      <c r="BV728" s="25">
        <v>95.081891712161962</v>
      </c>
      <c r="BW728" s="25">
        <v>23.764821120396409</v>
      </c>
      <c r="BX728" s="25">
        <v>71.376923639320736</v>
      </c>
      <c r="BY728" s="25">
        <v>24.543289703731901</v>
      </c>
      <c r="BZ728">
        <v>74</v>
      </c>
      <c r="CA728">
        <v>0</v>
      </c>
      <c r="CB728">
        <v>7</v>
      </c>
      <c r="CC728">
        <v>84112.438196000003</v>
      </c>
      <c r="CD728" s="10">
        <v>491.02025700000002</v>
      </c>
      <c r="CE728" s="255">
        <v>5.8376652434663423E-3</v>
      </c>
      <c r="CF728" t="str">
        <f>IFERROR(VLOOKUP(CE728,'Rangos amb etnico'!$A$2:$C$6,3,9),"N.D.")</f>
        <v>0,1% - 30%</v>
      </c>
      <c r="CG728" s="256">
        <v>1.4285630258118659E-5</v>
      </c>
      <c r="CH728" s="232">
        <v>0</v>
      </c>
      <c r="CI728" s="311">
        <f t="shared" si="319"/>
        <v>0</v>
      </c>
      <c r="CJ728" s="232">
        <f>IFERROR(VLOOKUP(CI728,'Rangos amb etnico'!$A$2:$C$6,3,9),"N.D.")</f>
        <v>0</v>
      </c>
      <c r="CK728" s="311">
        <f t="shared" si="320"/>
        <v>0</v>
      </c>
      <c r="CL728" s="10">
        <v>0</v>
      </c>
      <c r="CM728" s="255">
        <f t="shared" si="321"/>
        <v>0</v>
      </c>
      <c r="CN728" s="232">
        <f>IFERROR(VLOOKUP(CM728,'Rangos amb etnico'!$A$2:$C$6,3,9),"N.D.")</f>
        <v>0</v>
      </c>
      <c r="CO728" s="311">
        <f t="shared" si="322"/>
        <v>0</v>
      </c>
      <c r="CP728">
        <v>0.80110089707167154</v>
      </c>
      <c r="CQ728" t="s">
        <v>2865</v>
      </c>
      <c r="CR728">
        <f t="shared" si="313"/>
        <v>2</v>
      </c>
      <c r="CS728" t="str">
        <f t="shared" si="323"/>
        <v>No es Candidato</v>
      </c>
      <c r="CT728">
        <v>0</v>
      </c>
      <c r="CU728">
        <v>0</v>
      </c>
      <c r="CV728" s="25">
        <v>38.49188232421875</v>
      </c>
      <c r="CW728" s="25">
        <v>20.054361343383789</v>
      </c>
      <c r="CX728" s="25">
        <v>52.162319183349609</v>
      </c>
      <c r="CY728" s="25">
        <v>40.677520751953118</v>
      </c>
      <c r="CZ728" s="25">
        <v>3.5828356742858891</v>
      </c>
      <c r="DA728" s="25">
        <v>64.687553405761719</v>
      </c>
      <c r="DB728" s="25">
        <v>49.786697387695313</v>
      </c>
      <c r="DC728">
        <v>420</v>
      </c>
      <c r="DD728" s="253" t="s">
        <v>380</v>
      </c>
    </row>
    <row r="729" spans="1:108" hidden="1">
      <c r="A729" s="13">
        <v>15022</v>
      </c>
      <c r="B729" s="13" t="s">
        <v>1889</v>
      </c>
      <c r="C729" s="13" t="s">
        <v>498</v>
      </c>
      <c r="D729" s="13" t="s">
        <v>499</v>
      </c>
      <c r="E729" s="13" t="s">
        <v>1890</v>
      </c>
      <c r="F729" s="14">
        <v>59.381100000000004</v>
      </c>
      <c r="G729" s="13">
        <v>54.04</v>
      </c>
      <c r="H729" s="13">
        <v>23.45</v>
      </c>
      <c r="I729" s="13">
        <v>22.55</v>
      </c>
      <c r="J729" s="14">
        <v>59.095261996217452</v>
      </c>
      <c r="K729" s="14">
        <v>48.210133188523997</v>
      </c>
      <c r="L729" s="14">
        <v>42.383996595778981</v>
      </c>
      <c r="M729" s="14">
        <v>44.829700000000003</v>
      </c>
      <c r="N729" s="14">
        <f t="shared" si="297"/>
        <v>39.855274999999999</v>
      </c>
      <c r="O729" s="14">
        <f t="shared" si="298"/>
        <v>48.629772945130114</v>
      </c>
      <c r="P729" s="14">
        <f t="shared" si="314"/>
        <v>44.242523972565053</v>
      </c>
      <c r="Q729" s="14">
        <v>59.255939476324706</v>
      </c>
      <c r="R729" s="17">
        <f t="shared" si="299"/>
        <v>40.744060523675294</v>
      </c>
      <c r="S729" s="14">
        <f t="shared" si="315"/>
        <v>0.46669654471307764</v>
      </c>
      <c r="T729" s="13">
        <v>0</v>
      </c>
      <c r="U729" s="13">
        <f t="shared" si="316"/>
        <v>20.647833067381615</v>
      </c>
      <c r="V729" s="13">
        <f>IF($T729=1,$AU729,(VLOOKUP(U729,'Cortes naturales'!$A$35:$C$39,3,9)))</f>
        <v>5</v>
      </c>
      <c r="W729" s="13">
        <v>5</v>
      </c>
      <c r="X729" s="14" t="b">
        <f t="shared" si="300"/>
        <v>1</v>
      </c>
      <c r="Y729" s="17">
        <f>IF($T729=1,$AU729,VLOOKUP(U729,'Cortes naturales'!$A$45:$C$49,3,9))</f>
        <v>5</v>
      </c>
      <c r="Z729" s="14">
        <v>49.381581335448686</v>
      </c>
      <c r="AA729" s="14">
        <v>0.48174302193787388</v>
      </c>
      <c r="AB729" s="14">
        <v>23.789232220609961</v>
      </c>
      <c r="AC729" s="13">
        <v>4</v>
      </c>
      <c r="AD729" s="13">
        <f t="shared" si="301"/>
        <v>-1</v>
      </c>
      <c r="AE729" s="14">
        <f t="shared" si="302"/>
        <v>-5.1390573628836336</v>
      </c>
      <c r="AF729" s="14">
        <f t="shared" si="303"/>
        <v>-1.504647722479624E-2</v>
      </c>
      <c r="AG729" s="13">
        <f t="shared" si="304"/>
        <v>-3.1413991532283454</v>
      </c>
      <c r="AH729" s="13">
        <f>IF($T729=1,$AU729,VLOOKUP(U729,'Cortes naturales'!$A$25:$C$29,3,9))</f>
        <v>4</v>
      </c>
      <c r="AI729" s="13" t="b">
        <f t="shared" si="305"/>
        <v>0</v>
      </c>
      <c r="AJ729" s="13" t="str">
        <f t="shared" si="306"/>
        <v>Cambio en corte</v>
      </c>
      <c r="AK729" s="28">
        <v>0.81759069605862034</v>
      </c>
      <c r="AL729" s="28">
        <v>40.373921456524869</v>
      </c>
      <c r="AM729" s="28">
        <v>0.33440918745450321</v>
      </c>
      <c r="AN729" s="13">
        <v>4</v>
      </c>
      <c r="AO729" s="33">
        <f t="shared" si="307"/>
        <v>-1</v>
      </c>
      <c r="AP729" s="13">
        <f t="shared" si="317"/>
        <v>33.440918745450318</v>
      </c>
      <c r="AQ729" s="13">
        <f>IFERROR(VLOOKUP(U729,'Cortes naturales'!$E$15:$G$19,3,9),U729)</f>
        <v>4</v>
      </c>
      <c r="AR729" s="28">
        <f t="shared" si="308"/>
        <v>-0.35089415134554269</v>
      </c>
      <c r="AS729" s="13" t="b">
        <f t="shared" si="309"/>
        <v>0</v>
      </c>
      <c r="AT729" s="13" t="str">
        <f t="shared" si="318"/>
        <v>Cambio en corte</v>
      </c>
      <c r="AU729" s="13">
        <v>3</v>
      </c>
      <c r="AV729">
        <f t="shared" si="310"/>
        <v>-2</v>
      </c>
      <c r="AW729" s="13">
        <v>0</v>
      </c>
      <c r="AX729" s="13">
        <v>0</v>
      </c>
      <c r="AY729" s="13">
        <v>0</v>
      </c>
      <c r="AZ729" s="13">
        <v>0</v>
      </c>
      <c r="BA729">
        <v>0</v>
      </c>
      <c r="BB729" t="s">
        <v>2841</v>
      </c>
      <c r="BC729">
        <v>6</v>
      </c>
      <c r="BD729" t="s">
        <v>2919</v>
      </c>
      <c r="BE729">
        <v>0</v>
      </c>
      <c r="BF729" s="232" t="s">
        <v>2846</v>
      </c>
      <c r="BG729" s="232" t="s">
        <v>2846</v>
      </c>
      <c r="BH729" s="253">
        <v>37.5</v>
      </c>
      <c r="BI729" s="253">
        <v>7.4589127686472816</v>
      </c>
      <c r="BJ729" s="25">
        <v>26.1264140625</v>
      </c>
      <c r="BK729" t="s">
        <v>379</v>
      </c>
      <c r="BL729">
        <v>0</v>
      </c>
      <c r="BM729" t="s">
        <v>377</v>
      </c>
      <c r="BN729" s="322">
        <v>7101.6979879999999</v>
      </c>
      <c r="BO729" s="322">
        <v>456.60657400000002</v>
      </c>
      <c r="BP729" s="10">
        <v>1825</v>
      </c>
      <c r="BQ729" s="254">
        <f t="shared" si="311"/>
        <v>3.8913413632876712</v>
      </c>
      <c r="BR729" s="254">
        <f t="shared" si="312"/>
        <v>0.25019538301369865</v>
      </c>
      <c r="BS729" s="25">
        <v>56.158639523336639</v>
      </c>
      <c r="BT729" s="25">
        <v>75.851853333333338</v>
      </c>
      <c r="BU729" s="25">
        <v>29.90086788813883</v>
      </c>
      <c r="BV729" s="25">
        <v>98.614354942174757</v>
      </c>
      <c r="BW729" s="25">
        <v>56.62382783707406</v>
      </c>
      <c r="BX729" s="25">
        <v>65.131428921745893</v>
      </c>
      <c r="BY729" s="25">
        <v>58.391040322512183</v>
      </c>
      <c r="BZ729">
        <v>98</v>
      </c>
      <c r="CA729">
        <v>0</v>
      </c>
      <c r="CB729">
        <v>7</v>
      </c>
      <c r="CC729">
        <v>5757.4196190000002</v>
      </c>
      <c r="CD729" s="10">
        <v>3000.7678810000002</v>
      </c>
      <c r="CE729" s="255">
        <v>0.52120013470916682</v>
      </c>
      <c r="CF729" t="str">
        <f>IFERROR(VLOOKUP(CE729,'Rangos amb etnico'!$A$2:$C$6,3,9),"N.D.")</f>
        <v>51% - 70%</v>
      </c>
      <c r="CG729" s="256">
        <v>8.7303649548625879E-5</v>
      </c>
      <c r="CH729" s="232">
        <v>0</v>
      </c>
      <c r="CI729" s="311">
        <f t="shared" si="319"/>
        <v>0</v>
      </c>
      <c r="CJ729" s="232">
        <f>IFERROR(VLOOKUP(CI729,'Rangos amb etnico'!$A$2:$C$6,3,9),"N.D.")</f>
        <v>0</v>
      </c>
      <c r="CK729" s="311">
        <f t="shared" si="320"/>
        <v>0</v>
      </c>
      <c r="CL729" s="10">
        <v>0</v>
      </c>
      <c r="CM729" s="255">
        <f t="shared" si="321"/>
        <v>0</v>
      </c>
      <c r="CN729" s="232">
        <f>IFERROR(VLOOKUP(CM729,'Rangos amb etnico'!$A$2:$C$6,3,9),"N.D.")</f>
        <v>0</v>
      </c>
      <c r="CO729" s="311">
        <f t="shared" si="322"/>
        <v>0</v>
      </c>
      <c r="CP729">
        <v>0.86594851933398065</v>
      </c>
      <c r="CQ729" t="s">
        <v>2864</v>
      </c>
      <c r="CR729">
        <f t="shared" si="313"/>
        <v>1</v>
      </c>
      <c r="CS729" t="str">
        <f t="shared" si="323"/>
        <v>No es Candidato</v>
      </c>
      <c r="CT729">
        <v>0</v>
      </c>
      <c r="CU729">
        <v>0</v>
      </c>
      <c r="CV729" s="25">
        <v>51.223007202148438</v>
      </c>
      <c r="CW729" s="25">
        <v>8.6033830642700195</v>
      </c>
      <c r="CX729" s="25">
        <v>48.204082489013672</v>
      </c>
      <c r="CY729" s="25">
        <v>58.270492553710938</v>
      </c>
      <c r="CZ729" s="25">
        <v>31.5191535949707</v>
      </c>
      <c r="DA729" s="25">
        <v>90.921089172363281</v>
      </c>
      <c r="DB729" s="25">
        <v>69.819847106933594</v>
      </c>
      <c r="DC729">
        <v>9</v>
      </c>
      <c r="DD729" s="253" t="s">
        <v>380</v>
      </c>
    </row>
    <row r="730" spans="1:108" hidden="1">
      <c r="A730" s="13">
        <v>68271</v>
      </c>
      <c r="B730" s="13" t="s">
        <v>1891</v>
      </c>
      <c r="C730" s="13" t="s">
        <v>431</v>
      </c>
      <c r="D730" s="13" t="s">
        <v>432</v>
      </c>
      <c r="E730" s="13" t="s">
        <v>1892</v>
      </c>
      <c r="F730" s="14">
        <v>69.564966666666706</v>
      </c>
      <c r="G730" s="13">
        <v>74.28</v>
      </c>
      <c r="H730" s="13">
        <v>54.15</v>
      </c>
      <c r="I730" s="13">
        <v>79.73</v>
      </c>
      <c r="J730" s="14">
        <v>61.749826864565257</v>
      </c>
      <c r="K730" s="14">
        <v>62.559035906239771</v>
      </c>
      <c r="L730" s="14">
        <v>70.94253314025184</v>
      </c>
      <c r="M730" s="14">
        <v>70.406700000000001</v>
      </c>
      <c r="N730" s="14">
        <f t="shared" si="297"/>
        <v>69.431241666666679</v>
      </c>
      <c r="O730" s="14">
        <f t="shared" si="298"/>
        <v>66.414523977764219</v>
      </c>
      <c r="P730" s="14">
        <f t="shared" si="314"/>
        <v>67.922882822215456</v>
      </c>
      <c r="Q730" s="14">
        <v>59.061803992832395</v>
      </c>
      <c r="R730" s="17">
        <f t="shared" si="299"/>
        <v>40.938196007167605</v>
      </c>
      <c r="S730" s="14">
        <f t="shared" si="315"/>
        <v>0.46844376406450849</v>
      </c>
      <c r="T730" s="13">
        <v>0</v>
      </c>
      <c r="U730" s="13">
        <f t="shared" si="316"/>
        <v>31.818050895351153</v>
      </c>
      <c r="V730" s="13">
        <f>IF($T730=1,$AU730,(VLOOKUP(U730,'Cortes naturales'!$A$35:$C$39,3,9)))</f>
        <v>3</v>
      </c>
      <c r="W730" s="13">
        <v>3</v>
      </c>
      <c r="X730" s="14" t="b">
        <f t="shared" si="300"/>
        <v>1</v>
      </c>
      <c r="Y730" s="17">
        <f>IF($T730=1,$AU730,VLOOKUP(U730,'Cortes naturales'!$A$45:$C$49,3,9))</f>
        <v>3</v>
      </c>
      <c r="Z730" s="14">
        <v>64.421688935235579</v>
      </c>
      <c r="AA730" s="14">
        <v>0.48051011265724775</v>
      </c>
      <c r="AB730" s="14">
        <v>30.955273007840219</v>
      </c>
      <c r="AC730" s="13">
        <v>3</v>
      </c>
      <c r="AD730" s="13">
        <f t="shared" si="301"/>
        <v>0</v>
      </c>
      <c r="AE730" s="14">
        <f t="shared" si="302"/>
        <v>3.5011938869798769</v>
      </c>
      <c r="AF730" s="14">
        <f t="shared" si="303"/>
        <v>-1.2066348592739251E-2</v>
      </c>
      <c r="AG730" s="13">
        <f t="shared" si="304"/>
        <v>0.86277788751093354</v>
      </c>
      <c r="AH730" s="13">
        <f>IF($T730=1,$AU730,VLOOKUP(U730,'Cortes naturales'!$A$25:$C$29,3,9))</f>
        <v>3</v>
      </c>
      <c r="AI730" s="13" t="b">
        <f t="shared" si="305"/>
        <v>1</v>
      </c>
      <c r="AJ730" s="13">
        <f t="shared" si="306"/>
        <v>0</v>
      </c>
      <c r="AK730" s="28">
        <v>0.81759069605862034</v>
      </c>
      <c r="AL730" s="28">
        <v>52.670573497831178</v>
      </c>
      <c r="AM730" s="28">
        <v>0.48822734259821765</v>
      </c>
      <c r="AN730" s="13">
        <v>2</v>
      </c>
      <c r="AO730" s="33">
        <f t="shared" si="307"/>
        <v>-1</v>
      </c>
      <c r="AP730" s="13">
        <f t="shared" si="317"/>
        <v>48.822734259821765</v>
      </c>
      <c r="AQ730" s="13">
        <f>IFERROR(VLOOKUP(U730,'Cortes naturales'!$E$15:$G$19,3,9),U730)</f>
        <v>4</v>
      </c>
      <c r="AR730" s="28">
        <f t="shared" si="308"/>
        <v>-0.34914693199411184</v>
      </c>
      <c r="AS730" s="13" t="b">
        <f t="shared" si="309"/>
        <v>0</v>
      </c>
      <c r="AT730" s="13" t="str">
        <f t="shared" si="318"/>
        <v>Cambio en corte</v>
      </c>
      <c r="AU730" s="13">
        <v>2</v>
      </c>
      <c r="AV730">
        <f t="shared" si="310"/>
        <v>-1</v>
      </c>
      <c r="AW730" s="13">
        <v>0</v>
      </c>
      <c r="AX730" s="13">
        <v>0</v>
      </c>
      <c r="AY730" s="13">
        <v>0</v>
      </c>
      <c r="AZ730" s="13">
        <v>0</v>
      </c>
      <c r="BA730">
        <v>0</v>
      </c>
      <c r="BB730" t="s">
        <v>2841</v>
      </c>
      <c r="BC730">
        <v>6</v>
      </c>
      <c r="BD730" t="s">
        <v>2919</v>
      </c>
      <c r="BE730">
        <v>1</v>
      </c>
      <c r="BF730" s="232" t="s">
        <v>2846</v>
      </c>
      <c r="BG730" s="232" t="s">
        <v>2845</v>
      </c>
      <c r="BH730" s="253">
        <v>56</v>
      </c>
      <c r="BI730" s="253">
        <v>31.266318537859007</v>
      </c>
      <c r="BJ730" s="25">
        <v>0</v>
      </c>
      <c r="BK730" t="s">
        <v>381</v>
      </c>
      <c r="BL730">
        <v>0</v>
      </c>
      <c r="BM730" t="s">
        <v>377</v>
      </c>
      <c r="BN730" s="322">
        <v>27050.303884000001</v>
      </c>
      <c r="BO730" s="322">
        <v>8762.2847380000003</v>
      </c>
      <c r="BP730" s="10">
        <v>5703</v>
      </c>
      <c r="BQ730" s="254">
        <f t="shared" si="311"/>
        <v>4.7431709423110648</v>
      </c>
      <c r="BR730" s="254">
        <f t="shared" si="312"/>
        <v>1.5364342868665615</v>
      </c>
      <c r="BS730" s="25">
        <v>53.078567603748333</v>
      </c>
      <c r="BT730" s="25">
        <v>89.451668470980181</v>
      </c>
      <c r="BU730" s="25">
        <v>48.461994246109562</v>
      </c>
      <c r="BV730" s="25">
        <v>98.843298221282495</v>
      </c>
      <c r="BW730" s="25">
        <v>57.60948268496027</v>
      </c>
      <c r="BX730" s="25">
        <v>72.458882135530146</v>
      </c>
      <c r="BY730" s="25">
        <v>59.152743788752353</v>
      </c>
      <c r="BZ730">
        <v>25</v>
      </c>
      <c r="CA730">
        <v>0</v>
      </c>
      <c r="CB730">
        <v>7</v>
      </c>
      <c r="CC730">
        <v>17636.525725</v>
      </c>
      <c r="CD730" s="10">
        <v>691.31811600000003</v>
      </c>
      <c r="CE730" s="255">
        <v>3.9198089622609053E-2</v>
      </c>
      <c r="CF730" t="str">
        <f>IFERROR(VLOOKUP(CE730,'Rangos amb etnico'!$A$2:$C$6,3,9),"N.D.")</f>
        <v>0,1% - 30%</v>
      </c>
      <c r="CG730" s="256">
        <v>2.011305003230281E-5</v>
      </c>
      <c r="CH730" s="232">
        <v>0</v>
      </c>
      <c r="CI730" s="311">
        <f t="shared" si="319"/>
        <v>0</v>
      </c>
      <c r="CJ730" s="232">
        <f>IFERROR(VLOOKUP(CI730,'Rangos amb etnico'!$A$2:$C$6,3,9),"N.D.")</f>
        <v>0</v>
      </c>
      <c r="CK730" s="311">
        <f t="shared" si="320"/>
        <v>0</v>
      </c>
      <c r="CL730" s="10">
        <v>0</v>
      </c>
      <c r="CM730" s="255">
        <f t="shared" si="321"/>
        <v>0</v>
      </c>
      <c r="CN730" s="232">
        <f>IFERROR(VLOOKUP(CM730,'Rangos amb etnico'!$A$2:$C$6,3,9),"N.D.")</f>
        <v>0</v>
      </c>
      <c r="CO730" s="311">
        <f t="shared" si="322"/>
        <v>0</v>
      </c>
      <c r="CP730">
        <v>0.96872465636911032</v>
      </c>
      <c r="CQ730" t="s">
        <v>2864</v>
      </c>
      <c r="CR730">
        <f t="shared" si="313"/>
        <v>3</v>
      </c>
      <c r="CS730" t="str">
        <f t="shared" si="323"/>
        <v>Candidato</v>
      </c>
      <c r="CT730">
        <v>0</v>
      </c>
      <c r="CU730">
        <v>0</v>
      </c>
      <c r="CV730" s="25">
        <v>52.770599365234382</v>
      </c>
      <c r="CW730" s="25">
        <v>9.2617225646972656</v>
      </c>
      <c r="CX730" s="25">
        <v>57.697345733642578</v>
      </c>
      <c r="CY730" s="25">
        <v>77.947074890136719</v>
      </c>
      <c r="CZ730" s="25">
        <v>41.22509765625</v>
      </c>
      <c r="DA730" s="25">
        <v>77.224533081054688</v>
      </c>
      <c r="DB730" s="25">
        <v>53.267833709716797</v>
      </c>
      <c r="DC730">
        <v>62</v>
      </c>
      <c r="DD730" s="253" t="s">
        <v>380</v>
      </c>
    </row>
    <row r="731" spans="1:108" hidden="1">
      <c r="A731" s="13">
        <v>41676</v>
      </c>
      <c r="B731" s="13" t="s">
        <v>1893</v>
      </c>
      <c r="C731" s="13" t="s">
        <v>676</v>
      </c>
      <c r="D731" s="13" t="s">
        <v>677</v>
      </c>
      <c r="E731" s="13" t="s">
        <v>1894</v>
      </c>
      <c r="F731" s="14">
        <v>52.9003333333333</v>
      </c>
      <c r="G731" s="13">
        <v>68.38</v>
      </c>
      <c r="H731" s="13">
        <v>29.08</v>
      </c>
      <c r="I731" s="13">
        <v>79.52</v>
      </c>
      <c r="J731" s="14">
        <v>48.554919379832441</v>
      </c>
      <c r="K731" s="14">
        <v>50.052834819109385</v>
      </c>
      <c r="L731" s="14">
        <v>14.205305862344076</v>
      </c>
      <c r="M731" s="14">
        <v>56.722700000000003</v>
      </c>
      <c r="N731" s="14">
        <f t="shared" si="297"/>
        <v>57.470083333333321</v>
      </c>
      <c r="O731" s="14">
        <f t="shared" si="298"/>
        <v>42.383940015321471</v>
      </c>
      <c r="P731" s="14">
        <f t="shared" si="314"/>
        <v>49.927011674327396</v>
      </c>
      <c r="Q731" s="14">
        <v>58.766848804575368</v>
      </c>
      <c r="R731" s="17">
        <f t="shared" si="299"/>
        <v>41.233151195424632</v>
      </c>
      <c r="S731" s="14">
        <f t="shared" si="315"/>
        <v>0.47109836075882172</v>
      </c>
      <c r="T731" s="13">
        <v>0</v>
      </c>
      <c r="U731" s="13">
        <f t="shared" si="316"/>
        <v>23.52053335736219</v>
      </c>
      <c r="V731" s="13">
        <f>IF($T731=1,$AU731,(VLOOKUP(U731,'Cortes naturales'!$A$35:$C$39,3,9)))</f>
        <v>4</v>
      </c>
      <c r="W731" s="13">
        <v>4</v>
      </c>
      <c r="X731" s="14" t="b">
        <f t="shared" si="300"/>
        <v>1</v>
      </c>
      <c r="Y731" s="17">
        <f>IF($T731=1,$AU731,VLOOKUP(U731,'Cortes naturales'!$A$45:$C$49,3,9))</f>
        <v>4</v>
      </c>
      <c r="Z731" s="14">
        <v>44.795681204888751</v>
      </c>
      <c r="AA731" s="14">
        <v>0.48110752724865569</v>
      </c>
      <c r="AB731" s="14">
        <v>21.551539415903108</v>
      </c>
      <c r="AC731" s="13">
        <v>4</v>
      </c>
      <c r="AD731" s="13">
        <f t="shared" si="301"/>
        <v>0</v>
      </c>
      <c r="AE731" s="14">
        <f t="shared" si="302"/>
        <v>5.1313304694386446</v>
      </c>
      <c r="AF731" s="14">
        <f t="shared" si="303"/>
        <v>-1.0009166489833965E-2</v>
      </c>
      <c r="AG731" s="13">
        <f t="shared" si="304"/>
        <v>1.9689939414590825</v>
      </c>
      <c r="AH731" s="13">
        <f>IF($T731=1,$AU731,VLOOKUP(U731,'Cortes naturales'!$A$25:$C$29,3,9))</f>
        <v>4</v>
      </c>
      <c r="AI731" s="13" t="b">
        <f t="shared" si="305"/>
        <v>1</v>
      </c>
      <c r="AJ731" s="13">
        <f t="shared" si="306"/>
        <v>0</v>
      </c>
      <c r="AK731" s="28">
        <v>0.81759069605862034</v>
      </c>
      <c r="AL731" s="28">
        <v>36.624532176725047</v>
      </c>
      <c r="AM731" s="28">
        <v>0.28750827979304178</v>
      </c>
      <c r="AN731" s="13">
        <v>4</v>
      </c>
      <c r="AO731" s="33">
        <f t="shared" si="307"/>
        <v>0</v>
      </c>
      <c r="AP731" s="13">
        <f t="shared" si="317"/>
        <v>28.750827979304177</v>
      </c>
      <c r="AQ731" s="13">
        <f>IFERROR(VLOOKUP(U731,'Cortes naturales'!$E$15:$G$19,3,9),U731)</f>
        <v>4</v>
      </c>
      <c r="AR731" s="28">
        <f t="shared" si="308"/>
        <v>-0.34649233529979862</v>
      </c>
      <c r="AS731" s="13" t="b">
        <f t="shared" si="309"/>
        <v>1</v>
      </c>
      <c r="AT731" s="13">
        <f t="shared" si="318"/>
        <v>0</v>
      </c>
      <c r="AU731" s="13">
        <v>3</v>
      </c>
      <c r="AV731">
        <f t="shared" si="310"/>
        <v>-1</v>
      </c>
      <c r="AW731" s="13">
        <v>0</v>
      </c>
      <c r="AX731" s="13">
        <v>0</v>
      </c>
      <c r="AY731" s="13">
        <v>0</v>
      </c>
      <c r="AZ731" s="13">
        <v>0</v>
      </c>
      <c r="BA731">
        <v>0</v>
      </c>
      <c r="BB731" t="s">
        <v>2841</v>
      </c>
      <c r="BC731">
        <v>6</v>
      </c>
      <c r="BD731" t="s">
        <v>2919</v>
      </c>
      <c r="BE731">
        <v>0</v>
      </c>
      <c r="BF731" s="232" t="s">
        <v>2846</v>
      </c>
      <c r="BG731" s="232" t="s">
        <v>2845</v>
      </c>
      <c r="BH731" s="253">
        <v>51.5</v>
      </c>
      <c r="BI731" s="253">
        <v>20.959373470386687</v>
      </c>
      <c r="BJ731" s="25">
        <v>0</v>
      </c>
      <c r="BK731" t="s">
        <v>381</v>
      </c>
      <c r="BL731">
        <v>3.7723289710093484</v>
      </c>
      <c r="BM731" t="s">
        <v>383</v>
      </c>
      <c r="BN731" s="322">
        <v>28086.986280000001</v>
      </c>
      <c r="BO731" s="322">
        <v>1546.9821199999999</v>
      </c>
      <c r="BP731" s="10">
        <v>10740</v>
      </c>
      <c r="BQ731" s="254">
        <f t="shared" si="311"/>
        <v>2.6151756312849161</v>
      </c>
      <c r="BR731" s="254">
        <f t="shared" si="312"/>
        <v>0.14403930353817504</v>
      </c>
      <c r="BS731" s="25">
        <v>66.797868922681516</v>
      </c>
      <c r="BT731" s="25">
        <v>94.887561235257621</v>
      </c>
      <c r="BU731" s="25">
        <v>39.165856873822968</v>
      </c>
      <c r="BV731" s="25">
        <v>95.937011244956196</v>
      </c>
      <c r="BW731" s="25">
        <v>57.202099161397719</v>
      </c>
      <c r="BX731" s="25">
        <v>74.197074569179577</v>
      </c>
      <c r="BY731" s="25">
        <v>58.755007375096653</v>
      </c>
      <c r="BZ731">
        <v>71</v>
      </c>
      <c r="CA731">
        <v>0</v>
      </c>
      <c r="CB731">
        <v>7</v>
      </c>
      <c r="CC731">
        <v>33930.524805000001</v>
      </c>
      <c r="CD731" s="10">
        <v>10525.020263</v>
      </c>
      <c r="CE731" s="255">
        <v>0.31019326472218411</v>
      </c>
      <c r="CF731" t="str">
        <f>IFERROR(VLOOKUP(CE731,'Rangos amb etnico'!$A$2:$C$6,3,9),"N.D.")</f>
        <v>31% - 50%</v>
      </c>
      <c r="CG731" s="256">
        <v>3.0621251525357086E-4</v>
      </c>
      <c r="CH731" s="232">
        <v>0</v>
      </c>
      <c r="CI731" s="311">
        <f t="shared" si="319"/>
        <v>0</v>
      </c>
      <c r="CJ731" s="232">
        <f>IFERROR(VLOOKUP(CI731,'Rangos amb etnico'!$A$2:$C$6,3,9),"N.D.")</f>
        <v>0</v>
      </c>
      <c r="CK731" s="311">
        <f t="shared" si="320"/>
        <v>0</v>
      </c>
      <c r="CL731" s="10">
        <v>0</v>
      </c>
      <c r="CM731" s="255">
        <f t="shared" si="321"/>
        <v>0</v>
      </c>
      <c r="CN731" s="232">
        <f>IFERROR(VLOOKUP(CM731,'Rangos amb etnico'!$A$2:$C$6,3,9),"N.D.")</f>
        <v>0</v>
      </c>
      <c r="CO731" s="311">
        <f t="shared" si="322"/>
        <v>0</v>
      </c>
      <c r="CP731">
        <v>0.90053295051988203</v>
      </c>
      <c r="CQ731" t="s">
        <v>2864</v>
      </c>
      <c r="CR731">
        <f t="shared" si="313"/>
        <v>2</v>
      </c>
      <c r="CS731" t="str">
        <f t="shared" si="323"/>
        <v>No es Candidato</v>
      </c>
      <c r="CT731">
        <v>0</v>
      </c>
      <c r="CU731">
        <v>0</v>
      </c>
      <c r="CV731" s="25">
        <v>55.545806884765618</v>
      </c>
      <c r="CW731" s="25">
        <v>22.57588958740234</v>
      </c>
      <c r="CX731" s="25">
        <v>56.848541259765618</v>
      </c>
      <c r="CY731" s="25">
        <v>78.965263366699219</v>
      </c>
      <c r="CZ731" s="25">
        <v>48.182182312011719</v>
      </c>
      <c r="DA731" s="25">
        <v>67.734405517578125</v>
      </c>
      <c r="DB731" s="25">
        <v>58.96856689453125</v>
      </c>
      <c r="DC731">
        <v>1006</v>
      </c>
      <c r="DD731" s="253" t="s">
        <v>380</v>
      </c>
    </row>
    <row r="732" spans="1:108" hidden="1">
      <c r="A732" s="13">
        <v>25299</v>
      </c>
      <c r="B732" s="13" t="s">
        <v>1895</v>
      </c>
      <c r="C732" s="13" t="s">
        <v>461</v>
      </c>
      <c r="D732" s="13" t="s">
        <v>462</v>
      </c>
      <c r="E732" s="13" t="s">
        <v>1896</v>
      </c>
      <c r="F732" s="14">
        <v>52.306966666666703</v>
      </c>
      <c r="G732" s="13">
        <v>90.36</v>
      </c>
      <c r="H732" s="13">
        <v>77.36</v>
      </c>
      <c r="I732" s="13">
        <v>89.05</v>
      </c>
      <c r="J732" s="14">
        <v>56.266962935755146</v>
      </c>
      <c r="K732" s="14">
        <v>47.329559114005733</v>
      </c>
      <c r="L732" s="14">
        <v>73.934168015114054</v>
      </c>
      <c r="M732" s="14">
        <v>49.608400000000003</v>
      </c>
      <c r="N732" s="14">
        <f t="shared" si="297"/>
        <v>77.269241666666673</v>
      </c>
      <c r="O732" s="14">
        <f t="shared" si="298"/>
        <v>56.784772516218737</v>
      </c>
      <c r="P732" s="14">
        <f t="shared" si="314"/>
        <v>67.027007091442698</v>
      </c>
      <c r="Q732" s="14">
        <v>59.452885244791631</v>
      </c>
      <c r="R732" s="17">
        <f t="shared" si="299"/>
        <v>40.547114755208369</v>
      </c>
      <c r="S732" s="14">
        <f t="shared" si="315"/>
        <v>0.46492403279687533</v>
      </c>
      <c r="T732" s="13">
        <v>0</v>
      </c>
      <c r="U732" s="13">
        <f t="shared" si="316"/>
        <v>31.1624664432583</v>
      </c>
      <c r="V732" s="13">
        <f>IF($T732=1,$AU732,(VLOOKUP(U732,'Cortes naturales'!$A$35:$C$39,3,9)))</f>
        <v>3</v>
      </c>
      <c r="W732" s="13">
        <v>3</v>
      </c>
      <c r="X732" s="14" t="b">
        <f t="shared" si="300"/>
        <v>1</v>
      </c>
      <c r="Y732" s="17">
        <f>IF($T732=1,$AU732,VLOOKUP(U732,'Cortes naturales'!$A$45:$C$49,3,9))</f>
        <v>3</v>
      </c>
      <c r="Z732" s="14">
        <v>62.242611267530975</v>
      </c>
      <c r="AA732" s="14">
        <v>0.47964943240794133</v>
      </c>
      <c r="AB732" s="14">
        <v>29.854633166059365</v>
      </c>
      <c r="AC732" s="13">
        <v>3</v>
      </c>
      <c r="AD732" s="13">
        <f t="shared" si="301"/>
        <v>0</v>
      </c>
      <c r="AE732" s="14">
        <f t="shared" si="302"/>
        <v>4.7843958239117228</v>
      </c>
      <c r="AF732" s="14">
        <f t="shared" si="303"/>
        <v>-1.4725399611066003E-2</v>
      </c>
      <c r="AG732" s="13">
        <f t="shared" si="304"/>
        <v>1.3078332771989345</v>
      </c>
      <c r="AH732" s="13">
        <f>IF($T732=1,$AU732,VLOOKUP(U732,'Cortes naturales'!$A$25:$C$29,3,9))</f>
        <v>3</v>
      </c>
      <c r="AI732" s="13" t="b">
        <f t="shared" si="305"/>
        <v>1</v>
      </c>
      <c r="AJ732" s="13">
        <f t="shared" si="306"/>
        <v>0</v>
      </c>
      <c r="AK732" s="28">
        <v>0.81759069605862034</v>
      </c>
      <c r="AL732" s="28">
        <v>50.888979870726779</v>
      </c>
      <c r="AM732" s="28">
        <v>0.46594148429984095</v>
      </c>
      <c r="AN732" s="13">
        <v>3</v>
      </c>
      <c r="AO732" s="33">
        <f t="shared" si="307"/>
        <v>0</v>
      </c>
      <c r="AP732" s="13">
        <f t="shared" si="317"/>
        <v>46.594148429984095</v>
      </c>
      <c r="AQ732" s="13">
        <f>IFERROR(VLOOKUP(U732,'Cortes naturales'!$E$15:$G$19,3,9),U732)</f>
        <v>4</v>
      </c>
      <c r="AR732" s="28">
        <f t="shared" si="308"/>
        <v>-0.35266666326174501</v>
      </c>
      <c r="AS732" s="13" t="b">
        <f t="shared" si="309"/>
        <v>0</v>
      </c>
      <c r="AT732" s="13">
        <f t="shared" si="318"/>
        <v>0</v>
      </c>
      <c r="AU732" s="13">
        <v>3</v>
      </c>
      <c r="AV732">
        <f t="shared" si="310"/>
        <v>0</v>
      </c>
      <c r="AW732" s="13">
        <v>0</v>
      </c>
      <c r="AX732" s="13">
        <v>0</v>
      </c>
      <c r="AY732" s="13">
        <v>0</v>
      </c>
      <c r="AZ732" s="13">
        <v>0</v>
      </c>
      <c r="BA732">
        <v>0</v>
      </c>
      <c r="BB732" t="s">
        <v>2840</v>
      </c>
      <c r="BC732">
        <v>6</v>
      </c>
      <c r="BD732" t="s">
        <v>2919</v>
      </c>
      <c r="BE732">
        <v>0</v>
      </c>
      <c r="BF732" s="232" t="s">
        <v>2846</v>
      </c>
      <c r="BG732" s="232" t="s">
        <v>2846</v>
      </c>
      <c r="BH732" s="253">
        <v>42.9</v>
      </c>
      <c r="BI732" s="253">
        <v>8.7401055408970976</v>
      </c>
      <c r="BJ732" s="25">
        <v>10.36153846153846</v>
      </c>
      <c r="BK732" t="s">
        <v>377</v>
      </c>
      <c r="BL732">
        <v>0</v>
      </c>
      <c r="BM732" t="s">
        <v>377</v>
      </c>
      <c r="BN732" s="322">
        <v>12544.494871999999</v>
      </c>
      <c r="BO732" s="322">
        <v>980.18349499999999</v>
      </c>
      <c r="BP732" s="10">
        <v>3193</v>
      </c>
      <c r="BQ732" s="254">
        <f t="shared" si="311"/>
        <v>3.9287487854682115</v>
      </c>
      <c r="BR732" s="254">
        <f t="shared" si="312"/>
        <v>0.30697885844033823</v>
      </c>
      <c r="BS732" s="25">
        <v>56.989755713159958</v>
      </c>
      <c r="BT732" s="25">
        <v>85.382954660194173</v>
      </c>
      <c r="BU732" s="25">
        <v>28.103936610840972</v>
      </c>
      <c r="BV732" s="25">
        <v>96.82962489609092</v>
      </c>
      <c r="BW732" s="25">
        <v>38.783841977689491</v>
      </c>
      <c r="BX732" s="25">
        <v>66.826567970071508</v>
      </c>
      <c r="BY732" s="25">
        <v>38.89035372081166</v>
      </c>
      <c r="BZ732">
        <v>87</v>
      </c>
      <c r="CA732">
        <v>0</v>
      </c>
      <c r="CB732">
        <v>7</v>
      </c>
      <c r="CC732">
        <v>10751.893093999999</v>
      </c>
      <c r="CD732" s="10">
        <v>2814.3694289999999</v>
      </c>
      <c r="CE732" s="255">
        <v>0.26175571170536788</v>
      </c>
      <c r="CF732" t="str">
        <f>IFERROR(VLOOKUP(CE732,'Rangos amb etnico'!$A$2:$C$6,3,9),"N.D.")</f>
        <v>0,1% - 30%</v>
      </c>
      <c r="CG732" s="256">
        <v>8.1880615920182961E-5</v>
      </c>
      <c r="CH732" s="232">
        <v>0</v>
      </c>
      <c r="CI732" s="311">
        <f t="shared" si="319"/>
        <v>0</v>
      </c>
      <c r="CJ732" s="232">
        <f>IFERROR(VLOOKUP(CI732,'Rangos amb etnico'!$A$2:$C$6,3,9),"N.D.")</f>
        <v>0</v>
      </c>
      <c r="CK732" s="311">
        <f t="shared" si="320"/>
        <v>0</v>
      </c>
      <c r="CL732" s="10">
        <v>0</v>
      </c>
      <c r="CM732" s="255">
        <f t="shared" si="321"/>
        <v>0</v>
      </c>
      <c r="CN732" s="232">
        <f>IFERROR(VLOOKUP(CM732,'Rangos amb etnico'!$A$2:$C$6,3,9),"N.D.")</f>
        <v>0</v>
      </c>
      <c r="CO732" s="311">
        <f t="shared" si="322"/>
        <v>0</v>
      </c>
      <c r="CP732">
        <v>0.9938543826357229</v>
      </c>
      <c r="CQ732" t="s">
        <v>2864</v>
      </c>
      <c r="CR732">
        <f t="shared" si="313"/>
        <v>2</v>
      </c>
      <c r="CS732" t="str">
        <f t="shared" si="323"/>
        <v>No es Candidato</v>
      </c>
      <c r="CT732">
        <v>0</v>
      </c>
      <c r="CU732">
        <v>0</v>
      </c>
      <c r="CV732" s="25">
        <v>51.544921875</v>
      </c>
      <c r="CW732" s="25">
        <v>14.794797897338871</v>
      </c>
      <c r="CX732" s="25">
        <v>47.360702514648438</v>
      </c>
      <c r="CY732" s="25">
        <v>61.200618743896477</v>
      </c>
      <c r="CZ732" s="25">
        <v>33.224040985107422</v>
      </c>
      <c r="DA732" s="25">
        <v>86.708137512207031</v>
      </c>
      <c r="DB732" s="25">
        <v>65.981224060058594</v>
      </c>
      <c r="DC732">
        <v>23</v>
      </c>
      <c r="DD732" s="253" t="s">
        <v>380</v>
      </c>
    </row>
    <row r="733" spans="1:108" hidden="1">
      <c r="A733" s="13">
        <v>19450</v>
      </c>
      <c r="B733" s="13" t="s">
        <v>1897</v>
      </c>
      <c r="C733" s="13" t="s">
        <v>557</v>
      </c>
      <c r="D733" s="13" t="s">
        <v>558</v>
      </c>
      <c r="E733" s="13" t="s">
        <v>1898</v>
      </c>
      <c r="F733" s="14">
        <v>60.007833333333302</v>
      </c>
      <c r="G733" s="13">
        <v>51.93</v>
      </c>
      <c r="H733" s="13">
        <v>37.270000000000003</v>
      </c>
      <c r="I733" s="13">
        <v>53.7</v>
      </c>
      <c r="J733" s="14">
        <v>40.635697697031382</v>
      </c>
      <c r="K733" s="14">
        <v>45.073468747355719</v>
      </c>
      <c r="L733" s="14">
        <v>46.152220643033488</v>
      </c>
      <c r="M733" s="14">
        <v>54.194200000000002</v>
      </c>
      <c r="N733" s="14">
        <f t="shared" si="297"/>
        <v>50.726958333333329</v>
      </c>
      <c r="O733" s="14">
        <f t="shared" si="298"/>
        <v>46.513896771855151</v>
      </c>
      <c r="P733" s="14">
        <f t="shared" si="314"/>
        <v>48.620427552594236</v>
      </c>
      <c r="Q733" s="14">
        <v>58.211018160963356</v>
      </c>
      <c r="R733" s="17">
        <f t="shared" si="299"/>
        <v>41.788981839036644</v>
      </c>
      <c r="S733" s="14">
        <f t="shared" si="315"/>
        <v>0.47610083655132984</v>
      </c>
      <c r="T733" s="13">
        <v>0</v>
      </c>
      <c r="U733" s="13">
        <f t="shared" si="316"/>
        <v>23.148226231273444</v>
      </c>
      <c r="V733" s="13">
        <f>IF($T733=1,$AU733,(VLOOKUP(U733,'Cortes naturales'!$A$35:$C$39,3,9)))</f>
        <v>4</v>
      </c>
      <c r="W733" s="13">
        <v>4</v>
      </c>
      <c r="X733" s="14" t="b">
        <f t="shared" si="300"/>
        <v>1</v>
      </c>
      <c r="Y733" s="17">
        <f>IF($T733=1,$AU733,VLOOKUP(U733,'Cortes naturales'!$A$45:$C$49,3,9))</f>
        <v>4</v>
      </c>
      <c r="Z733" s="14">
        <v>48.939665202932815</v>
      </c>
      <c r="AA733" s="14">
        <v>0.48080075146942725</v>
      </c>
      <c r="AB733" s="14">
        <v>23.530227806232276</v>
      </c>
      <c r="AC733" s="13">
        <v>4</v>
      </c>
      <c r="AD733" s="13">
        <f t="shared" si="301"/>
        <v>0</v>
      </c>
      <c r="AE733" s="14">
        <f t="shared" si="302"/>
        <v>-0.31923765033857876</v>
      </c>
      <c r="AF733" s="14">
        <f t="shared" si="303"/>
        <v>-4.6999149180974031E-3</v>
      </c>
      <c r="AG733" s="13">
        <f t="shared" si="304"/>
        <v>-0.38200157495883147</v>
      </c>
      <c r="AH733" s="13">
        <f>IF($T733=1,$AU733,VLOOKUP(U733,'Cortes naturales'!$A$25:$C$29,3,9))</f>
        <v>4</v>
      </c>
      <c r="AI733" s="13" t="b">
        <f t="shared" si="305"/>
        <v>1</v>
      </c>
      <c r="AJ733" s="13">
        <f t="shared" si="306"/>
        <v>0</v>
      </c>
      <c r="AK733" s="28">
        <v>0.81759069605862034</v>
      </c>
      <c r="AL733" s="28">
        <v>40.012614938141681</v>
      </c>
      <c r="AM733" s="28">
        <v>0.32988962376249875</v>
      </c>
      <c r="AN733" s="13">
        <v>4</v>
      </c>
      <c r="AO733" s="33">
        <f t="shared" si="307"/>
        <v>0</v>
      </c>
      <c r="AP733" s="13">
        <f t="shared" si="317"/>
        <v>32.988962376249873</v>
      </c>
      <c r="AQ733" s="13">
        <f>IFERROR(VLOOKUP(U733,'Cortes naturales'!$E$15:$G$19,3,9),U733)</f>
        <v>4</v>
      </c>
      <c r="AR733" s="28">
        <f t="shared" si="308"/>
        <v>-0.34148985950729049</v>
      </c>
      <c r="AS733" s="13" t="b">
        <f t="shared" si="309"/>
        <v>1</v>
      </c>
      <c r="AT733" s="13">
        <f t="shared" si="318"/>
        <v>0</v>
      </c>
      <c r="AU733" s="13">
        <v>4</v>
      </c>
      <c r="AV733">
        <f t="shared" si="310"/>
        <v>0</v>
      </c>
      <c r="AW733" s="13">
        <v>0</v>
      </c>
      <c r="AX733" s="13">
        <v>0</v>
      </c>
      <c r="AY733" s="13">
        <v>0</v>
      </c>
      <c r="AZ733" s="13">
        <v>1</v>
      </c>
      <c r="BA733">
        <v>1</v>
      </c>
      <c r="BB733" t="s">
        <v>2841</v>
      </c>
      <c r="BC733">
        <v>6</v>
      </c>
      <c r="BD733" t="s">
        <v>2919</v>
      </c>
      <c r="BE733">
        <v>1</v>
      </c>
      <c r="BF733" s="232" t="s">
        <v>2846</v>
      </c>
      <c r="BG733" s="232" t="s">
        <v>2846</v>
      </c>
      <c r="BH733" s="253">
        <v>46.6</v>
      </c>
      <c r="BI733" s="253">
        <v>25.503174388761312</v>
      </c>
      <c r="BJ733" s="25">
        <v>0</v>
      </c>
      <c r="BK733" t="s">
        <v>381</v>
      </c>
      <c r="BL733">
        <v>12.810951682998187</v>
      </c>
      <c r="BM733" t="s">
        <v>376</v>
      </c>
      <c r="BN733" s="322">
        <v>51085.180490999999</v>
      </c>
      <c r="BO733" s="322">
        <v>877.85227799999996</v>
      </c>
      <c r="BP733" s="10">
        <v>25765</v>
      </c>
      <c r="BQ733" s="254">
        <f t="shared" si="311"/>
        <v>1.9827355129439161</v>
      </c>
      <c r="BR733" s="254">
        <f t="shared" si="312"/>
        <v>3.4071503124393554E-2</v>
      </c>
      <c r="BS733" s="25">
        <v>46.339371980676333</v>
      </c>
      <c r="BT733" s="25">
        <v>65.485315997153762</v>
      </c>
      <c r="BU733" s="25">
        <v>42.370922930752563</v>
      </c>
      <c r="BV733" s="25">
        <v>89.103058532969058</v>
      </c>
      <c r="BW733" s="25">
        <v>41.123359610938223</v>
      </c>
      <c r="BX733" s="25">
        <v>60.82466736038792</v>
      </c>
      <c r="BY733" s="25">
        <v>40.374752163668653</v>
      </c>
      <c r="BZ733">
        <v>26</v>
      </c>
      <c r="CA733">
        <v>0</v>
      </c>
      <c r="CB733">
        <v>7</v>
      </c>
      <c r="CC733">
        <v>69855.523673999996</v>
      </c>
      <c r="CD733" s="10">
        <v>4351.3175810000002</v>
      </c>
      <c r="CE733" s="255">
        <v>6.2290243521852612E-2</v>
      </c>
      <c r="CF733" t="str">
        <f>IFERROR(VLOOKUP(CE733,'Rangos amb etnico'!$A$2:$C$6,3,9),"N.D.")</f>
        <v>0,1% - 30%</v>
      </c>
      <c r="CG733" s="256">
        <v>1.2659623144186755E-4</v>
      </c>
      <c r="CH733" s="232">
        <v>1317.0258080000001</v>
      </c>
      <c r="CI733" s="311">
        <f t="shared" si="319"/>
        <v>1.8853567173102347E-2</v>
      </c>
      <c r="CJ733" s="232" t="str">
        <f>IFERROR(VLOOKUP(CI733,'Rangos amb etnico'!$A$2:$C$6,3,9),"N.D.")</f>
        <v>0,1% - 30%</v>
      </c>
      <c r="CK733" s="311">
        <f t="shared" si="320"/>
        <v>5.2294547409606059E-5</v>
      </c>
      <c r="CL733" s="10">
        <v>0</v>
      </c>
      <c r="CM733" s="255">
        <f t="shared" si="321"/>
        <v>0</v>
      </c>
      <c r="CN733" s="232">
        <f>IFERROR(VLOOKUP(CM733,'Rangos amb etnico'!$A$2:$C$6,3,9),"N.D.")</f>
        <v>0</v>
      </c>
      <c r="CO733" s="311">
        <f t="shared" si="322"/>
        <v>0</v>
      </c>
      <c r="CP733">
        <v>0.89083609308175959</v>
      </c>
      <c r="CQ733" t="s">
        <v>2864</v>
      </c>
      <c r="CR733">
        <f t="shared" si="313"/>
        <v>1</v>
      </c>
      <c r="CS733" t="str">
        <f t="shared" si="323"/>
        <v>No es Candidato</v>
      </c>
      <c r="CT733">
        <v>0</v>
      </c>
      <c r="CU733">
        <v>0</v>
      </c>
      <c r="CV733" s="25">
        <v>40.520580291748047</v>
      </c>
      <c r="CW733" s="25">
        <v>12.93017482757568</v>
      </c>
      <c r="CX733" s="25">
        <v>45.997879028320313</v>
      </c>
      <c r="CY733" s="25">
        <v>61.682826995849609</v>
      </c>
      <c r="CZ733" s="25">
        <v>27.977537155151371</v>
      </c>
      <c r="DA733" s="25">
        <v>44.541709899902337</v>
      </c>
      <c r="DB733" s="25">
        <v>49.993358612060547</v>
      </c>
      <c r="DC733">
        <v>7677</v>
      </c>
      <c r="DD733" s="253" t="s">
        <v>380</v>
      </c>
    </row>
    <row r="734" spans="1:108" hidden="1">
      <c r="A734" s="13">
        <v>13248</v>
      </c>
      <c r="B734" s="13" t="s">
        <v>1899</v>
      </c>
      <c r="C734" s="13" t="s">
        <v>480</v>
      </c>
      <c r="D734" s="13" t="s">
        <v>481</v>
      </c>
      <c r="E734" s="13" t="s">
        <v>1900</v>
      </c>
      <c r="F734" s="14">
        <v>49.157400000000003</v>
      </c>
      <c r="G734" s="13">
        <v>54.44</v>
      </c>
      <c r="H734" s="13">
        <v>48.28</v>
      </c>
      <c r="I734" s="13">
        <v>22.19</v>
      </c>
      <c r="J734" s="14">
        <v>48.615229006019646</v>
      </c>
      <c r="K734" s="14">
        <v>52.378346915562382</v>
      </c>
      <c r="L734" s="14">
        <v>49.437093875317544</v>
      </c>
      <c r="M734" s="14">
        <v>49.651000000000003</v>
      </c>
      <c r="N734" s="14">
        <f t="shared" si="297"/>
        <v>43.516849999999998</v>
      </c>
      <c r="O734" s="14">
        <f t="shared" si="298"/>
        <v>50.020417449224894</v>
      </c>
      <c r="P734" s="14">
        <f t="shared" si="314"/>
        <v>46.768633724612442</v>
      </c>
      <c r="Q734" s="14">
        <v>58.33738618868172</v>
      </c>
      <c r="R734" s="17">
        <f t="shared" si="299"/>
        <v>41.66261381131828</v>
      </c>
      <c r="S734" s="14">
        <f t="shared" si="315"/>
        <v>0.47496352430186461</v>
      </c>
      <c r="T734" s="13">
        <v>0</v>
      </c>
      <c r="U734" s="13">
        <f t="shared" si="316"/>
        <v>22.213395100624968</v>
      </c>
      <c r="V734" s="13">
        <f>IF($T734=1,$AU734,(VLOOKUP(U734,'Cortes naturales'!$A$35:$C$39,3,9)))</f>
        <v>4</v>
      </c>
      <c r="W734" s="13">
        <v>4</v>
      </c>
      <c r="X734" s="14" t="b">
        <f t="shared" si="300"/>
        <v>1</v>
      </c>
      <c r="Y734" s="17">
        <f>IF($T734=1,$AU734,VLOOKUP(U734,'Cortes naturales'!$A$45:$C$49,3,9))</f>
        <v>4</v>
      </c>
      <c r="Z734" s="14">
        <v>49.945209668671865</v>
      </c>
      <c r="AA734" s="14">
        <v>0.48051482699908021</v>
      </c>
      <c r="AB734" s="14">
        <v>23.999413783374649</v>
      </c>
      <c r="AC734" s="13">
        <v>4</v>
      </c>
      <c r="AD734" s="13">
        <f t="shared" si="301"/>
        <v>0</v>
      </c>
      <c r="AE734" s="14">
        <f t="shared" si="302"/>
        <v>-3.1765759440594223</v>
      </c>
      <c r="AF734" s="14">
        <f t="shared" si="303"/>
        <v>-5.5513026972155988E-3</v>
      </c>
      <c r="AG734" s="13">
        <f t="shared" si="304"/>
        <v>-1.7860186827496811</v>
      </c>
      <c r="AH734" s="13">
        <f>IF($T734=1,$AU734,VLOOKUP(U734,'Cortes naturales'!$A$25:$C$29,3,9))</f>
        <v>4</v>
      </c>
      <c r="AI734" s="13" t="b">
        <f t="shared" si="305"/>
        <v>1</v>
      </c>
      <c r="AJ734" s="13">
        <f t="shared" si="306"/>
        <v>0</v>
      </c>
      <c r="AK734" s="28">
        <v>0.81759069605862034</v>
      </c>
      <c r="AL734" s="28">
        <v>40.834738737803164</v>
      </c>
      <c r="AM734" s="28">
        <v>0.34017352589609418</v>
      </c>
      <c r="AN734" s="13">
        <v>4</v>
      </c>
      <c r="AO734" s="33">
        <f t="shared" si="307"/>
        <v>0</v>
      </c>
      <c r="AP734" s="13">
        <f t="shared" si="317"/>
        <v>34.017352589609416</v>
      </c>
      <c r="AQ734" s="13">
        <f>IFERROR(VLOOKUP(U734,'Cortes naturales'!$E$15:$G$19,3,9),U734)</f>
        <v>4</v>
      </c>
      <c r="AR734" s="28">
        <f t="shared" si="308"/>
        <v>-0.34262717175675572</v>
      </c>
      <c r="AS734" s="13" t="b">
        <f t="shared" si="309"/>
        <v>1</v>
      </c>
      <c r="AT734" s="13">
        <f t="shared" si="318"/>
        <v>0</v>
      </c>
      <c r="AU734" s="13">
        <v>4</v>
      </c>
      <c r="AV734">
        <f t="shared" si="310"/>
        <v>0</v>
      </c>
      <c r="AW734" s="13">
        <v>0</v>
      </c>
      <c r="AX734" s="13">
        <v>0</v>
      </c>
      <c r="AY734" s="13">
        <v>0</v>
      </c>
      <c r="AZ734" s="13">
        <v>1</v>
      </c>
      <c r="BA734">
        <v>1</v>
      </c>
      <c r="BB734" t="s">
        <v>2840</v>
      </c>
      <c r="BC734">
        <v>6</v>
      </c>
      <c r="BD734" t="s">
        <v>2919</v>
      </c>
      <c r="BE734">
        <v>1</v>
      </c>
      <c r="BF734" s="232" t="s">
        <v>2846</v>
      </c>
      <c r="BG734" s="232" t="s">
        <v>2846</v>
      </c>
      <c r="BH734" s="253">
        <v>59.5</v>
      </c>
      <c r="BI734" s="253">
        <v>29.398295382266888</v>
      </c>
      <c r="BJ734" s="25">
        <v>21.419929642566867</v>
      </c>
      <c r="BK734" t="s">
        <v>379</v>
      </c>
      <c r="BL734">
        <v>0.31415907104543506</v>
      </c>
      <c r="BM734" t="s">
        <v>383</v>
      </c>
      <c r="BN734" s="322">
        <v>24902.805584000002</v>
      </c>
      <c r="BO734" s="322">
        <v>1387.478067</v>
      </c>
      <c r="BP734" s="10">
        <v>9616</v>
      </c>
      <c r="BQ734" s="254">
        <f t="shared" si="311"/>
        <v>2.5897260382695508</v>
      </c>
      <c r="BR734" s="254">
        <f t="shared" si="312"/>
        <v>0.14428848450499168</v>
      </c>
      <c r="BS734" s="25">
        <v>53.467729015850132</v>
      </c>
      <c r="BT734" s="25">
        <v>95.140044370493627</v>
      </c>
      <c r="BU734" s="25">
        <v>24.395407666861239</v>
      </c>
      <c r="BV734" s="25">
        <v>98.780085378970625</v>
      </c>
      <c r="BW734" s="25">
        <v>36.238159675702548</v>
      </c>
      <c r="BX734" s="25">
        <v>67.945816608043913</v>
      </c>
      <c r="BY734" s="25">
        <v>35.414442038181612</v>
      </c>
      <c r="BZ734">
        <v>12</v>
      </c>
      <c r="CA734">
        <v>0</v>
      </c>
      <c r="CB734">
        <v>7</v>
      </c>
      <c r="CC734">
        <v>38297.617825000001</v>
      </c>
      <c r="CD734" s="10">
        <v>2974.7447750000001</v>
      </c>
      <c r="CE734" s="255">
        <v>7.767440754652212E-2</v>
      </c>
      <c r="CF734" t="str">
        <f>IFERROR(VLOOKUP(CE734,'Rangos amb etnico'!$A$2:$C$6,3,9),"N.D.")</f>
        <v>0,1% - 30%</v>
      </c>
      <c r="CG734" s="256">
        <v>8.6546539296688085E-5</v>
      </c>
      <c r="CH734" s="232">
        <v>0</v>
      </c>
      <c r="CI734" s="311">
        <f t="shared" si="319"/>
        <v>0</v>
      </c>
      <c r="CJ734" s="232">
        <f>IFERROR(VLOOKUP(CI734,'Rangos amb etnico'!$A$2:$C$6,3,9),"N.D.")</f>
        <v>0</v>
      </c>
      <c r="CK734" s="311">
        <f t="shared" si="320"/>
        <v>0</v>
      </c>
      <c r="CL734" s="10">
        <v>18121.747535400002</v>
      </c>
      <c r="CM734" s="255">
        <f t="shared" si="321"/>
        <v>0.47318210804146799</v>
      </c>
      <c r="CN734" s="232" t="str">
        <f>IFERROR(VLOOKUP(CM734,'Rangos amb etnico'!$A$2:$C$6,3,9),"N.D.")</f>
        <v>31% - 50%</v>
      </c>
      <c r="CO734" s="311">
        <f t="shared" si="322"/>
        <v>1.1364273755709411E-2</v>
      </c>
      <c r="CP734">
        <v>0.92015352938756934</v>
      </c>
      <c r="CQ734" t="s">
        <v>2864</v>
      </c>
      <c r="CR734">
        <f t="shared" si="313"/>
        <v>1</v>
      </c>
      <c r="CS734" t="str">
        <f t="shared" si="323"/>
        <v>No es Candidato</v>
      </c>
      <c r="CT734">
        <v>0</v>
      </c>
      <c r="CU734">
        <v>0</v>
      </c>
      <c r="CV734" s="25">
        <v>52.956840515136719</v>
      </c>
      <c r="CW734" s="25">
        <v>19.218624114990231</v>
      </c>
      <c r="CX734" s="25">
        <v>70.009002685546875</v>
      </c>
      <c r="CY734" s="25">
        <v>43.972873687744141</v>
      </c>
      <c r="CZ734" s="25">
        <v>32.347732543945313</v>
      </c>
      <c r="DA734" s="25">
        <v>92.132675170898438</v>
      </c>
      <c r="DB734" s="25">
        <v>60.060150146484382</v>
      </c>
      <c r="DC734">
        <v>1809</v>
      </c>
      <c r="DD734" s="253" t="s">
        <v>380</v>
      </c>
    </row>
    <row r="735" spans="1:108" hidden="1">
      <c r="A735" s="13">
        <v>68121</v>
      </c>
      <c r="B735" s="13" t="s">
        <v>1901</v>
      </c>
      <c r="C735" s="13" t="s">
        <v>431</v>
      </c>
      <c r="D735" s="13" t="s">
        <v>432</v>
      </c>
      <c r="E735" s="13" t="s">
        <v>1902</v>
      </c>
      <c r="F735" s="14">
        <v>62.6869333333333</v>
      </c>
      <c r="G735" s="13">
        <v>56.19</v>
      </c>
      <c r="H735" s="13">
        <v>57.67</v>
      </c>
      <c r="I735" s="13">
        <v>54.05</v>
      </c>
      <c r="J735" s="14">
        <v>46.242274514159703</v>
      </c>
      <c r="K735" s="14">
        <v>53.45889421037068</v>
      </c>
      <c r="L735" s="14">
        <v>64.181485501506117</v>
      </c>
      <c r="M735" s="14">
        <v>55.105800000000002</v>
      </c>
      <c r="N735" s="14">
        <f t="shared" si="297"/>
        <v>57.649233333333328</v>
      </c>
      <c r="O735" s="14">
        <f t="shared" si="298"/>
        <v>54.74711355650912</v>
      </c>
      <c r="P735" s="14">
        <f t="shared" si="314"/>
        <v>56.198173444921224</v>
      </c>
      <c r="Q735" s="14">
        <v>58.031518530412399</v>
      </c>
      <c r="R735" s="17">
        <f t="shared" si="299"/>
        <v>41.968481469587601</v>
      </c>
      <c r="S735" s="14">
        <f t="shared" si="315"/>
        <v>0.47771633322628848</v>
      </c>
      <c r="T735" s="13">
        <v>0</v>
      </c>
      <c r="U735" s="13">
        <f t="shared" si="316"/>
        <v>26.846785352122744</v>
      </c>
      <c r="V735" s="13">
        <f>IF($T735=1,$AU735,(VLOOKUP(U735,'Cortes naturales'!$A$35:$C$39,3,9)))</f>
        <v>4</v>
      </c>
      <c r="W735" s="13">
        <v>4</v>
      </c>
      <c r="X735" s="14" t="b">
        <f t="shared" si="300"/>
        <v>1</v>
      </c>
      <c r="Y735" s="17">
        <f>IF($T735=1,$AU735,VLOOKUP(U735,'Cortes naturales'!$A$45:$C$49,3,9))</f>
        <v>4</v>
      </c>
      <c r="Z735" s="14">
        <v>57.603693978445946</v>
      </c>
      <c r="AA735" s="14">
        <v>0.48259638267689786</v>
      </c>
      <c r="AB735" s="14">
        <v>27.799334342825016</v>
      </c>
      <c r="AC735" s="13">
        <v>3</v>
      </c>
      <c r="AD735" s="13">
        <f t="shared" si="301"/>
        <v>-1</v>
      </c>
      <c r="AE735" s="14">
        <f t="shared" si="302"/>
        <v>-1.4055205335247223</v>
      </c>
      <c r="AF735" s="14">
        <f t="shared" si="303"/>
        <v>-4.8800494506093806E-3</v>
      </c>
      <c r="AG735" s="13">
        <f t="shared" si="304"/>
        <v>-0.95254899070227239</v>
      </c>
      <c r="AH735" s="13">
        <f>IF($T735=1,$AU735,VLOOKUP(U735,'Cortes naturales'!$A$25:$C$29,3,9))</f>
        <v>4</v>
      </c>
      <c r="AI735" s="13" t="b">
        <f t="shared" si="305"/>
        <v>1</v>
      </c>
      <c r="AJ735" s="13" t="str">
        <f t="shared" si="306"/>
        <v>Efecto ponderador</v>
      </c>
      <c r="AK735" s="28">
        <v>0.81759069605862034</v>
      </c>
      <c r="AL735" s="28">
        <v>47.096244255385379</v>
      </c>
      <c r="AM735" s="28">
        <v>0.41849835967209881</v>
      </c>
      <c r="AN735" s="13">
        <v>3</v>
      </c>
      <c r="AO735" s="33">
        <f t="shared" si="307"/>
        <v>-1</v>
      </c>
      <c r="AP735" s="13">
        <f t="shared" si="317"/>
        <v>41.849835967209884</v>
      </c>
      <c r="AQ735" s="13">
        <f>IFERROR(VLOOKUP(U735,'Cortes naturales'!$E$15:$G$19,3,9),U735)</f>
        <v>4</v>
      </c>
      <c r="AR735" s="28">
        <f t="shared" si="308"/>
        <v>-0.33987436283233186</v>
      </c>
      <c r="AS735" s="13" t="b">
        <f t="shared" si="309"/>
        <v>1</v>
      </c>
      <c r="AT735" s="13" t="str">
        <f t="shared" si="318"/>
        <v>Efecto ponderador</v>
      </c>
      <c r="AU735" s="13">
        <v>3</v>
      </c>
      <c r="AV735">
        <f t="shared" si="310"/>
        <v>-1</v>
      </c>
      <c r="AW735" s="13">
        <v>0</v>
      </c>
      <c r="AX735" s="13">
        <v>0</v>
      </c>
      <c r="AY735" s="13">
        <v>0</v>
      </c>
      <c r="AZ735" s="13">
        <v>0</v>
      </c>
      <c r="BA735">
        <v>0</v>
      </c>
      <c r="BB735" t="s">
        <v>2841</v>
      </c>
      <c r="BC735">
        <v>6</v>
      </c>
      <c r="BD735" t="s">
        <v>2919</v>
      </c>
      <c r="BE735">
        <v>0</v>
      </c>
      <c r="BF735" s="232" t="s">
        <v>2846</v>
      </c>
      <c r="BG735" s="232" t="s">
        <v>2845</v>
      </c>
      <c r="BH735" s="253">
        <v>34</v>
      </c>
      <c r="BI735" s="253">
        <v>12.834890965732088</v>
      </c>
      <c r="BJ735" s="25">
        <v>13.089999999999998</v>
      </c>
      <c r="BK735" t="s">
        <v>377</v>
      </c>
      <c r="BL735">
        <v>0</v>
      </c>
      <c r="BM735" t="s">
        <v>377</v>
      </c>
      <c r="BN735" s="322">
        <v>9585.3697560000001</v>
      </c>
      <c r="BO735" s="322">
        <v>568.71345199999996</v>
      </c>
      <c r="BP735" s="10">
        <v>2117</v>
      </c>
      <c r="BQ735" s="254">
        <f t="shared" si="311"/>
        <v>4.5278081039206421</v>
      </c>
      <c r="BR735" s="254">
        <f t="shared" si="312"/>
        <v>0.26864121492678317</v>
      </c>
      <c r="BS735" s="25">
        <v>55.822310870256082</v>
      </c>
      <c r="BT735" s="25">
        <v>91.37143756888679</v>
      </c>
      <c r="BU735" s="25">
        <v>46.396824146981601</v>
      </c>
      <c r="BV735" s="25">
        <v>88.136801750471292</v>
      </c>
      <c r="BW735" s="25">
        <v>60.268402946742647</v>
      </c>
      <c r="BX735" s="25">
        <v>70.431843584148936</v>
      </c>
      <c r="BY735" s="25">
        <v>60.170744382848568</v>
      </c>
      <c r="BZ735">
        <v>4</v>
      </c>
      <c r="CA735">
        <v>0</v>
      </c>
      <c r="CB735">
        <v>7</v>
      </c>
      <c r="CC735">
        <v>6545.7118529999998</v>
      </c>
      <c r="CD735" s="10">
        <v>793.22449400000005</v>
      </c>
      <c r="CE735" s="255">
        <v>0.1211823116895152</v>
      </c>
      <c r="CF735" t="str">
        <f>IFERROR(VLOOKUP(CE735,'Rangos amb etnico'!$A$2:$C$6,3,9),"N.D.")</f>
        <v>0,1% - 30%</v>
      </c>
      <c r="CG735" s="256">
        <v>2.3077890721252387E-5</v>
      </c>
      <c r="CH735" s="232">
        <v>0</v>
      </c>
      <c r="CI735" s="311">
        <f t="shared" si="319"/>
        <v>0</v>
      </c>
      <c r="CJ735" s="232">
        <f>IFERROR(VLOOKUP(CI735,'Rangos amb etnico'!$A$2:$C$6,3,9),"N.D.")</f>
        <v>0</v>
      </c>
      <c r="CK735" s="311">
        <f t="shared" si="320"/>
        <v>0</v>
      </c>
      <c r="CL735" s="10">
        <v>0</v>
      </c>
      <c r="CM735" s="255">
        <f t="shared" si="321"/>
        <v>0</v>
      </c>
      <c r="CN735" s="232">
        <f>IFERROR(VLOOKUP(CM735,'Rangos amb etnico'!$A$2:$C$6,3,9),"N.D.")</f>
        <v>0</v>
      </c>
      <c r="CO735" s="311">
        <f t="shared" si="322"/>
        <v>0</v>
      </c>
      <c r="CP735">
        <v>0.92914888869568457</v>
      </c>
      <c r="CQ735" t="s">
        <v>2864</v>
      </c>
      <c r="CR735">
        <f t="shared" si="313"/>
        <v>2</v>
      </c>
      <c r="CS735" t="str">
        <f t="shared" si="323"/>
        <v>No es Candidato</v>
      </c>
      <c r="CT735">
        <v>0</v>
      </c>
      <c r="CU735">
        <v>0</v>
      </c>
      <c r="CV735" s="25">
        <v>53.198596954345703</v>
      </c>
      <c r="CW735" s="25">
        <v>20.01047515869141</v>
      </c>
      <c r="CX735" s="25">
        <v>62.627754211425781</v>
      </c>
      <c r="CY735" s="25">
        <v>58.473567962646477</v>
      </c>
      <c r="CZ735" s="25">
        <v>41.35052490234375</v>
      </c>
      <c r="DA735" s="25">
        <v>88.784706115722656</v>
      </c>
      <c r="DB735" s="25">
        <v>47.944549560546882</v>
      </c>
      <c r="DC735">
        <v>23</v>
      </c>
      <c r="DD735" s="253" t="s">
        <v>380</v>
      </c>
    </row>
    <row r="736" spans="1:108" hidden="1">
      <c r="A736" s="13">
        <v>15763</v>
      </c>
      <c r="B736" s="13" t="s">
        <v>1903</v>
      </c>
      <c r="C736" s="13" t="s">
        <v>498</v>
      </c>
      <c r="D736" s="13" t="s">
        <v>499</v>
      </c>
      <c r="E736" s="13" t="s">
        <v>1904</v>
      </c>
      <c r="F736" s="14">
        <v>94.142366666666703</v>
      </c>
      <c r="G736" s="13">
        <v>84.3</v>
      </c>
      <c r="H736" s="13">
        <v>73.150000000000006</v>
      </c>
      <c r="I736" s="13">
        <v>87.28</v>
      </c>
      <c r="J736" s="14">
        <v>45.284036032693081</v>
      </c>
      <c r="K736" s="14">
        <v>70.660750574101073</v>
      </c>
      <c r="L736" s="14">
        <v>63.169690273382699</v>
      </c>
      <c r="M736" s="14">
        <v>64.642600000000002</v>
      </c>
      <c r="N736" s="14">
        <f t="shared" si="297"/>
        <v>84.71809166666668</v>
      </c>
      <c r="O736" s="14">
        <f t="shared" si="298"/>
        <v>60.93926922004421</v>
      </c>
      <c r="P736" s="14">
        <f t="shared" si="314"/>
        <v>72.828680443355438</v>
      </c>
      <c r="Q736" s="14">
        <v>59.62831488340219</v>
      </c>
      <c r="R736" s="17">
        <f t="shared" si="299"/>
        <v>40.37168511659781</v>
      </c>
      <c r="S736" s="14">
        <f t="shared" si="315"/>
        <v>0.46334516604938036</v>
      </c>
      <c r="T736" s="13">
        <v>0</v>
      </c>
      <c r="U736" s="13">
        <f t="shared" si="316"/>
        <v>33.744817033183786</v>
      </c>
      <c r="V736" s="13">
        <f>IF($T736=1,$AU736,(VLOOKUP(U736,'Cortes naturales'!$A$35:$C$39,3,9)))</f>
        <v>3</v>
      </c>
      <c r="W736" s="13">
        <v>3</v>
      </c>
      <c r="X736" s="14" t="b">
        <f t="shared" si="300"/>
        <v>1</v>
      </c>
      <c r="Y736" s="17">
        <f>IF($T736=1,$AU736,VLOOKUP(U736,'Cortes naturales'!$A$45:$C$49,3,9))</f>
        <v>3</v>
      </c>
      <c r="Z736" s="14">
        <v>72.873803342895329</v>
      </c>
      <c r="AA736" s="14">
        <v>0.47924244648255654</v>
      </c>
      <c r="AB736" s="14">
        <v>34.924219798537862</v>
      </c>
      <c r="AC736" s="13">
        <v>3</v>
      </c>
      <c r="AD736" s="13">
        <f t="shared" si="301"/>
        <v>0</v>
      </c>
      <c r="AE736" s="14">
        <f t="shared" si="302"/>
        <v>-4.5122899539890682E-2</v>
      </c>
      <c r="AF736" s="14">
        <f t="shared" si="303"/>
        <v>-1.5897280433176175E-2</v>
      </c>
      <c r="AG736" s="13">
        <f t="shared" si="304"/>
        <v>-1.1794027653540766</v>
      </c>
      <c r="AH736" s="13">
        <f>IF($T736=1,$AU736,VLOOKUP(U736,'Cortes naturales'!$A$25:$C$29,3,9))</f>
        <v>3</v>
      </c>
      <c r="AI736" s="13" t="b">
        <f t="shared" si="305"/>
        <v>1</v>
      </c>
      <c r="AJ736" s="13">
        <f t="shared" si="306"/>
        <v>0</v>
      </c>
      <c r="AK736" s="28">
        <v>0.81759069605862034</v>
      </c>
      <c r="AL736" s="28">
        <v>59.580943599556804</v>
      </c>
      <c r="AM736" s="28">
        <v>0.57466878835411461</v>
      </c>
      <c r="AN736" s="13">
        <v>2</v>
      </c>
      <c r="AO736" s="33">
        <f t="shared" si="307"/>
        <v>-1</v>
      </c>
      <c r="AP736" s="13">
        <f t="shared" si="317"/>
        <v>57.466878835411464</v>
      </c>
      <c r="AQ736" s="13">
        <f>IFERROR(VLOOKUP(U736,'Cortes naturales'!$E$15:$G$19,3,9),U736)</f>
        <v>4</v>
      </c>
      <c r="AR736" s="28">
        <f t="shared" si="308"/>
        <v>-0.35424553000923997</v>
      </c>
      <c r="AS736" s="13" t="b">
        <f t="shared" si="309"/>
        <v>0</v>
      </c>
      <c r="AT736" s="13" t="str">
        <f t="shared" si="318"/>
        <v>Cambio en corte</v>
      </c>
      <c r="AU736" s="13">
        <v>2</v>
      </c>
      <c r="AV736">
        <f t="shared" si="310"/>
        <v>-1</v>
      </c>
      <c r="AW736" s="13">
        <v>0</v>
      </c>
      <c r="AX736" s="13">
        <v>0</v>
      </c>
      <c r="AY736" s="13">
        <v>0</v>
      </c>
      <c r="AZ736" s="13">
        <v>0</v>
      </c>
      <c r="BA736">
        <v>0</v>
      </c>
      <c r="BB736" t="s">
        <v>2841</v>
      </c>
      <c r="BC736">
        <v>6</v>
      </c>
      <c r="BD736" t="s">
        <v>2919</v>
      </c>
      <c r="BE736">
        <v>0</v>
      </c>
      <c r="BF736" s="232" t="s">
        <v>2846</v>
      </c>
      <c r="BG736" s="232" t="s">
        <v>2846</v>
      </c>
      <c r="BH736" s="253">
        <v>35.4</v>
      </c>
      <c r="BI736" s="253">
        <v>18.35785238274865</v>
      </c>
      <c r="BJ736" s="25">
        <v>17.607534372274674</v>
      </c>
      <c r="BK736" t="s">
        <v>379</v>
      </c>
      <c r="BL736">
        <v>0</v>
      </c>
      <c r="BM736" t="s">
        <v>377</v>
      </c>
      <c r="BN736" s="322">
        <v>23123.549384000002</v>
      </c>
      <c r="BO736" s="322">
        <v>4520.3857980000002</v>
      </c>
      <c r="BP736" s="10">
        <v>8132</v>
      </c>
      <c r="BQ736" s="254">
        <f t="shared" si="311"/>
        <v>2.843525502213478</v>
      </c>
      <c r="BR736" s="254">
        <f t="shared" si="312"/>
        <v>0.5558762663551402</v>
      </c>
      <c r="BS736" s="25">
        <v>60.785327689830552</v>
      </c>
      <c r="BT736" s="25">
        <v>83.439234094113786</v>
      </c>
      <c r="BU736" s="25">
        <v>51.25650306748463</v>
      </c>
      <c r="BV736" s="25">
        <v>92.795264905653724</v>
      </c>
      <c r="BW736" s="25">
        <v>57.990147398043277</v>
      </c>
      <c r="BX736" s="25">
        <v>72.069082439270673</v>
      </c>
      <c r="BY736" s="25">
        <v>59.851929372409167</v>
      </c>
      <c r="BZ736">
        <v>21</v>
      </c>
      <c r="CA736">
        <v>0</v>
      </c>
      <c r="CB736">
        <v>7</v>
      </c>
      <c r="CC736">
        <v>29155.711317000001</v>
      </c>
      <c r="CD736" s="10">
        <v>11432.900023</v>
      </c>
      <c r="CE736" s="255">
        <v>0.39213243328876524</v>
      </c>
      <c r="CF736" t="str">
        <f>IFERROR(VLOOKUP(CE736,'Rangos amb etnico'!$A$2:$C$6,3,9),"N.D.")</f>
        <v>31% - 50%</v>
      </c>
      <c r="CG736" s="256">
        <v>3.3262615987473263E-4</v>
      </c>
      <c r="CH736" s="232">
        <v>0</v>
      </c>
      <c r="CI736" s="311">
        <f t="shared" si="319"/>
        <v>0</v>
      </c>
      <c r="CJ736" s="232">
        <f>IFERROR(VLOOKUP(CI736,'Rangos amb etnico'!$A$2:$C$6,3,9),"N.D.")</f>
        <v>0</v>
      </c>
      <c r="CK736" s="311">
        <f t="shared" si="320"/>
        <v>0</v>
      </c>
      <c r="CL736" s="10">
        <v>0</v>
      </c>
      <c r="CM736" s="255">
        <f t="shared" si="321"/>
        <v>0</v>
      </c>
      <c r="CN736" s="232">
        <f>IFERROR(VLOOKUP(CM736,'Rangos amb etnico'!$A$2:$C$6,3,9),"N.D.")</f>
        <v>0</v>
      </c>
      <c r="CO736" s="311">
        <f t="shared" si="322"/>
        <v>0</v>
      </c>
      <c r="CP736">
        <v>0.9066186729782848</v>
      </c>
      <c r="CQ736" t="s">
        <v>2864</v>
      </c>
      <c r="CR736">
        <f t="shared" si="313"/>
        <v>3</v>
      </c>
      <c r="CS736" t="str">
        <f t="shared" si="323"/>
        <v>Candidato</v>
      </c>
      <c r="CT736">
        <v>0</v>
      </c>
      <c r="CU736">
        <v>0</v>
      </c>
      <c r="CV736" s="25">
        <v>45.892238616943359</v>
      </c>
      <c r="CW736" s="25">
        <v>18.54549407958984</v>
      </c>
      <c r="CX736" s="25">
        <v>48.847003936767578</v>
      </c>
      <c r="CY736" s="25">
        <v>65.383781433105469</v>
      </c>
      <c r="CZ736" s="25">
        <v>46.384124755859382</v>
      </c>
      <c r="DA736" s="25">
        <v>40.705783843994141</v>
      </c>
      <c r="DB736" s="25">
        <v>55.487239837646477</v>
      </c>
      <c r="DC736">
        <v>34</v>
      </c>
      <c r="DD736" s="253" t="s">
        <v>380</v>
      </c>
    </row>
    <row r="737" spans="1:108" hidden="1">
      <c r="A737" s="13">
        <v>25168</v>
      </c>
      <c r="B737" s="13" t="s">
        <v>1905</v>
      </c>
      <c r="C737" s="13" t="s">
        <v>461</v>
      </c>
      <c r="D737" s="13" t="s">
        <v>462</v>
      </c>
      <c r="E737" s="13" t="s">
        <v>1906</v>
      </c>
      <c r="F737" s="14">
        <v>69.486033333333296</v>
      </c>
      <c r="G737" s="13">
        <v>69.17</v>
      </c>
      <c r="H737" s="13">
        <v>71.5</v>
      </c>
      <c r="I737" s="13">
        <v>66.75</v>
      </c>
      <c r="J737" s="14">
        <v>52.611358863282121</v>
      </c>
      <c r="K737" s="14">
        <v>64.549467313742426</v>
      </c>
      <c r="L737" s="14">
        <v>44.506194002502134</v>
      </c>
      <c r="M737" s="14">
        <v>56.015500000000003</v>
      </c>
      <c r="N737" s="14">
        <f t="shared" si="297"/>
        <v>69.226508333333328</v>
      </c>
      <c r="O737" s="14">
        <f t="shared" si="298"/>
        <v>54.420630044881669</v>
      </c>
      <c r="P737" s="14">
        <f t="shared" si="314"/>
        <v>61.823569189107502</v>
      </c>
      <c r="Q737" s="14">
        <v>59.631977045768622</v>
      </c>
      <c r="R737" s="17">
        <f t="shared" si="299"/>
        <v>40.368022954231378</v>
      </c>
      <c r="S737" s="14">
        <f t="shared" si="315"/>
        <v>0.46331220658808248</v>
      </c>
      <c r="T737" s="13">
        <v>0</v>
      </c>
      <c r="U737" s="13">
        <f t="shared" si="316"/>
        <v>28.643614260156387</v>
      </c>
      <c r="V737" s="13">
        <f>IF($T737=1,$AU737,(VLOOKUP(U737,'Cortes naturales'!$A$35:$C$39,3,9)))</f>
        <v>4</v>
      </c>
      <c r="W737" s="13">
        <v>4</v>
      </c>
      <c r="X737" s="14" t="b">
        <f t="shared" si="300"/>
        <v>1</v>
      </c>
      <c r="Y737" s="17">
        <f>IF($T737=1,$AU737,VLOOKUP(U737,'Cortes naturales'!$A$45:$C$49,3,9))</f>
        <v>3</v>
      </c>
      <c r="Z737" s="14">
        <v>63.8344222974969</v>
      </c>
      <c r="AA737" s="14">
        <v>0.47722499384305184</v>
      </c>
      <c r="AB737" s="14">
        <v>30.463381787897728</v>
      </c>
      <c r="AC737" s="13">
        <v>3</v>
      </c>
      <c r="AD737" s="13">
        <f t="shared" si="301"/>
        <v>0</v>
      </c>
      <c r="AE737" s="14">
        <f t="shared" si="302"/>
        <v>-2.0108531083893979</v>
      </c>
      <c r="AF737" s="14">
        <f t="shared" si="303"/>
        <v>-1.3912787254969361E-2</v>
      </c>
      <c r="AG737" s="13">
        <f t="shared" si="304"/>
        <v>-1.819767527741341</v>
      </c>
      <c r="AH737" s="13">
        <f>IF($T737=1,$AU737,VLOOKUP(U737,'Cortes naturales'!$A$25:$C$29,3,9))</f>
        <v>3</v>
      </c>
      <c r="AI737" s="13" t="b">
        <f t="shared" si="305"/>
        <v>1</v>
      </c>
      <c r="AJ737" s="13">
        <f t="shared" si="306"/>
        <v>0</v>
      </c>
      <c r="AK737" s="28">
        <v>0.81759069605862034</v>
      </c>
      <c r="AL737" s="28">
        <v>52.190429758710408</v>
      </c>
      <c r="AM737" s="28">
        <v>0.48222125054102422</v>
      </c>
      <c r="AN737" s="13">
        <v>2</v>
      </c>
      <c r="AO737" s="33">
        <f t="shared" si="307"/>
        <v>-1</v>
      </c>
      <c r="AP737" s="13">
        <f t="shared" si="317"/>
        <v>48.22212505410242</v>
      </c>
      <c r="AQ737" s="13">
        <f>IFERROR(VLOOKUP(U737,'Cortes naturales'!$E$15:$G$19,3,9),U737)</f>
        <v>4</v>
      </c>
      <c r="AR737" s="28">
        <f t="shared" si="308"/>
        <v>-0.35427848947053786</v>
      </c>
      <c r="AS737" s="13" t="b">
        <f t="shared" si="309"/>
        <v>0</v>
      </c>
      <c r="AT737" s="13" t="str">
        <f t="shared" si="318"/>
        <v>Cambio en corte</v>
      </c>
      <c r="AU737" s="13">
        <v>3</v>
      </c>
      <c r="AV737">
        <f t="shared" si="310"/>
        <v>0</v>
      </c>
      <c r="AW737" s="13">
        <v>0</v>
      </c>
      <c r="AX737" s="13">
        <v>0</v>
      </c>
      <c r="AY737" s="13">
        <v>0</v>
      </c>
      <c r="AZ737" s="13">
        <v>0</v>
      </c>
      <c r="BA737">
        <v>1</v>
      </c>
      <c r="BB737" t="s">
        <v>2840</v>
      </c>
      <c r="BC737">
        <v>6</v>
      </c>
      <c r="BD737" t="s">
        <v>2919</v>
      </c>
      <c r="BE737">
        <v>0</v>
      </c>
      <c r="BF737" s="232" t="s">
        <v>2846</v>
      </c>
      <c r="BG737" s="232" t="s">
        <v>2846</v>
      </c>
      <c r="BH737" s="253">
        <v>58.7</v>
      </c>
      <c r="BI737" s="253">
        <v>14.775804995486007</v>
      </c>
      <c r="BJ737" s="25">
        <v>19.438333333333336</v>
      </c>
      <c r="BK737" t="s">
        <v>379</v>
      </c>
      <c r="BL737">
        <v>0.11516444532658346</v>
      </c>
      <c r="BM737" t="s">
        <v>377</v>
      </c>
      <c r="BN737" s="322">
        <v>14096.043607</v>
      </c>
      <c r="BO737" s="322">
        <v>1551.7995780000001</v>
      </c>
      <c r="BP737" s="10">
        <v>4366</v>
      </c>
      <c r="BQ737" s="254">
        <f t="shared" si="311"/>
        <v>3.228594504580852</v>
      </c>
      <c r="BR737" s="254">
        <f t="shared" si="312"/>
        <v>0.3554282130096198</v>
      </c>
      <c r="BS737" s="25">
        <v>47.091299001495678</v>
      </c>
      <c r="BT737" s="25">
        <v>80.343166292563751</v>
      </c>
      <c r="BU737" s="25">
        <v>35.253729372937258</v>
      </c>
      <c r="BV737" s="25">
        <v>94.088862267339508</v>
      </c>
      <c r="BW737" s="25">
        <v>65.145690532772065</v>
      </c>
      <c r="BX737" s="25">
        <v>64.19426423358405</v>
      </c>
      <c r="BY737" s="25">
        <v>65.663174260051647</v>
      </c>
      <c r="BZ737">
        <v>52</v>
      </c>
      <c r="CA737">
        <v>0</v>
      </c>
      <c r="CB737">
        <v>7</v>
      </c>
      <c r="CC737">
        <v>17187.468249000001</v>
      </c>
      <c r="CD737" s="10">
        <v>6383.8253000000004</v>
      </c>
      <c r="CE737" s="255">
        <v>0.37142324905073926</v>
      </c>
      <c r="CF737" t="str">
        <f>IFERROR(VLOOKUP(CE737,'Rangos amb etnico'!$A$2:$C$6,3,9),"N.D.")</f>
        <v>31% - 50%</v>
      </c>
      <c r="CG737" s="256">
        <v>1.8572954286124986E-4</v>
      </c>
      <c r="CH737" s="232">
        <v>0</v>
      </c>
      <c r="CI737" s="311">
        <f t="shared" si="319"/>
        <v>0</v>
      </c>
      <c r="CJ737" s="232">
        <f>IFERROR(VLOOKUP(CI737,'Rangos amb etnico'!$A$2:$C$6,3,9),"N.D.")</f>
        <v>0</v>
      </c>
      <c r="CK737" s="311">
        <f t="shared" si="320"/>
        <v>0</v>
      </c>
      <c r="CL737" s="10">
        <v>0</v>
      </c>
      <c r="CM737" s="255">
        <f t="shared" si="321"/>
        <v>0</v>
      </c>
      <c r="CN737" s="232">
        <f>IFERROR(VLOOKUP(CM737,'Rangos amb etnico'!$A$2:$C$6,3,9),"N.D.")</f>
        <v>0</v>
      </c>
      <c r="CO737" s="311">
        <f t="shared" si="322"/>
        <v>0</v>
      </c>
      <c r="CP737">
        <v>0.83990125003349037</v>
      </c>
      <c r="CQ737" t="s">
        <v>2865</v>
      </c>
      <c r="CR737">
        <f t="shared" si="313"/>
        <v>3</v>
      </c>
      <c r="CS737" t="str">
        <f t="shared" si="323"/>
        <v>Candidato</v>
      </c>
      <c r="CT737">
        <v>0</v>
      </c>
      <c r="CU737">
        <v>0</v>
      </c>
      <c r="CV737" s="25">
        <v>44.417503356933587</v>
      </c>
      <c r="CW737" s="25">
        <v>20.186971664428711</v>
      </c>
      <c r="CX737" s="25">
        <v>56.098785400390618</v>
      </c>
      <c r="CY737" s="25">
        <v>54.877754211425781</v>
      </c>
      <c r="CZ737" s="25">
        <v>31.71418380737305</v>
      </c>
      <c r="DA737" s="25">
        <v>58.6834716796875</v>
      </c>
      <c r="DB737" s="25">
        <v>44.943859100341797</v>
      </c>
      <c r="DC737">
        <v>34</v>
      </c>
      <c r="DD737" s="253" t="s">
        <v>380</v>
      </c>
    </row>
    <row r="738" spans="1:108" hidden="1">
      <c r="A738" s="13">
        <v>15531</v>
      </c>
      <c r="B738" s="13" t="s">
        <v>1907</v>
      </c>
      <c r="C738" s="13" t="s">
        <v>498</v>
      </c>
      <c r="D738" s="13" t="s">
        <v>499</v>
      </c>
      <c r="E738" s="13" t="s">
        <v>1908</v>
      </c>
      <c r="F738" s="14">
        <v>74.137266666666704</v>
      </c>
      <c r="G738" s="13">
        <v>73.900000000000006</v>
      </c>
      <c r="H738" s="13">
        <v>52.1</v>
      </c>
      <c r="I738" s="13">
        <v>54.16</v>
      </c>
      <c r="J738" s="14">
        <v>42.020142336787877</v>
      </c>
      <c r="K738" s="14">
        <v>47.167018430292273</v>
      </c>
      <c r="L738" s="14">
        <v>52.081172489240217</v>
      </c>
      <c r="M738" s="14">
        <v>51.303199999999997</v>
      </c>
      <c r="N738" s="14">
        <f t="shared" si="297"/>
        <v>63.574316666666675</v>
      </c>
      <c r="O738" s="14">
        <f t="shared" si="298"/>
        <v>48.142883314080095</v>
      </c>
      <c r="P738" s="14">
        <f t="shared" si="314"/>
        <v>55.858599990373385</v>
      </c>
      <c r="Q738" s="14">
        <v>59.361906198339362</v>
      </c>
      <c r="R738" s="17">
        <f t="shared" si="299"/>
        <v>40.638093801660638</v>
      </c>
      <c r="S738" s="14">
        <f t="shared" si="315"/>
        <v>0.46574284421494572</v>
      </c>
      <c r="T738" s="13">
        <v>0</v>
      </c>
      <c r="U738" s="13">
        <f t="shared" si="316"/>
        <v>26.015743233381439</v>
      </c>
      <c r="V738" s="13">
        <f>IF($T738=1,$AU738,(VLOOKUP(U738,'Cortes naturales'!$A$35:$C$39,3,9)))</f>
        <v>4</v>
      </c>
      <c r="W738" s="13">
        <v>4</v>
      </c>
      <c r="X738" s="14" t="b">
        <f t="shared" si="300"/>
        <v>1</v>
      </c>
      <c r="Y738" s="17">
        <f>IF($T738=1,$AU738,VLOOKUP(U738,'Cortes naturales'!$A$45:$C$49,3,9))</f>
        <v>4</v>
      </c>
      <c r="Z738" s="14">
        <v>58.513470919706101</v>
      </c>
      <c r="AA738" s="14">
        <v>0.47643948512073864</v>
      </c>
      <c r="AB738" s="14">
        <v>27.878127957612087</v>
      </c>
      <c r="AC738" s="13">
        <v>3</v>
      </c>
      <c r="AD738" s="13">
        <f t="shared" si="301"/>
        <v>-1</v>
      </c>
      <c r="AE738" s="14">
        <f t="shared" si="302"/>
        <v>-2.6548709293327164</v>
      </c>
      <c r="AF738" s="14">
        <f t="shared" si="303"/>
        <v>-1.069664090579292E-2</v>
      </c>
      <c r="AG738" s="13">
        <f t="shared" si="304"/>
        <v>-1.8623847242306475</v>
      </c>
      <c r="AH738" s="13">
        <f>IF($T738=1,$AU738,VLOOKUP(U738,'Cortes naturales'!$A$25:$C$29,3,9))</f>
        <v>4</v>
      </c>
      <c r="AI738" s="13" t="b">
        <f t="shared" si="305"/>
        <v>1</v>
      </c>
      <c r="AJ738" s="13" t="str">
        <f t="shared" si="306"/>
        <v>Efecto ponderador</v>
      </c>
      <c r="AK738" s="28">
        <v>0.81759069605862034</v>
      </c>
      <c r="AL738" s="28">
        <v>47.840069418048351</v>
      </c>
      <c r="AM738" s="28">
        <v>0.42780282839138589</v>
      </c>
      <c r="AN738" s="13">
        <v>3</v>
      </c>
      <c r="AO738" s="33">
        <f t="shared" si="307"/>
        <v>-1</v>
      </c>
      <c r="AP738" s="13">
        <f t="shared" si="317"/>
        <v>42.780282839138586</v>
      </c>
      <c r="AQ738" s="13">
        <f>IFERROR(VLOOKUP(U738,'Cortes naturales'!$E$15:$G$19,3,9),U738)</f>
        <v>4</v>
      </c>
      <c r="AR738" s="28">
        <f t="shared" si="308"/>
        <v>-0.35184785184367462</v>
      </c>
      <c r="AS738" s="13" t="b">
        <f t="shared" si="309"/>
        <v>1</v>
      </c>
      <c r="AT738" s="13" t="str">
        <f t="shared" si="318"/>
        <v>Efecto ponderador</v>
      </c>
      <c r="AU738" s="13">
        <v>3</v>
      </c>
      <c r="AV738">
        <f t="shared" si="310"/>
        <v>-1</v>
      </c>
      <c r="AW738" s="13">
        <v>0</v>
      </c>
      <c r="AX738" s="13">
        <v>0</v>
      </c>
      <c r="AY738" s="13">
        <v>0</v>
      </c>
      <c r="AZ738" s="13">
        <v>0</v>
      </c>
      <c r="BA738">
        <v>0</v>
      </c>
      <c r="BB738" t="s">
        <v>2840</v>
      </c>
      <c r="BC738">
        <v>6</v>
      </c>
      <c r="BD738" t="s">
        <v>2919</v>
      </c>
      <c r="BE738">
        <v>0</v>
      </c>
      <c r="BF738" s="232" t="s">
        <v>2846</v>
      </c>
      <c r="BG738" s="232" t="s">
        <v>2845</v>
      </c>
      <c r="BH738" s="253">
        <v>47.4</v>
      </c>
      <c r="BI738" s="253">
        <v>25.948072383949647</v>
      </c>
      <c r="BJ738" s="25">
        <v>41.566009309033696</v>
      </c>
      <c r="BK738" t="s">
        <v>376</v>
      </c>
      <c r="BL738">
        <v>2.328908349279343</v>
      </c>
      <c r="BM738" t="s">
        <v>383</v>
      </c>
      <c r="BN738" s="322">
        <v>25107.919558000001</v>
      </c>
      <c r="BO738" s="322">
        <v>1409.581355</v>
      </c>
      <c r="BP738" s="10">
        <v>7346</v>
      </c>
      <c r="BQ738" s="254">
        <f t="shared" si="311"/>
        <v>3.4179035608494419</v>
      </c>
      <c r="BR738" s="254">
        <f t="shared" si="312"/>
        <v>0.19188420296760142</v>
      </c>
      <c r="BS738" s="25">
        <v>65.326393775901167</v>
      </c>
      <c r="BT738" s="25">
        <v>88.309923579272166</v>
      </c>
      <c r="BU738" s="25">
        <v>27.878095987036499</v>
      </c>
      <c r="BV738" s="25">
        <v>93.897860275309327</v>
      </c>
      <c r="BW738" s="25">
        <v>51.136186100975017</v>
      </c>
      <c r="BX738" s="25">
        <v>68.853068404379783</v>
      </c>
      <c r="BY738" s="25">
        <v>50.891675478313608</v>
      </c>
      <c r="BZ738">
        <v>86</v>
      </c>
      <c r="CA738">
        <v>0</v>
      </c>
      <c r="CB738">
        <v>7</v>
      </c>
      <c r="CC738">
        <v>25230.162514</v>
      </c>
      <c r="CD738" s="10">
        <v>1522.970057</v>
      </c>
      <c r="CE738" s="255">
        <v>6.0363069645505335E-2</v>
      </c>
      <c r="CF738" t="str">
        <f>IFERROR(VLOOKUP(CE738,'Rangos amb etnico'!$A$2:$C$6,3,9),"N.D.")</f>
        <v>0,1% - 30%</v>
      </c>
      <c r="CG738" s="256">
        <v>4.4308940045395919E-5</v>
      </c>
      <c r="CH738" s="232">
        <v>0</v>
      </c>
      <c r="CI738" s="311">
        <f t="shared" si="319"/>
        <v>0</v>
      </c>
      <c r="CJ738" s="232">
        <f>IFERROR(VLOOKUP(CI738,'Rangos amb etnico'!$A$2:$C$6,3,9),"N.D.")</f>
        <v>0</v>
      </c>
      <c r="CK738" s="311">
        <f t="shared" si="320"/>
        <v>0</v>
      </c>
      <c r="CL738" s="10">
        <v>0</v>
      </c>
      <c r="CM738" s="255">
        <f t="shared" si="321"/>
        <v>0</v>
      </c>
      <c r="CN738" s="232">
        <f>IFERROR(VLOOKUP(CM738,'Rangos amb etnico'!$A$2:$C$6,3,9),"N.D.")</f>
        <v>0</v>
      </c>
      <c r="CO738" s="311">
        <f t="shared" si="322"/>
        <v>0</v>
      </c>
      <c r="CP738">
        <v>0.91488907356441229</v>
      </c>
      <c r="CQ738" t="s">
        <v>2864</v>
      </c>
      <c r="CR738">
        <f t="shared" si="313"/>
        <v>1</v>
      </c>
      <c r="CS738" t="str">
        <f t="shared" si="323"/>
        <v>No es Candidato</v>
      </c>
      <c r="CT738">
        <v>0</v>
      </c>
      <c r="CU738">
        <v>0</v>
      </c>
      <c r="CV738" s="25">
        <v>45.435199737548828</v>
      </c>
      <c r="CW738" s="25">
        <v>14.398838043212891</v>
      </c>
      <c r="CX738" s="25">
        <v>49.050251007080078</v>
      </c>
      <c r="CY738" s="25">
        <v>58.803920745849609</v>
      </c>
      <c r="CZ738" s="25">
        <v>46.026378631591797</v>
      </c>
      <c r="DA738" s="25">
        <v>51.574794769287109</v>
      </c>
      <c r="DB738" s="25">
        <v>52.757015228271477</v>
      </c>
      <c r="DC738">
        <v>38</v>
      </c>
      <c r="DD738" s="253" t="s">
        <v>380</v>
      </c>
    </row>
    <row r="739" spans="1:108" hidden="1">
      <c r="A739" s="13">
        <v>68895</v>
      </c>
      <c r="B739" s="13" t="s">
        <v>1909</v>
      </c>
      <c r="C739" s="13" t="s">
        <v>431</v>
      </c>
      <c r="D739" s="13" t="s">
        <v>432</v>
      </c>
      <c r="E739" s="13" t="s">
        <v>1910</v>
      </c>
      <c r="F739" s="14">
        <v>60.0788333333333</v>
      </c>
      <c r="G739" s="13">
        <v>50.96</v>
      </c>
      <c r="H739" s="13">
        <v>64.19</v>
      </c>
      <c r="I739" s="13">
        <v>71.42</v>
      </c>
      <c r="J739" s="14">
        <v>50.350319050364547</v>
      </c>
      <c r="K739" s="14">
        <v>50.874178460500673</v>
      </c>
      <c r="L739" s="14">
        <v>51.931700100191129</v>
      </c>
      <c r="M739" s="14">
        <v>50.036799999999999</v>
      </c>
      <c r="N739" s="14">
        <f t="shared" si="297"/>
        <v>61.662208333333325</v>
      </c>
      <c r="O739" s="14">
        <f t="shared" si="298"/>
        <v>50.798249402764085</v>
      </c>
      <c r="P739" s="14">
        <f t="shared" si="314"/>
        <v>56.230228868048705</v>
      </c>
      <c r="Q739" s="14">
        <v>58.411727641381553</v>
      </c>
      <c r="R739" s="17">
        <f t="shared" si="299"/>
        <v>41.588272358618447</v>
      </c>
      <c r="S739" s="14">
        <f t="shared" si="315"/>
        <v>0.47429445122756597</v>
      </c>
      <c r="T739" s="13">
        <v>0</v>
      </c>
      <c r="U739" s="13">
        <f t="shared" si="316"/>
        <v>26.6696855433716</v>
      </c>
      <c r="V739" s="13">
        <f>IF($T739=1,$AU739,(VLOOKUP(U739,'Cortes naturales'!$A$35:$C$39,3,9)))</f>
        <v>4</v>
      </c>
      <c r="W739" s="13">
        <v>4</v>
      </c>
      <c r="X739" s="14" t="b">
        <f t="shared" si="300"/>
        <v>1</v>
      </c>
      <c r="Y739" s="17">
        <f>IF($T739=1,$AU739,VLOOKUP(U739,'Cortes naturales'!$A$45:$C$49,3,9))</f>
        <v>4</v>
      </c>
      <c r="Z739" s="14">
        <v>55.00009793367056</v>
      </c>
      <c r="AA739" s="14">
        <v>0.47872888005706016</v>
      </c>
      <c r="AB739" s="14">
        <v>26.330135286814734</v>
      </c>
      <c r="AC739" s="13">
        <v>4</v>
      </c>
      <c r="AD739" s="13">
        <f t="shared" si="301"/>
        <v>0</v>
      </c>
      <c r="AE739" s="14">
        <f t="shared" si="302"/>
        <v>1.2301309343781455</v>
      </c>
      <c r="AF739" s="14">
        <f t="shared" si="303"/>
        <v>-4.4344288294941858E-3</v>
      </c>
      <c r="AG739" s="13">
        <f t="shared" si="304"/>
        <v>0.33955025655686555</v>
      </c>
      <c r="AH739" s="13">
        <f>IF($T739=1,$AU739,VLOOKUP(U739,'Cortes naturales'!$A$25:$C$29,3,9))</f>
        <v>4</v>
      </c>
      <c r="AI739" s="13" t="b">
        <f t="shared" si="305"/>
        <v>1</v>
      </c>
      <c r="AJ739" s="13">
        <f t="shared" si="306"/>
        <v>0</v>
      </c>
      <c r="AK739" s="28">
        <v>0.81759069605862034</v>
      </c>
      <c r="AL739" s="28">
        <v>44.967568352881997</v>
      </c>
      <c r="AM739" s="28">
        <v>0.39187086796768467</v>
      </c>
      <c r="AN739" s="13">
        <v>3</v>
      </c>
      <c r="AO739" s="33">
        <f t="shared" si="307"/>
        <v>-1</v>
      </c>
      <c r="AP739" s="13">
        <f t="shared" si="317"/>
        <v>39.187086796768469</v>
      </c>
      <c r="AQ739" s="13">
        <f>IFERROR(VLOOKUP(U739,'Cortes naturales'!$E$15:$G$19,3,9),U739)</f>
        <v>4</v>
      </c>
      <c r="AR739" s="28">
        <f t="shared" si="308"/>
        <v>-0.34329624483105436</v>
      </c>
      <c r="AS739" s="13" t="b">
        <f t="shared" si="309"/>
        <v>1</v>
      </c>
      <c r="AT739" s="13" t="str">
        <f t="shared" si="318"/>
        <v>Efecto ponderador</v>
      </c>
      <c r="AU739" s="13">
        <v>3</v>
      </c>
      <c r="AV739">
        <f t="shared" si="310"/>
        <v>-1</v>
      </c>
      <c r="AW739" s="13">
        <v>0</v>
      </c>
      <c r="AX739" s="13">
        <v>0</v>
      </c>
      <c r="AY739" s="13">
        <v>0</v>
      </c>
      <c r="AZ739" s="13">
        <v>0</v>
      </c>
      <c r="BA739">
        <v>0</v>
      </c>
      <c r="BB739" t="s">
        <v>2840</v>
      </c>
      <c r="BC739">
        <v>6</v>
      </c>
      <c r="BD739" t="s">
        <v>2919</v>
      </c>
      <c r="BE739">
        <v>0</v>
      </c>
      <c r="BF739" s="232" t="s">
        <v>2846</v>
      </c>
      <c r="BG739" s="232" t="s">
        <v>2846</v>
      </c>
      <c r="BH739" s="253">
        <v>26.9</v>
      </c>
      <c r="BI739" s="253">
        <v>6.6328257191201354</v>
      </c>
      <c r="BJ739" s="25">
        <v>23.470352112676057</v>
      </c>
      <c r="BK739" t="s">
        <v>379</v>
      </c>
      <c r="BL739">
        <v>0</v>
      </c>
      <c r="BM739" t="s">
        <v>377</v>
      </c>
      <c r="BN739" s="322">
        <v>21456.348287000001</v>
      </c>
      <c r="BO739" s="322">
        <v>4096.5078819999999</v>
      </c>
      <c r="BP739" s="10">
        <v>10231</v>
      </c>
      <c r="BQ739" s="254">
        <f t="shared" si="311"/>
        <v>2.0971897455771673</v>
      </c>
      <c r="BR739" s="254">
        <f t="shared" si="312"/>
        <v>0.40040151324406215</v>
      </c>
      <c r="BS739" s="25">
        <v>66.554478131484444</v>
      </c>
      <c r="BT739" s="25">
        <v>87.274122918254974</v>
      </c>
      <c r="BU739" s="25">
        <v>60.843333333333327</v>
      </c>
      <c r="BV739" s="25">
        <v>97.636151559808795</v>
      </c>
      <c r="BW739" s="25">
        <v>34.027562847182388</v>
      </c>
      <c r="BX739" s="25">
        <v>78.07702148572038</v>
      </c>
      <c r="BY739" s="25">
        <v>33.992840555787083</v>
      </c>
      <c r="BZ739">
        <v>95</v>
      </c>
      <c r="CA739">
        <v>0</v>
      </c>
      <c r="CB739">
        <v>7</v>
      </c>
      <c r="CC739">
        <v>36377.435035000002</v>
      </c>
      <c r="CD739" s="10">
        <v>36344.718087000001</v>
      </c>
      <c r="CE739" s="255">
        <v>0.99910062520987186</v>
      </c>
      <c r="CF739" t="str">
        <f>IFERROR(VLOOKUP(CE739,'Rangos amb etnico'!$A$2:$C$6,3,9),"N.D.")</f>
        <v>71% - 100%</v>
      </c>
      <c r="CG739" s="256">
        <v>1.0574048565707946E-3</v>
      </c>
      <c r="CH739" s="232">
        <v>0</v>
      </c>
      <c r="CI739" s="311">
        <f t="shared" si="319"/>
        <v>0</v>
      </c>
      <c r="CJ739" s="232">
        <f>IFERROR(VLOOKUP(CI739,'Rangos amb etnico'!$A$2:$C$6,3,9),"N.D.")</f>
        <v>0</v>
      </c>
      <c r="CK739" s="311">
        <f t="shared" si="320"/>
        <v>0</v>
      </c>
      <c r="CL739" s="10">
        <v>0</v>
      </c>
      <c r="CM739" s="255">
        <f t="shared" si="321"/>
        <v>0</v>
      </c>
      <c r="CN739" s="232">
        <f>IFERROR(VLOOKUP(CM739,'Rangos amb etnico'!$A$2:$C$6,3,9),"N.D.")</f>
        <v>0</v>
      </c>
      <c r="CO739" s="311">
        <f t="shared" si="322"/>
        <v>0</v>
      </c>
      <c r="CP739">
        <v>0.9354182962307358</v>
      </c>
      <c r="CQ739" t="s">
        <v>2864</v>
      </c>
      <c r="CR739">
        <f t="shared" si="313"/>
        <v>2</v>
      </c>
      <c r="CS739" t="str">
        <f t="shared" si="323"/>
        <v>No es Candidato</v>
      </c>
      <c r="CT739">
        <v>0</v>
      </c>
      <c r="CU739">
        <v>0</v>
      </c>
      <c r="CV739" s="25">
        <v>59.267398834228523</v>
      </c>
      <c r="CW739" s="25">
        <v>24.468963623046879</v>
      </c>
      <c r="CX739" s="25">
        <v>54.899444580078118</v>
      </c>
      <c r="CY739" s="25">
        <v>67.990814208984375</v>
      </c>
      <c r="CZ739" s="25">
        <v>50.590183258056641</v>
      </c>
      <c r="DA739" s="25">
        <v>91.7801513671875</v>
      </c>
      <c r="DB739" s="25">
        <v>65.874839782714844</v>
      </c>
      <c r="DC739">
        <v>107</v>
      </c>
      <c r="DD739" s="253" t="s">
        <v>380</v>
      </c>
    </row>
    <row r="740" spans="1:108" hidden="1">
      <c r="A740" s="13">
        <v>13030</v>
      </c>
      <c r="B740" s="13" t="s">
        <v>1911</v>
      </c>
      <c r="C740" s="13" t="s">
        <v>480</v>
      </c>
      <c r="D740" s="13" t="s">
        <v>481</v>
      </c>
      <c r="E740" s="13" t="s">
        <v>1912</v>
      </c>
      <c r="F740" s="14">
        <v>82.711233333333297</v>
      </c>
      <c r="G740" s="14">
        <v>0</v>
      </c>
      <c r="H740" s="13">
        <v>81.14</v>
      </c>
      <c r="I740" s="13">
        <v>70.430000000000007</v>
      </c>
      <c r="J740" s="14">
        <v>35.92481694594769</v>
      </c>
      <c r="K740" s="14">
        <v>43.30154947155161</v>
      </c>
      <c r="L740" s="14">
        <v>62.730094701870911</v>
      </c>
      <c r="M740" s="14">
        <v>55.983600000000003</v>
      </c>
      <c r="N740" s="14">
        <f t="shared" si="297"/>
        <v>58.57030833333333</v>
      </c>
      <c r="O740" s="14">
        <f t="shared" si="298"/>
        <v>49.48501527984255</v>
      </c>
      <c r="P740" s="14">
        <f t="shared" si="314"/>
        <v>54.027661806587943</v>
      </c>
      <c r="Q740" s="14">
        <v>59.183558923181259</v>
      </c>
      <c r="R740" s="17">
        <f t="shared" si="299"/>
        <v>40.816441076818741</v>
      </c>
      <c r="S740" s="14">
        <f t="shared" si="315"/>
        <v>0.46734796969136871</v>
      </c>
      <c r="T740" s="13">
        <v>0</v>
      </c>
      <c r="U740" s="13">
        <f t="shared" si="316"/>
        <v>25.24971805248078</v>
      </c>
      <c r="V740" s="13">
        <f>IF($T740=1,$AU740,(VLOOKUP(U740,'Cortes naturales'!$A$35:$C$39,3,9)))</f>
        <v>4</v>
      </c>
      <c r="W740" s="13">
        <v>4</v>
      </c>
      <c r="X740" s="14" t="b">
        <f t="shared" si="300"/>
        <v>1</v>
      </c>
      <c r="Y740" s="17">
        <f>IF($T740=1,$AU740,VLOOKUP(U740,'Cortes naturales'!$A$45:$C$49,3,9))</f>
        <v>4</v>
      </c>
      <c r="Z740" s="14">
        <v>65.092539885643404</v>
      </c>
      <c r="AA740" s="14">
        <v>0.47766137293381705</v>
      </c>
      <c r="AB740" s="14">
        <v>31.092191969525675</v>
      </c>
      <c r="AC740" s="13">
        <v>3</v>
      </c>
      <c r="AD740" s="13">
        <f t="shared" si="301"/>
        <v>-1</v>
      </c>
      <c r="AE740" s="14">
        <f t="shared" si="302"/>
        <v>-11.064878079055461</v>
      </c>
      <c r="AF740" s="14">
        <f t="shared" si="303"/>
        <v>-1.0313403242448338E-2</v>
      </c>
      <c r="AG740" s="13">
        <f t="shared" si="304"/>
        <v>-5.8424739170448952</v>
      </c>
      <c r="AH740" s="13">
        <f>IF($T740=1,$AU740,VLOOKUP(U740,'Cortes naturales'!$A$25:$C$29,3,9))</f>
        <v>4</v>
      </c>
      <c r="AI740" s="13" t="b">
        <f t="shared" si="305"/>
        <v>1</v>
      </c>
      <c r="AJ740" s="13" t="str">
        <f t="shared" si="306"/>
        <v>Efecto ponderador</v>
      </c>
      <c r="AK740" s="28">
        <v>0.81759069605862034</v>
      </c>
      <c r="AL740" s="28">
        <v>53.219054993326701</v>
      </c>
      <c r="AM740" s="28">
        <v>0.49508826795287414</v>
      </c>
      <c r="AN740" s="13">
        <v>2</v>
      </c>
      <c r="AO740" s="33">
        <f t="shared" si="307"/>
        <v>-2</v>
      </c>
      <c r="AP740" s="13">
        <f t="shared" si="317"/>
        <v>49.508826795287412</v>
      </c>
      <c r="AQ740" s="13">
        <f>IFERROR(VLOOKUP(U740,'Cortes naturales'!$E$15:$G$19,3,9),U740)</f>
        <v>4</v>
      </c>
      <c r="AR740" s="28">
        <f t="shared" si="308"/>
        <v>-0.35024272636725162</v>
      </c>
      <c r="AS740" s="13" t="b">
        <f t="shared" si="309"/>
        <v>1</v>
      </c>
      <c r="AT740" s="13" t="str">
        <f t="shared" si="318"/>
        <v>Efecto ponderador</v>
      </c>
      <c r="AU740" s="13">
        <v>4</v>
      </c>
      <c r="AV740">
        <f t="shared" si="310"/>
        <v>0</v>
      </c>
      <c r="AW740" s="13">
        <v>0</v>
      </c>
      <c r="AX740" s="13">
        <v>0</v>
      </c>
      <c r="AY740" s="13">
        <v>0</v>
      </c>
      <c r="AZ740" s="13">
        <v>0</v>
      </c>
      <c r="BA740">
        <v>0</v>
      </c>
      <c r="BB740" t="s">
        <v>2840</v>
      </c>
      <c r="BC740">
        <v>6</v>
      </c>
      <c r="BD740" t="s">
        <v>2919</v>
      </c>
      <c r="BE740">
        <v>0</v>
      </c>
      <c r="BF740" s="232" t="s">
        <v>2846</v>
      </c>
      <c r="BG740" s="232" t="s">
        <v>2845</v>
      </c>
      <c r="BH740" s="253">
        <v>70.7</v>
      </c>
      <c r="BI740" s="253">
        <v>58.452658452658454</v>
      </c>
      <c r="BJ740" s="25">
        <v>64.578571428571436</v>
      </c>
      <c r="BK740" t="s">
        <v>376</v>
      </c>
      <c r="BL740">
        <v>3.0153250346324891</v>
      </c>
      <c r="BM740" t="s">
        <v>383</v>
      </c>
      <c r="BN740" s="322">
        <v>29598.243279999999</v>
      </c>
      <c r="BO740" s="322">
        <v>808.17477199999996</v>
      </c>
      <c r="BP740" s="10">
        <v>11401</v>
      </c>
      <c r="BQ740" s="254">
        <f t="shared" si="311"/>
        <v>2.596109400929743</v>
      </c>
      <c r="BR740" s="254">
        <f t="shared" si="312"/>
        <v>7.0886305762652396E-2</v>
      </c>
      <c r="BS740" s="25">
        <v>50.39957890355462</v>
      </c>
      <c r="BT740" s="25">
        <v>93.578299949419645</v>
      </c>
      <c r="BU740" s="25">
        <v>20.372461964038699</v>
      </c>
      <c r="BV740" s="25">
        <v>97.737843151151552</v>
      </c>
      <c r="BW740" s="25">
        <v>24.765971776994942</v>
      </c>
      <c r="BX740" s="25">
        <v>65.522045992041129</v>
      </c>
      <c r="BY740" s="25">
        <v>24.634273455499571</v>
      </c>
      <c r="BZ740">
        <v>92</v>
      </c>
      <c r="CA740">
        <v>0</v>
      </c>
      <c r="CB740">
        <v>7</v>
      </c>
      <c r="CC740">
        <v>30339.090838</v>
      </c>
      <c r="CD740" s="10">
        <v>1352.460098</v>
      </c>
      <c r="CE740" s="255">
        <v>4.4578135357504878E-2</v>
      </c>
      <c r="CF740" t="str">
        <f>IFERROR(VLOOKUP(CE740,'Rangos amb etnico'!$A$2:$C$6,3,9),"N.D.")</f>
        <v>0,1% - 30%</v>
      </c>
      <c r="CG740" s="256">
        <v>3.934816257262259E-5</v>
      </c>
      <c r="CH740" s="232">
        <v>36.954016000000003</v>
      </c>
      <c r="CI740" s="311">
        <f t="shared" si="319"/>
        <v>1.2180330715024178E-3</v>
      </c>
      <c r="CJ740" s="232" t="str">
        <f>IFERROR(VLOOKUP(CI740,'Rangos amb etnico'!$A$2:$C$6,3,9),"N.D.")</f>
        <v>0,1% - 30%</v>
      </c>
      <c r="CK740" s="311">
        <f t="shared" si="320"/>
        <v>1.4673163805513982E-6</v>
      </c>
      <c r="CL740" s="10">
        <v>0</v>
      </c>
      <c r="CM740" s="255">
        <f t="shared" si="321"/>
        <v>0</v>
      </c>
      <c r="CN740" s="232">
        <f>IFERROR(VLOOKUP(CM740,'Rangos amb etnico'!$A$2:$C$6,3,9),"N.D.")</f>
        <v>0</v>
      </c>
      <c r="CO740" s="311">
        <f t="shared" si="322"/>
        <v>0</v>
      </c>
      <c r="CP740">
        <v>0.89275093478364398</v>
      </c>
      <c r="CQ740" t="s">
        <v>2864</v>
      </c>
      <c r="CR740">
        <f t="shared" si="313"/>
        <v>2</v>
      </c>
      <c r="CS740" t="str">
        <f t="shared" si="323"/>
        <v>No es Candidato</v>
      </c>
      <c r="CT740">
        <v>0</v>
      </c>
      <c r="CU740">
        <v>0</v>
      </c>
      <c r="CV740" s="25">
        <v>45.610645294189453</v>
      </c>
      <c r="CW740" s="25">
        <v>13.07183361053467</v>
      </c>
      <c r="CX740" s="25">
        <v>45.983200073242188</v>
      </c>
      <c r="CY740" s="25">
        <v>46.780643463134773</v>
      </c>
      <c r="CZ740" s="25">
        <v>13.187295913696291</v>
      </c>
      <c r="DA740" s="25">
        <v>100</v>
      </c>
      <c r="DB740" s="25">
        <v>54.640892028808587</v>
      </c>
      <c r="DC740">
        <v>6558</v>
      </c>
      <c r="DD740" s="253" t="s">
        <v>380</v>
      </c>
    </row>
    <row r="741" spans="1:108" hidden="1">
      <c r="A741" s="13">
        <v>47707</v>
      </c>
      <c r="B741" s="13" t="s">
        <v>1913</v>
      </c>
      <c r="C741" s="13" t="s">
        <v>638</v>
      </c>
      <c r="D741" s="13" t="s">
        <v>639</v>
      </c>
      <c r="E741" s="13" t="s">
        <v>1914</v>
      </c>
      <c r="F741" s="14">
        <v>55.714633333333303</v>
      </c>
      <c r="G741" s="13">
        <v>56.9</v>
      </c>
      <c r="H741" s="13">
        <v>51.97</v>
      </c>
      <c r="I741" s="13">
        <v>64.45</v>
      </c>
      <c r="J741" s="14">
        <v>51.112974488972995</v>
      </c>
      <c r="K741" s="14">
        <v>56.241381260184703</v>
      </c>
      <c r="L741" s="14">
        <v>58.803693489817519</v>
      </c>
      <c r="M741" s="14">
        <v>46.774000000000001</v>
      </c>
      <c r="N741" s="14">
        <f t="shared" si="297"/>
        <v>57.258658333333329</v>
      </c>
      <c r="O741" s="14">
        <f t="shared" si="298"/>
        <v>53.233012309743799</v>
      </c>
      <c r="P741" s="14">
        <f t="shared" si="314"/>
        <v>55.245835321538564</v>
      </c>
      <c r="Q741" s="14">
        <v>58.658574861841885</v>
      </c>
      <c r="R741" s="17">
        <f t="shared" si="299"/>
        <v>41.341425138158115</v>
      </c>
      <c r="S741" s="14">
        <f t="shared" si="315"/>
        <v>0.47207282624342306</v>
      </c>
      <c r="T741" s="13">
        <v>0</v>
      </c>
      <c r="U741" s="13">
        <f t="shared" si="316"/>
        <v>26.080057618417438</v>
      </c>
      <c r="V741" s="13">
        <f>IF($T741=1,$AU741,(VLOOKUP(U741,'Cortes naturales'!$A$35:$C$39,3,9)))</f>
        <v>4</v>
      </c>
      <c r="W741" s="13">
        <v>4</v>
      </c>
      <c r="X741" s="14" t="b">
        <f t="shared" si="300"/>
        <v>1</v>
      </c>
      <c r="Y741" s="17">
        <f>IF($T741=1,$AU741,VLOOKUP(U741,'Cortes naturales'!$A$45:$C$49,3,9))</f>
        <v>4</v>
      </c>
      <c r="Z741" s="14">
        <v>53.862818981139839</v>
      </c>
      <c r="AA741" s="14">
        <v>0.47777604144347174</v>
      </c>
      <c r="AB741" s="14">
        <v>25.734364433795285</v>
      </c>
      <c r="AC741" s="13">
        <v>4</v>
      </c>
      <c r="AD741" s="13">
        <f t="shared" si="301"/>
        <v>0</v>
      </c>
      <c r="AE741" s="14">
        <f t="shared" si="302"/>
        <v>1.3830163403987257</v>
      </c>
      <c r="AF741" s="14">
        <f t="shared" si="303"/>
        <v>-5.7032152000486835E-3</v>
      </c>
      <c r="AG741" s="13">
        <f t="shared" si="304"/>
        <v>0.34569318462215293</v>
      </c>
      <c r="AH741" s="13">
        <f>IF($T741=1,$AU741,VLOOKUP(U741,'Cortes naturales'!$A$25:$C$29,3,9))</f>
        <v>4</v>
      </c>
      <c r="AI741" s="13" t="b">
        <f t="shared" si="305"/>
        <v>1</v>
      </c>
      <c r="AJ741" s="13">
        <f t="shared" si="306"/>
        <v>0</v>
      </c>
      <c r="AK741" s="28">
        <v>0.81759069605862034</v>
      </c>
      <c r="AL741" s="28">
        <v>44.03773966246959</v>
      </c>
      <c r="AM741" s="28">
        <v>0.38023969118245143</v>
      </c>
      <c r="AN741" s="13">
        <v>3</v>
      </c>
      <c r="AO741" s="33">
        <f t="shared" si="307"/>
        <v>-1</v>
      </c>
      <c r="AP741" s="13">
        <f t="shared" si="317"/>
        <v>38.023969118245141</v>
      </c>
      <c r="AQ741" s="13">
        <f>IFERROR(VLOOKUP(U741,'Cortes naturales'!$E$15:$G$19,3,9),U741)</f>
        <v>4</v>
      </c>
      <c r="AR741" s="28">
        <f t="shared" si="308"/>
        <v>-0.34551786981519728</v>
      </c>
      <c r="AS741" s="13" t="b">
        <f t="shared" si="309"/>
        <v>1</v>
      </c>
      <c r="AT741" s="13" t="str">
        <f t="shared" si="318"/>
        <v>Efecto ponderador</v>
      </c>
      <c r="AU741" s="13">
        <v>4</v>
      </c>
      <c r="AV741">
        <f t="shared" si="310"/>
        <v>0</v>
      </c>
      <c r="AW741" s="13">
        <v>0</v>
      </c>
      <c r="AX741" s="13">
        <v>0</v>
      </c>
      <c r="AY741" s="13">
        <v>0</v>
      </c>
      <c r="AZ741" s="13">
        <v>0</v>
      </c>
      <c r="BA741">
        <v>0</v>
      </c>
      <c r="BB741" t="s">
        <v>2840</v>
      </c>
      <c r="BC741">
        <v>6</v>
      </c>
      <c r="BD741" t="s">
        <v>2919</v>
      </c>
      <c r="BE741">
        <v>0</v>
      </c>
      <c r="BF741" s="232" t="s">
        <v>2846</v>
      </c>
      <c r="BG741" s="232" t="s">
        <v>2846</v>
      </c>
      <c r="BH741" s="253">
        <v>47.3</v>
      </c>
      <c r="BI741" s="253">
        <v>30.640828011451223</v>
      </c>
      <c r="BJ741" s="25">
        <v>1.5</v>
      </c>
      <c r="BK741" t="s">
        <v>381</v>
      </c>
      <c r="BL741">
        <v>1.3323243325204883</v>
      </c>
      <c r="BM741" t="s">
        <v>383</v>
      </c>
      <c r="BN741" s="322">
        <v>43104.315428000002</v>
      </c>
      <c r="BO741" s="322">
        <v>2748.924004</v>
      </c>
      <c r="BP741" s="10">
        <v>28187</v>
      </c>
      <c r="BQ741" s="254">
        <f t="shared" si="311"/>
        <v>1.5292267863908895</v>
      </c>
      <c r="BR741" s="254">
        <f t="shared" si="312"/>
        <v>9.7524532727853261E-2</v>
      </c>
      <c r="BS741" s="25">
        <v>58.92937730938754</v>
      </c>
      <c r="BT741" s="25">
        <v>92.137815436075741</v>
      </c>
      <c r="BU741" s="25">
        <v>19.782191078963201</v>
      </c>
      <c r="BV741" s="25">
        <v>92.764224943968088</v>
      </c>
      <c r="BW741" s="25">
        <v>52.100307236423589</v>
      </c>
      <c r="BX741" s="25">
        <v>65.903402192098639</v>
      </c>
      <c r="BY741" s="25">
        <v>51.954664260603657</v>
      </c>
      <c r="BZ741">
        <v>60</v>
      </c>
      <c r="CA741">
        <v>0</v>
      </c>
      <c r="CB741">
        <v>7</v>
      </c>
      <c r="CC741">
        <v>111922.242361</v>
      </c>
      <c r="CD741" s="10">
        <v>379.22693900000002</v>
      </c>
      <c r="CE741" s="255">
        <v>3.3883071943539259E-3</v>
      </c>
      <c r="CF741" t="str">
        <f>IFERROR(VLOOKUP(CE741,'Rangos amb etnico'!$A$2:$C$6,3,9),"N.D.")</f>
        <v>0,1% - 30%</v>
      </c>
      <c r="CG741" s="256">
        <v>1.1033141214115162E-5</v>
      </c>
      <c r="CH741" s="232">
        <v>0</v>
      </c>
      <c r="CI741" s="311">
        <f t="shared" si="319"/>
        <v>0</v>
      </c>
      <c r="CJ741" s="232">
        <f>IFERROR(VLOOKUP(CI741,'Rangos amb etnico'!$A$2:$C$6,3,9),"N.D.")</f>
        <v>0</v>
      </c>
      <c r="CK741" s="311">
        <f t="shared" si="320"/>
        <v>0</v>
      </c>
      <c r="CL741" s="10">
        <v>0</v>
      </c>
      <c r="CM741" s="255">
        <f t="shared" si="321"/>
        <v>0</v>
      </c>
      <c r="CN741" s="232">
        <f>IFERROR(VLOOKUP(CM741,'Rangos amb etnico'!$A$2:$C$6,3,9),"N.D.")</f>
        <v>0</v>
      </c>
      <c r="CO741" s="311">
        <f t="shared" si="322"/>
        <v>0</v>
      </c>
      <c r="CP741">
        <v>0.83864478261251652</v>
      </c>
      <c r="CQ741" t="s">
        <v>2865</v>
      </c>
      <c r="CR741">
        <f t="shared" si="313"/>
        <v>2</v>
      </c>
      <c r="CS741" t="str">
        <f t="shared" si="323"/>
        <v>No es Candidato</v>
      </c>
      <c r="CT741">
        <v>0</v>
      </c>
      <c r="CU741">
        <v>0</v>
      </c>
      <c r="CV741" s="25">
        <v>43.899757385253913</v>
      </c>
      <c r="CW741" s="25">
        <v>22.575336456298832</v>
      </c>
      <c r="CX741" s="25">
        <v>43.795913696289063</v>
      </c>
      <c r="CY741" s="25">
        <v>56.950878143310547</v>
      </c>
      <c r="CZ741" s="25">
        <v>23.70782470703125</v>
      </c>
      <c r="DA741" s="25">
        <v>70.744911193847656</v>
      </c>
      <c r="DB741" s="25">
        <v>45.623676300048828</v>
      </c>
      <c r="DC741">
        <v>4399</v>
      </c>
      <c r="DD741" s="253" t="s">
        <v>380</v>
      </c>
    </row>
    <row r="742" spans="1:108">
      <c r="A742" s="13">
        <v>5890</v>
      </c>
      <c r="B742" s="13" t="s">
        <v>1915</v>
      </c>
      <c r="C742" s="13" t="s">
        <v>435</v>
      </c>
      <c r="D742" s="13" t="s">
        <v>436</v>
      </c>
      <c r="E742" s="13" t="s">
        <v>1916</v>
      </c>
      <c r="F742" s="14">
        <v>62.844433333333299</v>
      </c>
      <c r="G742" s="13">
        <v>55.15</v>
      </c>
      <c r="H742" s="13">
        <v>56.41</v>
      </c>
      <c r="I742" s="13">
        <v>41.83</v>
      </c>
      <c r="J742" s="14">
        <v>62.043213529093045</v>
      </c>
      <c r="K742" s="14">
        <v>59.52485636885207</v>
      </c>
      <c r="L742" s="14">
        <v>71.035469066963202</v>
      </c>
      <c r="M742" s="14">
        <v>55.383499999999998</v>
      </c>
      <c r="N742" s="14">
        <f t="shared" si="297"/>
        <v>54.058608333333325</v>
      </c>
      <c r="O742" s="14">
        <f t="shared" si="298"/>
        <v>61.996759741227081</v>
      </c>
      <c r="P742" s="14">
        <f t="shared" si="314"/>
        <v>58.027684037280203</v>
      </c>
      <c r="Q742" s="14">
        <v>57.281667523893333</v>
      </c>
      <c r="R742" s="17">
        <f t="shared" si="299"/>
        <v>42.718332476106667</v>
      </c>
      <c r="S742" s="14">
        <f t="shared" si="315"/>
        <v>0.48446499228495998</v>
      </c>
      <c r="T742" s="13">
        <v>0</v>
      </c>
      <c r="U742" s="13">
        <f t="shared" si="316"/>
        <v>28.112381499435049</v>
      </c>
      <c r="V742" s="13">
        <f>IF($T742=1,$AU742,(VLOOKUP(U742,'Cortes naturales'!$A$35:$C$39,3,9)))</f>
        <v>4</v>
      </c>
      <c r="W742" s="13">
        <v>4</v>
      </c>
      <c r="X742" s="14" t="b">
        <f t="shared" si="300"/>
        <v>1</v>
      </c>
      <c r="Y742" s="17">
        <f>IF($T742=1,$AU742,VLOOKUP(U742,'Cortes naturales'!$A$45:$C$49,3,9))</f>
        <v>4</v>
      </c>
      <c r="Z742" s="14">
        <v>61.186045469257593</v>
      </c>
      <c r="AA742" s="14">
        <v>0.48086372009669953</v>
      </c>
      <c r="AB742" s="14">
        <v>29.422149442353014</v>
      </c>
      <c r="AC742" s="13">
        <v>3</v>
      </c>
      <c r="AD742" s="13">
        <f t="shared" si="301"/>
        <v>-1</v>
      </c>
      <c r="AE742" s="14">
        <f t="shared" si="302"/>
        <v>-3.1583614319773901</v>
      </c>
      <c r="AF742" s="14">
        <f t="shared" si="303"/>
        <v>3.6012721882604515E-3</v>
      </c>
      <c r="AG742" s="13">
        <f t="shared" si="304"/>
        <v>-1.3097679429179649</v>
      </c>
      <c r="AH742" s="13">
        <f>IF($T742=1,$AU742,VLOOKUP(U742,'Cortes naturales'!$A$25:$C$29,3,9))</f>
        <v>3</v>
      </c>
      <c r="AI742" s="13" t="b">
        <f t="shared" si="305"/>
        <v>0</v>
      </c>
      <c r="AJ742" s="13" t="str">
        <f t="shared" si="306"/>
        <v>Cambio en corte</v>
      </c>
      <c r="AK742" s="28">
        <v>0.81759069605862034</v>
      </c>
      <c r="AL742" s="28">
        <v>50.025141504284711</v>
      </c>
      <c r="AM742" s="28">
        <v>0.45513577690711854</v>
      </c>
      <c r="AN742" s="13">
        <v>3</v>
      </c>
      <c r="AO742" s="33">
        <f t="shared" si="307"/>
        <v>-1</v>
      </c>
      <c r="AP742" s="13">
        <f t="shared" si="317"/>
        <v>45.513577690711855</v>
      </c>
      <c r="AQ742" s="13">
        <f>IFERROR(VLOOKUP(U742,'Cortes naturales'!$E$15:$G$19,3,9),U742)</f>
        <v>4</v>
      </c>
      <c r="AR742" s="28">
        <f t="shared" si="308"/>
        <v>-0.33312570377366035</v>
      </c>
      <c r="AS742" s="13" t="b">
        <f t="shared" si="309"/>
        <v>1</v>
      </c>
      <c r="AT742" s="13" t="str">
        <f t="shared" si="318"/>
        <v>Efecto ponderador</v>
      </c>
      <c r="AU742" s="13">
        <v>3</v>
      </c>
      <c r="AV742">
        <f t="shared" si="310"/>
        <v>-1</v>
      </c>
      <c r="AW742" s="13">
        <v>0</v>
      </c>
      <c r="AX742" s="13">
        <v>0</v>
      </c>
      <c r="AY742" s="13">
        <v>0</v>
      </c>
      <c r="AZ742" s="13">
        <v>0</v>
      </c>
      <c r="BA742">
        <v>1</v>
      </c>
      <c r="BB742" t="s">
        <v>2840</v>
      </c>
      <c r="BC742">
        <v>6</v>
      </c>
      <c r="BD742" t="s">
        <v>2919</v>
      </c>
      <c r="BE742">
        <v>1</v>
      </c>
      <c r="BF742" s="232" t="s">
        <v>2846</v>
      </c>
      <c r="BG742" s="232" t="s">
        <v>2845</v>
      </c>
      <c r="BH742" s="253">
        <v>45</v>
      </c>
      <c r="BI742" s="253">
        <v>16.119481892677769</v>
      </c>
      <c r="BJ742" s="25">
        <v>35.486534325322488</v>
      </c>
      <c r="BK742" t="s">
        <v>376</v>
      </c>
      <c r="BL742">
        <v>14.933799947144436</v>
      </c>
      <c r="BM742" t="s">
        <v>376</v>
      </c>
      <c r="BN742" s="322">
        <v>50427.826417999997</v>
      </c>
      <c r="BO742" s="322">
        <v>8526.1800139999996</v>
      </c>
      <c r="BP742" s="10">
        <v>24828</v>
      </c>
      <c r="BQ742" s="254">
        <f t="shared" si="311"/>
        <v>2.0310869348316416</v>
      </c>
      <c r="BR742" s="254">
        <f t="shared" si="312"/>
        <v>0.34340986039954891</v>
      </c>
      <c r="BS742" s="25">
        <v>52.599173794378281</v>
      </c>
      <c r="BT742" s="25">
        <v>90.085550098092128</v>
      </c>
      <c r="BU742" s="25">
        <v>36.388513623424132</v>
      </c>
      <c r="BV742" s="25">
        <v>91.846085778100715</v>
      </c>
      <c r="BW742" s="25">
        <v>52.52001950685451</v>
      </c>
      <c r="BX742" s="25">
        <v>67.729830823498816</v>
      </c>
      <c r="BY742" s="25">
        <v>52.930404388127279</v>
      </c>
      <c r="BZ742">
        <v>72</v>
      </c>
      <c r="CA742">
        <v>0</v>
      </c>
      <c r="CB742">
        <v>6</v>
      </c>
      <c r="CC742">
        <v>94339.805808999998</v>
      </c>
      <c r="CD742" s="10">
        <v>2643.2156799999998</v>
      </c>
      <c r="CE742" s="255">
        <v>2.8018031808878682E-2</v>
      </c>
      <c r="CF742" t="str">
        <f>IFERROR(VLOOKUP(CE742,'Rangos amb etnico'!$A$2:$C$6,3,9),"N.D.")</f>
        <v>0,1% - 30%</v>
      </c>
      <c r="CG742" s="256">
        <v>7.6901108169436842E-5</v>
      </c>
      <c r="CH742" s="232">
        <v>504.52983599999999</v>
      </c>
      <c r="CI742" s="311">
        <f t="shared" si="319"/>
        <v>5.3480058780433484E-3</v>
      </c>
      <c r="CJ742" s="232" t="str">
        <f>IFERROR(VLOOKUP(CI742,'Rangos amb etnico'!$A$2:$C$6,3,9),"N.D.")</f>
        <v>0,1% - 30%</v>
      </c>
      <c r="CK742" s="311">
        <f t="shared" si="320"/>
        <v>2.0033137747185866E-5</v>
      </c>
      <c r="CL742" s="10">
        <v>0</v>
      </c>
      <c r="CM742" s="255">
        <f t="shared" si="321"/>
        <v>0</v>
      </c>
      <c r="CN742" s="232">
        <f>IFERROR(VLOOKUP(CM742,'Rangos amb etnico'!$A$2:$C$6,3,9),"N.D.")</f>
        <v>0</v>
      </c>
      <c r="CO742" s="311">
        <f t="shared" si="322"/>
        <v>0</v>
      </c>
      <c r="CP742">
        <v>0.93714152801618855</v>
      </c>
      <c r="CQ742" t="s">
        <v>2864</v>
      </c>
      <c r="CR742">
        <f t="shared" si="313"/>
        <v>1</v>
      </c>
      <c r="CS742" t="str">
        <f t="shared" si="323"/>
        <v>No es Candidato</v>
      </c>
      <c r="CT742">
        <v>0</v>
      </c>
      <c r="CU742">
        <v>0</v>
      </c>
      <c r="CV742" s="25">
        <v>36.402412414550781</v>
      </c>
      <c r="CW742" s="25">
        <v>23.007928848266602</v>
      </c>
      <c r="CX742" s="25">
        <v>43.330497741699219</v>
      </c>
      <c r="CY742" s="25">
        <v>53.2767333984375</v>
      </c>
      <c r="CZ742" s="25">
        <v>35.150840759277337</v>
      </c>
      <c r="DA742" s="25">
        <v>33.273902893066413</v>
      </c>
      <c r="DB742" s="25">
        <v>30.374565124511719</v>
      </c>
      <c r="DC742">
        <v>363</v>
      </c>
      <c r="DD742" s="253" t="s">
        <v>380</v>
      </c>
    </row>
    <row r="743" spans="1:108" hidden="1">
      <c r="A743" s="13">
        <v>68615</v>
      </c>
      <c r="B743" s="13" t="s">
        <v>1917</v>
      </c>
      <c r="C743" s="13" t="s">
        <v>431</v>
      </c>
      <c r="D743" s="13" t="s">
        <v>432</v>
      </c>
      <c r="E743" s="13" t="s">
        <v>504</v>
      </c>
      <c r="F743" s="14">
        <v>57.361933333333297</v>
      </c>
      <c r="G743" s="13">
        <v>71.739999999999995</v>
      </c>
      <c r="H743" s="13">
        <v>69.23</v>
      </c>
      <c r="I743" s="13">
        <v>70.459999999999994</v>
      </c>
      <c r="J743" s="14">
        <v>53.616953718743105</v>
      </c>
      <c r="K743" s="14">
        <v>54.405553027750067</v>
      </c>
      <c r="L743" s="14">
        <v>61.589119707942771</v>
      </c>
      <c r="M743" s="14">
        <v>69.636300000000006</v>
      </c>
      <c r="N743" s="14">
        <f t="shared" si="297"/>
        <v>67.197983333333326</v>
      </c>
      <c r="O743" s="14">
        <f t="shared" si="298"/>
        <v>59.811981613608992</v>
      </c>
      <c r="P743" s="14">
        <f t="shared" si="314"/>
        <v>63.504982473471159</v>
      </c>
      <c r="Q743" s="14">
        <v>59.911526479853435</v>
      </c>
      <c r="R743" s="17">
        <f t="shared" si="299"/>
        <v>40.088473520146565</v>
      </c>
      <c r="S743" s="14">
        <f t="shared" si="315"/>
        <v>0.46079626168131915</v>
      </c>
      <c r="T743" s="13">
        <v>0</v>
      </c>
      <c r="U743" s="13">
        <f t="shared" si="316"/>
        <v>29.262858521913202</v>
      </c>
      <c r="V743" s="13">
        <f>IF($T743=1,$AU743,(VLOOKUP(U743,'Cortes naturales'!$A$35:$C$39,3,9)))</f>
        <v>4</v>
      </c>
      <c r="W743" s="13">
        <v>4</v>
      </c>
      <c r="X743" s="14" t="b">
        <f t="shared" si="300"/>
        <v>1</v>
      </c>
      <c r="Y743" s="17">
        <f>IF($T743=1,$AU743,VLOOKUP(U743,'Cortes naturales'!$A$45:$C$49,3,9))</f>
        <v>3</v>
      </c>
      <c r="Z743" s="14">
        <v>58.621858232359017</v>
      </c>
      <c r="AA743" s="14">
        <v>0.46617102714496761</v>
      </c>
      <c r="AB743" s="14">
        <v>27.327811865325479</v>
      </c>
      <c r="AC743" s="13">
        <v>4</v>
      </c>
      <c r="AD743" s="13">
        <f t="shared" si="301"/>
        <v>1</v>
      </c>
      <c r="AE743" s="14">
        <f t="shared" si="302"/>
        <v>4.8831242411121423</v>
      </c>
      <c r="AF743" s="14">
        <f t="shared" si="303"/>
        <v>-5.3747654636484565E-3</v>
      </c>
      <c r="AG743" s="13">
        <f t="shared" si="304"/>
        <v>1.9350466565877227</v>
      </c>
      <c r="AH743" s="13">
        <f>IF($T743=1,$AU743,VLOOKUP(U743,'Cortes naturales'!$A$25:$C$29,3,9))</f>
        <v>3</v>
      </c>
      <c r="AI743" s="13" t="b">
        <f t="shared" si="305"/>
        <v>1</v>
      </c>
      <c r="AJ743" s="13" t="str">
        <f t="shared" si="306"/>
        <v>Efecto ponderador</v>
      </c>
      <c r="AK743" s="28">
        <v>0.6523467210059386</v>
      </c>
      <c r="AL743" s="28">
        <v>38.241776997154396</v>
      </c>
      <c r="AM743" s="28">
        <v>0.30773830775988531</v>
      </c>
      <c r="AN743" s="13">
        <v>4</v>
      </c>
      <c r="AO743" s="33">
        <f t="shared" si="307"/>
        <v>1</v>
      </c>
      <c r="AP743" s="13">
        <f t="shared" si="317"/>
        <v>30.773830775988532</v>
      </c>
      <c r="AQ743" s="13">
        <f>IFERROR(VLOOKUP(U743,'Cortes naturales'!$E$15:$G$19,3,9),U743)</f>
        <v>4</v>
      </c>
      <c r="AR743" s="28">
        <f t="shared" si="308"/>
        <v>-0.19155045932461945</v>
      </c>
      <c r="AS743" s="13" t="b">
        <f t="shared" si="309"/>
        <v>0</v>
      </c>
      <c r="AT743" s="13" t="str">
        <f t="shared" si="318"/>
        <v>Cambio en corte</v>
      </c>
      <c r="AU743" s="13">
        <v>3</v>
      </c>
      <c r="AV743">
        <f t="shared" si="310"/>
        <v>0</v>
      </c>
      <c r="AW743" s="13">
        <v>0</v>
      </c>
      <c r="AX743" s="13">
        <v>0</v>
      </c>
      <c r="AY743" s="13">
        <v>0</v>
      </c>
      <c r="AZ743" s="13">
        <v>0</v>
      </c>
      <c r="BA743">
        <v>1</v>
      </c>
      <c r="BB743" t="s">
        <v>2841</v>
      </c>
      <c r="BC743">
        <v>6</v>
      </c>
      <c r="BD743" t="s">
        <v>2919</v>
      </c>
      <c r="BE743">
        <v>0</v>
      </c>
      <c r="BF743" s="232" t="s">
        <v>2846</v>
      </c>
      <c r="BG743" s="232" t="s">
        <v>2845</v>
      </c>
      <c r="BH743" s="253">
        <v>37.799999999999997</v>
      </c>
      <c r="BI743" s="253">
        <v>16.272341774660166</v>
      </c>
      <c r="BJ743" s="25">
        <v>51.6117908246054</v>
      </c>
      <c r="BK743" t="s">
        <v>376</v>
      </c>
      <c r="BL743">
        <v>2.2867569431295096</v>
      </c>
      <c r="BM743" t="s">
        <v>383</v>
      </c>
      <c r="BN743" s="322">
        <v>48844.523430000001</v>
      </c>
      <c r="BO743" s="322">
        <v>7781.7937339999999</v>
      </c>
      <c r="BP743" s="10">
        <v>27251</v>
      </c>
      <c r="BQ743" s="254">
        <f t="shared" si="311"/>
        <v>1.7923937994935966</v>
      </c>
      <c r="BR743" s="254">
        <f t="shared" si="312"/>
        <v>0.28555993299328464</v>
      </c>
      <c r="BS743" s="25">
        <v>70.949113304543076</v>
      </c>
      <c r="BT743" s="25">
        <v>89.576450862842947</v>
      </c>
      <c r="BU743" s="25">
        <v>54.62166666666667</v>
      </c>
      <c r="BV743" s="25">
        <v>94.312212035610585</v>
      </c>
      <c r="BW743" s="25">
        <v>54.82063717170368</v>
      </c>
      <c r="BX743" s="25">
        <v>77.364860717415823</v>
      </c>
      <c r="BY743" s="25">
        <v>56.530428095299179</v>
      </c>
      <c r="BZ743">
        <v>39</v>
      </c>
      <c r="CA743">
        <v>0</v>
      </c>
      <c r="CB743">
        <v>7</v>
      </c>
      <c r="CC743">
        <v>116648.05364100001</v>
      </c>
      <c r="CD743" s="10">
        <v>15068.079625</v>
      </c>
      <c r="CE743" s="255">
        <v>0.12917557691424525</v>
      </c>
      <c r="CF743" t="str">
        <f>IFERROR(VLOOKUP(CE743,'Rangos amb etnico'!$A$2:$C$6,3,9),"N.D.")</f>
        <v>0,1% - 30%</v>
      </c>
      <c r="CG743" s="256">
        <v>4.3838723790705288E-4</v>
      </c>
      <c r="CH743" s="232">
        <v>0</v>
      </c>
      <c r="CI743" s="311">
        <f t="shared" si="319"/>
        <v>0</v>
      </c>
      <c r="CJ743" s="232">
        <f>IFERROR(VLOOKUP(CI743,'Rangos amb etnico'!$A$2:$C$6,3,9),"N.D.")</f>
        <v>0</v>
      </c>
      <c r="CK743" s="311">
        <f t="shared" si="320"/>
        <v>0</v>
      </c>
      <c r="CL743" s="10">
        <v>0</v>
      </c>
      <c r="CM743" s="255">
        <f t="shared" si="321"/>
        <v>0</v>
      </c>
      <c r="CN743" s="232">
        <f>IFERROR(VLOOKUP(CM743,'Rangos amb etnico'!$A$2:$C$6,3,9),"N.D.")</f>
        <v>0</v>
      </c>
      <c r="CO743" s="311">
        <f t="shared" si="322"/>
        <v>0</v>
      </c>
      <c r="CP743">
        <v>0.91168631110818232</v>
      </c>
      <c r="CQ743" t="s">
        <v>2864</v>
      </c>
      <c r="CR743">
        <f t="shared" si="313"/>
        <v>3</v>
      </c>
      <c r="CS743" t="str">
        <f t="shared" si="323"/>
        <v>Candidato</v>
      </c>
      <c r="CT743">
        <v>0</v>
      </c>
      <c r="CU743">
        <v>0</v>
      </c>
      <c r="CV743" s="25">
        <v>42.543636322021477</v>
      </c>
      <c r="CW743" s="25">
        <v>33.841941833496087</v>
      </c>
      <c r="CX743" s="25">
        <v>48.171459197998047</v>
      </c>
      <c r="CY743" s="25">
        <v>53.262950897216797</v>
      </c>
      <c r="CZ743" s="25">
        <v>46.777278900146477</v>
      </c>
      <c r="DA743" s="25">
        <v>45.1805419921875</v>
      </c>
      <c r="DB743" s="25">
        <v>28.027650833129879</v>
      </c>
      <c r="DC743">
        <v>213</v>
      </c>
      <c r="DD743" s="253" t="s">
        <v>380</v>
      </c>
    </row>
    <row r="744" spans="1:108" hidden="1">
      <c r="A744" s="13">
        <v>63302</v>
      </c>
      <c r="B744" s="13" t="s">
        <v>1918</v>
      </c>
      <c r="C744" s="13" t="s">
        <v>473</v>
      </c>
      <c r="D744" s="13" t="s">
        <v>474</v>
      </c>
      <c r="E744" s="13" t="s">
        <v>1919</v>
      </c>
      <c r="F744" s="14">
        <v>76.498633333333302</v>
      </c>
      <c r="G744" s="13">
        <v>75.42</v>
      </c>
      <c r="H744" s="13">
        <v>74.38</v>
      </c>
      <c r="I744" s="13">
        <v>74.819999999999993</v>
      </c>
      <c r="J744" s="14">
        <v>41.141962371322748</v>
      </c>
      <c r="K744" s="14">
        <v>43.466563933893987</v>
      </c>
      <c r="L744" s="14">
        <v>50.391825625081438</v>
      </c>
      <c r="M744" s="14">
        <v>46.662100000000002</v>
      </c>
      <c r="N744" s="14">
        <f t="shared" si="297"/>
        <v>75.279658333333316</v>
      </c>
      <c r="O744" s="14">
        <f t="shared" si="298"/>
        <v>45.415612982574544</v>
      </c>
      <c r="P744" s="14">
        <f t="shared" si="314"/>
        <v>60.34763565795393</v>
      </c>
      <c r="Q744" s="14">
        <v>58.816282245060947</v>
      </c>
      <c r="R744" s="17">
        <f t="shared" si="299"/>
        <v>41.183717754939053</v>
      </c>
      <c r="S744" s="14">
        <f t="shared" si="315"/>
        <v>0.4706534597944515</v>
      </c>
      <c r="T744" s="13">
        <v>0</v>
      </c>
      <c r="U744" s="13">
        <f t="shared" si="316"/>
        <v>28.402823512831027</v>
      </c>
      <c r="V744" s="13">
        <f>IF($T744=1,$AU744,(VLOOKUP(U744,'Cortes naturales'!$A$35:$C$39,3,9)))</f>
        <v>4</v>
      </c>
      <c r="W744" s="13">
        <v>4</v>
      </c>
      <c r="X744" s="14" t="b">
        <f t="shared" si="300"/>
        <v>1</v>
      </c>
      <c r="Y744" s="17">
        <f>IF($T744=1,$AU744,VLOOKUP(U744,'Cortes naturales'!$A$45:$C$49,3,9))</f>
        <v>3</v>
      </c>
      <c r="Z744" s="14">
        <v>60.619135165238291</v>
      </c>
      <c r="AA744" s="14">
        <v>0.47638888343549868</v>
      </c>
      <c r="AB744" s="14">
        <v>28.878282116193443</v>
      </c>
      <c r="AC744" s="13">
        <v>3</v>
      </c>
      <c r="AD744" s="13">
        <f t="shared" si="301"/>
        <v>0</v>
      </c>
      <c r="AE744" s="14">
        <f t="shared" si="302"/>
        <v>-0.27149950728436067</v>
      </c>
      <c r="AF744" s="14">
        <f t="shared" si="303"/>
        <v>-5.7354236410471771E-3</v>
      </c>
      <c r="AG744" s="13">
        <f t="shared" si="304"/>
        <v>-0.47545860336241574</v>
      </c>
      <c r="AH744" s="13">
        <f>IF($T744=1,$AU744,VLOOKUP(U744,'Cortes naturales'!$A$25:$C$29,3,9))</f>
        <v>3</v>
      </c>
      <c r="AI744" s="13" t="b">
        <f t="shared" si="305"/>
        <v>1</v>
      </c>
      <c r="AJ744" s="13">
        <f t="shared" si="306"/>
        <v>0</v>
      </c>
      <c r="AK744" s="28">
        <v>0.81759069605862034</v>
      </c>
      <c r="AL744" s="28">
        <v>49.561640914218763</v>
      </c>
      <c r="AM744" s="28">
        <v>0.44933787310106815</v>
      </c>
      <c r="AN744" s="13">
        <v>3</v>
      </c>
      <c r="AO744" s="33">
        <f t="shared" si="307"/>
        <v>0</v>
      </c>
      <c r="AP744" s="13">
        <f t="shared" si="317"/>
        <v>44.933787310106815</v>
      </c>
      <c r="AQ744" s="13">
        <f>IFERROR(VLOOKUP(U744,'Cortes naturales'!$E$15:$G$19,3,9),U744)</f>
        <v>4</v>
      </c>
      <c r="AR744" s="28">
        <f t="shared" si="308"/>
        <v>-0.34693723626416884</v>
      </c>
      <c r="AS744" s="13" t="b">
        <f t="shared" si="309"/>
        <v>0</v>
      </c>
      <c r="AT744" s="13">
        <f t="shared" si="318"/>
        <v>0</v>
      </c>
      <c r="AU744" s="13">
        <v>3</v>
      </c>
      <c r="AV744">
        <f t="shared" si="310"/>
        <v>0</v>
      </c>
      <c r="AW744" s="13">
        <v>0</v>
      </c>
      <c r="AX744" s="13">
        <v>0</v>
      </c>
      <c r="AY744" s="13">
        <v>0</v>
      </c>
      <c r="AZ744" s="13">
        <v>0</v>
      </c>
      <c r="BA744">
        <v>1</v>
      </c>
      <c r="BB744" t="s">
        <v>2840</v>
      </c>
      <c r="BC744">
        <v>6</v>
      </c>
      <c r="BD744" t="s">
        <v>2919</v>
      </c>
      <c r="BE744">
        <v>0</v>
      </c>
      <c r="BF744" s="232" t="s">
        <v>2846</v>
      </c>
      <c r="BG744" s="232" t="s">
        <v>2846</v>
      </c>
      <c r="BH744" s="253">
        <v>33.1</v>
      </c>
      <c r="BI744" s="253">
        <v>11.390070921985815</v>
      </c>
      <c r="BJ744" s="25">
        <v>0</v>
      </c>
      <c r="BK744" t="s">
        <v>381</v>
      </c>
      <c r="BL744">
        <v>4.788293392103725</v>
      </c>
      <c r="BM744" t="s">
        <v>383</v>
      </c>
      <c r="BN744" s="322">
        <v>17282.505282999999</v>
      </c>
      <c r="BO744" s="322">
        <v>1874.132791</v>
      </c>
      <c r="BP744" s="10">
        <v>7723</v>
      </c>
      <c r="BQ744" s="254">
        <f t="shared" si="311"/>
        <v>2.2377968772497732</v>
      </c>
      <c r="BR744" s="254">
        <f t="shared" si="312"/>
        <v>0.2426690134662696</v>
      </c>
      <c r="BS744" s="25">
        <v>63.684869677443942</v>
      </c>
      <c r="BT744" s="25">
        <v>96.69817428460442</v>
      </c>
      <c r="BU744" s="25">
        <v>45.986935123042507</v>
      </c>
      <c r="BV744" s="25">
        <v>85.321338206153726</v>
      </c>
      <c r="BW744" s="25">
        <v>41.573101858062373</v>
      </c>
      <c r="BX744" s="25">
        <v>72.922829322811154</v>
      </c>
      <c r="BY744" s="25">
        <v>41.888021600677597</v>
      </c>
      <c r="BZ744">
        <v>16</v>
      </c>
      <c r="CA744">
        <v>0</v>
      </c>
      <c r="CB744">
        <v>7</v>
      </c>
      <c r="CC744">
        <v>29569.690316</v>
      </c>
      <c r="CD744" s="10">
        <v>25189.307904000001</v>
      </c>
      <c r="CE744" s="255">
        <v>0.8518624184024749</v>
      </c>
      <c r="CF744" t="str">
        <f>IFERROR(VLOOKUP(CE744,'Rangos amb etnico'!$A$2:$C$6,3,9),"N.D.")</f>
        <v>71% - 100%</v>
      </c>
      <c r="CG744" s="256">
        <v>7.3285192218546262E-4</v>
      </c>
      <c r="CH744" s="232">
        <v>158.40275199999999</v>
      </c>
      <c r="CI744" s="311">
        <f t="shared" si="319"/>
        <v>5.3569296907478641E-3</v>
      </c>
      <c r="CJ744" s="232" t="str">
        <f>IFERROR(VLOOKUP(CI744,'Rangos amb etnico'!$A$2:$C$6,3,9),"N.D.")</f>
        <v>0,1% - 30%</v>
      </c>
      <c r="CK744" s="311">
        <f t="shared" si="320"/>
        <v>6.2896263489743777E-6</v>
      </c>
      <c r="CL744" s="10">
        <v>0</v>
      </c>
      <c r="CM744" s="255">
        <f t="shared" si="321"/>
        <v>0</v>
      </c>
      <c r="CN744" s="232">
        <f>IFERROR(VLOOKUP(CM744,'Rangos amb etnico'!$A$2:$C$6,3,9),"N.D.")</f>
        <v>0</v>
      </c>
      <c r="CO744" s="311">
        <f t="shared" si="322"/>
        <v>0</v>
      </c>
      <c r="CP744">
        <v>0.9080364025932538</v>
      </c>
      <c r="CQ744" t="s">
        <v>2864</v>
      </c>
      <c r="CR744">
        <f t="shared" si="313"/>
        <v>2</v>
      </c>
      <c r="CS744" t="str">
        <f t="shared" si="323"/>
        <v>No es Candidato</v>
      </c>
      <c r="CT744">
        <v>0</v>
      </c>
      <c r="CU744">
        <v>0</v>
      </c>
      <c r="CV744" s="25">
        <v>49.181419372558587</v>
      </c>
      <c r="CW744" s="25">
        <v>23.245590209960941</v>
      </c>
      <c r="CX744" s="25">
        <v>58.559898376464837</v>
      </c>
      <c r="CY744" s="25">
        <v>78.762672424316406</v>
      </c>
      <c r="CZ744" s="25">
        <v>52.615478515625</v>
      </c>
      <c r="DA744" s="25">
        <v>29.81320762634277</v>
      </c>
      <c r="DB744" s="25">
        <v>52.091678619384773</v>
      </c>
      <c r="DC744">
        <v>84</v>
      </c>
      <c r="DD744" s="253" t="s">
        <v>380</v>
      </c>
    </row>
    <row r="745" spans="1:108" hidden="1">
      <c r="A745" s="13">
        <v>54670</v>
      </c>
      <c r="B745" s="13" t="s">
        <v>1920</v>
      </c>
      <c r="C745" s="13" t="s">
        <v>517</v>
      </c>
      <c r="D745" s="13" t="s">
        <v>518</v>
      </c>
      <c r="E745" s="13" t="s">
        <v>1921</v>
      </c>
      <c r="F745" s="14">
        <v>69.740399999999994</v>
      </c>
      <c r="G745" s="13">
        <v>63.85</v>
      </c>
      <c r="H745" s="13">
        <v>56.7</v>
      </c>
      <c r="I745" s="13">
        <v>72.67</v>
      </c>
      <c r="J745" s="14">
        <v>52.373994746346469</v>
      </c>
      <c r="K745" s="14">
        <v>56.837838634874487</v>
      </c>
      <c r="L745" s="14">
        <v>62.740000406420627</v>
      </c>
      <c r="M745" s="14">
        <v>57.891800000000003</v>
      </c>
      <c r="N745" s="14">
        <f t="shared" si="297"/>
        <v>65.740099999999998</v>
      </c>
      <c r="O745" s="14">
        <f t="shared" si="298"/>
        <v>57.460908446910395</v>
      </c>
      <c r="P745" s="14">
        <f t="shared" si="314"/>
        <v>61.600504223455196</v>
      </c>
      <c r="Q745" s="14">
        <v>59.269194099183387</v>
      </c>
      <c r="R745" s="17">
        <f t="shared" si="299"/>
        <v>40.730805900816613</v>
      </c>
      <c r="S745" s="14">
        <f t="shared" si="315"/>
        <v>0.46657725310734954</v>
      </c>
      <c r="T745" s="13">
        <v>0</v>
      </c>
      <c r="U745" s="13">
        <f t="shared" si="316"/>
        <v>28.741394050607411</v>
      </c>
      <c r="V745" s="13">
        <f>IF($T745=1,$AU745,(VLOOKUP(U745,'Cortes naturales'!$A$35:$C$39,3,9)))</f>
        <v>4</v>
      </c>
      <c r="W745" s="13">
        <v>4</v>
      </c>
      <c r="X745" s="14" t="b">
        <f t="shared" si="300"/>
        <v>1</v>
      </c>
      <c r="Y745" s="17">
        <f>IF($T745=1,$AU745,VLOOKUP(U745,'Cortes naturales'!$A$45:$C$49,3,9))</f>
        <v>3</v>
      </c>
      <c r="Z745" s="14">
        <v>60.609222513638073</v>
      </c>
      <c r="AA745" s="14">
        <v>0.47744128926391316</v>
      </c>
      <c r="AB745" s="14">
        <v>28.937345338194753</v>
      </c>
      <c r="AC745" s="13">
        <v>3</v>
      </c>
      <c r="AD745" s="13">
        <f t="shared" si="301"/>
        <v>0</v>
      </c>
      <c r="AE745" s="14">
        <f t="shared" si="302"/>
        <v>0.99128170981712316</v>
      </c>
      <c r="AF745" s="14">
        <f t="shared" si="303"/>
        <v>-1.0864036156563617E-2</v>
      </c>
      <c r="AG745" s="13">
        <f t="shared" si="304"/>
        <v>-0.19595128758734148</v>
      </c>
      <c r="AH745" s="13">
        <f>IF($T745=1,$AU745,VLOOKUP(U745,'Cortes naturales'!$A$25:$C$29,3,9))</f>
        <v>3</v>
      </c>
      <c r="AI745" s="13" t="b">
        <f t="shared" si="305"/>
        <v>1</v>
      </c>
      <c r="AJ745" s="13">
        <f t="shared" si="306"/>
        <v>0</v>
      </c>
      <c r="AK745" s="28">
        <v>0.81759069605862034</v>
      </c>
      <c r="AL745" s="28">
        <v>49.553536422497153</v>
      </c>
      <c r="AM745" s="28">
        <v>0.4492364944525703</v>
      </c>
      <c r="AN745" s="13">
        <v>3</v>
      </c>
      <c r="AO745" s="33">
        <f t="shared" si="307"/>
        <v>0</v>
      </c>
      <c r="AP745" s="13">
        <f t="shared" si="317"/>
        <v>44.923649445257027</v>
      </c>
      <c r="AQ745" s="13">
        <f>IFERROR(VLOOKUP(U745,'Cortes naturales'!$E$15:$G$19,3,9),U745)</f>
        <v>4</v>
      </c>
      <c r="AR745" s="28">
        <f t="shared" si="308"/>
        <v>-0.35101344295127079</v>
      </c>
      <c r="AS745" s="13" t="b">
        <f t="shared" si="309"/>
        <v>0</v>
      </c>
      <c r="AT745" s="13">
        <f t="shared" si="318"/>
        <v>0</v>
      </c>
      <c r="AU745" s="13">
        <v>3</v>
      </c>
      <c r="AV745">
        <f t="shared" si="310"/>
        <v>0</v>
      </c>
      <c r="AW745" s="13">
        <v>0</v>
      </c>
      <c r="AX745" s="13">
        <v>0</v>
      </c>
      <c r="AY745" s="13">
        <v>0</v>
      </c>
      <c r="AZ745" s="13">
        <v>1</v>
      </c>
      <c r="BA745">
        <v>1</v>
      </c>
      <c r="BB745" t="s">
        <v>2841</v>
      </c>
      <c r="BC745">
        <v>6</v>
      </c>
      <c r="BD745" t="s">
        <v>2919</v>
      </c>
      <c r="BE745">
        <v>1</v>
      </c>
      <c r="BF745" s="232" t="s">
        <v>2846</v>
      </c>
      <c r="BG745" s="232" t="s">
        <v>2846</v>
      </c>
      <c r="BH745" s="253">
        <v>73.5</v>
      </c>
      <c r="BI745" s="253">
        <v>38.517397881996978</v>
      </c>
      <c r="BJ745" s="25">
        <v>5.7466666666666661</v>
      </c>
      <c r="BK745" t="s">
        <v>377</v>
      </c>
      <c r="BL745">
        <v>39.464837009468148</v>
      </c>
      <c r="BM745" t="s">
        <v>384</v>
      </c>
      <c r="BN745" s="322">
        <v>35925.372804999999</v>
      </c>
      <c r="BO745" s="322">
        <v>1536.206653</v>
      </c>
      <c r="BP745" s="10">
        <v>13579</v>
      </c>
      <c r="BQ745" s="254">
        <f t="shared" si="311"/>
        <v>2.6456567350320346</v>
      </c>
      <c r="BR745" s="254">
        <f t="shared" si="312"/>
        <v>0.11313105920907283</v>
      </c>
      <c r="BS745" s="25">
        <v>49.613609004591581</v>
      </c>
      <c r="BT745" s="25">
        <v>88.19880972997521</v>
      </c>
      <c r="BU745" s="25">
        <v>28.146770759403829</v>
      </c>
      <c r="BV745" s="25">
        <v>97.524891653909961</v>
      </c>
      <c r="BW745" s="25">
        <v>43.416301824964677</v>
      </c>
      <c r="BX745" s="25">
        <v>65.87102028697015</v>
      </c>
      <c r="BY745" s="25">
        <v>44.838464106431942</v>
      </c>
      <c r="BZ745">
        <v>14</v>
      </c>
      <c r="CA745">
        <v>0</v>
      </c>
      <c r="CB745">
        <v>7</v>
      </c>
      <c r="CC745">
        <v>39728.757353000001</v>
      </c>
      <c r="CD745" s="10">
        <v>16796.773022000001</v>
      </c>
      <c r="CE745" s="255">
        <v>0.42278626720580381</v>
      </c>
      <c r="CF745" t="str">
        <f>IFERROR(VLOOKUP(CE745,'Rangos amb etnico'!$A$2:$C$6,3,9),"N.D.")</f>
        <v>31% - 50%</v>
      </c>
      <c r="CG745" s="256">
        <v>4.8868144542117003E-4</v>
      </c>
      <c r="CH745" s="232">
        <v>0</v>
      </c>
      <c r="CI745" s="311">
        <f t="shared" si="319"/>
        <v>0</v>
      </c>
      <c r="CJ745" s="232">
        <f>IFERROR(VLOOKUP(CI745,'Rangos amb etnico'!$A$2:$C$6,3,9),"N.D.")</f>
        <v>0</v>
      </c>
      <c r="CK745" s="311">
        <f t="shared" si="320"/>
        <v>0</v>
      </c>
      <c r="CL745" s="10">
        <v>0</v>
      </c>
      <c r="CM745" s="255">
        <f t="shared" si="321"/>
        <v>0</v>
      </c>
      <c r="CN745" s="232">
        <f>IFERROR(VLOOKUP(CM745,'Rangos amb etnico'!$A$2:$C$6,3,9),"N.D.")</f>
        <v>0</v>
      </c>
      <c r="CO745" s="311">
        <f t="shared" si="322"/>
        <v>0</v>
      </c>
      <c r="CP745">
        <v>0.97731270576031548</v>
      </c>
      <c r="CQ745" t="s">
        <v>2864</v>
      </c>
      <c r="CR745">
        <f t="shared" si="313"/>
        <v>2</v>
      </c>
      <c r="CS745" t="str">
        <f t="shared" si="323"/>
        <v>No es Candidato</v>
      </c>
      <c r="CT745">
        <v>0</v>
      </c>
      <c r="CU745">
        <v>0</v>
      </c>
      <c r="CV745" s="25">
        <v>45.407501220703118</v>
      </c>
      <c r="CW745" s="25">
        <v>15.21003246307373</v>
      </c>
      <c r="CX745" s="25">
        <v>55.202106475830078</v>
      </c>
      <c r="CY745" s="25">
        <v>38.186141967773438</v>
      </c>
      <c r="CZ745" s="25">
        <v>34.456489562988281</v>
      </c>
      <c r="DA745" s="25">
        <v>77.240707397460938</v>
      </c>
      <c r="DB745" s="25">
        <v>52.149524688720703</v>
      </c>
      <c r="DC745">
        <v>127</v>
      </c>
      <c r="DD745" s="253" t="s">
        <v>380</v>
      </c>
    </row>
    <row r="746" spans="1:108" hidden="1">
      <c r="A746" s="13">
        <v>41797</v>
      </c>
      <c r="B746" s="13" t="s">
        <v>1922</v>
      </c>
      <c r="C746" s="13" t="s">
        <v>676</v>
      </c>
      <c r="D746" s="13" t="s">
        <v>677</v>
      </c>
      <c r="E746" s="13" t="s">
        <v>1923</v>
      </c>
      <c r="F746" s="14">
        <v>67.204266666666697</v>
      </c>
      <c r="G746" s="13">
        <v>80.16</v>
      </c>
      <c r="H746" s="13">
        <v>83.76</v>
      </c>
      <c r="I746" s="13">
        <v>69.88</v>
      </c>
      <c r="J746" s="14">
        <v>40.863063475142475</v>
      </c>
      <c r="K746" s="14">
        <v>47.927973059481694</v>
      </c>
      <c r="L746" s="14">
        <v>63.162490515122954</v>
      </c>
      <c r="M746" s="14">
        <v>56.555599999999998</v>
      </c>
      <c r="N746" s="14">
        <f t="shared" si="297"/>
        <v>75.251066666666674</v>
      </c>
      <c r="O746" s="14">
        <f t="shared" si="298"/>
        <v>52.12728176243678</v>
      </c>
      <c r="P746" s="14">
        <f t="shared" si="314"/>
        <v>63.689174214551727</v>
      </c>
      <c r="Q746" s="14">
        <v>58.411945309389147</v>
      </c>
      <c r="R746" s="17">
        <f t="shared" si="299"/>
        <v>41.588054690610853</v>
      </c>
      <c r="S746" s="14">
        <f t="shared" si="315"/>
        <v>0.47429249221549774</v>
      </c>
      <c r="T746" s="13">
        <v>0</v>
      </c>
      <c r="U746" s="13">
        <f t="shared" si="316"/>
        <v>30.207297165366754</v>
      </c>
      <c r="V746" s="13">
        <f>IF($T746=1,$AU746,(VLOOKUP(U746,'Cortes naturales'!$A$35:$C$39,3,9)))</f>
        <v>3</v>
      </c>
      <c r="W746" s="13">
        <v>3</v>
      </c>
      <c r="X746" s="14" t="b">
        <f t="shared" si="300"/>
        <v>1</v>
      </c>
      <c r="Y746" s="17">
        <f>IF($T746=1,$AU746,VLOOKUP(U746,'Cortes naturales'!$A$45:$C$49,3,9))</f>
        <v>3</v>
      </c>
      <c r="Z746" s="14">
        <v>63.200227901364315</v>
      </c>
      <c r="AA746" s="14">
        <v>0.47730155383383721</v>
      </c>
      <c r="AB746" s="14">
        <v>30.165566979973821</v>
      </c>
      <c r="AC746" s="13">
        <v>3</v>
      </c>
      <c r="AD746" s="13">
        <f t="shared" si="301"/>
        <v>0</v>
      </c>
      <c r="AE746" s="14">
        <f t="shared" si="302"/>
        <v>0.48894631318741233</v>
      </c>
      <c r="AF746" s="14">
        <f t="shared" si="303"/>
        <v>-3.0090616183394703E-3</v>
      </c>
      <c r="AG746" s="13">
        <f t="shared" si="304"/>
        <v>4.1730185392932384E-2</v>
      </c>
      <c r="AH746" s="13">
        <f>IF($T746=1,$AU746,VLOOKUP(U746,'Cortes naturales'!$A$25:$C$29,3,9))</f>
        <v>3</v>
      </c>
      <c r="AI746" s="13" t="b">
        <f t="shared" si="305"/>
        <v>1</v>
      </c>
      <c r="AJ746" s="13">
        <f t="shared" si="306"/>
        <v>0</v>
      </c>
      <c r="AK746" s="28">
        <v>0.81759069605862034</v>
      </c>
      <c r="AL746" s="28">
        <v>51.671918320939888</v>
      </c>
      <c r="AM746" s="28">
        <v>0.47573521901708887</v>
      </c>
      <c r="AN746" s="13">
        <v>3</v>
      </c>
      <c r="AO746" s="33">
        <f t="shared" si="307"/>
        <v>0</v>
      </c>
      <c r="AP746" s="13">
        <f t="shared" si="317"/>
        <v>47.573521901708887</v>
      </c>
      <c r="AQ746" s="13">
        <f>IFERROR(VLOOKUP(U746,'Cortes naturales'!$E$15:$G$19,3,9),U746)</f>
        <v>4</v>
      </c>
      <c r="AR746" s="28">
        <f t="shared" si="308"/>
        <v>-0.3432982038431226</v>
      </c>
      <c r="AS746" s="13" t="b">
        <f t="shared" si="309"/>
        <v>0</v>
      </c>
      <c r="AT746" s="13">
        <f t="shared" si="318"/>
        <v>0</v>
      </c>
      <c r="AU746" s="13">
        <v>3</v>
      </c>
      <c r="AV746">
        <f t="shared" si="310"/>
        <v>0</v>
      </c>
      <c r="AW746" s="13">
        <v>0</v>
      </c>
      <c r="AX746" s="13">
        <v>0</v>
      </c>
      <c r="AY746" s="13">
        <v>0</v>
      </c>
      <c r="AZ746" s="13">
        <v>0</v>
      </c>
      <c r="BA746">
        <v>0</v>
      </c>
      <c r="BB746" t="s">
        <v>2840</v>
      </c>
      <c r="BC746">
        <v>6</v>
      </c>
      <c r="BD746" t="s">
        <v>2919</v>
      </c>
      <c r="BE746">
        <v>0</v>
      </c>
      <c r="BF746" s="232" t="s">
        <v>2846</v>
      </c>
      <c r="BG746" s="232" t="s">
        <v>2845</v>
      </c>
      <c r="BH746" s="253">
        <v>36.1</v>
      </c>
      <c r="BI746" s="253">
        <v>10.730009214702569</v>
      </c>
      <c r="BJ746" s="25">
        <v>4.3000000000000007</v>
      </c>
      <c r="BK746" t="s">
        <v>381</v>
      </c>
      <c r="BL746">
        <v>11.783900362847925</v>
      </c>
      <c r="BM746" t="s">
        <v>376</v>
      </c>
      <c r="BN746" s="322">
        <v>24742.926072999999</v>
      </c>
      <c r="BO746" s="322">
        <v>4461.3666499999999</v>
      </c>
      <c r="BP746" s="10">
        <v>12047</v>
      </c>
      <c r="BQ746" s="254">
        <f t="shared" si="311"/>
        <v>2.0538661968124843</v>
      </c>
      <c r="BR746" s="254">
        <f t="shared" si="312"/>
        <v>0.37033009462936828</v>
      </c>
      <c r="BS746" s="25">
        <v>55.378437858268967</v>
      </c>
      <c r="BT746" s="25">
        <v>85.323693139370803</v>
      </c>
      <c r="BU746" s="25">
        <v>57.294999999999987</v>
      </c>
      <c r="BV746" s="25">
        <v>91.507273257194001</v>
      </c>
      <c r="BW746" s="25">
        <v>61.069951335935727</v>
      </c>
      <c r="BX746" s="25">
        <v>72.376101063708447</v>
      </c>
      <c r="BY746" s="25">
        <v>60.826191623850747</v>
      </c>
      <c r="BZ746">
        <v>30</v>
      </c>
      <c r="CA746">
        <v>0</v>
      </c>
      <c r="CB746">
        <v>7</v>
      </c>
      <c r="CC746">
        <v>36695.732061000002</v>
      </c>
      <c r="CD746" s="10">
        <v>133.89252999999999</v>
      </c>
      <c r="CE746" s="255">
        <v>3.6487221396054432E-3</v>
      </c>
      <c r="CF746" t="str">
        <f>IFERROR(VLOOKUP(CE746,'Rangos amb etnico'!$A$2:$C$6,3,9),"N.D.")</f>
        <v>0,1% - 30%</v>
      </c>
      <c r="CG746" s="256">
        <v>3.8954384277145212E-6</v>
      </c>
      <c r="CH746" s="232">
        <v>131.14398700000001</v>
      </c>
      <c r="CI746" s="311">
        <f t="shared" si="319"/>
        <v>3.5738212493484777E-3</v>
      </c>
      <c r="CJ746" s="232" t="str">
        <f>IFERROR(VLOOKUP(CI746,'Rangos amb etnico'!$A$2:$C$6,3,9),"N.D.")</f>
        <v>0,1% - 30%</v>
      </c>
      <c r="CK746" s="311">
        <f t="shared" si="320"/>
        <v>5.2072749098750084E-6</v>
      </c>
      <c r="CL746" s="10">
        <v>0</v>
      </c>
      <c r="CM746" s="255">
        <f t="shared" si="321"/>
        <v>0</v>
      </c>
      <c r="CN746" s="232">
        <f>IFERROR(VLOOKUP(CM746,'Rangos amb etnico'!$A$2:$C$6,3,9),"N.D.")</f>
        <v>0</v>
      </c>
      <c r="CO746" s="311">
        <f t="shared" si="322"/>
        <v>0</v>
      </c>
      <c r="CP746">
        <v>0.90695975524650296</v>
      </c>
      <c r="CQ746" t="s">
        <v>2864</v>
      </c>
      <c r="CR746">
        <f t="shared" si="313"/>
        <v>3</v>
      </c>
      <c r="CS746" t="str">
        <f t="shared" si="323"/>
        <v>Candidato</v>
      </c>
      <c r="CT746">
        <v>0</v>
      </c>
      <c r="CU746">
        <v>0</v>
      </c>
      <c r="CV746" s="25">
        <v>47.923992156982422</v>
      </c>
      <c r="CW746" s="25">
        <v>23.38894081115723</v>
      </c>
      <c r="CX746" s="25">
        <v>50.555793762207031</v>
      </c>
      <c r="CY746" s="25">
        <v>63.876728057861328</v>
      </c>
      <c r="CZ746" s="25">
        <v>45.536792755126953</v>
      </c>
      <c r="DA746" s="25">
        <v>42.073097229003913</v>
      </c>
      <c r="DB746" s="25">
        <v>62.112598419189453</v>
      </c>
      <c r="DC746">
        <v>147</v>
      </c>
      <c r="DD746" s="253" t="s">
        <v>380</v>
      </c>
    </row>
    <row r="747" spans="1:108" hidden="1">
      <c r="A747" s="13">
        <v>50150</v>
      </c>
      <c r="B747" s="13" t="s">
        <v>1924</v>
      </c>
      <c r="C747" s="13" t="s">
        <v>605</v>
      </c>
      <c r="D747" s="13" t="s">
        <v>606</v>
      </c>
      <c r="E747" s="13" t="s">
        <v>1925</v>
      </c>
      <c r="F747" s="14">
        <v>77.393666666666704</v>
      </c>
      <c r="G747" s="13">
        <v>62.02</v>
      </c>
      <c r="H747" s="13">
        <v>63.96</v>
      </c>
      <c r="I747" s="13">
        <v>69.75</v>
      </c>
      <c r="J747" s="14">
        <v>52.250833167809333</v>
      </c>
      <c r="K747" s="14">
        <v>73.694188821522587</v>
      </c>
      <c r="L747" s="14">
        <v>57.815562729552511</v>
      </c>
      <c r="M747" s="14">
        <v>63.623100000000001</v>
      </c>
      <c r="N747" s="14">
        <f t="shared" si="297"/>
        <v>68.280916666666684</v>
      </c>
      <c r="O747" s="14">
        <f t="shared" si="298"/>
        <v>61.84592117972111</v>
      </c>
      <c r="P747" s="14">
        <f t="shared" si="314"/>
        <v>65.063418923193893</v>
      </c>
      <c r="Q747" s="14">
        <v>59.033093210306539</v>
      </c>
      <c r="R747" s="17">
        <f t="shared" si="299"/>
        <v>40.966906789693461</v>
      </c>
      <c r="S747" s="14">
        <f t="shared" si="315"/>
        <v>0.46870216110724117</v>
      </c>
      <c r="T747" s="13">
        <v>0</v>
      </c>
      <c r="U747" s="13">
        <f t="shared" si="316"/>
        <v>30.495365058326747</v>
      </c>
      <c r="V747" s="13">
        <f>IF($T747=1,$AU747,(VLOOKUP(U747,'Cortes naturales'!$A$35:$C$39,3,9)))</f>
        <v>3</v>
      </c>
      <c r="W747" s="13">
        <v>3</v>
      </c>
      <c r="X747" s="14" t="b">
        <f t="shared" si="300"/>
        <v>1</v>
      </c>
      <c r="Y747" s="17">
        <f>IF($T747=1,$AU747,VLOOKUP(U747,'Cortes naturales'!$A$45:$C$49,3,9))</f>
        <v>3</v>
      </c>
      <c r="Z747" s="14">
        <v>66.05331653589991</v>
      </c>
      <c r="AA747" s="14">
        <v>0.47567251404840838</v>
      </c>
      <c r="AB747" s="14">
        <v>31.419747137866814</v>
      </c>
      <c r="AC747" s="13">
        <v>3</v>
      </c>
      <c r="AD747" s="13">
        <f t="shared" si="301"/>
        <v>0</v>
      </c>
      <c r="AE747" s="14">
        <f t="shared" si="302"/>
        <v>-0.98989761270601662</v>
      </c>
      <c r="AF747" s="14">
        <f t="shared" si="303"/>
        <v>-6.9703529411672127E-3</v>
      </c>
      <c r="AG747" s="13">
        <f t="shared" si="304"/>
        <v>-0.92438207954006657</v>
      </c>
      <c r="AH747" s="13">
        <f>IF($T747=1,$AU747,VLOOKUP(U747,'Cortes naturales'!$A$25:$C$29,3,9))</f>
        <v>3</v>
      </c>
      <c r="AI747" s="13" t="b">
        <f t="shared" si="305"/>
        <v>1</v>
      </c>
      <c r="AJ747" s="13">
        <f t="shared" si="306"/>
        <v>0</v>
      </c>
      <c r="AK747" s="28">
        <v>0.6523467210059386</v>
      </c>
      <c r="AL747" s="28">
        <v>43.08966445376165</v>
      </c>
      <c r="AM747" s="28">
        <v>0.36838026968698434</v>
      </c>
      <c r="AN747" s="13">
        <v>3</v>
      </c>
      <c r="AO747" s="33">
        <f t="shared" si="307"/>
        <v>0</v>
      </c>
      <c r="AP747" s="13">
        <f t="shared" si="317"/>
        <v>36.838026968698436</v>
      </c>
      <c r="AQ747" s="13">
        <f>IFERROR(VLOOKUP(U747,'Cortes naturales'!$E$15:$G$19,3,9),U747)</f>
        <v>4</v>
      </c>
      <c r="AR747" s="28">
        <f t="shared" si="308"/>
        <v>-0.18364455989869743</v>
      </c>
      <c r="AS747" s="13" t="b">
        <f t="shared" si="309"/>
        <v>0</v>
      </c>
      <c r="AT747" s="13">
        <f t="shared" si="318"/>
        <v>0</v>
      </c>
      <c r="AU747" s="13">
        <v>2</v>
      </c>
      <c r="AV747">
        <f t="shared" si="310"/>
        <v>-1</v>
      </c>
      <c r="AW747" s="13">
        <v>0</v>
      </c>
      <c r="AX747" s="13">
        <v>0</v>
      </c>
      <c r="AY747" s="13">
        <v>0</v>
      </c>
      <c r="AZ747" s="13">
        <v>0</v>
      </c>
      <c r="BA747">
        <v>0</v>
      </c>
      <c r="BB747" t="s">
        <v>2840</v>
      </c>
      <c r="BC747">
        <v>6</v>
      </c>
      <c r="BD747" t="s">
        <v>2919</v>
      </c>
      <c r="BE747">
        <v>1</v>
      </c>
      <c r="BF747" s="232" t="s">
        <v>2846</v>
      </c>
      <c r="BG747" s="232" t="s">
        <v>2845</v>
      </c>
      <c r="BH747" s="253">
        <v>23.1</v>
      </c>
      <c r="BI747" s="253">
        <v>9.8549866824504289</v>
      </c>
      <c r="BJ747" s="25">
        <v>11.98209722571716</v>
      </c>
      <c r="BK747" t="s">
        <v>377</v>
      </c>
      <c r="BL747">
        <v>0.61326804022586634</v>
      </c>
      <c r="BM747" t="s">
        <v>383</v>
      </c>
      <c r="BN747" s="322">
        <v>110813.05979699999</v>
      </c>
      <c r="BO747" s="322">
        <v>21433.532051999999</v>
      </c>
      <c r="BP747" s="10">
        <v>17240</v>
      </c>
      <c r="BQ747" s="254">
        <f t="shared" si="311"/>
        <v>6.4276716819605566</v>
      </c>
      <c r="BR747" s="254">
        <f t="shared" si="312"/>
        <v>1.2432443185614848</v>
      </c>
      <c r="BS747" s="25">
        <v>70.995683254845005</v>
      </c>
      <c r="BT747" s="25">
        <v>88.251060889404485</v>
      </c>
      <c r="BU747" s="25">
        <v>32.61693989071037</v>
      </c>
      <c r="BV747" s="25">
        <v>90.044460220821307</v>
      </c>
      <c r="BW747" s="25">
        <v>61.407359524868951</v>
      </c>
      <c r="BX747" s="25">
        <v>70.477036063945292</v>
      </c>
      <c r="BY747" s="25">
        <v>60.373273888200607</v>
      </c>
      <c r="BZ747">
        <v>88</v>
      </c>
      <c r="CA747">
        <v>0</v>
      </c>
      <c r="CB747">
        <v>7</v>
      </c>
      <c r="CC747">
        <v>51386.550218999997</v>
      </c>
      <c r="CD747" s="10">
        <v>285.19860199999999</v>
      </c>
      <c r="CE747" s="255">
        <v>5.5500632127382784E-3</v>
      </c>
      <c r="CF747" t="str">
        <f>IFERROR(VLOOKUP(CE747,'Rangos amb etnico'!$A$2:$C$6,3,9),"N.D.")</f>
        <v>0,1% - 30%</v>
      </c>
      <c r="CG747" s="256">
        <v>8.297502435432801E-6</v>
      </c>
      <c r="CH747" s="232">
        <v>0</v>
      </c>
      <c r="CI747" s="311">
        <f t="shared" si="319"/>
        <v>0</v>
      </c>
      <c r="CJ747" s="232">
        <f>IFERROR(VLOOKUP(CI747,'Rangos amb etnico'!$A$2:$C$6,3,9),"N.D.")</f>
        <v>0</v>
      </c>
      <c r="CK747" s="311">
        <f t="shared" si="320"/>
        <v>0</v>
      </c>
      <c r="CL747" s="10">
        <v>0</v>
      </c>
      <c r="CM747" s="255">
        <f t="shared" si="321"/>
        <v>0</v>
      </c>
      <c r="CN747" s="232">
        <f>IFERROR(VLOOKUP(CM747,'Rangos amb etnico'!$A$2:$C$6,3,9),"N.D.")</f>
        <v>0</v>
      </c>
      <c r="CO747" s="311">
        <f t="shared" si="322"/>
        <v>0</v>
      </c>
      <c r="CP747">
        <v>0.86195762333353554</v>
      </c>
      <c r="CQ747" t="s">
        <v>2864</v>
      </c>
      <c r="CR747">
        <f t="shared" si="313"/>
        <v>4</v>
      </c>
      <c r="CS747" t="str">
        <f t="shared" si="323"/>
        <v>Candidato</v>
      </c>
      <c r="CT747">
        <v>0</v>
      </c>
      <c r="CU747">
        <v>0</v>
      </c>
      <c r="CV747" s="25">
        <v>52.874698638916023</v>
      </c>
      <c r="CW747" s="25">
        <v>39.114997863769531</v>
      </c>
      <c r="CX747" s="25">
        <v>62.623218536376953</v>
      </c>
      <c r="CY747" s="25">
        <v>59.700382232666023</v>
      </c>
      <c r="CZ747" s="25">
        <v>46.527420043945313</v>
      </c>
      <c r="DA747" s="25">
        <v>43.264106750488281</v>
      </c>
      <c r="DB747" s="25">
        <v>66.018074035644531</v>
      </c>
      <c r="DC747">
        <v>152</v>
      </c>
      <c r="DD747" s="253" t="s">
        <v>380</v>
      </c>
    </row>
    <row r="748" spans="1:108">
      <c r="A748" s="13">
        <v>5086</v>
      </c>
      <c r="B748" s="13" t="s">
        <v>1926</v>
      </c>
      <c r="C748" s="13" t="s">
        <v>435</v>
      </c>
      <c r="D748" s="13" t="s">
        <v>436</v>
      </c>
      <c r="E748" s="13" t="s">
        <v>1927</v>
      </c>
      <c r="F748" s="14">
        <v>58.011666666666699</v>
      </c>
      <c r="G748" s="13">
        <v>66.290000000000006</v>
      </c>
      <c r="H748" s="13">
        <v>67.58</v>
      </c>
      <c r="I748" s="13">
        <v>66.180000000000007</v>
      </c>
      <c r="J748" s="14">
        <v>50.739235322726444</v>
      </c>
      <c r="K748" s="14">
        <v>50.883353798761689</v>
      </c>
      <c r="L748" s="14">
        <v>59.16725442129686</v>
      </c>
      <c r="M748" s="14">
        <v>47.954599999999999</v>
      </c>
      <c r="N748" s="14">
        <f t="shared" si="297"/>
        <v>64.515416666666681</v>
      </c>
      <c r="O748" s="14">
        <f t="shared" si="298"/>
        <v>52.186110885696245</v>
      </c>
      <c r="P748" s="14">
        <f t="shared" si="314"/>
        <v>58.350763776181466</v>
      </c>
      <c r="Q748" s="14">
        <v>58.696237059569533</v>
      </c>
      <c r="R748" s="17">
        <f t="shared" si="299"/>
        <v>41.303762940430467</v>
      </c>
      <c r="S748" s="14">
        <f t="shared" si="315"/>
        <v>0.47173386646387416</v>
      </c>
      <c r="T748" s="13">
        <v>0</v>
      </c>
      <c r="U748" s="13">
        <f t="shared" si="316"/>
        <v>27.526031407258255</v>
      </c>
      <c r="V748" s="13">
        <f>IF($T748=1,$AU748,(VLOOKUP(U748,'Cortes naturales'!$A$35:$C$39,3,9)))</f>
        <v>4</v>
      </c>
      <c r="W748" s="13">
        <v>4</v>
      </c>
      <c r="X748" s="14" t="b">
        <f t="shared" si="300"/>
        <v>1</v>
      </c>
      <c r="Y748" s="17">
        <f>IF($T748=1,$AU748,VLOOKUP(U748,'Cortes naturales'!$A$45:$C$49,3,9))</f>
        <v>4</v>
      </c>
      <c r="Z748" s="14">
        <v>56.973744215092495</v>
      </c>
      <c r="AA748" s="14">
        <v>0.47719457448268587</v>
      </c>
      <c r="AB748" s="14">
        <v>27.187561627406449</v>
      </c>
      <c r="AC748" s="13">
        <v>4</v>
      </c>
      <c r="AD748" s="13">
        <f t="shared" si="301"/>
        <v>0</v>
      </c>
      <c r="AE748" s="14">
        <f t="shared" si="302"/>
        <v>1.3770195610889715</v>
      </c>
      <c r="AF748" s="14">
        <f t="shared" si="303"/>
        <v>-5.4607080188117108E-3</v>
      </c>
      <c r="AG748" s="13">
        <f t="shared" si="304"/>
        <v>0.33846977985180615</v>
      </c>
      <c r="AH748" s="13">
        <f>IF($T748=1,$AU748,VLOOKUP(U748,'Cortes naturales'!$A$25:$C$29,3,9))</f>
        <v>4</v>
      </c>
      <c r="AI748" s="13" t="b">
        <f t="shared" si="305"/>
        <v>1</v>
      </c>
      <c r="AJ748" s="13">
        <f t="shared" si="306"/>
        <v>0</v>
      </c>
      <c r="AK748" s="28">
        <v>0.81759069605862034</v>
      </c>
      <c r="AL748" s="28">
        <v>46.581203189883269</v>
      </c>
      <c r="AM748" s="28">
        <v>0.41205573884712415</v>
      </c>
      <c r="AN748" s="13">
        <v>3</v>
      </c>
      <c r="AO748" s="33">
        <f t="shared" si="307"/>
        <v>-1</v>
      </c>
      <c r="AP748" s="13">
        <f t="shared" si="317"/>
        <v>41.205573884712415</v>
      </c>
      <c r="AQ748" s="13">
        <f>IFERROR(VLOOKUP(U748,'Cortes naturales'!$E$15:$G$19,3,9),U748)</f>
        <v>4</v>
      </c>
      <c r="AR748" s="28">
        <f t="shared" si="308"/>
        <v>-0.34585682959474617</v>
      </c>
      <c r="AS748" s="13" t="b">
        <f t="shared" si="309"/>
        <v>1</v>
      </c>
      <c r="AT748" s="13" t="str">
        <f t="shared" si="318"/>
        <v>Efecto ponderador</v>
      </c>
      <c r="AU748" s="13">
        <v>3</v>
      </c>
      <c r="AV748">
        <f t="shared" si="310"/>
        <v>-1</v>
      </c>
      <c r="AW748" s="13">
        <v>0</v>
      </c>
      <c r="AX748" s="13">
        <v>0</v>
      </c>
      <c r="AY748" s="13">
        <v>0</v>
      </c>
      <c r="AZ748" s="13">
        <v>0</v>
      </c>
      <c r="BA748">
        <v>0</v>
      </c>
      <c r="BB748" t="s">
        <v>2840</v>
      </c>
      <c r="BC748">
        <v>6</v>
      </c>
      <c r="BD748" t="s">
        <v>2919</v>
      </c>
      <c r="BE748">
        <v>0</v>
      </c>
      <c r="BF748" s="232" t="s">
        <v>2846</v>
      </c>
      <c r="BG748" s="232" t="s">
        <v>2845</v>
      </c>
      <c r="BH748" s="253">
        <v>40.799999999999997</v>
      </c>
      <c r="BI748" s="253">
        <v>13.385679566274069</v>
      </c>
      <c r="BJ748" s="25">
        <v>27.329303862701245</v>
      </c>
      <c r="BK748" t="s">
        <v>379</v>
      </c>
      <c r="BL748">
        <v>6.9268690223659943</v>
      </c>
      <c r="BM748" t="s">
        <v>379</v>
      </c>
      <c r="BN748" s="322">
        <v>17275.996288999999</v>
      </c>
      <c r="BO748" s="322">
        <v>3553.4601149999999</v>
      </c>
      <c r="BP748" s="10">
        <v>6193</v>
      </c>
      <c r="BQ748" s="254">
        <f t="shared" si="311"/>
        <v>2.7896005633780074</v>
      </c>
      <c r="BR748" s="254">
        <f t="shared" si="312"/>
        <v>0.57378655175197801</v>
      </c>
      <c r="BS748" s="25">
        <v>65.49153163375054</v>
      </c>
      <c r="BT748" s="25">
        <v>78.672540718553194</v>
      </c>
      <c r="BU748" s="25">
        <v>48.945</v>
      </c>
      <c r="BV748" s="25">
        <v>89.820643853082359</v>
      </c>
      <c r="BW748" s="25">
        <v>52.799698522086317</v>
      </c>
      <c r="BX748" s="25">
        <v>70.732429051346514</v>
      </c>
      <c r="BY748" s="25">
        <v>53.783415163334674</v>
      </c>
      <c r="BZ748">
        <v>61</v>
      </c>
      <c r="CA748">
        <v>0</v>
      </c>
      <c r="CB748">
        <v>7</v>
      </c>
      <c r="CC748">
        <v>29585.879758999999</v>
      </c>
      <c r="CD748" s="10">
        <v>19033.973215000002</v>
      </c>
      <c r="CE748" s="255">
        <v>0.64334653456468138</v>
      </c>
      <c r="CF748" t="str">
        <f>IFERROR(VLOOKUP(CE748,'Rangos amb etnico'!$A$2:$C$6,3,9),"N.D.")</f>
        <v>51% - 70%</v>
      </c>
      <c r="CG748" s="256">
        <v>5.5377003253131388E-4</v>
      </c>
      <c r="CH748" s="232">
        <v>0</v>
      </c>
      <c r="CI748" s="311">
        <f t="shared" si="319"/>
        <v>0</v>
      </c>
      <c r="CJ748" s="232">
        <f>IFERROR(VLOOKUP(CI748,'Rangos amb etnico'!$A$2:$C$6,3,9),"N.D.")</f>
        <v>0</v>
      </c>
      <c r="CK748" s="311">
        <f t="shared" si="320"/>
        <v>0</v>
      </c>
      <c r="CL748" s="10">
        <v>0</v>
      </c>
      <c r="CM748" s="255">
        <f t="shared" si="321"/>
        <v>0</v>
      </c>
      <c r="CN748" s="232">
        <f>IFERROR(VLOOKUP(CM748,'Rangos amb etnico'!$A$2:$C$6,3,9),"N.D.")</f>
        <v>0</v>
      </c>
      <c r="CO748" s="311">
        <f t="shared" si="322"/>
        <v>0</v>
      </c>
      <c r="CP748">
        <v>0.97404906885217535</v>
      </c>
      <c r="CQ748" t="s">
        <v>2864</v>
      </c>
      <c r="CR748">
        <f t="shared" si="313"/>
        <v>2</v>
      </c>
      <c r="CS748" t="str">
        <f t="shared" si="323"/>
        <v>No es Candidato</v>
      </c>
      <c r="CT748">
        <v>0</v>
      </c>
      <c r="CU748">
        <v>0</v>
      </c>
      <c r="CV748" s="25">
        <v>46.2274169921875</v>
      </c>
      <c r="CW748" s="25">
        <v>20.51133918762207</v>
      </c>
      <c r="CX748" s="25">
        <v>37.996673583984382</v>
      </c>
      <c r="CY748" s="25">
        <v>59.640022277832031</v>
      </c>
      <c r="CZ748" s="25">
        <v>49.082611083984382</v>
      </c>
      <c r="DA748" s="25">
        <v>48.768341064453118</v>
      </c>
      <c r="DB748" s="25">
        <v>61.365501403808587</v>
      </c>
      <c r="DC748">
        <v>2750</v>
      </c>
      <c r="DD748" s="253" t="s">
        <v>380</v>
      </c>
    </row>
    <row r="749" spans="1:108" hidden="1">
      <c r="A749" s="13">
        <v>86865</v>
      </c>
      <c r="B749" s="13" t="s">
        <v>1928</v>
      </c>
      <c r="C749" s="13" t="s">
        <v>943</v>
      </c>
      <c r="D749" s="13" t="s">
        <v>944</v>
      </c>
      <c r="E749" s="13" t="s">
        <v>1929</v>
      </c>
      <c r="F749" s="14">
        <v>62.857866666666702</v>
      </c>
      <c r="G749" s="13">
        <v>60.99</v>
      </c>
      <c r="H749" s="13">
        <v>51.1</v>
      </c>
      <c r="I749" s="13">
        <v>55.3</v>
      </c>
      <c r="J749" s="14">
        <v>53.939455962924697</v>
      </c>
      <c r="K749" s="14">
        <v>69.111591302621903</v>
      </c>
      <c r="L749" s="14">
        <v>70.274434156229404</v>
      </c>
      <c r="M749" s="14">
        <v>64.552700000000002</v>
      </c>
      <c r="N749" s="14">
        <f t="shared" si="297"/>
        <v>57.561966666666677</v>
      </c>
      <c r="O749" s="14">
        <f t="shared" si="298"/>
        <v>64.469545355443998</v>
      </c>
      <c r="P749" s="14">
        <f t="shared" si="314"/>
        <v>61.015756011055338</v>
      </c>
      <c r="Q749" s="14">
        <v>59.158220146622199</v>
      </c>
      <c r="R749" s="17">
        <f t="shared" si="299"/>
        <v>40.841779853377801</v>
      </c>
      <c r="S749" s="14">
        <f t="shared" si="315"/>
        <v>0.46757601868040022</v>
      </c>
      <c r="T749" s="13">
        <v>0</v>
      </c>
      <c r="U749" s="13">
        <f t="shared" si="316"/>
        <v>28.529504272423953</v>
      </c>
      <c r="V749" s="13">
        <f>IF($T749=1,$AU749,(VLOOKUP(U749,'Cortes naturales'!$A$35:$C$39,3,9)))</f>
        <v>4</v>
      </c>
      <c r="W749" s="13">
        <v>4</v>
      </c>
      <c r="X749" s="14" t="b">
        <f t="shared" si="300"/>
        <v>1</v>
      </c>
      <c r="Y749" s="17">
        <f>IF($T749=1,$AU749,VLOOKUP(U749,'Cortes naturales'!$A$45:$C$49,3,9))</f>
        <v>3</v>
      </c>
      <c r="Z749" s="14">
        <v>61.080827192304881</v>
      </c>
      <c r="AA749" s="14">
        <v>0.47662650344578905</v>
      </c>
      <c r="AB749" s="14">
        <v>29.112741092244747</v>
      </c>
      <c r="AC749" s="13">
        <v>3</v>
      </c>
      <c r="AD749" s="13">
        <f t="shared" si="301"/>
        <v>0</v>
      </c>
      <c r="AE749" s="14">
        <f t="shared" si="302"/>
        <v>-6.5071181249543031E-2</v>
      </c>
      <c r="AF749" s="14">
        <f t="shared" si="303"/>
        <v>-9.0504847653888332E-3</v>
      </c>
      <c r="AG749" s="13">
        <f t="shared" si="304"/>
        <v>-0.58323681982079378</v>
      </c>
      <c r="AH749" s="13">
        <f>IF($T749=1,$AU749,VLOOKUP(U749,'Cortes naturales'!$A$25:$C$29,3,9))</f>
        <v>3</v>
      </c>
      <c r="AI749" s="13" t="b">
        <f t="shared" si="305"/>
        <v>1</v>
      </c>
      <c r="AJ749" s="13">
        <f t="shared" si="306"/>
        <v>0</v>
      </c>
      <c r="AK749" s="28">
        <v>0.81759069605862034</v>
      </c>
      <c r="AL749" s="28">
        <v>49.939116019992852</v>
      </c>
      <c r="AM749" s="28">
        <v>0.45405968877803515</v>
      </c>
      <c r="AN749" s="13">
        <v>3</v>
      </c>
      <c r="AO749" s="33">
        <f t="shared" si="307"/>
        <v>0</v>
      </c>
      <c r="AP749" s="13">
        <f t="shared" si="317"/>
        <v>45.405968877803517</v>
      </c>
      <c r="AQ749" s="13">
        <f>IFERROR(VLOOKUP(U749,'Cortes naturales'!$E$15:$G$19,3,9),U749)</f>
        <v>4</v>
      </c>
      <c r="AR749" s="28">
        <f t="shared" si="308"/>
        <v>-0.35001467737822012</v>
      </c>
      <c r="AS749" s="13" t="b">
        <f t="shared" si="309"/>
        <v>0</v>
      </c>
      <c r="AT749" s="13">
        <f t="shared" si="318"/>
        <v>0</v>
      </c>
      <c r="AU749" s="13">
        <v>3</v>
      </c>
      <c r="AV749">
        <f t="shared" si="310"/>
        <v>0</v>
      </c>
      <c r="AW749" s="13">
        <v>0</v>
      </c>
      <c r="AX749" s="13">
        <v>0</v>
      </c>
      <c r="AY749" s="13">
        <v>0</v>
      </c>
      <c r="AZ749" s="13">
        <v>1</v>
      </c>
      <c r="BA749">
        <v>1</v>
      </c>
      <c r="BB749" t="s">
        <v>2840</v>
      </c>
      <c r="BC749">
        <v>6</v>
      </c>
      <c r="BD749" t="s">
        <v>2919</v>
      </c>
      <c r="BE749">
        <v>0</v>
      </c>
      <c r="BF749" s="232" t="s">
        <v>2846</v>
      </c>
      <c r="BG749" s="232" t="s">
        <v>2846</v>
      </c>
      <c r="BH749" s="253">
        <v>41</v>
      </c>
      <c r="BI749" s="253">
        <v>16.847145488029465</v>
      </c>
      <c r="BJ749" s="25">
        <v>13.793333333333333</v>
      </c>
      <c r="BK749" t="s">
        <v>377</v>
      </c>
      <c r="BL749">
        <v>38.83563671706402</v>
      </c>
      <c r="BM749" t="s">
        <v>384</v>
      </c>
      <c r="BN749" s="322">
        <v>119846.599243</v>
      </c>
      <c r="BO749" s="322">
        <v>7544.3540670000002</v>
      </c>
      <c r="BP749" s="10">
        <v>34604</v>
      </c>
      <c r="BQ749" s="254">
        <f t="shared" si="311"/>
        <v>3.463374154519709</v>
      </c>
      <c r="BR749" s="254">
        <f t="shared" si="312"/>
        <v>0.21801971064038841</v>
      </c>
      <c r="BS749" s="25">
        <v>75.019527882790058</v>
      </c>
      <c r="BT749" s="25">
        <v>97.295363574297198</v>
      </c>
      <c r="BU749" s="25">
        <v>38.587050923769603</v>
      </c>
      <c r="BV749" s="25">
        <v>86.546170593230954</v>
      </c>
      <c r="BW749" s="25">
        <v>44.157059690690083</v>
      </c>
      <c r="BX749" s="25">
        <v>74.362028243521948</v>
      </c>
      <c r="BY749" s="25">
        <v>45.794257314006927</v>
      </c>
      <c r="BZ749">
        <v>11</v>
      </c>
      <c r="CA749">
        <v>0</v>
      </c>
      <c r="CB749">
        <v>6</v>
      </c>
      <c r="CC749">
        <v>81451.542119999998</v>
      </c>
      <c r="CD749" s="10">
        <v>5781.2715829999997</v>
      </c>
      <c r="CE749" s="255">
        <v>7.0978049433154181E-2</v>
      </c>
      <c r="CF749" t="str">
        <f>IFERROR(VLOOKUP(CE749,'Rangos amb etnico'!$A$2:$C$6,3,9),"N.D.")</f>
        <v>0,1% - 30%</v>
      </c>
      <c r="CG749" s="256">
        <v>1.6819898380792536E-4</v>
      </c>
      <c r="CH749" s="232">
        <v>7119.1104109999997</v>
      </c>
      <c r="CI749" s="311">
        <f t="shared" si="319"/>
        <v>8.7403015654530375E-2</v>
      </c>
      <c r="CJ749" s="232" t="str">
        <f>IFERROR(VLOOKUP(CI749,'Rangos amb etnico'!$A$2:$C$6,3,9),"N.D.")</f>
        <v>0,1% - 30%</v>
      </c>
      <c r="CK749" s="311">
        <f t="shared" si="320"/>
        <v>2.8267529355982031E-4</v>
      </c>
      <c r="CL749" s="10">
        <v>0</v>
      </c>
      <c r="CM749" s="255">
        <f t="shared" si="321"/>
        <v>0</v>
      </c>
      <c r="CN749" s="232">
        <f>IFERROR(VLOOKUP(CM749,'Rangos amb etnico'!$A$2:$C$6,3,9),"N.D.")</f>
        <v>0</v>
      </c>
      <c r="CO749" s="311">
        <f t="shared" si="322"/>
        <v>0</v>
      </c>
      <c r="CP749">
        <v>0.898521321942364</v>
      </c>
      <c r="CQ749" t="s">
        <v>2864</v>
      </c>
      <c r="CR749">
        <f t="shared" si="313"/>
        <v>2</v>
      </c>
      <c r="CS749" t="str">
        <f t="shared" si="323"/>
        <v>No es Candidato</v>
      </c>
      <c r="CT749">
        <v>1</v>
      </c>
      <c r="CU749" t="s">
        <v>2835</v>
      </c>
      <c r="CV749" s="25">
        <v>40.993476867675781</v>
      </c>
      <c r="CW749" s="25">
        <v>22.17800331115723</v>
      </c>
      <c r="CX749" s="25">
        <v>29.963325500488281</v>
      </c>
      <c r="CY749" s="25">
        <v>56.923992156982422</v>
      </c>
      <c r="CZ749" s="25">
        <v>27.64556884765625</v>
      </c>
      <c r="DA749" s="25">
        <v>60.104766845703118</v>
      </c>
      <c r="DB749" s="25">
        <v>49.145210266113281</v>
      </c>
      <c r="DC749">
        <v>5318</v>
      </c>
      <c r="DD749" s="253" t="s">
        <v>380</v>
      </c>
    </row>
    <row r="750" spans="1:108" hidden="1">
      <c r="A750" s="13">
        <v>47960</v>
      </c>
      <c r="B750" s="13" t="s">
        <v>1930</v>
      </c>
      <c r="C750" s="13" t="s">
        <v>638</v>
      </c>
      <c r="D750" s="13" t="s">
        <v>639</v>
      </c>
      <c r="E750" s="13" t="s">
        <v>1931</v>
      </c>
      <c r="F750" s="14">
        <v>58.5172666666667</v>
      </c>
      <c r="G750" s="13">
        <v>75.36</v>
      </c>
      <c r="H750" s="13">
        <v>72.59</v>
      </c>
      <c r="I750" s="13">
        <v>73.28</v>
      </c>
      <c r="J750" s="14">
        <v>30.48497122918058</v>
      </c>
      <c r="K750" s="14">
        <v>38.498139411263338</v>
      </c>
      <c r="L750" s="14">
        <v>11.899436562194225</v>
      </c>
      <c r="M750" s="14">
        <v>65.256200000000007</v>
      </c>
      <c r="N750" s="14">
        <f t="shared" si="297"/>
        <v>69.936816666666672</v>
      </c>
      <c r="O750" s="14">
        <f t="shared" si="298"/>
        <v>36.534686800659543</v>
      </c>
      <c r="P750" s="14">
        <f t="shared" si="314"/>
        <v>53.235751733663108</v>
      </c>
      <c r="Q750" s="14">
        <v>59.208468926772618</v>
      </c>
      <c r="R750" s="17">
        <f t="shared" si="299"/>
        <v>40.791531073227382</v>
      </c>
      <c r="S750" s="14">
        <f t="shared" si="315"/>
        <v>0.4671237796590465</v>
      </c>
      <c r="T750" s="13">
        <v>0</v>
      </c>
      <c r="U750" s="13">
        <f t="shared" si="316"/>
        <v>24.867685562819347</v>
      </c>
      <c r="V750" s="13">
        <f>IF($T750=1,$AU750,(VLOOKUP(U750,'Cortes naturales'!$A$35:$C$39,3,9)))</f>
        <v>4</v>
      </c>
      <c r="W750" s="13">
        <v>4</v>
      </c>
      <c r="X750" s="14" t="b">
        <f t="shared" si="300"/>
        <v>1</v>
      </c>
      <c r="Y750" s="17">
        <f>IF($T750=1,$AU750,VLOOKUP(U750,'Cortes naturales'!$A$45:$C$49,3,9))</f>
        <v>4</v>
      </c>
      <c r="Z750" s="14">
        <v>48.465612299116657</v>
      </c>
      <c r="AA750" s="14">
        <v>0.47657953200927672</v>
      </c>
      <c r="AB750" s="14">
        <v>23.097718828056063</v>
      </c>
      <c r="AC750" s="13">
        <v>4</v>
      </c>
      <c r="AD750" s="13">
        <f t="shared" si="301"/>
        <v>0</v>
      </c>
      <c r="AE750" s="14">
        <f t="shared" si="302"/>
        <v>4.7701394345464507</v>
      </c>
      <c r="AF750" s="14">
        <f t="shared" si="303"/>
        <v>-9.4557523502302177E-3</v>
      </c>
      <c r="AG750" s="13">
        <f t="shared" si="304"/>
        <v>1.7699667347632833</v>
      </c>
      <c r="AH750" s="13">
        <f>IF($T750=1,$AU750,VLOOKUP(U750,'Cortes naturales'!$A$25:$C$29,3,9))</f>
        <v>4</v>
      </c>
      <c r="AI750" s="13" t="b">
        <f t="shared" si="305"/>
        <v>1</v>
      </c>
      <c r="AJ750" s="13">
        <f t="shared" si="306"/>
        <v>0</v>
      </c>
      <c r="AK750" s="28">
        <v>0.81759069605862034</v>
      </c>
      <c r="AL750" s="28">
        <v>39.625033694542019</v>
      </c>
      <c r="AM750" s="28">
        <v>0.3250413909542072</v>
      </c>
      <c r="AN750" s="13">
        <v>4</v>
      </c>
      <c r="AO750" s="33">
        <f t="shared" si="307"/>
        <v>0</v>
      </c>
      <c r="AP750" s="13">
        <f t="shared" si="317"/>
        <v>32.504139095420719</v>
      </c>
      <c r="AQ750" s="13">
        <f>IFERROR(VLOOKUP(U750,'Cortes naturales'!$E$15:$G$19,3,9),U750)</f>
        <v>4</v>
      </c>
      <c r="AR750" s="28">
        <f t="shared" si="308"/>
        <v>-0.35046691639957384</v>
      </c>
      <c r="AS750" s="13" t="b">
        <f t="shared" si="309"/>
        <v>1</v>
      </c>
      <c r="AT750" s="13">
        <f t="shared" si="318"/>
        <v>0</v>
      </c>
      <c r="AU750" s="13">
        <v>4</v>
      </c>
      <c r="AV750">
        <f t="shared" si="310"/>
        <v>0</v>
      </c>
      <c r="AW750" s="13">
        <v>0</v>
      </c>
      <c r="AX750" s="13">
        <v>0</v>
      </c>
      <c r="AY750" s="13">
        <v>0</v>
      </c>
      <c r="AZ750" s="13">
        <v>0</v>
      </c>
      <c r="BA750">
        <v>0</v>
      </c>
      <c r="BB750" t="s">
        <v>2840</v>
      </c>
      <c r="BC750">
        <v>6</v>
      </c>
      <c r="BD750" t="s">
        <v>2919</v>
      </c>
      <c r="BE750">
        <v>0</v>
      </c>
      <c r="BF750" s="232" t="s">
        <v>2846</v>
      </c>
      <c r="BG750" s="232" t="s">
        <v>2846</v>
      </c>
      <c r="BH750" s="253">
        <v>70.400000000000006</v>
      </c>
      <c r="BI750" s="253">
        <v>50.139437601673251</v>
      </c>
      <c r="BJ750" s="25">
        <v>17.877920786371739</v>
      </c>
      <c r="BK750" t="s">
        <v>379</v>
      </c>
      <c r="BL750">
        <v>2.5276154683178724</v>
      </c>
      <c r="BM750" t="s">
        <v>383</v>
      </c>
      <c r="BN750" s="322">
        <v>29081.626798000001</v>
      </c>
      <c r="BO750" s="322">
        <v>817.25061400000004</v>
      </c>
      <c r="BP750" s="10">
        <v>11061</v>
      </c>
      <c r="BQ750" s="254">
        <f t="shared" si="311"/>
        <v>2.6292041224120788</v>
      </c>
      <c r="BR750" s="254">
        <f t="shared" si="312"/>
        <v>7.3885780128378986E-2</v>
      </c>
      <c r="BS750" s="25">
        <v>53.315942546094448</v>
      </c>
      <c r="BT750" s="25">
        <v>90.015760665702317</v>
      </c>
      <c r="BU750" s="25">
        <v>27.608763796909471</v>
      </c>
      <c r="BV750" s="25">
        <v>100.2301119336158</v>
      </c>
      <c r="BW750" s="25">
        <v>51.552193683604408</v>
      </c>
      <c r="BX750" s="25">
        <v>67.792644735580524</v>
      </c>
      <c r="BY750" s="25">
        <v>52.641236975249853</v>
      </c>
      <c r="BZ750">
        <v>74</v>
      </c>
      <c r="CA750">
        <v>0</v>
      </c>
      <c r="CB750">
        <v>7</v>
      </c>
      <c r="CC750">
        <v>37260.620360000001</v>
      </c>
      <c r="CD750" s="10">
        <v>5616.4810740000003</v>
      </c>
      <c r="CE750" s="255">
        <v>0.15073503929176127</v>
      </c>
      <c r="CF750" t="str">
        <f>IFERROR(VLOOKUP(CE750,'Rangos amb etnico'!$A$2:$C$6,3,9),"N.D.")</f>
        <v>0,1% - 30%</v>
      </c>
      <c r="CG750" s="256">
        <v>1.6340460669606383E-4</v>
      </c>
      <c r="CH750" s="232">
        <v>0</v>
      </c>
      <c r="CI750" s="311">
        <f t="shared" si="319"/>
        <v>0</v>
      </c>
      <c r="CJ750" s="232">
        <f>IFERROR(VLOOKUP(CI750,'Rangos amb etnico'!$A$2:$C$6,3,9),"N.D.")</f>
        <v>0</v>
      </c>
      <c r="CK750" s="311">
        <f t="shared" si="320"/>
        <v>0</v>
      </c>
      <c r="CL750" s="10">
        <v>0</v>
      </c>
      <c r="CM750" s="255">
        <f t="shared" si="321"/>
        <v>0</v>
      </c>
      <c r="CN750" s="232">
        <f>IFERROR(VLOOKUP(CM750,'Rangos amb etnico'!$A$2:$C$6,3,9),"N.D.")</f>
        <v>0</v>
      </c>
      <c r="CO750" s="311">
        <f t="shared" si="322"/>
        <v>0</v>
      </c>
      <c r="CP750">
        <v>0.93583032426812462</v>
      </c>
      <c r="CQ750" t="s">
        <v>2864</v>
      </c>
      <c r="CR750">
        <f t="shared" si="313"/>
        <v>3</v>
      </c>
      <c r="CS750" t="str">
        <f t="shared" si="323"/>
        <v>Candidato</v>
      </c>
      <c r="CT750">
        <v>0</v>
      </c>
      <c r="CU750">
        <v>0</v>
      </c>
      <c r="CV750" s="25">
        <v>45.298938751220703</v>
      </c>
      <c r="CW750" s="25">
        <v>13.248860359191889</v>
      </c>
      <c r="CX750" s="25">
        <v>52.272472381591797</v>
      </c>
      <c r="CY750" s="25">
        <v>45.532337188720703</v>
      </c>
      <c r="CZ750" s="25">
        <v>16.246099472045898</v>
      </c>
      <c r="DA750" s="25">
        <v>93.789093017578125</v>
      </c>
      <c r="DB750" s="25">
        <v>50.70477294921875</v>
      </c>
      <c r="DC750">
        <v>461</v>
      </c>
      <c r="DD750" s="253" t="s">
        <v>380</v>
      </c>
    </row>
    <row r="751" spans="1:108" hidden="1">
      <c r="A751" s="13">
        <v>25871</v>
      </c>
      <c r="B751" s="13" t="s">
        <v>1932</v>
      </c>
      <c r="C751" s="13" t="s">
        <v>461</v>
      </c>
      <c r="D751" s="13" t="s">
        <v>462</v>
      </c>
      <c r="E751" s="13" t="s">
        <v>1933</v>
      </c>
      <c r="F751" s="14">
        <v>67.192033333333299</v>
      </c>
      <c r="G751" s="13">
        <v>85.8</v>
      </c>
      <c r="H751" s="13">
        <v>64.28</v>
      </c>
      <c r="I751" s="13">
        <v>49.8</v>
      </c>
      <c r="J751" s="14">
        <v>73.751466832552055</v>
      </c>
      <c r="K751" s="14">
        <v>63.279870491815373</v>
      </c>
      <c r="L751" s="14">
        <v>61.298500709742029</v>
      </c>
      <c r="M751" s="14">
        <v>52.2806</v>
      </c>
      <c r="N751" s="14">
        <f t="shared" si="297"/>
        <v>66.768008333333327</v>
      </c>
      <c r="O751" s="14">
        <f t="shared" si="298"/>
        <v>62.652609508527362</v>
      </c>
      <c r="P751" s="14">
        <f t="shared" si="314"/>
        <v>64.710308920930345</v>
      </c>
      <c r="Q751" s="14">
        <v>60.665443290616892</v>
      </c>
      <c r="R751" s="17">
        <f t="shared" si="299"/>
        <v>39.334556709383108</v>
      </c>
      <c r="S751" s="14">
        <f t="shared" si="315"/>
        <v>0.45401101038444802</v>
      </c>
      <c r="T751" s="13">
        <v>0</v>
      </c>
      <c r="U751" s="13">
        <f t="shared" si="316"/>
        <v>29.379192735481347</v>
      </c>
      <c r="V751" s="13">
        <f>IF($T751=1,$AU751,(VLOOKUP(U751,'Cortes naturales'!$A$35:$C$39,3,9)))</f>
        <v>4</v>
      </c>
      <c r="W751" s="13">
        <v>4</v>
      </c>
      <c r="X751" s="14" t="b">
        <f t="shared" si="300"/>
        <v>1</v>
      </c>
      <c r="Y751" s="17">
        <f>IF($T751=1,$AU751,VLOOKUP(U751,'Cortes naturales'!$A$45:$C$49,3,9))</f>
        <v>3</v>
      </c>
      <c r="Z751" s="14">
        <v>65.36294656334114</v>
      </c>
      <c r="AA751" s="14">
        <v>0.47577008314910363</v>
      </c>
      <c r="AB751" s="14">
        <v>31.097734521311232</v>
      </c>
      <c r="AC751" s="13">
        <v>3</v>
      </c>
      <c r="AD751" s="13">
        <f t="shared" si="301"/>
        <v>0</v>
      </c>
      <c r="AE751" s="14">
        <f t="shared" si="302"/>
        <v>-0.65263764241079514</v>
      </c>
      <c r="AF751" s="14">
        <f t="shared" si="303"/>
        <v>-2.1759072764655607E-2</v>
      </c>
      <c r="AG751" s="13">
        <f t="shared" si="304"/>
        <v>-1.7185417858298848</v>
      </c>
      <c r="AH751" s="13">
        <f>IF($T751=1,$AU751,VLOOKUP(U751,'Cortes naturales'!$A$25:$C$29,3,9))</f>
        <v>3</v>
      </c>
      <c r="AI751" s="13" t="b">
        <f t="shared" si="305"/>
        <v>1</v>
      </c>
      <c r="AJ751" s="13">
        <f t="shared" si="306"/>
        <v>0</v>
      </c>
      <c r="AK751" s="28">
        <v>0.6523467210059386</v>
      </c>
      <c r="AL751" s="28">
        <v>42.639303865881978</v>
      </c>
      <c r="AM751" s="28">
        <v>0.36274673345741637</v>
      </c>
      <c r="AN751" s="13">
        <v>3</v>
      </c>
      <c r="AO751" s="33">
        <f t="shared" si="307"/>
        <v>0</v>
      </c>
      <c r="AP751" s="13">
        <f t="shared" si="317"/>
        <v>36.27467334574164</v>
      </c>
      <c r="AQ751" s="13">
        <f>IFERROR(VLOOKUP(U751,'Cortes naturales'!$E$15:$G$19,3,9),U751)</f>
        <v>4</v>
      </c>
      <c r="AR751" s="28">
        <f t="shared" si="308"/>
        <v>-0.19833571062149058</v>
      </c>
      <c r="AS751" s="13" t="b">
        <f t="shared" si="309"/>
        <v>0</v>
      </c>
      <c r="AT751" s="13">
        <f t="shared" si="318"/>
        <v>0</v>
      </c>
      <c r="AU751" s="13">
        <v>3</v>
      </c>
      <c r="AV751">
        <f t="shared" si="310"/>
        <v>0</v>
      </c>
      <c r="AW751" s="13">
        <v>0</v>
      </c>
      <c r="AX751" s="13">
        <v>0</v>
      </c>
      <c r="AY751" s="13">
        <v>0</v>
      </c>
      <c r="AZ751" s="13">
        <v>0</v>
      </c>
      <c r="BA751">
        <v>0</v>
      </c>
      <c r="BB751" t="s">
        <v>2840</v>
      </c>
      <c r="BC751">
        <v>6</v>
      </c>
      <c r="BD751" t="s">
        <v>2919</v>
      </c>
      <c r="BE751">
        <v>0</v>
      </c>
      <c r="BF751" s="232" t="s">
        <v>2846</v>
      </c>
      <c r="BG751" s="232" t="s">
        <v>2846</v>
      </c>
      <c r="BH751" s="253">
        <v>38.200000000000003</v>
      </c>
      <c r="BI751" s="253">
        <v>10.265486725663717</v>
      </c>
      <c r="BJ751" s="25">
        <v>7.1958333333333329</v>
      </c>
      <c r="BK751" t="s">
        <v>377</v>
      </c>
      <c r="BL751">
        <v>0</v>
      </c>
      <c r="BM751" t="s">
        <v>377</v>
      </c>
      <c r="BN751" s="322">
        <v>7756.4167889999999</v>
      </c>
      <c r="BO751" s="322">
        <v>367.30917199999999</v>
      </c>
      <c r="BP751" s="10">
        <v>1645</v>
      </c>
      <c r="BQ751" s="254">
        <f t="shared" si="311"/>
        <v>4.7151469841945284</v>
      </c>
      <c r="BR751" s="254">
        <f t="shared" si="312"/>
        <v>0.22328825045592704</v>
      </c>
      <c r="BS751" s="25">
        <v>51.896095602992148</v>
      </c>
      <c r="BT751" s="25">
        <v>87.57345491388044</v>
      </c>
      <c r="BU751" s="25">
        <v>23.470676691729299</v>
      </c>
      <c r="BV751" s="25">
        <v>99.007324345362278</v>
      </c>
      <c r="BW751" s="25">
        <v>46.782045749259403</v>
      </c>
      <c r="BX751" s="25">
        <v>65.48688788849104</v>
      </c>
      <c r="BY751" s="25">
        <v>46.106437802712712</v>
      </c>
      <c r="BZ751">
        <v>33</v>
      </c>
      <c r="CA751">
        <v>0</v>
      </c>
      <c r="CB751">
        <v>7</v>
      </c>
      <c r="CC751">
        <v>6289.506273</v>
      </c>
      <c r="CD751" s="10">
        <v>549.69534199999998</v>
      </c>
      <c r="CE751" s="255">
        <v>8.7398806542219029E-2</v>
      </c>
      <c r="CF751" t="str">
        <f>IFERROR(VLOOKUP(CE751,'Rangos amb etnico'!$A$2:$C$6,3,9),"N.D.")</f>
        <v>0,1% - 30%</v>
      </c>
      <c r="CG751" s="256">
        <v>1.5992709666196283E-5</v>
      </c>
      <c r="CH751" s="232">
        <v>0</v>
      </c>
      <c r="CI751" s="311">
        <f t="shared" si="319"/>
        <v>0</v>
      </c>
      <c r="CJ751" s="232">
        <f>IFERROR(VLOOKUP(CI751,'Rangos amb etnico'!$A$2:$C$6,3,9),"N.D.")</f>
        <v>0</v>
      </c>
      <c r="CK751" s="311">
        <f t="shared" si="320"/>
        <v>0</v>
      </c>
      <c r="CL751" s="10">
        <v>0</v>
      </c>
      <c r="CM751" s="255">
        <f t="shared" si="321"/>
        <v>0</v>
      </c>
      <c r="CN751" s="232">
        <f>IFERROR(VLOOKUP(CM751,'Rangos amb etnico'!$A$2:$C$6,3,9),"N.D.")</f>
        <v>0</v>
      </c>
      <c r="CO751" s="311">
        <f t="shared" si="322"/>
        <v>0</v>
      </c>
      <c r="CP751">
        <v>0.86191845541525702</v>
      </c>
      <c r="CQ751" t="s">
        <v>2864</v>
      </c>
      <c r="CR751">
        <f t="shared" si="313"/>
        <v>1</v>
      </c>
      <c r="CS751" t="str">
        <f t="shared" si="323"/>
        <v>No es Candidato</v>
      </c>
      <c r="CT751">
        <v>0</v>
      </c>
      <c r="CU751">
        <v>0</v>
      </c>
      <c r="CV751" s="25">
        <v>40.964073181152337</v>
      </c>
      <c r="CW751" s="25">
        <v>13.0520076751709</v>
      </c>
      <c r="CX751" s="25">
        <v>51.06793212890625</v>
      </c>
      <c r="CY751" s="25">
        <v>59.73358154296875</v>
      </c>
      <c r="CZ751" s="25">
        <v>30.861320495605469</v>
      </c>
      <c r="DA751" s="25">
        <v>51.715370178222663</v>
      </c>
      <c r="DB751" s="25">
        <v>39.354217529296882</v>
      </c>
      <c r="DC751">
        <v>15</v>
      </c>
      <c r="DD751" s="253" t="s">
        <v>380</v>
      </c>
    </row>
    <row r="752" spans="1:108" hidden="1">
      <c r="A752" s="13">
        <v>54239</v>
      </c>
      <c r="B752" s="13" t="s">
        <v>1934</v>
      </c>
      <c r="C752" s="13" t="s">
        <v>517</v>
      </c>
      <c r="D752" s="13" t="s">
        <v>518</v>
      </c>
      <c r="E752" s="13" t="s">
        <v>1935</v>
      </c>
      <c r="F752" s="14">
        <v>57.363766666666699</v>
      </c>
      <c r="G752" s="13">
        <v>61.54</v>
      </c>
      <c r="H752" s="13">
        <v>58.35</v>
      </c>
      <c r="I752" s="13">
        <v>57.69</v>
      </c>
      <c r="J752" s="14">
        <v>45.84072653071452</v>
      </c>
      <c r="K752" s="14">
        <v>53.208576184697762</v>
      </c>
      <c r="L752" s="14">
        <v>51.929671320071392</v>
      </c>
      <c r="M752" s="14">
        <v>54.202300000000001</v>
      </c>
      <c r="N752" s="14">
        <f t="shared" si="297"/>
        <v>58.735941666666676</v>
      </c>
      <c r="O752" s="14">
        <f t="shared" si="298"/>
        <v>51.29531850887092</v>
      </c>
      <c r="P752" s="14">
        <f t="shared" si="314"/>
        <v>55.015630087768798</v>
      </c>
      <c r="Q752" s="14">
        <v>59.050475972170844</v>
      </c>
      <c r="R752" s="17">
        <f t="shared" si="299"/>
        <v>40.949524027829156</v>
      </c>
      <c r="S752" s="14">
        <f t="shared" si="315"/>
        <v>0.46854571625046237</v>
      </c>
      <c r="T752" s="13">
        <v>0</v>
      </c>
      <c r="U752" s="13">
        <f t="shared" si="316"/>
        <v>25.777337804444119</v>
      </c>
      <c r="V752" s="13">
        <f>IF($T752=1,$AU752,(VLOOKUP(U752,'Cortes naturales'!$A$35:$C$39,3,9)))</f>
        <v>4</v>
      </c>
      <c r="W752" s="13">
        <v>4</v>
      </c>
      <c r="X752" s="14" t="b">
        <f t="shared" si="300"/>
        <v>1</v>
      </c>
      <c r="Y752" s="17">
        <f>IF($T752=1,$AU752,VLOOKUP(U752,'Cortes naturales'!$A$45:$C$49,3,9))</f>
        <v>4</v>
      </c>
      <c r="Z752" s="14">
        <v>54.927366940317143</v>
      </c>
      <c r="AA752" s="14">
        <v>0.47753551485259715</v>
      </c>
      <c r="AB752" s="14">
        <v>26.229768451341872</v>
      </c>
      <c r="AC752" s="13">
        <v>4</v>
      </c>
      <c r="AD752" s="13">
        <f t="shared" si="301"/>
        <v>0</v>
      </c>
      <c r="AE752" s="14">
        <f t="shared" si="302"/>
        <v>8.8263147451655755E-2</v>
      </c>
      <c r="AF752" s="14">
        <f t="shared" si="303"/>
        <v>-8.9897986021347798E-3</v>
      </c>
      <c r="AG752" s="13">
        <f t="shared" si="304"/>
        <v>-0.45243064689775281</v>
      </c>
      <c r="AH752" s="13">
        <f>IF($T752=1,$AU752,VLOOKUP(U752,'Cortes naturales'!$A$25:$C$29,3,9))</f>
        <v>4</v>
      </c>
      <c r="AI752" s="13" t="b">
        <f t="shared" si="305"/>
        <v>1</v>
      </c>
      <c r="AJ752" s="13">
        <f t="shared" si="306"/>
        <v>0</v>
      </c>
      <c r="AK752" s="28">
        <v>0.81759069605862034</v>
      </c>
      <c r="AL752" s="28">
        <v>44.908104169401142</v>
      </c>
      <c r="AM752" s="28">
        <v>0.39112703371349677</v>
      </c>
      <c r="AN752" s="13">
        <v>3</v>
      </c>
      <c r="AO752" s="33">
        <f t="shared" si="307"/>
        <v>-1</v>
      </c>
      <c r="AP752" s="13">
        <f t="shared" si="317"/>
        <v>39.112703371349674</v>
      </c>
      <c r="AQ752" s="13">
        <f>IFERROR(VLOOKUP(U752,'Cortes naturales'!$E$15:$G$19,3,9),U752)</f>
        <v>4</v>
      </c>
      <c r="AR752" s="28">
        <f t="shared" si="308"/>
        <v>-0.34904497980815796</v>
      </c>
      <c r="AS752" s="13" t="b">
        <f t="shared" si="309"/>
        <v>1</v>
      </c>
      <c r="AT752" s="13" t="str">
        <f t="shared" si="318"/>
        <v>Efecto ponderador</v>
      </c>
      <c r="AU752" s="13">
        <v>3</v>
      </c>
      <c r="AV752">
        <f t="shared" si="310"/>
        <v>-1</v>
      </c>
      <c r="AW752" s="13">
        <v>0</v>
      </c>
      <c r="AX752" s="13">
        <v>0</v>
      </c>
      <c r="AY752" s="13">
        <v>0</v>
      </c>
      <c r="AZ752" s="13">
        <v>0</v>
      </c>
      <c r="BA752">
        <v>0</v>
      </c>
      <c r="BB752" t="s">
        <v>2840</v>
      </c>
      <c r="BC752">
        <v>6</v>
      </c>
      <c r="BD752" t="s">
        <v>2919</v>
      </c>
      <c r="BE752">
        <v>0</v>
      </c>
      <c r="BF752" s="232" t="s">
        <v>2846</v>
      </c>
      <c r="BG752" s="232" t="s">
        <v>2846</v>
      </c>
      <c r="BH752" s="253">
        <v>44.5</v>
      </c>
      <c r="BI752" s="253">
        <v>24.021067094114954</v>
      </c>
      <c r="BJ752" s="25">
        <v>31.959168751202615</v>
      </c>
      <c r="BK752" t="s">
        <v>379</v>
      </c>
      <c r="BL752">
        <v>2.1589917546055433</v>
      </c>
      <c r="BM752" t="s">
        <v>383</v>
      </c>
      <c r="BN752" s="322">
        <v>15780.204043</v>
      </c>
      <c r="BO752" s="322">
        <v>1107.7271270000001</v>
      </c>
      <c r="BP752" s="10">
        <v>5044</v>
      </c>
      <c r="BQ752" s="254">
        <f t="shared" si="311"/>
        <v>3.1285099212926251</v>
      </c>
      <c r="BR752" s="254">
        <f t="shared" si="312"/>
        <v>0.21961283247422683</v>
      </c>
      <c r="BS752" s="25">
        <v>64.932722130997988</v>
      </c>
      <c r="BT752" s="25">
        <v>94.322435469204336</v>
      </c>
      <c r="BU752" s="25">
        <v>48.44</v>
      </c>
      <c r="BV752" s="25">
        <v>97.121059708268433</v>
      </c>
      <c r="BW752" s="25">
        <v>59.728013997767349</v>
      </c>
      <c r="BX752" s="25">
        <v>76.204054327117689</v>
      </c>
      <c r="BY752" s="25">
        <v>60.420480633282658</v>
      </c>
      <c r="BZ752">
        <v>1</v>
      </c>
      <c r="CA752">
        <v>0</v>
      </c>
      <c r="CB752">
        <v>7</v>
      </c>
      <c r="CC752">
        <v>17457.788157999999</v>
      </c>
      <c r="CD752" s="10">
        <v>13116.594875000001</v>
      </c>
      <c r="CE752" s="255">
        <v>0.7513319990075229</v>
      </c>
      <c r="CF752" t="str">
        <f>IFERROR(VLOOKUP(CE752,'Rangos amb etnico'!$A$2:$C$6,3,9),"N.D.")</f>
        <v>71% - 100%</v>
      </c>
      <c r="CG752" s="256">
        <v>3.8161119008534944E-4</v>
      </c>
      <c r="CH752" s="232">
        <v>0</v>
      </c>
      <c r="CI752" s="311">
        <f t="shared" si="319"/>
        <v>0</v>
      </c>
      <c r="CJ752" s="232">
        <f>IFERROR(VLOOKUP(CI752,'Rangos amb etnico'!$A$2:$C$6,3,9),"N.D.")</f>
        <v>0</v>
      </c>
      <c r="CK752" s="311">
        <f t="shared" si="320"/>
        <v>0</v>
      </c>
      <c r="CL752" s="10">
        <v>0</v>
      </c>
      <c r="CM752" s="255">
        <f t="shared" si="321"/>
        <v>0</v>
      </c>
      <c r="CN752" s="232">
        <f>IFERROR(VLOOKUP(CM752,'Rangos amb etnico'!$A$2:$C$6,3,9),"N.D.")</f>
        <v>0</v>
      </c>
      <c r="CO752" s="311">
        <f t="shared" si="322"/>
        <v>0</v>
      </c>
      <c r="CP752">
        <v>0.96931359650360061</v>
      </c>
      <c r="CQ752" t="s">
        <v>2864</v>
      </c>
      <c r="CR752">
        <f t="shared" si="313"/>
        <v>2</v>
      </c>
      <c r="CS752" t="str">
        <f t="shared" si="323"/>
        <v>No es Candidato</v>
      </c>
      <c r="CT752">
        <v>1</v>
      </c>
      <c r="CU752" t="s">
        <v>2836</v>
      </c>
      <c r="CV752" s="25">
        <v>48.213550567626953</v>
      </c>
      <c r="CW752" s="25">
        <v>26.656721115112301</v>
      </c>
      <c r="CX752" s="25">
        <v>43.750492095947273</v>
      </c>
      <c r="CY752" s="25">
        <v>63.344215393066413</v>
      </c>
      <c r="CZ752" s="25">
        <v>43.292041778564453</v>
      </c>
      <c r="DA752" s="25">
        <v>69.217514038085938</v>
      </c>
      <c r="DB752" s="25">
        <v>43.020320892333977</v>
      </c>
      <c r="DC752">
        <v>48</v>
      </c>
      <c r="DD752" s="253" t="s">
        <v>380</v>
      </c>
    </row>
    <row r="753" spans="1:108" hidden="1">
      <c r="A753" s="13">
        <v>25823</v>
      </c>
      <c r="B753" s="13" t="s">
        <v>1936</v>
      </c>
      <c r="C753" s="13" t="s">
        <v>461</v>
      </c>
      <c r="D753" s="13" t="s">
        <v>462</v>
      </c>
      <c r="E753" s="13" t="s">
        <v>1937</v>
      </c>
      <c r="F753" s="14">
        <v>58.919433333333302</v>
      </c>
      <c r="G753" s="13">
        <v>47.14</v>
      </c>
      <c r="H753" s="13">
        <v>37.04</v>
      </c>
      <c r="I753" s="13">
        <v>57.36</v>
      </c>
      <c r="J753" s="14">
        <v>51.882820850774493</v>
      </c>
      <c r="K753" s="14">
        <v>51.180801292019012</v>
      </c>
      <c r="L753" s="14">
        <v>52.403581996306443</v>
      </c>
      <c r="M753" s="14">
        <v>54.479199999999999</v>
      </c>
      <c r="N753" s="14">
        <f t="shared" si="297"/>
        <v>50.114858333333331</v>
      </c>
      <c r="O753" s="14">
        <f t="shared" si="298"/>
        <v>52.486601034774985</v>
      </c>
      <c r="P753" s="14">
        <f t="shared" si="314"/>
        <v>51.300729684054161</v>
      </c>
      <c r="Q753" s="14">
        <v>60.335468511702118</v>
      </c>
      <c r="R753" s="17">
        <f t="shared" si="299"/>
        <v>39.664531488297882</v>
      </c>
      <c r="S753" s="14">
        <f t="shared" si="315"/>
        <v>0.45698078339468096</v>
      </c>
      <c r="T753" s="13">
        <v>0</v>
      </c>
      <c r="U753" s="13">
        <f t="shared" si="316"/>
        <v>23.443447639737833</v>
      </c>
      <c r="V753" s="13">
        <f>IF($T753=1,$AU753,(VLOOKUP(U753,'Cortes naturales'!$A$35:$C$39,3,9)))</f>
        <v>4</v>
      </c>
      <c r="W753" s="13">
        <v>4</v>
      </c>
      <c r="X753" s="14" t="b">
        <f t="shared" si="300"/>
        <v>1</v>
      </c>
      <c r="Y753" s="17">
        <f>IF($T753=1,$AU753,VLOOKUP(U753,'Cortes naturales'!$A$45:$C$49,3,9))</f>
        <v>4</v>
      </c>
      <c r="Z753" s="14">
        <v>52.147343382151803</v>
      </c>
      <c r="AA753" s="14">
        <v>0.47555507736536229</v>
      </c>
      <c r="AB753" s="14">
        <v>24.798933916497315</v>
      </c>
      <c r="AC753" s="13">
        <v>4</v>
      </c>
      <c r="AD753" s="13">
        <f t="shared" si="301"/>
        <v>0</v>
      </c>
      <c r="AE753" s="14">
        <f t="shared" si="302"/>
        <v>-0.84661369809764153</v>
      </c>
      <c r="AF753" s="14">
        <f t="shared" si="303"/>
        <v>-1.8574293970681333E-2</v>
      </c>
      <c r="AG753" s="13">
        <f t="shared" si="304"/>
        <v>-1.355486276759482</v>
      </c>
      <c r="AH753" s="13">
        <f>IF($T753=1,$AU753,VLOOKUP(U753,'Cortes naturales'!$A$25:$C$29,3,9))</f>
        <v>4</v>
      </c>
      <c r="AI753" s="13" t="b">
        <f t="shared" si="305"/>
        <v>1</v>
      </c>
      <c r="AJ753" s="13">
        <f t="shared" si="306"/>
        <v>0</v>
      </c>
      <c r="AK753" s="28">
        <v>0.6523467210059386</v>
      </c>
      <c r="AL753" s="28">
        <v>34.018148464517459</v>
      </c>
      <c r="AM753" s="28">
        <v>0.25490516694072368</v>
      </c>
      <c r="AN753" s="13">
        <v>4</v>
      </c>
      <c r="AO753" s="33">
        <f t="shared" si="307"/>
        <v>0</v>
      </c>
      <c r="AP753" s="13">
        <f t="shared" si="317"/>
        <v>25.490516694072369</v>
      </c>
      <c r="AQ753" s="13">
        <f>IFERROR(VLOOKUP(U753,'Cortes naturales'!$E$15:$G$19,3,9),U753)</f>
        <v>4</v>
      </c>
      <c r="AR753" s="28">
        <f t="shared" si="308"/>
        <v>-0.19536593761125765</v>
      </c>
      <c r="AS753" s="13" t="b">
        <f t="shared" si="309"/>
        <v>1</v>
      </c>
      <c r="AT753" s="13">
        <f t="shared" si="318"/>
        <v>0</v>
      </c>
      <c r="AU753" s="13">
        <v>4</v>
      </c>
      <c r="AV753">
        <f t="shared" si="310"/>
        <v>0</v>
      </c>
      <c r="AW753" s="13">
        <v>0</v>
      </c>
      <c r="AX753" s="13">
        <v>0</v>
      </c>
      <c r="AY753" s="13">
        <v>0</v>
      </c>
      <c r="AZ753" s="13">
        <v>0</v>
      </c>
      <c r="BA753">
        <v>1</v>
      </c>
      <c r="BB753" t="s">
        <v>2841</v>
      </c>
      <c r="BC753">
        <v>6</v>
      </c>
      <c r="BD753" t="s">
        <v>2919</v>
      </c>
      <c r="BE753">
        <v>0</v>
      </c>
      <c r="BF753" s="232" t="s">
        <v>2846</v>
      </c>
      <c r="BG753" s="232" t="s">
        <v>2846</v>
      </c>
      <c r="BH753" s="253">
        <v>47.1</v>
      </c>
      <c r="BI753" s="253">
        <v>27.419812659665059</v>
      </c>
      <c r="BJ753" s="25">
        <v>13.862</v>
      </c>
      <c r="BK753" t="s">
        <v>377</v>
      </c>
      <c r="BL753">
        <v>0.11775956250443501</v>
      </c>
      <c r="BM753" t="s">
        <v>377</v>
      </c>
      <c r="BN753" s="322">
        <v>14990.297154</v>
      </c>
      <c r="BO753" s="322">
        <v>2070.7520119999999</v>
      </c>
      <c r="BP753" s="10">
        <v>3994</v>
      </c>
      <c r="BQ753" s="254">
        <f t="shared" si="311"/>
        <v>3.7532040946419629</v>
      </c>
      <c r="BR753" s="254">
        <f t="shared" si="312"/>
        <v>0.51846570155232852</v>
      </c>
      <c r="BS753" s="25">
        <v>51.506629251101707</v>
      </c>
      <c r="BT753" s="25">
        <v>86.3231513937573</v>
      </c>
      <c r="BU753" s="25">
        <v>29.009969731365871</v>
      </c>
      <c r="BV753" s="25">
        <v>92.812858848219946</v>
      </c>
      <c r="BW753" s="25">
        <v>43.031441598055807</v>
      </c>
      <c r="BX753" s="25">
        <v>64.913152306111201</v>
      </c>
      <c r="BY753" s="25">
        <v>43.28691460137965</v>
      </c>
      <c r="BZ753">
        <v>33</v>
      </c>
      <c r="CA753">
        <v>0</v>
      </c>
      <c r="CB753">
        <v>7</v>
      </c>
      <c r="CC753">
        <v>14355.160098</v>
      </c>
      <c r="CD753" s="10">
        <v>3830.345487</v>
      </c>
      <c r="CE753" s="255">
        <v>0.26682708244637787</v>
      </c>
      <c r="CF753" t="str">
        <f>IFERROR(VLOOKUP(CE753,'Rangos amb etnico'!$A$2:$C$6,3,9),"N.D.")</f>
        <v>0,1% - 30%</v>
      </c>
      <c r="CG753" s="256">
        <v>1.1143918933702046E-4</v>
      </c>
      <c r="CH753" s="232">
        <v>0</v>
      </c>
      <c r="CI753" s="311">
        <f t="shared" si="319"/>
        <v>0</v>
      </c>
      <c r="CJ753" s="232">
        <f>IFERROR(VLOOKUP(CI753,'Rangos amb etnico'!$A$2:$C$6,3,9),"N.D.")</f>
        <v>0</v>
      </c>
      <c r="CK753" s="311">
        <f t="shared" si="320"/>
        <v>0</v>
      </c>
      <c r="CL753" s="10">
        <v>0</v>
      </c>
      <c r="CM753" s="255">
        <f t="shared" si="321"/>
        <v>0</v>
      </c>
      <c r="CN753" s="232">
        <f>IFERROR(VLOOKUP(CM753,'Rangos amb etnico'!$A$2:$C$6,3,9),"N.D.")</f>
        <v>0</v>
      </c>
      <c r="CO753" s="311">
        <f t="shared" si="322"/>
        <v>0</v>
      </c>
      <c r="CP753">
        <v>0.83401808033833236</v>
      </c>
      <c r="CQ753" t="s">
        <v>2865</v>
      </c>
      <c r="CR753">
        <f t="shared" si="313"/>
        <v>1</v>
      </c>
      <c r="CS753" t="str">
        <f t="shared" si="323"/>
        <v>No es Candidato</v>
      </c>
      <c r="CT753">
        <v>0</v>
      </c>
      <c r="CU753">
        <v>0</v>
      </c>
      <c r="CV753" s="25">
        <v>41.828723907470703</v>
      </c>
      <c r="CW753" s="25">
        <v>6.7904601097106934</v>
      </c>
      <c r="CX753" s="25">
        <v>45.936737060546882</v>
      </c>
      <c r="CY753" s="25">
        <v>53.567501068115227</v>
      </c>
      <c r="CZ753" s="25">
        <v>29.254714965820309</v>
      </c>
      <c r="DA753" s="25">
        <v>72.570327758789063</v>
      </c>
      <c r="DB753" s="25">
        <v>42.852592468261719</v>
      </c>
      <c r="DC753">
        <v>43</v>
      </c>
      <c r="DD753" s="253" t="s">
        <v>380</v>
      </c>
    </row>
    <row r="754" spans="1:108" hidden="1">
      <c r="A754" s="13">
        <v>68655</v>
      </c>
      <c r="B754" s="13" t="s">
        <v>1938</v>
      </c>
      <c r="C754" s="13" t="s">
        <v>431</v>
      </c>
      <c r="D754" s="13" t="s">
        <v>432</v>
      </c>
      <c r="E754" s="13" t="s">
        <v>1939</v>
      </c>
      <c r="F754" s="14">
        <v>61.696766666666697</v>
      </c>
      <c r="G754" s="13">
        <v>55.6</v>
      </c>
      <c r="H754" s="13">
        <v>37.869999999999997</v>
      </c>
      <c r="I754" s="13">
        <v>51</v>
      </c>
      <c r="J754" s="14">
        <v>56.10472956560416</v>
      </c>
      <c r="K754" s="14">
        <v>59.093205955783233</v>
      </c>
      <c r="L754" s="14">
        <v>63.833450515636869</v>
      </c>
      <c r="M754" s="14">
        <v>63.385100000000001</v>
      </c>
      <c r="N754" s="14">
        <f t="shared" si="297"/>
        <v>51.541691666666672</v>
      </c>
      <c r="O754" s="14">
        <f t="shared" si="298"/>
        <v>60.604121509256068</v>
      </c>
      <c r="P754" s="14">
        <f t="shared" si="314"/>
        <v>56.07290658796137</v>
      </c>
      <c r="Q754" s="14">
        <v>58.492928796187527</v>
      </c>
      <c r="R754" s="17">
        <f t="shared" si="299"/>
        <v>41.507071203812473</v>
      </c>
      <c r="S754" s="14">
        <f t="shared" si="315"/>
        <v>0.47356364083431224</v>
      </c>
      <c r="T754" s="13">
        <v>0</v>
      </c>
      <c r="U754" s="13">
        <f t="shared" si="316"/>
        <v>26.554089795957278</v>
      </c>
      <c r="V754" s="13">
        <f>IF($T754=1,$AU754,(VLOOKUP(U754,'Cortes naturales'!$A$35:$C$39,3,9)))</f>
        <v>4</v>
      </c>
      <c r="W754" s="13">
        <v>4</v>
      </c>
      <c r="X754" s="14" t="b">
        <f t="shared" si="300"/>
        <v>1</v>
      </c>
      <c r="Y754" s="17">
        <f>IF($T754=1,$AU754,VLOOKUP(U754,'Cortes naturales'!$A$45:$C$49,3,9))</f>
        <v>4</v>
      </c>
      <c r="Z754" s="14">
        <v>55.642169658093977</v>
      </c>
      <c r="AA754" s="14">
        <v>0.47593968273107834</v>
      </c>
      <c r="AB754" s="14">
        <v>26.482316573542082</v>
      </c>
      <c r="AC754" s="13">
        <v>4</v>
      </c>
      <c r="AD754" s="13">
        <f t="shared" si="301"/>
        <v>0</v>
      </c>
      <c r="AE754" s="14">
        <f t="shared" si="302"/>
        <v>0.43073692986739331</v>
      </c>
      <c r="AF754" s="14">
        <f t="shared" si="303"/>
        <v>-2.3760418967661012E-3</v>
      </c>
      <c r="AG754" s="13">
        <f t="shared" si="304"/>
        <v>7.1773222415195903E-2</v>
      </c>
      <c r="AH754" s="13">
        <f>IF($T754=1,$AU754,VLOOKUP(U754,'Cortes naturales'!$A$25:$C$29,3,9))</f>
        <v>4</v>
      </c>
      <c r="AI754" s="13" t="b">
        <f t="shared" si="305"/>
        <v>1</v>
      </c>
      <c r="AJ754" s="13">
        <f t="shared" si="306"/>
        <v>0</v>
      </c>
      <c r="AK754" s="28">
        <v>0.6523467210059386</v>
      </c>
      <c r="AL754" s="28">
        <v>36.297986926113737</v>
      </c>
      <c r="AM754" s="28">
        <v>0.28342354291903343</v>
      </c>
      <c r="AN754" s="13">
        <v>4</v>
      </c>
      <c r="AO754" s="33">
        <f t="shared" si="307"/>
        <v>0</v>
      </c>
      <c r="AP754" s="13">
        <f t="shared" si="317"/>
        <v>28.342354291903344</v>
      </c>
      <c r="AQ754" s="13">
        <f>IFERROR(VLOOKUP(U754,'Cortes naturales'!$E$15:$G$19,3,9),U754)</f>
        <v>4</v>
      </c>
      <c r="AR754" s="28">
        <f t="shared" si="308"/>
        <v>-0.17878308017162636</v>
      </c>
      <c r="AS754" s="13" t="b">
        <f t="shared" si="309"/>
        <v>1</v>
      </c>
      <c r="AT754" s="13">
        <f t="shared" si="318"/>
        <v>0</v>
      </c>
      <c r="AU754" s="13">
        <v>3</v>
      </c>
      <c r="AV754">
        <f t="shared" si="310"/>
        <v>-1</v>
      </c>
      <c r="AW754" s="13">
        <v>0</v>
      </c>
      <c r="AX754" s="13">
        <v>0</v>
      </c>
      <c r="AY754" s="13">
        <v>0</v>
      </c>
      <c r="AZ754" s="13">
        <v>0</v>
      </c>
      <c r="BA754">
        <v>1</v>
      </c>
      <c r="BB754" t="s">
        <v>2840</v>
      </c>
      <c r="BC754">
        <v>6</v>
      </c>
      <c r="BD754" t="s">
        <v>2919</v>
      </c>
      <c r="BE754">
        <v>0</v>
      </c>
      <c r="BF754" s="232" t="s">
        <v>2846</v>
      </c>
      <c r="BG754" s="232" t="s">
        <v>2846</v>
      </c>
      <c r="BH754" s="253">
        <v>36.6</v>
      </c>
      <c r="BI754" s="253">
        <v>21.065733458402484</v>
      </c>
      <c r="BJ754" s="25">
        <v>3.940729697247181</v>
      </c>
      <c r="BK754" t="s">
        <v>381</v>
      </c>
      <c r="BL754">
        <v>3.8921779024527368</v>
      </c>
      <c r="BM754" t="s">
        <v>383</v>
      </c>
      <c r="BN754" s="322">
        <v>84500.818658000004</v>
      </c>
      <c r="BO754" s="322">
        <v>19195.970063000001</v>
      </c>
      <c r="BP754" s="10">
        <v>37531</v>
      </c>
      <c r="BQ754" s="254">
        <f t="shared" si="311"/>
        <v>2.251493929231835</v>
      </c>
      <c r="BR754" s="254">
        <f t="shared" si="312"/>
        <v>0.51146972004476299</v>
      </c>
      <c r="BS754" s="25">
        <v>75.483501951506227</v>
      </c>
      <c r="BT754" s="25">
        <v>91.864912733557091</v>
      </c>
      <c r="BU754" s="25">
        <v>47.898333333333333</v>
      </c>
      <c r="BV754" s="25">
        <v>85.965664165545945</v>
      </c>
      <c r="BW754" s="25">
        <v>67.186301238618483</v>
      </c>
      <c r="BX754" s="25">
        <v>75.303103045985651</v>
      </c>
      <c r="BY754" s="25">
        <v>69.483079365110171</v>
      </c>
      <c r="BZ754">
        <v>95</v>
      </c>
      <c r="CA754">
        <v>0</v>
      </c>
      <c r="CB754">
        <v>6</v>
      </c>
      <c r="CC754">
        <v>142670.87224500001</v>
      </c>
      <c r="CD754" s="10">
        <v>9456.3739530000003</v>
      </c>
      <c r="CE754" s="255">
        <v>6.628104114174857E-2</v>
      </c>
      <c r="CF754" t="str">
        <f>IFERROR(VLOOKUP(CE754,'Rangos amb etnico'!$A$2:$C$6,3,9),"N.D.")</f>
        <v>0,1% - 30%</v>
      </c>
      <c r="CG754" s="256">
        <v>2.751215656568359E-4</v>
      </c>
      <c r="CH754" s="232">
        <v>0</v>
      </c>
      <c r="CI754" s="311">
        <f t="shared" si="319"/>
        <v>0</v>
      </c>
      <c r="CJ754" s="232">
        <f>IFERROR(VLOOKUP(CI754,'Rangos amb etnico'!$A$2:$C$6,3,9),"N.D.")</f>
        <v>0</v>
      </c>
      <c r="CK754" s="311">
        <f t="shared" si="320"/>
        <v>0</v>
      </c>
      <c r="CL754" s="10">
        <v>0</v>
      </c>
      <c r="CM754" s="255">
        <f t="shared" si="321"/>
        <v>0</v>
      </c>
      <c r="CN754" s="232">
        <f>IFERROR(VLOOKUP(CM754,'Rangos amb etnico'!$A$2:$C$6,3,9),"N.D.")</f>
        <v>0</v>
      </c>
      <c r="CO754" s="311">
        <f t="shared" si="322"/>
        <v>0</v>
      </c>
      <c r="CP754">
        <v>0.95724856483481657</v>
      </c>
      <c r="CQ754" t="s">
        <v>2864</v>
      </c>
      <c r="CR754">
        <f t="shared" si="313"/>
        <v>3</v>
      </c>
      <c r="CS754" t="str">
        <f t="shared" si="323"/>
        <v>Candidato</v>
      </c>
      <c r="CT754">
        <v>0</v>
      </c>
      <c r="CU754">
        <v>0</v>
      </c>
      <c r="CV754" s="25">
        <v>39.745731353759773</v>
      </c>
      <c r="CW754" s="25">
        <v>37.291011810302727</v>
      </c>
      <c r="CX754" s="25">
        <v>50.152736663818359</v>
      </c>
      <c r="CY754" s="25">
        <v>68.011711120605469</v>
      </c>
      <c r="CZ754" s="25">
        <v>35.090442657470703</v>
      </c>
      <c r="DA754" s="25">
        <v>18.11738395690918</v>
      </c>
      <c r="DB754" s="25">
        <v>29.81110954284668</v>
      </c>
      <c r="DC754">
        <v>789</v>
      </c>
      <c r="DD754" s="253" t="s">
        <v>380</v>
      </c>
    </row>
    <row r="755" spans="1:108" hidden="1">
      <c r="A755" s="13">
        <v>13074</v>
      </c>
      <c r="B755" s="13" t="s">
        <v>1940</v>
      </c>
      <c r="C755" s="13" t="s">
        <v>480</v>
      </c>
      <c r="D755" s="13" t="s">
        <v>481</v>
      </c>
      <c r="E755" s="13" t="s">
        <v>1941</v>
      </c>
      <c r="F755" s="14">
        <v>74.683633333333304</v>
      </c>
      <c r="G755" s="13">
        <v>78.05</v>
      </c>
      <c r="H755" s="13">
        <v>91.78</v>
      </c>
      <c r="I755" s="13">
        <v>94.03</v>
      </c>
      <c r="J755" s="14">
        <v>46.8736796518006</v>
      </c>
      <c r="K755" s="14">
        <v>52.127086000342302</v>
      </c>
      <c r="L755" s="14">
        <v>49.437718917963423</v>
      </c>
      <c r="M755" s="14">
        <v>47.5672</v>
      </c>
      <c r="N755" s="14">
        <f t="shared" si="297"/>
        <v>84.635908333333333</v>
      </c>
      <c r="O755" s="14">
        <f t="shared" si="298"/>
        <v>49.001421142526581</v>
      </c>
      <c r="P755" s="14">
        <f t="shared" si="314"/>
        <v>66.818664737929964</v>
      </c>
      <c r="Q755" s="14">
        <v>58.533591401792272</v>
      </c>
      <c r="R755" s="17">
        <f t="shared" si="299"/>
        <v>41.466408598207728</v>
      </c>
      <c r="S755" s="14">
        <f t="shared" si="315"/>
        <v>0.47319767738386953</v>
      </c>
      <c r="T755" s="13">
        <v>0</v>
      </c>
      <c r="U755" s="13">
        <f t="shared" si="316"/>
        <v>31.618436959879922</v>
      </c>
      <c r="V755" s="13">
        <f>IF($T755=1,$AU755,(VLOOKUP(U755,'Cortes naturales'!$A$35:$C$39,3,9)))</f>
        <v>3</v>
      </c>
      <c r="W755" s="13">
        <v>3</v>
      </c>
      <c r="X755" s="14" t="b">
        <f t="shared" si="300"/>
        <v>1</v>
      </c>
      <c r="Y755" s="17">
        <f>IF($T755=1,$AU755,VLOOKUP(U755,'Cortes naturales'!$A$45:$C$49,3,9))</f>
        <v>3</v>
      </c>
      <c r="Z755" s="14">
        <v>65.496074825052176</v>
      </c>
      <c r="AA755" s="14">
        <v>0.47513898130963006</v>
      </c>
      <c r="AB755" s="14">
        <v>31.119738272154599</v>
      </c>
      <c r="AC755" s="13">
        <v>3</v>
      </c>
      <c r="AD755" s="13">
        <f t="shared" si="301"/>
        <v>0</v>
      </c>
      <c r="AE755" s="14">
        <f t="shared" si="302"/>
        <v>1.3225899128777883</v>
      </c>
      <c r="AF755" s="14">
        <f t="shared" si="303"/>
        <v>-1.9413039257605291E-3</v>
      </c>
      <c r="AG755" s="13">
        <f t="shared" si="304"/>
        <v>0.498698687725323</v>
      </c>
      <c r="AH755" s="13">
        <f>IF($T755=1,$AU755,VLOOKUP(U755,'Cortes naturales'!$A$25:$C$29,3,9))</f>
        <v>3</v>
      </c>
      <c r="AI755" s="13" t="b">
        <f t="shared" si="305"/>
        <v>1</v>
      </c>
      <c r="AJ755" s="13">
        <f t="shared" si="306"/>
        <v>0</v>
      </c>
      <c r="AK755" s="28">
        <v>0.6523467210059386</v>
      </c>
      <c r="AL755" s="28">
        <v>42.726149650882391</v>
      </c>
      <c r="AM755" s="28">
        <v>0.3638330826836853</v>
      </c>
      <c r="AN755" s="13">
        <v>3</v>
      </c>
      <c r="AO755" s="33">
        <f t="shared" si="307"/>
        <v>0</v>
      </c>
      <c r="AP755" s="13">
        <f t="shared" si="317"/>
        <v>36.38330826836853</v>
      </c>
      <c r="AQ755" s="13">
        <f>IFERROR(VLOOKUP(U755,'Cortes naturales'!$E$15:$G$19,3,9),U755)</f>
        <v>4</v>
      </c>
      <c r="AR755" s="28">
        <f t="shared" si="308"/>
        <v>-0.17914904362206907</v>
      </c>
      <c r="AS755" s="13" t="b">
        <f t="shared" si="309"/>
        <v>0</v>
      </c>
      <c r="AT755" s="13">
        <f t="shared" si="318"/>
        <v>0</v>
      </c>
      <c r="AU755" s="13">
        <v>4</v>
      </c>
      <c r="AV755">
        <f t="shared" si="310"/>
        <v>1</v>
      </c>
      <c r="AW755" s="13">
        <v>0</v>
      </c>
      <c r="AX755" s="13">
        <v>0</v>
      </c>
      <c r="AY755" s="13">
        <v>0</v>
      </c>
      <c r="AZ755" s="13">
        <v>0</v>
      </c>
      <c r="BA755">
        <v>0</v>
      </c>
      <c r="BB755" t="s">
        <v>2840</v>
      </c>
      <c r="BC755">
        <v>6</v>
      </c>
      <c r="BD755" t="s">
        <v>2919</v>
      </c>
      <c r="BE755">
        <v>0</v>
      </c>
      <c r="BF755" s="232" t="s">
        <v>2846</v>
      </c>
      <c r="BG755" s="232" t="s">
        <v>2845</v>
      </c>
      <c r="BH755" s="253">
        <v>68.900000000000006</v>
      </c>
      <c r="BI755" s="253">
        <v>47.010737790093522</v>
      </c>
      <c r="BJ755" s="25">
        <v>35.605351166064757</v>
      </c>
      <c r="BK755" t="s">
        <v>376</v>
      </c>
      <c r="BL755">
        <v>7.6510696877515185</v>
      </c>
      <c r="BM755" t="s">
        <v>379</v>
      </c>
      <c r="BN755" s="322">
        <v>40277.776561999999</v>
      </c>
      <c r="BO755" s="322">
        <v>1184.5613000000001</v>
      </c>
      <c r="BP755" s="10">
        <v>17222</v>
      </c>
      <c r="BQ755" s="254">
        <f t="shared" si="311"/>
        <v>2.3387397841133435</v>
      </c>
      <c r="BR755" s="254">
        <f t="shared" si="312"/>
        <v>6.8781866217628621E-2</v>
      </c>
      <c r="BS755" s="25">
        <v>65.664780136032689</v>
      </c>
      <c r="BT755" s="25">
        <v>95.634200829817146</v>
      </c>
      <c r="BU755" s="25">
        <v>28.380589569160961</v>
      </c>
      <c r="BV755" s="25">
        <v>95.802004753249818</v>
      </c>
      <c r="BW755" s="25">
        <v>29.231047046869229</v>
      </c>
      <c r="BX755" s="25">
        <v>71.370393822065154</v>
      </c>
      <c r="BY755" s="25">
        <v>28.594872323442999</v>
      </c>
      <c r="BZ755">
        <v>92</v>
      </c>
      <c r="CA755">
        <v>0</v>
      </c>
      <c r="CB755">
        <v>7</v>
      </c>
      <c r="CC755">
        <v>43020.967940000002</v>
      </c>
      <c r="CD755" s="10">
        <v>1229.414364</v>
      </c>
      <c r="CE755" s="255">
        <v>2.8577096770919373E-2</v>
      </c>
      <c r="CF755" t="str">
        <f>IFERROR(VLOOKUP(CE755,'Rangos amb etnico'!$A$2:$C$6,3,9),"N.D.")</f>
        <v>0,1% - 30%</v>
      </c>
      <c r="CG755" s="256">
        <v>3.5768298329337776E-5</v>
      </c>
      <c r="CH755" s="232">
        <v>30.486512999999999</v>
      </c>
      <c r="CI755" s="311">
        <f t="shared" si="319"/>
        <v>7.0864312124540262E-4</v>
      </c>
      <c r="CJ755" s="232">
        <f>IFERROR(VLOOKUP(CI755,'Rangos amb etnico'!$A$2:$C$6,3,9),"N.D.")</f>
        <v>0</v>
      </c>
      <c r="CK755" s="311">
        <f t="shared" si="320"/>
        <v>1.2105141674126337E-6</v>
      </c>
      <c r="CL755" s="10">
        <v>0</v>
      </c>
      <c r="CM755" s="255">
        <f t="shared" si="321"/>
        <v>0</v>
      </c>
      <c r="CN755" s="232">
        <f>IFERROR(VLOOKUP(CM755,'Rangos amb etnico'!$A$2:$C$6,3,9),"N.D.")</f>
        <v>0</v>
      </c>
      <c r="CO755" s="311">
        <f t="shared" si="322"/>
        <v>0</v>
      </c>
      <c r="CP755">
        <v>0.8694981096579788</v>
      </c>
      <c r="CQ755" t="s">
        <v>2864</v>
      </c>
      <c r="CR755">
        <f t="shared" si="313"/>
        <v>2</v>
      </c>
      <c r="CS755" t="str">
        <f t="shared" si="323"/>
        <v>No es Candidato</v>
      </c>
      <c r="CT755">
        <v>0</v>
      </c>
      <c r="CU755">
        <v>0</v>
      </c>
      <c r="CV755" s="25">
        <v>40.409332275390618</v>
      </c>
      <c r="CW755" s="25">
        <v>15.78968715667725</v>
      </c>
      <c r="CX755" s="25">
        <v>44.3873291015625</v>
      </c>
      <c r="CY755" s="25">
        <v>46.091327667236328</v>
      </c>
      <c r="CZ755" s="25">
        <v>3.4972469806671138</v>
      </c>
      <c r="DA755" s="25">
        <v>72.515449523925781</v>
      </c>
      <c r="DB755" s="25">
        <v>60.174949645996087</v>
      </c>
      <c r="DC755">
        <v>14226</v>
      </c>
      <c r="DD755" s="253" t="s">
        <v>380</v>
      </c>
    </row>
    <row r="756" spans="1:108" hidden="1">
      <c r="A756" s="13">
        <v>20178</v>
      </c>
      <c r="B756" s="13" t="s">
        <v>1942</v>
      </c>
      <c r="C756" s="13" t="s">
        <v>893</v>
      </c>
      <c r="D756" s="13" t="s">
        <v>894</v>
      </c>
      <c r="E756" s="13" t="s">
        <v>1943</v>
      </c>
      <c r="F756" s="14">
        <v>53.664933333333302</v>
      </c>
      <c r="G756" s="13">
        <v>52.67</v>
      </c>
      <c r="H756" s="13">
        <v>43.25</v>
      </c>
      <c r="I756" s="13">
        <v>39.58</v>
      </c>
      <c r="J756" s="14">
        <v>55.829612175610023</v>
      </c>
      <c r="K756" s="14">
        <v>50.646295143646597</v>
      </c>
      <c r="L756" s="14">
        <v>60.371538966378587</v>
      </c>
      <c r="M756" s="14">
        <v>49.999699999999997</v>
      </c>
      <c r="N756" s="14">
        <f t="shared" si="297"/>
        <v>47.291233333333324</v>
      </c>
      <c r="O756" s="14">
        <f t="shared" si="298"/>
        <v>54.211786571408801</v>
      </c>
      <c r="P756" s="14">
        <f t="shared" si="314"/>
        <v>50.751509952371066</v>
      </c>
      <c r="Q756" s="14">
        <v>58.920593836415179</v>
      </c>
      <c r="R756" s="17">
        <f t="shared" si="299"/>
        <v>41.079406163584821</v>
      </c>
      <c r="S756" s="14">
        <f t="shared" si="315"/>
        <v>0.46971465547226343</v>
      </c>
      <c r="T756" s="13">
        <v>0</v>
      </c>
      <c r="U756" s="13">
        <f t="shared" si="316"/>
        <v>23.838728011975125</v>
      </c>
      <c r="V756" s="13">
        <f>IF($T756=1,$AU756,(VLOOKUP(U756,'Cortes naturales'!$A$35:$C$39,3,9)))</f>
        <v>4</v>
      </c>
      <c r="W756" s="13">
        <v>4</v>
      </c>
      <c r="X756" s="14" t="b">
        <f t="shared" si="300"/>
        <v>1</v>
      </c>
      <c r="Y756" s="17">
        <f>IF($T756=1,$AU756,VLOOKUP(U756,'Cortes naturales'!$A$45:$C$49,3,9))</f>
        <v>4</v>
      </c>
      <c r="Z756" s="14">
        <v>53.500280552091823</v>
      </c>
      <c r="AA756" s="14">
        <v>0.47538202451690104</v>
      </c>
      <c r="AB756" s="14">
        <v>25.433071681075599</v>
      </c>
      <c r="AC756" s="13">
        <v>4</v>
      </c>
      <c r="AD756" s="13">
        <f t="shared" si="301"/>
        <v>0</v>
      </c>
      <c r="AE756" s="14">
        <f t="shared" si="302"/>
        <v>-2.748770599720757</v>
      </c>
      <c r="AF756" s="14">
        <f t="shared" si="303"/>
        <v>-5.6673690446376046E-3</v>
      </c>
      <c r="AG756" s="13">
        <f t="shared" si="304"/>
        <v>-1.5943436691004749</v>
      </c>
      <c r="AH756" s="13">
        <f>IF($T756=1,$AU756,VLOOKUP(U756,'Cortes naturales'!$A$25:$C$29,3,9))</f>
        <v>4</v>
      </c>
      <c r="AI756" s="13" t="b">
        <f t="shared" si="305"/>
        <v>1</v>
      </c>
      <c r="AJ756" s="13">
        <f t="shared" si="306"/>
        <v>0</v>
      </c>
      <c r="AK756" s="28">
        <v>0.6523467210059386</v>
      </c>
      <c r="AL756" s="28">
        <v>34.90073259105489</v>
      </c>
      <c r="AM756" s="28">
        <v>0.26594536403234542</v>
      </c>
      <c r="AN756" s="13">
        <v>4</v>
      </c>
      <c r="AO756" s="33">
        <f t="shared" si="307"/>
        <v>0</v>
      </c>
      <c r="AP756" s="13">
        <f t="shared" si="317"/>
        <v>26.594536403234542</v>
      </c>
      <c r="AQ756" s="13">
        <f>IFERROR(VLOOKUP(U756,'Cortes naturales'!$E$15:$G$19,3,9),U756)</f>
        <v>4</v>
      </c>
      <c r="AR756" s="28">
        <f t="shared" si="308"/>
        <v>-0.18263206553367517</v>
      </c>
      <c r="AS756" s="13" t="b">
        <f t="shared" si="309"/>
        <v>1</v>
      </c>
      <c r="AT756" s="13">
        <f t="shared" si="318"/>
        <v>0</v>
      </c>
      <c r="AU756" s="13">
        <v>3</v>
      </c>
      <c r="AV756">
        <f t="shared" si="310"/>
        <v>-1</v>
      </c>
      <c r="AW756" s="13">
        <v>0</v>
      </c>
      <c r="AX756" s="13">
        <v>0</v>
      </c>
      <c r="AY756" s="13">
        <v>0</v>
      </c>
      <c r="AZ756" s="13">
        <v>0</v>
      </c>
      <c r="BA756">
        <v>1</v>
      </c>
      <c r="BB756" t="s">
        <v>2840</v>
      </c>
      <c r="BC756">
        <v>6</v>
      </c>
      <c r="BD756" t="s">
        <v>2919</v>
      </c>
      <c r="BE756">
        <v>0</v>
      </c>
      <c r="BF756" s="232" t="s">
        <v>2846</v>
      </c>
      <c r="BG756" s="232" t="s">
        <v>2846</v>
      </c>
      <c r="BH756" s="253">
        <v>41.3</v>
      </c>
      <c r="BI756" s="253">
        <v>25.459667852906286</v>
      </c>
      <c r="BJ756" s="25">
        <v>47.67421052631579</v>
      </c>
      <c r="BK756" t="s">
        <v>376</v>
      </c>
      <c r="BL756">
        <v>3.9649979141274967</v>
      </c>
      <c r="BM756" t="s">
        <v>383</v>
      </c>
      <c r="BN756" s="322">
        <v>53683.023187999999</v>
      </c>
      <c r="BO756" s="322">
        <v>9185.0101090000007</v>
      </c>
      <c r="BP756" s="10">
        <v>32424</v>
      </c>
      <c r="BQ756" s="254">
        <f t="shared" si="311"/>
        <v>1.6556570191216382</v>
      </c>
      <c r="BR756" s="254">
        <f t="shared" si="312"/>
        <v>0.28327813067480878</v>
      </c>
      <c r="BS756" s="25">
        <v>61.881003848569613</v>
      </c>
      <c r="BT756" s="25">
        <v>93.656615087589444</v>
      </c>
      <c r="BU756" s="25">
        <v>49.183338483042739</v>
      </c>
      <c r="BV756" s="25">
        <v>88.34912922668282</v>
      </c>
      <c r="BW756" s="25">
        <v>50.043705651836447</v>
      </c>
      <c r="BX756" s="25">
        <v>73.26752166147115</v>
      </c>
      <c r="BY756" s="25">
        <v>50.962773434178423</v>
      </c>
      <c r="BZ756">
        <v>92</v>
      </c>
      <c r="CA756">
        <v>0</v>
      </c>
      <c r="CB756">
        <v>6</v>
      </c>
      <c r="CC756">
        <v>111267.927347</v>
      </c>
      <c r="CD756" s="10">
        <v>41376.851346000003</v>
      </c>
      <c r="CE756" s="255">
        <v>0.37186682930618642</v>
      </c>
      <c r="CF756" t="str">
        <f>IFERROR(VLOOKUP(CE756,'Rangos amb etnico'!$A$2:$C$6,3,9),"N.D.")</f>
        <v>31% - 50%</v>
      </c>
      <c r="CG756" s="256">
        <v>1.2038085825328696E-3</v>
      </c>
      <c r="CH756" s="232">
        <v>0</v>
      </c>
      <c r="CI756" s="311">
        <f t="shared" si="319"/>
        <v>0</v>
      </c>
      <c r="CJ756" s="232">
        <f>IFERROR(VLOOKUP(CI756,'Rangos amb etnico'!$A$2:$C$6,3,9),"N.D.")</f>
        <v>0</v>
      </c>
      <c r="CK756" s="311">
        <f t="shared" si="320"/>
        <v>0</v>
      </c>
      <c r="CL756" s="10">
        <v>0</v>
      </c>
      <c r="CM756" s="255">
        <f t="shared" si="321"/>
        <v>0</v>
      </c>
      <c r="CN756" s="232">
        <f>IFERROR(VLOOKUP(CM756,'Rangos amb etnico'!$A$2:$C$6,3,9),"N.D.")</f>
        <v>0</v>
      </c>
      <c r="CO756" s="311">
        <f t="shared" si="322"/>
        <v>0</v>
      </c>
      <c r="CP756">
        <v>0.89944664342867164</v>
      </c>
      <c r="CQ756" t="s">
        <v>2864</v>
      </c>
      <c r="CR756">
        <f t="shared" si="313"/>
        <v>1</v>
      </c>
      <c r="CS756" t="str">
        <f t="shared" si="323"/>
        <v>No es Candidato</v>
      </c>
      <c r="CT756">
        <v>1</v>
      </c>
      <c r="CU756" t="s">
        <v>2837</v>
      </c>
      <c r="CV756" s="25">
        <v>38.050670623779297</v>
      </c>
      <c r="CW756" s="25">
        <v>18.5131721496582</v>
      </c>
      <c r="CX756" s="25">
        <v>49.628406524658203</v>
      </c>
      <c r="CY756" s="25">
        <v>51.930080413818359</v>
      </c>
      <c r="CZ756" s="25">
        <v>16.355081558227539</v>
      </c>
      <c r="DA756" s="25">
        <v>30.784194946289059</v>
      </c>
      <c r="DB756" s="25">
        <v>61.09307861328125</v>
      </c>
      <c r="DC756">
        <v>5441</v>
      </c>
      <c r="DD756" s="253" t="s">
        <v>380</v>
      </c>
    </row>
    <row r="757" spans="1:108">
      <c r="A757" s="13">
        <v>5854</v>
      </c>
      <c r="B757" s="13" t="s">
        <v>1944</v>
      </c>
      <c r="C757" s="13" t="s">
        <v>435</v>
      </c>
      <c r="D757" s="13" t="s">
        <v>436</v>
      </c>
      <c r="E757" s="13" t="s">
        <v>1945</v>
      </c>
      <c r="F757" s="14">
        <v>45.372</v>
      </c>
      <c r="G757" s="13">
        <v>78.08</v>
      </c>
      <c r="H757" s="13">
        <v>58.89</v>
      </c>
      <c r="I757" s="13">
        <v>75.48</v>
      </c>
      <c r="J757" s="14">
        <v>51.276454359771193</v>
      </c>
      <c r="K757" s="14">
        <v>62.194062808846908</v>
      </c>
      <c r="L757" s="14">
        <v>60.693239388865649</v>
      </c>
      <c r="M757" s="14">
        <v>54.054200000000002</v>
      </c>
      <c r="N757" s="14">
        <f t="shared" si="297"/>
        <v>64.455500000000001</v>
      </c>
      <c r="O757" s="14">
        <f t="shared" si="298"/>
        <v>57.054489139370936</v>
      </c>
      <c r="P757" s="14">
        <f t="shared" si="314"/>
        <v>60.754994569685465</v>
      </c>
      <c r="Q757" s="14">
        <v>58.500229730992196</v>
      </c>
      <c r="R757" s="17">
        <f t="shared" si="299"/>
        <v>41.499770269007804</v>
      </c>
      <c r="S757" s="14">
        <f t="shared" si="315"/>
        <v>0.47349793242107019</v>
      </c>
      <c r="T757" s="13">
        <v>0</v>
      </c>
      <c r="U757" s="13">
        <f t="shared" si="316"/>
        <v>28.767364312999415</v>
      </c>
      <c r="V757" s="13">
        <f>IF($T757=1,$AU757,(VLOOKUP(U757,'Cortes naturales'!$A$35:$C$39,3,9)))</f>
        <v>4</v>
      </c>
      <c r="W757" s="13">
        <v>4</v>
      </c>
      <c r="X757" s="14" t="b">
        <f t="shared" si="300"/>
        <v>1</v>
      </c>
      <c r="Y757" s="17">
        <f>IF($T757=1,$AU757,VLOOKUP(U757,'Cortes naturales'!$A$45:$C$49,3,9))</f>
        <v>3</v>
      </c>
      <c r="Z757" s="14">
        <v>57.971002333979762</v>
      </c>
      <c r="AA757" s="14">
        <v>0.47789240233173824</v>
      </c>
      <c r="AB757" s="14">
        <v>27.703901570964394</v>
      </c>
      <c r="AC757" s="13">
        <v>4</v>
      </c>
      <c r="AD757" s="13">
        <f t="shared" si="301"/>
        <v>1</v>
      </c>
      <c r="AE757" s="14">
        <f t="shared" si="302"/>
        <v>2.7839922357057034</v>
      </c>
      <c r="AF757" s="14">
        <f t="shared" si="303"/>
        <v>-4.3944699106680529E-3</v>
      </c>
      <c r="AG757" s="13">
        <f t="shared" si="304"/>
        <v>1.0634627420350213</v>
      </c>
      <c r="AH757" s="13">
        <f>IF($T757=1,$AU757,VLOOKUP(U757,'Cortes naturales'!$A$25:$C$29,3,9))</f>
        <v>3</v>
      </c>
      <c r="AI757" s="13" t="b">
        <f t="shared" si="305"/>
        <v>1</v>
      </c>
      <c r="AJ757" s="13" t="str">
        <f t="shared" si="306"/>
        <v>Efecto ponderador</v>
      </c>
      <c r="AK757" s="28">
        <v>0.81759069605862034</v>
      </c>
      <c r="AL757" s="28">
        <v>47.396552149454415</v>
      </c>
      <c r="AM757" s="28">
        <v>0.42225489487254397</v>
      </c>
      <c r="AN757" s="13">
        <v>3</v>
      </c>
      <c r="AO757" s="33">
        <f t="shared" si="307"/>
        <v>0</v>
      </c>
      <c r="AP757" s="13">
        <f t="shared" si="317"/>
        <v>42.2254894872544</v>
      </c>
      <c r="AQ757" s="13">
        <f>IFERROR(VLOOKUP(U757,'Cortes naturales'!$E$15:$G$19,3,9),U757)</f>
        <v>4</v>
      </c>
      <c r="AR757" s="28">
        <f t="shared" si="308"/>
        <v>-0.34409276363755015</v>
      </c>
      <c r="AS757" s="13" t="b">
        <f t="shared" si="309"/>
        <v>0</v>
      </c>
      <c r="AT757" s="13">
        <f t="shared" si="318"/>
        <v>0</v>
      </c>
      <c r="AU757" s="13">
        <v>4</v>
      </c>
      <c r="AV757">
        <f t="shared" si="310"/>
        <v>1</v>
      </c>
      <c r="AW757" s="13">
        <v>0</v>
      </c>
      <c r="AX757" s="13">
        <v>0</v>
      </c>
      <c r="AY757" s="13">
        <v>0</v>
      </c>
      <c r="AZ757" s="13">
        <v>1</v>
      </c>
      <c r="BA757">
        <v>1</v>
      </c>
      <c r="BB757" t="s">
        <v>2840</v>
      </c>
      <c r="BC757">
        <v>6</v>
      </c>
      <c r="BD757" t="s">
        <v>2919</v>
      </c>
      <c r="BE757">
        <v>0</v>
      </c>
      <c r="BF757" s="232" t="s">
        <v>2846</v>
      </c>
      <c r="BG757" s="232" t="s">
        <v>2845</v>
      </c>
      <c r="BH757" s="253">
        <v>59.3</v>
      </c>
      <c r="BI757" s="253">
        <v>26.974198592650509</v>
      </c>
      <c r="BJ757" s="25">
        <v>57.875022084295615</v>
      </c>
      <c r="BK757" t="s">
        <v>376</v>
      </c>
      <c r="BL757">
        <v>37.349576069731413</v>
      </c>
      <c r="BM757" t="s">
        <v>384</v>
      </c>
      <c r="BN757" s="322">
        <v>37451.501184000001</v>
      </c>
      <c r="BO757" s="322">
        <v>3829.598469</v>
      </c>
      <c r="BP757" s="10">
        <v>14927</v>
      </c>
      <c r="BQ757" s="254">
        <f t="shared" si="311"/>
        <v>2.5089771008240103</v>
      </c>
      <c r="BR757" s="254">
        <f t="shared" si="312"/>
        <v>0.25655513291351245</v>
      </c>
      <c r="BS757" s="25">
        <v>56.831260254627921</v>
      </c>
      <c r="BT757" s="25">
        <v>98.209061878921872</v>
      </c>
      <c r="BU757" s="25">
        <v>49.705000000000013</v>
      </c>
      <c r="BV757" s="25">
        <v>79.02348645962698</v>
      </c>
      <c r="BW757" s="25">
        <v>65.160506497209283</v>
      </c>
      <c r="BX757" s="25">
        <v>70.9422021482942</v>
      </c>
      <c r="BY757" s="25">
        <v>65.691858775732541</v>
      </c>
      <c r="BZ757">
        <v>99</v>
      </c>
      <c r="CA757">
        <v>0</v>
      </c>
      <c r="CB757">
        <v>7</v>
      </c>
      <c r="CC757">
        <v>56748.166169999997</v>
      </c>
      <c r="CD757" s="10">
        <v>7257.3707590000004</v>
      </c>
      <c r="CE757" s="255">
        <v>0.12788731775506465</v>
      </c>
      <c r="CF757" t="str">
        <f>IFERROR(VLOOKUP(CE757,'Rangos amb etnico'!$A$2:$C$6,3,9),"N.D.")</f>
        <v>0,1% - 30%</v>
      </c>
      <c r="CG757" s="256">
        <v>2.1114427323750101E-4</v>
      </c>
      <c r="CH757" s="232">
        <v>0</v>
      </c>
      <c r="CI757" s="311">
        <f t="shared" si="319"/>
        <v>0</v>
      </c>
      <c r="CJ757" s="232">
        <f>IFERROR(VLOOKUP(CI757,'Rangos amb etnico'!$A$2:$C$6,3,9),"N.D.")</f>
        <v>0</v>
      </c>
      <c r="CK757" s="311">
        <f t="shared" si="320"/>
        <v>0</v>
      </c>
      <c r="CL757" s="10">
        <v>0</v>
      </c>
      <c r="CM757" s="255">
        <f t="shared" si="321"/>
        <v>0</v>
      </c>
      <c r="CN757" s="232">
        <f>IFERROR(VLOOKUP(CM757,'Rangos amb etnico'!$A$2:$C$6,3,9),"N.D.")</f>
        <v>0</v>
      </c>
      <c r="CO757" s="311">
        <f t="shared" si="322"/>
        <v>0</v>
      </c>
      <c r="CP757">
        <v>0.94408430772248686</v>
      </c>
      <c r="CQ757" t="s">
        <v>2864</v>
      </c>
      <c r="CR757">
        <f t="shared" si="313"/>
        <v>3</v>
      </c>
      <c r="CS757" t="str">
        <f t="shared" si="323"/>
        <v>Candidato</v>
      </c>
      <c r="CT757">
        <v>0</v>
      </c>
      <c r="CU757">
        <v>0</v>
      </c>
      <c r="CV757" s="25">
        <v>38.904411315917969</v>
      </c>
      <c r="CW757" s="25">
        <v>21.75710296630859</v>
      </c>
      <c r="CX757" s="25">
        <v>35.193611145019531</v>
      </c>
      <c r="CY757" s="25">
        <v>52.19482421875</v>
      </c>
      <c r="CZ757" s="25">
        <v>19.03816986083984</v>
      </c>
      <c r="DA757" s="25">
        <v>53.936702728271477</v>
      </c>
      <c r="DB757" s="25">
        <v>51.306045532226563</v>
      </c>
      <c r="DC757">
        <v>257</v>
      </c>
      <c r="DD757" s="253" t="s">
        <v>380</v>
      </c>
    </row>
    <row r="758" spans="1:108" hidden="1">
      <c r="A758" s="13">
        <v>19760</v>
      </c>
      <c r="B758" s="13" t="s">
        <v>1946</v>
      </c>
      <c r="C758" s="13" t="s">
        <v>557</v>
      </c>
      <c r="D758" s="13" t="s">
        <v>558</v>
      </c>
      <c r="E758" s="13" t="s">
        <v>1947</v>
      </c>
      <c r="F758" s="14">
        <v>59.6696666666667</v>
      </c>
      <c r="G758" s="13">
        <v>60.62</v>
      </c>
      <c r="H758" s="13">
        <v>57.42</v>
      </c>
      <c r="I758" s="13">
        <v>68.16</v>
      </c>
      <c r="J758" s="14">
        <v>48.952202973623528</v>
      </c>
      <c r="K758" s="14">
        <v>52.779680637256213</v>
      </c>
      <c r="L758" s="14">
        <v>51.804763592221455</v>
      </c>
      <c r="M758" s="14">
        <v>54.199300000000001</v>
      </c>
      <c r="N758" s="14">
        <f t="shared" si="297"/>
        <v>61.467416666666672</v>
      </c>
      <c r="O758" s="14">
        <f t="shared" si="298"/>
        <v>51.933986800775301</v>
      </c>
      <c r="P758" s="14">
        <f t="shared" si="314"/>
        <v>56.70070173372099</v>
      </c>
      <c r="Q758" s="14">
        <v>59.4067071571002</v>
      </c>
      <c r="R758" s="17">
        <f t="shared" si="299"/>
        <v>40.5932928428998</v>
      </c>
      <c r="S758" s="14">
        <f t="shared" si="315"/>
        <v>0.46533963558609814</v>
      </c>
      <c r="T758" s="13">
        <v>0</v>
      </c>
      <c r="U758" s="13">
        <f t="shared" si="316"/>
        <v>26.38508388224577</v>
      </c>
      <c r="V758" s="13">
        <f>IF($T758=1,$AU758,(VLOOKUP(U758,'Cortes naturales'!$A$35:$C$39,3,9)))</f>
        <v>4</v>
      </c>
      <c r="W758" s="13">
        <v>4</v>
      </c>
      <c r="X758" s="14" t="b">
        <f t="shared" si="300"/>
        <v>1</v>
      </c>
      <c r="Y758" s="17">
        <f>IF($T758=1,$AU758,VLOOKUP(U758,'Cortes naturales'!$A$45:$C$49,3,9))</f>
        <v>4</v>
      </c>
      <c r="Z758" s="14">
        <v>54.66560841554071</v>
      </c>
      <c r="AA758" s="14">
        <v>0.47452637462655201</v>
      </c>
      <c r="AB758" s="14">
        <v>25.940272978181266</v>
      </c>
      <c r="AC758" s="13">
        <v>4</v>
      </c>
      <c r="AD758" s="13">
        <f t="shared" si="301"/>
        <v>0</v>
      </c>
      <c r="AE758" s="14">
        <f t="shared" si="302"/>
        <v>2.0350933181802802</v>
      </c>
      <c r="AF758" s="14">
        <f t="shared" si="303"/>
        <v>-9.1867390404538618E-3</v>
      </c>
      <c r="AG758" s="13">
        <f t="shared" si="304"/>
        <v>0.44481090406450363</v>
      </c>
      <c r="AH758" s="13">
        <f>IF($T758=1,$AU758,VLOOKUP(U758,'Cortes naturales'!$A$25:$C$29,3,9))</f>
        <v>4</v>
      </c>
      <c r="AI758" s="13" t="b">
        <f t="shared" si="305"/>
        <v>1</v>
      </c>
      <c r="AJ758" s="13">
        <f t="shared" si="306"/>
        <v>0</v>
      </c>
      <c r="AK758" s="28">
        <v>0.6523467210059386</v>
      </c>
      <c r="AL758" s="28">
        <v>35.660930401672623</v>
      </c>
      <c r="AM758" s="28">
        <v>0.27545463731914882</v>
      </c>
      <c r="AN758" s="13">
        <v>4</v>
      </c>
      <c r="AO758" s="33">
        <f t="shared" si="307"/>
        <v>0</v>
      </c>
      <c r="AP758" s="13">
        <f t="shared" si="317"/>
        <v>27.545463731914882</v>
      </c>
      <c r="AQ758" s="13">
        <f>IFERROR(VLOOKUP(U758,'Cortes naturales'!$E$15:$G$19,3,9),U758)</f>
        <v>4</v>
      </c>
      <c r="AR758" s="28">
        <f t="shared" si="308"/>
        <v>-0.18700708541984046</v>
      </c>
      <c r="AS758" s="13" t="b">
        <f t="shared" si="309"/>
        <v>1</v>
      </c>
      <c r="AT758" s="13">
        <f t="shared" si="318"/>
        <v>0</v>
      </c>
      <c r="AU758" s="13">
        <v>3</v>
      </c>
      <c r="AV758">
        <f t="shared" si="310"/>
        <v>-1</v>
      </c>
      <c r="AW758" s="13">
        <v>0</v>
      </c>
      <c r="AX758" s="13">
        <v>0</v>
      </c>
      <c r="AY758" s="13">
        <v>0</v>
      </c>
      <c r="AZ758" s="13">
        <v>0</v>
      </c>
      <c r="BA758">
        <v>0</v>
      </c>
      <c r="BB758" t="s">
        <v>2841</v>
      </c>
      <c r="BC758">
        <v>6</v>
      </c>
      <c r="BD758" t="s">
        <v>2919</v>
      </c>
      <c r="BE758">
        <v>1</v>
      </c>
      <c r="BF758" s="232" t="s">
        <v>2846</v>
      </c>
      <c r="BG758" s="232" t="s">
        <v>2846</v>
      </c>
      <c r="BH758" s="253">
        <v>32.299999999999997</v>
      </c>
      <c r="BI758" s="253">
        <v>18.5554903112155</v>
      </c>
      <c r="BJ758" s="25">
        <v>3.105</v>
      </c>
      <c r="BK758" t="s">
        <v>381</v>
      </c>
      <c r="BL758">
        <v>3.1873199648817616</v>
      </c>
      <c r="BM758" t="s">
        <v>383</v>
      </c>
      <c r="BN758" s="322">
        <v>29279.489399999999</v>
      </c>
      <c r="BO758" s="322">
        <v>2425.4989690000002</v>
      </c>
      <c r="BP758" s="10">
        <v>14596</v>
      </c>
      <c r="BQ758" s="254">
        <f t="shared" si="311"/>
        <v>2.0059940668676348</v>
      </c>
      <c r="BR758" s="254">
        <f t="shared" si="312"/>
        <v>0.1661755939298438</v>
      </c>
      <c r="BS758" s="25">
        <v>41.164757909010817</v>
      </c>
      <c r="BT758" s="25">
        <v>86.730059492098292</v>
      </c>
      <c r="BU758" s="25">
        <v>31.97567127628923</v>
      </c>
      <c r="BV758" s="25">
        <v>94.13169578531604</v>
      </c>
      <c r="BW758" s="25">
        <v>49.11042937931937</v>
      </c>
      <c r="BX758" s="25">
        <v>63.500546115678603</v>
      </c>
      <c r="BY758" s="25">
        <v>49.960503758705727</v>
      </c>
      <c r="BZ758">
        <v>46</v>
      </c>
      <c r="CA758">
        <v>0</v>
      </c>
      <c r="CB758">
        <v>7</v>
      </c>
      <c r="CC758">
        <v>51616.559353999997</v>
      </c>
      <c r="CD758" s="10">
        <v>27594.456595</v>
      </c>
      <c r="CE758" s="255">
        <v>0.53460472647450075</v>
      </c>
      <c r="CF758" t="str">
        <f>IFERROR(VLOOKUP(CE758,'Rangos amb etnico'!$A$2:$C$6,3,9),"N.D.")</f>
        <v>51% - 70%</v>
      </c>
      <c r="CG758" s="256">
        <v>8.0282676421203933E-4</v>
      </c>
      <c r="CH758" s="232">
        <v>828.66378099999997</v>
      </c>
      <c r="CI758" s="311">
        <f t="shared" si="319"/>
        <v>1.6054223516077562E-2</v>
      </c>
      <c r="CJ758" s="232" t="str">
        <f>IFERROR(VLOOKUP(CI758,'Rangos amb etnico'!$A$2:$C$6,3,9),"N.D.")</f>
        <v>0,1% - 30%</v>
      </c>
      <c r="CK758" s="311">
        <f t="shared" si="320"/>
        <v>3.2903377533607078E-5</v>
      </c>
      <c r="CL758" s="10">
        <v>0</v>
      </c>
      <c r="CM758" s="255">
        <f t="shared" si="321"/>
        <v>0</v>
      </c>
      <c r="CN758" s="232">
        <f>IFERROR(VLOOKUP(CM758,'Rangos amb etnico'!$A$2:$C$6,3,9),"N.D.")</f>
        <v>0</v>
      </c>
      <c r="CO758" s="311">
        <f t="shared" si="322"/>
        <v>0</v>
      </c>
      <c r="CP758">
        <v>0.87885901018123946</v>
      </c>
      <c r="CQ758" t="s">
        <v>2864</v>
      </c>
      <c r="CR758">
        <f t="shared" si="313"/>
        <v>2</v>
      </c>
      <c r="CS758" t="str">
        <f t="shared" si="323"/>
        <v>No es Candidato</v>
      </c>
      <c r="CT758">
        <v>0</v>
      </c>
      <c r="CU758">
        <v>0</v>
      </c>
      <c r="CV758" s="25">
        <v>53.435565948486328</v>
      </c>
      <c r="CW758" s="25">
        <v>22.33647346496582</v>
      </c>
      <c r="CX758" s="25">
        <v>56.560131072998047</v>
      </c>
      <c r="CY758" s="25">
        <v>66.824974060058594</v>
      </c>
      <c r="CZ758" s="25">
        <v>45.752094268798828</v>
      </c>
      <c r="DA758" s="25">
        <v>65.597442626953125</v>
      </c>
      <c r="DB758" s="25">
        <v>63.542285919189453</v>
      </c>
      <c r="DC758">
        <v>6492</v>
      </c>
      <c r="DD758" s="253" t="s">
        <v>380</v>
      </c>
    </row>
    <row r="759" spans="1:108" hidden="1">
      <c r="A759" s="13">
        <v>44847</v>
      </c>
      <c r="B759" s="13" t="s">
        <v>1948</v>
      </c>
      <c r="C759" s="13" t="s">
        <v>933</v>
      </c>
      <c r="D759" s="13" t="s">
        <v>934</v>
      </c>
      <c r="E759" s="13" t="s">
        <v>1949</v>
      </c>
      <c r="F759" s="14">
        <v>55.309033333333304</v>
      </c>
      <c r="G759" s="13">
        <v>62.68</v>
      </c>
      <c r="H759" s="13">
        <v>64.7</v>
      </c>
      <c r="I759" s="13">
        <v>66.23</v>
      </c>
      <c r="J759" s="14">
        <v>39.356977454101369</v>
      </c>
      <c r="K759" s="14">
        <v>42.312110890319147</v>
      </c>
      <c r="L759" s="14">
        <v>46.488154726697289</v>
      </c>
      <c r="M759" s="14">
        <v>45.569800000000001</v>
      </c>
      <c r="N759" s="14">
        <f t="shared" si="297"/>
        <v>62.229758333333336</v>
      </c>
      <c r="O759" s="14">
        <f t="shared" si="298"/>
        <v>43.431760767779451</v>
      </c>
      <c r="P759" s="14">
        <f t="shared" si="314"/>
        <v>52.830759550556394</v>
      </c>
      <c r="Q759" s="14">
        <v>60.009184033614396</v>
      </c>
      <c r="R759" s="17">
        <f t="shared" si="299"/>
        <v>39.990815966385604</v>
      </c>
      <c r="S759" s="14">
        <f t="shared" si="315"/>
        <v>0.4599173436974705</v>
      </c>
      <c r="T759" s="13">
        <v>0</v>
      </c>
      <c r="U759" s="13">
        <f t="shared" si="316"/>
        <v>24.297782598011668</v>
      </c>
      <c r="V759" s="13">
        <f>IF($T759=1,$AU759,(VLOOKUP(U759,'Cortes naturales'!$A$35:$C$39,3,9)))</f>
        <v>4</v>
      </c>
      <c r="W759" s="13">
        <v>4</v>
      </c>
      <c r="X759" s="14" t="b">
        <f t="shared" si="300"/>
        <v>1</v>
      </c>
      <c r="Y759" s="17">
        <f>IF($T759=1,$AU759,VLOOKUP(U759,'Cortes naturales'!$A$45:$C$49,3,9))</f>
        <v>4</v>
      </c>
      <c r="Z759" s="14">
        <v>53.118832356661748</v>
      </c>
      <c r="AA759" s="14">
        <v>0.47388509205227414</v>
      </c>
      <c r="AB759" s="14">
        <v>25.172222761045969</v>
      </c>
      <c r="AC759" s="13">
        <v>4</v>
      </c>
      <c r="AD759" s="13">
        <f t="shared" si="301"/>
        <v>0</v>
      </c>
      <c r="AE759" s="14">
        <f t="shared" si="302"/>
        <v>-0.28807280610535457</v>
      </c>
      <c r="AF759" s="14">
        <f t="shared" si="303"/>
        <v>-1.3967748354803633E-2</v>
      </c>
      <c r="AG759" s="13">
        <f t="shared" si="304"/>
        <v>-0.87444016303430061</v>
      </c>
      <c r="AH759" s="13">
        <f>IF($T759=1,$AU759,VLOOKUP(U759,'Cortes naturales'!$A$25:$C$29,3,9))</f>
        <v>4</v>
      </c>
      <c r="AI759" s="13" t="b">
        <f t="shared" si="305"/>
        <v>1</v>
      </c>
      <c r="AJ759" s="13">
        <f t="shared" si="306"/>
        <v>0</v>
      </c>
      <c r="AK759" s="28">
        <v>0.6523467210059386</v>
      </c>
      <c r="AL759" s="28">
        <v>34.651896111532444</v>
      </c>
      <c r="AM759" s="28">
        <v>0.26283268197189302</v>
      </c>
      <c r="AN759" s="13">
        <v>4</v>
      </c>
      <c r="AO759" s="33">
        <f t="shared" si="307"/>
        <v>0</v>
      </c>
      <c r="AP759" s="13">
        <f t="shared" si="317"/>
        <v>26.283268197189301</v>
      </c>
      <c r="AQ759" s="13">
        <f>IFERROR(VLOOKUP(U759,'Cortes naturales'!$E$15:$G$19,3,9),U759)</f>
        <v>4</v>
      </c>
      <c r="AR759" s="28">
        <f t="shared" si="308"/>
        <v>-0.1924293773084681</v>
      </c>
      <c r="AS759" s="13" t="b">
        <f t="shared" si="309"/>
        <v>1</v>
      </c>
      <c r="AT759" s="13">
        <f t="shared" si="318"/>
        <v>0</v>
      </c>
      <c r="AU759" s="13">
        <v>3</v>
      </c>
      <c r="AV759">
        <f t="shared" si="310"/>
        <v>-1</v>
      </c>
      <c r="AW759" s="13">
        <v>0</v>
      </c>
      <c r="AX759" s="13">
        <v>1</v>
      </c>
      <c r="AY759" s="13">
        <v>0</v>
      </c>
      <c r="AZ759" s="13">
        <v>0</v>
      </c>
      <c r="BA759">
        <v>0</v>
      </c>
      <c r="BB759" t="s">
        <v>2841</v>
      </c>
      <c r="BC759">
        <v>4</v>
      </c>
      <c r="BD759" t="s">
        <v>2919</v>
      </c>
      <c r="BE759">
        <v>1</v>
      </c>
      <c r="BF759" s="232" t="s">
        <v>2845</v>
      </c>
      <c r="BG759" s="232" t="s">
        <v>2846</v>
      </c>
      <c r="BH759" s="253">
        <v>92.2</v>
      </c>
      <c r="BI759" s="253">
        <v>88.7491622725491</v>
      </c>
      <c r="BJ759" s="25">
        <v>37.205917631366205</v>
      </c>
      <c r="BK759" t="s">
        <v>376</v>
      </c>
      <c r="BL759">
        <v>0.92337087377224647</v>
      </c>
      <c r="BM759" t="s">
        <v>383</v>
      </c>
      <c r="BN759" s="322">
        <v>513863.56802000001</v>
      </c>
      <c r="BO759" s="322">
        <v>23834.581596</v>
      </c>
      <c r="BP759" s="10">
        <v>200665</v>
      </c>
      <c r="BQ759" s="254">
        <f t="shared" si="311"/>
        <v>2.560803169561209</v>
      </c>
      <c r="BR759" s="254">
        <f t="shared" si="312"/>
        <v>0.11877797122567463</v>
      </c>
      <c r="BS759" s="25">
        <v>79.720404984423681</v>
      </c>
      <c r="BT759" s="25">
        <v>97.849886893508383</v>
      </c>
      <c r="BU759" s="25">
        <v>20.932426605745491</v>
      </c>
      <c r="BV759" s="25">
        <v>99.160940704696301</v>
      </c>
      <c r="BW759" s="25">
        <v>49.908290315713067</v>
      </c>
      <c r="BX759" s="25">
        <v>74.415914797093464</v>
      </c>
      <c r="BY759" s="25">
        <v>52.168425921336741</v>
      </c>
      <c r="BZ759">
        <v>76</v>
      </c>
      <c r="CA759">
        <v>0</v>
      </c>
      <c r="CB759">
        <v>6</v>
      </c>
      <c r="CC759">
        <v>786372.73192499997</v>
      </c>
      <c r="CD759" s="10">
        <v>33144.148129000001</v>
      </c>
      <c r="CE759" s="255">
        <v>4.2148140167404882E-2</v>
      </c>
      <c r="CF759" t="str">
        <f>IFERROR(VLOOKUP(CE759,'Rangos amb etnico'!$A$2:$C$6,3,9),"N.D.")</f>
        <v>0,1% - 30%</v>
      </c>
      <c r="CG759" s="256">
        <v>9.6428821141529672E-4</v>
      </c>
      <c r="CH759" s="232">
        <v>768355.61733899999</v>
      </c>
      <c r="CI759" s="311">
        <f t="shared" si="319"/>
        <v>0.97708832738656259</v>
      </c>
      <c r="CJ759" s="232" t="str">
        <f>IFERROR(VLOOKUP(CI759,'Rangos amb etnico'!$A$2:$C$6,3,9),"N.D.")</f>
        <v>71% - 100%</v>
      </c>
      <c r="CK759" s="311">
        <f t="shared" si="320"/>
        <v>3.0508748586627134E-2</v>
      </c>
      <c r="CL759" s="10">
        <v>0</v>
      </c>
      <c r="CM759" s="255">
        <f t="shared" si="321"/>
        <v>0</v>
      </c>
      <c r="CN759" s="232">
        <f>IFERROR(VLOOKUP(CM759,'Rangos amb etnico'!$A$2:$C$6,3,9),"N.D.")</f>
        <v>0</v>
      </c>
      <c r="CO759" s="311">
        <f t="shared" si="322"/>
        <v>0</v>
      </c>
      <c r="CP759">
        <v>0.89895308820616981</v>
      </c>
      <c r="CQ759" t="s">
        <v>2864</v>
      </c>
      <c r="CR759">
        <f t="shared" si="313"/>
        <v>2</v>
      </c>
      <c r="CS759" t="str">
        <f t="shared" si="323"/>
        <v>No es Candidato</v>
      </c>
      <c r="CT759">
        <v>1</v>
      </c>
      <c r="CU759" t="s">
        <v>2836</v>
      </c>
      <c r="CV759" s="25">
        <v>45.208038330078118</v>
      </c>
      <c r="CW759" s="25">
        <v>40.100975036621087</v>
      </c>
      <c r="CX759" s="25">
        <v>43.740108489990227</v>
      </c>
      <c r="CY759" s="25">
        <v>21.21121978759766</v>
      </c>
      <c r="CZ759" s="25">
        <v>9.4889354705810547</v>
      </c>
      <c r="DA759" s="25">
        <v>93.93341064453125</v>
      </c>
      <c r="DB759" s="25">
        <v>62.773586273193359</v>
      </c>
      <c r="DC759">
        <v>158381</v>
      </c>
      <c r="DD759" s="253" t="s">
        <v>380</v>
      </c>
    </row>
    <row r="760" spans="1:108" hidden="1">
      <c r="A760" s="13">
        <v>13667</v>
      </c>
      <c r="B760" s="13" t="s">
        <v>1950</v>
      </c>
      <c r="C760" s="13" t="s">
        <v>480</v>
      </c>
      <c r="D760" s="13" t="s">
        <v>481</v>
      </c>
      <c r="E760" s="13" t="s">
        <v>1951</v>
      </c>
      <c r="F760" s="14">
        <v>51.088299999999997</v>
      </c>
      <c r="G760" s="13">
        <v>74.05</v>
      </c>
      <c r="H760" s="13">
        <v>85.14</v>
      </c>
      <c r="I760" s="13">
        <v>84.65</v>
      </c>
      <c r="J760" s="14">
        <v>47.733536828272655</v>
      </c>
      <c r="K760" s="14">
        <v>45.330452331095131</v>
      </c>
      <c r="L760" s="14">
        <v>42.864692742341383</v>
      </c>
      <c r="M760" s="14">
        <v>42.505800000000001</v>
      </c>
      <c r="N760" s="14">
        <f t="shared" si="297"/>
        <v>73.732075000000009</v>
      </c>
      <c r="O760" s="14">
        <f t="shared" si="298"/>
        <v>44.608620475427294</v>
      </c>
      <c r="P760" s="14">
        <f t="shared" si="314"/>
        <v>59.170347737713655</v>
      </c>
      <c r="Q760" s="14">
        <v>59.326803358985394</v>
      </c>
      <c r="R760" s="17">
        <f t="shared" si="299"/>
        <v>40.673196641014606</v>
      </c>
      <c r="S760" s="14">
        <f t="shared" si="315"/>
        <v>0.46605876976913152</v>
      </c>
      <c r="T760" s="13">
        <v>0</v>
      </c>
      <c r="U760" s="13">
        <f t="shared" si="316"/>
        <v>27.57685947345054</v>
      </c>
      <c r="V760" s="13">
        <f>IF($T760=1,$AU760,(VLOOKUP(U760,'Cortes naturales'!$A$35:$C$39,3,9)))</f>
        <v>4</v>
      </c>
      <c r="W760" s="13">
        <v>4</v>
      </c>
      <c r="X760" s="14" t="b">
        <f t="shared" si="300"/>
        <v>1</v>
      </c>
      <c r="Y760" s="17">
        <f>IF($T760=1,$AU760,VLOOKUP(U760,'Cortes naturales'!$A$45:$C$49,3,9))</f>
        <v>4</v>
      </c>
      <c r="Z760" s="14">
        <v>54.025600505204814</v>
      </c>
      <c r="AA760" s="14">
        <v>0.47259467338011307</v>
      </c>
      <c r="AB760" s="14">
        <v>25.53221102492174</v>
      </c>
      <c r="AC760" s="13">
        <v>4</v>
      </c>
      <c r="AD760" s="13">
        <f t="shared" si="301"/>
        <v>0</v>
      </c>
      <c r="AE760" s="14">
        <f t="shared" si="302"/>
        <v>5.1447472325088413</v>
      </c>
      <c r="AF760" s="14">
        <f t="shared" si="303"/>
        <v>-6.5359036109815527E-3</v>
      </c>
      <c r="AG760" s="13">
        <f t="shared" si="304"/>
        <v>2.0446484485288003</v>
      </c>
      <c r="AH760" s="13">
        <f>IF($T760=1,$AU760,VLOOKUP(U760,'Cortes naturales'!$A$25:$C$29,3,9))</f>
        <v>4</v>
      </c>
      <c r="AI760" s="13" t="b">
        <f t="shared" si="305"/>
        <v>1</v>
      </c>
      <c r="AJ760" s="13">
        <f t="shared" si="306"/>
        <v>0</v>
      </c>
      <c r="AK760" s="28">
        <v>0.6523467210059386</v>
      </c>
      <c r="AL760" s="28">
        <v>35.243423339947142</v>
      </c>
      <c r="AM760" s="28">
        <v>0.27023206407088896</v>
      </c>
      <c r="AN760" s="13">
        <v>4</v>
      </c>
      <c r="AO760" s="33">
        <f t="shared" si="307"/>
        <v>0</v>
      </c>
      <c r="AP760" s="13">
        <f t="shared" si="317"/>
        <v>27.023206407088896</v>
      </c>
      <c r="AQ760" s="13">
        <f>IFERROR(VLOOKUP(U760,'Cortes naturales'!$E$15:$G$19,3,9),U760)</f>
        <v>4</v>
      </c>
      <c r="AR760" s="28">
        <f t="shared" si="308"/>
        <v>-0.18628795123680708</v>
      </c>
      <c r="AS760" s="13" t="b">
        <f t="shared" si="309"/>
        <v>1</v>
      </c>
      <c r="AT760" s="13">
        <f t="shared" si="318"/>
        <v>0</v>
      </c>
      <c r="AU760" s="13">
        <v>4</v>
      </c>
      <c r="AV760">
        <f t="shared" si="310"/>
        <v>0</v>
      </c>
      <c r="AW760" s="13">
        <v>0</v>
      </c>
      <c r="AX760" s="13">
        <v>0</v>
      </c>
      <c r="AY760" s="13">
        <v>0</v>
      </c>
      <c r="AZ760" s="13">
        <v>0</v>
      </c>
      <c r="BA760">
        <v>0</v>
      </c>
      <c r="BB760" t="s">
        <v>2840</v>
      </c>
      <c r="BC760">
        <v>6</v>
      </c>
      <c r="BD760" t="s">
        <v>2919</v>
      </c>
      <c r="BE760">
        <v>0</v>
      </c>
      <c r="BF760" s="232" t="s">
        <v>2846</v>
      </c>
      <c r="BG760" s="232" t="s">
        <v>2845</v>
      </c>
      <c r="BH760" s="253">
        <v>60.6</v>
      </c>
      <c r="BI760" s="253">
        <v>45.589959313150814</v>
      </c>
      <c r="BJ760" s="25">
        <v>32.561818181818182</v>
      </c>
      <c r="BK760" t="s">
        <v>379</v>
      </c>
      <c r="BL760">
        <v>4.8167304077677091</v>
      </c>
      <c r="BM760" t="s">
        <v>383</v>
      </c>
      <c r="BN760" s="322">
        <v>39492.879839000001</v>
      </c>
      <c r="BO760" s="322">
        <v>1108.0652809999999</v>
      </c>
      <c r="BP760" s="10">
        <v>15853</v>
      </c>
      <c r="BQ760" s="254">
        <f t="shared" si="311"/>
        <v>2.4911928240080741</v>
      </c>
      <c r="BR760" s="254">
        <f t="shared" si="312"/>
        <v>6.9896251876616411E-2</v>
      </c>
      <c r="BS760" s="25">
        <v>65.423191905254683</v>
      </c>
      <c r="BT760" s="25">
        <v>96.230167351710506</v>
      </c>
      <c r="BU760" s="25">
        <v>30.192574002573998</v>
      </c>
      <c r="BV760" s="25">
        <v>96.4507381232076</v>
      </c>
      <c r="BW760" s="25">
        <v>33.072626962143133</v>
      </c>
      <c r="BX760" s="25">
        <v>72.074167845686702</v>
      </c>
      <c r="BY760" s="25">
        <v>32.477504799943091</v>
      </c>
      <c r="BZ760">
        <v>92</v>
      </c>
      <c r="CA760">
        <v>0</v>
      </c>
      <c r="CB760">
        <v>7</v>
      </c>
      <c r="CC760">
        <v>44954.598210999997</v>
      </c>
      <c r="CD760" s="10">
        <v>2538.4009729999998</v>
      </c>
      <c r="CE760" s="255">
        <v>5.6465880555437269E-2</v>
      </c>
      <c r="CF760" t="str">
        <f>IFERROR(VLOOKUP(CE760,'Rangos amb etnico'!$A$2:$C$6,3,9),"N.D.")</f>
        <v>0,1% - 30%</v>
      </c>
      <c r="CG760" s="256">
        <v>7.3851653226450573E-5</v>
      </c>
      <c r="CH760" s="232">
        <v>0</v>
      </c>
      <c r="CI760" s="311">
        <f t="shared" si="319"/>
        <v>0</v>
      </c>
      <c r="CJ760" s="232">
        <f>IFERROR(VLOOKUP(CI760,'Rangos amb etnico'!$A$2:$C$6,3,9),"N.D.")</f>
        <v>0</v>
      </c>
      <c r="CK760" s="311">
        <f t="shared" si="320"/>
        <v>0</v>
      </c>
      <c r="CL760" s="10">
        <v>0</v>
      </c>
      <c r="CM760" s="255">
        <f t="shared" si="321"/>
        <v>0</v>
      </c>
      <c r="CN760" s="232">
        <f>IFERROR(VLOOKUP(CM760,'Rangos amb etnico'!$A$2:$C$6,3,9),"N.D.")</f>
        <v>0</v>
      </c>
      <c r="CO760" s="311">
        <f t="shared" si="322"/>
        <v>0</v>
      </c>
      <c r="CP760">
        <v>0.91365672186001612</v>
      </c>
      <c r="CQ760" t="s">
        <v>2864</v>
      </c>
      <c r="CR760">
        <f t="shared" si="313"/>
        <v>2</v>
      </c>
      <c r="CS760" t="str">
        <f t="shared" si="323"/>
        <v>No es Candidato</v>
      </c>
      <c r="CT760">
        <v>0</v>
      </c>
      <c r="CU760">
        <v>0</v>
      </c>
      <c r="CV760" s="25">
        <v>38.593547821044922</v>
      </c>
      <c r="CW760" s="25">
        <v>13.702596664428709</v>
      </c>
      <c r="CX760" s="25">
        <v>45.267364501953118</v>
      </c>
      <c r="CY760" s="25">
        <v>51.40606689453125</v>
      </c>
      <c r="CZ760" s="25">
        <v>5.306856632232666</v>
      </c>
      <c r="DA760" s="25">
        <v>78.207954406738281</v>
      </c>
      <c r="DB760" s="25">
        <v>37.670452117919922</v>
      </c>
      <c r="DC760">
        <v>421</v>
      </c>
      <c r="DD760" s="253" t="s">
        <v>380</v>
      </c>
    </row>
    <row r="761" spans="1:108" hidden="1">
      <c r="A761" s="13">
        <v>20175</v>
      </c>
      <c r="B761" s="13" t="s">
        <v>1952</v>
      </c>
      <c r="C761" s="13" t="s">
        <v>893</v>
      </c>
      <c r="D761" s="13" t="s">
        <v>894</v>
      </c>
      <c r="E761" s="13" t="s">
        <v>1953</v>
      </c>
      <c r="F761" s="14">
        <v>88.4667666666667</v>
      </c>
      <c r="G761" s="13">
        <v>72.239999999999995</v>
      </c>
      <c r="H761" s="13">
        <v>70.56</v>
      </c>
      <c r="I761" s="13">
        <v>38.57</v>
      </c>
      <c r="J761" s="14">
        <v>37.599147485501838</v>
      </c>
      <c r="K761" s="14">
        <v>58.309975766227552</v>
      </c>
      <c r="L761" s="14">
        <v>52.506757550371233</v>
      </c>
      <c r="M761" s="14">
        <v>55.681399999999996</v>
      </c>
      <c r="N761" s="14">
        <f t="shared" si="297"/>
        <v>67.459191666666669</v>
      </c>
      <c r="O761" s="14">
        <f t="shared" si="298"/>
        <v>51.024320200525153</v>
      </c>
      <c r="P761" s="14">
        <f t="shared" si="314"/>
        <v>59.241755933595911</v>
      </c>
      <c r="Q761" s="14">
        <v>59.611917952141425</v>
      </c>
      <c r="R761" s="17">
        <f t="shared" si="299"/>
        <v>40.388082047858575</v>
      </c>
      <c r="S761" s="14">
        <f t="shared" si="315"/>
        <v>0.46349273843072725</v>
      </c>
      <c r="T761" s="13">
        <v>0</v>
      </c>
      <c r="U761" s="13">
        <f t="shared" si="316"/>
        <v>27.458123687107154</v>
      </c>
      <c r="V761" s="13">
        <f>IF($T761=1,$AU761,(VLOOKUP(U761,'Cortes naturales'!$A$35:$C$39,3,9)))</f>
        <v>4</v>
      </c>
      <c r="W761" s="13">
        <v>4</v>
      </c>
      <c r="X761" s="14" t="b">
        <f t="shared" si="300"/>
        <v>1</v>
      </c>
      <c r="Y761" s="17">
        <f>IF($T761=1,$AU761,VLOOKUP(U761,'Cortes naturales'!$A$45:$C$49,3,9))</f>
        <v>4</v>
      </c>
      <c r="Z761" s="14">
        <v>64.95402326341636</v>
      </c>
      <c r="AA761" s="14">
        <v>0.47291448272234204</v>
      </c>
      <c r="AB761" s="14">
        <v>30.717698312353519</v>
      </c>
      <c r="AC761" s="13">
        <v>3</v>
      </c>
      <c r="AD761" s="13">
        <f t="shared" si="301"/>
        <v>-1</v>
      </c>
      <c r="AE761" s="14">
        <f t="shared" si="302"/>
        <v>-5.7122673298204489</v>
      </c>
      <c r="AF761" s="14">
        <f t="shared" si="303"/>
        <v>-9.4217442916147975E-3</v>
      </c>
      <c r="AG761" s="13">
        <f t="shared" si="304"/>
        <v>-3.2595746252463655</v>
      </c>
      <c r="AH761" s="13">
        <f>IF($T761=1,$AU761,VLOOKUP(U761,'Cortes naturales'!$A$25:$C$29,3,9))</f>
        <v>4</v>
      </c>
      <c r="AI761" s="13" t="b">
        <f t="shared" si="305"/>
        <v>1</v>
      </c>
      <c r="AJ761" s="13" t="str">
        <f t="shared" si="306"/>
        <v>Efecto ponderador</v>
      </c>
      <c r="AK761" s="28">
        <v>0.6523467210059386</v>
      </c>
      <c r="AL761" s="28">
        <v>42.372544092033117</v>
      </c>
      <c r="AM761" s="28">
        <v>0.35940984987787361</v>
      </c>
      <c r="AN761" s="13">
        <v>3</v>
      </c>
      <c r="AO761" s="33">
        <f t="shared" si="307"/>
        <v>-1</v>
      </c>
      <c r="AP761" s="13">
        <f t="shared" si="317"/>
        <v>35.94098498778736</v>
      </c>
      <c r="AQ761" s="13">
        <f>IFERROR(VLOOKUP(U761,'Cortes naturales'!$E$15:$G$19,3,9),U761)</f>
        <v>4</v>
      </c>
      <c r="AR761" s="28">
        <f t="shared" si="308"/>
        <v>-0.18885398257521135</v>
      </c>
      <c r="AS761" s="13" t="b">
        <f t="shared" si="309"/>
        <v>1</v>
      </c>
      <c r="AT761" s="13" t="str">
        <f t="shared" si="318"/>
        <v>Efecto ponderador</v>
      </c>
      <c r="AU761" s="13">
        <v>3</v>
      </c>
      <c r="AV761">
        <f t="shared" si="310"/>
        <v>-1</v>
      </c>
      <c r="AW761" s="13">
        <v>0</v>
      </c>
      <c r="AX761" s="13">
        <v>0</v>
      </c>
      <c r="AY761" s="13">
        <v>0</v>
      </c>
      <c r="AZ761" s="13">
        <v>0</v>
      </c>
      <c r="BA761">
        <v>0</v>
      </c>
      <c r="BB761" t="s">
        <v>2840</v>
      </c>
      <c r="BC761">
        <v>6</v>
      </c>
      <c r="BD761" t="s">
        <v>2919</v>
      </c>
      <c r="BE761">
        <v>0</v>
      </c>
      <c r="BF761" s="232" t="s">
        <v>2846</v>
      </c>
      <c r="BG761" s="232" t="s">
        <v>2845</v>
      </c>
      <c r="BH761" s="253">
        <v>52.5</v>
      </c>
      <c r="BI761" s="253">
        <v>30.371300211416489</v>
      </c>
      <c r="BJ761" s="25">
        <v>68.110500000000016</v>
      </c>
      <c r="BK761" t="s">
        <v>376</v>
      </c>
      <c r="BL761">
        <v>1.3877004527222636</v>
      </c>
      <c r="BM761" t="s">
        <v>383</v>
      </c>
      <c r="BN761" s="322">
        <v>59036.567575000001</v>
      </c>
      <c r="BO761" s="322">
        <v>4441.3660440000003</v>
      </c>
      <c r="BP761" s="10">
        <v>37732</v>
      </c>
      <c r="BQ761" s="254">
        <f t="shared" si="311"/>
        <v>1.5646286328580516</v>
      </c>
      <c r="BR761" s="254">
        <f t="shared" si="312"/>
        <v>0.11770820640305311</v>
      </c>
      <c r="BS761" s="25">
        <v>60.867820872823422</v>
      </c>
      <c r="BT761" s="25">
        <v>93.464640060072796</v>
      </c>
      <c r="BU761" s="25">
        <v>25.348145706776929</v>
      </c>
      <c r="BV761" s="25">
        <v>95.566249854521288</v>
      </c>
      <c r="BW761" s="25">
        <v>50.694712346724302</v>
      </c>
      <c r="BX761" s="25">
        <v>68.811714123548612</v>
      </c>
      <c r="BY761" s="25">
        <v>50.195279990114173</v>
      </c>
      <c r="BZ761">
        <v>92</v>
      </c>
      <c r="CA761">
        <v>0</v>
      </c>
      <c r="CB761">
        <v>7</v>
      </c>
      <c r="CC761">
        <v>137436.713808</v>
      </c>
      <c r="CD761" s="10">
        <v>80340.053350999995</v>
      </c>
      <c r="CE761" s="255">
        <v>0.58456034872338103</v>
      </c>
      <c r="CF761" t="str">
        <f>IFERROR(VLOOKUP(CE761,'Rangos amb etnico'!$A$2:$C$6,3,9),"N.D.")</f>
        <v>51% - 70%</v>
      </c>
      <c r="CG761" s="256">
        <v>2.3373950070860574E-3</v>
      </c>
      <c r="CH761" s="232">
        <v>0</v>
      </c>
      <c r="CI761" s="311">
        <f t="shared" si="319"/>
        <v>0</v>
      </c>
      <c r="CJ761" s="232">
        <f>IFERROR(VLOOKUP(CI761,'Rangos amb etnico'!$A$2:$C$6,3,9),"N.D.")</f>
        <v>0</v>
      </c>
      <c r="CK761" s="311">
        <f t="shared" si="320"/>
        <v>0</v>
      </c>
      <c r="CL761" s="10">
        <v>0</v>
      </c>
      <c r="CM761" s="255">
        <f t="shared" si="321"/>
        <v>0</v>
      </c>
      <c r="CN761" s="232">
        <f>IFERROR(VLOOKUP(CM761,'Rangos amb etnico'!$A$2:$C$6,3,9),"N.D.")</f>
        <v>0</v>
      </c>
      <c r="CO761" s="311">
        <f t="shared" si="322"/>
        <v>0</v>
      </c>
      <c r="CP761">
        <v>0.92272384623109427</v>
      </c>
      <c r="CQ761" t="s">
        <v>2864</v>
      </c>
      <c r="CR761">
        <f t="shared" si="313"/>
        <v>1</v>
      </c>
      <c r="CS761" t="str">
        <f t="shared" si="323"/>
        <v>No es Candidato</v>
      </c>
      <c r="CT761">
        <v>1</v>
      </c>
      <c r="CU761" t="s">
        <v>2837</v>
      </c>
      <c r="CV761" s="25">
        <v>41.632381439208977</v>
      </c>
      <c r="CW761" s="25">
        <v>16.08359527587891</v>
      </c>
      <c r="CX761" s="25">
        <v>49.320003509521477</v>
      </c>
      <c r="CY761" s="25">
        <v>49.11175537109375</v>
      </c>
      <c r="CZ761" s="25">
        <v>14.83751010894775</v>
      </c>
      <c r="DA761" s="25">
        <v>72.210502624511719</v>
      </c>
      <c r="DB761" s="25">
        <v>48.230918884277337</v>
      </c>
      <c r="DC761">
        <v>12635</v>
      </c>
      <c r="DD761" s="253" t="s">
        <v>380</v>
      </c>
    </row>
    <row r="762" spans="1:108" hidden="1">
      <c r="A762" s="13">
        <v>63548</v>
      </c>
      <c r="B762" s="13" t="s">
        <v>1954</v>
      </c>
      <c r="C762" s="13" t="s">
        <v>473</v>
      </c>
      <c r="D762" s="13" t="s">
        <v>474</v>
      </c>
      <c r="E762" s="13" t="s">
        <v>1955</v>
      </c>
      <c r="F762" s="14">
        <v>71.435666666666705</v>
      </c>
      <c r="G762" s="13">
        <v>62.08</v>
      </c>
      <c r="H762" s="13">
        <v>62.81</v>
      </c>
      <c r="I762" s="13">
        <v>53.18</v>
      </c>
      <c r="J762" s="14">
        <v>49.557920014002789</v>
      </c>
      <c r="K762" s="14">
        <v>45.227767544109838</v>
      </c>
      <c r="L762" s="14">
        <v>53.532537661434624</v>
      </c>
      <c r="M762" s="14">
        <v>52.722900000000003</v>
      </c>
      <c r="N762" s="14">
        <f t="shared" si="297"/>
        <v>62.376416666666678</v>
      </c>
      <c r="O762" s="14">
        <f t="shared" si="298"/>
        <v>50.260281304886817</v>
      </c>
      <c r="P762" s="14">
        <f t="shared" si="314"/>
        <v>56.318348985776751</v>
      </c>
      <c r="Q762" s="14">
        <v>59.778101158910459</v>
      </c>
      <c r="R762" s="17">
        <f t="shared" si="299"/>
        <v>40.221898841089541</v>
      </c>
      <c r="S762" s="14">
        <f t="shared" si="315"/>
        <v>0.4619970895698059</v>
      </c>
      <c r="T762" s="13">
        <v>0</v>
      </c>
      <c r="U762" s="13">
        <f t="shared" si="316"/>
        <v>26.018913320805488</v>
      </c>
      <c r="V762" s="13">
        <f>IF($T762=1,$AU762,(VLOOKUP(U762,'Cortes naturales'!$A$35:$C$39,3,9)))</f>
        <v>4</v>
      </c>
      <c r="W762" s="13">
        <v>4</v>
      </c>
      <c r="X762" s="14" t="b">
        <f t="shared" si="300"/>
        <v>1</v>
      </c>
      <c r="Y762" s="17">
        <f>IF($T762=1,$AU762,VLOOKUP(U762,'Cortes naturales'!$A$45:$C$49,3,9))</f>
        <v>4</v>
      </c>
      <c r="Z762" s="14">
        <v>59.617140272331113</v>
      </c>
      <c r="AA762" s="14">
        <v>0.47064587903562738</v>
      </c>
      <c r="AB762" s="14">
        <v>28.05856138906158</v>
      </c>
      <c r="AC762" s="13">
        <v>3</v>
      </c>
      <c r="AD762" s="13">
        <f t="shared" si="301"/>
        <v>-1</v>
      </c>
      <c r="AE762" s="14">
        <f t="shared" si="302"/>
        <v>-3.298791286554362</v>
      </c>
      <c r="AF762" s="14">
        <f t="shared" si="303"/>
        <v>-8.6487894658214826E-3</v>
      </c>
      <c r="AG762" s="13">
        <f t="shared" si="304"/>
        <v>-2.039648068256092</v>
      </c>
      <c r="AH762" s="13">
        <f>IF($T762=1,$AU762,VLOOKUP(U762,'Cortes naturales'!$A$25:$C$29,3,9))</f>
        <v>4</v>
      </c>
      <c r="AI762" s="13" t="b">
        <f t="shared" si="305"/>
        <v>1</v>
      </c>
      <c r="AJ762" s="13" t="str">
        <f t="shared" si="306"/>
        <v>Efecto ponderador</v>
      </c>
      <c r="AK762" s="28">
        <v>0.6523467210059386</v>
      </c>
      <c r="AL762" s="28">
        <v>38.891045972406289</v>
      </c>
      <c r="AM762" s="28">
        <v>0.31585997824627621</v>
      </c>
      <c r="AN762" s="13">
        <v>4</v>
      </c>
      <c r="AO762" s="33">
        <f t="shared" si="307"/>
        <v>0</v>
      </c>
      <c r="AP762" s="13">
        <f t="shared" si="317"/>
        <v>31.585997824627622</v>
      </c>
      <c r="AQ762" s="13">
        <f>IFERROR(VLOOKUP(U762,'Cortes naturales'!$E$15:$G$19,3,9),U762)</f>
        <v>4</v>
      </c>
      <c r="AR762" s="28">
        <f t="shared" si="308"/>
        <v>-0.1903496314361327</v>
      </c>
      <c r="AS762" s="13" t="b">
        <f t="shared" si="309"/>
        <v>1</v>
      </c>
      <c r="AT762" s="13">
        <f t="shared" si="318"/>
        <v>0</v>
      </c>
      <c r="AU762" s="13">
        <v>3</v>
      </c>
      <c r="AV762">
        <f t="shared" si="310"/>
        <v>-1</v>
      </c>
      <c r="AW762" s="13">
        <v>0</v>
      </c>
      <c r="AX762" s="13">
        <v>0</v>
      </c>
      <c r="AY762" s="13">
        <v>0</v>
      </c>
      <c r="AZ762" s="13">
        <v>0</v>
      </c>
      <c r="BA762">
        <v>1</v>
      </c>
      <c r="BB762" t="s">
        <v>2840</v>
      </c>
      <c r="BC762">
        <v>6</v>
      </c>
      <c r="BD762" t="s">
        <v>2919</v>
      </c>
      <c r="BE762">
        <v>0</v>
      </c>
      <c r="BF762" s="232" t="s">
        <v>2846</v>
      </c>
      <c r="BG762" s="232" t="s">
        <v>2846</v>
      </c>
      <c r="BH762" s="253">
        <v>28.8</v>
      </c>
      <c r="BI762" s="253">
        <v>8.5290482076637826</v>
      </c>
      <c r="BJ762" s="25">
        <v>0</v>
      </c>
      <c r="BK762" t="s">
        <v>381</v>
      </c>
      <c r="BL762">
        <v>7.8231299051484893</v>
      </c>
      <c r="BM762" t="s">
        <v>379</v>
      </c>
      <c r="BN762" s="322">
        <v>12682.859581999999</v>
      </c>
      <c r="BO762" s="322">
        <v>1325.672634</v>
      </c>
      <c r="BP762" s="10">
        <v>5361</v>
      </c>
      <c r="BQ762" s="254">
        <f t="shared" si="311"/>
        <v>2.3657637720574516</v>
      </c>
      <c r="BR762" s="254">
        <f t="shared" si="312"/>
        <v>0.24728084946838277</v>
      </c>
      <c r="BS762" s="25">
        <v>65.635320058192391</v>
      </c>
      <c r="BT762" s="25">
        <v>88.479364452753615</v>
      </c>
      <c r="BU762" s="25">
        <v>53.253822393822361</v>
      </c>
      <c r="BV762" s="25">
        <v>93.104780317356287</v>
      </c>
      <c r="BW762" s="25">
        <v>49.986438023966137</v>
      </c>
      <c r="BX762" s="25">
        <v>75.118321805531167</v>
      </c>
      <c r="BY762" s="25">
        <v>50.145084490182413</v>
      </c>
      <c r="BZ762">
        <v>16</v>
      </c>
      <c r="CA762">
        <v>0</v>
      </c>
      <c r="CB762">
        <v>7</v>
      </c>
      <c r="CC762">
        <v>24795.786548</v>
      </c>
      <c r="CD762" s="10">
        <v>23677.122957</v>
      </c>
      <c r="CE762" s="255">
        <v>0.95488493221078197</v>
      </c>
      <c r="CF762" t="str">
        <f>IFERROR(VLOOKUP(CE762,'Rangos amb etnico'!$A$2:$C$6,3,9),"N.D.")</f>
        <v>71% - 100%</v>
      </c>
      <c r="CG762" s="256">
        <v>6.8885676164622087E-4</v>
      </c>
      <c r="CH762" s="232">
        <v>53.827269000000001</v>
      </c>
      <c r="CI762" s="311">
        <f t="shared" si="319"/>
        <v>2.1708232120727644E-3</v>
      </c>
      <c r="CJ762" s="232" t="str">
        <f>IFERROR(VLOOKUP(CI762,'Rangos amb etnico'!$A$2:$C$6,3,9),"N.D.")</f>
        <v>0,1% - 30%</v>
      </c>
      <c r="CK762" s="311">
        <f t="shared" si="320"/>
        <v>2.137294997221587E-6</v>
      </c>
      <c r="CL762" s="10">
        <v>0</v>
      </c>
      <c r="CM762" s="255">
        <f t="shared" si="321"/>
        <v>0</v>
      </c>
      <c r="CN762" s="232">
        <f>IFERROR(VLOOKUP(CM762,'Rangos amb etnico'!$A$2:$C$6,3,9),"N.D.")</f>
        <v>0</v>
      </c>
      <c r="CO762" s="311">
        <f t="shared" si="322"/>
        <v>0</v>
      </c>
      <c r="CP762">
        <v>0.95853276455512582</v>
      </c>
      <c r="CQ762" t="s">
        <v>2864</v>
      </c>
      <c r="CR762">
        <f t="shared" si="313"/>
        <v>1</v>
      </c>
      <c r="CS762" t="str">
        <f t="shared" si="323"/>
        <v>No es Candidato</v>
      </c>
      <c r="CT762">
        <v>0</v>
      </c>
      <c r="CU762">
        <v>0</v>
      </c>
      <c r="CV762" s="25">
        <v>48.725940704345703</v>
      </c>
      <c r="CW762" s="25">
        <v>29.6440544128418</v>
      </c>
      <c r="CX762" s="25">
        <v>58.569503784179688</v>
      </c>
      <c r="CY762" s="25">
        <v>80.691337585449219</v>
      </c>
      <c r="CZ762" s="25">
        <v>49.842807769775391</v>
      </c>
      <c r="DA762" s="25">
        <v>28.814388275146481</v>
      </c>
      <c r="DB762" s="25">
        <v>44.793556213378913</v>
      </c>
      <c r="DC762">
        <v>163</v>
      </c>
      <c r="DD762" s="253" t="s">
        <v>380</v>
      </c>
    </row>
    <row r="763" spans="1:108" hidden="1">
      <c r="A763" s="13">
        <v>23682</v>
      </c>
      <c r="B763" s="13" t="s">
        <v>1956</v>
      </c>
      <c r="C763" s="13" t="s">
        <v>567</v>
      </c>
      <c r="D763" s="13" t="s">
        <v>568</v>
      </c>
      <c r="E763" s="13" t="s">
        <v>1957</v>
      </c>
      <c r="F763" s="14">
        <v>82.157033333333302</v>
      </c>
      <c r="G763" s="13">
        <v>72.239999999999995</v>
      </c>
      <c r="H763" s="13">
        <v>59.29</v>
      </c>
      <c r="I763" s="13">
        <v>55.3</v>
      </c>
      <c r="J763" s="14">
        <v>65.605805280723089</v>
      </c>
      <c r="K763" s="14">
        <v>73.631048783345562</v>
      </c>
      <c r="L763" s="14">
        <v>69.502673505388188</v>
      </c>
      <c r="M763" s="14">
        <v>66.815100000000001</v>
      </c>
      <c r="N763" s="14">
        <f t="shared" si="297"/>
        <v>67.246758333333318</v>
      </c>
      <c r="O763" s="14">
        <f t="shared" si="298"/>
        <v>68.888656892364224</v>
      </c>
      <c r="P763" s="14">
        <f t="shared" si="314"/>
        <v>68.067707612848778</v>
      </c>
      <c r="Q763" s="14">
        <v>59.017834152759995</v>
      </c>
      <c r="R763" s="17">
        <f t="shared" si="299"/>
        <v>40.982165847240005</v>
      </c>
      <c r="S763" s="14">
        <f t="shared" si="315"/>
        <v>0.46883949262516</v>
      </c>
      <c r="T763" s="13">
        <v>0</v>
      </c>
      <c r="U763" s="13">
        <f t="shared" si="316"/>
        <v>31.912829501365763</v>
      </c>
      <c r="V763" s="13">
        <f>IF($T763=1,$AU763,(VLOOKUP(U763,'Cortes naturales'!$A$35:$C$39,3,9)))</f>
        <v>3</v>
      </c>
      <c r="W763" s="13">
        <v>3</v>
      </c>
      <c r="X763" s="14" t="b">
        <f t="shared" si="300"/>
        <v>1</v>
      </c>
      <c r="Y763" s="17">
        <f>IF($T763=1,$AU763,VLOOKUP(U763,'Cortes naturales'!$A$45:$C$49,3,9))</f>
        <v>3</v>
      </c>
      <c r="Z763" s="14">
        <v>69.047656749786753</v>
      </c>
      <c r="AA763" s="14">
        <v>0.47221577640859391</v>
      </c>
      <c r="AB763" s="14">
        <v>32.605392841294645</v>
      </c>
      <c r="AC763" s="13">
        <v>3</v>
      </c>
      <c r="AD763" s="13">
        <f t="shared" si="301"/>
        <v>0</v>
      </c>
      <c r="AE763" s="14">
        <f t="shared" si="302"/>
        <v>-0.97994913693797514</v>
      </c>
      <c r="AF763" s="14">
        <f t="shared" si="303"/>
        <v>-3.3762837834339088E-3</v>
      </c>
      <c r="AG763" s="13">
        <f t="shared" si="304"/>
        <v>-0.69256333992888131</v>
      </c>
      <c r="AH763" s="13">
        <f>IF($T763=1,$AU763,VLOOKUP(U763,'Cortes naturales'!$A$25:$C$29,3,9))</f>
        <v>3</v>
      </c>
      <c r="AI763" s="13" t="b">
        <f t="shared" si="305"/>
        <v>1</v>
      </c>
      <c r="AJ763" s="13">
        <f t="shared" si="306"/>
        <v>0</v>
      </c>
      <c r="AK763" s="28">
        <v>0.6523467210059386</v>
      </c>
      <c r="AL763" s="28">
        <v>45.043012473866952</v>
      </c>
      <c r="AM763" s="28">
        <v>0.3928145943956069</v>
      </c>
      <c r="AN763" s="13">
        <v>3</v>
      </c>
      <c r="AO763" s="33">
        <f t="shared" si="307"/>
        <v>0</v>
      </c>
      <c r="AP763" s="13">
        <f t="shared" si="317"/>
        <v>39.281459439560692</v>
      </c>
      <c r="AQ763" s="13">
        <f>IFERROR(VLOOKUP(U763,'Cortes naturales'!$E$15:$G$19,3,9),U763)</f>
        <v>4</v>
      </c>
      <c r="AR763" s="28">
        <f t="shared" si="308"/>
        <v>-0.1835072283807786</v>
      </c>
      <c r="AS763" s="13" t="b">
        <f t="shared" si="309"/>
        <v>0</v>
      </c>
      <c r="AT763" s="13">
        <f t="shared" si="318"/>
        <v>0</v>
      </c>
      <c r="AU763" s="13">
        <v>3</v>
      </c>
      <c r="AV763">
        <f t="shared" si="310"/>
        <v>0</v>
      </c>
      <c r="AW763" s="13">
        <v>0</v>
      </c>
      <c r="AX763" s="13">
        <v>0</v>
      </c>
      <c r="AY763" s="13">
        <v>0</v>
      </c>
      <c r="AZ763" s="13">
        <v>1</v>
      </c>
      <c r="BA763">
        <v>1</v>
      </c>
      <c r="BB763" t="s">
        <v>2840</v>
      </c>
      <c r="BC763">
        <v>6</v>
      </c>
      <c r="BD763" t="s">
        <v>2919</v>
      </c>
      <c r="BE763">
        <v>1</v>
      </c>
      <c r="BF763" s="232" t="s">
        <v>2846</v>
      </c>
      <c r="BG763" s="232" t="s">
        <v>2846</v>
      </c>
      <c r="BH763" s="253">
        <v>61.3</v>
      </c>
      <c r="BI763" s="253">
        <v>52.825752780540739</v>
      </c>
      <c r="BJ763" s="25" t="s">
        <v>2849</v>
      </c>
      <c r="BK763" t="s">
        <v>2849</v>
      </c>
      <c r="BL763">
        <v>5.7195097484693518</v>
      </c>
      <c r="BM763" t="s">
        <v>383</v>
      </c>
      <c r="BN763" s="322">
        <v>72136.519748000006</v>
      </c>
      <c r="BO763" s="322">
        <v>1745.7424149999999</v>
      </c>
      <c r="BP763" s="10">
        <v>15244</v>
      </c>
      <c r="BQ763" s="254">
        <f t="shared" si="311"/>
        <v>4.7321254098661774</v>
      </c>
      <c r="BR763" s="254">
        <f t="shared" si="312"/>
        <v>0.11451996949619522</v>
      </c>
      <c r="BS763" s="25">
        <v>46.826437113434679</v>
      </c>
      <c r="BT763" s="25">
        <v>85.788944284089908</v>
      </c>
      <c r="BU763" s="25">
        <v>43.402770216172932</v>
      </c>
      <c r="BV763" s="25">
        <v>98.507012154819179</v>
      </c>
      <c r="BW763" s="25">
        <v>41.527076332081073</v>
      </c>
      <c r="BX763" s="25">
        <v>68.631290942129169</v>
      </c>
      <c r="BY763" s="25">
        <v>41.811391830309923</v>
      </c>
      <c r="BZ763">
        <v>67</v>
      </c>
      <c r="CA763">
        <v>0</v>
      </c>
      <c r="CB763">
        <v>7</v>
      </c>
      <c r="CC763">
        <v>52545.901820999999</v>
      </c>
      <c r="CD763" s="10">
        <v>31059.056855999999</v>
      </c>
      <c r="CE763" s="255">
        <v>0.59108428592212736</v>
      </c>
      <c r="CF763" t="str">
        <f>IFERROR(VLOOKUP(CE763,'Rangos amb etnico'!$A$2:$C$6,3,9),"N.D.")</f>
        <v>51% - 70%</v>
      </c>
      <c r="CG763" s="256">
        <v>9.036250461876593E-4</v>
      </c>
      <c r="CH763" s="232">
        <v>625.51018499999998</v>
      </c>
      <c r="CI763" s="311">
        <f t="shared" si="319"/>
        <v>1.1904071741519041E-2</v>
      </c>
      <c r="CJ763" s="232" t="str">
        <f>IFERROR(VLOOKUP(CI763,'Rangos amb etnico'!$A$2:$C$6,3,9),"N.D.")</f>
        <v>0,1% - 30%</v>
      </c>
      <c r="CK763" s="311">
        <f t="shared" si="320"/>
        <v>2.4836849685085255E-5</v>
      </c>
      <c r="CL763" s="10">
        <v>0</v>
      </c>
      <c r="CM763" s="255">
        <f t="shared" si="321"/>
        <v>0</v>
      </c>
      <c r="CN763" s="232">
        <f>IFERROR(VLOOKUP(CM763,'Rangos amb etnico'!$A$2:$C$6,3,9),"N.D.")</f>
        <v>0</v>
      </c>
      <c r="CO763" s="311">
        <f t="shared" si="322"/>
        <v>0</v>
      </c>
      <c r="CP763">
        <v>0.9538435001365646</v>
      </c>
      <c r="CQ763" t="s">
        <v>2864</v>
      </c>
      <c r="CR763">
        <f t="shared" si="313"/>
        <v>2</v>
      </c>
      <c r="CS763" t="str">
        <f t="shared" si="323"/>
        <v>No es Candidato</v>
      </c>
      <c r="CT763">
        <v>0</v>
      </c>
      <c r="CU763">
        <v>0</v>
      </c>
      <c r="CV763" s="25">
        <v>44.011989593505859</v>
      </c>
      <c r="CW763" s="25">
        <v>21.275417327880859</v>
      </c>
      <c r="CX763" s="25">
        <v>52.433631896972663</v>
      </c>
      <c r="CY763" s="25">
        <v>42.156997680664063</v>
      </c>
      <c r="CZ763" s="25">
        <v>6.3681530952453613</v>
      </c>
      <c r="DA763" s="25">
        <v>96.716499328613281</v>
      </c>
      <c r="DB763" s="25">
        <v>45.121234893798828</v>
      </c>
      <c r="DC763">
        <v>10007</v>
      </c>
      <c r="DD763" s="253" t="s">
        <v>380</v>
      </c>
    </row>
    <row r="764" spans="1:108" hidden="1">
      <c r="A764" s="13">
        <v>47605</v>
      </c>
      <c r="B764" s="13" t="s">
        <v>1958</v>
      </c>
      <c r="C764" s="13" t="s">
        <v>638</v>
      </c>
      <c r="D764" s="13" t="s">
        <v>639</v>
      </c>
      <c r="E764" s="13" t="s">
        <v>1959</v>
      </c>
      <c r="F764" s="14">
        <v>47.808033333333299</v>
      </c>
      <c r="G764" s="14">
        <v>0</v>
      </c>
      <c r="H764" s="13">
        <v>2.67</v>
      </c>
      <c r="I764" s="13">
        <v>18.77</v>
      </c>
      <c r="J764" s="14">
        <v>43.756131144183968</v>
      </c>
      <c r="K764" s="14">
        <v>46.072123157286384</v>
      </c>
      <c r="L764" s="14">
        <v>49.273278929023633</v>
      </c>
      <c r="M764" s="14">
        <v>44.8521</v>
      </c>
      <c r="N764" s="14">
        <f t="shared" si="297"/>
        <v>17.312008333333324</v>
      </c>
      <c r="O764" s="14">
        <f t="shared" si="298"/>
        <v>45.988408307623502</v>
      </c>
      <c r="P764" s="14">
        <f t="shared" si="314"/>
        <v>31.650208320478413</v>
      </c>
      <c r="Q764" s="14">
        <v>58.74774774139955</v>
      </c>
      <c r="R764" s="17">
        <f t="shared" si="299"/>
        <v>41.25225225860045</v>
      </c>
      <c r="S764" s="14">
        <f t="shared" si="315"/>
        <v>0.47127027032740409</v>
      </c>
      <c r="T764" s="13">
        <v>0</v>
      </c>
      <c r="U764" s="13">
        <f t="shared" si="316"/>
        <v>14.915802231110517</v>
      </c>
      <c r="V764" s="13">
        <f>IF($T764=1,$AU764,(VLOOKUP(U764,'Cortes naturales'!$A$35:$C$39,3,9)))</f>
        <v>5</v>
      </c>
      <c r="W764" s="13">
        <v>5</v>
      </c>
      <c r="X764" s="14" t="b">
        <f t="shared" si="300"/>
        <v>1</v>
      </c>
      <c r="Y764" s="17">
        <f>IF($T764=1,$AU764,VLOOKUP(U764,'Cortes naturales'!$A$45:$C$49,3,9))</f>
        <v>5</v>
      </c>
      <c r="Z764" s="14">
        <v>41.364140058692726</v>
      </c>
      <c r="AA764" s="14">
        <v>0.47018952612865972</v>
      </c>
      <c r="AB764" s="14">
        <v>19.448985412916244</v>
      </c>
      <c r="AC764" s="13">
        <v>5</v>
      </c>
      <c r="AD764" s="13">
        <f t="shared" si="301"/>
        <v>0</v>
      </c>
      <c r="AE764" s="14">
        <f t="shared" si="302"/>
        <v>-9.7139317382143133</v>
      </c>
      <c r="AF764" s="14">
        <f t="shared" si="303"/>
        <v>1.0807441987443767E-3</v>
      </c>
      <c r="AG764" s="13">
        <f t="shared" si="304"/>
        <v>-4.5331831818057271</v>
      </c>
      <c r="AH764" s="13">
        <f>IF($T764=1,$AU764,VLOOKUP(U764,'Cortes naturales'!$A$25:$C$29,3,9))</f>
        <v>5</v>
      </c>
      <c r="AI764" s="13" t="b">
        <f t="shared" si="305"/>
        <v>1</v>
      </c>
      <c r="AJ764" s="13">
        <f t="shared" si="306"/>
        <v>0</v>
      </c>
      <c r="AK764" s="28">
        <v>0.6523467210059386</v>
      </c>
      <c r="AL764" s="28">
        <v>26.983761134518591</v>
      </c>
      <c r="AM764" s="28">
        <v>0.16691239638560929</v>
      </c>
      <c r="AN764" s="13">
        <v>5</v>
      </c>
      <c r="AO764" s="33">
        <f t="shared" si="307"/>
        <v>0</v>
      </c>
      <c r="AP764" s="13">
        <f t="shared" si="317"/>
        <v>16.69123963856093</v>
      </c>
      <c r="AQ764" s="13">
        <f>IFERROR(VLOOKUP(U764,'Cortes naturales'!$E$15:$G$19,3,9),U764)</f>
        <v>5</v>
      </c>
      <c r="AR764" s="28">
        <f t="shared" si="308"/>
        <v>-0.18107645067853451</v>
      </c>
      <c r="AS764" s="13" t="b">
        <f t="shared" si="309"/>
        <v>1</v>
      </c>
      <c r="AT764" s="13">
        <f t="shared" si="318"/>
        <v>0</v>
      </c>
      <c r="AU764" s="13">
        <v>4</v>
      </c>
      <c r="AV764">
        <f t="shared" si="310"/>
        <v>-1</v>
      </c>
      <c r="AW764" s="13">
        <v>0</v>
      </c>
      <c r="AX764" s="13">
        <v>0</v>
      </c>
      <c r="AY764" s="13">
        <v>0</v>
      </c>
      <c r="AZ764" s="13">
        <v>0</v>
      </c>
      <c r="BA764">
        <v>0</v>
      </c>
      <c r="BB764" t="s">
        <v>2840</v>
      </c>
      <c r="BC764">
        <v>6</v>
      </c>
      <c r="BD764" t="s">
        <v>2919</v>
      </c>
      <c r="BE764">
        <v>1</v>
      </c>
      <c r="BF764" s="232" t="s">
        <v>2846</v>
      </c>
      <c r="BG764" s="232" t="s">
        <v>2846</v>
      </c>
      <c r="BH764" s="253">
        <v>50.6</v>
      </c>
      <c r="BI764" s="253">
        <v>21.161695447409734</v>
      </c>
      <c r="BJ764" s="25">
        <v>10.294117647058824</v>
      </c>
      <c r="BK764" t="s">
        <v>377</v>
      </c>
      <c r="BL764">
        <v>0.88357399505913026</v>
      </c>
      <c r="BM764" t="s">
        <v>383</v>
      </c>
      <c r="BN764" s="322">
        <v>21530.951541999999</v>
      </c>
      <c r="BO764" s="322">
        <v>1718.1509880000001</v>
      </c>
      <c r="BP764" s="10">
        <v>13533</v>
      </c>
      <c r="BQ764" s="254">
        <f t="shared" si="311"/>
        <v>1.5909961975910736</v>
      </c>
      <c r="BR764" s="254">
        <f t="shared" si="312"/>
        <v>0.12696009665262692</v>
      </c>
      <c r="BS764" s="25">
        <v>48.83502105362976</v>
      </c>
      <c r="BT764" s="25">
        <v>76.797973542205469</v>
      </c>
      <c r="BU764" s="25">
        <v>19.119076945798259</v>
      </c>
      <c r="BV764" s="25">
        <v>98.497006613522856</v>
      </c>
      <c r="BW764" s="25">
        <v>49.824979328187169</v>
      </c>
      <c r="BX764" s="25">
        <v>60.812269538789081</v>
      </c>
      <c r="BY764" s="25">
        <v>50.669418053646417</v>
      </c>
      <c r="BZ764">
        <v>42</v>
      </c>
      <c r="CA764">
        <v>0</v>
      </c>
      <c r="CB764">
        <v>7</v>
      </c>
      <c r="CC764">
        <v>59437.514014</v>
      </c>
      <c r="CD764" s="10">
        <v>59422.016181999999</v>
      </c>
      <c r="CE764" s="255">
        <v>0.99973925840847999</v>
      </c>
      <c r="CF764" t="str">
        <f>IFERROR(VLOOKUP(CE764,'Rangos amb etnico'!$A$2:$C$6,3,9),"N.D.")</f>
        <v>71% - 100%</v>
      </c>
      <c r="CG764" s="256">
        <v>1.7288104518425106E-3</v>
      </c>
      <c r="CH764" s="232">
        <v>0</v>
      </c>
      <c r="CI764" s="311">
        <f t="shared" si="319"/>
        <v>0</v>
      </c>
      <c r="CJ764" s="232">
        <f>IFERROR(VLOOKUP(CI764,'Rangos amb etnico'!$A$2:$C$6,3,9),"N.D.")</f>
        <v>0</v>
      </c>
      <c r="CK764" s="311">
        <f t="shared" si="320"/>
        <v>0</v>
      </c>
      <c r="CL764" s="10">
        <v>0</v>
      </c>
      <c r="CM764" s="255">
        <f t="shared" si="321"/>
        <v>0</v>
      </c>
      <c r="CN764" s="232">
        <f>IFERROR(VLOOKUP(CM764,'Rangos amb etnico'!$A$2:$C$6,3,9),"N.D.")</f>
        <v>0</v>
      </c>
      <c r="CO764" s="311">
        <f t="shared" si="322"/>
        <v>0</v>
      </c>
      <c r="CP764">
        <v>0.95953677431866857</v>
      </c>
      <c r="CQ764" t="s">
        <v>2864</v>
      </c>
      <c r="CR764">
        <f t="shared" si="313"/>
        <v>1</v>
      </c>
      <c r="CS764" t="str">
        <f t="shared" si="323"/>
        <v>No es Candidato</v>
      </c>
      <c r="CT764">
        <v>0</v>
      </c>
      <c r="CU764">
        <v>0</v>
      </c>
      <c r="CV764" s="25">
        <v>50.690383911132813</v>
      </c>
      <c r="CW764" s="25">
        <v>25.70442962646484</v>
      </c>
      <c r="CX764" s="25">
        <v>43.816055297851563</v>
      </c>
      <c r="CY764" s="25">
        <v>47.323986053466797</v>
      </c>
      <c r="CZ764" s="25">
        <v>35.534290313720703</v>
      </c>
      <c r="DA764" s="25">
        <v>89.669990539550781</v>
      </c>
      <c r="DB764" s="25">
        <v>62.093544006347663</v>
      </c>
      <c r="DC764">
        <v>241</v>
      </c>
      <c r="DD764" s="253" t="s">
        <v>380</v>
      </c>
    </row>
    <row r="765" spans="1:108">
      <c r="A765" s="13">
        <v>5649</v>
      </c>
      <c r="B765" s="13" t="s">
        <v>1960</v>
      </c>
      <c r="C765" s="13" t="s">
        <v>435</v>
      </c>
      <c r="D765" s="13" t="s">
        <v>436</v>
      </c>
      <c r="E765" s="13" t="s">
        <v>1171</v>
      </c>
      <c r="F765" s="14">
        <v>56.444499999999998</v>
      </c>
      <c r="G765" s="13">
        <v>48.76</v>
      </c>
      <c r="H765" s="13">
        <v>42.94</v>
      </c>
      <c r="I765" s="13">
        <v>61.75</v>
      </c>
      <c r="J765" s="14">
        <v>59.929843130477146</v>
      </c>
      <c r="K765" s="14">
        <v>54.560324890153318</v>
      </c>
      <c r="L765" s="14">
        <v>59.695215843853575</v>
      </c>
      <c r="M765" s="14">
        <v>64.9328</v>
      </c>
      <c r="N765" s="14">
        <f t="shared" si="297"/>
        <v>52.473624999999998</v>
      </c>
      <c r="O765" s="14">
        <f t="shared" si="298"/>
        <v>59.779545966121006</v>
      </c>
      <c r="P765" s="14">
        <f t="shared" si="314"/>
        <v>56.126585483060502</v>
      </c>
      <c r="Q765" s="14">
        <v>59.380956632256598</v>
      </c>
      <c r="R765" s="17">
        <f t="shared" si="299"/>
        <v>40.619043367743402</v>
      </c>
      <c r="S765" s="14">
        <f t="shared" si="315"/>
        <v>0.46557139030969064</v>
      </c>
      <c r="T765" s="13">
        <v>0</v>
      </c>
      <c r="U765" s="13">
        <f t="shared" si="316"/>
        <v>26.130932436684176</v>
      </c>
      <c r="V765" s="13">
        <f>IF($T765=1,$AU765,(VLOOKUP(U765,'Cortes naturales'!$A$35:$C$39,3,9)))</f>
        <v>4</v>
      </c>
      <c r="W765" s="13">
        <v>4</v>
      </c>
      <c r="X765" s="14" t="b">
        <f t="shared" si="300"/>
        <v>1</v>
      </c>
      <c r="Y765" s="17">
        <f>IF($T765=1,$AU765,VLOOKUP(U765,'Cortes naturales'!$A$45:$C$49,3,9))</f>
        <v>4</v>
      </c>
      <c r="Z765" s="14">
        <v>55.234302918916697</v>
      </c>
      <c r="AA765" s="14">
        <v>0.47356431681023881</v>
      </c>
      <c r="AB765" s="14">
        <v>26.156994926286565</v>
      </c>
      <c r="AC765" s="13">
        <v>4</v>
      </c>
      <c r="AD765" s="13">
        <f t="shared" si="301"/>
        <v>0</v>
      </c>
      <c r="AE765" s="14">
        <f t="shared" si="302"/>
        <v>0.89228256414380525</v>
      </c>
      <c r="AF765" s="14">
        <f t="shared" si="303"/>
        <v>-7.9929265005481698E-3</v>
      </c>
      <c r="AG765" s="13">
        <f t="shared" si="304"/>
        <v>-2.6062489602388439E-2</v>
      </c>
      <c r="AH765" s="13">
        <f>IF($T765=1,$AU765,VLOOKUP(U765,'Cortes naturales'!$A$25:$C$29,3,9))</f>
        <v>4</v>
      </c>
      <c r="AI765" s="13" t="b">
        <f t="shared" si="305"/>
        <v>1</v>
      </c>
      <c r="AJ765" s="13">
        <f t="shared" si="306"/>
        <v>0</v>
      </c>
      <c r="AK765" s="28">
        <v>0.6523467210059386</v>
      </c>
      <c r="AL765" s="28">
        <v>36.031916396204053</v>
      </c>
      <c r="AM765" s="28">
        <v>0.28009528105463816</v>
      </c>
      <c r="AN765" s="13">
        <v>4</v>
      </c>
      <c r="AO765" s="33">
        <f t="shared" si="307"/>
        <v>0</v>
      </c>
      <c r="AP765" s="13">
        <f t="shared" si="317"/>
        <v>28.009528105463815</v>
      </c>
      <c r="AQ765" s="13">
        <f>IFERROR(VLOOKUP(U765,'Cortes naturales'!$E$15:$G$19,3,9),U765)</f>
        <v>4</v>
      </c>
      <c r="AR765" s="28">
        <f t="shared" si="308"/>
        <v>-0.18677533069624797</v>
      </c>
      <c r="AS765" s="13" t="b">
        <f t="shared" si="309"/>
        <v>1</v>
      </c>
      <c r="AT765" s="13">
        <f t="shared" si="318"/>
        <v>0</v>
      </c>
      <c r="AU765" s="13">
        <v>4</v>
      </c>
      <c r="AV765">
        <f t="shared" si="310"/>
        <v>0</v>
      </c>
      <c r="AW765" s="13">
        <v>0</v>
      </c>
      <c r="AX765" s="13">
        <v>0</v>
      </c>
      <c r="AY765" s="13">
        <v>0</v>
      </c>
      <c r="AZ765" s="13">
        <v>0</v>
      </c>
      <c r="BA765">
        <v>1</v>
      </c>
      <c r="BB765" t="s">
        <v>2840</v>
      </c>
      <c r="BC765">
        <v>6</v>
      </c>
      <c r="BD765" t="s">
        <v>2919</v>
      </c>
      <c r="BE765">
        <v>1</v>
      </c>
      <c r="BF765" s="232" t="s">
        <v>2846</v>
      </c>
      <c r="BG765" s="232" t="s">
        <v>2845</v>
      </c>
      <c r="BH765" s="253">
        <v>30.5</v>
      </c>
      <c r="BI765" s="253">
        <v>12.071244694914075</v>
      </c>
      <c r="BJ765" s="25">
        <v>47.295914524299441</v>
      </c>
      <c r="BK765" t="s">
        <v>376</v>
      </c>
      <c r="BL765">
        <v>7.1778967863843386</v>
      </c>
      <c r="BM765" t="s">
        <v>379</v>
      </c>
      <c r="BN765" s="322">
        <v>50734.181094</v>
      </c>
      <c r="BO765" s="322">
        <v>6772.4093549999998</v>
      </c>
      <c r="BP765" s="10">
        <v>16912</v>
      </c>
      <c r="BQ765" s="254">
        <f t="shared" si="311"/>
        <v>2.9998924487937559</v>
      </c>
      <c r="BR765" s="254">
        <f t="shared" si="312"/>
        <v>0.40044993820955532</v>
      </c>
      <c r="BS765" s="25">
        <v>63.95224463863633</v>
      </c>
      <c r="BT765" s="25">
        <v>86.89034380637024</v>
      </c>
      <c r="BU765" s="25">
        <v>46.72129504734653</v>
      </c>
      <c r="BV765" s="25">
        <v>87.771767517837318</v>
      </c>
      <c r="BW765" s="25">
        <v>48.541991381054608</v>
      </c>
      <c r="BX765" s="25">
        <v>71.333912752547604</v>
      </c>
      <c r="BY765" s="25">
        <v>49.286657425016628</v>
      </c>
      <c r="BZ765">
        <v>84</v>
      </c>
      <c r="CA765">
        <v>1</v>
      </c>
      <c r="CB765">
        <v>7</v>
      </c>
      <c r="CC765">
        <v>71641.256357999999</v>
      </c>
      <c r="CD765" s="10">
        <v>14859.929803000001</v>
      </c>
      <c r="CE765" s="255">
        <v>0.2074214015558736</v>
      </c>
      <c r="CF765" t="str">
        <f>IFERROR(VLOOKUP(CE765,'Rangos amb etnico'!$A$2:$C$6,3,9),"N.D.")</f>
        <v>0,1% - 30%</v>
      </c>
      <c r="CG765" s="256">
        <v>4.3233137492992683E-4</v>
      </c>
      <c r="CH765" s="232">
        <v>0</v>
      </c>
      <c r="CI765" s="311">
        <f t="shared" si="319"/>
        <v>0</v>
      </c>
      <c r="CJ765" s="232">
        <f>IFERROR(VLOOKUP(CI765,'Rangos amb etnico'!$A$2:$C$6,3,9),"N.D.")</f>
        <v>0</v>
      </c>
      <c r="CK765" s="311">
        <f t="shared" si="320"/>
        <v>0</v>
      </c>
      <c r="CL765" s="10">
        <v>0</v>
      </c>
      <c r="CM765" s="255">
        <f t="shared" si="321"/>
        <v>0</v>
      </c>
      <c r="CN765" s="232">
        <f>IFERROR(VLOOKUP(CM765,'Rangos amb etnico'!$A$2:$C$6,3,9),"N.D.")</f>
        <v>0</v>
      </c>
      <c r="CO765" s="311">
        <f t="shared" si="322"/>
        <v>0</v>
      </c>
      <c r="CP765">
        <v>0.87783843380970628</v>
      </c>
      <c r="CQ765" t="s">
        <v>2864</v>
      </c>
      <c r="CR765">
        <f t="shared" si="313"/>
        <v>3</v>
      </c>
      <c r="CS765" t="str">
        <f t="shared" si="323"/>
        <v>Candidato</v>
      </c>
      <c r="CT765">
        <v>0</v>
      </c>
      <c r="CU765">
        <v>0</v>
      </c>
      <c r="CV765" s="25">
        <v>42.036605834960938</v>
      </c>
      <c r="CW765" s="25">
        <v>29.475198745727539</v>
      </c>
      <c r="CX765" s="25">
        <v>44.41522216796875</v>
      </c>
      <c r="CY765" s="25">
        <v>54.845344543457031</v>
      </c>
      <c r="CZ765" s="25">
        <v>17.998224258422852</v>
      </c>
      <c r="DA765" s="25">
        <v>45.492820739746087</v>
      </c>
      <c r="DB765" s="25">
        <v>59.992832183837891</v>
      </c>
      <c r="DC765">
        <v>211</v>
      </c>
      <c r="DD765" s="253" t="s">
        <v>380</v>
      </c>
    </row>
    <row r="766" spans="1:108" hidden="1">
      <c r="A766" s="13">
        <v>54377</v>
      </c>
      <c r="B766" s="13" t="s">
        <v>1961</v>
      </c>
      <c r="C766" s="13" t="s">
        <v>517</v>
      </c>
      <c r="D766" s="13" t="s">
        <v>518</v>
      </c>
      <c r="E766" s="13" t="s">
        <v>1962</v>
      </c>
      <c r="F766" s="14">
        <v>53.474166666666697</v>
      </c>
      <c r="G766" s="13">
        <v>69.56</v>
      </c>
      <c r="H766" s="13">
        <v>73.709999999999994</v>
      </c>
      <c r="I766" s="13">
        <v>67.92</v>
      </c>
      <c r="J766" s="14">
        <v>62.771134343073776</v>
      </c>
      <c r="K766" s="14">
        <v>60.244686555096877</v>
      </c>
      <c r="L766" s="14">
        <v>67.67601544895588</v>
      </c>
      <c r="M766" s="14">
        <v>58.872</v>
      </c>
      <c r="N766" s="14">
        <f t="shared" si="297"/>
        <v>66.166041666666672</v>
      </c>
      <c r="O766" s="14">
        <f t="shared" si="298"/>
        <v>62.390959086781635</v>
      </c>
      <c r="P766" s="14">
        <f t="shared" si="314"/>
        <v>64.278500376724153</v>
      </c>
      <c r="Q766" s="14">
        <v>59.543266816868176</v>
      </c>
      <c r="R766" s="17">
        <f t="shared" si="299"/>
        <v>40.456733183131824</v>
      </c>
      <c r="S766" s="14">
        <f t="shared" si="315"/>
        <v>0.46411059864818649</v>
      </c>
      <c r="T766" s="13">
        <v>0</v>
      </c>
      <c r="U766" s="13">
        <f t="shared" si="316"/>
        <v>29.832333290049128</v>
      </c>
      <c r="V766" s="13">
        <f>IF($T766=1,$AU766,(VLOOKUP(U766,'Cortes naturales'!$A$35:$C$39,3,9)))</f>
        <v>3</v>
      </c>
      <c r="W766" s="13">
        <v>3</v>
      </c>
      <c r="X766" s="14" t="b">
        <f t="shared" si="300"/>
        <v>1</v>
      </c>
      <c r="Y766" s="17">
        <f>IF($T766=1,$AU766,VLOOKUP(U766,'Cortes naturales'!$A$45:$C$49,3,9))</f>
        <v>3</v>
      </c>
      <c r="Z766" s="14">
        <v>61.562582921655256</v>
      </c>
      <c r="AA766" s="14">
        <v>0.47154565254932979</v>
      </c>
      <c r="AB766" s="14">
        <v>29.029568336414155</v>
      </c>
      <c r="AC766" s="13">
        <v>3</v>
      </c>
      <c r="AD766" s="13">
        <f t="shared" si="301"/>
        <v>0</v>
      </c>
      <c r="AE766" s="14">
        <f t="shared" si="302"/>
        <v>2.7159174550688974</v>
      </c>
      <c r="AF766" s="14">
        <f t="shared" si="303"/>
        <v>-7.4350539011432959E-3</v>
      </c>
      <c r="AG766" s="13">
        <f t="shared" si="304"/>
        <v>0.80276495363497347</v>
      </c>
      <c r="AH766" s="13">
        <f>IF($T766=1,$AU766,VLOOKUP(U766,'Cortes naturales'!$A$25:$C$29,3,9))</f>
        <v>3</v>
      </c>
      <c r="AI766" s="13" t="b">
        <f t="shared" si="305"/>
        <v>1</v>
      </c>
      <c r="AJ766" s="13">
        <f t="shared" si="306"/>
        <v>0</v>
      </c>
      <c r="AK766" s="28">
        <v>0.6523467210059386</v>
      </c>
      <c r="AL766" s="28">
        <v>40.160149105598002</v>
      </c>
      <c r="AM766" s="28">
        <v>0.33173512068170607</v>
      </c>
      <c r="AN766" s="13">
        <v>4</v>
      </c>
      <c r="AO766" s="33">
        <f t="shared" si="307"/>
        <v>1</v>
      </c>
      <c r="AP766" s="13">
        <f t="shared" si="317"/>
        <v>33.173512068170609</v>
      </c>
      <c r="AQ766" s="13">
        <f>IFERROR(VLOOKUP(U766,'Cortes naturales'!$E$15:$G$19,3,9),U766)</f>
        <v>4</v>
      </c>
      <c r="AR766" s="28">
        <f t="shared" si="308"/>
        <v>-0.18823612235775211</v>
      </c>
      <c r="AS766" s="13" t="b">
        <f t="shared" si="309"/>
        <v>0</v>
      </c>
      <c r="AT766" s="13" t="str">
        <f t="shared" si="318"/>
        <v>Cambio en corte</v>
      </c>
      <c r="AU766" s="13">
        <v>4</v>
      </c>
      <c r="AV766">
        <f t="shared" si="310"/>
        <v>1</v>
      </c>
      <c r="AW766" s="13">
        <v>0</v>
      </c>
      <c r="AX766" s="13">
        <v>0</v>
      </c>
      <c r="AY766" s="13">
        <v>0</v>
      </c>
      <c r="AZ766" s="13">
        <v>0</v>
      </c>
      <c r="BA766">
        <v>0</v>
      </c>
      <c r="BB766" t="s">
        <v>2841</v>
      </c>
      <c r="BC766">
        <v>6</v>
      </c>
      <c r="BD766" t="s">
        <v>2919</v>
      </c>
      <c r="BE766">
        <v>0</v>
      </c>
      <c r="BF766" s="232" t="s">
        <v>2846</v>
      </c>
      <c r="BG766" s="232" t="s">
        <v>2846</v>
      </c>
      <c r="BH766" s="253">
        <v>41.3</v>
      </c>
      <c r="BI766" s="253">
        <v>16.106897797038641</v>
      </c>
      <c r="BJ766" s="25">
        <v>3.1599999999999997</v>
      </c>
      <c r="BK766" t="s">
        <v>381</v>
      </c>
      <c r="BL766">
        <v>0.15553586466962288</v>
      </c>
      <c r="BM766" t="s">
        <v>377</v>
      </c>
      <c r="BN766" s="322">
        <v>16272.753373</v>
      </c>
      <c r="BO766" s="322">
        <v>2021.7150389999999</v>
      </c>
      <c r="BP766" s="10">
        <v>6999</v>
      </c>
      <c r="BQ766" s="254">
        <f t="shared" si="311"/>
        <v>2.3250111977425347</v>
      </c>
      <c r="BR766" s="254">
        <f t="shared" si="312"/>
        <v>0.28885769952850404</v>
      </c>
      <c r="BS766" s="25">
        <v>50.864649933360788</v>
      </c>
      <c r="BT766" s="25">
        <v>81.363844293946755</v>
      </c>
      <c r="BU766" s="25">
        <v>34.281550836550828</v>
      </c>
      <c r="BV766" s="25">
        <v>97.568186525124304</v>
      </c>
      <c r="BW766" s="25">
        <v>53.509958531646973</v>
      </c>
      <c r="BX766" s="25">
        <v>66.019557897245676</v>
      </c>
      <c r="BY766" s="25">
        <v>57.45232554950271</v>
      </c>
      <c r="BZ766">
        <v>24</v>
      </c>
      <c r="CA766">
        <v>0</v>
      </c>
      <c r="CB766">
        <v>7</v>
      </c>
      <c r="CC766">
        <v>25546.142908000002</v>
      </c>
      <c r="CD766" s="10">
        <v>4975.2021370000002</v>
      </c>
      <c r="CE766" s="255">
        <v>0.19475355457445481</v>
      </c>
      <c r="CF766" t="str">
        <f>IFERROR(VLOOKUP(CE766,'Rangos amb etnico'!$A$2:$C$6,3,9),"N.D.")</f>
        <v>0,1% - 30%</v>
      </c>
      <c r="CG766" s="256">
        <v>1.4474738501182407E-4</v>
      </c>
      <c r="CH766" s="232">
        <v>0</v>
      </c>
      <c r="CI766" s="311">
        <f t="shared" si="319"/>
        <v>0</v>
      </c>
      <c r="CJ766" s="232">
        <f>IFERROR(VLOOKUP(CI766,'Rangos amb etnico'!$A$2:$C$6,3,9),"N.D.")</f>
        <v>0</v>
      </c>
      <c r="CK766" s="311">
        <f t="shared" si="320"/>
        <v>0</v>
      </c>
      <c r="CL766" s="10">
        <v>0</v>
      </c>
      <c r="CM766" s="255">
        <f t="shared" si="321"/>
        <v>0</v>
      </c>
      <c r="CN766" s="232">
        <f>IFERROR(VLOOKUP(CM766,'Rangos amb etnico'!$A$2:$C$6,3,9),"N.D.")</f>
        <v>0</v>
      </c>
      <c r="CO766" s="311">
        <f t="shared" si="322"/>
        <v>0</v>
      </c>
      <c r="CP766">
        <v>0.94706906678369929</v>
      </c>
      <c r="CQ766" t="s">
        <v>2864</v>
      </c>
      <c r="CR766">
        <f t="shared" si="313"/>
        <v>2</v>
      </c>
      <c r="CS766" t="str">
        <f t="shared" si="323"/>
        <v>No es Candidato</v>
      </c>
      <c r="CT766">
        <v>0</v>
      </c>
      <c r="CU766">
        <v>0</v>
      </c>
      <c r="CV766" s="25">
        <v>51.334461212158203</v>
      </c>
      <c r="CW766" s="25">
        <v>17.825258255004879</v>
      </c>
      <c r="CX766" s="25">
        <v>49.669235229492188</v>
      </c>
      <c r="CY766" s="25">
        <v>65.60552978515625</v>
      </c>
      <c r="CZ766" s="25">
        <v>37.749782562255859</v>
      </c>
      <c r="DA766" s="25">
        <v>81.317054748535156</v>
      </c>
      <c r="DB766" s="25">
        <v>55.839916229248047</v>
      </c>
      <c r="DC766">
        <v>34</v>
      </c>
      <c r="DD766" s="253" t="s">
        <v>380</v>
      </c>
    </row>
    <row r="767" spans="1:108">
      <c r="A767" s="13">
        <v>5425</v>
      </c>
      <c r="B767" s="13" t="s">
        <v>1963</v>
      </c>
      <c r="C767" s="13" t="s">
        <v>435</v>
      </c>
      <c r="D767" s="13" t="s">
        <v>436</v>
      </c>
      <c r="E767" s="13" t="s">
        <v>1964</v>
      </c>
      <c r="F767" s="14">
        <v>41.682566666666702</v>
      </c>
      <c r="G767" s="13">
        <v>35.65</v>
      </c>
      <c r="H767" s="13">
        <v>23.06</v>
      </c>
      <c r="I767" s="13">
        <v>33.43</v>
      </c>
      <c r="J767" s="14">
        <v>46.698456779865602</v>
      </c>
      <c r="K767" s="14">
        <v>48.024611211770235</v>
      </c>
      <c r="L767" s="14">
        <v>68.301718871728383</v>
      </c>
      <c r="M767" s="14">
        <v>53.869700000000002</v>
      </c>
      <c r="N767" s="14">
        <f t="shared" si="297"/>
        <v>33.455641666666679</v>
      </c>
      <c r="O767" s="14">
        <f t="shared" si="298"/>
        <v>54.223621715841055</v>
      </c>
      <c r="P767" s="14">
        <f t="shared" si="314"/>
        <v>43.839631691253871</v>
      </c>
      <c r="Q767" s="14">
        <v>60.196068548020762</v>
      </c>
      <c r="R767" s="17">
        <f t="shared" si="299"/>
        <v>39.803931451979238</v>
      </c>
      <c r="S767" s="203">
        <f t="shared" si="315"/>
        <v>0.4582353830678132</v>
      </c>
      <c r="T767" s="13">
        <v>0</v>
      </c>
      <c r="U767" s="13">
        <f t="shared" si="316"/>
        <v>20.088870421593562</v>
      </c>
      <c r="V767" s="13">
        <f>IF($T767=1,$AU767,(VLOOKUP(U767,'Cortes naturales'!$A$35:$C$39,3,9)))</f>
        <v>5</v>
      </c>
      <c r="W767" s="13">
        <v>5</v>
      </c>
      <c r="X767" s="14" t="b">
        <f t="shared" si="300"/>
        <v>1</v>
      </c>
      <c r="Y767" s="17">
        <f>IF($T767=1,$AU767,VLOOKUP(U767,'Cortes naturales'!$A$45:$C$49,3,9))</f>
        <v>5</v>
      </c>
      <c r="Z767" s="14">
        <v>43.399093515183161</v>
      </c>
      <c r="AA767" s="203">
        <v>0.47074618212337316</v>
      </c>
      <c r="AB767" s="14">
        <v>20.429957579887716</v>
      </c>
      <c r="AC767" s="13">
        <v>4</v>
      </c>
      <c r="AD767" s="13">
        <f t="shared" si="301"/>
        <v>-1</v>
      </c>
      <c r="AE767" s="14">
        <f t="shared" si="302"/>
        <v>0.44053817607071011</v>
      </c>
      <c r="AF767" s="14">
        <f t="shared" si="303"/>
        <v>-1.2510799055559962E-2</v>
      </c>
      <c r="AG767" s="13">
        <f t="shared" si="304"/>
        <v>-0.34108715829415459</v>
      </c>
      <c r="AH767" s="13">
        <f>IF($T767=1,$AU767,VLOOKUP(U767,'Cortes naturales'!$A$25:$C$29,3,9))</f>
        <v>5</v>
      </c>
      <c r="AI767" s="13" t="b">
        <f t="shared" si="305"/>
        <v>1</v>
      </c>
      <c r="AJ767" s="13" t="str">
        <f t="shared" si="306"/>
        <v>Efecto ponderador</v>
      </c>
      <c r="AK767" s="28">
        <v>0.6523467210059386</v>
      </c>
      <c r="AL767" s="28">
        <v>28.311256349259828</v>
      </c>
      <c r="AM767" s="28">
        <v>0.183517962210168</v>
      </c>
      <c r="AN767" s="13">
        <v>5</v>
      </c>
      <c r="AO767" s="33">
        <f t="shared" si="307"/>
        <v>0</v>
      </c>
      <c r="AP767" s="13">
        <f t="shared" si="317"/>
        <v>18.351796221016802</v>
      </c>
      <c r="AQ767" s="13">
        <f>IFERROR(VLOOKUP(U767,'Cortes naturales'!$E$15:$G$19,3,9),U767)</f>
        <v>4</v>
      </c>
      <c r="AR767" s="28">
        <f t="shared" si="308"/>
        <v>-0.19411133793812541</v>
      </c>
      <c r="AS767" s="13" t="b">
        <f t="shared" si="309"/>
        <v>0</v>
      </c>
      <c r="AT767" s="13">
        <f t="shared" si="318"/>
        <v>0</v>
      </c>
      <c r="AU767" s="13">
        <v>4</v>
      </c>
      <c r="AV767">
        <f t="shared" si="310"/>
        <v>-1</v>
      </c>
      <c r="AW767" s="13">
        <v>0</v>
      </c>
      <c r="AX767" s="13">
        <v>0</v>
      </c>
      <c r="AY767" s="13">
        <v>0</v>
      </c>
      <c r="AZ767" s="13">
        <v>0</v>
      </c>
      <c r="BA767">
        <v>0</v>
      </c>
      <c r="BB767" t="s">
        <v>2840</v>
      </c>
      <c r="BC767">
        <v>6</v>
      </c>
      <c r="BD767" t="s">
        <v>2919</v>
      </c>
      <c r="BE767">
        <v>1</v>
      </c>
      <c r="BF767" s="232" t="s">
        <v>2846</v>
      </c>
      <c r="BG767" s="232" t="s">
        <v>2845</v>
      </c>
      <c r="BH767" s="253">
        <v>36</v>
      </c>
      <c r="BI767" s="253">
        <v>13.178826110806364</v>
      </c>
      <c r="BJ767" s="25">
        <v>29.225530283620905</v>
      </c>
      <c r="BK767" t="s">
        <v>379</v>
      </c>
      <c r="BL767">
        <v>18.57677423127538</v>
      </c>
      <c r="BM767" t="s">
        <v>376</v>
      </c>
      <c r="BN767" s="322">
        <v>25166.524858000001</v>
      </c>
      <c r="BO767" s="322">
        <v>7516.484391</v>
      </c>
      <c r="BP767" s="10">
        <v>8808</v>
      </c>
      <c r="BQ767" s="254">
        <f t="shared" si="311"/>
        <v>2.8572348839691188</v>
      </c>
      <c r="BR767" s="254">
        <f t="shared" si="312"/>
        <v>0.85337016246594</v>
      </c>
      <c r="BS767" s="25">
        <v>69.91934013749902</v>
      </c>
      <c r="BT767" s="25">
        <v>96.309091619739618</v>
      </c>
      <c r="BU767" s="25">
        <v>47.49666666666667</v>
      </c>
      <c r="BV767" s="25">
        <v>84.676532085609082</v>
      </c>
      <c r="BW767" s="25">
        <v>42.834282730860608</v>
      </c>
      <c r="BX767" s="25">
        <v>74.600407627378601</v>
      </c>
      <c r="BY767" s="25">
        <v>42.97061904449258</v>
      </c>
      <c r="BZ767">
        <v>72</v>
      </c>
      <c r="CA767">
        <v>0</v>
      </c>
      <c r="CB767">
        <v>7</v>
      </c>
      <c r="CC767">
        <v>45528.664718</v>
      </c>
      <c r="CD767" s="10">
        <v>3996.6054079999999</v>
      </c>
      <c r="CE767" s="255">
        <v>8.7782179265624732E-2</v>
      </c>
      <c r="CF767" t="str">
        <f>IFERROR(VLOOKUP(CE767,'Rangos amb etnico'!$A$2:$C$6,3,9),"N.D.")</f>
        <v>0,1% - 30%</v>
      </c>
      <c r="CG767" s="256">
        <v>1.1627631718315333E-4</v>
      </c>
      <c r="CH767" s="232">
        <v>0</v>
      </c>
      <c r="CI767" s="311">
        <f t="shared" si="319"/>
        <v>0</v>
      </c>
      <c r="CJ767" s="232">
        <f>IFERROR(VLOOKUP(CI767,'Rangos amb etnico'!$A$2:$C$6,3,9),"N.D.")</f>
        <v>0</v>
      </c>
      <c r="CK767" s="311">
        <f t="shared" si="320"/>
        <v>0</v>
      </c>
      <c r="CL767" s="10">
        <v>0</v>
      </c>
      <c r="CM767" s="255">
        <f t="shared" si="321"/>
        <v>0</v>
      </c>
      <c r="CN767" s="232">
        <f>IFERROR(VLOOKUP(CM767,'Rangos amb etnico'!$A$2:$C$6,3,9),"N.D.")</f>
        <v>0</v>
      </c>
      <c r="CO767" s="311">
        <f t="shared" si="322"/>
        <v>0</v>
      </c>
      <c r="CP767">
        <v>0.98279982792902976</v>
      </c>
      <c r="CQ767" t="s">
        <v>2864</v>
      </c>
      <c r="CR767">
        <f t="shared" si="313"/>
        <v>1</v>
      </c>
      <c r="CS767" t="str">
        <f t="shared" si="323"/>
        <v>No es Candidato</v>
      </c>
      <c r="CT767">
        <v>0</v>
      </c>
      <c r="CU767">
        <v>0</v>
      </c>
      <c r="CV767" s="25">
        <v>34.608467102050781</v>
      </c>
      <c r="CW767" s="25">
        <v>19.26652717590332</v>
      </c>
      <c r="CX767" s="25">
        <v>39.899139404296882</v>
      </c>
      <c r="CY767" s="25">
        <v>45.322315216064453</v>
      </c>
      <c r="CZ767" s="25">
        <v>37.987972259521477</v>
      </c>
      <c r="DA767" s="25">
        <v>10.93563270568848</v>
      </c>
      <c r="DB767" s="25">
        <v>54.239208221435547</v>
      </c>
      <c r="DC767">
        <v>157</v>
      </c>
      <c r="DD767" s="253" t="s">
        <v>380</v>
      </c>
    </row>
    <row r="768" spans="1:108" hidden="1">
      <c r="A768" s="13">
        <v>17662</v>
      </c>
      <c r="B768" s="13" t="s">
        <v>1965</v>
      </c>
      <c r="C768" s="13" t="s">
        <v>506</v>
      </c>
      <c r="D768" s="13" t="s">
        <v>507</v>
      </c>
      <c r="E768" s="13" t="s">
        <v>1966</v>
      </c>
      <c r="F768" s="14">
        <v>66.455866666666694</v>
      </c>
      <c r="G768" s="13">
        <v>53.75</v>
      </c>
      <c r="H768" s="13">
        <v>47.63</v>
      </c>
      <c r="I768" s="13">
        <v>50.08</v>
      </c>
      <c r="J768" s="14">
        <v>65.6065718821243</v>
      </c>
      <c r="K768" s="14">
        <v>66.079962991270861</v>
      </c>
      <c r="L768" s="14">
        <v>59.434749717417269</v>
      </c>
      <c r="M768" s="14">
        <v>63.9009</v>
      </c>
      <c r="N768" s="14">
        <f t="shared" si="297"/>
        <v>54.478966666666679</v>
      </c>
      <c r="O768" s="14">
        <f t="shared" si="298"/>
        <v>63.755546147703107</v>
      </c>
      <c r="P768" s="14">
        <f t="shared" si="314"/>
        <v>59.117256407184897</v>
      </c>
      <c r="Q768" s="14">
        <v>60.423334630848245</v>
      </c>
      <c r="R768" s="17">
        <f t="shared" si="299"/>
        <v>39.576665369151755</v>
      </c>
      <c r="S768" s="14">
        <f t="shared" si="315"/>
        <v>0.45618998832236579</v>
      </c>
      <c r="T768" s="13">
        <v>0</v>
      </c>
      <c r="U768" s="13">
        <f t="shared" si="316"/>
        <v>26.968700510043984</v>
      </c>
      <c r="V768" s="13">
        <f>IF($T768=1,$AU768,(VLOOKUP(U768,'Cortes naturales'!$A$35:$C$39,3,9)))</f>
        <v>4</v>
      </c>
      <c r="W768" s="13">
        <v>4</v>
      </c>
      <c r="X768" s="14" t="b">
        <f t="shared" si="300"/>
        <v>1</v>
      </c>
      <c r="Y768" s="17">
        <f>IF($T768=1,$AU768,VLOOKUP(U768,'Cortes naturales'!$A$45:$C$49,3,9))</f>
        <v>4</v>
      </c>
      <c r="Z768" s="14">
        <v>59.573085046479505</v>
      </c>
      <c r="AA768" s="14">
        <v>0.46825804096594392</v>
      </c>
      <c r="AB768" s="14">
        <v>27.89557609816206</v>
      </c>
      <c r="AC768" s="13">
        <v>3</v>
      </c>
      <c r="AD768" s="13">
        <f t="shared" si="301"/>
        <v>-1</v>
      </c>
      <c r="AE768" s="14">
        <f t="shared" si="302"/>
        <v>-0.45582863929460871</v>
      </c>
      <c r="AF768" s="14">
        <f t="shared" si="303"/>
        <v>-1.2068052643578131E-2</v>
      </c>
      <c r="AG768" s="13">
        <f t="shared" si="304"/>
        <v>-0.92687558811807591</v>
      </c>
      <c r="AH768" s="13">
        <f>IF($T768=1,$AU768,VLOOKUP(U768,'Cortes naturales'!$A$25:$C$29,3,9))</f>
        <v>4</v>
      </c>
      <c r="AI768" s="13" t="b">
        <f t="shared" si="305"/>
        <v>1</v>
      </c>
      <c r="AJ768" s="13" t="str">
        <f t="shared" si="306"/>
        <v>Efecto ponderador</v>
      </c>
      <c r="AK768" s="28">
        <v>0.6523467210059386</v>
      </c>
      <c r="AL768" s="28">
        <v>38.862306690278821</v>
      </c>
      <c r="AM768" s="28">
        <v>0.31550048012092047</v>
      </c>
      <c r="AN768" s="13">
        <v>4</v>
      </c>
      <c r="AO768" s="33">
        <f t="shared" si="307"/>
        <v>0</v>
      </c>
      <c r="AP768" s="13">
        <f t="shared" si="317"/>
        <v>31.550048012092049</v>
      </c>
      <c r="AQ768" s="13">
        <f>IFERROR(VLOOKUP(U768,'Cortes naturales'!$E$15:$G$19,3,9),U768)</f>
        <v>4</v>
      </c>
      <c r="AR768" s="28">
        <f t="shared" si="308"/>
        <v>-0.19615673268357281</v>
      </c>
      <c r="AS768" s="13" t="b">
        <f t="shared" si="309"/>
        <v>1</v>
      </c>
      <c r="AT768" s="13">
        <f t="shared" si="318"/>
        <v>0</v>
      </c>
      <c r="AU768" s="13">
        <v>4</v>
      </c>
      <c r="AV768">
        <f t="shared" si="310"/>
        <v>0</v>
      </c>
      <c r="AW768" s="13">
        <v>0</v>
      </c>
      <c r="AX768" s="13">
        <v>0</v>
      </c>
      <c r="AY768" s="13">
        <v>0</v>
      </c>
      <c r="AZ768" s="13">
        <v>0</v>
      </c>
      <c r="BA768">
        <v>1</v>
      </c>
      <c r="BB768" t="s">
        <v>2840</v>
      </c>
      <c r="BC768">
        <v>6</v>
      </c>
      <c r="BD768" t="s">
        <v>2919</v>
      </c>
      <c r="BE768">
        <v>0</v>
      </c>
      <c r="BF768" s="232" t="s">
        <v>2846</v>
      </c>
      <c r="BG768" s="232" t="s">
        <v>2846</v>
      </c>
      <c r="BH768" s="253">
        <v>39.9</v>
      </c>
      <c r="BI768" s="253">
        <v>13.53305785123967</v>
      </c>
      <c r="BJ768" s="25">
        <v>46.60691958684744</v>
      </c>
      <c r="BK768" t="s">
        <v>376</v>
      </c>
      <c r="BL768">
        <v>1.232967834021641</v>
      </c>
      <c r="BM768" t="s">
        <v>383</v>
      </c>
      <c r="BN768" s="322">
        <v>42723.503413999999</v>
      </c>
      <c r="BO768" s="322">
        <v>3663.4062300000001</v>
      </c>
      <c r="BP768" s="10">
        <v>21128</v>
      </c>
      <c r="BQ768" s="254">
        <f t="shared" si="311"/>
        <v>2.0221271968004544</v>
      </c>
      <c r="BR768" s="254">
        <f t="shared" si="312"/>
        <v>0.1733910559447179</v>
      </c>
      <c r="BS768" s="25">
        <v>57.091902352338778</v>
      </c>
      <c r="BT768" s="25">
        <v>89.872743809454462</v>
      </c>
      <c r="BU768" s="25">
        <v>42.119790398918163</v>
      </c>
      <c r="BV768" s="25">
        <v>95.954257380986448</v>
      </c>
      <c r="BW768" s="25">
        <v>58.133698131990343</v>
      </c>
      <c r="BX768" s="25">
        <v>71.259673485424457</v>
      </c>
      <c r="BY768" s="25">
        <v>58.219803804833397</v>
      </c>
      <c r="BZ768">
        <v>13</v>
      </c>
      <c r="CA768">
        <v>0</v>
      </c>
      <c r="CB768">
        <v>7</v>
      </c>
      <c r="CC768">
        <v>75768.425166000001</v>
      </c>
      <c r="CD768" s="10">
        <v>8774.1383509999996</v>
      </c>
      <c r="CE768" s="255">
        <v>0.11580204196902417</v>
      </c>
      <c r="CF768" t="str">
        <f>IFERROR(VLOOKUP(CE768,'Rangos amb etnico'!$A$2:$C$6,3,9),"N.D.")</f>
        <v>0,1% - 30%</v>
      </c>
      <c r="CG768" s="256">
        <v>2.5527276019483028E-4</v>
      </c>
      <c r="CH768" s="232">
        <v>0</v>
      </c>
      <c r="CI768" s="311">
        <f t="shared" si="319"/>
        <v>0</v>
      </c>
      <c r="CJ768" s="232">
        <f>IFERROR(VLOOKUP(CI768,'Rangos amb etnico'!$A$2:$C$6,3,9),"N.D.")</f>
        <v>0</v>
      </c>
      <c r="CK768" s="311">
        <f t="shared" si="320"/>
        <v>0</v>
      </c>
      <c r="CL768" s="10">
        <v>0</v>
      </c>
      <c r="CM768" s="255">
        <f t="shared" si="321"/>
        <v>0</v>
      </c>
      <c r="CN768" s="232">
        <f>IFERROR(VLOOKUP(CM768,'Rangos amb etnico'!$A$2:$C$6,3,9),"N.D.")</f>
        <v>0</v>
      </c>
      <c r="CO768" s="311">
        <f t="shared" si="322"/>
        <v>0</v>
      </c>
      <c r="CP768">
        <v>0.94416975717172558</v>
      </c>
      <c r="CQ768" t="s">
        <v>2864</v>
      </c>
      <c r="CR768">
        <f t="shared" si="313"/>
        <v>2</v>
      </c>
      <c r="CS768" t="str">
        <f t="shared" si="323"/>
        <v>No es Candidato</v>
      </c>
      <c r="CT768">
        <v>0</v>
      </c>
      <c r="CU768">
        <v>0</v>
      </c>
      <c r="CV768" s="25">
        <v>45.2398681640625</v>
      </c>
      <c r="CW768" s="25">
        <v>23.932407379150391</v>
      </c>
      <c r="CX768" s="25">
        <v>52.247730255126953</v>
      </c>
      <c r="CY768" s="25">
        <v>41.97454833984375</v>
      </c>
      <c r="CZ768" s="25">
        <v>32.081455230712891</v>
      </c>
      <c r="DA768" s="25">
        <v>90.31610107421875</v>
      </c>
      <c r="DB768" s="25">
        <v>30.8869743347168</v>
      </c>
      <c r="DC768">
        <v>6213</v>
      </c>
      <c r="DD768" s="253" t="s">
        <v>380</v>
      </c>
    </row>
    <row r="769" spans="1:108" hidden="1">
      <c r="A769" s="13">
        <v>68820</v>
      </c>
      <c r="B769" s="13" t="s">
        <v>1967</v>
      </c>
      <c r="C769" s="13" t="s">
        <v>431</v>
      </c>
      <c r="D769" s="13" t="s">
        <v>432</v>
      </c>
      <c r="E769" s="13" t="s">
        <v>1968</v>
      </c>
      <c r="F769" s="14">
        <v>50.311233333333298</v>
      </c>
      <c r="G769" s="13">
        <v>46.3</v>
      </c>
      <c r="H769" s="13">
        <v>52</v>
      </c>
      <c r="I769" s="13">
        <v>51.43</v>
      </c>
      <c r="J769" s="14">
        <v>47.744690401151082</v>
      </c>
      <c r="K769" s="14">
        <v>56.301118016578954</v>
      </c>
      <c r="L769" s="14">
        <v>63.11598178317054</v>
      </c>
      <c r="M769" s="14">
        <v>60.871200000000002</v>
      </c>
      <c r="N769" s="14">
        <f t="shared" si="297"/>
        <v>50.010308333333327</v>
      </c>
      <c r="O769" s="14">
        <f t="shared" si="298"/>
        <v>57.008247550225136</v>
      </c>
      <c r="P769" s="14">
        <f t="shared" si="314"/>
        <v>53.509277941779231</v>
      </c>
      <c r="Q769" s="14">
        <v>59.647298504140942</v>
      </c>
      <c r="R769" s="17">
        <f t="shared" si="299"/>
        <v>40.352701495859058</v>
      </c>
      <c r="S769" s="14">
        <f t="shared" si="315"/>
        <v>0.46317431346273152</v>
      </c>
      <c r="T769" s="13">
        <v>0</v>
      </c>
      <c r="U769" s="13">
        <f t="shared" si="316"/>
        <v>24.784123074570079</v>
      </c>
      <c r="V769" s="13">
        <f>IF($T769=1,$AU769,(VLOOKUP(U769,'Cortes naturales'!$A$35:$C$39,3,9)))</f>
        <v>4</v>
      </c>
      <c r="W769" s="13">
        <v>4</v>
      </c>
      <c r="X769" s="14" t="b">
        <f t="shared" si="300"/>
        <v>1</v>
      </c>
      <c r="Y769" s="17">
        <f>IF($T769=1,$AU769,VLOOKUP(U769,'Cortes naturales'!$A$45:$C$49,3,9))</f>
        <v>4</v>
      </c>
      <c r="Z769" s="14">
        <v>50.268084195698741</v>
      </c>
      <c r="AA769" s="14">
        <v>0.4622230107633768</v>
      </c>
      <c r="AB769" s="14">
        <v>23.235065222242792</v>
      </c>
      <c r="AC769" s="13">
        <v>4</v>
      </c>
      <c r="AD769" s="13">
        <f t="shared" si="301"/>
        <v>0</v>
      </c>
      <c r="AE769" s="14">
        <f t="shared" si="302"/>
        <v>3.2411937460804907</v>
      </c>
      <c r="AF769" s="14">
        <f t="shared" si="303"/>
        <v>9.51302699354728E-4</v>
      </c>
      <c r="AG769" s="13">
        <f t="shared" si="304"/>
        <v>1.5490578523272873</v>
      </c>
      <c r="AH769" s="13">
        <f>IF($T769=1,$AU769,VLOOKUP(U769,'Cortes naturales'!$A$25:$C$29,3,9))</f>
        <v>4</v>
      </c>
      <c r="AI769" s="13" t="b">
        <f t="shared" si="305"/>
        <v>1</v>
      </c>
      <c r="AJ769" s="13">
        <f t="shared" si="306"/>
        <v>0</v>
      </c>
      <c r="AK769" s="28">
        <v>0.6523467210059386</v>
      </c>
      <c r="AL769" s="28">
        <v>32.792219896314521</v>
      </c>
      <c r="AM769" s="28">
        <v>0.23957009280302213</v>
      </c>
      <c r="AN769" s="13">
        <v>4</v>
      </c>
      <c r="AO769" s="33">
        <f t="shared" si="307"/>
        <v>0</v>
      </c>
      <c r="AP769" s="13">
        <f t="shared" si="317"/>
        <v>23.957009280302213</v>
      </c>
      <c r="AQ769" s="13">
        <f>IFERROR(VLOOKUP(U769,'Cortes naturales'!$E$15:$G$19,3,9),U769)</f>
        <v>4</v>
      </c>
      <c r="AR769" s="28">
        <f t="shared" si="308"/>
        <v>-0.18917240754320708</v>
      </c>
      <c r="AS769" s="13" t="b">
        <f t="shared" si="309"/>
        <v>1</v>
      </c>
      <c r="AT769" s="13">
        <f t="shared" si="318"/>
        <v>0</v>
      </c>
      <c r="AU769" s="13">
        <v>4</v>
      </c>
      <c r="AV769">
        <f t="shared" si="310"/>
        <v>0</v>
      </c>
      <c r="AW769" s="13">
        <v>0</v>
      </c>
      <c r="AX769" s="13">
        <v>0</v>
      </c>
      <c r="AY769" s="13">
        <v>0</v>
      </c>
      <c r="AZ769" s="13">
        <v>0</v>
      </c>
      <c r="BA769">
        <v>0</v>
      </c>
      <c r="BB769" t="s">
        <v>2841</v>
      </c>
      <c r="BC769">
        <v>6</v>
      </c>
      <c r="BD769" t="s">
        <v>2919</v>
      </c>
      <c r="BE769">
        <v>0</v>
      </c>
      <c r="BF769" s="232" t="s">
        <v>2846</v>
      </c>
      <c r="BG769" s="232" t="s">
        <v>2845</v>
      </c>
      <c r="BH769" s="253">
        <v>45.8</v>
      </c>
      <c r="BI769" s="253">
        <v>13.45808383233533</v>
      </c>
      <c r="BJ769" s="25">
        <v>46.492192615813309</v>
      </c>
      <c r="BK769" t="s">
        <v>376</v>
      </c>
      <c r="BL769">
        <v>0</v>
      </c>
      <c r="BM769" t="s">
        <v>377</v>
      </c>
      <c r="BN769" s="322">
        <v>15575.704815999999</v>
      </c>
      <c r="BO769" s="322">
        <v>2743.0893729999998</v>
      </c>
      <c r="BP769" s="10">
        <v>8362</v>
      </c>
      <c r="BQ769" s="254">
        <f t="shared" si="311"/>
        <v>1.8626769691461371</v>
      </c>
      <c r="BR769" s="254">
        <f t="shared" si="312"/>
        <v>0.32804225938770626</v>
      </c>
      <c r="BS769" s="25">
        <v>70.697922312556457</v>
      </c>
      <c r="BT769" s="25">
        <v>88.228493980706375</v>
      </c>
      <c r="BU769" s="25">
        <v>45.425476416587507</v>
      </c>
      <c r="BV769" s="25">
        <v>96.014595755023677</v>
      </c>
      <c r="BW769" s="25">
        <v>61.175839173667768</v>
      </c>
      <c r="BX769" s="25">
        <v>75.091622116218502</v>
      </c>
      <c r="BY769" s="25">
        <v>63.666685813313777</v>
      </c>
      <c r="BZ769">
        <v>39</v>
      </c>
      <c r="CA769">
        <v>0</v>
      </c>
      <c r="CB769">
        <v>7</v>
      </c>
      <c r="CC769">
        <v>33012.091904000001</v>
      </c>
      <c r="CD769" s="10">
        <v>26845.75864</v>
      </c>
      <c r="CE769" s="255">
        <v>0.81320986013452723</v>
      </c>
      <c r="CF769" t="str">
        <f>IFERROR(VLOOKUP(CE769,'Rangos amb etnico'!$A$2:$C$6,3,9),"N.D.")</f>
        <v>71% - 100%</v>
      </c>
      <c r="CG769" s="256">
        <v>7.8104431836044266E-4</v>
      </c>
      <c r="CH769" s="232">
        <v>0</v>
      </c>
      <c r="CI769" s="311">
        <f t="shared" si="319"/>
        <v>0</v>
      </c>
      <c r="CJ769" s="232">
        <f>IFERROR(VLOOKUP(CI769,'Rangos amb etnico'!$A$2:$C$6,3,9),"N.D.")</f>
        <v>0</v>
      </c>
      <c r="CK769" s="311">
        <f t="shared" si="320"/>
        <v>0</v>
      </c>
      <c r="CL769" s="10">
        <v>0</v>
      </c>
      <c r="CM769" s="255">
        <f t="shared" si="321"/>
        <v>0</v>
      </c>
      <c r="CN769" s="232">
        <f>IFERROR(VLOOKUP(CM769,'Rangos amb etnico'!$A$2:$C$6,3,9),"N.D.")</f>
        <v>0</v>
      </c>
      <c r="CO769" s="311">
        <f t="shared" si="322"/>
        <v>0</v>
      </c>
      <c r="CP769">
        <v>0.88851488324891759</v>
      </c>
      <c r="CQ769" t="s">
        <v>2864</v>
      </c>
      <c r="CR769">
        <f t="shared" si="313"/>
        <v>3</v>
      </c>
      <c r="CS769" t="str">
        <f t="shared" si="323"/>
        <v>Candidato</v>
      </c>
      <c r="CT769">
        <v>0</v>
      </c>
      <c r="CU769">
        <v>0</v>
      </c>
      <c r="CV769" s="25">
        <v>52.177677154541023</v>
      </c>
      <c r="CW769" s="25">
        <v>23.17595100402832</v>
      </c>
      <c r="CX769" s="25">
        <v>56.315849304199219</v>
      </c>
      <c r="CY769" s="25">
        <v>59.925189971923828</v>
      </c>
      <c r="CZ769" s="25">
        <v>50.974227905273438</v>
      </c>
      <c r="DA769" s="25">
        <v>70.715835571289063</v>
      </c>
      <c r="DB769" s="25">
        <v>51.959011077880859</v>
      </c>
      <c r="DC769">
        <v>46</v>
      </c>
      <c r="DD769" s="253" t="s">
        <v>380</v>
      </c>
    </row>
    <row r="770" spans="1:108" hidden="1">
      <c r="A770" s="13">
        <v>68211</v>
      </c>
      <c r="B770" s="13" t="s">
        <v>1969</v>
      </c>
      <c r="C770" s="13" t="s">
        <v>431</v>
      </c>
      <c r="D770" s="13" t="s">
        <v>432</v>
      </c>
      <c r="E770" s="13" t="s">
        <v>1970</v>
      </c>
      <c r="F770" s="14">
        <v>56.634300000000003</v>
      </c>
      <c r="G770" s="13">
        <v>54.11</v>
      </c>
      <c r="H770" s="13">
        <v>45.04</v>
      </c>
      <c r="I770" s="13">
        <v>75.180000000000007</v>
      </c>
      <c r="J770" s="14">
        <v>53.397224469400307</v>
      </c>
      <c r="K770" s="14">
        <v>55.793553066712455</v>
      </c>
      <c r="L770" s="14">
        <v>52.735455243461843</v>
      </c>
      <c r="M770" s="14">
        <v>44.130299999999998</v>
      </c>
      <c r="N770" s="14">
        <f t="shared" si="297"/>
        <v>57.741075000000002</v>
      </c>
      <c r="O770" s="14">
        <f t="shared" si="298"/>
        <v>51.514133194893653</v>
      </c>
      <c r="P770" s="14">
        <f t="shared" si="314"/>
        <v>54.627604097446827</v>
      </c>
      <c r="Q770" s="14">
        <v>59.196573794840056</v>
      </c>
      <c r="R770" s="17">
        <f t="shared" si="299"/>
        <v>40.803426205159944</v>
      </c>
      <c r="S770" s="14">
        <f t="shared" si="315"/>
        <v>0.46723083584643954</v>
      </c>
      <c r="T770" s="13">
        <v>0</v>
      </c>
      <c r="U770" s="13">
        <f t="shared" si="316"/>
        <v>25.523701122738466</v>
      </c>
      <c r="V770" s="13">
        <f>IF($T770=1,$AU770,(VLOOKUP(U770,'Cortes naturales'!$A$35:$C$39,3,9)))</f>
        <v>4</v>
      </c>
      <c r="W770" s="13">
        <v>4</v>
      </c>
      <c r="X770" s="14" t="b">
        <f t="shared" si="300"/>
        <v>1</v>
      </c>
      <c r="Y770" s="17">
        <f>IF($T770=1,$AU770,VLOOKUP(U770,'Cortes naturales'!$A$45:$C$49,3,9))</f>
        <v>4</v>
      </c>
      <c r="Z770" s="14">
        <v>52.691009848282562</v>
      </c>
      <c r="AA770" s="14">
        <v>0.4691149179837879</v>
      </c>
      <c r="AB770" s="14">
        <v>24.718138763460036</v>
      </c>
      <c r="AC770" s="13">
        <v>4</v>
      </c>
      <c r="AD770" s="13">
        <f t="shared" si="301"/>
        <v>0</v>
      </c>
      <c r="AE770" s="14">
        <f t="shared" si="302"/>
        <v>1.9365942491642656</v>
      </c>
      <c r="AF770" s="14">
        <f t="shared" si="303"/>
        <v>-1.884082137348364E-3</v>
      </c>
      <c r="AG770" s="13">
        <f t="shared" si="304"/>
        <v>0.80556235927842934</v>
      </c>
      <c r="AH770" s="13">
        <f>IF($T770=1,$AU770,VLOOKUP(U770,'Cortes naturales'!$A$25:$C$29,3,9))</f>
        <v>4</v>
      </c>
      <c r="AI770" s="13" t="b">
        <f t="shared" si="305"/>
        <v>1</v>
      </c>
      <c r="AJ770" s="13">
        <f t="shared" si="306"/>
        <v>0</v>
      </c>
      <c r="AK770" s="28">
        <v>0.6523467210059386</v>
      </c>
      <c r="AL770" s="28">
        <v>34.372807501018748</v>
      </c>
      <c r="AM770" s="28">
        <v>0.25934157764149196</v>
      </c>
      <c r="AN770" s="13">
        <v>4</v>
      </c>
      <c r="AO770" s="33">
        <f t="shared" si="307"/>
        <v>0</v>
      </c>
      <c r="AP770" s="13">
        <f t="shared" si="317"/>
        <v>25.934157764149194</v>
      </c>
      <c r="AQ770" s="13">
        <f>IFERROR(VLOOKUP(U770,'Cortes naturales'!$E$15:$G$19,3,9),U770)</f>
        <v>4</v>
      </c>
      <c r="AR770" s="28">
        <f t="shared" si="308"/>
        <v>-0.18511588515949906</v>
      </c>
      <c r="AS770" s="13" t="b">
        <f t="shared" si="309"/>
        <v>1</v>
      </c>
      <c r="AT770" s="13">
        <f t="shared" si="318"/>
        <v>0</v>
      </c>
      <c r="AU770" s="13">
        <v>4</v>
      </c>
      <c r="AV770">
        <f t="shared" si="310"/>
        <v>0</v>
      </c>
      <c r="AW770" s="13">
        <v>0</v>
      </c>
      <c r="AX770" s="13">
        <v>0</v>
      </c>
      <c r="AY770" s="13">
        <v>0</v>
      </c>
      <c r="AZ770" s="13">
        <v>0</v>
      </c>
      <c r="BA770">
        <v>0</v>
      </c>
      <c r="BB770" t="s">
        <v>2840</v>
      </c>
      <c r="BC770">
        <v>6</v>
      </c>
      <c r="BD770" t="s">
        <v>2919</v>
      </c>
      <c r="BE770">
        <v>0</v>
      </c>
      <c r="BF770" s="232" t="s">
        <v>2846</v>
      </c>
      <c r="BG770" s="232" t="s">
        <v>2846</v>
      </c>
      <c r="BH770" s="253">
        <v>29.2</v>
      </c>
      <c r="BI770" s="253">
        <v>8.7134318968229003</v>
      </c>
      <c r="BJ770" s="25">
        <v>27.89833333333333</v>
      </c>
      <c r="BK770" t="s">
        <v>379</v>
      </c>
      <c r="BL770">
        <v>0</v>
      </c>
      <c r="BM770" t="s">
        <v>377</v>
      </c>
      <c r="BN770" s="322">
        <v>9117.1265669999993</v>
      </c>
      <c r="BO770" s="322">
        <v>627.35921099999996</v>
      </c>
      <c r="BP770" s="10">
        <v>4144</v>
      </c>
      <c r="BQ770" s="254">
        <f t="shared" si="311"/>
        <v>2.2000788047779922</v>
      </c>
      <c r="BR770" s="254">
        <f t="shared" si="312"/>
        <v>0.15138977099420847</v>
      </c>
      <c r="BS770" s="25">
        <v>64.91777420187934</v>
      </c>
      <c r="BT770" s="25">
        <v>92.57561132561132</v>
      </c>
      <c r="BU770" s="25">
        <v>41.557142857142829</v>
      </c>
      <c r="BV770" s="25">
        <v>87.002016568009353</v>
      </c>
      <c r="BW770" s="25">
        <v>45.63596044226577</v>
      </c>
      <c r="BX770" s="25">
        <v>71.513136238160712</v>
      </c>
      <c r="BY770" s="25">
        <v>44.62771255624817</v>
      </c>
      <c r="BZ770">
        <v>45</v>
      </c>
      <c r="CA770">
        <v>0</v>
      </c>
      <c r="CB770">
        <v>7</v>
      </c>
      <c r="CC770">
        <v>13694.941263000001</v>
      </c>
      <c r="CD770" s="10">
        <v>13678.431975</v>
      </c>
      <c r="CE770" s="255">
        <v>0.99879449734884185</v>
      </c>
      <c r="CF770" t="str">
        <f>IFERROR(VLOOKUP(CE770,'Rangos amb etnico'!$A$2:$C$6,3,9),"N.D.")</f>
        <v>71% - 100%</v>
      </c>
      <c r="CG770" s="256">
        <v>3.9795714926212859E-4</v>
      </c>
      <c r="CH770" s="232">
        <v>0</v>
      </c>
      <c r="CI770" s="311">
        <f t="shared" si="319"/>
        <v>0</v>
      </c>
      <c r="CJ770" s="232">
        <f>IFERROR(VLOOKUP(CI770,'Rangos amb etnico'!$A$2:$C$6,3,9),"N.D.")</f>
        <v>0</v>
      </c>
      <c r="CK770" s="311">
        <f t="shared" si="320"/>
        <v>0</v>
      </c>
      <c r="CL770" s="10">
        <v>0</v>
      </c>
      <c r="CM770" s="255">
        <f t="shared" si="321"/>
        <v>0</v>
      </c>
      <c r="CN770" s="232">
        <f>IFERROR(VLOOKUP(CM770,'Rangos amb etnico'!$A$2:$C$6,3,9),"N.D.")</f>
        <v>0</v>
      </c>
      <c r="CO770" s="311">
        <f t="shared" si="322"/>
        <v>0</v>
      </c>
      <c r="CP770">
        <v>0.95455278022954537</v>
      </c>
      <c r="CQ770" t="s">
        <v>2864</v>
      </c>
      <c r="CR770">
        <f t="shared" si="313"/>
        <v>2</v>
      </c>
      <c r="CS770" t="str">
        <f t="shared" si="323"/>
        <v>No es Candidato</v>
      </c>
      <c r="CT770">
        <v>0</v>
      </c>
      <c r="CU770">
        <v>0</v>
      </c>
      <c r="CV770" s="25">
        <v>51.62567138671875</v>
      </c>
      <c r="CW770" s="25">
        <v>19.50145149230957</v>
      </c>
      <c r="CX770" s="25">
        <v>54.806774139404297</v>
      </c>
      <c r="CY770" s="25">
        <v>68.205459594726563</v>
      </c>
      <c r="CZ770" s="25">
        <v>39.052291870117188</v>
      </c>
      <c r="DA770" s="25">
        <v>62.152843475341797</v>
      </c>
      <c r="DB770" s="25">
        <v>66.035224914550781</v>
      </c>
      <c r="DC770">
        <v>30</v>
      </c>
      <c r="DD770" s="253" t="s">
        <v>380</v>
      </c>
    </row>
    <row r="771" spans="1:108" hidden="1">
      <c r="A771" s="13">
        <v>73168</v>
      </c>
      <c r="B771" s="13" t="s">
        <v>1971</v>
      </c>
      <c r="C771" s="13" t="s">
        <v>595</v>
      </c>
      <c r="D771" s="13" t="s">
        <v>596</v>
      </c>
      <c r="E771" s="13" t="s">
        <v>1972</v>
      </c>
      <c r="F771" s="14">
        <v>80.652299999999997</v>
      </c>
      <c r="G771" s="13">
        <v>52.52</v>
      </c>
      <c r="H771" s="13">
        <v>55.66</v>
      </c>
      <c r="I771" s="13">
        <v>59.49</v>
      </c>
      <c r="J771" s="14">
        <v>51.032925766764023</v>
      </c>
      <c r="K771" s="14">
        <v>62.010949766566839</v>
      </c>
      <c r="L771" s="14">
        <v>71.538929329697964</v>
      </c>
      <c r="M771" s="14">
        <v>58.023400000000002</v>
      </c>
      <c r="N771" s="14">
        <f t="shared" ref="N771:N834" si="324">IFERROR(AVERAGE(F771:I771),"N.D.")</f>
        <v>62.080575000000003</v>
      </c>
      <c r="O771" s="14">
        <f t="shared" ref="O771:O834" si="325">IFERROR(AVERAGE(J771:M771),"N.D.")</f>
        <v>60.651551215757209</v>
      </c>
      <c r="P771" s="14">
        <f t="shared" si="314"/>
        <v>61.366063107878603</v>
      </c>
      <c r="Q771" s="14">
        <v>59.994779386656852</v>
      </c>
      <c r="R771" s="17">
        <f t="shared" ref="R771:R834" si="326">IFERROR(MAX($Q$3:$Q$1105)-Q771,"N.D.")</f>
        <v>40.005220613343148</v>
      </c>
      <c r="S771" s="14">
        <f t="shared" si="315"/>
        <v>0.46004698552008838</v>
      </c>
      <c r="T771" s="13">
        <v>0</v>
      </c>
      <c r="U771" s="13">
        <f t="shared" si="316"/>
        <v>28.231272346015057</v>
      </c>
      <c r="V771" s="13">
        <f>IF($T771=1,$AU771,(VLOOKUP(U771,'Cortes naturales'!$A$35:$C$39,3,9)))</f>
        <v>4</v>
      </c>
      <c r="W771" s="13">
        <v>4</v>
      </c>
      <c r="X771" s="14" t="b">
        <f t="shared" ref="X771:X834" si="327">V771=W771</f>
        <v>1</v>
      </c>
      <c r="Y771" s="17">
        <f>IF($T771=1,$AU771,VLOOKUP(U771,'Cortes naturales'!$A$45:$C$49,3,9))</f>
        <v>4</v>
      </c>
      <c r="Z771" s="14">
        <v>64.689195625069431</v>
      </c>
      <c r="AA771" s="14">
        <v>0.46889468580275073</v>
      </c>
      <c r="AB771" s="14">
        <v>30.332420057449607</v>
      </c>
      <c r="AC771" s="13">
        <v>3</v>
      </c>
      <c r="AD771" s="13">
        <f t="shared" ref="AD771:AD834" si="328">IFERROR(AC771-Y771,)</f>
        <v>-1</v>
      </c>
      <c r="AE771" s="14">
        <f t="shared" ref="AE771:AE834" si="329">IFERROR(P771-Z771,"N.D.")</f>
        <v>-3.3231325171908281</v>
      </c>
      <c r="AF771" s="14">
        <f t="shared" ref="AF771:AF834" si="330">IFERROR(S771-AA771,"N.D.")</f>
        <v>-8.8477002826623519E-3</v>
      </c>
      <c r="AG771" s="13">
        <f t="shared" ref="AG771:AG834" si="331">IFERROR(U771-AB771,0)</f>
        <v>-2.1011477114345496</v>
      </c>
      <c r="AH771" s="13">
        <f>IF($T771=1,$AU771,VLOOKUP(U771,'Cortes naturales'!$A$25:$C$29,3,9))</f>
        <v>3</v>
      </c>
      <c r="AI771" s="13" t="b">
        <f t="shared" ref="AI771:AI834" si="332">AH771=Y771</f>
        <v>0</v>
      </c>
      <c r="AJ771" s="13" t="str">
        <f t="shared" ref="AJ771:AJ834" si="333">IF(AD771=0,0,IF(AI771=TRUE,"Efecto ponderador","Cambio en corte"))</f>
        <v>Cambio en corte</v>
      </c>
      <c r="AK771" s="28">
        <v>0.6523467210059386</v>
      </c>
      <c r="AL771" s="28">
        <v>42.19978465052575</v>
      </c>
      <c r="AM771" s="28">
        <v>0.3572488113702329</v>
      </c>
      <c r="AN771" s="13">
        <v>3</v>
      </c>
      <c r="AO771" s="33">
        <f t="shared" ref="AO771:AO834" si="334">IF(AND(ISNUMBER(AN771),ISNUMBER(Y771)),AN771-Y771,IF(AN771="SC- Centro aglomeración",Y771,IF(OR(AN771="Bogotá",AN771="Ciudades grandes"),0,0)))</f>
        <v>-1</v>
      </c>
      <c r="AP771" s="13">
        <f t="shared" si="317"/>
        <v>35.724881137023289</v>
      </c>
      <c r="AQ771" s="13">
        <f>IFERROR(VLOOKUP(U771,'Cortes naturales'!$E$15:$G$19,3,9),U771)</f>
        <v>4</v>
      </c>
      <c r="AR771" s="28">
        <f t="shared" ref="AR771:AR834" si="335">IFERROR(S771-AK771,"N.D.")</f>
        <v>-0.19229973548585022</v>
      </c>
      <c r="AS771" s="13" t="b">
        <f t="shared" ref="AS771:AS834" si="336">AQ771=Y771</f>
        <v>1</v>
      </c>
      <c r="AT771" s="13" t="str">
        <f t="shared" si="318"/>
        <v>Efecto ponderador</v>
      </c>
      <c r="AU771" s="13">
        <v>3</v>
      </c>
      <c r="AV771">
        <f t="shared" ref="AV771:AV834" si="337">IF(AND(ISNUMBER(AU771),ISNUMBER(Y771)),AU771-Y771,IF(AU771="SC- Centro aglomeración",Y771,IF(OR(AU771="Bogotá",AU771="Ciudades grandes"),0,0)))</f>
        <v>-1</v>
      </c>
      <c r="AW771" s="13">
        <v>0</v>
      </c>
      <c r="AX771" s="13">
        <v>0</v>
      </c>
      <c r="AY771" s="13">
        <v>0</v>
      </c>
      <c r="AZ771" s="13">
        <v>1</v>
      </c>
      <c r="BA771">
        <v>1</v>
      </c>
      <c r="BB771" t="s">
        <v>2839</v>
      </c>
      <c r="BC771">
        <v>6</v>
      </c>
      <c r="BD771" t="s">
        <v>2919</v>
      </c>
      <c r="BE771">
        <v>0</v>
      </c>
      <c r="BF771" s="232" t="s">
        <v>2846</v>
      </c>
      <c r="BG771" s="232" t="s">
        <v>2845</v>
      </c>
      <c r="BH771" s="253">
        <v>39.700000000000003</v>
      </c>
      <c r="BI771" s="253">
        <v>21.12399065269198</v>
      </c>
      <c r="BJ771" s="25">
        <v>5.833333333333333</v>
      </c>
      <c r="BK771" t="s">
        <v>377</v>
      </c>
      <c r="BL771">
        <v>6.3592209658426544</v>
      </c>
      <c r="BM771" t="s">
        <v>379</v>
      </c>
      <c r="BN771" s="322">
        <v>98218.181223000007</v>
      </c>
      <c r="BO771" s="322">
        <v>12306.019242</v>
      </c>
      <c r="BP771" s="10">
        <v>52842</v>
      </c>
      <c r="BQ771" s="254">
        <f t="shared" ref="BQ771:BQ834" si="338">BN771/BP771</f>
        <v>1.8587143034517999</v>
      </c>
      <c r="BR771" s="254">
        <f t="shared" ref="BR771:BR834" si="339">BO771/BP771</f>
        <v>0.23288329817190873</v>
      </c>
      <c r="BS771" s="25">
        <v>67.903231972198327</v>
      </c>
      <c r="BT771" s="25">
        <v>94.242474980205259</v>
      </c>
      <c r="BU771" s="25">
        <v>55.37364522852463</v>
      </c>
      <c r="BV771" s="25">
        <v>81.810616115914073</v>
      </c>
      <c r="BW771" s="25">
        <v>36.401941074140417</v>
      </c>
      <c r="BX771" s="25">
        <v>74.832492074210577</v>
      </c>
      <c r="BY771" s="25">
        <v>37.224113263773553</v>
      </c>
      <c r="BZ771">
        <v>15</v>
      </c>
      <c r="CA771">
        <v>1</v>
      </c>
      <c r="CB771">
        <v>6</v>
      </c>
      <c r="CC771">
        <v>210153.586255</v>
      </c>
      <c r="CD771" s="10">
        <v>84313.015721000003</v>
      </c>
      <c r="CE771" s="255">
        <v>0.40119713026783532</v>
      </c>
      <c r="CF771" t="str">
        <f>IFERROR(VLOOKUP(CE771,'Rangos amb etnico'!$A$2:$C$6,3,9),"N.D.")</f>
        <v>31% - 50%</v>
      </c>
      <c r="CG771" s="256">
        <v>2.4529834591674529E-3</v>
      </c>
      <c r="CH771" s="232">
        <v>11.065644000000001</v>
      </c>
      <c r="CI771" s="311">
        <f t="shared" si="319"/>
        <v>5.2655032908041678E-5</v>
      </c>
      <c r="CJ771" s="232">
        <f>IFERROR(VLOOKUP(CI771,'Rangos amb etnico'!$A$2:$C$6,3,9),"N.D.")</f>
        <v>0</v>
      </c>
      <c r="CK771" s="311">
        <f t="shared" si="320"/>
        <v>4.3937851578973977E-7</v>
      </c>
      <c r="CL771" s="10">
        <v>0</v>
      </c>
      <c r="CM771" s="255">
        <f t="shared" si="321"/>
        <v>0</v>
      </c>
      <c r="CN771" s="232">
        <f>IFERROR(VLOOKUP(CM771,'Rangos amb etnico'!$A$2:$C$6,3,9),"N.D.")</f>
        <v>0</v>
      </c>
      <c r="CO771" s="311">
        <f t="shared" si="322"/>
        <v>0</v>
      </c>
      <c r="CP771">
        <v>0.96602809774300979</v>
      </c>
      <c r="CQ771" t="s">
        <v>2864</v>
      </c>
      <c r="CR771">
        <f t="shared" ref="CR771:CR834" si="340">IF(BY771&gt;=60,1,0)+IF(M771&gt;=60,1,0)+IF(I771&gt;=60,1,0)+IF(OR(CQ771="Crítico Bajo",CQ771="Aceptable"),1,0)</f>
        <v>1</v>
      </c>
      <c r="CS771" t="str">
        <f t="shared" si="323"/>
        <v>No es Candidato</v>
      </c>
      <c r="CT771">
        <v>0</v>
      </c>
      <c r="CU771">
        <v>0</v>
      </c>
      <c r="CV771" s="25">
        <v>36.011646270751953</v>
      </c>
      <c r="CW771" s="25">
        <v>30.76982307434082</v>
      </c>
      <c r="CX771" s="25">
        <v>31.07939338684082</v>
      </c>
      <c r="CY771" s="25">
        <v>55.421047210693359</v>
      </c>
      <c r="CZ771" s="25">
        <v>40.915424346923828</v>
      </c>
      <c r="DA771" s="25">
        <v>20.41947174072266</v>
      </c>
      <c r="DB771" s="25">
        <v>37.464717864990227</v>
      </c>
      <c r="DC771">
        <v>2442</v>
      </c>
      <c r="DD771" s="253" t="s">
        <v>380</v>
      </c>
    </row>
    <row r="772" spans="1:108" hidden="1">
      <c r="A772" s="13">
        <v>47551</v>
      </c>
      <c r="B772" s="13" t="s">
        <v>1973</v>
      </c>
      <c r="C772" s="13" t="s">
        <v>638</v>
      </c>
      <c r="D772" s="13" t="s">
        <v>639</v>
      </c>
      <c r="E772" s="13" t="s">
        <v>1974</v>
      </c>
      <c r="F772" s="14">
        <v>62.337200000000003</v>
      </c>
      <c r="G772" s="13">
        <v>66.69</v>
      </c>
      <c r="H772" s="13">
        <v>63.6</v>
      </c>
      <c r="I772" s="13">
        <v>61.49</v>
      </c>
      <c r="J772" s="14">
        <v>43.086266074951041</v>
      </c>
      <c r="K772" s="14">
        <v>33.430929676140821</v>
      </c>
      <c r="L772" s="14">
        <v>46.078605203284454</v>
      </c>
      <c r="M772" s="14">
        <v>47.581200000000003</v>
      </c>
      <c r="N772" s="14">
        <f t="shared" si="324"/>
        <v>63.529299999999999</v>
      </c>
      <c r="O772" s="14">
        <f t="shared" si="325"/>
        <v>42.544250238594081</v>
      </c>
      <c r="P772" s="14">
        <f t="shared" ref="P772:P835" si="341">IFERROR(AVERAGE(N772:O772),"N.D.")</f>
        <v>53.03677511929704</v>
      </c>
      <c r="Q772" s="14">
        <v>59.880349992405236</v>
      </c>
      <c r="R772" s="17">
        <f t="shared" si="326"/>
        <v>40.119650007594764</v>
      </c>
      <c r="S772" s="14">
        <f t="shared" ref="S772:S835" si="342">IFERROR((0.1+(1-0.1)*(R772%-0)/(1-0)),"N.D.")</f>
        <v>0.46107685006835286</v>
      </c>
      <c r="T772" s="13">
        <v>0</v>
      </c>
      <c r="U772" s="13">
        <f t="shared" ref="U772:U835" si="343">$P772*$S772</f>
        <v>24.45402920978907</v>
      </c>
      <c r="V772" s="13">
        <f>IF($T772=1,$AU772,(VLOOKUP(U772,'Cortes naturales'!$A$35:$C$39,3,9)))</f>
        <v>4</v>
      </c>
      <c r="W772" s="13">
        <v>4</v>
      </c>
      <c r="X772" s="14" t="b">
        <f t="shared" si="327"/>
        <v>1</v>
      </c>
      <c r="Y772" s="17">
        <f>IF($T772=1,$AU772,VLOOKUP(U772,'Cortes naturales'!$A$45:$C$49,3,9))</f>
        <v>4</v>
      </c>
      <c r="Z772" s="14">
        <v>53.038136452060961</v>
      </c>
      <c r="AA772" s="14">
        <v>0.46860931281123352</v>
      </c>
      <c r="AB772" s="14">
        <v>24.854164675588724</v>
      </c>
      <c r="AC772" s="13">
        <v>4</v>
      </c>
      <c r="AD772" s="13">
        <f t="shared" si="328"/>
        <v>0</v>
      </c>
      <c r="AE772" s="14">
        <f t="shared" si="329"/>
        <v>-1.3613327639205863E-3</v>
      </c>
      <c r="AF772" s="14">
        <f t="shared" si="330"/>
        <v>-7.5324627428806634E-3</v>
      </c>
      <c r="AG772" s="13">
        <f t="shared" si="331"/>
        <v>-0.40013546579965364</v>
      </c>
      <c r="AH772" s="13">
        <f>IF($T772=1,$AU772,VLOOKUP(U772,'Cortes naturales'!$A$25:$C$29,3,9))</f>
        <v>4</v>
      </c>
      <c r="AI772" s="13" t="b">
        <f t="shared" si="332"/>
        <v>1</v>
      </c>
      <c r="AJ772" s="13">
        <f t="shared" si="333"/>
        <v>0</v>
      </c>
      <c r="AK772" s="28">
        <v>0.6523467210059386</v>
      </c>
      <c r="AL772" s="28">
        <v>34.599254402767514</v>
      </c>
      <c r="AM772" s="28">
        <v>0.26217418968483519</v>
      </c>
      <c r="AN772" s="13">
        <v>4</v>
      </c>
      <c r="AO772" s="33">
        <f t="shared" si="334"/>
        <v>0</v>
      </c>
      <c r="AP772" s="13">
        <f t="shared" ref="AP772:AP835" si="344">IFERROR(AM772*100,"N.D")</f>
        <v>26.217418968483518</v>
      </c>
      <c r="AQ772" s="13">
        <f>IFERROR(VLOOKUP(U772,'Cortes naturales'!$E$15:$G$19,3,9),U772)</f>
        <v>4</v>
      </c>
      <c r="AR772" s="28">
        <f t="shared" si="335"/>
        <v>-0.19126987093758574</v>
      </c>
      <c r="AS772" s="13" t="b">
        <f t="shared" si="336"/>
        <v>1</v>
      </c>
      <c r="AT772" s="13">
        <f t="shared" ref="AT772:AT835" si="345">IF(AO772=0,0,IF(AS772=TRUE,"Efecto ponderador","Cambio en corte"))</f>
        <v>0</v>
      </c>
      <c r="AU772" s="13">
        <v>4</v>
      </c>
      <c r="AV772">
        <f t="shared" si="337"/>
        <v>0</v>
      </c>
      <c r="AW772" s="13">
        <v>0</v>
      </c>
      <c r="AX772" s="13">
        <v>0</v>
      </c>
      <c r="AY772" s="13">
        <v>0</v>
      </c>
      <c r="AZ772" s="13">
        <v>0</v>
      </c>
      <c r="BA772">
        <v>0</v>
      </c>
      <c r="BB772" t="s">
        <v>2840</v>
      </c>
      <c r="BC772">
        <v>6</v>
      </c>
      <c r="BD772" t="s">
        <v>2919</v>
      </c>
      <c r="BE772">
        <v>1</v>
      </c>
      <c r="BF772" s="232" t="s">
        <v>2846</v>
      </c>
      <c r="BG772" s="232" t="s">
        <v>2846</v>
      </c>
      <c r="BH772" s="253">
        <v>52.4</v>
      </c>
      <c r="BI772" s="253">
        <v>25.04654951704876</v>
      </c>
      <c r="BJ772" s="25">
        <v>9.134615384615385</v>
      </c>
      <c r="BK772" t="s">
        <v>377</v>
      </c>
      <c r="BL772">
        <v>3.0313456872356777</v>
      </c>
      <c r="BM772" t="s">
        <v>383</v>
      </c>
      <c r="BN772" s="322">
        <v>69862.617689000006</v>
      </c>
      <c r="BO772" s="322">
        <v>6012.5115429999996</v>
      </c>
      <c r="BP772" s="10">
        <v>40406</v>
      </c>
      <c r="BQ772" s="254">
        <f t="shared" si="338"/>
        <v>1.7290159305301194</v>
      </c>
      <c r="BR772" s="254">
        <f t="shared" si="339"/>
        <v>0.1488024437707271</v>
      </c>
      <c r="BS772" s="25">
        <v>63.728545868930048</v>
      </c>
      <c r="BT772" s="25">
        <v>97.077007584125454</v>
      </c>
      <c r="BU772" s="25">
        <v>33.816280638262867</v>
      </c>
      <c r="BV772" s="25">
        <v>92.040267045299387</v>
      </c>
      <c r="BW772" s="25">
        <v>46.781916357906532</v>
      </c>
      <c r="BX772" s="25">
        <v>71.665525284154441</v>
      </c>
      <c r="BY772" s="25">
        <v>47.784881413257267</v>
      </c>
      <c r="BZ772">
        <v>42</v>
      </c>
      <c r="CA772">
        <v>0</v>
      </c>
      <c r="CB772">
        <v>6</v>
      </c>
      <c r="CC772">
        <v>163866.126701</v>
      </c>
      <c r="CD772" s="10">
        <v>73586.129094999997</v>
      </c>
      <c r="CE772" s="255">
        <v>0.44906247908861407</v>
      </c>
      <c r="CF772" t="str">
        <f>IFERROR(VLOOKUP(CE772,'Rangos amb etnico'!$A$2:$C$6,3,9),"N.D.")</f>
        <v>31% - 50%</v>
      </c>
      <c r="CG772" s="256">
        <v>2.1408978904456028E-3</v>
      </c>
      <c r="CH772" s="232">
        <v>0</v>
      </c>
      <c r="CI772" s="311">
        <f t="shared" ref="CI772:CI835" si="346">IFERROR(CH772/CC772,"N.D.")</f>
        <v>0</v>
      </c>
      <c r="CJ772" s="232">
        <f>IFERROR(VLOOKUP(CI772,'Rangos amb etnico'!$A$2:$C$6,3,9),"N.D.")</f>
        <v>0</v>
      </c>
      <c r="CK772" s="311">
        <f t="shared" ref="CK772:CK835" si="347">IFERROR(CH772/$CH$1,"N.D.")</f>
        <v>0</v>
      </c>
      <c r="CL772" s="10">
        <v>0</v>
      </c>
      <c r="CM772" s="255">
        <f t="shared" ref="CM772:CM835" si="348">IFERROR(CL772/CC772,"N.D.")</f>
        <v>0</v>
      </c>
      <c r="CN772" s="232">
        <f>IFERROR(VLOOKUP(CM772,'Rangos amb etnico'!$A$2:$C$6,3,9),"N.D.")</f>
        <v>0</v>
      </c>
      <c r="CO772" s="311">
        <f t="shared" ref="CO772:CO835" si="349">IFERROR(CL772/$CL$1,"N.D.")</f>
        <v>0</v>
      </c>
      <c r="CP772">
        <v>0.92687890218408331</v>
      </c>
      <c r="CQ772" t="s">
        <v>2864</v>
      </c>
      <c r="CR772">
        <f t="shared" si="340"/>
        <v>2</v>
      </c>
      <c r="CS772" t="str">
        <f t="shared" ref="CS772:CS835" si="350">IF(CR772&gt;=3,"Candidato","No es Candidato")</f>
        <v>No es Candidato</v>
      </c>
      <c r="CT772">
        <v>0</v>
      </c>
      <c r="CU772">
        <v>0</v>
      </c>
      <c r="CV772" s="25">
        <v>40.787490844726563</v>
      </c>
      <c r="CW772" s="25">
        <v>20.070375442504879</v>
      </c>
      <c r="CX772" s="25">
        <v>57.963222503662109</v>
      </c>
      <c r="CY772" s="25">
        <v>51.3653564453125</v>
      </c>
      <c r="CZ772" s="25">
        <v>8.8287858963012695</v>
      </c>
      <c r="DA772" s="25">
        <v>57.6488037109375</v>
      </c>
      <c r="DB772" s="25">
        <v>48.848400115966797</v>
      </c>
      <c r="DC772">
        <v>675</v>
      </c>
      <c r="DD772" s="253" t="s">
        <v>380</v>
      </c>
    </row>
    <row r="773" spans="1:108" hidden="1">
      <c r="A773" s="13">
        <v>15317</v>
      </c>
      <c r="B773" s="13" t="s">
        <v>1975</v>
      </c>
      <c r="C773" s="13" t="s">
        <v>498</v>
      </c>
      <c r="D773" s="13" t="s">
        <v>499</v>
      </c>
      <c r="E773" s="13" t="s">
        <v>1976</v>
      </c>
      <c r="F773" s="14">
        <v>64.689566666666707</v>
      </c>
      <c r="G773" s="13">
        <v>55</v>
      </c>
      <c r="H773" s="13">
        <v>54.86</v>
      </c>
      <c r="I773" s="13">
        <v>58.75</v>
      </c>
      <c r="J773" s="14">
        <v>54.031520204660275</v>
      </c>
      <c r="K773" s="14">
        <v>48.564977885712878</v>
      </c>
      <c r="L773" s="14">
        <v>58.884615230226828</v>
      </c>
      <c r="M773" s="14">
        <v>53.554000000000002</v>
      </c>
      <c r="N773" s="14">
        <f t="shared" si="324"/>
        <v>58.324891666666673</v>
      </c>
      <c r="O773" s="14">
        <f t="shared" si="325"/>
        <v>53.758778330150001</v>
      </c>
      <c r="P773" s="14">
        <f t="shared" si="341"/>
        <v>56.041834998408333</v>
      </c>
      <c r="Q773" s="14">
        <v>60.441404036368496</v>
      </c>
      <c r="R773" s="17">
        <f t="shared" si="326"/>
        <v>39.558595963631504</v>
      </c>
      <c r="S773" s="14">
        <f t="shared" si="342"/>
        <v>0.45602736367268359</v>
      </c>
      <c r="T773" s="13">
        <v>0</v>
      </c>
      <c r="U773" s="13">
        <f t="shared" si="343"/>
        <v>25.556610269703686</v>
      </c>
      <c r="V773" s="13">
        <f>IF($T773=1,$AU773,(VLOOKUP(U773,'Cortes naturales'!$A$35:$C$39,3,9)))</f>
        <v>4</v>
      </c>
      <c r="W773" s="13">
        <v>4</v>
      </c>
      <c r="X773" s="14" t="b">
        <f t="shared" si="327"/>
        <v>1</v>
      </c>
      <c r="Y773" s="17">
        <f>IF($T773=1,$AU773,VLOOKUP(U773,'Cortes naturales'!$A$45:$C$49,3,9))</f>
        <v>4</v>
      </c>
      <c r="Z773" s="14">
        <v>58.707442283639011</v>
      </c>
      <c r="AA773" s="14">
        <v>0.46902304539818962</v>
      </c>
      <c r="AB773" s="14">
        <v>27.535143367410818</v>
      </c>
      <c r="AC773" s="13">
        <v>4</v>
      </c>
      <c r="AD773" s="13">
        <f t="shared" si="328"/>
        <v>0</v>
      </c>
      <c r="AE773" s="14">
        <f t="shared" si="329"/>
        <v>-2.6656072852306778</v>
      </c>
      <c r="AF773" s="14">
        <f t="shared" si="330"/>
        <v>-1.2995681725506025E-2</v>
      </c>
      <c r="AG773" s="13">
        <f t="shared" si="331"/>
        <v>-1.9785330977071318</v>
      </c>
      <c r="AH773" s="13">
        <f>IF($T773=1,$AU773,VLOOKUP(U773,'Cortes naturales'!$A$25:$C$29,3,9))</f>
        <v>4</v>
      </c>
      <c r="AI773" s="13" t="b">
        <f t="shared" si="332"/>
        <v>1</v>
      </c>
      <c r="AJ773" s="13">
        <f t="shared" si="333"/>
        <v>0</v>
      </c>
      <c r="AK773" s="28">
        <v>0.6523467210059386</v>
      </c>
      <c r="AL773" s="28">
        <v>38.297607472377301</v>
      </c>
      <c r="AM773" s="28">
        <v>0.30843668815405573</v>
      </c>
      <c r="AN773" s="13">
        <v>4</v>
      </c>
      <c r="AO773" s="33">
        <f t="shared" si="334"/>
        <v>0</v>
      </c>
      <c r="AP773" s="13">
        <f t="shared" si="344"/>
        <v>30.843668815405572</v>
      </c>
      <c r="AQ773" s="13">
        <f>IFERROR(VLOOKUP(U773,'Cortes naturales'!$E$15:$G$19,3,9),U773)</f>
        <v>4</v>
      </c>
      <c r="AR773" s="28">
        <f t="shared" si="335"/>
        <v>-0.19631935733325501</v>
      </c>
      <c r="AS773" s="13" t="b">
        <f t="shared" si="336"/>
        <v>1</v>
      </c>
      <c r="AT773" s="13">
        <f t="shared" si="345"/>
        <v>0</v>
      </c>
      <c r="AU773" s="13">
        <v>4</v>
      </c>
      <c r="AV773">
        <f t="shared" si="337"/>
        <v>0</v>
      </c>
      <c r="AW773" s="13">
        <v>0</v>
      </c>
      <c r="AX773" s="13">
        <v>0</v>
      </c>
      <c r="AY773" s="13">
        <v>0</v>
      </c>
      <c r="AZ773" s="13">
        <v>0</v>
      </c>
      <c r="BA773">
        <v>0</v>
      </c>
      <c r="BB773" t="s">
        <v>2840</v>
      </c>
      <c r="BC773">
        <v>6</v>
      </c>
      <c r="BD773" t="s">
        <v>2919</v>
      </c>
      <c r="BE773">
        <v>1</v>
      </c>
      <c r="BF773" s="232" t="s">
        <v>2846</v>
      </c>
      <c r="BG773" s="232" t="s">
        <v>2846</v>
      </c>
      <c r="BH773" s="253">
        <v>30.4</v>
      </c>
      <c r="BI773" s="253">
        <v>11.678004535147393</v>
      </c>
      <c r="BJ773" s="25">
        <v>39.502985611801058</v>
      </c>
      <c r="BK773" t="s">
        <v>376</v>
      </c>
      <c r="BL773">
        <v>0</v>
      </c>
      <c r="BM773" t="s">
        <v>377</v>
      </c>
      <c r="BN773" s="322">
        <v>9383.8277300000009</v>
      </c>
      <c r="BO773" s="322">
        <v>654.80729699999995</v>
      </c>
      <c r="BP773" s="10">
        <v>1811</v>
      </c>
      <c r="BQ773" s="254">
        <f t="shared" si="338"/>
        <v>5.1815724627277753</v>
      </c>
      <c r="BR773" s="254">
        <f t="shared" si="339"/>
        <v>0.36157222363335173</v>
      </c>
      <c r="BS773" s="25">
        <v>56.021206690561527</v>
      </c>
      <c r="BT773" s="25">
        <v>80.328547763666492</v>
      </c>
      <c r="BU773" s="25">
        <v>47.325481879729161</v>
      </c>
      <c r="BV773" s="25">
        <v>100.2301119336158</v>
      </c>
      <c r="BW773" s="25">
        <v>56.990971514411918</v>
      </c>
      <c r="BX773" s="25">
        <v>70.976337066893251</v>
      </c>
      <c r="BY773" s="25">
        <v>58.434806423062923</v>
      </c>
      <c r="BZ773">
        <v>44</v>
      </c>
      <c r="CA773">
        <v>0</v>
      </c>
      <c r="CB773">
        <v>7</v>
      </c>
      <c r="CC773">
        <v>5752.1730820000002</v>
      </c>
      <c r="CD773" s="10">
        <v>4094.6053000000002</v>
      </c>
      <c r="CE773" s="255">
        <v>0.71183624721117178</v>
      </c>
      <c r="CF773" t="str">
        <f>IFERROR(VLOOKUP(CE773,'Rangos amb etnico'!$A$2:$C$6,3,9),"N.D.")</f>
        <v>71% - 100%</v>
      </c>
      <c r="CG773" s="256">
        <v>1.1912750346821848E-4</v>
      </c>
      <c r="CH773" s="232">
        <v>0</v>
      </c>
      <c r="CI773" s="311">
        <f t="shared" si="346"/>
        <v>0</v>
      </c>
      <c r="CJ773" s="232">
        <f>IFERROR(VLOOKUP(CI773,'Rangos amb etnico'!$A$2:$C$6,3,9),"N.D.")</f>
        <v>0</v>
      </c>
      <c r="CK773" s="311">
        <f t="shared" si="347"/>
        <v>0</v>
      </c>
      <c r="CL773" s="10">
        <v>0</v>
      </c>
      <c r="CM773" s="255">
        <f t="shared" si="348"/>
        <v>0</v>
      </c>
      <c r="CN773" s="232">
        <f>IFERROR(VLOOKUP(CM773,'Rangos amb etnico'!$A$2:$C$6,3,9),"N.D.")</f>
        <v>0</v>
      </c>
      <c r="CO773" s="311">
        <f t="shared" si="349"/>
        <v>0</v>
      </c>
      <c r="CP773">
        <v>0.96286694173666043</v>
      </c>
      <c r="CQ773" t="s">
        <v>2864</v>
      </c>
      <c r="CR773">
        <f t="shared" si="340"/>
        <v>1</v>
      </c>
      <c r="CS773" t="str">
        <f t="shared" si="350"/>
        <v>No es Candidato</v>
      </c>
      <c r="CT773">
        <v>0</v>
      </c>
      <c r="CU773">
        <v>0</v>
      </c>
      <c r="CV773" s="25">
        <v>52.330570220947273</v>
      </c>
      <c r="CW773" s="25">
        <v>14.094746589660639</v>
      </c>
      <c r="CX773" s="25">
        <v>50.974597930908203</v>
      </c>
      <c r="CY773" s="25">
        <v>62.455116271972663</v>
      </c>
      <c r="CZ773" s="25">
        <v>33.746158599853523</v>
      </c>
      <c r="DA773" s="25">
        <v>96.65008544921875</v>
      </c>
      <c r="DB773" s="25">
        <v>56.062713623046882</v>
      </c>
      <c r="DC773">
        <v>11</v>
      </c>
      <c r="DD773" s="253" t="s">
        <v>380</v>
      </c>
    </row>
    <row r="774" spans="1:108" hidden="1">
      <c r="A774" s="13">
        <v>50318</v>
      </c>
      <c r="B774" s="13" t="s">
        <v>1977</v>
      </c>
      <c r="C774" s="13" t="s">
        <v>605</v>
      </c>
      <c r="D774" s="13" t="s">
        <v>606</v>
      </c>
      <c r="E774" s="13" t="s">
        <v>1498</v>
      </c>
      <c r="F774" s="14">
        <v>67.545900000000003</v>
      </c>
      <c r="G774" s="13">
        <v>69.290000000000006</v>
      </c>
      <c r="H774" s="13">
        <v>71.5</v>
      </c>
      <c r="I774" s="13">
        <v>75.739999999999995</v>
      </c>
      <c r="J774" s="14">
        <v>56.506044313721979</v>
      </c>
      <c r="K774" s="14">
        <v>62.076070143729154</v>
      </c>
      <c r="L774" s="14">
        <v>64.93019911647329</v>
      </c>
      <c r="M774" s="14">
        <v>59.935000000000002</v>
      </c>
      <c r="N774" s="14">
        <f t="shared" si="324"/>
        <v>71.018974999999998</v>
      </c>
      <c r="O774" s="14">
        <f t="shared" si="325"/>
        <v>60.861828393481105</v>
      </c>
      <c r="P774" s="14">
        <f t="shared" si="341"/>
        <v>65.940401696740551</v>
      </c>
      <c r="Q774" s="14">
        <v>60.360083765408731</v>
      </c>
      <c r="R774" s="17">
        <f t="shared" si="326"/>
        <v>39.639916234591269</v>
      </c>
      <c r="S774" s="14">
        <f t="shared" si="342"/>
        <v>0.45675924611132146</v>
      </c>
      <c r="T774" s="13">
        <v>0</v>
      </c>
      <c r="U774" s="13">
        <f t="shared" si="343"/>
        <v>30.118888167280918</v>
      </c>
      <c r="V774" s="13">
        <f>IF($T774=1,$AU774,(VLOOKUP(U774,'Cortes naturales'!$A$35:$C$39,3,9)))</f>
        <v>3</v>
      </c>
      <c r="W774" s="13">
        <v>3</v>
      </c>
      <c r="X774" s="14" t="b">
        <f t="shared" si="327"/>
        <v>1</v>
      </c>
      <c r="Y774" s="17">
        <f>IF($T774=1,$AU774,VLOOKUP(U774,'Cortes naturales'!$A$45:$C$49,3,9))</f>
        <v>3</v>
      </c>
      <c r="Z774" s="14">
        <v>64.317972826696746</v>
      </c>
      <c r="AA774" s="14">
        <v>0.46694553918339077</v>
      </c>
      <c r="AB774" s="14">
        <v>30.032990500744589</v>
      </c>
      <c r="AC774" s="13">
        <v>3</v>
      </c>
      <c r="AD774" s="13">
        <f t="shared" si="328"/>
        <v>0</v>
      </c>
      <c r="AE774" s="14">
        <f t="shared" si="329"/>
        <v>1.6224288700438052</v>
      </c>
      <c r="AF774" s="14">
        <f t="shared" si="330"/>
        <v>-1.0186293072069308E-2</v>
      </c>
      <c r="AG774" s="13">
        <f t="shared" si="331"/>
        <v>8.5897666536329353E-2</v>
      </c>
      <c r="AH774" s="13">
        <f>IF($T774=1,$AU774,VLOOKUP(U774,'Cortes naturales'!$A$25:$C$29,3,9))</f>
        <v>3</v>
      </c>
      <c r="AI774" s="13" t="b">
        <f t="shared" si="332"/>
        <v>1</v>
      </c>
      <c r="AJ774" s="13">
        <f t="shared" si="333"/>
        <v>0</v>
      </c>
      <c r="AK774" s="28">
        <v>0.6523467210059386</v>
      </c>
      <c r="AL774" s="28">
        <v>41.957618675244682</v>
      </c>
      <c r="AM774" s="28">
        <v>0.35421957028646589</v>
      </c>
      <c r="AN774" s="13">
        <v>3</v>
      </c>
      <c r="AO774" s="33">
        <f t="shared" si="334"/>
        <v>0</v>
      </c>
      <c r="AP774" s="13">
        <f t="shared" si="344"/>
        <v>35.421957028646588</v>
      </c>
      <c r="AQ774" s="13">
        <f>IFERROR(VLOOKUP(U774,'Cortes naturales'!$E$15:$G$19,3,9),U774)</f>
        <v>4</v>
      </c>
      <c r="AR774" s="28">
        <f t="shared" si="335"/>
        <v>-0.19558747489461714</v>
      </c>
      <c r="AS774" s="13" t="b">
        <f t="shared" si="336"/>
        <v>0</v>
      </c>
      <c r="AT774" s="13">
        <f t="shared" si="345"/>
        <v>0</v>
      </c>
      <c r="AU774" s="13">
        <v>4</v>
      </c>
      <c r="AV774">
        <f t="shared" si="337"/>
        <v>1</v>
      </c>
      <c r="AW774" s="13">
        <v>0</v>
      </c>
      <c r="AX774" s="13">
        <v>0</v>
      </c>
      <c r="AY774" s="13">
        <v>0</v>
      </c>
      <c r="AZ774" s="13">
        <v>0</v>
      </c>
      <c r="BA774">
        <v>0</v>
      </c>
      <c r="BB774" t="s">
        <v>2840</v>
      </c>
      <c r="BC774">
        <v>6</v>
      </c>
      <c r="BD774" t="s">
        <v>2919</v>
      </c>
      <c r="BE774">
        <v>1</v>
      </c>
      <c r="BF774" s="232" t="s">
        <v>2846</v>
      </c>
      <c r="BG774" s="232" t="s">
        <v>2846</v>
      </c>
      <c r="BH774" s="253">
        <v>22.6</v>
      </c>
      <c r="BI774" s="253">
        <v>8.7145024929546935</v>
      </c>
      <c r="BJ774" s="25">
        <v>0.27132891798767517</v>
      </c>
      <c r="BK774" t="s">
        <v>381</v>
      </c>
      <c r="BL774">
        <v>2.3842888327178873</v>
      </c>
      <c r="BM774" t="s">
        <v>383</v>
      </c>
      <c r="BN774" s="322">
        <v>46121.360279</v>
      </c>
      <c r="BO774" s="322">
        <v>18787.862238999998</v>
      </c>
      <c r="BP774" s="10">
        <v>16202</v>
      </c>
      <c r="BQ774" s="254">
        <f t="shared" si="338"/>
        <v>2.8466461102950253</v>
      </c>
      <c r="BR774" s="254">
        <f t="shared" si="339"/>
        <v>1.15960142198494</v>
      </c>
      <c r="BS774" s="25">
        <v>78.807892829262855</v>
      </c>
      <c r="BT774" s="25">
        <v>87.359405217462879</v>
      </c>
      <c r="BU774" s="25">
        <v>59.841666666666669</v>
      </c>
      <c r="BV774" s="25">
        <v>85.146625126350344</v>
      </c>
      <c r="BW774" s="25">
        <v>65.108447667317989</v>
      </c>
      <c r="BX774" s="25">
        <v>77.788897459935683</v>
      </c>
      <c r="BY774" s="25">
        <v>65.753761248567187</v>
      </c>
      <c r="BZ774">
        <v>88</v>
      </c>
      <c r="CA774">
        <v>0</v>
      </c>
      <c r="CB774">
        <v>7</v>
      </c>
      <c r="CC774">
        <v>59491.977362999998</v>
      </c>
      <c r="CD774" s="10">
        <v>40431.343099999998</v>
      </c>
      <c r="CE774" s="255">
        <v>0.67961000612404543</v>
      </c>
      <c r="CF774" t="str">
        <f>IFERROR(VLOOKUP(CE774,'Rangos amb etnico'!$A$2:$C$6,3,9),"N.D.")</f>
        <v>51% - 70%</v>
      </c>
      <c r="CG774" s="256">
        <v>1.1763001834071726E-3</v>
      </c>
      <c r="CH774" s="232">
        <v>0</v>
      </c>
      <c r="CI774" s="311">
        <f t="shared" si="346"/>
        <v>0</v>
      </c>
      <c r="CJ774" s="232">
        <f>IFERROR(VLOOKUP(CI774,'Rangos amb etnico'!$A$2:$C$6,3,9),"N.D.")</f>
        <v>0</v>
      </c>
      <c r="CK774" s="311">
        <f t="shared" si="347"/>
        <v>0</v>
      </c>
      <c r="CL774" s="10">
        <v>0</v>
      </c>
      <c r="CM774" s="255">
        <f t="shared" si="348"/>
        <v>0</v>
      </c>
      <c r="CN774" s="232">
        <f>IFERROR(VLOOKUP(CM774,'Rangos amb etnico'!$A$2:$C$6,3,9),"N.D.")</f>
        <v>0</v>
      </c>
      <c r="CO774" s="311">
        <f t="shared" si="349"/>
        <v>0</v>
      </c>
      <c r="CP774">
        <v>0.926521304600191</v>
      </c>
      <c r="CQ774" t="s">
        <v>2864</v>
      </c>
      <c r="CR774">
        <f t="shared" si="340"/>
        <v>3</v>
      </c>
      <c r="CS774" t="str">
        <f t="shared" si="350"/>
        <v>Candidato</v>
      </c>
      <c r="CT774">
        <v>0</v>
      </c>
      <c r="CU774">
        <v>0</v>
      </c>
      <c r="CV774" s="25">
        <v>52.778347015380859</v>
      </c>
      <c r="CW774" s="25">
        <v>37.045631408691413</v>
      </c>
      <c r="CX774" s="25">
        <v>61.360836029052727</v>
      </c>
      <c r="CY774" s="25">
        <v>81.763771057128906</v>
      </c>
      <c r="CZ774" s="25">
        <v>31.0343017578125</v>
      </c>
      <c r="DA774" s="25">
        <v>23.086729049682621</v>
      </c>
      <c r="DB774" s="25">
        <v>82.378814697265625</v>
      </c>
      <c r="DC774">
        <v>93</v>
      </c>
      <c r="DD774" s="253" t="s">
        <v>380</v>
      </c>
    </row>
    <row r="775" spans="1:108" hidden="1">
      <c r="A775" s="13">
        <v>15790</v>
      </c>
      <c r="B775" s="13" t="s">
        <v>1978</v>
      </c>
      <c r="C775" s="13" t="s">
        <v>498</v>
      </c>
      <c r="D775" s="13" t="s">
        <v>499</v>
      </c>
      <c r="E775" s="13" t="s">
        <v>1979</v>
      </c>
      <c r="F775" s="14">
        <v>80.210599999999999</v>
      </c>
      <c r="G775" s="13">
        <v>84.36</v>
      </c>
      <c r="H775" s="13">
        <v>66.16</v>
      </c>
      <c r="I775" s="13">
        <v>66.14</v>
      </c>
      <c r="J775" s="14">
        <v>66.562423088451425</v>
      </c>
      <c r="K775" s="14">
        <v>60.355008047766503</v>
      </c>
      <c r="L775" s="14">
        <v>52.286950141313824</v>
      </c>
      <c r="M775" s="14">
        <v>56.85</v>
      </c>
      <c r="N775" s="14">
        <f t="shared" si="324"/>
        <v>74.217650000000006</v>
      </c>
      <c r="O775" s="14">
        <f t="shared" si="325"/>
        <v>59.013595319382937</v>
      </c>
      <c r="P775" s="14">
        <f t="shared" si="341"/>
        <v>66.615622659691468</v>
      </c>
      <c r="Q775" s="14">
        <v>60.11623358379682</v>
      </c>
      <c r="R775" s="17">
        <f t="shared" si="326"/>
        <v>39.88376641620318</v>
      </c>
      <c r="S775" s="14">
        <f t="shared" si="342"/>
        <v>0.45895389774582862</v>
      </c>
      <c r="T775" s="13">
        <v>0</v>
      </c>
      <c r="U775" s="13">
        <f t="shared" si="343"/>
        <v>30.573499670430742</v>
      </c>
      <c r="V775" s="13">
        <f>IF($T775=1,$AU775,(VLOOKUP(U775,'Cortes naturales'!$A$35:$C$39,3,9)))</f>
        <v>3</v>
      </c>
      <c r="W775" s="13">
        <v>3</v>
      </c>
      <c r="X775" s="14" t="b">
        <f t="shared" si="327"/>
        <v>1</v>
      </c>
      <c r="Y775" s="17">
        <f>IF($T775=1,$AU775,VLOOKUP(U775,'Cortes naturales'!$A$45:$C$49,3,9))</f>
        <v>3</v>
      </c>
      <c r="Z775" s="14">
        <v>67.615328617834265</v>
      </c>
      <c r="AA775" s="14">
        <v>0.4697294097702468</v>
      </c>
      <c r="AB775" s="14">
        <v>31.760908403076566</v>
      </c>
      <c r="AC775" s="13">
        <v>3</v>
      </c>
      <c r="AD775" s="13">
        <f t="shared" si="328"/>
        <v>0</v>
      </c>
      <c r="AE775" s="14">
        <f t="shared" si="329"/>
        <v>-0.99970595814279761</v>
      </c>
      <c r="AF775" s="14">
        <f t="shared" si="330"/>
        <v>-1.0775512024418177E-2</v>
      </c>
      <c r="AG775" s="13">
        <f t="shared" si="331"/>
        <v>-1.1874087326458245</v>
      </c>
      <c r="AH775" s="13">
        <f>IF($T775=1,$AU775,VLOOKUP(U775,'Cortes naturales'!$A$25:$C$29,3,9))</f>
        <v>3</v>
      </c>
      <c r="AI775" s="13" t="b">
        <f t="shared" si="332"/>
        <v>1</v>
      </c>
      <c r="AJ775" s="13">
        <f t="shared" si="333"/>
        <v>0</v>
      </c>
      <c r="AK775" s="28">
        <v>0.6523467210059386</v>
      </c>
      <c r="AL775" s="28">
        <v>44.108637913583188</v>
      </c>
      <c r="AM775" s="28">
        <v>0.38112655357008152</v>
      </c>
      <c r="AN775" s="13">
        <v>3</v>
      </c>
      <c r="AO775" s="33">
        <f t="shared" si="334"/>
        <v>0</v>
      </c>
      <c r="AP775" s="13">
        <f t="shared" si="344"/>
        <v>38.112655357008151</v>
      </c>
      <c r="AQ775" s="13">
        <f>IFERROR(VLOOKUP(U775,'Cortes naturales'!$E$15:$G$19,3,9),U775)</f>
        <v>4</v>
      </c>
      <c r="AR775" s="28">
        <f t="shared" si="335"/>
        <v>-0.19339282326010998</v>
      </c>
      <c r="AS775" s="13" t="b">
        <f t="shared" si="336"/>
        <v>0</v>
      </c>
      <c r="AT775" s="13">
        <f t="shared" si="345"/>
        <v>0</v>
      </c>
      <c r="AU775" s="13">
        <v>3</v>
      </c>
      <c r="AV775">
        <f t="shared" si="337"/>
        <v>0</v>
      </c>
      <c r="AW775" s="13">
        <v>0</v>
      </c>
      <c r="AX775" s="13">
        <v>0</v>
      </c>
      <c r="AY775" s="13">
        <v>0</v>
      </c>
      <c r="AZ775" s="13">
        <v>0</v>
      </c>
      <c r="BA775">
        <v>0</v>
      </c>
      <c r="BB775" t="s">
        <v>2840</v>
      </c>
      <c r="BC775">
        <v>6</v>
      </c>
      <c r="BD775" t="s">
        <v>2919</v>
      </c>
      <c r="BE775">
        <v>0</v>
      </c>
      <c r="BF775" s="232" t="s">
        <v>2846</v>
      </c>
      <c r="BG775" s="232" t="s">
        <v>2846</v>
      </c>
      <c r="BH775" s="253">
        <v>31.4</v>
      </c>
      <c r="BI775" s="253">
        <v>10.75875486381323</v>
      </c>
      <c r="BJ775" s="25">
        <v>20.65901241577712</v>
      </c>
      <c r="BK775" t="s">
        <v>379</v>
      </c>
      <c r="BL775">
        <v>0</v>
      </c>
      <c r="BM775" t="s">
        <v>377</v>
      </c>
      <c r="BN775" s="322">
        <v>15953.158047000001</v>
      </c>
      <c r="BO775" s="322">
        <v>2231.1441829999999</v>
      </c>
      <c r="BP775" s="10">
        <v>6012</v>
      </c>
      <c r="BQ775" s="254">
        <f t="shared" si="338"/>
        <v>2.6535525693612776</v>
      </c>
      <c r="BR775" s="254">
        <f t="shared" si="339"/>
        <v>0.37111513356620091</v>
      </c>
      <c r="BS775" s="25">
        <v>64.520041583998946</v>
      </c>
      <c r="BT775" s="25">
        <v>89.295064384564213</v>
      </c>
      <c r="BU775" s="25">
        <v>43.701302521008387</v>
      </c>
      <c r="BV775" s="25">
        <v>93.720435665906209</v>
      </c>
      <c r="BW775" s="25">
        <v>70.179032236231009</v>
      </c>
      <c r="BX775" s="25">
        <v>72.809211038869435</v>
      </c>
      <c r="BY775" s="25">
        <v>71.206482659973545</v>
      </c>
      <c r="BZ775">
        <v>82</v>
      </c>
      <c r="CA775">
        <v>0</v>
      </c>
      <c r="CB775">
        <v>7</v>
      </c>
      <c r="CC775">
        <v>20925.278039000001</v>
      </c>
      <c r="CD775" s="10">
        <v>14779.933258999999</v>
      </c>
      <c r="CE775" s="255">
        <v>0.70631956390034756</v>
      </c>
      <c r="CF775" t="str">
        <f>IFERROR(VLOOKUP(CE775,'Rangos amb etnico'!$A$2:$C$6,3,9),"N.D.")</f>
        <v>71% - 100%</v>
      </c>
      <c r="CG775" s="256">
        <v>4.3000397390477658E-4</v>
      </c>
      <c r="CH775" s="232">
        <v>0</v>
      </c>
      <c r="CI775" s="311">
        <f t="shared" si="346"/>
        <v>0</v>
      </c>
      <c r="CJ775" s="232">
        <f>IFERROR(VLOOKUP(CI775,'Rangos amb etnico'!$A$2:$C$6,3,9),"N.D.")</f>
        <v>0</v>
      </c>
      <c r="CK775" s="311">
        <f t="shared" si="347"/>
        <v>0</v>
      </c>
      <c r="CL775" s="10">
        <v>0</v>
      </c>
      <c r="CM775" s="255">
        <f t="shared" si="348"/>
        <v>0</v>
      </c>
      <c r="CN775" s="232">
        <f>IFERROR(VLOOKUP(CM775,'Rangos amb etnico'!$A$2:$C$6,3,9),"N.D.")</f>
        <v>0</v>
      </c>
      <c r="CO775" s="311">
        <f t="shared" si="349"/>
        <v>0</v>
      </c>
      <c r="CP775">
        <v>0.93823221668417123</v>
      </c>
      <c r="CQ775" t="s">
        <v>2864</v>
      </c>
      <c r="CR775">
        <f t="shared" si="340"/>
        <v>3</v>
      </c>
      <c r="CS775" t="str">
        <f t="shared" si="350"/>
        <v>Candidato</v>
      </c>
      <c r="CT775">
        <v>0</v>
      </c>
      <c r="CU775">
        <v>0</v>
      </c>
      <c r="CV775" s="25">
        <v>47.564945220947273</v>
      </c>
      <c r="CW775" s="25">
        <v>23.13508224487305</v>
      </c>
      <c r="CX775" s="25">
        <v>54.771217346191413</v>
      </c>
      <c r="CY775" s="25">
        <v>58.979526519775391</v>
      </c>
      <c r="CZ775" s="25">
        <v>49.835380554199219</v>
      </c>
      <c r="DA775" s="25">
        <v>47.982376098632813</v>
      </c>
      <c r="DB775" s="25">
        <v>50.686077117919922</v>
      </c>
      <c r="DC775">
        <v>41</v>
      </c>
      <c r="DD775" s="253" t="s">
        <v>380</v>
      </c>
    </row>
    <row r="776" spans="1:108" hidden="1">
      <c r="A776" s="13">
        <v>41357</v>
      </c>
      <c r="B776" s="13" t="s">
        <v>1980</v>
      </c>
      <c r="C776" s="13" t="s">
        <v>676</v>
      </c>
      <c r="D776" s="13" t="s">
        <v>677</v>
      </c>
      <c r="E776" s="13" t="s">
        <v>1981</v>
      </c>
      <c r="F776" s="14">
        <v>63.531866666666701</v>
      </c>
      <c r="G776" s="13">
        <v>73.53</v>
      </c>
      <c r="H776" s="13">
        <v>32.799999999999997</v>
      </c>
      <c r="I776" s="13">
        <v>67.38</v>
      </c>
      <c r="J776" s="14">
        <v>47.186665620906091</v>
      </c>
      <c r="K776" s="14">
        <v>42.934110405193337</v>
      </c>
      <c r="L776" s="14">
        <v>54.282974906152312</v>
      </c>
      <c r="M776" s="14">
        <v>64.200400000000002</v>
      </c>
      <c r="N776" s="14">
        <f t="shared" si="324"/>
        <v>59.31046666666667</v>
      </c>
      <c r="O776" s="14">
        <f t="shared" si="325"/>
        <v>52.151037733062935</v>
      </c>
      <c r="P776" s="14">
        <f t="shared" si="341"/>
        <v>55.730752199864803</v>
      </c>
      <c r="Q776" s="14">
        <v>59.971522339590365</v>
      </c>
      <c r="R776" s="17">
        <f t="shared" si="326"/>
        <v>40.028477660409635</v>
      </c>
      <c r="S776" s="14">
        <f t="shared" si="342"/>
        <v>0.46025629894368669</v>
      </c>
      <c r="T776" s="13">
        <v>0</v>
      </c>
      <c r="U776" s="13">
        <f t="shared" si="343"/>
        <v>25.650429744857501</v>
      </c>
      <c r="V776" s="13">
        <f>IF($T776=1,$AU776,(VLOOKUP(U776,'Cortes naturales'!$A$35:$C$39,3,9)))</f>
        <v>4</v>
      </c>
      <c r="W776" s="13">
        <v>4</v>
      </c>
      <c r="X776" s="14" t="b">
        <f t="shared" si="327"/>
        <v>1</v>
      </c>
      <c r="Y776" s="17">
        <f>IF($T776=1,$AU776,VLOOKUP(U776,'Cortes naturales'!$A$45:$C$49,3,9))</f>
        <v>4</v>
      </c>
      <c r="Z776" s="14">
        <v>52.777572873031147</v>
      </c>
      <c r="AA776" s="14">
        <v>0.46852673085608565</v>
      </c>
      <c r="AB776" s="14">
        <v>24.727703680720111</v>
      </c>
      <c r="AC776" s="13">
        <v>4</v>
      </c>
      <c r="AD776" s="13">
        <f t="shared" si="328"/>
        <v>0</v>
      </c>
      <c r="AE776" s="14">
        <f t="shared" si="329"/>
        <v>2.9531793268336557</v>
      </c>
      <c r="AF776" s="14">
        <f t="shared" si="330"/>
        <v>-8.2704319123989567E-3</v>
      </c>
      <c r="AG776" s="13">
        <f t="shared" si="331"/>
        <v>0.92272606413738956</v>
      </c>
      <c r="AH776" s="13">
        <f>IF($T776=1,$AU776,VLOOKUP(U776,'Cortes naturales'!$A$25:$C$29,3,9))</f>
        <v>4</v>
      </c>
      <c r="AI776" s="13" t="b">
        <f t="shared" si="332"/>
        <v>1</v>
      </c>
      <c r="AJ776" s="13">
        <f t="shared" si="333"/>
        <v>0</v>
      </c>
      <c r="AK776" s="28">
        <v>0.6523467210059386</v>
      </c>
      <c r="AL776" s="28">
        <v>34.42927660637384</v>
      </c>
      <c r="AM776" s="28">
        <v>0.26004794662543645</v>
      </c>
      <c r="AN776" s="13">
        <v>4</v>
      </c>
      <c r="AO776" s="33">
        <f t="shared" si="334"/>
        <v>0</v>
      </c>
      <c r="AP776" s="13">
        <f t="shared" si="344"/>
        <v>26.004794662543645</v>
      </c>
      <c r="AQ776" s="13">
        <f>IFERROR(VLOOKUP(U776,'Cortes naturales'!$E$15:$G$19,3,9),U776)</f>
        <v>4</v>
      </c>
      <c r="AR776" s="28">
        <f t="shared" si="335"/>
        <v>-0.19209042206225191</v>
      </c>
      <c r="AS776" s="13" t="b">
        <f t="shared" si="336"/>
        <v>1</v>
      </c>
      <c r="AT776" s="13">
        <f t="shared" si="345"/>
        <v>0</v>
      </c>
      <c r="AU776" s="13">
        <v>4</v>
      </c>
      <c r="AV776">
        <f t="shared" si="337"/>
        <v>0</v>
      </c>
      <c r="AW776" s="13">
        <v>0</v>
      </c>
      <c r="AX776" s="13">
        <v>0</v>
      </c>
      <c r="AY776" s="13">
        <v>0</v>
      </c>
      <c r="AZ776" s="13">
        <v>0</v>
      </c>
      <c r="BA776">
        <v>0</v>
      </c>
      <c r="BB776" t="s">
        <v>2841</v>
      </c>
      <c r="BC776">
        <v>6</v>
      </c>
      <c r="BD776" t="s">
        <v>2919</v>
      </c>
      <c r="BE776">
        <v>0</v>
      </c>
      <c r="BF776" s="232" t="s">
        <v>2846</v>
      </c>
      <c r="BG776" s="232" t="s">
        <v>2845</v>
      </c>
      <c r="BH776" s="253">
        <v>49.6</v>
      </c>
      <c r="BI776" s="253">
        <v>24.060150375939848</v>
      </c>
      <c r="BJ776" s="25">
        <v>13.708749999999998</v>
      </c>
      <c r="BK776" t="s">
        <v>377</v>
      </c>
      <c r="BL776">
        <v>9.3376057849879697</v>
      </c>
      <c r="BM776" t="s">
        <v>379</v>
      </c>
      <c r="BN776" s="322">
        <v>23649.289397</v>
      </c>
      <c r="BO776" s="322">
        <v>1170.777243</v>
      </c>
      <c r="BP776" s="10">
        <v>9715</v>
      </c>
      <c r="BQ776" s="254">
        <f t="shared" si="338"/>
        <v>2.4343066800823467</v>
      </c>
      <c r="BR776" s="254">
        <f t="shared" si="339"/>
        <v>0.12051232557900154</v>
      </c>
      <c r="BS776" s="25">
        <v>70.241767589836698</v>
      </c>
      <c r="BT776" s="25">
        <v>94.447935555555546</v>
      </c>
      <c r="BU776" s="25">
        <v>53.470708748615699</v>
      </c>
      <c r="BV776" s="25">
        <v>92.476679418473239</v>
      </c>
      <c r="BW776" s="25">
        <v>54.942020047459017</v>
      </c>
      <c r="BX776" s="25">
        <v>77.659272828120294</v>
      </c>
      <c r="BY776" s="25">
        <v>56.658391196097213</v>
      </c>
      <c r="BZ776">
        <v>71</v>
      </c>
      <c r="CA776">
        <v>0</v>
      </c>
      <c r="CB776">
        <v>7</v>
      </c>
      <c r="CC776">
        <v>35644.847520000003</v>
      </c>
      <c r="CD776" s="10">
        <v>13463.755004000001</v>
      </c>
      <c r="CE776" s="255">
        <v>0.37771952864844238</v>
      </c>
      <c r="CF776" t="str">
        <f>IFERROR(VLOOKUP(CE776,'Rangos amb etnico'!$A$2:$C$6,3,9),"N.D.")</f>
        <v>31% - 50%</v>
      </c>
      <c r="CG776" s="256">
        <v>3.9171138691542596E-4</v>
      </c>
      <c r="CH776" s="232">
        <v>1008.3109920000001</v>
      </c>
      <c r="CI776" s="311">
        <f t="shared" si="346"/>
        <v>2.828770669966384E-2</v>
      </c>
      <c r="CJ776" s="232" t="str">
        <f>IFERROR(VLOOKUP(CI776,'Rangos amb etnico'!$A$2:$C$6,3,9),"N.D.")</f>
        <v>0,1% - 30%</v>
      </c>
      <c r="CK776" s="311">
        <f t="shared" si="347"/>
        <v>4.0036547996613677E-5</v>
      </c>
      <c r="CL776" s="10">
        <v>0</v>
      </c>
      <c r="CM776" s="255">
        <f t="shared" si="348"/>
        <v>0</v>
      </c>
      <c r="CN776" s="232">
        <f>IFERROR(VLOOKUP(CM776,'Rangos amb etnico'!$A$2:$C$6,3,9),"N.D.")</f>
        <v>0</v>
      </c>
      <c r="CO776" s="311">
        <f t="shared" si="349"/>
        <v>0</v>
      </c>
      <c r="CP776">
        <v>0.9285465581600465</v>
      </c>
      <c r="CQ776" t="s">
        <v>2864</v>
      </c>
      <c r="CR776">
        <f t="shared" si="340"/>
        <v>3</v>
      </c>
      <c r="CS776" t="str">
        <f t="shared" si="350"/>
        <v>Candidato</v>
      </c>
      <c r="CT776">
        <v>0</v>
      </c>
      <c r="CU776">
        <v>0</v>
      </c>
      <c r="CV776" s="25">
        <v>47.025241851806641</v>
      </c>
      <c r="CW776" s="25">
        <v>19.031122207641602</v>
      </c>
      <c r="CX776" s="25">
        <v>45.392444610595703</v>
      </c>
      <c r="CY776" s="25">
        <v>57.450977325439453</v>
      </c>
      <c r="CZ776" s="25">
        <v>45.678127288818359</v>
      </c>
      <c r="DA776" s="25">
        <v>58.993690490722663</v>
      </c>
      <c r="DB776" s="25">
        <v>55.605091094970703</v>
      </c>
      <c r="DC776">
        <v>1878</v>
      </c>
      <c r="DD776" s="253" t="s">
        <v>380</v>
      </c>
    </row>
    <row r="777" spans="1:108">
      <c r="A777" s="13">
        <v>5790</v>
      </c>
      <c r="B777" s="13" t="s">
        <v>1982</v>
      </c>
      <c r="C777" s="13" t="s">
        <v>435</v>
      </c>
      <c r="D777" s="13" t="s">
        <v>436</v>
      </c>
      <c r="E777" s="13" t="s">
        <v>1983</v>
      </c>
      <c r="F777" s="14">
        <v>45.618766666666701</v>
      </c>
      <c r="G777" s="13">
        <v>27.42</v>
      </c>
      <c r="H777" s="13">
        <v>39.42</v>
      </c>
      <c r="I777" s="13">
        <v>41.01</v>
      </c>
      <c r="J777" s="14">
        <v>57.527526402492285</v>
      </c>
      <c r="K777" s="14">
        <v>52.467866748670545</v>
      </c>
      <c r="L777" s="14">
        <v>46.359290521418423</v>
      </c>
      <c r="M777" s="14">
        <v>49.151800000000001</v>
      </c>
      <c r="N777" s="14">
        <f t="shared" si="324"/>
        <v>38.367191666666677</v>
      </c>
      <c r="O777" s="14">
        <f t="shared" si="325"/>
        <v>51.376620918145314</v>
      </c>
      <c r="P777" s="14">
        <f t="shared" si="341"/>
        <v>44.871906292405995</v>
      </c>
      <c r="Q777" s="14">
        <v>59.690218230238891</v>
      </c>
      <c r="R777" s="17">
        <f t="shared" si="326"/>
        <v>40.309781769761109</v>
      </c>
      <c r="S777" s="14">
        <f t="shared" si="342"/>
        <v>0.46278803592785001</v>
      </c>
      <c r="T777" s="13">
        <v>0</v>
      </c>
      <c r="U777" s="13">
        <f t="shared" si="343"/>
        <v>20.766181381401104</v>
      </c>
      <c r="V777" s="13">
        <f>IF($T777=1,$AU777,(VLOOKUP(U777,'Cortes naturales'!$A$35:$C$39,3,9)))</f>
        <v>5</v>
      </c>
      <c r="W777" s="13">
        <v>5</v>
      </c>
      <c r="X777" s="14" t="b">
        <f t="shared" si="327"/>
        <v>1</v>
      </c>
      <c r="Y777" s="17">
        <f>IF($T777=1,$AU777,VLOOKUP(U777,'Cortes naturales'!$A$45:$C$49,3,9))</f>
        <v>5</v>
      </c>
      <c r="Z777" s="14">
        <v>46.490289481517884</v>
      </c>
      <c r="AA777" s="14">
        <v>0.46958440592880346</v>
      </c>
      <c r="AB777" s="14">
        <v>21.831114967636676</v>
      </c>
      <c r="AC777" s="13">
        <v>4</v>
      </c>
      <c r="AD777" s="13">
        <f t="shared" si="328"/>
        <v>-1</v>
      </c>
      <c r="AE777" s="14">
        <f t="shared" si="329"/>
        <v>-1.6183831891118885</v>
      </c>
      <c r="AF777" s="14">
        <f t="shared" si="330"/>
        <v>-6.7963700009534556E-3</v>
      </c>
      <c r="AG777" s="13">
        <f t="shared" si="331"/>
        <v>-1.064933586235572</v>
      </c>
      <c r="AH777" s="13">
        <f>IF($T777=1,$AU777,VLOOKUP(U777,'Cortes naturales'!$A$25:$C$29,3,9))</f>
        <v>4</v>
      </c>
      <c r="AI777" s="13" t="b">
        <f t="shared" si="332"/>
        <v>0</v>
      </c>
      <c r="AJ777" s="13" t="str">
        <f t="shared" si="333"/>
        <v>Cambio en corte</v>
      </c>
      <c r="AK777" s="28">
        <v>0.6523467210059386</v>
      </c>
      <c r="AL777" s="28">
        <v>30.32778790188507</v>
      </c>
      <c r="AM777" s="28">
        <v>0.20874264630889389</v>
      </c>
      <c r="AN777" s="13">
        <v>4</v>
      </c>
      <c r="AO777" s="33">
        <f t="shared" si="334"/>
        <v>-1</v>
      </c>
      <c r="AP777" s="13">
        <f t="shared" si="344"/>
        <v>20.874264630889389</v>
      </c>
      <c r="AQ777" s="13">
        <f>IFERROR(VLOOKUP(U777,'Cortes naturales'!$E$15:$G$19,3,9),U777)</f>
        <v>4</v>
      </c>
      <c r="AR777" s="28">
        <f t="shared" si="335"/>
        <v>-0.1895586850780886</v>
      </c>
      <c r="AS777" s="13" t="b">
        <f t="shared" si="336"/>
        <v>0</v>
      </c>
      <c r="AT777" s="13" t="str">
        <f t="shared" si="345"/>
        <v>Cambio en corte</v>
      </c>
      <c r="AU777" s="13">
        <v>4</v>
      </c>
      <c r="AV777">
        <f t="shared" si="337"/>
        <v>-1</v>
      </c>
      <c r="AW777" s="13">
        <v>0</v>
      </c>
      <c r="AX777" s="13">
        <v>0</v>
      </c>
      <c r="AY777" s="13">
        <v>0</v>
      </c>
      <c r="AZ777" s="13">
        <v>1</v>
      </c>
      <c r="BA777">
        <v>1</v>
      </c>
      <c r="BB777" t="s">
        <v>2840</v>
      </c>
      <c r="BC777">
        <v>6</v>
      </c>
      <c r="BD777" t="s">
        <v>2919</v>
      </c>
      <c r="BE777">
        <v>1</v>
      </c>
      <c r="BF777" s="232" t="s">
        <v>2846</v>
      </c>
      <c r="BG777" s="232" t="s">
        <v>2846</v>
      </c>
      <c r="BH777" s="253">
        <v>53.5</v>
      </c>
      <c r="BI777" s="253">
        <v>32.416736328039072</v>
      </c>
      <c r="BJ777" s="25">
        <v>49.558737830336725</v>
      </c>
      <c r="BK777" t="s">
        <v>376</v>
      </c>
      <c r="BL777">
        <v>45.009351337022643</v>
      </c>
      <c r="BM777" t="s">
        <v>384</v>
      </c>
      <c r="BN777" s="322">
        <v>52906.945669000001</v>
      </c>
      <c r="BO777" s="322">
        <v>3573.866348</v>
      </c>
      <c r="BP777" s="10">
        <v>29027</v>
      </c>
      <c r="BQ777" s="254">
        <f t="shared" si="338"/>
        <v>1.8226804585041514</v>
      </c>
      <c r="BR777" s="254">
        <f t="shared" si="339"/>
        <v>0.12312213966307231</v>
      </c>
      <c r="BS777" s="25">
        <v>54.794883156585243</v>
      </c>
      <c r="BT777" s="25">
        <v>97.831995925976969</v>
      </c>
      <c r="BU777" s="25">
        <v>53.493986320589272</v>
      </c>
      <c r="BV777" s="25">
        <v>85.081478490508303</v>
      </c>
      <c r="BW777" s="25">
        <v>46.861496988507071</v>
      </c>
      <c r="BX777" s="25">
        <v>72.80058597341494</v>
      </c>
      <c r="BY777" s="25">
        <v>46.485739835665854</v>
      </c>
      <c r="BZ777">
        <v>99</v>
      </c>
      <c r="CA777">
        <v>0</v>
      </c>
      <c r="CB777">
        <v>7</v>
      </c>
      <c r="CC777">
        <v>114869.450792</v>
      </c>
      <c r="CD777" s="10">
        <v>1098.8559250000001</v>
      </c>
      <c r="CE777" s="255">
        <v>9.5661284825828471E-3</v>
      </c>
      <c r="CF777" t="str">
        <f>IFERROR(VLOOKUP(CE777,'Rangos amb etnico'!$A$2:$C$6,3,9),"N.D.")</f>
        <v>0,1% - 30%</v>
      </c>
      <c r="CG777" s="256">
        <v>3.1969861177220164E-5</v>
      </c>
      <c r="CH777" s="232">
        <v>3251.711292</v>
      </c>
      <c r="CI777" s="311">
        <f t="shared" si="346"/>
        <v>2.8307885774504486E-2</v>
      </c>
      <c r="CJ777" s="232" t="str">
        <f>IFERROR(VLOOKUP(CI777,'Rangos amb etnico'!$A$2:$C$6,3,9),"N.D.")</f>
        <v>0,1% - 30%</v>
      </c>
      <c r="CK777" s="311">
        <f t="shared" si="347"/>
        <v>1.2911422789814103E-4</v>
      </c>
      <c r="CL777" s="10">
        <v>42973.177858900002</v>
      </c>
      <c r="CM777" s="255">
        <f t="shared" si="348"/>
        <v>0.3741044948209401</v>
      </c>
      <c r="CN777" s="232" t="str">
        <f>IFERROR(VLOOKUP(CM777,'Rangos amb etnico'!$A$2:$C$6,3,9),"N.D.")</f>
        <v>31% - 50%</v>
      </c>
      <c r="CO777" s="311">
        <f t="shared" si="349"/>
        <v>2.694877833317914E-2</v>
      </c>
      <c r="CP777">
        <v>0.90312021572275136</v>
      </c>
      <c r="CQ777" t="s">
        <v>2864</v>
      </c>
      <c r="CR777">
        <f t="shared" si="340"/>
        <v>1</v>
      </c>
      <c r="CS777" t="str">
        <f t="shared" si="350"/>
        <v>No es Candidato</v>
      </c>
      <c r="CT777">
        <v>0</v>
      </c>
      <c r="CU777">
        <v>0</v>
      </c>
      <c r="CV777" s="25">
        <v>34.289936065673828</v>
      </c>
      <c r="CW777" s="25">
        <v>28.730850219726559</v>
      </c>
      <c r="CX777" s="25">
        <v>45.64801025390625</v>
      </c>
      <c r="CY777" s="25">
        <v>46.930343627929688</v>
      </c>
      <c r="CZ777" s="25">
        <v>3.468337774276733</v>
      </c>
      <c r="DA777" s="25">
        <v>51.339363098144531</v>
      </c>
      <c r="DB777" s="25">
        <v>29.622711181640621</v>
      </c>
      <c r="DC777">
        <v>1425</v>
      </c>
      <c r="DD777" s="253" t="s">
        <v>380</v>
      </c>
    </row>
    <row r="778" spans="1:108" hidden="1">
      <c r="A778" s="13">
        <v>68169</v>
      </c>
      <c r="B778" s="13" t="s">
        <v>1984</v>
      </c>
      <c r="C778" s="13" t="s">
        <v>431</v>
      </c>
      <c r="D778" s="13" t="s">
        <v>432</v>
      </c>
      <c r="E778" s="13" t="s">
        <v>1985</v>
      </c>
      <c r="F778" s="14">
        <v>50.464433333333297</v>
      </c>
      <c r="G778" s="13">
        <v>54.71</v>
      </c>
      <c r="H778" s="13">
        <v>58.32</v>
      </c>
      <c r="I778" s="13">
        <v>88.05</v>
      </c>
      <c r="J778" s="14">
        <v>52.973961518417767</v>
      </c>
      <c r="K778" s="14">
        <v>45.937907778630091</v>
      </c>
      <c r="L778" s="14">
        <v>43.966913660255379</v>
      </c>
      <c r="M778" s="14">
        <v>45.613399999999999</v>
      </c>
      <c r="N778" s="14">
        <f t="shared" si="324"/>
        <v>62.886108333333326</v>
      </c>
      <c r="O778" s="14">
        <f t="shared" si="325"/>
        <v>47.123045739325804</v>
      </c>
      <c r="P778" s="14">
        <f t="shared" si="341"/>
        <v>55.004577036329565</v>
      </c>
      <c r="Q778" s="14">
        <v>59.180385969344648</v>
      </c>
      <c r="R778" s="17">
        <f t="shared" si="326"/>
        <v>40.819614030655352</v>
      </c>
      <c r="S778" s="14">
        <f t="shared" si="342"/>
        <v>0.46737652627589821</v>
      </c>
      <c r="T778" s="13">
        <v>0</v>
      </c>
      <c r="U778" s="13">
        <f t="shared" si="343"/>
        <v>25.707848144514752</v>
      </c>
      <c r="V778" s="13">
        <f>IF($T778=1,$AU778,(VLOOKUP(U778,'Cortes naturales'!$A$35:$C$39,3,9)))</f>
        <v>4</v>
      </c>
      <c r="W778" s="13">
        <v>4</v>
      </c>
      <c r="X778" s="14" t="b">
        <f t="shared" si="327"/>
        <v>1</v>
      </c>
      <c r="Y778" s="17">
        <f>IF($T778=1,$AU778,VLOOKUP(U778,'Cortes naturales'!$A$45:$C$49,3,9))</f>
        <v>4</v>
      </c>
      <c r="Z778" s="14">
        <v>53.536803463640652</v>
      </c>
      <c r="AA778" s="14">
        <v>0.46827082796767072</v>
      </c>
      <c r="AB778" s="14">
        <v>25.069723284661471</v>
      </c>
      <c r="AC778" s="13">
        <v>4</v>
      </c>
      <c r="AD778" s="13">
        <f t="shared" si="328"/>
        <v>0</v>
      </c>
      <c r="AE778" s="14">
        <f t="shared" si="329"/>
        <v>1.4677735726889125</v>
      </c>
      <c r="AF778" s="14">
        <f t="shared" si="330"/>
        <v>-8.943016917725144E-4</v>
      </c>
      <c r="AG778" s="13">
        <f t="shared" si="331"/>
        <v>0.63812485985328138</v>
      </c>
      <c r="AH778" s="13">
        <f>IF($T778=1,$AU778,VLOOKUP(U778,'Cortes naturales'!$A$25:$C$29,3,9))</f>
        <v>4</v>
      </c>
      <c r="AI778" s="13" t="b">
        <f t="shared" si="332"/>
        <v>1</v>
      </c>
      <c r="AJ778" s="13">
        <f t="shared" si="333"/>
        <v>0</v>
      </c>
      <c r="AK778" s="28">
        <v>0.6523467210059386</v>
      </c>
      <c r="AL778" s="28">
        <v>34.924558192645357</v>
      </c>
      <c r="AM778" s="28">
        <v>0.26624339719369078</v>
      </c>
      <c r="AN778" s="13">
        <v>4</v>
      </c>
      <c r="AO778" s="33">
        <f t="shared" si="334"/>
        <v>0</v>
      </c>
      <c r="AP778" s="13">
        <f t="shared" si="344"/>
        <v>26.624339719369079</v>
      </c>
      <c r="AQ778" s="13">
        <f>IFERROR(VLOOKUP(U778,'Cortes naturales'!$E$15:$G$19,3,9),U778)</f>
        <v>4</v>
      </c>
      <c r="AR778" s="28">
        <f t="shared" si="335"/>
        <v>-0.18497019473004039</v>
      </c>
      <c r="AS778" s="13" t="b">
        <f t="shared" si="336"/>
        <v>1</v>
      </c>
      <c r="AT778" s="13">
        <f t="shared" si="345"/>
        <v>0</v>
      </c>
      <c r="AU778" s="13">
        <v>4</v>
      </c>
      <c r="AV778">
        <f t="shared" si="337"/>
        <v>0</v>
      </c>
      <c r="AW778" s="13">
        <v>0</v>
      </c>
      <c r="AX778" s="13">
        <v>0</v>
      </c>
      <c r="AY778" s="13">
        <v>0</v>
      </c>
      <c r="AZ778" s="13">
        <v>0</v>
      </c>
      <c r="BA778">
        <v>1</v>
      </c>
      <c r="BB778" t="s">
        <v>2841</v>
      </c>
      <c r="BC778">
        <v>6</v>
      </c>
      <c r="BD778" t="s">
        <v>2919</v>
      </c>
      <c r="BE778">
        <v>0</v>
      </c>
      <c r="BF778" s="232" t="s">
        <v>2846</v>
      </c>
      <c r="BG778" s="232" t="s">
        <v>2846</v>
      </c>
      <c r="BH778" s="253">
        <v>35.1</v>
      </c>
      <c r="BI778" s="253">
        <v>9.9857853589196868</v>
      </c>
      <c r="BJ778" s="25">
        <v>25.853333333333335</v>
      </c>
      <c r="BK778" t="s">
        <v>379</v>
      </c>
      <c r="BL778">
        <v>0</v>
      </c>
      <c r="BM778" t="s">
        <v>377</v>
      </c>
      <c r="BN778" s="322">
        <v>5923.6900740000001</v>
      </c>
      <c r="BO778" s="322">
        <v>653.49445400000002</v>
      </c>
      <c r="BP778" s="10">
        <v>3252</v>
      </c>
      <c r="BQ778" s="254">
        <f t="shared" si="338"/>
        <v>1.8215529132841328</v>
      </c>
      <c r="BR778" s="254">
        <f t="shared" si="339"/>
        <v>0.20095155412054122</v>
      </c>
      <c r="BS778" s="25">
        <v>69.605585772252439</v>
      </c>
      <c r="BT778" s="25">
        <v>81.235839200492009</v>
      </c>
      <c r="BU778" s="25">
        <v>32.179620253164543</v>
      </c>
      <c r="BV778" s="25">
        <v>92.976098380405517</v>
      </c>
      <c r="BW778" s="25">
        <v>41.874979067220927</v>
      </c>
      <c r="BX778" s="25">
        <v>68.999285901578617</v>
      </c>
      <c r="BY778" s="25">
        <v>42.756021148607182</v>
      </c>
      <c r="BZ778">
        <v>39</v>
      </c>
      <c r="CA778">
        <v>0</v>
      </c>
      <c r="CB778">
        <v>7</v>
      </c>
      <c r="CC778">
        <v>12645.830042</v>
      </c>
      <c r="CD778" s="10">
        <v>9970.1417089999995</v>
      </c>
      <c r="CE778" s="255">
        <v>0.78841338811977046</v>
      </c>
      <c r="CF778" t="str">
        <f>IFERROR(VLOOKUP(CE778,'Rangos amb etnico'!$A$2:$C$6,3,9),"N.D.")</f>
        <v>71% - 100%</v>
      </c>
      <c r="CG778" s="256">
        <v>2.9006900641132053E-4</v>
      </c>
      <c r="CH778" s="232">
        <v>0</v>
      </c>
      <c r="CI778" s="311">
        <f t="shared" si="346"/>
        <v>0</v>
      </c>
      <c r="CJ778" s="232">
        <f>IFERROR(VLOOKUP(CI778,'Rangos amb etnico'!$A$2:$C$6,3,9),"N.D.")</f>
        <v>0</v>
      </c>
      <c r="CK778" s="311">
        <f t="shared" si="347"/>
        <v>0</v>
      </c>
      <c r="CL778" s="10">
        <v>0</v>
      </c>
      <c r="CM778" s="255">
        <f t="shared" si="348"/>
        <v>0</v>
      </c>
      <c r="CN778" s="232">
        <f>IFERROR(VLOOKUP(CM778,'Rangos amb etnico'!$A$2:$C$6,3,9),"N.D.")</f>
        <v>0</v>
      </c>
      <c r="CO778" s="311">
        <f t="shared" si="349"/>
        <v>0</v>
      </c>
      <c r="CP778">
        <v>0.93652980168470235</v>
      </c>
      <c r="CQ778" t="s">
        <v>2864</v>
      </c>
      <c r="CR778">
        <f t="shared" si="340"/>
        <v>2</v>
      </c>
      <c r="CS778" t="str">
        <f t="shared" si="350"/>
        <v>No es Candidato</v>
      </c>
      <c r="CT778">
        <v>0</v>
      </c>
      <c r="CU778">
        <v>0</v>
      </c>
      <c r="CV778" s="25">
        <v>59.204338073730469</v>
      </c>
      <c r="CW778" s="25">
        <v>16.856803894042969</v>
      </c>
      <c r="CX778" s="25">
        <v>56.850368499755859</v>
      </c>
      <c r="CY778" s="25">
        <v>71.168449401855469</v>
      </c>
      <c r="CZ778" s="25">
        <v>57.171852111816413</v>
      </c>
      <c r="DA778" s="25">
        <v>86.374122619628906</v>
      </c>
      <c r="DB778" s="25">
        <v>66.804428100585938</v>
      </c>
      <c r="DC778">
        <v>21</v>
      </c>
      <c r="DD778" s="253" t="s">
        <v>380</v>
      </c>
    </row>
    <row r="779" spans="1:108">
      <c r="A779" s="13">
        <v>5495</v>
      </c>
      <c r="B779" s="13" t="s">
        <v>1986</v>
      </c>
      <c r="C779" s="13" t="s">
        <v>435</v>
      </c>
      <c r="D779" s="13" t="s">
        <v>436</v>
      </c>
      <c r="E779" s="13" t="s">
        <v>1987</v>
      </c>
      <c r="F779" s="14">
        <v>42.126933333333298</v>
      </c>
      <c r="G779" s="13">
        <v>47.65</v>
      </c>
      <c r="H779" s="13">
        <v>39.799999999999997</v>
      </c>
      <c r="I779" s="13">
        <v>50.54</v>
      </c>
      <c r="J779" s="14">
        <v>49.926535256071041</v>
      </c>
      <c r="K779" s="14">
        <v>60.259863813420104</v>
      </c>
      <c r="L779" s="14">
        <v>58.092316470090751</v>
      </c>
      <c r="M779" s="14">
        <v>55.835799999999999</v>
      </c>
      <c r="N779" s="14">
        <f t="shared" si="324"/>
        <v>45.029233333333316</v>
      </c>
      <c r="O779" s="14">
        <f t="shared" si="325"/>
        <v>56.028628884895475</v>
      </c>
      <c r="P779" s="14">
        <f t="shared" si="341"/>
        <v>50.528931109114396</v>
      </c>
      <c r="Q779" s="14">
        <v>59.522882131809872</v>
      </c>
      <c r="R779" s="17">
        <f t="shared" si="326"/>
        <v>40.477117868190128</v>
      </c>
      <c r="S779" s="14">
        <f t="shared" si="342"/>
        <v>0.46429406081371116</v>
      </c>
      <c r="T779" s="13">
        <v>0</v>
      </c>
      <c r="U779" s="13">
        <f t="shared" si="343"/>
        <v>23.46028261322698</v>
      </c>
      <c r="V779" s="13">
        <f>IF($T779=1,$AU779,(VLOOKUP(U779,'Cortes naturales'!$A$35:$C$39,3,9)))</f>
        <v>4</v>
      </c>
      <c r="W779" s="13">
        <v>4</v>
      </c>
      <c r="X779" s="14" t="b">
        <f t="shared" si="327"/>
        <v>1</v>
      </c>
      <c r="Y779" s="17">
        <f>IF($T779=1,$AU779,VLOOKUP(U779,'Cortes naturales'!$A$45:$C$49,3,9))</f>
        <v>4</v>
      </c>
      <c r="Z779" s="14">
        <v>48.039239393282656</v>
      </c>
      <c r="AA779" s="14">
        <v>0.46827662830719441</v>
      </c>
      <c r="AB779" s="14">
        <v>22.495653049528553</v>
      </c>
      <c r="AC779" s="13">
        <v>4</v>
      </c>
      <c r="AD779" s="13">
        <f t="shared" si="328"/>
        <v>0</v>
      </c>
      <c r="AE779" s="14">
        <f t="shared" si="329"/>
        <v>2.4896917158317393</v>
      </c>
      <c r="AF779" s="14">
        <f t="shared" si="330"/>
        <v>-3.9825674934832467E-3</v>
      </c>
      <c r="AG779" s="13">
        <f t="shared" si="331"/>
        <v>0.96462956369842701</v>
      </c>
      <c r="AH779" s="13">
        <f>IF($T779=1,$AU779,VLOOKUP(U779,'Cortes naturales'!$A$25:$C$29,3,9))</f>
        <v>4</v>
      </c>
      <c r="AI779" s="13" t="b">
        <f t="shared" si="332"/>
        <v>1</v>
      </c>
      <c r="AJ779" s="13">
        <f t="shared" si="333"/>
        <v>0</v>
      </c>
      <c r="AK779" s="28">
        <v>0.6523467210059386</v>
      </c>
      <c r="AL779" s="28">
        <v>31.338240297827255</v>
      </c>
      <c r="AM779" s="28">
        <v>0.22138234066490839</v>
      </c>
      <c r="AN779" s="13">
        <v>4</v>
      </c>
      <c r="AO779" s="33">
        <f t="shared" si="334"/>
        <v>0</v>
      </c>
      <c r="AP779" s="13">
        <f t="shared" si="344"/>
        <v>22.138234066490838</v>
      </c>
      <c r="AQ779" s="13">
        <f>IFERROR(VLOOKUP(U779,'Cortes naturales'!$E$15:$G$19,3,9),U779)</f>
        <v>4</v>
      </c>
      <c r="AR779" s="28">
        <f t="shared" si="335"/>
        <v>-0.18805266019222744</v>
      </c>
      <c r="AS779" s="13" t="b">
        <f t="shared" si="336"/>
        <v>1</v>
      </c>
      <c r="AT779" s="13">
        <f t="shared" si="345"/>
        <v>0</v>
      </c>
      <c r="AU779" s="13">
        <v>4</v>
      </c>
      <c r="AV779">
        <f t="shared" si="337"/>
        <v>0</v>
      </c>
      <c r="AW779" s="13">
        <v>0</v>
      </c>
      <c r="AX779" s="13">
        <v>0</v>
      </c>
      <c r="AY779" s="13">
        <v>0</v>
      </c>
      <c r="AZ779" s="13">
        <v>1</v>
      </c>
      <c r="BA779">
        <v>1</v>
      </c>
      <c r="BB779" t="s">
        <v>2840</v>
      </c>
      <c r="BC779">
        <v>6</v>
      </c>
      <c r="BD779" t="s">
        <v>2919</v>
      </c>
      <c r="BE779">
        <v>1</v>
      </c>
      <c r="BF779" s="232" t="s">
        <v>2846</v>
      </c>
      <c r="BG779" s="232" t="s">
        <v>2846</v>
      </c>
      <c r="BH779" s="253">
        <v>61.5</v>
      </c>
      <c r="BI779" s="253">
        <v>54.344569288389515</v>
      </c>
      <c r="BJ779" s="25">
        <v>0.96750000000000003</v>
      </c>
      <c r="BK779" t="s">
        <v>381</v>
      </c>
      <c r="BL779">
        <v>5.8880833887484458</v>
      </c>
      <c r="BM779" t="s">
        <v>379</v>
      </c>
      <c r="BN779" s="322">
        <v>63720.252432000001</v>
      </c>
      <c r="BO779" s="322">
        <v>4466.5242900000003</v>
      </c>
      <c r="BP779" s="10">
        <v>28955</v>
      </c>
      <c r="BQ779" s="254">
        <f t="shared" si="338"/>
        <v>2.2006649087204284</v>
      </c>
      <c r="BR779" s="254">
        <f t="shared" si="339"/>
        <v>0.15425744396477292</v>
      </c>
      <c r="BS779" s="25">
        <v>61.783968797821593</v>
      </c>
      <c r="BT779" s="25">
        <v>99.03873827203131</v>
      </c>
      <c r="BU779" s="25">
        <v>41.877132606962533</v>
      </c>
      <c r="BV779" s="25">
        <v>96.57321776392719</v>
      </c>
      <c r="BW779" s="25">
        <v>45.06666443598715</v>
      </c>
      <c r="BX779" s="25">
        <v>74.818264360185651</v>
      </c>
      <c r="BY779" s="25">
        <v>46.274639123484292</v>
      </c>
      <c r="BZ779">
        <v>67</v>
      </c>
      <c r="CA779">
        <v>0</v>
      </c>
      <c r="CB779">
        <v>7</v>
      </c>
      <c r="CC779">
        <v>93658.107923000003</v>
      </c>
      <c r="CD779" s="10">
        <v>26707.958291999999</v>
      </c>
      <c r="CE779" s="255">
        <v>0.28516440150550187</v>
      </c>
      <c r="CF779" t="str">
        <f>IFERROR(VLOOKUP(CE779,'Rangos amb etnico'!$A$2:$C$6,3,9),"N.D.")</f>
        <v>0,1% - 30%</v>
      </c>
      <c r="CG779" s="256">
        <v>7.7703518677594251E-4</v>
      </c>
      <c r="CH779" s="232">
        <v>0.60181899999999999</v>
      </c>
      <c r="CI779" s="311">
        <f t="shared" si="346"/>
        <v>6.4257010241417531E-6</v>
      </c>
      <c r="CJ779" s="232">
        <f>IFERROR(VLOOKUP(CI779,'Rangos amb etnico'!$A$2:$C$6,3,9),"N.D.")</f>
        <v>0</v>
      </c>
      <c r="CK779" s="311">
        <f t="shared" si="347"/>
        <v>2.3896154529647383E-8</v>
      </c>
      <c r="CL779" s="10">
        <v>0</v>
      </c>
      <c r="CM779" s="255">
        <f t="shared" si="348"/>
        <v>0</v>
      </c>
      <c r="CN779" s="232">
        <f>IFERROR(VLOOKUP(CM779,'Rangos amb etnico'!$A$2:$C$6,3,9),"N.D.")</f>
        <v>0</v>
      </c>
      <c r="CO779" s="311">
        <f t="shared" si="349"/>
        <v>0</v>
      </c>
      <c r="CP779">
        <v>0.92358036656487508</v>
      </c>
      <c r="CQ779" t="s">
        <v>2864</v>
      </c>
      <c r="CR779">
        <f t="shared" si="340"/>
        <v>1</v>
      </c>
      <c r="CS779" t="str">
        <f t="shared" si="350"/>
        <v>No es Candidato</v>
      </c>
      <c r="CT779">
        <v>0</v>
      </c>
      <c r="CU779">
        <v>0</v>
      </c>
      <c r="CV779" s="25">
        <v>44.275463104248047</v>
      </c>
      <c r="CW779" s="25">
        <v>23.934452056884769</v>
      </c>
      <c r="CX779" s="25">
        <v>55.559829711914063</v>
      </c>
      <c r="CY779" s="25">
        <v>51.67010498046875</v>
      </c>
      <c r="CZ779" s="25">
        <v>22.184722900390621</v>
      </c>
      <c r="DA779" s="25">
        <v>73.248786926269531</v>
      </c>
      <c r="DB779" s="25">
        <v>39.054882049560547</v>
      </c>
      <c r="DC779">
        <v>4699</v>
      </c>
      <c r="DD779" s="253" t="s">
        <v>380</v>
      </c>
    </row>
    <row r="780" spans="1:108" hidden="1">
      <c r="A780" s="13">
        <v>54250</v>
      </c>
      <c r="B780" s="13" t="s">
        <v>1988</v>
      </c>
      <c r="C780" s="13" t="s">
        <v>517</v>
      </c>
      <c r="D780" s="13" t="s">
        <v>518</v>
      </c>
      <c r="E780" s="13" t="s">
        <v>1989</v>
      </c>
      <c r="F780" s="14">
        <v>62.080633333333303</v>
      </c>
      <c r="G780" s="13">
        <v>62.69</v>
      </c>
      <c r="H780" s="13">
        <v>67.17</v>
      </c>
      <c r="I780" s="13">
        <v>79.61</v>
      </c>
      <c r="J780" s="14">
        <v>55.748909063009307</v>
      </c>
      <c r="K780" s="14">
        <v>55.78904264211323</v>
      </c>
      <c r="L780" s="14">
        <v>67.187067439235506</v>
      </c>
      <c r="M780" s="14">
        <v>65.262900000000002</v>
      </c>
      <c r="N780" s="14">
        <f t="shared" si="324"/>
        <v>67.887658333333334</v>
      </c>
      <c r="O780" s="14">
        <f t="shared" si="325"/>
        <v>60.996979786089511</v>
      </c>
      <c r="P780" s="14">
        <f t="shared" si="341"/>
        <v>64.442319059711423</v>
      </c>
      <c r="Q780" s="14">
        <v>58.849957843770099</v>
      </c>
      <c r="R780" s="17">
        <f t="shared" si="326"/>
        <v>41.150042156229901</v>
      </c>
      <c r="S780" s="14">
        <f t="shared" si="342"/>
        <v>0.47035037940606905</v>
      </c>
      <c r="T780" s="13">
        <v>0</v>
      </c>
      <c r="U780" s="13">
        <f t="shared" si="343"/>
        <v>30.310469219542224</v>
      </c>
      <c r="V780" s="13">
        <f>IF($T780=1,$AU780,(VLOOKUP(U780,'Cortes naturales'!$A$35:$C$39,3,9)))</f>
        <v>3</v>
      </c>
      <c r="W780" s="13">
        <v>3</v>
      </c>
      <c r="X780" s="14" t="b">
        <f t="shared" si="327"/>
        <v>1</v>
      </c>
      <c r="Y780" s="17">
        <f>IF($T780=1,$AU780,VLOOKUP(U780,'Cortes naturales'!$A$45:$C$49,3,9))</f>
        <v>3</v>
      </c>
      <c r="Z780" s="14">
        <v>60.95732850299197</v>
      </c>
      <c r="AA780" s="14">
        <v>0.46741988371289234</v>
      </c>
      <c r="AB780" s="14">
        <v>28.492667400317085</v>
      </c>
      <c r="AC780" s="13">
        <v>3</v>
      </c>
      <c r="AD780" s="13">
        <f t="shared" si="328"/>
        <v>0</v>
      </c>
      <c r="AE780" s="14">
        <f t="shared" si="329"/>
        <v>3.4849905567194526</v>
      </c>
      <c r="AF780" s="14">
        <f t="shared" si="330"/>
        <v>2.9304956931767157E-3</v>
      </c>
      <c r="AG780" s="13">
        <f t="shared" si="331"/>
        <v>1.8178018192251386</v>
      </c>
      <c r="AH780" s="13">
        <f>IF($T780=1,$AU780,VLOOKUP(U780,'Cortes naturales'!$A$25:$C$29,3,9))</f>
        <v>3</v>
      </c>
      <c r="AI780" s="13" t="b">
        <f t="shared" si="332"/>
        <v>1</v>
      </c>
      <c r="AJ780" s="13">
        <f t="shared" si="333"/>
        <v>0</v>
      </c>
      <c r="AK780" s="28">
        <v>0.6523467210059386</v>
      </c>
      <c r="AL780" s="28">
        <v>39.765313370208652</v>
      </c>
      <c r="AM780" s="28">
        <v>0.3267961418280807</v>
      </c>
      <c r="AN780" s="13">
        <v>4</v>
      </c>
      <c r="AO780" s="33">
        <f t="shared" si="334"/>
        <v>1</v>
      </c>
      <c r="AP780" s="13">
        <f t="shared" si="344"/>
        <v>32.679614182808066</v>
      </c>
      <c r="AQ780" s="13">
        <f>IFERROR(VLOOKUP(U780,'Cortes naturales'!$E$15:$G$19,3,9),U780)</f>
        <v>4</v>
      </c>
      <c r="AR780" s="28">
        <f t="shared" si="335"/>
        <v>-0.18199634159986955</v>
      </c>
      <c r="AS780" s="13" t="b">
        <f t="shared" si="336"/>
        <v>0</v>
      </c>
      <c r="AT780" s="13" t="str">
        <f t="shared" si="345"/>
        <v>Cambio en corte</v>
      </c>
      <c r="AU780" s="13">
        <v>4</v>
      </c>
      <c r="AV780">
        <f t="shared" si="337"/>
        <v>1</v>
      </c>
      <c r="AW780" s="13">
        <v>0</v>
      </c>
      <c r="AX780" s="13">
        <v>0</v>
      </c>
      <c r="AY780" s="13">
        <v>0</v>
      </c>
      <c r="AZ780" s="13">
        <v>1</v>
      </c>
      <c r="BA780">
        <v>1</v>
      </c>
      <c r="BB780" t="s">
        <v>2840</v>
      </c>
      <c r="BC780">
        <v>6</v>
      </c>
      <c r="BD780" t="s">
        <v>2919</v>
      </c>
      <c r="BE780">
        <v>1</v>
      </c>
      <c r="BF780" s="232" t="s">
        <v>2846</v>
      </c>
      <c r="BG780" s="232" t="s">
        <v>2846</v>
      </c>
      <c r="BH780" s="253">
        <v>71.2</v>
      </c>
      <c r="BI780" s="253">
        <v>50.595175392394395</v>
      </c>
      <c r="BJ780" s="25">
        <v>42.434640291046904</v>
      </c>
      <c r="BK780" t="s">
        <v>376</v>
      </c>
      <c r="BL780">
        <v>45.252023471411533</v>
      </c>
      <c r="BM780" t="s">
        <v>384</v>
      </c>
      <c r="BN780" s="322">
        <v>57284.655989999999</v>
      </c>
      <c r="BO780" s="322">
        <v>3392.1520169999999</v>
      </c>
      <c r="BP780" s="10">
        <v>26769</v>
      </c>
      <c r="BQ780" s="254">
        <f t="shared" si="338"/>
        <v>2.1399624935559789</v>
      </c>
      <c r="BR780" s="254">
        <f t="shared" si="339"/>
        <v>0.1267194148828869</v>
      </c>
      <c r="BS780" s="25">
        <v>76.023740015559838</v>
      </c>
      <c r="BT780" s="25">
        <v>93.425006705144028</v>
      </c>
      <c r="BU780" s="25">
        <v>50.193333333333328</v>
      </c>
      <c r="BV780" s="25">
        <v>97.576069736082829</v>
      </c>
      <c r="BW780" s="25">
        <v>53.181342575139723</v>
      </c>
      <c r="BX780" s="25">
        <v>79.304537447530009</v>
      </c>
      <c r="BY780" s="25">
        <v>55.093652243718573</v>
      </c>
      <c r="BZ780">
        <v>73</v>
      </c>
      <c r="CA780">
        <v>0</v>
      </c>
      <c r="CB780">
        <v>7</v>
      </c>
      <c r="CC780">
        <v>70274.404737999997</v>
      </c>
      <c r="CD780" s="10">
        <v>17843.362206000002</v>
      </c>
      <c r="CE780" s="255">
        <v>0.25390983064921541</v>
      </c>
      <c r="CF780" t="str">
        <f>IFERROR(VLOOKUP(CE780,'Rangos amb etnico'!$A$2:$C$6,3,9),"N.D.")</f>
        <v>0,1% - 30%</v>
      </c>
      <c r="CG780" s="256">
        <v>5.1913067007458417E-4</v>
      </c>
      <c r="CH780" s="232">
        <v>4406.8177900000001</v>
      </c>
      <c r="CI780" s="311">
        <f t="shared" si="346"/>
        <v>6.2708717440292577E-2</v>
      </c>
      <c r="CJ780" s="232" t="str">
        <f>IFERROR(VLOOKUP(CI780,'Rangos amb etnico'!$A$2:$C$6,3,9),"N.D.")</f>
        <v>0,1% - 30%</v>
      </c>
      <c r="CK780" s="311">
        <f t="shared" si="347"/>
        <v>1.7497951858256249E-4</v>
      </c>
      <c r="CL780" s="10">
        <v>0</v>
      </c>
      <c r="CM780" s="255">
        <f t="shared" si="348"/>
        <v>0</v>
      </c>
      <c r="CN780" s="232">
        <f>IFERROR(VLOOKUP(CM780,'Rangos amb etnico'!$A$2:$C$6,3,9),"N.D.")</f>
        <v>0</v>
      </c>
      <c r="CO780" s="311">
        <f t="shared" si="349"/>
        <v>0</v>
      </c>
      <c r="CP780">
        <v>0.89078034995367128</v>
      </c>
      <c r="CQ780" t="s">
        <v>2864</v>
      </c>
      <c r="CR780">
        <f t="shared" si="340"/>
        <v>3</v>
      </c>
      <c r="CS780" t="str">
        <f t="shared" si="350"/>
        <v>Candidato</v>
      </c>
      <c r="CT780">
        <v>0</v>
      </c>
      <c r="CU780">
        <v>0</v>
      </c>
      <c r="CV780" s="25">
        <v>38.25531005859375</v>
      </c>
      <c r="CW780" s="25">
        <v>13.836661338806151</v>
      </c>
      <c r="CX780" s="25">
        <v>46.260746002197273</v>
      </c>
      <c r="CY780" s="25">
        <v>28.25081634521484</v>
      </c>
      <c r="CZ780" s="25">
        <v>15.87449741363525</v>
      </c>
      <c r="DA780" s="25">
        <v>77.780677795410156</v>
      </c>
      <c r="DB780" s="25">
        <v>47.528469085693359</v>
      </c>
      <c r="DC780">
        <v>361</v>
      </c>
      <c r="DD780" s="253" t="s">
        <v>380</v>
      </c>
    </row>
    <row r="781" spans="1:108" hidden="1">
      <c r="A781" s="13">
        <v>73770</v>
      </c>
      <c r="B781" s="13" t="s">
        <v>1990</v>
      </c>
      <c r="C781" s="13" t="s">
        <v>595</v>
      </c>
      <c r="D781" s="13" t="s">
        <v>596</v>
      </c>
      <c r="E781" s="13" t="s">
        <v>1087</v>
      </c>
      <c r="F781" s="14">
        <v>50.2648333333333</v>
      </c>
      <c r="G781" s="13">
        <v>49.32</v>
      </c>
      <c r="H781" s="13">
        <v>51.49</v>
      </c>
      <c r="I781" s="13">
        <v>48.5</v>
      </c>
      <c r="J781" s="14">
        <v>49.859483886372587</v>
      </c>
      <c r="K781" s="14">
        <v>53.675759473699848</v>
      </c>
      <c r="L781" s="14">
        <v>53.800163245589935</v>
      </c>
      <c r="M781" s="14">
        <v>53.072200000000002</v>
      </c>
      <c r="N781" s="14">
        <f t="shared" si="324"/>
        <v>49.893708333333329</v>
      </c>
      <c r="O781" s="14">
        <f t="shared" si="325"/>
        <v>52.601901651415595</v>
      </c>
      <c r="P781" s="14">
        <f t="shared" si="341"/>
        <v>51.247804992374462</v>
      </c>
      <c r="Q781" s="14">
        <v>59.863822058195005</v>
      </c>
      <c r="R781" s="17">
        <f t="shared" si="326"/>
        <v>40.136177941804995</v>
      </c>
      <c r="S781" s="14">
        <f t="shared" si="342"/>
        <v>0.46122560147624503</v>
      </c>
      <c r="T781" s="13">
        <v>0</v>
      </c>
      <c r="U781" s="13">
        <f t="shared" si="343"/>
        <v>23.636799681945224</v>
      </c>
      <c r="V781" s="13">
        <f>IF($T781=1,$AU781,(VLOOKUP(U781,'Cortes naturales'!$A$35:$C$39,3,9)))</f>
        <v>4</v>
      </c>
      <c r="W781" s="13">
        <v>4</v>
      </c>
      <c r="X781" s="14" t="b">
        <f t="shared" si="327"/>
        <v>1</v>
      </c>
      <c r="Y781" s="17">
        <f>IF($T781=1,$AU781,VLOOKUP(U781,'Cortes naturales'!$A$45:$C$49,3,9))</f>
        <v>4</v>
      </c>
      <c r="Z781" s="14">
        <v>50.674387066097637</v>
      </c>
      <c r="AA781" s="14">
        <v>0.46800572863687151</v>
      </c>
      <c r="AB781" s="14">
        <v>23.715903442095883</v>
      </c>
      <c r="AC781" s="13">
        <v>4</v>
      </c>
      <c r="AD781" s="13">
        <f t="shared" si="328"/>
        <v>0</v>
      </c>
      <c r="AE781" s="14">
        <f t="shared" si="329"/>
        <v>0.57341792627682509</v>
      </c>
      <c r="AF781" s="14">
        <f t="shared" si="330"/>
        <v>-6.7801271606264812E-3</v>
      </c>
      <c r="AG781" s="13">
        <f t="shared" si="331"/>
        <v>-7.9103760150658786E-2</v>
      </c>
      <c r="AH781" s="13">
        <f>IF($T781=1,$AU781,VLOOKUP(U781,'Cortes naturales'!$A$25:$C$29,3,9))</f>
        <v>4</v>
      </c>
      <c r="AI781" s="13" t="b">
        <f t="shared" si="332"/>
        <v>1</v>
      </c>
      <c r="AJ781" s="13">
        <f t="shared" si="333"/>
        <v>0</v>
      </c>
      <c r="AK781" s="28">
        <v>0.6523467210059386</v>
      </c>
      <c r="AL781" s="28">
        <v>33.057270241554541</v>
      </c>
      <c r="AM781" s="28">
        <v>0.24288559323257594</v>
      </c>
      <c r="AN781" s="13">
        <v>4</v>
      </c>
      <c r="AO781" s="33">
        <f t="shared" si="334"/>
        <v>0</v>
      </c>
      <c r="AP781" s="13">
        <f t="shared" si="344"/>
        <v>24.288559323257594</v>
      </c>
      <c r="AQ781" s="13">
        <f>IFERROR(VLOOKUP(U781,'Cortes naturales'!$E$15:$G$19,3,9),U781)</f>
        <v>4</v>
      </c>
      <c r="AR781" s="28">
        <f t="shared" si="335"/>
        <v>-0.19112111952969357</v>
      </c>
      <c r="AS781" s="13" t="b">
        <f t="shared" si="336"/>
        <v>1</v>
      </c>
      <c r="AT781" s="13">
        <f t="shared" si="345"/>
        <v>0</v>
      </c>
      <c r="AU781" s="13">
        <v>4</v>
      </c>
      <c r="AV781">
        <f t="shared" si="337"/>
        <v>0</v>
      </c>
      <c r="AW781" s="13">
        <v>0</v>
      </c>
      <c r="AX781" s="13">
        <v>0</v>
      </c>
      <c r="AY781" s="13">
        <v>0</v>
      </c>
      <c r="AZ781" s="13">
        <v>0</v>
      </c>
      <c r="BA781">
        <v>0</v>
      </c>
      <c r="BB781" t="s">
        <v>2840</v>
      </c>
      <c r="BC781">
        <v>6</v>
      </c>
      <c r="BD781" t="s">
        <v>2919</v>
      </c>
      <c r="BE781">
        <v>0</v>
      </c>
      <c r="BF781" s="232" t="s">
        <v>2846</v>
      </c>
      <c r="BG781" s="232" t="s">
        <v>2846</v>
      </c>
      <c r="BH781" s="253">
        <v>34.299999999999997</v>
      </c>
      <c r="BI781" s="253">
        <v>18.862449216482879</v>
      </c>
      <c r="BJ781" s="25">
        <v>76.079090909090908</v>
      </c>
      <c r="BK781" t="s">
        <v>376</v>
      </c>
      <c r="BL781">
        <v>2.7368626279418158</v>
      </c>
      <c r="BM781" t="s">
        <v>383</v>
      </c>
      <c r="BN781" s="322">
        <v>14727.079145</v>
      </c>
      <c r="BO781" s="322">
        <v>2664.8133419999999</v>
      </c>
      <c r="BP781" s="10">
        <v>3916</v>
      </c>
      <c r="BQ781" s="254">
        <f t="shared" si="338"/>
        <v>3.7607454405005107</v>
      </c>
      <c r="BR781" s="254">
        <f t="shared" si="339"/>
        <v>0.68049370326864145</v>
      </c>
      <c r="BS781" s="25">
        <v>70.827330726486935</v>
      </c>
      <c r="BT781" s="25">
        <v>89.274770173646573</v>
      </c>
      <c r="BU781" s="25">
        <v>31.814086523498261</v>
      </c>
      <c r="BV781" s="25">
        <v>75.994161163124289</v>
      </c>
      <c r="BW781" s="25">
        <v>57.850368019700468</v>
      </c>
      <c r="BX781" s="25">
        <v>66.977587146689018</v>
      </c>
      <c r="BY781" s="25">
        <v>58.946009011694308</v>
      </c>
      <c r="BZ781">
        <v>6</v>
      </c>
      <c r="CA781">
        <v>0</v>
      </c>
      <c r="CB781">
        <v>7</v>
      </c>
      <c r="CC781">
        <v>19000.863915000002</v>
      </c>
      <c r="CD781" s="10">
        <v>3139.6142180000002</v>
      </c>
      <c r="CE781" s="255">
        <v>0.16523534045846566</v>
      </c>
      <c r="CF781" t="str">
        <f>IFERROR(VLOOKUP(CE781,'Rangos amb etnico'!$A$2:$C$6,3,9),"N.D.")</f>
        <v>0,1% - 30%</v>
      </c>
      <c r="CG781" s="256">
        <v>9.1343212896164385E-5</v>
      </c>
      <c r="CH781" s="232">
        <v>0</v>
      </c>
      <c r="CI781" s="311">
        <f t="shared" si="346"/>
        <v>0</v>
      </c>
      <c r="CJ781" s="232">
        <f>IFERROR(VLOOKUP(CI781,'Rangos amb etnico'!$A$2:$C$6,3,9),"N.D.")</f>
        <v>0</v>
      </c>
      <c r="CK781" s="311">
        <f t="shared" si="347"/>
        <v>0</v>
      </c>
      <c r="CL781" s="10">
        <v>0</v>
      </c>
      <c r="CM781" s="255">
        <f t="shared" si="348"/>
        <v>0</v>
      </c>
      <c r="CN781" s="232">
        <f>IFERROR(VLOOKUP(CM781,'Rangos amb etnico'!$A$2:$C$6,3,9),"N.D.")</f>
        <v>0</v>
      </c>
      <c r="CO781" s="311">
        <f t="shared" si="349"/>
        <v>0</v>
      </c>
      <c r="CP781">
        <v>0.91377360576219147</v>
      </c>
      <c r="CQ781" t="s">
        <v>2864</v>
      </c>
      <c r="CR781">
        <f t="shared" si="340"/>
        <v>1</v>
      </c>
      <c r="CS781" t="str">
        <f t="shared" si="350"/>
        <v>No es Candidato</v>
      </c>
      <c r="CT781">
        <v>0</v>
      </c>
      <c r="CU781">
        <v>0</v>
      </c>
      <c r="CV781" s="25">
        <v>45.148399353027337</v>
      </c>
      <c r="CW781" s="25">
        <v>23.37473106384277</v>
      </c>
      <c r="CX781" s="25">
        <v>49.544208526611328</v>
      </c>
      <c r="CY781" s="25">
        <v>60.014553070068359</v>
      </c>
      <c r="CZ781" s="25">
        <v>28.046808242797852</v>
      </c>
      <c r="DA781" s="25">
        <v>48.365646362304688</v>
      </c>
      <c r="DB781" s="25">
        <v>61.544452667236328</v>
      </c>
      <c r="DC781">
        <v>44</v>
      </c>
      <c r="DD781" s="253" t="s">
        <v>380</v>
      </c>
    </row>
    <row r="782" spans="1:108" hidden="1">
      <c r="A782" s="13">
        <v>52405</v>
      </c>
      <c r="B782" s="13" t="s">
        <v>1991</v>
      </c>
      <c r="C782" s="13" t="s">
        <v>672</v>
      </c>
      <c r="D782" s="13" t="s">
        <v>673</v>
      </c>
      <c r="E782" s="13" t="s">
        <v>1992</v>
      </c>
      <c r="F782" s="14">
        <v>54.056633333333302</v>
      </c>
      <c r="G782" s="13">
        <v>44.13</v>
      </c>
      <c r="H782" s="13">
        <v>35.31</v>
      </c>
      <c r="I782" s="13">
        <v>32.590000000000003</v>
      </c>
      <c r="J782" s="14">
        <v>57.12875940393883</v>
      </c>
      <c r="K782" s="14">
        <v>60.015297451519373</v>
      </c>
      <c r="L782" s="14">
        <v>54.266514305329231</v>
      </c>
      <c r="M782" s="14">
        <v>56.013800000000003</v>
      </c>
      <c r="N782" s="14">
        <f t="shared" si="324"/>
        <v>41.521658333333328</v>
      </c>
      <c r="O782" s="14">
        <f t="shared" si="325"/>
        <v>56.856092790196861</v>
      </c>
      <c r="P782" s="14">
        <f t="shared" si="341"/>
        <v>49.188875561765094</v>
      </c>
      <c r="Q782" s="14">
        <v>60.265782603361004</v>
      </c>
      <c r="R782" s="17">
        <f t="shared" si="326"/>
        <v>39.734217396638996</v>
      </c>
      <c r="S782" s="14">
        <f t="shared" si="342"/>
        <v>0.45760795656975095</v>
      </c>
      <c r="T782" s="13">
        <v>0</v>
      </c>
      <c r="U782" s="13">
        <f t="shared" si="343"/>
        <v>22.509220831783086</v>
      </c>
      <c r="V782" s="13">
        <f>IF($T782=1,$AU782,(VLOOKUP(U782,'Cortes naturales'!$A$35:$C$39,3,9)))</f>
        <v>4</v>
      </c>
      <c r="W782" s="13">
        <v>4</v>
      </c>
      <c r="X782" s="14" t="b">
        <f t="shared" si="327"/>
        <v>1</v>
      </c>
      <c r="Y782" s="17">
        <f>IF($T782=1,$AU782,VLOOKUP(U782,'Cortes naturales'!$A$45:$C$49,3,9))</f>
        <v>4</v>
      </c>
      <c r="Z782" s="14">
        <v>50.873200497714897</v>
      </c>
      <c r="AA782" s="14">
        <v>0.46728562618361413</v>
      </c>
      <c r="AB782" s="14">
        <v>23.772315350539255</v>
      </c>
      <c r="AC782" s="13">
        <v>4</v>
      </c>
      <c r="AD782" s="13">
        <f t="shared" si="328"/>
        <v>0</v>
      </c>
      <c r="AE782" s="14">
        <f t="shared" si="329"/>
        <v>-1.6843249359498031</v>
      </c>
      <c r="AF782" s="14">
        <f t="shared" si="330"/>
        <v>-9.6776696138631824E-3</v>
      </c>
      <c r="AG782" s="13">
        <f t="shared" si="331"/>
        <v>-1.2630945187561693</v>
      </c>
      <c r="AH782" s="13">
        <f>IF($T782=1,$AU782,VLOOKUP(U782,'Cortes naturales'!$A$25:$C$29,3,9))</f>
        <v>4</v>
      </c>
      <c r="AI782" s="13" t="b">
        <f t="shared" si="332"/>
        <v>1</v>
      </c>
      <c r="AJ782" s="13">
        <f t="shared" si="333"/>
        <v>0</v>
      </c>
      <c r="AK782" s="28">
        <v>0.6523467210059386</v>
      </c>
      <c r="AL782" s="28">
        <v>33.186965531761999</v>
      </c>
      <c r="AM782" s="28">
        <v>0.24450794460134903</v>
      </c>
      <c r="AN782" s="13">
        <v>4</v>
      </c>
      <c r="AO782" s="33">
        <f t="shared" si="334"/>
        <v>0</v>
      </c>
      <c r="AP782" s="13">
        <f t="shared" si="344"/>
        <v>24.450794460134905</v>
      </c>
      <c r="AQ782" s="13">
        <f>IFERROR(VLOOKUP(U782,'Cortes naturales'!$E$15:$G$19,3,9),U782)</f>
        <v>4</v>
      </c>
      <c r="AR782" s="28">
        <f t="shared" si="335"/>
        <v>-0.19473876443618765</v>
      </c>
      <c r="AS782" s="13" t="b">
        <f t="shared" si="336"/>
        <v>1</v>
      </c>
      <c r="AT782" s="13">
        <f t="shared" si="345"/>
        <v>0</v>
      </c>
      <c r="AU782" s="13">
        <v>4</v>
      </c>
      <c r="AV782">
        <f t="shared" si="337"/>
        <v>0</v>
      </c>
      <c r="AW782" s="13">
        <v>0</v>
      </c>
      <c r="AX782" s="13">
        <v>0</v>
      </c>
      <c r="AY782" s="13">
        <v>0</v>
      </c>
      <c r="AZ782" s="13">
        <v>1</v>
      </c>
      <c r="BA782">
        <v>1</v>
      </c>
      <c r="BB782" t="s">
        <v>2840</v>
      </c>
      <c r="BC782">
        <v>6</v>
      </c>
      <c r="BD782" t="s">
        <v>2919</v>
      </c>
      <c r="BE782">
        <v>1</v>
      </c>
      <c r="BF782" s="232" t="s">
        <v>2846</v>
      </c>
      <c r="BG782" s="232" t="s">
        <v>2846</v>
      </c>
      <c r="BH782" s="253">
        <v>55.3</v>
      </c>
      <c r="BI782" s="253">
        <v>27.033288623338617</v>
      </c>
      <c r="BJ782" s="25">
        <v>61.877804774501158</v>
      </c>
      <c r="BK782" t="s">
        <v>376</v>
      </c>
      <c r="BL782">
        <v>16.260252059400528</v>
      </c>
      <c r="BM782" t="s">
        <v>376</v>
      </c>
      <c r="BN782" s="322">
        <v>27194.735513</v>
      </c>
      <c r="BO782" s="322">
        <v>1819.7890809999999</v>
      </c>
      <c r="BP782" s="10">
        <v>9779</v>
      </c>
      <c r="BQ782" s="254">
        <f t="shared" si="338"/>
        <v>2.7809321518560179</v>
      </c>
      <c r="BR782" s="254">
        <f t="shared" si="339"/>
        <v>0.18609153093363329</v>
      </c>
      <c r="BS782" s="25">
        <v>64.910189861578743</v>
      </c>
      <c r="BT782" s="25">
        <v>92.816919097044703</v>
      </c>
      <c r="BU782" s="25">
        <v>32.975189421015003</v>
      </c>
      <c r="BV782" s="25">
        <v>90.211053534812493</v>
      </c>
      <c r="BW782" s="25">
        <v>46.719254348615522</v>
      </c>
      <c r="BX782" s="25">
        <v>70.228337978612728</v>
      </c>
      <c r="BY782" s="25">
        <v>47.166060425261968</v>
      </c>
      <c r="BZ782">
        <v>26</v>
      </c>
      <c r="CA782">
        <v>0</v>
      </c>
      <c r="CB782">
        <v>7</v>
      </c>
      <c r="CC782">
        <v>31069.641997999999</v>
      </c>
      <c r="CD782" s="10">
        <v>11342.826166000001</v>
      </c>
      <c r="CE782" s="255">
        <v>0.36507746586620327</v>
      </c>
      <c r="CF782" t="str">
        <f>IFERROR(VLOOKUP(CE782,'Rangos amb etnico'!$A$2:$C$6,3,9),"N.D.")</f>
        <v>31% - 50%</v>
      </c>
      <c r="CG782" s="256">
        <v>3.3000557182631603E-4</v>
      </c>
      <c r="CH782" s="232">
        <v>1587.905528</v>
      </c>
      <c r="CI782" s="311">
        <f t="shared" si="346"/>
        <v>5.1107944150184152E-2</v>
      </c>
      <c r="CJ782" s="232" t="str">
        <f>IFERROR(VLOOKUP(CI782,'Rangos amb etnico'!$A$2:$C$6,3,9),"N.D.")</f>
        <v>0,1% - 30%</v>
      </c>
      <c r="CK782" s="311">
        <f t="shared" si="347"/>
        <v>6.3050245797439627E-5</v>
      </c>
      <c r="CL782" s="10">
        <v>0</v>
      </c>
      <c r="CM782" s="255">
        <f t="shared" si="348"/>
        <v>0</v>
      </c>
      <c r="CN782" s="232">
        <f>IFERROR(VLOOKUP(CM782,'Rangos amb etnico'!$A$2:$C$6,3,9),"N.D.")</f>
        <v>0</v>
      </c>
      <c r="CO782" s="311">
        <f t="shared" si="349"/>
        <v>0</v>
      </c>
      <c r="CP782">
        <v>0.93089560320371301</v>
      </c>
      <c r="CQ782" t="s">
        <v>2864</v>
      </c>
      <c r="CR782">
        <f t="shared" si="340"/>
        <v>1</v>
      </c>
      <c r="CS782" t="str">
        <f t="shared" si="350"/>
        <v>No es Candidato</v>
      </c>
      <c r="CT782">
        <v>0</v>
      </c>
      <c r="CU782">
        <v>0</v>
      </c>
      <c r="CV782" s="25">
        <v>43.973445892333977</v>
      </c>
      <c r="CW782" s="25">
        <v>11.48617649078369</v>
      </c>
      <c r="CX782" s="25">
        <v>51.095489501953118</v>
      </c>
      <c r="CY782" s="25">
        <v>49.599079132080078</v>
      </c>
      <c r="CZ782" s="25">
        <v>28.177536010742191</v>
      </c>
      <c r="DA782" s="25">
        <v>70.236175537109375</v>
      </c>
      <c r="DB782" s="25">
        <v>53.246227264404297</v>
      </c>
      <c r="DC782">
        <v>564</v>
      </c>
      <c r="DD782" s="253" t="s">
        <v>380</v>
      </c>
    </row>
    <row r="783" spans="1:108" hidden="1">
      <c r="A783" s="13">
        <v>23580</v>
      </c>
      <c r="B783" s="13" t="s">
        <v>1993</v>
      </c>
      <c r="C783" s="13" t="s">
        <v>567</v>
      </c>
      <c r="D783" s="13" t="s">
        <v>568</v>
      </c>
      <c r="E783" s="13" t="s">
        <v>1994</v>
      </c>
      <c r="F783" s="14">
        <v>47.274133333333303</v>
      </c>
      <c r="G783" s="13">
        <v>32.79</v>
      </c>
      <c r="H783" s="13">
        <v>39.78</v>
      </c>
      <c r="I783" s="13">
        <v>30.96</v>
      </c>
      <c r="J783" s="14">
        <v>70.481844691597757</v>
      </c>
      <c r="K783" s="14">
        <v>67.491650128901156</v>
      </c>
      <c r="L783" s="14">
        <v>61.629706063464099</v>
      </c>
      <c r="M783" s="14">
        <v>66.971000000000004</v>
      </c>
      <c r="N783" s="14">
        <f t="shared" si="324"/>
        <v>37.701033333333328</v>
      </c>
      <c r="O783" s="14">
        <f t="shared" si="325"/>
        <v>66.643550220990747</v>
      </c>
      <c r="P783" s="14">
        <f t="shared" si="341"/>
        <v>52.172291777162037</v>
      </c>
      <c r="Q783" s="14">
        <v>59.822275180248973</v>
      </c>
      <c r="R783" s="17">
        <f t="shared" si="326"/>
        <v>40.177724819751027</v>
      </c>
      <c r="S783" s="14">
        <f t="shared" si="342"/>
        <v>0.46159952337775922</v>
      </c>
      <c r="T783" s="13">
        <v>0</v>
      </c>
      <c r="U783" s="13">
        <f t="shared" si="343"/>
        <v>24.082705017863383</v>
      </c>
      <c r="V783" s="13">
        <f>IF($T783=1,$AU783,(VLOOKUP(U783,'Cortes naturales'!$A$35:$C$39,3,9)))</f>
        <v>4</v>
      </c>
      <c r="W783" s="13">
        <v>4</v>
      </c>
      <c r="X783" s="14" t="b">
        <f t="shared" si="327"/>
        <v>1</v>
      </c>
      <c r="Y783" s="17">
        <f>IF($T783=1,$AU783,VLOOKUP(U783,'Cortes naturales'!$A$45:$C$49,3,9))</f>
        <v>4</v>
      </c>
      <c r="Z783" s="14">
        <v>54.171809505824427</v>
      </c>
      <c r="AA783" s="14">
        <v>0.46763043181417585</v>
      </c>
      <c r="AB783" s="14">
        <v>25.332386671363953</v>
      </c>
      <c r="AC783" s="13">
        <v>4</v>
      </c>
      <c r="AD783" s="13">
        <f t="shared" si="328"/>
        <v>0</v>
      </c>
      <c r="AE783" s="14">
        <f t="shared" si="329"/>
        <v>-1.99951772866239</v>
      </c>
      <c r="AF783" s="14">
        <f t="shared" si="330"/>
        <v>-6.0309084364166266E-3</v>
      </c>
      <c r="AG783" s="13">
        <f t="shared" si="331"/>
        <v>-1.2496816535005699</v>
      </c>
      <c r="AH783" s="13">
        <f>IF($T783=1,$AU783,VLOOKUP(U783,'Cortes naturales'!$A$25:$C$29,3,9))</f>
        <v>4</v>
      </c>
      <c r="AI783" s="13" t="b">
        <f t="shared" si="332"/>
        <v>1</v>
      </c>
      <c r="AJ783" s="13">
        <f t="shared" si="333"/>
        <v>0</v>
      </c>
      <c r="AK783" s="28">
        <v>0.6523467210059386</v>
      </c>
      <c r="AL783" s="28">
        <v>35.338802302082904</v>
      </c>
      <c r="AM783" s="28">
        <v>0.27142515434830455</v>
      </c>
      <c r="AN783" s="13">
        <v>4</v>
      </c>
      <c r="AO783" s="33">
        <f t="shared" si="334"/>
        <v>0</v>
      </c>
      <c r="AP783" s="13">
        <f t="shared" si="344"/>
        <v>27.142515434830454</v>
      </c>
      <c r="AQ783" s="13">
        <f>IFERROR(VLOOKUP(U783,'Cortes naturales'!$E$15:$G$19,3,9),U783)</f>
        <v>4</v>
      </c>
      <c r="AR783" s="28">
        <f t="shared" si="335"/>
        <v>-0.19074719762817938</v>
      </c>
      <c r="AS783" s="13" t="b">
        <f t="shared" si="336"/>
        <v>1</v>
      </c>
      <c r="AT783" s="13">
        <f t="shared" si="345"/>
        <v>0</v>
      </c>
      <c r="AU783" s="13">
        <v>4</v>
      </c>
      <c r="AV783">
        <f t="shared" si="337"/>
        <v>0</v>
      </c>
      <c r="AW783" s="13">
        <v>0</v>
      </c>
      <c r="AX783" s="13">
        <v>0</v>
      </c>
      <c r="AY783" s="13">
        <v>0</v>
      </c>
      <c r="AZ783" s="13">
        <v>1</v>
      </c>
      <c r="BA783">
        <v>1</v>
      </c>
      <c r="BB783" t="s">
        <v>2841</v>
      </c>
      <c r="BC783">
        <v>6</v>
      </c>
      <c r="BD783" t="s">
        <v>2919</v>
      </c>
      <c r="BE783">
        <v>1</v>
      </c>
      <c r="BF783" s="232" t="s">
        <v>2846</v>
      </c>
      <c r="BG783" s="232" t="s">
        <v>2846</v>
      </c>
      <c r="BH783" s="253">
        <v>58.9</v>
      </c>
      <c r="BI783" s="253">
        <v>55.553352406311078</v>
      </c>
      <c r="BJ783" s="25">
        <v>0</v>
      </c>
      <c r="BK783" t="s">
        <v>381</v>
      </c>
      <c r="BL783">
        <v>19.903410206768196</v>
      </c>
      <c r="BM783" t="s">
        <v>376</v>
      </c>
      <c r="BN783" s="322">
        <v>102568.96474</v>
      </c>
      <c r="BO783" s="322">
        <v>12377.774907000001</v>
      </c>
      <c r="BP783" s="10">
        <v>45697</v>
      </c>
      <c r="BQ783" s="254">
        <f t="shared" si="338"/>
        <v>2.2445448221983937</v>
      </c>
      <c r="BR783" s="254">
        <f t="shared" si="339"/>
        <v>0.27086624739041953</v>
      </c>
      <c r="BS783" s="25">
        <v>54.66499871786241</v>
      </c>
      <c r="BT783" s="25">
        <v>95.171743394418399</v>
      </c>
      <c r="BU783" s="25">
        <v>28.896358635863571</v>
      </c>
      <c r="BV783" s="25">
        <v>96.373168777020496</v>
      </c>
      <c r="BW783" s="25">
        <v>46.320837539784478</v>
      </c>
      <c r="BX783" s="25">
        <v>68.776567381291215</v>
      </c>
      <c r="BY783" s="25">
        <v>46.690482665540877</v>
      </c>
      <c r="BZ783">
        <v>67</v>
      </c>
      <c r="CA783">
        <v>0</v>
      </c>
      <c r="CB783">
        <v>7</v>
      </c>
      <c r="CC783">
        <v>164724.75641199999</v>
      </c>
      <c r="CD783" s="10">
        <v>89368.678696000003</v>
      </c>
      <c r="CE783" s="255">
        <v>0.54253337896870979</v>
      </c>
      <c r="CF783" t="str">
        <f>IFERROR(VLOOKUP(CE783,'Rangos amb etnico'!$A$2:$C$6,3,9),"N.D.")</f>
        <v>51% - 70%</v>
      </c>
      <c r="CG783" s="256">
        <v>2.6000717532671199E-3</v>
      </c>
      <c r="CH783" s="232">
        <v>3126.4440399999999</v>
      </c>
      <c r="CI783" s="311">
        <f t="shared" si="346"/>
        <v>1.8979806727898993E-2</v>
      </c>
      <c r="CJ783" s="232" t="str">
        <f>IFERROR(VLOOKUP(CI783,'Rangos amb etnico'!$A$2:$C$6,3,9),"N.D.")</f>
        <v>0,1% - 30%</v>
      </c>
      <c r="CK783" s="311">
        <f t="shared" si="347"/>
        <v>1.2414029784392827E-4</v>
      </c>
      <c r="CL783" s="10">
        <v>0</v>
      </c>
      <c r="CM783" s="255">
        <f t="shared" si="348"/>
        <v>0</v>
      </c>
      <c r="CN783" s="232">
        <f>IFERROR(VLOOKUP(CM783,'Rangos amb etnico'!$A$2:$C$6,3,9),"N.D.")</f>
        <v>0</v>
      </c>
      <c r="CO783" s="311">
        <f t="shared" si="349"/>
        <v>0</v>
      </c>
      <c r="CP783">
        <v>0.95726015531568498</v>
      </c>
      <c r="CQ783" t="s">
        <v>2864</v>
      </c>
      <c r="CR783">
        <f t="shared" si="340"/>
        <v>2</v>
      </c>
      <c r="CS783" t="str">
        <f t="shared" si="350"/>
        <v>No es Candidato</v>
      </c>
      <c r="CT783">
        <v>0</v>
      </c>
      <c r="CU783">
        <v>0</v>
      </c>
      <c r="CV783" s="25">
        <v>47.026668548583977</v>
      </c>
      <c r="CW783" s="25">
        <v>31.473085403442379</v>
      </c>
      <c r="CX783" s="25">
        <v>55.042102813720703</v>
      </c>
      <c r="CY783" s="25">
        <v>55.89013671875</v>
      </c>
      <c r="CZ783" s="25">
        <v>7.1078267097473136</v>
      </c>
      <c r="DA783" s="25">
        <v>80.9647216796875</v>
      </c>
      <c r="DB783" s="25">
        <v>51.682136535644531</v>
      </c>
      <c r="DC783">
        <v>8007</v>
      </c>
      <c r="DD783" s="253" t="s">
        <v>380</v>
      </c>
    </row>
    <row r="784" spans="1:108" hidden="1">
      <c r="A784" s="13">
        <v>19050</v>
      </c>
      <c r="B784" s="13" t="s">
        <v>1995</v>
      </c>
      <c r="C784" s="13" t="s">
        <v>557</v>
      </c>
      <c r="D784" s="13" t="s">
        <v>558</v>
      </c>
      <c r="E784" s="13" t="s">
        <v>1236</v>
      </c>
      <c r="F784" s="14">
        <v>51.095133333333301</v>
      </c>
      <c r="G784" s="13">
        <v>70.31</v>
      </c>
      <c r="H784" s="13">
        <v>65.58</v>
      </c>
      <c r="I784" s="13">
        <v>67.099999999999994</v>
      </c>
      <c r="J784" s="14">
        <v>47.422344718010436</v>
      </c>
      <c r="K784" s="14">
        <v>54.012939429223778</v>
      </c>
      <c r="L784" s="14">
        <v>60.743829313577194</v>
      </c>
      <c r="M784" s="14">
        <v>58.089599999999997</v>
      </c>
      <c r="N784" s="14">
        <f t="shared" si="324"/>
        <v>63.521283333333322</v>
      </c>
      <c r="O784" s="14">
        <f t="shared" si="325"/>
        <v>55.067178365202849</v>
      </c>
      <c r="P784" s="14">
        <f t="shared" si="341"/>
        <v>59.294230849268089</v>
      </c>
      <c r="Q784" s="14">
        <v>60.126635691173604</v>
      </c>
      <c r="R784" s="17">
        <f t="shared" si="326"/>
        <v>39.873364308826396</v>
      </c>
      <c r="S784" s="14">
        <f t="shared" si="342"/>
        <v>0.45886027877943758</v>
      </c>
      <c r="T784" s="13">
        <v>0</v>
      </c>
      <c r="U784" s="13">
        <f t="shared" si="343"/>
        <v>27.207767297507484</v>
      </c>
      <c r="V784" s="13">
        <f>IF($T784=1,$AU784,(VLOOKUP(U784,'Cortes naturales'!$A$35:$C$39,3,9)))</f>
        <v>4</v>
      </c>
      <c r="W784" s="13">
        <v>4</v>
      </c>
      <c r="X784" s="14" t="b">
        <f t="shared" si="327"/>
        <v>1</v>
      </c>
      <c r="Y784" s="17">
        <f>IF($T784=1,$AU784,VLOOKUP(U784,'Cortes naturales'!$A$45:$C$49,3,9))</f>
        <v>4</v>
      </c>
      <c r="Z784" s="14">
        <v>55.62059882899397</v>
      </c>
      <c r="AA784" s="14">
        <v>0.46682070560713051</v>
      </c>
      <c r="AB784" s="14">
        <v>25.964847191642104</v>
      </c>
      <c r="AC784" s="13">
        <v>4</v>
      </c>
      <c r="AD784" s="13">
        <f t="shared" si="328"/>
        <v>0</v>
      </c>
      <c r="AE784" s="14">
        <f t="shared" si="329"/>
        <v>3.6736320202741197</v>
      </c>
      <c r="AF784" s="14">
        <f t="shared" si="330"/>
        <v>-7.9604268276929346E-3</v>
      </c>
      <c r="AG784" s="13">
        <f t="shared" si="331"/>
        <v>1.2429201058653803</v>
      </c>
      <c r="AH784" s="13">
        <f>IF($T784=1,$AU784,VLOOKUP(U784,'Cortes naturales'!$A$25:$C$29,3,9))</f>
        <v>4</v>
      </c>
      <c r="AI784" s="13" t="b">
        <f t="shared" si="332"/>
        <v>1</v>
      </c>
      <c r="AJ784" s="13">
        <f t="shared" si="333"/>
        <v>0</v>
      </c>
      <c r="AK784" s="28">
        <v>0.6523467210059386</v>
      </c>
      <c r="AL784" s="28">
        <v>36.283915266480967</v>
      </c>
      <c r="AM784" s="28">
        <v>0.2832475212899549</v>
      </c>
      <c r="AN784" s="13">
        <v>4</v>
      </c>
      <c r="AO784" s="33">
        <f t="shared" si="334"/>
        <v>0</v>
      </c>
      <c r="AP784" s="13">
        <f t="shared" si="344"/>
        <v>28.324752128995488</v>
      </c>
      <c r="AQ784" s="13">
        <f>IFERROR(VLOOKUP(U784,'Cortes naturales'!$E$15:$G$19,3,9),U784)</f>
        <v>4</v>
      </c>
      <c r="AR784" s="28">
        <f t="shared" si="335"/>
        <v>-0.19348644222650102</v>
      </c>
      <c r="AS784" s="13" t="b">
        <f t="shared" si="336"/>
        <v>1</v>
      </c>
      <c r="AT784" s="13">
        <f t="shared" si="345"/>
        <v>0</v>
      </c>
      <c r="AU784" s="13">
        <v>4</v>
      </c>
      <c r="AV784">
        <f t="shared" si="337"/>
        <v>0</v>
      </c>
      <c r="AW784" s="13">
        <v>0</v>
      </c>
      <c r="AX784" s="13">
        <v>0</v>
      </c>
      <c r="AY784" s="13">
        <v>0</v>
      </c>
      <c r="AZ784" s="13">
        <v>1</v>
      </c>
      <c r="BA784">
        <v>1</v>
      </c>
      <c r="BB784" t="s">
        <v>2841</v>
      </c>
      <c r="BC784">
        <v>6</v>
      </c>
      <c r="BD784" t="s">
        <v>2919</v>
      </c>
      <c r="BE784">
        <v>0</v>
      </c>
      <c r="BF784" s="232" t="s">
        <v>2846</v>
      </c>
      <c r="BG784" s="232" t="s">
        <v>2846</v>
      </c>
      <c r="BH784" s="253">
        <v>50.1</v>
      </c>
      <c r="BI784" s="253">
        <v>23.397741530740277</v>
      </c>
      <c r="BJ784" s="25">
        <v>14.453333333333333</v>
      </c>
      <c r="BK784" t="s">
        <v>379</v>
      </c>
      <c r="BL784">
        <v>100</v>
      </c>
      <c r="BM784" t="s">
        <v>384</v>
      </c>
      <c r="BN784" s="322">
        <v>53666.756771</v>
      </c>
      <c r="BO784" s="322">
        <v>3733.5666430000001</v>
      </c>
      <c r="BP784" s="10">
        <v>27464</v>
      </c>
      <c r="BQ784" s="254">
        <f t="shared" si="338"/>
        <v>1.9540764918074571</v>
      </c>
      <c r="BR784" s="254">
        <f t="shared" si="339"/>
        <v>0.13594402282988641</v>
      </c>
      <c r="BS784" s="25">
        <v>73.280456582035413</v>
      </c>
      <c r="BT784" s="25">
        <v>95.54043999999999</v>
      </c>
      <c r="BU784" s="25">
        <v>53.302474335255901</v>
      </c>
      <c r="BV784" s="25">
        <v>74.850572330525608</v>
      </c>
      <c r="BW784" s="25">
        <v>38.962329124303807</v>
      </c>
      <c r="BX784" s="25">
        <v>74.24348581195423</v>
      </c>
      <c r="BY784" s="25">
        <v>39.727281023404181</v>
      </c>
      <c r="BZ784">
        <v>26</v>
      </c>
      <c r="CA784">
        <v>1</v>
      </c>
      <c r="CB784">
        <v>7</v>
      </c>
      <c r="CC784">
        <v>77645.549083999998</v>
      </c>
      <c r="CD784" s="10">
        <v>52891.353229</v>
      </c>
      <c r="CE784" s="255">
        <v>0.68118976364994288</v>
      </c>
      <c r="CF784" t="str">
        <f>IFERROR(VLOOKUP(CE784,'Rangos amb etnico'!$A$2:$C$6,3,9),"N.D.")</f>
        <v>51% - 70%</v>
      </c>
      <c r="CG784" s="256">
        <v>1.5388088481266963E-3</v>
      </c>
      <c r="CH784" s="232">
        <v>15302.742025</v>
      </c>
      <c r="CI784" s="311">
        <f t="shared" si="346"/>
        <v>0.19708460054091309</v>
      </c>
      <c r="CJ784" s="232" t="str">
        <f>IFERROR(VLOOKUP(CI784,'Rangos amb etnico'!$A$2:$C$6,3,9),"N.D.")</f>
        <v>0,1% - 30%</v>
      </c>
      <c r="CK784" s="311">
        <f t="shared" si="347"/>
        <v>6.0761904851247485E-4</v>
      </c>
      <c r="CL784" s="10">
        <v>0</v>
      </c>
      <c r="CM784" s="255">
        <f t="shared" si="348"/>
        <v>0</v>
      </c>
      <c r="CN784" s="232">
        <f>IFERROR(VLOOKUP(CM784,'Rangos amb etnico'!$A$2:$C$6,3,9),"N.D.")</f>
        <v>0</v>
      </c>
      <c r="CO784" s="311">
        <f t="shared" si="349"/>
        <v>0</v>
      </c>
      <c r="CP784">
        <v>0.95148360378612495</v>
      </c>
      <c r="CQ784" t="s">
        <v>2864</v>
      </c>
      <c r="CR784">
        <f t="shared" si="340"/>
        <v>2</v>
      </c>
      <c r="CS784" t="str">
        <f t="shared" si="350"/>
        <v>No es Candidato</v>
      </c>
      <c r="CT784">
        <v>0</v>
      </c>
      <c r="CU784">
        <v>0</v>
      </c>
      <c r="CV784" s="25">
        <v>34.951923370361328</v>
      </c>
      <c r="CW784" s="25">
        <v>9.6360063552856445</v>
      </c>
      <c r="CX784" s="25">
        <v>37.450374603271477</v>
      </c>
      <c r="CY784" s="25">
        <v>47.370025634765618</v>
      </c>
      <c r="CZ784" s="25">
        <v>14.02773284912109</v>
      </c>
      <c r="DA784" s="25">
        <v>51.621212005615227</v>
      </c>
      <c r="DB784" s="25">
        <v>49.606189727783203</v>
      </c>
      <c r="DC784">
        <v>1258</v>
      </c>
      <c r="DD784" s="253" t="s">
        <v>380</v>
      </c>
    </row>
    <row r="785" spans="1:108" hidden="1">
      <c r="A785" s="13">
        <v>68444</v>
      </c>
      <c r="B785" s="13" t="s">
        <v>1996</v>
      </c>
      <c r="C785" s="13" t="s">
        <v>431</v>
      </c>
      <c r="D785" s="13" t="s">
        <v>432</v>
      </c>
      <c r="E785" s="13" t="s">
        <v>1997</v>
      </c>
      <c r="F785" s="14">
        <v>56.179600000000001</v>
      </c>
      <c r="G785" s="13">
        <v>43.2</v>
      </c>
      <c r="H785" s="13">
        <v>39.659999999999997</v>
      </c>
      <c r="I785" s="13">
        <v>43.16</v>
      </c>
      <c r="J785" s="14">
        <v>42.352198072728889</v>
      </c>
      <c r="K785" s="14">
        <v>51.487759487253108</v>
      </c>
      <c r="L785" s="14">
        <v>50.471970489927429</v>
      </c>
      <c r="M785" s="14">
        <v>47.835099999999997</v>
      </c>
      <c r="N785" s="14">
        <f t="shared" si="324"/>
        <v>45.549900000000001</v>
      </c>
      <c r="O785" s="14">
        <f t="shared" si="325"/>
        <v>48.036757012477352</v>
      </c>
      <c r="P785" s="14">
        <f t="shared" si="341"/>
        <v>46.79332850623868</v>
      </c>
      <c r="Q785" s="14">
        <v>59.481442031328058</v>
      </c>
      <c r="R785" s="17">
        <f t="shared" si="326"/>
        <v>40.518557968671942</v>
      </c>
      <c r="S785" s="14">
        <f t="shared" si="342"/>
        <v>0.46466702171804752</v>
      </c>
      <c r="T785" s="13">
        <v>0</v>
      </c>
      <c r="U785" s="13">
        <f t="shared" si="343"/>
        <v>21.74331659326814</v>
      </c>
      <c r="V785" s="13">
        <f>IF($T785=1,$AU785,(VLOOKUP(U785,'Cortes naturales'!$A$35:$C$39,3,9)))</f>
        <v>5</v>
      </c>
      <c r="W785" s="13">
        <v>5</v>
      </c>
      <c r="X785" s="14" t="b">
        <f t="shared" si="327"/>
        <v>1</v>
      </c>
      <c r="Y785" s="17">
        <f>IF($T785=1,$AU785,VLOOKUP(U785,'Cortes naturales'!$A$45:$C$49,3,9))</f>
        <v>4</v>
      </c>
      <c r="Z785" s="14">
        <v>48.546109766061939</v>
      </c>
      <c r="AA785" s="14">
        <v>0.46710603620403424</v>
      </c>
      <c r="AB785" s="14">
        <v>22.676180905951149</v>
      </c>
      <c r="AC785" s="13">
        <v>4</v>
      </c>
      <c r="AD785" s="13">
        <f t="shared" si="328"/>
        <v>0</v>
      </c>
      <c r="AE785" s="14">
        <f t="shared" si="329"/>
        <v>-1.7527812598232586</v>
      </c>
      <c r="AF785" s="14">
        <f t="shared" si="330"/>
        <v>-2.4390144859867124E-3</v>
      </c>
      <c r="AG785" s="13">
        <f t="shared" si="331"/>
        <v>-0.93286431268300873</v>
      </c>
      <c r="AH785" s="13">
        <f>IF($T785=1,$AU785,VLOOKUP(U785,'Cortes naturales'!$A$25:$C$29,3,9))</f>
        <v>4</v>
      </c>
      <c r="AI785" s="13" t="b">
        <f t="shared" si="332"/>
        <v>1</v>
      </c>
      <c r="AJ785" s="13">
        <f t="shared" si="333"/>
        <v>0</v>
      </c>
      <c r="AK785" s="28">
        <v>0.6523467210059386</v>
      </c>
      <c r="AL785" s="28">
        <v>31.668895523484878</v>
      </c>
      <c r="AM785" s="28">
        <v>0.225518488994424</v>
      </c>
      <c r="AN785" s="13">
        <v>4</v>
      </c>
      <c r="AO785" s="33">
        <f t="shared" si="334"/>
        <v>0</v>
      </c>
      <c r="AP785" s="13">
        <f t="shared" si="344"/>
        <v>22.551848899442401</v>
      </c>
      <c r="AQ785" s="13">
        <f>IFERROR(VLOOKUP(U785,'Cortes naturales'!$E$15:$G$19,3,9),U785)</f>
        <v>4</v>
      </c>
      <c r="AR785" s="28">
        <f t="shared" si="335"/>
        <v>-0.18767969928789108</v>
      </c>
      <c r="AS785" s="13" t="b">
        <f t="shared" si="336"/>
        <v>1</v>
      </c>
      <c r="AT785" s="13">
        <f t="shared" si="345"/>
        <v>0</v>
      </c>
      <c r="AU785" s="13">
        <v>4</v>
      </c>
      <c r="AV785">
        <f t="shared" si="337"/>
        <v>0</v>
      </c>
      <c r="AW785" s="13">
        <v>0</v>
      </c>
      <c r="AX785" s="13">
        <v>0</v>
      </c>
      <c r="AY785" s="13">
        <v>0</v>
      </c>
      <c r="AZ785" s="13">
        <v>0</v>
      </c>
      <c r="BA785">
        <v>1</v>
      </c>
      <c r="BB785" t="s">
        <v>2840</v>
      </c>
      <c r="BC785">
        <v>6</v>
      </c>
      <c r="BD785" t="s">
        <v>2919</v>
      </c>
      <c r="BE785">
        <v>0</v>
      </c>
      <c r="BF785" s="232" t="s">
        <v>2846</v>
      </c>
      <c r="BG785" s="232" t="s">
        <v>2846</v>
      </c>
      <c r="BH785" s="253">
        <v>38.200000000000003</v>
      </c>
      <c r="BI785" s="253">
        <v>13.937360178970918</v>
      </c>
      <c r="BJ785" s="25">
        <v>52.314298409728728</v>
      </c>
      <c r="BK785" t="s">
        <v>376</v>
      </c>
      <c r="BL785">
        <v>0.10441865825087028</v>
      </c>
      <c r="BM785" t="s">
        <v>377</v>
      </c>
      <c r="BN785" s="322">
        <v>13986.020188</v>
      </c>
      <c r="BO785" s="322">
        <v>650.48759399999994</v>
      </c>
      <c r="BP785" s="10">
        <v>5607</v>
      </c>
      <c r="BQ785" s="254">
        <f t="shared" si="338"/>
        <v>2.494385622971286</v>
      </c>
      <c r="BR785" s="254">
        <f t="shared" si="339"/>
        <v>0.11601348207597645</v>
      </c>
      <c r="BS785" s="25">
        <v>78.914141414141412</v>
      </c>
      <c r="BT785" s="25">
        <v>83.987803407645202</v>
      </c>
      <c r="BU785" s="25">
        <v>50.738333333333337</v>
      </c>
      <c r="BV785" s="25">
        <v>91.9339249027759</v>
      </c>
      <c r="BW785" s="25">
        <v>47.304357996501793</v>
      </c>
      <c r="BX785" s="25">
        <v>76.393550764473972</v>
      </c>
      <c r="BY785" s="25">
        <v>47.962395636231882</v>
      </c>
      <c r="BZ785">
        <v>39</v>
      </c>
      <c r="CA785">
        <v>0</v>
      </c>
      <c r="CB785">
        <v>7</v>
      </c>
      <c r="CC785">
        <v>23529.742144</v>
      </c>
      <c r="CD785" s="10">
        <v>7178.4227739999997</v>
      </c>
      <c r="CE785" s="255">
        <v>0.30507868424858503</v>
      </c>
      <c r="CF785" t="str">
        <f>IFERROR(VLOOKUP(CE785,'Rangos amb etnico'!$A$2:$C$6,3,9),"N.D.")</f>
        <v>0,1% - 30%</v>
      </c>
      <c r="CG785" s="256">
        <v>2.0884737874637718E-4</v>
      </c>
      <c r="CH785" s="232">
        <v>0</v>
      </c>
      <c r="CI785" s="311">
        <f t="shared" si="346"/>
        <v>0</v>
      </c>
      <c r="CJ785" s="232">
        <f>IFERROR(VLOOKUP(CI785,'Rangos amb etnico'!$A$2:$C$6,3,9),"N.D.")</f>
        <v>0</v>
      </c>
      <c r="CK785" s="311">
        <f t="shared" si="347"/>
        <v>0</v>
      </c>
      <c r="CL785" s="10">
        <v>0</v>
      </c>
      <c r="CM785" s="255">
        <f t="shared" si="348"/>
        <v>0</v>
      </c>
      <c r="CN785" s="232">
        <f>IFERROR(VLOOKUP(CM785,'Rangos amb etnico'!$A$2:$C$6,3,9),"N.D.")</f>
        <v>0</v>
      </c>
      <c r="CO785" s="311">
        <f t="shared" si="349"/>
        <v>0</v>
      </c>
      <c r="CP785">
        <v>0.93400928197297484</v>
      </c>
      <c r="CQ785" t="s">
        <v>2864</v>
      </c>
      <c r="CR785">
        <f t="shared" si="340"/>
        <v>1</v>
      </c>
      <c r="CS785" t="str">
        <f t="shared" si="350"/>
        <v>No es Candidato</v>
      </c>
      <c r="CT785">
        <v>0</v>
      </c>
      <c r="CU785">
        <v>0</v>
      </c>
      <c r="CV785" s="25">
        <v>52.962688446044922</v>
      </c>
      <c r="CW785" s="25">
        <v>22.248508453369141</v>
      </c>
      <c r="CX785" s="25">
        <v>55.727737426757813</v>
      </c>
      <c r="CY785" s="25">
        <v>65.179306030273438</v>
      </c>
      <c r="CZ785" s="25">
        <v>53.947830200195313</v>
      </c>
      <c r="DA785" s="25">
        <v>77.147262573242188</v>
      </c>
      <c r="DB785" s="25">
        <v>43.525493621826172</v>
      </c>
      <c r="DC785">
        <v>37</v>
      </c>
      <c r="DD785" s="253" t="s">
        <v>380</v>
      </c>
    </row>
    <row r="786" spans="1:108" hidden="1">
      <c r="A786" s="13">
        <v>68575</v>
      </c>
      <c r="B786" s="13" t="s">
        <v>1998</v>
      </c>
      <c r="C786" s="13" t="s">
        <v>431</v>
      </c>
      <c r="D786" s="13" t="s">
        <v>432</v>
      </c>
      <c r="E786" s="13" t="s">
        <v>1999</v>
      </c>
      <c r="F786" s="14">
        <v>44.027900000000002</v>
      </c>
      <c r="G786" s="13">
        <v>54.9</v>
      </c>
      <c r="H786" s="13">
        <v>43.96</v>
      </c>
      <c r="I786" s="13">
        <v>56.1</v>
      </c>
      <c r="J786" s="14">
        <v>57.129400685816229</v>
      </c>
      <c r="K786" s="14">
        <v>60.556555361000697</v>
      </c>
      <c r="L786" s="14">
        <v>65.073329573767481</v>
      </c>
      <c r="M786" s="14">
        <v>65.004199999999997</v>
      </c>
      <c r="N786" s="14">
        <f t="shared" si="324"/>
        <v>49.746974999999999</v>
      </c>
      <c r="O786" s="14">
        <f t="shared" si="325"/>
        <v>61.940871405146105</v>
      </c>
      <c r="P786" s="14">
        <f t="shared" si="341"/>
        <v>55.843923202573052</v>
      </c>
      <c r="Q786" s="14">
        <v>59.689688651158512</v>
      </c>
      <c r="R786" s="17">
        <f t="shared" si="326"/>
        <v>40.310311348841488</v>
      </c>
      <c r="S786" s="14">
        <f t="shared" si="342"/>
        <v>0.46279280213957341</v>
      </c>
      <c r="T786" s="13">
        <v>0</v>
      </c>
      <c r="U786" s="13">
        <f t="shared" si="343"/>
        <v>25.844165701385922</v>
      </c>
      <c r="V786" s="13">
        <f>IF($T786=1,$AU786,(VLOOKUP(U786,'Cortes naturales'!$A$35:$C$39,3,9)))</f>
        <v>4</v>
      </c>
      <c r="W786" s="13">
        <v>4</v>
      </c>
      <c r="X786" s="14" t="b">
        <f t="shared" si="327"/>
        <v>1</v>
      </c>
      <c r="Y786" s="17">
        <f>IF($T786=1,$AU786,VLOOKUP(U786,'Cortes naturales'!$A$45:$C$49,3,9))</f>
        <v>4</v>
      </c>
      <c r="Z786" s="14">
        <v>52.017738571267529</v>
      </c>
      <c r="AA786" s="14">
        <v>0.46708025555318322</v>
      </c>
      <c r="AB786" s="14">
        <v>24.296458625166313</v>
      </c>
      <c r="AC786" s="13">
        <v>4</v>
      </c>
      <c r="AD786" s="13">
        <f t="shared" si="328"/>
        <v>0</v>
      </c>
      <c r="AE786" s="14">
        <f t="shared" si="329"/>
        <v>3.826184631305523</v>
      </c>
      <c r="AF786" s="14">
        <f t="shared" si="330"/>
        <v>-4.2874534136098097E-3</v>
      </c>
      <c r="AG786" s="13">
        <f t="shared" si="331"/>
        <v>1.5477070762196092</v>
      </c>
      <c r="AH786" s="13">
        <f>IF($T786=1,$AU786,VLOOKUP(U786,'Cortes naturales'!$A$25:$C$29,3,9))</f>
        <v>4</v>
      </c>
      <c r="AI786" s="13" t="b">
        <f t="shared" si="332"/>
        <v>1</v>
      </c>
      <c r="AJ786" s="13">
        <f t="shared" si="333"/>
        <v>0</v>
      </c>
      <c r="AK786" s="28">
        <v>0.6523467210059386</v>
      </c>
      <c r="AL786" s="28">
        <v>33.933601191110512</v>
      </c>
      <c r="AM786" s="28">
        <v>0.25384756967162941</v>
      </c>
      <c r="AN786" s="13">
        <v>4</v>
      </c>
      <c r="AO786" s="33">
        <f t="shared" si="334"/>
        <v>0</v>
      </c>
      <c r="AP786" s="13">
        <f t="shared" si="344"/>
        <v>25.384756967162943</v>
      </c>
      <c r="AQ786" s="13">
        <f>IFERROR(VLOOKUP(U786,'Cortes naturales'!$E$15:$G$19,3,9),U786)</f>
        <v>4</v>
      </c>
      <c r="AR786" s="28">
        <f t="shared" si="335"/>
        <v>-0.18955391886636519</v>
      </c>
      <c r="AS786" s="13" t="b">
        <f t="shared" si="336"/>
        <v>1</v>
      </c>
      <c r="AT786" s="13">
        <f t="shared" si="345"/>
        <v>0</v>
      </c>
      <c r="AU786" s="13">
        <v>4</v>
      </c>
      <c r="AV786">
        <f t="shared" si="337"/>
        <v>0</v>
      </c>
      <c r="AW786" s="13">
        <v>0</v>
      </c>
      <c r="AX786" s="13">
        <v>0</v>
      </c>
      <c r="AY786" s="13">
        <v>0</v>
      </c>
      <c r="AZ786" s="13">
        <v>0</v>
      </c>
      <c r="BA786">
        <v>0</v>
      </c>
      <c r="BB786" t="s">
        <v>2840</v>
      </c>
      <c r="BC786">
        <v>6</v>
      </c>
      <c r="BD786" t="s">
        <v>2919</v>
      </c>
      <c r="BE786">
        <v>0</v>
      </c>
      <c r="BF786" s="232" t="s">
        <v>2846</v>
      </c>
      <c r="BG786" s="232" t="s">
        <v>2846</v>
      </c>
      <c r="BH786" s="253">
        <v>40.299999999999997</v>
      </c>
      <c r="BI786" s="253">
        <v>32.099817023156035</v>
      </c>
      <c r="BJ786" s="25">
        <v>22.214996866983661</v>
      </c>
      <c r="BK786" t="s">
        <v>379</v>
      </c>
      <c r="BL786">
        <v>5.5429118777302593</v>
      </c>
      <c r="BM786" t="s">
        <v>383</v>
      </c>
      <c r="BN786" s="322">
        <v>79987.296843999997</v>
      </c>
      <c r="BO786" s="322">
        <v>15582.497122000001</v>
      </c>
      <c r="BP786" s="10">
        <v>36099</v>
      </c>
      <c r="BQ786" s="254">
        <f t="shared" si="338"/>
        <v>2.2157759728524336</v>
      </c>
      <c r="BR786" s="254">
        <f t="shared" si="339"/>
        <v>0.43166007706584669</v>
      </c>
      <c r="BS786" s="25">
        <v>62.760074960399898</v>
      </c>
      <c r="BT786" s="25">
        <v>90.701493116152804</v>
      </c>
      <c r="BU786" s="25">
        <v>47.096510394865327</v>
      </c>
      <c r="BV786" s="25">
        <v>86.636951486486581</v>
      </c>
      <c r="BW786" s="25">
        <v>61.737589973952772</v>
      </c>
      <c r="BX786" s="25">
        <v>71.798757489476159</v>
      </c>
      <c r="BY786" s="25">
        <v>63.228888207816979</v>
      </c>
      <c r="BZ786">
        <v>95</v>
      </c>
      <c r="CA786">
        <v>0</v>
      </c>
      <c r="CB786">
        <v>7</v>
      </c>
      <c r="CC786">
        <v>148048.890701</v>
      </c>
      <c r="CD786" s="10">
        <v>10282.997135</v>
      </c>
      <c r="CE786" s="255">
        <v>6.9456765844788215E-2</v>
      </c>
      <c r="CF786" t="str">
        <f>IFERROR(VLOOKUP(CE786,'Rangos amb etnico'!$A$2:$C$6,3,9),"N.D.")</f>
        <v>0,1% - 30%</v>
      </c>
      <c r="CG786" s="256">
        <v>2.9917115011388106E-4</v>
      </c>
      <c r="CH786" s="232">
        <v>0</v>
      </c>
      <c r="CI786" s="311">
        <f t="shared" si="346"/>
        <v>0</v>
      </c>
      <c r="CJ786" s="232">
        <f>IFERROR(VLOOKUP(CI786,'Rangos amb etnico'!$A$2:$C$6,3,9),"N.D.")</f>
        <v>0</v>
      </c>
      <c r="CK786" s="311">
        <f t="shared" si="347"/>
        <v>0</v>
      </c>
      <c r="CL786" s="10">
        <v>128.683960114</v>
      </c>
      <c r="CM786" s="255">
        <f t="shared" si="348"/>
        <v>8.6919908352363503E-4</v>
      </c>
      <c r="CN786" s="232">
        <f>IFERROR(VLOOKUP(CM786,'Rangos amb etnico'!$A$2:$C$6,3,9),"N.D.")</f>
        <v>0</v>
      </c>
      <c r="CO786" s="311">
        <f t="shared" si="349"/>
        <v>8.0698605244751146E-5</v>
      </c>
      <c r="CP786">
        <v>0.87557709968264286</v>
      </c>
      <c r="CQ786" t="s">
        <v>2864</v>
      </c>
      <c r="CR786">
        <f t="shared" si="340"/>
        <v>3</v>
      </c>
      <c r="CS786" t="str">
        <f t="shared" si="350"/>
        <v>Candidato</v>
      </c>
      <c r="CT786">
        <v>0</v>
      </c>
      <c r="CU786">
        <v>0</v>
      </c>
      <c r="CV786" s="25">
        <v>34.653114318847663</v>
      </c>
      <c r="CW786" s="25">
        <v>38.332992553710938</v>
      </c>
      <c r="CX786" s="25">
        <v>44.894927978515618</v>
      </c>
      <c r="CY786" s="25">
        <v>60.740394592285163</v>
      </c>
      <c r="CZ786" s="25">
        <v>5.2214226722717294</v>
      </c>
      <c r="DA786" s="25">
        <v>15.661952018737789</v>
      </c>
      <c r="DB786" s="25">
        <v>43.067008972167969</v>
      </c>
      <c r="DC786">
        <v>1064</v>
      </c>
      <c r="DD786" s="253" t="s">
        <v>380</v>
      </c>
    </row>
    <row r="787" spans="1:108" hidden="1">
      <c r="A787" s="13">
        <v>68867</v>
      </c>
      <c r="B787" s="13" t="s">
        <v>2000</v>
      </c>
      <c r="C787" s="13" t="s">
        <v>431</v>
      </c>
      <c r="D787" s="13" t="s">
        <v>432</v>
      </c>
      <c r="E787" s="13" t="s">
        <v>2001</v>
      </c>
      <c r="F787" s="14">
        <v>53.948966666666699</v>
      </c>
      <c r="G787" s="13">
        <v>35.119999999999997</v>
      </c>
      <c r="H787" s="13">
        <v>42.75</v>
      </c>
      <c r="I787" s="13">
        <v>68.5</v>
      </c>
      <c r="J787" s="14">
        <v>47.900495343255344</v>
      </c>
      <c r="K787" s="14">
        <v>55.896785793211791</v>
      </c>
      <c r="L787" s="14">
        <v>46.865619457414766</v>
      </c>
      <c r="M787" s="14">
        <v>55.1755</v>
      </c>
      <c r="N787" s="14">
        <f t="shared" si="324"/>
        <v>50.079741666666678</v>
      </c>
      <c r="O787" s="14">
        <f t="shared" si="325"/>
        <v>51.459600148470471</v>
      </c>
      <c r="P787" s="14">
        <f t="shared" si="341"/>
        <v>50.769670907568575</v>
      </c>
      <c r="Q787" s="14">
        <v>60.326096455778213</v>
      </c>
      <c r="R787" s="17">
        <f t="shared" si="326"/>
        <v>39.673903544221787</v>
      </c>
      <c r="S787" s="14">
        <f t="shared" si="342"/>
        <v>0.45706513189799614</v>
      </c>
      <c r="T787" s="13">
        <v>0</v>
      </c>
      <c r="U787" s="13">
        <f t="shared" si="343"/>
        <v>23.205046329785688</v>
      </c>
      <c r="V787" s="13">
        <f>IF($T787=1,$AU787,(VLOOKUP(U787,'Cortes naturales'!$A$35:$C$39,3,9)))</f>
        <v>4</v>
      </c>
      <c r="W787" s="13">
        <v>4</v>
      </c>
      <c r="X787" s="14" t="b">
        <f t="shared" si="327"/>
        <v>1</v>
      </c>
      <c r="Y787" s="17">
        <f>IF($T787=1,$AU787,VLOOKUP(U787,'Cortes naturales'!$A$45:$C$49,3,9))</f>
        <v>4</v>
      </c>
      <c r="Z787" s="14">
        <v>48.568724586244073</v>
      </c>
      <c r="AA787" s="14">
        <v>0.46789789929178149</v>
      </c>
      <c r="AB787" s="14">
        <v>22.725204205184703</v>
      </c>
      <c r="AC787" s="13">
        <v>4</v>
      </c>
      <c r="AD787" s="13">
        <f t="shared" si="328"/>
        <v>0</v>
      </c>
      <c r="AE787" s="14">
        <f t="shared" si="329"/>
        <v>2.2009463213245013</v>
      </c>
      <c r="AF787" s="14">
        <f t="shared" si="330"/>
        <v>-1.0832767393785359E-2</v>
      </c>
      <c r="AG787" s="13">
        <f t="shared" si="331"/>
        <v>0.47984212460098519</v>
      </c>
      <c r="AH787" s="13">
        <f>IF($T787=1,$AU787,VLOOKUP(U787,'Cortes naturales'!$A$25:$C$29,3,9))</f>
        <v>4</v>
      </c>
      <c r="AI787" s="13" t="b">
        <f t="shared" si="332"/>
        <v>1</v>
      </c>
      <c r="AJ787" s="13">
        <f t="shared" si="333"/>
        <v>0</v>
      </c>
      <c r="AK787" s="28">
        <v>0.6523467210059386</v>
      </c>
      <c r="AL787" s="28">
        <v>31.683648227276834</v>
      </c>
      <c r="AM787" s="28">
        <v>0.22570302976804577</v>
      </c>
      <c r="AN787" s="13">
        <v>4</v>
      </c>
      <c r="AO787" s="33">
        <f t="shared" si="334"/>
        <v>0</v>
      </c>
      <c r="AP787" s="13">
        <f t="shared" si="344"/>
        <v>22.570302976804577</v>
      </c>
      <c r="AQ787" s="13">
        <f>IFERROR(VLOOKUP(U787,'Cortes naturales'!$E$15:$G$19,3,9),U787)</f>
        <v>4</v>
      </c>
      <c r="AR787" s="28">
        <f t="shared" si="335"/>
        <v>-0.19528158910794247</v>
      </c>
      <c r="AS787" s="13" t="b">
        <f t="shared" si="336"/>
        <v>1</v>
      </c>
      <c r="AT787" s="13">
        <f t="shared" si="345"/>
        <v>0</v>
      </c>
      <c r="AU787" s="13">
        <v>4</v>
      </c>
      <c r="AV787">
        <f t="shared" si="337"/>
        <v>0</v>
      </c>
      <c r="AW787" s="13">
        <v>0</v>
      </c>
      <c r="AX787" s="13">
        <v>0</v>
      </c>
      <c r="AY787" s="13">
        <v>0</v>
      </c>
      <c r="AZ787" s="13">
        <v>0</v>
      </c>
      <c r="BA787">
        <v>0</v>
      </c>
      <c r="BB787" t="s">
        <v>2840</v>
      </c>
      <c r="BC787">
        <v>6</v>
      </c>
      <c r="BD787" t="s">
        <v>2919</v>
      </c>
      <c r="BE787">
        <v>0</v>
      </c>
      <c r="BF787" s="232" t="s">
        <v>2846</v>
      </c>
      <c r="BG787" s="232" t="s">
        <v>2845</v>
      </c>
      <c r="BH787" s="253">
        <v>31.9</v>
      </c>
      <c r="BI787" s="253">
        <v>8.6833144154370032</v>
      </c>
      <c r="BJ787" s="25">
        <v>33.842500000000001</v>
      </c>
      <c r="BK787" t="s">
        <v>379</v>
      </c>
      <c r="BL787">
        <v>0</v>
      </c>
      <c r="BM787" t="s">
        <v>377</v>
      </c>
      <c r="BN787" s="322">
        <v>6082.6872700000004</v>
      </c>
      <c r="BO787" s="322">
        <v>457.23641300000003</v>
      </c>
      <c r="BP787" s="10">
        <v>2162</v>
      </c>
      <c r="BQ787" s="254">
        <f t="shared" si="338"/>
        <v>2.8134538714153563</v>
      </c>
      <c r="BR787" s="254">
        <f t="shared" si="339"/>
        <v>0.21148770259019428</v>
      </c>
      <c r="BS787" s="25">
        <v>49.099667395662472</v>
      </c>
      <c r="BT787" s="25">
        <v>66.895563320999074</v>
      </c>
      <c r="BU787" s="25">
        <v>46.362702104097437</v>
      </c>
      <c r="BV787" s="25">
        <v>96.138405398860996</v>
      </c>
      <c r="BW787" s="25">
        <v>40.228525643616877</v>
      </c>
      <c r="BX787" s="25">
        <v>64.624084554904996</v>
      </c>
      <c r="BY787" s="25">
        <v>40.714227926341579</v>
      </c>
      <c r="BZ787">
        <v>39</v>
      </c>
      <c r="CA787">
        <v>0</v>
      </c>
      <c r="CB787">
        <v>7</v>
      </c>
      <c r="CC787">
        <v>9223.5157309999995</v>
      </c>
      <c r="CD787" s="10">
        <v>7927.6110280000003</v>
      </c>
      <c r="CE787" s="255">
        <v>0.85949991946731363</v>
      </c>
      <c r="CF787" t="str">
        <f>IFERROR(VLOOKUP(CE787,'Rangos amb etnico'!$A$2:$C$6,3,9),"N.D.")</f>
        <v>71% - 100%</v>
      </c>
      <c r="CG787" s="256">
        <v>2.3064408924414694E-4</v>
      </c>
      <c r="CH787" s="232">
        <v>0</v>
      </c>
      <c r="CI787" s="311">
        <f t="shared" si="346"/>
        <v>0</v>
      </c>
      <c r="CJ787" s="232">
        <f>IFERROR(VLOOKUP(CI787,'Rangos amb etnico'!$A$2:$C$6,3,9),"N.D.")</f>
        <v>0</v>
      </c>
      <c r="CK787" s="311">
        <f t="shared" si="347"/>
        <v>0</v>
      </c>
      <c r="CL787" s="10">
        <v>0</v>
      </c>
      <c r="CM787" s="255">
        <f t="shared" si="348"/>
        <v>0</v>
      </c>
      <c r="CN787" s="232">
        <f>IFERROR(VLOOKUP(CM787,'Rangos amb etnico'!$A$2:$C$6,3,9),"N.D.")</f>
        <v>0</v>
      </c>
      <c r="CO787" s="311">
        <f t="shared" si="349"/>
        <v>0</v>
      </c>
      <c r="CP787">
        <v>0.9825709835261538</v>
      </c>
      <c r="CQ787" t="s">
        <v>2864</v>
      </c>
      <c r="CR787">
        <f t="shared" si="340"/>
        <v>2</v>
      </c>
      <c r="CS787" t="str">
        <f t="shared" si="350"/>
        <v>No es Candidato</v>
      </c>
      <c r="CT787">
        <v>0</v>
      </c>
      <c r="CU787">
        <v>0</v>
      </c>
      <c r="CV787" s="25">
        <v>55.412590026855469</v>
      </c>
      <c r="CW787" s="25">
        <v>21.72067832946777</v>
      </c>
      <c r="CX787" s="25">
        <v>55.947162628173828</v>
      </c>
      <c r="CY787" s="25">
        <v>62.477893829345703</v>
      </c>
      <c r="CZ787" s="25">
        <v>46.309799194335938</v>
      </c>
      <c r="DA787" s="25">
        <v>81.154708862304688</v>
      </c>
      <c r="DB787" s="25">
        <v>64.86529541015625</v>
      </c>
      <c r="DC787">
        <v>11</v>
      </c>
      <c r="DD787" s="253" t="s">
        <v>380</v>
      </c>
    </row>
    <row r="788" spans="1:108" hidden="1">
      <c r="A788" s="13">
        <v>15542</v>
      </c>
      <c r="B788" s="13" t="s">
        <v>2002</v>
      </c>
      <c r="C788" s="13" t="s">
        <v>498</v>
      </c>
      <c r="D788" s="13" t="s">
        <v>499</v>
      </c>
      <c r="E788" s="13" t="s">
        <v>2003</v>
      </c>
      <c r="F788" s="14">
        <v>62.208399999999997</v>
      </c>
      <c r="G788" s="13">
        <v>44.24</v>
      </c>
      <c r="H788" s="13">
        <v>64.790000000000006</v>
      </c>
      <c r="I788" s="13">
        <v>62.35</v>
      </c>
      <c r="J788" s="14">
        <v>63.924968941123794</v>
      </c>
      <c r="K788" s="14">
        <v>59.929657231148241</v>
      </c>
      <c r="L788" s="14">
        <v>67.174637912435969</v>
      </c>
      <c r="M788" s="14">
        <v>63.901600000000002</v>
      </c>
      <c r="N788" s="14">
        <f t="shared" si="324"/>
        <v>58.397100000000002</v>
      </c>
      <c r="O788" s="14">
        <f t="shared" si="325"/>
        <v>63.732716021177005</v>
      </c>
      <c r="P788" s="14">
        <f t="shared" si="341"/>
        <v>61.064908010588503</v>
      </c>
      <c r="Q788" s="14">
        <v>60.321881017837029</v>
      </c>
      <c r="R788" s="17">
        <f t="shared" si="326"/>
        <v>39.678118982162971</v>
      </c>
      <c r="S788" s="14">
        <f t="shared" si="342"/>
        <v>0.45710307083946677</v>
      </c>
      <c r="T788" s="13">
        <v>0</v>
      </c>
      <c r="U788" s="13">
        <f t="shared" si="343"/>
        <v>27.91295697216956</v>
      </c>
      <c r="V788" s="13">
        <f>IF($T788=1,$AU788,(VLOOKUP(U788,'Cortes naturales'!$A$35:$C$39,3,9)))</f>
        <v>4</v>
      </c>
      <c r="W788" s="13">
        <v>4</v>
      </c>
      <c r="X788" s="14" t="b">
        <f t="shared" si="327"/>
        <v>1</v>
      </c>
      <c r="Y788" s="17">
        <f>IF($T788=1,$AU788,VLOOKUP(U788,'Cortes naturales'!$A$45:$C$49,3,9))</f>
        <v>4</v>
      </c>
      <c r="Z788" s="14">
        <v>60.10756811117507</v>
      </c>
      <c r="AA788" s="14">
        <v>0.46553241402872447</v>
      </c>
      <c r="AB788" s="14">
        <v>27.982021284191308</v>
      </c>
      <c r="AC788" s="13">
        <v>3</v>
      </c>
      <c r="AD788" s="13">
        <f t="shared" si="328"/>
        <v>-1</v>
      </c>
      <c r="AE788" s="14">
        <f t="shared" si="329"/>
        <v>0.95733989941343367</v>
      </c>
      <c r="AF788" s="14">
        <f t="shared" si="330"/>
        <v>-8.4293431892576987E-3</v>
      </c>
      <c r="AG788" s="13">
        <f t="shared" si="331"/>
        <v>-6.9064312021748009E-2</v>
      </c>
      <c r="AH788" s="13">
        <f>IF($T788=1,$AU788,VLOOKUP(U788,'Cortes naturales'!$A$25:$C$29,3,9))</f>
        <v>3</v>
      </c>
      <c r="AI788" s="13" t="b">
        <f t="shared" si="332"/>
        <v>0</v>
      </c>
      <c r="AJ788" s="13" t="str">
        <f t="shared" si="333"/>
        <v>Cambio en corte</v>
      </c>
      <c r="AK788" s="28">
        <v>0.6523467210059386</v>
      </c>
      <c r="AL788" s="28">
        <v>39.210974964966177</v>
      </c>
      <c r="AM788" s="28">
        <v>0.31986195270625462</v>
      </c>
      <c r="AN788" s="13">
        <v>4</v>
      </c>
      <c r="AO788" s="33">
        <f t="shared" si="334"/>
        <v>0</v>
      </c>
      <c r="AP788" s="13">
        <f t="shared" si="344"/>
        <v>31.986195270625462</v>
      </c>
      <c r="AQ788" s="13">
        <f>IFERROR(VLOOKUP(U788,'Cortes naturales'!$E$15:$G$19,3,9),U788)</f>
        <v>4</v>
      </c>
      <c r="AR788" s="28">
        <f t="shared" si="335"/>
        <v>-0.19524365016647183</v>
      </c>
      <c r="AS788" s="13" t="b">
        <f t="shared" si="336"/>
        <v>1</v>
      </c>
      <c r="AT788" s="13">
        <f t="shared" si="345"/>
        <v>0</v>
      </c>
      <c r="AU788" s="13">
        <v>4</v>
      </c>
      <c r="AV788">
        <f t="shared" si="337"/>
        <v>0</v>
      </c>
      <c r="AW788" s="13">
        <v>0</v>
      </c>
      <c r="AX788" s="13">
        <v>0</v>
      </c>
      <c r="AY788" s="13">
        <v>0</v>
      </c>
      <c r="AZ788" s="13">
        <v>0</v>
      </c>
      <c r="BA788">
        <v>0</v>
      </c>
      <c r="BB788" t="s">
        <v>2840</v>
      </c>
      <c r="BC788">
        <v>6</v>
      </c>
      <c r="BD788" t="s">
        <v>2919</v>
      </c>
      <c r="BE788">
        <v>1</v>
      </c>
      <c r="BF788" s="232" t="s">
        <v>2846</v>
      </c>
      <c r="BG788" s="232" t="s">
        <v>2846</v>
      </c>
      <c r="BH788" s="253">
        <v>39.299999999999997</v>
      </c>
      <c r="BI788" s="253">
        <v>12.855844942459116</v>
      </c>
      <c r="BJ788" s="25">
        <v>49.49700435668877</v>
      </c>
      <c r="BK788" t="s">
        <v>376</v>
      </c>
      <c r="BL788">
        <v>1.1958966709978265</v>
      </c>
      <c r="BM788" t="s">
        <v>383</v>
      </c>
      <c r="BN788" s="322">
        <v>18264.105158999999</v>
      </c>
      <c r="BO788" s="322">
        <v>1654.5249699999999</v>
      </c>
      <c r="BP788" s="10">
        <v>7014</v>
      </c>
      <c r="BQ788" s="254">
        <f t="shared" si="338"/>
        <v>2.6039499798973478</v>
      </c>
      <c r="BR788" s="254">
        <f t="shared" si="339"/>
        <v>0.23588893213572854</v>
      </c>
      <c r="BS788" s="25">
        <v>60.626116247826779</v>
      </c>
      <c r="BT788" s="25">
        <v>93.598517251211874</v>
      </c>
      <c r="BU788" s="25">
        <v>53.260138035313602</v>
      </c>
      <c r="BV788" s="25">
        <v>93.904435947021696</v>
      </c>
      <c r="BW788" s="25">
        <v>49.676722851082722</v>
      </c>
      <c r="BX788" s="25">
        <v>75.347301870343486</v>
      </c>
      <c r="BY788" s="25">
        <v>52.397235945359391</v>
      </c>
      <c r="BZ788">
        <v>62</v>
      </c>
      <c r="CA788">
        <v>0</v>
      </c>
      <c r="CB788">
        <v>7</v>
      </c>
      <c r="CC788">
        <v>26259.265780000002</v>
      </c>
      <c r="CD788" s="10">
        <v>15886.925684</v>
      </c>
      <c r="CE788" s="255">
        <v>0.60500266142627845</v>
      </c>
      <c r="CF788" t="str">
        <f>IFERROR(VLOOKUP(CE788,'Rangos amb etnico'!$A$2:$C$6,3,9),"N.D.")</f>
        <v>51% - 70%</v>
      </c>
      <c r="CG788" s="256">
        <v>4.6221055653887787E-4</v>
      </c>
      <c r="CH788" s="232">
        <v>0</v>
      </c>
      <c r="CI788" s="311">
        <f t="shared" si="346"/>
        <v>0</v>
      </c>
      <c r="CJ788" s="232">
        <f>IFERROR(VLOOKUP(CI788,'Rangos amb etnico'!$A$2:$C$6,3,9),"N.D.")</f>
        <v>0</v>
      </c>
      <c r="CK788" s="311">
        <f t="shared" si="347"/>
        <v>0</v>
      </c>
      <c r="CL788" s="10">
        <v>0</v>
      </c>
      <c r="CM788" s="255">
        <f t="shared" si="348"/>
        <v>0</v>
      </c>
      <c r="CN788" s="232">
        <f>IFERROR(VLOOKUP(CM788,'Rangos amb etnico'!$A$2:$C$6,3,9),"N.D.")</f>
        <v>0</v>
      </c>
      <c r="CO788" s="311">
        <f t="shared" si="349"/>
        <v>0</v>
      </c>
      <c r="CP788">
        <v>0.89005109478297406</v>
      </c>
      <c r="CQ788" t="s">
        <v>2864</v>
      </c>
      <c r="CR788">
        <f t="shared" si="340"/>
        <v>3</v>
      </c>
      <c r="CS788" t="str">
        <f t="shared" si="350"/>
        <v>Candidato</v>
      </c>
      <c r="CT788">
        <v>0</v>
      </c>
      <c r="CU788">
        <v>0</v>
      </c>
      <c r="CV788" s="25">
        <v>52.584999084472663</v>
      </c>
      <c r="CW788" s="25">
        <v>24.242246627807621</v>
      </c>
      <c r="CX788" s="25">
        <v>57.816375732421882</v>
      </c>
      <c r="CY788" s="25">
        <v>66.458480834960938</v>
      </c>
      <c r="CZ788" s="25">
        <v>53.941196441650391</v>
      </c>
      <c r="DA788" s="25">
        <v>57.472946166992188</v>
      </c>
      <c r="DB788" s="25">
        <v>55.578758239746087</v>
      </c>
      <c r="DC788">
        <v>25</v>
      </c>
      <c r="DD788" s="253" t="s">
        <v>380</v>
      </c>
    </row>
    <row r="789" spans="1:108" hidden="1">
      <c r="A789" s="13">
        <v>68013</v>
      </c>
      <c r="B789" s="13" t="s">
        <v>2004</v>
      </c>
      <c r="C789" s="13" t="s">
        <v>431</v>
      </c>
      <c r="D789" s="13" t="s">
        <v>432</v>
      </c>
      <c r="E789" s="13" t="s">
        <v>2005</v>
      </c>
      <c r="F789" s="14">
        <v>46.255899999999997</v>
      </c>
      <c r="G789" s="13">
        <v>83</v>
      </c>
      <c r="H789" s="13">
        <v>44.83</v>
      </c>
      <c r="I789" s="13">
        <v>29.87</v>
      </c>
      <c r="J789" s="14">
        <v>59.920920872293806</v>
      </c>
      <c r="K789" s="14">
        <v>58.939547385695825</v>
      </c>
      <c r="L789" s="14">
        <v>61.780046813177009</v>
      </c>
      <c r="M789" s="14">
        <v>52.801900000000003</v>
      </c>
      <c r="N789" s="14">
        <f t="shared" si="324"/>
        <v>50.988974999999996</v>
      </c>
      <c r="O789" s="14">
        <f t="shared" si="325"/>
        <v>58.360603767791659</v>
      </c>
      <c r="P789" s="14">
        <f t="shared" si="341"/>
        <v>54.674789383895828</v>
      </c>
      <c r="Q789" s="14">
        <v>60.713053196311662</v>
      </c>
      <c r="R789" s="17">
        <f t="shared" si="326"/>
        <v>39.286946803688338</v>
      </c>
      <c r="S789" s="14">
        <f t="shared" si="342"/>
        <v>0.45358252123319509</v>
      </c>
      <c r="T789" s="13">
        <v>0</v>
      </c>
      <c r="U789" s="13">
        <f t="shared" si="343"/>
        <v>24.799528816641399</v>
      </c>
      <c r="V789" s="13">
        <f>IF($T789=1,$AU789,(VLOOKUP(U789,'Cortes naturales'!$A$35:$C$39,3,9)))</f>
        <v>4</v>
      </c>
      <c r="W789" s="13">
        <v>4</v>
      </c>
      <c r="X789" s="14" t="b">
        <f t="shared" si="327"/>
        <v>1</v>
      </c>
      <c r="Y789" s="17">
        <f>IF($T789=1,$AU789,VLOOKUP(U789,'Cortes naturales'!$A$45:$C$49,3,9))</f>
        <v>4</v>
      </c>
      <c r="Z789" s="14">
        <v>58.124592233400747</v>
      </c>
      <c r="AA789" s="14">
        <v>0.46270813198746508</v>
      </c>
      <c r="AB789" s="14">
        <v>26.894721494849982</v>
      </c>
      <c r="AC789" s="13">
        <v>4</v>
      </c>
      <c r="AD789" s="13">
        <f t="shared" si="328"/>
        <v>0</v>
      </c>
      <c r="AE789" s="14">
        <f t="shared" si="329"/>
        <v>-3.4498028495049198</v>
      </c>
      <c r="AF789" s="14">
        <f t="shared" si="330"/>
        <v>-9.125610754269986E-3</v>
      </c>
      <c r="AG789" s="13">
        <f t="shared" si="331"/>
        <v>-2.0951926782085835</v>
      </c>
      <c r="AH789" s="13">
        <f>IF($T789=1,$AU789,VLOOKUP(U789,'Cortes naturales'!$A$25:$C$29,3,9))</f>
        <v>4</v>
      </c>
      <c r="AI789" s="13" t="b">
        <f t="shared" si="332"/>
        <v>1</v>
      </c>
      <c r="AJ789" s="13">
        <f t="shared" si="333"/>
        <v>0</v>
      </c>
      <c r="AK789" s="28">
        <v>0.6523467210059386</v>
      </c>
      <c r="AL789" s="28">
        <v>37.917387153266226</v>
      </c>
      <c r="AM789" s="28">
        <v>0.3036805327519706</v>
      </c>
      <c r="AN789" s="13">
        <v>4</v>
      </c>
      <c r="AO789" s="33">
        <f t="shared" si="334"/>
        <v>0</v>
      </c>
      <c r="AP789" s="13">
        <f t="shared" si="344"/>
        <v>30.36805327519706</v>
      </c>
      <c r="AQ789" s="13">
        <f>IFERROR(VLOOKUP(U789,'Cortes naturales'!$E$15:$G$19,3,9),U789)</f>
        <v>4</v>
      </c>
      <c r="AR789" s="28">
        <f t="shared" si="335"/>
        <v>-0.19876419977274351</v>
      </c>
      <c r="AS789" s="13" t="b">
        <f t="shared" si="336"/>
        <v>1</v>
      </c>
      <c r="AT789" s="13">
        <f t="shared" si="345"/>
        <v>0</v>
      </c>
      <c r="AU789" s="13">
        <v>4</v>
      </c>
      <c r="AV789">
        <f t="shared" si="337"/>
        <v>0</v>
      </c>
      <c r="AW789" s="13">
        <v>0</v>
      </c>
      <c r="AX789" s="13">
        <v>0</v>
      </c>
      <c r="AY789" s="13">
        <v>0</v>
      </c>
      <c r="AZ789" s="13">
        <v>0</v>
      </c>
      <c r="BA789">
        <v>0</v>
      </c>
      <c r="BB789" t="s">
        <v>2841</v>
      </c>
      <c r="BC789">
        <v>6</v>
      </c>
      <c r="BD789" t="s">
        <v>2919</v>
      </c>
      <c r="BE789">
        <v>1</v>
      </c>
      <c r="BF789" s="232" t="s">
        <v>2846</v>
      </c>
      <c r="BG789" s="232" t="s">
        <v>2845</v>
      </c>
      <c r="BH789" s="253">
        <v>41.8</v>
      </c>
      <c r="BI789" s="253">
        <v>16.555488174651305</v>
      </c>
      <c r="BJ789" s="25">
        <v>34.585000000000001</v>
      </c>
      <c r="BK789" t="s">
        <v>379</v>
      </c>
      <c r="BL789">
        <v>0</v>
      </c>
      <c r="BM789" t="s">
        <v>377</v>
      </c>
      <c r="BN789" s="322">
        <v>8862.7010740000005</v>
      </c>
      <c r="BO789" s="322">
        <v>601.56383200000005</v>
      </c>
      <c r="BP789" s="10">
        <v>1891</v>
      </c>
      <c r="BQ789" s="254">
        <f t="shared" si="338"/>
        <v>4.6867800497091485</v>
      </c>
      <c r="BR789" s="254">
        <f t="shared" si="339"/>
        <v>0.31811942464304604</v>
      </c>
      <c r="BS789" s="25">
        <v>55.268115942028992</v>
      </c>
      <c r="BT789" s="25">
        <v>72.687212065926317</v>
      </c>
      <c r="BU789" s="25">
        <v>42.567037870266198</v>
      </c>
      <c r="BV789" s="25">
        <v>95.552021225979672</v>
      </c>
      <c r="BW789" s="25">
        <v>55.12467979097157</v>
      </c>
      <c r="BX789" s="25">
        <v>66.518596776050288</v>
      </c>
      <c r="BY789" s="25">
        <v>58.398920414636692</v>
      </c>
      <c r="BZ789">
        <v>25</v>
      </c>
      <c r="CA789">
        <v>0</v>
      </c>
      <c r="CB789">
        <v>7</v>
      </c>
      <c r="CC789">
        <v>7511.0515999999998</v>
      </c>
      <c r="CD789" s="10">
        <v>2039.047028</v>
      </c>
      <c r="CE789" s="255">
        <v>0.27147290906642152</v>
      </c>
      <c r="CF789" t="str">
        <f>IFERROR(VLOOKUP(CE789,'Rangos amb etnico'!$A$2:$C$6,3,9),"N.D.")</f>
        <v>0,1% - 30%</v>
      </c>
      <c r="CG789" s="256">
        <v>5.9323564569198054E-5</v>
      </c>
      <c r="CH789" s="232">
        <v>0</v>
      </c>
      <c r="CI789" s="311">
        <f t="shared" si="346"/>
        <v>0</v>
      </c>
      <c r="CJ789" s="232">
        <f>IFERROR(VLOOKUP(CI789,'Rangos amb etnico'!$A$2:$C$6,3,9),"N.D.")</f>
        <v>0</v>
      </c>
      <c r="CK789" s="311">
        <f t="shared" si="347"/>
        <v>0</v>
      </c>
      <c r="CL789" s="10">
        <v>0</v>
      </c>
      <c r="CM789" s="255">
        <f t="shared" si="348"/>
        <v>0</v>
      </c>
      <c r="CN789" s="232">
        <f>IFERROR(VLOOKUP(CM789,'Rangos amb etnico'!$A$2:$C$6,3,9),"N.D.")</f>
        <v>0</v>
      </c>
      <c r="CO789" s="311">
        <f t="shared" si="349"/>
        <v>0</v>
      </c>
      <c r="CP789">
        <v>0.97065879078558048</v>
      </c>
      <c r="CQ789" t="s">
        <v>2864</v>
      </c>
      <c r="CR789">
        <f t="shared" si="340"/>
        <v>1</v>
      </c>
      <c r="CS789" t="str">
        <f t="shared" si="350"/>
        <v>No es Candidato</v>
      </c>
      <c r="CT789">
        <v>0</v>
      </c>
      <c r="CU789">
        <v>0</v>
      </c>
      <c r="CV789" s="25">
        <v>52.217819213867188</v>
      </c>
      <c r="CW789" s="25">
        <v>10.471657752990721</v>
      </c>
      <c r="CX789" s="25">
        <v>57.227230072021477</v>
      </c>
      <c r="CY789" s="25">
        <v>74.039299011230469</v>
      </c>
      <c r="CZ789" s="25">
        <v>32.518795013427727</v>
      </c>
      <c r="DA789" s="25">
        <v>84.580276489257813</v>
      </c>
      <c r="DB789" s="25">
        <v>54.469657897949219</v>
      </c>
      <c r="DC789">
        <v>15</v>
      </c>
      <c r="DD789" s="253" t="s">
        <v>380</v>
      </c>
    </row>
    <row r="790" spans="1:108" hidden="1">
      <c r="A790" s="13">
        <v>27787</v>
      </c>
      <c r="B790" s="13" t="s">
        <v>2006</v>
      </c>
      <c r="C790" s="13" t="s">
        <v>1714</v>
      </c>
      <c r="D790" s="13" t="s">
        <v>1715</v>
      </c>
      <c r="E790" s="13" t="s">
        <v>2007</v>
      </c>
      <c r="F790" s="14">
        <v>66.807100000000005</v>
      </c>
      <c r="G790" s="13">
        <v>58.68</v>
      </c>
      <c r="H790" s="13">
        <v>68.510000000000005</v>
      </c>
      <c r="I790" s="13">
        <v>83.68</v>
      </c>
      <c r="J790" s="14">
        <v>47.542026160753828</v>
      </c>
      <c r="K790" s="14">
        <v>46.988583194522889</v>
      </c>
      <c r="L790" s="14">
        <v>48.484373602930226</v>
      </c>
      <c r="M790" s="14">
        <v>61.706400000000002</v>
      </c>
      <c r="N790" s="14">
        <f t="shared" si="324"/>
        <v>69.419274999999999</v>
      </c>
      <c r="O790" s="14">
        <f t="shared" si="325"/>
        <v>51.180345739551733</v>
      </c>
      <c r="P790" s="14">
        <f t="shared" si="341"/>
        <v>60.299810369775869</v>
      </c>
      <c r="Q790" s="14">
        <v>60.321076802974396</v>
      </c>
      <c r="R790" s="17">
        <f t="shared" si="326"/>
        <v>39.678923197025604</v>
      </c>
      <c r="S790" s="14">
        <f t="shared" si="342"/>
        <v>0.45711030877323044</v>
      </c>
      <c r="T790" s="13">
        <v>0</v>
      </c>
      <c r="U790" s="13">
        <f t="shared" si="343"/>
        <v>27.563664937095492</v>
      </c>
      <c r="V790" s="13">
        <f>IF($T790=1,$AU790,(VLOOKUP(U790,'Cortes naturales'!$A$35:$C$39,3,9)))</f>
        <v>4</v>
      </c>
      <c r="W790" s="13">
        <v>4</v>
      </c>
      <c r="X790" s="14" t="b">
        <f t="shared" si="327"/>
        <v>1</v>
      </c>
      <c r="Y790" s="17">
        <f>IF($T790=1,$AU790,VLOOKUP(U790,'Cortes naturales'!$A$45:$C$49,3,9))</f>
        <v>4</v>
      </c>
      <c r="Z790" s="14">
        <v>55.940968097762067</v>
      </c>
      <c r="AA790" s="14">
        <v>0.46602981586935732</v>
      </c>
      <c r="AB790" s="14">
        <v>26.07015906215365</v>
      </c>
      <c r="AC790" s="13">
        <v>4</v>
      </c>
      <c r="AD790" s="13">
        <f t="shared" si="328"/>
        <v>0</v>
      </c>
      <c r="AE790" s="14">
        <f t="shared" si="329"/>
        <v>4.3588422720138027</v>
      </c>
      <c r="AF790" s="14">
        <f t="shared" si="330"/>
        <v>-8.9195070961268774E-3</v>
      </c>
      <c r="AG790" s="13">
        <f t="shared" si="331"/>
        <v>1.4935058749418424</v>
      </c>
      <c r="AH790" s="13">
        <f>IF($T790=1,$AU790,VLOOKUP(U790,'Cortes naturales'!$A$25:$C$29,3,9))</f>
        <v>4</v>
      </c>
      <c r="AI790" s="13" t="b">
        <f t="shared" si="332"/>
        <v>1</v>
      </c>
      <c r="AJ790" s="13">
        <f t="shared" si="333"/>
        <v>0</v>
      </c>
      <c r="AK790" s="28">
        <v>0.6523467210059386</v>
      </c>
      <c r="AL790" s="28">
        <v>36.492907108472906</v>
      </c>
      <c r="AM790" s="28">
        <v>0.2858617889351075</v>
      </c>
      <c r="AN790" s="13">
        <v>4</v>
      </c>
      <c r="AO790" s="33">
        <f t="shared" si="334"/>
        <v>0</v>
      </c>
      <c r="AP790" s="13">
        <f t="shared" si="344"/>
        <v>28.586178893510748</v>
      </c>
      <c r="AQ790" s="13">
        <f>IFERROR(VLOOKUP(U790,'Cortes naturales'!$E$15:$G$19,3,9),U790)</f>
        <v>4</v>
      </c>
      <c r="AR790" s="28">
        <f t="shared" si="335"/>
        <v>-0.19523641223270816</v>
      </c>
      <c r="AS790" s="13" t="b">
        <f t="shared" si="336"/>
        <v>1</v>
      </c>
      <c r="AT790" s="13">
        <f t="shared" si="345"/>
        <v>0</v>
      </c>
      <c r="AU790" s="13">
        <v>4</v>
      </c>
      <c r="AV790">
        <f t="shared" si="337"/>
        <v>0</v>
      </c>
      <c r="AW790" s="13">
        <v>0</v>
      </c>
      <c r="AX790" s="13">
        <v>0</v>
      </c>
      <c r="AY790" s="13">
        <v>0</v>
      </c>
      <c r="AZ790" s="13">
        <v>0</v>
      </c>
      <c r="BA790">
        <v>1</v>
      </c>
      <c r="BB790" t="s">
        <v>2840</v>
      </c>
      <c r="BC790">
        <v>6</v>
      </c>
      <c r="BD790" t="s">
        <v>2919</v>
      </c>
      <c r="BE790">
        <v>0</v>
      </c>
      <c r="BF790" s="232" t="s">
        <v>2846</v>
      </c>
      <c r="BG790" s="232" t="s">
        <v>2846</v>
      </c>
      <c r="BH790" s="253">
        <v>59.9</v>
      </c>
      <c r="BI790" s="253">
        <v>54.76541752729419</v>
      </c>
      <c r="BJ790" s="25">
        <v>93.58</v>
      </c>
      <c r="BK790" t="s">
        <v>2850</v>
      </c>
      <c r="BL790">
        <v>9.0670068977908471</v>
      </c>
      <c r="BM790" t="s">
        <v>379</v>
      </c>
      <c r="BN790" s="322">
        <v>54616.240349</v>
      </c>
      <c r="BO790" s="322">
        <v>5141.5899870000003</v>
      </c>
      <c r="BP790" s="10">
        <v>19134</v>
      </c>
      <c r="BQ790" s="254">
        <f t="shared" si="338"/>
        <v>2.8544078785930802</v>
      </c>
      <c r="BR790" s="254">
        <f t="shared" si="339"/>
        <v>0.26871485246158672</v>
      </c>
      <c r="BS790" s="25">
        <v>71.458963931776282</v>
      </c>
      <c r="BT790" s="25">
        <v>96.768220824443503</v>
      </c>
      <c r="BU790" s="25">
        <v>47.520911228689009</v>
      </c>
      <c r="BV790" s="25">
        <v>90.94211914618883</v>
      </c>
      <c r="BW790" s="25">
        <v>61.944857433285321</v>
      </c>
      <c r="BX790" s="25">
        <v>76.672553782774415</v>
      </c>
      <c r="BY790" s="25">
        <v>63.550523803282751</v>
      </c>
      <c r="BZ790">
        <v>27</v>
      </c>
      <c r="CA790">
        <v>0</v>
      </c>
      <c r="CB790">
        <v>7</v>
      </c>
      <c r="CC790">
        <v>71499.591927000001</v>
      </c>
      <c r="CD790" s="10">
        <v>4783.9342880000004</v>
      </c>
      <c r="CE790" s="255">
        <v>6.6908553728311129E-2</v>
      </c>
      <c r="CF790" t="str">
        <f>IFERROR(VLOOKUP(CE790,'Rangos amb etnico'!$A$2:$C$6,3,9),"N.D.")</f>
        <v>0,1% - 30%</v>
      </c>
      <c r="CG790" s="256">
        <v>1.3918268226865464E-4</v>
      </c>
      <c r="CH790" s="232">
        <v>67815.952353000001</v>
      </c>
      <c r="CI790" s="311">
        <f t="shared" si="346"/>
        <v>0.94848027135929758</v>
      </c>
      <c r="CJ790" s="232" t="str">
        <f>IFERROR(VLOOKUP(CI790,'Rangos amb etnico'!$A$2:$C$6,3,9),"N.D.")</f>
        <v>71% - 100%</v>
      </c>
      <c r="CK790" s="311">
        <f t="shared" si="347"/>
        <v>2.6927373130500899E-3</v>
      </c>
      <c r="CL790" s="10">
        <v>0</v>
      </c>
      <c r="CM790" s="255">
        <f t="shared" si="348"/>
        <v>0</v>
      </c>
      <c r="CN790" s="232">
        <f>IFERROR(VLOOKUP(CM790,'Rangos amb etnico'!$A$2:$C$6,3,9),"N.D.")</f>
        <v>0</v>
      </c>
      <c r="CO790" s="311">
        <f t="shared" si="349"/>
        <v>0</v>
      </c>
      <c r="CP790">
        <v>0.94318321469085031</v>
      </c>
      <c r="CQ790" t="s">
        <v>2864</v>
      </c>
      <c r="CR790">
        <f t="shared" si="340"/>
        <v>4</v>
      </c>
      <c r="CS790" t="str">
        <f t="shared" si="350"/>
        <v>Candidato</v>
      </c>
      <c r="CT790">
        <v>0</v>
      </c>
      <c r="CU790">
        <v>0</v>
      </c>
      <c r="CV790" s="25">
        <v>36.326644897460938</v>
      </c>
      <c r="CW790" s="25">
        <v>25.603729248046879</v>
      </c>
      <c r="CX790" s="25">
        <v>51.342975616455078</v>
      </c>
      <c r="CY790" s="25">
        <v>45.376644134521477</v>
      </c>
      <c r="CZ790" s="25">
        <v>9.0107326507568359</v>
      </c>
      <c r="DA790" s="25">
        <v>40.226089477539063</v>
      </c>
      <c r="DB790" s="25">
        <v>46.399696350097663</v>
      </c>
      <c r="DC790">
        <v>17711</v>
      </c>
      <c r="DD790" s="253" t="s">
        <v>380</v>
      </c>
    </row>
    <row r="791" spans="1:108" hidden="1">
      <c r="A791" s="13">
        <v>15822</v>
      </c>
      <c r="B791" s="13" t="s">
        <v>2008</v>
      </c>
      <c r="C791" s="13" t="s">
        <v>498</v>
      </c>
      <c r="D791" s="13" t="s">
        <v>499</v>
      </c>
      <c r="E791" s="13" t="s">
        <v>2009</v>
      </c>
      <c r="F791" s="14">
        <v>68.955233333333297</v>
      </c>
      <c r="G791" s="13">
        <v>50.73</v>
      </c>
      <c r="H791" s="13">
        <v>81.02</v>
      </c>
      <c r="I791" s="13">
        <v>68.400000000000006</v>
      </c>
      <c r="J791" s="14">
        <v>55.202763855655462</v>
      </c>
      <c r="K791" s="14">
        <v>47.036841253770923</v>
      </c>
      <c r="L791" s="14">
        <v>56.259424225871605</v>
      </c>
      <c r="M791" s="14">
        <v>59.748899999999999</v>
      </c>
      <c r="N791" s="14">
        <f t="shared" si="324"/>
        <v>67.276308333333333</v>
      </c>
      <c r="O791" s="14">
        <f t="shared" si="325"/>
        <v>54.561982333824496</v>
      </c>
      <c r="P791" s="14">
        <f t="shared" si="341"/>
        <v>60.919145333578911</v>
      </c>
      <c r="Q791" s="14">
        <v>60.73008077596279</v>
      </c>
      <c r="R791" s="17">
        <f t="shared" si="326"/>
        <v>39.26991922403721</v>
      </c>
      <c r="S791" s="203">
        <f t="shared" si="342"/>
        <v>0.45342927301633484</v>
      </c>
      <c r="T791" s="13">
        <v>0</v>
      </c>
      <c r="U791" s="13">
        <f t="shared" si="343"/>
        <v>27.622523781381133</v>
      </c>
      <c r="V791" s="13">
        <f>IF($T791=1,$AU791,(VLOOKUP(U791,'Cortes naturales'!$A$35:$C$39,3,9)))</f>
        <v>4</v>
      </c>
      <c r="W791" s="13">
        <v>4</v>
      </c>
      <c r="X791" s="14" t="b">
        <f t="shared" si="327"/>
        <v>1</v>
      </c>
      <c r="Y791" s="17">
        <f>IF($T791=1,$AU791,VLOOKUP(U791,'Cortes naturales'!$A$45:$C$49,3,9))</f>
        <v>4</v>
      </c>
      <c r="Z791" s="14">
        <v>60.260363445936264</v>
      </c>
      <c r="AA791" s="203">
        <v>0.46530279549724807</v>
      </c>
      <c r="AB791" s="14">
        <v>28.039315569074326</v>
      </c>
      <c r="AC791" s="13">
        <v>3</v>
      </c>
      <c r="AD791" s="13">
        <f t="shared" si="328"/>
        <v>-1</v>
      </c>
      <c r="AE791" s="14">
        <f t="shared" si="329"/>
        <v>0.65878188764264678</v>
      </c>
      <c r="AF791" s="14">
        <f t="shared" si="330"/>
        <v>-1.1873522480913223E-2</v>
      </c>
      <c r="AG791" s="13">
        <f t="shared" si="331"/>
        <v>-0.41679178769319236</v>
      </c>
      <c r="AH791" s="13">
        <f>IF($T791=1,$AU791,VLOOKUP(U791,'Cortes naturales'!$A$25:$C$29,3,9))</f>
        <v>4</v>
      </c>
      <c r="AI791" s="13" t="b">
        <f t="shared" si="332"/>
        <v>1</v>
      </c>
      <c r="AJ791" s="13" t="str">
        <f t="shared" si="333"/>
        <v>Efecto ponderador</v>
      </c>
      <c r="AK791" s="28">
        <v>0.6523467210059386</v>
      </c>
      <c r="AL791" s="28">
        <v>39.310650500582646</v>
      </c>
      <c r="AM791" s="28">
        <v>0.32110878858889852</v>
      </c>
      <c r="AN791" s="13">
        <v>4</v>
      </c>
      <c r="AO791" s="33">
        <f t="shared" si="334"/>
        <v>0</v>
      </c>
      <c r="AP791" s="13">
        <f t="shared" si="344"/>
        <v>32.110878858889855</v>
      </c>
      <c r="AQ791" s="13">
        <f>IFERROR(VLOOKUP(U791,'Cortes naturales'!$E$15:$G$19,3,9),U791)</f>
        <v>4</v>
      </c>
      <c r="AR791" s="28">
        <f t="shared" si="335"/>
        <v>-0.19891744798960376</v>
      </c>
      <c r="AS791" s="13" t="b">
        <f t="shared" si="336"/>
        <v>1</v>
      </c>
      <c r="AT791" s="13">
        <f t="shared" si="345"/>
        <v>0</v>
      </c>
      <c r="AU791" s="13">
        <v>3</v>
      </c>
      <c r="AV791">
        <f t="shared" si="337"/>
        <v>-1</v>
      </c>
      <c r="AW791" s="13">
        <v>0</v>
      </c>
      <c r="AX791" s="13">
        <v>0</v>
      </c>
      <c r="AY791" s="13">
        <v>0</v>
      </c>
      <c r="AZ791" s="13">
        <v>0</v>
      </c>
      <c r="BA791">
        <v>0</v>
      </c>
      <c r="BB791" t="s">
        <v>2841</v>
      </c>
      <c r="BC791">
        <v>6</v>
      </c>
      <c r="BD791" t="s">
        <v>2919</v>
      </c>
      <c r="BE791">
        <v>1</v>
      </c>
      <c r="BF791" s="232" t="s">
        <v>2846</v>
      </c>
      <c r="BG791" s="232" t="s">
        <v>2846</v>
      </c>
      <c r="BH791" s="253">
        <v>47.9</v>
      </c>
      <c r="BI791" s="253">
        <v>16.710816777041941</v>
      </c>
      <c r="BJ791" s="25">
        <v>51.823117584991131</v>
      </c>
      <c r="BK791" t="s">
        <v>376</v>
      </c>
      <c r="BL791">
        <v>0</v>
      </c>
      <c r="BM791" t="s">
        <v>377</v>
      </c>
      <c r="BN791" s="322">
        <v>14634.282004999999</v>
      </c>
      <c r="BO791" s="322">
        <v>1208.9020829999999</v>
      </c>
      <c r="BP791" s="10">
        <v>5161</v>
      </c>
      <c r="BQ791" s="254">
        <f t="shared" si="338"/>
        <v>2.8355516382484014</v>
      </c>
      <c r="BR791" s="254">
        <f t="shared" si="339"/>
        <v>0.23423795446618872</v>
      </c>
      <c r="BS791" s="25">
        <v>63.012902862294339</v>
      </c>
      <c r="BT791" s="25">
        <v>93.751327291868506</v>
      </c>
      <c r="BU791" s="25">
        <v>57.220126002290932</v>
      </c>
      <c r="BV791" s="25">
        <v>91.633271908432491</v>
      </c>
      <c r="BW791" s="25">
        <v>62.706582261174873</v>
      </c>
      <c r="BX791" s="25">
        <v>76.404407016221569</v>
      </c>
      <c r="BY791" s="25">
        <v>64.802372920298041</v>
      </c>
      <c r="BZ791">
        <v>62</v>
      </c>
      <c r="CA791">
        <v>0</v>
      </c>
      <c r="CB791">
        <v>7</v>
      </c>
      <c r="CC791">
        <v>19566.418143999999</v>
      </c>
      <c r="CD791" s="10">
        <v>12136.758629</v>
      </c>
      <c r="CE791" s="255">
        <v>0.62028515079658109</v>
      </c>
      <c r="CF791" t="str">
        <f>IFERROR(VLOOKUP(CE791,'Rangos amb etnico'!$A$2:$C$6,3,9),"N.D.")</f>
        <v>51% - 70%</v>
      </c>
      <c r="CG791" s="256">
        <v>3.5310406003458453E-4</v>
      </c>
      <c r="CH791" s="232">
        <v>0</v>
      </c>
      <c r="CI791" s="311">
        <f t="shared" si="346"/>
        <v>0</v>
      </c>
      <c r="CJ791" s="232">
        <f>IFERROR(VLOOKUP(CI791,'Rangos amb etnico'!$A$2:$C$6,3,9),"N.D.")</f>
        <v>0</v>
      </c>
      <c r="CK791" s="311">
        <f t="shared" si="347"/>
        <v>0</v>
      </c>
      <c r="CL791" s="10">
        <v>0</v>
      </c>
      <c r="CM791" s="255">
        <f t="shared" si="348"/>
        <v>0</v>
      </c>
      <c r="CN791" s="232">
        <f>IFERROR(VLOOKUP(CM791,'Rangos amb etnico'!$A$2:$C$6,3,9),"N.D.")</f>
        <v>0</v>
      </c>
      <c r="CO791" s="311">
        <f t="shared" si="349"/>
        <v>0</v>
      </c>
      <c r="CP791">
        <v>0.9572502005930954</v>
      </c>
      <c r="CQ791" t="s">
        <v>2864</v>
      </c>
      <c r="CR791">
        <f t="shared" si="340"/>
        <v>3</v>
      </c>
      <c r="CS791" t="str">
        <f t="shared" si="350"/>
        <v>Candidato</v>
      </c>
      <c r="CT791">
        <v>0</v>
      </c>
      <c r="CU791">
        <v>0</v>
      </c>
      <c r="CV791" s="25">
        <v>53.122058868408203</v>
      </c>
      <c r="CW791" s="25">
        <v>19.07503700256348</v>
      </c>
      <c r="CX791" s="25">
        <v>52.571647644042969</v>
      </c>
      <c r="CY791" s="25">
        <v>63.609821319580078</v>
      </c>
      <c r="CZ791" s="25">
        <v>49.79974365234375</v>
      </c>
      <c r="DA791" s="25">
        <v>72.904388427734375</v>
      </c>
      <c r="DB791" s="25">
        <v>60.771728515625</v>
      </c>
      <c r="DC791">
        <v>42</v>
      </c>
      <c r="DD791" s="253" t="s">
        <v>380</v>
      </c>
    </row>
    <row r="792" spans="1:108" hidden="1">
      <c r="A792" s="13">
        <v>85010</v>
      </c>
      <c r="B792" s="13" t="s">
        <v>2010</v>
      </c>
      <c r="C792" s="13" t="s">
        <v>1351</v>
      </c>
      <c r="D792" s="13" t="s">
        <v>1352</v>
      </c>
      <c r="E792" s="13" t="s">
        <v>2011</v>
      </c>
      <c r="F792" s="14">
        <v>77.8386</v>
      </c>
      <c r="G792" s="13">
        <v>84.1</v>
      </c>
      <c r="H792" s="13">
        <v>83.73</v>
      </c>
      <c r="I792" s="13">
        <v>90.51</v>
      </c>
      <c r="J792" s="14">
        <v>63.291532648241905</v>
      </c>
      <c r="K792" s="14">
        <v>63.498654503532357</v>
      </c>
      <c r="L792" s="14">
        <v>71.252815196853007</v>
      </c>
      <c r="M792" s="14">
        <v>59.148800000000001</v>
      </c>
      <c r="N792" s="14">
        <f t="shared" si="324"/>
        <v>84.044650000000004</v>
      </c>
      <c r="O792" s="14">
        <f t="shared" si="325"/>
        <v>64.297950587156819</v>
      </c>
      <c r="P792" s="14">
        <f t="shared" si="341"/>
        <v>74.171300293578412</v>
      </c>
      <c r="Q792" s="14">
        <v>60.603290738526752</v>
      </c>
      <c r="R792" s="17">
        <f t="shared" si="326"/>
        <v>39.396709261473248</v>
      </c>
      <c r="S792" s="14">
        <f t="shared" si="342"/>
        <v>0.45457038335325928</v>
      </c>
      <c r="T792" s="13">
        <v>0</v>
      </c>
      <c r="U792" s="13">
        <f t="shared" si="343"/>
        <v>33.71607640826165</v>
      </c>
      <c r="V792" s="13">
        <f>IF($T792=1,$AU792,(VLOOKUP(U792,'Cortes naturales'!$A$35:$C$39,3,9)))</f>
        <v>3</v>
      </c>
      <c r="W792" s="13">
        <v>3</v>
      </c>
      <c r="X792" s="14" t="b">
        <f t="shared" si="327"/>
        <v>1</v>
      </c>
      <c r="Y792" s="17">
        <f>IF($T792=1,$AU792,VLOOKUP(U792,'Cortes naturales'!$A$45:$C$49,3,9))</f>
        <v>3</v>
      </c>
      <c r="Z792" s="14">
        <v>70.410353380612037</v>
      </c>
      <c r="AA792" s="14">
        <v>0.46495937283025313</v>
      </c>
      <c r="AB792" s="14">
        <v>32.737953748605868</v>
      </c>
      <c r="AC792" s="13">
        <v>3</v>
      </c>
      <c r="AD792" s="13">
        <f t="shared" si="328"/>
        <v>0</v>
      </c>
      <c r="AE792" s="14">
        <f t="shared" si="329"/>
        <v>3.7609469129663751</v>
      </c>
      <c r="AF792" s="14">
        <f t="shared" si="330"/>
        <v>-1.0388989476993848E-2</v>
      </c>
      <c r="AG792" s="13">
        <f t="shared" si="331"/>
        <v>0.97812265965578149</v>
      </c>
      <c r="AH792" s="13">
        <f>IF($T792=1,$AU792,VLOOKUP(U792,'Cortes naturales'!$A$25:$C$29,3,9))</f>
        <v>3</v>
      </c>
      <c r="AI792" s="13" t="b">
        <f t="shared" si="332"/>
        <v>1</v>
      </c>
      <c r="AJ792" s="13">
        <f t="shared" si="333"/>
        <v>0</v>
      </c>
      <c r="AK792" s="28">
        <v>0.6523467210059386</v>
      </c>
      <c r="AL792" s="28">
        <v>45.931963152711667</v>
      </c>
      <c r="AM792" s="28">
        <v>0.40393443034561405</v>
      </c>
      <c r="AN792" s="13">
        <v>3</v>
      </c>
      <c r="AO792" s="33">
        <f t="shared" si="334"/>
        <v>0</v>
      </c>
      <c r="AP792" s="13">
        <f t="shared" si="344"/>
        <v>40.393443034561408</v>
      </c>
      <c r="AQ792" s="13">
        <f>IFERROR(VLOOKUP(U792,'Cortes naturales'!$E$15:$G$19,3,9),U792)</f>
        <v>4</v>
      </c>
      <c r="AR792" s="28">
        <f t="shared" si="335"/>
        <v>-0.19777633765267932</v>
      </c>
      <c r="AS792" s="13" t="b">
        <f t="shared" si="336"/>
        <v>0</v>
      </c>
      <c r="AT792" s="13">
        <f t="shared" si="345"/>
        <v>0</v>
      </c>
      <c r="AU792" s="13">
        <v>3</v>
      </c>
      <c r="AV792">
        <f t="shared" si="337"/>
        <v>0</v>
      </c>
      <c r="AW792" s="13">
        <v>0</v>
      </c>
      <c r="AX792" s="13">
        <v>1</v>
      </c>
      <c r="AY792" s="13">
        <v>0</v>
      </c>
      <c r="AZ792" s="13">
        <v>0</v>
      </c>
      <c r="BA792">
        <v>1</v>
      </c>
      <c r="BB792" t="s">
        <v>2839</v>
      </c>
      <c r="BC792">
        <v>4</v>
      </c>
      <c r="BD792" t="s">
        <v>2919</v>
      </c>
      <c r="BE792">
        <v>0</v>
      </c>
      <c r="BF792" s="232" t="s">
        <v>2846</v>
      </c>
      <c r="BG792" s="232" t="s">
        <v>2846</v>
      </c>
      <c r="BH792" s="253">
        <v>27</v>
      </c>
      <c r="BI792" s="253">
        <v>14.035560344827585</v>
      </c>
      <c r="BJ792" s="25">
        <v>3.3750000000000002E-2</v>
      </c>
      <c r="BK792" t="s">
        <v>381</v>
      </c>
      <c r="BL792">
        <v>2.5034282965667356</v>
      </c>
      <c r="BM792" t="s">
        <v>383</v>
      </c>
      <c r="BN792" s="322">
        <v>135321.62456299999</v>
      </c>
      <c r="BO792" s="322">
        <v>46057.139498999997</v>
      </c>
      <c r="BP792" s="10">
        <v>39218</v>
      </c>
      <c r="BQ792" s="254">
        <f t="shared" si="338"/>
        <v>3.4504978469835277</v>
      </c>
      <c r="BR792" s="254">
        <f t="shared" si="339"/>
        <v>1.1743877683461674</v>
      </c>
      <c r="BS792" s="25">
        <v>69.011517360241086</v>
      </c>
      <c r="BT792" s="25">
        <v>92.140661395787632</v>
      </c>
      <c r="BU792" s="25">
        <v>46.93841324200914</v>
      </c>
      <c r="BV792" s="25">
        <v>90.114660288511843</v>
      </c>
      <c r="BW792" s="25">
        <v>63.263365233164173</v>
      </c>
      <c r="BX792" s="25">
        <v>74.551313071637423</v>
      </c>
      <c r="BY792" s="25">
        <v>64.520820008180038</v>
      </c>
      <c r="BZ792">
        <v>41</v>
      </c>
      <c r="CA792">
        <v>0</v>
      </c>
      <c r="CB792">
        <v>6</v>
      </c>
      <c r="CC792">
        <v>143926.51903600001</v>
      </c>
      <c r="CD792" s="10">
        <v>21219.520318999999</v>
      </c>
      <c r="CE792" s="255">
        <v>0.1474330127701651</v>
      </c>
      <c r="CF792" t="str">
        <f>IFERROR(VLOOKUP(CE792,'Rangos amb etnico'!$A$2:$C$6,3,9),"N.D.")</f>
        <v>0,1% - 30%</v>
      </c>
      <c r="CG792" s="256">
        <v>6.1735583656759416E-4</v>
      </c>
      <c r="CH792" s="232">
        <v>0</v>
      </c>
      <c r="CI792" s="311">
        <f t="shared" si="346"/>
        <v>0</v>
      </c>
      <c r="CJ792" s="232">
        <f>IFERROR(VLOOKUP(CI792,'Rangos amb etnico'!$A$2:$C$6,3,9),"N.D.")</f>
        <v>0</v>
      </c>
      <c r="CK792" s="311">
        <f t="shared" si="347"/>
        <v>0</v>
      </c>
      <c r="CL792" s="10">
        <v>0</v>
      </c>
      <c r="CM792" s="255">
        <f t="shared" si="348"/>
        <v>0</v>
      </c>
      <c r="CN792" s="232">
        <f>IFERROR(VLOOKUP(CM792,'Rangos amb etnico'!$A$2:$C$6,3,9),"N.D.")</f>
        <v>0</v>
      </c>
      <c r="CO792" s="311">
        <f t="shared" si="349"/>
        <v>0</v>
      </c>
      <c r="CP792">
        <v>0.9087882208429634</v>
      </c>
      <c r="CQ792" t="s">
        <v>2864</v>
      </c>
      <c r="CR792">
        <f t="shared" si="340"/>
        <v>3</v>
      </c>
      <c r="CS792" t="str">
        <f t="shared" si="350"/>
        <v>Candidato</v>
      </c>
      <c r="CT792">
        <v>0</v>
      </c>
      <c r="CU792">
        <v>0</v>
      </c>
      <c r="CV792" s="25">
        <v>54.904735565185547</v>
      </c>
      <c r="CW792" s="25">
        <v>47.805404663085938</v>
      </c>
      <c r="CX792" s="25">
        <v>48.250385284423828</v>
      </c>
      <c r="CY792" s="25">
        <v>83.208625793457031</v>
      </c>
      <c r="CZ792" s="25">
        <v>46.272716522216797</v>
      </c>
      <c r="DA792" s="25">
        <v>30.89304351806641</v>
      </c>
      <c r="DB792" s="25">
        <v>72.998237609863281</v>
      </c>
      <c r="DC792">
        <v>446</v>
      </c>
      <c r="DD792" s="253" t="s">
        <v>380</v>
      </c>
    </row>
    <row r="793" spans="1:108" hidden="1">
      <c r="A793" s="13">
        <v>15580</v>
      </c>
      <c r="B793" s="13" t="s">
        <v>2012</v>
      </c>
      <c r="C793" s="13" t="s">
        <v>498</v>
      </c>
      <c r="D793" s="13" t="s">
        <v>499</v>
      </c>
      <c r="E793" s="13" t="s">
        <v>2013</v>
      </c>
      <c r="F793" s="14">
        <v>65.241399999999999</v>
      </c>
      <c r="G793" s="13">
        <v>61.19</v>
      </c>
      <c r="H793" s="13">
        <v>58.35</v>
      </c>
      <c r="I793" s="13">
        <v>69.010000000000005</v>
      </c>
      <c r="J793" s="14">
        <v>53.750481182353049</v>
      </c>
      <c r="K793" s="14">
        <v>51.025870420039645</v>
      </c>
      <c r="L793" s="14">
        <v>52.468452649376715</v>
      </c>
      <c r="M793" s="14">
        <v>48.012599999999999</v>
      </c>
      <c r="N793" s="14">
        <f t="shared" si="324"/>
        <v>63.447850000000003</v>
      </c>
      <c r="O793" s="14">
        <f t="shared" si="325"/>
        <v>51.31435106294235</v>
      </c>
      <c r="P793" s="14">
        <f t="shared" si="341"/>
        <v>57.381100531471176</v>
      </c>
      <c r="Q793" s="14">
        <v>60.698137731737447</v>
      </c>
      <c r="R793" s="17">
        <f t="shared" si="326"/>
        <v>39.301862268262553</v>
      </c>
      <c r="S793" s="14">
        <f t="shared" si="342"/>
        <v>0.45371676041436304</v>
      </c>
      <c r="T793" s="13">
        <v>0</v>
      </c>
      <c r="U793" s="13">
        <f t="shared" si="343"/>
        <v>26.034767042149987</v>
      </c>
      <c r="V793" s="13">
        <f>IF($T793=1,$AU793,(VLOOKUP(U793,'Cortes naturales'!$A$35:$C$39,3,9)))</f>
        <v>4</v>
      </c>
      <c r="W793" s="13">
        <v>4</v>
      </c>
      <c r="X793" s="14" t="b">
        <f t="shared" si="327"/>
        <v>1</v>
      </c>
      <c r="Y793" s="17">
        <f>IF($T793=1,$AU793,VLOOKUP(U793,'Cortes naturales'!$A$45:$C$49,3,9))</f>
        <v>4</v>
      </c>
      <c r="Z793" s="14">
        <v>58.776688962275799</v>
      </c>
      <c r="AA793" s="14">
        <v>0.46472381126841522</v>
      </c>
      <c r="AB793" s="14">
        <v>27.314926908287003</v>
      </c>
      <c r="AC793" s="13">
        <v>4</v>
      </c>
      <c r="AD793" s="13">
        <f t="shared" si="328"/>
        <v>0</v>
      </c>
      <c r="AE793" s="14">
        <f t="shared" si="329"/>
        <v>-1.3955884308046222</v>
      </c>
      <c r="AF793" s="14">
        <f t="shared" si="330"/>
        <v>-1.1007050854052181E-2</v>
      </c>
      <c r="AG793" s="13">
        <f t="shared" si="331"/>
        <v>-1.2801598661370157</v>
      </c>
      <c r="AH793" s="13">
        <f>IF($T793=1,$AU793,VLOOKUP(U793,'Cortes naturales'!$A$25:$C$29,3,9))</f>
        <v>4</v>
      </c>
      <c r="AI793" s="13" t="b">
        <f t="shared" si="332"/>
        <v>1</v>
      </c>
      <c r="AJ793" s="13">
        <f t="shared" si="333"/>
        <v>0</v>
      </c>
      <c r="AK793" s="28">
        <v>0.6523467210059386</v>
      </c>
      <c r="AL793" s="28">
        <v>38.342780316126564</v>
      </c>
      <c r="AM793" s="28">
        <v>0.30900175281269338</v>
      </c>
      <c r="AN793" s="13">
        <v>4</v>
      </c>
      <c r="AO793" s="33">
        <f t="shared" si="334"/>
        <v>0</v>
      </c>
      <c r="AP793" s="13">
        <f t="shared" si="344"/>
        <v>30.900175281269338</v>
      </c>
      <c r="AQ793" s="13">
        <f>IFERROR(VLOOKUP(U793,'Cortes naturales'!$E$15:$G$19,3,9),U793)</f>
        <v>4</v>
      </c>
      <c r="AR793" s="28">
        <f t="shared" si="335"/>
        <v>-0.19862996059157556</v>
      </c>
      <c r="AS793" s="13" t="b">
        <f t="shared" si="336"/>
        <v>1</v>
      </c>
      <c r="AT793" s="13">
        <f t="shared" si="345"/>
        <v>0</v>
      </c>
      <c r="AU793" s="13">
        <v>4</v>
      </c>
      <c r="AV793">
        <f t="shared" si="337"/>
        <v>0</v>
      </c>
      <c r="AW793" s="13">
        <v>0</v>
      </c>
      <c r="AX793" s="13">
        <v>0</v>
      </c>
      <c r="AY793" s="13">
        <v>0</v>
      </c>
      <c r="AZ793" s="13">
        <v>0</v>
      </c>
      <c r="BA793">
        <v>0</v>
      </c>
      <c r="BB793" t="s">
        <v>2840</v>
      </c>
      <c r="BC793">
        <v>6</v>
      </c>
      <c r="BD793" t="s">
        <v>2919</v>
      </c>
      <c r="BE793">
        <v>0</v>
      </c>
      <c r="BF793" s="232" t="s">
        <v>2846</v>
      </c>
      <c r="BG793" s="232" t="s">
        <v>2846</v>
      </c>
      <c r="BH793" s="253">
        <v>64.599999999999994</v>
      </c>
      <c r="BI793" s="253">
        <v>40.462565569861709</v>
      </c>
      <c r="BJ793" s="25">
        <v>6.5344556145675252</v>
      </c>
      <c r="BK793" t="s">
        <v>377</v>
      </c>
      <c r="BL793">
        <v>3.338317414024758</v>
      </c>
      <c r="BM793" t="s">
        <v>383</v>
      </c>
      <c r="BN793" s="322">
        <v>21213.675689</v>
      </c>
      <c r="BO793" s="322">
        <v>2001.4888699999999</v>
      </c>
      <c r="BP793" s="10">
        <v>5005</v>
      </c>
      <c r="BQ793" s="254">
        <f t="shared" si="338"/>
        <v>4.2384966411588412</v>
      </c>
      <c r="BR793" s="254">
        <f t="shared" si="339"/>
        <v>0.39989787612387612</v>
      </c>
      <c r="BS793" s="25">
        <v>62.985012374125283</v>
      </c>
      <c r="BT793" s="25">
        <v>90.216450692640706</v>
      </c>
      <c r="BU793" s="25">
        <v>35.215299226275071</v>
      </c>
      <c r="BV793" s="25">
        <v>92.383536209401598</v>
      </c>
      <c r="BW793" s="25">
        <v>55.597835203554659</v>
      </c>
      <c r="BX793" s="25">
        <v>70.200074625610668</v>
      </c>
      <c r="BY793" s="25">
        <v>56.135357140658478</v>
      </c>
      <c r="BZ793">
        <v>86</v>
      </c>
      <c r="CA793">
        <v>0</v>
      </c>
      <c r="CB793">
        <v>7</v>
      </c>
      <c r="CC793">
        <v>16712.896530999999</v>
      </c>
      <c r="CD793" s="10">
        <v>14.545343000000001</v>
      </c>
      <c r="CE793" s="255">
        <v>8.7030653082908159E-4</v>
      </c>
      <c r="CF793">
        <f>IFERROR(VLOOKUP(CE793,'Rangos amb etnico'!$A$2:$C$6,3,9),"N.D.")</f>
        <v>0</v>
      </c>
      <c r="CG793" s="256">
        <v>4.2317885894372466E-7</v>
      </c>
      <c r="CH793" s="232">
        <v>0</v>
      </c>
      <c r="CI793" s="311">
        <f t="shared" si="346"/>
        <v>0</v>
      </c>
      <c r="CJ793" s="232">
        <f>IFERROR(VLOOKUP(CI793,'Rangos amb etnico'!$A$2:$C$6,3,9),"N.D.")</f>
        <v>0</v>
      </c>
      <c r="CK793" s="311">
        <f t="shared" si="347"/>
        <v>0</v>
      </c>
      <c r="CL793" s="10">
        <v>0</v>
      </c>
      <c r="CM793" s="255">
        <f t="shared" si="348"/>
        <v>0</v>
      </c>
      <c r="CN793" s="232">
        <f>IFERROR(VLOOKUP(CM793,'Rangos amb etnico'!$A$2:$C$6,3,9),"N.D.")</f>
        <v>0</v>
      </c>
      <c r="CO793" s="311">
        <f t="shared" si="349"/>
        <v>0</v>
      </c>
      <c r="CP793">
        <v>0.96211536455326652</v>
      </c>
      <c r="CQ793" t="s">
        <v>2864</v>
      </c>
      <c r="CR793">
        <f t="shared" si="340"/>
        <v>2</v>
      </c>
      <c r="CS793" t="str">
        <f t="shared" si="350"/>
        <v>No es Candidato</v>
      </c>
      <c r="CT793">
        <v>0</v>
      </c>
      <c r="CU793">
        <v>0</v>
      </c>
      <c r="CV793" s="25">
        <v>41.998382568359382</v>
      </c>
      <c r="CW793" s="25">
        <v>12.01295375823975</v>
      </c>
      <c r="CX793" s="25">
        <v>48.791061401367188</v>
      </c>
      <c r="CY793" s="25">
        <v>57.419338226318359</v>
      </c>
      <c r="CZ793" s="25">
        <v>37.571063995361328</v>
      </c>
      <c r="DA793" s="25">
        <v>47.063907623291023</v>
      </c>
      <c r="DB793" s="25">
        <v>49.131980895996087</v>
      </c>
      <c r="DC793">
        <v>51</v>
      </c>
      <c r="DD793" s="253" t="s">
        <v>380</v>
      </c>
    </row>
    <row r="794" spans="1:108" hidden="1">
      <c r="A794" s="13">
        <v>41016</v>
      </c>
      <c r="B794" s="13" t="s">
        <v>2014</v>
      </c>
      <c r="C794" s="13" t="s">
        <v>676</v>
      </c>
      <c r="D794" s="13" t="s">
        <v>677</v>
      </c>
      <c r="E794" s="13" t="s">
        <v>2015</v>
      </c>
      <c r="F794" s="14">
        <v>60.5581666666667</v>
      </c>
      <c r="G794" s="13">
        <v>59.21</v>
      </c>
      <c r="H794" s="13">
        <v>59.88</v>
      </c>
      <c r="I794" s="13">
        <v>74.17</v>
      </c>
      <c r="J794" s="14">
        <v>65.524787613300902</v>
      </c>
      <c r="K794" s="14">
        <v>67.265582887829524</v>
      </c>
      <c r="L794" s="14">
        <v>69.122624152355712</v>
      </c>
      <c r="M794" s="14">
        <v>55.755699999999997</v>
      </c>
      <c r="N794" s="14">
        <f t="shared" si="324"/>
        <v>63.454541666666671</v>
      </c>
      <c r="O794" s="14">
        <f t="shared" si="325"/>
        <v>64.417173663371543</v>
      </c>
      <c r="P794" s="14">
        <f t="shared" si="341"/>
        <v>63.935857665019107</v>
      </c>
      <c r="Q794" s="14">
        <v>60.249181435230646</v>
      </c>
      <c r="R794" s="17">
        <f t="shared" si="326"/>
        <v>39.750818564769354</v>
      </c>
      <c r="S794" s="14">
        <f t="shared" si="342"/>
        <v>0.45775736708292414</v>
      </c>
      <c r="T794" s="13">
        <v>0</v>
      </c>
      <c r="U794" s="13">
        <f t="shared" si="343"/>
        <v>29.26710986692774</v>
      </c>
      <c r="V794" s="13">
        <f>IF($T794=1,$AU794,(VLOOKUP(U794,'Cortes naturales'!$A$35:$C$39,3,9)))</f>
        <v>4</v>
      </c>
      <c r="W794" s="13">
        <v>4</v>
      </c>
      <c r="X794" s="14" t="b">
        <f t="shared" si="327"/>
        <v>1</v>
      </c>
      <c r="Y794" s="17">
        <f>IF($T794=1,$AU794,VLOOKUP(U794,'Cortes naturales'!$A$45:$C$49,3,9))</f>
        <v>3</v>
      </c>
      <c r="Z794" s="14">
        <v>62.018348355876178</v>
      </c>
      <c r="AA794" s="14">
        <v>0.46496321217010017</v>
      </c>
      <c r="AB794" s="14">
        <v>28.836250465032439</v>
      </c>
      <c r="AC794" s="13">
        <v>3</v>
      </c>
      <c r="AD794" s="13">
        <f t="shared" si="328"/>
        <v>0</v>
      </c>
      <c r="AE794" s="14">
        <f t="shared" si="329"/>
        <v>1.9175093091429289</v>
      </c>
      <c r="AF794" s="14">
        <f t="shared" si="330"/>
        <v>-7.2058450871760327E-3</v>
      </c>
      <c r="AG794" s="13">
        <f t="shared" si="331"/>
        <v>0.43085940189530092</v>
      </c>
      <c r="AH794" s="13">
        <f>IF($T794=1,$AU794,VLOOKUP(U794,'Cortes naturales'!$A$25:$C$29,3,9))</f>
        <v>3</v>
      </c>
      <c r="AI794" s="13" t="b">
        <f t="shared" si="332"/>
        <v>1</v>
      </c>
      <c r="AJ794" s="13">
        <f t="shared" si="333"/>
        <v>0</v>
      </c>
      <c r="AK794" s="28">
        <v>0.6523467210059386</v>
      </c>
      <c r="AL794" s="28">
        <v>40.45746619215987</v>
      </c>
      <c r="AM794" s="28">
        <v>0.33545424403284485</v>
      </c>
      <c r="AN794" s="13">
        <v>4</v>
      </c>
      <c r="AO794" s="33">
        <f t="shared" si="334"/>
        <v>1</v>
      </c>
      <c r="AP794" s="13">
        <f t="shared" si="344"/>
        <v>33.545424403284485</v>
      </c>
      <c r="AQ794" s="13">
        <f>IFERROR(VLOOKUP(U794,'Cortes naturales'!$E$15:$G$19,3,9),U794)</f>
        <v>4</v>
      </c>
      <c r="AR794" s="28">
        <f t="shared" si="335"/>
        <v>-0.19458935392301446</v>
      </c>
      <c r="AS794" s="13" t="b">
        <f t="shared" si="336"/>
        <v>0</v>
      </c>
      <c r="AT794" s="13" t="str">
        <f t="shared" si="345"/>
        <v>Cambio en corte</v>
      </c>
      <c r="AU794" s="13">
        <v>4</v>
      </c>
      <c r="AV794">
        <f t="shared" si="337"/>
        <v>1</v>
      </c>
      <c r="AW794" s="13">
        <v>0</v>
      </c>
      <c r="AX794" s="13">
        <v>0</v>
      </c>
      <c r="AY794" s="13">
        <v>0</v>
      </c>
      <c r="AZ794" s="13">
        <v>0</v>
      </c>
      <c r="BA794">
        <v>0</v>
      </c>
      <c r="BB794" t="s">
        <v>2840</v>
      </c>
      <c r="BC794">
        <v>6</v>
      </c>
      <c r="BD794" t="s">
        <v>2919</v>
      </c>
      <c r="BE794">
        <v>0</v>
      </c>
      <c r="BF794" s="232" t="s">
        <v>2846</v>
      </c>
      <c r="BG794" s="232" t="s">
        <v>2845</v>
      </c>
      <c r="BH794" s="253">
        <v>35.4</v>
      </c>
      <c r="BI794" s="253">
        <v>15.238485718190516</v>
      </c>
      <c r="BJ794" s="25">
        <v>5.5285714285714294</v>
      </c>
      <c r="BK794" t="s">
        <v>377</v>
      </c>
      <c r="BL794">
        <v>1.3663141211113858</v>
      </c>
      <c r="BM794" t="s">
        <v>383</v>
      </c>
      <c r="BN794" s="322">
        <v>67100.617213000005</v>
      </c>
      <c r="BO794" s="322">
        <v>9608.085411</v>
      </c>
      <c r="BP794" s="10">
        <v>17200</v>
      </c>
      <c r="BQ794" s="254">
        <f t="shared" si="338"/>
        <v>3.901198675174419</v>
      </c>
      <c r="BR794" s="254">
        <f t="shared" si="339"/>
        <v>0.55860961691860467</v>
      </c>
      <c r="BS794" s="25">
        <v>60.199736463998768</v>
      </c>
      <c r="BT794" s="25">
        <v>94.43100581395349</v>
      </c>
      <c r="BU794" s="25">
        <v>62.613333333333337</v>
      </c>
      <c r="BV794" s="25">
        <v>92.8024292615642</v>
      </c>
      <c r="BW794" s="25">
        <v>63.576305393766901</v>
      </c>
      <c r="BX794" s="25">
        <v>77.511626218212456</v>
      </c>
      <c r="BY794" s="25">
        <v>64.981274242617687</v>
      </c>
      <c r="BZ794">
        <v>71</v>
      </c>
      <c r="CA794">
        <v>0</v>
      </c>
      <c r="CB794">
        <v>7</v>
      </c>
      <c r="CC794">
        <v>79529.855762000007</v>
      </c>
      <c r="CD794" s="10">
        <v>13000.591947999999</v>
      </c>
      <c r="CE794" s="255">
        <v>0.16346806898412339</v>
      </c>
      <c r="CF794" t="str">
        <f>IFERROR(VLOOKUP(CE794,'Rangos amb etnico'!$A$2:$C$6,3,9),"N.D.")</f>
        <v>0,1% - 30%</v>
      </c>
      <c r="CG794" s="256">
        <v>3.7823622764671919E-4</v>
      </c>
      <c r="CH794" s="232">
        <v>0</v>
      </c>
      <c r="CI794" s="311">
        <f t="shared" si="346"/>
        <v>0</v>
      </c>
      <c r="CJ794" s="232">
        <f>IFERROR(VLOOKUP(CI794,'Rangos amb etnico'!$A$2:$C$6,3,9),"N.D.")</f>
        <v>0</v>
      </c>
      <c r="CK794" s="311">
        <f t="shared" si="347"/>
        <v>0</v>
      </c>
      <c r="CL794" s="10">
        <v>0</v>
      </c>
      <c r="CM794" s="255">
        <f t="shared" si="348"/>
        <v>0</v>
      </c>
      <c r="CN794" s="232">
        <f>IFERROR(VLOOKUP(CM794,'Rangos amb etnico'!$A$2:$C$6,3,9),"N.D.")</f>
        <v>0</v>
      </c>
      <c r="CO794" s="311">
        <f t="shared" si="349"/>
        <v>0</v>
      </c>
      <c r="CP794">
        <v>0.92131292357588812</v>
      </c>
      <c r="CQ794" t="s">
        <v>2864</v>
      </c>
      <c r="CR794">
        <f t="shared" si="340"/>
        <v>3</v>
      </c>
      <c r="CS794" t="str">
        <f t="shared" si="350"/>
        <v>Candidato</v>
      </c>
      <c r="CT794">
        <v>0</v>
      </c>
      <c r="CU794">
        <v>0</v>
      </c>
      <c r="CV794" s="25">
        <v>52.176509857177727</v>
      </c>
      <c r="CW794" s="25">
        <v>34.138847351074219</v>
      </c>
      <c r="CX794" s="25">
        <v>56.452610015869141</v>
      </c>
      <c r="CY794" s="25">
        <v>59.961940765380859</v>
      </c>
      <c r="CZ794" s="25">
        <v>54.99200439453125</v>
      </c>
      <c r="DA794" s="25">
        <v>46.629001617431641</v>
      </c>
      <c r="DB794" s="25">
        <v>60.884662628173828</v>
      </c>
      <c r="DC794">
        <v>165</v>
      </c>
      <c r="DD794" s="253" t="s">
        <v>380</v>
      </c>
    </row>
    <row r="795" spans="1:108" hidden="1">
      <c r="A795" s="13">
        <v>68235</v>
      </c>
      <c r="B795" s="13" t="s">
        <v>2016</v>
      </c>
      <c r="C795" s="13" t="s">
        <v>431</v>
      </c>
      <c r="D795" s="13" t="s">
        <v>432</v>
      </c>
      <c r="E795" s="13" t="s">
        <v>2017</v>
      </c>
      <c r="F795" s="14">
        <v>59.206699999999998</v>
      </c>
      <c r="G795" s="13">
        <v>61.29</v>
      </c>
      <c r="H795" s="13">
        <v>67.3</v>
      </c>
      <c r="I795" s="13">
        <v>79.62</v>
      </c>
      <c r="J795" s="14">
        <v>58.468577820885017</v>
      </c>
      <c r="K795" s="14">
        <v>56.560890265562605</v>
      </c>
      <c r="L795" s="14">
        <v>60.089206483128365</v>
      </c>
      <c r="M795" s="14">
        <v>61.4771</v>
      </c>
      <c r="N795" s="14">
        <f t="shared" si="324"/>
        <v>66.854174999999998</v>
      </c>
      <c r="O795" s="14">
        <f t="shared" si="325"/>
        <v>59.148943642394002</v>
      </c>
      <c r="P795" s="14">
        <f t="shared" si="341"/>
        <v>63.001559321197</v>
      </c>
      <c r="Q795" s="14">
        <v>59.575065111426021</v>
      </c>
      <c r="R795" s="17">
        <f t="shared" si="326"/>
        <v>40.424934888573979</v>
      </c>
      <c r="S795" s="14">
        <f t="shared" si="342"/>
        <v>0.46382441399716579</v>
      </c>
      <c r="T795" s="13">
        <v>0</v>
      </c>
      <c r="U795" s="13">
        <f t="shared" si="343"/>
        <v>29.221661333061878</v>
      </c>
      <c r="V795" s="13">
        <f>IF($T795=1,$AU795,(VLOOKUP(U795,'Cortes naturales'!$A$35:$C$39,3,9)))</f>
        <v>4</v>
      </c>
      <c r="W795" s="13">
        <v>4</v>
      </c>
      <c r="X795" s="14" t="b">
        <f t="shared" si="327"/>
        <v>1</v>
      </c>
      <c r="Y795" s="17">
        <f>IF($T795=1,$AU795,VLOOKUP(U795,'Cortes naturales'!$A$45:$C$49,3,9))</f>
        <v>3</v>
      </c>
      <c r="Z795" s="14">
        <v>59.806033261595999</v>
      </c>
      <c r="AA795" s="14">
        <v>0.46485766720665211</v>
      </c>
      <c r="AB795" s="14">
        <v>27.801293106868961</v>
      </c>
      <c r="AC795" s="13">
        <v>3</v>
      </c>
      <c r="AD795" s="13">
        <f t="shared" si="328"/>
        <v>0</v>
      </c>
      <c r="AE795" s="14">
        <f t="shared" si="329"/>
        <v>3.1955260596010007</v>
      </c>
      <c r="AF795" s="14">
        <f t="shared" si="330"/>
        <v>-1.0332532094863289E-3</v>
      </c>
      <c r="AG795" s="13">
        <f t="shared" si="331"/>
        <v>1.4203682261929167</v>
      </c>
      <c r="AH795" s="13">
        <f>IF($T795=1,$AU795,VLOOKUP(U795,'Cortes naturales'!$A$25:$C$29,3,9))</f>
        <v>3</v>
      </c>
      <c r="AI795" s="13" t="b">
        <f t="shared" si="332"/>
        <v>1</v>
      </c>
      <c r="AJ795" s="13">
        <f t="shared" si="333"/>
        <v>0</v>
      </c>
      <c r="AK795" s="28">
        <v>0.6523467210059386</v>
      </c>
      <c r="AL795" s="28">
        <v>39.014269694574253</v>
      </c>
      <c r="AM795" s="28">
        <v>0.317401377120551</v>
      </c>
      <c r="AN795" s="13">
        <v>4</v>
      </c>
      <c r="AO795" s="33">
        <f t="shared" si="334"/>
        <v>1</v>
      </c>
      <c r="AP795" s="13">
        <f t="shared" si="344"/>
        <v>31.740137712055098</v>
      </c>
      <c r="AQ795" s="13">
        <f>IFERROR(VLOOKUP(U795,'Cortes naturales'!$E$15:$G$19,3,9),U795)</f>
        <v>4</v>
      </c>
      <c r="AR795" s="28">
        <f t="shared" si="335"/>
        <v>-0.18852230700877282</v>
      </c>
      <c r="AS795" s="13" t="b">
        <f t="shared" si="336"/>
        <v>0</v>
      </c>
      <c r="AT795" s="13" t="str">
        <f t="shared" si="345"/>
        <v>Cambio en corte</v>
      </c>
      <c r="AU795" s="13">
        <v>4</v>
      </c>
      <c r="AV795">
        <f t="shared" si="337"/>
        <v>1</v>
      </c>
      <c r="AW795" s="13">
        <v>0</v>
      </c>
      <c r="AX795" s="13">
        <v>0</v>
      </c>
      <c r="AY795" s="13">
        <v>0</v>
      </c>
      <c r="AZ795" s="13">
        <v>0</v>
      </c>
      <c r="BA795">
        <v>0</v>
      </c>
      <c r="BB795" t="s">
        <v>2841</v>
      </c>
      <c r="BC795">
        <v>6</v>
      </c>
      <c r="BD795" t="s">
        <v>2919</v>
      </c>
      <c r="BE795">
        <v>0</v>
      </c>
      <c r="BF795" s="232" t="s">
        <v>2846</v>
      </c>
      <c r="BG795" s="232" t="s">
        <v>2845</v>
      </c>
      <c r="BH795" s="253">
        <v>58.9</v>
      </c>
      <c r="BI795" s="253">
        <v>43.069391472647581</v>
      </c>
      <c r="BJ795" s="25">
        <v>38.848801668436892</v>
      </c>
      <c r="BK795" t="s">
        <v>376</v>
      </c>
      <c r="BL795">
        <v>0.45371442334105599</v>
      </c>
      <c r="BM795" t="s">
        <v>383</v>
      </c>
      <c r="BN795" s="322">
        <v>39648.912098000001</v>
      </c>
      <c r="BO795" s="322">
        <v>4863.7496499999997</v>
      </c>
      <c r="BP795" s="10">
        <v>24214</v>
      </c>
      <c r="BQ795" s="254">
        <f t="shared" si="338"/>
        <v>1.6374375195341537</v>
      </c>
      <c r="BR795" s="254">
        <f t="shared" si="339"/>
        <v>0.2008651874948377</v>
      </c>
      <c r="BS795" s="25">
        <v>53.054583769413583</v>
      </c>
      <c r="BT795" s="25">
        <v>81.613207096445578</v>
      </c>
      <c r="BU795" s="25">
        <v>35.085252952708842</v>
      </c>
      <c r="BV795" s="25">
        <v>95.242787282324926</v>
      </c>
      <c r="BW795" s="25">
        <v>51.345601298480062</v>
      </c>
      <c r="BX795" s="25">
        <v>66.248957775223232</v>
      </c>
      <c r="BY795" s="25">
        <v>52.145872973307881</v>
      </c>
      <c r="BZ795">
        <v>95</v>
      </c>
      <c r="CA795">
        <v>0</v>
      </c>
      <c r="CB795">
        <v>7</v>
      </c>
      <c r="CC795">
        <v>92257.030790000004</v>
      </c>
      <c r="CD795" s="10">
        <v>71282.031791000001</v>
      </c>
      <c r="CE795" s="255">
        <v>0.77264606481055809</v>
      </c>
      <c r="CF795" t="str">
        <f>IFERROR(VLOOKUP(CE795,'Rangos amb etnico'!$A$2:$C$6,3,9),"N.D.")</f>
        <v>71% - 100%</v>
      </c>
      <c r="CG795" s="256">
        <v>2.0738630141967558E-3</v>
      </c>
      <c r="CH795" s="232">
        <v>0</v>
      </c>
      <c r="CI795" s="311">
        <f t="shared" si="346"/>
        <v>0</v>
      </c>
      <c r="CJ795" s="232">
        <f>IFERROR(VLOOKUP(CI795,'Rangos amb etnico'!$A$2:$C$6,3,9),"N.D.")</f>
        <v>0</v>
      </c>
      <c r="CK795" s="311">
        <f t="shared" si="347"/>
        <v>0</v>
      </c>
      <c r="CL795" s="10">
        <v>0</v>
      </c>
      <c r="CM795" s="255">
        <f t="shared" si="348"/>
        <v>0</v>
      </c>
      <c r="CN795" s="232">
        <f>IFERROR(VLOOKUP(CM795,'Rangos amb etnico'!$A$2:$C$6,3,9),"N.D.")</f>
        <v>0</v>
      </c>
      <c r="CO795" s="311">
        <f t="shared" si="349"/>
        <v>0</v>
      </c>
      <c r="CP795">
        <v>0.95396172216419517</v>
      </c>
      <c r="CQ795" t="s">
        <v>2864</v>
      </c>
      <c r="CR795">
        <f t="shared" si="340"/>
        <v>3</v>
      </c>
      <c r="CS795" t="str">
        <f t="shared" si="350"/>
        <v>Candidato</v>
      </c>
      <c r="CT795">
        <v>0</v>
      </c>
      <c r="CU795">
        <v>0</v>
      </c>
      <c r="CV795" s="25">
        <v>49.154029846191413</v>
      </c>
      <c r="CW795" s="25">
        <v>17.081562042236332</v>
      </c>
      <c r="CX795" s="25">
        <v>58.024608612060547</v>
      </c>
      <c r="CY795" s="25">
        <v>49.866336822509773</v>
      </c>
      <c r="CZ795" s="25">
        <v>22.750307083129879</v>
      </c>
      <c r="DA795" s="25">
        <v>99.890243530273438</v>
      </c>
      <c r="DB795" s="25">
        <v>47.311119079589837</v>
      </c>
      <c r="DC795">
        <v>146</v>
      </c>
      <c r="DD795" s="253" t="s">
        <v>380</v>
      </c>
    </row>
    <row r="796" spans="1:108">
      <c r="A796" s="13">
        <v>5858</v>
      </c>
      <c r="B796" s="13" t="s">
        <v>2018</v>
      </c>
      <c r="C796" s="13" t="s">
        <v>435</v>
      </c>
      <c r="D796" s="13" t="s">
        <v>436</v>
      </c>
      <c r="E796" s="13" t="s">
        <v>2019</v>
      </c>
      <c r="F796" s="14">
        <v>61.972499999999997</v>
      </c>
      <c r="G796" s="13">
        <v>57.57</v>
      </c>
      <c r="H796" s="13">
        <v>67.87</v>
      </c>
      <c r="I796" s="13">
        <v>76.31</v>
      </c>
      <c r="J796" s="14">
        <v>60.074897420676294</v>
      </c>
      <c r="K796" s="14">
        <v>57.892091132825101</v>
      </c>
      <c r="L796" s="14">
        <v>63.980068203469088</v>
      </c>
      <c r="M796" s="14">
        <v>57.936700000000002</v>
      </c>
      <c r="N796" s="14">
        <f t="shared" si="324"/>
        <v>65.930624999999992</v>
      </c>
      <c r="O796" s="14">
        <f t="shared" si="325"/>
        <v>59.970939189242621</v>
      </c>
      <c r="P796" s="14">
        <f t="shared" si="341"/>
        <v>62.950782094621303</v>
      </c>
      <c r="Q796" s="14">
        <v>59.79553304442512</v>
      </c>
      <c r="R796" s="17">
        <f t="shared" si="326"/>
        <v>40.20446695557488</v>
      </c>
      <c r="S796" s="14">
        <f t="shared" si="342"/>
        <v>0.46184020260017389</v>
      </c>
      <c r="T796" s="13">
        <v>0</v>
      </c>
      <c r="U796" s="13">
        <f t="shared" si="343"/>
        <v>29.0732019564193</v>
      </c>
      <c r="V796" s="13">
        <f>IF($T796=1,$AU796,(VLOOKUP(U796,'Cortes naturales'!$A$35:$C$39,3,9)))</f>
        <v>4</v>
      </c>
      <c r="W796" s="13">
        <v>4</v>
      </c>
      <c r="X796" s="14" t="b">
        <f t="shared" si="327"/>
        <v>1</v>
      </c>
      <c r="Y796" s="17">
        <f>IF($T796=1,$AU796,VLOOKUP(U796,'Cortes naturales'!$A$45:$C$49,3,9))</f>
        <v>3</v>
      </c>
      <c r="Z796" s="14">
        <v>61.150544625347877</v>
      </c>
      <c r="AA796" s="14">
        <v>0.46636769955657609</v>
      </c>
      <c r="AB796" s="14">
        <v>28.518638823555236</v>
      </c>
      <c r="AC796" s="13">
        <v>3</v>
      </c>
      <c r="AD796" s="13">
        <f t="shared" si="328"/>
        <v>0</v>
      </c>
      <c r="AE796" s="14">
        <f t="shared" si="329"/>
        <v>1.8002374692734264</v>
      </c>
      <c r="AF796" s="14">
        <f t="shared" si="330"/>
        <v>-4.5274969564021994E-3</v>
      </c>
      <c r="AG796" s="13">
        <f t="shared" si="331"/>
        <v>0.55456313286406456</v>
      </c>
      <c r="AH796" s="13">
        <f>IF($T796=1,$AU796,VLOOKUP(U796,'Cortes naturales'!$A$25:$C$29,3,9))</f>
        <v>3</v>
      </c>
      <c r="AI796" s="13" t="b">
        <f t="shared" si="332"/>
        <v>1</v>
      </c>
      <c r="AJ796" s="13">
        <f t="shared" si="333"/>
        <v>0</v>
      </c>
      <c r="AK796" s="28">
        <v>0.6523467210059386</v>
      </c>
      <c r="AL796" s="28">
        <v>39.891357274073009</v>
      </c>
      <c r="AM796" s="28">
        <v>0.32837281820262559</v>
      </c>
      <c r="AN796" s="13">
        <v>4</v>
      </c>
      <c r="AO796" s="33">
        <f t="shared" si="334"/>
        <v>1</v>
      </c>
      <c r="AP796" s="13">
        <f t="shared" si="344"/>
        <v>32.837281820262561</v>
      </c>
      <c r="AQ796" s="13">
        <f>IFERROR(VLOOKUP(U796,'Cortes naturales'!$E$15:$G$19,3,9),U796)</f>
        <v>4</v>
      </c>
      <c r="AR796" s="28">
        <f t="shared" si="335"/>
        <v>-0.19050651840576471</v>
      </c>
      <c r="AS796" s="13" t="b">
        <f t="shared" si="336"/>
        <v>0</v>
      </c>
      <c r="AT796" s="13" t="str">
        <f t="shared" si="345"/>
        <v>Cambio en corte</v>
      </c>
      <c r="AU796" s="13">
        <v>4</v>
      </c>
      <c r="AV796">
        <f t="shared" si="337"/>
        <v>1</v>
      </c>
      <c r="AW796" s="13">
        <v>0</v>
      </c>
      <c r="AX796" s="13">
        <v>0</v>
      </c>
      <c r="AY796" s="13">
        <v>0</v>
      </c>
      <c r="AZ796" s="13">
        <v>0</v>
      </c>
      <c r="BA796">
        <v>1</v>
      </c>
      <c r="BB796" t="s">
        <v>2840</v>
      </c>
      <c r="BC796">
        <v>6</v>
      </c>
      <c r="BD796" t="s">
        <v>2919</v>
      </c>
      <c r="BE796">
        <v>1</v>
      </c>
      <c r="BF796" s="232" t="s">
        <v>2846</v>
      </c>
      <c r="BG796" s="232" t="s">
        <v>2845</v>
      </c>
      <c r="BH796" s="253">
        <v>41</v>
      </c>
      <c r="BI796" s="253">
        <v>22.031614873360876</v>
      </c>
      <c r="BJ796" s="25">
        <v>12.682022041255179</v>
      </c>
      <c r="BK796" t="s">
        <v>377</v>
      </c>
      <c r="BL796">
        <v>7.7423015815236269</v>
      </c>
      <c r="BM796" t="s">
        <v>379</v>
      </c>
      <c r="BN796" s="322">
        <v>36801.059664</v>
      </c>
      <c r="BO796" s="322">
        <v>6800.0700120000001</v>
      </c>
      <c r="BP796" s="10">
        <v>12126</v>
      </c>
      <c r="BQ796" s="254">
        <f t="shared" si="338"/>
        <v>3.0348886412666998</v>
      </c>
      <c r="BR796" s="254">
        <f t="shared" si="339"/>
        <v>0.56078426620484911</v>
      </c>
      <c r="BS796" s="25">
        <v>78.030946005549822</v>
      </c>
      <c r="BT796" s="25">
        <v>100</v>
      </c>
      <c r="BU796" s="25">
        <v>54.52</v>
      </c>
      <c r="BV796" s="25">
        <v>85.584076341466343</v>
      </c>
      <c r="BW796" s="25">
        <v>70.897875620658738</v>
      </c>
      <c r="BX796" s="25">
        <v>79.53375558675404</v>
      </c>
      <c r="BY796" s="25">
        <v>74.075884622096794</v>
      </c>
      <c r="BZ796">
        <v>72</v>
      </c>
      <c r="CA796">
        <v>0</v>
      </c>
      <c r="CB796">
        <v>7</v>
      </c>
      <c r="CC796">
        <v>54029.881958999998</v>
      </c>
      <c r="CD796" s="10">
        <v>2779.5067779999999</v>
      </c>
      <c r="CE796" s="255">
        <v>5.1443880260726819E-2</v>
      </c>
      <c r="CF796" t="str">
        <f>IFERROR(VLOOKUP(CE796,'Rangos amb etnico'!$A$2:$C$6,3,9),"N.D.")</f>
        <v>0,1% - 30%</v>
      </c>
      <c r="CG796" s="256">
        <v>8.0866329982069753E-5</v>
      </c>
      <c r="CH796" s="232">
        <v>0</v>
      </c>
      <c r="CI796" s="311">
        <f t="shared" si="346"/>
        <v>0</v>
      </c>
      <c r="CJ796" s="232">
        <f>IFERROR(VLOOKUP(CI796,'Rangos amb etnico'!$A$2:$C$6,3,9),"N.D.")</f>
        <v>0</v>
      </c>
      <c r="CK796" s="311">
        <f t="shared" si="347"/>
        <v>0</v>
      </c>
      <c r="CL796" s="10">
        <v>0</v>
      </c>
      <c r="CM796" s="255">
        <f t="shared" si="348"/>
        <v>0</v>
      </c>
      <c r="CN796" s="232">
        <f>IFERROR(VLOOKUP(CM796,'Rangos amb etnico'!$A$2:$C$6,3,9),"N.D.")</f>
        <v>0</v>
      </c>
      <c r="CO796" s="311">
        <f t="shared" si="349"/>
        <v>0</v>
      </c>
      <c r="CP796">
        <v>0.95427749875054757</v>
      </c>
      <c r="CQ796" t="s">
        <v>2864</v>
      </c>
      <c r="CR796">
        <f t="shared" si="340"/>
        <v>3</v>
      </c>
      <c r="CS796" t="str">
        <f t="shared" si="350"/>
        <v>Candidato</v>
      </c>
      <c r="CT796">
        <v>0</v>
      </c>
      <c r="CU796">
        <v>0</v>
      </c>
      <c r="CV796" s="25">
        <v>34.449043273925781</v>
      </c>
      <c r="CW796" s="25">
        <v>18.321500778198239</v>
      </c>
      <c r="CX796" s="25">
        <v>45.116981506347663</v>
      </c>
      <c r="CY796" s="25">
        <v>52.157768249511719</v>
      </c>
      <c r="CZ796" s="25">
        <v>28.480001449584961</v>
      </c>
      <c r="DA796" s="25">
        <v>35.379650115966797</v>
      </c>
      <c r="DB796" s="25">
        <v>27.238359451293949</v>
      </c>
      <c r="DC796">
        <v>273</v>
      </c>
      <c r="DD796" s="253" t="s">
        <v>380</v>
      </c>
    </row>
    <row r="797" spans="1:108" hidden="1">
      <c r="A797" s="13">
        <v>15368</v>
      </c>
      <c r="B797" s="13" t="s">
        <v>2020</v>
      </c>
      <c r="C797" s="13" t="s">
        <v>498</v>
      </c>
      <c r="D797" s="13" t="s">
        <v>499</v>
      </c>
      <c r="E797" s="13" t="s">
        <v>1234</v>
      </c>
      <c r="F797" s="14">
        <v>78.557333333333304</v>
      </c>
      <c r="G797" s="13">
        <v>80.16</v>
      </c>
      <c r="H797" s="13">
        <v>76.13</v>
      </c>
      <c r="I797" s="13">
        <v>62.41</v>
      </c>
      <c r="J797" s="14">
        <v>65.910365493501288</v>
      </c>
      <c r="K797" s="14">
        <v>61.393429358285843</v>
      </c>
      <c r="L797" s="14">
        <v>55.138477651350847</v>
      </c>
      <c r="M797" s="14">
        <v>47.355200000000004</v>
      </c>
      <c r="N797" s="14">
        <f t="shared" si="324"/>
        <v>74.314333333333323</v>
      </c>
      <c r="O797" s="14">
        <f t="shared" si="325"/>
        <v>57.449368125784495</v>
      </c>
      <c r="P797" s="14">
        <f t="shared" si="341"/>
        <v>65.881850729558906</v>
      </c>
      <c r="Q797" s="14">
        <v>60.514548384563128</v>
      </c>
      <c r="R797" s="17">
        <f t="shared" si="326"/>
        <v>39.485451615436872</v>
      </c>
      <c r="S797" s="14">
        <f t="shared" si="342"/>
        <v>0.45536906453893189</v>
      </c>
      <c r="T797" s="13">
        <v>0</v>
      </c>
      <c r="U797" s="13">
        <f t="shared" si="343"/>
        <v>30.000556736812786</v>
      </c>
      <c r="V797" s="13">
        <f>IF($T797=1,$AU797,(VLOOKUP(U797,'Cortes naturales'!$A$35:$C$39,3,9)))</f>
        <v>3</v>
      </c>
      <c r="W797" s="13">
        <v>3</v>
      </c>
      <c r="X797" s="14" t="b">
        <f t="shared" si="327"/>
        <v>1</v>
      </c>
      <c r="Y797" s="17">
        <f>IF($T797=1,$AU797,VLOOKUP(U797,'Cortes naturales'!$A$45:$C$49,3,9))</f>
        <v>3</v>
      </c>
      <c r="Z797" s="14">
        <v>68.485880634578407</v>
      </c>
      <c r="AA797" s="14">
        <v>0.46476302545987491</v>
      </c>
      <c r="AB797" s="14">
        <v>31.82970508501052</v>
      </c>
      <c r="AC797" s="13">
        <v>3</v>
      </c>
      <c r="AD797" s="13">
        <f t="shared" si="328"/>
        <v>0</v>
      </c>
      <c r="AE797" s="14">
        <f t="shared" si="329"/>
        <v>-2.6040299050195017</v>
      </c>
      <c r="AF797" s="14">
        <f t="shared" si="330"/>
        <v>-9.393960920943023E-3</v>
      </c>
      <c r="AG797" s="13">
        <f t="shared" si="331"/>
        <v>-1.8291483481977338</v>
      </c>
      <c r="AH797" s="13">
        <f>IF($T797=1,$AU797,VLOOKUP(U797,'Cortes naturales'!$A$25:$C$29,3,9))</f>
        <v>3</v>
      </c>
      <c r="AI797" s="13" t="b">
        <f t="shared" si="332"/>
        <v>1</v>
      </c>
      <c r="AJ797" s="13">
        <f t="shared" si="333"/>
        <v>0</v>
      </c>
      <c r="AK797" s="28">
        <v>0.6523467210059386</v>
      </c>
      <c r="AL797" s="28">
        <v>44.676539667171333</v>
      </c>
      <c r="AM797" s="28">
        <v>0.38823040588259511</v>
      </c>
      <c r="AN797" s="13">
        <v>3</v>
      </c>
      <c r="AO797" s="33">
        <f t="shared" si="334"/>
        <v>0</v>
      </c>
      <c r="AP797" s="13">
        <f t="shared" si="344"/>
        <v>38.823040588259509</v>
      </c>
      <c r="AQ797" s="13">
        <f>IFERROR(VLOOKUP(U797,'Cortes naturales'!$E$15:$G$19,3,9),U797)</f>
        <v>4</v>
      </c>
      <c r="AR797" s="28">
        <f t="shared" si="335"/>
        <v>-0.19697765646700671</v>
      </c>
      <c r="AS797" s="13" t="b">
        <f t="shared" si="336"/>
        <v>0</v>
      </c>
      <c r="AT797" s="13">
        <f t="shared" si="345"/>
        <v>0</v>
      </c>
      <c r="AU797" s="13">
        <v>4</v>
      </c>
      <c r="AV797">
        <f t="shared" si="337"/>
        <v>1</v>
      </c>
      <c r="AW797" s="13">
        <v>0</v>
      </c>
      <c r="AX797" s="13">
        <v>0</v>
      </c>
      <c r="AY797" s="13">
        <v>0</v>
      </c>
      <c r="AZ797" s="13">
        <v>0</v>
      </c>
      <c r="BA797">
        <v>0</v>
      </c>
      <c r="BB797" t="s">
        <v>2840</v>
      </c>
      <c r="BC797">
        <v>6</v>
      </c>
      <c r="BD797" t="s">
        <v>2919</v>
      </c>
      <c r="BE797">
        <v>0</v>
      </c>
      <c r="BF797" s="232" t="s">
        <v>2846</v>
      </c>
      <c r="BG797" s="232" t="s">
        <v>2846</v>
      </c>
      <c r="BH797" s="253">
        <v>64.7</v>
      </c>
      <c r="BI797" s="253">
        <v>36.073446327683612</v>
      </c>
      <c r="BJ797" s="25">
        <v>41.188976967370444</v>
      </c>
      <c r="BK797" t="s">
        <v>376</v>
      </c>
      <c r="BL797">
        <v>0</v>
      </c>
      <c r="BM797" t="s">
        <v>377</v>
      </c>
      <c r="BN797" s="322">
        <v>18077.063129999999</v>
      </c>
      <c r="BO797" s="322">
        <v>1240.775449</v>
      </c>
      <c r="BP797" s="10">
        <v>4024</v>
      </c>
      <c r="BQ797" s="254">
        <f t="shared" si="338"/>
        <v>4.4923119110337968</v>
      </c>
      <c r="BR797" s="254">
        <f t="shared" si="339"/>
        <v>0.30834379945328033</v>
      </c>
      <c r="BS797" s="25">
        <v>62.035393029615399</v>
      </c>
      <c r="BT797" s="25">
        <v>95.642809807819745</v>
      </c>
      <c r="BU797" s="25">
        <v>26.703348623853199</v>
      </c>
      <c r="BV797" s="25">
        <v>98.49757523512325</v>
      </c>
      <c r="BW797" s="25">
        <v>47.274963114403228</v>
      </c>
      <c r="BX797" s="25">
        <v>70.719781674102904</v>
      </c>
      <c r="BY797" s="25">
        <v>47.611790645882998</v>
      </c>
      <c r="BZ797">
        <v>44</v>
      </c>
      <c r="CA797">
        <v>0</v>
      </c>
      <c r="CB797">
        <v>7</v>
      </c>
      <c r="CC797">
        <v>13136.450919999999</v>
      </c>
      <c r="CD797" s="10">
        <v>2729.324435</v>
      </c>
      <c r="CE797" s="255">
        <v>0.20776726161589465</v>
      </c>
      <c r="CF797" t="str">
        <f>IFERROR(VLOOKUP(CE797,'Rangos amb etnico'!$A$2:$C$6,3,9),"N.D.")</f>
        <v>0,1% - 30%</v>
      </c>
      <c r="CG797" s="256">
        <v>7.9406336453566334E-5</v>
      </c>
      <c r="CH797" s="232">
        <v>0</v>
      </c>
      <c r="CI797" s="311">
        <f t="shared" si="346"/>
        <v>0</v>
      </c>
      <c r="CJ797" s="232">
        <f>IFERROR(VLOOKUP(CI797,'Rangos amb etnico'!$A$2:$C$6,3,9),"N.D.")</f>
        <v>0</v>
      </c>
      <c r="CK797" s="311">
        <f t="shared" si="347"/>
        <v>0</v>
      </c>
      <c r="CL797" s="10">
        <v>0</v>
      </c>
      <c r="CM797" s="255">
        <f t="shared" si="348"/>
        <v>0</v>
      </c>
      <c r="CN797" s="232">
        <f>IFERROR(VLOOKUP(CM797,'Rangos amb etnico'!$A$2:$C$6,3,9),"N.D.")</f>
        <v>0</v>
      </c>
      <c r="CO797" s="311">
        <f t="shared" si="349"/>
        <v>0</v>
      </c>
      <c r="CP797">
        <v>0.87043541107909905</v>
      </c>
      <c r="CQ797" t="s">
        <v>2864</v>
      </c>
      <c r="CR797">
        <f t="shared" si="340"/>
        <v>2</v>
      </c>
      <c r="CS797" t="str">
        <f t="shared" si="350"/>
        <v>No es Candidato</v>
      </c>
      <c r="CT797">
        <v>0</v>
      </c>
      <c r="CU797">
        <v>0</v>
      </c>
      <c r="CV797" s="25">
        <v>49.317947387695313</v>
      </c>
      <c r="CW797" s="25">
        <v>15.76906585693359</v>
      </c>
      <c r="CX797" s="25">
        <v>46.715400695800781</v>
      </c>
      <c r="CY797" s="25">
        <v>60.961189270019531</v>
      </c>
      <c r="CZ797" s="25">
        <v>28.544916152954102</v>
      </c>
      <c r="DA797" s="25">
        <v>83.486396789550781</v>
      </c>
      <c r="DB797" s="25">
        <v>60.430721282958977</v>
      </c>
      <c r="DC797">
        <v>39</v>
      </c>
      <c r="DD797" s="253" t="s">
        <v>380</v>
      </c>
    </row>
    <row r="798" spans="1:108" hidden="1">
      <c r="A798" s="13">
        <v>27205</v>
      </c>
      <c r="B798" s="13" t="s">
        <v>2021</v>
      </c>
      <c r="C798" s="13" t="s">
        <v>1714</v>
      </c>
      <c r="D798" s="13" t="s">
        <v>1715</v>
      </c>
      <c r="E798" s="13" t="s">
        <v>2022</v>
      </c>
      <c r="F798" s="14">
        <v>70.790133333333301</v>
      </c>
      <c r="G798" s="13">
        <v>82.46</v>
      </c>
      <c r="H798" s="13">
        <v>66.38</v>
      </c>
      <c r="I798" s="13">
        <v>80.03</v>
      </c>
      <c r="J798" s="14">
        <v>51.270518170642731</v>
      </c>
      <c r="K798" s="14">
        <v>56.745000125775242</v>
      </c>
      <c r="L798" s="14">
        <v>65.88485406577621</v>
      </c>
      <c r="M798" s="14">
        <v>63.081200000000003</v>
      </c>
      <c r="N798" s="14">
        <f t="shared" si="324"/>
        <v>74.915033333333326</v>
      </c>
      <c r="O798" s="14">
        <f t="shared" si="325"/>
        <v>59.245393090548546</v>
      </c>
      <c r="P798" s="14">
        <f t="shared" si="341"/>
        <v>67.080213211940929</v>
      </c>
      <c r="Q798" s="14">
        <v>60.802446801262654</v>
      </c>
      <c r="R798" s="17">
        <f t="shared" si="326"/>
        <v>39.197553198737346</v>
      </c>
      <c r="S798" s="14">
        <f t="shared" si="342"/>
        <v>0.45277797878863613</v>
      </c>
      <c r="T798" s="13">
        <v>0</v>
      </c>
      <c r="U798" s="13">
        <f t="shared" si="343"/>
        <v>30.372443354813377</v>
      </c>
      <c r="V798" s="13">
        <f>IF($T798=1,$AU798,(VLOOKUP(U798,'Cortes naturales'!$A$35:$C$39,3,9)))</f>
        <v>3</v>
      </c>
      <c r="W798" s="13">
        <v>3</v>
      </c>
      <c r="X798" s="14" t="b">
        <f t="shared" si="327"/>
        <v>1</v>
      </c>
      <c r="Y798" s="17">
        <f>IF($T798=1,$AU798,VLOOKUP(U798,'Cortes naturales'!$A$45:$C$49,3,9))</f>
        <v>3</v>
      </c>
      <c r="Z798" s="14">
        <v>64.221218861869232</v>
      </c>
      <c r="AA798" s="14">
        <v>0.46451437838598397</v>
      </c>
      <c r="AB798" s="14">
        <v>29.831679558811416</v>
      </c>
      <c r="AC798" s="13">
        <v>3</v>
      </c>
      <c r="AD798" s="13">
        <f t="shared" si="328"/>
        <v>0</v>
      </c>
      <c r="AE798" s="14">
        <f t="shared" si="329"/>
        <v>2.858994350071697</v>
      </c>
      <c r="AF798" s="14">
        <f t="shared" si="330"/>
        <v>-1.1736399597347846E-2</v>
      </c>
      <c r="AG798" s="13">
        <f t="shared" si="331"/>
        <v>0.54076379600196134</v>
      </c>
      <c r="AH798" s="13">
        <f>IF($T798=1,$AU798,VLOOKUP(U798,'Cortes naturales'!$A$25:$C$29,3,9))</f>
        <v>3</v>
      </c>
      <c r="AI798" s="13" t="b">
        <f t="shared" si="332"/>
        <v>1</v>
      </c>
      <c r="AJ798" s="13">
        <f t="shared" si="333"/>
        <v>0</v>
      </c>
      <c r="AK798" s="28">
        <v>0.6523467210059386</v>
      </c>
      <c r="AL798" s="28">
        <v>41.894501543545132</v>
      </c>
      <c r="AM798" s="28">
        <v>0.35343004150063256</v>
      </c>
      <c r="AN798" s="13">
        <v>3</v>
      </c>
      <c r="AO798" s="33">
        <f t="shared" si="334"/>
        <v>0</v>
      </c>
      <c r="AP798" s="13">
        <f t="shared" si="344"/>
        <v>35.343004150063258</v>
      </c>
      <c r="AQ798" s="13">
        <f>IFERROR(VLOOKUP(U798,'Cortes naturales'!$E$15:$G$19,3,9),U798)</f>
        <v>4</v>
      </c>
      <c r="AR798" s="28">
        <f t="shared" si="335"/>
        <v>-0.19956874221730247</v>
      </c>
      <c r="AS798" s="13" t="b">
        <f t="shared" si="336"/>
        <v>0</v>
      </c>
      <c r="AT798" s="13">
        <f t="shared" si="345"/>
        <v>0</v>
      </c>
      <c r="AU798" s="13">
        <v>4</v>
      </c>
      <c r="AV798">
        <f t="shared" si="337"/>
        <v>1</v>
      </c>
      <c r="AW798" s="13">
        <v>0</v>
      </c>
      <c r="AX798" s="13">
        <v>0</v>
      </c>
      <c r="AY798" s="13">
        <v>0</v>
      </c>
      <c r="AZ798" s="13">
        <v>1</v>
      </c>
      <c r="BA798">
        <v>1</v>
      </c>
      <c r="BB798" t="s">
        <v>2840</v>
      </c>
      <c r="BC798">
        <v>6</v>
      </c>
      <c r="BD798" t="s">
        <v>2919</v>
      </c>
      <c r="BE798">
        <v>0</v>
      </c>
      <c r="BF798" s="232" t="s">
        <v>2846</v>
      </c>
      <c r="BG798" s="232" t="s">
        <v>2846</v>
      </c>
      <c r="BH798" s="253">
        <v>53.2</v>
      </c>
      <c r="BI798" s="253">
        <v>66.49771092217135</v>
      </c>
      <c r="BJ798" s="25">
        <v>38.76</v>
      </c>
      <c r="BK798" t="s">
        <v>376</v>
      </c>
      <c r="BL798">
        <v>4.848608176356187</v>
      </c>
      <c r="BM798" t="s">
        <v>383</v>
      </c>
      <c r="BN798" s="322">
        <v>37379.905433</v>
      </c>
      <c r="BO798" s="322">
        <v>2330.0619790000001</v>
      </c>
      <c r="BP798" s="10">
        <v>12664</v>
      </c>
      <c r="BQ798" s="254">
        <f t="shared" si="338"/>
        <v>2.9516665692514215</v>
      </c>
      <c r="BR798" s="254">
        <f t="shared" si="339"/>
        <v>0.18399099644662034</v>
      </c>
      <c r="BS798" s="25">
        <v>56.108107830892628</v>
      </c>
      <c r="BT798" s="25">
        <v>92.629435144240901</v>
      </c>
      <c r="BU798" s="25">
        <v>65.899999999999991</v>
      </c>
      <c r="BV798" s="25">
        <v>94.345616368705052</v>
      </c>
      <c r="BW798" s="25">
        <v>55.123443435101763</v>
      </c>
      <c r="BX798" s="25">
        <v>77.245789835959641</v>
      </c>
      <c r="BY798" s="25">
        <v>56.10482122501643</v>
      </c>
      <c r="BZ798">
        <v>27</v>
      </c>
      <c r="CA798">
        <v>0</v>
      </c>
      <c r="CB798">
        <v>7</v>
      </c>
      <c r="CC798">
        <v>46788.642400999997</v>
      </c>
      <c r="CD798" s="10">
        <v>520.18498399999999</v>
      </c>
      <c r="CE798" s="255">
        <v>1.1117761860704945E-2</v>
      </c>
      <c r="CF798" t="str">
        <f>IFERROR(VLOOKUP(CE798,'Rangos amb etnico'!$A$2:$C$6,3,9),"N.D.")</f>
        <v>0,1% - 30%</v>
      </c>
      <c r="CG798" s="256">
        <v>1.5134142107805889E-5</v>
      </c>
      <c r="CH798" s="232">
        <v>44763.789896000002</v>
      </c>
      <c r="CI798" s="311">
        <f t="shared" si="346"/>
        <v>0.95672341831066421</v>
      </c>
      <c r="CJ798" s="232" t="str">
        <f>IFERROR(VLOOKUP(CI798,'Rangos amb etnico'!$A$2:$C$6,3,9),"N.D.")</f>
        <v>71% - 100%</v>
      </c>
      <c r="CK798" s="311">
        <f t="shared" si="347"/>
        <v>1.7774155363780211E-3</v>
      </c>
      <c r="CL798" s="10">
        <v>0</v>
      </c>
      <c r="CM798" s="255">
        <f t="shared" si="348"/>
        <v>0</v>
      </c>
      <c r="CN798" s="232">
        <f>IFERROR(VLOOKUP(CM798,'Rangos amb etnico'!$A$2:$C$6,3,9),"N.D.")</f>
        <v>0</v>
      </c>
      <c r="CO798" s="311">
        <f t="shared" si="349"/>
        <v>0</v>
      </c>
      <c r="CP798">
        <v>0.9621592419908348</v>
      </c>
      <c r="CQ798" t="s">
        <v>2864</v>
      </c>
      <c r="CR798">
        <f t="shared" si="340"/>
        <v>3</v>
      </c>
      <c r="CS798" t="str">
        <f t="shared" si="350"/>
        <v>Candidato</v>
      </c>
      <c r="CT798">
        <v>0</v>
      </c>
      <c r="CU798">
        <v>0</v>
      </c>
      <c r="CV798" s="25">
        <v>39.696731567382813</v>
      </c>
      <c r="CW798" s="25">
        <v>22.475164413452148</v>
      </c>
      <c r="CX798" s="25">
        <v>37.92608642578125</v>
      </c>
      <c r="CY798" s="25">
        <v>48.570663452148438</v>
      </c>
      <c r="CZ798" s="25">
        <v>8.0668535232543945</v>
      </c>
      <c r="DA798" s="25">
        <v>70.664192199707031</v>
      </c>
      <c r="DB798" s="25">
        <v>50.477436065673828</v>
      </c>
      <c r="DC798">
        <v>12433</v>
      </c>
      <c r="DD798" s="253" t="s">
        <v>380</v>
      </c>
    </row>
    <row r="799" spans="1:108" hidden="1">
      <c r="A799" s="13">
        <v>17495</v>
      </c>
      <c r="B799" s="13" t="s">
        <v>2023</v>
      </c>
      <c r="C799" s="13" t="s">
        <v>506</v>
      </c>
      <c r="D799" s="13" t="s">
        <v>507</v>
      </c>
      <c r="E799" s="13" t="s">
        <v>2024</v>
      </c>
      <c r="F799" s="14">
        <v>55.028833333333303</v>
      </c>
      <c r="G799" s="13">
        <v>59.88</v>
      </c>
      <c r="H799" s="13">
        <v>42.97</v>
      </c>
      <c r="I799" s="13">
        <v>58.96</v>
      </c>
      <c r="J799" s="14">
        <v>54.958695150963528</v>
      </c>
      <c r="K799" s="14">
        <v>61.267681226752323</v>
      </c>
      <c r="L799" s="14">
        <v>67.94820612469529</v>
      </c>
      <c r="M799" s="14">
        <v>56.211199999999998</v>
      </c>
      <c r="N799" s="14">
        <f t="shared" si="324"/>
        <v>54.209708333333332</v>
      </c>
      <c r="O799" s="14">
        <f t="shared" si="325"/>
        <v>60.096445625602783</v>
      </c>
      <c r="P799" s="14">
        <f t="shared" si="341"/>
        <v>57.153076979468054</v>
      </c>
      <c r="Q799" s="14">
        <v>60.677723891043478</v>
      </c>
      <c r="R799" s="17">
        <f t="shared" si="326"/>
        <v>39.322276108956522</v>
      </c>
      <c r="S799" s="14">
        <f t="shared" si="342"/>
        <v>0.45390048498060875</v>
      </c>
      <c r="T799" s="13">
        <v>0</v>
      </c>
      <c r="U799" s="13">
        <f t="shared" si="343"/>
        <v>25.941809359114615</v>
      </c>
      <c r="V799" s="13">
        <f>IF($T799=1,$AU799,(VLOOKUP(U799,'Cortes naturales'!$A$35:$C$39,3,9)))</f>
        <v>4</v>
      </c>
      <c r="W799" s="13">
        <v>4</v>
      </c>
      <c r="X799" s="14" t="b">
        <f t="shared" si="327"/>
        <v>1</v>
      </c>
      <c r="Y799" s="17">
        <f>IF($T799=1,$AU799,VLOOKUP(U799,'Cortes naturales'!$A$45:$C$49,3,9))</f>
        <v>4</v>
      </c>
      <c r="Z799" s="14">
        <v>57.797016778423526</v>
      </c>
      <c r="AA799" s="14">
        <v>0.46346014693485194</v>
      </c>
      <c r="AB799" s="14">
        <v>26.786613888524268</v>
      </c>
      <c r="AC799" s="13">
        <v>4</v>
      </c>
      <c r="AD799" s="13">
        <f t="shared" si="328"/>
        <v>0</v>
      </c>
      <c r="AE799" s="14">
        <f t="shared" si="329"/>
        <v>-0.64393979895547204</v>
      </c>
      <c r="AF799" s="14">
        <f t="shared" si="330"/>
        <v>-9.5596619542431815E-3</v>
      </c>
      <c r="AG799" s="13">
        <f t="shared" si="331"/>
        <v>-0.84480452940965378</v>
      </c>
      <c r="AH799" s="13">
        <f>IF($T799=1,$AU799,VLOOKUP(U799,'Cortes naturales'!$A$25:$C$29,3,9))</f>
        <v>4</v>
      </c>
      <c r="AI799" s="13" t="b">
        <f t="shared" si="332"/>
        <v>1</v>
      </c>
      <c r="AJ799" s="13">
        <f t="shared" si="333"/>
        <v>0</v>
      </c>
      <c r="AK799" s="28">
        <v>0.6523467210059386</v>
      </c>
      <c r="AL799" s="28">
        <v>37.703694379329804</v>
      </c>
      <c r="AM799" s="28">
        <v>0.30100746140344187</v>
      </c>
      <c r="AN799" s="13">
        <v>4</v>
      </c>
      <c r="AO799" s="33">
        <f t="shared" si="334"/>
        <v>0</v>
      </c>
      <c r="AP799" s="13">
        <f t="shared" si="344"/>
        <v>30.100746140344185</v>
      </c>
      <c r="AQ799" s="13">
        <f>IFERROR(VLOOKUP(U799,'Cortes naturales'!$E$15:$G$19,3,9),U799)</f>
        <v>4</v>
      </c>
      <c r="AR799" s="28">
        <f t="shared" si="335"/>
        <v>-0.19844623602532985</v>
      </c>
      <c r="AS799" s="13" t="b">
        <f t="shared" si="336"/>
        <v>1</v>
      </c>
      <c r="AT799" s="13">
        <f t="shared" si="345"/>
        <v>0</v>
      </c>
      <c r="AU799" s="13">
        <v>4</v>
      </c>
      <c r="AV799">
        <f t="shared" si="337"/>
        <v>0</v>
      </c>
      <c r="AW799" s="13">
        <v>0</v>
      </c>
      <c r="AX799" s="13">
        <v>0</v>
      </c>
      <c r="AY799" s="13">
        <v>0</v>
      </c>
      <c r="AZ799" s="13">
        <v>0</v>
      </c>
      <c r="BA799">
        <v>1</v>
      </c>
      <c r="BB799" t="s">
        <v>2840</v>
      </c>
      <c r="BC799">
        <v>6</v>
      </c>
      <c r="BD799" t="s">
        <v>2919</v>
      </c>
      <c r="BE799">
        <v>0</v>
      </c>
      <c r="BF799" s="232" t="s">
        <v>2846</v>
      </c>
      <c r="BG799" s="232" t="s">
        <v>2846</v>
      </c>
      <c r="BH799" s="253">
        <v>41.4</v>
      </c>
      <c r="BI799" s="253">
        <v>18.012108980827445</v>
      </c>
      <c r="BJ799" s="25">
        <v>25.9298477433728</v>
      </c>
      <c r="BK799" t="s">
        <v>379</v>
      </c>
      <c r="BL799">
        <v>4.1996813859984545</v>
      </c>
      <c r="BM799" t="s">
        <v>383</v>
      </c>
      <c r="BN799" s="322">
        <v>19120.494713</v>
      </c>
      <c r="BO799" s="322">
        <v>2784.264443</v>
      </c>
      <c r="BP799" s="10">
        <v>6171</v>
      </c>
      <c r="BQ799" s="254">
        <f t="shared" si="338"/>
        <v>3.0984434796629396</v>
      </c>
      <c r="BR799" s="254">
        <f t="shared" si="339"/>
        <v>0.45118529298330901</v>
      </c>
      <c r="BS799" s="25">
        <v>66.186780264339632</v>
      </c>
      <c r="BT799" s="25">
        <v>94.135742451250465</v>
      </c>
      <c r="BU799" s="25">
        <v>60.038333333333327</v>
      </c>
      <c r="BV799" s="25">
        <v>91.172999334191516</v>
      </c>
      <c r="BW799" s="25">
        <v>68.717368213227417</v>
      </c>
      <c r="BX799" s="25">
        <v>77.883463845778735</v>
      </c>
      <c r="BY799" s="25">
        <v>68.966340574670653</v>
      </c>
      <c r="BZ799">
        <v>13</v>
      </c>
      <c r="CA799">
        <v>0</v>
      </c>
      <c r="CB799">
        <v>7</v>
      </c>
      <c r="CC799">
        <v>22737.856761999999</v>
      </c>
      <c r="CD799" s="10">
        <v>813.84426099999996</v>
      </c>
      <c r="CE799" s="255">
        <v>3.5792479015001724E-2</v>
      </c>
      <c r="CF799" t="str">
        <f>IFERROR(VLOOKUP(CE799,'Rangos amb etnico'!$A$2:$C$6,3,9),"N.D.")</f>
        <v>0,1% - 30%</v>
      </c>
      <c r="CG799" s="256">
        <v>2.3677797472901036E-5</v>
      </c>
      <c r="CH799" s="232">
        <v>0</v>
      </c>
      <c r="CI799" s="311">
        <f t="shared" si="346"/>
        <v>0</v>
      </c>
      <c r="CJ799" s="232">
        <f>IFERROR(VLOOKUP(CI799,'Rangos amb etnico'!$A$2:$C$6,3,9),"N.D.")</f>
        <v>0</v>
      </c>
      <c r="CK799" s="311">
        <f t="shared" si="347"/>
        <v>0</v>
      </c>
      <c r="CL799" s="10">
        <v>0</v>
      </c>
      <c r="CM799" s="255">
        <f t="shared" si="348"/>
        <v>0</v>
      </c>
      <c r="CN799" s="232">
        <f>IFERROR(VLOOKUP(CM799,'Rangos amb etnico'!$A$2:$C$6,3,9),"N.D.")</f>
        <v>0</v>
      </c>
      <c r="CO799" s="311">
        <f t="shared" si="349"/>
        <v>0</v>
      </c>
      <c r="CP799">
        <v>0.985589846582414</v>
      </c>
      <c r="CQ799" t="s">
        <v>2864</v>
      </c>
      <c r="CR799">
        <f t="shared" si="340"/>
        <v>2</v>
      </c>
      <c r="CS799" t="str">
        <f t="shared" si="350"/>
        <v>No es Candidato</v>
      </c>
      <c r="CT799">
        <v>0</v>
      </c>
      <c r="CU799">
        <v>0</v>
      </c>
      <c r="CV799" s="25">
        <v>43.403697967529297</v>
      </c>
      <c r="CW799" s="25">
        <v>19.464603424072269</v>
      </c>
      <c r="CX799" s="25">
        <v>43.959190368652337</v>
      </c>
      <c r="CY799" s="25">
        <v>46.218185424804688</v>
      </c>
      <c r="CZ799" s="25">
        <v>34.746986389160163</v>
      </c>
      <c r="DA799" s="25">
        <v>55.844581604003913</v>
      </c>
      <c r="DB799" s="25">
        <v>60.188644409179688</v>
      </c>
      <c r="DC799">
        <v>56</v>
      </c>
      <c r="DD799" s="253" t="s">
        <v>380</v>
      </c>
    </row>
    <row r="800" spans="1:108" hidden="1">
      <c r="A800" s="13">
        <v>23068</v>
      </c>
      <c r="B800" s="13" t="s">
        <v>2025</v>
      </c>
      <c r="C800" s="13" t="s">
        <v>567</v>
      </c>
      <c r="D800" s="13" t="s">
        <v>568</v>
      </c>
      <c r="E800" s="13" t="s">
        <v>2026</v>
      </c>
      <c r="F800" s="14">
        <v>43.726100000000002</v>
      </c>
      <c r="G800" s="13">
        <v>36.58</v>
      </c>
      <c r="H800" s="13">
        <v>28.12</v>
      </c>
      <c r="I800" s="13">
        <v>29.18</v>
      </c>
      <c r="J800" s="14">
        <v>68.686186418285217</v>
      </c>
      <c r="K800" s="14">
        <v>62.865922275400351</v>
      </c>
      <c r="L800" s="14">
        <v>60.264777045073963</v>
      </c>
      <c r="M800" s="14">
        <v>66.865600000000001</v>
      </c>
      <c r="N800" s="14">
        <f t="shared" si="324"/>
        <v>34.401524999999999</v>
      </c>
      <c r="O800" s="14">
        <f t="shared" si="325"/>
        <v>64.670621434689878</v>
      </c>
      <c r="P800" s="14">
        <f t="shared" si="341"/>
        <v>49.536073217344935</v>
      </c>
      <c r="Q800" s="14">
        <v>60.086549391779464</v>
      </c>
      <c r="R800" s="17">
        <f t="shared" si="326"/>
        <v>39.913450608220536</v>
      </c>
      <c r="S800" s="14">
        <f t="shared" si="342"/>
        <v>0.45922105547398484</v>
      </c>
      <c r="T800" s="13">
        <v>0</v>
      </c>
      <c r="U800" s="13">
        <f t="shared" si="343"/>
        <v>22.748007826905734</v>
      </c>
      <c r="V800" s="13">
        <f>IF($T800=1,$AU800,(VLOOKUP(U800,'Cortes naturales'!$A$35:$C$39,3,9)))</f>
        <v>4</v>
      </c>
      <c r="W800" s="13">
        <v>4</v>
      </c>
      <c r="X800" s="14" t="b">
        <f t="shared" si="327"/>
        <v>1</v>
      </c>
      <c r="Y800" s="17">
        <f>IF($T800=1,$AU800,VLOOKUP(U800,'Cortes naturales'!$A$45:$C$49,3,9))</f>
        <v>4</v>
      </c>
      <c r="Z800" s="14">
        <v>50.736186431767777</v>
      </c>
      <c r="AA800" s="14">
        <v>0.46467601355843569</v>
      </c>
      <c r="AB800" s="14">
        <v>23.575888854271444</v>
      </c>
      <c r="AC800" s="13">
        <v>4</v>
      </c>
      <c r="AD800" s="13">
        <f t="shared" si="328"/>
        <v>0</v>
      </c>
      <c r="AE800" s="14">
        <f t="shared" si="329"/>
        <v>-1.2001132144228421</v>
      </c>
      <c r="AF800" s="14">
        <f t="shared" si="330"/>
        <v>-5.454958084450845E-3</v>
      </c>
      <c r="AG800" s="13">
        <f t="shared" si="331"/>
        <v>-0.82788102736570934</v>
      </c>
      <c r="AH800" s="13">
        <f>IF($T800=1,$AU800,VLOOKUP(U800,'Cortes naturales'!$A$25:$C$29,3,9))</f>
        <v>4</v>
      </c>
      <c r="AI800" s="13" t="b">
        <f t="shared" si="332"/>
        <v>1</v>
      </c>
      <c r="AJ800" s="13">
        <f t="shared" si="333"/>
        <v>0</v>
      </c>
      <c r="AK800" s="28">
        <v>0.6523467210059386</v>
      </c>
      <c r="AL800" s="28">
        <v>33.097584855109702</v>
      </c>
      <c r="AM800" s="28">
        <v>0.24338988655254271</v>
      </c>
      <c r="AN800" s="13">
        <v>4</v>
      </c>
      <c r="AO800" s="33">
        <f t="shared" si="334"/>
        <v>0</v>
      </c>
      <c r="AP800" s="13">
        <f t="shared" si="344"/>
        <v>24.338988655254269</v>
      </c>
      <c r="AQ800" s="13">
        <f>IFERROR(VLOOKUP(U800,'Cortes naturales'!$E$15:$G$19,3,9),U800)</f>
        <v>4</v>
      </c>
      <c r="AR800" s="28">
        <f t="shared" si="335"/>
        <v>-0.19312566553195376</v>
      </c>
      <c r="AS800" s="13" t="b">
        <f t="shared" si="336"/>
        <v>1</v>
      </c>
      <c r="AT800" s="13">
        <f t="shared" si="345"/>
        <v>0</v>
      </c>
      <c r="AU800" s="13">
        <v>4</v>
      </c>
      <c r="AV800">
        <f t="shared" si="337"/>
        <v>0</v>
      </c>
      <c r="AW800" s="13">
        <v>0</v>
      </c>
      <c r="AX800" s="13">
        <v>0</v>
      </c>
      <c r="AY800" s="13">
        <v>0</v>
      </c>
      <c r="AZ800" s="13">
        <v>0</v>
      </c>
      <c r="BA800">
        <v>0</v>
      </c>
      <c r="BB800" t="s">
        <v>2839</v>
      </c>
      <c r="BC800">
        <v>6</v>
      </c>
      <c r="BD800" t="s">
        <v>2919</v>
      </c>
      <c r="BE800">
        <v>0</v>
      </c>
      <c r="BF800" s="232" t="s">
        <v>2846</v>
      </c>
      <c r="BG800" s="232" t="s">
        <v>2846</v>
      </c>
      <c r="BH800" s="253">
        <v>62.4</v>
      </c>
      <c r="BI800" s="253">
        <v>47.616962077493817</v>
      </c>
      <c r="BJ800" s="25">
        <v>21.74</v>
      </c>
      <c r="BK800" t="s">
        <v>379</v>
      </c>
      <c r="BL800">
        <v>3.1557072558719894</v>
      </c>
      <c r="BM800" t="s">
        <v>383</v>
      </c>
      <c r="BN800" s="322">
        <v>112513.285928</v>
      </c>
      <c r="BO800" s="322">
        <v>9479.3675370000001</v>
      </c>
      <c r="BP800" s="10">
        <v>49883</v>
      </c>
      <c r="BQ800" s="254">
        <f t="shared" si="338"/>
        <v>2.2555436907964639</v>
      </c>
      <c r="BR800" s="254">
        <f t="shared" si="339"/>
        <v>0.19003202568009142</v>
      </c>
      <c r="BS800" s="25">
        <v>57.781861519367361</v>
      </c>
      <c r="BT800" s="25">
        <v>92.370389638913238</v>
      </c>
      <c r="BU800" s="25">
        <v>45.218252148997131</v>
      </c>
      <c r="BV800" s="25">
        <v>98.867736988322648</v>
      </c>
      <c r="BW800" s="25">
        <v>51.517463739732989</v>
      </c>
      <c r="BX800" s="25">
        <v>73.559560073900087</v>
      </c>
      <c r="BY800" s="25">
        <v>53.004363437323747</v>
      </c>
      <c r="BZ800">
        <v>64</v>
      </c>
      <c r="CA800">
        <v>0</v>
      </c>
      <c r="CB800">
        <v>6</v>
      </c>
      <c r="CC800">
        <v>196372.97945399999</v>
      </c>
      <c r="CD800" s="10">
        <v>147000.08787600001</v>
      </c>
      <c r="CE800" s="255">
        <v>0.74857594097071034</v>
      </c>
      <c r="CF800" t="str">
        <f>IFERROR(VLOOKUP(CE800,'Rangos amb etnico'!$A$2:$C$6,3,9),"N.D.")</f>
        <v>71% - 100%</v>
      </c>
      <c r="CG800" s="256">
        <v>4.2767866974325001E-3</v>
      </c>
      <c r="CH800" s="232">
        <v>10.922582</v>
      </c>
      <c r="CI800" s="311">
        <f t="shared" si="346"/>
        <v>5.5621613678059996E-5</v>
      </c>
      <c r="CJ800" s="232">
        <f>IFERROR(VLOOKUP(CI800,'Rangos amb etnico'!$A$2:$C$6,3,9),"N.D.")</f>
        <v>0</v>
      </c>
      <c r="CK800" s="311">
        <f t="shared" si="347"/>
        <v>4.3369801773414429E-7</v>
      </c>
      <c r="CL800" s="10">
        <v>0</v>
      </c>
      <c r="CM800" s="255">
        <f t="shared" si="348"/>
        <v>0</v>
      </c>
      <c r="CN800" s="232">
        <f>IFERROR(VLOOKUP(CM800,'Rangos amb etnico'!$A$2:$C$6,3,9),"N.D.")</f>
        <v>0</v>
      </c>
      <c r="CO800" s="311">
        <f t="shared" si="349"/>
        <v>0</v>
      </c>
      <c r="CP800">
        <v>0.96657578511486664</v>
      </c>
      <c r="CQ800" t="s">
        <v>2864</v>
      </c>
      <c r="CR800">
        <f t="shared" si="340"/>
        <v>2</v>
      </c>
      <c r="CS800" t="str">
        <f t="shared" si="350"/>
        <v>No es Candidato</v>
      </c>
      <c r="CT800">
        <v>0</v>
      </c>
      <c r="CU800">
        <v>0</v>
      </c>
      <c r="CV800" s="25">
        <v>46.904537200927727</v>
      </c>
      <c r="CW800" s="25">
        <v>34.042896270751953</v>
      </c>
      <c r="CX800" s="25">
        <v>54.345542907714837</v>
      </c>
      <c r="CY800" s="25">
        <v>41.439979553222663</v>
      </c>
      <c r="CZ800" s="25">
        <v>4.5467500686645508</v>
      </c>
      <c r="DA800" s="25">
        <v>98.235481262207031</v>
      </c>
      <c r="DB800" s="25">
        <v>48.816574096679688</v>
      </c>
      <c r="DC800">
        <v>6267</v>
      </c>
      <c r="DD800" s="253" t="s">
        <v>380</v>
      </c>
    </row>
    <row r="801" spans="1:108" hidden="1">
      <c r="A801" s="13">
        <v>70678</v>
      </c>
      <c r="B801" s="13" t="s">
        <v>2027</v>
      </c>
      <c r="C801" s="13" t="s">
        <v>494</v>
      </c>
      <c r="D801" s="13" t="s">
        <v>495</v>
      </c>
      <c r="E801" s="13" t="s">
        <v>2028</v>
      </c>
      <c r="F801" s="14">
        <v>39.667833333333299</v>
      </c>
      <c r="G801" s="14">
        <v>0</v>
      </c>
      <c r="H801" s="13">
        <v>36.630000000000003</v>
      </c>
      <c r="I801" s="13">
        <v>69.75</v>
      </c>
      <c r="J801" s="14">
        <v>53.443469600931621</v>
      </c>
      <c r="K801" s="14">
        <v>47.731686218546102</v>
      </c>
      <c r="L801" s="14">
        <v>52.731724839810653</v>
      </c>
      <c r="M801" s="14">
        <v>47.7532</v>
      </c>
      <c r="N801" s="14">
        <f t="shared" si="324"/>
        <v>36.511958333333325</v>
      </c>
      <c r="O801" s="14">
        <f t="shared" si="325"/>
        <v>50.415020164822096</v>
      </c>
      <c r="P801" s="14">
        <f t="shared" si="341"/>
        <v>43.46348924907771</v>
      </c>
      <c r="Q801" s="14">
        <v>60.043616394092759</v>
      </c>
      <c r="R801" s="17">
        <f t="shared" si="326"/>
        <v>39.956383605907241</v>
      </c>
      <c r="S801" s="14">
        <f t="shared" si="342"/>
        <v>0.45960745245316514</v>
      </c>
      <c r="T801" s="13">
        <v>0</v>
      </c>
      <c r="U801" s="13">
        <f t="shared" si="343"/>
        <v>19.976143568494138</v>
      </c>
      <c r="V801" s="13">
        <f>IF($T801=1,$AU801,(VLOOKUP(U801,'Cortes naturales'!$A$35:$C$39,3,9)))</f>
        <v>5</v>
      </c>
      <c r="W801" s="13">
        <v>5</v>
      </c>
      <c r="X801" s="14" t="b">
        <f t="shared" si="327"/>
        <v>1</v>
      </c>
      <c r="Y801" s="17">
        <f>IF($T801=1,$AU801,VLOOKUP(U801,'Cortes naturales'!$A$45:$C$49,3,9))</f>
        <v>5</v>
      </c>
      <c r="Z801" s="14">
        <v>44.859588270598692</v>
      </c>
      <c r="AA801" s="14">
        <v>0.46399831052468021</v>
      </c>
      <c r="AB801" s="14">
        <v>20.814773168390555</v>
      </c>
      <c r="AC801" s="13">
        <v>4</v>
      </c>
      <c r="AD801" s="13">
        <f t="shared" si="328"/>
        <v>-1</v>
      </c>
      <c r="AE801" s="14">
        <f t="shared" si="329"/>
        <v>-1.3960990215209819</v>
      </c>
      <c r="AF801" s="14">
        <f t="shared" si="330"/>
        <v>-4.3908580715150691E-3</v>
      </c>
      <c r="AG801" s="13">
        <f t="shared" si="331"/>
        <v>-0.83862959989641794</v>
      </c>
      <c r="AH801" s="13">
        <f>IF($T801=1,$AU801,VLOOKUP(U801,'Cortes naturales'!$A$25:$C$29,3,9))</f>
        <v>5</v>
      </c>
      <c r="AI801" s="13" t="b">
        <f t="shared" si="332"/>
        <v>1</v>
      </c>
      <c r="AJ801" s="13" t="str">
        <f t="shared" si="333"/>
        <v>Efecto ponderador</v>
      </c>
      <c r="AK801" s="28">
        <v>0.6523467210059386</v>
      </c>
      <c r="AL801" s="28">
        <v>29.264005314001523</v>
      </c>
      <c r="AM801" s="28">
        <v>0.19543584746701412</v>
      </c>
      <c r="AN801" s="13">
        <v>4</v>
      </c>
      <c r="AO801" s="33">
        <f t="shared" si="334"/>
        <v>-1</v>
      </c>
      <c r="AP801" s="13">
        <f t="shared" si="344"/>
        <v>19.543584746701413</v>
      </c>
      <c r="AQ801" s="13">
        <f>IFERROR(VLOOKUP(U801,'Cortes naturales'!$E$15:$G$19,3,9),U801)</f>
        <v>4</v>
      </c>
      <c r="AR801" s="28">
        <f t="shared" si="335"/>
        <v>-0.19273926855277346</v>
      </c>
      <c r="AS801" s="13" t="b">
        <f t="shared" si="336"/>
        <v>0</v>
      </c>
      <c r="AT801" s="13" t="str">
        <f t="shared" si="345"/>
        <v>Cambio en corte</v>
      </c>
      <c r="AU801" s="13">
        <v>4</v>
      </c>
      <c r="AV801">
        <f t="shared" si="337"/>
        <v>-1</v>
      </c>
      <c r="AW801" s="13">
        <v>0</v>
      </c>
      <c r="AX801" s="13">
        <v>0</v>
      </c>
      <c r="AY801" s="13">
        <v>0</v>
      </c>
      <c r="AZ801" s="13">
        <v>0</v>
      </c>
      <c r="BA801">
        <v>0</v>
      </c>
      <c r="BB801" t="s">
        <v>2841</v>
      </c>
      <c r="BC801">
        <v>6</v>
      </c>
      <c r="BD801" t="s">
        <v>2919</v>
      </c>
      <c r="BE801">
        <v>0</v>
      </c>
      <c r="BF801" s="232" t="s">
        <v>2846</v>
      </c>
      <c r="BG801" s="232" t="s">
        <v>2846</v>
      </c>
      <c r="BH801" s="253">
        <v>63</v>
      </c>
      <c r="BI801" s="253">
        <v>36.227509701697308</v>
      </c>
      <c r="BJ801" s="25">
        <v>4.4117647058823533</v>
      </c>
      <c r="BK801" t="s">
        <v>381</v>
      </c>
      <c r="BL801">
        <v>3.2247757894267863</v>
      </c>
      <c r="BM801" t="s">
        <v>383</v>
      </c>
      <c r="BN801" s="322">
        <v>51805.012346000003</v>
      </c>
      <c r="BO801" s="322">
        <v>4071.6646059999998</v>
      </c>
      <c r="BP801" s="10">
        <v>31892</v>
      </c>
      <c r="BQ801" s="254">
        <f t="shared" si="338"/>
        <v>1.6243889485137339</v>
      </c>
      <c r="BR801" s="254">
        <f t="shared" si="339"/>
        <v>0.12767040655963877</v>
      </c>
      <c r="BS801" s="25">
        <v>62.201357773355653</v>
      </c>
      <c r="BT801" s="25">
        <v>85.692196210543912</v>
      </c>
      <c r="BU801" s="25">
        <v>22.22048991979187</v>
      </c>
      <c r="BV801" s="25">
        <v>95.464237354425464</v>
      </c>
      <c r="BW801" s="25">
        <v>36.19711669628996</v>
      </c>
      <c r="BX801" s="25">
        <v>66.394570314529219</v>
      </c>
      <c r="BY801" s="25">
        <v>36.051934149679163</v>
      </c>
      <c r="BZ801">
        <v>64</v>
      </c>
      <c r="CA801">
        <v>0</v>
      </c>
      <c r="CB801">
        <v>7</v>
      </c>
      <c r="CC801">
        <v>149313.820756</v>
      </c>
      <c r="CD801" s="10">
        <v>10701.634840000001</v>
      </c>
      <c r="CE801" s="255">
        <v>7.1672098308220189E-2</v>
      </c>
      <c r="CF801" t="str">
        <f>IFERROR(VLOOKUP(CE801,'Rangos amb etnico'!$A$2:$C$6,3,9),"N.D.")</f>
        <v>0,1% - 30%</v>
      </c>
      <c r="CG801" s="256">
        <v>3.1135089907633043E-4</v>
      </c>
      <c r="CH801" s="232">
        <v>0</v>
      </c>
      <c r="CI801" s="311">
        <f t="shared" si="346"/>
        <v>0</v>
      </c>
      <c r="CJ801" s="232">
        <f>IFERROR(VLOOKUP(CI801,'Rangos amb etnico'!$A$2:$C$6,3,9),"N.D.")</f>
        <v>0</v>
      </c>
      <c r="CK801" s="311">
        <f t="shared" si="347"/>
        <v>0</v>
      </c>
      <c r="CL801" s="10">
        <v>0</v>
      </c>
      <c r="CM801" s="255">
        <f t="shared" si="348"/>
        <v>0</v>
      </c>
      <c r="CN801" s="232">
        <f>IFERROR(VLOOKUP(CM801,'Rangos amb etnico'!$A$2:$C$6,3,9),"N.D.")</f>
        <v>0</v>
      </c>
      <c r="CO801" s="311">
        <f t="shared" si="349"/>
        <v>0</v>
      </c>
      <c r="CP801">
        <v>0.90405880991873</v>
      </c>
      <c r="CQ801" t="s">
        <v>2864</v>
      </c>
      <c r="CR801">
        <f t="shared" si="340"/>
        <v>2</v>
      </c>
      <c r="CS801" t="str">
        <f t="shared" si="350"/>
        <v>No es Candidato</v>
      </c>
      <c r="CT801">
        <v>0</v>
      </c>
      <c r="CU801">
        <v>0</v>
      </c>
      <c r="CV801" s="25">
        <v>43.842456817626953</v>
      </c>
      <c r="CW801" s="25">
        <v>20.030351638793949</v>
      </c>
      <c r="CX801" s="25">
        <v>53.111309051513672</v>
      </c>
      <c r="CY801" s="25">
        <v>47.690441131591797</v>
      </c>
      <c r="CZ801" s="25">
        <v>8.4216957092285156</v>
      </c>
      <c r="DA801" s="25">
        <v>80.475257873535156</v>
      </c>
      <c r="DB801" s="25">
        <v>53.325695037841797</v>
      </c>
      <c r="DC801">
        <v>9134</v>
      </c>
      <c r="DD801" s="253" t="s">
        <v>380</v>
      </c>
    </row>
    <row r="802" spans="1:108" hidden="1">
      <c r="A802" s="13">
        <v>15090</v>
      </c>
      <c r="B802" s="13" t="s">
        <v>2029</v>
      </c>
      <c r="C802" s="13" t="s">
        <v>498</v>
      </c>
      <c r="D802" s="13" t="s">
        <v>499</v>
      </c>
      <c r="E802" s="13" t="s">
        <v>2030</v>
      </c>
      <c r="F802" s="14">
        <v>76.837866666666699</v>
      </c>
      <c r="G802" s="13">
        <v>78.34</v>
      </c>
      <c r="H802" s="13">
        <v>46.8</v>
      </c>
      <c r="I802" s="13">
        <v>55.47</v>
      </c>
      <c r="J802" s="14">
        <v>44.217014805367334</v>
      </c>
      <c r="K802" s="14">
        <v>47.356724164302619</v>
      </c>
      <c r="L802" s="14">
        <v>48.8744530500976</v>
      </c>
      <c r="M802" s="14">
        <v>63.564799999999998</v>
      </c>
      <c r="N802" s="14">
        <f t="shared" si="324"/>
        <v>64.361966666666689</v>
      </c>
      <c r="O802" s="14">
        <f t="shared" si="325"/>
        <v>51.003248004941888</v>
      </c>
      <c r="P802" s="14">
        <f t="shared" si="341"/>
        <v>57.682607335804292</v>
      </c>
      <c r="Q802" s="14">
        <v>60.525264851328188</v>
      </c>
      <c r="R802" s="17">
        <f t="shared" si="326"/>
        <v>39.474735148671812</v>
      </c>
      <c r="S802" s="14">
        <f t="shared" si="342"/>
        <v>0.45527261633804639</v>
      </c>
      <c r="T802" s="13">
        <v>0</v>
      </c>
      <c r="U802" s="13">
        <f t="shared" si="343"/>
        <v>26.261311558971808</v>
      </c>
      <c r="V802" s="13">
        <f>IF($T802=1,$AU802,(VLOOKUP(U802,'Cortes naturales'!$A$35:$C$39,3,9)))</f>
        <v>4</v>
      </c>
      <c r="W802" s="13">
        <v>4</v>
      </c>
      <c r="X802" s="14" t="b">
        <f t="shared" si="327"/>
        <v>1</v>
      </c>
      <c r="Y802" s="17">
        <f>IF($T802=1,$AU802,VLOOKUP(U802,'Cortes naturales'!$A$45:$C$49,3,9))</f>
        <v>4</v>
      </c>
      <c r="Z802" s="14">
        <v>57.717619828787804</v>
      </c>
      <c r="AA802" s="14">
        <v>0.46285853351287121</v>
      </c>
      <c r="AB802" s="14">
        <v>26.715092871806139</v>
      </c>
      <c r="AC802" s="13">
        <v>4</v>
      </c>
      <c r="AD802" s="13">
        <f t="shared" si="328"/>
        <v>0</v>
      </c>
      <c r="AE802" s="14">
        <f t="shared" si="329"/>
        <v>-3.5012492983511834E-2</v>
      </c>
      <c r="AF802" s="14">
        <f t="shared" si="330"/>
        <v>-7.5859171748248189E-3</v>
      </c>
      <c r="AG802" s="13">
        <f t="shared" si="331"/>
        <v>-0.45378131283433021</v>
      </c>
      <c r="AH802" s="13">
        <f>IF($T802=1,$AU802,VLOOKUP(U802,'Cortes naturales'!$A$25:$C$29,3,9))</f>
        <v>4</v>
      </c>
      <c r="AI802" s="13" t="b">
        <f t="shared" si="332"/>
        <v>1</v>
      </c>
      <c r="AJ802" s="13">
        <f t="shared" si="333"/>
        <v>0</v>
      </c>
      <c r="AK802" s="28">
        <v>0.6523467210059386</v>
      </c>
      <c r="AL802" s="28">
        <v>37.651900039577065</v>
      </c>
      <c r="AM802" s="28">
        <v>0.30035956880951542</v>
      </c>
      <c r="AN802" s="13">
        <v>4</v>
      </c>
      <c r="AO802" s="33">
        <f t="shared" si="334"/>
        <v>0</v>
      </c>
      <c r="AP802" s="13">
        <f t="shared" si="344"/>
        <v>30.035956880951542</v>
      </c>
      <c r="AQ802" s="13">
        <f>IFERROR(VLOOKUP(U802,'Cortes naturales'!$E$15:$G$19,3,9),U802)</f>
        <v>4</v>
      </c>
      <c r="AR802" s="28">
        <f t="shared" si="335"/>
        <v>-0.19707410466789221</v>
      </c>
      <c r="AS802" s="13" t="b">
        <f t="shared" si="336"/>
        <v>1</v>
      </c>
      <c r="AT802" s="13">
        <f t="shared" si="345"/>
        <v>0</v>
      </c>
      <c r="AU802" s="13">
        <v>4</v>
      </c>
      <c r="AV802">
        <f t="shared" si="337"/>
        <v>0</v>
      </c>
      <c r="AW802" s="13">
        <v>0</v>
      </c>
      <c r="AX802" s="13">
        <v>0</v>
      </c>
      <c r="AY802" s="13">
        <v>0</v>
      </c>
      <c r="AZ802" s="13">
        <v>0</v>
      </c>
      <c r="BA802">
        <v>0</v>
      </c>
      <c r="BB802" t="s">
        <v>2840</v>
      </c>
      <c r="BC802">
        <v>6</v>
      </c>
      <c r="BD802" t="s">
        <v>2919</v>
      </c>
      <c r="BE802">
        <v>0</v>
      </c>
      <c r="BF802" s="232" t="s">
        <v>2846</v>
      </c>
      <c r="BG802" s="232" t="s">
        <v>2846</v>
      </c>
      <c r="BH802" s="253">
        <v>40.5</v>
      </c>
      <c r="BI802" s="253">
        <v>15.048543689320388</v>
      </c>
      <c r="BJ802" s="25">
        <v>66.844765882352931</v>
      </c>
      <c r="BK802" t="s">
        <v>376</v>
      </c>
      <c r="BL802">
        <v>0</v>
      </c>
      <c r="BM802" t="s">
        <v>377</v>
      </c>
      <c r="BN802" s="322">
        <v>18494.297278999999</v>
      </c>
      <c r="BO802" s="322">
        <v>1503.9164820000001</v>
      </c>
      <c r="BP802" s="10">
        <v>1645</v>
      </c>
      <c r="BQ802" s="254">
        <f t="shared" si="338"/>
        <v>11.242733908206686</v>
      </c>
      <c r="BR802" s="254">
        <f t="shared" si="339"/>
        <v>0.91423494346504564</v>
      </c>
      <c r="BS802" s="25">
        <v>54.764473304473313</v>
      </c>
      <c r="BT802" s="25">
        <v>93.130699088145889</v>
      </c>
      <c r="BU802" s="25">
        <v>45.768765432098718</v>
      </c>
      <c r="BV802" s="25">
        <v>89.474769042260235</v>
      </c>
      <c r="BW802" s="25">
        <v>62.115143569225388</v>
      </c>
      <c r="BX802" s="25">
        <v>70.784676716744542</v>
      </c>
      <c r="BY802" s="25">
        <v>62.369596688752523</v>
      </c>
      <c r="BZ802">
        <v>17</v>
      </c>
      <c r="CA802">
        <v>0</v>
      </c>
      <c r="CB802">
        <v>7</v>
      </c>
      <c r="CC802">
        <v>5790.3619479999998</v>
      </c>
      <c r="CD802" s="10">
        <v>25.968185999999999</v>
      </c>
      <c r="CE802" s="255">
        <v>4.4847258657067981E-3</v>
      </c>
      <c r="CF802" t="str">
        <f>IFERROR(VLOOKUP(CE802,'Rangos amb etnico'!$A$2:$C$6,3,9),"N.D.")</f>
        <v>0,1% - 30%</v>
      </c>
      <c r="CG802" s="256">
        <v>7.5551242210777728E-7</v>
      </c>
      <c r="CH802" s="232">
        <v>0</v>
      </c>
      <c r="CI802" s="311">
        <f t="shared" si="346"/>
        <v>0</v>
      </c>
      <c r="CJ802" s="232">
        <f>IFERROR(VLOOKUP(CI802,'Rangos amb etnico'!$A$2:$C$6,3,9),"N.D.")</f>
        <v>0</v>
      </c>
      <c r="CK802" s="311">
        <f t="shared" si="347"/>
        <v>0</v>
      </c>
      <c r="CL802" s="10">
        <v>0</v>
      </c>
      <c r="CM802" s="255">
        <f t="shared" si="348"/>
        <v>0</v>
      </c>
      <c r="CN802" s="232">
        <f>IFERROR(VLOOKUP(CM802,'Rangos amb etnico'!$A$2:$C$6,3,9),"N.D.")</f>
        <v>0</v>
      </c>
      <c r="CO802" s="311">
        <f t="shared" si="349"/>
        <v>0</v>
      </c>
      <c r="CP802">
        <v>0.9239914058966836</v>
      </c>
      <c r="CQ802" t="s">
        <v>2864</v>
      </c>
      <c r="CR802">
        <f t="shared" si="340"/>
        <v>3</v>
      </c>
      <c r="CS802" t="str">
        <f t="shared" si="350"/>
        <v>Candidato</v>
      </c>
      <c r="CT802">
        <v>0</v>
      </c>
      <c r="CU802">
        <v>0</v>
      </c>
      <c r="CV802" s="25">
        <v>52.151382446289063</v>
      </c>
      <c r="CW802" s="25">
        <v>15.052597045898439</v>
      </c>
      <c r="CX802" s="25">
        <v>53.266872406005859</v>
      </c>
      <c r="CY802" s="25">
        <v>62.757400512695313</v>
      </c>
      <c r="CZ802" s="25">
        <v>34.695758819580078</v>
      </c>
      <c r="DA802" s="25">
        <v>97.237777709960938</v>
      </c>
      <c r="DB802" s="25">
        <v>49.897891998291023</v>
      </c>
      <c r="DC802">
        <v>8</v>
      </c>
      <c r="DD802" s="253" t="s">
        <v>380</v>
      </c>
    </row>
    <row r="803" spans="1:108" hidden="1">
      <c r="A803" s="13">
        <v>73547</v>
      </c>
      <c r="B803" s="13" t="s">
        <v>2031</v>
      </c>
      <c r="C803" s="13" t="s">
        <v>595</v>
      </c>
      <c r="D803" s="13" t="s">
        <v>596</v>
      </c>
      <c r="E803" s="13" t="s">
        <v>2032</v>
      </c>
      <c r="F803" s="14">
        <v>61.986600000000003</v>
      </c>
      <c r="G803" s="13">
        <v>52.6</v>
      </c>
      <c r="H803" s="13">
        <v>63.82</v>
      </c>
      <c r="I803" s="13">
        <v>65</v>
      </c>
      <c r="J803" s="14">
        <v>53.903686769438153</v>
      </c>
      <c r="K803" s="14">
        <v>64.04110940377123</v>
      </c>
      <c r="L803" s="14">
        <v>14.352278955035272</v>
      </c>
      <c r="M803" s="14">
        <v>63.087000000000003</v>
      </c>
      <c r="N803" s="14">
        <f t="shared" si="324"/>
        <v>60.851649999999999</v>
      </c>
      <c r="O803" s="14">
        <f t="shared" si="325"/>
        <v>48.846018782061165</v>
      </c>
      <c r="P803" s="14">
        <f t="shared" si="341"/>
        <v>54.848834391030579</v>
      </c>
      <c r="Q803" s="14">
        <v>60.110156546088511</v>
      </c>
      <c r="R803" s="17">
        <f t="shared" si="326"/>
        <v>39.889843453911489</v>
      </c>
      <c r="S803" s="14">
        <f t="shared" si="342"/>
        <v>0.45900859108520342</v>
      </c>
      <c r="T803" s="13">
        <v>0</v>
      </c>
      <c r="U803" s="13">
        <f t="shared" si="343"/>
        <v>25.176086196492598</v>
      </c>
      <c r="V803" s="13">
        <f>IF($T803=1,$AU803,(VLOOKUP(U803,'Cortes naturales'!$A$35:$C$39,3,9)))</f>
        <v>4</v>
      </c>
      <c r="W803" s="13">
        <v>4</v>
      </c>
      <c r="X803" s="14" t="b">
        <f t="shared" si="327"/>
        <v>1</v>
      </c>
      <c r="Y803" s="17">
        <f>IF($T803=1,$AU803,VLOOKUP(U803,'Cortes naturales'!$A$45:$C$49,3,9))</f>
        <v>4</v>
      </c>
      <c r="Z803" s="14">
        <v>53.604802543008255</v>
      </c>
      <c r="AA803" s="14">
        <v>0.46215260654169177</v>
      </c>
      <c r="AB803" s="14">
        <v>24.773599218403973</v>
      </c>
      <c r="AC803" s="13">
        <v>4</v>
      </c>
      <c r="AD803" s="13">
        <f t="shared" si="328"/>
        <v>0</v>
      </c>
      <c r="AE803" s="14">
        <f t="shared" si="329"/>
        <v>1.244031848022324</v>
      </c>
      <c r="AF803" s="14">
        <f t="shared" si="330"/>
        <v>-3.1440154564883471E-3</v>
      </c>
      <c r="AG803" s="13">
        <f t="shared" si="331"/>
        <v>0.40248697808862488</v>
      </c>
      <c r="AH803" s="13">
        <f>IF($T803=1,$AU803,VLOOKUP(U803,'Cortes naturales'!$A$25:$C$29,3,9))</f>
        <v>4</v>
      </c>
      <c r="AI803" s="13" t="b">
        <f t="shared" si="332"/>
        <v>1</v>
      </c>
      <c r="AJ803" s="13">
        <f t="shared" si="333"/>
        <v>0</v>
      </c>
      <c r="AK803" s="28">
        <v>0.6523467210059386</v>
      </c>
      <c r="AL803" s="28">
        <v>34.968917169102234</v>
      </c>
      <c r="AM803" s="28">
        <v>0.26679828123039773</v>
      </c>
      <c r="AN803" s="13">
        <v>4</v>
      </c>
      <c r="AO803" s="33">
        <f t="shared" si="334"/>
        <v>0</v>
      </c>
      <c r="AP803" s="13">
        <f t="shared" si="344"/>
        <v>26.679828123039773</v>
      </c>
      <c r="AQ803" s="13">
        <f>IFERROR(VLOOKUP(U803,'Cortes naturales'!$E$15:$G$19,3,9),U803)</f>
        <v>4</v>
      </c>
      <c r="AR803" s="28">
        <f t="shared" si="335"/>
        <v>-0.19333812992073518</v>
      </c>
      <c r="AS803" s="13" t="b">
        <f t="shared" si="336"/>
        <v>1</v>
      </c>
      <c r="AT803" s="13">
        <f t="shared" si="345"/>
        <v>0</v>
      </c>
      <c r="AU803" s="13">
        <v>4</v>
      </c>
      <c r="AV803">
        <f t="shared" si="337"/>
        <v>0</v>
      </c>
      <c r="AW803" s="13">
        <v>0</v>
      </c>
      <c r="AX803" s="13">
        <v>0</v>
      </c>
      <c r="AY803" s="13">
        <v>0</v>
      </c>
      <c r="AZ803" s="13">
        <v>0</v>
      </c>
      <c r="BA803">
        <v>0</v>
      </c>
      <c r="BB803" t="s">
        <v>2840</v>
      </c>
      <c r="BC803">
        <v>6</v>
      </c>
      <c r="BD803" t="s">
        <v>2919</v>
      </c>
      <c r="BE803">
        <v>1</v>
      </c>
      <c r="BF803" s="232" t="s">
        <v>2846</v>
      </c>
      <c r="BG803" s="232" t="s">
        <v>2846</v>
      </c>
      <c r="BH803" s="253">
        <v>27.2</v>
      </c>
      <c r="BI803" s="253">
        <v>12.341428053642623</v>
      </c>
      <c r="BJ803" s="25">
        <v>32.031984014823188</v>
      </c>
      <c r="BK803" t="s">
        <v>379</v>
      </c>
      <c r="BL803">
        <v>0</v>
      </c>
      <c r="BM803" t="s">
        <v>377</v>
      </c>
      <c r="BN803" s="322">
        <v>24294.795394000001</v>
      </c>
      <c r="BO803" s="322">
        <v>4013.7237110000001</v>
      </c>
      <c r="BP803" s="10">
        <v>7393</v>
      </c>
      <c r="BQ803" s="254">
        <f t="shared" si="338"/>
        <v>3.2861890158257814</v>
      </c>
      <c r="BR803" s="254">
        <f t="shared" si="339"/>
        <v>0.54290865832544299</v>
      </c>
      <c r="BS803" s="25">
        <v>58.372742671365742</v>
      </c>
      <c r="BT803" s="25">
        <v>79.886379007168941</v>
      </c>
      <c r="BU803" s="25">
        <v>54.68582322675487</v>
      </c>
      <c r="BV803" s="25">
        <v>94.698785662588918</v>
      </c>
      <c r="BW803" s="25">
        <v>59.139734246882178</v>
      </c>
      <c r="BX803" s="25">
        <v>71.910932641969623</v>
      </c>
      <c r="BY803" s="25">
        <v>61.379771038391759</v>
      </c>
      <c r="BZ803">
        <v>18</v>
      </c>
      <c r="CA803">
        <v>0</v>
      </c>
      <c r="CB803">
        <v>7</v>
      </c>
      <c r="CC803">
        <v>35416.431664999996</v>
      </c>
      <c r="CD803" s="10">
        <v>25017.163468999999</v>
      </c>
      <c r="CE803" s="255">
        <v>0.70637165555340264</v>
      </c>
      <c r="CF803" t="str">
        <f>IFERROR(VLOOKUP(CE803,'Rangos amb etnico'!$A$2:$C$6,3,9),"N.D.")</f>
        <v>71% - 100%</v>
      </c>
      <c r="CG803" s="256">
        <v>7.2784359164442198E-4</v>
      </c>
      <c r="CH803" s="232">
        <v>0</v>
      </c>
      <c r="CI803" s="311">
        <f t="shared" si="346"/>
        <v>0</v>
      </c>
      <c r="CJ803" s="232">
        <f>IFERROR(VLOOKUP(CI803,'Rangos amb etnico'!$A$2:$C$6,3,9),"N.D.")</f>
        <v>0</v>
      </c>
      <c r="CK803" s="311">
        <f t="shared" si="347"/>
        <v>0</v>
      </c>
      <c r="CL803" s="10">
        <v>0</v>
      </c>
      <c r="CM803" s="255">
        <f t="shared" si="348"/>
        <v>0</v>
      </c>
      <c r="CN803" s="232">
        <f>IFERROR(VLOOKUP(CM803,'Rangos amb etnico'!$A$2:$C$6,3,9),"N.D.")</f>
        <v>0</v>
      </c>
      <c r="CO803" s="311">
        <f t="shared" si="349"/>
        <v>0</v>
      </c>
      <c r="CP803">
        <v>0.96643139025568736</v>
      </c>
      <c r="CQ803" t="s">
        <v>2864</v>
      </c>
      <c r="CR803">
        <f t="shared" si="340"/>
        <v>4</v>
      </c>
      <c r="CS803" t="str">
        <f t="shared" si="350"/>
        <v>Candidato</v>
      </c>
      <c r="CT803">
        <v>0</v>
      </c>
      <c r="CU803">
        <v>0</v>
      </c>
      <c r="CV803" s="25">
        <v>46.960006713867188</v>
      </c>
      <c r="CW803" s="25">
        <v>29.02993202209473</v>
      </c>
      <c r="CX803" s="25">
        <v>51.036064147949219</v>
      </c>
      <c r="CY803" s="25">
        <v>62.420528411865227</v>
      </c>
      <c r="CZ803" s="25">
        <v>32.815361022949219</v>
      </c>
      <c r="DA803" s="25">
        <v>49.790386199951172</v>
      </c>
      <c r="DB803" s="25">
        <v>56.667770385742188</v>
      </c>
      <c r="DC803">
        <v>128</v>
      </c>
      <c r="DD803" s="253" t="s">
        <v>380</v>
      </c>
    </row>
    <row r="804" spans="1:108" hidden="1">
      <c r="A804" s="13">
        <v>68020</v>
      </c>
      <c r="B804" s="13" t="s">
        <v>2033</v>
      </c>
      <c r="C804" s="13" t="s">
        <v>431</v>
      </c>
      <c r="D804" s="13" t="s">
        <v>432</v>
      </c>
      <c r="E804" s="13" t="s">
        <v>1268</v>
      </c>
      <c r="F804" s="14">
        <v>86.341833333333298</v>
      </c>
      <c r="G804" s="13">
        <v>73.62</v>
      </c>
      <c r="H804" s="13">
        <v>63.96</v>
      </c>
      <c r="I804" s="13">
        <v>70.44</v>
      </c>
      <c r="J804" s="14">
        <v>61.498008239982504</v>
      </c>
      <c r="K804" s="14">
        <v>56.005303230372398</v>
      </c>
      <c r="L804" s="14">
        <v>62.79899732348008</v>
      </c>
      <c r="M804" s="14">
        <v>55.654400000000003</v>
      </c>
      <c r="N804" s="14">
        <f t="shared" si="324"/>
        <v>73.590458333333316</v>
      </c>
      <c r="O804" s="14">
        <f t="shared" si="325"/>
        <v>58.989177198458748</v>
      </c>
      <c r="P804" s="14">
        <f t="shared" si="341"/>
        <v>66.289817765896032</v>
      </c>
      <c r="Q804" s="14">
        <v>60.675536415412282</v>
      </c>
      <c r="R804" s="17">
        <f t="shared" si="326"/>
        <v>39.324463584587718</v>
      </c>
      <c r="S804" s="14">
        <f t="shared" si="342"/>
        <v>0.45392017226128956</v>
      </c>
      <c r="T804" s="13">
        <v>0</v>
      </c>
      <c r="U804" s="13">
        <f t="shared" si="343"/>
        <v>30.090285499465018</v>
      </c>
      <c r="V804" s="13">
        <f>IF($T804=1,$AU804,(VLOOKUP(U804,'Cortes naturales'!$A$35:$C$39,3,9)))</f>
        <v>3</v>
      </c>
      <c r="W804" s="13">
        <v>3</v>
      </c>
      <c r="X804" s="14" t="b">
        <f t="shared" si="327"/>
        <v>1</v>
      </c>
      <c r="Y804" s="17">
        <f>IF($T804=1,$AU804,VLOOKUP(U804,'Cortes naturales'!$A$45:$C$49,3,9))</f>
        <v>3</v>
      </c>
      <c r="Z804" s="14">
        <v>67.857890607654184</v>
      </c>
      <c r="AA804" s="14">
        <v>0.46279018272285055</v>
      </c>
      <c r="AB804" s="14">
        <v>31.403965593503486</v>
      </c>
      <c r="AC804" s="13">
        <v>3</v>
      </c>
      <c r="AD804" s="13">
        <f t="shared" si="328"/>
        <v>0</v>
      </c>
      <c r="AE804" s="14">
        <f t="shared" si="329"/>
        <v>-1.568072841758152</v>
      </c>
      <c r="AF804" s="14">
        <f t="shared" si="330"/>
        <v>-8.8700104615609954E-3</v>
      </c>
      <c r="AG804" s="13">
        <f t="shared" si="331"/>
        <v>-1.3136800940384674</v>
      </c>
      <c r="AH804" s="13">
        <f>IF($T804=1,$AU804,VLOOKUP(U804,'Cortes naturales'!$A$25:$C$29,3,9))</f>
        <v>3</v>
      </c>
      <c r="AI804" s="13" t="b">
        <f t="shared" si="332"/>
        <v>1</v>
      </c>
      <c r="AJ804" s="13">
        <f t="shared" si="333"/>
        <v>0</v>
      </c>
      <c r="AK804" s="28">
        <v>0.6523467210059386</v>
      </c>
      <c r="AL804" s="28">
        <v>44.266872432282888</v>
      </c>
      <c r="AM804" s="28">
        <v>0.38310590060411015</v>
      </c>
      <c r="AN804" s="13">
        <v>3</v>
      </c>
      <c r="AO804" s="33">
        <f t="shared" si="334"/>
        <v>0</v>
      </c>
      <c r="AP804" s="13">
        <f t="shared" si="344"/>
        <v>38.310590060411016</v>
      </c>
      <c r="AQ804" s="13">
        <f>IFERROR(VLOOKUP(U804,'Cortes naturales'!$E$15:$G$19,3,9),U804)</f>
        <v>4</v>
      </c>
      <c r="AR804" s="28">
        <f t="shared" si="335"/>
        <v>-0.19842654874464905</v>
      </c>
      <c r="AS804" s="13" t="b">
        <f t="shared" si="336"/>
        <v>0</v>
      </c>
      <c r="AT804" s="13">
        <f t="shared" si="345"/>
        <v>0</v>
      </c>
      <c r="AU804" s="13">
        <v>3</v>
      </c>
      <c r="AV804">
        <f t="shared" si="337"/>
        <v>0</v>
      </c>
      <c r="AW804" s="13">
        <v>0</v>
      </c>
      <c r="AX804" s="13">
        <v>0</v>
      </c>
      <c r="AY804" s="13">
        <v>0</v>
      </c>
      <c r="AZ804" s="13">
        <v>0</v>
      </c>
      <c r="BA804">
        <v>0</v>
      </c>
      <c r="BB804" t="s">
        <v>2841</v>
      </c>
      <c r="BC804">
        <v>6</v>
      </c>
      <c r="BD804" t="s">
        <v>2919</v>
      </c>
      <c r="BE804">
        <v>0</v>
      </c>
      <c r="BF804" s="232" t="s">
        <v>2846</v>
      </c>
      <c r="BG804" s="232" t="s">
        <v>2845</v>
      </c>
      <c r="BH804" s="253">
        <v>48.1</v>
      </c>
      <c r="BI804" s="253">
        <v>15.482310250982763</v>
      </c>
      <c r="BJ804" s="25">
        <v>0</v>
      </c>
      <c r="BK804" t="s">
        <v>381</v>
      </c>
      <c r="BL804">
        <v>1.9962469413137527</v>
      </c>
      <c r="BM804" t="s">
        <v>383</v>
      </c>
      <c r="BN804" s="322">
        <v>14973.753731000001</v>
      </c>
      <c r="BO804" s="322">
        <v>2727.1007260000001</v>
      </c>
      <c r="BP804" s="10">
        <v>4223</v>
      </c>
      <c r="BQ804" s="254">
        <f t="shared" si="338"/>
        <v>3.5457621906227801</v>
      </c>
      <c r="BR804" s="254">
        <f t="shared" si="339"/>
        <v>0.64577331896755863</v>
      </c>
      <c r="BS804" s="25">
        <v>48.709588818462542</v>
      </c>
      <c r="BT804" s="25">
        <v>70.301523403583545</v>
      </c>
      <c r="BU804" s="25">
        <v>31.91631407533276</v>
      </c>
      <c r="BV804" s="25">
        <v>96.040545498313932</v>
      </c>
      <c r="BW804" s="25">
        <v>57.175881140678669</v>
      </c>
      <c r="BX804" s="25">
        <v>61.741992948923198</v>
      </c>
      <c r="BY804" s="25">
        <v>56.558740356719959</v>
      </c>
      <c r="BZ804">
        <v>25</v>
      </c>
      <c r="CA804">
        <v>0</v>
      </c>
      <c r="CB804">
        <v>7</v>
      </c>
      <c r="CC804">
        <v>16598.258952</v>
      </c>
      <c r="CD804" s="10">
        <v>554.40354600000001</v>
      </c>
      <c r="CE804" s="255">
        <v>3.3401307185486305E-2</v>
      </c>
      <c r="CF804" t="str">
        <f>IFERROR(VLOOKUP(CE804,'Rangos amb etnico'!$A$2:$C$6,3,9),"N.D.")</f>
        <v>0,1% - 30%</v>
      </c>
      <c r="CG804" s="256">
        <v>1.6129689068909185E-5</v>
      </c>
      <c r="CH804" s="232">
        <v>0</v>
      </c>
      <c r="CI804" s="311">
        <f t="shared" si="346"/>
        <v>0</v>
      </c>
      <c r="CJ804" s="232">
        <f>IFERROR(VLOOKUP(CI804,'Rangos amb etnico'!$A$2:$C$6,3,9),"N.D.")</f>
        <v>0</v>
      </c>
      <c r="CK804" s="311">
        <f t="shared" si="347"/>
        <v>0</v>
      </c>
      <c r="CL804" s="10">
        <v>0</v>
      </c>
      <c r="CM804" s="255">
        <f t="shared" si="348"/>
        <v>0</v>
      </c>
      <c r="CN804" s="232">
        <f>IFERROR(VLOOKUP(CM804,'Rangos amb etnico'!$A$2:$C$6,3,9),"N.D.")</f>
        <v>0</v>
      </c>
      <c r="CO804" s="311">
        <f t="shared" si="349"/>
        <v>0</v>
      </c>
      <c r="CP804">
        <v>0.97852333930703805</v>
      </c>
      <c r="CQ804" t="s">
        <v>2864</v>
      </c>
      <c r="CR804">
        <f t="shared" si="340"/>
        <v>2</v>
      </c>
      <c r="CS804" t="str">
        <f t="shared" si="350"/>
        <v>No es Candidato</v>
      </c>
      <c r="CT804">
        <v>0</v>
      </c>
      <c r="CU804">
        <v>0</v>
      </c>
      <c r="CV804" s="25">
        <v>54.994544982910163</v>
      </c>
      <c r="CW804" s="25">
        <v>9.5718059539794922</v>
      </c>
      <c r="CX804" s="25">
        <v>57.211780548095703</v>
      </c>
      <c r="CY804" s="25">
        <v>79.978713989257813</v>
      </c>
      <c r="CZ804" s="25">
        <v>45.892215728759773</v>
      </c>
      <c r="DA804" s="25">
        <v>86.903648376464844</v>
      </c>
      <c r="DB804" s="25">
        <v>50.409091949462891</v>
      </c>
      <c r="DC804">
        <v>40</v>
      </c>
      <c r="DD804" s="253" t="s">
        <v>380</v>
      </c>
    </row>
    <row r="805" spans="1:108" hidden="1">
      <c r="A805" s="13">
        <v>41885</v>
      </c>
      <c r="B805" s="13" t="s">
        <v>2034</v>
      </c>
      <c r="C805" s="13" t="s">
        <v>676</v>
      </c>
      <c r="D805" s="13" t="s">
        <v>677</v>
      </c>
      <c r="E805" s="13" t="s">
        <v>2035</v>
      </c>
      <c r="F805" s="14">
        <v>64.338300000000004</v>
      </c>
      <c r="G805" s="13">
        <v>73.66</v>
      </c>
      <c r="H805" s="13">
        <v>59.88</v>
      </c>
      <c r="I805" s="13">
        <v>78.319999999999993</v>
      </c>
      <c r="J805" s="14">
        <v>75.688342910374999</v>
      </c>
      <c r="K805" s="14">
        <v>54.035169871333821</v>
      </c>
      <c r="L805" s="14">
        <v>75.725468041387828</v>
      </c>
      <c r="M805" s="14">
        <v>65.786699999999996</v>
      </c>
      <c r="N805" s="14">
        <f t="shared" si="324"/>
        <v>69.049575000000004</v>
      </c>
      <c r="O805" s="14">
        <f t="shared" si="325"/>
        <v>67.808920205774157</v>
      </c>
      <c r="P805" s="14">
        <f t="shared" si="341"/>
        <v>68.429247602887074</v>
      </c>
      <c r="Q805" s="14">
        <v>60.572481082786254</v>
      </c>
      <c r="R805" s="17">
        <f t="shared" si="326"/>
        <v>39.427518917213746</v>
      </c>
      <c r="S805" s="14">
        <f t="shared" si="342"/>
        <v>0.45484767025492367</v>
      </c>
      <c r="T805" s="13">
        <v>0</v>
      </c>
      <c r="U805" s="13">
        <f t="shared" si="343"/>
        <v>31.124883849470507</v>
      </c>
      <c r="V805" s="13">
        <f>IF($T805=1,$AU805,(VLOOKUP(U805,'Cortes naturales'!$A$35:$C$39,3,9)))</f>
        <v>3</v>
      </c>
      <c r="W805" s="13">
        <v>3</v>
      </c>
      <c r="X805" s="14" t="b">
        <f t="shared" si="327"/>
        <v>1</v>
      </c>
      <c r="Y805" s="17">
        <f>IF($T805=1,$AU805,VLOOKUP(U805,'Cortes naturales'!$A$45:$C$49,3,9))</f>
        <v>3</v>
      </c>
      <c r="Z805" s="14">
        <v>65.326627212665215</v>
      </c>
      <c r="AA805" s="14">
        <v>0.46337802001910766</v>
      </c>
      <c r="AB805" s="14">
        <v>30.270923172331166</v>
      </c>
      <c r="AC805" s="13">
        <v>3</v>
      </c>
      <c r="AD805" s="13">
        <f t="shared" si="328"/>
        <v>0</v>
      </c>
      <c r="AE805" s="14">
        <f t="shared" si="329"/>
        <v>3.1026203902218583</v>
      </c>
      <c r="AF805" s="14">
        <f t="shared" si="330"/>
        <v>-8.5303497641839865E-3</v>
      </c>
      <c r="AG805" s="13">
        <f t="shared" si="331"/>
        <v>0.85396067713934087</v>
      </c>
      <c r="AH805" s="13">
        <f>IF($T805=1,$AU805,VLOOKUP(U805,'Cortes naturales'!$A$25:$C$29,3,9))</f>
        <v>3</v>
      </c>
      <c r="AI805" s="13" t="b">
        <f t="shared" si="332"/>
        <v>1</v>
      </c>
      <c r="AJ805" s="13">
        <f t="shared" si="333"/>
        <v>0</v>
      </c>
      <c r="AK805" s="28">
        <v>0.6523467210059386</v>
      </c>
      <c r="AL805" s="28">
        <v>42.615611056559473</v>
      </c>
      <c r="AM805" s="28">
        <v>0.36245036138736697</v>
      </c>
      <c r="AN805" s="13">
        <v>3</v>
      </c>
      <c r="AO805" s="33">
        <f t="shared" si="334"/>
        <v>0</v>
      </c>
      <c r="AP805" s="13">
        <f t="shared" si="344"/>
        <v>36.245036138736694</v>
      </c>
      <c r="AQ805" s="13">
        <f>IFERROR(VLOOKUP(U805,'Cortes naturales'!$E$15:$G$19,3,9),U805)</f>
        <v>4</v>
      </c>
      <c r="AR805" s="28">
        <f t="shared" si="335"/>
        <v>-0.19749905075101493</v>
      </c>
      <c r="AS805" s="13" t="b">
        <f t="shared" si="336"/>
        <v>0</v>
      </c>
      <c r="AT805" s="13">
        <f t="shared" si="345"/>
        <v>0</v>
      </c>
      <c r="AU805" s="13">
        <v>4</v>
      </c>
      <c r="AV805">
        <f t="shared" si="337"/>
        <v>1</v>
      </c>
      <c r="AW805" s="13">
        <v>0</v>
      </c>
      <c r="AX805" s="13">
        <v>0</v>
      </c>
      <c r="AY805" s="13">
        <v>0</v>
      </c>
      <c r="AZ805" s="13">
        <v>0</v>
      </c>
      <c r="BA805">
        <v>0</v>
      </c>
      <c r="BB805" t="s">
        <v>2840</v>
      </c>
      <c r="BC805">
        <v>6</v>
      </c>
      <c r="BD805" t="s">
        <v>2919</v>
      </c>
      <c r="BE805">
        <v>0</v>
      </c>
      <c r="BF805" s="232" t="s">
        <v>2846</v>
      </c>
      <c r="BG805" s="232" t="s">
        <v>2845</v>
      </c>
      <c r="BH805" s="253">
        <v>23.8</v>
      </c>
      <c r="BI805" s="253">
        <v>9.2378752886836022</v>
      </c>
      <c r="BJ805" s="25">
        <v>1.9350000000000001</v>
      </c>
      <c r="BK805" t="s">
        <v>381</v>
      </c>
      <c r="BL805">
        <v>0.76393256220935124</v>
      </c>
      <c r="BM805" t="s">
        <v>383</v>
      </c>
      <c r="BN805" s="322">
        <v>53633.747359000001</v>
      </c>
      <c r="BO805" s="322">
        <v>6181.0235590000002</v>
      </c>
      <c r="BP805" s="10">
        <v>8003</v>
      </c>
      <c r="BQ805" s="254">
        <f t="shared" si="338"/>
        <v>6.7017052803948518</v>
      </c>
      <c r="BR805" s="254">
        <f t="shared" si="339"/>
        <v>0.77233831800574781</v>
      </c>
      <c r="BS805" s="25">
        <v>60.542484784941678</v>
      </c>
      <c r="BT805" s="25">
        <v>89.880535594985233</v>
      </c>
      <c r="BU805" s="25">
        <v>60.041765728189063</v>
      </c>
      <c r="BV805" s="25">
        <v>90.833140975439164</v>
      </c>
      <c r="BW805" s="25">
        <v>64.602815364407775</v>
      </c>
      <c r="BX805" s="25">
        <v>75.324481770888781</v>
      </c>
      <c r="BY805" s="25">
        <v>65.396403414389312</v>
      </c>
      <c r="BZ805">
        <v>71</v>
      </c>
      <c r="CA805">
        <v>0</v>
      </c>
      <c r="CB805">
        <v>7</v>
      </c>
      <c r="CC805">
        <v>33281.663001000001</v>
      </c>
      <c r="CD805" s="10">
        <v>2140.4767310000002</v>
      </c>
      <c r="CE805" s="255">
        <v>6.4313995695938819E-2</v>
      </c>
      <c r="CF805" t="str">
        <f>IFERROR(VLOOKUP(CE805,'Rangos amb etnico'!$A$2:$C$6,3,9),"N.D.")</f>
        <v>0,1% - 30%</v>
      </c>
      <c r="CG805" s="256">
        <v>6.2274536985492456E-5</v>
      </c>
      <c r="CH805" s="232">
        <v>0</v>
      </c>
      <c r="CI805" s="311">
        <f t="shared" si="346"/>
        <v>0</v>
      </c>
      <c r="CJ805" s="232">
        <f>IFERROR(VLOOKUP(CI805,'Rangos amb etnico'!$A$2:$C$6,3,9),"N.D.")</f>
        <v>0</v>
      </c>
      <c r="CK805" s="311">
        <f t="shared" si="347"/>
        <v>0</v>
      </c>
      <c r="CL805" s="10">
        <v>0</v>
      </c>
      <c r="CM805" s="255">
        <f t="shared" si="348"/>
        <v>0</v>
      </c>
      <c r="CN805" s="232">
        <f>IFERROR(VLOOKUP(CM805,'Rangos amb etnico'!$A$2:$C$6,3,9),"N.D.")</f>
        <v>0</v>
      </c>
      <c r="CO805" s="311">
        <f t="shared" si="349"/>
        <v>0</v>
      </c>
      <c r="CP805">
        <v>0.91752204021492145</v>
      </c>
      <c r="CQ805" t="s">
        <v>2864</v>
      </c>
      <c r="CR805">
        <f t="shared" si="340"/>
        <v>4</v>
      </c>
      <c r="CS805" t="str">
        <f t="shared" si="350"/>
        <v>Candidato</v>
      </c>
      <c r="CT805">
        <v>0</v>
      </c>
      <c r="CU805">
        <v>0</v>
      </c>
      <c r="CV805" s="25">
        <v>51.293319702148438</v>
      </c>
      <c r="CW805" s="25">
        <v>30.21335601806641</v>
      </c>
      <c r="CX805" s="25">
        <v>48.925064086914063</v>
      </c>
      <c r="CY805" s="25">
        <v>76.572006225585938</v>
      </c>
      <c r="CZ805" s="25">
        <v>51.343528747558587</v>
      </c>
      <c r="DA805" s="25">
        <v>38.053779602050781</v>
      </c>
      <c r="DB805" s="25">
        <v>62.652168273925781</v>
      </c>
      <c r="DC805">
        <v>66</v>
      </c>
      <c r="DD805" s="253" t="s">
        <v>380</v>
      </c>
    </row>
    <row r="806" spans="1:108" hidden="1">
      <c r="A806" s="13">
        <v>54003</v>
      </c>
      <c r="B806" s="13" t="s">
        <v>2036</v>
      </c>
      <c r="C806" s="13" t="s">
        <v>517</v>
      </c>
      <c r="D806" s="13" t="s">
        <v>518</v>
      </c>
      <c r="E806" s="13" t="s">
        <v>2037</v>
      </c>
      <c r="F806" s="14">
        <v>78.857366666666707</v>
      </c>
      <c r="G806" s="13">
        <v>82.53</v>
      </c>
      <c r="H806" s="13">
        <v>54.68</v>
      </c>
      <c r="I806" s="13">
        <v>79.3</v>
      </c>
      <c r="J806" s="14">
        <v>44.870308438966411</v>
      </c>
      <c r="K806" s="14">
        <v>38.200965534955479</v>
      </c>
      <c r="L806" s="14">
        <v>46.271249180715913</v>
      </c>
      <c r="M806" s="14">
        <v>52.856400000000001</v>
      </c>
      <c r="N806" s="14">
        <f t="shared" si="324"/>
        <v>73.841841666666681</v>
      </c>
      <c r="O806" s="14">
        <f t="shared" si="325"/>
        <v>45.549730788659453</v>
      </c>
      <c r="P806" s="14">
        <f t="shared" si="341"/>
        <v>59.695786227663064</v>
      </c>
      <c r="Q806" s="14">
        <v>60.346908468481018</v>
      </c>
      <c r="R806" s="17">
        <f t="shared" si="326"/>
        <v>39.653091531518982</v>
      </c>
      <c r="S806" s="14">
        <f t="shared" si="342"/>
        <v>0.45687782378367081</v>
      </c>
      <c r="T806" s="13">
        <v>0</v>
      </c>
      <c r="U806" s="13">
        <f t="shared" si="343"/>
        <v>27.273680900749927</v>
      </c>
      <c r="V806" s="13">
        <f>IF($T806=1,$AU806,(VLOOKUP(U806,'Cortes naturales'!$A$35:$C$39,3,9)))</f>
        <v>4</v>
      </c>
      <c r="W806" s="13">
        <v>4</v>
      </c>
      <c r="X806" s="14" t="b">
        <f t="shared" si="327"/>
        <v>1</v>
      </c>
      <c r="Y806" s="17">
        <f>IF($T806=1,$AU806,VLOOKUP(U806,'Cortes naturales'!$A$45:$C$49,3,9))</f>
        <v>4</v>
      </c>
      <c r="Z806" s="14">
        <v>58.126862128030631</v>
      </c>
      <c r="AA806" s="14">
        <v>0.46287667986695924</v>
      </c>
      <c r="AB806" s="14">
        <v>26.905568952907313</v>
      </c>
      <c r="AC806" s="13">
        <v>4</v>
      </c>
      <c r="AD806" s="13">
        <f t="shared" si="328"/>
        <v>0</v>
      </c>
      <c r="AE806" s="14">
        <f t="shared" si="329"/>
        <v>1.568924099632433</v>
      </c>
      <c r="AF806" s="14">
        <f t="shared" si="330"/>
        <v>-5.9988560832884286E-3</v>
      </c>
      <c r="AG806" s="13">
        <f t="shared" si="331"/>
        <v>0.36811194784261403</v>
      </c>
      <c r="AH806" s="13">
        <f>IF($T806=1,$AU806,VLOOKUP(U806,'Cortes naturales'!$A$25:$C$29,3,9))</f>
        <v>4</v>
      </c>
      <c r="AI806" s="13" t="b">
        <f t="shared" si="332"/>
        <v>1</v>
      </c>
      <c r="AJ806" s="13">
        <f t="shared" si="333"/>
        <v>0</v>
      </c>
      <c r="AK806" s="28">
        <v>0.6523467210059386</v>
      </c>
      <c r="AL806" s="28">
        <v>37.918867911585053</v>
      </c>
      <c r="AM806" s="28">
        <v>0.30369905547767273</v>
      </c>
      <c r="AN806" s="13">
        <v>4</v>
      </c>
      <c r="AO806" s="33">
        <f t="shared" si="334"/>
        <v>0</v>
      </c>
      <c r="AP806" s="13">
        <f t="shared" si="344"/>
        <v>30.369905547767274</v>
      </c>
      <c r="AQ806" s="13">
        <f>IFERROR(VLOOKUP(U806,'Cortes naturales'!$E$15:$G$19,3,9),U806)</f>
        <v>4</v>
      </c>
      <c r="AR806" s="28">
        <f t="shared" si="335"/>
        <v>-0.19546889722226779</v>
      </c>
      <c r="AS806" s="13" t="b">
        <f t="shared" si="336"/>
        <v>1</v>
      </c>
      <c r="AT806" s="13">
        <f t="shared" si="345"/>
        <v>0</v>
      </c>
      <c r="AU806" s="13">
        <v>4</v>
      </c>
      <c r="AV806">
        <f t="shared" si="337"/>
        <v>0</v>
      </c>
      <c r="AW806" s="13">
        <v>0</v>
      </c>
      <c r="AX806" s="13">
        <v>0</v>
      </c>
      <c r="AY806" s="13">
        <v>0</v>
      </c>
      <c r="AZ806" s="13">
        <v>0</v>
      </c>
      <c r="BA806">
        <v>0</v>
      </c>
      <c r="BB806" t="s">
        <v>2840</v>
      </c>
      <c r="BC806">
        <v>6</v>
      </c>
      <c r="BD806" t="s">
        <v>2919</v>
      </c>
      <c r="BE806">
        <v>1</v>
      </c>
      <c r="BF806" s="232" t="s">
        <v>2846</v>
      </c>
      <c r="BG806" s="232" t="s">
        <v>2846</v>
      </c>
      <c r="BH806" s="253">
        <v>55.8</v>
      </c>
      <c r="BI806" s="253">
        <v>27.890298160568431</v>
      </c>
      <c r="BJ806" s="25">
        <v>6.9542857142857155</v>
      </c>
      <c r="BK806" t="s">
        <v>377</v>
      </c>
      <c r="BL806">
        <v>17.968688115282486</v>
      </c>
      <c r="BM806" t="s">
        <v>376</v>
      </c>
      <c r="BN806" s="322">
        <v>61109.371383999998</v>
      </c>
      <c r="BO806" s="322">
        <v>6666.6356750000004</v>
      </c>
      <c r="BP806" s="10">
        <v>35875</v>
      </c>
      <c r="BQ806" s="254">
        <f t="shared" si="338"/>
        <v>1.7033971117491289</v>
      </c>
      <c r="BR806" s="254">
        <f t="shared" si="339"/>
        <v>0.18582956585365856</v>
      </c>
      <c r="BS806" s="25">
        <v>64.725513872765532</v>
      </c>
      <c r="BT806" s="25">
        <v>93.908413716608607</v>
      </c>
      <c r="BU806" s="25">
        <v>45.668471392795198</v>
      </c>
      <c r="BV806" s="25">
        <v>90.501723435261567</v>
      </c>
      <c r="BW806" s="25">
        <v>63.047068439535778</v>
      </c>
      <c r="BX806" s="25">
        <v>73.701030604357726</v>
      </c>
      <c r="BY806" s="25">
        <v>64.79511358134144</v>
      </c>
      <c r="BZ806">
        <v>14</v>
      </c>
      <c r="CA806">
        <v>0</v>
      </c>
      <c r="CB806">
        <v>7</v>
      </c>
      <c r="CC806">
        <v>137989.869075</v>
      </c>
      <c r="CD806" s="10">
        <v>28029.858168999999</v>
      </c>
      <c r="CE806" s="255">
        <v>0.20312982653650655</v>
      </c>
      <c r="CF806" t="str">
        <f>IFERROR(VLOOKUP(CE806,'Rangos amb etnico'!$A$2:$C$6,3,9),"N.D.")</f>
        <v>0,1% - 30%</v>
      </c>
      <c r="CG806" s="256">
        <v>8.1549423731787265E-4</v>
      </c>
      <c r="CH806" s="232">
        <v>0</v>
      </c>
      <c r="CI806" s="311">
        <f t="shared" si="346"/>
        <v>0</v>
      </c>
      <c r="CJ806" s="232">
        <f>IFERROR(VLOOKUP(CI806,'Rangos amb etnico'!$A$2:$C$6,3,9),"N.D.")</f>
        <v>0</v>
      </c>
      <c r="CK806" s="311">
        <f t="shared" si="347"/>
        <v>0</v>
      </c>
      <c r="CL806" s="10">
        <v>34676.103920200003</v>
      </c>
      <c r="CM806" s="255">
        <f t="shared" si="348"/>
        <v>0.25129456352591301</v>
      </c>
      <c r="CN806" s="232" t="str">
        <f>IFERROR(VLOOKUP(CM806,'Rangos amb etnico'!$A$2:$C$6,3,9),"N.D.")</f>
        <v>0,1% - 30%</v>
      </c>
      <c r="CO806" s="311">
        <f t="shared" si="349"/>
        <v>2.1745625633553603E-2</v>
      </c>
      <c r="CP806">
        <v>0.94949003170467128</v>
      </c>
      <c r="CQ806" t="s">
        <v>2864</v>
      </c>
      <c r="CR806">
        <f t="shared" si="340"/>
        <v>3</v>
      </c>
      <c r="CS806" t="str">
        <f t="shared" si="350"/>
        <v>Candidato</v>
      </c>
      <c r="CT806">
        <v>0</v>
      </c>
      <c r="CU806">
        <v>0</v>
      </c>
      <c r="CV806" s="25">
        <v>42.556415557861328</v>
      </c>
      <c r="CW806" s="25">
        <v>25.824556350708011</v>
      </c>
      <c r="CX806" s="25">
        <v>46.911712646484382</v>
      </c>
      <c r="CY806" s="25">
        <v>49.717811584472663</v>
      </c>
      <c r="CZ806" s="25">
        <v>30.804397583007809</v>
      </c>
      <c r="DA806" s="25">
        <v>42.53851318359375</v>
      </c>
      <c r="DB806" s="25">
        <v>59.541507720947273</v>
      </c>
      <c r="DC806">
        <v>150</v>
      </c>
      <c r="DD806" s="253" t="s">
        <v>380</v>
      </c>
    </row>
    <row r="807" spans="1:108" hidden="1">
      <c r="A807" s="13">
        <v>52560</v>
      </c>
      <c r="B807" s="13" t="s">
        <v>2038</v>
      </c>
      <c r="C807" s="13" t="s">
        <v>672</v>
      </c>
      <c r="D807" s="13" t="s">
        <v>673</v>
      </c>
      <c r="E807" s="13" t="s">
        <v>2039</v>
      </c>
      <c r="F807" s="14">
        <v>58.918999999999997</v>
      </c>
      <c r="G807" s="13">
        <v>63.89</v>
      </c>
      <c r="H807" s="13">
        <v>69.650000000000006</v>
      </c>
      <c r="I807" s="13">
        <v>58.08</v>
      </c>
      <c r="J807" s="14">
        <v>58.157566998451117</v>
      </c>
      <c r="K807" s="14">
        <v>59.734638748479021</v>
      </c>
      <c r="L807" s="14">
        <v>57.540063535189262</v>
      </c>
      <c r="M807" s="14">
        <v>59.578099999999999</v>
      </c>
      <c r="N807" s="14">
        <f t="shared" si="324"/>
        <v>62.634749999999997</v>
      </c>
      <c r="O807" s="14">
        <f t="shared" si="325"/>
        <v>58.75259232052985</v>
      </c>
      <c r="P807" s="14">
        <f t="shared" si="341"/>
        <v>60.693671160264927</v>
      </c>
      <c r="Q807" s="14">
        <v>60.728369903160825</v>
      </c>
      <c r="R807" s="17">
        <f t="shared" si="326"/>
        <v>39.271630096839175</v>
      </c>
      <c r="S807" s="203">
        <f t="shared" si="342"/>
        <v>0.4534446708715526</v>
      </c>
      <c r="T807" s="13">
        <v>0</v>
      </c>
      <c r="U807" s="13">
        <f t="shared" si="343"/>
        <v>27.521221743252575</v>
      </c>
      <c r="V807" s="13">
        <f>IF($T807=1,$AU807,(VLOOKUP(U807,'Cortes naturales'!$A$35:$C$39,3,9)))</f>
        <v>4</v>
      </c>
      <c r="W807" s="13">
        <v>4</v>
      </c>
      <c r="X807" s="14" t="b">
        <f t="shared" si="327"/>
        <v>1</v>
      </c>
      <c r="Y807" s="17">
        <f>IF($T807=1,$AU807,VLOOKUP(U807,'Cortes naturales'!$A$45:$C$49,3,9))</f>
        <v>4</v>
      </c>
      <c r="Z807" s="14">
        <v>60.477156651466871</v>
      </c>
      <c r="AA807" s="203">
        <v>0.46272053680064362</v>
      </c>
      <c r="AB807" s="14">
        <v>27.984022389943366</v>
      </c>
      <c r="AC807" s="13">
        <v>3</v>
      </c>
      <c r="AD807" s="13">
        <f t="shared" si="328"/>
        <v>-1</v>
      </c>
      <c r="AE807" s="14">
        <f t="shared" si="329"/>
        <v>0.21651450879805623</v>
      </c>
      <c r="AF807" s="14">
        <f t="shared" si="330"/>
        <v>-9.2758659290910206E-3</v>
      </c>
      <c r="AG807" s="13">
        <f t="shared" si="331"/>
        <v>-0.46280064669079124</v>
      </c>
      <c r="AH807" s="13">
        <f>IF($T807=1,$AU807,VLOOKUP(U807,'Cortes naturales'!$A$25:$C$29,3,9))</f>
        <v>4</v>
      </c>
      <c r="AI807" s="13" t="b">
        <f t="shared" si="332"/>
        <v>1</v>
      </c>
      <c r="AJ807" s="13" t="str">
        <f t="shared" si="333"/>
        <v>Efecto ponderador</v>
      </c>
      <c r="AK807" s="28">
        <v>0.6523467210059386</v>
      </c>
      <c r="AL807" s="28">
        <v>39.452074837346906</v>
      </c>
      <c r="AM807" s="28">
        <v>0.32287785796651675</v>
      </c>
      <c r="AN807" s="13">
        <v>4</v>
      </c>
      <c r="AO807" s="33">
        <f t="shared" si="334"/>
        <v>0</v>
      </c>
      <c r="AP807" s="13">
        <f t="shared" si="344"/>
        <v>32.287785796651676</v>
      </c>
      <c r="AQ807" s="13">
        <f>IFERROR(VLOOKUP(U807,'Cortes naturales'!$E$15:$G$19,3,9),U807)</f>
        <v>4</v>
      </c>
      <c r="AR807" s="28">
        <f t="shared" si="335"/>
        <v>-0.198902050134386</v>
      </c>
      <c r="AS807" s="13" t="b">
        <f t="shared" si="336"/>
        <v>1</v>
      </c>
      <c r="AT807" s="13">
        <f t="shared" si="345"/>
        <v>0</v>
      </c>
      <c r="AU807" s="13">
        <v>4</v>
      </c>
      <c r="AV807">
        <f t="shared" si="337"/>
        <v>0</v>
      </c>
      <c r="AW807" s="13">
        <v>0</v>
      </c>
      <c r="AX807" s="13">
        <v>0</v>
      </c>
      <c r="AY807" s="13">
        <v>0</v>
      </c>
      <c r="AZ807" s="13">
        <v>0</v>
      </c>
      <c r="BA807">
        <v>0</v>
      </c>
      <c r="BB807" t="s">
        <v>2841</v>
      </c>
      <c r="BC807">
        <v>6</v>
      </c>
      <c r="BD807" t="s">
        <v>2919</v>
      </c>
      <c r="BE807">
        <v>0</v>
      </c>
      <c r="BF807" s="232" t="s">
        <v>2846</v>
      </c>
      <c r="BG807" s="232" t="s">
        <v>2845</v>
      </c>
      <c r="BH807" s="253">
        <v>27.5</v>
      </c>
      <c r="BI807" s="253">
        <v>12.260536398467433</v>
      </c>
      <c r="BJ807" s="25">
        <v>59.633893455269735</v>
      </c>
      <c r="BK807" t="s">
        <v>376</v>
      </c>
      <c r="BL807">
        <v>2.5642757248783044</v>
      </c>
      <c r="BM807" t="s">
        <v>383</v>
      </c>
      <c r="BN807" s="322">
        <v>25845.324002000001</v>
      </c>
      <c r="BO807" s="322">
        <v>917.16490399999998</v>
      </c>
      <c r="BP807" s="10">
        <v>10402</v>
      </c>
      <c r="BQ807" s="254">
        <f t="shared" si="338"/>
        <v>2.4846494906748702</v>
      </c>
      <c r="BR807" s="254">
        <f t="shared" si="339"/>
        <v>8.817197692751394E-2</v>
      </c>
      <c r="BS807" s="25">
        <v>70.822177272028</v>
      </c>
      <c r="BT807" s="25">
        <v>100</v>
      </c>
      <c r="BU807" s="25">
        <v>48.648333333333333</v>
      </c>
      <c r="BV807" s="25">
        <v>90.178526484191153</v>
      </c>
      <c r="BW807" s="25">
        <v>56.712264544177117</v>
      </c>
      <c r="BX807" s="25">
        <v>77.412259272388127</v>
      </c>
      <c r="BY807" s="25">
        <v>56.95742423540667</v>
      </c>
      <c r="BZ807">
        <v>28</v>
      </c>
      <c r="CA807">
        <v>0</v>
      </c>
      <c r="CB807">
        <v>7</v>
      </c>
      <c r="CC807">
        <v>38867.633129000002</v>
      </c>
      <c r="CD807" s="10">
        <v>14111.225692</v>
      </c>
      <c r="CE807" s="255">
        <v>0.3630585285490745</v>
      </c>
      <c r="CF807" t="str">
        <f>IFERROR(VLOOKUP(CE807,'Rangos amb etnico'!$A$2:$C$6,3,9),"N.D.")</f>
        <v>31% - 50%</v>
      </c>
      <c r="CG807" s="256">
        <v>4.1054874997708413E-4</v>
      </c>
      <c r="CH807" s="232">
        <v>5405.7648959999997</v>
      </c>
      <c r="CI807" s="311">
        <f t="shared" si="346"/>
        <v>0.13908140169118346</v>
      </c>
      <c r="CJ807" s="232" t="str">
        <f>IFERROR(VLOOKUP(CI807,'Rangos amb etnico'!$A$2:$C$6,3,9),"N.D.")</f>
        <v>0,1% - 30%</v>
      </c>
      <c r="CK807" s="311">
        <f t="shared" si="347"/>
        <v>2.1464425899773721E-4</v>
      </c>
      <c r="CL807" s="10">
        <v>0</v>
      </c>
      <c r="CM807" s="255">
        <f t="shared" si="348"/>
        <v>0</v>
      </c>
      <c r="CN807" s="232">
        <f>IFERROR(VLOOKUP(CM807,'Rangos amb etnico'!$A$2:$C$6,3,9),"N.D.")</f>
        <v>0</v>
      </c>
      <c r="CO807" s="311">
        <f t="shared" si="349"/>
        <v>0</v>
      </c>
      <c r="CP807">
        <v>0.88459497178430624</v>
      </c>
      <c r="CQ807" t="s">
        <v>2864</v>
      </c>
      <c r="CR807">
        <f t="shared" si="340"/>
        <v>1</v>
      </c>
      <c r="CS807" t="str">
        <f t="shared" si="350"/>
        <v>No es Candidato</v>
      </c>
      <c r="CT807">
        <v>0</v>
      </c>
      <c r="CU807">
        <v>0</v>
      </c>
      <c r="CV807" s="25">
        <v>51.765705108642578</v>
      </c>
      <c r="CW807" s="25">
        <v>17.986282348632809</v>
      </c>
      <c r="CX807" s="25">
        <v>48.107875823974609</v>
      </c>
      <c r="CY807" s="25">
        <v>64.775955200195313</v>
      </c>
      <c r="CZ807" s="25">
        <v>47.351436614990227</v>
      </c>
      <c r="DA807" s="25">
        <v>78.053306579589844</v>
      </c>
      <c r="DB807" s="25">
        <v>54.319362640380859</v>
      </c>
      <c r="DC807">
        <v>2269</v>
      </c>
      <c r="DD807" s="253" t="s">
        <v>380</v>
      </c>
    </row>
    <row r="808" spans="1:108" hidden="1">
      <c r="A808" s="13">
        <v>44420</v>
      </c>
      <c r="B808" s="13" t="s">
        <v>2040</v>
      </c>
      <c r="C808" s="13" t="s">
        <v>933</v>
      </c>
      <c r="D808" s="13" t="s">
        <v>934</v>
      </c>
      <c r="E808" s="13" t="s">
        <v>2041</v>
      </c>
      <c r="F808" s="14">
        <v>69.963800000000006</v>
      </c>
      <c r="G808" s="13">
        <v>67.52</v>
      </c>
      <c r="H808" s="13">
        <v>78.83</v>
      </c>
      <c r="I808" s="13">
        <v>87.81</v>
      </c>
      <c r="J808" s="14">
        <v>63.135775608406277</v>
      </c>
      <c r="K808" s="14">
        <v>51.408767695871077</v>
      </c>
      <c r="L808" s="14">
        <v>59.223133992667059</v>
      </c>
      <c r="M808" s="14">
        <v>57.852499999999999</v>
      </c>
      <c r="N808" s="14">
        <f t="shared" si="324"/>
        <v>76.030950000000004</v>
      </c>
      <c r="O808" s="14">
        <f t="shared" si="325"/>
        <v>57.905044324236101</v>
      </c>
      <c r="P808" s="14">
        <f t="shared" si="341"/>
        <v>66.967997162118053</v>
      </c>
      <c r="Q808" s="14">
        <v>60.282369927625403</v>
      </c>
      <c r="R808" s="17">
        <f t="shared" si="326"/>
        <v>39.717630072374597</v>
      </c>
      <c r="S808" s="14">
        <f t="shared" si="342"/>
        <v>0.45745867065137136</v>
      </c>
      <c r="T808" s="13">
        <v>0</v>
      </c>
      <c r="U808" s="13">
        <f t="shared" si="343"/>
        <v>30.635090957967336</v>
      </c>
      <c r="V808" s="13">
        <f>IF($T808=1,$AU808,(VLOOKUP(U808,'Cortes naturales'!$A$35:$C$39,3,9)))</f>
        <v>3</v>
      </c>
      <c r="W808" s="13">
        <v>3</v>
      </c>
      <c r="X808" s="14" t="b">
        <f t="shared" si="327"/>
        <v>1</v>
      </c>
      <c r="Y808" s="17">
        <f>IF($T808=1,$AU808,VLOOKUP(U808,'Cortes naturales'!$A$45:$C$49,3,9))</f>
        <v>3</v>
      </c>
      <c r="Z808" s="14">
        <v>64.686959571247542</v>
      </c>
      <c r="AA808" s="14">
        <v>0.46332207907472167</v>
      </c>
      <c r="AB808" s="14">
        <v>29.970896597572878</v>
      </c>
      <c r="AC808" s="13">
        <v>3</v>
      </c>
      <c r="AD808" s="13">
        <f t="shared" si="328"/>
        <v>0</v>
      </c>
      <c r="AE808" s="14">
        <f t="shared" si="329"/>
        <v>2.2810375908705112</v>
      </c>
      <c r="AF808" s="14">
        <f t="shared" si="330"/>
        <v>-5.8634084233503136E-3</v>
      </c>
      <c r="AG808" s="13">
        <f t="shared" si="331"/>
        <v>0.66419436039445756</v>
      </c>
      <c r="AH808" s="13">
        <f>IF($T808=1,$AU808,VLOOKUP(U808,'Cortes naturales'!$A$25:$C$29,3,9))</f>
        <v>3</v>
      </c>
      <c r="AI808" s="13" t="b">
        <f t="shared" si="332"/>
        <v>1</v>
      </c>
      <c r="AJ808" s="13">
        <f t="shared" si="333"/>
        <v>0</v>
      </c>
      <c r="AK808" s="28">
        <v>0.6523467210059386</v>
      </c>
      <c r="AL808" s="28">
        <v>42.198325968147053</v>
      </c>
      <c r="AM808" s="28">
        <v>0.35723056479127158</v>
      </c>
      <c r="AN808" s="13">
        <v>3</v>
      </c>
      <c r="AO808" s="33">
        <f t="shared" si="334"/>
        <v>0</v>
      </c>
      <c r="AP808" s="13">
        <f t="shared" si="344"/>
        <v>35.723056479127159</v>
      </c>
      <c r="AQ808" s="13">
        <f>IFERROR(VLOOKUP(U808,'Cortes naturales'!$E$15:$G$19,3,9),U808)</f>
        <v>4</v>
      </c>
      <c r="AR808" s="28">
        <f t="shared" si="335"/>
        <v>-0.19488805035456724</v>
      </c>
      <c r="AS808" s="13" t="b">
        <f t="shared" si="336"/>
        <v>0</v>
      </c>
      <c r="AT808" s="13">
        <f t="shared" si="345"/>
        <v>0</v>
      </c>
      <c r="AU808" s="13">
        <v>4</v>
      </c>
      <c r="AV808">
        <f t="shared" si="337"/>
        <v>1</v>
      </c>
      <c r="AW808" s="13">
        <v>0</v>
      </c>
      <c r="AX808" s="13">
        <v>0</v>
      </c>
      <c r="AY808" s="13">
        <v>0</v>
      </c>
      <c r="AZ808" s="13">
        <v>0</v>
      </c>
      <c r="BA808">
        <v>1</v>
      </c>
      <c r="BB808" t="s">
        <v>2840</v>
      </c>
      <c r="BC808">
        <v>6</v>
      </c>
      <c r="BD808" t="s">
        <v>2919</v>
      </c>
      <c r="BE808">
        <v>1</v>
      </c>
      <c r="BF808" s="232" t="s">
        <v>2846</v>
      </c>
      <c r="BG808" s="232" t="s">
        <v>2846</v>
      </c>
      <c r="BH808" s="253">
        <v>43</v>
      </c>
      <c r="BI808" s="253">
        <v>27.777777777777779</v>
      </c>
      <c r="BJ808" s="25">
        <v>39.463000000000001</v>
      </c>
      <c r="BK808" t="s">
        <v>376</v>
      </c>
      <c r="BL808">
        <v>31.438856556338095</v>
      </c>
      <c r="BM808" t="s">
        <v>384</v>
      </c>
      <c r="BN808" s="322">
        <v>35982.224767</v>
      </c>
      <c r="BO808" s="322">
        <v>1151.81819</v>
      </c>
      <c r="BP808" s="10">
        <v>4149</v>
      </c>
      <c r="BQ808" s="254">
        <f t="shared" si="338"/>
        <v>8.6725053668353826</v>
      </c>
      <c r="BR808" s="254">
        <f t="shared" si="339"/>
        <v>0.27761344661364185</v>
      </c>
      <c r="BS808" s="25">
        <v>51.952888385199707</v>
      </c>
      <c r="BT808" s="25">
        <v>82.41022081144051</v>
      </c>
      <c r="BU808" s="25">
        <v>38.243333333333332</v>
      </c>
      <c r="BV808" s="25">
        <v>96.869433372644906</v>
      </c>
      <c r="BW808" s="25">
        <v>42.858352730751633</v>
      </c>
      <c r="BX808" s="25">
        <v>67.36896897565461</v>
      </c>
      <c r="BY808" s="25">
        <v>45.039674354737748</v>
      </c>
      <c r="BZ808">
        <v>47</v>
      </c>
      <c r="CA808">
        <v>0</v>
      </c>
      <c r="CB808">
        <v>7</v>
      </c>
      <c r="CC808">
        <v>17911.241323999999</v>
      </c>
      <c r="CD808" s="10">
        <v>8398.9619579999999</v>
      </c>
      <c r="CE808" s="255">
        <v>0.46892126604010914</v>
      </c>
      <c r="CF808" t="str">
        <f>IFERROR(VLOOKUP(CE808,'Rangos amb etnico'!$A$2:$C$6,3,9),"N.D.")</f>
        <v>31% - 50%</v>
      </c>
      <c r="CG808" s="256">
        <v>2.4435746463305757E-4</v>
      </c>
      <c r="CH808" s="232">
        <v>0</v>
      </c>
      <c r="CI808" s="311">
        <f t="shared" si="346"/>
        <v>0</v>
      </c>
      <c r="CJ808" s="232">
        <f>IFERROR(VLOOKUP(CI808,'Rangos amb etnico'!$A$2:$C$6,3,9),"N.D.")</f>
        <v>0</v>
      </c>
      <c r="CK808" s="311">
        <f t="shared" si="347"/>
        <v>0</v>
      </c>
      <c r="CL808" s="10">
        <v>0</v>
      </c>
      <c r="CM808" s="255">
        <f t="shared" si="348"/>
        <v>0</v>
      </c>
      <c r="CN808" s="232">
        <f>IFERROR(VLOOKUP(CM808,'Rangos amb etnico'!$A$2:$C$6,3,9),"N.D.")</f>
        <v>0</v>
      </c>
      <c r="CO808" s="311">
        <f t="shared" si="349"/>
        <v>0</v>
      </c>
      <c r="CP808">
        <v>0.89463835909822476</v>
      </c>
      <c r="CQ808" t="s">
        <v>2864</v>
      </c>
      <c r="CR808">
        <f t="shared" si="340"/>
        <v>2</v>
      </c>
      <c r="CS808" t="str">
        <f t="shared" si="350"/>
        <v>No es Candidato</v>
      </c>
      <c r="CT808">
        <v>1</v>
      </c>
      <c r="CU808" t="s">
        <v>2837</v>
      </c>
      <c r="CV808" s="25">
        <v>46.672233581542969</v>
      </c>
      <c r="CW808" s="25">
        <v>24.29905891418457</v>
      </c>
      <c r="CX808" s="25">
        <v>47.304386138916023</v>
      </c>
      <c r="CY808" s="25">
        <v>47.573535919189453</v>
      </c>
      <c r="CZ808" s="25">
        <v>39.862213134765618</v>
      </c>
      <c r="DA808" s="25">
        <v>63.223842620849609</v>
      </c>
      <c r="DB808" s="25">
        <v>57.770359039306641</v>
      </c>
      <c r="DC808">
        <v>589</v>
      </c>
      <c r="DD808" s="253" t="s">
        <v>380</v>
      </c>
    </row>
    <row r="809" spans="1:108" hidden="1">
      <c r="A809" s="13">
        <v>15218</v>
      </c>
      <c r="B809" s="13" t="s">
        <v>2042</v>
      </c>
      <c r="C809" s="13" t="s">
        <v>498</v>
      </c>
      <c r="D809" s="13" t="s">
        <v>499</v>
      </c>
      <c r="E809" s="13" t="s">
        <v>2043</v>
      </c>
      <c r="F809" s="14">
        <v>51.573866666666703</v>
      </c>
      <c r="G809" s="13">
        <v>41.39</v>
      </c>
      <c r="H809" s="13">
        <v>77.97</v>
      </c>
      <c r="I809" s="13">
        <v>81.78</v>
      </c>
      <c r="J809" s="14">
        <v>47.379215328762307</v>
      </c>
      <c r="K809" s="14">
        <v>50.285265355715907</v>
      </c>
      <c r="L809" s="14">
        <v>65.330339041066182</v>
      </c>
      <c r="M809" s="14">
        <v>47.718000000000004</v>
      </c>
      <c r="N809" s="14">
        <f t="shared" si="324"/>
        <v>63.178466666666672</v>
      </c>
      <c r="O809" s="14">
        <f t="shared" si="325"/>
        <v>52.678204931386105</v>
      </c>
      <c r="P809" s="14">
        <f t="shared" si="341"/>
        <v>57.928335799026385</v>
      </c>
      <c r="Q809" s="14">
        <v>60.57273503640306</v>
      </c>
      <c r="R809" s="17">
        <f t="shared" si="326"/>
        <v>39.42726496359694</v>
      </c>
      <c r="S809" s="14">
        <f t="shared" si="342"/>
        <v>0.45484538467237245</v>
      </c>
      <c r="T809" s="13">
        <v>0</v>
      </c>
      <c r="U809" s="13">
        <f t="shared" si="343"/>
        <v>26.34843617993852</v>
      </c>
      <c r="V809" s="13">
        <f>IF($T809=1,$AU809,(VLOOKUP(U809,'Cortes naturales'!$A$35:$C$39,3,9)))</f>
        <v>4</v>
      </c>
      <c r="W809" s="13">
        <v>4</v>
      </c>
      <c r="X809" s="14" t="b">
        <f t="shared" si="327"/>
        <v>1</v>
      </c>
      <c r="Y809" s="17">
        <f>IF($T809=1,$AU809,VLOOKUP(U809,'Cortes naturales'!$A$45:$C$49,3,9))</f>
        <v>4</v>
      </c>
      <c r="Z809" s="14">
        <v>54.390440411403063</v>
      </c>
      <c r="AA809" s="14">
        <v>0.46285757779572978</v>
      </c>
      <c r="AB809" s="14">
        <v>25.175027504065</v>
      </c>
      <c r="AC809" s="13">
        <v>4</v>
      </c>
      <c r="AD809" s="13">
        <f t="shared" si="328"/>
        <v>0</v>
      </c>
      <c r="AE809" s="14">
        <f t="shared" si="329"/>
        <v>3.5378953876233226</v>
      </c>
      <c r="AF809" s="14">
        <f t="shared" si="330"/>
        <v>-8.0121931233573251E-3</v>
      </c>
      <c r="AG809" s="13">
        <f t="shared" si="331"/>
        <v>1.1734086758735209</v>
      </c>
      <c r="AH809" s="13">
        <f>IF($T809=1,$AU809,VLOOKUP(U809,'Cortes naturales'!$A$25:$C$29,3,9))</f>
        <v>4</v>
      </c>
      <c r="AI809" s="13" t="b">
        <f t="shared" si="332"/>
        <v>1</v>
      </c>
      <c r="AJ809" s="13">
        <f t="shared" si="333"/>
        <v>0</v>
      </c>
      <c r="AK809" s="28">
        <v>0.6523467210059386</v>
      </c>
      <c r="AL809" s="28">
        <v>35.481425456447681</v>
      </c>
      <c r="AM809" s="28">
        <v>0.27320921967043238</v>
      </c>
      <c r="AN809" s="13">
        <v>4</v>
      </c>
      <c r="AO809" s="33">
        <f t="shared" si="334"/>
        <v>0</v>
      </c>
      <c r="AP809" s="13">
        <f t="shared" si="344"/>
        <v>27.320921967043237</v>
      </c>
      <c r="AQ809" s="13">
        <f>IFERROR(VLOOKUP(U809,'Cortes naturales'!$E$15:$G$19,3,9),U809)</f>
        <v>4</v>
      </c>
      <c r="AR809" s="28">
        <f t="shared" si="335"/>
        <v>-0.19750133633356615</v>
      </c>
      <c r="AS809" s="13" t="b">
        <f t="shared" si="336"/>
        <v>1</v>
      </c>
      <c r="AT809" s="13">
        <f t="shared" si="345"/>
        <v>0</v>
      </c>
      <c r="AU809" s="13">
        <v>4</v>
      </c>
      <c r="AV809">
        <f t="shared" si="337"/>
        <v>0</v>
      </c>
      <c r="AW809" s="13">
        <v>0</v>
      </c>
      <c r="AX809" s="13">
        <v>0</v>
      </c>
      <c r="AY809" s="13">
        <v>0</v>
      </c>
      <c r="AZ809" s="13">
        <v>0</v>
      </c>
      <c r="BA809">
        <v>0</v>
      </c>
      <c r="BB809" t="s">
        <v>2841</v>
      </c>
      <c r="BC809">
        <v>6</v>
      </c>
      <c r="BD809" t="s">
        <v>2919</v>
      </c>
      <c r="BE809">
        <v>0</v>
      </c>
      <c r="BF809" s="232" t="s">
        <v>2846</v>
      </c>
      <c r="BG809" s="232" t="s">
        <v>2846</v>
      </c>
      <c r="BH809" s="253">
        <v>55.6</v>
      </c>
      <c r="BI809" s="253">
        <v>26.831148804934465</v>
      </c>
      <c r="BJ809" s="25">
        <v>23.595266308835676</v>
      </c>
      <c r="BK809" t="s">
        <v>379</v>
      </c>
      <c r="BL809">
        <v>0</v>
      </c>
      <c r="BM809" t="s">
        <v>377</v>
      </c>
      <c r="BN809" s="322">
        <v>15486.184707</v>
      </c>
      <c r="BO809" s="322">
        <v>644.600821</v>
      </c>
      <c r="BP809" s="10">
        <v>2873</v>
      </c>
      <c r="BQ809" s="254">
        <f t="shared" si="338"/>
        <v>5.3902487667942918</v>
      </c>
      <c r="BR809" s="254">
        <f t="shared" si="339"/>
        <v>0.22436506126000696</v>
      </c>
      <c r="BS809" s="25">
        <v>65.126437773176903</v>
      </c>
      <c r="BT809" s="25">
        <v>87.579164481958472</v>
      </c>
      <c r="BU809" s="25">
        <v>33.414707123355669</v>
      </c>
      <c r="BV809" s="25">
        <v>92.345398690198849</v>
      </c>
      <c r="BW809" s="25">
        <v>54.246735787437594</v>
      </c>
      <c r="BX809" s="25">
        <v>69.61642701717247</v>
      </c>
      <c r="BY809" s="25">
        <v>54.185552380355652</v>
      </c>
      <c r="BZ809">
        <v>75</v>
      </c>
      <c r="CA809">
        <v>0</v>
      </c>
      <c r="CB809">
        <v>7</v>
      </c>
      <c r="CC809">
        <v>10208.774778000001</v>
      </c>
      <c r="CD809" s="10">
        <v>0.12934399999999999</v>
      </c>
      <c r="CE809" s="255">
        <v>1.266988476214966E-5</v>
      </c>
      <c r="CF809">
        <f>IFERROR(VLOOKUP(CE809,'Rangos amb etnico'!$A$2:$C$6,3,9),"N.D.")</f>
        <v>0</v>
      </c>
      <c r="CG809" s="256">
        <v>3.7631045435791451E-9</v>
      </c>
      <c r="CH809" s="232">
        <v>0</v>
      </c>
      <c r="CI809" s="311">
        <f t="shared" si="346"/>
        <v>0</v>
      </c>
      <c r="CJ809" s="232">
        <f>IFERROR(VLOOKUP(CI809,'Rangos amb etnico'!$A$2:$C$6,3,9),"N.D.")</f>
        <v>0</v>
      </c>
      <c r="CK809" s="311">
        <f t="shared" si="347"/>
        <v>0</v>
      </c>
      <c r="CL809" s="10">
        <v>0</v>
      </c>
      <c r="CM809" s="255">
        <f t="shared" si="348"/>
        <v>0</v>
      </c>
      <c r="CN809" s="232">
        <f>IFERROR(VLOOKUP(CM809,'Rangos amb etnico'!$A$2:$C$6,3,9),"N.D.")</f>
        <v>0</v>
      </c>
      <c r="CO809" s="311">
        <f t="shared" si="349"/>
        <v>0</v>
      </c>
      <c r="CP809">
        <v>0.96434555464079108</v>
      </c>
      <c r="CQ809" t="s">
        <v>2864</v>
      </c>
      <c r="CR809">
        <f t="shared" si="340"/>
        <v>2</v>
      </c>
      <c r="CS809" t="str">
        <f t="shared" si="350"/>
        <v>No es Candidato</v>
      </c>
      <c r="CT809">
        <v>0</v>
      </c>
      <c r="CU809">
        <v>0</v>
      </c>
      <c r="CV809" s="25">
        <v>48.093856811523438</v>
      </c>
      <c r="CW809" s="25">
        <v>18.71068000793457</v>
      </c>
      <c r="CX809" s="25">
        <v>47.785324096679688</v>
      </c>
      <c r="CY809" s="25">
        <v>52.325305938720703</v>
      </c>
      <c r="CZ809" s="25">
        <v>33.131278991699219</v>
      </c>
      <c r="DA809" s="25">
        <v>90.671234130859375</v>
      </c>
      <c r="DB809" s="25">
        <v>45.939323425292969</v>
      </c>
      <c r="DC809">
        <v>24</v>
      </c>
      <c r="DD809" s="253" t="s">
        <v>380</v>
      </c>
    </row>
    <row r="810" spans="1:108" hidden="1">
      <c r="A810" s="13">
        <v>73347</v>
      </c>
      <c r="B810" s="13" t="s">
        <v>2044</v>
      </c>
      <c r="C810" s="13" t="s">
        <v>595</v>
      </c>
      <c r="D810" s="13" t="s">
        <v>596</v>
      </c>
      <c r="E810" s="13" t="s">
        <v>2045</v>
      </c>
      <c r="F810" s="14">
        <v>70.587733333333304</v>
      </c>
      <c r="G810" s="13">
        <v>35.67</v>
      </c>
      <c r="H810" s="13">
        <v>51.8</v>
      </c>
      <c r="I810" s="13">
        <v>67.099999999999994</v>
      </c>
      <c r="J810" s="14">
        <v>44.128823517917318</v>
      </c>
      <c r="K810" s="14">
        <v>59.543029479350807</v>
      </c>
      <c r="L810" s="14">
        <v>48.710960284458785</v>
      </c>
      <c r="M810" s="14">
        <v>41.080599999999997</v>
      </c>
      <c r="N810" s="14">
        <f t="shared" si="324"/>
        <v>56.289433333333328</v>
      </c>
      <c r="O810" s="14">
        <f t="shared" si="325"/>
        <v>48.365853320431732</v>
      </c>
      <c r="P810" s="14">
        <f t="shared" si="341"/>
        <v>52.32764332688253</v>
      </c>
      <c r="Q810" s="14">
        <v>61.247507341100814</v>
      </c>
      <c r="R810" s="17">
        <f t="shared" si="326"/>
        <v>38.752492658899186</v>
      </c>
      <c r="S810" s="14">
        <f t="shared" si="342"/>
        <v>0.4487724339300927</v>
      </c>
      <c r="T810" s="13">
        <v>0</v>
      </c>
      <c r="U810" s="13">
        <f t="shared" si="343"/>
        <v>23.483203857630848</v>
      </c>
      <c r="V810" s="13">
        <f>IF($T810=1,$AU810,(VLOOKUP(U810,'Cortes naturales'!$A$35:$C$39,3,9)))</f>
        <v>4</v>
      </c>
      <c r="W810" s="13">
        <v>4</v>
      </c>
      <c r="X810" s="14" t="b">
        <f t="shared" si="327"/>
        <v>1</v>
      </c>
      <c r="Y810" s="17">
        <f>IF($T810=1,$AU810,VLOOKUP(U810,'Cortes naturales'!$A$45:$C$49,3,9))</f>
        <v>4</v>
      </c>
      <c r="Z810" s="14">
        <v>53.843456323140565</v>
      </c>
      <c r="AA810" s="14">
        <v>0.46429252728533676</v>
      </c>
      <c r="AB810" s="14">
        <v>24.999114414048577</v>
      </c>
      <c r="AC810" s="13">
        <v>4</v>
      </c>
      <c r="AD810" s="13">
        <f t="shared" si="328"/>
        <v>0</v>
      </c>
      <c r="AE810" s="14">
        <f t="shared" si="329"/>
        <v>-1.5158129962580347</v>
      </c>
      <c r="AF810" s="14">
        <f t="shared" si="330"/>
        <v>-1.5520093355244069E-2</v>
      </c>
      <c r="AG810" s="13">
        <f t="shared" si="331"/>
        <v>-1.5159105564177295</v>
      </c>
      <c r="AH810" s="13">
        <f>IF($T810=1,$AU810,VLOOKUP(U810,'Cortes naturales'!$A$25:$C$29,3,9))</f>
        <v>4</v>
      </c>
      <c r="AI810" s="13" t="b">
        <f t="shared" si="332"/>
        <v>1</v>
      </c>
      <c r="AJ810" s="13">
        <f t="shared" si="333"/>
        <v>0</v>
      </c>
      <c r="AK810" s="28">
        <v>0.6523467210059386</v>
      </c>
      <c r="AL810" s="28">
        <v>35.124602180027217</v>
      </c>
      <c r="AM810" s="28">
        <v>0.26874573660959911</v>
      </c>
      <c r="AN810" s="13">
        <v>4</v>
      </c>
      <c r="AO810" s="33">
        <f t="shared" si="334"/>
        <v>0</v>
      </c>
      <c r="AP810" s="13">
        <f t="shared" si="344"/>
        <v>26.874573660959911</v>
      </c>
      <c r="AQ810" s="13">
        <f>IFERROR(VLOOKUP(U810,'Cortes naturales'!$E$15:$G$19,3,9),U810)</f>
        <v>4</v>
      </c>
      <c r="AR810" s="28">
        <f t="shared" si="335"/>
        <v>-0.20357428707584591</v>
      </c>
      <c r="AS810" s="13" t="b">
        <f t="shared" si="336"/>
        <v>1</v>
      </c>
      <c r="AT810" s="13">
        <f t="shared" si="345"/>
        <v>0</v>
      </c>
      <c r="AU810" s="13">
        <v>4</v>
      </c>
      <c r="AV810">
        <f t="shared" si="337"/>
        <v>0</v>
      </c>
      <c r="AW810" s="13">
        <v>0</v>
      </c>
      <c r="AX810" s="13">
        <v>0</v>
      </c>
      <c r="AY810" s="13">
        <v>0</v>
      </c>
      <c r="AZ810" s="13">
        <v>0</v>
      </c>
      <c r="BA810">
        <v>1</v>
      </c>
      <c r="BB810" t="s">
        <v>2840</v>
      </c>
      <c r="BC810">
        <v>6</v>
      </c>
      <c r="BD810" t="s">
        <v>2919</v>
      </c>
      <c r="BE810">
        <v>0</v>
      </c>
      <c r="BF810" s="232" t="s">
        <v>2846</v>
      </c>
      <c r="BG810" s="232" t="s">
        <v>2846</v>
      </c>
      <c r="BH810" s="253">
        <v>54</v>
      </c>
      <c r="BI810" s="253">
        <v>15.673636220720013</v>
      </c>
      <c r="BJ810" s="25">
        <v>14.454285714285716</v>
      </c>
      <c r="BK810" t="s">
        <v>379</v>
      </c>
      <c r="BL810">
        <v>4.7832128456810068</v>
      </c>
      <c r="BM810" t="s">
        <v>383</v>
      </c>
      <c r="BN810" s="322">
        <v>18838.858198999998</v>
      </c>
      <c r="BO810" s="322">
        <v>3033.3067470000001</v>
      </c>
      <c r="BP810" s="10">
        <v>7598</v>
      </c>
      <c r="BQ810" s="254">
        <f t="shared" si="338"/>
        <v>2.4794496181889971</v>
      </c>
      <c r="BR810" s="254">
        <f t="shared" si="339"/>
        <v>0.39922436785996318</v>
      </c>
      <c r="BS810" s="25">
        <v>61.107495748018628</v>
      </c>
      <c r="BT810" s="25">
        <v>78.806428313591297</v>
      </c>
      <c r="BU810" s="25">
        <v>39.833333333333343</v>
      </c>
      <c r="BV810" s="25">
        <v>91.938441328844462</v>
      </c>
      <c r="BW810" s="25">
        <v>55.651107111834477</v>
      </c>
      <c r="BX810" s="25">
        <v>67.921424680946927</v>
      </c>
      <c r="BY810" s="25">
        <v>54.469004070540542</v>
      </c>
      <c r="BZ810">
        <v>89</v>
      </c>
      <c r="CA810">
        <v>0</v>
      </c>
      <c r="CB810">
        <v>7</v>
      </c>
      <c r="CC810">
        <v>32253.847441000002</v>
      </c>
      <c r="CD810" s="10">
        <v>20750.759314999999</v>
      </c>
      <c r="CE810" s="255">
        <v>0.64335764447816957</v>
      </c>
      <c r="CF810" t="str">
        <f>IFERROR(VLOOKUP(CE810,'Rangos amb etnico'!$A$2:$C$6,3,9),"N.D.")</f>
        <v>51% - 70%</v>
      </c>
      <c r="CG810" s="256">
        <v>6.0371781188917745E-4</v>
      </c>
      <c r="CH810" s="232">
        <v>0</v>
      </c>
      <c r="CI810" s="311">
        <f t="shared" si="346"/>
        <v>0</v>
      </c>
      <c r="CJ810" s="232">
        <f>IFERROR(VLOOKUP(CI810,'Rangos amb etnico'!$A$2:$C$6,3,9),"N.D.")</f>
        <v>0</v>
      </c>
      <c r="CK810" s="311">
        <f t="shared" si="347"/>
        <v>0</v>
      </c>
      <c r="CL810" s="10">
        <v>0</v>
      </c>
      <c r="CM810" s="255">
        <f t="shared" si="348"/>
        <v>0</v>
      </c>
      <c r="CN810" s="232">
        <f>IFERROR(VLOOKUP(CM810,'Rangos amb etnico'!$A$2:$C$6,3,9),"N.D.")</f>
        <v>0</v>
      </c>
      <c r="CO810" s="311">
        <f t="shared" si="349"/>
        <v>0</v>
      </c>
      <c r="CP810">
        <v>0.88884510445619536</v>
      </c>
      <c r="CQ810" t="s">
        <v>2864</v>
      </c>
      <c r="CR810">
        <f t="shared" si="340"/>
        <v>2</v>
      </c>
      <c r="CS810" t="str">
        <f t="shared" si="350"/>
        <v>No es Candidato</v>
      </c>
      <c r="CT810">
        <v>0</v>
      </c>
      <c r="CU810">
        <v>0</v>
      </c>
      <c r="CV810" s="25">
        <v>43.523685455322273</v>
      </c>
      <c r="CW810" s="25">
        <v>19.735759735107418</v>
      </c>
      <c r="CX810" s="25">
        <v>49.718032836914063</v>
      </c>
      <c r="CY810" s="25">
        <v>56.495620727539063</v>
      </c>
      <c r="CZ810" s="25">
        <v>46.649848937988281</v>
      </c>
      <c r="DA810" s="25">
        <v>28.890632629394531</v>
      </c>
      <c r="DB810" s="25">
        <v>59.652229309082031</v>
      </c>
      <c r="DC810">
        <v>61</v>
      </c>
      <c r="DD810" s="253" t="s">
        <v>380</v>
      </c>
    </row>
    <row r="811" spans="1:108">
      <c r="A811" s="13">
        <v>5031</v>
      </c>
      <c r="B811" s="13" t="s">
        <v>2046</v>
      </c>
      <c r="C811" s="13" t="s">
        <v>435</v>
      </c>
      <c r="D811" s="13" t="s">
        <v>436</v>
      </c>
      <c r="E811" s="13" t="s">
        <v>2047</v>
      </c>
      <c r="F811" s="14">
        <v>66.778866666666701</v>
      </c>
      <c r="G811" s="13">
        <v>66.45</v>
      </c>
      <c r="H811" s="13">
        <v>65.510000000000005</v>
      </c>
      <c r="I811" s="13">
        <v>70.040000000000006</v>
      </c>
      <c r="J811" s="14">
        <v>48.900737281168695</v>
      </c>
      <c r="K811" s="14">
        <v>52.719981991008041</v>
      </c>
      <c r="L811" s="14">
        <v>60.461409168991551</v>
      </c>
      <c r="M811" s="14">
        <v>47.802100000000003</v>
      </c>
      <c r="N811" s="14">
        <f t="shared" si="324"/>
        <v>67.194716666666679</v>
      </c>
      <c r="O811" s="14">
        <f t="shared" si="325"/>
        <v>52.471057110292065</v>
      </c>
      <c r="P811" s="14">
        <f t="shared" si="341"/>
        <v>59.832886888479372</v>
      </c>
      <c r="Q811" s="14">
        <v>59.740053941729862</v>
      </c>
      <c r="R811" s="17">
        <f t="shared" si="326"/>
        <v>40.259946058270138</v>
      </c>
      <c r="S811" s="14">
        <f t="shared" si="342"/>
        <v>0.46233951452443123</v>
      </c>
      <c r="T811" s="13">
        <v>0</v>
      </c>
      <c r="U811" s="13">
        <f t="shared" si="343"/>
        <v>27.66310787661476</v>
      </c>
      <c r="V811" s="13">
        <f>IF($T811=1,$AU811,(VLOOKUP(U811,'Cortes naturales'!$A$35:$C$39,3,9)))</f>
        <v>4</v>
      </c>
      <c r="W811" s="13">
        <v>4</v>
      </c>
      <c r="X811" s="14" t="b">
        <f t="shared" si="327"/>
        <v>1</v>
      </c>
      <c r="Y811" s="17">
        <f>IF($T811=1,$AU811,VLOOKUP(U811,'Cortes naturales'!$A$45:$C$49,3,9))</f>
        <v>4</v>
      </c>
      <c r="Z811" s="14">
        <v>58.673568310030106</v>
      </c>
      <c r="AA811" s="14">
        <v>0.4644131956261196</v>
      </c>
      <c r="AB811" s="14">
        <v>27.248779357648502</v>
      </c>
      <c r="AC811" s="13">
        <v>4</v>
      </c>
      <c r="AD811" s="13">
        <f t="shared" si="328"/>
        <v>0</v>
      </c>
      <c r="AE811" s="14">
        <f t="shared" si="329"/>
        <v>1.1593185784492661</v>
      </c>
      <c r="AF811" s="14">
        <f t="shared" si="330"/>
        <v>-2.0736811016883738E-3</v>
      </c>
      <c r="AG811" s="13">
        <f t="shared" si="331"/>
        <v>0.41432851896625777</v>
      </c>
      <c r="AH811" s="13">
        <f>IF($T811=1,$AU811,VLOOKUP(U811,'Cortes naturales'!$A$25:$C$29,3,9))</f>
        <v>4</v>
      </c>
      <c r="AI811" s="13" t="b">
        <f t="shared" si="332"/>
        <v>1</v>
      </c>
      <c r="AJ811" s="13">
        <f t="shared" si="333"/>
        <v>0</v>
      </c>
      <c r="AK811" s="28">
        <v>0.6523467210059386</v>
      </c>
      <c r="AL811" s="28">
        <v>38.275509896766089</v>
      </c>
      <c r="AM811" s="28">
        <v>0.30816027077619973</v>
      </c>
      <c r="AN811" s="13">
        <v>4</v>
      </c>
      <c r="AO811" s="33">
        <f t="shared" si="334"/>
        <v>0</v>
      </c>
      <c r="AP811" s="13">
        <f t="shared" si="344"/>
        <v>30.816027077619975</v>
      </c>
      <c r="AQ811" s="13">
        <f>IFERROR(VLOOKUP(U811,'Cortes naturales'!$E$15:$G$19,3,9),U811)</f>
        <v>4</v>
      </c>
      <c r="AR811" s="28">
        <f t="shared" si="335"/>
        <v>-0.19000720648150737</v>
      </c>
      <c r="AS811" s="13" t="b">
        <f t="shared" si="336"/>
        <v>1</v>
      </c>
      <c r="AT811" s="13">
        <f t="shared" si="345"/>
        <v>0</v>
      </c>
      <c r="AU811" s="13">
        <v>4</v>
      </c>
      <c r="AV811">
        <f t="shared" si="337"/>
        <v>0</v>
      </c>
      <c r="AW811" s="13">
        <v>0</v>
      </c>
      <c r="AX811" s="13">
        <v>0</v>
      </c>
      <c r="AY811" s="13">
        <v>0</v>
      </c>
      <c r="AZ811" s="13">
        <v>1</v>
      </c>
      <c r="BA811">
        <v>1</v>
      </c>
      <c r="BB811" t="s">
        <v>2840</v>
      </c>
      <c r="BC811">
        <v>6</v>
      </c>
      <c r="BD811" t="s">
        <v>2919</v>
      </c>
      <c r="BE811">
        <v>0</v>
      </c>
      <c r="BF811" s="232" t="s">
        <v>2846</v>
      </c>
      <c r="BG811" s="232" t="s">
        <v>2845</v>
      </c>
      <c r="BH811" s="253">
        <v>43.3</v>
      </c>
      <c r="BI811" s="253">
        <v>22.377240454793704</v>
      </c>
      <c r="BJ811" s="25">
        <v>35.51966645119586</v>
      </c>
      <c r="BK811" t="s">
        <v>376</v>
      </c>
      <c r="BL811">
        <v>8.8160731117068103</v>
      </c>
      <c r="BM811" t="s">
        <v>379</v>
      </c>
      <c r="BN811" s="322">
        <v>53304.726361000001</v>
      </c>
      <c r="BO811" s="322">
        <v>8101.156559</v>
      </c>
      <c r="BP811" s="10">
        <v>28716</v>
      </c>
      <c r="BQ811" s="254">
        <f t="shared" si="338"/>
        <v>1.8562726828597298</v>
      </c>
      <c r="BR811" s="254">
        <f t="shared" si="339"/>
        <v>0.28211298784649674</v>
      </c>
      <c r="BS811" s="25">
        <v>54.81194298425833</v>
      </c>
      <c r="BT811" s="25">
        <v>87.909647497794495</v>
      </c>
      <c r="BU811" s="25">
        <v>45.559926481734102</v>
      </c>
      <c r="BV811" s="25">
        <v>82.877774642239444</v>
      </c>
      <c r="BW811" s="25">
        <v>58.239653800602682</v>
      </c>
      <c r="BX811" s="25">
        <v>67.789822901506597</v>
      </c>
      <c r="BY811" s="25">
        <v>57.85790179902731</v>
      </c>
      <c r="BZ811">
        <v>72</v>
      </c>
      <c r="CA811">
        <v>0</v>
      </c>
      <c r="CB811">
        <v>6</v>
      </c>
      <c r="CC811">
        <v>120834.621581</v>
      </c>
      <c r="CD811" s="10">
        <v>2056.0796340000002</v>
      </c>
      <c r="CE811" s="255">
        <v>1.7015650043822352E-2</v>
      </c>
      <c r="CF811" t="str">
        <f>IFERROR(VLOOKUP(CE811,'Rangos amb etnico'!$A$2:$C$6,3,9),"N.D.")</f>
        <v>0,1% - 30%</v>
      </c>
      <c r="CG811" s="256">
        <v>5.9819107284960624E-5</v>
      </c>
      <c r="CH811" s="232">
        <v>2.7417E-2</v>
      </c>
      <c r="CI811" s="311">
        <f t="shared" si="346"/>
        <v>2.2689689131538639E-7</v>
      </c>
      <c r="CJ811" s="232">
        <f>IFERROR(VLOOKUP(CI811,'Rangos amb etnico'!$A$2:$C$6,3,9),"N.D.")</f>
        <v>0</v>
      </c>
      <c r="CK811" s="311">
        <f t="shared" si="347"/>
        <v>1.088634404595638E-9</v>
      </c>
      <c r="CL811" s="10">
        <v>0</v>
      </c>
      <c r="CM811" s="255">
        <f t="shared" si="348"/>
        <v>0</v>
      </c>
      <c r="CN811" s="232">
        <f>IFERROR(VLOOKUP(CM811,'Rangos amb etnico'!$A$2:$C$6,3,9),"N.D.")</f>
        <v>0</v>
      </c>
      <c r="CO811" s="311">
        <f t="shared" si="349"/>
        <v>0</v>
      </c>
      <c r="CP811">
        <v>0.91423817321419443</v>
      </c>
      <c r="CQ811" t="s">
        <v>2864</v>
      </c>
      <c r="CR811">
        <f t="shared" si="340"/>
        <v>2</v>
      </c>
      <c r="CS811" t="str">
        <f t="shared" si="350"/>
        <v>No es Candidato</v>
      </c>
      <c r="CT811">
        <v>0</v>
      </c>
      <c r="CU811">
        <v>0</v>
      </c>
      <c r="CV811" s="25">
        <v>41.049896240234382</v>
      </c>
      <c r="CW811" s="25">
        <v>24.044452667236332</v>
      </c>
      <c r="CX811" s="25">
        <v>37.277164459228523</v>
      </c>
      <c r="CY811" s="25">
        <v>50.699806213378913</v>
      </c>
      <c r="CZ811" s="25">
        <v>29.86696624755859</v>
      </c>
      <c r="DA811" s="25">
        <v>58.489463806152337</v>
      </c>
      <c r="DB811" s="25">
        <v>45.921520233154297</v>
      </c>
      <c r="DC811">
        <v>445</v>
      </c>
      <c r="DD811" s="253" t="s">
        <v>380</v>
      </c>
    </row>
    <row r="812" spans="1:108" hidden="1">
      <c r="A812" s="13">
        <v>73563</v>
      </c>
      <c r="B812" s="13" t="s">
        <v>2048</v>
      </c>
      <c r="C812" s="13" t="s">
        <v>595</v>
      </c>
      <c r="D812" s="13" t="s">
        <v>596</v>
      </c>
      <c r="E812" s="13" t="s">
        <v>2049</v>
      </c>
      <c r="F812" s="14">
        <v>57.491966666666698</v>
      </c>
      <c r="G812" s="13">
        <v>57.6</v>
      </c>
      <c r="H812" s="13">
        <v>55.94</v>
      </c>
      <c r="I812" s="13">
        <v>61.56</v>
      </c>
      <c r="J812" s="14">
        <v>55.819891576876664</v>
      </c>
      <c r="K812" s="14">
        <v>57.67170116588801</v>
      </c>
      <c r="L812" s="14">
        <v>65.699644776250977</v>
      </c>
      <c r="M812" s="14">
        <v>52.450800000000001</v>
      </c>
      <c r="N812" s="14">
        <f t="shared" si="324"/>
        <v>58.147991666666677</v>
      </c>
      <c r="O812" s="14">
        <f t="shared" si="325"/>
        <v>57.910509379753918</v>
      </c>
      <c r="P812" s="14">
        <f t="shared" si="341"/>
        <v>58.029250523210294</v>
      </c>
      <c r="Q812" s="14">
        <v>60.595732262494863</v>
      </c>
      <c r="R812" s="17">
        <f t="shared" si="326"/>
        <v>39.404267737505137</v>
      </c>
      <c r="S812" s="14">
        <f t="shared" si="342"/>
        <v>0.45463840963754631</v>
      </c>
      <c r="T812" s="13">
        <v>0</v>
      </c>
      <c r="U812" s="13">
        <f t="shared" si="343"/>
        <v>26.38232617033108</v>
      </c>
      <c r="V812" s="13">
        <f>IF($T812=1,$AU812,(VLOOKUP(U812,'Cortes naturales'!$A$35:$C$39,3,9)))</f>
        <v>4</v>
      </c>
      <c r="W812" s="13">
        <v>4</v>
      </c>
      <c r="X812" s="14" t="b">
        <f t="shared" si="327"/>
        <v>1</v>
      </c>
      <c r="Y812" s="17">
        <f>IF($T812=1,$AU812,VLOOKUP(U812,'Cortes naturales'!$A$45:$C$49,3,9))</f>
        <v>4</v>
      </c>
      <c r="Z812" s="14">
        <v>56.694176205574323</v>
      </c>
      <c r="AA812" s="14">
        <v>0.46239602839245209</v>
      </c>
      <c r="AB812" s="14">
        <v>26.215161910439427</v>
      </c>
      <c r="AC812" s="13">
        <v>4</v>
      </c>
      <c r="AD812" s="13">
        <f t="shared" si="328"/>
        <v>0</v>
      </c>
      <c r="AE812" s="14">
        <f t="shared" si="329"/>
        <v>1.3350743176359714</v>
      </c>
      <c r="AF812" s="14">
        <f t="shared" si="330"/>
        <v>-7.7576187549057707E-3</v>
      </c>
      <c r="AG812" s="13">
        <f t="shared" si="331"/>
        <v>0.16716425989165273</v>
      </c>
      <c r="AH812" s="13">
        <f>IF($T812=1,$AU812,VLOOKUP(U812,'Cortes naturales'!$A$25:$C$29,3,9))</f>
        <v>4</v>
      </c>
      <c r="AI812" s="13" t="b">
        <f t="shared" si="332"/>
        <v>1</v>
      </c>
      <c r="AJ812" s="13">
        <f t="shared" si="333"/>
        <v>0</v>
      </c>
      <c r="AK812" s="28">
        <v>0.6523467210059386</v>
      </c>
      <c r="AL812" s="28">
        <v>36.984259947839313</v>
      </c>
      <c r="AM812" s="28">
        <v>0.2920080950208685</v>
      </c>
      <c r="AN812" s="13">
        <v>4</v>
      </c>
      <c r="AO812" s="33">
        <f t="shared" si="334"/>
        <v>0</v>
      </c>
      <c r="AP812" s="13">
        <f t="shared" si="344"/>
        <v>29.200809502086848</v>
      </c>
      <c r="AQ812" s="13">
        <f>IFERROR(VLOOKUP(U812,'Cortes naturales'!$E$15:$G$19,3,9),U812)</f>
        <v>4</v>
      </c>
      <c r="AR812" s="28">
        <f t="shared" si="335"/>
        <v>-0.19770831136839229</v>
      </c>
      <c r="AS812" s="13" t="b">
        <f t="shared" si="336"/>
        <v>1</v>
      </c>
      <c r="AT812" s="13">
        <f t="shared" si="345"/>
        <v>0</v>
      </c>
      <c r="AU812" s="13">
        <v>4</v>
      </c>
      <c r="AV812">
        <f t="shared" si="337"/>
        <v>0</v>
      </c>
      <c r="AW812" s="13">
        <v>0</v>
      </c>
      <c r="AX812" s="13">
        <v>0</v>
      </c>
      <c r="AY812" s="13">
        <v>0</v>
      </c>
      <c r="AZ812" s="13">
        <v>0</v>
      </c>
      <c r="BA812">
        <v>1</v>
      </c>
      <c r="BB812" t="s">
        <v>2840</v>
      </c>
      <c r="BC812">
        <v>6</v>
      </c>
      <c r="BD812" t="s">
        <v>2919</v>
      </c>
      <c r="BE812">
        <v>0</v>
      </c>
      <c r="BF812" s="232" t="s">
        <v>2846</v>
      </c>
      <c r="BG812" s="232" t="s">
        <v>2845</v>
      </c>
      <c r="BH812" s="253">
        <v>36.6</v>
      </c>
      <c r="BI812" s="253">
        <v>17.711896617255796</v>
      </c>
      <c r="BJ812" s="25">
        <v>4.4298636162872596</v>
      </c>
      <c r="BK812" t="s">
        <v>381</v>
      </c>
      <c r="BL812">
        <v>1.0326924567439217</v>
      </c>
      <c r="BM812" t="s">
        <v>383</v>
      </c>
      <c r="BN812" s="322">
        <v>21442.978421</v>
      </c>
      <c r="BO812" s="322">
        <v>3827.1116400000001</v>
      </c>
      <c r="BP812" s="10">
        <v>8623</v>
      </c>
      <c r="BQ812" s="254">
        <f t="shared" si="338"/>
        <v>2.4867190561289574</v>
      </c>
      <c r="BR812" s="254">
        <f t="shared" si="339"/>
        <v>0.44382600487069468</v>
      </c>
      <c r="BS812" s="25">
        <v>61.378473879097299</v>
      </c>
      <c r="BT812" s="25">
        <v>89.834041845065528</v>
      </c>
      <c r="BU812" s="25">
        <v>40.032934214148071</v>
      </c>
      <c r="BV812" s="25">
        <v>87.482152612882032</v>
      </c>
      <c r="BW812" s="25">
        <v>53.717917694268607</v>
      </c>
      <c r="BX812" s="25">
        <v>69.681900637798236</v>
      </c>
      <c r="BY812" s="25">
        <v>55.309985838153523</v>
      </c>
      <c r="BZ812">
        <v>23</v>
      </c>
      <c r="CA812">
        <v>0</v>
      </c>
      <c r="CB812">
        <v>7</v>
      </c>
      <c r="CC812">
        <v>42270.726897</v>
      </c>
      <c r="CD812" s="10">
        <v>2972.533379</v>
      </c>
      <c r="CE812" s="255">
        <v>7.0321321567123646E-2</v>
      </c>
      <c r="CF812" t="str">
        <f>IFERROR(VLOOKUP(CE812,'Rangos amb etnico'!$A$2:$C$6,3,9),"N.D.")</f>
        <v>0,1% - 30%</v>
      </c>
      <c r="CG812" s="256">
        <v>8.6482201450825466E-5</v>
      </c>
      <c r="CH812" s="232">
        <v>520.62005199999999</v>
      </c>
      <c r="CI812" s="311">
        <f t="shared" si="346"/>
        <v>1.231632598295699E-2</v>
      </c>
      <c r="CJ812" s="232" t="str">
        <f>IFERROR(VLOOKUP(CI812,'Rangos amb etnico'!$A$2:$C$6,3,9),"N.D.")</f>
        <v>0,1% - 30%</v>
      </c>
      <c r="CK812" s="311">
        <f t="shared" si="347"/>
        <v>2.0672024668255832E-5</v>
      </c>
      <c r="CL812" s="10">
        <v>0</v>
      </c>
      <c r="CM812" s="255">
        <f t="shared" si="348"/>
        <v>0</v>
      </c>
      <c r="CN812" s="232">
        <f>IFERROR(VLOOKUP(CM812,'Rangos amb etnico'!$A$2:$C$6,3,9),"N.D.")</f>
        <v>0</v>
      </c>
      <c r="CO812" s="311">
        <f t="shared" si="349"/>
        <v>0</v>
      </c>
      <c r="CP812">
        <v>0.91117926963014662</v>
      </c>
      <c r="CQ812" t="s">
        <v>2864</v>
      </c>
      <c r="CR812">
        <f t="shared" si="340"/>
        <v>2</v>
      </c>
      <c r="CS812" t="str">
        <f t="shared" si="350"/>
        <v>No es Candidato</v>
      </c>
      <c r="CT812">
        <v>0</v>
      </c>
      <c r="CU812">
        <v>0</v>
      </c>
      <c r="CV812" s="25">
        <v>42.676258087158203</v>
      </c>
      <c r="CW812" s="25">
        <v>22.961441040039059</v>
      </c>
      <c r="CX812" s="25">
        <v>44.884387969970703</v>
      </c>
      <c r="CY812" s="25">
        <v>60.057708740234382</v>
      </c>
      <c r="CZ812" s="25">
        <v>26.62657356262207</v>
      </c>
      <c r="DA812" s="25">
        <v>56.701141357421882</v>
      </c>
      <c r="DB812" s="25">
        <v>44.8262939453125</v>
      </c>
      <c r="DC812">
        <v>493</v>
      </c>
      <c r="DD812" s="253" t="s">
        <v>380</v>
      </c>
    </row>
    <row r="813" spans="1:108" hidden="1">
      <c r="A813" s="13">
        <v>15425</v>
      </c>
      <c r="B813" s="13" t="s">
        <v>2050</v>
      </c>
      <c r="C813" s="13" t="s">
        <v>498</v>
      </c>
      <c r="D813" s="13" t="s">
        <v>499</v>
      </c>
      <c r="E813" s="13" t="s">
        <v>2051</v>
      </c>
      <c r="F813" s="14">
        <v>73.093866666666699</v>
      </c>
      <c r="G813" s="13">
        <v>75.03</v>
      </c>
      <c r="H813" s="13">
        <v>75.44</v>
      </c>
      <c r="I813" s="13">
        <v>75.52</v>
      </c>
      <c r="J813" s="14">
        <v>60.108153325333305</v>
      </c>
      <c r="K813" s="14">
        <v>82.908132551957024</v>
      </c>
      <c r="L813" s="14">
        <v>68.322765351800811</v>
      </c>
      <c r="M813" s="14">
        <v>63.445900000000002</v>
      </c>
      <c r="N813" s="14">
        <f t="shared" si="324"/>
        <v>74.770966666666666</v>
      </c>
      <c r="O813" s="14">
        <f t="shared" si="325"/>
        <v>68.69623780727278</v>
      </c>
      <c r="P813" s="14">
        <f t="shared" si="341"/>
        <v>71.733602236969716</v>
      </c>
      <c r="Q813" s="14">
        <v>60.606360513380622</v>
      </c>
      <c r="R813" s="17">
        <f t="shared" si="326"/>
        <v>39.393639486619378</v>
      </c>
      <c r="S813" s="14">
        <f t="shared" si="342"/>
        <v>0.45454275537957445</v>
      </c>
      <c r="T813" s="13">
        <v>0</v>
      </c>
      <c r="U813" s="13">
        <f t="shared" si="343"/>
        <v>32.60598921409462</v>
      </c>
      <c r="V813" s="13">
        <f>IF($T813=1,$AU813,(VLOOKUP(U813,'Cortes naturales'!$A$35:$C$39,3,9)))</f>
        <v>3</v>
      </c>
      <c r="W813" s="13">
        <v>3</v>
      </c>
      <c r="X813" s="14" t="b">
        <f t="shared" si="327"/>
        <v>1</v>
      </c>
      <c r="Y813" s="17">
        <f>IF($T813=1,$AU813,VLOOKUP(U813,'Cortes naturales'!$A$45:$C$49,3,9))</f>
        <v>3</v>
      </c>
      <c r="Z813" s="14">
        <v>69.60557261662882</v>
      </c>
      <c r="AA813" s="14">
        <v>0.46118764210148666</v>
      </c>
      <c r="AB813" s="14">
        <v>32.101229912186852</v>
      </c>
      <c r="AC813" s="13">
        <v>3</v>
      </c>
      <c r="AD813" s="13">
        <f t="shared" si="328"/>
        <v>0</v>
      </c>
      <c r="AE813" s="14">
        <f t="shared" si="329"/>
        <v>2.1280296203408966</v>
      </c>
      <c r="AF813" s="14">
        <f t="shared" si="330"/>
        <v>-6.6448867219122132E-3</v>
      </c>
      <c r="AG813" s="13">
        <f t="shared" si="331"/>
        <v>0.50475930190776808</v>
      </c>
      <c r="AH813" s="13">
        <f>IF($T813=1,$AU813,VLOOKUP(U813,'Cortes naturales'!$A$25:$C$29,3,9))</f>
        <v>3</v>
      </c>
      <c r="AI813" s="13" t="b">
        <f t="shared" si="332"/>
        <v>1</v>
      </c>
      <c r="AJ813" s="13">
        <f t="shared" si="333"/>
        <v>0</v>
      </c>
      <c r="AK813" s="28">
        <v>0.6523467210059386</v>
      </c>
      <c r="AL813" s="28">
        <v>45.406967060198561</v>
      </c>
      <c r="AM813" s="28">
        <v>0.39736728262631937</v>
      </c>
      <c r="AN813" s="13">
        <v>3</v>
      </c>
      <c r="AO813" s="33">
        <f t="shared" si="334"/>
        <v>0</v>
      </c>
      <c r="AP813" s="13">
        <f t="shared" si="344"/>
        <v>39.736728262631935</v>
      </c>
      <c r="AQ813" s="13">
        <f>IFERROR(VLOOKUP(U813,'Cortes naturales'!$E$15:$G$19,3,9),U813)</f>
        <v>4</v>
      </c>
      <c r="AR813" s="28">
        <f t="shared" si="335"/>
        <v>-0.19780396562636415</v>
      </c>
      <c r="AS813" s="13" t="b">
        <f t="shared" si="336"/>
        <v>0</v>
      </c>
      <c r="AT813" s="13">
        <f t="shared" si="345"/>
        <v>0</v>
      </c>
      <c r="AU813" s="13">
        <v>3</v>
      </c>
      <c r="AV813">
        <f t="shared" si="337"/>
        <v>0</v>
      </c>
      <c r="AW813" s="13">
        <v>0</v>
      </c>
      <c r="AX813" s="13">
        <v>0</v>
      </c>
      <c r="AY813" s="13">
        <v>0</v>
      </c>
      <c r="AZ813" s="13">
        <v>0</v>
      </c>
      <c r="BA813">
        <v>0</v>
      </c>
      <c r="BB813" t="s">
        <v>2841</v>
      </c>
      <c r="BC813">
        <v>6</v>
      </c>
      <c r="BD813" t="s">
        <v>2919</v>
      </c>
      <c r="BE813">
        <v>0</v>
      </c>
      <c r="BF813" s="232" t="s">
        <v>2846</v>
      </c>
      <c r="BG813" s="232" t="s">
        <v>2846</v>
      </c>
      <c r="BH813" s="253">
        <v>28.9</v>
      </c>
      <c r="BI813" s="253">
        <v>7.8782707622298069</v>
      </c>
      <c r="BJ813" s="25">
        <v>52.407226890756313</v>
      </c>
      <c r="BK813" t="s">
        <v>376</v>
      </c>
      <c r="BL813">
        <v>0</v>
      </c>
      <c r="BM813" t="s">
        <v>377</v>
      </c>
      <c r="BN813" s="322">
        <v>21532.173698999999</v>
      </c>
      <c r="BO813" s="322">
        <v>2444.662194</v>
      </c>
      <c r="BP813" s="10">
        <v>5314</v>
      </c>
      <c r="BQ813" s="254">
        <f t="shared" si="338"/>
        <v>4.0519709633044787</v>
      </c>
      <c r="BR813" s="254">
        <f t="shared" si="339"/>
        <v>0.46004181294693264</v>
      </c>
      <c r="BS813" s="25">
        <v>57.870196324143699</v>
      </c>
      <c r="BT813" s="25">
        <v>82.215166862376122</v>
      </c>
      <c r="BU813" s="25">
        <v>34.091338172752607</v>
      </c>
      <c r="BV813" s="25">
        <v>94.151566623866586</v>
      </c>
      <c r="BW813" s="25">
        <v>65.047066707618328</v>
      </c>
      <c r="BX813" s="25">
        <v>67.082066995784757</v>
      </c>
      <c r="BY813" s="25">
        <v>65.596349541931616</v>
      </c>
      <c r="BZ813">
        <v>98</v>
      </c>
      <c r="CA813">
        <v>0</v>
      </c>
      <c r="CB813">
        <v>7</v>
      </c>
      <c r="CC813">
        <v>19961.414895000002</v>
      </c>
      <c r="CD813" s="10">
        <v>7238.3324929999999</v>
      </c>
      <c r="CE813" s="255">
        <v>0.36261620386504168</v>
      </c>
      <c r="CF813" t="str">
        <f>IFERROR(VLOOKUP(CE813,'Rangos amb etnico'!$A$2:$C$6,3,9),"N.D.")</f>
        <v>31% - 50%</v>
      </c>
      <c r="CG813" s="256">
        <v>2.1059037831167168E-4</v>
      </c>
      <c r="CH813" s="232">
        <v>0</v>
      </c>
      <c r="CI813" s="311">
        <f t="shared" si="346"/>
        <v>0</v>
      </c>
      <c r="CJ813" s="232">
        <f>IFERROR(VLOOKUP(CI813,'Rangos amb etnico'!$A$2:$C$6,3,9),"N.D.")</f>
        <v>0</v>
      </c>
      <c r="CK813" s="311">
        <f t="shared" si="347"/>
        <v>0</v>
      </c>
      <c r="CL813" s="10">
        <v>0</v>
      </c>
      <c r="CM813" s="255">
        <f t="shared" si="348"/>
        <v>0</v>
      </c>
      <c r="CN813" s="232">
        <f>IFERROR(VLOOKUP(CM813,'Rangos amb etnico'!$A$2:$C$6,3,9),"N.D.")</f>
        <v>0</v>
      </c>
      <c r="CO813" s="311">
        <f t="shared" si="349"/>
        <v>0</v>
      </c>
      <c r="CP813">
        <v>0.88376281302493176</v>
      </c>
      <c r="CQ813" t="s">
        <v>2864</v>
      </c>
      <c r="CR813">
        <f t="shared" si="340"/>
        <v>4</v>
      </c>
      <c r="CS813" t="str">
        <f t="shared" si="350"/>
        <v>Candidato</v>
      </c>
      <c r="CT813">
        <v>0</v>
      </c>
      <c r="CU813">
        <v>0</v>
      </c>
      <c r="CV813" s="25">
        <v>46.888828277587891</v>
      </c>
      <c r="CW813" s="25">
        <v>8.3137598037719727</v>
      </c>
      <c r="CX813" s="25">
        <v>49.190517425537109</v>
      </c>
      <c r="CY813" s="25">
        <v>51.691337585449219</v>
      </c>
      <c r="CZ813" s="25">
        <v>32.231903076171882</v>
      </c>
      <c r="DA813" s="25">
        <v>74.570213317871094</v>
      </c>
      <c r="DB813" s="25">
        <v>65.335243225097656</v>
      </c>
      <c r="DC813">
        <v>50</v>
      </c>
      <c r="DD813" s="253" t="s">
        <v>380</v>
      </c>
    </row>
    <row r="814" spans="1:108" hidden="1">
      <c r="A814" s="13">
        <v>41518</v>
      </c>
      <c r="B814" s="13" t="s">
        <v>2052</v>
      </c>
      <c r="C814" s="13" t="s">
        <v>676</v>
      </c>
      <c r="D814" s="13" t="s">
        <v>677</v>
      </c>
      <c r="E814" s="13" t="s">
        <v>2053</v>
      </c>
      <c r="F814" s="14">
        <v>61.004466666666701</v>
      </c>
      <c r="G814" s="13">
        <v>77.11</v>
      </c>
      <c r="H814" s="13">
        <v>74.150000000000006</v>
      </c>
      <c r="I814" s="13">
        <v>83.04</v>
      </c>
      <c r="J814" s="14">
        <v>45.031404750927855</v>
      </c>
      <c r="K814" s="14">
        <v>45.305920161528647</v>
      </c>
      <c r="L814" s="14">
        <v>58.904969086921398</v>
      </c>
      <c r="M814" s="14">
        <v>58.086599999999997</v>
      </c>
      <c r="N814" s="14">
        <f t="shared" si="324"/>
        <v>73.826116666666678</v>
      </c>
      <c r="O814" s="14">
        <f t="shared" si="325"/>
        <v>51.832223499844474</v>
      </c>
      <c r="P814" s="14">
        <f t="shared" si="341"/>
        <v>62.829170083255576</v>
      </c>
      <c r="Q814" s="14">
        <v>59.933547709869636</v>
      </c>
      <c r="R814" s="17">
        <f t="shared" si="326"/>
        <v>40.066452290130364</v>
      </c>
      <c r="S814" s="14">
        <f t="shared" si="342"/>
        <v>0.4605980706111733</v>
      </c>
      <c r="T814" s="13">
        <v>0</v>
      </c>
      <c r="U814" s="13">
        <f t="shared" si="343"/>
        <v>28.938994518448769</v>
      </c>
      <c r="V814" s="13">
        <f>IF($T814=1,$AU814,(VLOOKUP(U814,'Cortes naturales'!$A$35:$C$39,3,9)))</f>
        <v>4</v>
      </c>
      <c r="W814" s="13">
        <v>4</v>
      </c>
      <c r="X814" s="14" t="b">
        <f t="shared" si="327"/>
        <v>1</v>
      </c>
      <c r="Y814" s="17">
        <f>IF($T814=1,$AU814,VLOOKUP(U814,'Cortes naturales'!$A$45:$C$49,3,9))</f>
        <v>3</v>
      </c>
      <c r="Z814" s="14">
        <v>59.421814940799592</v>
      </c>
      <c r="AA814" s="14">
        <v>0.46187754136696224</v>
      </c>
      <c r="AB814" s="14">
        <v>27.44560178841914</v>
      </c>
      <c r="AC814" s="13">
        <v>4</v>
      </c>
      <c r="AD814" s="13">
        <f t="shared" si="328"/>
        <v>1</v>
      </c>
      <c r="AE814" s="14">
        <f t="shared" si="329"/>
        <v>3.4073551424559838</v>
      </c>
      <c r="AF814" s="14">
        <f t="shared" si="330"/>
        <v>-1.2794707557889362E-3</v>
      </c>
      <c r="AG814" s="13">
        <f t="shared" si="331"/>
        <v>1.4933927300296297</v>
      </c>
      <c r="AH814" s="13">
        <f>IF($T814=1,$AU814,VLOOKUP(U814,'Cortes naturales'!$A$25:$C$29,3,9))</f>
        <v>3</v>
      </c>
      <c r="AI814" s="13" t="b">
        <f t="shared" si="332"/>
        <v>1</v>
      </c>
      <c r="AJ814" s="13" t="str">
        <f t="shared" si="333"/>
        <v>Efecto ponderador</v>
      </c>
      <c r="AK814" s="28">
        <v>0.6523467210059386</v>
      </c>
      <c r="AL814" s="28">
        <v>38.763626132852309</v>
      </c>
      <c r="AM814" s="28">
        <v>0.31426609036662706</v>
      </c>
      <c r="AN814" s="13">
        <v>4</v>
      </c>
      <c r="AO814" s="33">
        <f t="shared" si="334"/>
        <v>1</v>
      </c>
      <c r="AP814" s="13">
        <f t="shared" si="344"/>
        <v>31.426609036662708</v>
      </c>
      <c r="AQ814" s="13">
        <f>IFERROR(VLOOKUP(U814,'Cortes naturales'!$E$15:$G$19,3,9),U814)</f>
        <v>4</v>
      </c>
      <c r="AR814" s="28">
        <f t="shared" si="335"/>
        <v>-0.1917486503947653</v>
      </c>
      <c r="AS814" s="13" t="b">
        <f t="shared" si="336"/>
        <v>0</v>
      </c>
      <c r="AT814" s="13" t="str">
        <f t="shared" si="345"/>
        <v>Cambio en corte</v>
      </c>
      <c r="AU814" s="13">
        <v>4</v>
      </c>
      <c r="AV814">
        <f t="shared" si="337"/>
        <v>1</v>
      </c>
      <c r="AW814" s="13">
        <v>0</v>
      </c>
      <c r="AX814" s="13">
        <v>0</v>
      </c>
      <c r="AY814" s="13">
        <v>0</v>
      </c>
      <c r="AZ814" s="13">
        <v>0</v>
      </c>
      <c r="BA814">
        <v>0</v>
      </c>
      <c r="BB814" t="s">
        <v>2840</v>
      </c>
      <c r="BC814">
        <v>6</v>
      </c>
      <c r="BD814" t="s">
        <v>2919</v>
      </c>
      <c r="BE814">
        <v>0</v>
      </c>
      <c r="BF814" s="232" t="s">
        <v>2846</v>
      </c>
      <c r="BG814" s="232" t="s">
        <v>2845</v>
      </c>
      <c r="BH814" s="253">
        <v>39.1</v>
      </c>
      <c r="BI814" s="253">
        <v>11.369670466968609</v>
      </c>
      <c r="BJ814" s="25">
        <v>2.129</v>
      </c>
      <c r="BK814" t="s">
        <v>381</v>
      </c>
      <c r="BL814">
        <v>3.18725787536729</v>
      </c>
      <c r="BM814" t="s">
        <v>383</v>
      </c>
      <c r="BN814" s="322">
        <v>14734.809148</v>
      </c>
      <c r="BO814" s="322">
        <v>1929.1604990000001</v>
      </c>
      <c r="BP814" s="10">
        <v>7546</v>
      </c>
      <c r="BQ814" s="254">
        <f t="shared" si="338"/>
        <v>1.9526648751656508</v>
      </c>
      <c r="BR814" s="254">
        <f t="shared" si="339"/>
        <v>0.25565339239332097</v>
      </c>
      <c r="BS814" s="25">
        <v>53.419050192201567</v>
      </c>
      <c r="BT814" s="25">
        <v>86.407921518685399</v>
      </c>
      <c r="BU814" s="25">
        <v>56.06</v>
      </c>
      <c r="BV814" s="25">
        <v>94.208046465030449</v>
      </c>
      <c r="BW814" s="25">
        <v>58.971206660035428</v>
      </c>
      <c r="BX814" s="25">
        <v>72.523754543979351</v>
      </c>
      <c r="BY814" s="25">
        <v>59.210704928358851</v>
      </c>
      <c r="BZ814">
        <v>30</v>
      </c>
      <c r="CA814">
        <v>0</v>
      </c>
      <c r="CB814">
        <v>7</v>
      </c>
      <c r="CC814">
        <v>27826.747841</v>
      </c>
      <c r="CD814" s="10">
        <v>61.975983999999997</v>
      </c>
      <c r="CE814" s="255">
        <v>2.2272090275919495E-3</v>
      </c>
      <c r="CF814" t="str">
        <f>IFERROR(VLOOKUP(CE814,'Rangos amb etnico'!$A$2:$C$6,3,9),"N.D.")</f>
        <v>0,1% - 30%</v>
      </c>
      <c r="CG814" s="256">
        <v>1.8031150032718055E-6</v>
      </c>
      <c r="CH814" s="232">
        <v>37.530963999999997</v>
      </c>
      <c r="CI814" s="311">
        <f t="shared" si="346"/>
        <v>1.348736985523755E-3</v>
      </c>
      <c r="CJ814" s="232" t="str">
        <f>IFERROR(VLOOKUP(CI814,'Rangos amb etnico'!$A$2:$C$6,3,9),"N.D.")</f>
        <v>0,1% - 30%</v>
      </c>
      <c r="CK814" s="311">
        <f t="shared" si="347"/>
        <v>1.4902249935456223E-6</v>
      </c>
      <c r="CL814" s="10">
        <v>0</v>
      </c>
      <c r="CM814" s="255">
        <f t="shared" si="348"/>
        <v>0</v>
      </c>
      <c r="CN814" s="232">
        <f>IFERROR(VLOOKUP(CM814,'Rangos amb etnico'!$A$2:$C$6,3,9),"N.D.")</f>
        <v>0</v>
      </c>
      <c r="CO814" s="311">
        <f t="shared" si="349"/>
        <v>0</v>
      </c>
      <c r="CP814">
        <v>0.87863805687122165</v>
      </c>
      <c r="CQ814" t="s">
        <v>2864</v>
      </c>
      <c r="CR814">
        <f t="shared" si="340"/>
        <v>2</v>
      </c>
      <c r="CS814" t="str">
        <f t="shared" si="350"/>
        <v>No es Candidato</v>
      </c>
      <c r="CT814">
        <v>0</v>
      </c>
      <c r="CU814">
        <v>0</v>
      </c>
      <c r="CV814" s="25">
        <v>53.1376953125</v>
      </c>
      <c r="CW814" s="25">
        <v>20.95195388793945</v>
      </c>
      <c r="CX814" s="25">
        <v>60.716083526611328</v>
      </c>
      <c r="CY814" s="25">
        <v>66.240715026855469</v>
      </c>
      <c r="CZ814" s="25">
        <v>41.684211730957031</v>
      </c>
      <c r="DA814" s="25">
        <v>77.21282958984375</v>
      </c>
      <c r="DB814" s="25">
        <v>52.020370483398438</v>
      </c>
      <c r="DC814">
        <v>142</v>
      </c>
      <c r="DD814" s="253" t="s">
        <v>380</v>
      </c>
    </row>
    <row r="815" spans="1:108" hidden="1">
      <c r="A815" s="13">
        <v>41026</v>
      </c>
      <c r="B815" s="13" t="s">
        <v>2054</v>
      </c>
      <c r="C815" s="13" t="s">
        <v>676</v>
      </c>
      <c r="D815" s="13" t="s">
        <v>677</v>
      </c>
      <c r="E815" s="13" t="s">
        <v>2055</v>
      </c>
      <c r="F815" s="14">
        <v>61.396366666666701</v>
      </c>
      <c r="G815" s="13">
        <v>57.47</v>
      </c>
      <c r="H815" s="13">
        <v>67.5</v>
      </c>
      <c r="I815" s="13">
        <v>68.17</v>
      </c>
      <c r="J815" s="14">
        <v>48.28446644220751</v>
      </c>
      <c r="K815" s="14">
        <v>56.330665449690635</v>
      </c>
      <c r="L815" s="14">
        <v>56.296758665363782</v>
      </c>
      <c r="M815" s="14">
        <v>48.464500000000001</v>
      </c>
      <c r="N815" s="14">
        <f t="shared" si="324"/>
        <v>63.634091666666677</v>
      </c>
      <c r="O815" s="14">
        <f t="shared" si="325"/>
        <v>52.344097639315478</v>
      </c>
      <c r="P815" s="14">
        <f t="shared" si="341"/>
        <v>57.989094652991078</v>
      </c>
      <c r="Q815" s="14">
        <v>60.291065170051795</v>
      </c>
      <c r="R815" s="17">
        <f t="shared" si="326"/>
        <v>39.708934829948205</v>
      </c>
      <c r="S815" s="14">
        <f t="shared" si="342"/>
        <v>0.45738041346953384</v>
      </c>
      <c r="T815" s="13">
        <v>0</v>
      </c>
      <c r="U815" s="13">
        <f t="shared" si="343"/>
        <v>26.523076089108994</v>
      </c>
      <c r="V815" s="13">
        <f>IF($T815=1,$AU815,(VLOOKUP(U815,'Cortes naturales'!$A$35:$C$39,3,9)))</f>
        <v>4</v>
      </c>
      <c r="W815" s="13">
        <v>4</v>
      </c>
      <c r="X815" s="14" t="b">
        <f t="shared" si="327"/>
        <v>1</v>
      </c>
      <c r="Y815" s="17">
        <f>IF($T815=1,$AU815,VLOOKUP(U815,'Cortes naturales'!$A$45:$C$49,3,9))</f>
        <v>4</v>
      </c>
      <c r="Z815" s="14">
        <v>57.273892569520399</v>
      </c>
      <c r="AA815" s="14">
        <v>0.46164644527377696</v>
      </c>
      <c r="AB815" s="14">
        <v>26.440288911711281</v>
      </c>
      <c r="AC815" s="13">
        <v>4</v>
      </c>
      <c r="AD815" s="13">
        <f t="shared" si="328"/>
        <v>0</v>
      </c>
      <c r="AE815" s="14">
        <f t="shared" si="329"/>
        <v>0.71520208347067893</v>
      </c>
      <c r="AF815" s="14">
        <f t="shared" si="330"/>
        <v>-4.26603180424312E-3</v>
      </c>
      <c r="AG815" s="13">
        <f t="shared" si="331"/>
        <v>8.2787177397712242E-2</v>
      </c>
      <c r="AH815" s="13">
        <f>IF($T815=1,$AU815,VLOOKUP(U815,'Cortes naturales'!$A$25:$C$29,3,9))</f>
        <v>4</v>
      </c>
      <c r="AI815" s="13" t="b">
        <f t="shared" si="332"/>
        <v>1</v>
      </c>
      <c r="AJ815" s="13">
        <f t="shared" si="333"/>
        <v>0</v>
      </c>
      <c r="AK815" s="28">
        <v>0.6523467210059386</v>
      </c>
      <c r="AL815" s="28">
        <v>37.362436016973021</v>
      </c>
      <c r="AM815" s="28">
        <v>0.29673867901057932</v>
      </c>
      <c r="AN815" s="13">
        <v>4</v>
      </c>
      <c r="AO815" s="33">
        <f t="shared" si="334"/>
        <v>0</v>
      </c>
      <c r="AP815" s="13">
        <f t="shared" si="344"/>
        <v>29.673867901057932</v>
      </c>
      <c r="AQ815" s="13">
        <f>IFERROR(VLOOKUP(U815,'Cortes naturales'!$E$15:$G$19,3,9),U815)</f>
        <v>4</v>
      </c>
      <c r="AR815" s="28">
        <f t="shared" si="335"/>
        <v>-0.19496630753640476</v>
      </c>
      <c r="AS815" s="13" t="b">
        <f t="shared" si="336"/>
        <v>1</v>
      </c>
      <c r="AT815" s="13">
        <f t="shared" si="345"/>
        <v>0</v>
      </c>
      <c r="AU815" s="13">
        <v>4</v>
      </c>
      <c r="AV815">
        <f t="shared" si="337"/>
        <v>0</v>
      </c>
      <c r="AW815" s="13">
        <v>0</v>
      </c>
      <c r="AX815" s="13">
        <v>0</v>
      </c>
      <c r="AY815" s="13">
        <v>0</v>
      </c>
      <c r="AZ815" s="13">
        <v>0</v>
      </c>
      <c r="BA815">
        <v>0</v>
      </c>
      <c r="BB815" t="s">
        <v>2840</v>
      </c>
      <c r="BC815">
        <v>6</v>
      </c>
      <c r="BD815" t="s">
        <v>2919</v>
      </c>
      <c r="BE815">
        <v>0</v>
      </c>
      <c r="BF815" s="232" t="s">
        <v>2846</v>
      </c>
      <c r="BG815" s="232" t="s">
        <v>2846</v>
      </c>
      <c r="BH815" s="253">
        <v>30.4</v>
      </c>
      <c r="BI815" s="253">
        <v>8.8976377952755907</v>
      </c>
      <c r="BJ815" s="25">
        <v>7.3936533805177875</v>
      </c>
      <c r="BK815" t="s">
        <v>377</v>
      </c>
      <c r="BL815">
        <v>8.8094471421958609</v>
      </c>
      <c r="BM815" t="s">
        <v>379</v>
      </c>
      <c r="BN815" s="322">
        <v>12536.829693</v>
      </c>
      <c r="BO815" s="322">
        <v>3325.157573</v>
      </c>
      <c r="BP815" s="10">
        <v>4710</v>
      </c>
      <c r="BQ815" s="254">
        <f t="shared" si="338"/>
        <v>2.6617472808917197</v>
      </c>
      <c r="BR815" s="254">
        <f t="shared" si="339"/>
        <v>0.70597825329087049</v>
      </c>
      <c r="BS815" s="25">
        <v>66.390575798470536</v>
      </c>
      <c r="BT815" s="25">
        <v>82.312455767869778</v>
      </c>
      <c r="BU815" s="25">
        <v>67.283333333333331</v>
      </c>
      <c r="BV815" s="25">
        <v>87.364267833465405</v>
      </c>
      <c r="BW815" s="25">
        <v>64.952329736325225</v>
      </c>
      <c r="BX815" s="25">
        <v>75.837658183284759</v>
      </c>
      <c r="BY815" s="25">
        <v>66.991262465189578</v>
      </c>
      <c r="BZ815">
        <v>30</v>
      </c>
      <c r="CA815">
        <v>0</v>
      </c>
      <c r="CB815">
        <v>7</v>
      </c>
      <c r="CC815">
        <v>18097.547244000001</v>
      </c>
      <c r="CD815" s="10">
        <v>783.95599400000003</v>
      </c>
      <c r="CE815" s="255">
        <v>4.3318355986605321E-2</v>
      </c>
      <c r="CF815" t="str">
        <f>IFERROR(VLOOKUP(CE815,'Rangos amb etnico'!$A$2:$C$6,3,9),"N.D.")</f>
        <v>0,1% - 30%</v>
      </c>
      <c r="CG815" s="256">
        <v>2.2808235117110228E-5</v>
      </c>
      <c r="CH815" s="232">
        <v>0</v>
      </c>
      <c r="CI815" s="311">
        <f t="shared" si="346"/>
        <v>0</v>
      </c>
      <c r="CJ815" s="232">
        <f>IFERROR(VLOOKUP(CI815,'Rangos amb etnico'!$A$2:$C$6,3,9),"N.D.")</f>
        <v>0</v>
      </c>
      <c r="CK815" s="311">
        <f t="shared" si="347"/>
        <v>0</v>
      </c>
      <c r="CL815" s="10">
        <v>0</v>
      </c>
      <c r="CM815" s="255">
        <f t="shared" si="348"/>
        <v>0</v>
      </c>
      <c r="CN815" s="232">
        <f>IFERROR(VLOOKUP(CM815,'Rangos amb etnico'!$A$2:$C$6,3,9),"N.D.")</f>
        <v>0</v>
      </c>
      <c r="CO815" s="311">
        <f t="shared" si="349"/>
        <v>0</v>
      </c>
      <c r="CP815">
        <v>0.88834138377930671</v>
      </c>
      <c r="CQ815" t="s">
        <v>2864</v>
      </c>
      <c r="CR815">
        <f t="shared" si="340"/>
        <v>3</v>
      </c>
      <c r="CS815" t="str">
        <f t="shared" si="350"/>
        <v>Candidato</v>
      </c>
      <c r="CT815">
        <v>0</v>
      </c>
      <c r="CU815">
        <v>0</v>
      </c>
      <c r="CV815" s="25">
        <v>41.876052856445313</v>
      </c>
      <c r="CW815" s="25">
        <v>21.426668167114261</v>
      </c>
      <c r="CX815" s="25">
        <v>52.300537109375</v>
      </c>
      <c r="CY815" s="25">
        <v>63.206794738769531</v>
      </c>
      <c r="CZ815" s="25">
        <v>26.465278625488281</v>
      </c>
      <c r="DA815" s="25">
        <v>37.087978363037109</v>
      </c>
      <c r="DB815" s="25">
        <v>50.769050598144531</v>
      </c>
      <c r="DC815">
        <v>38</v>
      </c>
      <c r="DD815" s="253" t="s">
        <v>380</v>
      </c>
    </row>
    <row r="816" spans="1:108" hidden="1">
      <c r="A816" s="13">
        <v>15212</v>
      </c>
      <c r="B816" s="13" t="s">
        <v>2056</v>
      </c>
      <c r="C816" s="13" t="s">
        <v>498</v>
      </c>
      <c r="D816" s="13" t="s">
        <v>499</v>
      </c>
      <c r="E816" s="13" t="s">
        <v>2057</v>
      </c>
      <c r="F816" s="14">
        <v>54.164066666666699</v>
      </c>
      <c r="G816" s="13">
        <v>64.59</v>
      </c>
      <c r="H816" s="13">
        <v>51.02</v>
      </c>
      <c r="I816" s="13">
        <v>64.97</v>
      </c>
      <c r="J816" s="14">
        <v>56.891685071118765</v>
      </c>
      <c r="K816" s="14">
        <v>45.982948037810679</v>
      </c>
      <c r="L816" s="14">
        <v>54.659766021391434</v>
      </c>
      <c r="M816" s="14">
        <v>47.177599999999998</v>
      </c>
      <c r="N816" s="14">
        <f t="shared" si="324"/>
        <v>58.686016666666674</v>
      </c>
      <c r="O816" s="14">
        <f t="shared" si="325"/>
        <v>51.177999782580216</v>
      </c>
      <c r="P816" s="14">
        <f t="shared" si="341"/>
        <v>54.932008224623445</v>
      </c>
      <c r="Q816" s="14">
        <v>61.513597283186193</v>
      </c>
      <c r="R816" s="17">
        <f t="shared" si="326"/>
        <v>38.486402716813807</v>
      </c>
      <c r="S816" s="14">
        <f t="shared" si="342"/>
        <v>0.44637762445132423</v>
      </c>
      <c r="T816" s="13">
        <v>0</v>
      </c>
      <c r="U816" s="13">
        <f t="shared" si="343"/>
        <v>24.520419337648018</v>
      </c>
      <c r="V816" s="13">
        <f>IF($T816=1,$AU816,(VLOOKUP(U816,'Cortes naturales'!$A$35:$C$39,3,9)))</f>
        <v>4</v>
      </c>
      <c r="W816" s="13">
        <v>4</v>
      </c>
      <c r="X816" s="14" t="b">
        <f t="shared" si="327"/>
        <v>1</v>
      </c>
      <c r="Y816" s="17">
        <f>IF($T816=1,$AU816,VLOOKUP(U816,'Cortes naturales'!$A$45:$C$49,3,9))</f>
        <v>4</v>
      </c>
      <c r="Z816" s="14">
        <v>53.731921850186851</v>
      </c>
      <c r="AA816" s="14">
        <v>0.4598640741414366</v>
      </c>
      <c r="AB816" s="14">
        <v>24.709380493476203</v>
      </c>
      <c r="AC816" s="13">
        <v>4</v>
      </c>
      <c r="AD816" s="13">
        <f t="shared" si="328"/>
        <v>0</v>
      </c>
      <c r="AE816" s="14">
        <f t="shared" si="329"/>
        <v>1.2000863744365944</v>
      </c>
      <c r="AF816" s="14">
        <f t="shared" si="330"/>
        <v>-1.3486449690112368E-2</v>
      </c>
      <c r="AG816" s="13">
        <f t="shared" si="331"/>
        <v>-0.18896115582818496</v>
      </c>
      <c r="AH816" s="13">
        <f>IF($T816=1,$AU816,VLOOKUP(U816,'Cortes naturales'!$A$25:$C$29,3,9))</f>
        <v>4</v>
      </c>
      <c r="AI816" s="13" t="b">
        <f t="shared" si="332"/>
        <v>1</v>
      </c>
      <c r="AJ816" s="13">
        <f t="shared" si="333"/>
        <v>0</v>
      </c>
      <c r="AK816" s="28">
        <v>0.6523467210059386</v>
      </c>
      <c r="AL816" s="28">
        <v>35.051843032316739</v>
      </c>
      <c r="AM816" s="28">
        <v>0.26783559636711196</v>
      </c>
      <c r="AN816" s="13">
        <v>4</v>
      </c>
      <c r="AO816" s="33">
        <f t="shared" si="334"/>
        <v>0</v>
      </c>
      <c r="AP816" s="13">
        <f t="shared" si="344"/>
        <v>26.783559636711196</v>
      </c>
      <c r="AQ816" s="13">
        <f>IFERROR(VLOOKUP(U816,'Cortes naturales'!$E$15:$G$19,3,9),U816)</f>
        <v>4</v>
      </c>
      <c r="AR816" s="28">
        <f t="shared" si="335"/>
        <v>-0.20596909655461437</v>
      </c>
      <c r="AS816" s="13" t="b">
        <f t="shared" si="336"/>
        <v>1</v>
      </c>
      <c r="AT816" s="13">
        <f t="shared" si="345"/>
        <v>0</v>
      </c>
      <c r="AU816" s="13">
        <v>4</v>
      </c>
      <c r="AV816">
        <f t="shared" si="337"/>
        <v>0</v>
      </c>
      <c r="AW816" s="13">
        <v>0</v>
      </c>
      <c r="AX816" s="13">
        <v>0</v>
      </c>
      <c r="AY816" s="13">
        <v>0</v>
      </c>
      <c r="AZ816" s="13">
        <v>0</v>
      </c>
      <c r="BA816">
        <v>0</v>
      </c>
      <c r="BB816" t="s">
        <v>2841</v>
      </c>
      <c r="BC816">
        <v>6</v>
      </c>
      <c r="BD816" t="s">
        <v>2919</v>
      </c>
      <c r="BE816">
        <v>0</v>
      </c>
      <c r="BF816" s="232" t="s">
        <v>2846</v>
      </c>
      <c r="BG816" s="232" t="s">
        <v>2846</v>
      </c>
      <c r="BH816" s="253">
        <v>38.799999999999997</v>
      </c>
      <c r="BI816" s="253">
        <v>13.845644253063929</v>
      </c>
      <c r="BJ816" s="25">
        <v>31.882288100208768</v>
      </c>
      <c r="BK816" t="s">
        <v>379</v>
      </c>
      <c r="BL816">
        <v>0</v>
      </c>
      <c r="BM816" t="s">
        <v>377</v>
      </c>
      <c r="BN816" s="322">
        <v>11763.302559</v>
      </c>
      <c r="BO816" s="322">
        <v>677.76515400000005</v>
      </c>
      <c r="BP816" s="10">
        <v>3513</v>
      </c>
      <c r="BQ816" s="254">
        <f t="shared" si="338"/>
        <v>3.3485062792485056</v>
      </c>
      <c r="BR816" s="254">
        <f t="shared" si="339"/>
        <v>0.19293058753202394</v>
      </c>
      <c r="BS816" s="25">
        <v>55.881834215167551</v>
      </c>
      <c r="BT816" s="25">
        <v>79.198831684220508</v>
      </c>
      <c r="BU816" s="25">
        <v>48.619530516431887</v>
      </c>
      <c r="BV816" s="25">
        <v>96.566792635723957</v>
      </c>
      <c r="BW816" s="25">
        <v>38.311905438457657</v>
      </c>
      <c r="BX816" s="25">
        <v>70.066747262885983</v>
      </c>
      <c r="BY816" s="25">
        <v>39.92928788149198</v>
      </c>
      <c r="BZ816">
        <v>86</v>
      </c>
      <c r="CA816">
        <v>0</v>
      </c>
      <c r="CB816">
        <v>7</v>
      </c>
      <c r="CC816">
        <v>14967.79969</v>
      </c>
      <c r="CD816" s="10">
        <v>0</v>
      </c>
      <c r="CE816" s="255">
        <v>0</v>
      </c>
      <c r="CF816">
        <f>IFERROR(VLOOKUP(CE816,'Rangos amb etnico'!$A$2:$C$6,3,9),"N.D.")</f>
        <v>0</v>
      </c>
      <c r="CG816" s="256">
        <v>0</v>
      </c>
      <c r="CH816" s="232">
        <v>0</v>
      </c>
      <c r="CI816" s="311">
        <f t="shared" si="346"/>
        <v>0</v>
      </c>
      <c r="CJ816" s="232">
        <f>IFERROR(VLOOKUP(CI816,'Rangos amb etnico'!$A$2:$C$6,3,9),"N.D.")</f>
        <v>0</v>
      </c>
      <c r="CK816" s="311">
        <f t="shared" si="347"/>
        <v>0</v>
      </c>
      <c r="CL816" s="10">
        <v>0</v>
      </c>
      <c r="CM816" s="255">
        <f t="shared" si="348"/>
        <v>0</v>
      </c>
      <c r="CN816" s="232">
        <f>IFERROR(VLOOKUP(CM816,'Rangos amb etnico'!$A$2:$C$6,3,9),"N.D.")</f>
        <v>0</v>
      </c>
      <c r="CO816" s="311">
        <f t="shared" si="349"/>
        <v>0</v>
      </c>
      <c r="CP816">
        <v>0.78023459942937889</v>
      </c>
      <c r="CQ816" t="s">
        <v>2865</v>
      </c>
      <c r="CR816">
        <f t="shared" si="340"/>
        <v>2</v>
      </c>
      <c r="CS816" t="str">
        <f t="shared" si="350"/>
        <v>No es Candidato</v>
      </c>
      <c r="CT816">
        <v>0</v>
      </c>
      <c r="CU816">
        <v>0</v>
      </c>
      <c r="CV816" s="25">
        <v>48.968875885009773</v>
      </c>
      <c r="CW816" s="25">
        <v>8.8636989593505859</v>
      </c>
      <c r="CX816" s="25">
        <v>42.001903533935547</v>
      </c>
      <c r="CY816" s="25">
        <v>60.714572906494141</v>
      </c>
      <c r="CZ816" s="25">
        <v>45.498138427734382</v>
      </c>
      <c r="DA816" s="25">
        <v>88.823219299316406</v>
      </c>
      <c r="DB816" s="25">
        <v>47.911735534667969</v>
      </c>
      <c r="DC816">
        <v>29</v>
      </c>
      <c r="DD816" s="253" t="s">
        <v>380</v>
      </c>
    </row>
    <row r="817" spans="1:108" hidden="1">
      <c r="A817" s="13">
        <v>13006</v>
      </c>
      <c r="B817" s="13" t="s">
        <v>2058</v>
      </c>
      <c r="C817" s="13" t="s">
        <v>480</v>
      </c>
      <c r="D817" s="13" t="s">
        <v>481</v>
      </c>
      <c r="E817" s="13" t="s">
        <v>2059</v>
      </c>
      <c r="F817" s="14">
        <v>44.635266666666702</v>
      </c>
      <c r="G817" s="13">
        <v>25.97</v>
      </c>
      <c r="H817" s="13">
        <v>34.72</v>
      </c>
      <c r="I817" s="13">
        <v>38.26</v>
      </c>
      <c r="J817" s="14">
        <v>40.452223338638532</v>
      </c>
      <c r="K817" s="14">
        <v>32.747502163795836</v>
      </c>
      <c r="L817" s="14">
        <v>48.36279363837636</v>
      </c>
      <c r="M817" s="14">
        <v>44.3309</v>
      </c>
      <c r="N817" s="14">
        <f t="shared" si="324"/>
        <v>35.896316666666671</v>
      </c>
      <c r="O817" s="14">
        <f t="shared" si="325"/>
        <v>41.473354785202687</v>
      </c>
      <c r="P817" s="14">
        <f t="shared" si="341"/>
        <v>38.684835725934676</v>
      </c>
      <c r="Q817" s="14">
        <v>60.364740423859509</v>
      </c>
      <c r="R817" s="17">
        <f t="shared" si="326"/>
        <v>39.635259576140491</v>
      </c>
      <c r="S817" s="14">
        <f t="shared" si="342"/>
        <v>0.45671733618526444</v>
      </c>
      <c r="T817" s="13">
        <v>0</v>
      </c>
      <c r="U817" s="13">
        <f t="shared" si="343"/>
        <v>17.668035123513437</v>
      </c>
      <c r="V817" s="13">
        <f>IF($T817=1,$AU817,(VLOOKUP(U817,'Cortes naturales'!$A$35:$C$39,3,9)))</f>
        <v>5</v>
      </c>
      <c r="W817" s="13">
        <v>5</v>
      </c>
      <c r="X817" s="14" t="b">
        <f t="shared" si="327"/>
        <v>1</v>
      </c>
      <c r="Y817" s="17">
        <f>IF($T817=1,$AU817,VLOOKUP(U817,'Cortes naturales'!$A$45:$C$49,3,9))</f>
        <v>5</v>
      </c>
      <c r="Z817" s="14">
        <v>40.353667973735924</v>
      </c>
      <c r="AA817" s="14">
        <v>0.46133156431249578</v>
      </c>
      <c r="AB817" s="14">
        <v>18.616420772070654</v>
      </c>
      <c r="AC817" s="13">
        <v>5</v>
      </c>
      <c r="AD817" s="13">
        <f t="shared" si="328"/>
        <v>0</v>
      </c>
      <c r="AE817" s="14">
        <f t="shared" si="329"/>
        <v>-1.6688322478012481</v>
      </c>
      <c r="AF817" s="14">
        <f t="shared" si="330"/>
        <v>-4.6142281272313346E-3</v>
      </c>
      <c r="AG817" s="13">
        <f t="shared" si="331"/>
        <v>-0.94838564855721685</v>
      </c>
      <c r="AH817" s="13">
        <f>IF($T817=1,$AU817,VLOOKUP(U817,'Cortes naturales'!$A$25:$C$29,3,9))</f>
        <v>5</v>
      </c>
      <c r="AI817" s="13" t="b">
        <f t="shared" si="332"/>
        <v>1</v>
      </c>
      <c r="AJ817" s="13">
        <f t="shared" si="333"/>
        <v>0</v>
      </c>
      <c r="AK817" s="28">
        <v>0.6523467210059386</v>
      </c>
      <c r="AL817" s="28">
        <v>26.324582983228989</v>
      </c>
      <c r="AM817" s="28">
        <v>0.15866677255224271</v>
      </c>
      <c r="AN817" s="13">
        <v>5</v>
      </c>
      <c r="AO817" s="33">
        <f t="shared" si="334"/>
        <v>0</v>
      </c>
      <c r="AP817" s="13">
        <f t="shared" si="344"/>
        <v>15.866677255224271</v>
      </c>
      <c r="AQ817" s="13">
        <f>IFERROR(VLOOKUP(U817,'Cortes naturales'!$E$15:$G$19,3,9),U817)</f>
        <v>5</v>
      </c>
      <c r="AR817" s="28">
        <f t="shared" si="335"/>
        <v>-0.19562938482067416</v>
      </c>
      <c r="AS817" s="13" t="b">
        <f t="shared" si="336"/>
        <v>1</v>
      </c>
      <c r="AT817" s="13">
        <f t="shared" si="345"/>
        <v>0</v>
      </c>
      <c r="AU817" s="13">
        <v>4</v>
      </c>
      <c r="AV817">
        <f t="shared" si="337"/>
        <v>-1</v>
      </c>
      <c r="AW817" s="13">
        <v>0</v>
      </c>
      <c r="AX817" s="13">
        <v>0</v>
      </c>
      <c r="AY817" s="13">
        <v>0</v>
      </c>
      <c r="AZ817" s="13">
        <v>0</v>
      </c>
      <c r="BA817">
        <v>0</v>
      </c>
      <c r="BB817" t="s">
        <v>2841</v>
      </c>
      <c r="BC817">
        <v>6</v>
      </c>
      <c r="BD817" t="s">
        <v>2919</v>
      </c>
      <c r="BE817">
        <v>0</v>
      </c>
      <c r="BF817" s="232" t="s">
        <v>2846</v>
      </c>
      <c r="BG817" s="232" t="s">
        <v>2845</v>
      </c>
      <c r="BH817" s="253">
        <v>62.4</v>
      </c>
      <c r="BI817" s="253">
        <v>55.916030534351144</v>
      </c>
      <c r="BJ817" s="25">
        <v>22.838124999999998</v>
      </c>
      <c r="BK817" t="s">
        <v>379</v>
      </c>
      <c r="BL817">
        <v>7.6760397006395156</v>
      </c>
      <c r="BM817" t="s">
        <v>379</v>
      </c>
      <c r="BN817" s="322">
        <v>56604.626719</v>
      </c>
      <c r="BO817" s="322">
        <v>1450.347696</v>
      </c>
      <c r="BP817" s="10">
        <v>27507</v>
      </c>
      <c r="BQ817" s="254">
        <f t="shared" si="338"/>
        <v>2.0578262521903516</v>
      </c>
      <c r="BR817" s="254">
        <f t="shared" si="339"/>
        <v>5.2726494928563641E-2</v>
      </c>
      <c r="BS817" s="25">
        <v>53.659559871437118</v>
      </c>
      <c r="BT817" s="25">
        <v>92.43669104613592</v>
      </c>
      <c r="BU817" s="25">
        <v>25.04791176919554</v>
      </c>
      <c r="BV817" s="25">
        <v>96.502740688504062</v>
      </c>
      <c r="BW817" s="25">
        <v>37.171534242848779</v>
      </c>
      <c r="BX817" s="25">
        <v>66.911725843818161</v>
      </c>
      <c r="BY817" s="25">
        <v>36.534458564609217</v>
      </c>
      <c r="BZ817">
        <v>64</v>
      </c>
      <c r="CA817">
        <v>0</v>
      </c>
      <c r="CB817">
        <v>7</v>
      </c>
      <c r="CC817">
        <v>95075.656554000001</v>
      </c>
      <c r="CD817" s="10">
        <v>38691.268408000004</v>
      </c>
      <c r="CE817" s="255">
        <v>0.40695241884577016</v>
      </c>
      <c r="CF817" t="str">
        <f>IFERROR(VLOOKUP(CE817,'Rangos amb etnico'!$A$2:$C$6,3,9),"N.D.")</f>
        <v>31% - 50%</v>
      </c>
      <c r="CG817" s="256">
        <v>1.1256748511178334E-3</v>
      </c>
      <c r="CH817" s="232">
        <v>0</v>
      </c>
      <c r="CI817" s="311">
        <f t="shared" si="346"/>
        <v>0</v>
      </c>
      <c r="CJ817" s="232">
        <f>IFERROR(VLOOKUP(CI817,'Rangos amb etnico'!$A$2:$C$6,3,9),"N.D.")</f>
        <v>0</v>
      </c>
      <c r="CK817" s="311">
        <f t="shared" si="347"/>
        <v>0</v>
      </c>
      <c r="CL817" s="10">
        <v>0</v>
      </c>
      <c r="CM817" s="255">
        <f t="shared" si="348"/>
        <v>0</v>
      </c>
      <c r="CN817" s="232">
        <f>IFERROR(VLOOKUP(CM817,'Rangos amb etnico'!$A$2:$C$6,3,9),"N.D.")</f>
        <v>0</v>
      </c>
      <c r="CO817" s="311">
        <f t="shared" si="349"/>
        <v>0</v>
      </c>
      <c r="CP817">
        <v>0.89884305981053458</v>
      </c>
      <c r="CQ817" t="s">
        <v>2864</v>
      </c>
      <c r="CR817">
        <f t="shared" si="340"/>
        <v>1</v>
      </c>
      <c r="CS817" t="str">
        <f t="shared" si="350"/>
        <v>No es Candidato</v>
      </c>
      <c r="CT817">
        <v>0</v>
      </c>
      <c r="CU817">
        <v>0</v>
      </c>
      <c r="CV817" s="25">
        <v>40.334804534912109</v>
      </c>
      <c r="CW817" s="25">
        <v>9.6591205596923828</v>
      </c>
      <c r="CX817" s="25">
        <v>40.520320892333977</v>
      </c>
      <c r="CY817" s="25">
        <v>45.382438659667969</v>
      </c>
      <c r="CZ817" s="25">
        <v>1.6160305738449099</v>
      </c>
      <c r="DA817" s="25">
        <v>85.036605834960938</v>
      </c>
      <c r="DB817" s="25">
        <v>59.794322967529297</v>
      </c>
      <c r="DC817">
        <v>2379</v>
      </c>
      <c r="DD817" s="253" t="s">
        <v>380</v>
      </c>
    </row>
    <row r="818" spans="1:108" hidden="1">
      <c r="A818" s="13">
        <v>41799</v>
      </c>
      <c r="B818" s="13" t="s">
        <v>2060</v>
      </c>
      <c r="C818" s="13" t="s">
        <v>676</v>
      </c>
      <c r="D818" s="13" t="s">
        <v>677</v>
      </c>
      <c r="E818" s="13" t="s">
        <v>2061</v>
      </c>
      <c r="F818" s="14">
        <v>80.901066666666694</v>
      </c>
      <c r="G818" s="13">
        <v>75.37</v>
      </c>
      <c r="H818" s="13">
        <v>66.16</v>
      </c>
      <c r="I818" s="13">
        <v>78.260000000000005</v>
      </c>
      <c r="J818" s="14">
        <v>58.620162260772183</v>
      </c>
      <c r="K818" s="14">
        <v>47.081515760119444</v>
      </c>
      <c r="L818" s="14">
        <v>54.584966994197828</v>
      </c>
      <c r="M818" s="14">
        <v>48.2607</v>
      </c>
      <c r="N818" s="14">
        <f t="shared" si="324"/>
        <v>75.172766666666675</v>
      </c>
      <c r="O818" s="14">
        <f t="shared" si="325"/>
        <v>52.136836253772358</v>
      </c>
      <c r="P818" s="14">
        <f t="shared" si="341"/>
        <v>63.654801460219517</v>
      </c>
      <c r="Q818" s="14">
        <v>60.614995365205779</v>
      </c>
      <c r="R818" s="17">
        <f t="shared" si="326"/>
        <v>39.385004634794221</v>
      </c>
      <c r="S818" s="14">
        <f t="shared" si="342"/>
        <v>0.45446504171314794</v>
      </c>
      <c r="T818" s="13">
        <v>0</v>
      </c>
      <c r="U818" s="13">
        <f t="shared" si="343"/>
        <v>28.928882000860813</v>
      </c>
      <c r="V818" s="13">
        <f>IF($T818=1,$AU818,(VLOOKUP(U818,'Cortes naturales'!$A$35:$C$39,3,9)))</f>
        <v>4</v>
      </c>
      <c r="W818" s="13">
        <v>4</v>
      </c>
      <c r="X818" s="14" t="b">
        <f t="shared" si="327"/>
        <v>1</v>
      </c>
      <c r="Y818" s="17">
        <f>IF($T818=1,$AU818,VLOOKUP(U818,'Cortes naturales'!$A$45:$C$49,3,9))</f>
        <v>3</v>
      </c>
      <c r="Z818" s="14">
        <v>64.330994997789347</v>
      </c>
      <c r="AA818" s="14">
        <v>0.46145192150404435</v>
      </c>
      <c r="AB818" s="14">
        <v>29.685661253996958</v>
      </c>
      <c r="AC818" s="13">
        <v>3</v>
      </c>
      <c r="AD818" s="13">
        <f t="shared" si="328"/>
        <v>0</v>
      </c>
      <c r="AE818" s="14">
        <f t="shared" si="329"/>
        <v>-0.67619353756983003</v>
      </c>
      <c r="AF818" s="14">
        <f t="shared" si="330"/>
        <v>-6.9868797908964053E-3</v>
      </c>
      <c r="AG818" s="13">
        <f t="shared" si="331"/>
        <v>-0.7567792531361448</v>
      </c>
      <c r="AH818" s="13">
        <f>IF($T818=1,$AU818,VLOOKUP(U818,'Cortes naturales'!$A$25:$C$29,3,9))</f>
        <v>3</v>
      </c>
      <c r="AI818" s="13" t="b">
        <f t="shared" si="332"/>
        <v>1</v>
      </c>
      <c r="AJ818" s="13">
        <f t="shared" si="333"/>
        <v>0</v>
      </c>
      <c r="AK818" s="28">
        <v>0.6523467210059386</v>
      </c>
      <c r="AL818" s="28">
        <v>41.96611364585732</v>
      </c>
      <c r="AM818" s="28">
        <v>0.35432583341428692</v>
      </c>
      <c r="AN818" s="13">
        <v>3</v>
      </c>
      <c r="AO818" s="33">
        <f t="shared" si="334"/>
        <v>0</v>
      </c>
      <c r="AP818" s="13">
        <f t="shared" si="344"/>
        <v>35.432583341428689</v>
      </c>
      <c r="AQ818" s="13">
        <f>IFERROR(VLOOKUP(U818,'Cortes naturales'!$E$15:$G$19,3,9),U818)</f>
        <v>4</v>
      </c>
      <c r="AR818" s="28">
        <f t="shared" si="335"/>
        <v>-0.19788167929279066</v>
      </c>
      <c r="AS818" s="13" t="b">
        <f t="shared" si="336"/>
        <v>0</v>
      </c>
      <c r="AT818" s="13">
        <f t="shared" si="345"/>
        <v>0</v>
      </c>
      <c r="AU818" s="13">
        <v>3</v>
      </c>
      <c r="AV818">
        <f t="shared" si="337"/>
        <v>0</v>
      </c>
      <c r="AW818" s="13">
        <v>0</v>
      </c>
      <c r="AX818" s="13">
        <v>0</v>
      </c>
      <c r="AY818" s="13">
        <v>0</v>
      </c>
      <c r="AZ818" s="13">
        <v>0</v>
      </c>
      <c r="BA818">
        <v>1</v>
      </c>
      <c r="BB818" t="s">
        <v>2840</v>
      </c>
      <c r="BC818">
        <v>6</v>
      </c>
      <c r="BD818" t="s">
        <v>2919</v>
      </c>
      <c r="BE818">
        <v>0</v>
      </c>
      <c r="BF818" s="232" t="s">
        <v>2846</v>
      </c>
      <c r="BG818" s="232" t="s">
        <v>2845</v>
      </c>
      <c r="BH818" s="253">
        <v>44.5</v>
      </c>
      <c r="BI818" s="253">
        <v>16.847772883015175</v>
      </c>
      <c r="BJ818" s="25">
        <v>2.1500000000000004</v>
      </c>
      <c r="BK818" t="s">
        <v>381</v>
      </c>
      <c r="BL818">
        <v>28.702399483158196</v>
      </c>
      <c r="BM818" t="s">
        <v>384</v>
      </c>
      <c r="BN818" s="322">
        <v>30887.474428000001</v>
      </c>
      <c r="BO818" s="322">
        <v>2922.2581129999999</v>
      </c>
      <c r="BP818" s="10">
        <v>12495</v>
      </c>
      <c r="BQ818" s="254">
        <f t="shared" si="338"/>
        <v>2.4719867489395759</v>
      </c>
      <c r="BR818" s="254">
        <f t="shared" si="339"/>
        <v>0.23387419871948778</v>
      </c>
      <c r="BS818" s="25">
        <v>60.697014362640587</v>
      </c>
      <c r="BT818" s="25">
        <v>88.205949111644671</v>
      </c>
      <c r="BU818" s="25">
        <v>35.394585429476429</v>
      </c>
      <c r="BV818" s="25">
        <v>90.392934484836019</v>
      </c>
      <c r="BW818" s="25">
        <v>51.587946461242133</v>
      </c>
      <c r="BX818" s="25">
        <v>68.672620847149432</v>
      </c>
      <c r="BY818" s="25">
        <v>52.540126708488422</v>
      </c>
      <c r="BZ818">
        <v>23</v>
      </c>
      <c r="CA818">
        <v>1</v>
      </c>
      <c r="CB818">
        <v>7</v>
      </c>
      <c r="CC818">
        <v>53011.522318000003</v>
      </c>
      <c r="CD818" s="10">
        <v>22818.490929</v>
      </c>
      <c r="CE818" s="255">
        <v>0.43044398521737992</v>
      </c>
      <c r="CF818" t="str">
        <f>IFERROR(VLOOKUP(CE818,'Rangos amb etnico'!$A$2:$C$6,3,9),"N.D.")</f>
        <v>31% - 50%</v>
      </c>
      <c r="CG818" s="256">
        <v>6.6387591919640191E-4</v>
      </c>
      <c r="CH818" s="232">
        <v>0</v>
      </c>
      <c r="CI818" s="311">
        <f t="shared" si="346"/>
        <v>0</v>
      </c>
      <c r="CJ818" s="232">
        <f>IFERROR(VLOOKUP(CI818,'Rangos amb etnico'!$A$2:$C$6,3,9),"N.D.")</f>
        <v>0</v>
      </c>
      <c r="CK818" s="311">
        <f t="shared" si="347"/>
        <v>0</v>
      </c>
      <c r="CL818" s="10">
        <v>0</v>
      </c>
      <c r="CM818" s="255">
        <f t="shared" si="348"/>
        <v>0</v>
      </c>
      <c r="CN818" s="232">
        <f>IFERROR(VLOOKUP(CM818,'Rangos amb etnico'!$A$2:$C$6,3,9),"N.D.")</f>
        <v>0</v>
      </c>
      <c r="CO818" s="311">
        <f t="shared" si="349"/>
        <v>0</v>
      </c>
      <c r="CP818">
        <v>0.88869989872951538</v>
      </c>
      <c r="CQ818" t="s">
        <v>2864</v>
      </c>
      <c r="CR818">
        <f t="shared" si="340"/>
        <v>2</v>
      </c>
      <c r="CS818" t="str">
        <f t="shared" si="350"/>
        <v>No es Candidato</v>
      </c>
      <c r="CT818">
        <v>0</v>
      </c>
      <c r="CU818">
        <v>0</v>
      </c>
      <c r="CV818" s="25">
        <v>47.755985260009773</v>
      </c>
      <c r="CW818" s="25">
        <v>27.25667762756348</v>
      </c>
      <c r="CX818" s="25">
        <v>44.002662658691413</v>
      </c>
      <c r="CY818" s="25">
        <v>68.355155944824219</v>
      </c>
      <c r="CZ818" s="25">
        <v>52.771915435791023</v>
      </c>
      <c r="DA818" s="25">
        <v>41.713214874267578</v>
      </c>
      <c r="DB818" s="25">
        <v>52.436275482177727</v>
      </c>
      <c r="DC818">
        <v>209</v>
      </c>
      <c r="DD818" s="253" t="s">
        <v>380</v>
      </c>
    </row>
    <row r="819" spans="1:108" hidden="1">
      <c r="A819" s="13">
        <v>19517</v>
      </c>
      <c r="B819" s="13" t="s">
        <v>2062</v>
      </c>
      <c r="C819" s="13" t="s">
        <v>557</v>
      </c>
      <c r="D819" s="13" t="s">
        <v>558</v>
      </c>
      <c r="E819" s="13" t="s">
        <v>2063</v>
      </c>
      <c r="F819" s="14">
        <v>62.5779</v>
      </c>
      <c r="G819" s="13">
        <v>45.06</v>
      </c>
      <c r="H819" s="13">
        <v>51.12</v>
      </c>
      <c r="I819" s="13">
        <v>43.92</v>
      </c>
      <c r="J819" s="14">
        <v>41.870055943868635</v>
      </c>
      <c r="K819" s="14">
        <v>56.658684748043605</v>
      </c>
      <c r="L819" s="14">
        <v>62.897317382241617</v>
      </c>
      <c r="M819" s="14">
        <v>54.953499999999998</v>
      </c>
      <c r="N819" s="14">
        <f t="shared" si="324"/>
        <v>50.669475000000006</v>
      </c>
      <c r="O819" s="14">
        <f t="shared" si="325"/>
        <v>54.094889518538466</v>
      </c>
      <c r="P819" s="14">
        <f t="shared" si="341"/>
        <v>52.382182259269236</v>
      </c>
      <c r="Q819" s="14">
        <v>60.031264070687861</v>
      </c>
      <c r="R819" s="17">
        <f t="shared" si="326"/>
        <v>39.968735929312139</v>
      </c>
      <c r="S819" s="14">
        <f t="shared" si="342"/>
        <v>0.45971862336380931</v>
      </c>
      <c r="T819" s="13">
        <v>0</v>
      </c>
      <c r="U819" s="13">
        <f t="shared" si="343"/>
        <v>24.081064717023409</v>
      </c>
      <c r="V819" s="13">
        <f>IF($T819=1,$AU819,(VLOOKUP(U819,'Cortes naturales'!$A$35:$C$39,3,9)))</f>
        <v>4</v>
      </c>
      <c r="W819" s="13">
        <v>4</v>
      </c>
      <c r="X819" s="14" t="b">
        <f t="shared" si="327"/>
        <v>1</v>
      </c>
      <c r="Y819" s="17">
        <f>IF($T819=1,$AU819,VLOOKUP(U819,'Cortes naturales'!$A$45:$C$49,3,9))</f>
        <v>4</v>
      </c>
      <c r="Z819" s="14">
        <v>54.42258579255504</v>
      </c>
      <c r="AA819" s="14">
        <v>0.46134078295189784</v>
      </c>
      <c r="AB819" s="14">
        <v>25.107358339804176</v>
      </c>
      <c r="AC819" s="13">
        <v>4</v>
      </c>
      <c r="AD819" s="13">
        <f t="shared" si="328"/>
        <v>0</v>
      </c>
      <c r="AE819" s="14">
        <f t="shared" si="329"/>
        <v>-2.0404035332858044</v>
      </c>
      <c r="AF819" s="14">
        <f t="shared" si="330"/>
        <v>-1.6221595880885342E-3</v>
      </c>
      <c r="AG819" s="13">
        <f t="shared" si="331"/>
        <v>-1.0262936227807664</v>
      </c>
      <c r="AH819" s="13">
        <f>IF($T819=1,$AU819,VLOOKUP(U819,'Cortes naturales'!$A$25:$C$29,3,9))</f>
        <v>4</v>
      </c>
      <c r="AI819" s="13" t="b">
        <f t="shared" si="332"/>
        <v>1</v>
      </c>
      <c r="AJ819" s="13">
        <f t="shared" si="333"/>
        <v>0</v>
      </c>
      <c r="AK819" s="28">
        <v>0.6523467210059386</v>
      </c>
      <c r="AL819" s="28">
        <v>35.502395390437663</v>
      </c>
      <c r="AM819" s="28">
        <v>0.2734715314402531</v>
      </c>
      <c r="AN819" s="13">
        <v>4</v>
      </c>
      <c r="AO819" s="33">
        <f t="shared" si="334"/>
        <v>0</v>
      </c>
      <c r="AP819" s="13">
        <f t="shared" si="344"/>
        <v>27.34715314402531</v>
      </c>
      <c r="AQ819" s="13">
        <f>IFERROR(VLOOKUP(U819,'Cortes naturales'!$E$15:$G$19,3,9),U819)</f>
        <v>4</v>
      </c>
      <c r="AR819" s="28">
        <f t="shared" si="335"/>
        <v>-0.19262809764212929</v>
      </c>
      <c r="AS819" s="13" t="b">
        <f t="shared" si="336"/>
        <v>1</v>
      </c>
      <c r="AT819" s="13">
        <f t="shared" si="345"/>
        <v>0</v>
      </c>
      <c r="AU819" s="13">
        <v>4</v>
      </c>
      <c r="AV819">
        <f t="shared" si="337"/>
        <v>0</v>
      </c>
      <c r="AW819" s="13">
        <v>0</v>
      </c>
      <c r="AX819" s="13">
        <v>0</v>
      </c>
      <c r="AY819" s="13">
        <v>0</v>
      </c>
      <c r="AZ819" s="13">
        <v>0</v>
      </c>
      <c r="BA819">
        <v>0</v>
      </c>
      <c r="BB819" t="s">
        <v>2841</v>
      </c>
      <c r="BC819">
        <v>6</v>
      </c>
      <c r="BD819" t="s">
        <v>2919</v>
      </c>
      <c r="BE819">
        <v>1</v>
      </c>
      <c r="BF819" s="232" t="s">
        <v>2846</v>
      </c>
      <c r="BG819" s="232" t="s">
        <v>2846</v>
      </c>
      <c r="BH819" s="253">
        <v>56.3</v>
      </c>
      <c r="BI819" s="253">
        <v>21.657490890715177</v>
      </c>
      <c r="BJ819" s="25">
        <v>3.3872727272727272</v>
      </c>
      <c r="BK819" t="s">
        <v>381</v>
      </c>
      <c r="BL819">
        <v>7.4364395988231244</v>
      </c>
      <c r="BM819" t="s">
        <v>379</v>
      </c>
      <c r="BN819" s="322">
        <v>66865.154983</v>
      </c>
      <c r="BO819" s="322">
        <v>2270.9073640000001</v>
      </c>
      <c r="BP819" s="10">
        <v>52403</v>
      </c>
      <c r="BQ819" s="254">
        <f t="shared" si="338"/>
        <v>1.2759795237486404</v>
      </c>
      <c r="BR819" s="254">
        <f t="shared" si="339"/>
        <v>4.3335445756922317E-2</v>
      </c>
      <c r="BS819" s="25">
        <v>56.25707903157442</v>
      </c>
      <c r="BT819" s="25">
        <v>87.493698693366511</v>
      </c>
      <c r="BU819" s="25">
        <v>44.454367570341198</v>
      </c>
      <c r="BV819" s="25">
        <v>95.048502002297951</v>
      </c>
      <c r="BW819" s="25">
        <v>36.485260402926322</v>
      </c>
      <c r="BX819" s="25">
        <v>70.813411824395018</v>
      </c>
      <c r="BY819" s="25">
        <v>37.040329954529618</v>
      </c>
      <c r="BZ819">
        <v>30</v>
      </c>
      <c r="CA819">
        <v>0</v>
      </c>
      <c r="CB819">
        <v>7</v>
      </c>
      <c r="CC819">
        <v>179318.373876</v>
      </c>
      <c r="CD819" s="10">
        <v>60007.416491000004</v>
      </c>
      <c r="CE819" s="255">
        <v>0.33464176143207491</v>
      </c>
      <c r="CF819" t="str">
        <f>IFERROR(VLOOKUP(CE819,'Rangos amb etnico'!$A$2:$C$6,3,9),"N.D.")</f>
        <v>31% - 50%</v>
      </c>
      <c r="CG819" s="256">
        <v>1.7458419535945095E-3</v>
      </c>
      <c r="CH819" s="232">
        <v>2304.1453080000001</v>
      </c>
      <c r="CI819" s="311">
        <f t="shared" si="346"/>
        <v>1.2849465775288225E-2</v>
      </c>
      <c r="CJ819" s="232" t="str">
        <f>IFERROR(VLOOKUP(CI819,'Rangos amb etnico'!$A$2:$C$6,3,9),"N.D.")</f>
        <v>0,1% - 30%</v>
      </c>
      <c r="CK819" s="311">
        <f t="shared" si="347"/>
        <v>9.1489654428873076E-5</v>
      </c>
      <c r="CL819" s="10">
        <v>0</v>
      </c>
      <c r="CM819" s="255">
        <f t="shared" si="348"/>
        <v>0</v>
      </c>
      <c r="CN819" s="232">
        <f>IFERROR(VLOOKUP(CM819,'Rangos amb etnico'!$A$2:$C$6,3,9),"N.D.")</f>
        <v>0</v>
      </c>
      <c r="CO819" s="311">
        <f t="shared" si="349"/>
        <v>0</v>
      </c>
      <c r="CP819">
        <v>0.93988888256045544</v>
      </c>
      <c r="CQ819" t="s">
        <v>2864</v>
      </c>
      <c r="CR819">
        <f t="shared" si="340"/>
        <v>1</v>
      </c>
      <c r="CS819" t="str">
        <f t="shared" si="350"/>
        <v>No es Candidato</v>
      </c>
      <c r="CT819">
        <v>0</v>
      </c>
      <c r="CU819">
        <v>0</v>
      </c>
      <c r="CV819" s="25">
        <v>42.716747283935547</v>
      </c>
      <c r="CW819" s="25">
        <v>12.41158390045166</v>
      </c>
      <c r="CX819" s="25">
        <v>52.719219207763672</v>
      </c>
      <c r="CY819" s="25">
        <v>50.767124176025391</v>
      </c>
      <c r="CZ819" s="25">
        <v>8.2723941802978516</v>
      </c>
      <c r="DA819" s="25">
        <v>72.296630859375</v>
      </c>
      <c r="DB819" s="25">
        <v>59.833541870117188</v>
      </c>
      <c r="DC819">
        <v>41201</v>
      </c>
      <c r="DD819" s="253" t="s">
        <v>380</v>
      </c>
    </row>
    <row r="820" spans="1:108" hidden="1">
      <c r="A820" s="13">
        <v>47720</v>
      </c>
      <c r="B820" s="13" t="s">
        <v>2064</v>
      </c>
      <c r="C820" s="13" t="s">
        <v>638</v>
      </c>
      <c r="D820" s="13" t="s">
        <v>639</v>
      </c>
      <c r="E820" s="13" t="s">
        <v>2065</v>
      </c>
      <c r="F820" s="14">
        <v>49.8173666666667</v>
      </c>
      <c r="G820" s="13">
        <v>46.76</v>
      </c>
      <c r="H820" s="13">
        <v>77.040000000000006</v>
      </c>
      <c r="I820" s="13">
        <v>78.86</v>
      </c>
      <c r="J820" s="14">
        <v>53.364670921617858</v>
      </c>
      <c r="K820" s="14">
        <v>48.212657691495778</v>
      </c>
      <c r="L820" s="14">
        <v>52.07023258455775</v>
      </c>
      <c r="M820" s="14">
        <v>50.5565</v>
      </c>
      <c r="N820" s="14">
        <f t="shared" si="324"/>
        <v>63.119341666666685</v>
      </c>
      <c r="O820" s="14">
        <f t="shared" si="325"/>
        <v>51.051015299417848</v>
      </c>
      <c r="P820" s="14">
        <f t="shared" si="341"/>
        <v>57.08517848304227</v>
      </c>
      <c r="Q820" s="14">
        <v>60.994793278985917</v>
      </c>
      <c r="R820" s="17">
        <f t="shared" si="326"/>
        <v>39.005206721014083</v>
      </c>
      <c r="S820" s="14">
        <f t="shared" si="342"/>
        <v>0.45104686048912679</v>
      </c>
      <c r="T820" s="13">
        <v>0</v>
      </c>
      <c r="U820" s="13">
        <f t="shared" si="343"/>
        <v>25.748090535237669</v>
      </c>
      <c r="V820" s="13">
        <f>IF($T820=1,$AU820,(VLOOKUP(U820,'Cortes naturales'!$A$35:$C$39,3,9)))</f>
        <v>4</v>
      </c>
      <c r="W820" s="13">
        <v>4</v>
      </c>
      <c r="X820" s="14" t="b">
        <f t="shared" si="327"/>
        <v>1</v>
      </c>
      <c r="Y820" s="17">
        <f>IF($T820=1,$AU820,VLOOKUP(U820,'Cortes naturales'!$A$45:$C$49,3,9))</f>
        <v>4</v>
      </c>
      <c r="Z820" s="14">
        <v>53.468006377537428</v>
      </c>
      <c r="AA820" s="14">
        <v>0.46105930729402278</v>
      </c>
      <c r="AB820" s="14">
        <v>24.6519219828198</v>
      </c>
      <c r="AC820" s="13">
        <v>4</v>
      </c>
      <c r="AD820" s="13">
        <f t="shared" si="328"/>
        <v>0</v>
      </c>
      <c r="AE820" s="14">
        <f t="shared" si="329"/>
        <v>3.6171721055048422</v>
      </c>
      <c r="AF820" s="14">
        <f t="shared" si="330"/>
        <v>-1.0012446804895991E-2</v>
      </c>
      <c r="AG820" s="13">
        <f t="shared" si="331"/>
        <v>1.0961685524178684</v>
      </c>
      <c r="AH820" s="13">
        <f>IF($T820=1,$AU820,VLOOKUP(U820,'Cortes naturales'!$A$25:$C$29,3,9))</f>
        <v>4</v>
      </c>
      <c r="AI820" s="13" t="b">
        <f t="shared" si="332"/>
        <v>1</v>
      </c>
      <c r="AJ820" s="13">
        <f t="shared" si="333"/>
        <v>0</v>
      </c>
      <c r="AK820" s="28">
        <v>0.6523467210059386</v>
      </c>
      <c r="AL820" s="28">
        <v>34.879678639111155</v>
      </c>
      <c r="AM820" s="28">
        <v>0.2656820012864865</v>
      </c>
      <c r="AN820" s="13">
        <v>4</v>
      </c>
      <c r="AO820" s="33">
        <f t="shared" si="334"/>
        <v>0</v>
      </c>
      <c r="AP820" s="13">
        <f t="shared" si="344"/>
        <v>26.568200128648652</v>
      </c>
      <c r="AQ820" s="13">
        <f>IFERROR(VLOOKUP(U820,'Cortes naturales'!$E$15:$G$19,3,9),U820)</f>
        <v>4</v>
      </c>
      <c r="AR820" s="28">
        <f t="shared" si="335"/>
        <v>-0.20129986051681181</v>
      </c>
      <c r="AS820" s="13" t="b">
        <f t="shared" si="336"/>
        <v>1</v>
      </c>
      <c r="AT820" s="13">
        <f t="shared" si="345"/>
        <v>0</v>
      </c>
      <c r="AU820" s="13">
        <v>4</v>
      </c>
      <c r="AV820">
        <f t="shared" si="337"/>
        <v>0</v>
      </c>
      <c r="AW820" s="13">
        <v>0</v>
      </c>
      <c r="AX820" s="13">
        <v>0</v>
      </c>
      <c r="AY820" s="13">
        <v>0</v>
      </c>
      <c r="AZ820" s="13">
        <v>0</v>
      </c>
      <c r="BA820">
        <v>0</v>
      </c>
      <c r="BB820" t="s">
        <v>2840</v>
      </c>
      <c r="BC820">
        <v>6</v>
      </c>
      <c r="BD820" t="s">
        <v>2919</v>
      </c>
      <c r="BE820">
        <v>0</v>
      </c>
      <c r="BF820" s="232" t="s">
        <v>2846</v>
      </c>
      <c r="BG820" s="232" t="s">
        <v>2846</v>
      </c>
      <c r="BH820" s="253">
        <v>57.8</v>
      </c>
      <c r="BI820" s="253">
        <v>38.426966292134829</v>
      </c>
      <c r="BJ820" s="25">
        <v>53.645833333333336</v>
      </c>
      <c r="BK820" t="s">
        <v>376</v>
      </c>
      <c r="BL820">
        <v>0.52501730158792848</v>
      </c>
      <c r="BM820" t="s">
        <v>383</v>
      </c>
      <c r="BN820" s="322">
        <v>23819.637364999999</v>
      </c>
      <c r="BO820" s="322">
        <v>938.87073499999997</v>
      </c>
      <c r="BP820" s="10">
        <v>11045</v>
      </c>
      <c r="BQ820" s="254">
        <f t="shared" si="338"/>
        <v>2.1565991276595744</v>
      </c>
      <c r="BR820" s="254">
        <f t="shared" si="339"/>
        <v>8.5004140787686727E-2</v>
      </c>
      <c r="BS820" s="25">
        <v>62.471093216475943</v>
      </c>
      <c r="BT820" s="25">
        <v>92.502031522559221</v>
      </c>
      <c r="BU820" s="25">
        <v>21.885000000000002</v>
      </c>
      <c r="BV820" s="25">
        <v>96.916736062379513</v>
      </c>
      <c r="BW820" s="25">
        <v>46.317244959566104</v>
      </c>
      <c r="BX820" s="25">
        <v>68.443715200353665</v>
      </c>
      <c r="BY820" s="25">
        <v>47.087528738428347</v>
      </c>
      <c r="BZ820">
        <v>9</v>
      </c>
      <c r="CA820">
        <v>0</v>
      </c>
      <c r="CB820">
        <v>7</v>
      </c>
      <c r="CC820">
        <v>49424.944035</v>
      </c>
      <c r="CD820" s="10">
        <v>23329.728417999999</v>
      </c>
      <c r="CE820" s="255">
        <v>0.47202336539782785</v>
      </c>
      <c r="CF820" t="str">
        <f>IFERROR(VLOOKUP(CE820,'Rangos amb etnico'!$A$2:$C$6,3,9),"N.D.")</f>
        <v>31% - 50%</v>
      </c>
      <c r="CG820" s="256">
        <v>6.7874974494559705E-4</v>
      </c>
      <c r="CH820" s="232">
        <v>0</v>
      </c>
      <c r="CI820" s="311">
        <f t="shared" si="346"/>
        <v>0</v>
      </c>
      <c r="CJ820" s="232">
        <f>IFERROR(VLOOKUP(CI820,'Rangos amb etnico'!$A$2:$C$6,3,9),"N.D.")</f>
        <v>0</v>
      </c>
      <c r="CK820" s="311">
        <f t="shared" si="347"/>
        <v>0</v>
      </c>
      <c r="CL820" s="10">
        <v>0</v>
      </c>
      <c r="CM820" s="255">
        <f t="shared" si="348"/>
        <v>0</v>
      </c>
      <c r="CN820" s="232">
        <f>IFERROR(VLOOKUP(CM820,'Rangos amb etnico'!$A$2:$C$6,3,9),"N.D.")</f>
        <v>0</v>
      </c>
      <c r="CO820" s="311">
        <f t="shared" si="349"/>
        <v>0</v>
      </c>
      <c r="CP820">
        <v>0.90741131244995499</v>
      </c>
      <c r="CQ820" t="s">
        <v>2864</v>
      </c>
      <c r="CR820">
        <f t="shared" si="340"/>
        <v>2</v>
      </c>
      <c r="CS820" t="str">
        <f t="shared" si="350"/>
        <v>No es Candidato</v>
      </c>
      <c r="CT820">
        <v>0</v>
      </c>
      <c r="CU820">
        <v>0</v>
      </c>
      <c r="CV820" s="25">
        <v>42.9742431640625</v>
      </c>
      <c r="CW820" s="25">
        <v>11.896249771118161</v>
      </c>
      <c r="CX820" s="25">
        <v>45.917488098144531</v>
      </c>
      <c r="CY820" s="25">
        <v>43.656951904296882</v>
      </c>
      <c r="CZ820" s="25">
        <v>4.256432056427002</v>
      </c>
      <c r="DA820" s="25">
        <v>86.726554870605469</v>
      </c>
      <c r="DB820" s="25">
        <v>65.391792297363281</v>
      </c>
      <c r="DC820">
        <v>712</v>
      </c>
      <c r="DD820" s="253" t="s">
        <v>380</v>
      </c>
    </row>
    <row r="821" spans="1:108" hidden="1">
      <c r="A821" s="13">
        <v>47545</v>
      </c>
      <c r="B821" s="13" t="s">
        <v>2066</v>
      </c>
      <c r="C821" s="13" t="s">
        <v>638</v>
      </c>
      <c r="D821" s="13" t="s">
        <v>639</v>
      </c>
      <c r="E821" s="13" t="s">
        <v>2067</v>
      </c>
      <c r="F821" s="14">
        <v>47.448500000000003</v>
      </c>
      <c r="G821" s="13">
        <v>41.51</v>
      </c>
      <c r="H821" s="13">
        <v>35.729999999999997</v>
      </c>
      <c r="I821" s="13">
        <v>29.79</v>
      </c>
      <c r="J821" s="14">
        <v>46.73028166598634</v>
      </c>
      <c r="K821" s="14">
        <v>55.47146256273637</v>
      </c>
      <c r="L821" s="14">
        <v>56.628353495504129</v>
      </c>
      <c r="M821" s="14">
        <v>57.545499999999997</v>
      </c>
      <c r="N821" s="14">
        <f t="shared" si="324"/>
        <v>38.619624999999999</v>
      </c>
      <c r="O821" s="14">
        <f t="shared" si="325"/>
        <v>54.093899431056713</v>
      </c>
      <c r="P821" s="14">
        <f t="shared" si="341"/>
        <v>46.356762215528356</v>
      </c>
      <c r="Q821" s="14">
        <v>60.370261599844888</v>
      </c>
      <c r="R821" s="17">
        <f t="shared" si="326"/>
        <v>39.629738400155112</v>
      </c>
      <c r="S821" s="14">
        <f t="shared" si="342"/>
        <v>0.45666764560139605</v>
      </c>
      <c r="T821" s="13">
        <v>0</v>
      </c>
      <c r="U821" s="13">
        <f t="shared" si="343"/>
        <v>21.16963345866909</v>
      </c>
      <c r="V821" s="13">
        <f>IF($T821=1,$AU821,(VLOOKUP(U821,'Cortes naturales'!$A$35:$C$39,3,9)))</f>
        <v>5</v>
      </c>
      <c r="W821" s="13">
        <v>5</v>
      </c>
      <c r="X821" s="14" t="b">
        <f t="shared" si="327"/>
        <v>1</v>
      </c>
      <c r="Y821" s="17">
        <f>IF($T821=1,$AU821,VLOOKUP(U821,'Cortes naturales'!$A$45:$C$49,3,9))</f>
        <v>4</v>
      </c>
      <c r="Z821" s="14">
        <v>47.70503331239513</v>
      </c>
      <c r="AA821" s="14">
        <v>0.46066481010908311</v>
      </c>
      <c r="AB821" s="14">
        <v>21.976030112101988</v>
      </c>
      <c r="AC821" s="13">
        <v>4</v>
      </c>
      <c r="AD821" s="13">
        <f t="shared" si="328"/>
        <v>0</v>
      </c>
      <c r="AE821" s="14">
        <f t="shared" si="329"/>
        <v>-1.3482710968667746</v>
      </c>
      <c r="AF821" s="14">
        <f t="shared" si="330"/>
        <v>-3.9971645076870566E-3</v>
      </c>
      <c r="AG821" s="13">
        <f t="shared" si="331"/>
        <v>-0.80639665343289835</v>
      </c>
      <c r="AH821" s="13">
        <f>IF($T821=1,$AU821,VLOOKUP(U821,'Cortes naturales'!$A$25:$C$29,3,9))</f>
        <v>4</v>
      </c>
      <c r="AI821" s="13" t="b">
        <f t="shared" si="332"/>
        <v>1</v>
      </c>
      <c r="AJ821" s="13">
        <f t="shared" si="333"/>
        <v>0</v>
      </c>
      <c r="AK821" s="28">
        <v>0.6523467210059386</v>
      </c>
      <c r="AL821" s="28">
        <v>31.120222056820033</v>
      </c>
      <c r="AM821" s="28">
        <v>0.218655162282796</v>
      </c>
      <c r="AN821" s="13">
        <v>4</v>
      </c>
      <c r="AO821" s="33">
        <f t="shared" si="334"/>
        <v>0</v>
      </c>
      <c r="AP821" s="13">
        <f t="shared" si="344"/>
        <v>21.865516228279599</v>
      </c>
      <c r="AQ821" s="13">
        <f>IFERROR(VLOOKUP(U821,'Cortes naturales'!$E$15:$G$19,3,9),U821)</f>
        <v>4</v>
      </c>
      <c r="AR821" s="28">
        <f t="shared" si="335"/>
        <v>-0.19567907540454255</v>
      </c>
      <c r="AS821" s="13" t="b">
        <f t="shared" si="336"/>
        <v>1</v>
      </c>
      <c r="AT821" s="13">
        <f t="shared" si="345"/>
        <v>0</v>
      </c>
      <c r="AU821" s="13">
        <v>4</v>
      </c>
      <c r="AV821">
        <f t="shared" si="337"/>
        <v>0</v>
      </c>
      <c r="AW821" s="13">
        <v>0</v>
      </c>
      <c r="AX821" s="13">
        <v>0</v>
      </c>
      <c r="AY821" s="13">
        <v>0</v>
      </c>
      <c r="AZ821" s="13">
        <v>0</v>
      </c>
      <c r="BA821">
        <v>0</v>
      </c>
      <c r="BB821" t="s">
        <v>2840</v>
      </c>
      <c r="BC821">
        <v>6</v>
      </c>
      <c r="BD821" t="s">
        <v>2919</v>
      </c>
      <c r="BE821">
        <v>0</v>
      </c>
      <c r="BF821" s="232" t="s">
        <v>2846</v>
      </c>
      <c r="BG821" s="232" t="s">
        <v>2846</v>
      </c>
      <c r="BH821" s="253">
        <v>60.8</v>
      </c>
      <c r="BI821" s="253">
        <v>48.938668593622978</v>
      </c>
      <c r="BJ821" s="25">
        <v>32.5</v>
      </c>
      <c r="BK821" t="s">
        <v>379</v>
      </c>
      <c r="BL821">
        <v>1.6986742650662019</v>
      </c>
      <c r="BM821" t="s">
        <v>383</v>
      </c>
      <c r="BN821" s="322">
        <v>35537.453723999999</v>
      </c>
      <c r="BO821" s="322">
        <v>3179.0973829999998</v>
      </c>
      <c r="BP821" s="10">
        <v>14019</v>
      </c>
      <c r="BQ821" s="254">
        <f t="shared" si="338"/>
        <v>2.5349492634282047</v>
      </c>
      <c r="BR821" s="254">
        <f t="shared" si="339"/>
        <v>0.22677062436693057</v>
      </c>
      <c r="BS821" s="25">
        <v>65.579092615748593</v>
      </c>
      <c r="BT821" s="25">
        <v>86.678780227310554</v>
      </c>
      <c r="BU821" s="25">
        <v>24.839065571730728</v>
      </c>
      <c r="BV821" s="25">
        <v>97.41906626146276</v>
      </c>
      <c r="BW821" s="25">
        <v>44.317577919314218</v>
      </c>
      <c r="BX821" s="25">
        <v>68.629001169063159</v>
      </c>
      <c r="BY821" s="25">
        <v>45.423299123647432</v>
      </c>
      <c r="BZ821">
        <v>60</v>
      </c>
      <c r="CA821">
        <v>0</v>
      </c>
      <c r="CB821">
        <v>7</v>
      </c>
      <c r="CC821">
        <v>66076.317666000003</v>
      </c>
      <c r="CD821" s="10">
        <v>247.63057900000001</v>
      </c>
      <c r="CE821" s="255">
        <v>3.7476449618714137E-3</v>
      </c>
      <c r="CF821" t="str">
        <f>IFERROR(VLOOKUP(CE821,'Rangos amb etnico'!$A$2:$C$6,3,9),"N.D.")</f>
        <v>0,1% - 30%</v>
      </c>
      <c r="CG821" s="256">
        <v>7.2045070274928448E-6</v>
      </c>
      <c r="CH821" s="232">
        <v>0</v>
      </c>
      <c r="CI821" s="311">
        <f t="shared" si="346"/>
        <v>0</v>
      </c>
      <c r="CJ821" s="232">
        <f>IFERROR(VLOOKUP(CI821,'Rangos amb etnico'!$A$2:$C$6,3,9),"N.D.")</f>
        <v>0</v>
      </c>
      <c r="CK821" s="311">
        <f t="shared" si="347"/>
        <v>0</v>
      </c>
      <c r="CL821" s="10">
        <v>0</v>
      </c>
      <c r="CM821" s="255">
        <f t="shared" si="348"/>
        <v>0</v>
      </c>
      <c r="CN821" s="232">
        <f>IFERROR(VLOOKUP(CM821,'Rangos amb etnico'!$A$2:$C$6,3,9),"N.D.")</f>
        <v>0</v>
      </c>
      <c r="CO821" s="311">
        <f t="shared" si="349"/>
        <v>0</v>
      </c>
      <c r="CP821">
        <v>0.95941661827944835</v>
      </c>
      <c r="CQ821" t="s">
        <v>2864</v>
      </c>
      <c r="CR821">
        <f t="shared" si="340"/>
        <v>1</v>
      </c>
      <c r="CS821" t="str">
        <f t="shared" si="350"/>
        <v>No es Candidato</v>
      </c>
      <c r="CT821">
        <v>0</v>
      </c>
      <c r="CU821">
        <v>0</v>
      </c>
      <c r="CV821" s="25">
        <v>42.053897857666023</v>
      </c>
      <c r="CW821" s="25">
        <v>16.714181900024411</v>
      </c>
      <c r="CX821" s="25">
        <v>47.291191101074219</v>
      </c>
      <c r="CY821" s="25">
        <v>39.365753173828118</v>
      </c>
      <c r="CZ821" s="25">
        <v>8.8405237197875977</v>
      </c>
      <c r="DA821" s="25">
        <v>89.556747436523438</v>
      </c>
      <c r="DB821" s="25">
        <v>50.554988861083977</v>
      </c>
      <c r="DC821">
        <v>288</v>
      </c>
      <c r="DD821" s="253" t="s">
        <v>380</v>
      </c>
    </row>
    <row r="822" spans="1:108" hidden="1">
      <c r="A822" s="13">
        <v>25148</v>
      </c>
      <c r="B822" s="13" t="s">
        <v>2068</v>
      </c>
      <c r="C822" s="13" t="s">
        <v>461</v>
      </c>
      <c r="D822" s="13" t="s">
        <v>462</v>
      </c>
      <c r="E822" s="13" t="s">
        <v>2069</v>
      </c>
      <c r="F822" s="14">
        <v>71.045633333333299</v>
      </c>
      <c r="G822" s="13">
        <v>69.510000000000005</v>
      </c>
      <c r="H822" s="13">
        <v>66.959999999999994</v>
      </c>
      <c r="I822" s="13">
        <v>64.62</v>
      </c>
      <c r="J822" s="14">
        <v>42.915941101131494</v>
      </c>
      <c r="K822" s="14">
        <v>47.656741481611455</v>
      </c>
      <c r="L822" s="14">
        <v>51.858943889507451</v>
      </c>
      <c r="M822" s="14">
        <v>60.409500000000001</v>
      </c>
      <c r="N822" s="14">
        <f t="shared" si="324"/>
        <v>68.033908333333329</v>
      </c>
      <c r="O822" s="14">
        <f t="shared" si="325"/>
        <v>50.710281618062602</v>
      </c>
      <c r="P822" s="14">
        <f t="shared" si="341"/>
        <v>59.372094975697962</v>
      </c>
      <c r="Q822" s="14">
        <v>62.599864712750716</v>
      </c>
      <c r="R822" s="17">
        <f t="shared" si="326"/>
        <v>37.400135287249284</v>
      </c>
      <c r="S822" s="14">
        <f t="shared" si="342"/>
        <v>0.43660121758524362</v>
      </c>
      <c r="T822" s="13">
        <v>0</v>
      </c>
      <c r="U822" s="13">
        <f t="shared" si="343"/>
        <v>25.921928956976455</v>
      </c>
      <c r="V822" s="13">
        <f>IF($T822=1,$AU822,(VLOOKUP(U822,'Cortes naturales'!$A$35:$C$39,3,9)))</f>
        <v>4</v>
      </c>
      <c r="W822" s="13">
        <v>4</v>
      </c>
      <c r="X822" s="14" t="b">
        <f t="shared" si="327"/>
        <v>1</v>
      </c>
      <c r="Y822" s="17">
        <f>IF($T822=1,$AU822,VLOOKUP(U822,'Cortes naturales'!$A$45:$C$49,3,9))</f>
        <v>4</v>
      </c>
      <c r="Z822" s="14">
        <v>58.252924902704045</v>
      </c>
      <c r="AA822" s="14">
        <v>0.45966681743468452</v>
      </c>
      <c r="AB822" s="14">
        <v>26.776936596287648</v>
      </c>
      <c r="AC822" s="13">
        <v>4</v>
      </c>
      <c r="AD822" s="13">
        <f t="shared" si="328"/>
        <v>0</v>
      </c>
      <c r="AE822" s="14">
        <f t="shared" si="329"/>
        <v>1.1191700729939171</v>
      </c>
      <c r="AF822" s="14">
        <f t="shared" si="330"/>
        <v>-2.3065599849440899E-2</v>
      </c>
      <c r="AG822" s="13">
        <f t="shared" si="331"/>
        <v>-0.85500763931119295</v>
      </c>
      <c r="AH822" s="13">
        <f>IF($T822=1,$AU822,VLOOKUP(U822,'Cortes naturales'!$A$25:$C$29,3,9))</f>
        <v>4</v>
      </c>
      <c r="AI822" s="13" t="b">
        <f t="shared" si="332"/>
        <v>1</v>
      </c>
      <c r="AJ822" s="13">
        <f t="shared" si="333"/>
        <v>0</v>
      </c>
      <c r="AK822" s="28">
        <v>0.6523467210059386</v>
      </c>
      <c r="AL822" s="28">
        <v>38.001104549284172</v>
      </c>
      <c r="AM822" s="28">
        <v>0.30472774912970169</v>
      </c>
      <c r="AN822" s="13">
        <v>4</v>
      </c>
      <c r="AO822" s="33">
        <f t="shared" si="334"/>
        <v>0</v>
      </c>
      <c r="AP822" s="13">
        <f t="shared" si="344"/>
        <v>30.47277491297017</v>
      </c>
      <c r="AQ822" s="13">
        <f>IFERROR(VLOOKUP(U822,'Cortes naturales'!$E$15:$G$19,3,9),U822)</f>
        <v>4</v>
      </c>
      <c r="AR822" s="28">
        <f t="shared" si="335"/>
        <v>-0.21574550342069498</v>
      </c>
      <c r="AS822" s="13" t="b">
        <f t="shared" si="336"/>
        <v>1</v>
      </c>
      <c r="AT822" s="13">
        <f t="shared" si="345"/>
        <v>0</v>
      </c>
      <c r="AU822" s="13">
        <v>4</v>
      </c>
      <c r="AV822">
        <f t="shared" si="337"/>
        <v>0</v>
      </c>
      <c r="AW822" s="13">
        <v>0</v>
      </c>
      <c r="AX822" s="13">
        <v>0</v>
      </c>
      <c r="AY822" s="13">
        <v>0</v>
      </c>
      <c r="AZ822" s="13">
        <v>0</v>
      </c>
      <c r="BA822">
        <v>0</v>
      </c>
      <c r="BB822" t="s">
        <v>2840</v>
      </c>
      <c r="BC822">
        <v>6</v>
      </c>
      <c r="BD822" t="s">
        <v>2919</v>
      </c>
      <c r="BE822">
        <v>0</v>
      </c>
      <c r="BF822" s="232" t="s">
        <v>2846</v>
      </c>
      <c r="BG822" s="232" t="s">
        <v>2846</v>
      </c>
      <c r="BH822" s="253">
        <v>41.2</v>
      </c>
      <c r="BI822" s="253">
        <v>29.183713228131698</v>
      </c>
      <c r="BJ822" s="25">
        <v>17.239999999999998</v>
      </c>
      <c r="BK822" t="s">
        <v>379</v>
      </c>
      <c r="BL822">
        <v>1.2491810353436255</v>
      </c>
      <c r="BM822" t="s">
        <v>383</v>
      </c>
      <c r="BN822" s="322">
        <v>27884.871345</v>
      </c>
      <c r="BO822" s="322">
        <v>2343.6908199999998</v>
      </c>
      <c r="BP822" s="10">
        <v>11509</v>
      </c>
      <c r="BQ822" s="254">
        <f t="shared" si="338"/>
        <v>2.4228752580589106</v>
      </c>
      <c r="BR822" s="254">
        <f t="shared" si="339"/>
        <v>0.20363983143626727</v>
      </c>
      <c r="BS822" s="25">
        <v>55.894857667584937</v>
      </c>
      <c r="BT822" s="25">
        <v>82.551956791206877</v>
      </c>
      <c r="BU822" s="25">
        <v>29.371405228758171</v>
      </c>
      <c r="BV822" s="25">
        <v>94.849462129195061</v>
      </c>
      <c r="BW822" s="25">
        <v>54.073195867026158</v>
      </c>
      <c r="BX822" s="25">
        <v>65.666920454186254</v>
      </c>
      <c r="BY822" s="25">
        <v>54.509319915727943</v>
      </c>
      <c r="BZ822">
        <v>52</v>
      </c>
      <c r="CA822">
        <v>0</v>
      </c>
      <c r="CB822">
        <v>7</v>
      </c>
      <c r="CC822">
        <v>61508.045725000004</v>
      </c>
      <c r="CD822" s="10">
        <v>12515.990471999999</v>
      </c>
      <c r="CE822" s="255">
        <v>0.20348541925650651</v>
      </c>
      <c r="CF822" t="str">
        <f>IFERROR(VLOOKUP(CE822,'Rangos amb etnico'!$A$2:$C$6,3,9),"N.D.")</f>
        <v>0,1% - 30%</v>
      </c>
      <c r="CG822" s="256">
        <v>3.6413734392454607E-4</v>
      </c>
      <c r="CH822" s="232">
        <v>0</v>
      </c>
      <c r="CI822" s="311">
        <f t="shared" si="346"/>
        <v>0</v>
      </c>
      <c r="CJ822" s="232">
        <f>IFERROR(VLOOKUP(CI822,'Rangos amb etnico'!$A$2:$C$6,3,9),"N.D.")</f>
        <v>0</v>
      </c>
      <c r="CK822" s="311">
        <f t="shared" si="347"/>
        <v>0</v>
      </c>
      <c r="CL822" s="10">
        <v>0</v>
      </c>
      <c r="CM822" s="255">
        <f t="shared" si="348"/>
        <v>0</v>
      </c>
      <c r="CN822" s="232">
        <f>IFERROR(VLOOKUP(CM822,'Rangos amb etnico'!$A$2:$C$6,3,9),"N.D.")</f>
        <v>0</v>
      </c>
      <c r="CO822" s="311">
        <f t="shared" si="349"/>
        <v>0</v>
      </c>
      <c r="CP822">
        <v>0.93099424895551808</v>
      </c>
      <c r="CQ822" t="s">
        <v>2864</v>
      </c>
      <c r="CR822">
        <f t="shared" si="340"/>
        <v>3</v>
      </c>
      <c r="CS822" t="str">
        <f t="shared" si="350"/>
        <v>Candidato</v>
      </c>
      <c r="CT822">
        <v>0</v>
      </c>
      <c r="CU822">
        <v>0</v>
      </c>
      <c r="CV822" s="25">
        <v>45.111949920654297</v>
      </c>
      <c r="CW822" s="25">
        <v>23.207050323486332</v>
      </c>
      <c r="CX822" s="25">
        <v>43.419521331787109</v>
      </c>
      <c r="CY822" s="25">
        <v>49.681491851806641</v>
      </c>
      <c r="CZ822" s="25">
        <v>47.222221374511719</v>
      </c>
      <c r="DA822" s="25">
        <v>64.53277587890625</v>
      </c>
      <c r="DB822" s="25">
        <v>42.608642578125</v>
      </c>
      <c r="DC822">
        <v>103</v>
      </c>
      <c r="DD822" s="253" t="s">
        <v>380</v>
      </c>
    </row>
    <row r="823" spans="1:108" hidden="1">
      <c r="A823" s="13">
        <v>20383</v>
      </c>
      <c r="B823" s="13" t="s">
        <v>2070</v>
      </c>
      <c r="C823" s="13" t="s">
        <v>893</v>
      </c>
      <c r="D823" s="13" t="s">
        <v>894</v>
      </c>
      <c r="E823" s="13" t="s">
        <v>2071</v>
      </c>
      <c r="F823" s="14">
        <v>81.700433333333294</v>
      </c>
      <c r="G823" s="13">
        <v>89.04</v>
      </c>
      <c r="H823" s="13">
        <v>88.24</v>
      </c>
      <c r="I823" s="13">
        <v>96.31</v>
      </c>
      <c r="J823" s="14">
        <v>59.206423047463417</v>
      </c>
      <c r="K823" s="14">
        <v>61.150292848821351</v>
      </c>
      <c r="L823" s="14">
        <v>69.71062769401567</v>
      </c>
      <c r="M823" s="14">
        <v>60.658900000000003</v>
      </c>
      <c r="N823" s="14">
        <f t="shared" si="324"/>
        <v>88.822608333333321</v>
      </c>
      <c r="O823" s="14">
        <f t="shared" si="325"/>
        <v>62.68156089757511</v>
      </c>
      <c r="P823" s="14">
        <f t="shared" si="341"/>
        <v>75.752084615454208</v>
      </c>
      <c r="Q823" s="14">
        <v>60.761288590174445</v>
      </c>
      <c r="R823" s="17">
        <f t="shared" si="326"/>
        <v>39.238711409825555</v>
      </c>
      <c r="S823" s="14">
        <f t="shared" si="342"/>
        <v>0.45314840268843004</v>
      </c>
      <c r="T823" s="13">
        <v>0</v>
      </c>
      <c r="U823" s="13">
        <f t="shared" si="343"/>
        <v>34.326936143811871</v>
      </c>
      <c r="V823" s="13">
        <f>IF($T823=1,$AU823,(VLOOKUP(U823,'Cortes naturales'!$A$35:$C$39,3,9)))</f>
        <v>3</v>
      </c>
      <c r="W823" s="13">
        <v>3</v>
      </c>
      <c r="X823" s="14" t="b">
        <f t="shared" si="327"/>
        <v>1</v>
      </c>
      <c r="Y823" s="17">
        <f>IF($T823=1,$AU823,VLOOKUP(U823,'Cortes naturales'!$A$45:$C$49,3,9))</f>
        <v>3</v>
      </c>
      <c r="Z823" s="14">
        <v>72.922159071453692</v>
      </c>
      <c r="AA823" s="14">
        <v>0.45953860678774772</v>
      </c>
      <c r="AB823" s="14">
        <v>33.510547383650348</v>
      </c>
      <c r="AC823" s="13">
        <v>3</v>
      </c>
      <c r="AD823" s="13">
        <f t="shared" si="328"/>
        <v>0</v>
      </c>
      <c r="AE823" s="14">
        <f t="shared" si="329"/>
        <v>2.8299255440005169</v>
      </c>
      <c r="AF823" s="14">
        <f t="shared" si="330"/>
        <v>-6.3902040993176756E-3</v>
      </c>
      <c r="AG823" s="13">
        <f t="shared" si="331"/>
        <v>0.81638876016152295</v>
      </c>
      <c r="AH823" s="13">
        <f>IF($T823=1,$AU823,VLOOKUP(U823,'Cortes naturales'!$A$25:$C$29,3,9))</f>
        <v>3</v>
      </c>
      <c r="AI823" s="13" t="b">
        <f t="shared" si="332"/>
        <v>1</v>
      </c>
      <c r="AJ823" s="13">
        <f t="shared" si="333"/>
        <v>0</v>
      </c>
      <c r="AK823" s="28">
        <v>0.6523467210059386</v>
      </c>
      <c r="AL823" s="28">
        <v>47.570531358936279</v>
      </c>
      <c r="AM823" s="28">
        <v>0.42443119139178903</v>
      </c>
      <c r="AN823" s="13">
        <v>3</v>
      </c>
      <c r="AO823" s="33">
        <f t="shared" si="334"/>
        <v>0</v>
      </c>
      <c r="AP823" s="13">
        <f t="shared" si="344"/>
        <v>42.443119139178904</v>
      </c>
      <c r="AQ823" s="13">
        <f>IFERROR(VLOOKUP(U823,'Cortes naturales'!$E$15:$G$19,3,9),U823)</f>
        <v>4</v>
      </c>
      <c r="AR823" s="28">
        <f t="shared" si="335"/>
        <v>-0.19919831831750856</v>
      </c>
      <c r="AS823" s="13" t="b">
        <f t="shared" si="336"/>
        <v>0</v>
      </c>
      <c r="AT823" s="13">
        <f t="shared" si="345"/>
        <v>0</v>
      </c>
      <c r="AU823" s="13">
        <v>3</v>
      </c>
      <c r="AV823">
        <f t="shared" si="337"/>
        <v>0</v>
      </c>
      <c r="AW823" s="13">
        <v>0</v>
      </c>
      <c r="AX823" s="13">
        <v>0</v>
      </c>
      <c r="AY823" s="13">
        <v>0</v>
      </c>
      <c r="AZ823" s="13">
        <v>0</v>
      </c>
      <c r="BA823">
        <v>1</v>
      </c>
      <c r="BB823" t="s">
        <v>2840</v>
      </c>
      <c r="BC823">
        <v>6</v>
      </c>
      <c r="BD823" t="s">
        <v>2919</v>
      </c>
      <c r="BE823">
        <v>0</v>
      </c>
      <c r="BF823" s="232" t="s">
        <v>2846</v>
      </c>
      <c r="BG823" s="232" t="s">
        <v>2845</v>
      </c>
      <c r="BH823" s="253">
        <v>44.4</v>
      </c>
      <c r="BI823" s="253">
        <v>24.555111983219433</v>
      </c>
      <c r="BJ823" s="25">
        <v>8.68</v>
      </c>
      <c r="BK823" t="s">
        <v>377</v>
      </c>
      <c r="BL823">
        <v>10.615498542322655</v>
      </c>
      <c r="BM823" t="s">
        <v>379</v>
      </c>
      <c r="BN823" s="322">
        <v>45674.911094000003</v>
      </c>
      <c r="BO823" s="322">
        <v>13791.426844</v>
      </c>
      <c r="BP823" s="10">
        <v>19514</v>
      </c>
      <c r="BQ823" s="254">
        <f t="shared" si="338"/>
        <v>2.340622685969048</v>
      </c>
      <c r="BR823" s="254">
        <f t="shared" si="339"/>
        <v>0.70674525181920667</v>
      </c>
      <c r="BS823" s="25">
        <v>53.156783608286538</v>
      </c>
      <c r="BT823" s="25">
        <v>82.427201263708113</v>
      </c>
      <c r="BU823" s="25">
        <v>43.771067132324397</v>
      </c>
      <c r="BV823" s="25">
        <v>90.221467679658033</v>
      </c>
      <c r="BW823" s="25">
        <v>51.455056320229637</v>
      </c>
      <c r="BX823" s="25">
        <v>67.394129920994274</v>
      </c>
      <c r="BY823" s="25">
        <v>52.03185045374164</v>
      </c>
      <c r="BZ823">
        <v>8</v>
      </c>
      <c r="CA823">
        <v>0</v>
      </c>
      <c r="CB823">
        <v>7</v>
      </c>
      <c r="CC823">
        <v>80157.807922000007</v>
      </c>
      <c r="CD823" s="10">
        <v>10705.898684</v>
      </c>
      <c r="CE823" s="255">
        <v>0.1335602726863202</v>
      </c>
      <c r="CF823" t="str">
        <f>IFERROR(VLOOKUP(CE823,'Rangos amb etnico'!$A$2:$C$6,3,9),"N.D.")</f>
        <v>0,1% - 30%</v>
      </c>
      <c r="CG823" s="256">
        <v>3.1147495037155484E-4</v>
      </c>
      <c r="CH823" s="232">
        <v>0</v>
      </c>
      <c r="CI823" s="311">
        <f t="shared" si="346"/>
        <v>0</v>
      </c>
      <c r="CJ823" s="232">
        <f>IFERROR(VLOOKUP(CI823,'Rangos amb etnico'!$A$2:$C$6,3,9),"N.D.")</f>
        <v>0</v>
      </c>
      <c r="CK823" s="311">
        <f t="shared" si="347"/>
        <v>0</v>
      </c>
      <c r="CL823" s="10">
        <v>0</v>
      </c>
      <c r="CM823" s="255">
        <f t="shared" si="348"/>
        <v>0</v>
      </c>
      <c r="CN823" s="232">
        <f>IFERROR(VLOOKUP(CM823,'Rangos amb etnico'!$A$2:$C$6,3,9),"N.D.")</f>
        <v>0</v>
      </c>
      <c r="CO823" s="311">
        <f t="shared" si="349"/>
        <v>0</v>
      </c>
      <c r="CP823">
        <v>0.81182961197858072</v>
      </c>
      <c r="CQ823" t="s">
        <v>2865</v>
      </c>
      <c r="CR823">
        <f t="shared" si="340"/>
        <v>3</v>
      </c>
      <c r="CS823" t="str">
        <f t="shared" si="350"/>
        <v>Candidato</v>
      </c>
      <c r="CT823">
        <v>0</v>
      </c>
      <c r="CU823">
        <v>0</v>
      </c>
      <c r="CV823" s="25">
        <v>36.13336181640625</v>
      </c>
      <c r="CW823" s="25">
        <v>22.556903839111332</v>
      </c>
      <c r="CX823" s="25">
        <v>47.985565185546882</v>
      </c>
      <c r="CY823" s="25">
        <v>48.741916656494141</v>
      </c>
      <c r="CZ823" s="25">
        <v>15.36503219604492</v>
      </c>
      <c r="DA823" s="25">
        <v>21.126873016357418</v>
      </c>
      <c r="DB823" s="25">
        <v>61.023887634277337</v>
      </c>
      <c r="DC823">
        <v>923</v>
      </c>
      <c r="DD823" s="253" t="s">
        <v>380</v>
      </c>
    </row>
    <row r="824" spans="1:108" hidden="1">
      <c r="A824" s="13">
        <v>41668</v>
      </c>
      <c r="B824" s="13" t="s">
        <v>2072</v>
      </c>
      <c r="C824" s="13" t="s">
        <v>676</v>
      </c>
      <c r="D824" s="13" t="s">
        <v>677</v>
      </c>
      <c r="E824" s="13" t="s">
        <v>2073</v>
      </c>
      <c r="F824" s="14">
        <v>67.633566666666695</v>
      </c>
      <c r="G824" s="13">
        <v>57.87</v>
      </c>
      <c r="H824" s="13">
        <v>67.27</v>
      </c>
      <c r="I824" s="13">
        <v>72.7</v>
      </c>
      <c r="J824" s="14">
        <v>56.630357023359664</v>
      </c>
      <c r="K824" s="14">
        <v>59.583139222750347</v>
      </c>
      <c r="L824" s="14">
        <v>60.944588210888639</v>
      </c>
      <c r="M824" s="14">
        <v>59.294400000000003</v>
      </c>
      <c r="N824" s="14">
        <f t="shared" si="324"/>
        <v>66.368391666666668</v>
      </c>
      <c r="O824" s="14">
        <f t="shared" si="325"/>
        <v>59.113121114249665</v>
      </c>
      <c r="P824" s="14">
        <f t="shared" si="341"/>
        <v>62.740756390458166</v>
      </c>
      <c r="Q824" s="14">
        <v>60.747320449468504</v>
      </c>
      <c r="R824" s="17">
        <f t="shared" si="326"/>
        <v>39.252679550531496</v>
      </c>
      <c r="S824" s="14">
        <f t="shared" si="342"/>
        <v>0.45327411595478351</v>
      </c>
      <c r="T824" s="13">
        <v>0</v>
      </c>
      <c r="U824" s="13">
        <f t="shared" si="343"/>
        <v>28.43876088721936</v>
      </c>
      <c r="V824" s="13">
        <f>IF($T824=1,$AU824,(VLOOKUP(U824,'Cortes naturales'!$A$35:$C$39,3,9)))</f>
        <v>4</v>
      </c>
      <c r="W824" s="13">
        <v>4</v>
      </c>
      <c r="X824" s="14" t="b">
        <f t="shared" si="327"/>
        <v>1</v>
      </c>
      <c r="Y824" s="17">
        <f>IF($T824=1,$AU824,VLOOKUP(U824,'Cortes naturales'!$A$45:$C$49,3,9))</f>
        <v>3</v>
      </c>
      <c r="Z824" s="14">
        <v>62.338930214597255</v>
      </c>
      <c r="AA824" s="14">
        <v>0.45941480073241947</v>
      </c>
      <c r="AB824" s="14">
        <v>28.639427202411401</v>
      </c>
      <c r="AC824" s="13">
        <v>3</v>
      </c>
      <c r="AD824" s="13">
        <f t="shared" si="328"/>
        <v>0</v>
      </c>
      <c r="AE824" s="14">
        <f t="shared" si="329"/>
        <v>0.40182617586091141</v>
      </c>
      <c r="AF824" s="14">
        <f t="shared" si="330"/>
        <v>-6.140684777635963E-3</v>
      </c>
      <c r="AG824" s="13">
        <f t="shared" si="331"/>
        <v>-0.20066631519204137</v>
      </c>
      <c r="AH824" s="13">
        <f>IF($T824=1,$AU824,VLOOKUP(U824,'Cortes naturales'!$A$25:$C$29,3,9))</f>
        <v>3</v>
      </c>
      <c r="AI824" s="13" t="b">
        <f t="shared" si="332"/>
        <v>1</v>
      </c>
      <c r="AJ824" s="13">
        <f t="shared" si="333"/>
        <v>0</v>
      </c>
      <c r="AK824" s="28">
        <v>0.6523467210059386</v>
      </c>
      <c r="AL824" s="28">
        <v>40.666596716510554</v>
      </c>
      <c r="AM824" s="28">
        <v>0.33807024644812039</v>
      </c>
      <c r="AN824" s="13">
        <v>4</v>
      </c>
      <c r="AO824" s="33">
        <f t="shared" si="334"/>
        <v>1</v>
      </c>
      <c r="AP824" s="13">
        <f t="shared" si="344"/>
        <v>33.807024644812039</v>
      </c>
      <c r="AQ824" s="13">
        <f>IFERROR(VLOOKUP(U824,'Cortes naturales'!$E$15:$G$19,3,9),U824)</f>
        <v>4</v>
      </c>
      <c r="AR824" s="28">
        <f t="shared" si="335"/>
        <v>-0.19907260505115509</v>
      </c>
      <c r="AS824" s="13" t="b">
        <f t="shared" si="336"/>
        <v>0</v>
      </c>
      <c r="AT824" s="13" t="str">
        <f t="shared" si="345"/>
        <v>Cambio en corte</v>
      </c>
      <c r="AU824" s="13">
        <v>3</v>
      </c>
      <c r="AV824">
        <f t="shared" si="337"/>
        <v>0</v>
      </c>
      <c r="AW824" s="13">
        <v>0</v>
      </c>
      <c r="AX824" s="13">
        <v>0</v>
      </c>
      <c r="AY824" s="13">
        <v>0</v>
      </c>
      <c r="AZ824" s="13">
        <v>0</v>
      </c>
      <c r="BA824">
        <v>0</v>
      </c>
      <c r="BB824" t="s">
        <v>2840</v>
      </c>
      <c r="BC824">
        <v>6</v>
      </c>
      <c r="BD824" t="s">
        <v>2919</v>
      </c>
      <c r="BE824">
        <v>0</v>
      </c>
      <c r="BF824" s="232" t="s">
        <v>2846</v>
      </c>
      <c r="BG824" s="232" t="s">
        <v>2845</v>
      </c>
      <c r="BH824" s="253">
        <v>36.299999999999997</v>
      </c>
      <c r="BI824" s="253">
        <v>15.234712785670167</v>
      </c>
      <c r="BJ824" s="25">
        <v>3.1650000000000005</v>
      </c>
      <c r="BK824" t="s">
        <v>381</v>
      </c>
      <c r="BL824">
        <v>1.2120310984422753</v>
      </c>
      <c r="BM824" t="s">
        <v>383</v>
      </c>
      <c r="BN824" s="322">
        <v>71146.052301000003</v>
      </c>
      <c r="BO824" s="322">
        <v>5128.580516</v>
      </c>
      <c r="BP824" s="10">
        <v>35620</v>
      </c>
      <c r="BQ824" s="254">
        <f t="shared" si="338"/>
        <v>1.99736250143178</v>
      </c>
      <c r="BR824" s="254">
        <f t="shared" si="339"/>
        <v>0.14398036260527794</v>
      </c>
      <c r="BS824" s="25">
        <v>68.503217598088099</v>
      </c>
      <c r="BT824" s="25">
        <v>92.751387855988284</v>
      </c>
      <c r="BU824" s="25">
        <v>67.711666666666659</v>
      </c>
      <c r="BV824" s="25">
        <v>89.896670678897848</v>
      </c>
      <c r="BW824" s="25">
        <v>49.712450045898073</v>
      </c>
      <c r="BX824" s="25">
        <v>79.715735699910226</v>
      </c>
      <c r="BY824" s="25">
        <v>50.304057747833021</v>
      </c>
      <c r="BZ824">
        <v>54</v>
      </c>
      <c r="CA824">
        <v>0</v>
      </c>
      <c r="CB824">
        <v>7</v>
      </c>
      <c r="CC824">
        <v>139085.04859200001</v>
      </c>
      <c r="CD824" s="10">
        <v>90791.375902</v>
      </c>
      <c r="CE824" s="255">
        <v>0.65277595845929193</v>
      </c>
      <c r="CF824" t="str">
        <f>IFERROR(VLOOKUP(CE824,'Rangos amb etnico'!$A$2:$C$6,3,9),"N.D.")</f>
        <v>51% - 70%</v>
      </c>
      <c r="CG824" s="256">
        <v>2.6414633780818464E-3</v>
      </c>
      <c r="CH824" s="232">
        <v>854.58705399999997</v>
      </c>
      <c r="CI824" s="311">
        <f t="shared" si="346"/>
        <v>6.1443488185915244E-3</v>
      </c>
      <c r="CJ824" s="232" t="str">
        <f>IFERROR(VLOOKUP(CI824,'Rangos amb etnico'!$A$2:$C$6,3,9),"N.D.")</f>
        <v>0,1% - 30%</v>
      </c>
      <c r="CK824" s="311">
        <f t="shared" si="347"/>
        <v>3.393270119657258E-5</v>
      </c>
      <c r="CL824" s="10">
        <v>0</v>
      </c>
      <c r="CM824" s="255">
        <f t="shared" si="348"/>
        <v>0</v>
      </c>
      <c r="CN824" s="232">
        <f>IFERROR(VLOOKUP(CM824,'Rangos amb etnico'!$A$2:$C$6,3,9),"N.D.")</f>
        <v>0</v>
      </c>
      <c r="CO824" s="311">
        <f t="shared" si="349"/>
        <v>0</v>
      </c>
      <c r="CP824">
        <v>0.92971591337151516</v>
      </c>
      <c r="CQ824" t="s">
        <v>2864</v>
      </c>
      <c r="CR824">
        <f t="shared" si="340"/>
        <v>2</v>
      </c>
      <c r="CS824" t="str">
        <f t="shared" si="350"/>
        <v>No es Candidato</v>
      </c>
      <c r="CT824">
        <v>0</v>
      </c>
      <c r="CU824">
        <v>0</v>
      </c>
      <c r="CV824" s="25">
        <v>43.831508636474609</v>
      </c>
      <c r="CW824" s="25">
        <v>22.171146392822269</v>
      </c>
      <c r="CX824" s="25">
        <v>46.247459411621087</v>
      </c>
      <c r="CY824" s="25">
        <v>64.228263854980469</v>
      </c>
      <c r="CZ824" s="25">
        <v>37.693405151367188</v>
      </c>
      <c r="DA824" s="25">
        <v>41.154590606689453</v>
      </c>
      <c r="DB824" s="25">
        <v>51.494182586669922</v>
      </c>
      <c r="DC824">
        <v>1345</v>
      </c>
      <c r="DD824" s="253" t="s">
        <v>380</v>
      </c>
    </row>
    <row r="825" spans="1:108" hidden="1">
      <c r="A825" s="13">
        <v>15673</v>
      </c>
      <c r="B825" s="13" t="s">
        <v>2074</v>
      </c>
      <c r="C825" s="13" t="s">
        <v>498</v>
      </c>
      <c r="D825" s="13" t="s">
        <v>499</v>
      </c>
      <c r="E825" s="13" t="s">
        <v>2075</v>
      </c>
      <c r="F825" s="14">
        <v>63.478999999999999</v>
      </c>
      <c r="G825" s="13">
        <v>56.92</v>
      </c>
      <c r="H825" s="13">
        <v>53.4</v>
      </c>
      <c r="I825" s="13">
        <v>49.81</v>
      </c>
      <c r="J825" s="14">
        <v>58.720087140049415</v>
      </c>
      <c r="K825" s="14">
        <v>57.082779307913583</v>
      </c>
      <c r="L825" s="14">
        <v>57.363767180300592</v>
      </c>
      <c r="M825" s="14">
        <v>61.351900000000001</v>
      </c>
      <c r="N825" s="14">
        <f t="shared" si="324"/>
        <v>55.902250000000002</v>
      </c>
      <c r="O825" s="14">
        <f t="shared" si="325"/>
        <v>58.629633407065896</v>
      </c>
      <c r="P825" s="14">
        <f t="shared" si="341"/>
        <v>57.265941703532945</v>
      </c>
      <c r="Q825" s="14">
        <v>61.099878421836408</v>
      </c>
      <c r="R825" s="17">
        <f t="shared" si="326"/>
        <v>38.900121578163592</v>
      </c>
      <c r="S825" s="14">
        <f t="shared" si="342"/>
        <v>0.45010109420347233</v>
      </c>
      <c r="T825" s="13">
        <v>0</v>
      </c>
      <c r="U825" s="13">
        <f t="shared" si="343"/>
        <v>25.775463021352436</v>
      </c>
      <c r="V825" s="13">
        <f>IF($T825=1,$AU825,(VLOOKUP(U825,'Cortes naturales'!$A$35:$C$39,3,9)))</f>
        <v>4</v>
      </c>
      <c r="W825" s="13">
        <v>4</v>
      </c>
      <c r="X825" s="14" t="b">
        <f t="shared" si="327"/>
        <v>1</v>
      </c>
      <c r="Y825" s="17">
        <f>IF($T825=1,$AU825,VLOOKUP(U825,'Cortes naturales'!$A$45:$C$49,3,9))</f>
        <v>4</v>
      </c>
      <c r="Z825" s="14">
        <v>56.294698649144692</v>
      </c>
      <c r="AA825" s="14">
        <v>0.46028452172776646</v>
      </c>
      <c r="AB825" s="14">
        <v>25.911578443530306</v>
      </c>
      <c r="AC825" s="13">
        <v>4</v>
      </c>
      <c r="AD825" s="13">
        <f t="shared" si="328"/>
        <v>0</v>
      </c>
      <c r="AE825" s="14">
        <f t="shared" si="329"/>
        <v>0.97124305438825331</v>
      </c>
      <c r="AF825" s="14">
        <f t="shared" si="330"/>
        <v>-1.0183427524294131E-2</v>
      </c>
      <c r="AG825" s="13">
        <f t="shared" si="331"/>
        <v>-0.13611542217786976</v>
      </c>
      <c r="AH825" s="13">
        <f>IF($T825=1,$AU825,VLOOKUP(U825,'Cortes naturales'!$A$25:$C$29,3,9))</f>
        <v>4</v>
      </c>
      <c r="AI825" s="13" t="b">
        <f t="shared" si="332"/>
        <v>1</v>
      </c>
      <c r="AJ825" s="13">
        <f t="shared" si="333"/>
        <v>0</v>
      </c>
      <c r="AK825" s="28">
        <v>0.6523467210059386</v>
      </c>
      <c r="AL825" s="28">
        <v>36.723662073786983</v>
      </c>
      <c r="AM825" s="28">
        <v>0.28874829031252569</v>
      </c>
      <c r="AN825" s="13">
        <v>4</v>
      </c>
      <c r="AO825" s="33">
        <f t="shared" si="334"/>
        <v>0</v>
      </c>
      <c r="AP825" s="13">
        <f t="shared" si="344"/>
        <v>28.87482903125257</v>
      </c>
      <c r="AQ825" s="13">
        <f>IFERROR(VLOOKUP(U825,'Cortes naturales'!$E$15:$G$19,3,9),U825)</f>
        <v>4</v>
      </c>
      <c r="AR825" s="28">
        <f t="shared" si="335"/>
        <v>-0.20224562680246627</v>
      </c>
      <c r="AS825" s="13" t="b">
        <f t="shared" si="336"/>
        <v>1</v>
      </c>
      <c r="AT825" s="13">
        <f t="shared" si="345"/>
        <v>0</v>
      </c>
      <c r="AU825" s="13">
        <v>4</v>
      </c>
      <c r="AV825">
        <f t="shared" si="337"/>
        <v>0</v>
      </c>
      <c r="AW825" s="13">
        <v>0</v>
      </c>
      <c r="AX825" s="13">
        <v>0</v>
      </c>
      <c r="AY825" s="13">
        <v>0</v>
      </c>
      <c r="AZ825" s="13">
        <v>0</v>
      </c>
      <c r="BA825">
        <v>0</v>
      </c>
      <c r="BB825" t="s">
        <v>2840</v>
      </c>
      <c r="BC825">
        <v>6</v>
      </c>
      <c r="BD825" t="s">
        <v>2919</v>
      </c>
      <c r="BE825">
        <v>0</v>
      </c>
      <c r="BF825" s="232" t="s">
        <v>2846</v>
      </c>
      <c r="BG825" s="232" t="s">
        <v>2846</v>
      </c>
      <c r="BH825" s="253">
        <v>45.8</v>
      </c>
      <c r="BI825" s="253">
        <v>20.471726640459632</v>
      </c>
      <c r="BJ825" s="25">
        <v>32.950613789237664</v>
      </c>
      <c r="BK825" t="s">
        <v>379</v>
      </c>
      <c r="BL825">
        <v>0</v>
      </c>
      <c r="BM825" t="s">
        <v>377</v>
      </c>
      <c r="BN825" s="322">
        <v>18371.372702000001</v>
      </c>
      <c r="BO825" s="322">
        <v>745.81989399999998</v>
      </c>
      <c r="BP825" s="10">
        <v>3397</v>
      </c>
      <c r="BQ825" s="254">
        <f t="shared" si="338"/>
        <v>5.4081167801000882</v>
      </c>
      <c r="BR825" s="254">
        <f t="shared" si="339"/>
        <v>0.21955251516043567</v>
      </c>
      <c r="BS825" s="25">
        <v>62.791365669074636</v>
      </c>
      <c r="BT825" s="25">
        <v>95.06427239721323</v>
      </c>
      <c r="BU825" s="25">
        <v>43.0070227497527</v>
      </c>
      <c r="BV825" s="25">
        <v>92.141479180547762</v>
      </c>
      <c r="BW825" s="25">
        <v>56.779119638392743</v>
      </c>
      <c r="BX825" s="25">
        <v>73.25103499914708</v>
      </c>
      <c r="BY825" s="25">
        <v>55.684482689521133</v>
      </c>
      <c r="BZ825">
        <v>44</v>
      </c>
      <c r="CA825">
        <v>0</v>
      </c>
      <c r="CB825">
        <v>7</v>
      </c>
      <c r="CC825">
        <v>12360.233333</v>
      </c>
      <c r="CD825" s="10">
        <v>2236.2593910000001</v>
      </c>
      <c r="CE825" s="255">
        <v>0.18092371970272739</v>
      </c>
      <c r="CF825" t="str">
        <f>IFERROR(VLOOKUP(CE825,'Rangos amb etnico'!$A$2:$C$6,3,9),"N.D.")</f>
        <v>0,1% - 30%</v>
      </c>
      <c r="CG825" s="256">
        <v>6.506121563345523E-5</v>
      </c>
      <c r="CH825" s="232">
        <v>0</v>
      </c>
      <c r="CI825" s="311">
        <f t="shared" si="346"/>
        <v>0</v>
      </c>
      <c r="CJ825" s="232">
        <f>IFERROR(VLOOKUP(CI825,'Rangos amb etnico'!$A$2:$C$6,3,9),"N.D.")</f>
        <v>0</v>
      </c>
      <c r="CK825" s="311">
        <f t="shared" si="347"/>
        <v>0</v>
      </c>
      <c r="CL825" s="10">
        <v>0</v>
      </c>
      <c r="CM825" s="255">
        <f t="shared" si="348"/>
        <v>0</v>
      </c>
      <c r="CN825" s="232">
        <f>IFERROR(VLOOKUP(CM825,'Rangos amb etnico'!$A$2:$C$6,3,9),"N.D.")</f>
        <v>0</v>
      </c>
      <c r="CO825" s="311">
        <f t="shared" si="349"/>
        <v>0</v>
      </c>
      <c r="CP825">
        <v>0.93933387212772046</v>
      </c>
      <c r="CQ825" t="s">
        <v>2864</v>
      </c>
      <c r="CR825">
        <f t="shared" si="340"/>
        <v>2</v>
      </c>
      <c r="CS825" t="str">
        <f t="shared" si="350"/>
        <v>No es Candidato</v>
      </c>
      <c r="CT825">
        <v>0</v>
      </c>
      <c r="CU825">
        <v>0</v>
      </c>
      <c r="CV825" s="25">
        <v>41.464279174804688</v>
      </c>
      <c r="CW825" s="25">
        <v>16.310049057006839</v>
      </c>
      <c r="CX825" s="25">
        <v>45.300601959228523</v>
      </c>
      <c r="CY825" s="25">
        <v>46.974700927734382</v>
      </c>
      <c r="CZ825" s="25">
        <v>32.825698852539063</v>
      </c>
      <c r="DA825" s="25">
        <v>56.025516510009773</v>
      </c>
      <c r="DB825" s="25">
        <v>51.349102020263672</v>
      </c>
      <c r="DC825">
        <v>17</v>
      </c>
      <c r="DD825" s="253" t="s">
        <v>380</v>
      </c>
    </row>
    <row r="826" spans="1:108" hidden="1">
      <c r="A826" s="13">
        <v>13549</v>
      </c>
      <c r="B826" s="13" t="s">
        <v>2076</v>
      </c>
      <c r="C826" s="13" t="s">
        <v>480</v>
      </c>
      <c r="D826" s="13" t="s">
        <v>481</v>
      </c>
      <c r="E826" s="13" t="s">
        <v>2077</v>
      </c>
      <c r="F826" s="14">
        <v>67.127399999999994</v>
      </c>
      <c r="G826" s="13">
        <v>13.66</v>
      </c>
      <c r="H826" s="13">
        <v>24.54</v>
      </c>
      <c r="I826" s="13">
        <v>35.76</v>
      </c>
      <c r="J826" s="14">
        <v>53.363440129797361</v>
      </c>
      <c r="K826" s="14">
        <v>51.822108927837512</v>
      </c>
      <c r="L826" s="14">
        <v>50.333958401243244</v>
      </c>
      <c r="M826" s="14">
        <v>32.333399999999997</v>
      </c>
      <c r="N826" s="14">
        <f t="shared" si="324"/>
        <v>35.271849999999993</v>
      </c>
      <c r="O826" s="14">
        <f t="shared" si="325"/>
        <v>46.96322686471953</v>
      </c>
      <c r="P826" s="14">
        <f t="shared" si="341"/>
        <v>41.117538432359765</v>
      </c>
      <c r="Q826" s="14">
        <v>60.905416743466681</v>
      </c>
      <c r="R826" s="17">
        <f t="shared" si="326"/>
        <v>39.094583256533319</v>
      </c>
      <c r="S826" s="14">
        <f t="shared" si="342"/>
        <v>0.45185124930879994</v>
      </c>
      <c r="T826" s="13">
        <v>0</v>
      </c>
      <c r="U826" s="13">
        <f t="shared" si="343"/>
        <v>18.579011109164355</v>
      </c>
      <c r="V826" s="13">
        <f>IF($T826=1,$AU826,(VLOOKUP(U826,'Cortes naturales'!$A$35:$C$39,3,9)))</f>
        <v>5</v>
      </c>
      <c r="W826" s="13">
        <v>5</v>
      </c>
      <c r="X826" s="14" t="b">
        <f t="shared" si="327"/>
        <v>1</v>
      </c>
      <c r="Y826" s="17">
        <f>IF($T826=1,$AU826,VLOOKUP(U826,'Cortes naturales'!$A$45:$C$49,3,9))</f>
        <v>5</v>
      </c>
      <c r="Z826" s="14">
        <v>47.580919480077611</v>
      </c>
      <c r="AA826" s="14">
        <v>0.45983944467573057</v>
      </c>
      <c r="AB826" s="14">
        <v>21.879583590879541</v>
      </c>
      <c r="AC826" s="13">
        <v>4</v>
      </c>
      <c r="AD826" s="13">
        <f t="shared" si="328"/>
        <v>-1</v>
      </c>
      <c r="AE826" s="14">
        <f t="shared" si="329"/>
        <v>-6.4633810477178457</v>
      </c>
      <c r="AF826" s="14">
        <f t="shared" si="330"/>
        <v>-7.9881953669306283E-3</v>
      </c>
      <c r="AG826" s="13">
        <f t="shared" si="331"/>
        <v>-3.3005724817151858</v>
      </c>
      <c r="AH826" s="13">
        <f>IF($T826=1,$AU826,VLOOKUP(U826,'Cortes naturales'!$A$25:$C$29,3,9))</f>
        <v>5</v>
      </c>
      <c r="AI826" s="13" t="b">
        <f t="shared" si="332"/>
        <v>1</v>
      </c>
      <c r="AJ826" s="13" t="str">
        <f t="shared" si="333"/>
        <v>Efecto ponderador</v>
      </c>
      <c r="AK826" s="28">
        <v>0.6523467210059386</v>
      </c>
      <c r="AL826" s="28">
        <v>31.039256805276217</v>
      </c>
      <c r="AM826" s="28">
        <v>0.21764237233140257</v>
      </c>
      <c r="AN826" s="13">
        <v>4</v>
      </c>
      <c r="AO826" s="33">
        <f t="shared" si="334"/>
        <v>-1</v>
      </c>
      <c r="AP826" s="13">
        <f t="shared" si="344"/>
        <v>21.764237233140257</v>
      </c>
      <c r="AQ826" s="13">
        <f>IFERROR(VLOOKUP(U826,'Cortes naturales'!$E$15:$G$19,3,9),U826)</f>
        <v>4</v>
      </c>
      <c r="AR826" s="28">
        <f t="shared" si="335"/>
        <v>-0.20049547169713866</v>
      </c>
      <c r="AS826" s="13" t="b">
        <f t="shared" si="336"/>
        <v>0</v>
      </c>
      <c r="AT826" s="13" t="str">
        <f t="shared" si="345"/>
        <v>Cambio en corte</v>
      </c>
      <c r="AU826" s="13">
        <v>4</v>
      </c>
      <c r="AV826">
        <f t="shared" si="337"/>
        <v>-1</v>
      </c>
      <c r="AW826" s="13">
        <v>0</v>
      </c>
      <c r="AX826" s="13">
        <v>0</v>
      </c>
      <c r="AY826" s="13">
        <v>0</v>
      </c>
      <c r="AZ826" s="13">
        <v>0</v>
      </c>
      <c r="BA826">
        <v>0</v>
      </c>
      <c r="BB826" t="s">
        <v>2841</v>
      </c>
      <c r="BC826">
        <v>6</v>
      </c>
      <c r="BD826" t="s">
        <v>2919</v>
      </c>
      <c r="BE826">
        <v>0</v>
      </c>
      <c r="BF826" s="232" t="s">
        <v>2846</v>
      </c>
      <c r="BG826" s="232" t="s">
        <v>2845</v>
      </c>
      <c r="BH826" s="253">
        <v>67.5</v>
      </c>
      <c r="BI826" s="253">
        <v>62.366696646537328</v>
      </c>
      <c r="BJ826" s="25">
        <v>8.8024137931034492</v>
      </c>
      <c r="BK826" t="s">
        <v>377</v>
      </c>
      <c r="BL826">
        <v>1.2011849073260064</v>
      </c>
      <c r="BM826" t="s">
        <v>383</v>
      </c>
      <c r="BN826" s="322">
        <v>37083.893583999998</v>
      </c>
      <c r="BO826" s="322">
        <v>389.70941499999998</v>
      </c>
      <c r="BP826" s="10">
        <v>25747</v>
      </c>
      <c r="BQ826" s="254">
        <f t="shared" si="338"/>
        <v>1.4403190113022875</v>
      </c>
      <c r="BR826" s="254">
        <f t="shared" si="339"/>
        <v>1.5136109643842001E-2</v>
      </c>
      <c r="BS826" s="25">
        <v>53.095085417888093</v>
      </c>
      <c r="BT826" s="25">
        <v>91.177753947385455</v>
      </c>
      <c r="BU826" s="25">
        <v>34.56109953703703</v>
      </c>
      <c r="BV826" s="25">
        <v>98.465148791271289</v>
      </c>
      <c r="BW826" s="25">
        <v>36.240942238980622</v>
      </c>
      <c r="BX826" s="25">
        <v>69.32477192339546</v>
      </c>
      <c r="BY826" s="25">
        <v>35.966057273546348</v>
      </c>
      <c r="BZ826">
        <v>9</v>
      </c>
      <c r="CA826">
        <v>0</v>
      </c>
      <c r="CB826">
        <v>7</v>
      </c>
      <c r="CC826">
        <v>77481.728728999995</v>
      </c>
      <c r="CD826" s="10">
        <v>3579.4968439999998</v>
      </c>
      <c r="CE826" s="255">
        <v>4.6197947602842522E-2</v>
      </c>
      <c r="CF826" t="str">
        <f>IFERROR(VLOOKUP(CE826,'Rangos amb etnico'!$A$2:$C$6,3,9),"N.D.")</f>
        <v>0,1% - 30%</v>
      </c>
      <c r="CG826" s="256">
        <v>1.0414105669674365E-4</v>
      </c>
      <c r="CH826" s="232">
        <v>0</v>
      </c>
      <c r="CI826" s="311">
        <f t="shared" si="346"/>
        <v>0</v>
      </c>
      <c r="CJ826" s="232">
        <f>IFERROR(VLOOKUP(CI826,'Rangos amb etnico'!$A$2:$C$6,3,9),"N.D.")</f>
        <v>0</v>
      </c>
      <c r="CK826" s="311">
        <f t="shared" si="347"/>
        <v>0</v>
      </c>
      <c r="CL826" s="10">
        <v>0</v>
      </c>
      <c r="CM826" s="255">
        <f t="shared" si="348"/>
        <v>0</v>
      </c>
      <c r="CN826" s="232">
        <f>IFERROR(VLOOKUP(CM826,'Rangos amb etnico'!$A$2:$C$6,3,9),"N.D.")</f>
        <v>0</v>
      </c>
      <c r="CO826" s="311">
        <f t="shared" si="349"/>
        <v>0</v>
      </c>
      <c r="CP826">
        <v>0.91244968386531555</v>
      </c>
      <c r="CQ826" t="s">
        <v>2864</v>
      </c>
      <c r="CR826">
        <f t="shared" si="340"/>
        <v>1</v>
      </c>
      <c r="CS826" t="str">
        <f t="shared" si="350"/>
        <v>No es Candidato</v>
      </c>
      <c r="CT826">
        <v>0</v>
      </c>
      <c r="CU826">
        <v>0</v>
      </c>
      <c r="CV826" s="25">
        <v>41.756320953369141</v>
      </c>
      <c r="CW826" s="25">
        <v>11.75490570068359</v>
      </c>
      <c r="CX826" s="25">
        <v>43.600719451904297</v>
      </c>
      <c r="CY826" s="25">
        <v>40.148685455322273</v>
      </c>
      <c r="CZ826" s="25">
        <v>13.730514526367189</v>
      </c>
      <c r="DA826" s="25">
        <v>97.442680358886719</v>
      </c>
      <c r="DB826" s="25">
        <v>43.860424041748047</v>
      </c>
      <c r="DC826">
        <v>1186</v>
      </c>
      <c r="DD826" s="253" t="s">
        <v>380</v>
      </c>
    </row>
    <row r="827" spans="1:108" hidden="1">
      <c r="A827" s="13">
        <v>15172</v>
      </c>
      <c r="B827" s="13" t="s">
        <v>2078</v>
      </c>
      <c r="C827" s="13" t="s">
        <v>498</v>
      </c>
      <c r="D827" s="13" t="s">
        <v>499</v>
      </c>
      <c r="E827" s="13" t="s">
        <v>2079</v>
      </c>
      <c r="F827" s="14">
        <v>45.896833333333298</v>
      </c>
      <c r="G827" s="13">
        <v>53.03</v>
      </c>
      <c r="H827" s="13">
        <v>0</v>
      </c>
      <c r="I827" s="13">
        <v>49.24</v>
      </c>
      <c r="J827" s="14">
        <v>48.450053542033018</v>
      </c>
      <c r="K827" s="14">
        <v>58.572502654734905</v>
      </c>
      <c r="L827" s="14">
        <v>50.912894550918537</v>
      </c>
      <c r="M827" s="14">
        <v>45.338999999999999</v>
      </c>
      <c r="N827" s="14">
        <f t="shared" si="324"/>
        <v>37.041708333333325</v>
      </c>
      <c r="O827" s="14">
        <f t="shared" si="325"/>
        <v>50.818612686921611</v>
      </c>
      <c r="P827" s="14">
        <f t="shared" si="341"/>
        <v>43.930160510127465</v>
      </c>
      <c r="Q827" s="14">
        <v>61.498732821597237</v>
      </c>
      <c r="R827" s="17">
        <f t="shared" si="326"/>
        <v>38.501267178402763</v>
      </c>
      <c r="S827" s="14">
        <f t="shared" si="342"/>
        <v>0.44651140460562488</v>
      </c>
      <c r="T827" s="13">
        <v>0</v>
      </c>
      <c r="U827" s="13">
        <f t="shared" si="343"/>
        <v>19.615317673927567</v>
      </c>
      <c r="V827" s="13">
        <f>IF($T827=1,$AU827,(VLOOKUP(U827,'Cortes naturales'!$A$35:$C$39,3,9)))</f>
        <v>5</v>
      </c>
      <c r="W827" s="13">
        <v>5</v>
      </c>
      <c r="X827" s="14" t="b">
        <f t="shared" si="327"/>
        <v>1</v>
      </c>
      <c r="Y827" s="17">
        <f>IF($T827=1,$AU827,VLOOKUP(U827,'Cortes naturales'!$A$45:$C$49,3,9))</f>
        <v>5</v>
      </c>
      <c r="Z827" s="14">
        <v>49.862786444518434</v>
      </c>
      <c r="AA827" s="14">
        <v>0.459652597731385</v>
      </c>
      <c r="AB827" s="14">
        <v>22.919559319348188</v>
      </c>
      <c r="AC827" s="13">
        <v>4</v>
      </c>
      <c r="AD827" s="13">
        <f t="shared" si="328"/>
        <v>-1</v>
      </c>
      <c r="AE827" s="14">
        <f t="shared" si="329"/>
        <v>-5.9326259343909697</v>
      </c>
      <c r="AF827" s="14">
        <f t="shared" si="330"/>
        <v>-1.314119312576012E-2</v>
      </c>
      <c r="AG827" s="13">
        <f t="shared" si="331"/>
        <v>-3.3042416454206212</v>
      </c>
      <c r="AH827" s="13">
        <f>IF($T827=1,$AU827,VLOOKUP(U827,'Cortes naturales'!$A$25:$C$29,3,9))</f>
        <v>5</v>
      </c>
      <c r="AI827" s="13" t="b">
        <f t="shared" si="332"/>
        <v>1</v>
      </c>
      <c r="AJ827" s="13" t="str">
        <f t="shared" si="333"/>
        <v>Efecto ponderador</v>
      </c>
      <c r="AK827" s="28">
        <v>0.6523467210059386</v>
      </c>
      <c r="AL827" s="28">
        <v>32.527825237300966</v>
      </c>
      <c r="AM827" s="28">
        <v>0.23626279431700301</v>
      </c>
      <c r="AN827" s="13">
        <v>4</v>
      </c>
      <c r="AO827" s="33">
        <f t="shared" si="334"/>
        <v>-1</v>
      </c>
      <c r="AP827" s="13">
        <f t="shared" si="344"/>
        <v>23.626279431700301</v>
      </c>
      <c r="AQ827" s="13">
        <f>IFERROR(VLOOKUP(U827,'Cortes naturales'!$E$15:$G$19,3,9),U827)</f>
        <v>4</v>
      </c>
      <c r="AR827" s="28">
        <f t="shared" si="335"/>
        <v>-0.20583531640031372</v>
      </c>
      <c r="AS827" s="13" t="b">
        <f t="shared" si="336"/>
        <v>0</v>
      </c>
      <c r="AT827" s="13" t="str">
        <f t="shared" si="345"/>
        <v>Cambio en corte</v>
      </c>
      <c r="AU827" s="13">
        <v>4</v>
      </c>
      <c r="AV827">
        <f t="shared" si="337"/>
        <v>-1</v>
      </c>
      <c r="AW827" s="13">
        <v>0</v>
      </c>
      <c r="AX827" s="13">
        <v>0</v>
      </c>
      <c r="AY827" s="13">
        <v>0</v>
      </c>
      <c r="AZ827" s="13">
        <v>0</v>
      </c>
      <c r="BA827">
        <v>0</v>
      </c>
      <c r="BB827" t="s">
        <v>2840</v>
      </c>
      <c r="BC827">
        <v>6</v>
      </c>
      <c r="BD827" t="s">
        <v>2919</v>
      </c>
      <c r="BE827">
        <v>0</v>
      </c>
      <c r="BF827" s="232" t="s">
        <v>2846</v>
      </c>
      <c r="BG827" s="232" t="s">
        <v>2846</v>
      </c>
      <c r="BH827" s="253">
        <v>41.1</v>
      </c>
      <c r="BI827" s="253">
        <v>13.359319631467045</v>
      </c>
      <c r="BJ827" s="25">
        <v>50.519105363423215</v>
      </c>
      <c r="BK827" t="s">
        <v>376</v>
      </c>
      <c r="BL827">
        <v>0</v>
      </c>
      <c r="BM827" t="s">
        <v>377</v>
      </c>
      <c r="BN827" s="322">
        <v>10414.361133</v>
      </c>
      <c r="BO827" s="322">
        <v>1057.9557010000001</v>
      </c>
      <c r="BP827" s="10">
        <v>3093</v>
      </c>
      <c r="BQ827" s="254">
        <f t="shared" si="338"/>
        <v>3.3670744044616878</v>
      </c>
      <c r="BR827" s="254">
        <f t="shared" si="339"/>
        <v>0.34204839993533787</v>
      </c>
      <c r="BS827" s="25">
        <v>64.545274007038714</v>
      </c>
      <c r="BT827" s="25">
        <v>80.773791390236013</v>
      </c>
      <c r="BU827" s="25">
        <v>24.886243386243361</v>
      </c>
      <c r="BV827" s="25">
        <v>95.722043602070968</v>
      </c>
      <c r="BW827" s="25">
        <v>52.119871210208963</v>
      </c>
      <c r="BX827" s="25">
        <v>66.481838096397269</v>
      </c>
      <c r="BY827" s="25">
        <v>51.624303836189831</v>
      </c>
      <c r="BZ827">
        <v>98</v>
      </c>
      <c r="CA827">
        <v>0</v>
      </c>
      <c r="CB827">
        <v>7</v>
      </c>
      <c r="CC827">
        <v>13613.765641</v>
      </c>
      <c r="CD827" s="10">
        <v>6634.7468520000002</v>
      </c>
      <c r="CE827" s="255">
        <v>0.48735574175145302</v>
      </c>
      <c r="CF827" t="str">
        <f>IFERROR(VLOOKUP(CE827,'Rangos amb etnico'!$A$2:$C$6,3,9),"N.D.")</f>
        <v>31% - 50%</v>
      </c>
      <c r="CG827" s="256">
        <v>1.9302979669917917E-4</v>
      </c>
      <c r="CH827" s="232">
        <v>0</v>
      </c>
      <c r="CI827" s="311">
        <f t="shared" si="346"/>
        <v>0</v>
      </c>
      <c r="CJ827" s="232">
        <f>IFERROR(VLOOKUP(CI827,'Rangos amb etnico'!$A$2:$C$6,3,9),"N.D.")</f>
        <v>0</v>
      </c>
      <c r="CK827" s="311">
        <f t="shared" si="347"/>
        <v>0</v>
      </c>
      <c r="CL827" s="10">
        <v>0</v>
      </c>
      <c r="CM827" s="255">
        <f t="shared" si="348"/>
        <v>0</v>
      </c>
      <c r="CN827" s="232">
        <f>IFERROR(VLOOKUP(CM827,'Rangos amb etnico'!$A$2:$C$6,3,9),"N.D.")</f>
        <v>0</v>
      </c>
      <c r="CO827" s="311">
        <f t="shared" si="349"/>
        <v>0</v>
      </c>
      <c r="CP827">
        <v>0.94375053525423791</v>
      </c>
      <c r="CQ827" t="s">
        <v>2864</v>
      </c>
      <c r="CR827">
        <f t="shared" si="340"/>
        <v>1</v>
      </c>
      <c r="CS827" t="str">
        <f t="shared" si="350"/>
        <v>No es Candidato</v>
      </c>
      <c r="CT827">
        <v>0</v>
      </c>
      <c r="CU827">
        <v>0</v>
      </c>
      <c r="CV827" s="25">
        <v>55.771034240722663</v>
      </c>
      <c r="CW827" s="25">
        <v>21.560794830322269</v>
      </c>
      <c r="CX827" s="25">
        <v>46.222846984863281</v>
      </c>
      <c r="CY827" s="25">
        <v>63.906524658203118</v>
      </c>
      <c r="CZ827" s="25">
        <v>59.079502105712891</v>
      </c>
      <c r="DA827" s="25">
        <v>61.981204986572273</v>
      </c>
      <c r="DB827" s="25">
        <v>81.875335693359375</v>
      </c>
      <c r="DC827">
        <v>20</v>
      </c>
      <c r="DD827" s="253" t="s">
        <v>380</v>
      </c>
    </row>
    <row r="828" spans="1:108" hidden="1">
      <c r="A828" s="13">
        <v>54109</v>
      </c>
      <c r="B828" s="13" t="s">
        <v>2080</v>
      </c>
      <c r="C828" s="13" t="s">
        <v>517</v>
      </c>
      <c r="D828" s="13" t="s">
        <v>518</v>
      </c>
      <c r="E828" s="13" t="s">
        <v>2081</v>
      </c>
      <c r="F828" s="14">
        <v>70.960666666666697</v>
      </c>
      <c r="G828" s="13">
        <v>88.24</v>
      </c>
      <c r="H828" s="13">
        <v>78.39</v>
      </c>
      <c r="I828" s="13">
        <v>83.45</v>
      </c>
      <c r="J828" s="14">
        <v>55.418454055979169</v>
      </c>
      <c r="K828" s="14">
        <v>55.741765858972478</v>
      </c>
      <c r="L828" s="14">
        <v>56.394895322798405</v>
      </c>
      <c r="M828" s="14">
        <v>48.922699999999999</v>
      </c>
      <c r="N828" s="14">
        <f t="shared" si="324"/>
        <v>80.260166666666663</v>
      </c>
      <c r="O828" s="14">
        <f t="shared" si="325"/>
        <v>54.119453809437509</v>
      </c>
      <c r="P828" s="14">
        <f t="shared" si="341"/>
        <v>67.18981023805209</v>
      </c>
      <c r="Q828" s="14">
        <v>60.43058099568109</v>
      </c>
      <c r="R828" s="17">
        <f t="shared" si="326"/>
        <v>39.56941900431891</v>
      </c>
      <c r="S828" s="14">
        <f t="shared" si="342"/>
        <v>0.45612477103887017</v>
      </c>
      <c r="T828" s="13">
        <v>0</v>
      </c>
      <c r="U828" s="13">
        <f t="shared" si="343"/>
        <v>30.646936810976644</v>
      </c>
      <c r="V828" s="13">
        <f>IF($T828=1,$AU828,(VLOOKUP(U828,'Cortes naturales'!$A$35:$C$39,3,9)))</f>
        <v>3</v>
      </c>
      <c r="W828" s="13">
        <v>3</v>
      </c>
      <c r="X828" s="14" t="b">
        <f t="shared" si="327"/>
        <v>1</v>
      </c>
      <c r="Y828" s="17">
        <f>IF($T828=1,$AU828,VLOOKUP(U828,'Cortes naturales'!$A$45:$C$49,3,9))</f>
        <v>3</v>
      </c>
      <c r="Z828" s="14">
        <v>65.358168012603983</v>
      </c>
      <c r="AA828" s="14">
        <v>0.45961967365762146</v>
      </c>
      <c r="AB828" s="14">
        <v>30.039899852813036</v>
      </c>
      <c r="AC828" s="13">
        <v>3</v>
      </c>
      <c r="AD828" s="13">
        <f t="shared" si="328"/>
        <v>0</v>
      </c>
      <c r="AE828" s="14">
        <f t="shared" si="329"/>
        <v>1.8316422254481068</v>
      </c>
      <c r="AF828" s="14">
        <f t="shared" si="330"/>
        <v>-3.4949026187512944E-3</v>
      </c>
      <c r="AG828" s="13">
        <f t="shared" si="331"/>
        <v>0.60703695816360792</v>
      </c>
      <c r="AH828" s="13">
        <f>IF($T828=1,$AU828,VLOOKUP(U828,'Cortes naturales'!$A$25:$C$29,3,9))</f>
        <v>3</v>
      </c>
      <c r="AI828" s="13" t="b">
        <f t="shared" si="332"/>
        <v>1</v>
      </c>
      <c r="AJ828" s="13">
        <f t="shared" si="333"/>
        <v>0</v>
      </c>
      <c r="AK828" s="28">
        <v>0.6523467210059386</v>
      </c>
      <c r="AL828" s="28">
        <v>42.636186593977428</v>
      </c>
      <c r="AM828" s="28">
        <v>0.36270773967180475</v>
      </c>
      <c r="AN828" s="13">
        <v>3</v>
      </c>
      <c r="AO828" s="33">
        <f t="shared" si="334"/>
        <v>0</v>
      </c>
      <c r="AP828" s="13">
        <f t="shared" si="344"/>
        <v>36.270773967180475</v>
      </c>
      <c r="AQ828" s="13">
        <f>IFERROR(VLOOKUP(U828,'Cortes naturales'!$E$15:$G$19,3,9),U828)</f>
        <v>4</v>
      </c>
      <c r="AR828" s="28">
        <f t="shared" si="335"/>
        <v>-0.19622194996706843</v>
      </c>
      <c r="AS828" s="13" t="b">
        <f t="shared" si="336"/>
        <v>0</v>
      </c>
      <c r="AT828" s="13">
        <f t="shared" si="345"/>
        <v>0</v>
      </c>
      <c r="AU828" s="13">
        <v>4</v>
      </c>
      <c r="AV828">
        <f t="shared" si="337"/>
        <v>1</v>
      </c>
      <c r="AW828" s="13">
        <v>0</v>
      </c>
      <c r="AX828" s="13">
        <v>0</v>
      </c>
      <c r="AY828" s="13">
        <v>0</v>
      </c>
      <c r="AZ828" s="13">
        <v>0</v>
      </c>
      <c r="BA828">
        <v>1</v>
      </c>
      <c r="BB828" t="s">
        <v>2841</v>
      </c>
      <c r="BC828">
        <v>6</v>
      </c>
      <c r="BD828" t="s">
        <v>2919</v>
      </c>
      <c r="BE828">
        <v>0</v>
      </c>
      <c r="BF828" s="232" t="s">
        <v>2846</v>
      </c>
      <c r="BG828" s="232" t="s">
        <v>2846</v>
      </c>
      <c r="BH828" s="253">
        <v>67.900000000000006</v>
      </c>
      <c r="BI828" s="253">
        <v>36.675180928054495</v>
      </c>
      <c r="BJ828" s="25">
        <v>71.768500619578688</v>
      </c>
      <c r="BK828" t="s">
        <v>376</v>
      </c>
      <c r="BL828">
        <v>5.757179261766356</v>
      </c>
      <c r="BM828" t="s">
        <v>379</v>
      </c>
      <c r="BN828" s="322">
        <v>18430.978052999999</v>
      </c>
      <c r="BO828" s="322">
        <v>859.61487599999998</v>
      </c>
      <c r="BP828" s="10">
        <v>7559</v>
      </c>
      <c r="BQ828" s="254">
        <f t="shared" si="338"/>
        <v>2.4382825840719669</v>
      </c>
      <c r="BR828" s="254">
        <f t="shared" si="339"/>
        <v>0.11372071385103849</v>
      </c>
      <c r="BS828" s="25">
        <v>50.259475221723143</v>
      </c>
      <c r="BT828" s="25">
        <v>85.769722626449706</v>
      </c>
      <c r="BU828" s="25">
        <v>31.805322156476009</v>
      </c>
      <c r="BV828" s="25">
        <v>95.832882048351848</v>
      </c>
      <c r="BW828" s="25">
        <v>49.81662223131913</v>
      </c>
      <c r="BX828" s="25">
        <v>65.916850513250168</v>
      </c>
      <c r="BY828" s="25">
        <v>50.464826342859233</v>
      </c>
      <c r="BZ828">
        <v>73</v>
      </c>
      <c r="CA828">
        <v>0</v>
      </c>
      <c r="CB828">
        <v>7</v>
      </c>
      <c r="CC828">
        <v>27025.103608000001</v>
      </c>
      <c r="CD828" s="10">
        <v>1193.379678</v>
      </c>
      <c r="CE828" s="255">
        <v>4.4158190670052951E-2</v>
      </c>
      <c r="CF828" t="str">
        <f>IFERROR(VLOOKUP(CE828,'Rangos amb etnico'!$A$2:$C$6,3,9),"N.D.")</f>
        <v>0,1% - 30%</v>
      </c>
      <c r="CG828" s="256">
        <v>3.4719913474894987E-5</v>
      </c>
      <c r="CH828" s="232">
        <v>0</v>
      </c>
      <c r="CI828" s="311">
        <f t="shared" si="346"/>
        <v>0</v>
      </c>
      <c r="CJ828" s="232">
        <f>IFERROR(VLOOKUP(CI828,'Rangos amb etnico'!$A$2:$C$6,3,9),"N.D.")</f>
        <v>0</v>
      </c>
      <c r="CK828" s="311">
        <f t="shared" si="347"/>
        <v>0</v>
      </c>
      <c r="CL828" s="10">
        <v>11750.0708467</v>
      </c>
      <c r="CM828" s="255">
        <f t="shared" si="348"/>
        <v>0.43478356335410057</v>
      </c>
      <c r="CN828" s="232" t="str">
        <f>IFERROR(VLOOKUP(CM828,'Rangos amb etnico'!$A$2:$C$6,3,9),"N.D.")</f>
        <v>31% - 50%</v>
      </c>
      <c r="CO828" s="311">
        <f t="shared" si="349"/>
        <v>7.3685510456445967E-3</v>
      </c>
      <c r="CP828">
        <v>0.96962756985135212</v>
      </c>
      <c r="CQ828" t="s">
        <v>2864</v>
      </c>
      <c r="CR828">
        <f t="shared" si="340"/>
        <v>2</v>
      </c>
      <c r="CS828" t="str">
        <f t="shared" si="350"/>
        <v>No es Candidato</v>
      </c>
      <c r="CT828">
        <v>0</v>
      </c>
      <c r="CU828">
        <v>0</v>
      </c>
      <c r="CV828" s="25">
        <v>40.776390075683587</v>
      </c>
      <c r="CW828" s="25">
        <v>13.59106349945068</v>
      </c>
      <c r="CX828" s="25">
        <v>45.999179840087891</v>
      </c>
      <c r="CY828" s="25">
        <v>46.246837615966797</v>
      </c>
      <c r="CZ828" s="25">
        <v>18.152738571166989</v>
      </c>
      <c r="DA828" s="25">
        <v>75.763526916503906</v>
      </c>
      <c r="DB828" s="25">
        <v>44.904983520507813</v>
      </c>
      <c r="DC828">
        <v>83</v>
      </c>
      <c r="DD828" s="253" t="s">
        <v>380</v>
      </c>
    </row>
    <row r="829" spans="1:108" hidden="1">
      <c r="A829" s="13">
        <v>73043</v>
      </c>
      <c r="B829" s="13" t="s">
        <v>2082</v>
      </c>
      <c r="C829" s="13" t="s">
        <v>595</v>
      </c>
      <c r="D829" s="13" t="s">
        <v>596</v>
      </c>
      <c r="E829" s="13" t="s">
        <v>2083</v>
      </c>
      <c r="F829" s="14">
        <v>63.785899999999998</v>
      </c>
      <c r="G829" s="13">
        <v>48.3</v>
      </c>
      <c r="H829" s="13">
        <v>61.42</v>
      </c>
      <c r="I829" s="13">
        <v>61.99</v>
      </c>
      <c r="J829" s="14">
        <v>43.626770677772171</v>
      </c>
      <c r="K829" s="14">
        <v>50.44643624610508</v>
      </c>
      <c r="L829" s="14">
        <v>51.421201260663537</v>
      </c>
      <c r="M829" s="14">
        <v>49.410800000000002</v>
      </c>
      <c r="N829" s="14">
        <f t="shared" si="324"/>
        <v>58.873975000000002</v>
      </c>
      <c r="O829" s="14">
        <f t="shared" si="325"/>
        <v>48.726302046135196</v>
      </c>
      <c r="P829" s="14">
        <f t="shared" si="341"/>
        <v>53.800138523067602</v>
      </c>
      <c r="Q829" s="14">
        <v>60.883944736484686</v>
      </c>
      <c r="R829" s="17">
        <f t="shared" si="326"/>
        <v>39.116055263515314</v>
      </c>
      <c r="S829" s="14">
        <f t="shared" si="342"/>
        <v>0.45204449737163788</v>
      </c>
      <c r="T829" s="13">
        <v>0</v>
      </c>
      <c r="U829" s="13">
        <f t="shared" si="343"/>
        <v>24.320056577184587</v>
      </c>
      <c r="V829" s="13">
        <f>IF($T829=1,$AU829,(VLOOKUP(U829,'Cortes naturales'!$A$35:$C$39,3,9)))</f>
        <v>4</v>
      </c>
      <c r="W829" s="13">
        <v>4</v>
      </c>
      <c r="X829" s="14" t="b">
        <f t="shared" si="327"/>
        <v>1</v>
      </c>
      <c r="Y829" s="17">
        <f>IF($T829=1,$AU829,VLOOKUP(U829,'Cortes naturales'!$A$45:$C$49,3,9))</f>
        <v>4</v>
      </c>
      <c r="Z829" s="14">
        <v>54.001217784937495</v>
      </c>
      <c r="AA829" s="14">
        <v>0.45784769427331451</v>
      </c>
      <c r="AB829" s="14">
        <v>24.724333050784736</v>
      </c>
      <c r="AC829" s="13">
        <v>4</v>
      </c>
      <c r="AD829" s="13">
        <f t="shared" si="328"/>
        <v>0</v>
      </c>
      <c r="AE829" s="14">
        <f t="shared" si="329"/>
        <v>-0.20107926186989289</v>
      </c>
      <c r="AF829" s="14">
        <f t="shared" si="330"/>
        <v>-5.8031969016766327E-3</v>
      </c>
      <c r="AG829" s="13">
        <f t="shared" si="331"/>
        <v>-0.40427647360014873</v>
      </c>
      <c r="AH829" s="13">
        <f>IF($T829=1,$AU829,VLOOKUP(U829,'Cortes naturales'!$A$25:$C$29,3,9))</f>
        <v>4</v>
      </c>
      <c r="AI829" s="13" t="b">
        <f t="shared" si="332"/>
        <v>1</v>
      </c>
      <c r="AJ829" s="13">
        <f t="shared" si="333"/>
        <v>0</v>
      </c>
      <c r="AK829" s="28">
        <v>0.6523467210059386</v>
      </c>
      <c r="AL829" s="28">
        <v>35.227517352331553</v>
      </c>
      <c r="AM829" s="28">
        <v>0.27003309693230926</v>
      </c>
      <c r="AN829" s="13">
        <v>4</v>
      </c>
      <c r="AO829" s="33">
        <f t="shared" si="334"/>
        <v>0</v>
      </c>
      <c r="AP829" s="13">
        <f t="shared" si="344"/>
        <v>27.003309693230925</v>
      </c>
      <c r="AQ829" s="13">
        <f>IFERROR(VLOOKUP(U829,'Cortes naturales'!$E$15:$G$19,3,9),U829)</f>
        <v>4</v>
      </c>
      <c r="AR829" s="28">
        <f t="shared" si="335"/>
        <v>-0.20030222363430072</v>
      </c>
      <c r="AS829" s="13" t="b">
        <f t="shared" si="336"/>
        <v>1</v>
      </c>
      <c r="AT829" s="13">
        <f t="shared" si="345"/>
        <v>0</v>
      </c>
      <c r="AU829" s="13">
        <v>4</v>
      </c>
      <c r="AV829">
        <f t="shared" si="337"/>
        <v>0</v>
      </c>
      <c r="AW829" s="13">
        <v>0</v>
      </c>
      <c r="AX829" s="13">
        <v>0</v>
      </c>
      <c r="AY829" s="13">
        <v>0</v>
      </c>
      <c r="AZ829" s="13">
        <v>0</v>
      </c>
      <c r="BA829">
        <v>1</v>
      </c>
      <c r="BB829" t="s">
        <v>2841</v>
      </c>
      <c r="BC829">
        <v>6</v>
      </c>
      <c r="BD829" t="s">
        <v>2919</v>
      </c>
      <c r="BE829">
        <v>1</v>
      </c>
      <c r="BF829" s="232" t="s">
        <v>2846</v>
      </c>
      <c r="BG829" s="232" t="s">
        <v>2845</v>
      </c>
      <c r="BH829" s="253">
        <v>55.8</v>
      </c>
      <c r="BI829" s="253">
        <v>20.906336451060465</v>
      </c>
      <c r="BJ829" s="25">
        <v>3.0666666666666664</v>
      </c>
      <c r="BK829" t="s">
        <v>381</v>
      </c>
      <c r="BL829">
        <v>7.8626243057830196</v>
      </c>
      <c r="BM829" t="s">
        <v>379</v>
      </c>
      <c r="BN829" s="322">
        <v>30095.955428000001</v>
      </c>
      <c r="BO829" s="322">
        <v>1705.6888759999999</v>
      </c>
      <c r="BP829" s="10">
        <v>10590</v>
      </c>
      <c r="BQ829" s="254">
        <f t="shared" si="338"/>
        <v>2.8419221367327667</v>
      </c>
      <c r="BR829" s="254">
        <f t="shared" si="339"/>
        <v>0.16106599395656279</v>
      </c>
      <c r="BS829" s="25">
        <v>62.393766991142677</v>
      </c>
      <c r="BT829" s="25">
        <v>89.700038722064846</v>
      </c>
      <c r="BU829" s="25">
        <v>51.892862796833782</v>
      </c>
      <c r="BV829" s="25">
        <v>91.535224392243038</v>
      </c>
      <c r="BW829" s="25">
        <v>47.236455989611237</v>
      </c>
      <c r="BX829" s="25">
        <v>73.88047322557108</v>
      </c>
      <c r="BY829" s="25">
        <v>48.453787808670917</v>
      </c>
      <c r="BZ829">
        <v>18</v>
      </c>
      <c r="CA829">
        <v>0</v>
      </c>
      <c r="CB829">
        <v>7</v>
      </c>
      <c r="CC829">
        <v>46946.925976999999</v>
      </c>
      <c r="CD829" s="10">
        <v>40576.502737000003</v>
      </c>
      <c r="CE829" s="255">
        <v>0.86430584947945344</v>
      </c>
      <c r="CF829" t="str">
        <f>IFERROR(VLOOKUP(CE829,'Rangos amb etnico'!$A$2:$C$6,3,9),"N.D.")</f>
        <v>71% - 100%</v>
      </c>
      <c r="CG829" s="256">
        <v>1.1805234244507386E-3</v>
      </c>
      <c r="CH829" s="232">
        <v>0</v>
      </c>
      <c r="CI829" s="311">
        <f t="shared" si="346"/>
        <v>0</v>
      </c>
      <c r="CJ829" s="232">
        <f>IFERROR(VLOOKUP(CI829,'Rangos amb etnico'!$A$2:$C$6,3,9),"N.D.")</f>
        <v>0</v>
      </c>
      <c r="CK829" s="311">
        <f t="shared" si="347"/>
        <v>0</v>
      </c>
      <c r="CL829" s="10">
        <v>15166.8345212</v>
      </c>
      <c r="CM829" s="255">
        <f t="shared" si="348"/>
        <v>0.3230634212052661</v>
      </c>
      <c r="CN829" s="232" t="str">
        <f>IFERROR(VLOOKUP(CM829,'Rangos amb etnico'!$A$2:$C$6,3,9),"N.D.")</f>
        <v>31% - 50%</v>
      </c>
      <c r="CO829" s="311">
        <f t="shared" si="349"/>
        <v>9.5112272792545645E-3</v>
      </c>
      <c r="CP829">
        <v>0.94535945856005332</v>
      </c>
      <c r="CQ829" t="s">
        <v>2864</v>
      </c>
      <c r="CR829">
        <f t="shared" si="340"/>
        <v>2</v>
      </c>
      <c r="CS829" t="str">
        <f t="shared" si="350"/>
        <v>No es Candidato</v>
      </c>
      <c r="CT829">
        <v>0</v>
      </c>
      <c r="CU829">
        <v>0</v>
      </c>
      <c r="CV829" s="25">
        <v>45.321990966796882</v>
      </c>
      <c r="CW829" s="25">
        <v>18.76899528503418</v>
      </c>
      <c r="CX829" s="25">
        <v>48.655296325683587</v>
      </c>
      <c r="CY829" s="25">
        <v>55.522823333740227</v>
      </c>
      <c r="CZ829" s="25">
        <v>35.144081115722663</v>
      </c>
      <c r="DA829" s="25">
        <v>53.956699371337891</v>
      </c>
      <c r="DB829" s="25">
        <v>59.884048461914063</v>
      </c>
      <c r="DC829">
        <v>113</v>
      </c>
      <c r="DD829" s="253" t="s">
        <v>380</v>
      </c>
    </row>
    <row r="830" spans="1:108" hidden="1">
      <c r="A830" s="13">
        <v>54743</v>
      </c>
      <c r="B830" s="13" t="s">
        <v>2084</v>
      </c>
      <c r="C830" s="13" t="s">
        <v>517</v>
      </c>
      <c r="D830" s="13" t="s">
        <v>518</v>
      </c>
      <c r="E830" s="13" t="s">
        <v>2085</v>
      </c>
      <c r="F830" s="14">
        <v>62.198066666666698</v>
      </c>
      <c r="G830" s="13">
        <v>72.16</v>
      </c>
      <c r="H830" s="13">
        <v>61.58</v>
      </c>
      <c r="I830" s="13">
        <v>55.03</v>
      </c>
      <c r="J830" s="14">
        <v>53.608138404065656</v>
      </c>
      <c r="K830" s="14">
        <v>61.933453273528023</v>
      </c>
      <c r="L830" s="14">
        <v>53.505172019989672</v>
      </c>
      <c r="M830" s="14">
        <v>61.692599999999999</v>
      </c>
      <c r="N830" s="14">
        <f t="shared" si="324"/>
        <v>62.742016666666679</v>
      </c>
      <c r="O830" s="14">
        <f t="shared" si="325"/>
        <v>57.684840924395836</v>
      </c>
      <c r="P830" s="14">
        <f t="shared" si="341"/>
        <v>60.213428795531257</v>
      </c>
      <c r="Q830" s="14">
        <v>62.097899551237433</v>
      </c>
      <c r="R830" s="17">
        <f t="shared" si="326"/>
        <v>37.902100448762567</v>
      </c>
      <c r="S830" s="14">
        <f t="shared" si="342"/>
        <v>0.44111890403886311</v>
      </c>
      <c r="T830" s="13">
        <v>0</v>
      </c>
      <c r="U830" s="13">
        <f t="shared" si="343"/>
        <v>26.561281718706869</v>
      </c>
      <c r="V830" s="13">
        <f>IF($T830=1,$AU830,(VLOOKUP(U830,'Cortes naturales'!$A$35:$C$39,3,9)))</f>
        <v>4</v>
      </c>
      <c r="W830" s="13">
        <v>4</v>
      </c>
      <c r="X830" s="14" t="b">
        <f t="shared" si="327"/>
        <v>1</v>
      </c>
      <c r="Y830" s="17">
        <f>IF($T830=1,$AU830,VLOOKUP(U830,'Cortes naturales'!$A$45:$C$49,3,9))</f>
        <v>4</v>
      </c>
      <c r="Z830" s="14">
        <v>59.277221617063319</v>
      </c>
      <c r="AA830" s="14">
        <v>0.46047527780171116</v>
      </c>
      <c r="AB830" s="14">
        <v>27.295695091430829</v>
      </c>
      <c r="AC830" s="13">
        <v>4</v>
      </c>
      <c r="AD830" s="13">
        <f t="shared" si="328"/>
        <v>0</v>
      </c>
      <c r="AE830" s="14">
        <f t="shared" si="329"/>
        <v>0.93620717846793866</v>
      </c>
      <c r="AF830" s="14">
        <f t="shared" si="330"/>
        <v>-1.9356373762848045E-2</v>
      </c>
      <c r="AG830" s="13">
        <f t="shared" si="331"/>
        <v>-0.73441337272396012</v>
      </c>
      <c r="AH830" s="13">
        <f>IF($T830=1,$AU830,VLOOKUP(U830,'Cortes naturales'!$A$25:$C$29,3,9))</f>
        <v>4</v>
      </c>
      <c r="AI830" s="13" t="b">
        <f t="shared" si="332"/>
        <v>1</v>
      </c>
      <c r="AJ830" s="13">
        <f t="shared" si="333"/>
        <v>0</v>
      </c>
      <c r="AK830" s="28">
        <v>0.6523467210059386</v>
      </c>
      <c r="AL830" s="28">
        <v>38.669301152233601</v>
      </c>
      <c r="AM830" s="28">
        <v>0.31308618428698859</v>
      </c>
      <c r="AN830" s="13">
        <v>4</v>
      </c>
      <c r="AO830" s="33">
        <f t="shared" si="334"/>
        <v>0</v>
      </c>
      <c r="AP830" s="13">
        <f t="shared" si="344"/>
        <v>31.30861842869886</v>
      </c>
      <c r="AQ830" s="13">
        <f>IFERROR(VLOOKUP(U830,'Cortes naturales'!$E$15:$G$19,3,9),U830)</f>
        <v>4</v>
      </c>
      <c r="AR830" s="28">
        <f t="shared" si="335"/>
        <v>-0.21122781696707549</v>
      </c>
      <c r="AS830" s="13" t="b">
        <f t="shared" si="336"/>
        <v>1</v>
      </c>
      <c r="AT830" s="13">
        <f t="shared" si="345"/>
        <v>0</v>
      </c>
      <c r="AU830" s="13">
        <v>4</v>
      </c>
      <c r="AV830">
        <f t="shared" si="337"/>
        <v>0</v>
      </c>
      <c r="AW830" s="13">
        <v>0</v>
      </c>
      <c r="AX830" s="13">
        <v>0</v>
      </c>
      <c r="AY830" s="13">
        <v>0</v>
      </c>
      <c r="AZ830" s="13">
        <v>0</v>
      </c>
      <c r="BA830">
        <v>0</v>
      </c>
      <c r="BB830" t="s">
        <v>2841</v>
      </c>
      <c r="BC830">
        <v>6</v>
      </c>
      <c r="BD830" t="s">
        <v>2919</v>
      </c>
      <c r="BE830">
        <v>1</v>
      </c>
      <c r="BF830" s="232" t="s">
        <v>2846</v>
      </c>
      <c r="BG830" s="232" t="s">
        <v>2846</v>
      </c>
      <c r="BH830" s="253">
        <v>46.6</v>
      </c>
      <c r="BI830" s="253">
        <v>14.773323997899528</v>
      </c>
      <c r="BJ830" s="25">
        <v>27.166666666666668</v>
      </c>
      <c r="BK830" t="s">
        <v>379</v>
      </c>
      <c r="BL830">
        <v>0.10482372637351965</v>
      </c>
      <c r="BM830" t="s">
        <v>377</v>
      </c>
      <c r="BN830" s="322">
        <v>15534.925119</v>
      </c>
      <c r="BO830" s="322">
        <v>2104.5658119999998</v>
      </c>
      <c r="BP830" s="10">
        <v>7166</v>
      </c>
      <c r="BQ830" s="254">
        <f t="shared" si="338"/>
        <v>2.1678656320122802</v>
      </c>
      <c r="BR830" s="254">
        <f t="shared" si="339"/>
        <v>0.29368766564331561</v>
      </c>
      <c r="BS830" s="25">
        <v>60.274801216541881</v>
      </c>
      <c r="BT830" s="25">
        <v>79.730817983068192</v>
      </c>
      <c r="BU830" s="25">
        <v>35.645594747289643</v>
      </c>
      <c r="BV830" s="25">
        <v>98.845729546773214</v>
      </c>
      <c r="BW830" s="25">
        <v>56.31318129371207</v>
      </c>
      <c r="BX830" s="25">
        <v>68.624235873418229</v>
      </c>
      <c r="BY830" s="25">
        <v>57.574197614315104</v>
      </c>
      <c r="BZ830">
        <v>24</v>
      </c>
      <c r="CA830">
        <v>0</v>
      </c>
      <c r="CB830">
        <v>7</v>
      </c>
      <c r="CC830">
        <v>39148.988310000001</v>
      </c>
      <c r="CD830" s="10">
        <v>26189.360414999999</v>
      </c>
      <c r="CE830" s="255">
        <v>0.66896646747600208</v>
      </c>
      <c r="CF830" t="str">
        <f>IFERROR(VLOOKUP(CE830,'Rangos amb etnico'!$A$2:$C$6,3,9),"N.D.")</f>
        <v>51% - 70%</v>
      </c>
      <c r="CG830" s="256">
        <v>7.6194721959362867E-4</v>
      </c>
      <c r="CH830" s="232">
        <v>0</v>
      </c>
      <c r="CI830" s="311">
        <f t="shared" si="346"/>
        <v>0</v>
      </c>
      <c r="CJ830" s="232">
        <f>IFERROR(VLOOKUP(CI830,'Rangos amb etnico'!$A$2:$C$6,3,9),"N.D.")</f>
        <v>0</v>
      </c>
      <c r="CK830" s="311">
        <f t="shared" si="347"/>
        <v>0</v>
      </c>
      <c r="CL830" s="10">
        <v>0</v>
      </c>
      <c r="CM830" s="255">
        <f t="shared" si="348"/>
        <v>0</v>
      </c>
      <c r="CN830" s="232">
        <f>IFERROR(VLOOKUP(CM830,'Rangos amb etnico'!$A$2:$C$6,3,9),"N.D.")</f>
        <v>0</v>
      </c>
      <c r="CO830" s="311">
        <f t="shared" si="349"/>
        <v>0</v>
      </c>
      <c r="CP830">
        <v>0.92470425577199833</v>
      </c>
      <c r="CQ830" t="s">
        <v>2864</v>
      </c>
      <c r="CR830">
        <f t="shared" si="340"/>
        <v>2</v>
      </c>
      <c r="CS830" t="str">
        <f t="shared" si="350"/>
        <v>No es Candidato</v>
      </c>
      <c r="CT830">
        <v>0</v>
      </c>
      <c r="CU830">
        <v>0</v>
      </c>
      <c r="CV830" s="25">
        <v>55.875514984130859</v>
      </c>
      <c r="CW830" s="25">
        <v>17.822772979736332</v>
      </c>
      <c r="CX830" s="25">
        <v>51.368457794189453</v>
      </c>
      <c r="CY830" s="25">
        <v>59.132743835449219</v>
      </c>
      <c r="CZ830" s="25">
        <v>52.917430877685547</v>
      </c>
      <c r="DA830" s="25">
        <v>82.603889465332031</v>
      </c>
      <c r="DB830" s="25">
        <v>71.407798767089844</v>
      </c>
      <c r="DC830">
        <v>72</v>
      </c>
      <c r="DD830" s="253" t="s">
        <v>380</v>
      </c>
    </row>
    <row r="831" spans="1:108" hidden="1">
      <c r="A831" s="13">
        <v>54125</v>
      </c>
      <c r="B831" s="13" t="s">
        <v>2086</v>
      </c>
      <c r="C831" s="13" t="s">
        <v>517</v>
      </c>
      <c r="D831" s="13" t="s">
        <v>518</v>
      </c>
      <c r="E831" s="13" t="s">
        <v>2087</v>
      </c>
      <c r="F831" s="14">
        <v>68.935866666666698</v>
      </c>
      <c r="G831" s="13">
        <v>74.25</v>
      </c>
      <c r="H831" s="13">
        <v>79.930000000000007</v>
      </c>
      <c r="I831" s="13">
        <v>83.86</v>
      </c>
      <c r="J831" s="14">
        <v>46.595762407104345</v>
      </c>
      <c r="K831" s="14">
        <v>53.788967092936851</v>
      </c>
      <c r="L831" s="14">
        <v>48.040270282723377</v>
      </c>
      <c r="M831" s="14">
        <v>46.4497</v>
      </c>
      <c r="N831" s="14">
        <f t="shared" si="324"/>
        <v>76.74396666666668</v>
      </c>
      <c r="O831" s="14">
        <f t="shared" si="325"/>
        <v>48.718674945691149</v>
      </c>
      <c r="P831" s="14">
        <f t="shared" si="341"/>
        <v>62.731320806178914</v>
      </c>
      <c r="Q831" s="14">
        <v>60.772044622928192</v>
      </c>
      <c r="R831" s="17">
        <f t="shared" si="326"/>
        <v>39.227955377071808</v>
      </c>
      <c r="S831" s="14">
        <f t="shared" si="342"/>
        <v>0.45305159839364628</v>
      </c>
      <c r="T831" s="13">
        <v>0</v>
      </c>
      <c r="U831" s="13">
        <f t="shared" si="343"/>
        <v>28.420525160583956</v>
      </c>
      <c r="V831" s="13">
        <f>IF($T831=1,$AU831,(VLOOKUP(U831,'Cortes naturales'!$A$35:$C$39,3,9)))</f>
        <v>4</v>
      </c>
      <c r="W831" s="13">
        <v>4</v>
      </c>
      <c r="X831" s="14" t="b">
        <f t="shared" si="327"/>
        <v>1</v>
      </c>
      <c r="Y831" s="17">
        <f>IF($T831=1,$AU831,VLOOKUP(U831,'Cortes naturales'!$A$45:$C$49,3,9))</f>
        <v>3</v>
      </c>
      <c r="Z831" s="14">
        <v>60.815962339357384</v>
      </c>
      <c r="AA831" s="14">
        <v>0.45952556886069662</v>
      </c>
      <c r="AB831" s="14">
        <v>27.946489689803904</v>
      </c>
      <c r="AC831" s="13">
        <v>3</v>
      </c>
      <c r="AD831" s="13">
        <f t="shared" si="328"/>
        <v>0</v>
      </c>
      <c r="AE831" s="14">
        <f t="shared" si="329"/>
        <v>1.9153584668215302</v>
      </c>
      <c r="AF831" s="14">
        <f t="shared" si="330"/>
        <v>-6.4739704670503384E-3</v>
      </c>
      <c r="AG831" s="13">
        <f t="shared" si="331"/>
        <v>0.47403547078005204</v>
      </c>
      <c r="AH831" s="13">
        <f>IF($T831=1,$AU831,VLOOKUP(U831,'Cortes naturales'!$A$25:$C$29,3,9))</f>
        <v>3</v>
      </c>
      <c r="AI831" s="13" t="b">
        <f t="shared" si="332"/>
        <v>1</v>
      </c>
      <c r="AJ831" s="13">
        <f t="shared" si="333"/>
        <v>0</v>
      </c>
      <c r="AK831" s="28">
        <v>0.6523467210059386</v>
      </c>
      <c r="AL831" s="28">
        <v>39.673093616900438</v>
      </c>
      <c r="AM831" s="28">
        <v>0.32564256992297774</v>
      </c>
      <c r="AN831" s="13">
        <v>4</v>
      </c>
      <c r="AO831" s="33">
        <f t="shared" si="334"/>
        <v>1</v>
      </c>
      <c r="AP831" s="13">
        <f t="shared" si="344"/>
        <v>32.564256992297771</v>
      </c>
      <c r="AQ831" s="13">
        <f>IFERROR(VLOOKUP(U831,'Cortes naturales'!$E$15:$G$19,3,9),U831)</f>
        <v>4</v>
      </c>
      <c r="AR831" s="28">
        <f t="shared" si="335"/>
        <v>-0.19929512261229232</v>
      </c>
      <c r="AS831" s="13" t="b">
        <f t="shared" si="336"/>
        <v>0</v>
      </c>
      <c r="AT831" s="13" t="str">
        <f t="shared" si="345"/>
        <v>Cambio en corte</v>
      </c>
      <c r="AU831" s="13">
        <v>4</v>
      </c>
      <c r="AV831">
        <f t="shared" si="337"/>
        <v>1</v>
      </c>
      <c r="AW831" s="13">
        <v>0</v>
      </c>
      <c r="AX831" s="13">
        <v>0</v>
      </c>
      <c r="AY831" s="13">
        <v>0</v>
      </c>
      <c r="AZ831" s="13">
        <v>0</v>
      </c>
      <c r="BA831">
        <v>0</v>
      </c>
      <c r="BB831" t="s">
        <v>2840</v>
      </c>
      <c r="BC831">
        <v>6</v>
      </c>
      <c r="BD831" t="s">
        <v>2919</v>
      </c>
      <c r="BE831">
        <v>1</v>
      </c>
      <c r="BF831" s="232" t="s">
        <v>2846</v>
      </c>
      <c r="BG831" s="232" t="s">
        <v>2846</v>
      </c>
      <c r="BH831" s="253">
        <v>48.9</v>
      </c>
      <c r="BI831" s="253">
        <v>23.797282409107602</v>
      </c>
      <c r="BJ831" s="25">
        <v>12.028571428571428</v>
      </c>
      <c r="BK831" t="s">
        <v>377</v>
      </c>
      <c r="BL831">
        <v>0</v>
      </c>
      <c r="BM831" t="s">
        <v>377</v>
      </c>
      <c r="BN831" s="322">
        <v>11929.785562999999</v>
      </c>
      <c r="BO831" s="322">
        <v>661.89299400000004</v>
      </c>
      <c r="BP831" s="10">
        <v>3121</v>
      </c>
      <c r="BQ831" s="254">
        <f t="shared" si="338"/>
        <v>3.8224240829862222</v>
      </c>
      <c r="BR831" s="254">
        <f t="shared" si="339"/>
        <v>0.2120772169176546</v>
      </c>
      <c r="BS831" s="25">
        <v>57.126101271423551</v>
      </c>
      <c r="BT831" s="25">
        <v>94.103118658549604</v>
      </c>
      <c r="BU831" s="25">
        <v>36.315355528154527</v>
      </c>
      <c r="BV831" s="25">
        <v>96.106676914873717</v>
      </c>
      <c r="BW831" s="25">
        <v>55.370313701592814</v>
      </c>
      <c r="BX831" s="25">
        <v>70.91281309325035</v>
      </c>
      <c r="BY831" s="25">
        <v>56.16394503022682</v>
      </c>
      <c r="BZ831">
        <v>24</v>
      </c>
      <c r="CA831">
        <v>0</v>
      </c>
      <c r="CB831">
        <v>7</v>
      </c>
      <c r="CC831">
        <v>13862.005660999999</v>
      </c>
      <c r="CD831" s="10">
        <v>4758.7463660000003</v>
      </c>
      <c r="CE831" s="255">
        <v>0.3432942160302585</v>
      </c>
      <c r="CF831" t="str">
        <f>IFERROR(VLOOKUP(CE831,'Rangos amb etnico'!$A$2:$C$6,3,9),"N.D.")</f>
        <v>31% - 50%</v>
      </c>
      <c r="CG831" s="256">
        <v>1.3844987066764092E-4</v>
      </c>
      <c r="CH831" s="232">
        <v>0</v>
      </c>
      <c r="CI831" s="311">
        <f t="shared" si="346"/>
        <v>0</v>
      </c>
      <c r="CJ831" s="232">
        <f>IFERROR(VLOOKUP(CI831,'Rangos amb etnico'!$A$2:$C$6,3,9),"N.D.")</f>
        <v>0</v>
      </c>
      <c r="CK831" s="311">
        <f t="shared" si="347"/>
        <v>0</v>
      </c>
      <c r="CL831" s="10">
        <v>0</v>
      </c>
      <c r="CM831" s="255">
        <f t="shared" si="348"/>
        <v>0</v>
      </c>
      <c r="CN831" s="232">
        <f>IFERROR(VLOOKUP(CM831,'Rangos amb etnico'!$A$2:$C$6,3,9),"N.D.")</f>
        <v>0</v>
      </c>
      <c r="CO831" s="311">
        <f t="shared" si="349"/>
        <v>0</v>
      </c>
      <c r="CP831">
        <v>0.93693091564937525</v>
      </c>
      <c r="CQ831" t="s">
        <v>2864</v>
      </c>
      <c r="CR831">
        <f t="shared" si="340"/>
        <v>2</v>
      </c>
      <c r="CS831" t="str">
        <f t="shared" si="350"/>
        <v>No es Candidato</v>
      </c>
      <c r="CT831">
        <v>0</v>
      </c>
      <c r="CU831">
        <v>0</v>
      </c>
      <c r="CV831" s="25">
        <v>54.739360809326172</v>
      </c>
      <c r="CW831" s="25">
        <v>21.945798873901371</v>
      </c>
      <c r="CX831" s="25">
        <v>50.703216552734382</v>
      </c>
      <c r="CY831" s="25">
        <v>69.833236694335938</v>
      </c>
      <c r="CZ831" s="25">
        <v>36.957164764404297</v>
      </c>
      <c r="DA831" s="25">
        <v>94.86041259765625</v>
      </c>
      <c r="DB831" s="25">
        <v>54.136322021484382</v>
      </c>
      <c r="DC831">
        <v>16</v>
      </c>
      <c r="DD831" s="253" t="s">
        <v>380</v>
      </c>
    </row>
    <row r="832" spans="1:108" hidden="1">
      <c r="A832" s="13">
        <v>54344</v>
      </c>
      <c r="B832" s="13" t="s">
        <v>2088</v>
      </c>
      <c r="C832" s="13" t="s">
        <v>517</v>
      </c>
      <c r="D832" s="13" t="s">
        <v>518</v>
      </c>
      <c r="E832" s="13" t="s">
        <v>2089</v>
      </c>
      <c r="F832" s="14">
        <v>56.250633333333298</v>
      </c>
      <c r="G832" s="13">
        <v>59.12</v>
      </c>
      <c r="H832" s="13">
        <v>61.06</v>
      </c>
      <c r="I832" s="13">
        <v>56.92</v>
      </c>
      <c r="J832" s="14">
        <v>48.329989079647717</v>
      </c>
      <c r="K832" s="14">
        <v>51.634289131544193</v>
      </c>
      <c r="L832" s="14">
        <v>53.008849405083332</v>
      </c>
      <c r="M832" s="14">
        <v>54.443399999999997</v>
      </c>
      <c r="N832" s="14">
        <f t="shared" si="324"/>
        <v>58.337658333333323</v>
      </c>
      <c r="O832" s="14">
        <f t="shared" si="325"/>
        <v>51.854131904068808</v>
      </c>
      <c r="P832" s="14">
        <f t="shared" si="341"/>
        <v>55.095895118701065</v>
      </c>
      <c r="Q832" s="14">
        <v>61.390438132885613</v>
      </c>
      <c r="R832" s="17">
        <f t="shared" si="326"/>
        <v>38.609561867114387</v>
      </c>
      <c r="S832" s="14">
        <f t="shared" si="342"/>
        <v>0.44748605680402953</v>
      </c>
      <c r="T832" s="13">
        <v>0</v>
      </c>
      <c r="U832" s="13">
        <f t="shared" si="343"/>
        <v>24.654644852755919</v>
      </c>
      <c r="V832" s="13">
        <f>IF($T832=1,$AU832,(VLOOKUP(U832,'Cortes naturales'!$A$35:$C$39,3,9)))</f>
        <v>4</v>
      </c>
      <c r="W832" s="13">
        <v>4</v>
      </c>
      <c r="X832" s="14" t="b">
        <f t="shared" si="327"/>
        <v>1</v>
      </c>
      <c r="Y832" s="17">
        <f>IF($T832=1,$AU832,VLOOKUP(U832,'Cortes naturales'!$A$45:$C$49,3,9))</f>
        <v>4</v>
      </c>
      <c r="Z832" s="14">
        <v>55.924929802468441</v>
      </c>
      <c r="AA832" s="14">
        <v>0.45808205386037204</v>
      </c>
      <c r="AB832" s="14">
        <v>25.618206705911874</v>
      </c>
      <c r="AC832" s="13">
        <v>4</v>
      </c>
      <c r="AD832" s="13">
        <f t="shared" si="328"/>
        <v>0</v>
      </c>
      <c r="AE832" s="14">
        <f t="shared" si="329"/>
        <v>-0.82903468376737521</v>
      </c>
      <c r="AF832" s="14">
        <f t="shared" si="330"/>
        <v>-1.059599705634251E-2</v>
      </c>
      <c r="AG832" s="13">
        <f t="shared" si="331"/>
        <v>-0.96356185315595511</v>
      </c>
      <c r="AH832" s="13">
        <f>IF($T832=1,$AU832,VLOOKUP(U832,'Cortes naturales'!$A$25:$C$29,3,9))</f>
        <v>4</v>
      </c>
      <c r="AI832" s="13" t="b">
        <f t="shared" si="332"/>
        <v>1</v>
      </c>
      <c r="AJ832" s="13">
        <f t="shared" si="333"/>
        <v>0</v>
      </c>
      <c r="AK832" s="28">
        <v>0.6523467210059386</v>
      </c>
      <c r="AL832" s="28">
        <v>36.482444579127581</v>
      </c>
      <c r="AM832" s="28">
        <v>0.28573091372154291</v>
      </c>
      <c r="AN832" s="13">
        <v>4</v>
      </c>
      <c r="AO832" s="33">
        <f t="shared" si="334"/>
        <v>0</v>
      </c>
      <c r="AP832" s="13">
        <f t="shared" si="344"/>
        <v>28.573091372154291</v>
      </c>
      <c r="AQ832" s="13">
        <f>IFERROR(VLOOKUP(U832,'Cortes naturales'!$E$15:$G$19,3,9),U832)</f>
        <v>4</v>
      </c>
      <c r="AR832" s="28">
        <f t="shared" si="335"/>
        <v>-0.20486066420190907</v>
      </c>
      <c r="AS832" s="13" t="b">
        <f t="shared" si="336"/>
        <v>1</v>
      </c>
      <c r="AT832" s="13">
        <f t="shared" si="345"/>
        <v>0</v>
      </c>
      <c r="AU832" s="13">
        <v>4</v>
      </c>
      <c r="AV832">
        <f t="shared" si="337"/>
        <v>0</v>
      </c>
      <c r="AW832" s="13">
        <v>0</v>
      </c>
      <c r="AX832" s="13">
        <v>0</v>
      </c>
      <c r="AY832" s="13">
        <v>0</v>
      </c>
      <c r="AZ832" s="13">
        <v>1</v>
      </c>
      <c r="BA832">
        <v>1</v>
      </c>
      <c r="BB832" t="s">
        <v>2841</v>
      </c>
      <c r="BC832">
        <v>6</v>
      </c>
      <c r="BD832" t="s">
        <v>2919</v>
      </c>
      <c r="BE832">
        <v>1</v>
      </c>
      <c r="BF832" s="232" t="s">
        <v>2846</v>
      </c>
      <c r="BG832" s="232" t="s">
        <v>2846</v>
      </c>
      <c r="BH832" s="253">
        <v>73.400000000000006</v>
      </c>
      <c r="BI832" s="253">
        <v>42.350862606526711</v>
      </c>
      <c r="BJ832" s="25">
        <v>50.779840816679638</v>
      </c>
      <c r="BK832" t="s">
        <v>376</v>
      </c>
      <c r="BL832">
        <v>34.144444491700035</v>
      </c>
      <c r="BM832" t="s">
        <v>384</v>
      </c>
      <c r="BN832" s="322">
        <v>32489.182742000001</v>
      </c>
      <c r="BO832" s="322">
        <v>664.85801500000002</v>
      </c>
      <c r="BP832" s="10">
        <v>10775</v>
      </c>
      <c r="BQ832" s="254">
        <f t="shared" si="338"/>
        <v>3.0152373774477961</v>
      </c>
      <c r="BR832" s="254">
        <f t="shared" si="339"/>
        <v>6.1703760092807425E-2</v>
      </c>
      <c r="BS832" s="25">
        <v>63.583005798402127</v>
      </c>
      <c r="BT832" s="25">
        <v>98.19004666666666</v>
      </c>
      <c r="BU832" s="25">
        <v>38.113333333333337</v>
      </c>
      <c r="BV832" s="25">
        <v>98.053395989595586</v>
      </c>
      <c r="BW832" s="25">
        <v>47.092822616329293</v>
      </c>
      <c r="BX832" s="25">
        <v>74.484945446999433</v>
      </c>
      <c r="BY832" s="25">
        <v>48.576739397682999</v>
      </c>
      <c r="BZ832">
        <v>14</v>
      </c>
      <c r="CA832">
        <v>0</v>
      </c>
      <c r="CB832">
        <v>7</v>
      </c>
      <c r="CC832">
        <v>41821.019383999999</v>
      </c>
      <c r="CD832" s="10">
        <v>13670.773934999999</v>
      </c>
      <c r="CE832" s="255">
        <v>0.32688763058296472</v>
      </c>
      <c r="CF832" t="str">
        <f>IFERROR(VLOOKUP(CE832,'Rangos amb etnico'!$A$2:$C$6,3,9),"N.D.")</f>
        <v>31% - 50%</v>
      </c>
      <c r="CG832" s="256">
        <v>3.9773434801028146E-4</v>
      </c>
      <c r="CH832" s="232">
        <v>0</v>
      </c>
      <c r="CI832" s="311">
        <f t="shared" si="346"/>
        <v>0</v>
      </c>
      <c r="CJ832" s="232">
        <f>IFERROR(VLOOKUP(CI832,'Rangos amb etnico'!$A$2:$C$6,3,9),"N.D.")</f>
        <v>0</v>
      </c>
      <c r="CK832" s="311">
        <f t="shared" si="347"/>
        <v>0</v>
      </c>
      <c r="CL832" s="10">
        <v>11859.5785797999</v>
      </c>
      <c r="CM832" s="255">
        <f t="shared" si="348"/>
        <v>0.28357937598090138</v>
      </c>
      <c r="CN832" s="232" t="str">
        <f>IFERROR(VLOOKUP(CM832,'Rangos amb etnico'!$A$2:$C$6,3,9),"N.D.")</f>
        <v>0,1% - 30%</v>
      </c>
      <c r="CO832" s="311">
        <f t="shared" si="349"/>
        <v>7.4372241057279794E-3</v>
      </c>
      <c r="CP832">
        <v>0.95651483742708376</v>
      </c>
      <c r="CQ832" t="s">
        <v>2864</v>
      </c>
      <c r="CR832">
        <f t="shared" si="340"/>
        <v>1</v>
      </c>
      <c r="CS832" t="str">
        <f t="shared" si="350"/>
        <v>No es Candidato</v>
      </c>
      <c r="CT832">
        <v>0</v>
      </c>
      <c r="CU832">
        <v>0</v>
      </c>
      <c r="CV832" s="25">
        <v>41.375801086425781</v>
      </c>
      <c r="CW832" s="25">
        <v>15.453804969787599</v>
      </c>
      <c r="CX832" s="25">
        <v>50.145206451416023</v>
      </c>
      <c r="CY832" s="25">
        <v>36.253135681152337</v>
      </c>
      <c r="CZ832" s="25">
        <v>19.340957641601559</v>
      </c>
      <c r="DA832" s="25">
        <v>71.954620361328125</v>
      </c>
      <c r="DB832" s="25">
        <v>55.107070922851563</v>
      </c>
      <c r="DC832">
        <v>86</v>
      </c>
      <c r="DD832" s="253" t="s">
        <v>380</v>
      </c>
    </row>
    <row r="833" spans="1:108" hidden="1">
      <c r="A833" s="13">
        <v>68160</v>
      </c>
      <c r="B833" s="13" t="s">
        <v>2090</v>
      </c>
      <c r="C833" s="13" t="s">
        <v>431</v>
      </c>
      <c r="D833" s="13" t="s">
        <v>432</v>
      </c>
      <c r="E833" s="13" t="s">
        <v>2091</v>
      </c>
      <c r="F833" s="14">
        <v>52.629933333333298</v>
      </c>
      <c r="G833" s="13">
        <v>58.73</v>
      </c>
      <c r="H833" s="13">
        <v>47.6</v>
      </c>
      <c r="I833" s="13">
        <v>43.03</v>
      </c>
      <c r="J833" s="14">
        <v>47.778824306521081</v>
      </c>
      <c r="K833" s="14">
        <v>49.615441578723917</v>
      </c>
      <c r="L833" s="14">
        <v>59.485177151951518</v>
      </c>
      <c r="M833" s="14">
        <v>42.929499999999997</v>
      </c>
      <c r="N833" s="14">
        <f t="shared" si="324"/>
        <v>50.497483333333321</v>
      </c>
      <c r="O833" s="14">
        <f t="shared" si="325"/>
        <v>49.952235759299128</v>
      </c>
      <c r="P833" s="14">
        <f t="shared" si="341"/>
        <v>50.224859546316225</v>
      </c>
      <c r="Q833" s="14">
        <v>60.583589337416356</v>
      </c>
      <c r="R833" s="17">
        <f t="shared" si="326"/>
        <v>39.416410662583644</v>
      </c>
      <c r="S833" s="14">
        <f t="shared" si="342"/>
        <v>0.45474769596325282</v>
      </c>
      <c r="T833" s="13">
        <v>0</v>
      </c>
      <c r="U833" s="13">
        <f t="shared" si="343"/>
        <v>22.839639158765287</v>
      </c>
      <c r="V833" s="13">
        <f>IF($T833=1,$AU833,(VLOOKUP(U833,'Cortes naturales'!$A$35:$C$39,3,9)))</f>
        <v>4</v>
      </c>
      <c r="W833" s="13">
        <v>4</v>
      </c>
      <c r="X833" s="14" t="b">
        <f t="shared" si="327"/>
        <v>1</v>
      </c>
      <c r="Y833" s="17">
        <f>IF($T833=1,$AU833,VLOOKUP(U833,'Cortes naturales'!$A$45:$C$49,3,9))</f>
        <v>4</v>
      </c>
      <c r="Z833" s="14">
        <v>51.748779403740123</v>
      </c>
      <c r="AA833" s="14">
        <v>0.46008754846020194</v>
      </c>
      <c r="AB833" s="14">
        <v>23.808969051674584</v>
      </c>
      <c r="AC833" s="13">
        <v>4</v>
      </c>
      <c r="AD833" s="13">
        <f t="shared" si="328"/>
        <v>0</v>
      </c>
      <c r="AE833" s="14">
        <f t="shared" si="329"/>
        <v>-1.5239198574238983</v>
      </c>
      <c r="AF833" s="14">
        <f t="shared" si="330"/>
        <v>-5.3398524969491268E-3</v>
      </c>
      <c r="AG833" s="13">
        <f t="shared" si="331"/>
        <v>-0.96932989290929683</v>
      </c>
      <c r="AH833" s="13">
        <f>IF($T833=1,$AU833,VLOOKUP(U833,'Cortes naturales'!$A$25:$C$29,3,9))</f>
        <v>4</v>
      </c>
      <c r="AI833" s="13" t="b">
        <f t="shared" si="332"/>
        <v>1</v>
      </c>
      <c r="AJ833" s="13">
        <f t="shared" si="333"/>
        <v>0</v>
      </c>
      <c r="AK833" s="28">
        <v>0.6523467210059386</v>
      </c>
      <c r="AL833" s="28">
        <v>33.758146560089521</v>
      </c>
      <c r="AM833" s="28">
        <v>0.25165281718417082</v>
      </c>
      <c r="AN833" s="13">
        <v>4</v>
      </c>
      <c r="AO833" s="33">
        <f t="shared" si="334"/>
        <v>0</v>
      </c>
      <c r="AP833" s="13">
        <f t="shared" si="344"/>
        <v>25.165281718417081</v>
      </c>
      <c r="AQ833" s="13">
        <f>IFERROR(VLOOKUP(U833,'Cortes naturales'!$E$15:$G$19,3,9),U833)</f>
        <v>4</v>
      </c>
      <c r="AR833" s="28">
        <f t="shared" si="335"/>
        <v>-0.19759902504268578</v>
      </c>
      <c r="AS833" s="13" t="b">
        <f t="shared" si="336"/>
        <v>1</v>
      </c>
      <c r="AT833" s="13">
        <f t="shared" si="345"/>
        <v>0</v>
      </c>
      <c r="AU833" s="13">
        <v>4</v>
      </c>
      <c r="AV833">
        <f t="shared" si="337"/>
        <v>0</v>
      </c>
      <c r="AW833" s="13">
        <v>0</v>
      </c>
      <c r="AX833" s="13">
        <v>0</v>
      </c>
      <c r="AY833" s="13">
        <v>0</v>
      </c>
      <c r="AZ833" s="13">
        <v>0</v>
      </c>
      <c r="BA833">
        <v>0</v>
      </c>
      <c r="BB833" t="s">
        <v>2840</v>
      </c>
      <c r="BC833">
        <v>6</v>
      </c>
      <c r="BD833" t="s">
        <v>2919</v>
      </c>
      <c r="BE833">
        <v>0</v>
      </c>
      <c r="BF833" s="232" t="s">
        <v>2846</v>
      </c>
      <c r="BG833" s="232" t="s">
        <v>2846</v>
      </c>
      <c r="BH833" s="253">
        <v>32</v>
      </c>
      <c r="BI833" s="253">
        <v>12.680577849117174</v>
      </c>
      <c r="BJ833" s="25">
        <v>0.5</v>
      </c>
      <c r="BK833" t="s">
        <v>381</v>
      </c>
      <c r="BL833">
        <v>0</v>
      </c>
      <c r="BM833" t="s">
        <v>377</v>
      </c>
      <c r="BN833" s="322">
        <v>6624.069477</v>
      </c>
      <c r="BO833" s="322">
        <v>360.70051699999999</v>
      </c>
      <c r="BP833" s="10">
        <v>2167</v>
      </c>
      <c r="BQ833" s="254">
        <f t="shared" si="338"/>
        <v>3.0567925597600367</v>
      </c>
      <c r="BR833" s="254">
        <f t="shared" si="339"/>
        <v>0.16645155376095985</v>
      </c>
      <c r="BS833" s="25">
        <v>53.403559330370037</v>
      </c>
      <c r="BT833" s="25">
        <v>91.216735886786637</v>
      </c>
      <c r="BU833" s="25">
        <v>48.735748759585</v>
      </c>
      <c r="BV833" s="25">
        <v>99.301876777788834</v>
      </c>
      <c r="BW833" s="25">
        <v>45.450026545145782</v>
      </c>
      <c r="BX833" s="25">
        <v>73.164480188632623</v>
      </c>
      <c r="BY833" s="25">
        <v>48.699556870387987</v>
      </c>
      <c r="BZ833">
        <v>58</v>
      </c>
      <c r="CA833">
        <v>0</v>
      </c>
      <c r="CB833">
        <v>7</v>
      </c>
      <c r="CC833">
        <v>10775.16423</v>
      </c>
      <c r="CD833" s="10">
        <v>954.61308299999996</v>
      </c>
      <c r="CE833" s="255">
        <v>8.8593831390725811E-2</v>
      </c>
      <c r="CF833" t="str">
        <f>IFERROR(VLOOKUP(CE833,'Rangos amb etnico'!$A$2:$C$6,3,9),"N.D.")</f>
        <v>0,1% - 30%</v>
      </c>
      <c r="CG833" s="256">
        <v>2.7773293156214402E-5</v>
      </c>
      <c r="CH833" s="232">
        <v>0</v>
      </c>
      <c r="CI833" s="311">
        <f t="shared" si="346"/>
        <v>0</v>
      </c>
      <c r="CJ833" s="232">
        <f>IFERROR(VLOOKUP(CI833,'Rangos amb etnico'!$A$2:$C$6,3,9),"N.D.")</f>
        <v>0</v>
      </c>
      <c r="CK833" s="311">
        <f t="shared" si="347"/>
        <v>0</v>
      </c>
      <c r="CL833" s="10">
        <v>0</v>
      </c>
      <c r="CM833" s="255">
        <f t="shared" si="348"/>
        <v>0</v>
      </c>
      <c r="CN833" s="232">
        <f>IFERROR(VLOOKUP(CM833,'Rangos amb etnico'!$A$2:$C$6,3,9),"N.D.")</f>
        <v>0</v>
      </c>
      <c r="CO833" s="311">
        <f t="shared" si="349"/>
        <v>0</v>
      </c>
      <c r="CP833">
        <v>0.91729135008613072</v>
      </c>
      <c r="CQ833" t="s">
        <v>2864</v>
      </c>
      <c r="CR833">
        <f t="shared" si="340"/>
        <v>1</v>
      </c>
      <c r="CS833" t="str">
        <f t="shared" si="350"/>
        <v>No es Candidato</v>
      </c>
      <c r="CT833">
        <v>0</v>
      </c>
      <c r="CU833">
        <v>0</v>
      </c>
      <c r="CV833" s="25">
        <v>63.420051574707031</v>
      </c>
      <c r="CW833" s="25">
        <v>21.918703079223629</v>
      </c>
      <c r="CX833" s="25">
        <v>59.236763000488281</v>
      </c>
      <c r="CY833" s="25">
        <v>79.776206970214844</v>
      </c>
      <c r="CZ833" s="25">
        <v>54.455635070800781</v>
      </c>
      <c r="DA833" s="25">
        <v>99.050636291503906</v>
      </c>
      <c r="DB833" s="25">
        <v>66.082359313964844</v>
      </c>
      <c r="DC833">
        <v>13</v>
      </c>
      <c r="DD833" s="253" t="s">
        <v>380</v>
      </c>
    </row>
    <row r="834" spans="1:108">
      <c r="A834" s="13">
        <v>5107</v>
      </c>
      <c r="B834" s="13" t="s">
        <v>2092</v>
      </c>
      <c r="C834" s="13" t="s">
        <v>435</v>
      </c>
      <c r="D834" s="13" t="s">
        <v>436</v>
      </c>
      <c r="E834" s="13" t="s">
        <v>1794</v>
      </c>
      <c r="F834" s="14">
        <v>54.394199999999998</v>
      </c>
      <c r="G834" s="13">
        <v>46.55</v>
      </c>
      <c r="H834" s="13">
        <v>65.14</v>
      </c>
      <c r="I834" s="13">
        <v>62.97</v>
      </c>
      <c r="J834" s="14">
        <v>64.333484494487607</v>
      </c>
      <c r="K834" s="14">
        <v>68.256752855489992</v>
      </c>
      <c r="L834" s="14">
        <v>59.308561029942382</v>
      </c>
      <c r="M834" s="14">
        <v>55.4313</v>
      </c>
      <c r="N834" s="14">
        <f t="shared" si="324"/>
        <v>57.263550000000002</v>
      </c>
      <c r="O834" s="14">
        <f t="shared" si="325"/>
        <v>61.832524594979994</v>
      </c>
      <c r="P834" s="14">
        <f t="shared" si="341"/>
        <v>59.548037297489998</v>
      </c>
      <c r="Q834" s="14">
        <v>61.079954284401538</v>
      </c>
      <c r="R834" s="17">
        <f t="shared" si="326"/>
        <v>38.920045715598462</v>
      </c>
      <c r="S834" s="14">
        <f t="shared" si="342"/>
        <v>0.45028041144038622</v>
      </c>
      <c r="T834" s="13">
        <v>0</v>
      </c>
      <c r="U834" s="13">
        <f t="shared" si="343"/>
        <v>26.813314734781262</v>
      </c>
      <c r="V834" s="13">
        <f>IF($T834=1,$AU834,(VLOOKUP(U834,'Cortes naturales'!$A$35:$C$39,3,9)))</f>
        <v>4</v>
      </c>
      <c r="W834" s="13">
        <v>4</v>
      </c>
      <c r="X834" s="14" t="b">
        <f t="shared" si="327"/>
        <v>1</v>
      </c>
      <c r="Y834" s="17">
        <f>IF($T834=1,$AU834,VLOOKUP(U834,'Cortes naturales'!$A$45:$C$49,3,9))</f>
        <v>4</v>
      </c>
      <c r="Z834" s="14">
        <v>58.965416382159191</v>
      </c>
      <c r="AA834" s="14">
        <v>0.45980089440735739</v>
      </c>
      <c r="AB834" s="14">
        <v>27.112351191619041</v>
      </c>
      <c r="AC834" s="13">
        <v>4</v>
      </c>
      <c r="AD834" s="13">
        <f t="shared" si="328"/>
        <v>0</v>
      </c>
      <c r="AE834" s="14">
        <f t="shared" si="329"/>
        <v>0.58262091533080707</v>
      </c>
      <c r="AF834" s="14">
        <f t="shared" si="330"/>
        <v>-9.5204829669711666E-3</v>
      </c>
      <c r="AG834" s="13">
        <f t="shared" si="331"/>
        <v>-0.29903645683777924</v>
      </c>
      <c r="AH834" s="13">
        <f>IF($T834=1,$AU834,VLOOKUP(U834,'Cortes naturales'!$A$25:$C$29,3,9))</f>
        <v>4</v>
      </c>
      <c r="AI834" s="13" t="b">
        <f t="shared" si="332"/>
        <v>1</v>
      </c>
      <c r="AJ834" s="13">
        <f t="shared" si="333"/>
        <v>0</v>
      </c>
      <c r="AK834" s="28">
        <v>0.6523467210059386</v>
      </c>
      <c r="AL834" s="28">
        <v>38.465896029651404</v>
      </c>
      <c r="AM834" s="28">
        <v>0.31054180061269449</v>
      </c>
      <c r="AN834" s="13">
        <v>4</v>
      </c>
      <c r="AO834" s="33">
        <f t="shared" si="334"/>
        <v>0</v>
      </c>
      <c r="AP834" s="13">
        <f t="shared" si="344"/>
        <v>31.054180061269449</v>
      </c>
      <c r="AQ834" s="13">
        <f>IFERROR(VLOOKUP(U834,'Cortes naturales'!$E$15:$G$19,3,9),U834)</f>
        <v>4</v>
      </c>
      <c r="AR834" s="28">
        <f t="shared" si="335"/>
        <v>-0.20206630956555238</v>
      </c>
      <c r="AS834" s="13" t="b">
        <f t="shared" si="336"/>
        <v>1</v>
      </c>
      <c r="AT834" s="13">
        <f t="shared" si="345"/>
        <v>0</v>
      </c>
      <c r="AU834" s="13">
        <v>3</v>
      </c>
      <c r="AV834">
        <f t="shared" si="337"/>
        <v>-1</v>
      </c>
      <c r="AW834" s="13">
        <v>0</v>
      </c>
      <c r="AX834" s="13">
        <v>0</v>
      </c>
      <c r="AY834" s="13">
        <v>0</v>
      </c>
      <c r="AZ834" s="13">
        <v>1</v>
      </c>
      <c r="BA834">
        <v>1</v>
      </c>
      <c r="BB834" t="s">
        <v>2840</v>
      </c>
      <c r="BC834">
        <v>6</v>
      </c>
      <c r="BD834" t="s">
        <v>2919</v>
      </c>
      <c r="BE834">
        <v>0</v>
      </c>
      <c r="BF834" s="232" t="s">
        <v>2846</v>
      </c>
      <c r="BG834" s="232" t="s">
        <v>2845</v>
      </c>
      <c r="BH834" s="253">
        <v>55.4</v>
      </c>
      <c r="BI834" s="253">
        <v>25.664312142616886</v>
      </c>
      <c r="BJ834" s="25">
        <v>58.307032661621484</v>
      </c>
      <c r="BK834" t="s">
        <v>376</v>
      </c>
      <c r="BL834">
        <v>96.130438562664423</v>
      </c>
      <c r="BM834" t="s">
        <v>384</v>
      </c>
      <c r="BN834" s="322">
        <v>28050.598424</v>
      </c>
      <c r="BO834" s="322">
        <v>7602.0425670000004</v>
      </c>
      <c r="BP834" s="10">
        <v>8023</v>
      </c>
      <c r="BQ834" s="254">
        <f t="shared" si="338"/>
        <v>3.4962730180730399</v>
      </c>
      <c r="BR834" s="254">
        <f t="shared" si="339"/>
        <v>0.94753116876480126</v>
      </c>
      <c r="BS834" s="25">
        <v>48.094555696828422</v>
      </c>
      <c r="BT834" s="25">
        <v>89.201383959449913</v>
      </c>
      <c r="BU834" s="25">
        <v>63.472454503033127</v>
      </c>
      <c r="BV834" s="25">
        <v>87.801472253062187</v>
      </c>
      <c r="BW834" s="25">
        <v>61.003911341375257</v>
      </c>
      <c r="BX834" s="25">
        <v>72.142466603093411</v>
      </c>
      <c r="BY834" s="25">
        <v>62.251667225415829</v>
      </c>
      <c r="BZ834">
        <v>99</v>
      </c>
      <c r="CA834">
        <v>0</v>
      </c>
      <c r="CB834">
        <v>7</v>
      </c>
      <c r="CC834">
        <v>37624.010756000003</v>
      </c>
      <c r="CD834" s="10">
        <v>806.89948500000003</v>
      </c>
      <c r="CE834" s="255">
        <v>2.1446397361326544E-2</v>
      </c>
      <c r="CF834" t="str">
        <f>IFERROR(VLOOKUP(CE834,'Rangos amb etnico'!$A$2:$C$6,3,9),"N.D.")</f>
        <v>0,1% - 30%</v>
      </c>
      <c r="CG834" s="256">
        <v>2.3475747759580443E-5</v>
      </c>
      <c r="CH834" s="232">
        <v>0</v>
      </c>
      <c r="CI834" s="311">
        <f t="shared" si="346"/>
        <v>0</v>
      </c>
      <c r="CJ834" s="232">
        <f>IFERROR(VLOOKUP(CI834,'Rangos amb etnico'!$A$2:$C$6,3,9),"N.D.")</f>
        <v>0</v>
      </c>
      <c r="CK834" s="311">
        <f t="shared" si="347"/>
        <v>0</v>
      </c>
      <c r="CL834" s="10">
        <v>0</v>
      </c>
      <c r="CM834" s="255">
        <f t="shared" si="348"/>
        <v>0</v>
      </c>
      <c r="CN834" s="232">
        <f>IFERROR(VLOOKUP(CM834,'Rangos amb etnico'!$A$2:$C$6,3,9),"N.D.")</f>
        <v>0</v>
      </c>
      <c r="CO834" s="311">
        <f t="shared" si="349"/>
        <v>0</v>
      </c>
      <c r="CP834">
        <v>0.87585160374164706</v>
      </c>
      <c r="CQ834" t="s">
        <v>2864</v>
      </c>
      <c r="CR834">
        <f t="shared" si="340"/>
        <v>3</v>
      </c>
      <c r="CS834" t="str">
        <f t="shared" si="350"/>
        <v>Candidato</v>
      </c>
      <c r="CT834">
        <v>0</v>
      </c>
      <c r="CU834">
        <v>0</v>
      </c>
      <c r="CV834" s="25">
        <v>38.582439422607422</v>
      </c>
      <c r="CW834" s="25">
        <v>12.23469161987305</v>
      </c>
      <c r="CX834" s="25">
        <v>40.883201599121087</v>
      </c>
      <c r="CY834" s="25">
        <v>48.220993041992188</v>
      </c>
      <c r="CZ834" s="25">
        <v>29.883621215820309</v>
      </c>
      <c r="DA834" s="25">
        <v>56.972061157226563</v>
      </c>
      <c r="DB834" s="25">
        <v>43.300071716308587</v>
      </c>
      <c r="DC834">
        <v>155</v>
      </c>
      <c r="DD834" s="253" t="s">
        <v>380</v>
      </c>
    </row>
    <row r="835" spans="1:108" hidden="1">
      <c r="A835" s="13">
        <v>68245</v>
      </c>
      <c r="B835" s="13" t="s">
        <v>2093</v>
      </c>
      <c r="C835" s="13" t="s">
        <v>431</v>
      </c>
      <c r="D835" s="13" t="s">
        <v>432</v>
      </c>
      <c r="E835" s="13" t="s">
        <v>2094</v>
      </c>
      <c r="F835" s="14">
        <v>83.891166666666706</v>
      </c>
      <c r="G835" s="13">
        <v>52.55</v>
      </c>
      <c r="H835" s="13">
        <v>58.56</v>
      </c>
      <c r="I835" s="13">
        <v>71.34</v>
      </c>
      <c r="J835" s="14">
        <v>40.46213394002767</v>
      </c>
      <c r="K835" s="14">
        <v>57.896143589006059</v>
      </c>
      <c r="L835" s="14">
        <v>63.645365420261861</v>
      </c>
      <c r="M835" s="14">
        <v>59.905500000000004</v>
      </c>
      <c r="N835" s="14">
        <f t="shared" ref="N835:N898" si="351">IFERROR(AVERAGE(F835:I835),"N.D.")</f>
        <v>66.585291666666677</v>
      </c>
      <c r="O835" s="14">
        <f t="shared" ref="O835:O898" si="352">IFERROR(AVERAGE(J835:M835),"N.D.")</f>
        <v>55.477285737323896</v>
      </c>
      <c r="P835" s="14">
        <f t="shared" si="341"/>
        <v>61.031288701995287</v>
      </c>
      <c r="Q835" s="14">
        <v>61.234449517470189</v>
      </c>
      <c r="R835" s="17">
        <f t="shared" ref="R835:R898" si="353">IFERROR(MAX($Q$3:$Q$1105)-Q835,"N.D.")</f>
        <v>38.765550482529811</v>
      </c>
      <c r="S835" s="14">
        <f t="shared" si="342"/>
        <v>0.44888995434276835</v>
      </c>
      <c r="T835" s="13">
        <v>0</v>
      </c>
      <c r="U835" s="13">
        <f t="shared" si="343"/>
        <v>27.396332398918979</v>
      </c>
      <c r="V835" s="13">
        <f>IF($T835=1,$AU835,(VLOOKUP(U835,'Cortes naturales'!$A$35:$C$39,3,9)))</f>
        <v>4</v>
      </c>
      <c r="W835" s="13">
        <v>4</v>
      </c>
      <c r="X835" s="14" t="b">
        <f t="shared" ref="X835:X898" si="354">V835=W835</f>
        <v>1</v>
      </c>
      <c r="Y835" s="17">
        <f>IF($T835=1,$AU835,VLOOKUP(U835,'Cortes naturales'!$A$45:$C$49,3,9))</f>
        <v>4</v>
      </c>
      <c r="Z835" s="14">
        <v>61.720971391768913</v>
      </c>
      <c r="AA835" s="14">
        <v>0.45787373029826506</v>
      </c>
      <c r="AB835" s="14">
        <v>28.260411408781732</v>
      </c>
      <c r="AC835" s="13">
        <v>3</v>
      </c>
      <c r="AD835" s="13">
        <f t="shared" ref="AD835:AD898" si="355">IFERROR(AC835-Y835,)</f>
        <v>-1</v>
      </c>
      <c r="AE835" s="14">
        <f t="shared" ref="AE835:AE898" si="356">IFERROR(P835-Z835,"N.D.")</f>
        <v>-0.68968268977362612</v>
      </c>
      <c r="AF835" s="14">
        <f t="shared" ref="AF835:AF898" si="357">IFERROR(S835-AA835,"N.D.")</f>
        <v>-8.9837759554967089E-3</v>
      </c>
      <c r="AG835" s="13">
        <f t="shared" ref="AG835:AG898" si="358">IFERROR(U835-AB835,0)</f>
        <v>-0.86407900986275266</v>
      </c>
      <c r="AH835" s="13">
        <f>IF($T835=1,$AU835,VLOOKUP(U835,'Cortes naturales'!$A$25:$C$29,3,9))</f>
        <v>4</v>
      </c>
      <c r="AI835" s="13" t="b">
        <f t="shared" ref="AI835:AI898" si="359">AH835=Y835</f>
        <v>1</v>
      </c>
      <c r="AJ835" s="13" t="str">
        <f t="shared" ref="AJ835:AJ898" si="360">IF(AD835=0,0,IF(AI835=TRUE,"Efecto ponderador","Cambio en corte"))</f>
        <v>Efecto ponderador</v>
      </c>
      <c r="AK835" s="28">
        <v>0.6523467210059386</v>
      </c>
      <c r="AL835" s="28">
        <v>40.263473304721792</v>
      </c>
      <c r="AM835" s="28">
        <v>0.3330275974987727</v>
      </c>
      <c r="AN835" s="13">
        <v>4</v>
      </c>
      <c r="AO835" s="33">
        <f t="shared" ref="AO835:AO898" si="361">IF(AND(ISNUMBER(AN835),ISNUMBER(Y835)),AN835-Y835,IF(AN835="SC- Centro aglomeración",Y835,IF(OR(AN835="Bogotá",AN835="Ciudades grandes"),0,0)))</f>
        <v>0</v>
      </c>
      <c r="AP835" s="13">
        <f t="shared" si="344"/>
        <v>33.302759749877268</v>
      </c>
      <c r="AQ835" s="13">
        <f>IFERROR(VLOOKUP(U835,'Cortes naturales'!$E$15:$G$19,3,9),U835)</f>
        <v>4</v>
      </c>
      <c r="AR835" s="28">
        <f t="shared" ref="AR835:AR898" si="362">IFERROR(S835-AK835,"N.D.")</f>
        <v>-0.20345676666317025</v>
      </c>
      <c r="AS835" s="13" t="b">
        <f t="shared" ref="AS835:AS898" si="363">AQ835=Y835</f>
        <v>1</v>
      </c>
      <c r="AT835" s="13">
        <f t="shared" si="345"/>
        <v>0</v>
      </c>
      <c r="AU835" s="13">
        <v>3</v>
      </c>
      <c r="AV835">
        <f t="shared" ref="AV835:AV898" si="364">IF(AND(ISNUMBER(AU835),ISNUMBER(Y835)),AU835-Y835,IF(AU835="SC- Centro aglomeración",Y835,IF(OR(AU835="Bogotá",AU835="Ciudades grandes"),0,0)))</f>
        <v>-1</v>
      </c>
      <c r="AW835" s="13">
        <v>0</v>
      </c>
      <c r="AX835" s="13">
        <v>0</v>
      </c>
      <c r="AY835" s="13">
        <v>0</v>
      </c>
      <c r="AZ835" s="13">
        <v>0</v>
      </c>
      <c r="BA835">
        <v>0</v>
      </c>
      <c r="BB835" t="s">
        <v>2840</v>
      </c>
      <c r="BC835">
        <v>6</v>
      </c>
      <c r="BD835" t="s">
        <v>2919</v>
      </c>
      <c r="BE835">
        <v>0</v>
      </c>
      <c r="BF835" s="232" t="s">
        <v>2846</v>
      </c>
      <c r="BG835" s="232" t="s">
        <v>2845</v>
      </c>
      <c r="BH835" s="253">
        <v>33</v>
      </c>
      <c r="BI835" s="253">
        <v>9.8051157125456765</v>
      </c>
      <c r="BJ835" s="25">
        <v>47.432500000000005</v>
      </c>
      <c r="BK835" t="s">
        <v>376</v>
      </c>
      <c r="BL835">
        <v>0</v>
      </c>
      <c r="BM835" t="s">
        <v>377</v>
      </c>
      <c r="BN835" s="322">
        <v>10364.778850000001</v>
      </c>
      <c r="BO835" s="322">
        <v>605.74251600000002</v>
      </c>
      <c r="BP835" s="10">
        <v>2201</v>
      </c>
      <c r="BQ835" s="254">
        <f t="shared" ref="BQ835:BQ898" si="365">BN835/BP835</f>
        <v>4.7091226033621085</v>
      </c>
      <c r="BR835" s="254">
        <f t="shared" ref="BR835:BR898" si="366">BO835/BP835</f>
        <v>0.27521241072239894</v>
      </c>
      <c r="BS835" s="25">
        <v>48.54977722082986</v>
      </c>
      <c r="BT835" s="25">
        <v>87.648606693926993</v>
      </c>
      <c r="BU835" s="25">
        <v>47.278275862068938</v>
      </c>
      <c r="BV835" s="25">
        <v>100.2301119336158</v>
      </c>
      <c r="BW835" s="25">
        <v>63.186203946927733</v>
      </c>
      <c r="BX835" s="25">
        <v>70.926692927610404</v>
      </c>
      <c r="BY835" s="25">
        <v>64.349243505662415</v>
      </c>
      <c r="BZ835">
        <v>45</v>
      </c>
      <c r="CA835">
        <v>0</v>
      </c>
      <c r="CB835">
        <v>7</v>
      </c>
      <c r="CC835">
        <v>9281.8768209999998</v>
      </c>
      <c r="CD835" s="10">
        <v>9281.8768209999998</v>
      </c>
      <c r="CE835" s="255">
        <v>1</v>
      </c>
      <c r="CF835" t="str">
        <f>IFERROR(VLOOKUP(CE835,'Rangos amb etnico'!$A$2:$C$6,3,9),"N.D.")</f>
        <v>71% - 100%</v>
      </c>
      <c r="CG835" s="256">
        <v>2.7004478629118515E-4</v>
      </c>
      <c r="CH835" s="232">
        <v>0</v>
      </c>
      <c r="CI835" s="311">
        <f t="shared" si="346"/>
        <v>0</v>
      </c>
      <c r="CJ835" s="232">
        <f>IFERROR(VLOOKUP(CI835,'Rangos amb etnico'!$A$2:$C$6,3,9),"N.D.")</f>
        <v>0</v>
      </c>
      <c r="CK835" s="311">
        <f t="shared" si="347"/>
        <v>0</v>
      </c>
      <c r="CL835" s="10">
        <v>0</v>
      </c>
      <c r="CM835" s="255">
        <f t="shared" si="348"/>
        <v>0</v>
      </c>
      <c r="CN835" s="232">
        <f>IFERROR(VLOOKUP(CM835,'Rangos amb etnico'!$A$2:$C$6,3,9),"N.D.")</f>
        <v>0</v>
      </c>
      <c r="CO835" s="311">
        <f t="shared" si="349"/>
        <v>0</v>
      </c>
      <c r="CP835">
        <v>0.9420862292664316</v>
      </c>
      <c r="CQ835" t="s">
        <v>2864</v>
      </c>
      <c r="CR835">
        <f t="shared" ref="CR835:CR898" si="367">IF(BY835&gt;=60,1,0)+IF(M835&gt;=60,1,0)+IF(I835&gt;=60,1,0)+IF(OR(CQ835="Crítico Bajo",CQ835="Aceptable"),1,0)</f>
        <v>3</v>
      </c>
      <c r="CS835" t="str">
        <f t="shared" si="350"/>
        <v>Candidato</v>
      </c>
      <c r="CT835">
        <v>0</v>
      </c>
      <c r="CU835">
        <v>0</v>
      </c>
      <c r="CV835" s="25">
        <v>53.522804260253913</v>
      </c>
      <c r="CW835" s="25">
        <v>17.223516464233398</v>
      </c>
      <c r="CX835" s="25">
        <v>56.469264984130859</v>
      </c>
      <c r="CY835" s="25">
        <v>67.907333374023438</v>
      </c>
      <c r="CZ835" s="25">
        <v>34.916038513183587</v>
      </c>
      <c r="DA835" s="25">
        <v>86.044273376464844</v>
      </c>
      <c r="DB835" s="25">
        <v>58.576408386230469</v>
      </c>
      <c r="DC835">
        <v>33</v>
      </c>
      <c r="DD835" s="253" t="s">
        <v>380</v>
      </c>
    </row>
    <row r="836" spans="1:108" hidden="1">
      <c r="A836" s="13">
        <v>25518</v>
      </c>
      <c r="B836" s="13" t="s">
        <v>2095</v>
      </c>
      <c r="C836" s="13" t="s">
        <v>461</v>
      </c>
      <c r="D836" s="13" t="s">
        <v>462</v>
      </c>
      <c r="E836" s="13" t="s">
        <v>2096</v>
      </c>
      <c r="F836" s="14">
        <v>79.073866666666703</v>
      </c>
      <c r="G836" s="13">
        <v>46.55</v>
      </c>
      <c r="H836" s="13">
        <v>74.06</v>
      </c>
      <c r="I836" s="13">
        <v>50.4</v>
      </c>
      <c r="J836" s="14">
        <v>51.120445053859264</v>
      </c>
      <c r="K836" s="14">
        <v>48.981425350083427</v>
      </c>
      <c r="L836" s="14">
        <v>75.022623944787739</v>
      </c>
      <c r="M836" s="14">
        <v>47.2089</v>
      </c>
      <c r="N836" s="14">
        <f t="shared" si="351"/>
        <v>62.520966666666673</v>
      </c>
      <c r="O836" s="14">
        <f t="shared" si="352"/>
        <v>55.583348587182606</v>
      </c>
      <c r="P836" s="14">
        <f t="shared" ref="P836:P899" si="368">IFERROR(AVERAGE(N836:O836),"N.D.")</f>
        <v>59.05215762692464</v>
      </c>
      <c r="Q836" s="14">
        <v>62.717343389996216</v>
      </c>
      <c r="R836" s="17">
        <f t="shared" si="353"/>
        <v>37.282656610003784</v>
      </c>
      <c r="S836" s="14">
        <f t="shared" ref="S836:S899" si="369">IFERROR((0.1+(1-0.1)*(R836%-0)/(1-0)),"N.D.")</f>
        <v>0.43554390949003408</v>
      </c>
      <c r="T836" s="13">
        <v>0</v>
      </c>
      <c r="U836" s="13">
        <f t="shared" ref="U836:U899" si="370">$P836*$S836</f>
        <v>25.71980759665249</v>
      </c>
      <c r="V836" s="13">
        <f>IF($T836=1,$AU836,(VLOOKUP(U836,'Cortes naturales'!$A$35:$C$39,3,9)))</f>
        <v>4</v>
      </c>
      <c r="W836" s="13">
        <v>4</v>
      </c>
      <c r="X836" s="14" t="b">
        <f t="shared" si="354"/>
        <v>1</v>
      </c>
      <c r="Y836" s="17">
        <f>IF($T836=1,$AU836,VLOOKUP(U836,'Cortes naturales'!$A$45:$C$49,3,9))</f>
        <v>4</v>
      </c>
      <c r="Z836" s="14">
        <v>62.392483290543879</v>
      </c>
      <c r="AA836" s="14">
        <v>0.4565956936287513</v>
      </c>
      <c r="AB836" s="14">
        <v>28.488139185266157</v>
      </c>
      <c r="AC836" s="13">
        <v>3</v>
      </c>
      <c r="AD836" s="13">
        <f t="shared" si="355"/>
        <v>-1</v>
      </c>
      <c r="AE836" s="14">
        <f t="shared" si="356"/>
        <v>-3.3403256636192395</v>
      </c>
      <c r="AF836" s="14">
        <f t="shared" si="357"/>
        <v>-2.1051784138717222E-2</v>
      </c>
      <c r="AG836" s="13">
        <f t="shared" si="358"/>
        <v>-2.7683315886136661</v>
      </c>
      <c r="AH836" s="13">
        <f>IF($T836=1,$AU836,VLOOKUP(U836,'Cortes naturales'!$A$25:$C$29,3,9))</f>
        <v>4</v>
      </c>
      <c r="AI836" s="13" t="b">
        <f t="shared" si="359"/>
        <v>1</v>
      </c>
      <c r="AJ836" s="13" t="str">
        <f t="shared" si="360"/>
        <v>Efecto ponderador</v>
      </c>
      <c r="AK836" s="28">
        <v>0.6523467210059386</v>
      </c>
      <c r="AL836" s="28">
        <v>40.701531890004112</v>
      </c>
      <c r="AM836" s="28">
        <v>0.33850724864338083</v>
      </c>
      <c r="AN836" s="13">
        <v>4</v>
      </c>
      <c r="AO836" s="33">
        <f t="shared" si="361"/>
        <v>0</v>
      </c>
      <c r="AP836" s="13">
        <f t="shared" ref="AP836:AP899" si="371">IFERROR(AM836*100,"N.D")</f>
        <v>33.850724864338083</v>
      </c>
      <c r="AQ836" s="13">
        <f>IFERROR(VLOOKUP(U836,'Cortes naturales'!$E$15:$G$19,3,9),U836)</f>
        <v>4</v>
      </c>
      <c r="AR836" s="28">
        <f t="shared" si="362"/>
        <v>-0.21680281151590453</v>
      </c>
      <c r="AS836" s="13" t="b">
        <f t="shared" si="363"/>
        <v>1</v>
      </c>
      <c r="AT836" s="13">
        <f t="shared" ref="AT836:AT899" si="372">IF(AO836=0,0,IF(AS836=TRUE,"Efecto ponderador","Cambio en corte"))</f>
        <v>0</v>
      </c>
      <c r="AU836" s="13">
        <v>4</v>
      </c>
      <c r="AV836">
        <f t="shared" si="364"/>
        <v>0</v>
      </c>
      <c r="AW836" s="13">
        <v>0</v>
      </c>
      <c r="AX836" s="13">
        <v>0</v>
      </c>
      <c r="AY836" s="13">
        <v>0</v>
      </c>
      <c r="AZ836" s="13">
        <v>0</v>
      </c>
      <c r="BA836">
        <v>0</v>
      </c>
      <c r="BB836" t="s">
        <v>2841</v>
      </c>
      <c r="BC836">
        <v>6</v>
      </c>
      <c r="BD836" t="s">
        <v>2919</v>
      </c>
      <c r="BE836">
        <v>0</v>
      </c>
      <c r="BF836" s="232" t="s">
        <v>2846</v>
      </c>
      <c r="BG836" s="232" t="s">
        <v>2846</v>
      </c>
      <c r="BH836" s="253">
        <v>55</v>
      </c>
      <c r="BI836" s="253">
        <v>35.469641930461854</v>
      </c>
      <c r="BJ836" s="25">
        <v>4.5908333333333333</v>
      </c>
      <c r="BK836" t="s">
        <v>381</v>
      </c>
      <c r="BL836">
        <v>3.6281418000101233</v>
      </c>
      <c r="BM836" t="s">
        <v>383</v>
      </c>
      <c r="BN836" s="322">
        <v>16504.174049000001</v>
      </c>
      <c r="BO836" s="322">
        <v>1400.595658</v>
      </c>
      <c r="BP836" s="10">
        <v>3853</v>
      </c>
      <c r="BQ836" s="254">
        <f t="shared" si="365"/>
        <v>4.2834606927069823</v>
      </c>
      <c r="BR836" s="254">
        <f t="shared" si="366"/>
        <v>0.3635078271476771</v>
      </c>
      <c r="BS836" s="25">
        <v>49.043411740515197</v>
      </c>
      <c r="BT836" s="25">
        <v>94.013322951812441</v>
      </c>
      <c r="BU836" s="25">
        <v>23.031404084609761</v>
      </c>
      <c r="BV836" s="25">
        <v>96.646797212568075</v>
      </c>
      <c r="BW836" s="25">
        <v>60.865624873816728</v>
      </c>
      <c r="BX836" s="25">
        <v>65.683733997376365</v>
      </c>
      <c r="BY836" s="25">
        <v>61.689446110042283</v>
      </c>
      <c r="BZ836">
        <v>33</v>
      </c>
      <c r="CA836">
        <v>0</v>
      </c>
      <c r="CB836">
        <v>7</v>
      </c>
      <c r="CC836">
        <v>17342.898409000001</v>
      </c>
      <c r="CD836" s="10">
        <v>0.43459100000000001</v>
      </c>
      <c r="CE836" s="255">
        <v>2.5058729501319767E-5</v>
      </c>
      <c r="CF836">
        <f>IFERROR(VLOOKUP(CE836,'Rangos amb etnico'!$A$2:$C$6,3,9),"N.D.")</f>
        <v>0</v>
      </c>
      <c r="CG836" s="256">
        <v>1.2643890452580749E-8</v>
      </c>
      <c r="CH836" s="232">
        <v>0</v>
      </c>
      <c r="CI836" s="311">
        <f t="shared" ref="CI836:CI899" si="373">IFERROR(CH836/CC836,"N.D.")</f>
        <v>0</v>
      </c>
      <c r="CJ836" s="232">
        <f>IFERROR(VLOOKUP(CI836,'Rangos amb etnico'!$A$2:$C$6,3,9),"N.D.")</f>
        <v>0</v>
      </c>
      <c r="CK836" s="311">
        <f t="shared" ref="CK836:CK899" si="374">IFERROR(CH836/$CH$1,"N.D.")</f>
        <v>0</v>
      </c>
      <c r="CL836" s="10">
        <v>0</v>
      </c>
      <c r="CM836" s="255">
        <f t="shared" ref="CM836:CM899" si="375">IFERROR(CL836/CC836,"N.D.")</f>
        <v>0</v>
      </c>
      <c r="CN836" s="232">
        <f>IFERROR(VLOOKUP(CM836,'Rangos amb etnico'!$A$2:$C$6,3,9),"N.D.")</f>
        <v>0</v>
      </c>
      <c r="CO836" s="311">
        <f t="shared" ref="CO836:CO899" si="376">IFERROR(CL836/$CL$1,"N.D.")</f>
        <v>0</v>
      </c>
      <c r="CP836">
        <v>0.95832588899736271</v>
      </c>
      <c r="CQ836" t="s">
        <v>2864</v>
      </c>
      <c r="CR836">
        <f t="shared" si="367"/>
        <v>2</v>
      </c>
      <c r="CS836" t="str">
        <f t="shared" ref="CS836:CS899" si="377">IF(CR836&gt;=3,"Candidato","No es Candidato")</f>
        <v>No es Candidato</v>
      </c>
      <c r="CT836">
        <v>0</v>
      </c>
      <c r="CU836">
        <v>0</v>
      </c>
      <c r="CV836" s="25">
        <v>41.230079650878913</v>
      </c>
      <c r="CW836" s="25">
        <v>8.9966058731079102</v>
      </c>
      <c r="CX836" s="25">
        <v>45.794113159179688</v>
      </c>
      <c r="CY836" s="25">
        <v>38.515571594238281</v>
      </c>
      <c r="CZ836" s="25">
        <v>36.781349182128913</v>
      </c>
      <c r="DA836" s="25">
        <v>75.092178344726563</v>
      </c>
      <c r="DB836" s="25">
        <v>42.200660705566413</v>
      </c>
      <c r="DC836">
        <v>24</v>
      </c>
      <c r="DD836" s="253" t="s">
        <v>380</v>
      </c>
    </row>
    <row r="837" spans="1:108" hidden="1">
      <c r="A837" s="13">
        <v>85162</v>
      </c>
      <c r="B837" s="13" t="s">
        <v>2097</v>
      </c>
      <c r="C837" s="13" t="s">
        <v>1351</v>
      </c>
      <c r="D837" s="13" t="s">
        <v>1352</v>
      </c>
      <c r="E837" s="13" t="s">
        <v>2098</v>
      </c>
      <c r="F837" s="14">
        <v>93.511933333333303</v>
      </c>
      <c r="G837" s="13">
        <v>79.819999999999993</v>
      </c>
      <c r="H837" s="13">
        <v>80.150000000000006</v>
      </c>
      <c r="I837" s="13">
        <v>81.62</v>
      </c>
      <c r="J837" s="14">
        <v>61.581452055465732</v>
      </c>
      <c r="K837" s="14">
        <v>65.480018134066967</v>
      </c>
      <c r="L837" s="14">
        <v>65.51875518615276</v>
      </c>
      <c r="M837" s="14">
        <v>58.2742</v>
      </c>
      <c r="N837" s="14">
        <f t="shared" si="351"/>
        <v>83.775483333333327</v>
      </c>
      <c r="O837" s="14">
        <f t="shared" si="352"/>
        <v>62.71360634392137</v>
      </c>
      <c r="P837" s="14">
        <f t="shared" si="368"/>
        <v>73.244544838627348</v>
      </c>
      <c r="Q837" s="14">
        <v>61.486239759558472</v>
      </c>
      <c r="R837" s="17">
        <f t="shared" si="353"/>
        <v>38.513760240441528</v>
      </c>
      <c r="S837" s="14">
        <f t="shared" si="369"/>
        <v>0.44662384216397377</v>
      </c>
      <c r="T837" s="13">
        <v>0</v>
      </c>
      <c r="U837" s="13">
        <f t="shared" si="370"/>
        <v>32.712760033379197</v>
      </c>
      <c r="V837" s="13">
        <f>IF($T837=1,$AU837,(VLOOKUP(U837,'Cortes naturales'!$A$35:$C$39,3,9)))</f>
        <v>3</v>
      </c>
      <c r="W837" s="13">
        <v>3</v>
      </c>
      <c r="X837" s="14" t="b">
        <f t="shared" si="354"/>
        <v>1</v>
      </c>
      <c r="Y837" s="17">
        <f>IF($T837=1,$AU837,VLOOKUP(U837,'Cortes naturales'!$A$45:$C$49,3,9))</f>
        <v>3</v>
      </c>
      <c r="Z837" s="14">
        <v>75.221206993542864</v>
      </c>
      <c r="AA837" s="14">
        <v>0.45584803144116903</v>
      </c>
      <c r="AB837" s="14">
        <v>34.289439130635209</v>
      </c>
      <c r="AC837" s="13">
        <v>3</v>
      </c>
      <c r="AD837" s="13">
        <f t="shared" si="355"/>
        <v>0</v>
      </c>
      <c r="AE837" s="14">
        <f t="shared" si="356"/>
        <v>-1.9766621549155161</v>
      </c>
      <c r="AF837" s="14">
        <f t="shared" si="357"/>
        <v>-9.2241892771952605E-3</v>
      </c>
      <c r="AG837" s="13">
        <f t="shared" si="358"/>
        <v>-1.5766790972560116</v>
      </c>
      <c r="AH837" s="13">
        <f>IF($T837=1,$AU837,VLOOKUP(U837,'Cortes naturales'!$A$25:$C$29,3,9))</f>
        <v>3</v>
      </c>
      <c r="AI837" s="13" t="b">
        <f t="shared" si="359"/>
        <v>1</v>
      </c>
      <c r="AJ837" s="13">
        <f t="shared" si="360"/>
        <v>0</v>
      </c>
      <c r="AK837" s="28">
        <v>0.6523467210059386</v>
      </c>
      <c r="AL837" s="28">
        <v>49.070307732346663</v>
      </c>
      <c r="AM837" s="28">
        <v>0.44319181290983994</v>
      </c>
      <c r="AN837" s="13">
        <v>3</v>
      </c>
      <c r="AO837" s="33">
        <f t="shared" si="361"/>
        <v>0</v>
      </c>
      <c r="AP837" s="13">
        <f t="shared" si="371"/>
        <v>44.319181290983991</v>
      </c>
      <c r="AQ837" s="13">
        <f>IFERROR(VLOOKUP(U837,'Cortes naturales'!$E$15:$G$19,3,9),U837)</f>
        <v>4</v>
      </c>
      <c r="AR837" s="28">
        <f t="shared" si="362"/>
        <v>-0.20572287884196483</v>
      </c>
      <c r="AS837" s="13" t="b">
        <f t="shared" si="363"/>
        <v>0</v>
      </c>
      <c r="AT837" s="13">
        <f t="shared" si="372"/>
        <v>0</v>
      </c>
      <c r="AU837" s="13">
        <v>2</v>
      </c>
      <c r="AV837">
        <f t="shared" si="364"/>
        <v>-1</v>
      </c>
      <c r="AW837" s="13">
        <v>0</v>
      </c>
      <c r="AX837" s="13">
        <v>0</v>
      </c>
      <c r="AY837" s="13">
        <v>0</v>
      </c>
      <c r="AZ837" s="13">
        <v>0</v>
      </c>
      <c r="BA837">
        <v>1</v>
      </c>
      <c r="BB837" t="s">
        <v>2840</v>
      </c>
      <c r="BC837">
        <v>6</v>
      </c>
      <c r="BD837" t="s">
        <v>2919</v>
      </c>
      <c r="BE837">
        <v>0</v>
      </c>
      <c r="BF837" s="232" t="s">
        <v>2846</v>
      </c>
      <c r="BG837" s="232" t="s">
        <v>2846</v>
      </c>
      <c r="BH837" s="253">
        <v>27.5</v>
      </c>
      <c r="BI837" s="253">
        <v>8.2956157535634674</v>
      </c>
      <c r="BJ837" s="25">
        <v>3.0495833333333331</v>
      </c>
      <c r="BK837" t="s">
        <v>381</v>
      </c>
      <c r="BL837">
        <v>8.456828226178418</v>
      </c>
      <c r="BM837" t="s">
        <v>379</v>
      </c>
      <c r="BN837" s="322">
        <v>60088.908044000003</v>
      </c>
      <c r="BO837" s="322">
        <v>34069.771341</v>
      </c>
      <c r="BP837" s="10">
        <v>18836</v>
      </c>
      <c r="BQ837" s="254">
        <f t="shared" si="365"/>
        <v>3.1901097921002339</v>
      </c>
      <c r="BR837" s="254">
        <f t="shared" si="366"/>
        <v>1.8087583001167975</v>
      </c>
      <c r="BS837" s="25">
        <v>64.357273036905681</v>
      </c>
      <c r="BT837" s="25">
        <v>84.816216430239976</v>
      </c>
      <c r="BU837" s="25">
        <v>50.647730968218767</v>
      </c>
      <c r="BV837" s="25">
        <v>88.437939699038566</v>
      </c>
      <c r="BW837" s="25">
        <v>55.95137506165176</v>
      </c>
      <c r="BX837" s="25">
        <v>72.064790033600758</v>
      </c>
      <c r="BY837" s="25">
        <v>59.734237651300667</v>
      </c>
      <c r="BZ837">
        <v>41</v>
      </c>
      <c r="CA837">
        <v>0</v>
      </c>
      <c r="CB837">
        <v>6</v>
      </c>
      <c r="CC837">
        <v>77757.342581000004</v>
      </c>
      <c r="CD837" s="10">
        <v>2371.7868370000001</v>
      </c>
      <c r="CE837" s="255">
        <v>3.050241634131599E-2</v>
      </c>
      <c r="CF837" t="str">
        <f>IFERROR(VLOOKUP(CE837,'Rangos amb etnico'!$A$2:$C$6,3,9),"N.D.")</f>
        <v>0,1% - 30%</v>
      </c>
      <c r="CG837" s="256">
        <v>6.9004219930695744E-5</v>
      </c>
      <c r="CH837" s="232">
        <v>0</v>
      </c>
      <c r="CI837" s="311">
        <f t="shared" si="373"/>
        <v>0</v>
      </c>
      <c r="CJ837" s="232">
        <f>IFERROR(VLOOKUP(CI837,'Rangos amb etnico'!$A$2:$C$6,3,9),"N.D.")</f>
        <v>0</v>
      </c>
      <c r="CK837" s="311">
        <f t="shared" si="374"/>
        <v>0</v>
      </c>
      <c r="CL837" s="10">
        <v>0</v>
      </c>
      <c r="CM837" s="255">
        <f t="shared" si="375"/>
        <v>0</v>
      </c>
      <c r="CN837" s="232">
        <f>IFERROR(VLOOKUP(CM837,'Rangos amb etnico'!$A$2:$C$6,3,9),"N.D.")</f>
        <v>0</v>
      </c>
      <c r="CO837" s="311">
        <f t="shared" si="376"/>
        <v>0</v>
      </c>
      <c r="CP837">
        <v>0.93100775295454907</v>
      </c>
      <c r="CQ837" t="s">
        <v>2864</v>
      </c>
      <c r="CR837">
        <f t="shared" si="367"/>
        <v>2</v>
      </c>
      <c r="CS837" t="str">
        <f t="shared" si="377"/>
        <v>No es Candidato</v>
      </c>
      <c r="CT837">
        <v>0</v>
      </c>
      <c r="CU837">
        <v>0</v>
      </c>
      <c r="CV837" s="25">
        <v>43.715457916259773</v>
      </c>
      <c r="CW837" s="25">
        <v>26.953212738037109</v>
      </c>
      <c r="CX837" s="25">
        <v>49.770603179931641</v>
      </c>
      <c r="CY837" s="25">
        <v>67.565620422363281</v>
      </c>
      <c r="CZ837" s="25">
        <v>31.023103713989261</v>
      </c>
      <c r="DA837" s="25">
        <v>17.712692260742191</v>
      </c>
      <c r="DB837" s="25">
        <v>69.267501831054688</v>
      </c>
      <c r="DC837">
        <v>245</v>
      </c>
      <c r="DD837" s="253" t="s">
        <v>380</v>
      </c>
    </row>
    <row r="838" spans="1:108" hidden="1">
      <c r="A838" s="13">
        <v>52573</v>
      </c>
      <c r="B838" s="13" t="s">
        <v>2099</v>
      </c>
      <c r="C838" s="13" t="s">
        <v>672</v>
      </c>
      <c r="D838" s="13" t="s">
        <v>673</v>
      </c>
      <c r="E838" s="13" t="s">
        <v>2100</v>
      </c>
      <c r="F838" s="14">
        <v>62.812966666666703</v>
      </c>
      <c r="G838" s="13">
        <v>63.28</v>
      </c>
      <c r="H838" s="13">
        <v>64.680000000000007</v>
      </c>
      <c r="I838" s="13">
        <v>61.31</v>
      </c>
      <c r="J838" s="14">
        <v>63.478948254756929</v>
      </c>
      <c r="K838" s="14">
        <v>64.522481696721101</v>
      </c>
      <c r="L838" s="14">
        <v>57.078678903027779</v>
      </c>
      <c r="M838" s="14">
        <v>46.746600000000001</v>
      </c>
      <c r="N838" s="14">
        <f t="shared" si="351"/>
        <v>63.02074166666668</v>
      </c>
      <c r="O838" s="14">
        <f t="shared" si="352"/>
        <v>57.956677213626449</v>
      </c>
      <c r="P838" s="14">
        <f t="shared" si="368"/>
        <v>60.488709440146565</v>
      </c>
      <c r="Q838" s="14">
        <v>61.504732686902884</v>
      </c>
      <c r="R838" s="17">
        <f t="shared" si="353"/>
        <v>38.495267313097116</v>
      </c>
      <c r="S838" s="14">
        <f t="shared" si="369"/>
        <v>0.44645740581787408</v>
      </c>
      <c r="T838" s="13">
        <v>0</v>
      </c>
      <c r="U838" s="13">
        <f t="shared" si="370"/>
        <v>27.005632297918986</v>
      </c>
      <c r="V838" s="13">
        <f>IF($T838=1,$AU838,(VLOOKUP(U838,'Cortes naturales'!$A$35:$C$39,3,9)))</f>
        <v>4</v>
      </c>
      <c r="W838" s="13">
        <v>4</v>
      </c>
      <c r="X838" s="14" t="b">
        <f t="shared" si="354"/>
        <v>1</v>
      </c>
      <c r="Y838" s="17">
        <f>IF($T838=1,$AU838,VLOOKUP(U838,'Cortes naturales'!$A$45:$C$49,3,9))</f>
        <v>4</v>
      </c>
      <c r="Z838" s="14">
        <v>61.685400548379576</v>
      </c>
      <c r="AA838" s="14">
        <v>0.45597001487329158</v>
      </c>
      <c r="AB838" s="14">
        <v>28.126693005509583</v>
      </c>
      <c r="AC838" s="13">
        <v>3</v>
      </c>
      <c r="AD838" s="13">
        <f t="shared" si="355"/>
        <v>-1</v>
      </c>
      <c r="AE838" s="14">
        <f t="shared" si="356"/>
        <v>-1.1966911082330114</v>
      </c>
      <c r="AF838" s="14">
        <f t="shared" si="357"/>
        <v>-9.5126090554175091E-3</v>
      </c>
      <c r="AG838" s="13">
        <f t="shared" si="358"/>
        <v>-1.1210607075905976</v>
      </c>
      <c r="AH838" s="13">
        <f>IF($T838=1,$AU838,VLOOKUP(U838,'Cortes naturales'!$A$25:$C$29,3,9))</f>
        <v>4</v>
      </c>
      <c r="AI838" s="13" t="b">
        <f t="shared" si="359"/>
        <v>1</v>
      </c>
      <c r="AJ838" s="13" t="str">
        <f t="shared" si="360"/>
        <v>Efecto ponderador</v>
      </c>
      <c r="AK838" s="28">
        <v>0.6523467210059386</v>
      </c>
      <c r="AL838" s="28">
        <v>40.240268781673343</v>
      </c>
      <c r="AM838" s="28">
        <v>0.33273733337530947</v>
      </c>
      <c r="AN838" s="13">
        <v>4</v>
      </c>
      <c r="AO838" s="33">
        <f t="shared" si="361"/>
        <v>0</v>
      </c>
      <c r="AP838" s="13">
        <f t="shared" si="371"/>
        <v>33.273733337530949</v>
      </c>
      <c r="AQ838" s="13">
        <f>IFERROR(VLOOKUP(U838,'Cortes naturales'!$E$15:$G$19,3,9),U838)</f>
        <v>4</v>
      </c>
      <c r="AR838" s="28">
        <f t="shared" si="362"/>
        <v>-0.20588931518806453</v>
      </c>
      <c r="AS838" s="13" t="b">
        <f t="shared" si="363"/>
        <v>1</v>
      </c>
      <c r="AT838" s="13">
        <f t="shared" si="372"/>
        <v>0</v>
      </c>
      <c r="AU838" s="13">
        <v>4</v>
      </c>
      <c r="AV838">
        <f t="shared" si="364"/>
        <v>0</v>
      </c>
      <c r="AW838" s="13">
        <v>0</v>
      </c>
      <c r="AX838" s="13">
        <v>0</v>
      </c>
      <c r="AY838" s="13">
        <v>0</v>
      </c>
      <c r="AZ838" s="13">
        <v>0</v>
      </c>
      <c r="BA838">
        <v>1</v>
      </c>
      <c r="BB838" t="s">
        <v>2840</v>
      </c>
      <c r="BC838">
        <v>6</v>
      </c>
      <c r="BD838" t="s">
        <v>2919</v>
      </c>
      <c r="BE838">
        <v>0</v>
      </c>
      <c r="BF838" s="232" t="s">
        <v>2846</v>
      </c>
      <c r="BG838" s="232" t="s">
        <v>2845</v>
      </c>
      <c r="BH838" s="253">
        <v>32.700000000000003</v>
      </c>
      <c r="BI838" s="253">
        <v>13.987424368252462</v>
      </c>
      <c r="BJ838" s="25">
        <v>30.960951121360097</v>
      </c>
      <c r="BK838" t="s">
        <v>379</v>
      </c>
      <c r="BL838">
        <v>3.6146311163519211</v>
      </c>
      <c r="BM838" t="s">
        <v>383</v>
      </c>
      <c r="BN838" s="322">
        <v>18619.344492</v>
      </c>
      <c r="BO838" s="322">
        <v>1131.3579199999999</v>
      </c>
      <c r="BP838" s="10">
        <v>8534</v>
      </c>
      <c r="BQ838" s="254">
        <f t="shared" si="365"/>
        <v>2.1817839807827513</v>
      </c>
      <c r="BR838" s="254">
        <f t="shared" si="366"/>
        <v>0.13257064916803374</v>
      </c>
      <c r="BS838" s="25">
        <v>59.855790179319591</v>
      </c>
      <c r="BT838" s="25">
        <v>92.628925508163434</v>
      </c>
      <c r="BU838" s="25">
        <v>56.854714881780232</v>
      </c>
      <c r="BV838" s="25">
        <v>96.53898741668047</v>
      </c>
      <c r="BW838" s="25">
        <v>55.261943463139062</v>
      </c>
      <c r="BX838" s="25">
        <v>76.469604496485942</v>
      </c>
      <c r="BY838" s="25">
        <v>55.362743276943753</v>
      </c>
      <c r="BZ838">
        <v>28</v>
      </c>
      <c r="CA838">
        <v>0</v>
      </c>
      <c r="CB838">
        <v>7</v>
      </c>
      <c r="CC838">
        <v>35046.037993999998</v>
      </c>
      <c r="CD838" s="10">
        <v>8465.8024229999992</v>
      </c>
      <c r="CE838" s="255">
        <v>0.24156232508934031</v>
      </c>
      <c r="CF838" t="str">
        <f>IFERROR(VLOOKUP(CE838,'Rangos amb etnico'!$A$2:$C$6,3,9),"N.D.")</f>
        <v>0,1% - 30%</v>
      </c>
      <c r="CG838" s="256">
        <v>2.4630210572608419E-4</v>
      </c>
      <c r="CH838" s="232">
        <v>10211.764698999999</v>
      </c>
      <c r="CI838" s="311">
        <f t="shared" si="373"/>
        <v>0.29138143092660829</v>
      </c>
      <c r="CJ838" s="232" t="str">
        <f>IFERROR(VLOOKUP(CI838,'Rangos amb etnico'!$A$2:$C$6,3,9),"N.D.")</f>
        <v>0,1% - 30%</v>
      </c>
      <c r="CK838" s="311">
        <f t="shared" si="374"/>
        <v>4.0547391702106791E-4</v>
      </c>
      <c r="CL838" s="10">
        <v>0</v>
      </c>
      <c r="CM838" s="255">
        <f t="shared" si="375"/>
        <v>0</v>
      </c>
      <c r="CN838" s="232">
        <f>IFERROR(VLOOKUP(CM838,'Rangos amb etnico'!$A$2:$C$6,3,9),"N.D.")</f>
        <v>0</v>
      </c>
      <c r="CO838" s="311">
        <f t="shared" si="376"/>
        <v>0</v>
      </c>
      <c r="CP838">
        <v>0.90058376009494889</v>
      </c>
      <c r="CQ838" t="s">
        <v>2864</v>
      </c>
      <c r="CR838">
        <f t="shared" si="367"/>
        <v>2</v>
      </c>
      <c r="CS838" t="str">
        <f t="shared" si="377"/>
        <v>No es Candidato</v>
      </c>
      <c r="CT838">
        <v>0</v>
      </c>
      <c r="CU838">
        <v>0</v>
      </c>
      <c r="CV838" s="25">
        <v>55.876022338867188</v>
      </c>
      <c r="CW838" s="25">
        <v>22.368165969848629</v>
      </c>
      <c r="CX838" s="25">
        <v>47.289638519287109</v>
      </c>
      <c r="CY838" s="25">
        <v>67.363571166992188</v>
      </c>
      <c r="CZ838" s="25">
        <v>53.949634552001953</v>
      </c>
      <c r="DA838" s="25">
        <v>91.118537902832031</v>
      </c>
      <c r="DB838" s="25">
        <v>53.166591644287109</v>
      </c>
      <c r="DC838">
        <v>642</v>
      </c>
      <c r="DD838" s="253" t="s">
        <v>380</v>
      </c>
    </row>
    <row r="839" spans="1:108" hidden="1">
      <c r="A839" s="13">
        <v>54223</v>
      </c>
      <c r="B839" s="13" t="s">
        <v>2101</v>
      </c>
      <c r="C839" s="13" t="s">
        <v>517</v>
      </c>
      <c r="D839" s="13" t="s">
        <v>518</v>
      </c>
      <c r="E839" s="13" t="s">
        <v>2102</v>
      </c>
      <c r="F839" s="14">
        <v>92.440600000000003</v>
      </c>
      <c r="G839" s="13">
        <v>84.66</v>
      </c>
      <c r="H839" s="13">
        <v>79.099999999999994</v>
      </c>
      <c r="I839" s="13">
        <v>67.17</v>
      </c>
      <c r="J839" s="14">
        <v>56.959806123706571</v>
      </c>
      <c r="K839" s="14">
        <v>62.687901321171644</v>
      </c>
      <c r="L839" s="14">
        <v>65.896607922563518</v>
      </c>
      <c r="M839" s="14">
        <v>61.0976</v>
      </c>
      <c r="N839" s="14">
        <f t="shared" si="351"/>
        <v>80.842650000000006</v>
      </c>
      <c r="O839" s="14">
        <f t="shared" si="352"/>
        <v>61.660478841860439</v>
      </c>
      <c r="P839" s="14">
        <f t="shared" si="368"/>
        <v>71.251564420930222</v>
      </c>
      <c r="Q839" s="14">
        <v>61.443834412136169</v>
      </c>
      <c r="R839" s="17">
        <f t="shared" si="353"/>
        <v>38.556165587863831</v>
      </c>
      <c r="S839" s="14">
        <f t="shared" si="369"/>
        <v>0.44700549029077452</v>
      </c>
      <c r="T839" s="13">
        <v>0</v>
      </c>
      <c r="U839" s="13">
        <f t="shared" si="370"/>
        <v>31.84984048796262</v>
      </c>
      <c r="V839" s="13">
        <f>IF($T839=1,$AU839,(VLOOKUP(U839,'Cortes naturales'!$A$35:$C$39,3,9)))</f>
        <v>3</v>
      </c>
      <c r="W839" s="13">
        <v>3</v>
      </c>
      <c r="X839" s="14" t="b">
        <f t="shared" si="354"/>
        <v>1</v>
      </c>
      <c r="Y839" s="17">
        <f>IF($T839=1,$AU839,VLOOKUP(U839,'Cortes naturales'!$A$45:$C$49,3,9))</f>
        <v>3</v>
      </c>
      <c r="Z839" s="14">
        <v>73.027758195043532</v>
      </c>
      <c r="AA839" s="14">
        <v>0.4576927820591381</v>
      </c>
      <c r="AB839" s="14">
        <v>33.424277815831495</v>
      </c>
      <c r="AC839" s="13">
        <v>3</v>
      </c>
      <c r="AD839" s="13">
        <f t="shared" si="355"/>
        <v>0</v>
      </c>
      <c r="AE839" s="14">
        <f t="shared" si="356"/>
        <v>-1.7761937741133096</v>
      </c>
      <c r="AF839" s="14">
        <f t="shared" si="357"/>
        <v>-1.0687291768363583E-2</v>
      </c>
      <c r="AG839" s="13">
        <f t="shared" si="358"/>
        <v>-1.5744373278688748</v>
      </c>
      <c r="AH839" s="13">
        <f>IF($T839=1,$AU839,VLOOKUP(U839,'Cortes naturales'!$A$25:$C$29,3,9))</f>
        <v>3</v>
      </c>
      <c r="AI839" s="13" t="b">
        <f t="shared" si="359"/>
        <v>1</v>
      </c>
      <c r="AJ839" s="13">
        <f t="shared" si="360"/>
        <v>0</v>
      </c>
      <c r="AK839" s="28">
        <v>0.6523467210059386</v>
      </c>
      <c r="AL839" s="28">
        <v>47.63941860095121</v>
      </c>
      <c r="AM839" s="28">
        <v>0.42529289817539817</v>
      </c>
      <c r="AN839" s="13">
        <v>3</v>
      </c>
      <c r="AO839" s="33">
        <f t="shared" si="361"/>
        <v>0</v>
      </c>
      <c r="AP839" s="13">
        <f t="shared" si="371"/>
        <v>42.529289817539819</v>
      </c>
      <c r="AQ839" s="13">
        <f>IFERROR(VLOOKUP(U839,'Cortes naturales'!$E$15:$G$19,3,9),U839)</f>
        <v>4</v>
      </c>
      <c r="AR839" s="28">
        <f t="shared" si="362"/>
        <v>-0.20534123071516408</v>
      </c>
      <c r="AS839" s="13" t="b">
        <f t="shared" si="363"/>
        <v>0</v>
      </c>
      <c r="AT839" s="13">
        <f t="shared" si="372"/>
        <v>0</v>
      </c>
      <c r="AU839" s="13">
        <v>3</v>
      </c>
      <c r="AV839">
        <f t="shared" si="364"/>
        <v>0</v>
      </c>
      <c r="AW839" s="13">
        <v>0</v>
      </c>
      <c r="AX839" s="13">
        <v>0</v>
      </c>
      <c r="AY839" s="13">
        <v>0</v>
      </c>
      <c r="AZ839" s="13">
        <v>0</v>
      </c>
      <c r="BA839">
        <v>0</v>
      </c>
      <c r="BB839" t="s">
        <v>2841</v>
      </c>
      <c r="BC839">
        <v>6</v>
      </c>
      <c r="BD839" t="s">
        <v>2919</v>
      </c>
      <c r="BE839">
        <v>1</v>
      </c>
      <c r="BF839" s="232" t="s">
        <v>2846</v>
      </c>
      <c r="BG839" s="232" t="s">
        <v>2846</v>
      </c>
      <c r="BH839" s="253">
        <v>71.099999999999994</v>
      </c>
      <c r="BI839" s="253">
        <v>36.179393305439334</v>
      </c>
      <c r="BJ839" s="25">
        <v>58.071671517695108</v>
      </c>
      <c r="BK839" t="s">
        <v>376</v>
      </c>
      <c r="BL839">
        <v>8.0020365766827348E-2</v>
      </c>
      <c r="BM839" t="s">
        <v>377</v>
      </c>
      <c r="BN839" s="322">
        <v>26056.175683000001</v>
      </c>
      <c r="BO839" s="322">
        <v>1196.2340750000001</v>
      </c>
      <c r="BP839" s="10">
        <v>8603</v>
      </c>
      <c r="BQ839" s="254">
        <f t="shared" si="365"/>
        <v>3.0287313359293271</v>
      </c>
      <c r="BR839" s="254">
        <f t="shared" si="366"/>
        <v>0.13904848018133209</v>
      </c>
      <c r="BS839" s="25">
        <v>54.648177071225582</v>
      </c>
      <c r="BT839" s="25">
        <v>91.172344083846724</v>
      </c>
      <c r="BU839" s="25">
        <v>32.172704108164297</v>
      </c>
      <c r="BV839" s="25">
        <v>98.141721079864524</v>
      </c>
      <c r="BW839" s="25">
        <v>55.688740666464803</v>
      </c>
      <c r="BX839" s="25">
        <v>69.033736585775287</v>
      </c>
      <c r="BY839" s="25">
        <v>56.327651015007959</v>
      </c>
      <c r="BZ839">
        <v>1</v>
      </c>
      <c r="CA839">
        <v>0</v>
      </c>
      <c r="CB839">
        <v>7</v>
      </c>
      <c r="CC839">
        <v>37413.064734</v>
      </c>
      <c r="CD839" s="10">
        <v>26313.841080999999</v>
      </c>
      <c r="CE839" s="255">
        <v>0.70333294714257077</v>
      </c>
      <c r="CF839" t="str">
        <f>IFERROR(VLOOKUP(CE839,'Rangos amb etnico'!$A$2:$C$6,3,9),"N.D.")</f>
        <v>51% - 70%</v>
      </c>
      <c r="CG839" s="256">
        <v>7.6556883141800671E-4</v>
      </c>
      <c r="CH839" s="232">
        <v>0</v>
      </c>
      <c r="CI839" s="311">
        <f t="shared" si="373"/>
        <v>0</v>
      </c>
      <c r="CJ839" s="232">
        <f>IFERROR(VLOOKUP(CI839,'Rangos amb etnico'!$A$2:$C$6,3,9),"N.D.")</f>
        <v>0</v>
      </c>
      <c r="CK839" s="311">
        <f t="shared" si="374"/>
        <v>0</v>
      </c>
      <c r="CL839" s="10">
        <v>0</v>
      </c>
      <c r="CM839" s="255">
        <f t="shared" si="375"/>
        <v>0</v>
      </c>
      <c r="CN839" s="232">
        <f>IFERROR(VLOOKUP(CM839,'Rangos amb etnico'!$A$2:$C$6,3,9),"N.D.")</f>
        <v>0</v>
      </c>
      <c r="CO839" s="311">
        <f t="shared" si="376"/>
        <v>0</v>
      </c>
      <c r="CP839">
        <v>0.96943347151466619</v>
      </c>
      <c r="CQ839" t="s">
        <v>2864</v>
      </c>
      <c r="CR839">
        <f t="shared" si="367"/>
        <v>3</v>
      </c>
      <c r="CS839" t="str">
        <f t="shared" si="377"/>
        <v>Candidato</v>
      </c>
      <c r="CT839">
        <v>0</v>
      </c>
      <c r="CU839">
        <v>0</v>
      </c>
      <c r="CV839" s="25">
        <v>46.251716613769531</v>
      </c>
      <c r="CW839" s="25">
        <v>16.796257019042969</v>
      </c>
      <c r="CX839" s="25">
        <v>42.631072998046882</v>
      </c>
      <c r="CY839" s="25">
        <v>35.847557067871087</v>
      </c>
      <c r="CZ839" s="25">
        <v>29.989912033081051</v>
      </c>
      <c r="DA839" s="25">
        <v>83.131584167480469</v>
      </c>
      <c r="DB839" s="25">
        <v>69.113922119140625</v>
      </c>
      <c r="DC839">
        <v>46</v>
      </c>
      <c r="DD839" s="253" t="s">
        <v>380</v>
      </c>
    </row>
    <row r="840" spans="1:108" hidden="1">
      <c r="A840" s="13">
        <v>68464</v>
      </c>
      <c r="B840" s="13" t="s">
        <v>2103</v>
      </c>
      <c r="C840" s="13" t="s">
        <v>431</v>
      </c>
      <c r="D840" s="13" t="s">
        <v>432</v>
      </c>
      <c r="E840" s="13" t="s">
        <v>2104</v>
      </c>
      <c r="F840" s="14">
        <v>57.972433333333299</v>
      </c>
      <c r="G840" s="13">
        <v>64.790000000000006</v>
      </c>
      <c r="H840" s="13">
        <v>69.89</v>
      </c>
      <c r="I840" s="13">
        <v>70.849999999999994</v>
      </c>
      <c r="J840" s="14">
        <v>64.998838624743016</v>
      </c>
      <c r="K840" s="14">
        <v>58.599003229982976</v>
      </c>
      <c r="L840" s="14">
        <v>68.816275951517625</v>
      </c>
      <c r="M840" s="14">
        <v>58.107700000000001</v>
      </c>
      <c r="N840" s="14">
        <f t="shared" si="351"/>
        <v>65.875608333333332</v>
      </c>
      <c r="O840" s="14">
        <f t="shared" si="352"/>
        <v>62.630454451560901</v>
      </c>
      <c r="P840" s="14">
        <f t="shared" si="368"/>
        <v>64.253031392447113</v>
      </c>
      <c r="Q840" s="14">
        <v>60.381279918589691</v>
      </c>
      <c r="R840" s="17">
        <f t="shared" si="353"/>
        <v>39.618720081410309</v>
      </c>
      <c r="S840" s="14">
        <f t="shared" si="369"/>
        <v>0.45656848073269274</v>
      </c>
      <c r="T840" s="13">
        <v>0</v>
      </c>
      <c r="U840" s="13">
        <f t="shared" si="370"/>
        <v>29.33590892531959</v>
      </c>
      <c r="V840" s="13">
        <f>IF($T840=1,$AU840,(VLOOKUP(U840,'Cortes naturales'!$A$35:$C$39,3,9)))</f>
        <v>4</v>
      </c>
      <c r="W840" s="13">
        <v>4</v>
      </c>
      <c r="X840" s="14" t="b">
        <f t="shared" si="354"/>
        <v>1</v>
      </c>
      <c r="Y840" s="17">
        <f>IF($T840=1,$AU840,VLOOKUP(U840,'Cortes naturales'!$A$45:$C$49,3,9))</f>
        <v>3</v>
      </c>
      <c r="Z840" s="14">
        <v>61.424961462687612</v>
      </c>
      <c r="AA840" s="14">
        <v>0.45852980511267305</v>
      </c>
      <c r="AB840" s="14">
        <v>28.165175608539602</v>
      </c>
      <c r="AC840" s="13">
        <v>3</v>
      </c>
      <c r="AD840" s="13">
        <f t="shared" si="355"/>
        <v>0</v>
      </c>
      <c r="AE840" s="14">
        <f t="shared" si="356"/>
        <v>2.8280699297595007</v>
      </c>
      <c r="AF840" s="14">
        <f t="shared" si="357"/>
        <v>-1.9613243799803115E-3</v>
      </c>
      <c r="AG840" s="13">
        <f t="shared" si="358"/>
        <v>1.1707333167799874</v>
      </c>
      <c r="AH840" s="13">
        <f>IF($T840=1,$AU840,VLOOKUP(U840,'Cortes naturales'!$A$25:$C$29,3,9))</f>
        <v>3</v>
      </c>
      <c r="AI840" s="13" t="b">
        <f t="shared" si="359"/>
        <v>1</v>
      </c>
      <c r="AJ840" s="13">
        <f t="shared" si="360"/>
        <v>0</v>
      </c>
      <c r="AK840" s="28">
        <v>0.6523467210059386</v>
      </c>
      <c r="AL840" s="28">
        <v>40.070372198100408</v>
      </c>
      <c r="AM840" s="28">
        <v>0.33061210620269177</v>
      </c>
      <c r="AN840" s="13">
        <v>4</v>
      </c>
      <c r="AO840" s="33">
        <f t="shared" si="361"/>
        <v>1</v>
      </c>
      <c r="AP840" s="13">
        <f t="shared" si="371"/>
        <v>33.061210620269179</v>
      </c>
      <c r="AQ840" s="13">
        <f>IFERROR(VLOOKUP(U840,'Cortes naturales'!$E$15:$G$19,3,9),U840)</f>
        <v>4</v>
      </c>
      <c r="AR840" s="28">
        <f t="shared" si="362"/>
        <v>-0.19577824027324586</v>
      </c>
      <c r="AS840" s="13" t="b">
        <f t="shared" si="363"/>
        <v>0</v>
      </c>
      <c r="AT840" s="13" t="str">
        <f t="shared" si="372"/>
        <v>Cambio en corte</v>
      </c>
      <c r="AU840" s="13">
        <v>4</v>
      </c>
      <c r="AV840">
        <f t="shared" si="364"/>
        <v>1</v>
      </c>
      <c r="AW840" s="13">
        <v>0</v>
      </c>
      <c r="AX840" s="13">
        <v>0</v>
      </c>
      <c r="AY840" s="13">
        <v>0</v>
      </c>
      <c r="AZ840" s="13">
        <v>0</v>
      </c>
      <c r="BA840">
        <v>0</v>
      </c>
      <c r="BB840" t="s">
        <v>2840</v>
      </c>
      <c r="BC840">
        <v>6</v>
      </c>
      <c r="BD840" t="s">
        <v>2919</v>
      </c>
      <c r="BE840">
        <v>0</v>
      </c>
      <c r="BF840" s="232" t="s">
        <v>2846</v>
      </c>
      <c r="BG840" s="232" t="s">
        <v>2846</v>
      </c>
      <c r="BH840" s="253">
        <v>49.4</v>
      </c>
      <c r="BI840" s="253">
        <v>20.973005043013941</v>
      </c>
      <c r="BJ840" s="25">
        <v>0</v>
      </c>
      <c r="BK840" t="s">
        <v>381</v>
      </c>
      <c r="BL840">
        <v>11.644291154553056</v>
      </c>
      <c r="BM840" t="s">
        <v>376</v>
      </c>
      <c r="BN840" s="322">
        <v>26549.757034999999</v>
      </c>
      <c r="BO840" s="322">
        <v>2600.224052</v>
      </c>
      <c r="BP840" s="10">
        <v>11185</v>
      </c>
      <c r="BQ840" s="254">
        <f t="shared" si="365"/>
        <v>2.3736930742065265</v>
      </c>
      <c r="BR840" s="254">
        <f t="shared" si="366"/>
        <v>0.23247421117568171</v>
      </c>
      <c r="BS840" s="25">
        <v>63.769807627587149</v>
      </c>
      <c r="BT840" s="25">
        <v>90.311774830874683</v>
      </c>
      <c r="BU840" s="25">
        <v>50.544999999999987</v>
      </c>
      <c r="BV840" s="25">
        <v>91.865348312451047</v>
      </c>
      <c r="BW840" s="25">
        <v>53.65578680732483</v>
      </c>
      <c r="BX840" s="25">
        <v>74.122982692728215</v>
      </c>
      <c r="BY840" s="25">
        <v>53.57155632427353</v>
      </c>
      <c r="BZ840">
        <v>75</v>
      </c>
      <c r="CA840">
        <v>0</v>
      </c>
      <c r="CB840">
        <v>7</v>
      </c>
      <c r="CC840">
        <v>48301.315081000001</v>
      </c>
      <c r="CD840" s="10">
        <v>23496.767129</v>
      </c>
      <c r="CE840" s="255">
        <v>0.48646226483888805</v>
      </c>
      <c r="CF840" t="str">
        <f>IFERROR(VLOOKUP(CE840,'Rangos amb etnico'!$A$2:$C$6,3,9),"N.D.")</f>
        <v>31% - 50%</v>
      </c>
      <c r="CG840" s="256">
        <v>6.836095307286075E-4</v>
      </c>
      <c r="CH840" s="232">
        <v>0</v>
      </c>
      <c r="CI840" s="311">
        <f t="shared" si="373"/>
        <v>0</v>
      </c>
      <c r="CJ840" s="232">
        <f>IFERROR(VLOOKUP(CI840,'Rangos amb etnico'!$A$2:$C$6,3,9),"N.D.")</f>
        <v>0</v>
      </c>
      <c r="CK840" s="311">
        <f t="shared" si="374"/>
        <v>0</v>
      </c>
      <c r="CL840" s="10">
        <v>0</v>
      </c>
      <c r="CM840" s="255">
        <f t="shared" si="375"/>
        <v>0</v>
      </c>
      <c r="CN840" s="232">
        <f>IFERROR(VLOOKUP(CM840,'Rangos amb etnico'!$A$2:$C$6,3,9),"N.D.")</f>
        <v>0</v>
      </c>
      <c r="CO840" s="311">
        <f t="shared" si="376"/>
        <v>0</v>
      </c>
      <c r="CP840">
        <v>0.92924552233834268</v>
      </c>
      <c r="CQ840" t="s">
        <v>2864</v>
      </c>
      <c r="CR840">
        <f t="shared" si="367"/>
        <v>2</v>
      </c>
      <c r="CS840" t="str">
        <f t="shared" si="377"/>
        <v>No es Candidato</v>
      </c>
      <c r="CT840">
        <v>0</v>
      </c>
      <c r="CU840">
        <v>0</v>
      </c>
      <c r="CV840" s="25">
        <v>50.653362274169922</v>
      </c>
      <c r="CW840" s="25">
        <v>25.024286270141602</v>
      </c>
      <c r="CX840" s="25">
        <v>54.879932403564453</v>
      </c>
      <c r="CY840" s="25">
        <v>75.210205078125</v>
      </c>
      <c r="CZ840" s="25">
        <v>31.071229934692379</v>
      </c>
      <c r="DA840" s="25">
        <v>60.422603607177727</v>
      </c>
      <c r="DB840" s="25">
        <v>57.311923980712891</v>
      </c>
      <c r="DC840">
        <v>160</v>
      </c>
      <c r="DD840" s="253" t="s">
        <v>380</v>
      </c>
    </row>
    <row r="841" spans="1:108" hidden="1">
      <c r="A841" s="13">
        <v>52385</v>
      </c>
      <c r="B841" s="13" t="s">
        <v>2105</v>
      </c>
      <c r="C841" s="13" t="s">
        <v>672</v>
      </c>
      <c r="D841" s="13" t="s">
        <v>673</v>
      </c>
      <c r="E841" s="13" t="s">
        <v>2106</v>
      </c>
      <c r="F841" s="14">
        <v>66.866366666666707</v>
      </c>
      <c r="G841" s="13">
        <v>49.19</v>
      </c>
      <c r="H841" s="13">
        <v>49.61</v>
      </c>
      <c r="I841" s="13">
        <v>55.42</v>
      </c>
      <c r="J841" s="14">
        <v>49.817977684768259</v>
      </c>
      <c r="K841" s="14">
        <v>56.739967356246474</v>
      </c>
      <c r="L841" s="14">
        <v>35.163571629020225</v>
      </c>
      <c r="M841" s="14">
        <v>44.510899999999999</v>
      </c>
      <c r="N841" s="14">
        <f t="shared" si="351"/>
        <v>55.27159166666668</v>
      </c>
      <c r="O841" s="14">
        <f t="shared" si="352"/>
        <v>46.558104167508738</v>
      </c>
      <c r="P841" s="14">
        <f t="shared" si="368"/>
        <v>50.914847917087712</v>
      </c>
      <c r="Q841" s="14">
        <v>61.397042553776302</v>
      </c>
      <c r="R841" s="17">
        <f t="shared" si="353"/>
        <v>38.602957446223698</v>
      </c>
      <c r="S841" s="14">
        <f t="shared" si="369"/>
        <v>0.44742661701601327</v>
      </c>
      <c r="T841" s="13">
        <v>0</v>
      </c>
      <c r="U841" s="13">
        <f t="shared" si="370"/>
        <v>22.780658159427364</v>
      </c>
      <c r="V841" s="13">
        <f>IF($T841=1,$AU841,(VLOOKUP(U841,'Cortes naturales'!$A$35:$C$39,3,9)))</f>
        <v>4</v>
      </c>
      <c r="W841" s="13">
        <v>4</v>
      </c>
      <c r="X841" s="14" t="b">
        <f t="shared" si="354"/>
        <v>1</v>
      </c>
      <c r="Y841" s="17">
        <f>IF($T841=1,$AU841,VLOOKUP(U841,'Cortes naturales'!$A$45:$C$49,3,9))</f>
        <v>4</v>
      </c>
      <c r="Z841" s="14">
        <v>53.961397270607023</v>
      </c>
      <c r="AA841" s="14">
        <v>0.45503183484289822</v>
      </c>
      <c r="AB841" s="14">
        <v>24.554153610730875</v>
      </c>
      <c r="AC841" s="13">
        <v>4</v>
      </c>
      <c r="AD841" s="13">
        <f t="shared" si="355"/>
        <v>0</v>
      </c>
      <c r="AE841" s="14">
        <f t="shared" si="356"/>
        <v>-3.0465493535193104</v>
      </c>
      <c r="AF841" s="14">
        <f t="shared" si="357"/>
        <v>-7.6052178268849469E-3</v>
      </c>
      <c r="AG841" s="13">
        <f t="shared" si="358"/>
        <v>-1.7734954513035106</v>
      </c>
      <c r="AH841" s="13">
        <f>IF($T841=1,$AU841,VLOOKUP(U841,'Cortes naturales'!$A$25:$C$29,3,9))</f>
        <v>4</v>
      </c>
      <c r="AI841" s="13" t="b">
        <f t="shared" si="359"/>
        <v>1</v>
      </c>
      <c r="AJ841" s="13">
        <f t="shared" si="360"/>
        <v>0</v>
      </c>
      <c r="AK841" s="28">
        <v>0.6523467210059386</v>
      </c>
      <c r="AL841" s="28">
        <v>35.201540570379294</v>
      </c>
      <c r="AM841" s="28">
        <v>0.26970815477219567</v>
      </c>
      <c r="AN841" s="13">
        <v>4</v>
      </c>
      <c r="AO841" s="33">
        <f t="shared" si="361"/>
        <v>0</v>
      </c>
      <c r="AP841" s="13">
        <f t="shared" si="371"/>
        <v>26.970815477219567</v>
      </c>
      <c r="AQ841" s="13">
        <f>IFERROR(VLOOKUP(U841,'Cortes naturales'!$E$15:$G$19,3,9),U841)</f>
        <v>4</v>
      </c>
      <c r="AR841" s="28">
        <f t="shared" si="362"/>
        <v>-0.20492010398992533</v>
      </c>
      <c r="AS841" s="13" t="b">
        <f t="shared" si="363"/>
        <v>1</v>
      </c>
      <c r="AT841" s="13">
        <f t="shared" si="372"/>
        <v>0</v>
      </c>
      <c r="AU841" s="13">
        <v>4</v>
      </c>
      <c r="AV841">
        <f t="shared" si="364"/>
        <v>0</v>
      </c>
      <c r="AW841" s="13">
        <v>0</v>
      </c>
      <c r="AX841" s="13">
        <v>0</v>
      </c>
      <c r="AY841" s="13">
        <v>0</v>
      </c>
      <c r="AZ841" s="13">
        <v>0</v>
      </c>
      <c r="BA841">
        <v>1</v>
      </c>
      <c r="BB841" t="s">
        <v>2840</v>
      </c>
      <c r="BC841">
        <v>6</v>
      </c>
      <c r="BD841" t="s">
        <v>2919</v>
      </c>
      <c r="BE841">
        <v>0</v>
      </c>
      <c r="BF841" s="232" t="s">
        <v>2846</v>
      </c>
      <c r="BG841" s="232" t="s">
        <v>2845</v>
      </c>
      <c r="BH841" s="253">
        <v>33.6</v>
      </c>
      <c r="BI841" s="253">
        <v>18.925014095094905</v>
      </c>
      <c r="BJ841" s="25">
        <v>47.578135935775137</v>
      </c>
      <c r="BK841" t="s">
        <v>376</v>
      </c>
      <c r="BL841">
        <v>53.751477900878228</v>
      </c>
      <c r="BM841" t="s">
        <v>384</v>
      </c>
      <c r="BN841" s="322">
        <v>13934.380513</v>
      </c>
      <c r="BO841" s="322">
        <v>546.452673</v>
      </c>
      <c r="BP841" s="10">
        <v>6565</v>
      </c>
      <c r="BQ841" s="254">
        <f t="shared" si="365"/>
        <v>2.1225255922315309</v>
      </c>
      <c r="BR841" s="254">
        <f t="shared" si="366"/>
        <v>8.3237269306930692E-2</v>
      </c>
      <c r="BS841" s="25">
        <v>54.133532893624214</v>
      </c>
      <c r="BT841" s="25">
        <v>89.206229426250317</v>
      </c>
      <c r="BU841" s="25">
        <v>35.396463104325697</v>
      </c>
      <c r="BV841" s="25">
        <v>92.472122632931857</v>
      </c>
      <c r="BW841" s="25">
        <v>49.107659939159959</v>
      </c>
      <c r="BX841" s="25">
        <v>67.802087014283018</v>
      </c>
      <c r="BY841" s="25">
        <v>48.985291562081933</v>
      </c>
      <c r="BZ841">
        <v>70</v>
      </c>
      <c r="CA841">
        <v>0</v>
      </c>
      <c r="CB841">
        <v>7</v>
      </c>
      <c r="CC841">
        <v>24528.1299</v>
      </c>
      <c r="CD841" s="10">
        <v>20749.882269000002</v>
      </c>
      <c r="CE841" s="255">
        <v>0.84596267035425321</v>
      </c>
      <c r="CF841" t="str">
        <f>IFERROR(VLOOKUP(CE841,'Rangos amb etnico'!$A$2:$C$6,3,9),"N.D.")</f>
        <v>71% - 100%</v>
      </c>
      <c r="CG841" s="256">
        <v>6.0369229531486769E-4</v>
      </c>
      <c r="CH841" s="232">
        <v>4355.0264569999999</v>
      </c>
      <c r="CI841" s="311">
        <f t="shared" si="373"/>
        <v>0.17755232358745784</v>
      </c>
      <c r="CJ841" s="232" t="str">
        <f>IFERROR(VLOOKUP(CI841,'Rangos amb etnico'!$A$2:$C$6,3,9),"N.D.")</f>
        <v>0,1% - 30%</v>
      </c>
      <c r="CK841" s="311">
        <f t="shared" si="374"/>
        <v>1.7292306357422207E-4</v>
      </c>
      <c r="CL841" s="10">
        <v>0</v>
      </c>
      <c r="CM841" s="255">
        <f t="shared" si="375"/>
        <v>0</v>
      </c>
      <c r="CN841" s="232">
        <f>IFERROR(VLOOKUP(CM841,'Rangos amb etnico'!$A$2:$C$6,3,9),"N.D.")</f>
        <v>0</v>
      </c>
      <c r="CO841" s="311">
        <f t="shared" si="376"/>
        <v>0</v>
      </c>
      <c r="CP841">
        <v>0.9399645875464453</v>
      </c>
      <c r="CQ841" t="s">
        <v>2864</v>
      </c>
      <c r="CR841">
        <f t="shared" si="367"/>
        <v>1</v>
      </c>
      <c r="CS841" t="str">
        <f t="shared" si="377"/>
        <v>No es Candidato</v>
      </c>
      <c r="CT841">
        <v>0</v>
      </c>
      <c r="CU841">
        <v>0</v>
      </c>
      <c r="CV841" s="25">
        <v>45.171772003173828</v>
      </c>
      <c r="CW841" s="25">
        <v>12.698486328125</v>
      </c>
      <c r="CX841" s="25">
        <v>48.892642974853523</v>
      </c>
      <c r="CY841" s="25">
        <v>48.186550140380859</v>
      </c>
      <c r="CZ841" s="25">
        <v>27.300344467163089</v>
      </c>
      <c r="DA841" s="25">
        <v>66.959556579589844</v>
      </c>
      <c r="DB841" s="25">
        <v>66.9930419921875</v>
      </c>
      <c r="DC841">
        <v>363</v>
      </c>
      <c r="DD841" s="253" t="s">
        <v>380</v>
      </c>
    </row>
    <row r="842" spans="1:108" hidden="1">
      <c r="A842" s="13">
        <v>68468</v>
      </c>
      <c r="B842" s="13" t="s">
        <v>2107</v>
      </c>
      <c r="C842" s="13" t="s">
        <v>431</v>
      </c>
      <c r="D842" s="13" t="s">
        <v>432</v>
      </c>
      <c r="E842" s="13" t="s">
        <v>2108</v>
      </c>
      <c r="F842" s="14">
        <v>64.868099999999998</v>
      </c>
      <c r="G842" s="13">
        <v>75.67</v>
      </c>
      <c r="H842" s="13">
        <v>72.540000000000006</v>
      </c>
      <c r="I842" s="13">
        <v>72.37</v>
      </c>
      <c r="J842" s="14">
        <v>47.439602784444183</v>
      </c>
      <c r="K842" s="14">
        <v>46.423625022058943</v>
      </c>
      <c r="L842" s="14">
        <v>47.235021601561314</v>
      </c>
      <c r="M842" s="14">
        <v>42.905700000000003</v>
      </c>
      <c r="N842" s="14">
        <f t="shared" si="351"/>
        <v>71.362025000000003</v>
      </c>
      <c r="O842" s="14">
        <f t="shared" si="352"/>
        <v>46.000987352016104</v>
      </c>
      <c r="P842" s="14">
        <f t="shared" si="368"/>
        <v>58.681506176008057</v>
      </c>
      <c r="Q842" s="14">
        <v>60.766482339724618</v>
      </c>
      <c r="R842" s="17">
        <f t="shared" si="353"/>
        <v>39.233517660275382</v>
      </c>
      <c r="S842" s="14">
        <f t="shared" si="369"/>
        <v>0.45310165894247845</v>
      </c>
      <c r="T842" s="13">
        <v>0</v>
      </c>
      <c r="U842" s="13">
        <f t="shared" si="370"/>
        <v>26.588687797592545</v>
      </c>
      <c r="V842" s="13">
        <f>IF($T842=1,$AU842,(VLOOKUP(U842,'Cortes naturales'!$A$35:$C$39,3,9)))</f>
        <v>4</v>
      </c>
      <c r="W842" s="13">
        <v>4</v>
      </c>
      <c r="X842" s="14" t="b">
        <f t="shared" si="354"/>
        <v>1</v>
      </c>
      <c r="Y842" s="17">
        <f>IF($T842=1,$AU842,VLOOKUP(U842,'Cortes naturales'!$A$45:$C$49,3,9))</f>
        <v>4</v>
      </c>
      <c r="Z842" s="14">
        <v>57.64016257742481</v>
      </c>
      <c r="AA842" s="14">
        <v>0.45541502770655207</v>
      </c>
      <c r="AB842" s="14">
        <v>26.250196237208087</v>
      </c>
      <c r="AC842" s="13">
        <v>4</v>
      </c>
      <c r="AD842" s="13">
        <f t="shared" si="355"/>
        <v>0</v>
      </c>
      <c r="AE842" s="14">
        <f t="shared" si="356"/>
        <v>1.0413435985832464</v>
      </c>
      <c r="AF842" s="14">
        <f t="shared" si="357"/>
        <v>-2.31336876407362E-3</v>
      </c>
      <c r="AG842" s="13">
        <f t="shared" si="358"/>
        <v>0.33849156038445827</v>
      </c>
      <c r="AH842" s="13">
        <f>IF($T842=1,$AU842,VLOOKUP(U842,'Cortes naturales'!$A$25:$C$29,3,9))</f>
        <v>4</v>
      </c>
      <c r="AI842" s="13" t="b">
        <f t="shared" si="359"/>
        <v>1</v>
      </c>
      <c r="AJ842" s="13">
        <f t="shared" si="360"/>
        <v>0</v>
      </c>
      <c r="AK842" s="28">
        <v>0.6523467210059386</v>
      </c>
      <c r="AL842" s="28">
        <v>37.601371055632285</v>
      </c>
      <c r="AM842" s="28">
        <v>0.29972750448293578</v>
      </c>
      <c r="AN842" s="13">
        <v>4</v>
      </c>
      <c r="AO842" s="33">
        <f t="shared" si="361"/>
        <v>0</v>
      </c>
      <c r="AP842" s="13">
        <f t="shared" si="371"/>
        <v>29.972750448293578</v>
      </c>
      <c r="AQ842" s="13">
        <f>IFERROR(VLOOKUP(U842,'Cortes naturales'!$E$15:$G$19,3,9),U842)</f>
        <v>4</v>
      </c>
      <c r="AR842" s="28">
        <f t="shared" si="362"/>
        <v>-0.19924506206346015</v>
      </c>
      <c r="AS842" s="13" t="b">
        <f t="shared" si="363"/>
        <v>1</v>
      </c>
      <c r="AT842" s="13">
        <f t="shared" si="372"/>
        <v>0</v>
      </c>
      <c r="AU842" s="13">
        <v>4</v>
      </c>
      <c r="AV842">
        <f t="shared" si="364"/>
        <v>0</v>
      </c>
      <c r="AW842" s="13">
        <v>0</v>
      </c>
      <c r="AX842" s="13">
        <v>0</v>
      </c>
      <c r="AY842" s="13">
        <v>0</v>
      </c>
      <c r="AZ842" s="13">
        <v>0</v>
      </c>
      <c r="BA842">
        <v>0</v>
      </c>
      <c r="BB842" t="s">
        <v>2841</v>
      </c>
      <c r="BC842">
        <v>6</v>
      </c>
      <c r="BD842" t="s">
        <v>2919</v>
      </c>
      <c r="BE842">
        <v>0</v>
      </c>
      <c r="BF842" s="232" t="s">
        <v>2846</v>
      </c>
      <c r="BG842" s="232" t="s">
        <v>2845</v>
      </c>
      <c r="BH842" s="253">
        <v>51.9</v>
      </c>
      <c r="BI842" s="253">
        <v>26.845466155810982</v>
      </c>
      <c r="BJ842" s="25">
        <v>17.580000000000002</v>
      </c>
      <c r="BK842" t="s">
        <v>379</v>
      </c>
      <c r="BL842">
        <v>0</v>
      </c>
      <c r="BM842" t="s">
        <v>377</v>
      </c>
      <c r="BN842" s="322">
        <v>14555.66898</v>
      </c>
      <c r="BO842" s="322">
        <v>889.17724299999998</v>
      </c>
      <c r="BP842" s="10">
        <v>4660</v>
      </c>
      <c r="BQ842" s="254">
        <f t="shared" si="365"/>
        <v>3.1235341158798282</v>
      </c>
      <c r="BR842" s="254">
        <f t="shared" si="366"/>
        <v>0.19081056716738196</v>
      </c>
      <c r="BS842" s="25">
        <v>54.675268164339201</v>
      </c>
      <c r="BT842" s="25">
        <v>91.065808297567955</v>
      </c>
      <c r="BU842" s="25">
        <v>30.343027193432491</v>
      </c>
      <c r="BV842" s="25">
        <v>98.964551199976356</v>
      </c>
      <c r="BW842" s="25">
        <v>50.467504131238172</v>
      </c>
      <c r="BX842" s="25">
        <v>68.762163713828997</v>
      </c>
      <c r="BY842" s="25">
        <v>50.978503555857827</v>
      </c>
      <c r="BZ842">
        <v>58</v>
      </c>
      <c r="CA842">
        <v>0</v>
      </c>
      <c r="CB842">
        <v>7</v>
      </c>
      <c r="CC842">
        <v>18009.854330999999</v>
      </c>
      <c r="CD842" s="10">
        <v>2225.3828389999999</v>
      </c>
      <c r="CE842" s="255">
        <v>0.12356473284570066</v>
      </c>
      <c r="CF842" t="str">
        <f>IFERROR(VLOOKUP(CE842,'Rangos amb etnico'!$A$2:$C$6,3,9),"N.D.")</f>
        <v>0,1% - 30%</v>
      </c>
      <c r="CG842" s="256">
        <v>6.4744775734815362E-5</v>
      </c>
      <c r="CH842" s="232">
        <v>0</v>
      </c>
      <c r="CI842" s="311">
        <f t="shared" si="373"/>
        <v>0</v>
      </c>
      <c r="CJ842" s="232">
        <f>IFERROR(VLOOKUP(CI842,'Rangos amb etnico'!$A$2:$C$6,3,9),"N.D.")</f>
        <v>0</v>
      </c>
      <c r="CK842" s="311">
        <f t="shared" si="374"/>
        <v>0</v>
      </c>
      <c r="CL842" s="10">
        <v>0</v>
      </c>
      <c r="CM842" s="255">
        <f t="shared" si="375"/>
        <v>0</v>
      </c>
      <c r="CN842" s="232">
        <f>IFERROR(VLOOKUP(CM842,'Rangos amb etnico'!$A$2:$C$6,3,9),"N.D.")</f>
        <v>0</v>
      </c>
      <c r="CO842" s="311">
        <f t="shared" si="376"/>
        <v>0</v>
      </c>
      <c r="CP842">
        <v>0.96613928024542906</v>
      </c>
      <c r="CQ842" t="s">
        <v>2864</v>
      </c>
      <c r="CR842">
        <f t="shared" si="367"/>
        <v>2</v>
      </c>
      <c r="CS842" t="str">
        <f t="shared" si="377"/>
        <v>No es Candidato</v>
      </c>
      <c r="CT842">
        <v>0</v>
      </c>
      <c r="CU842">
        <v>0</v>
      </c>
      <c r="CV842" s="25">
        <v>51.243663787841797</v>
      </c>
      <c r="CW842" s="25">
        <v>19.966815948486332</v>
      </c>
      <c r="CX842" s="25">
        <v>56.974887847900391</v>
      </c>
      <c r="CY842" s="25">
        <v>51.877841949462891</v>
      </c>
      <c r="CZ842" s="25">
        <v>28.781919479370121</v>
      </c>
      <c r="DA842" s="25">
        <v>100</v>
      </c>
      <c r="DB842" s="25">
        <v>49.860523223876953</v>
      </c>
      <c r="DC842">
        <v>35</v>
      </c>
      <c r="DD842" s="253" t="s">
        <v>380</v>
      </c>
    </row>
    <row r="843" spans="1:108" hidden="1">
      <c r="A843" s="13">
        <v>41660</v>
      </c>
      <c r="B843" s="13" t="s">
        <v>2109</v>
      </c>
      <c r="C843" s="13" t="s">
        <v>676</v>
      </c>
      <c r="D843" s="13" t="s">
        <v>677</v>
      </c>
      <c r="E843" s="13" t="s">
        <v>2110</v>
      </c>
      <c r="F843" s="14">
        <v>70.160166666666697</v>
      </c>
      <c r="G843" s="13">
        <v>78.81</v>
      </c>
      <c r="H843" s="13">
        <v>77.17</v>
      </c>
      <c r="I843" s="13">
        <v>89.28</v>
      </c>
      <c r="J843" s="14">
        <v>43.49702134056777</v>
      </c>
      <c r="K843" s="14">
        <v>55.414625030654811</v>
      </c>
      <c r="L843" s="14">
        <v>50.944110778351742</v>
      </c>
      <c r="M843" s="14">
        <v>50.5002</v>
      </c>
      <c r="N843" s="14">
        <f t="shared" si="351"/>
        <v>78.855041666666665</v>
      </c>
      <c r="O843" s="14">
        <f t="shared" si="352"/>
        <v>50.088989287393588</v>
      </c>
      <c r="P843" s="14">
        <f t="shared" si="368"/>
        <v>64.472015477030126</v>
      </c>
      <c r="Q843" s="14">
        <v>61.710042068660954</v>
      </c>
      <c r="R843" s="17">
        <f t="shared" si="353"/>
        <v>38.289957931339046</v>
      </c>
      <c r="S843" s="14">
        <f t="shared" si="369"/>
        <v>0.4446096213820514</v>
      </c>
      <c r="T843" s="13">
        <v>0</v>
      </c>
      <c r="U843" s="13">
        <f t="shared" si="370"/>
        <v>28.664878390980121</v>
      </c>
      <c r="V843" s="13">
        <f>IF($T843=1,$AU843,(VLOOKUP(U843,'Cortes naturales'!$A$35:$C$39,3,9)))</f>
        <v>4</v>
      </c>
      <c r="W843" s="13">
        <v>4</v>
      </c>
      <c r="X843" s="14" t="b">
        <f t="shared" si="354"/>
        <v>1</v>
      </c>
      <c r="Y843" s="17">
        <f>IF($T843=1,$AU843,VLOOKUP(U843,'Cortes naturales'!$A$45:$C$49,3,9))</f>
        <v>3</v>
      </c>
      <c r="Z843" s="14">
        <v>61.972498436387902</v>
      </c>
      <c r="AA843" s="14">
        <v>0.45403582241033025</v>
      </c>
      <c r="AB843" s="14">
        <v>28.137734294388288</v>
      </c>
      <c r="AC843" s="13">
        <v>3</v>
      </c>
      <c r="AD843" s="13">
        <f t="shared" si="355"/>
        <v>0</v>
      </c>
      <c r="AE843" s="14">
        <f t="shared" si="356"/>
        <v>2.4995170406422247</v>
      </c>
      <c r="AF843" s="14">
        <f t="shared" si="357"/>
        <v>-9.4262010282788466E-3</v>
      </c>
      <c r="AG843" s="13">
        <f t="shared" si="358"/>
        <v>0.52714409659183303</v>
      </c>
      <c r="AH843" s="13">
        <f>IF($T843=1,$AU843,VLOOKUP(U843,'Cortes naturales'!$A$25:$C$29,3,9))</f>
        <v>3</v>
      </c>
      <c r="AI843" s="13" t="b">
        <f t="shared" si="359"/>
        <v>1</v>
      </c>
      <c r="AJ843" s="13">
        <f t="shared" si="360"/>
        <v>0</v>
      </c>
      <c r="AK843" s="28">
        <v>0.6523467210059386</v>
      </c>
      <c r="AL843" s="28">
        <v>40.427556147523305</v>
      </c>
      <c r="AM843" s="28">
        <v>0.33508010090260032</v>
      </c>
      <c r="AN843" s="13">
        <v>4</v>
      </c>
      <c r="AO843" s="33">
        <f t="shared" si="361"/>
        <v>1</v>
      </c>
      <c r="AP843" s="13">
        <f t="shared" si="371"/>
        <v>33.508010090260029</v>
      </c>
      <c r="AQ843" s="13">
        <f>IFERROR(VLOOKUP(U843,'Cortes naturales'!$E$15:$G$19,3,9),U843)</f>
        <v>4</v>
      </c>
      <c r="AR843" s="28">
        <f t="shared" si="362"/>
        <v>-0.2077370996238872</v>
      </c>
      <c r="AS843" s="13" t="b">
        <f t="shared" si="363"/>
        <v>0</v>
      </c>
      <c r="AT843" s="13" t="str">
        <f t="shared" si="372"/>
        <v>Cambio en corte</v>
      </c>
      <c r="AU843" s="13">
        <v>4</v>
      </c>
      <c r="AV843">
        <f t="shared" si="364"/>
        <v>1</v>
      </c>
      <c r="AW843" s="13">
        <v>0</v>
      </c>
      <c r="AX843" s="13">
        <v>0</v>
      </c>
      <c r="AY843" s="13">
        <v>0</v>
      </c>
      <c r="AZ843" s="13">
        <v>0</v>
      </c>
      <c r="BA843">
        <v>0</v>
      </c>
      <c r="BB843" t="s">
        <v>2841</v>
      </c>
      <c r="BC843">
        <v>6</v>
      </c>
      <c r="BD843" t="s">
        <v>2919</v>
      </c>
      <c r="BE843">
        <v>0</v>
      </c>
      <c r="BF843" s="232" t="s">
        <v>2846</v>
      </c>
      <c r="BG843" s="232" t="s">
        <v>2845</v>
      </c>
      <c r="BH843" s="253">
        <v>57.8</v>
      </c>
      <c r="BI843" s="253">
        <v>20.615996025832093</v>
      </c>
      <c r="BJ843" s="25">
        <v>0</v>
      </c>
      <c r="BK843" t="s">
        <v>381</v>
      </c>
      <c r="BL843">
        <v>1.0162550935136412</v>
      </c>
      <c r="BM843" t="s">
        <v>383</v>
      </c>
      <c r="BN843" s="322">
        <v>29976.674739999999</v>
      </c>
      <c r="BO843" s="322">
        <v>1379.25884</v>
      </c>
      <c r="BP843" s="10">
        <v>10768</v>
      </c>
      <c r="BQ843" s="254">
        <f t="shared" si="365"/>
        <v>2.7838665248885586</v>
      </c>
      <c r="BR843" s="254">
        <f t="shared" si="366"/>
        <v>0.1280886738484398</v>
      </c>
      <c r="BS843" s="25">
        <v>70.571205779889354</v>
      </c>
      <c r="BT843" s="25">
        <v>98.456789999999998</v>
      </c>
      <c r="BU843" s="25">
        <v>54.505000000000003</v>
      </c>
      <c r="BV843" s="25">
        <v>90.222690635627274</v>
      </c>
      <c r="BW843" s="25">
        <v>53.093090601982453</v>
      </c>
      <c r="BX843" s="25">
        <v>78.438921603879152</v>
      </c>
      <c r="BY843" s="25">
        <v>53.930861539946989</v>
      </c>
      <c r="BZ843">
        <v>54</v>
      </c>
      <c r="CA843">
        <v>0</v>
      </c>
      <c r="CB843">
        <v>7</v>
      </c>
      <c r="CC843">
        <v>46672.644800000002</v>
      </c>
      <c r="CD843" s="10">
        <v>31468.290899</v>
      </c>
      <c r="CE843" s="255">
        <v>0.67423414794355085</v>
      </c>
      <c r="CF843" t="str">
        <f>IFERROR(VLOOKUP(CE843,'Rangos amb etnico'!$A$2:$C$6,3,9),"N.D.")</f>
        <v>51% - 70%</v>
      </c>
      <c r="CG843" s="256">
        <v>9.1553120717387097E-4</v>
      </c>
      <c r="CH843" s="232">
        <v>0</v>
      </c>
      <c r="CI843" s="311">
        <f t="shared" si="373"/>
        <v>0</v>
      </c>
      <c r="CJ843" s="232">
        <f>IFERROR(VLOOKUP(CI843,'Rangos amb etnico'!$A$2:$C$6,3,9),"N.D.")</f>
        <v>0</v>
      </c>
      <c r="CK843" s="311">
        <f t="shared" si="374"/>
        <v>0</v>
      </c>
      <c r="CL843" s="10">
        <v>0</v>
      </c>
      <c r="CM843" s="255">
        <f t="shared" si="375"/>
        <v>0</v>
      </c>
      <c r="CN843" s="232">
        <f>IFERROR(VLOOKUP(CM843,'Rangos amb etnico'!$A$2:$C$6,3,9),"N.D.")</f>
        <v>0</v>
      </c>
      <c r="CO843" s="311">
        <f t="shared" si="376"/>
        <v>0</v>
      </c>
      <c r="CP843">
        <v>0.92705889907376293</v>
      </c>
      <c r="CQ843" t="s">
        <v>2864</v>
      </c>
      <c r="CR843">
        <f t="shared" si="367"/>
        <v>2</v>
      </c>
      <c r="CS843" t="str">
        <f t="shared" si="377"/>
        <v>No es Candidato</v>
      </c>
      <c r="CT843">
        <v>0</v>
      </c>
      <c r="CU843">
        <v>0</v>
      </c>
      <c r="CV843" s="25">
        <v>49.892967224121087</v>
      </c>
      <c r="CW843" s="25">
        <v>13.59163665771484</v>
      </c>
      <c r="CX843" s="25">
        <v>50.316585540771477</v>
      </c>
      <c r="CY843" s="25">
        <v>70.955268859863281</v>
      </c>
      <c r="CZ843" s="25">
        <v>30.809318542480469</v>
      </c>
      <c r="DA843" s="25">
        <v>64.364776611328125</v>
      </c>
      <c r="DB843" s="25">
        <v>69.320213317871094</v>
      </c>
      <c r="DC843">
        <v>75</v>
      </c>
      <c r="DD843" s="253" t="s">
        <v>380</v>
      </c>
    </row>
    <row r="844" spans="1:108" hidden="1">
      <c r="A844" s="13">
        <v>73686</v>
      </c>
      <c r="B844" s="13" t="s">
        <v>2111</v>
      </c>
      <c r="C844" s="13" t="s">
        <v>595</v>
      </c>
      <c r="D844" s="13" t="s">
        <v>596</v>
      </c>
      <c r="E844" s="13" t="s">
        <v>2112</v>
      </c>
      <c r="F844" s="14">
        <v>52.187666666666701</v>
      </c>
      <c r="G844" s="13">
        <v>67.17</v>
      </c>
      <c r="H844" s="13">
        <v>31.01</v>
      </c>
      <c r="I844" s="13">
        <v>51.3</v>
      </c>
      <c r="J844" s="14">
        <v>43.200966037258425</v>
      </c>
      <c r="K844" s="14">
        <v>59.959327057574797</v>
      </c>
      <c r="L844" s="14">
        <v>10.362871559642876</v>
      </c>
      <c r="M844" s="14">
        <v>52.032200000000003</v>
      </c>
      <c r="N844" s="14">
        <f t="shared" si="351"/>
        <v>50.41691666666668</v>
      </c>
      <c r="O844" s="14">
        <f t="shared" si="352"/>
        <v>41.38884116361902</v>
      </c>
      <c r="P844" s="14">
        <f t="shared" si="368"/>
        <v>45.90287891514285</v>
      </c>
      <c r="Q844" s="14">
        <v>61.211137741640933</v>
      </c>
      <c r="R844" s="17">
        <f t="shared" si="353"/>
        <v>38.788862258359067</v>
      </c>
      <c r="S844" s="14">
        <f t="shared" si="369"/>
        <v>0.44909976032523169</v>
      </c>
      <c r="T844" s="13">
        <v>0</v>
      </c>
      <c r="U844" s="13">
        <f t="shared" si="370"/>
        <v>20.614971919028786</v>
      </c>
      <c r="V844" s="13">
        <f>IF($T844=1,$AU844,(VLOOKUP(U844,'Cortes naturales'!$A$35:$C$39,3,9)))</f>
        <v>5</v>
      </c>
      <c r="W844" s="13">
        <v>5</v>
      </c>
      <c r="X844" s="14" t="b">
        <f t="shared" si="354"/>
        <v>1</v>
      </c>
      <c r="Y844" s="17">
        <f>IF($T844=1,$AU844,VLOOKUP(U844,'Cortes naturales'!$A$45:$C$49,3,9))</f>
        <v>5</v>
      </c>
      <c r="Z844" s="14">
        <v>44.989769370972482</v>
      </c>
      <c r="AA844" s="14">
        <v>0.45378257870169303</v>
      </c>
      <c r="AB844" s="14">
        <v>20.415573560354339</v>
      </c>
      <c r="AC844" s="13">
        <v>4</v>
      </c>
      <c r="AD844" s="13">
        <f t="shared" si="355"/>
        <v>-1</v>
      </c>
      <c r="AE844" s="14">
        <f t="shared" si="356"/>
        <v>0.91310954417036783</v>
      </c>
      <c r="AF844" s="14">
        <f t="shared" si="357"/>
        <v>-4.6828183764613396E-3</v>
      </c>
      <c r="AG844" s="13">
        <f t="shared" si="358"/>
        <v>0.199398358674447</v>
      </c>
      <c r="AH844" s="13">
        <f>IF($T844=1,$AU844,VLOOKUP(U844,'Cortes naturales'!$A$25:$C$29,3,9))</f>
        <v>4</v>
      </c>
      <c r="AI844" s="13" t="b">
        <f t="shared" si="359"/>
        <v>0</v>
      </c>
      <c r="AJ844" s="13" t="str">
        <f t="shared" si="360"/>
        <v>Cambio en corte</v>
      </c>
      <c r="AK844" s="28">
        <v>0.6523467210059386</v>
      </c>
      <c r="AL844" s="28">
        <v>29.348928527967306</v>
      </c>
      <c r="AM844" s="28">
        <v>0.1964981473562207</v>
      </c>
      <c r="AN844" s="13">
        <v>4</v>
      </c>
      <c r="AO844" s="33">
        <f t="shared" si="361"/>
        <v>-1</v>
      </c>
      <c r="AP844" s="13">
        <f t="shared" si="371"/>
        <v>19.649814735622069</v>
      </c>
      <c r="AQ844" s="13">
        <f>IFERROR(VLOOKUP(U844,'Cortes naturales'!$E$15:$G$19,3,9),U844)</f>
        <v>4</v>
      </c>
      <c r="AR844" s="28">
        <f t="shared" si="362"/>
        <v>-0.20324696068070691</v>
      </c>
      <c r="AS844" s="13" t="b">
        <f t="shared" si="363"/>
        <v>0</v>
      </c>
      <c r="AT844" s="13" t="str">
        <f t="shared" si="372"/>
        <v>Cambio en corte</v>
      </c>
      <c r="AU844" s="13">
        <v>4</v>
      </c>
      <c r="AV844">
        <f t="shared" si="364"/>
        <v>-1</v>
      </c>
      <c r="AW844" s="13">
        <v>0</v>
      </c>
      <c r="AX844" s="13">
        <v>0</v>
      </c>
      <c r="AY844" s="13">
        <v>0</v>
      </c>
      <c r="AZ844" s="13">
        <v>0</v>
      </c>
      <c r="BA844">
        <v>1</v>
      </c>
      <c r="BB844" t="s">
        <v>2840</v>
      </c>
      <c r="BC844">
        <v>6</v>
      </c>
      <c r="BD844" t="s">
        <v>2919</v>
      </c>
      <c r="BE844">
        <v>0</v>
      </c>
      <c r="BF844" s="232" t="s">
        <v>2846</v>
      </c>
      <c r="BG844" s="232" t="s">
        <v>2845</v>
      </c>
      <c r="BH844" s="253">
        <v>50.9</v>
      </c>
      <c r="BI844" s="253">
        <v>12.315957023477916</v>
      </c>
      <c r="BJ844" s="25">
        <v>4.3704761904761904</v>
      </c>
      <c r="BK844" t="s">
        <v>381</v>
      </c>
      <c r="BL844">
        <v>2.2055466066702065</v>
      </c>
      <c r="BM844" t="s">
        <v>383</v>
      </c>
      <c r="BN844" s="322">
        <v>14077.620435999999</v>
      </c>
      <c r="BO844" s="322">
        <v>1284.186512</v>
      </c>
      <c r="BP844" s="10">
        <v>5933</v>
      </c>
      <c r="BQ844" s="254">
        <f t="shared" si="365"/>
        <v>2.3727659592111916</v>
      </c>
      <c r="BR844" s="254">
        <f t="shared" si="366"/>
        <v>0.21644808899376369</v>
      </c>
      <c r="BS844" s="25">
        <v>61.309927825703276</v>
      </c>
      <c r="BT844" s="25">
        <v>86.736268265632916</v>
      </c>
      <c r="BU844" s="25">
        <v>33.483333333333327</v>
      </c>
      <c r="BV844" s="25">
        <v>90.289585709159624</v>
      </c>
      <c r="BW844" s="25">
        <v>58.529152429923833</v>
      </c>
      <c r="BX844" s="25">
        <v>67.954778783457286</v>
      </c>
      <c r="BY844" s="25">
        <v>57.675144159254707</v>
      </c>
      <c r="BZ844">
        <v>18</v>
      </c>
      <c r="CA844">
        <v>0</v>
      </c>
      <c r="CB844">
        <v>7</v>
      </c>
      <c r="CC844">
        <v>27005.215758999999</v>
      </c>
      <c r="CD844" s="10">
        <v>26356.284032</v>
      </c>
      <c r="CE844" s="255">
        <v>0.97597013359229579</v>
      </c>
      <c r="CF844" t="str">
        <f>IFERROR(VLOOKUP(CE844,'Rangos amb etnico'!$A$2:$C$6,3,9),"N.D.")</f>
        <v>71% - 100%</v>
      </c>
      <c r="CG844" s="256">
        <v>7.6680365685831333E-4</v>
      </c>
      <c r="CH844" s="232">
        <v>0</v>
      </c>
      <c r="CI844" s="311">
        <f t="shared" si="373"/>
        <v>0</v>
      </c>
      <c r="CJ844" s="232">
        <f>IFERROR(VLOOKUP(CI844,'Rangos amb etnico'!$A$2:$C$6,3,9),"N.D.")</f>
        <v>0</v>
      </c>
      <c r="CK844" s="311">
        <f t="shared" si="374"/>
        <v>0</v>
      </c>
      <c r="CL844" s="10">
        <v>8505.0361597499905</v>
      </c>
      <c r="CM844" s="255">
        <f t="shared" si="375"/>
        <v>0.31494050022227749</v>
      </c>
      <c r="CN844" s="232" t="str">
        <f>IFERROR(VLOOKUP(CM844,'Rangos amb etnico'!$A$2:$C$6,3,9),"N.D.")</f>
        <v>31% - 50%</v>
      </c>
      <c r="CO844" s="311">
        <f t="shared" si="376"/>
        <v>5.3335672529814292E-3</v>
      </c>
      <c r="CP844">
        <v>0.93686591020707777</v>
      </c>
      <c r="CQ844" t="s">
        <v>2864</v>
      </c>
      <c r="CR844">
        <f t="shared" si="367"/>
        <v>1</v>
      </c>
      <c r="CS844" t="str">
        <f t="shared" si="377"/>
        <v>No es Candidato</v>
      </c>
      <c r="CT844">
        <v>0</v>
      </c>
      <c r="CU844">
        <v>0</v>
      </c>
      <c r="CV844" s="25">
        <v>39.313133239746087</v>
      </c>
      <c r="CW844" s="25">
        <v>16.900360107421879</v>
      </c>
      <c r="CX844" s="25">
        <v>48.534549713134773</v>
      </c>
      <c r="CY844" s="25">
        <v>56.169975280761719</v>
      </c>
      <c r="CZ844" s="25">
        <v>25.206489562988281</v>
      </c>
      <c r="DA844" s="25">
        <v>28.134931564331051</v>
      </c>
      <c r="DB844" s="25">
        <v>60.932491302490227</v>
      </c>
      <c r="DC844">
        <v>47</v>
      </c>
      <c r="DD844" s="253" t="s">
        <v>380</v>
      </c>
    </row>
    <row r="845" spans="1:108" hidden="1">
      <c r="A845" s="13">
        <v>54385</v>
      </c>
      <c r="B845" s="13" t="s">
        <v>2113</v>
      </c>
      <c r="C845" s="13" t="s">
        <v>517</v>
      </c>
      <c r="D845" s="13" t="s">
        <v>518</v>
      </c>
      <c r="E845" s="13" t="s">
        <v>2114</v>
      </c>
      <c r="F845" s="14">
        <v>51.019033333333297</v>
      </c>
      <c r="G845" s="13">
        <v>48.64</v>
      </c>
      <c r="H845" s="13">
        <v>50.93</v>
      </c>
      <c r="I845" s="13">
        <v>43.78</v>
      </c>
      <c r="J845" s="14">
        <v>70.351662164921663</v>
      </c>
      <c r="K845" s="14">
        <v>64.591605245680171</v>
      </c>
      <c r="L845" s="14">
        <v>57.313466043219826</v>
      </c>
      <c r="M845" s="14">
        <v>48.279600000000002</v>
      </c>
      <c r="N845" s="14">
        <f t="shared" si="351"/>
        <v>48.592258333333326</v>
      </c>
      <c r="O845" s="14">
        <f t="shared" si="352"/>
        <v>60.134083363455417</v>
      </c>
      <c r="P845" s="14">
        <f t="shared" si="368"/>
        <v>54.363170848394375</v>
      </c>
      <c r="Q845" s="14">
        <v>61.896333393099432</v>
      </c>
      <c r="R845" s="17">
        <f t="shared" si="353"/>
        <v>38.103666606900568</v>
      </c>
      <c r="S845" s="14">
        <f t="shared" si="369"/>
        <v>0.44293299946210507</v>
      </c>
      <c r="T845" s="13">
        <v>0</v>
      </c>
      <c r="U845" s="13">
        <f t="shared" si="370"/>
        <v>24.079242324150194</v>
      </c>
      <c r="V845" s="13">
        <f>IF($T845=1,$AU845,(VLOOKUP(U845,'Cortes naturales'!$A$35:$C$39,3,9)))</f>
        <v>4</v>
      </c>
      <c r="W845" s="13">
        <v>4</v>
      </c>
      <c r="X845" s="14" t="b">
        <f t="shared" si="354"/>
        <v>1</v>
      </c>
      <c r="Y845" s="17">
        <f>IF($T845=1,$AU845,VLOOKUP(U845,'Cortes naturales'!$A$45:$C$49,3,9))</f>
        <v>4</v>
      </c>
      <c r="Z845" s="14">
        <v>57.662850196321905</v>
      </c>
      <c r="AA845" s="14">
        <v>0.45173226077227213</v>
      </c>
      <c r="AB845" s="14">
        <v>26.048169681757351</v>
      </c>
      <c r="AC845" s="13">
        <v>4</v>
      </c>
      <c r="AD845" s="13">
        <f t="shared" si="355"/>
        <v>0</v>
      </c>
      <c r="AE845" s="14">
        <f t="shared" si="356"/>
        <v>-3.2996793479275297</v>
      </c>
      <c r="AF845" s="14">
        <f t="shared" si="357"/>
        <v>-8.7992613101670614E-3</v>
      </c>
      <c r="AG845" s="13">
        <f t="shared" si="358"/>
        <v>-1.9689273576071571</v>
      </c>
      <c r="AH845" s="13">
        <f>IF($T845=1,$AU845,VLOOKUP(U845,'Cortes naturales'!$A$25:$C$29,3,9))</f>
        <v>4</v>
      </c>
      <c r="AI845" s="13" t="b">
        <f t="shared" si="359"/>
        <v>1</v>
      </c>
      <c r="AJ845" s="13">
        <f t="shared" si="360"/>
        <v>0</v>
      </c>
      <c r="AK845" s="28">
        <v>0.6523467210059386</v>
      </c>
      <c r="AL845" s="28">
        <v>37.616171249427239</v>
      </c>
      <c r="AM845" s="28">
        <v>0.29991263930643586</v>
      </c>
      <c r="AN845" s="13">
        <v>4</v>
      </c>
      <c r="AO845" s="33">
        <f t="shared" si="361"/>
        <v>0</v>
      </c>
      <c r="AP845" s="13">
        <f t="shared" si="371"/>
        <v>29.991263930643587</v>
      </c>
      <c r="AQ845" s="13">
        <f>IFERROR(VLOOKUP(U845,'Cortes naturales'!$E$15:$G$19,3,9),U845)</f>
        <v>4</v>
      </c>
      <c r="AR845" s="28">
        <f t="shared" si="362"/>
        <v>-0.20941372154383353</v>
      </c>
      <c r="AS845" s="13" t="b">
        <f t="shared" si="363"/>
        <v>1</v>
      </c>
      <c r="AT845" s="13">
        <f t="shared" si="372"/>
        <v>0</v>
      </c>
      <c r="AU845" s="13">
        <v>4</v>
      </c>
      <c r="AV845">
        <f t="shared" si="364"/>
        <v>0</v>
      </c>
      <c r="AW845" s="13">
        <v>0</v>
      </c>
      <c r="AX845" s="13">
        <v>0</v>
      </c>
      <c r="AY845" s="13">
        <v>0</v>
      </c>
      <c r="AZ845" s="13">
        <v>0</v>
      </c>
      <c r="BA845">
        <v>0</v>
      </c>
      <c r="BB845" t="s">
        <v>2841</v>
      </c>
      <c r="BC845">
        <v>6</v>
      </c>
      <c r="BD845" t="s">
        <v>2919</v>
      </c>
      <c r="BE845">
        <v>1</v>
      </c>
      <c r="BF845" s="232" t="s">
        <v>2846</v>
      </c>
      <c r="BG845" s="232" t="s">
        <v>2846</v>
      </c>
      <c r="BH845" s="253">
        <v>57.1</v>
      </c>
      <c r="BI845" s="253">
        <v>30.724637681159422</v>
      </c>
      <c r="BJ845" s="25">
        <v>14.139999999999997</v>
      </c>
      <c r="BK845" t="s">
        <v>379</v>
      </c>
      <c r="BL845">
        <v>6.3635400211604685</v>
      </c>
      <c r="BM845" t="s">
        <v>379</v>
      </c>
      <c r="BN845" s="322">
        <v>29527.513643999999</v>
      </c>
      <c r="BO845" s="322">
        <v>2676.2555739999998</v>
      </c>
      <c r="BP845" s="10">
        <v>12516</v>
      </c>
      <c r="BQ845" s="254">
        <f t="shared" si="365"/>
        <v>2.359181339405561</v>
      </c>
      <c r="BR845" s="254">
        <f t="shared" si="366"/>
        <v>0.21382674768296578</v>
      </c>
      <c r="BS845" s="25">
        <v>58.080628937419498</v>
      </c>
      <c r="BT845" s="25">
        <v>88.645153263023346</v>
      </c>
      <c r="BU845" s="25">
        <v>39.729999999999997</v>
      </c>
      <c r="BV845" s="25">
        <v>94.339896961767934</v>
      </c>
      <c r="BW845" s="25">
        <v>55.011059484385378</v>
      </c>
      <c r="BX845" s="25">
        <v>70.198919790552694</v>
      </c>
      <c r="BY845" s="25">
        <v>55.815724279806062</v>
      </c>
      <c r="BZ845">
        <v>8</v>
      </c>
      <c r="CA845">
        <v>0</v>
      </c>
      <c r="CB845">
        <v>7</v>
      </c>
      <c r="CC845">
        <v>66875.090718000007</v>
      </c>
      <c r="CD845" s="10">
        <v>2827.570127</v>
      </c>
      <c r="CE845" s="255">
        <v>4.2281365103837308E-2</v>
      </c>
      <c r="CF845" t="str">
        <f>IFERROR(VLOOKUP(CE845,'Rangos amb etnico'!$A$2:$C$6,3,9),"N.D.")</f>
        <v>0,1% - 30%</v>
      </c>
      <c r="CG845" s="256">
        <v>8.2264673987215184E-5</v>
      </c>
      <c r="CH845" s="232">
        <v>0</v>
      </c>
      <c r="CI845" s="311">
        <f t="shared" si="373"/>
        <v>0</v>
      </c>
      <c r="CJ845" s="232">
        <f>IFERROR(VLOOKUP(CI845,'Rangos amb etnico'!$A$2:$C$6,3,9),"N.D.")</f>
        <v>0</v>
      </c>
      <c r="CK845" s="311">
        <f t="shared" si="374"/>
        <v>0</v>
      </c>
      <c r="CL845" s="10">
        <v>0</v>
      </c>
      <c r="CM845" s="255">
        <f t="shared" si="375"/>
        <v>0</v>
      </c>
      <c r="CN845" s="232">
        <f>IFERROR(VLOOKUP(CM845,'Rangos amb etnico'!$A$2:$C$6,3,9),"N.D.")</f>
        <v>0</v>
      </c>
      <c r="CO845" s="311">
        <f t="shared" si="376"/>
        <v>0</v>
      </c>
      <c r="CP845">
        <v>0.82152864781175605</v>
      </c>
      <c r="CQ845" t="s">
        <v>2865</v>
      </c>
      <c r="CR845">
        <f t="shared" si="367"/>
        <v>1</v>
      </c>
      <c r="CS845" t="str">
        <f t="shared" si="377"/>
        <v>No es Candidato</v>
      </c>
      <c r="CT845">
        <v>0</v>
      </c>
      <c r="CU845">
        <v>0</v>
      </c>
      <c r="CV845" s="25">
        <v>37.560764312744141</v>
      </c>
      <c r="CW845" s="25">
        <v>15.551956176757811</v>
      </c>
      <c r="CX845" s="25">
        <v>51.470405578613281</v>
      </c>
      <c r="CY845" s="25">
        <v>48.518089294433587</v>
      </c>
      <c r="CZ845" s="25">
        <v>30.108476638793949</v>
      </c>
      <c r="DA845" s="25">
        <v>50.323848724365227</v>
      </c>
      <c r="DB845" s="25">
        <v>29.39180755615234</v>
      </c>
      <c r="DC845">
        <v>106</v>
      </c>
      <c r="DD845" s="253" t="s">
        <v>380</v>
      </c>
    </row>
    <row r="846" spans="1:108" hidden="1">
      <c r="A846" s="13">
        <v>54680</v>
      </c>
      <c r="B846" s="13" t="s">
        <v>2115</v>
      </c>
      <c r="C846" s="13" t="s">
        <v>517</v>
      </c>
      <c r="D846" s="13" t="s">
        <v>518</v>
      </c>
      <c r="E846" s="13" t="s">
        <v>2116</v>
      </c>
      <c r="F846" s="14">
        <v>55.549833333333297</v>
      </c>
      <c r="G846" s="13">
        <v>60.44</v>
      </c>
      <c r="H846" s="13">
        <v>53</v>
      </c>
      <c r="I846" s="13">
        <v>43.4</v>
      </c>
      <c r="J846" s="14">
        <v>59.032264235806451</v>
      </c>
      <c r="K846" s="14">
        <v>53.479564288524308</v>
      </c>
      <c r="L846" s="14">
        <v>54.177726666505741</v>
      </c>
      <c r="M846" s="14">
        <v>45.22</v>
      </c>
      <c r="N846" s="14">
        <f t="shared" si="351"/>
        <v>53.097458333333329</v>
      </c>
      <c r="O846" s="14">
        <f t="shared" si="352"/>
        <v>52.977388797709125</v>
      </c>
      <c r="P846" s="14">
        <f t="shared" si="368"/>
        <v>53.037423565521223</v>
      </c>
      <c r="Q846" s="14">
        <v>60.870860375964305</v>
      </c>
      <c r="R846" s="17">
        <f t="shared" si="353"/>
        <v>39.129139624035695</v>
      </c>
      <c r="S846" s="14">
        <f t="shared" si="369"/>
        <v>0.45216225661632126</v>
      </c>
      <c r="T846" s="13">
        <v>0</v>
      </c>
      <c r="U846" s="13">
        <f t="shared" si="370"/>
        <v>23.981521124501732</v>
      </c>
      <c r="V846" s="13">
        <f>IF($T846=1,$AU846,(VLOOKUP(U846,'Cortes naturales'!$A$35:$C$39,3,9)))</f>
        <v>4</v>
      </c>
      <c r="W846" s="13">
        <v>4</v>
      </c>
      <c r="X846" s="14" t="b">
        <f t="shared" si="354"/>
        <v>1</v>
      </c>
      <c r="Y846" s="17">
        <f>IF($T846=1,$AU846,VLOOKUP(U846,'Cortes naturales'!$A$45:$C$49,3,9))</f>
        <v>4</v>
      </c>
      <c r="Z846" s="14">
        <v>55.311618318544802</v>
      </c>
      <c r="AA846" s="14">
        <v>0.45546098450881112</v>
      </c>
      <c r="AB846" s="14">
        <v>25.192284134140007</v>
      </c>
      <c r="AC846" s="13">
        <v>4</v>
      </c>
      <c r="AD846" s="13">
        <f t="shared" si="355"/>
        <v>0</v>
      </c>
      <c r="AE846" s="14">
        <f t="shared" si="356"/>
        <v>-2.2741947530235791</v>
      </c>
      <c r="AF846" s="14">
        <f t="shared" si="357"/>
        <v>-3.2987278924898611E-3</v>
      </c>
      <c r="AG846" s="13">
        <f t="shared" si="358"/>
        <v>-1.2107630096382742</v>
      </c>
      <c r="AH846" s="13">
        <f>IF($T846=1,$AU846,VLOOKUP(U846,'Cortes naturales'!$A$25:$C$29,3,9))</f>
        <v>4</v>
      </c>
      <c r="AI846" s="13" t="b">
        <f t="shared" si="359"/>
        <v>1</v>
      </c>
      <c r="AJ846" s="13">
        <f t="shared" si="360"/>
        <v>0</v>
      </c>
      <c r="AK846" s="28">
        <v>0.6523467210059386</v>
      </c>
      <c r="AL846" s="28">
        <v>36.082352843634709</v>
      </c>
      <c r="AM846" s="28">
        <v>0.28072618784696879</v>
      </c>
      <c r="AN846" s="13">
        <v>4</v>
      </c>
      <c r="AO846" s="33">
        <f t="shared" si="361"/>
        <v>0</v>
      </c>
      <c r="AP846" s="13">
        <f t="shared" si="371"/>
        <v>28.072618784696878</v>
      </c>
      <c r="AQ846" s="13">
        <f>IFERROR(VLOOKUP(U846,'Cortes naturales'!$E$15:$G$19,3,9),U846)</f>
        <v>4</v>
      </c>
      <c r="AR846" s="28">
        <f t="shared" si="362"/>
        <v>-0.20018446438961734</v>
      </c>
      <c r="AS846" s="13" t="b">
        <f t="shared" si="363"/>
        <v>1</v>
      </c>
      <c r="AT846" s="13">
        <f t="shared" si="372"/>
        <v>0</v>
      </c>
      <c r="AU846" s="13">
        <v>4</v>
      </c>
      <c r="AV846">
        <f t="shared" si="364"/>
        <v>0</v>
      </c>
      <c r="AW846" s="13">
        <v>0</v>
      </c>
      <c r="AX846" s="13">
        <v>0</v>
      </c>
      <c r="AY846" s="13">
        <v>0</v>
      </c>
      <c r="AZ846" s="13">
        <v>0</v>
      </c>
      <c r="BA846">
        <v>1</v>
      </c>
      <c r="BB846" t="s">
        <v>2840</v>
      </c>
      <c r="BC846">
        <v>6</v>
      </c>
      <c r="BD846" t="s">
        <v>2919</v>
      </c>
      <c r="BE846">
        <v>1</v>
      </c>
      <c r="BF846" s="232" t="s">
        <v>2846</v>
      </c>
      <c r="BG846" s="232" t="s">
        <v>2846</v>
      </c>
      <c r="BH846" s="253">
        <v>48.1</v>
      </c>
      <c r="BI846" s="253">
        <v>19.909061383566094</v>
      </c>
      <c r="BJ846" s="25">
        <v>32.319207027540358</v>
      </c>
      <c r="BK846" t="s">
        <v>379</v>
      </c>
      <c r="BL846">
        <v>49.659144680201969</v>
      </c>
      <c r="BM846" t="s">
        <v>384</v>
      </c>
      <c r="BN846" s="322">
        <v>12466.449477</v>
      </c>
      <c r="BO846" s="322">
        <v>1351.119099</v>
      </c>
      <c r="BP846" s="10">
        <v>4040</v>
      </c>
      <c r="BQ846" s="254">
        <f t="shared" si="365"/>
        <v>3.085754821039604</v>
      </c>
      <c r="BR846" s="254">
        <f t="shared" si="366"/>
        <v>0.33443542054455444</v>
      </c>
      <c r="BS846" s="25">
        <v>50.905068226120846</v>
      </c>
      <c r="BT846" s="25">
        <v>88.648319537953796</v>
      </c>
      <c r="BU846" s="25">
        <v>30.186245210727961</v>
      </c>
      <c r="BV846" s="25">
        <v>98.736434520736807</v>
      </c>
      <c r="BW846" s="25">
        <v>46.942858125763728</v>
      </c>
      <c r="BX846" s="25">
        <v>67.11901687388486</v>
      </c>
      <c r="BY846" s="25">
        <v>47.570335663977822</v>
      </c>
      <c r="BZ846">
        <v>1</v>
      </c>
      <c r="CA846">
        <v>0</v>
      </c>
      <c r="CB846">
        <v>7</v>
      </c>
      <c r="CC846">
        <v>17217.061658999999</v>
      </c>
      <c r="CD846" s="10">
        <v>9902.350735</v>
      </c>
      <c r="CE846" s="255">
        <v>0.57514754440248361</v>
      </c>
      <c r="CF846" t="str">
        <f>IFERROR(VLOOKUP(CE846,'Rangos amb etnico'!$A$2:$C$6,3,9),"N.D.")</f>
        <v>51% - 70%</v>
      </c>
      <c r="CG846" s="256">
        <v>2.8809671142838316E-4</v>
      </c>
      <c r="CH846" s="232">
        <v>0</v>
      </c>
      <c r="CI846" s="311">
        <f t="shared" si="373"/>
        <v>0</v>
      </c>
      <c r="CJ846" s="232">
        <f>IFERROR(VLOOKUP(CI846,'Rangos amb etnico'!$A$2:$C$6,3,9),"N.D.")</f>
        <v>0</v>
      </c>
      <c r="CK846" s="311">
        <f t="shared" si="374"/>
        <v>0</v>
      </c>
      <c r="CL846" s="10">
        <v>0</v>
      </c>
      <c r="CM846" s="255">
        <f t="shared" si="375"/>
        <v>0</v>
      </c>
      <c r="CN846" s="232">
        <f>IFERROR(VLOOKUP(CM846,'Rangos amb etnico'!$A$2:$C$6,3,9),"N.D.")</f>
        <v>0</v>
      </c>
      <c r="CO846" s="311">
        <f t="shared" si="376"/>
        <v>0</v>
      </c>
      <c r="CP846">
        <v>0.9442304085589821</v>
      </c>
      <c r="CQ846" t="s">
        <v>2864</v>
      </c>
      <c r="CR846">
        <f t="shared" si="367"/>
        <v>1</v>
      </c>
      <c r="CS846" t="str">
        <f t="shared" si="377"/>
        <v>No es Candidato</v>
      </c>
      <c r="CT846">
        <v>0</v>
      </c>
      <c r="CU846">
        <v>0</v>
      </c>
      <c r="CV846" s="25">
        <v>46.440677642822273</v>
      </c>
      <c r="CW846" s="25">
        <v>26.818784713745121</v>
      </c>
      <c r="CX846" s="25">
        <v>41.733802795410163</v>
      </c>
      <c r="CY846" s="25">
        <v>57.764881134033203</v>
      </c>
      <c r="CZ846" s="25">
        <v>28.841192245483398</v>
      </c>
      <c r="DA846" s="25">
        <v>63.883464813232422</v>
      </c>
      <c r="DB846" s="25">
        <v>59.601947784423828</v>
      </c>
      <c r="DC846">
        <v>16</v>
      </c>
      <c r="DD846" s="253" t="s">
        <v>380</v>
      </c>
    </row>
    <row r="847" spans="1:108" hidden="1">
      <c r="A847" s="13">
        <v>73483</v>
      </c>
      <c r="B847" s="13" t="s">
        <v>2117</v>
      </c>
      <c r="C847" s="13" t="s">
        <v>595</v>
      </c>
      <c r="D847" s="13" t="s">
        <v>596</v>
      </c>
      <c r="E847" s="13" t="s">
        <v>2118</v>
      </c>
      <c r="F847" s="14">
        <v>55.879966666666697</v>
      </c>
      <c r="G847" s="13">
        <v>31.1</v>
      </c>
      <c r="H847" s="13">
        <v>8.1</v>
      </c>
      <c r="I847" s="13">
        <v>28.34</v>
      </c>
      <c r="J847" s="14">
        <v>50.791442623506896</v>
      </c>
      <c r="K847" s="14">
        <v>49.841408091289615</v>
      </c>
      <c r="L847" s="14">
        <v>55.143685346454774</v>
      </c>
      <c r="M847" s="14">
        <v>53.216000000000001</v>
      </c>
      <c r="N847" s="14">
        <f t="shared" si="351"/>
        <v>30.854991666666674</v>
      </c>
      <c r="O847" s="14">
        <f t="shared" si="352"/>
        <v>52.248134015312829</v>
      </c>
      <c r="P847" s="14">
        <f t="shared" si="368"/>
        <v>41.551562840989753</v>
      </c>
      <c r="Q847" s="14">
        <v>60.986504816804569</v>
      </c>
      <c r="R847" s="17">
        <f t="shared" si="353"/>
        <v>39.013495183195431</v>
      </c>
      <c r="S847" s="14">
        <f t="shared" si="369"/>
        <v>0.45112145664875891</v>
      </c>
      <c r="T847" s="13">
        <v>0</v>
      </c>
      <c r="U847" s="13">
        <f t="shared" si="370"/>
        <v>18.744801554859741</v>
      </c>
      <c r="V847" s="13">
        <f>IF($T847=1,$AU847,(VLOOKUP(U847,'Cortes naturales'!$A$35:$C$39,3,9)))</f>
        <v>5</v>
      </c>
      <c r="W847" s="13">
        <v>5</v>
      </c>
      <c r="X847" s="14" t="b">
        <f t="shared" si="354"/>
        <v>1</v>
      </c>
      <c r="Y847" s="17">
        <f>IF($T847=1,$AU847,VLOOKUP(U847,'Cortes naturales'!$A$45:$C$49,3,9))</f>
        <v>5</v>
      </c>
      <c r="Z847" s="14">
        <v>44.109420754637441</v>
      </c>
      <c r="AA847" s="14">
        <v>0.45348251135210205</v>
      </c>
      <c r="AB847" s="14">
        <v>20.002850898099521</v>
      </c>
      <c r="AC847" s="13">
        <v>5</v>
      </c>
      <c r="AD847" s="13">
        <f t="shared" si="355"/>
        <v>0</v>
      </c>
      <c r="AE847" s="14">
        <f t="shared" si="356"/>
        <v>-2.5578579136476876</v>
      </c>
      <c r="AF847" s="14">
        <f t="shared" si="357"/>
        <v>-2.3610547033431351E-3</v>
      </c>
      <c r="AG847" s="13">
        <f t="shared" si="358"/>
        <v>-1.2580493432397795</v>
      </c>
      <c r="AH847" s="13">
        <f>IF($T847=1,$AU847,VLOOKUP(U847,'Cortes naturales'!$A$25:$C$29,3,9))</f>
        <v>5</v>
      </c>
      <c r="AI847" s="13" t="b">
        <f t="shared" si="359"/>
        <v>1</v>
      </c>
      <c r="AJ847" s="13">
        <f t="shared" si="360"/>
        <v>0</v>
      </c>
      <c r="AK847" s="28">
        <v>0.6523467210059386</v>
      </c>
      <c r="AL847" s="28">
        <v>28.774635994759027</v>
      </c>
      <c r="AM847" s="28">
        <v>0.18931435312717593</v>
      </c>
      <c r="AN847" s="13">
        <v>4</v>
      </c>
      <c r="AO847" s="33">
        <f t="shared" si="361"/>
        <v>-1</v>
      </c>
      <c r="AP847" s="13">
        <f t="shared" si="371"/>
        <v>18.931435312717593</v>
      </c>
      <c r="AQ847" s="13">
        <f>IFERROR(VLOOKUP(U847,'Cortes naturales'!$E$15:$G$19,3,9),U847)</f>
        <v>4</v>
      </c>
      <c r="AR847" s="28">
        <f t="shared" si="362"/>
        <v>-0.20122526435717969</v>
      </c>
      <c r="AS847" s="13" t="b">
        <f t="shared" si="363"/>
        <v>0</v>
      </c>
      <c r="AT847" s="13" t="str">
        <f t="shared" si="372"/>
        <v>Cambio en corte</v>
      </c>
      <c r="AU847" s="13">
        <v>4</v>
      </c>
      <c r="AV847">
        <f t="shared" si="364"/>
        <v>-1</v>
      </c>
      <c r="AW847" s="13">
        <v>0</v>
      </c>
      <c r="AX847" s="13">
        <v>0</v>
      </c>
      <c r="AY847" s="13">
        <v>0</v>
      </c>
      <c r="AZ847" s="13">
        <v>0</v>
      </c>
      <c r="BA847">
        <v>0</v>
      </c>
      <c r="BB847" t="s">
        <v>2840</v>
      </c>
      <c r="BC847">
        <v>6</v>
      </c>
      <c r="BD847" t="s">
        <v>2919</v>
      </c>
      <c r="BE847">
        <v>0</v>
      </c>
      <c r="BF847" s="232" t="s">
        <v>2846</v>
      </c>
      <c r="BG847" s="232" t="s">
        <v>2846</v>
      </c>
      <c r="BH847" s="253">
        <v>42.1</v>
      </c>
      <c r="BI847" s="253">
        <v>20.65994115174443</v>
      </c>
      <c r="BJ847" s="25">
        <v>46.534995197569742</v>
      </c>
      <c r="BK847" t="s">
        <v>376</v>
      </c>
      <c r="BL847">
        <v>1.5675841793278258</v>
      </c>
      <c r="BM847" t="s">
        <v>383</v>
      </c>
      <c r="BN847" s="322">
        <v>41142.547922999998</v>
      </c>
      <c r="BO847" s="322">
        <v>3329.8951590000001</v>
      </c>
      <c r="BP847" s="10">
        <v>15717</v>
      </c>
      <c r="BQ847" s="254">
        <f t="shared" si="365"/>
        <v>2.6177099906470698</v>
      </c>
      <c r="BR847" s="254">
        <f t="shared" si="366"/>
        <v>0.21186582420309219</v>
      </c>
      <c r="BS847" s="25">
        <v>72.657603020146453</v>
      </c>
      <c r="BT847" s="25">
        <v>90.376902033891113</v>
      </c>
      <c r="BU847" s="25">
        <v>61.667859865583303</v>
      </c>
      <c r="BV847" s="25">
        <v>81.005983976459859</v>
      </c>
      <c r="BW847" s="25">
        <v>33.693402527829747</v>
      </c>
      <c r="BX847" s="25">
        <v>76.427087224020184</v>
      </c>
      <c r="BY847" s="25">
        <v>35.140394309040623</v>
      </c>
      <c r="BZ847">
        <v>23</v>
      </c>
      <c r="CA847">
        <v>0</v>
      </c>
      <c r="CB847">
        <v>7</v>
      </c>
      <c r="CC847">
        <v>85935.024130000005</v>
      </c>
      <c r="CD847" s="10">
        <v>11523.919453</v>
      </c>
      <c r="CE847" s="255">
        <v>0.13410038071982094</v>
      </c>
      <c r="CF847" t="str">
        <f>IFERROR(VLOOKUP(CE847,'Rangos amb etnico'!$A$2:$C$6,3,9),"N.D.")</f>
        <v>0,1% - 30%</v>
      </c>
      <c r="CG847" s="256">
        <v>3.3527425820621291E-4</v>
      </c>
      <c r="CH847" s="232">
        <v>9326.3653890000005</v>
      </c>
      <c r="CI847" s="311">
        <f t="shared" si="373"/>
        <v>0.10852810578014555</v>
      </c>
      <c r="CJ847" s="232" t="str">
        <f>IFERROR(VLOOKUP(CI847,'Rangos amb etnico'!$A$2:$C$6,3,9),"N.D.")</f>
        <v>0,1% - 30%</v>
      </c>
      <c r="CK847" s="311">
        <f t="shared" si="374"/>
        <v>3.7031776752727806E-4</v>
      </c>
      <c r="CL847" s="10">
        <v>0</v>
      </c>
      <c r="CM847" s="255">
        <f t="shared" si="375"/>
        <v>0</v>
      </c>
      <c r="CN847" s="232">
        <f>IFERROR(VLOOKUP(CM847,'Rangos amb etnico'!$A$2:$C$6,3,9),"N.D.")</f>
        <v>0</v>
      </c>
      <c r="CO847" s="311">
        <f t="shared" si="376"/>
        <v>0</v>
      </c>
      <c r="CP847">
        <v>0.84853664419415709</v>
      </c>
      <c r="CQ847" t="s">
        <v>2865</v>
      </c>
      <c r="CR847">
        <f t="shared" si="367"/>
        <v>1</v>
      </c>
      <c r="CS847" t="str">
        <f t="shared" si="377"/>
        <v>No es Candidato</v>
      </c>
      <c r="CT847">
        <v>0</v>
      </c>
      <c r="CU847">
        <v>0</v>
      </c>
      <c r="CV847" s="25">
        <v>39.276203155517578</v>
      </c>
      <c r="CW847" s="25">
        <v>24.20659255981445</v>
      </c>
      <c r="CX847" s="25">
        <v>42.198413848876953</v>
      </c>
      <c r="CY847" s="25">
        <v>52.005889892578118</v>
      </c>
      <c r="CZ847" s="25">
        <v>41.617950439453118</v>
      </c>
      <c r="DA847" s="25">
        <v>32.186752319335938</v>
      </c>
      <c r="DB847" s="25">
        <v>43.441612243652337</v>
      </c>
      <c r="DC847">
        <v>7388</v>
      </c>
      <c r="DD847" s="253" t="s">
        <v>380</v>
      </c>
    </row>
    <row r="848" spans="1:108" hidden="1">
      <c r="A848" s="13">
        <v>54051</v>
      </c>
      <c r="B848" s="13" t="s">
        <v>2119</v>
      </c>
      <c r="C848" s="13" t="s">
        <v>517</v>
      </c>
      <c r="D848" s="13" t="s">
        <v>518</v>
      </c>
      <c r="E848" s="13" t="s">
        <v>2120</v>
      </c>
      <c r="F848" s="14">
        <v>54.189300000000003</v>
      </c>
      <c r="G848" s="13">
        <v>34.1</v>
      </c>
      <c r="H848" s="13">
        <v>49.6</v>
      </c>
      <c r="I848" s="13">
        <v>74.099999999999994</v>
      </c>
      <c r="J848" s="14">
        <v>57.67244071266488</v>
      </c>
      <c r="K848" s="14">
        <v>48.477159620953124</v>
      </c>
      <c r="L848" s="14">
        <v>59.023754137121742</v>
      </c>
      <c r="M848" s="14">
        <v>52.513599999999997</v>
      </c>
      <c r="N848" s="14">
        <f t="shared" si="351"/>
        <v>52.997324999999996</v>
      </c>
      <c r="O848" s="14">
        <f t="shared" si="352"/>
        <v>54.421738617684937</v>
      </c>
      <c r="P848" s="14">
        <f t="shared" si="368"/>
        <v>53.70953180884247</v>
      </c>
      <c r="Q848" s="14">
        <v>61.435576321608934</v>
      </c>
      <c r="R848" s="17">
        <f t="shared" si="353"/>
        <v>38.564423678391066</v>
      </c>
      <c r="S848" s="14">
        <f t="shared" si="369"/>
        <v>0.44707981310551959</v>
      </c>
      <c r="T848" s="13">
        <v>0</v>
      </c>
      <c r="U848" s="13">
        <f t="shared" si="370"/>
        <v>24.012447443082252</v>
      </c>
      <c r="V848" s="13">
        <f>IF($T848=1,$AU848,(VLOOKUP(U848,'Cortes naturales'!$A$35:$C$39,3,9)))</f>
        <v>4</v>
      </c>
      <c r="W848" s="13">
        <v>4</v>
      </c>
      <c r="X848" s="14" t="b">
        <f t="shared" si="354"/>
        <v>1</v>
      </c>
      <c r="Y848" s="17">
        <f>IF($T848=1,$AU848,VLOOKUP(U848,'Cortes naturales'!$A$45:$C$49,3,9))</f>
        <v>4</v>
      </c>
      <c r="Z848" s="14">
        <v>51.328834126809141</v>
      </c>
      <c r="AA848" s="14">
        <v>0.45508945654253896</v>
      </c>
      <c r="AB848" s="14">
        <v>23.359211227731699</v>
      </c>
      <c r="AC848" s="13">
        <v>4</v>
      </c>
      <c r="AD848" s="13">
        <f t="shared" si="355"/>
        <v>0</v>
      </c>
      <c r="AE848" s="14">
        <f t="shared" si="356"/>
        <v>2.380697682033329</v>
      </c>
      <c r="AF848" s="14">
        <f t="shared" si="357"/>
        <v>-8.0096434370193759E-3</v>
      </c>
      <c r="AG848" s="13">
        <f t="shared" si="358"/>
        <v>0.6532362153505531</v>
      </c>
      <c r="AH848" s="13">
        <f>IF($T848=1,$AU848,VLOOKUP(U848,'Cortes naturales'!$A$25:$C$29,3,9))</f>
        <v>4</v>
      </c>
      <c r="AI848" s="13" t="b">
        <f t="shared" si="359"/>
        <v>1</v>
      </c>
      <c r="AJ848" s="13">
        <f t="shared" si="360"/>
        <v>0</v>
      </c>
      <c r="AK848" s="28">
        <v>0.6523467210059386</v>
      </c>
      <c r="AL848" s="28">
        <v>33.484196635681663</v>
      </c>
      <c r="AM848" s="28">
        <v>0.24822599240026808</v>
      </c>
      <c r="AN848" s="13">
        <v>4</v>
      </c>
      <c r="AO848" s="33">
        <f t="shared" si="361"/>
        <v>0</v>
      </c>
      <c r="AP848" s="13">
        <f t="shared" si="371"/>
        <v>24.822599240026808</v>
      </c>
      <c r="AQ848" s="13">
        <f>IFERROR(VLOOKUP(U848,'Cortes naturales'!$E$15:$G$19,3,9),U848)</f>
        <v>4</v>
      </c>
      <c r="AR848" s="28">
        <f t="shared" si="362"/>
        <v>-0.20526690790041902</v>
      </c>
      <c r="AS848" s="13" t="b">
        <f t="shared" si="363"/>
        <v>1</v>
      </c>
      <c r="AT848" s="13">
        <f t="shared" si="372"/>
        <v>0</v>
      </c>
      <c r="AU848" s="13">
        <v>4</v>
      </c>
      <c r="AV848">
        <f t="shared" si="364"/>
        <v>0</v>
      </c>
      <c r="AW848" s="13">
        <v>0</v>
      </c>
      <c r="AX848" s="13">
        <v>0</v>
      </c>
      <c r="AY848" s="13">
        <v>0</v>
      </c>
      <c r="AZ848" s="13">
        <v>0</v>
      </c>
      <c r="BA848">
        <v>0</v>
      </c>
      <c r="BB848" t="s">
        <v>2841</v>
      </c>
      <c r="BC848">
        <v>6</v>
      </c>
      <c r="BD848" t="s">
        <v>2919</v>
      </c>
      <c r="BE848">
        <v>1</v>
      </c>
      <c r="BF848" s="232" t="s">
        <v>2846</v>
      </c>
      <c r="BG848" s="232" t="s">
        <v>2846</v>
      </c>
      <c r="BH848" s="253">
        <v>53.5</v>
      </c>
      <c r="BI848" s="253">
        <v>29.967909158232533</v>
      </c>
      <c r="BJ848" s="25">
        <v>0</v>
      </c>
      <c r="BK848" t="s">
        <v>381</v>
      </c>
      <c r="BL848">
        <v>0.10151016712861752</v>
      </c>
      <c r="BM848" t="s">
        <v>377</v>
      </c>
      <c r="BN848" s="322">
        <v>28905.164537000001</v>
      </c>
      <c r="BO848" s="322">
        <v>2091.2585439999998</v>
      </c>
      <c r="BP848" s="10">
        <v>10559</v>
      </c>
      <c r="BQ848" s="254">
        <f t="shared" si="365"/>
        <v>2.7374907223221898</v>
      </c>
      <c r="BR848" s="254">
        <f t="shared" si="366"/>
        <v>0.19805460214035417</v>
      </c>
      <c r="BS848" s="25">
        <v>59.618473923922011</v>
      </c>
      <c r="BT848" s="25">
        <v>92.28156469994002</v>
      </c>
      <c r="BU848" s="25">
        <v>27.457986914359129</v>
      </c>
      <c r="BV848" s="25">
        <v>99.4681134175908</v>
      </c>
      <c r="BW848" s="25">
        <v>53.587863029618717</v>
      </c>
      <c r="BX848" s="25">
        <v>69.706534738952996</v>
      </c>
      <c r="BY848" s="25">
        <v>54.357129762394997</v>
      </c>
      <c r="BZ848">
        <v>1</v>
      </c>
      <c r="CA848">
        <v>0</v>
      </c>
      <c r="CB848">
        <v>7</v>
      </c>
      <c r="CC848">
        <v>45521.921240999996</v>
      </c>
      <c r="CD848" s="10">
        <v>38111.013454</v>
      </c>
      <c r="CE848" s="255">
        <v>0.83720133981679901</v>
      </c>
      <c r="CF848" t="str">
        <f>IFERROR(VLOOKUP(CE848,'Rangos amb etnico'!$A$2:$C$6,3,9),"N.D.")</f>
        <v>71% - 100%</v>
      </c>
      <c r="CG848" s="256">
        <v>1.1087930471390503E-3</v>
      </c>
      <c r="CH848" s="232">
        <v>0</v>
      </c>
      <c r="CI848" s="311">
        <f t="shared" si="373"/>
        <v>0</v>
      </c>
      <c r="CJ848" s="232">
        <f>IFERROR(VLOOKUP(CI848,'Rangos amb etnico'!$A$2:$C$6,3,9),"N.D.")</f>
        <v>0</v>
      </c>
      <c r="CK848" s="311">
        <f t="shared" si="374"/>
        <v>0</v>
      </c>
      <c r="CL848" s="10">
        <v>0</v>
      </c>
      <c r="CM848" s="255">
        <f t="shared" si="375"/>
        <v>0</v>
      </c>
      <c r="CN848" s="232">
        <f>IFERROR(VLOOKUP(CM848,'Rangos amb etnico'!$A$2:$C$6,3,9),"N.D.")</f>
        <v>0</v>
      </c>
      <c r="CO848" s="311">
        <f t="shared" si="376"/>
        <v>0</v>
      </c>
      <c r="CP848">
        <v>0.94810271502717913</v>
      </c>
      <c r="CQ848" t="s">
        <v>2864</v>
      </c>
      <c r="CR848">
        <f t="shared" si="367"/>
        <v>2</v>
      </c>
      <c r="CS848" t="str">
        <f t="shared" si="377"/>
        <v>No es Candidato</v>
      </c>
      <c r="CT848">
        <v>0</v>
      </c>
      <c r="CU848">
        <v>0</v>
      </c>
      <c r="CV848" s="25">
        <v>52.832412719726563</v>
      </c>
      <c r="CW848" s="25">
        <v>13.98570442199707</v>
      </c>
      <c r="CX848" s="25">
        <v>49.534702301025391</v>
      </c>
      <c r="CY848" s="25">
        <v>69.108573913574219</v>
      </c>
      <c r="CZ848" s="25">
        <v>39.67779541015625</v>
      </c>
      <c r="DA848" s="25">
        <v>86.472366333007813</v>
      </c>
      <c r="DB848" s="25">
        <v>58.215339660644531</v>
      </c>
      <c r="DC848">
        <v>94</v>
      </c>
      <c r="DD848" s="253" t="s">
        <v>380</v>
      </c>
    </row>
    <row r="849" spans="1:108" hidden="1">
      <c r="A849" s="13">
        <v>25580</v>
      </c>
      <c r="B849" s="13" t="s">
        <v>2121</v>
      </c>
      <c r="C849" s="13" t="s">
        <v>461</v>
      </c>
      <c r="D849" s="13" t="s">
        <v>462</v>
      </c>
      <c r="E849" s="13" t="s">
        <v>2122</v>
      </c>
      <c r="F849" s="14">
        <v>51.275100000000002</v>
      </c>
      <c r="G849" s="13">
        <v>51.94</v>
      </c>
      <c r="H849" s="13">
        <v>0</v>
      </c>
      <c r="I849" s="13">
        <v>64.92</v>
      </c>
      <c r="J849" s="14">
        <v>53.274298312500797</v>
      </c>
      <c r="K849" s="14">
        <v>54.641377425224931</v>
      </c>
      <c r="L849" s="14">
        <v>54.898281115161844</v>
      </c>
      <c r="M849" s="14">
        <v>54.106900000000003</v>
      </c>
      <c r="N849" s="14">
        <f t="shared" si="351"/>
        <v>42.033775000000006</v>
      </c>
      <c r="O849" s="14">
        <f t="shared" si="352"/>
        <v>54.230214213221892</v>
      </c>
      <c r="P849" s="14">
        <f t="shared" si="368"/>
        <v>48.131994606610945</v>
      </c>
      <c r="Q849" s="14">
        <v>62.006959431416263</v>
      </c>
      <c r="R849" s="17">
        <f t="shared" si="353"/>
        <v>37.993040568583737</v>
      </c>
      <c r="S849" s="14">
        <f t="shared" si="369"/>
        <v>0.44193736511725368</v>
      </c>
      <c r="T849" s="13">
        <v>0</v>
      </c>
      <c r="U849" s="13">
        <f t="shared" si="370"/>
        <v>21.271326874283506</v>
      </c>
      <c r="V849" s="13">
        <f>IF($T849=1,$AU849,(VLOOKUP(U849,'Cortes naturales'!$A$35:$C$39,3,9)))</f>
        <v>5</v>
      </c>
      <c r="W849" s="13">
        <v>5</v>
      </c>
      <c r="X849" s="14" t="b">
        <f t="shared" si="354"/>
        <v>1</v>
      </c>
      <c r="Y849" s="17">
        <f>IF($T849=1,$AU849,VLOOKUP(U849,'Cortes naturales'!$A$45:$C$49,3,9))</f>
        <v>4</v>
      </c>
      <c r="Z849" s="14">
        <v>51.830215877963553</v>
      </c>
      <c r="AA849" s="14">
        <v>0.45149775765312672</v>
      </c>
      <c r="AB849" s="14">
        <v>23.40122624757803</v>
      </c>
      <c r="AC849" s="13">
        <v>4</v>
      </c>
      <c r="AD849" s="13">
        <f t="shared" si="355"/>
        <v>0</v>
      </c>
      <c r="AE849" s="14">
        <f t="shared" si="356"/>
        <v>-3.6982212713526081</v>
      </c>
      <c r="AF849" s="14">
        <f t="shared" si="357"/>
        <v>-9.5603925358730413E-3</v>
      </c>
      <c r="AG849" s="13">
        <f t="shared" si="358"/>
        <v>-2.1298993732945242</v>
      </c>
      <c r="AH849" s="13">
        <f>IF($T849=1,$AU849,VLOOKUP(U849,'Cortes naturales'!$A$25:$C$29,3,9))</f>
        <v>4</v>
      </c>
      <c r="AI849" s="13" t="b">
        <f t="shared" si="359"/>
        <v>1</v>
      </c>
      <c r="AJ849" s="13">
        <f t="shared" si="360"/>
        <v>0</v>
      </c>
      <c r="AK849" s="28">
        <v>0.6523467210059386</v>
      </c>
      <c r="AL849" s="28">
        <v>33.811271377019459</v>
      </c>
      <c r="AM849" s="28">
        <v>0.25231735264512889</v>
      </c>
      <c r="AN849" s="13">
        <v>4</v>
      </c>
      <c r="AO849" s="33">
        <f t="shared" si="361"/>
        <v>0</v>
      </c>
      <c r="AP849" s="13">
        <f t="shared" si="371"/>
        <v>25.231735264512889</v>
      </c>
      <c r="AQ849" s="13">
        <f>IFERROR(VLOOKUP(U849,'Cortes naturales'!$E$15:$G$19,3,9),U849)</f>
        <v>4</v>
      </c>
      <c r="AR849" s="28">
        <f t="shared" si="362"/>
        <v>-0.21040935588868492</v>
      </c>
      <c r="AS849" s="13" t="b">
        <f t="shared" si="363"/>
        <v>1</v>
      </c>
      <c r="AT849" s="13">
        <f t="shared" si="372"/>
        <v>0</v>
      </c>
      <c r="AU849" s="13">
        <v>4</v>
      </c>
      <c r="AV849">
        <f t="shared" si="364"/>
        <v>0</v>
      </c>
      <c r="AW849" s="13">
        <v>0</v>
      </c>
      <c r="AX849" s="13">
        <v>0</v>
      </c>
      <c r="AY849" s="13">
        <v>0</v>
      </c>
      <c r="AZ849" s="13">
        <v>0</v>
      </c>
      <c r="BA849">
        <v>1</v>
      </c>
      <c r="BB849" t="s">
        <v>2841</v>
      </c>
      <c r="BC849">
        <v>6</v>
      </c>
      <c r="BD849" t="s">
        <v>2919</v>
      </c>
      <c r="BE849">
        <v>0</v>
      </c>
      <c r="BF849" s="232" t="s">
        <v>2846</v>
      </c>
      <c r="BG849" s="232" t="s">
        <v>2846</v>
      </c>
      <c r="BH849" s="253">
        <v>46</v>
      </c>
      <c r="BI849" s="253">
        <v>10.380348652931854</v>
      </c>
      <c r="BJ849" s="25">
        <v>10.566363636363635</v>
      </c>
      <c r="BK849" t="s">
        <v>377</v>
      </c>
      <c r="BL849">
        <v>2.2219323004753342</v>
      </c>
      <c r="BM849" t="s">
        <v>383</v>
      </c>
      <c r="BN849" s="322">
        <v>8703.3668660000003</v>
      </c>
      <c r="BO849" s="322">
        <v>741.41699600000004</v>
      </c>
      <c r="BP849" s="10">
        <v>3652</v>
      </c>
      <c r="BQ849" s="254">
        <f t="shared" si="365"/>
        <v>2.383178221796276</v>
      </c>
      <c r="BR849" s="254">
        <f t="shared" si="366"/>
        <v>0.20301670208105149</v>
      </c>
      <c r="BS849" s="25">
        <v>39.932090446241403</v>
      </c>
      <c r="BT849" s="25">
        <v>79.819277108433738</v>
      </c>
      <c r="BU849" s="25">
        <v>21.3626653696498</v>
      </c>
      <c r="BV849" s="25">
        <v>97.000367673615855</v>
      </c>
      <c r="BW849" s="25">
        <v>47.053291567204823</v>
      </c>
      <c r="BX849" s="25">
        <v>59.5286001494852</v>
      </c>
      <c r="BY849" s="25">
        <v>47.915994532919932</v>
      </c>
      <c r="BZ849">
        <v>52</v>
      </c>
      <c r="CA849">
        <v>0</v>
      </c>
      <c r="CB849">
        <v>7</v>
      </c>
      <c r="CC849">
        <v>19751.970944000001</v>
      </c>
      <c r="CD849" s="10">
        <v>14317.380146</v>
      </c>
      <c r="CE849" s="255">
        <v>0.72485830333550327</v>
      </c>
      <c r="CF849" t="str">
        <f>IFERROR(VLOOKUP(CE849,'Rangos amb etnico'!$A$2:$C$6,3,9),"N.D.")</f>
        <v>71% - 100%</v>
      </c>
      <c r="CG849" s="256">
        <v>4.1654656017722081E-4</v>
      </c>
      <c r="CH849" s="232">
        <v>0</v>
      </c>
      <c r="CI849" s="311">
        <f t="shared" si="373"/>
        <v>0</v>
      </c>
      <c r="CJ849" s="232">
        <f>IFERROR(VLOOKUP(CI849,'Rangos amb etnico'!$A$2:$C$6,3,9),"N.D.")</f>
        <v>0</v>
      </c>
      <c r="CK849" s="311">
        <f t="shared" si="374"/>
        <v>0</v>
      </c>
      <c r="CL849" s="10">
        <v>0</v>
      </c>
      <c r="CM849" s="255">
        <f t="shared" si="375"/>
        <v>0</v>
      </c>
      <c r="CN849" s="232">
        <f>IFERROR(VLOOKUP(CM849,'Rangos amb etnico'!$A$2:$C$6,3,9),"N.D.")</f>
        <v>0</v>
      </c>
      <c r="CO849" s="311">
        <f t="shared" si="376"/>
        <v>0</v>
      </c>
      <c r="CP849">
        <v>0.97529016129598622</v>
      </c>
      <c r="CQ849" t="s">
        <v>2864</v>
      </c>
      <c r="CR849">
        <f t="shared" si="367"/>
        <v>2</v>
      </c>
      <c r="CS849" t="str">
        <f t="shared" si="377"/>
        <v>No es Candidato</v>
      </c>
      <c r="CT849">
        <v>0</v>
      </c>
      <c r="CU849">
        <v>0</v>
      </c>
      <c r="CV849" s="25">
        <v>45.296703338623047</v>
      </c>
      <c r="CW849" s="25">
        <v>12.625471115112299</v>
      </c>
      <c r="CX849" s="25">
        <v>44.775032043457031</v>
      </c>
      <c r="CY849" s="25">
        <v>56.671127319335938</v>
      </c>
      <c r="CZ849" s="25">
        <v>28.465816497802731</v>
      </c>
      <c r="DA849" s="25">
        <v>67.758720397949219</v>
      </c>
      <c r="DB849" s="25">
        <v>61.484046936035163</v>
      </c>
      <c r="DC849">
        <v>28</v>
      </c>
      <c r="DD849" s="253" t="s">
        <v>380</v>
      </c>
    </row>
    <row r="850" spans="1:108" hidden="1">
      <c r="A850" s="13">
        <v>52520</v>
      </c>
      <c r="B850" s="13" t="s">
        <v>2123</v>
      </c>
      <c r="C850" s="13" t="s">
        <v>672</v>
      </c>
      <c r="D850" s="13" t="s">
        <v>673</v>
      </c>
      <c r="E850" s="13" t="s">
        <v>2124</v>
      </c>
      <c r="F850" s="14">
        <v>60.897133333333301</v>
      </c>
      <c r="G850" s="13">
        <v>44.66</v>
      </c>
      <c r="H850" s="13">
        <v>39.049999999999997</v>
      </c>
      <c r="I850" s="13">
        <v>35.39</v>
      </c>
      <c r="J850" s="14">
        <v>58.744206396193348</v>
      </c>
      <c r="K850" s="14">
        <v>57.288083866036644</v>
      </c>
      <c r="L850" s="14">
        <v>64.368594712033158</v>
      </c>
      <c r="M850" s="14">
        <v>54.5351</v>
      </c>
      <c r="N850" s="14">
        <f t="shared" si="351"/>
        <v>44.999283333333324</v>
      </c>
      <c r="O850" s="14">
        <f t="shared" si="352"/>
        <v>58.733996243565784</v>
      </c>
      <c r="P850" s="14">
        <f t="shared" si="368"/>
        <v>51.866639788449554</v>
      </c>
      <c r="Q850" s="14">
        <v>61.150804825709727</v>
      </c>
      <c r="R850" s="17">
        <f t="shared" si="353"/>
        <v>38.849195174290273</v>
      </c>
      <c r="S850" s="14">
        <f t="shared" si="369"/>
        <v>0.44964275656861252</v>
      </c>
      <c r="T850" s="13">
        <v>0</v>
      </c>
      <c r="U850" s="13">
        <f t="shared" si="370"/>
        <v>23.321458888429735</v>
      </c>
      <c r="V850" s="13">
        <f>IF($T850=1,$AU850,(VLOOKUP(U850,'Cortes naturales'!$A$35:$C$39,3,9)))</f>
        <v>4</v>
      </c>
      <c r="W850" s="13">
        <v>4</v>
      </c>
      <c r="X850" s="14" t="b">
        <f t="shared" si="354"/>
        <v>1</v>
      </c>
      <c r="Y850" s="17">
        <f>IF($T850=1,$AU850,VLOOKUP(U850,'Cortes naturales'!$A$45:$C$49,3,9))</f>
        <v>4</v>
      </c>
      <c r="Z850" s="14">
        <v>55.146466125281663</v>
      </c>
      <c r="AA850" s="14">
        <v>0.45269788576372494</v>
      </c>
      <c r="AB850" s="14">
        <v>24.964688622255885</v>
      </c>
      <c r="AC850" s="13">
        <v>4</v>
      </c>
      <c r="AD850" s="13">
        <f t="shared" si="355"/>
        <v>0</v>
      </c>
      <c r="AE850" s="14">
        <f t="shared" si="356"/>
        <v>-3.2798263368321088</v>
      </c>
      <c r="AF850" s="14">
        <f t="shared" si="357"/>
        <v>-3.055129195112416E-3</v>
      </c>
      <c r="AG850" s="13">
        <f t="shared" si="358"/>
        <v>-1.6432297338261499</v>
      </c>
      <c r="AH850" s="13">
        <f>IF($T850=1,$AU850,VLOOKUP(U850,'Cortes naturales'!$A$25:$C$29,3,9))</f>
        <v>4</v>
      </c>
      <c r="AI850" s="13" t="b">
        <f t="shared" si="359"/>
        <v>1</v>
      </c>
      <c r="AJ850" s="13">
        <f t="shared" si="360"/>
        <v>0</v>
      </c>
      <c r="AK850" s="28">
        <v>0.6523467210059386</v>
      </c>
      <c r="AL850" s="28">
        <v>35.974616351892564</v>
      </c>
      <c r="AM850" s="28">
        <v>0.27937851790024137</v>
      </c>
      <c r="AN850" s="13">
        <v>4</v>
      </c>
      <c r="AO850" s="33">
        <f t="shared" si="361"/>
        <v>0</v>
      </c>
      <c r="AP850" s="13">
        <f t="shared" si="371"/>
        <v>27.937851790024137</v>
      </c>
      <c r="AQ850" s="13">
        <f>IFERROR(VLOOKUP(U850,'Cortes naturales'!$E$15:$G$19,3,9),U850)</f>
        <v>4</v>
      </c>
      <c r="AR850" s="28">
        <f t="shared" si="362"/>
        <v>-0.20270396443732608</v>
      </c>
      <c r="AS850" s="13" t="b">
        <f t="shared" si="363"/>
        <v>1</v>
      </c>
      <c r="AT850" s="13">
        <f t="shared" si="372"/>
        <v>0</v>
      </c>
      <c r="AU850" s="13">
        <v>4</v>
      </c>
      <c r="AV850">
        <f t="shared" si="364"/>
        <v>0</v>
      </c>
      <c r="AW850" s="13">
        <v>0</v>
      </c>
      <c r="AX850" s="13">
        <v>0</v>
      </c>
      <c r="AY850" s="13">
        <v>0</v>
      </c>
      <c r="AZ850" s="13">
        <v>1</v>
      </c>
      <c r="BA850">
        <v>1</v>
      </c>
      <c r="BB850" t="s">
        <v>2840</v>
      </c>
      <c r="BC850">
        <v>6</v>
      </c>
      <c r="BD850" t="s">
        <v>2919</v>
      </c>
      <c r="BE850">
        <v>1</v>
      </c>
      <c r="BF850" s="232" t="s">
        <v>2846</v>
      </c>
      <c r="BG850" s="232" t="s">
        <v>2846</v>
      </c>
      <c r="BH850" s="253">
        <v>69.5</v>
      </c>
      <c r="BI850" s="253">
        <v>49.959623149394346</v>
      </c>
      <c r="BJ850" s="25">
        <v>67.847598229109011</v>
      </c>
      <c r="BK850" t="s">
        <v>376</v>
      </c>
      <c r="BL850">
        <v>8.2330153721747923</v>
      </c>
      <c r="BM850" t="s">
        <v>379</v>
      </c>
      <c r="BN850" s="322">
        <v>25265.049171999999</v>
      </c>
      <c r="BO850" s="322">
        <v>905.61465599999997</v>
      </c>
      <c r="BP850" s="10">
        <v>15667</v>
      </c>
      <c r="BQ850" s="254">
        <f t="shared" si="365"/>
        <v>1.61262840186379</v>
      </c>
      <c r="BR850" s="254">
        <f t="shared" si="366"/>
        <v>5.7803960937001339E-2</v>
      </c>
      <c r="BS850" s="25">
        <v>35.129695187830102</v>
      </c>
      <c r="BT850" s="25">
        <v>73.785631809535971</v>
      </c>
      <c r="BU850" s="25">
        <v>36.287482869810532</v>
      </c>
      <c r="BV850" s="25">
        <v>99.528337577319917</v>
      </c>
      <c r="BW850" s="25">
        <v>45.62544992954448</v>
      </c>
      <c r="BX850" s="25">
        <v>61.182786861124129</v>
      </c>
      <c r="BY850" s="25">
        <v>45.98022147703638</v>
      </c>
      <c r="BZ850">
        <v>97</v>
      </c>
      <c r="CA850">
        <v>0</v>
      </c>
      <c r="CB850">
        <v>7</v>
      </c>
      <c r="CC850">
        <v>52608.278047</v>
      </c>
      <c r="CD850" s="10">
        <v>13506.271054999999</v>
      </c>
      <c r="CE850" s="255">
        <v>0.25673281005193815</v>
      </c>
      <c r="CF850" t="str">
        <f>IFERROR(VLOOKUP(CE850,'Rangos amb etnico'!$A$2:$C$6,3,9),"N.D.")</f>
        <v>0,1% - 30%</v>
      </c>
      <c r="CG850" s="256">
        <v>3.9294833911029497E-4</v>
      </c>
      <c r="CH850" s="232">
        <v>43253.523519000002</v>
      </c>
      <c r="CI850" s="311">
        <f t="shared" si="373"/>
        <v>0.82218094042837708</v>
      </c>
      <c r="CJ850" s="232" t="str">
        <f>IFERROR(VLOOKUP(CI850,'Rangos amb etnico'!$A$2:$C$6,3,9),"N.D.")</f>
        <v>71% - 100%</v>
      </c>
      <c r="CK850" s="311">
        <f t="shared" si="374"/>
        <v>1.7174480731943682E-3</v>
      </c>
      <c r="CL850" s="10">
        <v>0</v>
      </c>
      <c r="CM850" s="255">
        <f t="shared" si="375"/>
        <v>0</v>
      </c>
      <c r="CN850" s="232">
        <f>IFERROR(VLOOKUP(CM850,'Rangos amb etnico'!$A$2:$C$6,3,9),"N.D.")</f>
        <v>0</v>
      </c>
      <c r="CO850" s="311">
        <f t="shared" si="376"/>
        <v>0</v>
      </c>
      <c r="CP850">
        <v>0.95526833570693626</v>
      </c>
      <c r="CQ850" t="s">
        <v>2864</v>
      </c>
      <c r="CR850">
        <f t="shared" si="367"/>
        <v>1</v>
      </c>
      <c r="CS850" t="str">
        <f t="shared" si="377"/>
        <v>No es Candidato</v>
      </c>
      <c r="CT850">
        <v>0</v>
      </c>
      <c r="CU850">
        <v>0</v>
      </c>
      <c r="CV850" s="25">
        <v>46.404403686523438</v>
      </c>
      <c r="CW850" s="25">
        <v>24.107515335083011</v>
      </c>
      <c r="CX850" s="25">
        <v>42.006172180175781</v>
      </c>
      <c r="CY850" s="25">
        <v>35.684337615966797</v>
      </c>
      <c r="CZ850" s="25">
        <v>20.20699501037598</v>
      </c>
      <c r="DA850" s="25">
        <v>97.200508117675781</v>
      </c>
      <c r="DB850" s="25">
        <v>59.22088623046875</v>
      </c>
      <c r="DC850">
        <v>13417</v>
      </c>
      <c r="DD850" s="253" t="s">
        <v>380</v>
      </c>
    </row>
    <row r="851" spans="1:108" hidden="1">
      <c r="A851" s="13">
        <v>19585</v>
      </c>
      <c r="B851" s="13" t="s">
        <v>2125</v>
      </c>
      <c r="C851" s="13" t="s">
        <v>557</v>
      </c>
      <c r="D851" s="13" t="s">
        <v>558</v>
      </c>
      <c r="E851" s="13" t="s">
        <v>2126</v>
      </c>
      <c r="F851" s="14">
        <v>68.245566666666704</v>
      </c>
      <c r="G851" s="13">
        <v>65.19</v>
      </c>
      <c r="H851" s="13">
        <v>83.04</v>
      </c>
      <c r="I851" s="13">
        <v>80.19</v>
      </c>
      <c r="J851" s="14">
        <v>44.850372226959095</v>
      </c>
      <c r="K851" s="14">
        <v>38.562353781893137</v>
      </c>
      <c r="L851" s="14">
        <v>48.985606072414917</v>
      </c>
      <c r="M851" s="14">
        <v>49.086599999999997</v>
      </c>
      <c r="N851" s="14">
        <f t="shared" si="351"/>
        <v>74.166391666666684</v>
      </c>
      <c r="O851" s="14">
        <f t="shared" si="352"/>
        <v>45.371233020316787</v>
      </c>
      <c r="P851" s="14">
        <f t="shared" si="368"/>
        <v>59.768812343491732</v>
      </c>
      <c r="Q851" s="14">
        <v>57.661660252656013</v>
      </c>
      <c r="R851" s="17">
        <f t="shared" si="353"/>
        <v>42.338339747343987</v>
      </c>
      <c r="S851" s="14">
        <f t="shared" si="369"/>
        <v>0.48104505772609596</v>
      </c>
      <c r="T851" s="13">
        <v>0</v>
      </c>
      <c r="U851" s="13">
        <f t="shared" si="370"/>
        <v>28.751491783995178</v>
      </c>
      <c r="V851" s="13">
        <f>IF($T851=1,$AU851,(VLOOKUP(U851,'Cortes naturales'!$A$35:$C$39,3,9)))</f>
        <v>4</v>
      </c>
      <c r="W851" s="13">
        <v>4</v>
      </c>
      <c r="X851" s="14" t="b">
        <f t="shared" si="354"/>
        <v>1</v>
      </c>
      <c r="Y851" s="17">
        <f>IF($T851=1,$AU851,VLOOKUP(U851,'Cortes naturales'!$A$45:$C$49,3,9))</f>
        <v>3</v>
      </c>
      <c r="Z851" s="14">
        <v>57.176182194950357</v>
      </c>
      <c r="AA851" s="14">
        <v>0.4538248136696349</v>
      </c>
      <c r="AB851" s="14">
        <v>25.947970230964444</v>
      </c>
      <c r="AC851" s="13">
        <v>4</v>
      </c>
      <c r="AD851" s="13">
        <f t="shared" si="355"/>
        <v>1</v>
      </c>
      <c r="AE851" s="14">
        <f t="shared" si="356"/>
        <v>2.5926301485413745</v>
      </c>
      <c r="AF851" s="14">
        <f t="shared" si="357"/>
        <v>2.7220244056461063E-2</v>
      </c>
      <c r="AG851" s="13">
        <f t="shared" si="358"/>
        <v>2.803521553030734</v>
      </c>
      <c r="AH851" s="13">
        <f>IF($T851=1,$AU851,VLOOKUP(U851,'Cortes naturales'!$A$25:$C$29,3,9))</f>
        <v>3</v>
      </c>
      <c r="AI851" s="13" t="b">
        <f t="shared" si="359"/>
        <v>1</v>
      </c>
      <c r="AJ851" s="13" t="str">
        <f t="shared" si="360"/>
        <v>Efecto ponderador</v>
      </c>
      <c r="AK851" s="28">
        <v>0.6523467210059386</v>
      </c>
      <c r="AL851" s="28">
        <v>37.298694974513992</v>
      </c>
      <c r="AM851" s="28">
        <v>0.29594134575880887</v>
      </c>
      <c r="AN851" s="13">
        <v>4</v>
      </c>
      <c r="AO851" s="33">
        <f t="shared" si="361"/>
        <v>1</v>
      </c>
      <c r="AP851" s="13">
        <f t="shared" si="371"/>
        <v>29.594134575880886</v>
      </c>
      <c r="AQ851" s="13">
        <f>IFERROR(VLOOKUP(U851,'Cortes naturales'!$E$15:$G$19,3,9),U851)</f>
        <v>4</v>
      </c>
      <c r="AR851" s="28">
        <f t="shared" si="362"/>
        <v>-0.17130166327984264</v>
      </c>
      <c r="AS851" s="13" t="b">
        <f t="shared" si="363"/>
        <v>0</v>
      </c>
      <c r="AT851" s="13" t="str">
        <f t="shared" si="372"/>
        <v>Cambio en corte</v>
      </c>
      <c r="AU851" s="13">
        <v>3</v>
      </c>
      <c r="AV851">
        <f t="shared" si="364"/>
        <v>0</v>
      </c>
      <c r="AW851" s="13">
        <v>0</v>
      </c>
      <c r="AX851" s="13">
        <v>0</v>
      </c>
      <c r="AY851" s="13">
        <v>0</v>
      </c>
      <c r="AZ851" s="13">
        <v>0</v>
      </c>
      <c r="BA851">
        <v>0</v>
      </c>
      <c r="BB851" t="s">
        <v>2841</v>
      </c>
      <c r="BC851">
        <v>6</v>
      </c>
      <c r="BD851" t="s">
        <v>2919</v>
      </c>
      <c r="BE851">
        <v>1</v>
      </c>
      <c r="BF851" s="232" t="s">
        <v>2846</v>
      </c>
      <c r="BG851" s="232" t="s">
        <v>2846</v>
      </c>
      <c r="BH851" s="253">
        <v>39.5</v>
      </c>
      <c r="BI851" s="253">
        <v>20.75041876046901</v>
      </c>
      <c r="BJ851" s="25">
        <v>11.307483842669672</v>
      </c>
      <c r="BK851" t="s">
        <v>377</v>
      </c>
      <c r="BL851">
        <v>1.1631913550741981</v>
      </c>
      <c r="BM851" t="s">
        <v>383</v>
      </c>
      <c r="BN851" s="322">
        <v>33618.324173000001</v>
      </c>
      <c r="BO851" s="322">
        <v>1588.327162</v>
      </c>
      <c r="BP851" s="10">
        <v>18062</v>
      </c>
      <c r="BQ851" s="254">
        <f t="shared" si="365"/>
        <v>1.8612736226885174</v>
      </c>
      <c r="BR851" s="254">
        <f t="shared" si="366"/>
        <v>8.7937502048499622E-2</v>
      </c>
      <c r="BS851" s="25">
        <v>51.794397411527413</v>
      </c>
      <c r="BT851" s="25">
        <v>89.221117882109766</v>
      </c>
      <c r="BU851" s="25">
        <v>41.387579624551769</v>
      </c>
      <c r="BV851" s="25">
        <v>97.038418696361987</v>
      </c>
      <c r="BW851" s="25">
        <v>53.873865643539638</v>
      </c>
      <c r="BX851" s="25">
        <v>69.860378403637725</v>
      </c>
      <c r="BY851" s="25">
        <v>54.858768025903693</v>
      </c>
      <c r="BZ851">
        <v>46</v>
      </c>
      <c r="CA851">
        <v>0</v>
      </c>
      <c r="CB851">
        <v>7</v>
      </c>
      <c r="CC851">
        <v>50645.343327000002</v>
      </c>
      <c r="CD851" s="10">
        <v>34944.113482000001</v>
      </c>
      <c r="CE851" s="255">
        <v>0.68997683076956506</v>
      </c>
      <c r="CF851" t="str">
        <f>IFERROR(VLOOKUP(CE851,'Rangos amb etnico'!$A$2:$C$6,3,9),"N.D.")</f>
        <v>51% - 70%</v>
      </c>
      <c r="CG851" s="256">
        <v>1.016655988800868E-3</v>
      </c>
      <c r="CH851" s="232">
        <v>17516.360905000001</v>
      </c>
      <c r="CI851" s="311">
        <f t="shared" si="373"/>
        <v>0.34586320783537255</v>
      </c>
      <c r="CJ851" s="232" t="str">
        <f>IFERROR(VLOOKUP(CI851,'Rangos amb etnico'!$A$2:$C$6,3,9),"N.D.")</f>
        <v>31% - 50%</v>
      </c>
      <c r="CK851" s="311">
        <f t="shared" si="374"/>
        <v>6.9551421105507494E-4</v>
      </c>
      <c r="CL851" s="10">
        <v>0</v>
      </c>
      <c r="CM851" s="255">
        <f t="shared" si="375"/>
        <v>0</v>
      </c>
      <c r="CN851" s="232">
        <f>IFERROR(VLOOKUP(CM851,'Rangos amb etnico'!$A$2:$C$6,3,9),"N.D.")</f>
        <v>0</v>
      </c>
      <c r="CO851" s="311">
        <f t="shared" si="376"/>
        <v>0</v>
      </c>
      <c r="CP851">
        <v>0.92453056116648713</v>
      </c>
      <c r="CQ851" t="s">
        <v>2864</v>
      </c>
      <c r="CR851">
        <f t="shared" si="367"/>
        <v>2</v>
      </c>
      <c r="CS851" t="str">
        <f t="shared" si="377"/>
        <v>No es Candidato</v>
      </c>
      <c r="CT851">
        <v>0</v>
      </c>
      <c r="CU851">
        <v>0</v>
      </c>
      <c r="CV851" s="25">
        <v>53.563068389892578</v>
      </c>
      <c r="CW851" s="25">
        <v>20.250118255615231</v>
      </c>
      <c r="CX851" s="25">
        <v>44.433753967285163</v>
      </c>
      <c r="CY851" s="25">
        <v>53.312995910644531</v>
      </c>
      <c r="CZ851" s="25">
        <v>60.104454040527337</v>
      </c>
      <c r="DA851" s="25">
        <v>71.545074462890625</v>
      </c>
      <c r="DB851" s="25">
        <v>71.732025146484375</v>
      </c>
      <c r="DC851">
        <v>13007</v>
      </c>
      <c r="DD851" s="253" t="s">
        <v>380</v>
      </c>
    </row>
    <row r="852" spans="1:108">
      <c r="A852" s="13">
        <v>5585</v>
      </c>
      <c r="B852" s="13" t="s">
        <v>2127</v>
      </c>
      <c r="C852" s="13" t="s">
        <v>435</v>
      </c>
      <c r="D852" s="13" t="s">
        <v>436</v>
      </c>
      <c r="E852" s="13" t="s">
        <v>2128</v>
      </c>
      <c r="F852" s="14">
        <v>66.461100000000002</v>
      </c>
      <c r="G852" s="13">
        <v>58.84</v>
      </c>
      <c r="H852" s="13">
        <v>60.14</v>
      </c>
      <c r="I852" s="13">
        <v>60.94</v>
      </c>
      <c r="J852" s="14">
        <v>56.733734823933148</v>
      </c>
      <c r="K852" s="14">
        <v>56.485419380136079</v>
      </c>
      <c r="L852" s="14">
        <v>54.338219668656151</v>
      </c>
      <c r="M852" s="14">
        <v>54.0642</v>
      </c>
      <c r="N852" s="14">
        <f t="shared" si="351"/>
        <v>61.595275000000001</v>
      </c>
      <c r="O852" s="14">
        <f t="shared" si="352"/>
        <v>55.405393468181344</v>
      </c>
      <c r="P852" s="14">
        <f t="shared" si="368"/>
        <v>58.500334234090673</v>
      </c>
      <c r="Q852" s="14">
        <v>60.115464819285677</v>
      </c>
      <c r="R852" s="17">
        <f t="shared" si="353"/>
        <v>39.884535180714323</v>
      </c>
      <c r="S852" s="14">
        <f t="shared" si="369"/>
        <v>0.45896081662642896</v>
      </c>
      <c r="T852" s="13">
        <v>0</v>
      </c>
      <c r="U852" s="13">
        <f t="shared" si="370"/>
        <v>26.849361172997295</v>
      </c>
      <c r="V852" s="13">
        <f>IF($T852=1,$AU852,(VLOOKUP(U852,'Cortes naturales'!$A$35:$C$39,3,9)))</f>
        <v>4</v>
      </c>
      <c r="W852" s="13">
        <v>4</v>
      </c>
      <c r="X852" s="14" t="b">
        <f t="shared" si="354"/>
        <v>1</v>
      </c>
      <c r="Y852" s="17">
        <f>IF($T852=1,$AU852,VLOOKUP(U852,'Cortes naturales'!$A$45:$C$49,3,9))</f>
        <v>4</v>
      </c>
      <c r="Z852" s="14">
        <v>58.894898811493476</v>
      </c>
      <c r="AA852" s="14">
        <v>0.45337232306269282</v>
      </c>
      <c r="AB852" s="14">
        <v>26.701317090709022</v>
      </c>
      <c r="AC852" s="13">
        <v>4</v>
      </c>
      <c r="AD852" s="13">
        <f t="shared" si="355"/>
        <v>0</v>
      </c>
      <c r="AE852" s="14">
        <f t="shared" si="356"/>
        <v>-0.39456457740280371</v>
      </c>
      <c r="AF852" s="14">
        <f t="shared" si="357"/>
        <v>5.588493563736141E-3</v>
      </c>
      <c r="AG852" s="13">
        <f t="shared" si="358"/>
        <v>0.1480440822882727</v>
      </c>
      <c r="AH852" s="13">
        <f>IF($T852=1,$AU852,VLOOKUP(U852,'Cortes naturales'!$A$25:$C$29,3,9))</f>
        <v>4</v>
      </c>
      <c r="AI852" s="13" t="b">
        <f t="shared" si="359"/>
        <v>1</v>
      </c>
      <c r="AJ852" s="13">
        <f t="shared" si="360"/>
        <v>0</v>
      </c>
      <c r="AK852" s="28">
        <v>0.6523467210059386</v>
      </c>
      <c r="AL852" s="28">
        <v>38.419894123654316</v>
      </c>
      <c r="AM852" s="28">
        <v>0.30996636525925053</v>
      </c>
      <c r="AN852" s="13">
        <v>4</v>
      </c>
      <c r="AO852" s="33">
        <f t="shared" si="361"/>
        <v>0</v>
      </c>
      <c r="AP852" s="13">
        <f t="shared" si="371"/>
        <v>30.996636525925052</v>
      </c>
      <c r="AQ852" s="13">
        <f>IFERROR(VLOOKUP(U852,'Cortes naturales'!$E$15:$G$19,3,9),U852)</f>
        <v>4</v>
      </c>
      <c r="AR852" s="28">
        <f t="shared" si="362"/>
        <v>-0.19338590437950964</v>
      </c>
      <c r="AS852" s="13" t="b">
        <f t="shared" si="363"/>
        <v>1</v>
      </c>
      <c r="AT852" s="13">
        <f t="shared" si="372"/>
        <v>0</v>
      </c>
      <c r="AU852" s="13">
        <v>4</v>
      </c>
      <c r="AV852">
        <f t="shared" si="364"/>
        <v>0</v>
      </c>
      <c r="AW852" s="13">
        <v>0</v>
      </c>
      <c r="AX852" s="13">
        <v>0</v>
      </c>
      <c r="AY852" s="13">
        <v>0</v>
      </c>
      <c r="AZ852" s="13">
        <v>0</v>
      </c>
      <c r="BA852">
        <v>0</v>
      </c>
      <c r="BB852" t="s">
        <v>2840</v>
      </c>
      <c r="BC852">
        <v>6</v>
      </c>
      <c r="BD852" t="s">
        <v>2919</v>
      </c>
      <c r="BE852">
        <v>1</v>
      </c>
      <c r="BF852" s="232" t="s">
        <v>2846</v>
      </c>
      <c r="BG852" s="232" t="s">
        <v>2845</v>
      </c>
      <c r="BH852" s="253">
        <v>33.1</v>
      </c>
      <c r="BI852" s="253">
        <v>13.75443225859652</v>
      </c>
      <c r="BJ852" s="25">
        <v>23.935330022207399</v>
      </c>
      <c r="BK852" t="s">
        <v>379</v>
      </c>
      <c r="BL852">
        <v>2.164191675398889</v>
      </c>
      <c r="BM852" t="s">
        <v>383</v>
      </c>
      <c r="BN852" s="322">
        <v>37823.671490000001</v>
      </c>
      <c r="BO852" s="322">
        <v>10036.267347999999</v>
      </c>
      <c r="BP852" s="10">
        <v>15465</v>
      </c>
      <c r="BQ852" s="254">
        <f t="shared" si="365"/>
        <v>2.4457595531846104</v>
      </c>
      <c r="BR852" s="254">
        <f t="shared" si="366"/>
        <v>0.64896652751374062</v>
      </c>
      <c r="BS852" s="25">
        <v>52.404101002221317</v>
      </c>
      <c r="BT852" s="25">
        <v>84.433860995796962</v>
      </c>
      <c r="BU852" s="25">
        <v>64.103683088583594</v>
      </c>
      <c r="BV852" s="25">
        <v>94.319121717458145</v>
      </c>
      <c r="BW852" s="25">
        <v>51.920112767977422</v>
      </c>
      <c r="BX852" s="25">
        <v>73.815191701014996</v>
      </c>
      <c r="BY852" s="25">
        <v>54.973396244698407</v>
      </c>
      <c r="BZ852">
        <v>29</v>
      </c>
      <c r="CA852">
        <v>0</v>
      </c>
      <c r="CB852">
        <v>7</v>
      </c>
      <c r="CC852">
        <v>57906.711637</v>
      </c>
      <c r="CD852" s="10">
        <v>813.07220199999995</v>
      </c>
      <c r="CE852" s="255">
        <v>1.4041070180204817E-2</v>
      </c>
      <c r="CF852" t="str">
        <f>IFERROR(VLOOKUP(CE852,'Rangos amb etnico'!$A$2:$C$6,3,9),"N.D.")</f>
        <v>0,1% - 30%</v>
      </c>
      <c r="CG852" s="256">
        <v>2.3655335366187071E-5</v>
      </c>
      <c r="CH852" s="232">
        <v>0</v>
      </c>
      <c r="CI852" s="311">
        <f t="shared" si="373"/>
        <v>0</v>
      </c>
      <c r="CJ852" s="232">
        <f>IFERROR(VLOOKUP(CI852,'Rangos amb etnico'!$A$2:$C$6,3,9),"N.D.")</f>
        <v>0</v>
      </c>
      <c r="CK852" s="311">
        <f t="shared" si="374"/>
        <v>0</v>
      </c>
      <c r="CL852" s="10">
        <v>0</v>
      </c>
      <c r="CM852" s="255">
        <f t="shared" si="375"/>
        <v>0</v>
      </c>
      <c r="CN852" s="232">
        <f>IFERROR(VLOOKUP(CM852,'Rangos amb etnico'!$A$2:$C$6,3,9),"N.D.")</f>
        <v>0</v>
      </c>
      <c r="CO852" s="311">
        <f t="shared" si="376"/>
        <v>0</v>
      </c>
      <c r="CP852">
        <v>0.87117994061562687</v>
      </c>
      <c r="CQ852" t="s">
        <v>2864</v>
      </c>
      <c r="CR852">
        <f t="shared" si="367"/>
        <v>2</v>
      </c>
      <c r="CS852" t="str">
        <f t="shared" si="377"/>
        <v>No es Candidato</v>
      </c>
      <c r="CT852">
        <v>0</v>
      </c>
      <c r="CU852">
        <v>0</v>
      </c>
      <c r="CV852" s="25">
        <v>46.357372283935547</v>
      </c>
      <c r="CW852" s="25">
        <v>21.72297477722168</v>
      </c>
      <c r="CX852" s="25">
        <v>42.045173645019531</v>
      </c>
      <c r="CY852" s="25">
        <v>44.784046173095703</v>
      </c>
      <c r="CZ852" s="25">
        <v>30.87843132019043</v>
      </c>
      <c r="DA852" s="25">
        <v>81.25872802734375</v>
      </c>
      <c r="DB852" s="25">
        <v>57.454872131347663</v>
      </c>
      <c r="DC852">
        <v>830</v>
      </c>
      <c r="DD852" s="253" t="s">
        <v>380</v>
      </c>
    </row>
    <row r="853" spans="1:108" hidden="1">
      <c r="A853" s="13">
        <v>54660</v>
      </c>
      <c r="B853" s="13" t="s">
        <v>2129</v>
      </c>
      <c r="C853" s="13" t="s">
        <v>517</v>
      </c>
      <c r="D853" s="13" t="s">
        <v>518</v>
      </c>
      <c r="E853" s="13" t="s">
        <v>2130</v>
      </c>
      <c r="F853" s="14">
        <v>45.8872</v>
      </c>
      <c r="G853" s="13">
        <v>64.400000000000006</v>
      </c>
      <c r="H853" s="13">
        <v>38.46</v>
      </c>
      <c r="I853" s="13">
        <v>65.55</v>
      </c>
      <c r="J853" s="14">
        <v>53.982511356635833</v>
      </c>
      <c r="K853" s="14">
        <v>45.245245524591851</v>
      </c>
      <c r="L853" s="14">
        <v>54.003660436014982</v>
      </c>
      <c r="M853" s="14">
        <v>42.797899999999998</v>
      </c>
      <c r="N853" s="14">
        <f t="shared" si="351"/>
        <v>53.574300000000008</v>
      </c>
      <c r="O853" s="14">
        <f t="shared" si="352"/>
        <v>49.007329329310672</v>
      </c>
      <c r="P853" s="14">
        <f t="shared" si="368"/>
        <v>51.290814664655343</v>
      </c>
      <c r="Q853" s="14">
        <v>61.457684014857314</v>
      </c>
      <c r="R853" s="17">
        <f t="shared" si="353"/>
        <v>38.542315985142686</v>
      </c>
      <c r="S853" s="14">
        <f t="shared" si="369"/>
        <v>0.44688084386628413</v>
      </c>
      <c r="T853" s="13">
        <v>0</v>
      </c>
      <c r="U853" s="13">
        <f t="shared" si="370"/>
        <v>22.920882539930361</v>
      </c>
      <c r="V853" s="13">
        <f>IF($T853=1,$AU853,(VLOOKUP(U853,'Cortes naturales'!$A$35:$C$39,3,9)))</f>
        <v>4</v>
      </c>
      <c r="W853" s="13">
        <v>4</v>
      </c>
      <c r="X853" s="14" t="b">
        <f t="shared" si="354"/>
        <v>1</v>
      </c>
      <c r="Y853" s="17">
        <f>IF($T853=1,$AU853,VLOOKUP(U853,'Cortes naturales'!$A$45:$C$49,3,9))</f>
        <v>4</v>
      </c>
      <c r="Z853" s="14">
        <v>48.788981989789903</v>
      </c>
      <c r="AA853" s="14">
        <v>0.45334978469598897</v>
      </c>
      <c r="AB853" s="14">
        <v>22.118474480607738</v>
      </c>
      <c r="AC853" s="13">
        <v>4</v>
      </c>
      <c r="AD853" s="13">
        <f t="shared" si="355"/>
        <v>0</v>
      </c>
      <c r="AE853" s="14">
        <f t="shared" si="356"/>
        <v>2.5018326748654403</v>
      </c>
      <c r="AF853" s="14">
        <f t="shared" si="357"/>
        <v>-6.468940829704839E-3</v>
      </c>
      <c r="AG853" s="13">
        <f t="shared" si="358"/>
        <v>0.80240805932262305</v>
      </c>
      <c r="AH853" s="13">
        <f>IF($T853=1,$AU853,VLOOKUP(U853,'Cortes naturales'!$A$25:$C$29,3,9))</f>
        <v>4</v>
      </c>
      <c r="AI853" s="13" t="b">
        <f t="shared" si="359"/>
        <v>1</v>
      </c>
      <c r="AJ853" s="13">
        <f t="shared" si="360"/>
        <v>0</v>
      </c>
      <c r="AK853" s="28">
        <v>0.6523467210059386</v>
      </c>
      <c r="AL853" s="28">
        <v>31.827332422257236</v>
      </c>
      <c r="AM853" s="28">
        <v>0.22750036758983286</v>
      </c>
      <c r="AN853" s="13">
        <v>4</v>
      </c>
      <c r="AO853" s="33">
        <f t="shared" si="361"/>
        <v>0</v>
      </c>
      <c r="AP853" s="13">
        <f t="shared" si="371"/>
        <v>22.750036758983285</v>
      </c>
      <c r="AQ853" s="13">
        <f>IFERROR(VLOOKUP(U853,'Cortes naturales'!$E$15:$G$19,3,9),U853)</f>
        <v>4</v>
      </c>
      <c r="AR853" s="28">
        <f t="shared" si="362"/>
        <v>-0.20546587713965447</v>
      </c>
      <c r="AS853" s="13" t="b">
        <f t="shared" si="363"/>
        <v>1</v>
      </c>
      <c r="AT853" s="13">
        <f t="shared" si="372"/>
        <v>0</v>
      </c>
      <c r="AU853" s="13">
        <v>4</v>
      </c>
      <c r="AV853">
        <f t="shared" si="364"/>
        <v>0</v>
      </c>
      <c r="AW853" s="13">
        <v>0</v>
      </c>
      <c r="AX853" s="13">
        <v>0</v>
      </c>
      <c r="AY853" s="13">
        <v>0</v>
      </c>
      <c r="AZ853" s="13">
        <v>0</v>
      </c>
      <c r="BA853">
        <v>0</v>
      </c>
      <c r="BB853" t="s">
        <v>2840</v>
      </c>
      <c r="BC853">
        <v>6</v>
      </c>
      <c r="BD853" t="s">
        <v>2919</v>
      </c>
      <c r="BE853">
        <v>1</v>
      </c>
      <c r="BF853" s="232" t="s">
        <v>2846</v>
      </c>
      <c r="BG853" s="232" t="s">
        <v>2846</v>
      </c>
      <c r="BH853" s="253">
        <v>48.8</v>
      </c>
      <c r="BI853" s="253">
        <v>18.982118294360387</v>
      </c>
      <c r="BJ853" s="25">
        <v>48.108617112482854</v>
      </c>
      <c r="BK853" t="s">
        <v>376</v>
      </c>
      <c r="BL853">
        <v>4.0588033009541942</v>
      </c>
      <c r="BM853" t="s">
        <v>383</v>
      </c>
      <c r="BN853" s="322">
        <v>23769.714253999999</v>
      </c>
      <c r="BO853" s="322">
        <v>1599.992935</v>
      </c>
      <c r="BP853" s="10">
        <v>11438</v>
      </c>
      <c r="BQ853" s="254">
        <f t="shared" si="365"/>
        <v>2.078135535408288</v>
      </c>
      <c r="BR853" s="254">
        <f t="shared" si="366"/>
        <v>0.1398839775310369</v>
      </c>
      <c r="BS853" s="25">
        <v>63.032444721554789</v>
      </c>
      <c r="BT853" s="25">
        <v>92.075501043888792</v>
      </c>
      <c r="BU853" s="25">
        <v>32.342733612273342</v>
      </c>
      <c r="BV853" s="25">
        <v>96.748831948852072</v>
      </c>
      <c r="BW853" s="25">
        <v>56.122167467460471</v>
      </c>
      <c r="BX853" s="25">
        <v>71.049877831642249</v>
      </c>
      <c r="BY853" s="25">
        <v>56.627856256890247</v>
      </c>
      <c r="BZ853">
        <v>1</v>
      </c>
      <c r="CA853">
        <v>1</v>
      </c>
      <c r="CB853">
        <v>7</v>
      </c>
      <c r="CC853">
        <v>49290.551081999998</v>
      </c>
      <c r="CD853" s="10">
        <v>39301.297927</v>
      </c>
      <c r="CE853" s="255">
        <v>0.79733938988870645</v>
      </c>
      <c r="CF853" t="str">
        <f>IFERROR(VLOOKUP(CE853,'Rangos amb etnico'!$A$2:$C$6,3,9),"N.D.")</f>
        <v>71% - 100%</v>
      </c>
      <c r="CG853" s="256">
        <v>1.1434229094326087E-3</v>
      </c>
      <c r="CH853" s="232">
        <v>0</v>
      </c>
      <c r="CI853" s="311">
        <f t="shared" si="373"/>
        <v>0</v>
      </c>
      <c r="CJ853" s="232">
        <f>IFERROR(VLOOKUP(CI853,'Rangos amb etnico'!$A$2:$C$6,3,9),"N.D.")</f>
        <v>0</v>
      </c>
      <c r="CK853" s="311">
        <f t="shared" si="374"/>
        <v>0</v>
      </c>
      <c r="CL853" s="10">
        <v>0</v>
      </c>
      <c r="CM853" s="255">
        <f t="shared" si="375"/>
        <v>0</v>
      </c>
      <c r="CN853" s="232">
        <f>IFERROR(VLOOKUP(CM853,'Rangos amb etnico'!$A$2:$C$6,3,9),"N.D.")</f>
        <v>0</v>
      </c>
      <c r="CO853" s="311">
        <f t="shared" si="376"/>
        <v>0</v>
      </c>
      <c r="CP853">
        <v>0.93390874721335493</v>
      </c>
      <c r="CQ853" t="s">
        <v>2864</v>
      </c>
      <c r="CR853">
        <f t="shared" si="367"/>
        <v>2</v>
      </c>
      <c r="CS853" t="str">
        <f t="shared" si="377"/>
        <v>No es Candidato</v>
      </c>
      <c r="CT853">
        <v>0</v>
      </c>
      <c r="CU853">
        <v>0</v>
      </c>
      <c r="CV853" s="25">
        <v>49.758533477783203</v>
      </c>
      <c r="CW853" s="25">
        <v>26.174501419067379</v>
      </c>
      <c r="CX853" s="25">
        <v>46.781135559082031</v>
      </c>
      <c r="CY853" s="25">
        <v>58.644763946533203</v>
      </c>
      <c r="CZ853" s="25">
        <v>39.522998809814453</v>
      </c>
      <c r="DA853" s="25">
        <v>73.866691589355469</v>
      </c>
      <c r="DB853" s="25">
        <v>53.561100006103523</v>
      </c>
      <c r="DC853">
        <v>118</v>
      </c>
      <c r="DD853" s="253" t="s">
        <v>380</v>
      </c>
    </row>
    <row r="854" spans="1:108" hidden="1">
      <c r="A854" s="13">
        <v>68318</v>
      </c>
      <c r="B854" s="13" t="s">
        <v>2131</v>
      </c>
      <c r="C854" s="13" t="s">
        <v>431</v>
      </c>
      <c r="D854" s="13" t="s">
        <v>432</v>
      </c>
      <c r="E854" s="13" t="s">
        <v>2132</v>
      </c>
      <c r="F854" s="14">
        <v>48.172800000000002</v>
      </c>
      <c r="G854" s="13">
        <v>53.01</v>
      </c>
      <c r="H854" s="13">
        <v>59.85</v>
      </c>
      <c r="I854" s="13">
        <v>62.49</v>
      </c>
      <c r="J854" s="14">
        <v>51.809863350553847</v>
      </c>
      <c r="K854" s="14">
        <v>42.452103240555061</v>
      </c>
      <c r="L854" s="14">
        <v>47.735500201232462</v>
      </c>
      <c r="M854" s="14">
        <v>48.705199999999998</v>
      </c>
      <c r="N854" s="14">
        <f t="shared" si="351"/>
        <v>55.880700000000004</v>
      </c>
      <c r="O854" s="14">
        <f t="shared" si="352"/>
        <v>47.675666698085344</v>
      </c>
      <c r="P854" s="14">
        <f t="shared" si="368"/>
        <v>51.778183349042678</v>
      </c>
      <c r="Q854" s="14">
        <v>60.150717607764847</v>
      </c>
      <c r="R854" s="17">
        <f t="shared" si="353"/>
        <v>39.849282392235153</v>
      </c>
      <c r="S854" s="14">
        <f t="shared" si="369"/>
        <v>0.45864354153011644</v>
      </c>
      <c r="T854" s="13">
        <v>0</v>
      </c>
      <c r="U854" s="13">
        <f t="shared" si="370"/>
        <v>23.747729385200639</v>
      </c>
      <c r="V854" s="13">
        <f>IF($T854=1,$AU854,(VLOOKUP(U854,'Cortes naturales'!$A$35:$C$39,3,9)))</f>
        <v>4</v>
      </c>
      <c r="W854" s="13">
        <v>4</v>
      </c>
      <c r="X854" s="14" t="b">
        <f t="shared" si="354"/>
        <v>1</v>
      </c>
      <c r="Y854" s="17">
        <f>IF($T854=1,$AU854,VLOOKUP(U854,'Cortes naturales'!$A$45:$C$49,3,9))</f>
        <v>4</v>
      </c>
      <c r="Z854" s="14">
        <v>49.709092067595094</v>
      </c>
      <c r="AA854" s="14">
        <v>0.45237482636541593</v>
      </c>
      <c r="AB854" s="14">
        <v>22.487141892860805</v>
      </c>
      <c r="AC854" s="13">
        <v>4</v>
      </c>
      <c r="AD854" s="13">
        <f t="shared" si="355"/>
        <v>0</v>
      </c>
      <c r="AE854" s="14">
        <f t="shared" si="356"/>
        <v>2.0690912814475837</v>
      </c>
      <c r="AF854" s="14">
        <f t="shared" si="357"/>
        <v>6.2687151647005113E-3</v>
      </c>
      <c r="AG854" s="13">
        <f t="shared" si="358"/>
        <v>1.2605874923398339</v>
      </c>
      <c r="AH854" s="13">
        <f>IF($T854=1,$AU854,VLOOKUP(U854,'Cortes naturales'!$A$25:$C$29,3,9))</f>
        <v>4</v>
      </c>
      <c r="AI854" s="13" t="b">
        <f t="shared" si="359"/>
        <v>1</v>
      </c>
      <c r="AJ854" s="13">
        <f t="shared" si="360"/>
        <v>0</v>
      </c>
      <c r="AK854" s="28">
        <v>0.6523467210059386</v>
      </c>
      <c r="AL854" s="28">
        <v>32.427563214477971</v>
      </c>
      <c r="AM854" s="28">
        <v>0.23500862209762127</v>
      </c>
      <c r="AN854" s="13">
        <v>4</v>
      </c>
      <c r="AO854" s="33">
        <f t="shared" si="361"/>
        <v>0</v>
      </c>
      <c r="AP854" s="13">
        <f t="shared" si="371"/>
        <v>23.500862209762126</v>
      </c>
      <c r="AQ854" s="13">
        <f>IFERROR(VLOOKUP(U854,'Cortes naturales'!$E$15:$G$19,3,9),U854)</f>
        <v>4</v>
      </c>
      <c r="AR854" s="28">
        <f t="shared" si="362"/>
        <v>-0.19370317947582216</v>
      </c>
      <c r="AS854" s="13" t="b">
        <f t="shared" si="363"/>
        <v>1</v>
      </c>
      <c r="AT854" s="13">
        <f t="shared" si="372"/>
        <v>0</v>
      </c>
      <c r="AU854" s="13">
        <v>4</v>
      </c>
      <c r="AV854">
        <f t="shared" si="364"/>
        <v>0</v>
      </c>
      <c r="AW854" s="13">
        <v>0</v>
      </c>
      <c r="AX854" s="13">
        <v>0</v>
      </c>
      <c r="AY854" s="13">
        <v>0</v>
      </c>
      <c r="AZ854" s="13">
        <v>0</v>
      </c>
      <c r="BA854">
        <v>0</v>
      </c>
      <c r="BB854" t="s">
        <v>2840</v>
      </c>
      <c r="BC854">
        <v>6</v>
      </c>
      <c r="BD854" t="s">
        <v>2919</v>
      </c>
      <c r="BE854">
        <v>0</v>
      </c>
      <c r="BF854" s="232" t="s">
        <v>2846</v>
      </c>
      <c r="BG854" s="232" t="s">
        <v>2846</v>
      </c>
      <c r="BH854" s="253">
        <v>60.3</v>
      </c>
      <c r="BI854" s="253">
        <v>18.582375478927204</v>
      </c>
      <c r="BJ854" s="25">
        <v>11.154</v>
      </c>
      <c r="BK854" t="s">
        <v>377</v>
      </c>
      <c r="BL854">
        <v>0</v>
      </c>
      <c r="BM854" t="s">
        <v>377</v>
      </c>
      <c r="BN854" s="322">
        <v>14237.008136</v>
      </c>
      <c r="BO854" s="322">
        <v>1183.099496</v>
      </c>
      <c r="BP854" s="10">
        <v>6668</v>
      </c>
      <c r="BQ854" s="254">
        <f t="shared" si="365"/>
        <v>2.1351241955608877</v>
      </c>
      <c r="BR854" s="254">
        <f t="shared" si="366"/>
        <v>0.17742943851229756</v>
      </c>
      <c r="BS854" s="25">
        <v>61.810455121812048</v>
      </c>
      <c r="BT854" s="25">
        <v>90.894994387122566</v>
      </c>
      <c r="BU854" s="25">
        <v>44.738500697350069</v>
      </c>
      <c r="BV854" s="25">
        <v>99.345661870814411</v>
      </c>
      <c r="BW854" s="25">
        <v>59.66442233547285</v>
      </c>
      <c r="BX854" s="25">
        <v>74.197403019274773</v>
      </c>
      <c r="BY854" s="25">
        <v>61.362602125223972</v>
      </c>
      <c r="BZ854">
        <v>58</v>
      </c>
      <c r="CA854">
        <v>0</v>
      </c>
      <c r="CB854">
        <v>7</v>
      </c>
      <c r="CC854">
        <v>26898.355744</v>
      </c>
      <c r="CD854" s="10">
        <v>21829.556754000001</v>
      </c>
      <c r="CE854" s="255">
        <v>0.8115572922656934</v>
      </c>
      <c r="CF854" t="str">
        <f>IFERROR(VLOOKUP(CE854,'Rangos amb etnico'!$A$2:$C$6,3,9),"N.D.")</f>
        <v>71% - 100%</v>
      </c>
      <c r="CG854" s="256">
        <v>6.3510409609488048E-4</v>
      </c>
      <c r="CH854" s="232">
        <v>0</v>
      </c>
      <c r="CI854" s="311">
        <f t="shared" si="373"/>
        <v>0</v>
      </c>
      <c r="CJ854" s="232">
        <f>IFERROR(VLOOKUP(CI854,'Rangos amb etnico'!$A$2:$C$6,3,9),"N.D.")</f>
        <v>0</v>
      </c>
      <c r="CK854" s="311">
        <f t="shared" si="374"/>
        <v>0</v>
      </c>
      <c r="CL854" s="10">
        <v>0</v>
      </c>
      <c r="CM854" s="255">
        <f t="shared" si="375"/>
        <v>0</v>
      </c>
      <c r="CN854" s="232">
        <f>IFERROR(VLOOKUP(CM854,'Rangos amb etnico'!$A$2:$C$6,3,9),"N.D.")</f>
        <v>0</v>
      </c>
      <c r="CO854" s="311">
        <f t="shared" si="376"/>
        <v>0</v>
      </c>
      <c r="CP854">
        <v>0.96141375743047175</v>
      </c>
      <c r="CQ854" t="s">
        <v>2864</v>
      </c>
      <c r="CR854">
        <f t="shared" si="367"/>
        <v>3</v>
      </c>
      <c r="CS854" t="str">
        <f t="shared" si="377"/>
        <v>Candidato</v>
      </c>
      <c r="CT854">
        <v>0</v>
      </c>
      <c r="CU854">
        <v>0</v>
      </c>
      <c r="CV854" s="25">
        <v>52.263816833496087</v>
      </c>
      <c r="CW854" s="25">
        <v>22.149187088012699</v>
      </c>
      <c r="CX854" s="25">
        <v>56.193222045898438</v>
      </c>
      <c r="CY854" s="25">
        <v>54.246654510498047</v>
      </c>
      <c r="CZ854" s="25">
        <v>38.425235748291023</v>
      </c>
      <c r="DA854" s="25">
        <v>90.887374877929688</v>
      </c>
      <c r="DB854" s="25">
        <v>51.681232452392578</v>
      </c>
      <c r="DC854">
        <v>32</v>
      </c>
      <c r="DD854" s="253" t="s">
        <v>380</v>
      </c>
    </row>
    <row r="855" spans="1:108" hidden="1">
      <c r="A855" s="13">
        <v>23807</v>
      </c>
      <c r="B855" s="13" t="s">
        <v>2133</v>
      </c>
      <c r="C855" s="13" t="s">
        <v>567</v>
      </c>
      <c r="D855" s="13" t="s">
        <v>568</v>
      </c>
      <c r="E855" s="13" t="s">
        <v>2134</v>
      </c>
      <c r="F855" s="14">
        <v>54.210700000000003</v>
      </c>
      <c r="G855" s="13">
        <v>57.45</v>
      </c>
      <c r="H855" s="13">
        <v>48.11</v>
      </c>
      <c r="I855" s="13">
        <v>63.87</v>
      </c>
      <c r="J855" s="14">
        <v>60.204383693461921</v>
      </c>
      <c r="K855" s="14">
        <v>61.458289376091258</v>
      </c>
      <c r="L855" s="14">
        <v>61.152323035191479</v>
      </c>
      <c r="M855" s="14">
        <v>62.234000000000002</v>
      </c>
      <c r="N855" s="14">
        <f t="shared" si="351"/>
        <v>55.910175000000002</v>
      </c>
      <c r="O855" s="14">
        <f t="shared" si="352"/>
        <v>61.262249026186169</v>
      </c>
      <c r="P855" s="14">
        <f t="shared" si="368"/>
        <v>58.586212013093089</v>
      </c>
      <c r="Q855" s="14">
        <v>60.917758525174115</v>
      </c>
      <c r="R855" s="17">
        <f t="shared" si="353"/>
        <v>39.082241474825885</v>
      </c>
      <c r="S855" s="14">
        <f t="shared" si="369"/>
        <v>0.45174017327343297</v>
      </c>
      <c r="T855" s="13">
        <v>0</v>
      </c>
      <c r="U855" s="13">
        <f t="shared" si="370"/>
        <v>26.465745566228751</v>
      </c>
      <c r="V855" s="13">
        <f>IF($T855=1,$AU855,(VLOOKUP(U855,'Cortes naturales'!$A$35:$C$39,3,9)))</f>
        <v>4</v>
      </c>
      <c r="W855" s="13">
        <v>4</v>
      </c>
      <c r="X855" s="14" t="b">
        <f t="shared" si="354"/>
        <v>1</v>
      </c>
      <c r="Y855" s="17">
        <f>IF($T855=1,$AU855,VLOOKUP(U855,'Cortes naturales'!$A$45:$C$49,3,9))</f>
        <v>4</v>
      </c>
      <c r="Z855" s="14">
        <v>56.133757599104356</v>
      </c>
      <c r="AA855" s="14">
        <v>0.45118090998245497</v>
      </c>
      <c r="AB855" s="14">
        <v>25.32647983429845</v>
      </c>
      <c r="AC855" s="13">
        <v>4</v>
      </c>
      <c r="AD855" s="13">
        <f t="shared" si="355"/>
        <v>0</v>
      </c>
      <c r="AE855" s="14">
        <f t="shared" si="356"/>
        <v>2.4524544139887325</v>
      </c>
      <c r="AF855" s="14">
        <f t="shared" si="357"/>
        <v>5.5926329097799599E-4</v>
      </c>
      <c r="AG855" s="13">
        <f t="shared" si="358"/>
        <v>1.1392657319303012</v>
      </c>
      <c r="AH855" s="13">
        <f>IF($T855=1,$AU855,VLOOKUP(U855,'Cortes naturales'!$A$25:$C$29,3,9))</f>
        <v>4</v>
      </c>
      <c r="AI855" s="13" t="b">
        <f t="shared" si="359"/>
        <v>1</v>
      </c>
      <c r="AJ855" s="13">
        <f t="shared" si="360"/>
        <v>0</v>
      </c>
      <c r="AK855" s="28">
        <v>0.6523467210059386</v>
      </c>
      <c r="AL855" s="28">
        <v>36.618672707517916</v>
      </c>
      <c r="AM855" s="28">
        <v>0.28743498400972328</v>
      </c>
      <c r="AN855" s="13">
        <v>4</v>
      </c>
      <c r="AO855" s="33">
        <f t="shared" si="361"/>
        <v>0</v>
      </c>
      <c r="AP855" s="13">
        <f t="shared" si="371"/>
        <v>28.743498400972328</v>
      </c>
      <c r="AQ855" s="13">
        <f>IFERROR(VLOOKUP(U855,'Cortes naturales'!$E$15:$G$19,3,9),U855)</f>
        <v>4</v>
      </c>
      <c r="AR855" s="28">
        <f t="shared" si="362"/>
        <v>-0.20060654773250564</v>
      </c>
      <c r="AS855" s="13" t="b">
        <f t="shared" si="363"/>
        <v>1</v>
      </c>
      <c r="AT855" s="13">
        <f t="shared" si="372"/>
        <v>0</v>
      </c>
      <c r="AU855" s="13">
        <v>4</v>
      </c>
      <c r="AV855">
        <f t="shared" si="364"/>
        <v>0</v>
      </c>
      <c r="AW855" s="13">
        <v>0</v>
      </c>
      <c r="AX855" s="13">
        <v>1</v>
      </c>
      <c r="AY855" s="13">
        <v>0</v>
      </c>
      <c r="AZ855" s="13">
        <v>1</v>
      </c>
      <c r="BA855">
        <v>1</v>
      </c>
      <c r="BB855" t="s">
        <v>2839</v>
      </c>
      <c r="BC855">
        <v>6</v>
      </c>
      <c r="BD855" t="s">
        <v>2919</v>
      </c>
      <c r="BE855">
        <v>0</v>
      </c>
      <c r="BF855" s="232" t="s">
        <v>2846</v>
      </c>
      <c r="BG855" s="232" t="s">
        <v>2845</v>
      </c>
      <c r="BH855" s="253">
        <v>63.8</v>
      </c>
      <c r="BI855" s="253">
        <v>56.012492279724519</v>
      </c>
      <c r="BJ855" s="25">
        <v>54.895000000000003</v>
      </c>
      <c r="BK855" t="s">
        <v>376</v>
      </c>
      <c r="BL855">
        <v>16.805040724033116</v>
      </c>
      <c r="BM855" t="s">
        <v>376</v>
      </c>
      <c r="BN855" s="322">
        <v>191962.30257900001</v>
      </c>
      <c r="BO855" s="322">
        <v>13977.928432000001</v>
      </c>
      <c r="BP855" s="10">
        <v>100490</v>
      </c>
      <c r="BQ855" s="254">
        <f t="shared" si="365"/>
        <v>1.9102627383719775</v>
      </c>
      <c r="BR855" s="254">
        <f t="shared" si="366"/>
        <v>0.13909770556274256</v>
      </c>
      <c r="BS855" s="25">
        <v>61.713297926234908</v>
      </c>
      <c r="BT855" s="25">
        <v>98.942950467817823</v>
      </c>
      <c r="BU855" s="25">
        <v>38.702918945798103</v>
      </c>
      <c r="BV855" s="25">
        <v>97.714420957710828</v>
      </c>
      <c r="BW855" s="25">
        <v>51.871203489513647</v>
      </c>
      <c r="BX855" s="25">
        <v>74.268397074390421</v>
      </c>
      <c r="BY855" s="25">
        <v>52.624422156613967</v>
      </c>
      <c r="BZ855">
        <v>56</v>
      </c>
      <c r="CA855">
        <v>0</v>
      </c>
      <c r="CB855">
        <v>7</v>
      </c>
      <c r="CC855">
        <v>493833.11881299998</v>
      </c>
      <c r="CD855" s="10">
        <v>339767.00630800001</v>
      </c>
      <c r="CE855" s="255">
        <v>0.6880198864034871</v>
      </c>
      <c r="CF855" t="str">
        <f>IFERROR(VLOOKUP(CE855,'Rangos amb etnico'!$A$2:$C$6,3,9),"N.D.")</f>
        <v>51% - 70%</v>
      </c>
      <c r="CG855" s="256">
        <v>9.8851030213687446E-3</v>
      </c>
      <c r="CH855" s="232">
        <v>113737.503577</v>
      </c>
      <c r="CI855" s="311">
        <f t="shared" si="373"/>
        <v>0.23031566584757357</v>
      </c>
      <c r="CJ855" s="232" t="str">
        <f>IFERROR(VLOOKUP(CI855,'Rangos amb etnico'!$A$2:$C$6,3,9),"N.D.")</f>
        <v>0,1% - 30%</v>
      </c>
      <c r="CK855" s="311">
        <f t="shared" si="374"/>
        <v>4.516123554245236E-3</v>
      </c>
      <c r="CL855" s="10">
        <v>80285.697840599896</v>
      </c>
      <c r="CM855" s="255">
        <f t="shared" si="375"/>
        <v>0.16257657654387031</v>
      </c>
      <c r="CN855" s="232" t="str">
        <f>IFERROR(VLOOKUP(CM855,'Rangos amb etnico'!$A$2:$C$6,3,9),"N.D.")</f>
        <v>0,1% - 30%</v>
      </c>
      <c r="CO855" s="311">
        <f t="shared" si="376"/>
        <v>5.0347718791823794E-2</v>
      </c>
      <c r="CP855">
        <v>0.72454500430416791</v>
      </c>
      <c r="CQ855" t="s">
        <v>2866</v>
      </c>
      <c r="CR855">
        <f t="shared" si="367"/>
        <v>2</v>
      </c>
      <c r="CS855" t="str">
        <f t="shared" si="377"/>
        <v>No es Candidato</v>
      </c>
      <c r="CT855">
        <v>0</v>
      </c>
      <c r="CU855">
        <v>0</v>
      </c>
      <c r="CV855" s="25">
        <v>49.167320251464837</v>
      </c>
      <c r="CW855" s="25">
        <v>35.73046875</v>
      </c>
      <c r="CX855" s="25">
        <v>56.660480499267578</v>
      </c>
      <c r="CY855" s="25">
        <v>44.063270568847663</v>
      </c>
      <c r="CZ855" s="25">
        <v>12.989309310913089</v>
      </c>
      <c r="DA855" s="25">
        <v>84.679718017578125</v>
      </c>
      <c r="DB855" s="25">
        <v>60.88067626953125</v>
      </c>
      <c r="DC855">
        <v>22800</v>
      </c>
      <c r="DD855" s="253" t="s">
        <v>380</v>
      </c>
    </row>
    <row r="856" spans="1:108" hidden="1">
      <c r="A856" s="13">
        <v>13490</v>
      </c>
      <c r="B856" s="13" t="s">
        <v>2135</v>
      </c>
      <c r="C856" s="13" t="s">
        <v>480</v>
      </c>
      <c r="D856" s="13" t="s">
        <v>481</v>
      </c>
      <c r="E856" s="13" t="s">
        <v>2136</v>
      </c>
      <c r="F856" s="14">
        <v>49.478266666666698</v>
      </c>
      <c r="G856" s="13">
        <v>38.76</v>
      </c>
      <c r="H856" s="13">
        <v>0</v>
      </c>
      <c r="I856" s="13">
        <v>35.1</v>
      </c>
      <c r="J856" s="14">
        <v>53.589642737970529</v>
      </c>
      <c r="K856" s="14">
        <v>40.554688626545349</v>
      </c>
      <c r="L856" s="14">
        <v>65.722693872706188</v>
      </c>
      <c r="M856" s="14">
        <v>60.954999999999998</v>
      </c>
      <c r="N856" s="14">
        <f t="shared" si="351"/>
        <v>30.834566666666674</v>
      </c>
      <c r="O856" s="14">
        <f t="shared" si="352"/>
        <v>55.20550630930552</v>
      </c>
      <c r="P856" s="14">
        <f t="shared" si="368"/>
        <v>43.020036487986097</v>
      </c>
      <c r="Q856" s="14">
        <v>60.417477889878135</v>
      </c>
      <c r="R856" s="17">
        <f t="shared" si="353"/>
        <v>39.582522110121865</v>
      </c>
      <c r="S856" s="14">
        <f t="shared" si="369"/>
        <v>0.45624269899109682</v>
      </c>
      <c r="T856" s="13">
        <v>0</v>
      </c>
      <c r="U856" s="13">
        <f t="shared" si="370"/>
        <v>19.627577557974242</v>
      </c>
      <c r="V856" s="13">
        <f>IF($T856=1,$AU856,(VLOOKUP(U856,'Cortes naturales'!$A$35:$C$39,3,9)))</f>
        <v>5</v>
      </c>
      <c r="W856" s="13">
        <v>5</v>
      </c>
      <c r="X856" s="14" t="b">
        <f t="shared" si="354"/>
        <v>1</v>
      </c>
      <c r="Y856" s="17">
        <f>IF($T856=1,$AU856,VLOOKUP(U856,'Cortes naturales'!$A$45:$C$49,3,9))</f>
        <v>5</v>
      </c>
      <c r="Z856" s="14">
        <v>47.419389079618981</v>
      </c>
      <c r="AA856" s="14">
        <v>0.4509467424289586</v>
      </c>
      <c r="AB856" s="14">
        <v>21.383619033425514</v>
      </c>
      <c r="AC856" s="13">
        <v>4</v>
      </c>
      <c r="AD856" s="13">
        <f t="shared" si="355"/>
        <v>-1</v>
      </c>
      <c r="AE856" s="14">
        <f t="shared" si="356"/>
        <v>-4.3993525916328835</v>
      </c>
      <c r="AF856" s="14">
        <f t="shared" si="357"/>
        <v>5.2959565621382154E-3</v>
      </c>
      <c r="AG856" s="13">
        <f t="shared" si="358"/>
        <v>-1.7560414754512728</v>
      </c>
      <c r="AH856" s="13">
        <f>IF($T856=1,$AU856,VLOOKUP(U856,'Cortes naturales'!$A$25:$C$29,3,9))</f>
        <v>5</v>
      </c>
      <c r="AI856" s="13" t="b">
        <f t="shared" si="359"/>
        <v>1</v>
      </c>
      <c r="AJ856" s="13" t="str">
        <f t="shared" si="360"/>
        <v>Efecto ponderador</v>
      </c>
      <c r="AK856" s="28">
        <v>0.6523467210059386</v>
      </c>
      <c r="AL856" s="28">
        <v>30.933882978194255</v>
      </c>
      <c r="AM856" s="28">
        <v>0.21632425682909073</v>
      </c>
      <c r="AN856" s="13">
        <v>4</v>
      </c>
      <c r="AO856" s="33">
        <f t="shared" si="361"/>
        <v>-1</v>
      </c>
      <c r="AP856" s="13">
        <f t="shared" si="371"/>
        <v>21.632425682909073</v>
      </c>
      <c r="AQ856" s="13">
        <f>IFERROR(VLOOKUP(U856,'Cortes naturales'!$E$15:$G$19,3,9),U856)</f>
        <v>4</v>
      </c>
      <c r="AR856" s="28">
        <f t="shared" si="362"/>
        <v>-0.19610402201484178</v>
      </c>
      <c r="AS856" s="13" t="b">
        <f t="shared" si="363"/>
        <v>0</v>
      </c>
      <c r="AT856" s="13" t="str">
        <f t="shared" si="372"/>
        <v>Cambio en corte</v>
      </c>
      <c r="AU856" s="13">
        <v>5</v>
      </c>
      <c r="AV856">
        <f t="shared" si="364"/>
        <v>0</v>
      </c>
      <c r="AW856" s="13">
        <v>0</v>
      </c>
      <c r="AX856" s="13">
        <v>0</v>
      </c>
      <c r="AY856" s="13">
        <v>0</v>
      </c>
      <c r="AZ856" s="13">
        <v>0</v>
      </c>
      <c r="BA856">
        <v>0</v>
      </c>
      <c r="BB856" t="s">
        <v>2841</v>
      </c>
      <c r="BC856">
        <v>6</v>
      </c>
      <c r="BD856" t="s">
        <v>2919</v>
      </c>
      <c r="BE856">
        <v>1</v>
      </c>
      <c r="BF856" s="232" t="s">
        <v>2846</v>
      </c>
      <c r="BG856" s="232" t="s">
        <v>2846</v>
      </c>
      <c r="BH856" s="253">
        <v>66.2</v>
      </c>
      <c r="BI856" s="253">
        <v>66.328600405679509</v>
      </c>
      <c r="BJ856" s="25">
        <v>14.035625</v>
      </c>
      <c r="BK856" t="s">
        <v>379</v>
      </c>
      <c r="BL856">
        <v>18.407777409252351</v>
      </c>
      <c r="BM856" t="s">
        <v>376</v>
      </c>
      <c r="BN856" s="322">
        <v>26816.691767</v>
      </c>
      <c r="BO856" s="322">
        <v>406.57229999999998</v>
      </c>
      <c r="BP856" s="10">
        <v>12515</v>
      </c>
      <c r="BQ856" s="254">
        <f t="shared" si="365"/>
        <v>2.1427640245305635</v>
      </c>
      <c r="BR856" s="254">
        <f t="shared" si="366"/>
        <v>3.2486799840191767E-2</v>
      </c>
      <c r="BS856" s="25">
        <v>58.505599078088729</v>
      </c>
      <c r="BT856" s="25">
        <v>85.540018644293511</v>
      </c>
      <c r="BU856" s="25">
        <v>28.08731629392971</v>
      </c>
      <c r="BV856" s="25">
        <v>86.83354620207821</v>
      </c>
      <c r="BW856" s="25">
        <v>57.489422169390103</v>
      </c>
      <c r="BX856" s="25">
        <v>64.741620054597547</v>
      </c>
      <c r="BY856" s="25">
        <v>58.480943344375277</v>
      </c>
      <c r="BZ856">
        <v>8</v>
      </c>
      <c r="CA856">
        <v>0</v>
      </c>
      <c r="CB856">
        <v>7</v>
      </c>
      <c r="CC856">
        <v>41585.261745000003</v>
      </c>
      <c r="CD856" s="10">
        <v>18275.044327</v>
      </c>
      <c r="CE856" s="255">
        <v>0.43945964411772148</v>
      </c>
      <c r="CF856" t="str">
        <f>IFERROR(VLOOKUP(CE856,'Rangos amb etnico'!$A$2:$C$6,3,9),"N.D.")</f>
        <v>31% - 50%</v>
      </c>
      <c r="CG856" s="256">
        <v>5.3168993027155479E-4</v>
      </c>
      <c r="CH856" s="232">
        <v>0</v>
      </c>
      <c r="CI856" s="311">
        <f t="shared" si="373"/>
        <v>0</v>
      </c>
      <c r="CJ856" s="232">
        <f>IFERROR(VLOOKUP(CI856,'Rangos amb etnico'!$A$2:$C$6,3,9),"N.D.")</f>
        <v>0</v>
      </c>
      <c r="CK856" s="311">
        <f t="shared" si="374"/>
        <v>0</v>
      </c>
      <c r="CL856" s="10">
        <v>0</v>
      </c>
      <c r="CM856" s="255">
        <f t="shared" si="375"/>
        <v>0</v>
      </c>
      <c r="CN856" s="232">
        <f>IFERROR(VLOOKUP(CM856,'Rangos amb etnico'!$A$2:$C$6,3,9),"N.D.")</f>
        <v>0</v>
      </c>
      <c r="CO856" s="311">
        <f t="shared" si="376"/>
        <v>0</v>
      </c>
      <c r="CP856">
        <v>0.85419665753177121</v>
      </c>
      <c r="CQ856" t="s">
        <v>2864</v>
      </c>
      <c r="CR856">
        <f t="shared" si="367"/>
        <v>2</v>
      </c>
      <c r="CS856" t="str">
        <f t="shared" si="377"/>
        <v>No es Candidato</v>
      </c>
      <c r="CT856">
        <v>0</v>
      </c>
      <c r="CU856">
        <v>0</v>
      </c>
      <c r="CV856" s="25">
        <v>34.421291351318359</v>
      </c>
      <c r="CW856" s="25">
        <v>9.1774168014526367</v>
      </c>
      <c r="CX856" s="25">
        <v>46.407936096191413</v>
      </c>
      <c r="CY856" s="25">
        <v>41.112308502197273</v>
      </c>
      <c r="CZ856" s="25">
        <v>5.417473316192627</v>
      </c>
      <c r="DA856" s="25">
        <v>67.990867614746094</v>
      </c>
      <c r="DB856" s="25">
        <v>36.4217529296875</v>
      </c>
      <c r="DC856">
        <v>438</v>
      </c>
      <c r="DD856" s="253" t="s">
        <v>380</v>
      </c>
    </row>
    <row r="857" spans="1:108" hidden="1">
      <c r="A857" s="13">
        <v>73226</v>
      </c>
      <c r="B857" s="13" t="s">
        <v>2137</v>
      </c>
      <c r="C857" s="13" t="s">
        <v>595</v>
      </c>
      <c r="D857" s="13" t="s">
        <v>596</v>
      </c>
      <c r="E857" s="13" t="s">
        <v>2138</v>
      </c>
      <c r="F857" s="14">
        <v>54.293900000000001</v>
      </c>
      <c r="G857" s="13">
        <v>54.8</v>
      </c>
      <c r="H857" s="13">
        <v>55.56</v>
      </c>
      <c r="I857" s="13">
        <v>63.71</v>
      </c>
      <c r="J857" s="14">
        <v>47.949253559948275</v>
      </c>
      <c r="K857" s="14">
        <v>39.464447152152665</v>
      </c>
      <c r="L857" s="14">
        <v>40.028243458982274</v>
      </c>
      <c r="M857" s="14">
        <v>43.000799999999998</v>
      </c>
      <c r="N857" s="14">
        <f t="shared" si="351"/>
        <v>57.090975</v>
      </c>
      <c r="O857" s="14">
        <f t="shared" si="352"/>
        <v>42.610686042770801</v>
      </c>
      <c r="P857" s="14">
        <f t="shared" si="368"/>
        <v>49.850830521385404</v>
      </c>
      <c r="Q857" s="14">
        <v>61.442662833031612</v>
      </c>
      <c r="R857" s="17">
        <f t="shared" si="353"/>
        <v>38.557337166968388</v>
      </c>
      <c r="S857" s="14">
        <f t="shared" si="369"/>
        <v>0.44701603450271554</v>
      </c>
      <c r="T857" s="13">
        <v>0</v>
      </c>
      <c r="U857" s="13">
        <f t="shared" si="370"/>
        <v>22.284120576336644</v>
      </c>
      <c r="V857" s="13">
        <f>IF($T857=1,$AU857,(VLOOKUP(U857,'Cortes naturales'!$A$35:$C$39,3,9)))</f>
        <v>4</v>
      </c>
      <c r="W857" s="13">
        <v>4</v>
      </c>
      <c r="X857" s="14" t="b">
        <f t="shared" si="354"/>
        <v>1</v>
      </c>
      <c r="Y857" s="17">
        <f>IF($T857=1,$AU857,VLOOKUP(U857,'Cortes naturales'!$A$45:$C$49,3,9))</f>
        <v>4</v>
      </c>
      <c r="Z857" s="14">
        <v>49.52272916792127</v>
      </c>
      <c r="AA857" s="14">
        <v>0.45146902421100676</v>
      </c>
      <c r="AB857" s="14">
        <v>22.35797821370738</v>
      </c>
      <c r="AC857" s="13">
        <v>4</v>
      </c>
      <c r="AD857" s="13">
        <f t="shared" si="355"/>
        <v>0</v>
      </c>
      <c r="AE857" s="14">
        <f t="shared" si="356"/>
        <v>0.3281013534641346</v>
      </c>
      <c r="AF857" s="14">
        <f t="shared" si="357"/>
        <v>-4.4529897082912218E-3</v>
      </c>
      <c r="AG857" s="13">
        <f t="shared" si="358"/>
        <v>-7.3857637370736029E-2</v>
      </c>
      <c r="AH857" s="13">
        <f>IF($T857=1,$AU857,VLOOKUP(U857,'Cortes naturales'!$A$25:$C$29,3,9))</f>
        <v>4</v>
      </c>
      <c r="AI857" s="13" t="b">
        <f t="shared" si="359"/>
        <v>1</v>
      </c>
      <c r="AJ857" s="13">
        <f t="shared" si="360"/>
        <v>0</v>
      </c>
      <c r="AK857" s="28">
        <v>0.6523467210059386</v>
      </c>
      <c r="AL857" s="28">
        <v>32.305989987958597</v>
      </c>
      <c r="AM857" s="28">
        <v>0.23348786918412398</v>
      </c>
      <c r="AN857" s="13">
        <v>4</v>
      </c>
      <c r="AO857" s="33">
        <f t="shared" si="361"/>
        <v>0</v>
      </c>
      <c r="AP857" s="13">
        <f t="shared" si="371"/>
        <v>23.348786918412397</v>
      </c>
      <c r="AQ857" s="13">
        <f>IFERROR(VLOOKUP(U857,'Cortes naturales'!$E$15:$G$19,3,9),U857)</f>
        <v>4</v>
      </c>
      <c r="AR857" s="28">
        <f t="shared" si="362"/>
        <v>-0.20533068650322306</v>
      </c>
      <c r="AS857" s="13" t="b">
        <f t="shared" si="363"/>
        <v>1</v>
      </c>
      <c r="AT857" s="13">
        <f t="shared" si="372"/>
        <v>0</v>
      </c>
      <c r="AU857" s="13">
        <v>4</v>
      </c>
      <c r="AV857">
        <f t="shared" si="364"/>
        <v>0</v>
      </c>
      <c r="AW857" s="13">
        <v>0</v>
      </c>
      <c r="AX857" s="13">
        <v>0</v>
      </c>
      <c r="AY857" s="13">
        <v>0</v>
      </c>
      <c r="AZ857" s="13">
        <v>0</v>
      </c>
      <c r="BA857">
        <v>0</v>
      </c>
      <c r="BB857" t="s">
        <v>2841</v>
      </c>
      <c r="BC857">
        <v>6</v>
      </c>
      <c r="BD857" t="s">
        <v>2919</v>
      </c>
      <c r="BE857">
        <v>0</v>
      </c>
      <c r="BF857" s="232" t="s">
        <v>2846</v>
      </c>
      <c r="BG857" s="232" t="s">
        <v>2846</v>
      </c>
      <c r="BH857" s="253">
        <v>40.799999999999997</v>
      </c>
      <c r="BI857" s="253">
        <v>19.028600876062871</v>
      </c>
      <c r="BJ857" s="25">
        <v>11.496363636363638</v>
      </c>
      <c r="BK857" t="s">
        <v>377</v>
      </c>
      <c r="BL857">
        <v>4.3696511875647177</v>
      </c>
      <c r="BM857" t="s">
        <v>383</v>
      </c>
      <c r="BN857" s="322">
        <v>16884.35139</v>
      </c>
      <c r="BO857" s="322">
        <v>946.17809699999998</v>
      </c>
      <c r="BP857" s="10">
        <v>9022</v>
      </c>
      <c r="BQ857" s="254">
        <f t="shared" si="365"/>
        <v>1.871464352693416</v>
      </c>
      <c r="BR857" s="254">
        <f t="shared" si="366"/>
        <v>0.10487453968078031</v>
      </c>
      <c r="BS857" s="25">
        <v>64.244234800838584</v>
      </c>
      <c r="BT857" s="25">
        <v>85.456780024384841</v>
      </c>
      <c r="BU857" s="25">
        <v>27.657965821924439</v>
      </c>
      <c r="BV857" s="25">
        <v>92.890081865789853</v>
      </c>
      <c r="BW857" s="25">
        <v>34.416065019647277</v>
      </c>
      <c r="BX857" s="25">
        <v>67.562265628234428</v>
      </c>
      <c r="BY857" s="25">
        <v>34.658836341899139</v>
      </c>
      <c r="BZ857">
        <v>6</v>
      </c>
      <c r="CA857">
        <v>0</v>
      </c>
      <c r="CB857">
        <v>7</v>
      </c>
      <c r="CC857">
        <v>50702.544562000003</v>
      </c>
      <c r="CD857" s="10">
        <v>1156.3323350000001</v>
      </c>
      <c r="CE857" s="255">
        <v>2.280619927439767E-2</v>
      </c>
      <c r="CF857" t="str">
        <f>IFERROR(VLOOKUP(CE857,'Rangos amb etnico'!$A$2:$C$6,3,9),"N.D.")</f>
        <v>0,1% - 30%</v>
      </c>
      <c r="CG857" s="256">
        <v>3.3642066610944321E-5</v>
      </c>
      <c r="CH857" s="232">
        <v>0</v>
      </c>
      <c r="CI857" s="311">
        <f t="shared" si="373"/>
        <v>0</v>
      </c>
      <c r="CJ857" s="232">
        <f>IFERROR(VLOOKUP(CI857,'Rangos amb etnico'!$A$2:$C$6,3,9),"N.D.")</f>
        <v>0</v>
      </c>
      <c r="CK857" s="311">
        <f t="shared" si="374"/>
        <v>0</v>
      </c>
      <c r="CL857" s="10">
        <v>0</v>
      </c>
      <c r="CM857" s="255">
        <f t="shared" si="375"/>
        <v>0</v>
      </c>
      <c r="CN857" s="232">
        <f>IFERROR(VLOOKUP(CM857,'Rangos amb etnico'!$A$2:$C$6,3,9),"N.D.")</f>
        <v>0</v>
      </c>
      <c r="CO857" s="311">
        <f t="shared" si="376"/>
        <v>0</v>
      </c>
      <c r="CP857">
        <v>0.69747188238749569</v>
      </c>
      <c r="CQ857" t="s">
        <v>2866</v>
      </c>
      <c r="CR857">
        <f t="shared" si="367"/>
        <v>1</v>
      </c>
      <c r="CS857" t="str">
        <f t="shared" si="377"/>
        <v>No es Candidato</v>
      </c>
      <c r="CT857">
        <v>0</v>
      </c>
      <c r="CU857">
        <v>0</v>
      </c>
      <c r="CV857" s="25">
        <v>37.265949249267578</v>
      </c>
      <c r="CW857" s="25">
        <v>20.576532363891602</v>
      </c>
      <c r="CX857" s="25">
        <v>43.444206237792969</v>
      </c>
      <c r="CY857" s="25">
        <v>58.491024017333977</v>
      </c>
      <c r="CZ857" s="25">
        <v>33.608497619628913</v>
      </c>
      <c r="DA857" s="25">
        <v>29.970148086547852</v>
      </c>
      <c r="DB857" s="25">
        <v>37.505294799804688</v>
      </c>
      <c r="DC857">
        <v>322</v>
      </c>
      <c r="DD857" s="253" t="s">
        <v>380</v>
      </c>
    </row>
    <row r="858" spans="1:108">
      <c r="A858" s="13">
        <v>5652</v>
      </c>
      <c r="B858" s="13" t="s">
        <v>2139</v>
      </c>
      <c r="C858" s="13" t="s">
        <v>435</v>
      </c>
      <c r="D858" s="13" t="s">
        <v>436</v>
      </c>
      <c r="E858" s="13" t="s">
        <v>975</v>
      </c>
      <c r="F858" s="14">
        <v>54.890833333333298</v>
      </c>
      <c r="G858" s="13">
        <v>62.33</v>
      </c>
      <c r="H858" s="13">
        <v>63.3</v>
      </c>
      <c r="I858" s="13">
        <v>62.75</v>
      </c>
      <c r="J858" s="14">
        <v>58.992181217803683</v>
      </c>
      <c r="K858" s="14">
        <v>53.599832897921651</v>
      </c>
      <c r="L858" s="14">
        <v>56.91935692324175</v>
      </c>
      <c r="M858" s="14">
        <v>52.051000000000002</v>
      </c>
      <c r="N858" s="14">
        <f t="shared" si="351"/>
        <v>60.817708333333329</v>
      </c>
      <c r="O858" s="14">
        <f t="shared" si="352"/>
        <v>55.390592759741764</v>
      </c>
      <c r="P858" s="14">
        <f t="shared" si="368"/>
        <v>58.104150546537547</v>
      </c>
      <c r="Q858" s="14">
        <v>61.352140918024965</v>
      </c>
      <c r="R858" s="17">
        <f t="shared" si="353"/>
        <v>38.647859081975035</v>
      </c>
      <c r="S858" s="14">
        <f t="shared" si="369"/>
        <v>0.44783073173777532</v>
      </c>
      <c r="T858" s="13">
        <v>0</v>
      </c>
      <c r="U858" s="13">
        <f t="shared" si="370"/>
        <v>26.020824256257768</v>
      </c>
      <c r="V858" s="13">
        <f>IF($T858=1,$AU858,(VLOOKUP(U858,'Cortes naturales'!$A$35:$C$39,3,9)))</f>
        <v>4</v>
      </c>
      <c r="W858" s="13">
        <v>4</v>
      </c>
      <c r="X858" s="14" t="b">
        <f t="shared" si="354"/>
        <v>1</v>
      </c>
      <c r="Y858" s="17">
        <f>IF($T858=1,$AU858,VLOOKUP(U858,'Cortes naturales'!$A$45:$C$49,3,9))</f>
        <v>4</v>
      </c>
      <c r="Z858" s="14">
        <v>56.254538213401972</v>
      </c>
      <c r="AA858" s="14">
        <v>0.45449758816236485</v>
      </c>
      <c r="AB858" s="14">
        <v>25.567551941178785</v>
      </c>
      <c r="AC858" s="13">
        <v>4</v>
      </c>
      <c r="AD858" s="13">
        <f t="shared" si="355"/>
        <v>0</v>
      </c>
      <c r="AE858" s="14">
        <f t="shared" si="356"/>
        <v>1.8496123331355747</v>
      </c>
      <c r="AF858" s="14">
        <f t="shared" si="357"/>
        <v>-6.666856424589529E-3</v>
      </c>
      <c r="AG858" s="13">
        <f t="shared" si="358"/>
        <v>0.45327231507898347</v>
      </c>
      <c r="AH858" s="13">
        <f>IF($T858=1,$AU858,VLOOKUP(U858,'Cortes naturales'!$A$25:$C$29,3,9))</f>
        <v>4</v>
      </c>
      <c r="AI858" s="13" t="b">
        <f t="shared" si="359"/>
        <v>1</v>
      </c>
      <c r="AJ858" s="13">
        <f t="shared" si="360"/>
        <v>0</v>
      </c>
      <c r="AK858" s="28">
        <v>0.6523467210059386</v>
      </c>
      <c r="AL858" s="28">
        <v>36.697463545216046</v>
      </c>
      <c r="AM858" s="28">
        <v>0.28842057433595542</v>
      </c>
      <c r="AN858" s="13">
        <v>4</v>
      </c>
      <c r="AO858" s="33">
        <f t="shared" si="361"/>
        <v>0</v>
      </c>
      <c r="AP858" s="13">
        <f t="shared" si="371"/>
        <v>28.842057433595542</v>
      </c>
      <c r="AQ858" s="13">
        <f>IFERROR(VLOOKUP(U858,'Cortes naturales'!$E$15:$G$19,3,9),U858)</f>
        <v>4</v>
      </c>
      <c r="AR858" s="28">
        <f t="shared" si="362"/>
        <v>-0.20451598926816328</v>
      </c>
      <c r="AS858" s="13" t="b">
        <f t="shared" si="363"/>
        <v>1</v>
      </c>
      <c r="AT858" s="13">
        <f t="shared" si="372"/>
        <v>0</v>
      </c>
      <c r="AU858" s="13">
        <v>4</v>
      </c>
      <c r="AV858">
        <f t="shared" si="364"/>
        <v>0</v>
      </c>
      <c r="AW858" s="13">
        <v>0</v>
      </c>
      <c r="AX858" s="13">
        <v>0</v>
      </c>
      <c r="AY858" s="13">
        <v>0</v>
      </c>
      <c r="AZ858" s="13">
        <v>0</v>
      </c>
      <c r="BA858">
        <v>1</v>
      </c>
      <c r="BB858" t="s">
        <v>2840</v>
      </c>
      <c r="BC858">
        <v>6</v>
      </c>
      <c r="BD858" t="s">
        <v>2919</v>
      </c>
      <c r="BE858">
        <v>1</v>
      </c>
      <c r="BF858" s="232" t="s">
        <v>2846</v>
      </c>
      <c r="BG858" s="232" t="s">
        <v>2845</v>
      </c>
      <c r="BH858" s="253">
        <v>46.4</v>
      </c>
      <c r="BI858" s="253">
        <v>19.797051502967644</v>
      </c>
      <c r="BJ858" s="25">
        <v>25.794795363133336</v>
      </c>
      <c r="BK858" t="s">
        <v>379</v>
      </c>
      <c r="BL858">
        <v>4.2909546933829548</v>
      </c>
      <c r="BM858" t="s">
        <v>383</v>
      </c>
      <c r="BN858" s="322">
        <v>20734.160852000001</v>
      </c>
      <c r="BO858" s="322">
        <v>1334.7497960000001</v>
      </c>
      <c r="BP858" s="10">
        <v>6013</v>
      </c>
      <c r="BQ858" s="254">
        <f t="shared" si="365"/>
        <v>3.4482223269582573</v>
      </c>
      <c r="BR858" s="254">
        <f t="shared" si="366"/>
        <v>0.22197734841177449</v>
      </c>
      <c r="BS858" s="25">
        <v>55.681388029389552</v>
      </c>
      <c r="BT858" s="25">
        <v>81.573799363416299</v>
      </c>
      <c r="BU858" s="25">
        <v>42.518188976377942</v>
      </c>
      <c r="BV858" s="25">
        <v>99.739715041984368</v>
      </c>
      <c r="BW858" s="25">
        <v>63.92814851995027</v>
      </c>
      <c r="BX858" s="25">
        <v>69.878272852792037</v>
      </c>
      <c r="BY858" s="25">
        <v>64.135122992410231</v>
      </c>
      <c r="BZ858">
        <v>84</v>
      </c>
      <c r="CA858">
        <v>0</v>
      </c>
      <c r="CB858">
        <v>7</v>
      </c>
      <c r="CC858">
        <v>35420.157132</v>
      </c>
      <c r="CD858" s="10">
        <v>12944.673769999999</v>
      </c>
      <c r="CE858" s="255">
        <v>0.36546065342847556</v>
      </c>
      <c r="CF858" t="str">
        <f>IFERROR(VLOOKUP(CE858,'Rangos amb etnico'!$A$2:$C$6,3,9),"N.D.")</f>
        <v>31% - 50%</v>
      </c>
      <c r="CG858" s="256">
        <v>3.7660935705588803E-4</v>
      </c>
      <c r="CH858" s="232">
        <v>0</v>
      </c>
      <c r="CI858" s="311">
        <f t="shared" si="373"/>
        <v>0</v>
      </c>
      <c r="CJ858" s="232">
        <f>IFERROR(VLOOKUP(CI858,'Rangos amb etnico'!$A$2:$C$6,3,9),"N.D.")</f>
        <v>0</v>
      </c>
      <c r="CK858" s="311">
        <f t="shared" si="374"/>
        <v>0</v>
      </c>
      <c r="CL858" s="10">
        <v>0</v>
      </c>
      <c r="CM858" s="255">
        <f t="shared" si="375"/>
        <v>0</v>
      </c>
      <c r="CN858" s="232">
        <f>IFERROR(VLOOKUP(CM858,'Rangos amb etnico'!$A$2:$C$6,3,9),"N.D.")</f>
        <v>0</v>
      </c>
      <c r="CO858" s="311">
        <f t="shared" si="376"/>
        <v>0</v>
      </c>
      <c r="CP858">
        <v>0.92200054353529881</v>
      </c>
      <c r="CQ858" t="s">
        <v>2864</v>
      </c>
      <c r="CR858">
        <f t="shared" si="367"/>
        <v>3</v>
      </c>
      <c r="CS858" t="str">
        <f t="shared" si="377"/>
        <v>Candidato</v>
      </c>
      <c r="CT858">
        <v>0</v>
      </c>
      <c r="CU858">
        <v>0</v>
      </c>
      <c r="CV858" s="25">
        <v>52.604461669921882</v>
      </c>
      <c r="CW858" s="25">
        <v>24.233596801757809</v>
      </c>
      <c r="CX858" s="25">
        <v>55.091075897216797</v>
      </c>
      <c r="CY858" s="25">
        <v>52.581947326660163</v>
      </c>
      <c r="CZ858" s="25">
        <v>32.002124786376953</v>
      </c>
      <c r="DA858" s="25">
        <v>87.180732727050781</v>
      </c>
      <c r="DB858" s="25">
        <v>64.537300109863281</v>
      </c>
      <c r="DC858">
        <v>96</v>
      </c>
      <c r="DD858" s="253" t="s">
        <v>380</v>
      </c>
    </row>
    <row r="859" spans="1:108" hidden="1">
      <c r="A859" s="13">
        <v>15236</v>
      </c>
      <c r="B859" s="13" t="s">
        <v>2140</v>
      </c>
      <c r="C859" s="13" t="s">
        <v>498</v>
      </c>
      <c r="D859" s="13" t="s">
        <v>499</v>
      </c>
      <c r="E859" s="13" t="s">
        <v>2141</v>
      </c>
      <c r="F859" s="14">
        <v>49.425033333333303</v>
      </c>
      <c r="G859" s="13">
        <v>62.04</v>
      </c>
      <c r="H859" s="13">
        <v>60.31</v>
      </c>
      <c r="I859" s="13">
        <v>51.15</v>
      </c>
      <c r="J859" s="14">
        <v>53.830567570890622</v>
      </c>
      <c r="K859" s="14">
        <v>54.492794987241581</v>
      </c>
      <c r="L859" s="14">
        <v>58.27367563966569</v>
      </c>
      <c r="M859" s="14">
        <v>60.0379</v>
      </c>
      <c r="N859" s="14">
        <f t="shared" si="351"/>
        <v>55.731258333333329</v>
      </c>
      <c r="O859" s="14">
        <f t="shared" si="352"/>
        <v>56.658734549449477</v>
      </c>
      <c r="P859" s="14">
        <f t="shared" si="368"/>
        <v>56.194996441391403</v>
      </c>
      <c r="Q859" s="14">
        <v>61.564958979799741</v>
      </c>
      <c r="R859" s="17">
        <f t="shared" si="353"/>
        <v>38.435041020200259</v>
      </c>
      <c r="S859" s="14">
        <f t="shared" si="369"/>
        <v>0.44591536918180241</v>
      </c>
      <c r="T859" s="13">
        <v>0</v>
      </c>
      <c r="U859" s="13">
        <f t="shared" si="370"/>
        <v>25.05821258433312</v>
      </c>
      <c r="V859" s="13">
        <f>IF($T859=1,$AU859,(VLOOKUP(U859,'Cortes naturales'!$A$35:$C$39,3,9)))</f>
        <v>4</v>
      </c>
      <c r="W859" s="13">
        <v>4</v>
      </c>
      <c r="X859" s="14" t="b">
        <f t="shared" si="354"/>
        <v>1</v>
      </c>
      <c r="Y859" s="17">
        <f>IF($T859=1,$AU859,VLOOKUP(U859,'Cortes naturales'!$A$45:$C$49,3,9))</f>
        <v>4</v>
      </c>
      <c r="Z859" s="14">
        <v>55.207213216589594</v>
      </c>
      <c r="AA859" s="14">
        <v>0.45072142498816525</v>
      </c>
      <c r="AB859" s="14">
        <v>24.883073810606732</v>
      </c>
      <c r="AC859" s="13">
        <v>4</v>
      </c>
      <c r="AD859" s="13">
        <f t="shared" si="355"/>
        <v>0</v>
      </c>
      <c r="AE859" s="14">
        <f t="shared" si="356"/>
        <v>0.98778322480180947</v>
      </c>
      <c r="AF859" s="14">
        <f t="shared" si="357"/>
        <v>-4.8060558063628411E-3</v>
      </c>
      <c r="AG859" s="13">
        <f t="shared" si="358"/>
        <v>0.17513877372638831</v>
      </c>
      <c r="AH859" s="13">
        <f>IF($T859=1,$AU859,VLOOKUP(U859,'Cortes naturales'!$A$25:$C$29,3,9))</f>
        <v>4</v>
      </c>
      <c r="AI859" s="13" t="b">
        <f t="shared" si="359"/>
        <v>1</v>
      </c>
      <c r="AJ859" s="13">
        <f t="shared" si="360"/>
        <v>0</v>
      </c>
      <c r="AK859" s="28">
        <v>0.6523467210059386</v>
      </c>
      <c r="AL859" s="28">
        <v>36.014244517717941</v>
      </c>
      <c r="AM859" s="28">
        <v>0.27987422448269267</v>
      </c>
      <c r="AN859" s="13">
        <v>4</v>
      </c>
      <c r="AO859" s="33">
        <f t="shared" si="361"/>
        <v>0</v>
      </c>
      <c r="AP859" s="13">
        <f t="shared" si="371"/>
        <v>27.987422448269268</v>
      </c>
      <c r="AQ859" s="13">
        <f>IFERROR(VLOOKUP(U859,'Cortes naturales'!$E$15:$G$19,3,9),U859)</f>
        <v>4</v>
      </c>
      <c r="AR859" s="28">
        <f t="shared" si="362"/>
        <v>-0.20643135182413619</v>
      </c>
      <c r="AS859" s="13" t="b">
        <f t="shared" si="363"/>
        <v>1</v>
      </c>
      <c r="AT859" s="13">
        <f t="shared" si="372"/>
        <v>0</v>
      </c>
      <c r="AU859" s="13">
        <v>4</v>
      </c>
      <c r="AV859">
        <f t="shared" si="364"/>
        <v>0</v>
      </c>
      <c r="AW859" s="13">
        <v>0</v>
      </c>
      <c r="AX859" s="13">
        <v>0</v>
      </c>
      <c r="AY859" s="13">
        <v>0</v>
      </c>
      <c r="AZ859" s="13">
        <v>0</v>
      </c>
      <c r="BA859">
        <v>1</v>
      </c>
      <c r="BB859" t="s">
        <v>2840</v>
      </c>
      <c r="BC859">
        <v>6</v>
      </c>
      <c r="BD859" t="s">
        <v>2919</v>
      </c>
      <c r="BE859">
        <v>0</v>
      </c>
      <c r="BF859" s="232" t="s">
        <v>2846</v>
      </c>
      <c r="BG859" s="232" t="s">
        <v>2846</v>
      </c>
      <c r="BH859" s="253">
        <v>45.8</v>
      </c>
      <c r="BI859" s="253">
        <v>16.836428999400837</v>
      </c>
      <c r="BJ859" s="25">
        <v>55.532896771771767</v>
      </c>
      <c r="BK859" t="s">
        <v>376</v>
      </c>
      <c r="BL859">
        <v>0</v>
      </c>
      <c r="BM859" t="s">
        <v>377</v>
      </c>
      <c r="BN859" s="322">
        <v>10150.220160999999</v>
      </c>
      <c r="BO859" s="322">
        <v>655.92852500000004</v>
      </c>
      <c r="BP859" s="10">
        <v>2702</v>
      </c>
      <c r="BQ859" s="254">
        <f t="shared" si="365"/>
        <v>3.7565581646928199</v>
      </c>
      <c r="BR859" s="254">
        <f t="shared" si="366"/>
        <v>0.24275667098445597</v>
      </c>
      <c r="BS859" s="25">
        <v>45.573762838468717</v>
      </c>
      <c r="BT859" s="25">
        <v>83.617075201085626</v>
      </c>
      <c r="BU859" s="25">
        <v>33.571390820584128</v>
      </c>
      <c r="BV859" s="25">
        <v>90.010636270997736</v>
      </c>
      <c r="BW859" s="25">
        <v>42.758165527937948</v>
      </c>
      <c r="BX859" s="25">
        <v>63.193216282784057</v>
      </c>
      <c r="BY859" s="25">
        <v>42.582577157408572</v>
      </c>
      <c r="BZ859">
        <v>98</v>
      </c>
      <c r="CA859">
        <v>0</v>
      </c>
      <c r="CB859">
        <v>7</v>
      </c>
      <c r="CC859">
        <v>10849.320333</v>
      </c>
      <c r="CD859" s="10">
        <v>5928.9776609999999</v>
      </c>
      <c r="CE859" s="255">
        <v>0.54648378691207367</v>
      </c>
      <c r="CF859" t="str">
        <f>IFERROR(VLOOKUP(CE859,'Rangos amb etnico'!$A$2:$C$6,3,9),"N.D.")</f>
        <v>51% - 70%</v>
      </c>
      <c r="CG859" s="256">
        <v>1.7249631041941143E-4</v>
      </c>
      <c r="CH859" s="232">
        <v>0</v>
      </c>
      <c r="CI859" s="311">
        <f t="shared" si="373"/>
        <v>0</v>
      </c>
      <c r="CJ859" s="232">
        <f>IFERROR(VLOOKUP(CI859,'Rangos amb etnico'!$A$2:$C$6,3,9),"N.D.")</f>
        <v>0</v>
      </c>
      <c r="CK859" s="311">
        <f t="shared" si="374"/>
        <v>0</v>
      </c>
      <c r="CL859" s="10">
        <v>0</v>
      </c>
      <c r="CM859" s="255">
        <f t="shared" si="375"/>
        <v>0</v>
      </c>
      <c r="CN859" s="232">
        <f>IFERROR(VLOOKUP(CM859,'Rangos amb etnico'!$A$2:$C$6,3,9),"N.D.")</f>
        <v>0</v>
      </c>
      <c r="CO859" s="311">
        <f t="shared" si="376"/>
        <v>0</v>
      </c>
      <c r="CP859">
        <v>0.92467770291678675</v>
      </c>
      <c r="CQ859" t="s">
        <v>2864</v>
      </c>
      <c r="CR859">
        <f t="shared" si="367"/>
        <v>2</v>
      </c>
      <c r="CS859" t="str">
        <f t="shared" si="377"/>
        <v>No es Candidato</v>
      </c>
      <c r="CT859">
        <v>0</v>
      </c>
      <c r="CU859">
        <v>0</v>
      </c>
      <c r="CV859" s="25">
        <v>49.672534942626953</v>
      </c>
      <c r="CW859" s="25">
        <v>13.21268367767334</v>
      </c>
      <c r="CX859" s="25">
        <v>47.1060791015625</v>
      </c>
      <c r="CY859" s="25">
        <v>53.678699493408203</v>
      </c>
      <c r="CZ859" s="25">
        <v>34.870761871337891</v>
      </c>
      <c r="DA859" s="25">
        <v>89.172554016113281</v>
      </c>
      <c r="DB859" s="25">
        <v>59.994419097900391</v>
      </c>
      <c r="DC859">
        <v>18</v>
      </c>
      <c r="DD859" s="253" t="s">
        <v>380</v>
      </c>
    </row>
    <row r="860" spans="1:108" hidden="1">
      <c r="A860" s="13">
        <v>19693</v>
      </c>
      <c r="B860" s="13" t="s">
        <v>2142</v>
      </c>
      <c r="C860" s="13" t="s">
        <v>557</v>
      </c>
      <c r="D860" s="13" t="s">
        <v>558</v>
      </c>
      <c r="E860" s="13" t="s">
        <v>2143</v>
      </c>
      <c r="F860" s="14">
        <v>56.264233333333301</v>
      </c>
      <c r="G860" s="13">
        <v>76.28</v>
      </c>
      <c r="H860" s="13">
        <v>53.58</v>
      </c>
      <c r="I860" s="13">
        <v>60.76</v>
      </c>
      <c r="J860" s="14">
        <v>35.142182042981702</v>
      </c>
      <c r="K860" s="14">
        <v>45.505117234534104</v>
      </c>
      <c r="L860" s="14">
        <v>51.23832648399484</v>
      </c>
      <c r="M860" s="14">
        <v>48.5276</v>
      </c>
      <c r="N860" s="14">
        <f t="shared" si="351"/>
        <v>61.721058333333318</v>
      </c>
      <c r="O860" s="14">
        <f t="shared" si="352"/>
        <v>45.103306440377665</v>
      </c>
      <c r="P860" s="14">
        <f t="shared" si="368"/>
        <v>53.412182386855491</v>
      </c>
      <c r="Q860" s="14">
        <v>62.093217681734657</v>
      </c>
      <c r="R860" s="17">
        <f t="shared" si="353"/>
        <v>37.906782318265343</v>
      </c>
      <c r="S860" s="14">
        <f t="shared" si="369"/>
        <v>0.44116104086438812</v>
      </c>
      <c r="T860" s="13">
        <v>0</v>
      </c>
      <c r="U860" s="13">
        <f t="shared" si="370"/>
        <v>23.563373976623708</v>
      </c>
      <c r="V860" s="13">
        <f>IF($T860=1,$AU860,(VLOOKUP(U860,'Cortes naturales'!$A$35:$C$39,3,9)))</f>
        <v>4</v>
      </c>
      <c r="W860" s="13">
        <v>4</v>
      </c>
      <c r="X860" s="14" t="b">
        <f t="shared" si="354"/>
        <v>1</v>
      </c>
      <c r="Y860" s="17">
        <f>IF($T860=1,$AU860,VLOOKUP(U860,'Cortes naturales'!$A$45:$C$49,3,9))</f>
        <v>4</v>
      </c>
      <c r="Z860" s="14">
        <v>51.141258420618144</v>
      </c>
      <c r="AA860" s="14">
        <v>0.4528497598352712</v>
      </c>
      <c r="AB860" s="14">
        <v>23.159306593450466</v>
      </c>
      <c r="AC860" s="13">
        <v>4</v>
      </c>
      <c r="AD860" s="13">
        <f t="shared" si="355"/>
        <v>0</v>
      </c>
      <c r="AE860" s="14">
        <f t="shared" si="356"/>
        <v>2.2709239662373477</v>
      </c>
      <c r="AF860" s="14">
        <f t="shared" si="357"/>
        <v>-1.1688718970883083E-2</v>
      </c>
      <c r="AG860" s="13">
        <f t="shared" si="358"/>
        <v>0.40406738317324198</v>
      </c>
      <c r="AH860" s="13">
        <f>IF($T860=1,$AU860,VLOOKUP(U860,'Cortes naturales'!$A$25:$C$29,3,9))</f>
        <v>4</v>
      </c>
      <c r="AI860" s="13" t="b">
        <f t="shared" si="359"/>
        <v>1</v>
      </c>
      <c r="AJ860" s="13">
        <f t="shared" si="360"/>
        <v>0</v>
      </c>
      <c r="AK860" s="28">
        <v>0.6523467210059386</v>
      </c>
      <c r="AL860" s="28">
        <v>33.361832238807594</v>
      </c>
      <c r="AM860" s="28">
        <v>0.24669534277960573</v>
      </c>
      <c r="AN860" s="13">
        <v>4</v>
      </c>
      <c r="AO860" s="33">
        <f t="shared" si="361"/>
        <v>0</v>
      </c>
      <c r="AP860" s="13">
        <f t="shared" si="371"/>
        <v>24.669534277960572</v>
      </c>
      <c r="AQ860" s="13">
        <f>IFERROR(VLOOKUP(U860,'Cortes naturales'!$E$15:$G$19,3,9),U860)</f>
        <v>4</v>
      </c>
      <c r="AR860" s="28">
        <f t="shared" si="362"/>
        <v>-0.21118568014155048</v>
      </c>
      <c r="AS860" s="13" t="b">
        <f t="shared" si="363"/>
        <v>1</v>
      </c>
      <c r="AT860" s="13">
        <f t="shared" si="372"/>
        <v>0</v>
      </c>
      <c r="AU860" s="13">
        <v>4</v>
      </c>
      <c r="AV860">
        <f t="shared" si="364"/>
        <v>0</v>
      </c>
      <c r="AW860" s="13">
        <v>0</v>
      </c>
      <c r="AX860" s="13">
        <v>0</v>
      </c>
      <c r="AY860" s="13">
        <v>0</v>
      </c>
      <c r="AZ860" s="13">
        <v>0</v>
      </c>
      <c r="BA860">
        <v>0</v>
      </c>
      <c r="BB860" t="s">
        <v>2841</v>
      </c>
      <c r="BC860">
        <v>6</v>
      </c>
      <c r="BD860" t="s">
        <v>2919</v>
      </c>
      <c r="BE860">
        <v>0</v>
      </c>
      <c r="BF860" s="232" t="s">
        <v>2846</v>
      </c>
      <c r="BG860" s="232" t="s">
        <v>2846</v>
      </c>
      <c r="BH860" s="253">
        <v>46.4</v>
      </c>
      <c r="BI860" s="253">
        <v>15.835807145050671</v>
      </c>
      <c r="BJ860" s="25">
        <v>0</v>
      </c>
      <c r="BK860" t="s">
        <v>381</v>
      </c>
      <c r="BL860">
        <v>2.0846229613488485</v>
      </c>
      <c r="BM860" t="s">
        <v>383</v>
      </c>
      <c r="BN860" s="322">
        <v>25155.377197999998</v>
      </c>
      <c r="BO860" s="322">
        <v>614.87578599999995</v>
      </c>
      <c r="BP860" s="10">
        <v>10813</v>
      </c>
      <c r="BQ860" s="254">
        <f t="shared" si="365"/>
        <v>2.3264012945528529</v>
      </c>
      <c r="BR860" s="254">
        <f t="shared" si="366"/>
        <v>5.6864495144733185E-2</v>
      </c>
      <c r="BS860" s="25">
        <v>43.893068230892737</v>
      </c>
      <c r="BT860" s="25">
        <v>83.774183698942636</v>
      </c>
      <c r="BU860" s="25">
        <v>31.412288587433331</v>
      </c>
      <c r="BV860" s="25">
        <v>97.490399659217303</v>
      </c>
      <c r="BW860" s="25">
        <v>28.381002490994629</v>
      </c>
      <c r="BX860" s="25">
        <v>64.1424850441215</v>
      </c>
      <c r="BY860" s="25">
        <v>28.668030277526011</v>
      </c>
      <c r="BZ860">
        <v>26</v>
      </c>
      <c r="CA860">
        <v>0</v>
      </c>
      <c r="CB860">
        <v>7</v>
      </c>
      <c r="CC860">
        <v>41924.426819</v>
      </c>
      <c r="CD860" s="10">
        <v>20015.730600999999</v>
      </c>
      <c r="CE860" s="255">
        <v>0.47742407278252741</v>
      </c>
      <c r="CF860" t="str">
        <f>IFERROR(VLOOKUP(CE860,'Rangos amb etnico'!$A$2:$C$6,3,9),"N.D.")</f>
        <v>31% - 50%</v>
      </c>
      <c r="CG860" s="256">
        <v>5.8233305578673329E-4</v>
      </c>
      <c r="CH860" s="232">
        <v>220.82007999999999</v>
      </c>
      <c r="CI860" s="311">
        <f t="shared" si="373"/>
        <v>5.2670983661468954E-3</v>
      </c>
      <c r="CJ860" s="232" t="str">
        <f>IFERROR(VLOOKUP(CI860,'Rangos amb etnico'!$A$2:$C$6,3,9),"N.D.")</f>
        <v>0,1% - 30%</v>
      </c>
      <c r="CK860" s="311">
        <f t="shared" si="374"/>
        <v>8.7680029293343973E-6</v>
      </c>
      <c r="CL860" s="10">
        <v>0</v>
      </c>
      <c r="CM860" s="255">
        <f t="shared" si="375"/>
        <v>0</v>
      </c>
      <c r="CN860" s="232">
        <f>IFERROR(VLOOKUP(CM860,'Rangos amb etnico'!$A$2:$C$6,3,9),"N.D.")</f>
        <v>0</v>
      </c>
      <c r="CO860" s="311">
        <f t="shared" si="376"/>
        <v>0</v>
      </c>
      <c r="CP860">
        <v>0.84692281411627501</v>
      </c>
      <c r="CQ860" t="s">
        <v>2865</v>
      </c>
      <c r="CR860">
        <f t="shared" si="367"/>
        <v>2</v>
      </c>
      <c r="CS860" t="str">
        <f t="shared" si="377"/>
        <v>No es Candidato</v>
      </c>
      <c r="CT860">
        <v>0</v>
      </c>
      <c r="CU860">
        <v>0</v>
      </c>
      <c r="CV860" s="25">
        <v>47.905426025390618</v>
      </c>
      <c r="CW860" s="25">
        <v>6.8226861953735352</v>
      </c>
      <c r="CX860" s="25">
        <v>38.683185577392578</v>
      </c>
      <c r="CY860" s="25">
        <v>66.118293762207031</v>
      </c>
      <c r="CZ860" s="25">
        <v>37.240493774414063</v>
      </c>
      <c r="DA860" s="25">
        <v>90.016281127929688</v>
      </c>
      <c r="DB860" s="25">
        <v>48.551605224609382</v>
      </c>
      <c r="DC860">
        <v>4465</v>
      </c>
      <c r="DD860" s="253" t="s">
        <v>380</v>
      </c>
    </row>
    <row r="861" spans="1:108">
      <c r="A861" s="13">
        <v>5895</v>
      </c>
      <c r="B861" s="13" t="s">
        <v>2144</v>
      </c>
      <c r="C861" s="13" t="s">
        <v>435</v>
      </c>
      <c r="D861" s="13" t="s">
        <v>436</v>
      </c>
      <c r="E861" s="13" t="s">
        <v>2145</v>
      </c>
      <c r="F861" s="14">
        <v>55.251066666666702</v>
      </c>
      <c r="G861" s="13">
        <v>47.72</v>
      </c>
      <c r="H861" s="13">
        <v>37.450000000000003</v>
      </c>
      <c r="I861" s="13">
        <v>62.29</v>
      </c>
      <c r="J861" s="14">
        <v>61.834402408303575</v>
      </c>
      <c r="K861" s="14">
        <v>59.967640437844572</v>
      </c>
      <c r="L861" s="14">
        <v>66.925260066504833</v>
      </c>
      <c r="M861" s="14">
        <v>58.143500000000003</v>
      </c>
      <c r="N861" s="14">
        <f t="shared" si="351"/>
        <v>50.677766666666678</v>
      </c>
      <c r="O861" s="14">
        <f t="shared" si="352"/>
        <v>61.717700728163251</v>
      </c>
      <c r="P861" s="14">
        <f t="shared" si="368"/>
        <v>56.197733697414961</v>
      </c>
      <c r="Q861" s="14">
        <v>61.318255170472661</v>
      </c>
      <c r="R861" s="17">
        <f t="shared" si="353"/>
        <v>38.681744829527339</v>
      </c>
      <c r="S861" s="14">
        <f t="shared" si="369"/>
        <v>0.44813570346574605</v>
      </c>
      <c r="T861" s="13">
        <v>0</v>
      </c>
      <c r="U861" s="13">
        <f t="shared" si="370"/>
        <v>25.184210923671714</v>
      </c>
      <c r="V861" s="13">
        <f>IF($T861=1,$AU861,(VLOOKUP(U861,'Cortes naturales'!$A$35:$C$39,3,9)))</f>
        <v>4</v>
      </c>
      <c r="W861" s="13">
        <v>4</v>
      </c>
      <c r="X861" s="14" t="b">
        <f t="shared" si="354"/>
        <v>1</v>
      </c>
      <c r="Y861" s="17">
        <f>IF($T861=1,$AU861,VLOOKUP(U861,'Cortes naturales'!$A$45:$C$49,3,9))</f>
        <v>4</v>
      </c>
      <c r="Z861" s="14">
        <v>55.437890705738326</v>
      </c>
      <c r="AA861" s="14">
        <v>0.45074829502586711</v>
      </c>
      <c r="AB861" s="14">
        <v>24.988534715441915</v>
      </c>
      <c r="AC861" s="13">
        <v>4</v>
      </c>
      <c r="AD861" s="13">
        <f t="shared" si="355"/>
        <v>0</v>
      </c>
      <c r="AE861" s="14">
        <f t="shared" si="356"/>
        <v>0.75984299167663494</v>
      </c>
      <c r="AF861" s="14">
        <f t="shared" si="357"/>
        <v>-2.6125915601210581E-3</v>
      </c>
      <c r="AG861" s="13">
        <f t="shared" si="358"/>
        <v>0.19567620822979848</v>
      </c>
      <c r="AH861" s="13">
        <f>IF($T861=1,$AU861,VLOOKUP(U861,'Cortes naturales'!$A$25:$C$29,3,9))</f>
        <v>4</v>
      </c>
      <c r="AI861" s="13" t="b">
        <f t="shared" si="359"/>
        <v>1</v>
      </c>
      <c r="AJ861" s="13">
        <f t="shared" si="360"/>
        <v>0</v>
      </c>
      <c r="AK861" s="28">
        <v>0.6523467210059386</v>
      </c>
      <c r="AL861" s="28">
        <v>36.164726221373996</v>
      </c>
      <c r="AM861" s="28">
        <v>0.28175659197276265</v>
      </c>
      <c r="AN861" s="13">
        <v>4</v>
      </c>
      <c r="AO861" s="33">
        <f t="shared" si="361"/>
        <v>0</v>
      </c>
      <c r="AP861" s="13">
        <f t="shared" si="371"/>
        <v>28.175659197276264</v>
      </c>
      <c r="AQ861" s="13">
        <f>IFERROR(VLOOKUP(U861,'Cortes naturales'!$E$15:$G$19,3,9),U861)</f>
        <v>4</v>
      </c>
      <c r="AR861" s="28">
        <f t="shared" si="362"/>
        <v>-0.20421101754019255</v>
      </c>
      <c r="AS861" s="13" t="b">
        <f t="shared" si="363"/>
        <v>1</v>
      </c>
      <c r="AT861" s="13">
        <f t="shared" si="372"/>
        <v>0</v>
      </c>
      <c r="AU861" s="13">
        <v>4</v>
      </c>
      <c r="AV861">
        <f t="shared" si="364"/>
        <v>0</v>
      </c>
      <c r="AW861" s="13">
        <v>0</v>
      </c>
      <c r="AX861" s="13">
        <v>0</v>
      </c>
      <c r="AY861" s="13">
        <v>0</v>
      </c>
      <c r="AZ861" s="13">
        <v>1</v>
      </c>
      <c r="BA861">
        <v>1</v>
      </c>
      <c r="BB861" t="s">
        <v>2840</v>
      </c>
      <c r="BC861">
        <v>6</v>
      </c>
      <c r="BD861" t="s">
        <v>2919</v>
      </c>
      <c r="BE861">
        <v>1</v>
      </c>
      <c r="BF861" s="232" t="s">
        <v>2846</v>
      </c>
      <c r="BG861" s="232" t="s">
        <v>2846</v>
      </c>
      <c r="BH861" s="253">
        <v>58</v>
      </c>
      <c r="BI861" s="253">
        <v>45.771661400299351</v>
      </c>
      <c r="BJ861" s="25">
        <v>96.489655172413805</v>
      </c>
      <c r="BK861" t="s">
        <v>2850</v>
      </c>
      <c r="BL861">
        <v>10.977935472972893</v>
      </c>
      <c r="BM861" t="s">
        <v>379</v>
      </c>
      <c r="BN861" s="322">
        <v>77483.053180999996</v>
      </c>
      <c r="BO861" s="322">
        <v>16170.700687</v>
      </c>
      <c r="BP861" s="10">
        <v>26532</v>
      </c>
      <c r="BQ861" s="254">
        <f t="shared" si="365"/>
        <v>2.9203623240238201</v>
      </c>
      <c r="BR861" s="254">
        <f t="shared" si="366"/>
        <v>0.60947914544700743</v>
      </c>
      <c r="BS861" s="25">
        <v>64.079998695416947</v>
      </c>
      <c r="BT861" s="25">
        <v>100</v>
      </c>
      <c r="BU861" s="25">
        <v>47.013333333333328</v>
      </c>
      <c r="BV861" s="25">
        <v>90.010777116486125</v>
      </c>
      <c r="BW861" s="25">
        <v>54.770917322900353</v>
      </c>
      <c r="BX861" s="25">
        <v>75.276027286309102</v>
      </c>
      <c r="BY861" s="25">
        <v>55.637053342436587</v>
      </c>
      <c r="BZ861">
        <v>67</v>
      </c>
      <c r="CA861">
        <v>0</v>
      </c>
      <c r="CB861">
        <v>7</v>
      </c>
      <c r="CC861">
        <v>116673.534676</v>
      </c>
      <c r="CD861" s="10">
        <v>1966.992236</v>
      </c>
      <c r="CE861" s="255">
        <v>1.6858940988308077E-2</v>
      </c>
      <c r="CF861" t="str">
        <f>IFERROR(VLOOKUP(CE861,'Rangos amb etnico'!$A$2:$C$6,3,9),"N.D.")</f>
        <v>0,1% - 30%</v>
      </c>
      <c r="CG861" s="256">
        <v>5.7227219047474196E-5</v>
      </c>
      <c r="CH861" s="232">
        <v>5180.5290839999998</v>
      </c>
      <c r="CI861" s="311">
        <f t="shared" si="373"/>
        <v>4.4401921124496847E-2</v>
      </c>
      <c r="CJ861" s="232" t="str">
        <f>IFERROR(VLOOKUP(CI861,'Rangos amb etnico'!$A$2:$C$6,3,9),"N.D.")</f>
        <v>0,1% - 30%</v>
      </c>
      <c r="CK861" s="311">
        <f t="shared" si="374"/>
        <v>2.0570092259732014E-4</v>
      </c>
      <c r="CL861" s="10">
        <v>0</v>
      </c>
      <c r="CM861" s="255">
        <f t="shared" si="375"/>
        <v>0</v>
      </c>
      <c r="CN861" s="232">
        <f>IFERROR(VLOOKUP(CM861,'Rangos amb etnico'!$A$2:$C$6,3,9),"N.D.")</f>
        <v>0</v>
      </c>
      <c r="CO861" s="311">
        <f t="shared" si="376"/>
        <v>0</v>
      </c>
      <c r="CP861">
        <v>0.909339132424271</v>
      </c>
      <c r="CQ861" t="s">
        <v>2864</v>
      </c>
      <c r="CR861">
        <f t="shared" si="367"/>
        <v>2</v>
      </c>
      <c r="CS861" t="str">
        <f t="shared" si="377"/>
        <v>No es Candidato</v>
      </c>
      <c r="CT861">
        <v>0</v>
      </c>
      <c r="CU861">
        <v>0</v>
      </c>
      <c r="CV861" s="25">
        <v>38.307510375976563</v>
      </c>
      <c r="CW861" s="25">
        <v>30.58355712890625</v>
      </c>
      <c r="CX861" s="25">
        <v>44.598094940185547</v>
      </c>
      <c r="CY861" s="25">
        <v>39.562633514404297</v>
      </c>
      <c r="CZ861" s="25">
        <v>28.770437240600589</v>
      </c>
      <c r="DA861" s="25">
        <v>55.575965881347663</v>
      </c>
      <c r="DB861" s="25">
        <v>30.754384994506839</v>
      </c>
      <c r="DC861">
        <v>10443</v>
      </c>
      <c r="DD861" s="253" t="s">
        <v>380</v>
      </c>
    </row>
    <row r="862" spans="1:108" hidden="1">
      <c r="A862" s="13">
        <v>54206</v>
      </c>
      <c r="B862" s="13" t="s">
        <v>2146</v>
      </c>
      <c r="C862" s="13" t="s">
        <v>517</v>
      </c>
      <c r="D862" s="13" t="s">
        <v>518</v>
      </c>
      <c r="E862" s="13" t="s">
        <v>2147</v>
      </c>
      <c r="F862" s="14">
        <v>49.909100000000002</v>
      </c>
      <c r="G862" s="13">
        <v>48.79</v>
      </c>
      <c r="H862" s="13">
        <v>71.22</v>
      </c>
      <c r="I862" s="13">
        <v>65.22</v>
      </c>
      <c r="J862" s="14">
        <v>45.459690179457304</v>
      </c>
      <c r="K862" s="14">
        <v>44.296670885942795</v>
      </c>
      <c r="L862" s="14">
        <v>46.886896120395626</v>
      </c>
      <c r="M862" s="14">
        <v>50.6404</v>
      </c>
      <c r="N862" s="14">
        <f t="shared" si="351"/>
        <v>58.784775000000003</v>
      </c>
      <c r="O862" s="14">
        <f t="shared" si="352"/>
        <v>46.820914296448933</v>
      </c>
      <c r="P862" s="14">
        <f t="shared" si="368"/>
        <v>52.802844648224465</v>
      </c>
      <c r="Q862" s="14">
        <v>61.758210404230397</v>
      </c>
      <c r="R862" s="17">
        <f t="shared" si="353"/>
        <v>38.241789595769603</v>
      </c>
      <c r="S862" s="14">
        <f t="shared" si="369"/>
        <v>0.4441761063619265</v>
      </c>
      <c r="T862" s="13">
        <v>0</v>
      </c>
      <c r="U862" s="13">
        <f t="shared" si="370"/>
        <v>23.453761940682032</v>
      </c>
      <c r="V862" s="13">
        <f>IF($T862=1,$AU862,(VLOOKUP(U862,'Cortes naturales'!$A$35:$C$39,3,9)))</f>
        <v>4</v>
      </c>
      <c r="W862" s="13">
        <v>4</v>
      </c>
      <c r="X862" s="14" t="b">
        <f t="shared" si="354"/>
        <v>1</v>
      </c>
      <c r="Y862" s="17">
        <f>IF($T862=1,$AU862,VLOOKUP(U862,'Cortes naturales'!$A$45:$C$49,3,9))</f>
        <v>4</v>
      </c>
      <c r="Z862" s="14">
        <v>49.053414397229005</v>
      </c>
      <c r="AA862" s="14">
        <v>0.45017391905464221</v>
      </c>
      <c r="AB862" s="14">
        <v>22.08256780221199</v>
      </c>
      <c r="AC862" s="13">
        <v>4</v>
      </c>
      <c r="AD862" s="13">
        <f t="shared" si="355"/>
        <v>0</v>
      </c>
      <c r="AE862" s="14">
        <f t="shared" si="356"/>
        <v>3.7494302509954593</v>
      </c>
      <c r="AF862" s="14">
        <f t="shared" si="357"/>
        <v>-5.9978126927157094E-3</v>
      </c>
      <c r="AG862" s="13">
        <f t="shared" si="358"/>
        <v>1.3711941384700417</v>
      </c>
      <c r="AH862" s="13">
        <f>IF($T862=1,$AU862,VLOOKUP(U862,'Cortes naturales'!$A$25:$C$29,3,9))</f>
        <v>4</v>
      </c>
      <c r="AI862" s="13" t="b">
        <f t="shared" si="359"/>
        <v>1</v>
      </c>
      <c r="AJ862" s="13">
        <f t="shared" si="360"/>
        <v>0</v>
      </c>
      <c r="AK862" s="28">
        <v>0.6523467210059386</v>
      </c>
      <c r="AL862" s="28">
        <v>31.999834036177841</v>
      </c>
      <c r="AM862" s="28">
        <v>0.22965818094613905</v>
      </c>
      <c r="AN862" s="13">
        <v>4</v>
      </c>
      <c r="AO862" s="33">
        <f t="shared" si="361"/>
        <v>0</v>
      </c>
      <c r="AP862" s="13">
        <f t="shared" si="371"/>
        <v>22.965818094613905</v>
      </c>
      <c r="AQ862" s="13">
        <f>IFERROR(VLOOKUP(U862,'Cortes naturales'!$E$15:$G$19,3,9),U862)</f>
        <v>4</v>
      </c>
      <c r="AR862" s="28">
        <f t="shared" si="362"/>
        <v>-0.2081706146440121</v>
      </c>
      <c r="AS862" s="13" t="b">
        <f t="shared" si="363"/>
        <v>1</v>
      </c>
      <c r="AT862" s="13">
        <f t="shared" si="372"/>
        <v>0</v>
      </c>
      <c r="AU862" s="13">
        <v>4</v>
      </c>
      <c r="AV862">
        <f t="shared" si="364"/>
        <v>0</v>
      </c>
      <c r="AW862" s="13">
        <v>0</v>
      </c>
      <c r="AX862" s="13">
        <v>0</v>
      </c>
      <c r="AY862" s="13">
        <v>0</v>
      </c>
      <c r="AZ862" s="13">
        <v>1</v>
      </c>
      <c r="BA862">
        <v>1</v>
      </c>
      <c r="BB862" t="s">
        <v>2840</v>
      </c>
      <c r="BC862">
        <v>6</v>
      </c>
      <c r="BD862" t="s">
        <v>2919</v>
      </c>
      <c r="BE862">
        <v>1</v>
      </c>
      <c r="BF862" s="232" t="s">
        <v>2846</v>
      </c>
      <c r="BG862" s="232" t="s">
        <v>2846</v>
      </c>
      <c r="BH862" s="253">
        <v>64</v>
      </c>
      <c r="BI862" s="253">
        <v>31.243358129649309</v>
      </c>
      <c r="BJ862" s="25">
        <v>42.799400472255016</v>
      </c>
      <c r="BK862" t="s">
        <v>376</v>
      </c>
      <c r="BL862">
        <v>48.045002547965474</v>
      </c>
      <c r="BM862" t="s">
        <v>384</v>
      </c>
      <c r="BN862" s="322">
        <v>45911.613522</v>
      </c>
      <c r="BO862" s="322">
        <v>2543.5977400000002</v>
      </c>
      <c r="BP862" s="10">
        <v>20973</v>
      </c>
      <c r="BQ862" s="254">
        <f t="shared" si="365"/>
        <v>2.1890818443713345</v>
      </c>
      <c r="BR862" s="254">
        <f t="shared" si="366"/>
        <v>0.12127963286129786</v>
      </c>
      <c r="BS862" s="25">
        <v>63.907545844097037</v>
      </c>
      <c r="BT862" s="25">
        <v>91.947461716492626</v>
      </c>
      <c r="BU862" s="25">
        <v>45.264999999999993</v>
      </c>
      <c r="BV862" s="25">
        <v>97.226196461051003</v>
      </c>
      <c r="BW862" s="25">
        <v>43.094190726549542</v>
      </c>
      <c r="BX862" s="25">
        <v>74.586551005410158</v>
      </c>
      <c r="BY862" s="25">
        <v>44.187267991108143</v>
      </c>
      <c r="BZ862">
        <v>14</v>
      </c>
      <c r="CA862">
        <v>0</v>
      </c>
      <c r="CB862">
        <v>7</v>
      </c>
      <c r="CC862">
        <v>92841.495750999995</v>
      </c>
      <c r="CD862" s="10">
        <v>72036.023545000004</v>
      </c>
      <c r="CE862" s="255">
        <v>0.77590330662271889</v>
      </c>
      <c r="CF862" t="str">
        <f>IFERROR(VLOOKUP(CE862,'Rangos amb etnico'!$A$2:$C$6,3,9),"N.D.")</f>
        <v>71% - 100%</v>
      </c>
      <c r="CG862" s="256">
        <v>2.0957994766171127E-3</v>
      </c>
      <c r="CH862" s="232">
        <v>52303.979984999998</v>
      </c>
      <c r="CI862" s="311">
        <f t="shared" si="373"/>
        <v>0.5633685623213005</v>
      </c>
      <c r="CJ862" s="232" t="str">
        <f>IFERROR(VLOOKUP(CI862,'Rangos amb etnico'!$A$2:$C$6,3,9),"N.D.")</f>
        <v>51% - 70%</v>
      </c>
      <c r="CK862" s="311">
        <f t="shared" si="374"/>
        <v>2.0768104500475124E-3</v>
      </c>
      <c r="CL862" s="10">
        <v>0</v>
      </c>
      <c r="CM862" s="255">
        <f t="shared" si="375"/>
        <v>0</v>
      </c>
      <c r="CN862" s="232">
        <f>IFERROR(VLOOKUP(CM862,'Rangos amb etnico'!$A$2:$C$6,3,9),"N.D.")</f>
        <v>0</v>
      </c>
      <c r="CO862" s="311">
        <f t="shared" si="376"/>
        <v>0</v>
      </c>
      <c r="CP862">
        <v>0.9688544836876597</v>
      </c>
      <c r="CQ862" t="s">
        <v>2864</v>
      </c>
      <c r="CR862">
        <f t="shared" si="367"/>
        <v>2</v>
      </c>
      <c r="CS862" t="str">
        <f t="shared" si="377"/>
        <v>No es Candidato</v>
      </c>
      <c r="CT862">
        <v>1</v>
      </c>
      <c r="CU862" t="s">
        <v>2836</v>
      </c>
      <c r="CV862" s="25">
        <v>43.298107147216797</v>
      </c>
      <c r="CW862" s="25">
        <v>22.750772476196289</v>
      </c>
      <c r="CX862" s="25">
        <v>44.256004333496087</v>
      </c>
      <c r="CY862" s="25">
        <v>59.740833282470703</v>
      </c>
      <c r="CZ862" s="25">
        <v>29.43609619140625</v>
      </c>
      <c r="DA862" s="25">
        <v>48.527996063232422</v>
      </c>
      <c r="DB862" s="25">
        <v>55.076942443847663</v>
      </c>
      <c r="DC862">
        <v>775</v>
      </c>
      <c r="DD862" s="253" t="s">
        <v>380</v>
      </c>
    </row>
    <row r="863" spans="1:108" hidden="1">
      <c r="A863" s="13">
        <v>19256</v>
      </c>
      <c r="B863" s="13" t="s">
        <v>2148</v>
      </c>
      <c r="C863" s="13" t="s">
        <v>557</v>
      </c>
      <c r="D863" s="13" t="s">
        <v>558</v>
      </c>
      <c r="E863" s="13" t="s">
        <v>1558</v>
      </c>
      <c r="F863" s="14">
        <v>64.421866666666702</v>
      </c>
      <c r="G863" s="13">
        <v>74.180000000000007</v>
      </c>
      <c r="H863" s="13">
        <v>75.39</v>
      </c>
      <c r="I863" s="13">
        <v>81.53</v>
      </c>
      <c r="J863" s="14">
        <v>40.258889042780282</v>
      </c>
      <c r="K863" s="14">
        <v>49.360807945446965</v>
      </c>
      <c r="L863" s="14">
        <v>49.168986873884492</v>
      </c>
      <c r="M863" s="14">
        <v>52.461599999999997</v>
      </c>
      <c r="N863" s="14">
        <f t="shared" si="351"/>
        <v>73.880466666666678</v>
      </c>
      <c r="O863" s="14">
        <f t="shared" si="352"/>
        <v>47.812570965527932</v>
      </c>
      <c r="P863" s="14">
        <f t="shared" si="368"/>
        <v>60.846518816097301</v>
      </c>
      <c r="Q863" s="14">
        <v>61.893542871887853</v>
      </c>
      <c r="R863" s="17">
        <f t="shared" si="353"/>
        <v>38.106457128112147</v>
      </c>
      <c r="S863" s="14">
        <f t="shared" si="369"/>
        <v>0.44295811415300934</v>
      </c>
      <c r="T863" s="13">
        <v>0</v>
      </c>
      <c r="U863" s="13">
        <f t="shared" si="370"/>
        <v>26.952459227554058</v>
      </c>
      <c r="V863" s="13">
        <f>IF($T863=1,$AU863,(VLOOKUP(U863,'Cortes naturales'!$A$35:$C$39,3,9)))</f>
        <v>4</v>
      </c>
      <c r="W863" s="13">
        <v>4</v>
      </c>
      <c r="X863" s="14" t="b">
        <f t="shared" si="354"/>
        <v>1</v>
      </c>
      <c r="Y863" s="17">
        <f>IF($T863=1,$AU863,VLOOKUP(U863,'Cortes naturales'!$A$45:$C$49,3,9))</f>
        <v>4</v>
      </c>
      <c r="Z863" s="14">
        <v>58.931466710186164</v>
      </c>
      <c r="AA863" s="14">
        <v>0.44954839323950901</v>
      </c>
      <c r="AB863" s="14">
        <v>26.492546170811803</v>
      </c>
      <c r="AC863" s="13">
        <v>4</v>
      </c>
      <c r="AD863" s="13">
        <f t="shared" si="355"/>
        <v>0</v>
      </c>
      <c r="AE863" s="14">
        <f t="shared" si="356"/>
        <v>1.9150521059111369</v>
      </c>
      <c r="AF863" s="14">
        <f t="shared" si="357"/>
        <v>-6.590279086499673E-3</v>
      </c>
      <c r="AG863" s="13">
        <f t="shared" si="358"/>
        <v>0.45991305674225558</v>
      </c>
      <c r="AH863" s="13">
        <f>IF($T863=1,$AU863,VLOOKUP(U863,'Cortes naturales'!$A$25:$C$29,3,9))</f>
        <v>4</v>
      </c>
      <c r="AI863" s="13" t="b">
        <f t="shared" si="359"/>
        <v>1</v>
      </c>
      <c r="AJ863" s="13">
        <f t="shared" si="360"/>
        <v>0</v>
      </c>
      <c r="AK863" s="28">
        <v>0.6523467210059386</v>
      </c>
      <c r="AL863" s="28">
        <v>38.443749072460569</v>
      </c>
      <c r="AM863" s="28">
        <v>0.31026476552333054</v>
      </c>
      <c r="AN863" s="13">
        <v>4</v>
      </c>
      <c r="AO863" s="33">
        <f t="shared" si="361"/>
        <v>0</v>
      </c>
      <c r="AP863" s="13">
        <f t="shared" si="371"/>
        <v>31.026476552333055</v>
      </c>
      <c r="AQ863" s="13">
        <f>IFERROR(VLOOKUP(U863,'Cortes naturales'!$E$15:$G$19,3,9),U863)</f>
        <v>4</v>
      </c>
      <c r="AR863" s="28">
        <f t="shared" si="362"/>
        <v>-0.20938860685292926</v>
      </c>
      <c r="AS863" s="13" t="b">
        <f t="shared" si="363"/>
        <v>1</v>
      </c>
      <c r="AT863" s="13">
        <f t="shared" si="372"/>
        <v>0</v>
      </c>
      <c r="AU863" s="13">
        <v>4</v>
      </c>
      <c r="AV863">
        <f t="shared" si="364"/>
        <v>0</v>
      </c>
      <c r="AW863" s="13">
        <v>0</v>
      </c>
      <c r="AX863" s="13">
        <v>0</v>
      </c>
      <c r="AY863" s="13">
        <v>0</v>
      </c>
      <c r="AZ863" s="13">
        <v>1</v>
      </c>
      <c r="BA863">
        <v>1</v>
      </c>
      <c r="BB863" t="s">
        <v>2841</v>
      </c>
      <c r="BC863">
        <v>6</v>
      </c>
      <c r="BD863" t="s">
        <v>2919</v>
      </c>
      <c r="BE863">
        <v>0</v>
      </c>
      <c r="BF863" s="232" t="s">
        <v>2846</v>
      </c>
      <c r="BG863" s="232" t="s">
        <v>2846</v>
      </c>
      <c r="BH863" s="253">
        <v>46</v>
      </c>
      <c r="BI863" s="253">
        <v>23.404918330779818</v>
      </c>
      <c r="BJ863" s="25">
        <v>0</v>
      </c>
      <c r="BK863" t="s">
        <v>381</v>
      </c>
      <c r="BL863">
        <v>31.144156611821227</v>
      </c>
      <c r="BM863" t="s">
        <v>384</v>
      </c>
      <c r="BN863" s="322">
        <v>93851.575200000007</v>
      </c>
      <c r="BO863" s="322">
        <v>4481.6615359999996</v>
      </c>
      <c r="BP863" s="10">
        <v>57546</v>
      </c>
      <c r="BQ863" s="254">
        <f t="shared" si="365"/>
        <v>1.6308965905536441</v>
      </c>
      <c r="BR863" s="254">
        <f t="shared" si="366"/>
        <v>7.7879636047683581E-2</v>
      </c>
      <c r="BS863" s="25">
        <v>58.679333609791527</v>
      </c>
      <c r="BT863" s="25">
        <v>90.316648488050134</v>
      </c>
      <c r="BU863" s="25">
        <v>42.861577407876467</v>
      </c>
      <c r="BV863" s="25">
        <v>90.850464579468692</v>
      </c>
      <c r="BW863" s="25">
        <v>51.613203479555658</v>
      </c>
      <c r="BX863" s="25">
        <v>70.677006021296705</v>
      </c>
      <c r="BY863" s="25">
        <v>52.46426797014923</v>
      </c>
      <c r="BZ863">
        <v>46</v>
      </c>
      <c r="CA863">
        <v>0</v>
      </c>
      <c r="CB863">
        <v>7</v>
      </c>
      <c r="CC863">
        <v>274148.858825</v>
      </c>
      <c r="CD863" s="10">
        <v>124418.597112</v>
      </c>
      <c r="CE863" s="255">
        <v>0.45383591106400079</v>
      </c>
      <c r="CF863" t="str">
        <f>IFERROR(VLOOKUP(CE863,'Rangos amb etnico'!$A$2:$C$6,3,9),"N.D.")</f>
        <v>31% - 50%</v>
      </c>
      <c r="CG863" s="256">
        <v>3.6198060064472288E-3</v>
      </c>
      <c r="CH863" s="232">
        <v>31721.500263999998</v>
      </c>
      <c r="CI863" s="311">
        <f t="shared" si="373"/>
        <v>0.11570903632412739</v>
      </c>
      <c r="CJ863" s="232" t="str">
        <f>IFERROR(VLOOKUP(CI863,'Rangos amb etnico'!$A$2:$C$6,3,9),"N.D.")</f>
        <v>0,1% - 30%</v>
      </c>
      <c r="CK863" s="311">
        <f t="shared" si="374"/>
        <v>1.2595512475026449E-3</v>
      </c>
      <c r="CL863" s="10">
        <v>0</v>
      </c>
      <c r="CM863" s="255">
        <f t="shared" si="375"/>
        <v>0</v>
      </c>
      <c r="CN863" s="232">
        <f>IFERROR(VLOOKUP(CM863,'Rangos amb etnico'!$A$2:$C$6,3,9),"N.D.")</f>
        <v>0</v>
      </c>
      <c r="CO863" s="311">
        <f t="shared" si="376"/>
        <v>0</v>
      </c>
      <c r="CP863">
        <v>0.9499686577099169</v>
      </c>
      <c r="CQ863" t="s">
        <v>2864</v>
      </c>
      <c r="CR863">
        <f t="shared" si="367"/>
        <v>2</v>
      </c>
      <c r="CS863" t="str">
        <f t="shared" si="377"/>
        <v>No es Candidato</v>
      </c>
      <c r="CT863">
        <v>0</v>
      </c>
      <c r="CU863">
        <v>0</v>
      </c>
      <c r="CV863" s="25">
        <v>53.619331359863281</v>
      </c>
      <c r="CW863" s="25">
        <v>26.145505905151371</v>
      </c>
      <c r="CX863" s="25">
        <v>49.053443908691413</v>
      </c>
      <c r="CY863" s="25">
        <v>79.315017700195313</v>
      </c>
      <c r="CZ863" s="25">
        <v>57.798679351806641</v>
      </c>
      <c r="DA863" s="25">
        <v>56.000614166259773</v>
      </c>
      <c r="DB863" s="25">
        <v>53.402725219726563</v>
      </c>
      <c r="DC863">
        <v>17797</v>
      </c>
      <c r="DD863" s="253" t="s">
        <v>380</v>
      </c>
    </row>
    <row r="864" spans="1:108">
      <c r="A864" s="13">
        <v>5142</v>
      </c>
      <c r="B864" s="13" t="s">
        <v>2149</v>
      </c>
      <c r="C864" s="13" t="s">
        <v>435</v>
      </c>
      <c r="D864" s="13" t="s">
        <v>436</v>
      </c>
      <c r="E864" s="13" t="s">
        <v>2150</v>
      </c>
      <c r="F864" s="14">
        <v>61.208599999999997</v>
      </c>
      <c r="G864" s="13">
        <v>45.01</v>
      </c>
      <c r="H864" s="13">
        <v>40.4</v>
      </c>
      <c r="I864" s="13">
        <v>71.84</v>
      </c>
      <c r="J864" s="14">
        <v>45.887540745077047</v>
      </c>
      <c r="K864" s="14">
        <v>30.052089419719188</v>
      </c>
      <c r="L864" s="14">
        <v>43.154331334329029</v>
      </c>
      <c r="M864" s="14">
        <v>36.501300000000001</v>
      </c>
      <c r="N864" s="14">
        <f t="shared" si="351"/>
        <v>54.614649999999997</v>
      </c>
      <c r="O864" s="14">
        <f t="shared" si="352"/>
        <v>38.898815374781314</v>
      </c>
      <c r="P864" s="14">
        <f t="shared" si="368"/>
        <v>46.756732687390652</v>
      </c>
      <c r="Q864" s="14">
        <v>61.686190508566284</v>
      </c>
      <c r="R864" s="17">
        <f t="shared" si="353"/>
        <v>38.313809491433716</v>
      </c>
      <c r="S864" s="14">
        <f t="shared" si="369"/>
        <v>0.44482428542290342</v>
      </c>
      <c r="T864" s="13">
        <v>0</v>
      </c>
      <c r="U864" s="13">
        <f t="shared" si="370"/>
        <v>20.798530206378256</v>
      </c>
      <c r="V864" s="13">
        <f>IF($T864=1,$AU864,(VLOOKUP(U864,'Cortes naturales'!$A$35:$C$39,3,9)))</f>
        <v>5</v>
      </c>
      <c r="W864" s="13">
        <v>5</v>
      </c>
      <c r="X864" s="14" t="b">
        <f t="shared" si="354"/>
        <v>1</v>
      </c>
      <c r="Y864" s="17">
        <f>IF($T864=1,$AU864,VLOOKUP(U864,'Cortes naturales'!$A$45:$C$49,3,9))</f>
        <v>5</v>
      </c>
      <c r="Z864" s="14">
        <v>47.313864157195994</v>
      </c>
      <c r="AA864" s="14">
        <v>0.45122054960858871</v>
      </c>
      <c r="AB864" s="14">
        <v>21.34898778911608</v>
      </c>
      <c r="AC864" s="13">
        <v>4</v>
      </c>
      <c r="AD864" s="13">
        <f t="shared" si="355"/>
        <v>-1</v>
      </c>
      <c r="AE864" s="14">
        <f t="shared" si="356"/>
        <v>-0.55713146980534134</v>
      </c>
      <c r="AF864" s="14">
        <f t="shared" si="357"/>
        <v>-6.3962641856852853E-3</v>
      </c>
      <c r="AG864" s="13">
        <f t="shared" si="358"/>
        <v>-0.55045758273782397</v>
      </c>
      <c r="AH864" s="13">
        <f>IF($T864=1,$AU864,VLOOKUP(U864,'Cortes naturales'!$A$25:$C$29,3,9))</f>
        <v>4</v>
      </c>
      <c r="AI864" s="13" t="b">
        <f t="shared" si="359"/>
        <v>0</v>
      </c>
      <c r="AJ864" s="13" t="str">
        <f t="shared" si="360"/>
        <v>Cambio en corte</v>
      </c>
      <c r="AK864" s="28">
        <v>0.6523467210059386</v>
      </c>
      <c r="AL864" s="28">
        <v>30.865044141067212</v>
      </c>
      <c r="AM864" s="28">
        <v>0.21546315553960543</v>
      </c>
      <c r="AN864" s="13">
        <v>4</v>
      </c>
      <c r="AO864" s="33">
        <f t="shared" si="361"/>
        <v>-1</v>
      </c>
      <c r="AP864" s="13">
        <f t="shared" si="371"/>
        <v>21.546315553960543</v>
      </c>
      <c r="AQ864" s="13">
        <f>IFERROR(VLOOKUP(U864,'Cortes naturales'!$E$15:$G$19,3,9),U864)</f>
        <v>4</v>
      </c>
      <c r="AR864" s="28">
        <f t="shared" si="362"/>
        <v>-0.20752243558303518</v>
      </c>
      <c r="AS864" s="13" t="b">
        <f t="shared" si="363"/>
        <v>0</v>
      </c>
      <c r="AT864" s="13" t="str">
        <f t="shared" si="372"/>
        <v>Cambio en corte</v>
      </c>
      <c r="AU864" s="13">
        <v>4</v>
      </c>
      <c r="AV864">
        <f t="shared" si="364"/>
        <v>-1</v>
      </c>
      <c r="AW864" s="13">
        <v>0</v>
      </c>
      <c r="AX864" s="13">
        <v>0</v>
      </c>
      <c r="AY864" s="13">
        <v>0</v>
      </c>
      <c r="AZ864" s="13">
        <v>0</v>
      </c>
      <c r="BA864">
        <v>0</v>
      </c>
      <c r="BB864" t="s">
        <v>2840</v>
      </c>
      <c r="BC864">
        <v>6</v>
      </c>
      <c r="BD864" t="s">
        <v>2919</v>
      </c>
      <c r="BE864">
        <v>1</v>
      </c>
      <c r="BF864" s="232" t="s">
        <v>2846</v>
      </c>
      <c r="BG864" s="232" t="s">
        <v>2845</v>
      </c>
      <c r="BH864" s="253">
        <v>35.9</v>
      </c>
      <c r="BI864" s="253">
        <v>12.13653603034134</v>
      </c>
      <c r="BJ864" s="25">
        <v>0.59153846153846168</v>
      </c>
      <c r="BK864" t="s">
        <v>381</v>
      </c>
      <c r="BL864">
        <v>0.2703469897612803</v>
      </c>
      <c r="BM864" t="s">
        <v>383</v>
      </c>
      <c r="BN864" s="322">
        <v>13878.992891</v>
      </c>
      <c r="BO864" s="322">
        <v>2407.8200029999998</v>
      </c>
      <c r="BP864" s="10">
        <v>4538</v>
      </c>
      <c r="BQ864" s="254">
        <f t="shared" si="365"/>
        <v>3.0583942025121198</v>
      </c>
      <c r="BR864" s="254">
        <f t="shared" si="366"/>
        <v>0.53059056919347725</v>
      </c>
      <c r="BS864" s="25">
        <v>56.383013335887263</v>
      </c>
      <c r="BT864" s="25">
        <v>93.095776090788888</v>
      </c>
      <c r="BU864" s="25">
        <v>51.5525678119349</v>
      </c>
      <c r="BV864" s="25">
        <v>88.976664712756062</v>
      </c>
      <c r="BW864" s="25">
        <v>63.271563713071373</v>
      </c>
      <c r="BX864" s="25">
        <v>72.502005487841771</v>
      </c>
      <c r="BY864" s="25">
        <v>65.951219255174664</v>
      </c>
      <c r="BZ864">
        <v>29</v>
      </c>
      <c r="CA864">
        <v>0</v>
      </c>
      <c r="CB864">
        <v>7</v>
      </c>
      <c r="CC864">
        <v>26258.365721999999</v>
      </c>
      <c r="CD864" s="10">
        <v>62.604666000000002</v>
      </c>
      <c r="CE864" s="255">
        <v>2.3841798329264662E-3</v>
      </c>
      <c r="CF864" t="str">
        <f>IFERROR(VLOOKUP(CE864,'Rangos amb etnico'!$A$2:$C$6,3,9),"N.D.")</f>
        <v>0,1% - 30%</v>
      </c>
      <c r="CG864" s="256">
        <v>1.82140573257248E-6</v>
      </c>
      <c r="CH864" s="232">
        <v>0.25353599999999998</v>
      </c>
      <c r="CI864" s="311">
        <f t="shared" si="373"/>
        <v>9.6554371541706558E-6</v>
      </c>
      <c r="CJ864" s="232">
        <f>IFERROR(VLOOKUP(CI864,'Rangos amb etnico'!$A$2:$C$6,3,9),"N.D.")</f>
        <v>0</v>
      </c>
      <c r="CK864" s="311">
        <f t="shared" si="374"/>
        <v>1.0067039151021618E-8</v>
      </c>
      <c r="CL864" s="10">
        <v>0</v>
      </c>
      <c r="CM864" s="255">
        <f t="shared" si="375"/>
        <v>0</v>
      </c>
      <c r="CN864" s="232">
        <f>IFERROR(VLOOKUP(CM864,'Rangos amb etnico'!$A$2:$C$6,3,9),"N.D.")</f>
        <v>0</v>
      </c>
      <c r="CO864" s="311">
        <f t="shared" si="376"/>
        <v>0</v>
      </c>
      <c r="CP864">
        <v>0.8735676564704542</v>
      </c>
      <c r="CQ864" t="s">
        <v>2864</v>
      </c>
      <c r="CR864">
        <f t="shared" si="367"/>
        <v>3</v>
      </c>
      <c r="CS864" t="str">
        <f t="shared" si="377"/>
        <v>Candidato</v>
      </c>
      <c r="CT864">
        <v>0</v>
      </c>
      <c r="CU864">
        <v>0</v>
      </c>
      <c r="CV864" s="25">
        <v>37.690509796142578</v>
      </c>
      <c r="CW864" s="25">
        <v>17.41738128662109</v>
      </c>
      <c r="CX864" s="25">
        <v>52.026660919189453</v>
      </c>
      <c r="CY864" s="25">
        <v>53.190837860107422</v>
      </c>
      <c r="CZ864" s="25">
        <v>31.75469970703125</v>
      </c>
      <c r="DA864" s="25">
        <v>28.908586502075199</v>
      </c>
      <c r="DB864" s="25">
        <v>42.844898223876953</v>
      </c>
      <c r="DC864">
        <v>57</v>
      </c>
      <c r="DD864" s="253" t="s">
        <v>380</v>
      </c>
    </row>
    <row r="865" spans="1:108" hidden="1">
      <c r="A865" s="13">
        <v>50287</v>
      </c>
      <c r="B865" s="13" t="s">
        <v>2151</v>
      </c>
      <c r="C865" s="13" t="s">
        <v>605</v>
      </c>
      <c r="D865" s="13" t="s">
        <v>606</v>
      </c>
      <c r="E865" s="13" t="s">
        <v>2152</v>
      </c>
      <c r="F865" s="14">
        <v>59.814100000000003</v>
      </c>
      <c r="G865" s="13">
        <v>55.45</v>
      </c>
      <c r="H865" s="13">
        <v>46.34</v>
      </c>
      <c r="I865" s="13">
        <v>54.98</v>
      </c>
      <c r="J865" s="14">
        <v>44.792826964937461</v>
      </c>
      <c r="K865" s="14">
        <v>50.557718348493324</v>
      </c>
      <c r="L865" s="14">
        <v>54.410303887085504</v>
      </c>
      <c r="M865" s="14">
        <v>59.9681</v>
      </c>
      <c r="N865" s="14">
        <f t="shared" si="351"/>
        <v>54.146025000000002</v>
      </c>
      <c r="O865" s="14">
        <f t="shared" si="352"/>
        <v>52.432237300129074</v>
      </c>
      <c r="P865" s="14">
        <f t="shared" si="368"/>
        <v>53.289131150064534</v>
      </c>
      <c r="Q865" s="14">
        <v>62.724192993493368</v>
      </c>
      <c r="R865" s="17">
        <f t="shared" si="353"/>
        <v>37.275807006506632</v>
      </c>
      <c r="S865" s="14">
        <f t="shared" si="369"/>
        <v>0.43548226305855975</v>
      </c>
      <c r="T865" s="13">
        <v>0</v>
      </c>
      <c r="U865" s="13">
        <f t="shared" si="370"/>
        <v>23.206471429654496</v>
      </c>
      <c r="V865" s="13">
        <f>IF($T865=1,$AU865,(VLOOKUP(U865,'Cortes naturales'!$A$35:$C$39,3,9)))</f>
        <v>4</v>
      </c>
      <c r="W865" s="13">
        <v>4</v>
      </c>
      <c r="X865" s="14" t="b">
        <f t="shared" si="354"/>
        <v>1</v>
      </c>
      <c r="Y865" s="17">
        <f>IF($T865=1,$AU865,VLOOKUP(U865,'Cortes naturales'!$A$45:$C$49,3,9))</f>
        <v>4</v>
      </c>
      <c r="Z865" s="14">
        <v>52.219847276222026</v>
      </c>
      <c r="AA865" s="14">
        <v>0.44879786810345013</v>
      </c>
      <c r="AB865" s="14">
        <v>23.436156130256201</v>
      </c>
      <c r="AC865" s="13">
        <v>4</v>
      </c>
      <c r="AD865" s="13">
        <f t="shared" si="355"/>
        <v>0</v>
      </c>
      <c r="AE865" s="14">
        <f t="shared" si="356"/>
        <v>1.0692838738425081</v>
      </c>
      <c r="AF865" s="14">
        <f t="shared" si="357"/>
        <v>-1.3315605044890377E-2</v>
      </c>
      <c r="AG865" s="13">
        <f t="shared" si="358"/>
        <v>-0.22968470060170532</v>
      </c>
      <c r="AH865" s="13">
        <f>IF($T865=1,$AU865,VLOOKUP(U865,'Cortes naturales'!$A$25:$C$29,3,9))</f>
        <v>4</v>
      </c>
      <c r="AI865" s="13" t="b">
        <f t="shared" si="359"/>
        <v>1</v>
      </c>
      <c r="AJ865" s="13">
        <f t="shared" si="360"/>
        <v>0</v>
      </c>
      <c r="AK865" s="28">
        <v>0.6523467210059386</v>
      </c>
      <c r="AL865" s="28">
        <v>34.065446142074336</v>
      </c>
      <c r="AM865" s="28">
        <v>0.25549681103050864</v>
      </c>
      <c r="AN865" s="13">
        <v>4</v>
      </c>
      <c r="AO865" s="33">
        <f t="shared" si="361"/>
        <v>0</v>
      </c>
      <c r="AP865" s="13">
        <f t="shared" si="371"/>
        <v>25.549681103050865</v>
      </c>
      <c r="AQ865" s="13">
        <f>IFERROR(VLOOKUP(U865,'Cortes naturales'!$E$15:$G$19,3,9),U865)</f>
        <v>4</v>
      </c>
      <c r="AR865" s="28">
        <f t="shared" si="362"/>
        <v>-0.21686445794737885</v>
      </c>
      <c r="AS865" s="13" t="b">
        <f t="shared" si="363"/>
        <v>1</v>
      </c>
      <c r="AT865" s="13">
        <f t="shared" si="372"/>
        <v>0</v>
      </c>
      <c r="AU865" s="13">
        <v>4</v>
      </c>
      <c r="AV865">
        <f t="shared" si="364"/>
        <v>0</v>
      </c>
      <c r="AW865" s="13">
        <v>0</v>
      </c>
      <c r="AX865" s="13">
        <v>0</v>
      </c>
      <c r="AY865" s="13">
        <v>0</v>
      </c>
      <c r="AZ865" s="13">
        <v>0</v>
      </c>
      <c r="BA865">
        <v>1</v>
      </c>
      <c r="BB865" t="s">
        <v>2840</v>
      </c>
      <c r="BC865">
        <v>6</v>
      </c>
      <c r="BD865" t="s">
        <v>2919</v>
      </c>
      <c r="BE865">
        <v>1</v>
      </c>
      <c r="BF865" s="232" t="s">
        <v>2846</v>
      </c>
      <c r="BG865" s="232" t="s">
        <v>2845</v>
      </c>
      <c r="BH865" s="253">
        <v>32</v>
      </c>
      <c r="BI865" s="253">
        <v>17.683772538141469</v>
      </c>
      <c r="BJ865" s="25">
        <v>16.140714285714289</v>
      </c>
      <c r="BK865" t="s">
        <v>379</v>
      </c>
      <c r="BL865">
        <v>2.14994355713484</v>
      </c>
      <c r="BM865" t="s">
        <v>383</v>
      </c>
      <c r="BN865" s="322">
        <v>31240.264137999999</v>
      </c>
      <c r="BO865" s="322">
        <v>5118.6731820000005</v>
      </c>
      <c r="BP865" s="10">
        <v>12853</v>
      </c>
      <c r="BQ865" s="254">
        <f t="shared" si="365"/>
        <v>2.4305815092196372</v>
      </c>
      <c r="BR865" s="254">
        <f t="shared" si="366"/>
        <v>0.39824734941258855</v>
      </c>
      <c r="BS865" s="25">
        <v>66.847116008413863</v>
      </c>
      <c r="BT865" s="25">
        <v>89.140967028709255</v>
      </c>
      <c r="BU865" s="25">
        <v>47.832926386728857</v>
      </c>
      <c r="BV865" s="25">
        <v>92.533001968424898</v>
      </c>
      <c r="BW865" s="25">
        <v>58.980297834767072</v>
      </c>
      <c r="BX865" s="25">
        <v>74.088502848069226</v>
      </c>
      <c r="BY865" s="25">
        <v>62.610938733079827</v>
      </c>
      <c r="BZ865">
        <v>63</v>
      </c>
      <c r="CA865">
        <v>0</v>
      </c>
      <c r="CB865">
        <v>7</v>
      </c>
      <c r="CC865">
        <v>57008.418333000001</v>
      </c>
      <c r="CD865" s="10">
        <v>1230.276374</v>
      </c>
      <c r="CE865" s="255">
        <v>2.1580608793839134E-2</v>
      </c>
      <c r="CF865" t="str">
        <f>IFERROR(VLOOKUP(CE865,'Rangos amb etnico'!$A$2:$C$6,3,9),"N.D.")</f>
        <v>0,1% - 30%</v>
      </c>
      <c r="CG865" s="256">
        <v>3.5793377449726897E-5</v>
      </c>
      <c r="CH865" s="232">
        <v>0</v>
      </c>
      <c r="CI865" s="311">
        <f t="shared" si="373"/>
        <v>0</v>
      </c>
      <c r="CJ865" s="232">
        <f>IFERROR(VLOOKUP(CI865,'Rangos amb etnico'!$A$2:$C$6,3,9),"N.D.")</f>
        <v>0</v>
      </c>
      <c r="CK865" s="311">
        <f t="shared" si="374"/>
        <v>0</v>
      </c>
      <c r="CL865" s="10">
        <v>0</v>
      </c>
      <c r="CM865" s="255">
        <f t="shared" si="375"/>
        <v>0</v>
      </c>
      <c r="CN865" s="232">
        <f>IFERROR(VLOOKUP(CM865,'Rangos amb etnico'!$A$2:$C$6,3,9),"N.D.")</f>
        <v>0</v>
      </c>
      <c r="CO865" s="311">
        <f t="shared" si="376"/>
        <v>0</v>
      </c>
      <c r="CP865">
        <v>0.82725221853461428</v>
      </c>
      <c r="CQ865" t="s">
        <v>2865</v>
      </c>
      <c r="CR865">
        <f t="shared" si="367"/>
        <v>2</v>
      </c>
      <c r="CS865" t="str">
        <f t="shared" si="377"/>
        <v>No es Candidato</v>
      </c>
      <c r="CT865">
        <v>0</v>
      </c>
      <c r="CU865">
        <v>0</v>
      </c>
      <c r="CV865" s="25">
        <v>43.162498474121087</v>
      </c>
      <c r="CW865" s="25">
        <v>23.63120269775391</v>
      </c>
      <c r="CX865" s="25">
        <v>61.732967376708977</v>
      </c>
      <c r="CY865" s="25">
        <v>45.638034820556641</v>
      </c>
      <c r="CZ865" s="25">
        <v>23.78170204162598</v>
      </c>
      <c r="DA865" s="25">
        <v>52.108665466308587</v>
      </c>
      <c r="DB865" s="25">
        <v>52.082420349121087</v>
      </c>
      <c r="DC865">
        <v>99</v>
      </c>
      <c r="DD865" s="253" t="s">
        <v>380</v>
      </c>
    </row>
    <row r="866" spans="1:108" hidden="1">
      <c r="A866" s="13">
        <v>70771</v>
      </c>
      <c r="B866" s="13" t="s">
        <v>2153</v>
      </c>
      <c r="C866" s="13" t="s">
        <v>494</v>
      </c>
      <c r="D866" s="13" t="s">
        <v>495</v>
      </c>
      <c r="E866" s="13" t="s">
        <v>495</v>
      </c>
      <c r="F866" s="14">
        <v>53.813299999999998</v>
      </c>
      <c r="G866" s="14">
        <v>0</v>
      </c>
      <c r="H866" s="13">
        <v>30.1</v>
      </c>
      <c r="I866" s="13">
        <v>39.590000000000003</v>
      </c>
      <c r="J866" s="14">
        <v>23.310820796998161</v>
      </c>
      <c r="K866" s="14">
        <v>29.056797733347679</v>
      </c>
      <c r="L866" s="14">
        <v>44.211693564128353</v>
      </c>
      <c r="M866" s="14">
        <v>45.920900000000003</v>
      </c>
      <c r="N866" s="14">
        <f t="shared" si="351"/>
        <v>30.875824999999999</v>
      </c>
      <c r="O866" s="14">
        <f t="shared" si="352"/>
        <v>35.625053023618548</v>
      </c>
      <c r="P866" s="14">
        <f t="shared" si="368"/>
        <v>33.250439011809277</v>
      </c>
      <c r="Q866" s="14">
        <v>61.574254566467445</v>
      </c>
      <c r="R866" s="17">
        <f t="shared" si="353"/>
        <v>38.425745433532555</v>
      </c>
      <c r="S866" s="14">
        <f t="shared" si="369"/>
        <v>0.44583170890179302</v>
      </c>
      <c r="T866" s="13">
        <v>0</v>
      </c>
      <c r="U866" s="13">
        <f t="shared" si="370"/>
        <v>14.824100046369777</v>
      </c>
      <c r="V866" s="13">
        <f>IF($T866=1,$AU866,(VLOOKUP(U866,'Cortes naturales'!$A$35:$C$39,3,9)))</f>
        <v>5</v>
      </c>
      <c r="W866" s="13">
        <v>5</v>
      </c>
      <c r="X866" s="14" t="b">
        <f t="shared" si="354"/>
        <v>1</v>
      </c>
      <c r="Y866" s="17">
        <f>IF($T866=1,$AU866,VLOOKUP(U866,'Cortes naturales'!$A$45:$C$49,3,9))</f>
        <v>5</v>
      </c>
      <c r="Z866" s="14">
        <v>37.808458790672766</v>
      </c>
      <c r="AA866" s="14">
        <v>0.44969725674922056</v>
      </c>
      <c r="AB866" s="14">
        <v>17.002360200081498</v>
      </c>
      <c r="AC866" s="13">
        <v>5</v>
      </c>
      <c r="AD866" s="13">
        <f t="shared" si="355"/>
        <v>0</v>
      </c>
      <c r="AE866" s="14">
        <f t="shared" si="356"/>
        <v>-4.5580197788634891</v>
      </c>
      <c r="AF866" s="14">
        <f t="shared" si="357"/>
        <v>-3.8655478474275418E-3</v>
      </c>
      <c r="AG866" s="13">
        <f t="shared" si="358"/>
        <v>-2.1782601537117205</v>
      </c>
      <c r="AH866" s="13">
        <f>IF($T866=1,$AU866,VLOOKUP(U866,'Cortes naturales'!$A$25:$C$29,3,9))</f>
        <v>5</v>
      </c>
      <c r="AI866" s="13" t="b">
        <f t="shared" si="359"/>
        <v>1</v>
      </c>
      <c r="AJ866" s="13">
        <f t="shared" si="360"/>
        <v>0</v>
      </c>
      <c r="AK866" s="28">
        <v>0.6523467210059386</v>
      </c>
      <c r="AL866" s="28">
        <v>24.664224118383533</v>
      </c>
      <c r="AM866" s="28">
        <v>0.13789743333624024</v>
      </c>
      <c r="AN866" s="13">
        <v>5</v>
      </c>
      <c r="AO866" s="33">
        <f t="shared" si="361"/>
        <v>0</v>
      </c>
      <c r="AP866" s="13">
        <f t="shared" si="371"/>
        <v>13.789743333624024</v>
      </c>
      <c r="AQ866" s="13">
        <f>IFERROR(VLOOKUP(U866,'Cortes naturales'!$E$15:$G$19,3,9),U866)</f>
        <v>5</v>
      </c>
      <c r="AR866" s="28">
        <f t="shared" si="362"/>
        <v>-0.20651501210414558</v>
      </c>
      <c r="AS866" s="13" t="b">
        <f t="shared" si="363"/>
        <v>1</v>
      </c>
      <c r="AT866" s="13">
        <f t="shared" si="372"/>
        <v>0</v>
      </c>
      <c r="AU866" s="13">
        <v>5</v>
      </c>
      <c r="AV866">
        <f t="shared" si="364"/>
        <v>0</v>
      </c>
      <c r="AW866" s="13">
        <v>0</v>
      </c>
      <c r="AX866" s="13">
        <v>0</v>
      </c>
      <c r="AY866" s="13">
        <v>0</v>
      </c>
      <c r="AZ866" s="13">
        <v>0</v>
      </c>
      <c r="BA866">
        <v>0</v>
      </c>
      <c r="BB866" t="s">
        <v>2841</v>
      </c>
      <c r="BC866">
        <v>6</v>
      </c>
      <c r="BD866" t="s">
        <v>2919</v>
      </c>
      <c r="BE866">
        <v>0</v>
      </c>
      <c r="BF866" s="232" t="s">
        <v>2846</v>
      </c>
      <c r="BG866" s="232" t="s">
        <v>2846</v>
      </c>
      <c r="BH866" s="253">
        <v>63.4</v>
      </c>
      <c r="BI866" s="253">
        <v>48.304200909432232</v>
      </c>
      <c r="BJ866" s="25">
        <v>17.708333333333332</v>
      </c>
      <c r="BK866" t="s">
        <v>379</v>
      </c>
      <c r="BL866">
        <v>1.8088180417744459</v>
      </c>
      <c r="BM866" t="s">
        <v>383</v>
      </c>
      <c r="BN866" s="322">
        <v>53370.142455000001</v>
      </c>
      <c r="BO866" s="322">
        <v>1908.8056260000001</v>
      </c>
      <c r="BP866" s="10">
        <v>33442</v>
      </c>
      <c r="BQ866" s="254">
        <f t="shared" si="365"/>
        <v>1.59590163432211</v>
      </c>
      <c r="BR866" s="254">
        <f t="shared" si="366"/>
        <v>5.7078094192931049E-2</v>
      </c>
      <c r="BS866" s="25">
        <v>49.919751022292623</v>
      </c>
      <c r="BT866" s="25">
        <v>83.366373693359648</v>
      </c>
      <c r="BU866" s="25">
        <v>18.1504203323558</v>
      </c>
      <c r="BV866" s="25">
        <v>98.202021160999394</v>
      </c>
      <c r="BW866" s="25">
        <v>32.279627875502882</v>
      </c>
      <c r="BX866" s="25">
        <v>62.40964155225187</v>
      </c>
      <c r="BY866" s="25">
        <v>31.824422266424829</v>
      </c>
      <c r="BZ866">
        <v>64</v>
      </c>
      <c r="CA866">
        <v>0</v>
      </c>
      <c r="CB866">
        <v>7</v>
      </c>
      <c r="CC866">
        <v>113033.009723</v>
      </c>
      <c r="CD866" s="10">
        <v>4570.4359009999998</v>
      </c>
      <c r="CE866" s="255">
        <v>4.0434523615715118E-2</v>
      </c>
      <c r="CF866" t="str">
        <f>IFERROR(VLOOKUP(CE866,'Rangos amb etnico'!$A$2:$C$6,3,9),"N.D.")</f>
        <v>0,1% - 30%</v>
      </c>
      <c r="CG866" s="256">
        <v>1.3297120937337908E-4</v>
      </c>
      <c r="CH866" s="232">
        <v>0</v>
      </c>
      <c r="CI866" s="311">
        <f t="shared" si="373"/>
        <v>0</v>
      </c>
      <c r="CJ866" s="232">
        <f>IFERROR(VLOOKUP(CI866,'Rangos amb etnico'!$A$2:$C$6,3,9),"N.D.")</f>
        <v>0</v>
      </c>
      <c r="CK866" s="311">
        <f t="shared" si="374"/>
        <v>0</v>
      </c>
      <c r="CL866" s="10">
        <v>0</v>
      </c>
      <c r="CM866" s="255">
        <f t="shared" si="375"/>
        <v>0</v>
      </c>
      <c r="CN866" s="232">
        <f>IFERROR(VLOOKUP(CM866,'Rangos amb etnico'!$A$2:$C$6,3,9),"N.D.")</f>
        <v>0</v>
      </c>
      <c r="CO866" s="311">
        <f t="shared" si="376"/>
        <v>0</v>
      </c>
      <c r="CP866">
        <v>0.89437438083348142</v>
      </c>
      <c r="CQ866" t="s">
        <v>2864</v>
      </c>
      <c r="CR866">
        <f t="shared" si="367"/>
        <v>1</v>
      </c>
      <c r="CS866" t="str">
        <f t="shared" si="377"/>
        <v>No es Candidato</v>
      </c>
      <c r="CT866">
        <v>0</v>
      </c>
      <c r="CU866">
        <v>0</v>
      </c>
      <c r="CV866" s="25">
        <v>42.479267120361328</v>
      </c>
      <c r="CW866" s="25">
        <v>11.12667655944824</v>
      </c>
      <c r="CX866" s="25">
        <v>49.119365692138672</v>
      </c>
      <c r="CY866" s="25">
        <v>42.526020050048828</v>
      </c>
      <c r="CZ866" s="25">
        <v>2.74570631980896</v>
      </c>
      <c r="DA866" s="25">
        <v>97.376968383789063</v>
      </c>
      <c r="DB866" s="25">
        <v>51.980865478515618</v>
      </c>
      <c r="DC866">
        <v>1337</v>
      </c>
      <c r="DD866" s="253" t="s">
        <v>380</v>
      </c>
    </row>
    <row r="867" spans="1:108" hidden="1">
      <c r="A867" s="13">
        <v>13268</v>
      </c>
      <c r="B867" s="13" t="s">
        <v>2154</v>
      </c>
      <c r="C867" s="13" t="s">
        <v>480</v>
      </c>
      <c r="D867" s="13" t="s">
        <v>481</v>
      </c>
      <c r="E867" s="13" t="s">
        <v>1722</v>
      </c>
      <c r="F867" s="14">
        <v>51.552799999999998</v>
      </c>
      <c r="G867" s="13">
        <v>37.47</v>
      </c>
      <c r="H867" s="13">
        <v>40.82</v>
      </c>
      <c r="I867" s="13">
        <v>51.11</v>
      </c>
      <c r="J867" s="14">
        <v>54.055939872786638</v>
      </c>
      <c r="K867" s="14">
        <v>52.019456490861984</v>
      </c>
      <c r="L867" s="14">
        <v>43.581788927786384</v>
      </c>
      <c r="M867" s="14">
        <v>52.9863</v>
      </c>
      <c r="N867" s="14">
        <f t="shared" si="351"/>
        <v>45.238199999999992</v>
      </c>
      <c r="O867" s="14">
        <f t="shared" si="352"/>
        <v>50.660871322858753</v>
      </c>
      <c r="P867" s="14">
        <f t="shared" si="368"/>
        <v>47.949535661429373</v>
      </c>
      <c r="Q867" s="14">
        <v>61.853986085481694</v>
      </c>
      <c r="R867" s="17">
        <f t="shared" si="353"/>
        <v>38.146013914518306</v>
      </c>
      <c r="S867" s="14">
        <f t="shared" si="369"/>
        <v>0.44331412523066482</v>
      </c>
      <c r="T867" s="13">
        <v>0</v>
      </c>
      <c r="U867" s="13">
        <f t="shared" si="370"/>
        <v>21.25670645696313</v>
      </c>
      <c r="V867" s="13">
        <f>IF($T867=1,$AU867,(VLOOKUP(U867,'Cortes naturales'!$A$35:$C$39,3,9)))</f>
        <v>5</v>
      </c>
      <c r="W867" s="13">
        <v>5</v>
      </c>
      <c r="X867" s="14" t="b">
        <f t="shared" si="354"/>
        <v>1</v>
      </c>
      <c r="Y867" s="17">
        <f>IF($T867=1,$AU867,VLOOKUP(U867,'Cortes naturales'!$A$45:$C$49,3,9))</f>
        <v>4</v>
      </c>
      <c r="Z867" s="14">
        <v>47.430972999147073</v>
      </c>
      <c r="AA867" s="14">
        <v>0.44908644265072117</v>
      </c>
      <c r="AB867" s="14">
        <v>21.300606935649366</v>
      </c>
      <c r="AC867" s="13">
        <v>4</v>
      </c>
      <c r="AD867" s="13">
        <f t="shared" si="355"/>
        <v>0</v>
      </c>
      <c r="AE867" s="14">
        <f t="shared" si="356"/>
        <v>0.51856266228229941</v>
      </c>
      <c r="AF867" s="14">
        <f t="shared" si="357"/>
        <v>-5.7723174200563498E-3</v>
      </c>
      <c r="AG867" s="13">
        <f t="shared" si="358"/>
        <v>-4.3900478686236255E-2</v>
      </c>
      <c r="AH867" s="13">
        <f>IF($T867=1,$AU867,VLOOKUP(U867,'Cortes naturales'!$A$25:$C$29,3,9))</f>
        <v>4</v>
      </c>
      <c r="AI867" s="13" t="b">
        <f t="shared" si="359"/>
        <v>1</v>
      </c>
      <c r="AJ867" s="13">
        <f t="shared" si="360"/>
        <v>0</v>
      </c>
      <c r="AK867" s="28">
        <v>0.6523467210059386</v>
      </c>
      <c r="AL867" s="28">
        <v>30.941439710114803</v>
      </c>
      <c r="AM867" s="28">
        <v>0.21641878357987049</v>
      </c>
      <c r="AN867" s="13">
        <v>4</v>
      </c>
      <c r="AO867" s="33">
        <f t="shared" si="361"/>
        <v>0</v>
      </c>
      <c r="AP867" s="13">
        <f t="shared" si="371"/>
        <v>21.64187835798705</v>
      </c>
      <c r="AQ867" s="13">
        <f>IFERROR(VLOOKUP(U867,'Cortes naturales'!$E$15:$G$19,3,9),U867)</f>
        <v>4</v>
      </c>
      <c r="AR867" s="28">
        <f t="shared" si="362"/>
        <v>-0.20903259577527378</v>
      </c>
      <c r="AS867" s="13" t="b">
        <f t="shared" si="363"/>
        <v>1</v>
      </c>
      <c r="AT867" s="13">
        <f t="shared" si="372"/>
        <v>0</v>
      </c>
      <c r="AU867" s="13">
        <v>4</v>
      </c>
      <c r="AV867">
        <f t="shared" si="364"/>
        <v>0</v>
      </c>
      <c r="AW867" s="13">
        <v>0</v>
      </c>
      <c r="AX867" s="13">
        <v>0</v>
      </c>
      <c r="AY867" s="13">
        <v>0</v>
      </c>
      <c r="AZ867" s="13">
        <v>0</v>
      </c>
      <c r="BA867">
        <v>0</v>
      </c>
      <c r="BB867" t="s">
        <v>2840</v>
      </c>
      <c r="BC867">
        <v>6</v>
      </c>
      <c r="BD867" t="s">
        <v>2919</v>
      </c>
      <c r="BE867">
        <v>0</v>
      </c>
      <c r="BF867" s="232" t="s">
        <v>2846</v>
      </c>
      <c r="BG867" s="232" t="s">
        <v>2845</v>
      </c>
      <c r="BH867" s="253">
        <v>67.7</v>
      </c>
      <c r="BI867" s="253">
        <v>47.871163948023224</v>
      </c>
      <c r="BJ867" s="25">
        <v>8.75</v>
      </c>
      <c r="BK867" t="s">
        <v>377</v>
      </c>
      <c r="BL867">
        <v>9.163622531362535E-2</v>
      </c>
      <c r="BM867" t="s">
        <v>377</v>
      </c>
      <c r="BN867" s="322">
        <v>24254.468507000001</v>
      </c>
      <c r="BO867" s="322">
        <v>938.95344399999999</v>
      </c>
      <c r="BP867" s="10">
        <v>8018</v>
      </c>
      <c r="BQ867" s="254">
        <f t="shared" si="365"/>
        <v>3.0250023081815915</v>
      </c>
      <c r="BR867" s="254">
        <f t="shared" si="366"/>
        <v>0.11710569269144425</v>
      </c>
      <c r="BS867" s="25">
        <v>59.029358432019002</v>
      </c>
      <c r="BT867" s="25">
        <v>88.975731272969156</v>
      </c>
      <c r="BU867" s="25">
        <v>30.06617981520964</v>
      </c>
      <c r="BV867" s="25">
        <v>96.20162804424713</v>
      </c>
      <c r="BW867" s="25">
        <v>32.931191341900302</v>
      </c>
      <c r="BX867" s="25">
        <v>68.568224391111229</v>
      </c>
      <c r="BY867" s="25">
        <v>32.810878932564179</v>
      </c>
      <c r="BZ867">
        <v>92</v>
      </c>
      <c r="CA867">
        <v>0</v>
      </c>
      <c r="CB867">
        <v>7</v>
      </c>
      <c r="CC867">
        <v>31855.216778999998</v>
      </c>
      <c r="CD867" s="10">
        <v>8426.8702090000006</v>
      </c>
      <c r="CE867" s="255">
        <v>0.26453658336286284</v>
      </c>
      <c r="CF867" t="str">
        <f>IFERROR(VLOOKUP(CE867,'Rangos amb etnico'!$A$2:$C$6,3,9),"N.D.")</f>
        <v>0,1% - 30%</v>
      </c>
      <c r="CG867" s="256">
        <v>2.451694208594109E-4</v>
      </c>
      <c r="CH867" s="232">
        <v>0</v>
      </c>
      <c r="CI867" s="311">
        <f t="shared" si="373"/>
        <v>0</v>
      </c>
      <c r="CJ867" s="232">
        <f>IFERROR(VLOOKUP(CI867,'Rangos amb etnico'!$A$2:$C$6,3,9),"N.D.")</f>
        <v>0</v>
      </c>
      <c r="CK867" s="311">
        <f t="shared" si="374"/>
        <v>0</v>
      </c>
      <c r="CL867" s="10">
        <v>0</v>
      </c>
      <c r="CM867" s="255">
        <f t="shared" si="375"/>
        <v>0</v>
      </c>
      <c r="CN867" s="232">
        <f>IFERROR(VLOOKUP(CM867,'Rangos amb etnico'!$A$2:$C$6,3,9),"N.D.")</f>
        <v>0</v>
      </c>
      <c r="CO867" s="311">
        <f t="shared" si="376"/>
        <v>0</v>
      </c>
      <c r="CP867">
        <v>0.77403816531022551</v>
      </c>
      <c r="CQ867" t="s">
        <v>2865</v>
      </c>
      <c r="CR867">
        <f t="shared" si="367"/>
        <v>1</v>
      </c>
      <c r="CS867" t="str">
        <f t="shared" si="377"/>
        <v>No es Candidato</v>
      </c>
      <c r="CT867">
        <v>0</v>
      </c>
      <c r="CU867">
        <v>0</v>
      </c>
      <c r="CV867" s="25">
        <v>46.267860412597663</v>
      </c>
      <c r="CW867" s="25">
        <v>14.26566791534424</v>
      </c>
      <c r="CX867" s="25">
        <v>43.966972351074219</v>
      </c>
      <c r="CY867" s="25">
        <v>43.915634155273438</v>
      </c>
      <c r="CZ867" s="25">
        <v>22.614181518554691</v>
      </c>
      <c r="DA867" s="25">
        <v>89.456710815429688</v>
      </c>
      <c r="DB867" s="25">
        <v>63.38800048828125</v>
      </c>
      <c r="DC867">
        <v>345</v>
      </c>
      <c r="DD867" s="253" t="s">
        <v>380</v>
      </c>
    </row>
    <row r="868" spans="1:108" hidden="1">
      <c r="A868" s="13">
        <v>20045</v>
      </c>
      <c r="B868" s="13" t="s">
        <v>2155</v>
      </c>
      <c r="C868" s="13" t="s">
        <v>893</v>
      </c>
      <c r="D868" s="13" t="s">
        <v>894</v>
      </c>
      <c r="E868" s="13" t="s">
        <v>2156</v>
      </c>
      <c r="F868" s="14">
        <v>71.402799999999999</v>
      </c>
      <c r="G868" s="13">
        <v>70.33</v>
      </c>
      <c r="H868" s="13">
        <v>73</v>
      </c>
      <c r="I868" s="13">
        <v>75.67</v>
      </c>
      <c r="J868" s="14">
        <v>60.31652606159696</v>
      </c>
      <c r="K868" s="14">
        <v>70.565960199874581</v>
      </c>
      <c r="L868" s="14">
        <v>68.444318827794575</v>
      </c>
      <c r="M868" s="14">
        <v>73.296099999999996</v>
      </c>
      <c r="N868" s="14">
        <f t="shared" si="351"/>
        <v>72.600700000000003</v>
      </c>
      <c r="O868" s="14">
        <f t="shared" si="352"/>
        <v>68.155726272316528</v>
      </c>
      <c r="P868" s="14">
        <f t="shared" si="368"/>
        <v>70.378213136158266</v>
      </c>
      <c r="Q868" s="14">
        <v>61.198384685306749</v>
      </c>
      <c r="R868" s="17">
        <f t="shared" si="353"/>
        <v>38.801615314693251</v>
      </c>
      <c r="S868" s="14">
        <f t="shared" si="369"/>
        <v>0.4492145378322393</v>
      </c>
      <c r="T868" s="13">
        <v>0</v>
      </c>
      <c r="U868" s="13">
        <f t="shared" si="370"/>
        <v>31.614916487418167</v>
      </c>
      <c r="V868" s="13">
        <f>IF($T868=1,$AU868,(VLOOKUP(U868,'Cortes naturales'!$A$35:$C$39,3,9)))</f>
        <v>3</v>
      </c>
      <c r="W868" s="13">
        <v>3</v>
      </c>
      <c r="X868" s="14" t="b">
        <f t="shared" si="354"/>
        <v>1</v>
      </c>
      <c r="Y868" s="17">
        <f>IF($T868=1,$AU868,VLOOKUP(U868,'Cortes naturales'!$A$45:$C$49,3,9))</f>
        <v>3</v>
      </c>
      <c r="Z868" s="14">
        <v>67.4378800813802</v>
      </c>
      <c r="AA868" s="14">
        <v>0.44974702341747463</v>
      </c>
      <c r="AB868" s="14">
        <v>30.329985832185347</v>
      </c>
      <c r="AC868" s="13">
        <v>3</v>
      </c>
      <c r="AD868" s="13">
        <f t="shared" si="355"/>
        <v>0</v>
      </c>
      <c r="AE868" s="14">
        <f t="shared" si="356"/>
        <v>2.9403330547780655</v>
      </c>
      <c r="AF868" s="14">
        <f t="shared" si="357"/>
        <v>-5.3248558523533163E-4</v>
      </c>
      <c r="AG868" s="13">
        <f t="shared" si="358"/>
        <v>1.2849306552328201</v>
      </c>
      <c r="AH868" s="13">
        <f>IF($T868=1,$AU868,VLOOKUP(U868,'Cortes naturales'!$A$25:$C$29,3,9))</f>
        <v>3</v>
      </c>
      <c r="AI868" s="13" t="b">
        <f t="shared" si="359"/>
        <v>1</v>
      </c>
      <c r="AJ868" s="13">
        <f t="shared" si="360"/>
        <v>0</v>
      </c>
      <c r="AK868" s="28">
        <v>0.6523467210059386</v>
      </c>
      <c r="AL868" s="28">
        <v>43.992879942680077</v>
      </c>
      <c r="AM868" s="28">
        <v>0.37967854337448648</v>
      </c>
      <c r="AN868" s="13">
        <v>3</v>
      </c>
      <c r="AO868" s="33">
        <f t="shared" si="361"/>
        <v>0</v>
      </c>
      <c r="AP868" s="13">
        <f t="shared" si="371"/>
        <v>37.967854337448649</v>
      </c>
      <c r="AQ868" s="13">
        <f>IFERROR(VLOOKUP(U868,'Cortes naturales'!$E$15:$G$19,3,9),U868)</f>
        <v>4</v>
      </c>
      <c r="AR868" s="28">
        <f t="shared" si="362"/>
        <v>-0.2031321831736993</v>
      </c>
      <c r="AS868" s="13" t="b">
        <f t="shared" si="363"/>
        <v>0</v>
      </c>
      <c r="AT868" s="13">
        <f t="shared" si="372"/>
        <v>0</v>
      </c>
      <c r="AU868" s="13">
        <v>3</v>
      </c>
      <c r="AV868">
        <f t="shared" si="364"/>
        <v>0</v>
      </c>
      <c r="AW868" s="13">
        <v>0</v>
      </c>
      <c r="AX868" s="13">
        <v>0</v>
      </c>
      <c r="AY868" s="13">
        <v>0</v>
      </c>
      <c r="AZ868" s="13">
        <v>1</v>
      </c>
      <c r="BA868">
        <v>1</v>
      </c>
      <c r="BB868" t="s">
        <v>2840</v>
      </c>
      <c r="BC868">
        <v>6</v>
      </c>
      <c r="BD868" t="s">
        <v>2919</v>
      </c>
      <c r="BE868">
        <v>0</v>
      </c>
      <c r="BF868" s="232" t="s">
        <v>2846</v>
      </c>
      <c r="BG868" s="232" t="s">
        <v>2845</v>
      </c>
      <c r="BH868" s="253">
        <v>48.6</v>
      </c>
      <c r="BI868" s="253">
        <v>35.523102471427173</v>
      </c>
      <c r="BJ868" s="25">
        <v>35.365915865852195</v>
      </c>
      <c r="BK868" t="s">
        <v>376</v>
      </c>
      <c r="BL868">
        <v>1.1629394296925497</v>
      </c>
      <c r="BM868" t="s">
        <v>383</v>
      </c>
      <c r="BN868" s="322">
        <v>67090.241125</v>
      </c>
      <c r="BO868" s="322">
        <v>23185.167393</v>
      </c>
      <c r="BP868" s="10">
        <v>26931</v>
      </c>
      <c r="BQ868" s="254">
        <f t="shared" si="365"/>
        <v>2.4911901201217925</v>
      </c>
      <c r="BR868" s="254">
        <f t="shared" si="366"/>
        <v>0.86091000679514318</v>
      </c>
      <c r="BS868" s="25">
        <v>67.679676148805541</v>
      </c>
      <c r="BT868" s="25">
        <v>90.62097185360409</v>
      </c>
      <c r="BU868" s="25">
        <v>40.433889187735332</v>
      </c>
      <c r="BV868" s="25">
        <v>91.330405970496997</v>
      </c>
      <c r="BW868" s="25">
        <v>59.128715380026577</v>
      </c>
      <c r="BX868" s="25">
        <v>72.516235790160493</v>
      </c>
      <c r="BY868" s="25">
        <v>60.569163621276921</v>
      </c>
      <c r="BZ868">
        <v>47</v>
      </c>
      <c r="CA868">
        <v>0</v>
      </c>
      <c r="CB868">
        <v>7</v>
      </c>
      <c r="CC868">
        <v>122438.407701</v>
      </c>
      <c r="CD868" s="10">
        <v>37056.975326</v>
      </c>
      <c r="CE868" s="255">
        <v>0.30265809578718772</v>
      </c>
      <c r="CF868" t="str">
        <f>IFERROR(VLOOKUP(CE868,'Rangos amb etnico'!$A$2:$C$6,3,9),"N.D.")</f>
        <v>0,1% - 30%</v>
      </c>
      <c r="CG868" s="256">
        <v>1.0781271046246511E-3</v>
      </c>
      <c r="CH868" s="232">
        <v>31654.585573</v>
      </c>
      <c r="CI868" s="311">
        <f t="shared" si="373"/>
        <v>0.25853476999065439</v>
      </c>
      <c r="CJ868" s="232" t="str">
        <f>IFERROR(VLOOKUP(CI868,'Rangos amb etnico'!$A$2:$C$6,3,9),"N.D.")</f>
        <v>0,1% - 30%</v>
      </c>
      <c r="CK868" s="311">
        <f t="shared" si="374"/>
        <v>1.2568942961660478E-3</v>
      </c>
      <c r="CL868" s="10">
        <v>0</v>
      </c>
      <c r="CM868" s="255">
        <f t="shared" si="375"/>
        <v>0</v>
      </c>
      <c r="CN868" s="232">
        <f>IFERROR(VLOOKUP(CM868,'Rangos amb etnico'!$A$2:$C$6,3,9),"N.D.")</f>
        <v>0</v>
      </c>
      <c r="CO868" s="311">
        <f t="shared" si="376"/>
        <v>0</v>
      </c>
      <c r="CP868">
        <v>0.73966642604710242</v>
      </c>
      <c r="CQ868" t="s">
        <v>2866</v>
      </c>
      <c r="CR868">
        <f t="shared" si="367"/>
        <v>3</v>
      </c>
      <c r="CS868" t="str">
        <f t="shared" si="377"/>
        <v>Candidato</v>
      </c>
      <c r="CT868">
        <v>1</v>
      </c>
      <c r="CU868" t="s">
        <v>2836</v>
      </c>
      <c r="CV868" s="25">
        <v>45.592037200927727</v>
      </c>
      <c r="CW868" s="25">
        <v>33.443283081054688</v>
      </c>
      <c r="CX868" s="25">
        <v>53.673336029052727</v>
      </c>
      <c r="CY868" s="25">
        <v>45.358283996582031</v>
      </c>
      <c r="CZ868" s="25">
        <v>29.042068481445309</v>
      </c>
      <c r="DA868" s="25">
        <v>51.675861358642578</v>
      </c>
      <c r="DB868" s="25">
        <v>60.359382629394531</v>
      </c>
      <c r="DC868">
        <v>6149</v>
      </c>
      <c r="DD868" s="253" t="s">
        <v>380</v>
      </c>
    </row>
    <row r="869" spans="1:108">
      <c r="A869" s="13">
        <v>5885</v>
      </c>
      <c r="B869" s="13" t="s">
        <v>2157</v>
      </c>
      <c r="C869" s="13" t="s">
        <v>435</v>
      </c>
      <c r="D869" s="13" t="s">
        <v>436</v>
      </c>
      <c r="E869" s="13" t="s">
        <v>2158</v>
      </c>
      <c r="F869" s="14">
        <v>73.038333333333298</v>
      </c>
      <c r="G869" s="13">
        <v>68.05</v>
      </c>
      <c r="H869" s="13">
        <v>61.62</v>
      </c>
      <c r="I869" s="13">
        <v>40.92</v>
      </c>
      <c r="J869" s="14">
        <v>45.532463026102377</v>
      </c>
      <c r="K869" s="14">
        <v>48.457477056984025</v>
      </c>
      <c r="L869" s="14">
        <v>60.752942827716168</v>
      </c>
      <c r="M869" s="14">
        <v>51.849899999999998</v>
      </c>
      <c r="N869" s="14">
        <f t="shared" si="351"/>
        <v>60.907083333333333</v>
      </c>
      <c r="O869" s="14">
        <f t="shared" si="352"/>
        <v>51.648195727700639</v>
      </c>
      <c r="P869" s="14">
        <f t="shared" si="368"/>
        <v>56.277639530516986</v>
      </c>
      <c r="Q869" s="14">
        <v>61.665870518255595</v>
      </c>
      <c r="R869" s="17">
        <f t="shared" si="353"/>
        <v>38.334129481744405</v>
      </c>
      <c r="S869" s="14">
        <f t="shared" si="369"/>
        <v>0.44500716533569962</v>
      </c>
      <c r="T869" s="13">
        <v>0</v>
      </c>
      <c r="U869" s="13">
        <f t="shared" si="370"/>
        <v>25.043952839259678</v>
      </c>
      <c r="V869" s="13">
        <f>IF($T869=1,$AU869,(VLOOKUP(U869,'Cortes naturales'!$A$35:$C$39,3,9)))</f>
        <v>4</v>
      </c>
      <c r="W869" s="13">
        <v>4</v>
      </c>
      <c r="X869" s="14" t="b">
        <f t="shared" si="354"/>
        <v>1</v>
      </c>
      <c r="Y869" s="17">
        <f>IF($T869=1,$AU869,VLOOKUP(U869,'Cortes naturales'!$A$45:$C$49,3,9))</f>
        <v>4</v>
      </c>
      <c r="Z869" s="14">
        <v>59.837570041821387</v>
      </c>
      <c r="AA869" s="14">
        <v>0.45145939311078376</v>
      </c>
      <c r="AB869" s="14">
        <v>27.0142330563047</v>
      </c>
      <c r="AC869" s="13">
        <v>4</v>
      </c>
      <c r="AD869" s="13">
        <f t="shared" si="355"/>
        <v>0</v>
      </c>
      <c r="AE869" s="14">
        <f t="shared" si="356"/>
        <v>-3.5599305113044011</v>
      </c>
      <c r="AF869" s="14">
        <f t="shared" si="357"/>
        <v>-6.4522277750841406E-3</v>
      </c>
      <c r="AG869" s="13">
        <f t="shared" si="358"/>
        <v>-1.9702802170450227</v>
      </c>
      <c r="AH869" s="13">
        <f>IF($T869=1,$AU869,VLOOKUP(U869,'Cortes naturales'!$A$25:$C$29,3,9))</f>
        <v>4</v>
      </c>
      <c r="AI869" s="13" t="b">
        <f t="shared" si="359"/>
        <v>1</v>
      </c>
      <c r="AJ869" s="13">
        <f t="shared" si="360"/>
        <v>0</v>
      </c>
      <c r="AK869" s="28">
        <v>0.6523467210059386</v>
      </c>
      <c r="AL869" s="28">
        <v>39.034842609745368</v>
      </c>
      <c r="AM869" s="28">
        <v>0.31765872260344497</v>
      </c>
      <c r="AN869" s="13">
        <v>4</v>
      </c>
      <c r="AO869" s="33">
        <f t="shared" si="361"/>
        <v>0</v>
      </c>
      <c r="AP869" s="13">
        <f t="shared" si="371"/>
        <v>31.765872260344498</v>
      </c>
      <c r="AQ869" s="13">
        <f>IFERROR(VLOOKUP(U869,'Cortes naturales'!$E$15:$G$19,3,9),U869)</f>
        <v>4</v>
      </c>
      <c r="AR869" s="28">
        <f t="shared" si="362"/>
        <v>-0.20733955567023898</v>
      </c>
      <c r="AS869" s="13" t="b">
        <f t="shared" si="363"/>
        <v>1</v>
      </c>
      <c r="AT869" s="13">
        <f t="shared" si="372"/>
        <v>0</v>
      </c>
      <c r="AU869" s="13">
        <v>4</v>
      </c>
      <c r="AV869">
        <f t="shared" si="364"/>
        <v>0</v>
      </c>
      <c r="AW869" s="13">
        <v>0</v>
      </c>
      <c r="AX869" s="13">
        <v>0</v>
      </c>
      <c r="AY869" s="13">
        <v>0</v>
      </c>
      <c r="AZ869" s="13">
        <v>0</v>
      </c>
      <c r="BA869">
        <v>1</v>
      </c>
      <c r="BB869" t="s">
        <v>2840</v>
      </c>
      <c r="BC869">
        <v>6</v>
      </c>
      <c r="BD869" t="s">
        <v>2919</v>
      </c>
      <c r="BE869">
        <v>1</v>
      </c>
      <c r="BF869" s="232" t="s">
        <v>2846</v>
      </c>
      <c r="BG869" s="232" t="s">
        <v>2845</v>
      </c>
      <c r="BH869" s="253">
        <v>44</v>
      </c>
      <c r="BI869" s="253">
        <v>21.783766442091753</v>
      </c>
      <c r="BJ869" s="25">
        <v>43.867182953000537</v>
      </c>
      <c r="BK869" t="s">
        <v>376</v>
      </c>
      <c r="BL869">
        <v>9.1965536661528908</v>
      </c>
      <c r="BM869" t="s">
        <v>379</v>
      </c>
      <c r="BN869" s="322">
        <v>18992.071077000001</v>
      </c>
      <c r="BO869" s="322">
        <v>2367.5872720000002</v>
      </c>
      <c r="BP869" s="10">
        <v>7746</v>
      </c>
      <c r="BQ869" s="254">
        <f t="shared" si="365"/>
        <v>2.4518552900852053</v>
      </c>
      <c r="BR869" s="254">
        <f t="shared" si="366"/>
        <v>0.30565288820036152</v>
      </c>
      <c r="BS869" s="25">
        <v>54.318961818961817</v>
      </c>
      <c r="BT869" s="25">
        <v>94.307427489456927</v>
      </c>
      <c r="BU869" s="25">
        <v>51.461666666666673</v>
      </c>
      <c r="BV869" s="25">
        <v>79.622264887084199</v>
      </c>
      <c r="BW869" s="25">
        <v>34.054015139366562</v>
      </c>
      <c r="BX869" s="25">
        <v>69.927580215542406</v>
      </c>
      <c r="BY869" s="25">
        <v>34.308289226769197</v>
      </c>
      <c r="BZ869">
        <v>72</v>
      </c>
      <c r="CA869">
        <v>0</v>
      </c>
      <c r="CB869">
        <v>7</v>
      </c>
      <c r="CC869">
        <v>44055.524410999999</v>
      </c>
      <c r="CD869" s="10">
        <v>1909.03071</v>
      </c>
      <c r="CE869" s="255">
        <v>4.3332379662318669E-2</v>
      </c>
      <c r="CF869" t="str">
        <f>IFERROR(VLOOKUP(CE869,'Rangos amb etnico'!$A$2:$C$6,3,9),"N.D.")</f>
        <v>0,1% - 30%</v>
      </c>
      <c r="CG869" s="256">
        <v>5.5540899760585123E-5</v>
      </c>
      <c r="CH869" s="232">
        <v>0</v>
      </c>
      <c r="CI869" s="311">
        <f t="shared" si="373"/>
        <v>0</v>
      </c>
      <c r="CJ869" s="232">
        <f>IFERROR(VLOOKUP(CI869,'Rangos amb etnico'!$A$2:$C$6,3,9),"N.D.")</f>
        <v>0</v>
      </c>
      <c r="CK869" s="311">
        <f t="shared" si="374"/>
        <v>0</v>
      </c>
      <c r="CL869" s="10">
        <v>0</v>
      </c>
      <c r="CM869" s="255">
        <f t="shared" si="375"/>
        <v>0</v>
      </c>
      <c r="CN869" s="232">
        <f>IFERROR(VLOOKUP(CM869,'Rangos amb etnico'!$A$2:$C$6,3,9),"N.D.")</f>
        <v>0</v>
      </c>
      <c r="CO869" s="311">
        <f t="shared" si="376"/>
        <v>0</v>
      </c>
      <c r="CP869">
        <v>0.74166807325021322</v>
      </c>
      <c r="CQ869" t="s">
        <v>2866</v>
      </c>
      <c r="CR869">
        <f t="shared" si="367"/>
        <v>0</v>
      </c>
      <c r="CS869" t="str">
        <f t="shared" si="377"/>
        <v>No es Candidato</v>
      </c>
      <c r="CT869">
        <v>0</v>
      </c>
      <c r="CU869">
        <v>0</v>
      </c>
      <c r="CV869" s="25">
        <v>35.930522918701172</v>
      </c>
      <c r="CW869" s="25">
        <v>15.051033020019529</v>
      </c>
      <c r="CX869" s="25">
        <v>45.489177703857422</v>
      </c>
      <c r="CY869" s="25">
        <v>48.171707153320313</v>
      </c>
      <c r="CZ869" s="25">
        <v>42.973976135253913</v>
      </c>
      <c r="DA869" s="25">
        <v>22.737337112426761</v>
      </c>
      <c r="DB869" s="25">
        <v>41.159912109375</v>
      </c>
      <c r="DC869">
        <v>145</v>
      </c>
      <c r="DD869" s="253" t="s">
        <v>380</v>
      </c>
    </row>
    <row r="870" spans="1:108" hidden="1">
      <c r="A870" s="13">
        <v>73067</v>
      </c>
      <c r="B870" s="13" t="s">
        <v>2159</v>
      </c>
      <c r="C870" s="13" t="s">
        <v>595</v>
      </c>
      <c r="D870" s="13" t="s">
        <v>596</v>
      </c>
      <c r="E870" s="13" t="s">
        <v>2160</v>
      </c>
      <c r="F870" s="14">
        <v>78.712266666666693</v>
      </c>
      <c r="G870" s="13">
        <v>62.62</v>
      </c>
      <c r="H870" s="13">
        <v>60.19</v>
      </c>
      <c r="I870" s="13">
        <v>69.650000000000006</v>
      </c>
      <c r="J870" s="14">
        <v>37.660331861590748</v>
      </c>
      <c r="K870" s="14">
        <v>48.376727823058552</v>
      </c>
      <c r="L870" s="14">
        <v>43.581119564246322</v>
      </c>
      <c r="M870" s="14">
        <v>47.969299999999997</v>
      </c>
      <c r="N870" s="14">
        <f t="shared" si="351"/>
        <v>67.793066666666675</v>
      </c>
      <c r="O870" s="14">
        <f t="shared" si="352"/>
        <v>44.396869812223905</v>
      </c>
      <c r="P870" s="14">
        <f t="shared" si="368"/>
        <v>56.094968239445294</v>
      </c>
      <c r="Q870" s="14">
        <v>61.758877378099683</v>
      </c>
      <c r="R870" s="17">
        <f t="shared" si="353"/>
        <v>38.241122621900317</v>
      </c>
      <c r="S870" s="14">
        <f t="shared" si="369"/>
        <v>0.44417010359710285</v>
      </c>
      <c r="T870" s="13">
        <v>0</v>
      </c>
      <c r="U870" s="13">
        <f t="shared" si="370"/>
        <v>24.915707854190611</v>
      </c>
      <c r="V870" s="13">
        <f>IF($T870=1,$AU870,(VLOOKUP(U870,'Cortes naturales'!$A$35:$C$39,3,9)))</f>
        <v>4</v>
      </c>
      <c r="W870" s="13">
        <v>4</v>
      </c>
      <c r="X870" s="14" t="b">
        <f t="shared" si="354"/>
        <v>1</v>
      </c>
      <c r="Y870" s="17">
        <f>IF($T870=1,$AU870,VLOOKUP(U870,'Cortes naturales'!$A$45:$C$49,3,9))</f>
        <v>4</v>
      </c>
      <c r="Z870" s="14">
        <v>56.269089449092242</v>
      </c>
      <c r="AA870" s="14">
        <v>0.44932205997945895</v>
      </c>
      <c r="AB870" s="14">
        <v>25.282943184434565</v>
      </c>
      <c r="AC870" s="13">
        <v>4</v>
      </c>
      <c r="AD870" s="13">
        <f t="shared" si="355"/>
        <v>0</v>
      </c>
      <c r="AE870" s="14">
        <f t="shared" si="356"/>
        <v>-0.17412120964694822</v>
      </c>
      <c r="AF870" s="14">
        <f t="shared" si="357"/>
        <v>-5.1519563823561043E-3</v>
      </c>
      <c r="AG870" s="13">
        <f t="shared" si="358"/>
        <v>-0.36723533024395394</v>
      </c>
      <c r="AH870" s="13">
        <f>IF($T870=1,$AU870,VLOOKUP(U870,'Cortes naturales'!$A$25:$C$29,3,9))</f>
        <v>4</v>
      </c>
      <c r="AI870" s="13" t="b">
        <f t="shared" si="359"/>
        <v>1</v>
      </c>
      <c r="AJ870" s="13">
        <f t="shared" si="360"/>
        <v>0</v>
      </c>
      <c r="AK870" s="28">
        <v>0.6523467210059386</v>
      </c>
      <c r="AL870" s="28">
        <v>36.706955996105179</v>
      </c>
      <c r="AM870" s="28">
        <v>0.28853931489059209</v>
      </c>
      <c r="AN870" s="13">
        <v>4</v>
      </c>
      <c r="AO870" s="33">
        <f t="shared" si="361"/>
        <v>0</v>
      </c>
      <c r="AP870" s="13">
        <f t="shared" si="371"/>
        <v>28.85393148905921</v>
      </c>
      <c r="AQ870" s="13">
        <f>IFERROR(VLOOKUP(U870,'Cortes naturales'!$E$15:$G$19,3,9),U870)</f>
        <v>4</v>
      </c>
      <c r="AR870" s="28">
        <f t="shared" si="362"/>
        <v>-0.20817661740883575</v>
      </c>
      <c r="AS870" s="13" t="b">
        <f t="shared" si="363"/>
        <v>1</v>
      </c>
      <c r="AT870" s="13">
        <f t="shared" si="372"/>
        <v>0</v>
      </c>
      <c r="AU870" s="13">
        <v>4</v>
      </c>
      <c r="AV870">
        <f t="shared" si="364"/>
        <v>0</v>
      </c>
      <c r="AW870" s="13">
        <v>0</v>
      </c>
      <c r="AX870" s="13">
        <v>0</v>
      </c>
      <c r="AY870" s="13">
        <v>0</v>
      </c>
      <c r="AZ870" s="13">
        <v>1</v>
      </c>
      <c r="BA870">
        <v>1</v>
      </c>
      <c r="BB870" t="s">
        <v>2841</v>
      </c>
      <c r="BC870">
        <v>6</v>
      </c>
      <c r="BD870" t="s">
        <v>2919</v>
      </c>
      <c r="BE870">
        <v>0</v>
      </c>
      <c r="BF870" s="232" t="s">
        <v>2846</v>
      </c>
      <c r="BG870" s="232" t="s">
        <v>2846</v>
      </c>
      <c r="BH870" s="253">
        <v>64</v>
      </c>
      <c r="BI870" s="253">
        <v>34.773301130749807</v>
      </c>
      <c r="BJ870" s="25">
        <v>64.593333333333334</v>
      </c>
      <c r="BK870" t="s">
        <v>376</v>
      </c>
      <c r="BL870">
        <v>2.736451748764559</v>
      </c>
      <c r="BM870" t="s">
        <v>383</v>
      </c>
      <c r="BN870" s="322">
        <v>48566.511330000001</v>
      </c>
      <c r="BO870" s="322">
        <v>4632.1938920000002</v>
      </c>
      <c r="BP870" s="10">
        <v>20279</v>
      </c>
      <c r="BQ870" s="254">
        <f t="shared" si="365"/>
        <v>2.3949164815819319</v>
      </c>
      <c r="BR870" s="254">
        <f t="shared" si="366"/>
        <v>0.22842319108437301</v>
      </c>
      <c r="BS870" s="25">
        <v>71.784354098033347</v>
      </c>
      <c r="BT870" s="25">
        <v>96.020763965864603</v>
      </c>
      <c r="BU870" s="25">
        <v>38.721479800392842</v>
      </c>
      <c r="BV870" s="25">
        <v>90.408455233106963</v>
      </c>
      <c r="BW870" s="25">
        <v>48.656085662454913</v>
      </c>
      <c r="BX870" s="25">
        <v>74.233763274349442</v>
      </c>
      <c r="BY870" s="25">
        <v>49.762918513770977</v>
      </c>
      <c r="BZ870">
        <v>15</v>
      </c>
      <c r="CA870">
        <v>0</v>
      </c>
      <c r="CB870">
        <v>7</v>
      </c>
      <c r="CC870">
        <v>101732.428608</v>
      </c>
      <c r="CD870" s="10">
        <v>5461.9059010000001</v>
      </c>
      <c r="CE870" s="255">
        <v>5.3688936514491983E-2</v>
      </c>
      <c r="CF870" t="str">
        <f>IFERROR(VLOOKUP(CE870,'Rangos amb etnico'!$A$2:$C$6,3,9),"N.D.")</f>
        <v>0,1% - 30%</v>
      </c>
      <c r="CG870" s="256">
        <v>1.5890743221683918E-4</v>
      </c>
      <c r="CH870" s="232">
        <v>289.77720799999997</v>
      </c>
      <c r="CI870" s="311">
        <f t="shared" si="373"/>
        <v>2.8484251478609894E-3</v>
      </c>
      <c r="CJ870" s="232" t="str">
        <f>IFERROR(VLOOKUP(CI870,'Rangos amb etnico'!$A$2:$C$6,3,9),"N.D.")</f>
        <v>0,1% - 30%</v>
      </c>
      <c r="CK870" s="311">
        <f t="shared" si="374"/>
        <v>1.1506052387076134E-5</v>
      </c>
      <c r="CL870" s="10">
        <v>0</v>
      </c>
      <c r="CM870" s="255">
        <f t="shared" si="375"/>
        <v>0</v>
      </c>
      <c r="CN870" s="232">
        <f>IFERROR(VLOOKUP(CM870,'Rangos amb etnico'!$A$2:$C$6,3,9),"N.D.")</f>
        <v>0</v>
      </c>
      <c r="CO870" s="311">
        <f t="shared" si="376"/>
        <v>0</v>
      </c>
      <c r="CP870">
        <v>0.930619348650225</v>
      </c>
      <c r="CQ870" t="s">
        <v>2864</v>
      </c>
      <c r="CR870">
        <f t="shared" si="367"/>
        <v>2</v>
      </c>
      <c r="CS870" t="str">
        <f t="shared" si="377"/>
        <v>No es Candidato</v>
      </c>
      <c r="CT870">
        <v>0</v>
      </c>
      <c r="CU870">
        <v>0</v>
      </c>
      <c r="CV870" s="25">
        <v>40.214092254638672</v>
      </c>
      <c r="CW870" s="25">
        <v>15.9591817855835</v>
      </c>
      <c r="CX870" s="25">
        <v>48.077388763427727</v>
      </c>
      <c r="CY870" s="25">
        <v>47.648124694824219</v>
      </c>
      <c r="CZ870" s="25">
        <v>31.443962097167969</v>
      </c>
      <c r="DA870" s="25">
        <v>50.879570007324219</v>
      </c>
      <c r="DB870" s="25">
        <v>47.276329040527337</v>
      </c>
      <c r="DC870">
        <v>1873</v>
      </c>
      <c r="DD870" s="253" t="s">
        <v>380</v>
      </c>
    </row>
    <row r="871" spans="1:108" hidden="1">
      <c r="A871" s="13">
        <v>27495</v>
      </c>
      <c r="B871" s="13" t="s">
        <v>2161</v>
      </c>
      <c r="C871" s="13" t="s">
        <v>1714</v>
      </c>
      <c r="D871" s="13" t="s">
        <v>1715</v>
      </c>
      <c r="E871" s="13" t="s">
        <v>2162</v>
      </c>
      <c r="F871" s="14">
        <v>82.396466666666697</v>
      </c>
      <c r="G871" s="13">
        <v>80.52</v>
      </c>
      <c r="H871" s="13">
        <v>72.959999999999994</v>
      </c>
      <c r="I871" s="13">
        <v>77.83</v>
      </c>
      <c r="J871" s="14">
        <v>53.621058069835293</v>
      </c>
      <c r="K871" s="14">
        <v>66.076773715792044</v>
      </c>
      <c r="L871" s="14">
        <v>64.44719013938527</v>
      </c>
      <c r="M871" s="14">
        <v>56.630499999999998</v>
      </c>
      <c r="N871" s="14">
        <f t="shared" si="351"/>
        <v>78.426616666666661</v>
      </c>
      <c r="O871" s="14">
        <f t="shared" si="352"/>
        <v>60.193880481253146</v>
      </c>
      <c r="P871" s="14">
        <f t="shared" si="368"/>
        <v>69.31024857395991</v>
      </c>
      <c r="Q871" s="14">
        <v>61.634289331936017</v>
      </c>
      <c r="R871" s="17">
        <f t="shared" si="353"/>
        <v>38.365710668063983</v>
      </c>
      <c r="S871" s="14">
        <f t="shared" si="369"/>
        <v>0.44529139601257584</v>
      </c>
      <c r="T871" s="13">
        <v>0</v>
      </c>
      <c r="U871" s="13">
        <f t="shared" si="370"/>
        <v>30.863257345477251</v>
      </c>
      <c r="V871" s="13">
        <f>IF($T871=1,$AU871,(VLOOKUP(U871,'Cortes naturales'!$A$35:$C$39,3,9)))</f>
        <v>3</v>
      </c>
      <c r="W871" s="13">
        <v>3</v>
      </c>
      <c r="X871" s="14" t="b">
        <f t="shared" si="354"/>
        <v>1</v>
      </c>
      <c r="Y871" s="17">
        <f>IF($T871=1,$AU871,VLOOKUP(U871,'Cortes naturales'!$A$45:$C$49,3,9))</f>
        <v>3</v>
      </c>
      <c r="Z871" s="14">
        <v>68.65550512485818</v>
      </c>
      <c r="AA871" s="14">
        <v>0.44900195752950045</v>
      </c>
      <c r="AB871" s="14">
        <v>30.826456196237974</v>
      </c>
      <c r="AC871" s="13">
        <v>3</v>
      </c>
      <c r="AD871" s="13">
        <f t="shared" si="355"/>
        <v>0</v>
      </c>
      <c r="AE871" s="14">
        <f t="shared" si="356"/>
        <v>0.65474344910172988</v>
      </c>
      <c r="AF871" s="14">
        <f t="shared" si="357"/>
        <v>-3.7105615169246153E-3</v>
      </c>
      <c r="AG871" s="13">
        <f t="shared" si="358"/>
        <v>3.6801149239277464E-2</v>
      </c>
      <c r="AH871" s="13">
        <f>IF($T871=1,$AU871,VLOOKUP(U871,'Cortes naturales'!$A$25:$C$29,3,9))</f>
        <v>3</v>
      </c>
      <c r="AI871" s="13" t="b">
        <f t="shared" si="359"/>
        <v>1</v>
      </c>
      <c r="AJ871" s="13">
        <f t="shared" si="360"/>
        <v>0</v>
      </c>
      <c r="AK871" s="28">
        <v>0.6523467210059386</v>
      </c>
      <c r="AL871" s="28">
        <v>44.787193647207644</v>
      </c>
      <c r="AM871" s="28">
        <v>0.38961457053255999</v>
      </c>
      <c r="AN871" s="13">
        <v>3</v>
      </c>
      <c r="AO871" s="33">
        <f t="shared" si="361"/>
        <v>0</v>
      </c>
      <c r="AP871" s="13">
        <f t="shared" si="371"/>
        <v>38.961457053255998</v>
      </c>
      <c r="AQ871" s="13">
        <f>IFERROR(VLOOKUP(U871,'Cortes naturales'!$E$15:$G$19,3,9),U871)</f>
        <v>4</v>
      </c>
      <c r="AR871" s="28">
        <f t="shared" si="362"/>
        <v>-0.20705532499336277</v>
      </c>
      <c r="AS871" s="13" t="b">
        <f t="shared" si="363"/>
        <v>0</v>
      </c>
      <c r="AT871" s="13">
        <f t="shared" si="372"/>
        <v>0</v>
      </c>
      <c r="AU871" s="13">
        <v>4</v>
      </c>
      <c r="AV871">
        <f t="shared" si="364"/>
        <v>1</v>
      </c>
      <c r="AW871" s="13">
        <v>0</v>
      </c>
      <c r="AX871" s="13">
        <v>0</v>
      </c>
      <c r="AY871" s="13">
        <v>0</v>
      </c>
      <c r="AZ871" s="13">
        <v>0</v>
      </c>
      <c r="BA871">
        <v>0</v>
      </c>
      <c r="BB871" t="s">
        <v>2841</v>
      </c>
      <c r="BC871">
        <v>6</v>
      </c>
      <c r="BD871" t="s">
        <v>2919</v>
      </c>
      <c r="BE871">
        <v>0</v>
      </c>
      <c r="BF871" s="232" t="s">
        <v>2846</v>
      </c>
      <c r="BG871" s="232" t="s">
        <v>2846</v>
      </c>
      <c r="BH871" s="253">
        <v>72.900000000000006</v>
      </c>
      <c r="BI871" s="253">
        <v>50.925925925925924</v>
      </c>
      <c r="BJ871" s="25">
        <v>20.41</v>
      </c>
      <c r="BK871" t="s">
        <v>379</v>
      </c>
      <c r="BL871">
        <v>3.5097104776580847</v>
      </c>
      <c r="BM871" t="s">
        <v>383</v>
      </c>
      <c r="BN871" s="322">
        <v>38678.777871999999</v>
      </c>
      <c r="BO871" s="322">
        <v>3537.32699</v>
      </c>
      <c r="BP871" s="10">
        <v>18555</v>
      </c>
      <c r="BQ871" s="254">
        <f t="shared" si="365"/>
        <v>2.0845474466181622</v>
      </c>
      <c r="BR871" s="254">
        <f t="shared" si="366"/>
        <v>0.1906400964699542</v>
      </c>
      <c r="BS871" s="25">
        <v>36.538383251578132</v>
      </c>
      <c r="BT871" s="25">
        <v>73.127543024397696</v>
      </c>
      <c r="BU871" s="25">
        <v>67.356666666666669</v>
      </c>
      <c r="BV871" s="25">
        <v>98.532453263309932</v>
      </c>
      <c r="BW871" s="25">
        <v>59.775997531460632</v>
      </c>
      <c r="BX871" s="25">
        <v>68.888761551488116</v>
      </c>
      <c r="BY871" s="25">
        <v>60.918991488483712</v>
      </c>
      <c r="BZ871">
        <v>38</v>
      </c>
      <c r="CA871">
        <v>0</v>
      </c>
      <c r="CB871">
        <v>7</v>
      </c>
      <c r="CC871">
        <v>70458.336555999995</v>
      </c>
      <c r="CD871" s="10">
        <v>11850.193338999999</v>
      </c>
      <c r="CE871" s="255">
        <v>0.16818724253561557</v>
      </c>
      <c r="CF871" t="str">
        <f>IFERROR(VLOOKUP(CE871,'Rangos amb etnico'!$A$2:$C$6,3,9),"N.D.")</f>
        <v>0,1% - 30%</v>
      </c>
      <c r="CG871" s="256">
        <v>3.4476679549327546E-4</v>
      </c>
      <c r="CH871" s="232">
        <v>68529.434273999999</v>
      </c>
      <c r="CI871" s="311">
        <f t="shared" si="373"/>
        <v>0.97262350523323937</v>
      </c>
      <c r="CJ871" s="232" t="str">
        <f>IFERROR(VLOOKUP(CI871,'Rangos amb etnico'!$A$2:$C$6,3,9),"N.D.")</f>
        <v>71% - 100%</v>
      </c>
      <c r="CK871" s="311">
        <f t="shared" si="374"/>
        <v>2.7210672166229676E-3</v>
      </c>
      <c r="CL871" s="10">
        <v>0</v>
      </c>
      <c r="CM871" s="255">
        <f t="shared" si="375"/>
        <v>0</v>
      </c>
      <c r="CN871" s="232">
        <f>IFERROR(VLOOKUP(CM871,'Rangos amb etnico'!$A$2:$C$6,3,9),"N.D.")</f>
        <v>0</v>
      </c>
      <c r="CO871" s="311">
        <f t="shared" si="376"/>
        <v>0</v>
      </c>
      <c r="CP871">
        <v>0.96133501460247439</v>
      </c>
      <c r="CQ871" t="s">
        <v>2864</v>
      </c>
      <c r="CR871">
        <f t="shared" si="367"/>
        <v>3</v>
      </c>
      <c r="CS871" t="str">
        <f t="shared" si="377"/>
        <v>Candidato</v>
      </c>
      <c r="CT871">
        <v>0</v>
      </c>
      <c r="CU871">
        <v>0</v>
      </c>
      <c r="CV871" s="25">
        <v>33.642921447753913</v>
      </c>
      <c r="CW871" s="25">
        <v>13.65212249755859</v>
      </c>
      <c r="CX871" s="25">
        <v>43.934871673583977</v>
      </c>
      <c r="CY871" s="25">
        <v>13.30610942840576</v>
      </c>
      <c r="CZ871" s="25">
        <v>5.7420930862426758</v>
      </c>
      <c r="DA871" s="25">
        <v>87.163925170898438</v>
      </c>
      <c r="DB871" s="25">
        <v>38.05841064453125</v>
      </c>
      <c r="DC871">
        <v>16188</v>
      </c>
      <c r="DD871" s="253" t="s">
        <v>380</v>
      </c>
    </row>
    <row r="872" spans="1:108" hidden="1">
      <c r="A872" s="13">
        <v>13810</v>
      </c>
      <c r="B872" s="13" t="s">
        <v>2163</v>
      </c>
      <c r="C872" s="13" t="s">
        <v>480</v>
      </c>
      <c r="D872" s="13" t="s">
        <v>481</v>
      </c>
      <c r="E872" s="13" t="s">
        <v>2164</v>
      </c>
      <c r="F872" s="14">
        <v>69.195333333333295</v>
      </c>
      <c r="G872" s="13">
        <v>57.89</v>
      </c>
      <c r="H872" s="13">
        <v>44.51</v>
      </c>
      <c r="I872" s="13">
        <v>45.46</v>
      </c>
      <c r="J872" s="14">
        <v>49.269712728392989</v>
      </c>
      <c r="K872" s="14">
        <v>47.992285578235091</v>
      </c>
      <c r="L872" s="14">
        <v>43.674435658622031</v>
      </c>
      <c r="M872" s="14">
        <v>36.0227</v>
      </c>
      <c r="N872" s="14">
        <f t="shared" si="351"/>
        <v>54.263833333333324</v>
      </c>
      <c r="O872" s="14">
        <f t="shared" si="352"/>
        <v>44.239783491312522</v>
      </c>
      <c r="P872" s="14">
        <f t="shared" si="368"/>
        <v>49.251808412322923</v>
      </c>
      <c r="Q872" s="14">
        <v>62.285851609665677</v>
      </c>
      <c r="R872" s="17">
        <f t="shared" si="353"/>
        <v>37.714148390334323</v>
      </c>
      <c r="S872" s="14">
        <f t="shared" si="369"/>
        <v>0.43942733551300894</v>
      </c>
      <c r="T872" s="13">
        <v>0</v>
      </c>
      <c r="U872" s="13">
        <f t="shared" si="370"/>
        <v>21.642590939824263</v>
      </c>
      <c r="V872" s="13">
        <f>IF($T872=1,$AU872,(VLOOKUP(U872,'Cortes naturales'!$A$35:$C$39,3,9)))</f>
        <v>5</v>
      </c>
      <c r="W872" s="13">
        <v>5</v>
      </c>
      <c r="X872" s="14" t="b">
        <f t="shared" si="354"/>
        <v>1</v>
      </c>
      <c r="Y872" s="17">
        <f>IF($T872=1,$AU872,VLOOKUP(U872,'Cortes naturales'!$A$45:$C$49,3,9))</f>
        <v>4</v>
      </c>
      <c r="Z872" s="14">
        <v>55.291899839598358</v>
      </c>
      <c r="AA872" s="14">
        <v>0.44851028222154454</v>
      </c>
      <c r="AB872" s="14">
        <v>24.798985601623635</v>
      </c>
      <c r="AC872" s="13">
        <v>4</v>
      </c>
      <c r="AD872" s="13">
        <f t="shared" si="355"/>
        <v>0</v>
      </c>
      <c r="AE872" s="14">
        <f t="shared" si="356"/>
        <v>-6.0400914272754349</v>
      </c>
      <c r="AF872" s="14">
        <f t="shared" si="357"/>
        <v>-9.0829467085355997E-3</v>
      </c>
      <c r="AG872" s="13">
        <f t="shared" si="358"/>
        <v>-3.1563946617993714</v>
      </c>
      <c r="AH872" s="13">
        <f>IF($T872=1,$AU872,VLOOKUP(U872,'Cortes naturales'!$A$25:$C$29,3,9))</f>
        <v>4</v>
      </c>
      <c r="AI872" s="13" t="b">
        <f t="shared" si="359"/>
        <v>1</v>
      </c>
      <c r="AJ872" s="13">
        <f t="shared" si="360"/>
        <v>0</v>
      </c>
      <c r="AK872" s="28">
        <v>0.6523467210059386</v>
      </c>
      <c r="AL872" s="28">
        <v>36.069489558550771</v>
      </c>
      <c r="AM872" s="28">
        <v>0.28056528170974931</v>
      </c>
      <c r="AN872" s="13">
        <v>4</v>
      </c>
      <c r="AO872" s="33">
        <f t="shared" si="361"/>
        <v>0</v>
      </c>
      <c r="AP872" s="13">
        <f t="shared" si="371"/>
        <v>28.056528170974932</v>
      </c>
      <c r="AQ872" s="13">
        <f>IFERROR(VLOOKUP(U872,'Cortes naturales'!$E$15:$G$19,3,9),U872)</f>
        <v>4</v>
      </c>
      <c r="AR872" s="28">
        <f t="shared" si="362"/>
        <v>-0.21291938549292966</v>
      </c>
      <c r="AS872" s="13" t="b">
        <f t="shared" si="363"/>
        <v>1</v>
      </c>
      <c r="AT872" s="13">
        <f t="shared" si="372"/>
        <v>0</v>
      </c>
      <c r="AU872" s="13">
        <v>4</v>
      </c>
      <c r="AV872">
        <f t="shared" si="364"/>
        <v>0</v>
      </c>
      <c r="AW872" s="13">
        <v>0</v>
      </c>
      <c r="AX872" s="13">
        <v>0</v>
      </c>
      <c r="AY872" s="13">
        <v>0</v>
      </c>
      <c r="AZ872" s="13">
        <v>0</v>
      </c>
      <c r="BA872">
        <v>1</v>
      </c>
      <c r="BB872" t="s">
        <v>2840</v>
      </c>
      <c r="BC872">
        <v>6</v>
      </c>
      <c r="BD872" t="s">
        <v>2919</v>
      </c>
      <c r="BE872">
        <v>0</v>
      </c>
      <c r="BF872" s="232" t="s">
        <v>2846</v>
      </c>
      <c r="BG872" s="232" t="s">
        <v>2846</v>
      </c>
      <c r="BH872" s="253">
        <v>73</v>
      </c>
      <c r="BI872" s="253">
        <v>60.313651077129144</v>
      </c>
      <c r="BJ872" s="25">
        <v>56.640625</v>
      </c>
      <c r="BK872" t="s">
        <v>376</v>
      </c>
      <c r="BL872">
        <v>6.5993650022439052</v>
      </c>
      <c r="BM872" t="s">
        <v>379</v>
      </c>
      <c r="BN872" s="322">
        <v>33690.023457000003</v>
      </c>
      <c r="BO872" s="322">
        <v>251.31608900000001</v>
      </c>
      <c r="BP872" s="10">
        <v>18535</v>
      </c>
      <c r="BQ872" s="254">
        <f t="shared" si="365"/>
        <v>1.8176435639061237</v>
      </c>
      <c r="BR872" s="254">
        <f t="shared" si="366"/>
        <v>1.3559001294847587E-2</v>
      </c>
      <c r="BS872" s="25">
        <v>61.709496155204647</v>
      </c>
      <c r="BT872" s="25">
        <v>96.815286666666665</v>
      </c>
      <c r="BU872" s="25">
        <v>9.2958152414709794</v>
      </c>
      <c r="BV872" s="25">
        <v>97.959546504381933</v>
      </c>
      <c r="BW872" s="25">
        <v>42.93258458996096</v>
      </c>
      <c r="BX872" s="25">
        <v>66.44503614193107</v>
      </c>
      <c r="BY872" s="25">
        <v>43.509079360135921</v>
      </c>
      <c r="BZ872">
        <v>64</v>
      </c>
      <c r="CA872">
        <v>0</v>
      </c>
      <c r="CB872">
        <v>7</v>
      </c>
      <c r="CC872">
        <v>76196.26225</v>
      </c>
      <c r="CD872" s="10">
        <v>62220.163356999998</v>
      </c>
      <c r="CE872" s="255">
        <v>0.81657763149661577</v>
      </c>
      <c r="CF872" t="str">
        <f>IFERROR(VLOOKUP(CE872,'Rangos amb etnico'!$A$2:$C$6,3,9),"N.D.")</f>
        <v>71% - 100%</v>
      </c>
      <c r="CG872" s="256">
        <v>1.8102191012413667E-3</v>
      </c>
      <c r="CH872" s="232">
        <v>0</v>
      </c>
      <c r="CI872" s="311">
        <f t="shared" si="373"/>
        <v>0</v>
      </c>
      <c r="CJ872" s="232">
        <f>IFERROR(VLOOKUP(CI872,'Rangos amb etnico'!$A$2:$C$6,3,9),"N.D.")</f>
        <v>0</v>
      </c>
      <c r="CK872" s="311">
        <f t="shared" si="374"/>
        <v>0</v>
      </c>
      <c r="CL872" s="10">
        <v>0</v>
      </c>
      <c r="CM872" s="255">
        <f t="shared" si="375"/>
        <v>0</v>
      </c>
      <c r="CN872" s="232">
        <f>IFERROR(VLOOKUP(CM872,'Rangos amb etnico'!$A$2:$C$6,3,9),"N.D.")</f>
        <v>0</v>
      </c>
      <c r="CO872" s="311">
        <f t="shared" si="376"/>
        <v>0</v>
      </c>
      <c r="CP872">
        <v>0.79935179417291402</v>
      </c>
      <c r="CQ872" t="s">
        <v>2865</v>
      </c>
      <c r="CR872">
        <f t="shared" si="367"/>
        <v>1</v>
      </c>
      <c r="CS872" t="str">
        <f t="shared" si="377"/>
        <v>No es Candidato</v>
      </c>
      <c r="CT872">
        <v>0</v>
      </c>
      <c r="CU872">
        <v>0</v>
      </c>
      <c r="CV872" s="25">
        <v>37.2681884765625</v>
      </c>
      <c r="CW872" s="25">
        <v>15.688772201538089</v>
      </c>
      <c r="CX872" s="25">
        <v>44.413566589355469</v>
      </c>
      <c r="CY872" s="25">
        <v>29.817520141601559</v>
      </c>
      <c r="CZ872" s="25">
        <v>4.4267635345458984</v>
      </c>
      <c r="DA872" s="25">
        <v>91.794914245605469</v>
      </c>
      <c r="DB872" s="25">
        <v>37.467601776123047</v>
      </c>
      <c r="DC872">
        <v>129</v>
      </c>
      <c r="DD872" s="253" t="s">
        <v>380</v>
      </c>
    </row>
    <row r="873" spans="1:108" hidden="1">
      <c r="A873" s="13">
        <v>52256</v>
      </c>
      <c r="B873" s="13" t="s">
        <v>2165</v>
      </c>
      <c r="C873" s="13" t="s">
        <v>672</v>
      </c>
      <c r="D873" s="13" t="s">
        <v>673</v>
      </c>
      <c r="E873" s="13" t="s">
        <v>2166</v>
      </c>
      <c r="F873" s="14">
        <v>51.248066666666702</v>
      </c>
      <c r="G873" s="13">
        <v>51.16</v>
      </c>
      <c r="H873" s="13">
        <v>47.12</v>
      </c>
      <c r="I873" s="13">
        <v>37.51</v>
      </c>
      <c r="J873" s="14">
        <v>53.243077949899877</v>
      </c>
      <c r="K873" s="14">
        <v>57.965431621886083</v>
      </c>
      <c r="L873" s="14">
        <v>58.606226677217627</v>
      </c>
      <c r="M873" s="14">
        <v>63.082500000000003</v>
      </c>
      <c r="N873" s="14">
        <f t="shared" si="351"/>
        <v>46.75951666666667</v>
      </c>
      <c r="O873" s="14">
        <f t="shared" si="352"/>
        <v>58.224309062250896</v>
      </c>
      <c r="P873" s="14">
        <f t="shared" si="368"/>
        <v>52.491912864458783</v>
      </c>
      <c r="Q873" s="14">
        <v>61.935800289071722</v>
      </c>
      <c r="R873" s="17">
        <f t="shared" si="353"/>
        <v>38.064199710928278</v>
      </c>
      <c r="S873" s="14">
        <f t="shared" si="369"/>
        <v>0.44257779739835446</v>
      </c>
      <c r="T873" s="13">
        <v>0</v>
      </c>
      <c r="U873" s="13">
        <f t="shared" si="370"/>
        <v>23.231755176778517</v>
      </c>
      <c r="V873" s="13">
        <f>IF($T873=1,$AU873,(VLOOKUP(U873,'Cortes naturales'!$A$35:$C$39,3,9)))</f>
        <v>4</v>
      </c>
      <c r="W873" s="13">
        <v>4</v>
      </c>
      <c r="X873" s="14" t="b">
        <f t="shared" si="354"/>
        <v>1</v>
      </c>
      <c r="Y873" s="17">
        <f>IF($T873=1,$AU873,VLOOKUP(U873,'Cortes naturales'!$A$45:$C$49,3,9))</f>
        <v>4</v>
      </c>
      <c r="Z873" s="14">
        <v>52.879052190381415</v>
      </c>
      <c r="AA873" s="14">
        <v>0.44898024342117515</v>
      </c>
      <c r="AB873" s="14">
        <v>23.741649724318474</v>
      </c>
      <c r="AC873" s="13">
        <v>4</v>
      </c>
      <c r="AD873" s="13">
        <f t="shared" si="355"/>
        <v>0</v>
      </c>
      <c r="AE873" s="14">
        <f t="shared" si="356"/>
        <v>-0.38713932592263234</v>
      </c>
      <c r="AF873" s="14">
        <f t="shared" si="357"/>
        <v>-6.4024460228206959E-3</v>
      </c>
      <c r="AG873" s="13">
        <f t="shared" si="358"/>
        <v>-0.50989454753995744</v>
      </c>
      <c r="AH873" s="13">
        <f>IF($T873=1,$AU873,VLOOKUP(U873,'Cortes naturales'!$A$25:$C$29,3,9))</f>
        <v>4</v>
      </c>
      <c r="AI873" s="13" t="b">
        <f t="shared" si="359"/>
        <v>1</v>
      </c>
      <c r="AJ873" s="13">
        <f t="shared" si="360"/>
        <v>0</v>
      </c>
      <c r="AK873" s="28">
        <v>0.6523467210059386</v>
      </c>
      <c r="AL873" s="28">
        <v>34.495476306297213</v>
      </c>
      <c r="AM873" s="28">
        <v>0.26087603509041662</v>
      </c>
      <c r="AN873" s="13">
        <v>4</v>
      </c>
      <c r="AO873" s="33">
        <f t="shared" si="361"/>
        <v>0</v>
      </c>
      <c r="AP873" s="13">
        <f t="shared" si="371"/>
        <v>26.087603509041664</v>
      </c>
      <c r="AQ873" s="13">
        <f>IFERROR(VLOOKUP(U873,'Cortes naturales'!$E$15:$G$19,3,9),U873)</f>
        <v>4</v>
      </c>
      <c r="AR873" s="28">
        <f t="shared" si="362"/>
        <v>-0.20976892360758415</v>
      </c>
      <c r="AS873" s="13" t="b">
        <f t="shared" si="363"/>
        <v>1</v>
      </c>
      <c r="AT873" s="13">
        <f t="shared" si="372"/>
        <v>0</v>
      </c>
      <c r="AU873" s="13">
        <v>4</v>
      </c>
      <c r="AV873">
        <f t="shared" si="364"/>
        <v>0</v>
      </c>
      <c r="AW873" s="13">
        <v>0</v>
      </c>
      <c r="AX873" s="13">
        <v>0</v>
      </c>
      <c r="AY873" s="13">
        <v>0</v>
      </c>
      <c r="AZ873" s="13">
        <v>1</v>
      </c>
      <c r="BA873">
        <v>1</v>
      </c>
      <c r="BB873" t="s">
        <v>2841</v>
      </c>
      <c r="BC873">
        <v>6</v>
      </c>
      <c r="BD873" t="s">
        <v>2919</v>
      </c>
      <c r="BE873">
        <v>1</v>
      </c>
      <c r="BF873" s="232" t="s">
        <v>2846</v>
      </c>
      <c r="BG873" s="232" t="s">
        <v>2845</v>
      </c>
      <c r="BH873" s="253">
        <v>52.1</v>
      </c>
      <c r="BI873" s="253">
        <v>20.221606648199447</v>
      </c>
      <c r="BJ873" s="25">
        <v>53.741259762013534</v>
      </c>
      <c r="BK873" t="s">
        <v>376</v>
      </c>
      <c r="BL873">
        <v>12.141991200815314</v>
      </c>
      <c r="BM873" t="s">
        <v>376</v>
      </c>
      <c r="BN873" s="322">
        <v>26471.486154999999</v>
      </c>
      <c r="BO873" s="322">
        <v>802.84042399999998</v>
      </c>
      <c r="BP873" s="10">
        <v>12872</v>
      </c>
      <c r="BQ873" s="254">
        <f t="shared" si="365"/>
        <v>2.0565169480267245</v>
      </c>
      <c r="BR873" s="254">
        <f t="shared" si="366"/>
        <v>6.2371070851460535E-2</v>
      </c>
      <c r="BS873" s="25">
        <v>45.612520866079358</v>
      </c>
      <c r="BT873" s="25">
        <v>84.494251087632065</v>
      </c>
      <c r="BU873" s="25">
        <v>26.809951593384401</v>
      </c>
      <c r="BV873" s="25">
        <v>94.60745543702005</v>
      </c>
      <c r="BW873" s="25">
        <v>27.301609647758632</v>
      </c>
      <c r="BX873" s="25">
        <v>62.881044746028962</v>
      </c>
      <c r="BY873" s="25">
        <v>27.789986811989639</v>
      </c>
      <c r="BZ873">
        <v>26</v>
      </c>
      <c r="CA873">
        <v>0</v>
      </c>
      <c r="CB873">
        <v>7</v>
      </c>
      <c r="CC873">
        <v>52079.198066999998</v>
      </c>
      <c r="CD873" s="10">
        <v>17738.358003000001</v>
      </c>
      <c r="CE873" s="255">
        <v>0.34060351659369958</v>
      </c>
      <c r="CF873" t="str">
        <f>IFERROR(VLOOKUP(CE873,'Rangos amb etnico'!$A$2:$C$6,3,9),"N.D.")</f>
        <v>31% - 50%</v>
      </c>
      <c r="CG873" s="256">
        <v>5.1607570197862134E-4</v>
      </c>
      <c r="CH873" s="232">
        <v>26468.341716999999</v>
      </c>
      <c r="CI873" s="311">
        <f t="shared" si="373"/>
        <v>0.50823251316098261</v>
      </c>
      <c r="CJ873" s="232" t="str">
        <f>IFERROR(VLOOKUP(CI873,'Rangos amb etnico'!$A$2:$C$6,3,9),"N.D.")</f>
        <v>31% - 50%</v>
      </c>
      <c r="CK873" s="311">
        <f t="shared" si="374"/>
        <v>1.0509664597045695E-3</v>
      </c>
      <c r="CL873" s="10">
        <v>0</v>
      </c>
      <c r="CM873" s="255">
        <f t="shared" si="375"/>
        <v>0</v>
      </c>
      <c r="CN873" s="232">
        <f>IFERROR(VLOOKUP(CM873,'Rangos amb etnico'!$A$2:$C$6,3,9),"N.D.")</f>
        <v>0</v>
      </c>
      <c r="CO873" s="311">
        <f t="shared" si="376"/>
        <v>0</v>
      </c>
      <c r="CP873">
        <v>0.83415172296471574</v>
      </c>
      <c r="CQ873" t="s">
        <v>2865</v>
      </c>
      <c r="CR873">
        <f t="shared" si="367"/>
        <v>2</v>
      </c>
      <c r="CS873" t="str">
        <f t="shared" si="377"/>
        <v>No es Candidato</v>
      </c>
      <c r="CT873">
        <v>0</v>
      </c>
      <c r="CU873">
        <v>0</v>
      </c>
      <c r="CV873" s="25">
        <v>45.147060394287109</v>
      </c>
      <c r="CW873" s="25">
        <v>6.7717571258544922</v>
      </c>
      <c r="CX873" s="25">
        <v>48.769229888916023</v>
      </c>
      <c r="CY873" s="25">
        <v>51.695751190185547</v>
      </c>
      <c r="CZ873" s="25">
        <v>29.158571243286129</v>
      </c>
      <c r="DA873" s="25">
        <v>70.858413696289063</v>
      </c>
      <c r="DB873" s="25">
        <v>63.628643035888672</v>
      </c>
      <c r="DC873">
        <v>3308</v>
      </c>
      <c r="DD873" s="253" t="s">
        <v>380</v>
      </c>
    </row>
    <row r="874" spans="1:108" hidden="1">
      <c r="A874" s="13">
        <v>17867</v>
      </c>
      <c r="B874" s="13" t="s">
        <v>2167</v>
      </c>
      <c r="C874" s="13" t="s">
        <v>506</v>
      </c>
      <c r="D874" s="13" t="s">
        <v>507</v>
      </c>
      <c r="E874" s="13" t="s">
        <v>2168</v>
      </c>
      <c r="F874" s="14">
        <v>60.478866666666697</v>
      </c>
      <c r="G874" s="13">
        <v>64</v>
      </c>
      <c r="H874" s="13">
        <v>55.29</v>
      </c>
      <c r="I874" s="13">
        <v>43.98</v>
      </c>
      <c r="J874" s="14">
        <v>47.461420392060376</v>
      </c>
      <c r="K874" s="14">
        <v>57.208722608738647</v>
      </c>
      <c r="L874" s="14">
        <v>58.673526083388971</v>
      </c>
      <c r="M874" s="14">
        <v>56.748899999999999</v>
      </c>
      <c r="N874" s="14">
        <f t="shared" si="351"/>
        <v>55.937216666666671</v>
      </c>
      <c r="O874" s="14">
        <f t="shared" si="352"/>
        <v>55.023142271046993</v>
      </c>
      <c r="P874" s="14">
        <f t="shared" si="368"/>
        <v>55.480179468856832</v>
      </c>
      <c r="Q874" s="14">
        <v>62.437591803199908</v>
      </c>
      <c r="R874" s="17">
        <f t="shared" si="353"/>
        <v>37.562408196800092</v>
      </c>
      <c r="S874" s="14">
        <f t="shared" si="369"/>
        <v>0.43806167377120087</v>
      </c>
      <c r="T874" s="13">
        <v>0</v>
      </c>
      <c r="U874" s="13">
        <f t="shared" si="370"/>
        <v>24.303740279254036</v>
      </c>
      <c r="V874" s="13">
        <f>IF($T874=1,$AU874,(VLOOKUP(U874,'Cortes naturales'!$A$35:$C$39,3,9)))</f>
        <v>4</v>
      </c>
      <c r="W874" s="13">
        <v>4</v>
      </c>
      <c r="X874" s="14" t="b">
        <f t="shared" si="354"/>
        <v>1</v>
      </c>
      <c r="Y874" s="17">
        <f>IF($T874=1,$AU874,VLOOKUP(U874,'Cortes naturales'!$A$45:$C$49,3,9))</f>
        <v>4</v>
      </c>
      <c r="Z874" s="14">
        <v>56.962708501813992</v>
      </c>
      <c r="AA874" s="14">
        <v>0.44595912897175061</v>
      </c>
      <c r="AB874" s="14">
        <v>25.403039867340702</v>
      </c>
      <c r="AC874" s="13">
        <v>4</v>
      </c>
      <c r="AD874" s="13">
        <f t="shared" si="355"/>
        <v>0</v>
      </c>
      <c r="AE874" s="14">
        <f t="shared" si="356"/>
        <v>-1.4825290329571601</v>
      </c>
      <c r="AF874" s="14">
        <f t="shared" si="357"/>
        <v>-7.8974552005497411E-3</v>
      </c>
      <c r="AG874" s="13">
        <f t="shared" si="358"/>
        <v>-1.0992995880866658</v>
      </c>
      <c r="AH874" s="13">
        <f>IF($T874=1,$AU874,VLOOKUP(U874,'Cortes naturales'!$A$25:$C$29,3,9))</f>
        <v>4</v>
      </c>
      <c r="AI874" s="13" t="b">
        <f t="shared" si="359"/>
        <v>1</v>
      </c>
      <c r="AJ874" s="13">
        <f t="shared" si="360"/>
        <v>0</v>
      </c>
      <c r="AK874" s="28">
        <v>0.6523467210059386</v>
      </c>
      <c r="AL874" s="28">
        <v>37.159436110775459</v>
      </c>
      <c r="AM874" s="28">
        <v>0.29419936416611875</v>
      </c>
      <c r="AN874" s="13">
        <v>4</v>
      </c>
      <c r="AO874" s="33">
        <f t="shared" si="361"/>
        <v>0</v>
      </c>
      <c r="AP874" s="13">
        <f t="shared" si="371"/>
        <v>29.419936416611876</v>
      </c>
      <c r="AQ874" s="13">
        <f>IFERROR(VLOOKUP(U874,'Cortes naturales'!$E$15:$G$19,3,9),U874)</f>
        <v>4</v>
      </c>
      <c r="AR874" s="28">
        <f t="shared" si="362"/>
        <v>-0.21428504723473774</v>
      </c>
      <c r="AS874" s="13" t="b">
        <f t="shared" si="363"/>
        <v>1</v>
      </c>
      <c r="AT874" s="13">
        <f t="shared" si="372"/>
        <v>0</v>
      </c>
      <c r="AU874" s="13">
        <v>4</v>
      </c>
      <c r="AV874">
        <f t="shared" si="364"/>
        <v>0</v>
      </c>
      <c r="AW874" s="13">
        <v>0</v>
      </c>
      <c r="AX874" s="13">
        <v>0</v>
      </c>
      <c r="AY874" s="13">
        <v>0</v>
      </c>
      <c r="AZ874" s="13">
        <v>0</v>
      </c>
      <c r="BA874">
        <v>0</v>
      </c>
      <c r="BB874" t="s">
        <v>2840</v>
      </c>
      <c r="BC874">
        <v>6</v>
      </c>
      <c r="BD874" t="s">
        <v>2919</v>
      </c>
      <c r="BE874">
        <v>0</v>
      </c>
      <c r="BF874" s="232" t="s">
        <v>2846</v>
      </c>
      <c r="BG874" s="232" t="s">
        <v>2846</v>
      </c>
      <c r="BH874" s="253">
        <v>34.9</v>
      </c>
      <c r="BI874" s="253">
        <v>13.549337260677467</v>
      </c>
      <c r="BJ874" s="25">
        <v>18.740381095912852</v>
      </c>
      <c r="BK874" t="s">
        <v>379</v>
      </c>
      <c r="BL874">
        <v>1.6444894299032706</v>
      </c>
      <c r="BM874" t="s">
        <v>383</v>
      </c>
      <c r="BN874" s="322">
        <v>22178.128249000001</v>
      </c>
      <c r="BO874" s="322">
        <v>3828.3643179999999</v>
      </c>
      <c r="BP874" s="10">
        <v>10927</v>
      </c>
      <c r="BQ874" s="254">
        <f t="shared" si="365"/>
        <v>2.0296630593026448</v>
      </c>
      <c r="BR874" s="254">
        <f t="shared" si="366"/>
        <v>0.35035822439827946</v>
      </c>
      <c r="BS874" s="25">
        <v>54.854330144896181</v>
      </c>
      <c r="BT874" s="25">
        <v>83.294973089594578</v>
      </c>
      <c r="BU874" s="25">
        <v>55.302987581145914</v>
      </c>
      <c r="BV874" s="25">
        <v>94.648742690335283</v>
      </c>
      <c r="BW874" s="25">
        <v>57.812678474295041</v>
      </c>
      <c r="BX874" s="25">
        <v>72.025258376492985</v>
      </c>
      <c r="BY874" s="25">
        <v>58.018150812826462</v>
      </c>
      <c r="BZ874">
        <v>13</v>
      </c>
      <c r="CA874">
        <v>0</v>
      </c>
      <c r="CB874">
        <v>7</v>
      </c>
      <c r="CC874">
        <v>55846.585304</v>
      </c>
      <c r="CD874" s="10">
        <v>4338.5413429999999</v>
      </c>
      <c r="CE874" s="255">
        <v>7.7686779225322716E-2</v>
      </c>
      <c r="CF874" t="str">
        <f>IFERROR(VLOOKUP(CE874,'Rangos amb etnico'!$A$2:$C$6,3,9),"N.D.")</f>
        <v>0,1% - 30%</v>
      </c>
      <c r="CG874" s="256">
        <v>1.2622452251630741E-4</v>
      </c>
      <c r="CH874" s="232">
        <v>0</v>
      </c>
      <c r="CI874" s="311">
        <f t="shared" si="373"/>
        <v>0</v>
      </c>
      <c r="CJ874" s="232">
        <f>IFERROR(VLOOKUP(CI874,'Rangos amb etnico'!$A$2:$C$6,3,9),"N.D.")</f>
        <v>0</v>
      </c>
      <c r="CK874" s="311">
        <f t="shared" si="374"/>
        <v>0</v>
      </c>
      <c r="CL874" s="10">
        <v>0</v>
      </c>
      <c r="CM874" s="255">
        <f t="shared" si="375"/>
        <v>0</v>
      </c>
      <c r="CN874" s="232">
        <f>IFERROR(VLOOKUP(CM874,'Rangos amb etnico'!$A$2:$C$6,3,9),"N.D.")</f>
        <v>0</v>
      </c>
      <c r="CO874" s="311">
        <f t="shared" si="376"/>
        <v>0</v>
      </c>
      <c r="CP874">
        <v>0.83807230505784136</v>
      </c>
      <c r="CQ874" t="s">
        <v>2865</v>
      </c>
      <c r="CR874">
        <f t="shared" si="367"/>
        <v>1</v>
      </c>
      <c r="CS874" t="str">
        <f t="shared" si="377"/>
        <v>No es Candidato</v>
      </c>
      <c r="CT874">
        <v>0</v>
      </c>
      <c r="CU874">
        <v>0</v>
      </c>
      <c r="CV874" s="25">
        <v>50.399765014648438</v>
      </c>
      <c r="CW874" s="25">
        <v>22.857112884521481</v>
      </c>
      <c r="CX874" s="25">
        <v>47.512405395507813</v>
      </c>
      <c r="CY874" s="25">
        <v>56.279678344726563</v>
      </c>
      <c r="CZ874" s="25">
        <v>26.939743041992191</v>
      </c>
      <c r="DA874" s="25">
        <v>84.25762939453125</v>
      </c>
      <c r="DB874" s="25">
        <v>64.552032470703125</v>
      </c>
      <c r="DC874">
        <v>229</v>
      </c>
      <c r="DD874" s="253" t="s">
        <v>380</v>
      </c>
    </row>
    <row r="875" spans="1:108" hidden="1">
      <c r="A875" s="13">
        <v>25653</v>
      </c>
      <c r="B875" s="13" t="s">
        <v>2169</v>
      </c>
      <c r="C875" s="13" t="s">
        <v>461</v>
      </c>
      <c r="D875" s="13" t="s">
        <v>462</v>
      </c>
      <c r="E875" s="13" t="s">
        <v>1470</v>
      </c>
      <c r="F875" s="14">
        <v>73.893133333333296</v>
      </c>
      <c r="G875" s="13">
        <v>82.45</v>
      </c>
      <c r="H875" s="13">
        <v>76.180000000000007</v>
      </c>
      <c r="I875" s="13">
        <v>71.959999999999994</v>
      </c>
      <c r="J875" s="14">
        <v>63.882764307214259</v>
      </c>
      <c r="K875" s="14">
        <v>48.31321099128354</v>
      </c>
      <c r="L875" s="14">
        <v>59.41739627043836</v>
      </c>
      <c r="M875" s="14">
        <v>51.432400000000001</v>
      </c>
      <c r="N875" s="14">
        <f t="shared" si="351"/>
        <v>76.120783333333321</v>
      </c>
      <c r="O875" s="14">
        <f t="shared" si="352"/>
        <v>55.761442892234037</v>
      </c>
      <c r="P875" s="14">
        <f t="shared" si="368"/>
        <v>65.941113112783682</v>
      </c>
      <c r="Q875" s="14">
        <v>63.428173264302323</v>
      </c>
      <c r="R875" s="17">
        <f t="shared" si="353"/>
        <v>36.571826735697677</v>
      </c>
      <c r="S875" s="14">
        <f t="shared" si="369"/>
        <v>0.42914644062127916</v>
      </c>
      <c r="T875" s="13">
        <v>0</v>
      </c>
      <c r="U875" s="13">
        <f t="shared" si="370"/>
        <v>28.298393982956274</v>
      </c>
      <c r="V875" s="13">
        <f>IF($T875=1,$AU875,(VLOOKUP(U875,'Cortes naturales'!$A$35:$C$39,3,9)))</f>
        <v>4</v>
      </c>
      <c r="W875" s="13">
        <v>4</v>
      </c>
      <c r="X875" s="14" t="b">
        <f t="shared" si="354"/>
        <v>1</v>
      </c>
      <c r="Y875" s="17">
        <f>IF($T875=1,$AU875,VLOOKUP(U875,'Cortes naturales'!$A$45:$C$49,3,9))</f>
        <v>4</v>
      </c>
      <c r="Z875" s="14">
        <v>68.193140662351695</v>
      </c>
      <c r="AA875" s="14">
        <v>0.4447321142629963</v>
      </c>
      <c r="AB875" s="14">
        <v>30.327679625001572</v>
      </c>
      <c r="AC875" s="13">
        <v>3</v>
      </c>
      <c r="AD875" s="13">
        <f t="shared" si="355"/>
        <v>-1</v>
      </c>
      <c r="AE875" s="14">
        <f t="shared" si="356"/>
        <v>-2.2520275495680124</v>
      </c>
      <c r="AF875" s="14">
        <f t="shared" si="357"/>
        <v>-1.5585673641717146E-2</v>
      </c>
      <c r="AG875" s="13">
        <f t="shared" si="358"/>
        <v>-2.0292856420452985</v>
      </c>
      <c r="AH875" s="13">
        <f>IF($T875=1,$AU875,VLOOKUP(U875,'Cortes naturales'!$A$25:$C$29,3,9))</f>
        <v>3</v>
      </c>
      <c r="AI875" s="13" t="b">
        <f t="shared" si="359"/>
        <v>0</v>
      </c>
      <c r="AJ875" s="13" t="str">
        <f t="shared" si="360"/>
        <v>Cambio en corte</v>
      </c>
      <c r="AK875" s="28">
        <v>0.6523467210059386</v>
      </c>
      <c r="AL875" s="28">
        <v>44.485571706181865</v>
      </c>
      <c r="AM875" s="28">
        <v>0.38584159798982204</v>
      </c>
      <c r="AN875" s="13">
        <v>3</v>
      </c>
      <c r="AO875" s="33">
        <f t="shared" si="361"/>
        <v>-1</v>
      </c>
      <c r="AP875" s="13">
        <f t="shared" si="371"/>
        <v>38.584159798982206</v>
      </c>
      <c r="AQ875" s="13">
        <f>IFERROR(VLOOKUP(U875,'Cortes naturales'!$E$15:$G$19,3,9),U875)</f>
        <v>4</v>
      </c>
      <c r="AR875" s="28">
        <f t="shared" si="362"/>
        <v>-0.22320028038465944</v>
      </c>
      <c r="AS875" s="13" t="b">
        <f t="shared" si="363"/>
        <v>1</v>
      </c>
      <c r="AT875" s="13" t="str">
        <f t="shared" si="372"/>
        <v>Efecto ponderador</v>
      </c>
      <c r="AU875" s="13">
        <v>4</v>
      </c>
      <c r="AV875">
        <f t="shared" si="364"/>
        <v>0</v>
      </c>
      <c r="AW875" s="13">
        <v>0</v>
      </c>
      <c r="AX875" s="13">
        <v>0</v>
      </c>
      <c r="AY875" s="13">
        <v>0</v>
      </c>
      <c r="AZ875" s="13">
        <v>0</v>
      </c>
      <c r="BA875">
        <v>0</v>
      </c>
      <c r="BB875" t="s">
        <v>2841</v>
      </c>
      <c r="BC875">
        <v>6</v>
      </c>
      <c r="BD875" t="s">
        <v>2919</v>
      </c>
      <c r="BE875">
        <v>0</v>
      </c>
      <c r="BF875" s="232" t="s">
        <v>2846</v>
      </c>
      <c r="BG875" s="232" t="s">
        <v>2846</v>
      </c>
      <c r="BH875" s="253">
        <v>36.9</v>
      </c>
      <c r="BI875" s="253">
        <v>8.0385852090032159</v>
      </c>
      <c r="BJ875" s="25">
        <v>2.1266666666666665</v>
      </c>
      <c r="BK875" t="s">
        <v>381</v>
      </c>
      <c r="BL875">
        <v>0</v>
      </c>
      <c r="BM875" t="s">
        <v>377</v>
      </c>
      <c r="BN875" s="322">
        <v>11775.456980999999</v>
      </c>
      <c r="BO875" s="322">
        <v>850.999099</v>
      </c>
      <c r="BP875" s="10">
        <v>4839</v>
      </c>
      <c r="BQ875" s="254">
        <f t="shared" si="365"/>
        <v>2.4334484358338497</v>
      </c>
      <c r="BR875" s="254">
        <f t="shared" si="366"/>
        <v>0.1758625953709444</v>
      </c>
      <c r="BS875" s="25">
        <v>42.878925709335057</v>
      </c>
      <c r="BT875" s="25">
        <v>73.112212156092852</v>
      </c>
      <c r="BU875" s="25">
        <v>33.196366294524168</v>
      </c>
      <c r="BV875" s="25">
        <v>95.576910162564971</v>
      </c>
      <c r="BW875" s="25">
        <v>58.655892997014867</v>
      </c>
      <c r="BX875" s="25">
        <v>61.19110358062926</v>
      </c>
      <c r="BY875" s="25">
        <v>58.842323202943383</v>
      </c>
      <c r="BZ875">
        <v>33</v>
      </c>
      <c r="CA875">
        <v>0</v>
      </c>
      <c r="CB875">
        <v>7</v>
      </c>
      <c r="CC875">
        <v>28744.813072000001</v>
      </c>
      <c r="CD875" s="10">
        <v>1756.701182</v>
      </c>
      <c r="CE875" s="255">
        <v>6.111367562557514E-2</v>
      </c>
      <c r="CF875" t="str">
        <f>IFERROR(VLOOKUP(CE875,'Rangos amb etnico'!$A$2:$C$6,3,9),"N.D.")</f>
        <v>0,1% - 30%</v>
      </c>
      <c r="CG875" s="256">
        <v>5.1109059559740347E-5</v>
      </c>
      <c r="CH875" s="232">
        <v>0</v>
      </c>
      <c r="CI875" s="311">
        <f t="shared" si="373"/>
        <v>0</v>
      </c>
      <c r="CJ875" s="232">
        <f>IFERROR(VLOOKUP(CI875,'Rangos amb etnico'!$A$2:$C$6,3,9),"N.D.")</f>
        <v>0</v>
      </c>
      <c r="CK875" s="311">
        <f t="shared" si="374"/>
        <v>0</v>
      </c>
      <c r="CL875" s="10">
        <v>0</v>
      </c>
      <c r="CM875" s="255">
        <f t="shared" si="375"/>
        <v>0</v>
      </c>
      <c r="CN875" s="232">
        <f>IFERROR(VLOOKUP(CM875,'Rangos amb etnico'!$A$2:$C$6,3,9),"N.D.")</f>
        <v>0</v>
      </c>
      <c r="CO875" s="311">
        <f t="shared" si="376"/>
        <v>0</v>
      </c>
      <c r="CP875">
        <v>0.94879686962476839</v>
      </c>
      <c r="CQ875" t="s">
        <v>2864</v>
      </c>
      <c r="CR875">
        <f t="shared" si="367"/>
        <v>2</v>
      </c>
      <c r="CS875" t="str">
        <f t="shared" si="377"/>
        <v>No es Candidato</v>
      </c>
      <c r="CT875">
        <v>0</v>
      </c>
      <c r="CU875">
        <v>0</v>
      </c>
      <c r="CV875" s="25">
        <v>48.417221069335938</v>
      </c>
      <c r="CW875" s="25">
        <v>11.19849109649658</v>
      </c>
      <c r="CX875" s="25">
        <v>50.721080780029297</v>
      </c>
      <c r="CY875" s="25">
        <v>54.512706756591797</v>
      </c>
      <c r="CZ875" s="25">
        <v>38.144977569580078</v>
      </c>
      <c r="DA875" s="25">
        <v>90.270805358886719</v>
      </c>
      <c r="DB875" s="25">
        <v>45.655277252197273</v>
      </c>
      <c r="DC875">
        <v>50</v>
      </c>
      <c r="DD875" s="253" t="s">
        <v>380</v>
      </c>
    </row>
    <row r="876" spans="1:108" hidden="1">
      <c r="A876" s="13">
        <v>86760</v>
      </c>
      <c r="B876" s="13" t="s">
        <v>2170</v>
      </c>
      <c r="C876" s="13" t="s">
        <v>943</v>
      </c>
      <c r="D876" s="13" t="s">
        <v>944</v>
      </c>
      <c r="E876" s="13" t="s">
        <v>2116</v>
      </c>
      <c r="F876" s="14">
        <v>56.455166666666699</v>
      </c>
      <c r="G876" s="13">
        <v>51.46</v>
      </c>
      <c r="H876" s="13">
        <v>47.28</v>
      </c>
      <c r="I876" s="13">
        <v>55.14</v>
      </c>
      <c r="J876" s="14">
        <v>57.896449312574816</v>
      </c>
      <c r="K876" s="14">
        <v>58.173038210228071</v>
      </c>
      <c r="L876" s="14">
        <v>56.396226335675429</v>
      </c>
      <c r="M876" s="14">
        <v>72.309700000000007</v>
      </c>
      <c r="N876" s="14">
        <f t="shared" si="351"/>
        <v>52.58379166666667</v>
      </c>
      <c r="O876" s="14">
        <f t="shared" si="352"/>
        <v>61.193853464619579</v>
      </c>
      <c r="P876" s="14">
        <f t="shared" si="368"/>
        <v>56.888822565643125</v>
      </c>
      <c r="Q876" s="14">
        <v>62.843718296304218</v>
      </c>
      <c r="R876" s="17">
        <f t="shared" si="353"/>
        <v>37.156281703695782</v>
      </c>
      <c r="S876" s="14">
        <f t="shared" si="369"/>
        <v>0.43440653533326201</v>
      </c>
      <c r="T876" s="13">
        <v>0</v>
      </c>
      <c r="U876" s="13">
        <f t="shared" si="370"/>
        <v>24.712876309929722</v>
      </c>
      <c r="V876" s="13">
        <f>IF($T876=1,$AU876,(VLOOKUP(U876,'Cortes naturales'!$A$35:$C$39,3,9)))</f>
        <v>4</v>
      </c>
      <c r="W876" s="13">
        <v>4</v>
      </c>
      <c r="X876" s="14" t="b">
        <f t="shared" si="354"/>
        <v>1</v>
      </c>
      <c r="Y876" s="17">
        <f>IF($T876=1,$AU876,VLOOKUP(U876,'Cortes naturales'!$A$45:$C$49,3,9))</f>
        <v>4</v>
      </c>
      <c r="Z876" s="14">
        <v>54.726332355635904</v>
      </c>
      <c r="AA876" s="14">
        <v>0.44507161028810305</v>
      </c>
      <c r="AB876" s="14">
        <v>24.357136866684787</v>
      </c>
      <c r="AC876" s="13">
        <v>4</v>
      </c>
      <c r="AD876" s="13">
        <f t="shared" si="355"/>
        <v>0</v>
      </c>
      <c r="AE876" s="14">
        <f t="shared" si="356"/>
        <v>2.1624902100072205</v>
      </c>
      <c r="AF876" s="14">
        <f t="shared" si="357"/>
        <v>-1.0665074954841036E-2</v>
      </c>
      <c r="AG876" s="13">
        <f t="shared" si="358"/>
        <v>0.35573944324493567</v>
      </c>
      <c r="AH876" s="13">
        <f>IF($T876=1,$AU876,VLOOKUP(U876,'Cortes naturales'!$A$25:$C$29,3,9))</f>
        <v>4</v>
      </c>
      <c r="AI876" s="13" t="b">
        <f t="shared" si="359"/>
        <v>1</v>
      </c>
      <c r="AJ876" s="13">
        <f t="shared" si="360"/>
        <v>0</v>
      </c>
      <c r="AK876" s="28">
        <v>0.6523467210059386</v>
      </c>
      <c r="AL876" s="28">
        <v>35.700543464880283</v>
      </c>
      <c r="AM876" s="28">
        <v>0.27595015498377212</v>
      </c>
      <c r="AN876" s="13">
        <v>4</v>
      </c>
      <c r="AO876" s="33">
        <f t="shared" si="361"/>
        <v>0</v>
      </c>
      <c r="AP876" s="13">
        <f t="shared" si="371"/>
        <v>27.595015498377212</v>
      </c>
      <c r="AQ876" s="13">
        <f>IFERROR(VLOOKUP(U876,'Cortes naturales'!$E$15:$G$19,3,9),U876)</f>
        <v>4</v>
      </c>
      <c r="AR876" s="28">
        <f t="shared" si="362"/>
        <v>-0.21794018567267659</v>
      </c>
      <c r="AS876" s="13" t="b">
        <f t="shared" si="363"/>
        <v>1</v>
      </c>
      <c r="AT876" s="13">
        <f t="shared" si="372"/>
        <v>0</v>
      </c>
      <c r="AU876" s="13">
        <v>4</v>
      </c>
      <c r="AV876">
        <f t="shared" si="364"/>
        <v>0</v>
      </c>
      <c r="AW876" s="13">
        <v>0</v>
      </c>
      <c r="AX876" s="13">
        <v>0</v>
      </c>
      <c r="AY876" s="13">
        <v>0</v>
      </c>
      <c r="AZ876" s="13">
        <v>0</v>
      </c>
      <c r="BA876">
        <v>0</v>
      </c>
      <c r="BB876" t="s">
        <v>2840</v>
      </c>
      <c r="BC876">
        <v>6</v>
      </c>
      <c r="BD876" t="s">
        <v>2919</v>
      </c>
      <c r="BE876">
        <v>0</v>
      </c>
      <c r="BF876" s="232" t="s">
        <v>2846</v>
      </c>
      <c r="BG876" s="232" t="s">
        <v>2846</v>
      </c>
      <c r="BH876" s="253">
        <v>37.200000000000003</v>
      </c>
      <c r="BI876" s="253">
        <v>23.669159700835898</v>
      </c>
      <c r="BJ876" s="25">
        <v>18.391111111111112</v>
      </c>
      <c r="BK876" t="s">
        <v>379</v>
      </c>
      <c r="BL876">
        <v>1.5977799026140289</v>
      </c>
      <c r="BM876" t="s">
        <v>383</v>
      </c>
      <c r="BN876" s="322">
        <v>26599.286760999999</v>
      </c>
      <c r="BO876" s="322">
        <v>2345.280123</v>
      </c>
      <c r="BP876" s="10">
        <v>7308</v>
      </c>
      <c r="BQ876" s="254">
        <f t="shared" si="365"/>
        <v>3.6397491462780516</v>
      </c>
      <c r="BR876" s="254">
        <f t="shared" si="366"/>
        <v>0.32091955706075531</v>
      </c>
      <c r="BS876" s="25">
        <v>66.717813221348806</v>
      </c>
      <c r="BT876" s="25">
        <v>97.491039999999998</v>
      </c>
      <c r="BU876" s="25">
        <v>37.311957321559973</v>
      </c>
      <c r="BV876" s="25">
        <v>95.919897007989519</v>
      </c>
      <c r="BW876" s="25">
        <v>57.523359057401173</v>
      </c>
      <c r="BX876" s="25">
        <v>74.360176887724577</v>
      </c>
      <c r="BY876" s="25">
        <v>58.991943382980388</v>
      </c>
      <c r="BZ876">
        <v>80</v>
      </c>
      <c r="CA876">
        <v>0</v>
      </c>
      <c r="CB876">
        <v>7</v>
      </c>
      <c r="CC876">
        <v>34216.073781999999</v>
      </c>
      <c r="CD876" s="10">
        <v>17450.769371999999</v>
      </c>
      <c r="CE876" s="255">
        <v>0.51001670978335045</v>
      </c>
      <c r="CF876" t="str">
        <f>IFERROR(VLOOKUP(CE876,'Rangos amb etnico'!$A$2:$C$6,3,9),"N.D.")</f>
        <v>31% - 50%</v>
      </c>
      <c r="CG876" s="256">
        <v>5.0770866458996926E-4</v>
      </c>
      <c r="CH876" s="232">
        <v>19981.691112</v>
      </c>
      <c r="CI876" s="311">
        <f t="shared" si="373"/>
        <v>0.58398550457042031</v>
      </c>
      <c r="CJ876" s="232" t="str">
        <f>IFERROR(VLOOKUP(CI876,'Rangos amb etnico'!$A$2:$C$6,3,9),"N.D.")</f>
        <v>51% - 70%</v>
      </c>
      <c r="CK876" s="311">
        <f t="shared" si="374"/>
        <v>7.9340396128409652E-4</v>
      </c>
      <c r="CL876" s="10">
        <v>0</v>
      </c>
      <c r="CM876" s="255">
        <f t="shared" si="375"/>
        <v>0</v>
      </c>
      <c r="CN876" s="232">
        <f>IFERROR(VLOOKUP(CM876,'Rangos amb etnico'!$A$2:$C$6,3,9),"N.D.")</f>
        <v>0</v>
      </c>
      <c r="CO876" s="311">
        <f t="shared" si="376"/>
        <v>0</v>
      </c>
      <c r="CP876">
        <v>0.9658076661388606</v>
      </c>
      <c r="CQ876" t="s">
        <v>2864</v>
      </c>
      <c r="CR876">
        <f t="shared" si="367"/>
        <v>2</v>
      </c>
      <c r="CS876" t="str">
        <f t="shared" si="377"/>
        <v>No es Candidato</v>
      </c>
      <c r="CT876">
        <v>0</v>
      </c>
      <c r="CU876">
        <v>0</v>
      </c>
      <c r="CV876" s="25">
        <v>49.300941467285163</v>
      </c>
      <c r="CW876" s="25">
        <v>24.35736083984375</v>
      </c>
      <c r="CX876" s="25">
        <v>25.72650146484375</v>
      </c>
      <c r="CY876" s="25">
        <v>56.997230529785163</v>
      </c>
      <c r="CZ876" s="25">
        <v>36.2142333984375</v>
      </c>
      <c r="DA876" s="25">
        <v>90.498245239257813</v>
      </c>
      <c r="DB876" s="25">
        <v>62.0120849609375</v>
      </c>
      <c r="DC876">
        <v>4511</v>
      </c>
      <c r="DD876" s="253" t="s">
        <v>380</v>
      </c>
    </row>
    <row r="877" spans="1:108" hidden="1">
      <c r="A877" s="13">
        <v>54128</v>
      </c>
      <c r="B877" s="13" t="s">
        <v>2171</v>
      </c>
      <c r="C877" s="13" t="s">
        <v>517</v>
      </c>
      <c r="D877" s="13" t="s">
        <v>518</v>
      </c>
      <c r="E877" s="13" t="s">
        <v>2172</v>
      </c>
      <c r="F877" s="14">
        <v>53.7057</v>
      </c>
      <c r="G877" s="13">
        <v>46.01</v>
      </c>
      <c r="H877" s="13">
        <v>51.41</v>
      </c>
      <c r="I877" s="13">
        <v>51.58</v>
      </c>
      <c r="J877" s="14">
        <v>52.535762841234444</v>
      </c>
      <c r="K877" s="14">
        <v>49.735288506179785</v>
      </c>
      <c r="L877" s="14">
        <v>52.890884166442575</v>
      </c>
      <c r="M877" s="14">
        <v>49.531300000000002</v>
      </c>
      <c r="N877" s="14">
        <f t="shared" si="351"/>
        <v>50.676424999999995</v>
      </c>
      <c r="O877" s="14">
        <f t="shared" si="352"/>
        <v>51.173308878464198</v>
      </c>
      <c r="P877" s="14">
        <f t="shared" si="368"/>
        <v>50.924866939232096</v>
      </c>
      <c r="Q877" s="14">
        <v>62.830348949146163</v>
      </c>
      <c r="R877" s="17">
        <f t="shared" si="353"/>
        <v>37.169651050853837</v>
      </c>
      <c r="S877" s="14">
        <f t="shared" si="369"/>
        <v>0.43452685945768454</v>
      </c>
      <c r="T877" s="13">
        <v>0</v>
      </c>
      <c r="U877" s="13">
        <f t="shared" si="370"/>
        <v>22.128222499404991</v>
      </c>
      <c r="V877" s="13">
        <f>IF($T877=1,$AU877,(VLOOKUP(U877,'Cortes naturales'!$A$35:$C$39,3,9)))</f>
        <v>4</v>
      </c>
      <c r="W877" s="13">
        <v>4</v>
      </c>
      <c r="X877" s="14" t="b">
        <f t="shared" si="354"/>
        <v>1</v>
      </c>
      <c r="Y877" s="17">
        <f>IF($T877=1,$AU877,VLOOKUP(U877,'Cortes naturales'!$A$45:$C$49,3,9))</f>
        <v>4</v>
      </c>
      <c r="Z877" s="14">
        <v>51.569325473637676</v>
      </c>
      <c r="AA877" s="14">
        <v>0.44154144895182612</v>
      </c>
      <c r="AB877" s="14">
        <v>22.769994691098297</v>
      </c>
      <c r="AC877" s="13">
        <v>4</v>
      </c>
      <c r="AD877" s="13">
        <f t="shared" si="355"/>
        <v>0</v>
      </c>
      <c r="AE877" s="14">
        <f t="shared" si="356"/>
        <v>-0.64445853440557954</v>
      </c>
      <c r="AF877" s="14">
        <f t="shared" si="357"/>
        <v>-7.0145894941415765E-3</v>
      </c>
      <c r="AG877" s="13">
        <f t="shared" si="358"/>
        <v>-0.64177219169330613</v>
      </c>
      <c r="AH877" s="13">
        <f>IF($T877=1,$AU877,VLOOKUP(U877,'Cortes naturales'!$A$25:$C$29,3,9))</f>
        <v>4</v>
      </c>
      <c r="AI877" s="13" t="b">
        <f t="shared" si="359"/>
        <v>1</v>
      </c>
      <c r="AJ877" s="13">
        <f t="shared" si="360"/>
        <v>0</v>
      </c>
      <c r="AK877" s="28">
        <v>0.6523467210059386</v>
      </c>
      <c r="AL877" s="28">
        <v>33.641080377215559</v>
      </c>
      <c r="AM877" s="28">
        <v>0.25018844263580581</v>
      </c>
      <c r="AN877" s="13">
        <v>4</v>
      </c>
      <c r="AO877" s="33">
        <f t="shared" si="361"/>
        <v>0</v>
      </c>
      <c r="AP877" s="13">
        <f t="shared" si="371"/>
        <v>25.018844263580579</v>
      </c>
      <c r="AQ877" s="13">
        <f>IFERROR(VLOOKUP(U877,'Cortes naturales'!$E$15:$G$19,3,9),U877)</f>
        <v>4</v>
      </c>
      <c r="AR877" s="28">
        <f t="shared" si="362"/>
        <v>-0.21781986154825406</v>
      </c>
      <c r="AS877" s="13" t="b">
        <f t="shared" si="363"/>
        <v>1</v>
      </c>
      <c r="AT877" s="13">
        <f t="shared" si="372"/>
        <v>0</v>
      </c>
      <c r="AU877" s="13">
        <v>4</v>
      </c>
      <c r="AV877">
        <f t="shared" si="364"/>
        <v>0</v>
      </c>
      <c r="AW877" s="13">
        <v>0</v>
      </c>
      <c r="AX877" s="13">
        <v>0</v>
      </c>
      <c r="AY877" s="13">
        <v>0</v>
      </c>
      <c r="AZ877" s="13">
        <v>0</v>
      </c>
      <c r="BA877">
        <v>0</v>
      </c>
      <c r="BB877" t="s">
        <v>2841</v>
      </c>
      <c r="BC877">
        <v>6</v>
      </c>
      <c r="BD877" t="s">
        <v>2919</v>
      </c>
      <c r="BE877">
        <v>1</v>
      </c>
      <c r="BF877" s="232" t="s">
        <v>2846</v>
      </c>
      <c r="BG877" s="232" t="s">
        <v>2846</v>
      </c>
      <c r="BH877" s="253">
        <v>56.4</v>
      </c>
      <c r="BI877" s="253">
        <v>25.040499884286046</v>
      </c>
      <c r="BJ877" s="25">
        <v>39.032782559999994</v>
      </c>
      <c r="BK877" t="s">
        <v>376</v>
      </c>
      <c r="BL877">
        <v>3.8953722059096161</v>
      </c>
      <c r="BM877" t="s">
        <v>383</v>
      </c>
      <c r="BN877" s="322">
        <v>22676.343568</v>
      </c>
      <c r="BO877" s="322">
        <v>1533.479331</v>
      </c>
      <c r="BP877" s="10">
        <v>12099</v>
      </c>
      <c r="BQ877" s="254">
        <f t="shared" si="365"/>
        <v>1.8742328761054632</v>
      </c>
      <c r="BR877" s="254">
        <f t="shared" si="366"/>
        <v>0.12674430374411108</v>
      </c>
      <c r="BS877" s="25">
        <v>52.305783371040718</v>
      </c>
      <c r="BT877" s="25">
        <v>83.188968785299053</v>
      </c>
      <c r="BU877" s="25">
        <v>39.129553019495937</v>
      </c>
      <c r="BV877" s="25">
        <v>99.653888470954939</v>
      </c>
      <c r="BW877" s="25">
        <v>65.404348281300344</v>
      </c>
      <c r="BX877" s="25">
        <v>68.569548411697667</v>
      </c>
      <c r="BY877" s="25">
        <v>67.439770527440672</v>
      </c>
      <c r="BZ877">
        <v>1</v>
      </c>
      <c r="CA877">
        <v>0</v>
      </c>
      <c r="CB877">
        <v>7</v>
      </c>
      <c r="CC877">
        <v>61467.165612999997</v>
      </c>
      <c r="CD877" s="10">
        <v>15223.171582999999</v>
      </c>
      <c r="CE877" s="255">
        <v>0.24766347091463048</v>
      </c>
      <c r="CF877" t="str">
        <f>IFERROR(VLOOKUP(CE877,'Rangos amb etnico'!$A$2:$C$6,3,9),"N.D.")</f>
        <v>0,1% - 30%</v>
      </c>
      <c r="CG877" s="256">
        <v>4.4289944761003391E-4</v>
      </c>
      <c r="CH877" s="232">
        <v>0</v>
      </c>
      <c r="CI877" s="311">
        <f t="shared" si="373"/>
        <v>0</v>
      </c>
      <c r="CJ877" s="232">
        <f>IFERROR(VLOOKUP(CI877,'Rangos amb etnico'!$A$2:$C$6,3,9),"N.D.")</f>
        <v>0</v>
      </c>
      <c r="CK877" s="311">
        <f t="shared" si="374"/>
        <v>0</v>
      </c>
      <c r="CL877" s="10">
        <v>0</v>
      </c>
      <c r="CM877" s="255">
        <f t="shared" si="375"/>
        <v>0</v>
      </c>
      <c r="CN877" s="232">
        <f>IFERROR(VLOOKUP(CM877,'Rangos amb etnico'!$A$2:$C$6,3,9),"N.D.")</f>
        <v>0</v>
      </c>
      <c r="CO877" s="311">
        <f t="shared" si="376"/>
        <v>0</v>
      </c>
      <c r="CP877">
        <v>0.95261342007125616</v>
      </c>
      <c r="CQ877" t="s">
        <v>2864</v>
      </c>
      <c r="CR877">
        <f t="shared" si="367"/>
        <v>2</v>
      </c>
      <c r="CS877" t="str">
        <f t="shared" si="377"/>
        <v>No es Candidato</v>
      </c>
      <c r="CT877">
        <v>0</v>
      </c>
      <c r="CU877">
        <v>0</v>
      </c>
      <c r="CV877" s="25">
        <v>47.242523193359382</v>
      </c>
      <c r="CW877" s="25">
        <v>6.9338469505310059</v>
      </c>
      <c r="CX877" s="25">
        <v>49.361976623535163</v>
      </c>
      <c r="CY877" s="25">
        <v>55.087337493896477</v>
      </c>
      <c r="CZ877" s="25">
        <v>31.413589477539059</v>
      </c>
      <c r="DA877" s="25">
        <v>91.841445922851563</v>
      </c>
      <c r="DB877" s="25">
        <v>48.81695556640625</v>
      </c>
      <c r="DC877">
        <v>167</v>
      </c>
      <c r="DD877" s="253" t="s">
        <v>380</v>
      </c>
    </row>
    <row r="878" spans="1:108" hidden="1">
      <c r="A878" s="13">
        <v>86568</v>
      </c>
      <c r="B878" s="13" t="s">
        <v>2173</v>
      </c>
      <c r="C878" s="13" t="s">
        <v>943</v>
      </c>
      <c r="D878" s="13" t="s">
        <v>944</v>
      </c>
      <c r="E878" s="13" t="s">
        <v>2174</v>
      </c>
      <c r="F878" s="14">
        <v>50.946433333333303</v>
      </c>
      <c r="G878" s="13">
        <v>62.89</v>
      </c>
      <c r="H878" s="13">
        <v>57.6</v>
      </c>
      <c r="I878" s="13">
        <v>49.69</v>
      </c>
      <c r="J878" s="14">
        <v>52.047231823544919</v>
      </c>
      <c r="K878" s="14">
        <v>59.722144240489207</v>
      </c>
      <c r="L878" s="14">
        <v>60.501907360810534</v>
      </c>
      <c r="M878" s="14">
        <v>49.074100000000001</v>
      </c>
      <c r="N878" s="14">
        <f t="shared" si="351"/>
        <v>55.281608333333324</v>
      </c>
      <c r="O878" s="14">
        <f t="shared" si="352"/>
        <v>55.336345856211167</v>
      </c>
      <c r="P878" s="14">
        <f t="shared" si="368"/>
        <v>55.308977094772246</v>
      </c>
      <c r="Q878" s="14">
        <v>62.446498208228277</v>
      </c>
      <c r="R878" s="17">
        <f t="shared" si="353"/>
        <v>37.553501791771723</v>
      </c>
      <c r="S878" s="14">
        <f t="shared" si="369"/>
        <v>0.43798151612594549</v>
      </c>
      <c r="T878" s="13">
        <v>0</v>
      </c>
      <c r="U878" s="13">
        <f t="shared" si="370"/>
        <v>24.224309643343542</v>
      </c>
      <c r="V878" s="13">
        <f>IF($T878=1,$AU878,(VLOOKUP(U878,'Cortes naturales'!$A$35:$C$39,3,9)))</f>
        <v>4</v>
      </c>
      <c r="W878" s="13">
        <v>4</v>
      </c>
      <c r="X878" s="14" t="b">
        <f t="shared" si="354"/>
        <v>1</v>
      </c>
      <c r="Y878" s="17">
        <f>IF($T878=1,$AU878,VLOOKUP(U878,'Cortes naturales'!$A$45:$C$49,3,9))</f>
        <v>4</v>
      </c>
      <c r="Z878" s="14">
        <v>55.177650679734455</v>
      </c>
      <c r="AA878" s="14">
        <v>0.44396358956594661</v>
      </c>
      <c r="AB878" s="14">
        <v>24.496867859590804</v>
      </c>
      <c r="AC878" s="13">
        <v>4</v>
      </c>
      <c r="AD878" s="13">
        <f t="shared" si="355"/>
        <v>0</v>
      </c>
      <c r="AE878" s="14">
        <f t="shared" si="356"/>
        <v>0.13132641503779041</v>
      </c>
      <c r="AF878" s="14">
        <f t="shared" si="357"/>
        <v>-5.9820734400011233E-3</v>
      </c>
      <c r="AG878" s="13">
        <f t="shared" si="358"/>
        <v>-0.27255821624726195</v>
      </c>
      <c r="AH878" s="13">
        <f>IF($T878=1,$AU878,VLOOKUP(U878,'Cortes naturales'!$A$25:$C$29,3,9))</f>
        <v>4</v>
      </c>
      <c r="AI878" s="13" t="b">
        <f t="shared" si="359"/>
        <v>1</v>
      </c>
      <c r="AJ878" s="13">
        <f t="shared" si="360"/>
        <v>0</v>
      </c>
      <c r="AK878" s="28">
        <v>0.6523467210059386</v>
      </c>
      <c r="AL878" s="28">
        <v>35.99495949373587</v>
      </c>
      <c r="AM878" s="28">
        <v>0.27963298916100837</v>
      </c>
      <c r="AN878" s="13">
        <v>4</v>
      </c>
      <c r="AO878" s="33">
        <f t="shared" si="361"/>
        <v>0</v>
      </c>
      <c r="AP878" s="13">
        <f t="shared" si="371"/>
        <v>27.963298916100836</v>
      </c>
      <c r="AQ878" s="13">
        <f>IFERROR(VLOOKUP(U878,'Cortes naturales'!$E$15:$G$19,3,9),U878)</f>
        <v>4</v>
      </c>
      <c r="AR878" s="28">
        <f t="shared" si="362"/>
        <v>-0.21436520487999311</v>
      </c>
      <c r="AS878" s="13" t="b">
        <f t="shared" si="363"/>
        <v>1</v>
      </c>
      <c r="AT878" s="13">
        <f t="shared" si="372"/>
        <v>0</v>
      </c>
      <c r="AU878" s="13">
        <v>4</v>
      </c>
      <c r="AV878">
        <f t="shared" si="364"/>
        <v>0</v>
      </c>
      <c r="AW878" s="13">
        <v>0</v>
      </c>
      <c r="AX878" s="13">
        <v>1</v>
      </c>
      <c r="AY878" s="13">
        <v>0</v>
      </c>
      <c r="AZ878" s="13">
        <v>1</v>
      </c>
      <c r="BA878">
        <v>1</v>
      </c>
      <c r="BB878" t="s">
        <v>2838</v>
      </c>
      <c r="BC878">
        <v>6</v>
      </c>
      <c r="BD878" t="s">
        <v>2920</v>
      </c>
      <c r="BE878">
        <v>0</v>
      </c>
      <c r="BF878" s="232" t="s">
        <v>2846</v>
      </c>
      <c r="BG878" s="232" t="s">
        <v>2846</v>
      </c>
      <c r="BH878" s="253">
        <v>44.1</v>
      </c>
      <c r="BI878" s="253">
        <v>19.342262916003506</v>
      </c>
      <c r="BJ878" s="25">
        <v>17.931333333333335</v>
      </c>
      <c r="BK878" t="s">
        <v>379</v>
      </c>
      <c r="BL878">
        <v>49.216271029533587</v>
      </c>
      <c r="BM878" t="s">
        <v>384</v>
      </c>
      <c r="BN878" s="322">
        <v>129907.444112</v>
      </c>
      <c r="BO878" s="322">
        <v>19372.440123</v>
      </c>
      <c r="BP878" s="10">
        <v>71540</v>
      </c>
      <c r="BQ878" s="254">
        <f t="shared" si="365"/>
        <v>1.8158714580933744</v>
      </c>
      <c r="BR878" s="254">
        <f t="shared" si="366"/>
        <v>0.27079172662845963</v>
      </c>
      <c r="BS878" s="25">
        <v>63.976468102944189</v>
      </c>
      <c r="BT878" s="25">
        <v>97.030328307491615</v>
      </c>
      <c r="BU878" s="25">
        <v>51.794352987732474</v>
      </c>
      <c r="BV878" s="25">
        <v>87.435802083831376</v>
      </c>
      <c r="BW878" s="25">
        <v>46.172071487876927</v>
      </c>
      <c r="BX878" s="25">
        <v>75.059237870499913</v>
      </c>
      <c r="BY878" s="25">
        <v>49.928837641335832</v>
      </c>
      <c r="BZ878">
        <v>11</v>
      </c>
      <c r="CA878">
        <v>1</v>
      </c>
      <c r="CB878">
        <v>5</v>
      </c>
      <c r="CC878">
        <v>280238.60161700001</v>
      </c>
      <c r="CD878" s="10">
        <v>9100.6044430000002</v>
      </c>
      <c r="CE878" s="255">
        <v>3.2474485636485327E-2</v>
      </c>
      <c r="CF878" t="str">
        <f>IFERROR(VLOOKUP(CE878,'Rangos amb etnico'!$A$2:$C$6,3,9),"N.D.")</f>
        <v>0,1% - 30%</v>
      </c>
      <c r="CG878" s="256">
        <v>2.6477088947898515E-4</v>
      </c>
      <c r="CH878" s="232">
        <v>33900.352776</v>
      </c>
      <c r="CI878" s="311">
        <f t="shared" si="373"/>
        <v>0.12096960440279159</v>
      </c>
      <c r="CJ878" s="232" t="str">
        <f>IFERROR(VLOOKUP(CI878,'Rangos amb etnico'!$A$2:$C$6,3,9),"N.D.")</f>
        <v>0,1% - 30%</v>
      </c>
      <c r="CK878" s="311">
        <f t="shared" si="374"/>
        <v>1.3460659576132634E-3</v>
      </c>
      <c r="CL878" s="10">
        <v>36158.077765599897</v>
      </c>
      <c r="CM878" s="255">
        <f t="shared" si="375"/>
        <v>0.129026042654241</v>
      </c>
      <c r="CN878" s="232" t="str">
        <f>IFERROR(VLOOKUP(CM878,'Rangos amb etnico'!$A$2:$C$6,3,9),"N.D.")</f>
        <v>0,1% - 30%</v>
      </c>
      <c r="CO878" s="311">
        <f t="shared" si="376"/>
        <v>2.267498172600697E-2</v>
      </c>
      <c r="CP878">
        <v>0.91322569450002455</v>
      </c>
      <c r="CQ878" t="s">
        <v>2864</v>
      </c>
      <c r="CR878">
        <f t="shared" si="367"/>
        <v>1</v>
      </c>
      <c r="CS878" t="str">
        <f t="shared" si="377"/>
        <v>No es Candidato</v>
      </c>
      <c r="CT878">
        <v>1</v>
      </c>
      <c r="CU878" t="s">
        <v>2835</v>
      </c>
      <c r="CV878" s="25">
        <v>36.846519470214837</v>
      </c>
      <c r="CW878" s="25">
        <v>45.280101776123047</v>
      </c>
      <c r="CX878" s="25">
        <v>26.463520050048832</v>
      </c>
      <c r="CY878" s="25">
        <v>52.531059265136719</v>
      </c>
      <c r="CZ878" s="25">
        <v>18.262273788452148</v>
      </c>
      <c r="DA878" s="25">
        <v>38.394847869873047</v>
      </c>
      <c r="DB878" s="25">
        <v>40.147308349609382</v>
      </c>
      <c r="DC878">
        <v>8008</v>
      </c>
      <c r="DD878" s="253" t="s">
        <v>380</v>
      </c>
    </row>
    <row r="879" spans="1:108" hidden="1">
      <c r="A879" s="13">
        <v>25372</v>
      </c>
      <c r="B879" s="13" t="s">
        <v>2175</v>
      </c>
      <c r="C879" s="13" t="s">
        <v>461</v>
      </c>
      <c r="D879" s="13" t="s">
        <v>462</v>
      </c>
      <c r="E879" s="13" t="s">
        <v>2176</v>
      </c>
      <c r="F879" s="14">
        <v>52.495466666666701</v>
      </c>
      <c r="G879" s="13">
        <v>49.35</v>
      </c>
      <c r="H879" s="13">
        <v>27.38</v>
      </c>
      <c r="I879" s="13">
        <v>46.77</v>
      </c>
      <c r="J879" s="14">
        <v>62.115697028636603</v>
      </c>
      <c r="K879" s="14">
        <v>54.109047232311305</v>
      </c>
      <c r="L879" s="14">
        <v>50.996824414552883</v>
      </c>
      <c r="M879" s="14">
        <v>52.701999999999998</v>
      </c>
      <c r="N879" s="14">
        <f t="shared" si="351"/>
        <v>43.998866666666679</v>
      </c>
      <c r="O879" s="14">
        <f t="shared" si="352"/>
        <v>54.980892168875201</v>
      </c>
      <c r="P879" s="14">
        <f t="shared" si="368"/>
        <v>49.489879417770936</v>
      </c>
      <c r="Q879" s="14">
        <v>64.602749781702315</v>
      </c>
      <c r="R879" s="17">
        <f t="shared" si="353"/>
        <v>35.397250218297685</v>
      </c>
      <c r="S879" s="14">
        <f t="shared" si="369"/>
        <v>0.41857525196467915</v>
      </c>
      <c r="T879" s="13">
        <v>0</v>
      </c>
      <c r="U879" s="13">
        <f t="shared" si="370"/>
        <v>20.715238746995059</v>
      </c>
      <c r="V879" s="13">
        <f>IF($T879=1,$AU879,(VLOOKUP(U879,'Cortes naturales'!$A$35:$C$39,3,9)))</f>
        <v>5</v>
      </c>
      <c r="W879" s="13">
        <v>5</v>
      </c>
      <c r="X879" s="14" t="b">
        <f t="shared" si="354"/>
        <v>1</v>
      </c>
      <c r="Y879" s="17">
        <f>IF($T879=1,$AU879,VLOOKUP(U879,'Cortes naturales'!$A$45:$C$49,3,9))</f>
        <v>5</v>
      </c>
      <c r="Z879" s="14">
        <v>49.817333673135863</v>
      </c>
      <c r="AA879" s="14">
        <v>0.44278143578547235</v>
      </c>
      <c r="AB879" s="14">
        <v>22.058190530795056</v>
      </c>
      <c r="AC879" s="13">
        <v>4</v>
      </c>
      <c r="AD879" s="13">
        <f t="shared" si="355"/>
        <v>-1</v>
      </c>
      <c r="AE879" s="14">
        <f t="shared" si="356"/>
        <v>-0.32745425536492689</v>
      </c>
      <c r="AF879" s="14">
        <f t="shared" si="357"/>
        <v>-2.4206183820793203E-2</v>
      </c>
      <c r="AG879" s="13">
        <f t="shared" si="358"/>
        <v>-1.3429517837999967</v>
      </c>
      <c r="AH879" s="13">
        <f>IF($T879=1,$AU879,VLOOKUP(U879,'Cortes naturales'!$A$25:$C$29,3,9))</f>
        <v>4</v>
      </c>
      <c r="AI879" s="13" t="b">
        <f t="shared" si="359"/>
        <v>0</v>
      </c>
      <c r="AJ879" s="13" t="str">
        <f t="shared" si="360"/>
        <v>Cambio en corte</v>
      </c>
      <c r="AK879" s="28">
        <v>0.6523467210059386</v>
      </c>
      <c r="AL879" s="28">
        <v>32.498174270928914</v>
      </c>
      <c r="AM879" s="28">
        <v>0.23589189198275326</v>
      </c>
      <c r="AN879" s="13">
        <v>4</v>
      </c>
      <c r="AO879" s="33">
        <f t="shared" si="361"/>
        <v>-1</v>
      </c>
      <c r="AP879" s="13">
        <f t="shared" si="371"/>
        <v>23.589189198275324</v>
      </c>
      <c r="AQ879" s="13">
        <f>IFERROR(VLOOKUP(U879,'Cortes naturales'!$E$15:$G$19,3,9),U879)</f>
        <v>4</v>
      </c>
      <c r="AR879" s="28">
        <f t="shared" si="362"/>
        <v>-0.23377146904125945</v>
      </c>
      <c r="AS879" s="13" t="b">
        <f t="shared" si="363"/>
        <v>0</v>
      </c>
      <c r="AT879" s="13" t="str">
        <f t="shared" si="372"/>
        <v>Cambio en corte</v>
      </c>
      <c r="AU879" s="13">
        <v>4</v>
      </c>
      <c r="AV879">
        <f t="shared" si="364"/>
        <v>-1</v>
      </c>
      <c r="AW879" s="13">
        <v>0</v>
      </c>
      <c r="AX879" s="13">
        <v>0</v>
      </c>
      <c r="AY879" s="13">
        <v>0</v>
      </c>
      <c r="AZ879" s="13">
        <v>0</v>
      </c>
      <c r="BA879">
        <v>0</v>
      </c>
      <c r="BB879" t="s">
        <v>2841</v>
      </c>
      <c r="BC879">
        <v>6</v>
      </c>
      <c r="BD879" t="s">
        <v>2919</v>
      </c>
      <c r="BE879">
        <v>0</v>
      </c>
      <c r="BF879" s="232" t="s">
        <v>2846</v>
      </c>
      <c r="BG879" s="232" t="s">
        <v>2845</v>
      </c>
      <c r="BH879" s="253">
        <v>57.8</v>
      </c>
      <c r="BI879" s="253">
        <v>16.201654800846644</v>
      </c>
      <c r="BJ879" s="25">
        <v>1.1771778721742103</v>
      </c>
      <c r="BK879" t="s">
        <v>381</v>
      </c>
      <c r="BL879">
        <v>2.8622127879562624</v>
      </c>
      <c r="BM879" t="s">
        <v>383</v>
      </c>
      <c r="BN879" s="322">
        <v>18803.087910999999</v>
      </c>
      <c r="BO879" s="322">
        <v>1644.602202</v>
      </c>
      <c r="BP879" s="10">
        <v>5105</v>
      </c>
      <c r="BQ879" s="254">
        <f t="shared" si="365"/>
        <v>3.6832689345739467</v>
      </c>
      <c r="BR879" s="254">
        <f t="shared" si="366"/>
        <v>0.32215518158667972</v>
      </c>
      <c r="BS879" s="25">
        <v>54.104063923248987</v>
      </c>
      <c r="BT879" s="25">
        <v>87.142684884100561</v>
      </c>
      <c r="BU879" s="25">
        <v>52.058871810030531</v>
      </c>
      <c r="BV879" s="25">
        <v>92.85098340202336</v>
      </c>
      <c r="BW879" s="25">
        <v>56.516186442193018</v>
      </c>
      <c r="BX879" s="25">
        <v>71.539151004850851</v>
      </c>
      <c r="BY879" s="25">
        <v>57.679443907167119</v>
      </c>
      <c r="BZ879">
        <v>87</v>
      </c>
      <c r="CA879">
        <v>0</v>
      </c>
      <c r="CB879">
        <v>7</v>
      </c>
      <c r="CC879">
        <v>34326.591296999999</v>
      </c>
      <c r="CD879" s="10">
        <v>12555.930981</v>
      </c>
      <c r="CE879" s="255">
        <v>0.3657785555333406</v>
      </c>
      <c r="CF879" t="str">
        <f>IFERROR(VLOOKUP(CE879,'Rangos amb etnico'!$A$2:$C$6,3,9),"N.D.")</f>
        <v>31% - 50%</v>
      </c>
      <c r="CG879" s="256">
        <v>3.6529936389370404E-4</v>
      </c>
      <c r="CH879" s="232">
        <v>0</v>
      </c>
      <c r="CI879" s="311">
        <f t="shared" si="373"/>
        <v>0</v>
      </c>
      <c r="CJ879" s="232">
        <f>IFERROR(VLOOKUP(CI879,'Rangos amb etnico'!$A$2:$C$6,3,9),"N.D.")</f>
        <v>0</v>
      </c>
      <c r="CK879" s="311">
        <f t="shared" si="374"/>
        <v>0</v>
      </c>
      <c r="CL879" s="10">
        <v>0</v>
      </c>
      <c r="CM879" s="255">
        <f t="shared" si="375"/>
        <v>0</v>
      </c>
      <c r="CN879" s="232">
        <f>IFERROR(VLOOKUP(CM879,'Rangos amb etnico'!$A$2:$C$6,3,9),"N.D.")</f>
        <v>0</v>
      </c>
      <c r="CO879" s="311">
        <f t="shared" si="376"/>
        <v>0</v>
      </c>
      <c r="CP879">
        <v>0.91997416514605246</v>
      </c>
      <c r="CQ879" t="s">
        <v>2864</v>
      </c>
      <c r="CR879">
        <f t="shared" si="367"/>
        <v>1</v>
      </c>
      <c r="CS879" t="str">
        <f t="shared" si="377"/>
        <v>No es Candidato</v>
      </c>
      <c r="CT879">
        <v>0</v>
      </c>
      <c r="CU879">
        <v>0</v>
      </c>
      <c r="CV879" s="25">
        <v>42.786293029785163</v>
      </c>
      <c r="CW879" s="25">
        <v>12.17879009246826</v>
      </c>
      <c r="CX879" s="25">
        <v>46.692985534667969</v>
      </c>
      <c r="CY879" s="25">
        <v>45.687370300292969</v>
      </c>
      <c r="CZ879" s="25">
        <v>38.087455749511719</v>
      </c>
      <c r="DA879" s="25">
        <v>58.333332061767578</v>
      </c>
      <c r="DB879" s="25">
        <v>55.737831115722663</v>
      </c>
      <c r="DC879">
        <v>42</v>
      </c>
      <c r="DD879" s="253" t="s">
        <v>380</v>
      </c>
    </row>
    <row r="880" spans="1:108" hidden="1">
      <c r="A880" s="13">
        <v>15723</v>
      </c>
      <c r="B880" s="13" t="s">
        <v>2177</v>
      </c>
      <c r="C880" s="13" t="s">
        <v>498</v>
      </c>
      <c r="D880" s="13" t="s">
        <v>499</v>
      </c>
      <c r="E880" s="13" t="s">
        <v>2178</v>
      </c>
      <c r="F880" s="14">
        <v>67.543899999999994</v>
      </c>
      <c r="G880" s="13">
        <v>52.65</v>
      </c>
      <c r="H880" s="13">
        <v>53.11</v>
      </c>
      <c r="I880" s="13">
        <v>62.42</v>
      </c>
      <c r="J880" s="14">
        <v>45.669547817958147</v>
      </c>
      <c r="K880" s="14">
        <v>52.047763208754041</v>
      </c>
      <c r="L880" s="14">
        <v>56.393776500448304</v>
      </c>
      <c r="M880" s="14">
        <v>59.856400000000001</v>
      </c>
      <c r="N880" s="14">
        <f t="shared" si="351"/>
        <v>58.930975000000004</v>
      </c>
      <c r="O880" s="14">
        <f t="shared" si="352"/>
        <v>53.491871881790125</v>
      </c>
      <c r="P880" s="14">
        <f t="shared" si="368"/>
        <v>56.211423440895061</v>
      </c>
      <c r="Q880" s="14">
        <v>63.180071614420129</v>
      </c>
      <c r="R880" s="17">
        <f t="shared" si="353"/>
        <v>36.819928385579871</v>
      </c>
      <c r="S880" s="14">
        <f t="shared" si="369"/>
        <v>0.43137935547021888</v>
      </c>
      <c r="T880" s="13">
        <v>0</v>
      </c>
      <c r="U880" s="13">
        <f t="shared" si="370"/>
        <v>24.248447613996866</v>
      </c>
      <c r="V880" s="13">
        <f>IF($T880=1,$AU880,(VLOOKUP(U880,'Cortes naturales'!$A$35:$C$39,3,9)))</f>
        <v>4</v>
      </c>
      <c r="W880" s="13">
        <v>4</v>
      </c>
      <c r="X880" s="14" t="b">
        <f t="shared" si="354"/>
        <v>1</v>
      </c>
      <c r="Y880" s="17">
        <f>IF($T880=1,$AU880,VLOOKUP(U880,'Cortes naturales'!$A$45:$C$49,3,9))</f>
        <v>4</v>
      </c>
      <c r="Z880" s="14">
        <v>54.294645504867155</v>
      </c>
      <c r="AA880" s="14">
        <v>0.44451360793359429</v>
      </c>
      <c r="AB880" s="14">
        <v>24.134708764844007</v>
      </c>
      <c r="AC880" s="13">
        <v>4</v>
      </c>
      <c r="AD880" s="13">
        <f t="shared" si="355"/>
        <v>0</v>
      </c>
      <c r="AE880" s="14">
        <f t="shared" si="356"/>
        <v>1.9167779360279056</v>
      </c>
      <c r="AF880" s="14">
        <f t="shared" si="357"/>
        <v>-1.3134252463375407E-2</v>
      </c>
      <c r="AG880" s="13">
        <f t="shared" si="358"/>
        <v>0.1137388491528597</v>
      </c>
      <c r="AH880" s="13">
        <f>IF($T880=1,$AU880,VLOOKUP(U880,'Cortes naturales'!$A$25:$C$29,3,9))</f>
        <v>4</v>
      </c>
      <c r="AI880" s="13" t="b">
        <f t="shared" si="359"/>
        <v>1</v>
      </c>
      <c r="AJ880" s="13">
        <f t="shared" si="360"/>
        <v>0</v>
      </c>
      <c r="AK880" s="28">
        <v>0.6523467210059386</v>
      </c>
      <c r="AL880" s="28">
        <v>35.418933963279912</v>
      </c>
      <c r="AM880" s="28">
        <v>0.27242751696314643</v>
      </c>
      <c r="AN880" s="13">
        <v>4</v>
      </c>
      <c r="AO880" s="33">
        <f t="shared" si="361"/>
        <v>0</v>
      </c>
      <c r="AP880" s="13">
        <f t="shared" si="371"/>
        <v>27.242751696314642</v>
      </c>
      <c r="AQ880" s="13">
        <f>IFERROR(VLOOKUP(U880,'Cortes naturales'!$E$15:$G$19,3,9),U880)</f>
        <v>4</v>
      </c>
      <c r="AR880" s="28">
        <f t="shared" si="362"/>
        <v>-0.22096736553571972</v>
      </c>
      <c r="AS880" s="13" t="b">
        <f t="shared" si="363"/>
        <v>1</v>
      </c>
      <c r="AT880" s="13">
        <f t="shared" si="372"/>
        <v>0</v>
      </c>
      <c r="AU880" s="13">
        <v>4</v>
      </c>
      <c r="AV880">
        <f t="shared" si="364"/>
        <v>0</v>
      </c>
      <c r="AW880" s="13">
        <v>0</v>
      </c>
      <c r="AX880" s="13">
        <v>0</v>
      </c>
      <c r="AY880" s="13">
        <v>0</v>
      </c>
      <c r="AZ880" s="13">
        <v>0</v>
      </c>
      <c r="BA880">
        <v>0</v>
      </c>
      <c r="BB880" t="s">
        <v>2840</v>
      </c>
      <c r="BC880">
        <v>6</v>
      </c>
      <c r="BD880" t="s">
        <v>2919</v>
      </c>
      <c r="BE880">
        <v>0</v>
      </c>
      <c r="BF880" s="232" t="s">
        <v>2846</v>
      </c>
      <c r="BG880" s="232" t="s">
        <v>2846</v>
      </c>
      <c r="BH880" s="253">
        <v>29.7</v>
      </c>
      <c r="BI880" s="253">
        <v>7.6628352490421454</v>
      </c>
      <c r="BJ880" s="25">
        <v>7.567622159439872</v>
      </c>
      <c r="BK880" t="s">
        <v>377</v>
      </c>
      <c r="BL880">
        <v>7.4000006181048059</v>
      </c>
      <c r="BM880" t="s">
        <v>379</v>
      </c>
      <c r="BN880" s="322">
        <v>5206.8676779999996</v>
      </c>
      <c r="BO880" s="322">
        <v>499.92339800000002</v>
      </c>
      <c r="BP880" s="10">
        <v>1055</v>
      </c>
      <c r="BQ880" s="254">
        <f t="shared" si="365"/>
        <v>4.9354195999999995</v>
      </c>
      <c r="BR880" s="254">
        <f t="shared" si="366"/>
        <v>0.47386104075829388</v>
      </c>
      <c r="BS880" s="25">
        <v>59.552631578947363</v>
      </c>
      <c r="BT880" s="25">
        <v>93.649289099526072</v>
      </c>
      <c r="BU880" s="25">
        <v>54.043333333333329</v>
      </c>
      <c r="BV880" s="25">
        <v>88.031779522720896</v>
      </c>
      <c r="BW880" s="25">
        <v>68.035669628449924</v>
      </c>
      <c r="BX880" s="25">
        <v>73.819258383631919</v>
      </c>
      <c r="BY880" s="25">
        <v>67.347944579664627</v>
      </c>
      <c r="BZ880">
        <v>82</v>
      </c>
      <c r="CA880">
        <v>0</v>
      </c>
      <c r="CB880">
        <v>7</v>
      </c>
      <c r="CC880">
        <v>5462.5831710000002</v>
      </c>
      <c r="CD880" s="10">
        <v>2516.8807109999998</v>
      </c>
      <c r="CE880" s="255">
        <v>0.46074917895286721</v>
      </c>
      <c r="CF880" t="str">
        <f>IFERROR(VLOOKUP(CE880,'Rangos amb etnico'!$A$2:$C$6,3,9),"N.D.")</f>
        <v>31% - 50%</v>
      </c>
      <c r="CG880" s="256">
        <v>7.3225547680687224E-5</v>
      </c>
      <c r="CH880" s="232">
        <v>0</v>
      </c>
      <c r="CI880" s="311">
        <f t="shared" si="373"/>
        <v>0</v>
      </c>
      <c r="CJ880" s="232">
        <f>IFERROR(VLOOKUP(CI880,'Rangos amb etnico'!$A$2:$C$6,3,9),"N.D.")</f>
        <v>0</v>
      </c>
      <c r="CK880" s="311">
        <f t="shared" si="374"/>
        <v>0</v>
      </c>
      <c r="CL880" s="10">
        <v>0</v>
      </c>
      <c r="CM880" s="255">
        <f t="shared" si="375"/>
        <v>0</v>
      </c>
      <c r="CN880" s="232">
        <f>IFERROR(VLOOKUP(CM880,'Rangos amb etnico'!$A$2:$C$6,3,9),"N.D.")</f>
        <v>0</v>
      </c>
      <c r="CO880" s="311">
        <f t="shared" si="376"/>
        <v>0</v>
      </c>
      <c r="CP880">
        <v>0.77728971782405765</v>
      </c>
      <c r="CQ880" t="s">
        <v>2865</v>
      </c>
      <c r="CR880">
        <f t="shared" si="367"/>
        <v>3</v>
      </c>
      <c r="CS880" t="str">
        <f t="shared" si="377"/>
        <v>Candidato</v>
      </c>
      <c r="CT880">
        <v>0</v>
      </c>
      <c r="CU880">
        <v>0</v>
      </c>
      <c r="CV880" s="25">
        <v>46.299873352050781</v>
      </c>
      <c r="CW880" s="25">
        <v>21.695207595825199</v>
      </c>
      <c r="CX880" s="25">
        <v>58.312538146972663</v>
      </c>
      <c r="CY880" s="25">
        <v>66.807685852050781</v>
      </c>
      <c r="CZ880" s="25">
        <v>44.310810089111328</v>
      </c>
      <c r="DA880" s="25">
        <v>35.597152709960938</v>
      </c>
      <c r="DB880" s="25">
        <v>51.075851440429688</v>
      </c>
      <c r="DC880">
        <v>6</v>
      </c>
      <c r="DD880" s="253" t="s">
        <v>380</v>
      </c>
    </row>
    <row r="881" spans="1:108" hidden="1">
      <c r="A881" s="13">
        <v>68385</v>
      </c>
      <c r="B881" s="13" t="s">
        <v>2179</v>
      </c>
      <c r="C881" s="13" t="s">
        <v>431</v>
      </c>
      <c r="D881" s="13" t="s">
        <v>432</v>
      </c>
      <c r="E881" s="13" t="s">
        <v>2180</v>
      </c>
      <c r="F881" s="14">
        <v>64.668433333333297</v>
      </c>
      <c r="G881" s="13">
        <v>53.54</v>
      </c>
      <c r="H881" s="13">
        <v>48.59</v>
      </c>
      <c r="I881" s="13">
        <v>57.99</v>
      </c>
      <c r="J881" s="14">
        <v>48.614664375636259</v>
      </c>
      <c r="K881" s="14">
        <v>67.835673787814969</v>
      </c>
      <c r="L881" s="14">
        <v>56.490336808998634</v>
      </c>
      <c r="M881" s="14">
        <v>54.5565</v>
      </c>
      <c r="N881" s="14">
        <f t="shared" si="351"/>
        <v>56.197108333333325</v>
      </c>
      <c r="O881" s="14">
        <f t="shared" si="352"/>
        <v>56.874293743112467</v>
      </c>
      <c r="P881" s="14">
        <f t="shared" si="368"/>
        <v>56.535701038222896</v>
      </c>
      <c r="Q881" s="14">
        <v>62.656605922483458</v>
      </c>
      <c r="R881" s="17">
        <f t="shared" si="353"/>
        <v>37.343394077516542</v>
      </c>
      <c r="S881" s="14">
        <f t="shared" si="369"/>
        <v>0.43609054669764891</v>
      </c>
      <c r="T881" s="13">
        <v>0</v>
      </c>
      <c r="U881" s="13">
        <f t="shared" si="370"/>
        <v>24.654684773693461</v>
      </c>
      <c r="V881" s="13">
        <f>IF($T881=1,$AU881,(VLOOKUP(U881,'Cortes naturales'!$A$35:$C$39,3,9)))</f>
        <v>4</v>
      </c>
      <c r="W881" s="13">
        <v>4</v>
      </c>
      <c r="X881" s="14" t="b">
        <f t="shared" si="354"/>
        <v>1</v>
      </c>
      <c r="Y881" s="17">
        <f>IF($T881=1,$AU881,VLOOKUP(U881,'Cortes naturales'!$A$45:$C$49,3,9))</f>
        <v>4</v>
      </c>
      <c r="Z881" s="14">
        <v>56.395738707271462</v>
      </c>
      <c r="AA881" s="14">
        <v>0.44173343469025872</v>
      </c>
      <c r="AB881" s="14">
        <v>24.911883361057395</v>
      </c>
      <c r="AC881" s="13">
        <v>4</v>
      </c>
      <c r="AD881" s="13">
        <f t="shared" si="355"/>
        <v>0</v>
      </c>
      <c r="AE881" s="14">
        <f t="shared" si="356"/>
        <v>0.13996233095143396</v>
      </c>
      <c r="AF881" s="14">
        <f t="shared" si="357"/>
        <v>-5.642887992609813E-3</v>
      </c>
      <c r="AG881" s="13">
        <f t="shared" si="358"/>
        <v>-0.25719858736393419</v>
      </c>
      <c r="AH881" s="13">
        <f>IF($T881=1,$AU881,VLOOKUP(U881,'Cortes naturales'!$A$25:$C$29,3,9))</f>
        <v>4</v>
      </c>
      <c r="AI881" s="13" t="b">
        <f t="shared" si="359"/>
        <v>1</v>
      </c>
      <c r="AJ881" s="13">
        <f t="shared" si="360"/>
        <v>0</v>
      </c>
      <c r="AK881" s="28">
        <v>0.6523467210059386</v>
      </c>
      <c r="AL881" s="28">
        <v>36.789575224396231</v>
      </c>
      <c r="AM881" s="28">
        <v>0.28957279434763761</v>
      </c>
      <c r="AN881" s="13">
        <v>4</v>
      </c>
      <c r="AO881" s="33">
        <f t="shared" si="361"/>
        <v>0</v>
      </c>
      <c r="AP881" s="13">
        <f t="shared" si="371"/>
        <v>28.957279434763763</v>
      </c>
      <c r="AQ881" s="13">
        <f>IFERROR(VLOOKUP(U881,'Cortes naturales'!$E$15:$G$19,3,9),U881)</f>
        <v>4</v>
      </c>
      <c r="AR881" s="28">
        <f t="shared" si="362"/>
        <v>-0.21625617430828969</v>
      </c>
      <c r="AS881" s="13" t="b">
        <f t="shared" si="363"/>
        <v>1</v>
      </c>
      <c r="AT881" s="13">
        <f t="shared" si="372"/>
        <v>0</v>
      </c>
      <c r="AU881" s="13">
        <v>4</v>
      </c>
      <c r="AV881">
        <f t="shared" si="364"/>
        <v>0</v>
      </c>
      <c r="AW881" s="13">
        <v>0</v>
      </c>
      <c r="AX881" s="13">
        <v>0</v>
      </c>
      <c r="AY881" s="13">
        <v>0</v>
      </c>
      <c r="AZ881" s="13">
        <v>0</v>
      </c>
      <c r="BA881">
        <v>1</v>
      </c>
      <c r="BB881" t="s">
        <v>2840</v>
      </c>
      <c r="BC881">
        <v>6</v>
      </c>
      <c r="BD881" t="s">
        <v>2919</v>
      </c>
      <c r="BE881">
        <v>0</v>
      </c>
      <c r="BF881" s="232" t="s">
        <v>2846</v>
      </c>
      <c r="BG881" s="232" t="s">
        <v>2846</v>
      </c>
      <c r="BH881" s="253">
        <v>49.1</v>
      </c>
      <c r="BI881" s="253">
        <v>17.538728198461705</v>
      </c>
      <c r="BJ881" s="25">
        <v>9.0033333333333339</v>
      </c>
      <c r="BK881" t="s">
        <v>377</v>
      </c>
      <c r="BL881">
        <v>5.1710835033009408</v>
      </c>
      <c r="BM881" t="s">
        <v>383</v>
      </c>
      <c r="BN881" s="322">
        <v>27451.792412999999</v>
      </c>
      <c r="BO881" s="322">
        <v>2431.7429780000002</v>
      </c>
      <c r="BP881" s="10">
        <v>10619</v>
      </c>
      <c r="BQ881" s="254">
        <f t="shared" si="365"/>
        <v>2.5851579633675486</v>
      </c>
      <c r="BR881" s="254">
        <f t="shared" si="366"/>
        <v>0.22899924456163481</v>
      </c>
      <c r="BS881" s="25">
        <v>69.843994198319649</v>
      </c>
      <c r="BT881" s="25">
        <v>100</v>
      </c>
      <c r="BU881" s="25">
        <v>35.428020240354201</v>
      </c>
      <c r="BV881" s="25">
        <v>85.021153366247049</v>
      </c>
      <c r="BW881" s="25">
        <v>55.963598051717753</v>
      </c>
      <c r="BX881" s="25">
        <v>72.573291951230232</v>
      </c>
      <c r="BY881" s="25">
        <v>56.172161354473523</v>
      </c>
      <c r="BZ881">
        <v>25</v>
      </c>
      <c r="CA881">
        <v>0</v>
      </c>
      <c r="CB881">
        <v>7</v>
      </c>
      <c r="CC881">
        <v>58937.461751000003</v>
      </c>
      <c r="CD881" s="10">
        <v>51728.675602000003</v>
      </c>
      <c r="CE881" s="255">
        <v>0.87768753633375318</v>
      </c>
      <c r="CF881" t="str">
        <f>IFERROR(VLOOKUP(CE881,'Rangos amb etnico'!$A$2:$C$6,3,9),"N.D.")</f>
        <v>71% - 100%</v>
      </c>
      <c r="CG881" s="256">
        <v>1.5049821730518454E-3</v>
      </c>
      <c r="CH881" s="232">
        <v>0</v>
      </c>
      <c r="CI881" s="311">
        <f t="shared" si="373"/>
        <v>0</v>
      </c>
      <c r="CJ881" s="232">
        <f>IFERROR(VLOOKUP(CI881,'Rangos amb etnico'!$A$2:$C$6,3,9),"N.D.")</f>
        <v>0</v>
      </c>
      <c r="CK881" s="311">
        <f t="shared" si="374"/>
        <v>0</v>
      </c>
      <c r="CL881" s="10">
        <v>0</v>
      </c>
      <c r="CM881" s="255">
        <f t="shared" si="375"/>
        <v>0</v>
      </c>
      <c r="CN881" s="232">
        <f>IFERROR(VLOOKUP(CM881,'Rangos amb etnico'!$A$2:$C$6,3,9),"N.D.")</f>
        <v>0</v>
      </c>
      <c r="CO881" s="311">
        <f t="shared" si="376"/>
        <v>0</v>
      </c>
      <c r="CP881">
        <v>0.97149903097994672</v>
      </c>
      <c r="CQ881" t="s">
        <v>2864</v>
      </c>
      <c r="CR881">
        <f t="shared" si="367"/>
        <v>1</v>
      </c>
      <c r="CS881" t="str">
        <f t="shared" si="377"/>
        <v>No es Candidato</v>
      </c>
      <c r="CT881">
        <v>0</v>
      </c>
      <c r="CU881">
        <v>0</v>
      </c>
      <c r="CV881" s="25">
        <v>44.853713989257813</v>
      </c>
      <c r="CW881" s="25">
        <v>18.845804214477539</v>
      </c>
      <c r="CX881" s="25">
        <v>54.007991790771477</v>
      </c>
      <c r="CY881" s="25">
        <v>65.303314208984375</v>
      </c>
      <c r="CZ881" s="25">
        <v>32.695140838623047</v>
      </c>
      <c r="DA881" s="25">
        <v>43.224555969238281</v>
      </c>
      <c r="DB881" s="25">
        <v>55.045478820800781</v>
      </c>
      <c r="DC881">
        <v>255</v>
      </c>
      <c r="DD881" s="253" t="s">
        <v>380</v>
      </c>
    </row>
    <row r="882" spans="1:108">
      <c r="A882" s="13">
        <v>5284</v>
      </c>
      <c r="B882" s="13" t="s">
        <v>2181</v>
      </c>
      <c r="C882" s="13" t="s">
        <v>435</v>
      </c>
      <c r="D882" s="13" t="s">
        <v>436</v>
      </c>
      <c r="E882" s="13" t="s">
        <v>2182</v>
      </c>
      <c r="F882" s="14">
        <v>51.505366666666703</v>
      </c>
      <c r="G882" s="13">
        <v>33.909999999999997</v>
      </c>
      <c r="H882" s="13">
        <v>34.69</v>
      </c>
      <c r="I882" s="13">
        <v>53.01</v>
      </c>
      <c r="J882" s="14">
        <v>56.209368007865542</v>
      </c>
      <c r="K882" s="14">
        <v>53.74900776351393</v>
      </c>
      <c r="L882" s="14">
        <v>50.77034083222955</v>
      </c>
      <c r="M882" s="14">
        <v>44.106099999999998</v>
      </c>
      <c r="N882" s="14">
        <f t="shared" si="351"/>
        <v>43.278841666666672</v>
      </c>
      <c r="O882" s="14">
        <f t="shared" si="352"/>
        <v>51.208704150902257</v>
      </c>
      <c r="P882" s="14">
        <f t="shared" si="368"/>
        <v>47.243772908784464</v>
      </c>
      <c r="Q882" s="14">
        <v>62.500105194944553</v>
      </c>
      <c r="R882" s="17">
        <f t="shared" si="353"/>
        <v>37.499894805055447</v>
      </c>
      <c r="S882" s="14">
        <f t="shared" si="369"/>
        <v>0.43749905324549898</v>
      </c>
      <c r="T882" s="13">
        <v>0</v>
      </c>
      <c r="U882" s="13">
        <f t="shared" si="370"/>
        <v>20.669105919338556</v>
      </c>
      <c r="V882" s="13">
        <f>IF($T882=1,$AU882,(VLOOKUP(U882,'Cortes naturales'!$A$35:$C$39,3,9)))</f>
        <v>5</v>
      </c>
      <c r="W882" s="13">
        <v>5</v>
      </c>
      <c r="X882" s="14" t="b">
        <f t="shared" si="354"/>
        <v>1</v>
      </c>
      <c r="Y882" s="17">
        <f>IF($T882=1,$AU882,VLOOKUP(U882,'Cortes naturales'!$A$45:$C$49,3,9))</f>
        <v>5</v>
      </c>
      <c r="Z882" s="14">
        <v>48.58611113502279</v>
      </c>
      <c r="AA882" s="14">
        <v>0.44152702569476343</v>
      </c>
      <c r="AB882" s="14">
        <v>21.452081139521837</v>
      </c>
      <c r="AC882" s="13">
        <v>4</v>
      </c>
      <c r="AD882" s="13">
        <f t="shared" si="355"/>
        <v>-1</v>
      </c>
      <c r="AE882" s="14">
        <f t="shared" si="356"/>
        <v>-1.3423382262383257</v>
      </c>
      <c r="AF882" s="14">
        <f t="shared" si="357"/>
        <v>-4.0279724492644498E-3</v>
      </c>
      <c r="AG882" s="13">
        <f t="shared" si="358"/>
        <v>-0.78297522018328181</v>
      </c>
      <c r="AH882" s="13">
        <f>IF($T882=1,$AU882,VLOOKUP(U882,'Cortes naturales'!$A$25:$C$29,3,9))</f>
        <v>4</v>
      </c>
      <c r="AI882" s="13" t="b">
        <f t="shared" si="359"/>
        <v>0</v>
      </c>
      <c r="AJ882" s="13" t="str">
        <f t="shared" si="360"/>
        <v>Cambio en corte</v>
      </c>
      <c r="AK882" s="28">
        <v>0.6523467210059386</v>
      </c>
      <c r="AL882" s="28">
        <v>31.694990285362238</v>
      </c>
      <c r="AM882" s="28">
        <v>0.22584490695903803</v>
      </c>
      <c r="AN882" s="13">
        <v>4</v>
      </c>
      <c r="AO882" s="33">
        <f t="shared" si="361"/>
        <v>-1</v>
      </c>
      <c r="AP882" s="13">
        <f t="shared" si="371"/>
        <v>22.584490695903803</v>
      </c>
      <c r="AQ882" s="13">
        <f>IFERROR(VLOOKUP(U882,'Cortes naturales'!$E$15:$G$19,3,9),U882)</f>
        <v>4</v>
      </c>
      <c r="AR882" s="28">
        <f t="shared" si="362"/>
        <v>-0.21484766776043962</v>
      </c>
      <c r="AS882" s="13" t="b">
        <f t="shared" si="363"/>
        <v>0</v>
      </c>
      <c r="AT882" s="13" t="str">
        <f t="shared" si="372"/>
        <v>Cambio en corte</v>
      </c>
      <c r="AU882" s="13">
        <v>4</v>
      </c>
      <c r="AV882">
        <f t="shared" si="364"/>
        <v>-1</v>
      </c>
      <c r="AW882" s="13">
        <v>0</v>
      </c>
      <c r="AX882" s="13">
        <v>0</v>
      </c>
      <c r="AY882" s="13">
        <v>0</v>
      </c>
      <c r="AZ882" s="13">
        <v>0</v>
      </c>
      <c r="BA882">
        <v>1</v>
      </c>
      <c r="BB882" t="s">
        <v>2840</v>
      </c>
      <c r="BC882">
        <v>6</v>
      </c>
      <c r="BD882" t="s">
        <v>2919</v>
      </c>
      <c r="BE882">
        <v>1</v>
      </c>
      <c r="BF882" s="232" t="s">
        <v>2846</v>
      </c>
      <c r="BG882" s="232" t="s">
        <v>2845</v>
      </c>
      <c r="BH882" s="253">
        <v>51.3</v>
      </c>
      <c r="BI882" s="253">
        <v>34.09576848490876</v>
      </c>
      <c r="BJ882" s="25">
        <v>40.11776007500653</v>
      </c>
      <c r="BK882" t="s">
        <v>376</v>
      </c>
      <c r="BL882">
        <v>3.4185621991672606</v>
      </c>
      <c r="BM882" t="s">
        <v>383</v>
      </c>
      <c r="BN882" s="322">
        <v>52577.255405999997</v>
      </c>
      <c r="BO882" s="322">
        <v>4346.5806700000003</v>
      </c>
      <c r="BP882" s="10">
        <v>21716</v>
      </c>
      <c r="BQ882" s="254">
        <f t="shared" si="365"/>
        <v>2.4211298308159881</v>
      </c>
      <c r="BR882" s="254">
        <f t="shared" si="366"/>
        <v>0.20015567645975318</v>
      </c>
      <c r="BS882" s="25">
        <v>62.076829073941497</v>
      </c>
      <c r="BT882" s="25">
        <v>99.787685774946922</v>
      </c>
      <c r="BU882" s="25">
        <v>56.86211576588223</v>
      </c>
      <c r="BV882" s="25">
        <v>93.959330904525999</v>
      </c>
      <c r="BW882" s="25">
        <v>53.462468412084313</v>
      </c>
      <c r="BX882" s="25">
        <v>78.171490379824164</v>
      </c>
      <c r="BY882" s="25">
        <v>55.055098292536321</v>
      </c>
      <c r="BZ882">
        <v>99</v>
      </c>
      <c r="CA882">
        <v>0</v>
      </c>
      <c r="CB882">
        <v>6</v>
      </c>
      <c r="CC882">
        <v>138445.59633599999</v>
      </c>
      <c r="CD882" s="10">
        <v>90818.880267</v>
      </c>
      <c r="CE882" s="255">
        <v>0.65598966431974826</v>
      </c>
      <c r="CF882" t="str">
        <f>IFERROR(VLOOKUP(CE882,'Rangos amb etnico'!$A$2:$C$6,3,9),"N.D.")</f>
        <v>51% - 70%</v>
      </c>
      <c r="CG882" s="256">
        <v>2.6422635837419447E-3</v>
      </c>
      <c r="CH882" s="232">
        <v>48004.949516000001</v>
      </c>
      <c r="CI882" s="311">
        <f t="shared" si="373"/>
        <v>0.34674233624227802</v>
      </c>
      <c r="CJ882" s="232" t="str">
        <f>IFERROR(VLOOKUP(CI882,'Rangos amb etnico'!$A$2:$C$6,3,9),"N.D.")</f>
        <v>31% - 50%</v>
      </c>
      <c r="CK882" s="311">
        <f t="shared" si="374"/>
        <v>1.9061107938138501E-3</v>
      </c>
      <c r="CL882" s="10">
        <v>0</v>
      </c>
      <c r="CM882" s="255">
        <f t="shared" si="375"/>
        <v>0</v>
      </c>
      <c r="CN882" s="232">
        <f>IFERROR(VLOOKUP(CM882,'Rangos amb etnico'!$A$2:$C$6,3,9),"N.D.")</f>
        <v>0</v>
      </c>
      <c r="CO882" s="311">
        <f t="shared" si="376"/>
        <v>0</v>
      </c>
      <c r="CP882">
        <v>0.94282110472726099</v>
      </c>
      <c r="CQ882" t="s">
        <v>2864</v>
      </c>
      <c r="CR882">
        <f t="shared" si="367"/>
        <v>1</v>
      </c>
      <c r="CS882" t="str">
        <f t="shared" si="377"/>
        <v>No es Candidato</v>
      </c>
      <c r="CT882">
        <v>0</v>
      </c>
      <c r="CU882">
        <v>0</v>
      </c>
      <c r="CV882" s="25">
        <v>42.240066528320313</v>
      </c>
      <c r="CW882" s="25">
        <v>19.458293914794918</v>
      </c>
      <c r="CX882" s="25">
        <v>42.910549163818359</v>
      </c>
      <c r="CY882" s="25">
        <v>44.358383178710938</v>
      </c>
      <c r="CZ882" s="25">
        <v>30.344293594360352</v>
      </c>
      <c r="DA882" s="25">
        <v>62.349445343017578</v>
      </c>
      <c r="DB882" s="25">
        <v>54.019435882568359</v>
      </c>
      <c r="DC882">
        <v>4194</v>
      </c>
      <c r="DD882" s="253" t="s">
        <v>380</v>
      </c>
    </row>
    <row r="883" spans="1:108" hidden="1">
      <c r="A883" s="13">
        <v>15897</v>
      </c>
      <c r="B883" s="13" t="s">
        <v>2183</v>
      </c>
      <c r="C883" s="13" t="s">
        <v>498</v>
      </c>
      <c r="D883" s="13" t="s">
        <v>499</v>
      </c>
      <c r="E883" s="13" t="s">
        <v>2184</v>
      </c>
      <c r="F883" s="14">
        <v>63.787199999999999</v>
      </c>
      <c r="G883" s="13">
        <v>59.75</v>
      </c>
      <c r="H883" s="13">
        <v>55.32</v>
      </c>
      <c r="I883" s="13">
        <v>50.18</v>
      </c>
      <c r="J883" s="14">
        <v>66.714505267474308</v>
      </c>
      <c r="K883" s="14">
        <v>66.500648260525125</v>
      </c>
      <c r="L883" s="14">
        <v>56.982608843952583</v>
      </c>
      <c r="M883" s="14">
        <v>67.528499999999994</v>
      </c>
      <c r="N883" s="14">
        <f t="shared" si="351"/>
        <v>57.259300000000003</v>
      </c>
      <c r="O883" s="14">
        <f t="shared" si="352"/>
        <v>64.431565592988008</v>
      </c>
      <c r="P883" s="14">
        <f t="shared" si="368"/>
        <v>60.845432796494009</v>
      </c>
      <c r="Q883" s="14">
        <v>63.195705502900744</v>
      </c>
      <c r="R883" s="17">
        <f t="shared" si="353"/>
        <v>36.804294497099256</v>
      </c>
      <c r="S883" s="14">
        <f t="shared" si="369"/>
        <v>0.43123865047389331</v>
      </c>
      <c r="T883" s="13">
        <v>0</v>
      </c>
      <c r="U883" s="13">
        <f t="shared" si="370"/>
        <v>26.238902326660046</v>
      </c>
      <c r="V883" s="13">
        <f>IF($T883=1,$AU883,(VLOOKUP(U883,'Cortes naturales'!$A$35:$C$39,3,9)))</f>
        <v>4</v>
      </c>
      <c r="W883" s="13">
        <v>4</v>
      </c>
      <c r="X883" s="14" t="b">
        <f t="shared" si="354"/>
        <v>1</v>
      </c>
      <c r="Y883" s="17">
        <f>IF($T883=1,$AU883,VLOOKUP(U883,'Cortes naturales'!$A$45:$C$49,3,9))</f>
        <v>4</v>
      </c>
      <c r="Z883" s="14">
        <v>61.779672693106157</v>
      </c>
      <c r="AA883" s="14">
        <v>0.44011615277549998</v>
      </c>
      <c r="AB883" s="14">
        <v>27.190231865419495</v>
      </c>
      <c r="AC883" s="13">
        <v>4</v>
      </c>
      <c r="AD883" s="13">
        <f t="shared" si="355"/>
        <v>0</v>
      </c>
      <c r="AE883" s="14">
        <f t="shared" si="356"/>
        <v>-0.9342398966121479</v>
      </c>
      <c r="AF883" s="14">
        <f t="shared" si="357"/>
        <v>-8.8775023016066656E-3</v>
      </c>
      <c r="AG883" s="13">
        <f t="shared" si="358"/>
        <v>-0.95132953875944892</v>
      </c>
      <c r="AH883" s="13">
        <f>IF($T883=1,$AU883,VLOOKUP(U883,'Cortes naturales'!$A$25:$C$29,3,9))</f>
        <v>4</v>
      </c>
      <c r="AI883" s="13" t="b">
        <f t="shared" si="359"/>
        <v>1</v>
      </c>
      <c r="AJ883" s="13">
        <f t="shared" si="360"/>
        <v>0</v>
      </c>
      <c r="AK883" s="28">
        <v>0.6523467210059386</v>
      </c>
      <c r="AL883" s="28">
        <v>40.301766906167927</v>
      </c>
      <c r="AM883" s="28">
        <v>0.33350661008760313</v>
      </c>
      <c r="AN883" s="13">
        <v>4</v>
      </c>
      <c r="AO883" s="33">
        <f t="shared" si="361"/>
        <v>0</v>
      </c>
      <c r="AP883" s="13">
        <f t="shared" si="371"/>
        <v>33.350661008760312</v>
      </c>
      <c r="AQ883" s="13">
        <f>IFERROR(VLOOKUP(U883,'Cortes naturales'!$E$15:$G$19,3,9),U883)</f>
        <v>4</v>
      </c>
      <c r="AR883" s="28">
        <f t="shared" si="362"/>
        <v>-0.22110807053204529</v>
      </c>
      <c r="AS883" s="13" t="b">
        <f t="shared" si="363"/>
        <v>1</v>
      </c>
      <c r="AT883" s="13">
        <f t="shared" si="372"/>
        <v>0</v>
      </c>
      <c r="AU883" s="13">
        <v>3</v>
      </c>
      <c r="AV883">
        <f t="shared" si="364"/>
        <v>-1</v>
      </c>
      <c r="AW883" s="13">
        <v>0</v>
      </c>
      <c r="AX883" s="13">
        <v>0</v>
      </c>
      <c r="AY883" s="13">
        <v>0</v>
      </c>
      <c r="AZ883" s="13">
        <v>0</v>
      </c>
      <c r="BA883">
        <v>0</v>
      </c>
      <c r="BB883" t="s">
        <v>2841</v>
      </c>
      <c r="BC883">
        <v>6</v>
      </c>
      <c r="BD883" t="s">
        <v>2919</v>
      </c>
      <c r="BE883">
        <v>0</v>
      </c>
      <c r="BF883" s="232" t="s">
        <v>2846</v>
      </c>
      <c r="BG883" s="232" t="s">
        <v>2846</v>
      </c>
      <c r="BH883" s="253">
        <v>50.7</v>
      </c>
      <c r="BI883" s="253">
        <v>19.405430711610485</v>
      </c>
      <c r="BJ883" s="25">
        <v>59.244517102800316</v>
      </c>
      <c r="BK883" t="s">
        <v>376</v>
      </c>
      <c r="BL883">
        <v>0</v>
      </c>
      <c r="BM883" t="s">
        <v>377</v>
      </c>
      <c r="BN883" s="322">
        <v>21018.105350999998</v>
      </c>
      <c r="BO883" s="322">
        <v>5396.0487860000003</v>
      </c>
      <c r="BP883" s="10">
        <v>4740</v>
      </c>
      <c r="BQ883" s="254">
        <f t="shared" si="365"/>
        <v>4.4341994411392402</v>
      </c>
      <c r="BR883" s="254">
        <f t="shared" si="366"/>
        <v>1.1384069168776372</v>
      </c>
      <c r="BS883" s="25">
        <v>76.140998043052832</v>
      </c>
      <c r="BT883" s="25">
        <v>94.070094992967654</v>
      </c>
      <c r="BU883" s="25">
        <v>44.502705418877632</v>
      </c>
      <c r="BV883" s="25">
        <v>84.479649990102715</v>
      </c>
      <c r="BW883" s="25">
        <v>62.785846290483832</v>
      </c>
      <c r="BX883" s="25">
        <v>74.798362111250214</v>
      </c>
      <c r="BY883" s="25">
        <v>63.577055524956037</v>
      </c>
      <c r="BZ883">
        <v>17</v>
      </c>
      <c r="CA883">
        <v>0</v>
      </c>
      <c r="CB883">
        <v>7</v>
      </c>
      <c r="CC883">
        <v>25104.174046</v>
      </c>
      <c r="CD883" s="10">
        <v>2920.80152</v>
      </c>
      <c r="CE883" s="255">
        <v>0.11634724626462623</v>
      </c>
      <c r="CF883" t="str">
        <f>IFERROR(VLOOKUP(CE883,'Rangos amb etnico'!$A$2:$C$6,3,9),"N.D.")</f>
        <v>0,1% - 30%</v>
      </c>
      <c r="CG883" s="256">
        <v>8.4977126660725456E-5</v>
      </c>
      <c r="CH883" s="232">
        <v>0</v>
      </c>
      <c r="CI883" s="311">
        <f t="shared" si="373"/>
        <v>0</v>
      </c>
      <c r="CJ883" s="232">
        <f>IFERROR(VLOOKUP(CI883,'Rangos amb etnico'!$A$2:$C$6,3,9),"N.D.")</f>
        <v>0</v>
      </c>
      <c r="CK883" s="311">
        <f t="shared" si="374"/>
        <v>0</v>
      </c>
      <c r="CL883" s="10">
        <v>0</v>
      </c>
      <c r="CM883" s="255">
        <f t="shared" si="375"/>
        <v>0</v>
      </c>
      <c r="CN883" s="232">
        <f>IFERROR(VLOOKUP(CM883,'Rangos amb etnico'!$A$2:$C$6,3,9),"N.D.")</f>
        <v>0</v>
      </c>
      <c r="CO883" s="311">
        <f t="shared" si="376"/>
        <v>0</v>
      </c>
      <c r="CP883">
        <v>0.93621961090273853</v>
      </c>
      <c r="CQ883" t="s">
        <v>2864</v>
      </c>
      <c r="CR883">
        <f t="shared" si="367"/>
        <v>3</v>
      </c>
      <c r="CS883" t="str">
        <f t="shared" si="377"/>
        <v>Candidato</v>
      </c>
      <c r="CT883">
        <v>0</v>
      </c>
      <c r="CU883">
        <v>0</v>
      </c>
      <c r="CV883" s="25">
        <v>51.696998596191413</v>
      </c>
      <c r="CW883" s="25">
        <v>15.9215841293335</v>
      </c>
      <c r="CX883" s="25">
        <v>54.095142364501953</v>
      </c>
      <c r="CY883" s="25">
        <v>69.755874633789063</v>
      </c>
      <c r="CZ883" s="25">
        <v>51.666378021240227</v>
      </c>
      <c r="DA883" s="25">
        <v>64.23577880859375</v>
      </c>
      <c r="DB883" s="25">
        <v>54.507236480712891</v>
      </c>
      <c r="DC883">
        <v>35</v>
      </c>
      <c r="DD883" s="253" t="s">
        <v>380</v>
      </c>
    </row>
    <row r="884" spans="1:108" hidden="1">
      <c r="A884" s="13">
        <v>68425</v>
      </c>
      <c r="B884" s="13" t="s">
        <v>2185</v>
      </c>
      <c r="C884" s="13" t="s">
        <v>431</v>
      </c>
      <c r="D884" s="13" t="s">
        <v>432</v>
      </c>
      <c r="E884" s="13" t="s">
        <v>2186</v>
      </c>
      <c r="F884" s="14">
        <v>57.122866666666702</v>
      </c>
      <c r="G884" s="13">
        <v>80.14</v>
      </c>
      <c r="H884" s="13">
        <v>40.57</v>
      </c>
      <c r="I884" s="13">
        <v>36.020000000000003</v>
      </c>
      <c r="J884" s="14">
        <v>48.830092784882574</v>
      </c>
      <c r="K884" s="14">
        <v>35.87505431946272</v>
      </c>
      <c r="L884" s="14">
        <v>44.86932826040448</v>
      </c>
      <c r="M884" s="14">
        <v>59.6432</v>
      </c>
      <c r="N884" s="14">
        <f t="shared" si="351"/>
        <v>53.463216666666675</v>
      </c>
      <c r="O884" s="14">
        <f t="shared" si="352"/>
        <v>47.304418841187442</v>
      </c>
      <c r="P884" s="14">
        <f t="shared" si="368"/>
        <v>50.383817753927062</v>
      </c>
      <c r="Q884" s="14">
        <v>62.344497882364358</v>
      </c>
      <c r="R884" s="17">
        <f t="shared" si="353"/>
        <v>37.655502117635642</v>
      </c>
      <c r="S884" s="14">
        <f t="shared" si="369"/>
        <v>0.43889951905872082</v>
      </c>
      <c r="T884" s="13">
        <v>0</v>
      </c>
      <c r="U884" s="13">
        <f t="shared" si="370"/>
        <v>22.113433380540826</v>
      </c>
      <c r="V884" s="13">
        <f>IF($T884=1,$AU884,(VLOOKUP(U884,'Cortes naturales'!$A$35:$C$39,3,9)))</f>
        <v>4</v>
      </c>
      <c r="W884" s="13">
        <v>4</v>
      </c>
      <c r="X884" s="14" t="b">
        <f t="shared" si="354"/>
        <v>1</v>
      </c>
      <c r="Y884" s="17">
        <f>IF($T884=1,$AU884,VLOOKUP(U884,'Cortes naturales'!$A$45:$C$49,3,9))</f>
        <v>4</v>
      </c>
      <c r="Z884" s="14">
        <v>51.326231043698328</v>
      </c>
      <c r="AA884" s="14">
        <v>0.44145596282231292</v>
      </c>
      <c r="AB884" s="14">
        <v>22.658270743436333</v>
      </c>
      <c r="AC884" s="13">
        <v>4</v>
      </c>
      <c r="AD884" s="13">
        <f t="shared" si="355"/>
        <v>0</v>
      </c>
      <c r="AE884" s="14">
        <f t="shared" si="356"/>
        <v>-0.9424132897712667</v>
      </c>
      <c r="AF884" s="14">
        <f t="shared" si="357"/>
        <v>-2.5564437635920978E-3</v>
      </c>
      <c r="AG884" s="13">
        <f t="shared" si="358"/>
        <v>-0.54483736289550677</v>
      </c>
      <c r="AH884" s="13">
        <f>IF($T884=1,$AU884,VLOOKUP(U884,'Cortes naturales'!$A$25:$C$29,3,9))</f>
        <v>4</v>
      </c>
      <c r="AI884" s="13" t="b">
        <f t="shared" si="359"/>
        <v>1</v>
      </c>
      <c r="AJ884" s="13">
        <f t="shared" si="360"/>
        <v>0</v>
      </c>
      <c r="AK884" s="28">
        <v>0.6523467210059386</v>
      </c>
      <c r="AL884" s="28">
        <v>33.482498522949818</v>
      </c>
      <c r="AM884" s="28">
        <v>0.24820475079997226</v>
      </c>
      <c r="AN884" s="13">
        <v>4</v>
      </c>
      <c r="AO884" s="33">
        <f t="shared" si="361"/>
        <v>0</v>
      </c>
      <c r="AP884" s="13">
        <f t="shared" si="371"/>
        <v>24.820475079997227</v>
      </c>
      <c r="AQ884" s="13">
        <f>IFERROR(VLOOKUP(U884,'Cortes naturales'!$E$15:$G$19,3,9),U884)</f>
        <v>4</v>
      </c>
      <c r="AR884" s="28">
        <f t="shared" si="362"/>
        <v>-0.21344720194721778</v>
      </c>
      <c r="AS884" s="13" t="b">
        <f t="shared" si="363"/>
        <v>1</v>
      </c>
      <c r="AT884" s="13">
        <f t="shared" si="372"/>
        <v>0</v>
      </c>
      <c r="AU884" s="13">
        <v>4</v>
      </c>
      <c r="AV884">
        <f t="shared" si="364"/>
        <v>0</v>
      </c>
      <c r="AW884" s="13">
        <v>0</v>
      </c>
      <c r="AX884" s="13">
        <v>0</v>
      </c>
      <c r="AY884" s="13">
        <v>0</v>
      </c>
      <c r="AZ884" s="13">
        <v>0</v>
      </c>
      <c r="BA884">
        <v>0</v>
      </c>
      <c r="BB884" t="s">
        <v>2841</v>
      </c>
      <c r="BC884">
        <v>6</v>
      </c>
      <c r="BD884" t="s">
        <v>2919</v>
      </c>
      <c r="BE884">
        <v>0</v>
      </c>
      <c r="BF884" s="232" t="s">
        <v>2846</v>
      </c>
      <c r="BG884" s="232" t="s">
        <v>2846</v>
      </c>
      <c r="BH884" s="253">
        <v>50.3</v>
      </c>
      <c r="BI884" s="253">
        <v>24.272300469483568</v>
      </c>
      <c r="BJ884" s="25">
        <v>29.63</v>
      </c>
      <c r="BK884" t="s">
        <v>379</v>
      </c>
      <c r="BL884">
        <v>0</v>
      </c>
      <c r="BM884" t="s">
        <v>377</v>
      </c>
      <c r="BN884" s="322">
        <v>12744.104273999999</v>
      </c>
      <c r="BO884" s="322">
        <v>596.20761200000004</v>
      </c>
      <c r="BP884" s="10">
        <v>2430</v>
      </c>
      <c r="BQ884" s="254">
        <f t="shared" si="365"/>
        <v>5.2444873555555551</v>
      </c>
      <c r="BR884" s="254">
        <f t="shared" si="366"/>
        <v>0.24535292674897122</v>
      </c>
      <c r="BS884" s="25">
        <v>62.264698285358307</v>
      </c>
      <c r="BT884" s="25">
        <v>90.851923347050771</v>
      </c>
      <c r="BU884" s="25">
        <v>35.113333333333337</v>
      </c>
      <c r="BV884" s="25">
        <v>100.2301119336158</v>
      </c>
      <c r="BW884" s="25">
        <v>36.086058377125873</v>
      </c>
      <c r="BX884" s="25">
        <v>72.115016724839563</v>
      </c>
      <c r="BY884" s="25">
        <v>36.741615072521029</v>
      </c>
      <c r="BZ884">
        <v>58</v>
      </c>
      <c r="CA884">
        <v>0</v>
      </c>
      <c r="CB884">
        <v>7</v>
      </c>
      <c r="CC884">
        <v>10268.901567999999</v>
      </c>
      <c r="CD884" s="10">
        <v>4733.0563240000001</v>
      </c>
      <c r="CE884" s="255">
        <v>0.4609116459689489</v>
      </c>
      <c r="CF884" t="str">
        <f>IFERROR(VLOOKUP(CE884,'Rangos amb etnico'!$A$2:$C$6,3,9),"N.D.")</f>
        <v>31% - 50%</v>
      </c>
      <c r="CG884" s="256">
        <v>1.3770245050300289E-4</v>
      </c>
      <c r="CH884" s="232">
        <v>0</v>
      </c>
      <c r="CI884" s="311">
        <f t="shared" si="373"/>
        <v>0</v>
      </c>
      <c r="CJ884" s="232">
        <f>IFERROR(VLOOKUP(CI884,'Rangos amb etnico'!$A$2:$C$6,3,9),"N.D.")</f>
        <v>0</v>
      </c>
      <c r="CK884" s="311">
        <f t="shared" si="374"/>
        <v>0</v>
      </c>
      <c r="CL884" s="10">
        <v>0</v>
      </c>
      <c r="CM884" s="255">
        <f t="shared" si="375"/>
        <v>0</v>
      </c>
      <c r="CN884" s="232">
        <f>IFERROR(VLOOKUP(CM884,'Rangos amb etnico'!$A$2:$C$6,3,9),"N.D.")</f>
        <v>0</v>
      </c>
      <c r="CO884" s="311">
        <f t="shared" si="376"/>
        <v>0</v>
      </c>
      <c r="CP884">
        <v>0.9312198163218619</v>
      </c>
      <c r="CQ884" t="s">
        <v>2864</v>
      </c>
      <c r="CR884">
        <f t="shared" si="367"/>
        <v>1</v>
      </c>
      <c r="CS884" t="str">
        <f t="shared" si="377"/>
        <v>No es Candidato</v>
      </c>
      <c r="CT884">
        <v>0</v>
      </c>
      <c r="CU884">
        <v>0</v>
      </c>
      <c r="CV884" s="25">
        <v>51.335517883300781</v>
      </c>
      <c r="CW884" s="25">
        <v>14.33790969848633</v>
      </c>
      <c r="CX884" s="25">
        <v>55.257034301757813</v>
      </c>
      <c r="CY884" s="25">
        <v>58.231475830078118</v>
      </c>
      <c r="CZ884" s="25">
        <v>36.056625366210938</v>
      </c>
      <c r="DA884" s="25">
        <v>94.495651245117188</v>
      </c>
      <c r="DB884" s="25">
        <v>49.634418487548828</v>
      </c>
      <c r="DC884">
        <v>23</v>
      </c>
      <c r="DD884" s="253" t="s">
        <v>380</v>
      </c>
    </row>
    <row r="885" spans="1:108" hidden="1">
      <c r="A885" s="13">
        <v>54720</v>
      </c>
      <c r="B885" s="13" t="s">
        <v>2187</v>
      </c>
      <c r="C885" s="13" t="s">
        <v>517</v>
      </c>
      <c r="D885" s="13" t="s">
        <v>518</v>
      </c>
      <c r="E885" s="13" t="s">
        <v>2188</v>
      </c>
      <c r="F885" s="14">
        <v>68.728066666666706</v>
      </c>
      <c r="G885" s="13">
        <v>76.63</v>
      </c>
      <c r="H885" s="13">
        <v>31.73</v>
      </c>
      <c r="I885" s="13">
        <v>48.01</v>
      </c>
      <c r="J885" s="14">
        <v>59.402878949038524</v>
      </c>
      <c r="K885" s="14">
        <v>54.060128109592227</v>
      </c>
      <c r="L885" s="14">
        <v>59.853475447779694</v>
      </c>
      <c r="M885" s="14">
        <v>64.116100000000003</v>
      </c>
      <c r="N885" s="14">
        <f t="shared" si="351"/>
        <v>56.274516666666671</v>
      </c>
      <c r="O885" s="14">
        <f t="shared" si="352"/>
        <v>59.358145626602607</v>
      </c>
      <c r="P885" s="14">
        <f t="shared" si="368"/>
        <v>57.816331146634639</v>
      </c>
      <c r="Q885" s="14">
        <v>62.879155414609464</v>
      </c>
      <c r="R885" s="17">
        <f t="shared" si="353"/>
        <v>37.120844585390536</v>
      </c>
      <c r="S885" s="14">
        <f t="shared" si="369"/>
        <v>0.43408760126851487</v>
      </c>
      <c r="T885" s="13">
        <v>0</v>
      </c>
      <c r="U885" s="13">
        <f t="shared" si="370"/>
        <v>25.097352501588755</v>
      </c>
      <c r="V885" s="13">
        <f>IF($T885=1,$AU885,(VLOOKUP(U885,'Cortes naturales'!$A$35:$C$39,3,9)))</f>
        <v>4</v>
      </c>
      <c r="W885" s="13">
        <v>4</v>
      </c>
      <c r="X885" s="14" t="b">
        <f t="shared" si="354"/>
        <v>1</v>
      </c>
      <c r="Y885" s="17">
        <f>IF($T885=1,$AU885,VLOOKUP(U885,'Cortes naturales'!$A$45:$C$49,3,9))</f>
        <v>4</v>
      </c>
      <c r="Z885" s="14">
        <v>60.103599863275861</v>
      </c>
      <c r="AA885" s="14">
        <v>0.44091665514438239</v>
      </c>
      <c r="AB885" s="14">
        <v>26.500678213851952</v>
      </c>
      <c r="AC885" s="13">
        <v>4</v>
      </c>
      <c r="AD885" s="13">
        <f t="shared" si="355"/>
        <v>0</v>
      </c>
      <c r="AE885" s="14">
        <f t="shared" si="356"/>
        <v>-2.287268716641222</v>
      </c>
      <c r="AF885" s="14">
        <f t="shared" si="357"/>
        <v>-6.829053875867519E-3</v>
      </c>
      <c r="AG885" s="13">
        <f t="shared" si="358"/>
        <v>-1.4033257122631966</v>
      </c>
      <c r="AH885" s="13">
        <f>IF($T885=1,$AU885,VLOOKUP(U885,'Cortes naturales'!$A$25:$C$29,3,9))</f>
        <v>4</v>
      </c>
      <c r="AI885" s="13" t="b">
        <f t="shared" si="359"/>
        <v>1</v>
      </c>
      <c r="AJ885" s="13">
        <f t="shared" si="360"/>
        <v>0</v>
      </c>
      <c r="AK885" s="28">
        <v>0.6523467210059386</v>
      </c>
      <c r="AL885" s="28">
        <v>39.20838629146099</v>
      </c>
      <c r="AM885" s="28">
        <v>0.31982957112942384</v>
      </c>
      <c r="AN885" s="13">
        <v>4</v>
      </c>
      <c r="AO885" s="33">
        <f t="shared" si="361"/>
        <v>0</v>
      </c>
      <c r="AP885" s="13">
        <f t="shared" si="371"/>
        <v>31.982957112942383</v>
      </c>
      <c r="AQ885" s="13">
        <f>IFERROR(VLOOKUP(U885,'Cortes naturales'!$E$15:$G$19,3,9),U885)</f>
        <v>4</v>
      </c>
      <c r="AR885" s="28">
        <f t="shared" si="362"/>
        <v>-0.21825911973742373</v>
      </c>
      <c r="AS885" s="13" t="b">
        <f t="shared" si="363"/>
        <v>1</v>
      </c>
      <c r="AT885" s="13">
        <f t="shared" si="372"/>
        <v>0</v>
      </c>
      <c r="AU885" s="13">
        <v>4</v>
      </c>
      <c r="AV885">
        <f t="shared" si="364"/>
        <v>0</v>
      </c>
      <c r="AW885" s="13">
        <v>0</v>
      </c>
      <c r="AX885" s="13">
        <v>0</v>
      </c>
      <c r="AY885" s="13">
        <v>0</v>
      </c>
      <c r="AZ885" s="13">
        <v>1</v>
      </c>
      <c r="BA885">
        <v>1</v>
      </c>
      <c r="BB885" t="s">
        <v>2840</v>
      </c>
      <c r="BC885">
        <v>6</v>
      </c>
      <c r="BD885" t="s">
        <v>2919</v>
      </c>
      <c r="BE885">
        <v>1</v>
      </c>
      <c r="BF885" s="232" t="s">
        <v>2846</v>
      </c>
      <c r="BG885" s="232" t="s">
        <v>2846</v>
      </c>
      <c r="BH885" s="253">
        <v>53.8</v>
      </c>
      <c r="BI885" s="253">
        <v>37.175669927690343</v>
      </c>
      <c r="BJ885" s="25">
        <v>39.549707130290805</v>
      </c>
      <c r="BK885" t="s">
        <v>376</v>
      </c>
      <c r="BL885">
        <v>23.999414404601563</v>
      </c>
      <c r="BM885" t="s">
        <v>384</v>
      </c>
      <c r="BN885" s="322">
        <v>65381.216414000002</v>
      </c>
      <c r="BO885" s="322">
        <v>4122.4113289999996</v>
      </c>
      <c r="BP885" s="10">
        <v>28494</v>
      </c>
      <c r="BQ885" s="254">
        <f t="shared" si="365"/>
        <v>2.2945608343510915</v>
      </c>
      <c r="BR885" s="254">
        <f t="shared" si="366"/>
        <v>0.14467646974801712</v>
      </c>
      <c r="BS885" s="25">
        <v>69.783804278416355</v>
      </c>
      <c r="BT885" s="25">
        <v>96.179970637093177</v>
      </c>
      <c r="BU885" s="25">
        <v>31.940057071517739</v>
      </c>
      <c r="BV885" s="25">
        <v>95.163917330030998</v>
      </c>
      <c r="BW885" s="25">
        <v>47.642643013532179</v>
      </c>
      <c r="BX885" s="25">
        <v>73.266937329264564</v>
      </c>
      <c r="BY885" s="25">
        <v>49.197903379928078</v>
      </c>
      <c r="BZ885">
        <v>73</v>
      </c>
      <c r="CA885">
        <v>0</v>
      </c>
      <c r="CB885">
        <v>7</v>
      </c>
      <c r="CC885">
        <v>146466.49722700001</v>
      </c>
      <c r="CD885" s="10">
        <v>11085.93607</v>
      </c>
      <c r="CE885" s="255">
        <v>7.5689227774857912E-2</v>
      </c>
      <c r="CF885" t="str">
        <f>IFERROR(VLOOKUP(CE885,'Rangos amb etnico'!$A$2:$C$6,3,9),"N.D.")</f>
        <v>0,1% - 30%</v>
      </c>
      <c r="CG885" s="256">
        <v>3.225316705440139E-4</v>
      </c>
      <c r="CH885" s="232">
        <v>0</v>
      </c>
      <c r="CI885" s="311">
        <f t="shared" si="373"/>
        <v>0</v>
      </c>
      <c r="CJ885" s="232">
        <f>IFERROR(VLOOKUP(CI885,'Rangos amb etnico'!$A$2:$C$6,3,9),"N.D.")</f>
        <v>0</v>
      </c>
      <c r="CK885" s="311">
        <f t="shared" si="374"/>
        <v>0</v>
      </c>
      <c r="CL885" s="10">
        <v>0</v>
      </c>
      <c r="CM885" s="255">
        <f t="shared" si="375"/>
        <v>0</v>
      </c>
      <c r="CN885" s="232">
        <f>IFERROR(VLOOKUP(CM885,'Rangos amb etnico'!$A$2:$C$6,3,9),"N.D.")</f>
        <v>0</v>
      </c>
      <c r="CO885" s="311">
        <f t="shared" si="376"/>
        <v>0</v>
      </c>
      <c r="CP885">
        <v>0.95587763743871057</v>
      </c>
      <c r="CQ885" t="s">
        <v>2864</v>
      </c>
      <c r="CR885">
        <f t="shared" si="367"/>
        <v>2</v>
      </c>
      <c r="CS885" t="str">
        <f t="shared" si="377"/>
        <v>No es Candidato</v>
      </c>
      <c r="CT885">
        <v>0</v>
      </c>
      <c r="CU885">
        <v>0</v>
      </c>
      <c r="CV885" s="25">
        <v>42.131969451904297</v>
      </c>
      <c r="CW885" s="25">
        <v>36.234615325927727</v>
      </c>
      <c r="CX885" s="25">
        <v>45.184356689453118</v>
      </c>
      <c r="CY885" s="25">
        <v>26.70980262756348</v>
      </c>
      <c r="CZ885" s="25">
        <v>41.553920745849609</v>
      </c>
      <c r="DA885" s="25">
        <v>56.602561950683587</v>
      </c>
      <c r="DB885" s="25">
        <v>46.506557464599609</v>
      </c>
      <c r="DC885">
        <v>148</v>
      </c>
      <c r="DD885" s="253" t="s">
        <v>380</v>
      </c>
    </row>
    <row r="886" spans="1:108" hidden="1">
      <c r="A886" s="13">
        <v>54810</v>
      </c>
      <c r="B886" s="13" t="s">
        <v>2189</v>
      </c>
      <c r="C886" s="13" t="s">
        <v>517</v>
      </c>
      <c r="D886" s="13" t="s">
        <v>518</v>
      </c>
      <c r="E886" s="13" t="s">
        <v>2190</v>
      </c>
      <c r="F886" s="14">
        <v>58.865200000000002</v>
      </c>
      <c r="G886" s="13">
        <v>41.75</v>
      </c>
      <c r="H886" s="13">
        <v>49.56</v>
      </c>
      <c r="I886" s="13">
        <v>62.75</v>
      </c>
      <c r="J886" s="14">
        <v>58.865252057154549</v>
      </c>
      <c r="K886" s="14">
        <v>59.21564759897403</v>
      </c>
      <c r="L886" s="14">
        <v>67.181192424703312</v>
      </c>
      <c r="M886" s="14">
        <v>65.170599999999993</v>
      </c>
      <c r="N886" s="14">
        <f t="shared" si="351"/>
        <v>53.231300000000005</v>
      </c>
      <c r="O886" s="14">
        <f t="shared" si="352"/>
        <v>62.608173020207971</v>
      </c>
      <c r="P886" s="14">
        <f t="shared" si="368"/>
        <v>57.919736510103988</v>
      </c>
      <c r="Q886" s="14">
        <v>62.182174192061822</v>
      </c>
      <c r="R886" s="17">
        <f t="shared" si="353"/>
        <v>37.817825807938178</v>
      </c>
      <c r="S886" s="14">
        <f t="shared" si="369"/>
        <v>0.44036043227144361</v>
      </c>
      <c r="T886" s="13">
        <v>0</v>
      </c>
      <c r="U886" s="13">
        <f t="shared" si="370"/>
        <v>25.505560206637508</v>
      </c>
      <c r="V886" s="13">
        <f>IF($T886=1,$AU886,(VLOOKUP(U886,'Cortes naturales'!$A$35:$C$39,3,9)))</f>
        <v>4</v>
      </c>
      <c r="W886" s="13">
        <v>4</v>
      </c>
      <c r="X886" s="14" t="b">
        <f t="shared" si="354"/>
        <v>1</v>
      </c>
      <c r="Y886" s="17">
        <f>IF($T886=1,$AU886,VLOOKUP(U886,'Cortes naturales'!$A$45:$C$49,3,9))</f>
        <v>4</v>
      </c>
      <c r="Z886" s="14">
        <v>56.427593592104756</v>
      </c>
      <c r="AA886" s="14">
        <v>0.44055387344431296</v>
      </c>
      <c r="AB886" s="14">
        <v>24.859394926143242</v>
      </c>
      <c r="AC886" s="13">
        <v>4</v>
      </c>
      <c r="AD886" s="13">
        <f t="shared" si="355"/>
        <v>0</v>
      </c>
      <c r="AE886" s="14">
        <f t="shared" si="356"/>
        <v>1.4921429179992316</v>
      </c>
      <c r="AF886" s="14">
        <f t="shared" si="357"/>
        <v>-1.9344117286934637E-4</v>
      </c>
      <c r="AG886" s="13">
        <f t="shared" si="358"/>
        <v>0.64616528049426591</v>
      </c>
      <c r="AH886" s="13">
        <f>IF($T886=1,$AU886,VLOOKUP(U886,'Cortes naturales'!$A$25:$C$29,3,9))</f>
        <v>4</v>
      </c>
      <c r="AI886" s="13" t="b">
        <f t="shared" si="359"/>
        <v>1</v>
      </c>
      <c r="AJ886" s="13">
        <f t="shared" si="360"/>
        <v>0</v>
      </c>
      <c r="AK886" s="28">
        <v>0.6523467210059386</v>
      </c>
      <c r="AL886" s="28">
        <v>36.810355654065248</v>
      </c>
      <c r="AM886" s="28">
        <v>0.28983273561815942</v>
      </c>
      <c r="AN886" s="13">
        <v>4</v>
      </c>
      <c r="AO886" s="33">
        <f t="shared" si="361"/>
        <v>0</v>
      </c>
      <c r="AP886" s="13">
        <f t="shared" si="371"/>
        <v>28.983273561815942</v>
      </c>
      <c r="AQ886" s="13">
        <f>IFERROR(VLOOKUP(U886,'Cortes naturales'!$E$15:$G$19,3,9),U886)</f>
        <v>4</v>
      </c>
      <c r="AR886" s="28">
        <f t="shared" si="362"/>
        <v>-0.21198628873449499</v>
      </c>
      <c r="AS886" s="13" t="b">
        <f t="shared" si="363"/>
        <v>1</v>
      </c>
      <c r="AT886" s="13">
        <f t="shared" si="372"/>
        <v>0</v>
      </c>
      <c r="AU886" s="13">
        <v>4</v>
      </c>
      <c r="AV886">
        <f t="shared" si="364"/>
        <v>0</v>
      </c>
      <c r="AW886" s="13">
        <v>0</v>
      </c>
      <c r="AX886" s="13">
        <v>0</v>
      </c>
      <c r="AY886" s="13">
        <v>0</v>
      </c>
      <c r="AZ886" s="13">
        <v>1</v>
      </c>
      <c r="BA886">
        <v>1</v>
      </c>
      <c r="BB886" t="s">
        <v>2840</v>
      </c>
      <c r="BC886">
        <v>6</v>
      </c>
      <c r="BD886" t="s">
        <v>2919</v>
      </c>
      <c r="BE886">
        <v>0</v>
      </c>
      <c r="BF886" s="232" t="s">
        <v>2846</v>
      </c>
      <c r="BG886" s="232" t="s">
        <v>2846</v>
      </c>
      <c r="BH886" s="253">
        <v>57.6</v>
      </c>
      <c r="BI886" s="253">
        <v>46.171593930861881</v>
      </c>
      <c r="BJ886" s="25">
        <v>56.319557391330328</v>
      </c>
      <c r="BK886" t="s">
        <v>376</v>
      </c>
      <c r="BL886">
        <v>87.485853315839051</v>
      </c>
      <c r="BM886" t="s">
        <v>384</v>
      </c>
      <c r="BN886" s="322">
        <v>115859.574052</v>
      </c>
      <c r="BO886" s="322">
        <v>14314.238445000001</v>
      </c>
      <c r="BP886" s="10">
        <v>67062</v>
      </c>
      <c r="BQ886" s="254">
        <f t="shared" si="365"/>
        <v>1.7276486542602367</v>
      </c>
      <c r="BR886" s="254">
        <f t="shared" si="366"/>
        <v>0.21344783103695089</v>
      </c>
      <c r="BS886" s="25">
        <v>77.494931576984939</v>
      </c>
      <c r="BT886" s="25">
        <v>97.004237727759914</v>
      </c>
      <c r="BU886" s="25">
        <v>55.876666666666672</v>
      </c>
      <c r="BV886" s="25">
        <v>93.420996041007115</v>
      </c>
      <c r="BW886" s="25">
        <v>58.066271093347851</v>
      </c>
      <c r="BX886" s="25">
        <v>80.949208003104658</v>
      </c>
      <c r="BY886" s="25">
        <v>62.16608942631526</v>
      </c>
      <c r="BZ886">
        <v>73</v>
      </c>
      <c r="CA886">
        <v>0</v>
      </c>
      <c r="CB886">
        <v>7</v>
      </c>
      <c r="CC886">
        <v>267468.27381699998</v>
      </c>
      <c r="CD886" s="10">
        <v>30234.301872</v>
      </c>
      <c r="CE886" s="255">
        <v>0.11303883425323973</v>
      </c>
      <c r="CF886" t="str">
        <f>IFERROR(VLOOKUP(CE886,'Rangos amb etnico'!$A$2:$C$6,3,9),"N.D.")</f>
        <v>0,1% - 30%</v>
      </c>
      <c r="CG886" s="256">
        <v>8.7962981465291516E-4</v>
      </c>
      <c r="CH886" s="232">
        <v>61.602311999999998</v>
      </c>
      <c r="CI886" s="311">
        <f t="shared" si="373"/>
        <v>2.3031633292757515E-4</v>
      </c>
      <c r="CJ886" s="232">
        <f>IFERROR(VLOOKUP(CI886,'Rangos amb etnico'!$A$2:$C$6,3,9),"N.D.")</f>
        <v>0</v>
      </c>
      <c r="CK886" s="311">
        <f t="shared" si="374"/>
        <v>2.4460151090868705E-6</v>
      </c>
      <c r="CL886" s="10">
        <v>0</v>
      </c>
      <c r="CM886" s="255">
        <f t="shared" si="375"/>
        <v>0</v>
      </c>
      <c r="CN886" s="232">
        <f>IFERROR(VLOOKUP(CM886,'Rangos amb etnico'!$A$2:$C$6,3,9),"N.D.")</f>
        <v>0</v>
      </c>
      <c r="CO886" s="311">
        <f t="shared" si="376"/>
        <v>0</v>
      </c>
      <c r="CP886">
        <v>0.94309797241457138</v>
      </c>
      <c r="CQ886" t="s">
        <v>2864</v>
      </c>
      <c r="CR886">
        <f t="shared" si="367"/>
        <v>4</v>
      </c>
      <c r="CS886" t="str">
        <f t="shared" si="377"/>
        <v>Candidato</v>
      </c>
      <c r="CT886">
        <v>1</v>
      </c>
      <c r="CU886" t="s">
        <v>2836</v>
      </c>
      <c r="CV886" s="25">
        <v>34.150863647460938</v>
      </c>
      <c r="CW886" s="25">
        <v>21.302217483520511</v>
      </c>
      <c r="CX886" s="25">
        <v>28.487884521484379</v>
      </c>
      <c r="CY886" s="25">
        <v>36.368492126464837</v>
      </c>
      <c r="CZ886" s="25">
        <v>18.0750732421875</v>
      </c>
      <c r="DA886" s="25">
        <v>45.376823425292969</v>
      </c>
      <c r="DB886" s="25">
        <v>55.294692993164063</v>
      </c>
      <c r="DC886">
        <v>1122</v>
      </c>
      <c r="DD886" s="253" t="s">
        <v>380</v>
      </c>
    </row>
    <row r="887" spans="1:108" hidden="1">
      <c r="A887" s="13">
        <v>68397</v>
      </c>
      <c r="B887" s="13" t="s">
        <v>2191</v>
      </c>
      <c r="C887" s="13" t="s">
        <v>431</v>
      </c>
      <c r="D887" s="13" t="s">
        <v>432</v>
      </c>
      <c r="E887" s="13" t="s">
        <v>1862</v>
      </c>
      <c r="F887" s="14">
        <v>59.646433333333299</v>
      </c>
      <c r="G887" s="13">
        <v>49.55</v>
      </c>
      <c r="H887" s="13">
        <v>67.61</v>
      </c>
      <c r="I887" s="13">
        <v>76.53</v>
      </c>
      <c r="J887" s="14">
        <v>51.269224637091888</v>
      </c>
      <c r="K887" s="14">
        <v>52.339460291878325</v>
      </c>
      <c r="L887" s="14">
        <v>43.471172780536683</v>
      </c>
      <c r="M887" s="14">
        <v>48.479199999999999</v>
      </c>
      <c r="N887" s="14">
        <f t="shared" si="351"/>
        <v>63.334108333333326</v>
      </c>
      <c r="O887" s="14">
        <f t="shared" si="352"/>
        <v>48.889764427376718</v>
      </c>
      <c r="P887" s="14">
        <f t="shared" si="368"/>
        <v>56.111936380355019</v>
      </c>
      <c r="Q887" s="14">
        <v>63.384056062885044</v>
      </c>
      <c r="R887" s="17">
        <f t="shared" si="353"/>
        <v>36.615943937114956</v>
      </c>
      <c r="S887" s="14">
        <f t="shared" si="369"/>
        <v>0.42954349543403469</v>
      </c>
      <c r="T887" s="13">
        <v>0</v>
      </c>
      <c r="U887" s="13">
        <f t="shared" si="370"/>
        <v>24.102517288389873</v>
      </c>
      <c r="V887" s="13">
        <f>IF($T887=1,$AU887,(VLOOKUP(U887,'Cortes naturales'!$A$35:$C$39,3,9)))</f>
        <v>4</v>
      </c>
      <c r="W887" s="13">
        <v>4</v>
      </c>
      <c r="X887" s="14" t="b">
        <f t="shared" si="354"/>
        <v>1</v>
      </c>
      <c r="Y887" s="17">
        <f>IF($T887=1,$AU887,VLOOKUP(U887,'Cortes naturales'!$A$45:$C$49,3,9))</f>
        <v>4</v>
      </c>
      <c r="Z887" s="14">
        <v>53.923468455299712</v>
      </c>
      <c r="AA887" s="14">
        <v>0.43762414926184945</v>
      </c>
      <c r="AB887" s="14">
        <v>23.598212007998711</v>
      </c>
      <c r="AC887" s="13">
        <v>4</v>
      </c>
      <c r="AD887" s="13">
        <f t="shared" si="355"/>
        <v>0</v>
      </c>
      <c r="AE887" s="14">
        <f t="shared" si="356"/>
        <v>2.1884679250553063</v>
      </c>
      <c r="AF887" s="14">
        <f t="shared" si="357"/>
        <v>-8.0806538278147544E-3</v>
      </c>
      <c r="AG887" s="13">
        <f t="shared" si="358"/>
        <v>0.5043052803911614</v>
      </c>
      <c r="AH887" s="13">
        <f>IF($T887=1,$AU887,VLOOKUP(U887,'Cortes naturales'!$A$25:$C$29,3,9))</f>
        <v>4</v>
      </c>
      <c r="AI887" s="13" t="b">
        <f t="shared" si="359"/>
        <v>1</v>
      </c>
      <c r="AJ887" s="13">
        <f t="shared" si="360"/>
        <v>0</v>
      </c>
      <c r="AK887" s="28">
        <v>0.6523467210059386</v>
      </c>
      <c r="AL887" s="28">
        <v>35.176797832081931</v>
      </c>
      <c r="AM887" s="28">
        <v>0.26939864919740025</v>
      </c>
      <c r="AN887" s="13">
        <v>4</v>
      </c>
      <c r="AO887" s="33">
        <f t="shared" si="361"/>
        <v>0</v>
      </c>
      <c r="AP887" s="13">
        <f t="shared" si="371"/>
        <v>26.939864919740025</v>
      </c>
      <c r="AQ887" s="13">
        <f>IFERROR(VLOOKUP(U887,'Cortes naturales'!$E$15:$G$19,3,9),U887)</f>
        <v>4</v>
      </c>
      <c r="AR887" s="28">
        <f t="shared" si="362"/>
        <v>-0.22280322557190391</v>
      </c>
      <c r="AS887" s="13" t="b">
        <f t="shared" si="363"/>
        <v>1</v>
      </c>
      <c r="AT887" s="13">
        <f t="shared" si="372"/>
        <v>0</v>
      </c>
      <c r="AU887" s="13">
        <v>4</v>
      </c>
      <c r="AV887">
        <f t="shared" si="364"/>
        <v>0</v>
      </c>
      <c r="AW887" s="13">
        <v>0</v>
      </c>
      <c r="AX887" s="13">
        <v>0</v>
      </c>
      <c r="AY887" s="13">
        <v>0</v>
      </c>
      <c r="AZ887" s="13">
        <v>0</v>
      </c>
      <c r="BA887">
        <v>0</v>
      </c>
      <c r="BB887" t="s">
        <v>2841</v>
      </c>
      <c r="BC887">
        <v>6</v>
      </c>
      <c r="BD887" t="s">
        <v>2919</v>
      </c>
      <c r="BE887">
        <v>1</v>
      </c>
      <c r="BF887" s="232" t="s">
        <v>2846</v>
      </c>
      <c r="BG887" s="232" t="s">
        <v>2845</v>
      </c>
      <c r="BH887" s="253">
        <v>36.1</v>
      </c>
      <c r="BI887" s="253">
        <v>8.1786251881585557</v>
      </c>
      <c r="BJ887" s="25">
        <v>0</v>
      </c>
      <c r="BK887" t="s">
        <v>381</v>
      </c>
      <c r="BL887">
        <v>1.8836528956320537</v>
      </c>
      <c r="BM887" t="s">
        <v>383</v>
      </c>
      <c r="BN887" s="322">
        <v>12848.224464000001</v>
      </c>
      <c r="BO887" s="322">
        <v>818.187274</v>
      </c>
      <c r="BP887" s="10">
        <v>5075</v>
      </c>
      <c r="BQ887" s="254">
        <f t="shared" si="365"/>
        <v>2.5316698451231527</v>
      </c>
      <c r="BR887" s="254">
        <f t="shared" si="366"/>
        <v>0.1612191672906404</v>
      </c>
      <c r="BS887" s="25">
        <v>52.396774272558048</v>
      </c>
      <c r="BT887" s="25">
        <v>86.598231806239724</v>
      </c>
      <c r="BU887" s="25">
        <v>36.191158475426263</v>
      </c>
      <c r="BV887" s="25">
        <v>96.189647344958075</v>
      </c>
      <c r="BW887" s="25">
        <v>47.186932595611793</v>
      </c>
      <c r="BX887" s="25">
        <v>67.843952974795528</v>
      </c>
      <c r="BY887" s="25">
        <v>47.831832893736937</v>
      </c>
      <c r="BZ887">
        <v>25</v>
      </c>
      <c r="CA887">
        <v>0</v>
      </c>
      <c r="CB887">
        <v>7</v>
      </c>
      <c r="CC887">
        <v>28390.908078</v>
      </c>
      <c r="CD887" s="10">
        <v>8778.2966570000008</v>
      </c>
      <c r="CE887" s="255">
        <v>0.3091939374705055</v>
      </c>
      <c r="CF887" t="str">
        <f>IFERROR(VLOOKUP(CE887,'Rangos amb etnico'!$A$2:$C$6,3,9),"N.D.")</f>
        <v>31% - 50%</v>
      </c>
      <c r="CG887" s="256">
        <v>2.5539374099179188E-4</v>
      </c>
      <c r="CH887" s="232">
        <v>0</v>
      </c>
      <c r="CI887" s="311">
        <f t="shared" si="373"/>
        <v>0</v>
      </c>
      <c r="CJ887" s="232">
        <f>IFERROR(VLOOKUP(CI887,'Rangos amb etnico'!$A$2:$C$6,3,9),"N.D.")</f>
        <v>0</v>
      </c>
      <c r="CK887" s="311">
        <f t="shared" si="374"/>
        <v>0</v>
      </c>
      <c r="CL887" s="10">
        <v>0</v>
      </c>
      <c r="CM887" s="255">
        <f t="shared" si="375"/>
        <v>0</v>
      </c>
      <c r="CN887" s="232">
        <f>IFERROR(VLOOKUP(CM887,'Rangos amb etnico'!$A$2:$C$6,3,9),"N.D.")</f>
        <v>0</v>
      </c>
      <c r="CO887" s="311">
        <f t="shared" si="376"/>
        <v>0</v>
      </c>
      <c r="CP887">
        <v>0.92825907133958718</v>
      </c>
      <c r="CQ887" t="s">
        <v>2864</v>
      </c>
      <c r="CR887">
        <f t="shared" si="367"/>
        <v>2</v>
      </c>
      <c r="CS887" t="str">
        <f t="shared" si="377"/>
        <v>No es Candidato</v>
      </c>
      <c r="CT887">
        <v>0</v>
      </c>
      <c r="CU887">
        <v>0</v>
      </c>
      <c r="CV887" s="25">
        <v>55.731414794921882</v>
      </c>
      <c r="CW887" s="25">
        <v>12.059621810913089</v>
      </c>
      <c r="CX887" s="25">
        <v>54.525691986083977</v>
      </c>
      <c r="CY887" s="25">
        <v>82.914619445800781</v>
      </c>
      <c r="CZ887" s="25">
        <v>41.836326599121087</v>
      </c>
      <c r="DA887" s="25">
        <v>86.096153259277344</v>
      </c>
      <c r="DB887" s="25">
        <v>56.956069946289063</v>
      </c>
      <c r="DC887">
        <v>46</v>
      </c>
      <c r="DD887" s="253" t="s">
        <v>380</v>
      </c>
    </row>
    <row r="888" spans="1:108" hidden="1">
      <c r="A888" s="13">
        <v>27006</v>
      </c>
      <c r="B888" s="13" t="s">
        <v>2192</v>
      </c>
      <c r="C888" s="13" t="s">
        <v>1714</v>
      </c>
      <c r="D888" s="13" t="s">
        <v>1715</v>
      </c>
      <c r="E888" s="13" t="s">
        <v>2193</v>
      </c>
      <c r="F888" s="14">
        <v>69.811733333333294</v>
      </c>
      <c r="G888" s="13">
        <v>47.52</v>
      </c>
      <c r="H888" s="13">
        <v>31.71</v>
      </c>
      <c r="I888" s="13">
        <v>48.78</v>
      </c>
      <c r="J888" s="14">
        <v>41.437556671564977</v>
      </c>
      <c r="K888" s="14">
        <v>57.596984219497088</v>
      </c>
      <c r="L888" s="14">
        <v>51.901503518536884</v>
      </c>
      <c r="M888" s="14">
        <v>56.694800000000001</v>
      </c>
      <c r="N888" s="14">
        <f t="shared" si="351"/>
        <v>49.455433333333325</v>
      </c>
      <c r="O888" s="14">
        <f t="shared" si="352"/>
        <v>51.90771110239973</v>
      </c>
      <c r="P888" s="14">
        <f t="shared" si="368"/>
        <v>50.681572217866531</v>
      </c>
      <c r="Q888" s="14">
        <v>62.828007652397623</v>
      </c>
      <c r="R888" s="17">
        <f t="shared" si="353"/>
        <v>37.171992347602377</v>
      </c>
      <c r="S888" s="14">
        <f t="shared" si="369"/>
        <v>0.43454793112842138</v>
      </c>
      <c r="T888" s="13">
        <v>0</v>
      </c>
      <c r="U888" s="13">
        <f t="shared" si="370"/>
        <v>22.02357235360958</v>
      </c>
      <c r="V888" s="13">
        <f>IF($T888=1,$AU888,(VLOOKUP(U888,'Cortes naturales'!$A$35:$C$39,3,9)))</f>
        <v>4</v>
      </c>
      <c r="W888" s="13">
        <v>4</v>
      </c>
      <c r="X888" s="14" t="b">
        <f t="shared" si="354"/>
        <v>1</v>
      </c>
      <c r="Y888" s="17">
        <f>IF($T888=1,$AU888,VLOOKUP(U888,'Cortes naturales'!$A$45:$C$49,3,9))</f>
        <v>4</v>
      </c>
      <c r="Z888" s="14">
        <v>51.934608764511943</v>
      </c>
      <c r="AA888" s="14">
        <v>0.43996350241995918</v>
      </c>
      <c r="AB888" s="14">
        <v>22.849332368844983</v>
      </c>
      <c r="AC888" s="13">
        <v>4</v>
      </c>
      <c r="AD888" s="13">
        <f t="shared" si="355"/>
        <v>0</v>
      </c>
      <c r="AE888" s="14">
        <f t="shared" si="356"/>
        <v>-1.2530365466454114</v>
      </c>
      <c r="AF888" s="14">
        <f t="shared" si="357"/>
        <v>-5.4155712915378018E-3</v>
      </c>
      <c r="AG888" s="13">
        <f t="shared" si="358"/>
        <v>-0.82576001523540299</v>
      </c>
      <c r="AH888" s="13">
        <f>IF($T888=1,$AU888,VLOOKUP(U888,'Cortes naturales'!$A$25:$C$29,3,9))</f>
        <v>4</v>
      </c>
      <c r="AI888" s="13" t="b">
        <f t="shared" si="359"/>
        <v>1</v>
      </c>
      <c r="AJ888" s="13">
        <f t="shared" si="360"/>
        <v>0</v>
      </c>
      <c r="AK888" s="28">
        <v>0.6523467210059386</v>
      </c>
      <c r="AL888" s="28">
        <v>33.879371734255649</v>
      </c>
      <c r="AM888" s="28">
        <v>0.25316921632961076</v>
      </c>
      <c r="AN888" s="13">
        <v>4</v>
      </c>
      <c r="AO888" s="33">
        <f t="shared" si="361"/>
        <v>0</v>
      </c>
      <c r="AP888" s="13">
        <f t="shared" si="371"/>
        <v>25.316921632961076</v>
      </c>
      <c r="AQ888" s="13">
        <f>IFERROR(VLOOKUP(U888,'Cortes naturales'!$E$15:$G$19,3,9),U888)</f>
        <v>4</v>
      </c>
      <c r="AR888" s="28">
        <f t="shared" si="362"/>
        <v>-0.21779878987751722</v>
      </c>
      <c r="AS888" s="13" t="b">
        <f t="shared" si="363"/>
        <v>1</v>
      </c>
      <c r="AT888" s="13">
        <f t="shared" si="372"/>
        <v>0</v>
      </c>
      <c r="AU888" s="13">
        <v>4</v>
      </c>
      <c r="AV888">
        <f t="shared" si="364"/>
        <v>0</v>
      </c>
      <c r="AW888" s="13">
        <v>0</v>
      </c>
      <c r="AX888" s="13">
        <v>0</v>
      </c>
      <c r="AY888" s="13">
        <v>0</v>
      </c>
      <c r="AZ888" s="13">
        <v>1</v>
      </c>
      <c r="BA888">
        <v>1</v>
      </c>
      <c r="BB888" t="s">
        <v>2840</v>
      </c>
      <c r="BC888">
        <v>6</v>
      </c>
      <c r="BD888" t="s">
        <v>2919</v>
      </c>
      <c r="BE888">
        <v>1</v>
      </c>
      <c r="BF888" s="232" t="s">
        <v>2846</v>
      </c>
      <c r="BG888" s="232" t="s">
        <v>2846</v>
      </c>
      <c r="BH888" s="253">
        <v>51.4</v>
      </c>
      <c r="BI888" s="253">
        <v>36.444811905746178</v>
      </c>
      <c r="BJ888" s="25">
        <v>90.034999999999997</v>
      </c>
      <c r="BK888" t="s">
        <v>2850</v>
      </c>
      <c r="BL888">
        <v>3.7690096675919755</v>
      </c>
      <c r="BM888" t="s">
        <v>383</v>
      </c>
      <c r="BN888" s="322">
        <v>33790.994721000003</v>
      </c>
      <c r="BO888" s="322">
        <v>3562.7397799999999</v>
      </c>
      <c r="BP888" s="10">
        <v>15963</v>
      </c>
      <c r="BQ888" s="254">
        <f t="shared" si="365"/>
        <v>2.1168323448599891</v>
      </c>
      <c r="BR888" s="254">
        <f t="shared" si="366"/>
        <v>0.22318735701309278</v>
      </c>
      <c r="BS888" s="25">
        <v>76.869728154907705</v>
      </c>
      <c r="BT888" s="25">
        <v>91.045574019629683</v>
      </c>
      <c r="BU888" s="25">
        <v>60.555000000000007</v>
      </c>
      <c r="BV888" s="25">
        <v>93.983480588813379</v>
      </c>
      <c r="BW888" s="25">
        <v>59.617387209798217</v>
      </c>
      <c r="BX888" s="25">
        <v>80.613445690837693</v>
      </c>
      <c r="BY888" s="25">
        <v>62.367403704790441</v>
      </c>
      <c r="BZ888">
        <v>35</v>
      </c>
      <c r="CA888">
        <v>0</v>
      </c>
      <c r="CB888">
        <v>7</v>
      </c>
      <c r="CC888">
        <v>79852.829436999993</v>
      </c>
      <c r="CD888" s="10">
        <v>52815.689278999998</v>
      </c>
      <c r="CE888" s="255">
        <v>0.66141287229739321</v>
      </c>
      <c r="CF888" t="str">
        <f>IFERROR(VLOOKUP(CE888,'Rangos amb etnico'!$A$2:$C$6,3,9),"N.D.")</f>
        <v>51% - 70%</v>
      </c>
      <c r="CG888" s="256">
        <v>1.5366074985934349E-3</v>
      </c>
      <c r="CH888" s="232">
        <v>34642.068211999998</v>
      </c>
      <c r="CI888" s="311">
        <f t="shared" si="373"/>
        <v>0.4338239290485118</v>
      </c>
      <c r="CJ888" s="232" t="str">
        <f>IFERROR(VLOOKUP(CI888,'Rangos amb etnico'!$A$2:$C$6,3,9),"N.D.")</f>
        <v>31% - 50%</v>
      </c>
      <c r="CK888" s="311">
        <f t="shared" si="374"/>
        <v>1.3755169165821242E-3</v>
      </c>
      <c r="CL888" s="10">
        <v>0</v>
      </c>
      <c r="CM888" s="255">
        <f t="shared" si="375"/>
        <v>0</v>
      </c>
      <c r="CN888" s="232">
        <f>IFERROR(VLOOKUP(CM888,'Rangos amb etnico'!$A$2:$C$6,3,9),"N.D.")</f>
        <v>0</v>
      </c>
      <c r="CO888" s="311">
        <f t="shared" si="376"/>
        <v>0</v>
      </c>
      <c r="CP888">
        <v>0.94934735709071738</v>
      </c>
      <c r="CQ888" t="s">
        <v>2864</v>
      </c>
      <c r="CR888">
        <f t="shared" si="367"/>
        <v>2</v>
      </c>
      <c r="CS888" t="str">
        <f t="shared" si="377"/>
        <v>No es Candidato</v>
      </c>
      <c r="CT888">
        <v>1</v>
      </c>
      <c r="CU888" t="s">
        <v>2835</v>
      </c>
      <c r="CV888" s="25">
        <v>36.389514923095703</v>
      </c>
      <c r="CW888" s="25">
        <v>19.138490676879879</v>
      </c>
      <c r="CX888" s="25">
        <v>39.512977600097663</v>
      </c>
      <c r="CY888" s="25">
        <v>43.904243469238281</v>
      </c>
      <c r="CZ888" s="25">
        <v>5.9277172088623047</v>
      </c>
      <c r="DA888" s="25">
        <v>68.217155456542969</v>
      </c>
      <c r="DB888" s="25">
        <v>41.636512756347663</v>
      </c>
      <c r="DC888">
        <v>12824</v>
      </c>
      <c r="DD888" s="253" t="s">
        <v>380</v>
      </c>
    </row>
    <row r="889" spans="1:108" hidden="1">
      <c r="A889" s="13">
        <v>54800</v>
      </c>
      <c r="B889" s="13" t="s">
        <v>2194</v>
      </c>
      <c r="C889" s="13" t="s">
        <v>517</v>
      </c>
      <c r="D889" s="13" t="s">
        <v>518</v>
      </c>
      <c r="E889" s="13" t="s">
        <v>2195</v>
      </c>
      <c r="F889" s="14">
        <v>70.199399999999997</v>
      </c>
      <c r="G889" s="13">
        <v>62.11</v>
      </c>
      <c r="H889" s="13">
        <v>52.3</v>
      </c>
      <c r="I889" s="13">
        <v>54.96</v>
      </c>
      <c r="J889" s="14">
        <v>58.242147381898889</v>
      </c>
      <c r="K889" s="14">
        <v>51.790325848289648</v>
      </c>
      <c r="L889" s="14">
        <v>59.279642966726385</v>
      </c>
      <c r="M889" s="14">
        <v>52.152500000000003</v>
      </c>
      <c r="N889" s="14">
        <f t="shared" si="351"/>
        <v>59.89235</v>
      </c>
      <c r="O889" s="14">
        <f t="shared" si="352"/>
        <v>55.366154049228733</v>
      </c>
      <c r="P889" s="14">
        <f t="shared" si="368"/>
        <v>57.629252024614367</v>
      </c>
      <c r="Q889" s="14">
        <v>63.001867343528318</v>
      </c>
      <c r="R889" s="17">
        <f t="shared" si="353"/>
        <v>36.998132656471682</v>
      </c>
      <c r="S889" s="14">
        <f t="shared" si="369"/>
        <v>0.43298319390824513</v>
      </c>
      <c r="T889" s="13">
        <v>0</v>
      </c>
      <c r="U889" s="13">
        <f t="shared" si="370"/>
        <v>24.95249760416073</v>
      </c>
      <c r="V889" s="13">
        <f>IF($T889=1,$AU889,(VLOOKUP(U889,'Cortes naturales'!$A$35:$C$39,3,9)))</f>
        <v>4</v>
      </c>
      <c r="W889" s="13">
        <v>4</v>
      </c>
      <c r="X889" s="14" t="b">
        <f t="shared" si="354"/>
        <v>1</v>
      </c>
      <c r="Y889" s="17">
        <f>IF($T889=1,$AU889,VLOOKUP(U889,'Cortes naturales'!$A$45:$C$49,3,9))</f>
        <v>4</v>
      </c>
      <c r="Z889" s="14">
        <v>58.438454271487707</v>
      </c>
      <c r="AA889" s="14">
        <v>0.43978580688398528</v>
      </c>
      <c r="AB889" s="14">
        <v>25.700402764839097</v>
      </c>
      <c r="AC889" s="13">
        <v>4</v>
      </c>
      <c r="AD889" s="13">
        <f t="shared" si="355"/>
        <v>0</v>
      </c>
      <c r="AE889" s="14">
        <f t="shared" si="356"/>
        <v>-0.80920224687334041</v>
      </c>
      <c r="AF889" s="14">
        <f t="shared" si="357"/>
        <v>-6.802612975740141E-3</v>
      </c>
      <c r="AG889" s="13">
        <f t="shared" si="358"/>
        <v>-0.74790516067836776</v>
      </c>
      <c r="AH889" s="13">
        <f>IF($T889=1,$AU889,VLOOKUP(U889,'Cortes naturales'!$A$25:$C$29,3,9))</f>
        <v>4</v>
      </c>
      <c r="AI889" s="13" t="b">
        <f t="shared" si="359"/>
        <v>1</v>
      </c>
      <c r="AJ889" s="13">
        <f t="shared" si="360"/>
        <v>0</v>
      </c>
      <c r="AK889" s="28">
        <v>0.6523467210059386</v>
      </c>
      <c r="AL889" s="28">
        <v>38.12213402466049</v>
      </c>
      <c r="AM889" s="28">
        <v>0.3062417002895671</v>
      </c>
      <c r="AN889" s="13">
        <v>4</v>
      </c>
      <c r="AO889" s="33">
        <f t="shared" si="361"/>
        <v>0</v>
      </c>
      <c r="AP889" s="13">
        <f t="shared" si="371"/>
        <v>30.624170028956708</v>
      </c>
      <c r="AQ889" s="13">
        <f>IFERROR(VLOOKUP(U889,'Cortes naturales'!$E$15:$G$19,3,9),U889)</f>
        <v>4</v>
      </c>
      <c r="AR889" s="28">
        <f t="shared" si="362"/>
        <v>-0.21936352709769347</v>
      </c>
      <c r="AS889" s="13" t="b">
        <f t="shared" si="363"/>
        <v>1</v>
      </c>
      <c r="AT889" s="13">
        <f t="shared" si="372"/>
        <v>0</v>
      </c>
      <c r="AU889" s="13">
        <v>4</v>
      </c>
      <c r="AV889">
        <f t="shared" si="364"/>
        <v>0</v>
      </c>
      <c r="AW889" s="13">
        <v>0</v>
      </c>
      <c r="AX889" s="13">
        <v>0</v>
      </c>
      <c r="AY889" s="13">
        <v>0</v>
      </c>
      <c r="AZ889" s="13">
        <v>1</v>
      </c>
      <c r="BA889">
        <v>1</v>
      </c>
      <c r="BB889" t="s">
        <v>2841</v>
      </c>
      <c r="BC889">
        <v>6</v>
      </c>
      <c r="BD889" t="s">
        <v>2919</v>
      </c>
      <c r="BE889">
        <v>1</v>
      </c>
      <c r="BF889" s="232" t="s">
        <v>2846</v>
      </c>
      <c r="BG889" s="232" t="s">
        <v>2846</v>
      </c>
      <c r="BH889" s="253">
        <v>67.099999999999994</v>
      </c>
      <c r="BI889" s="253">
        <v>38.245476003147125</v>
      </c>
      <c r="BJ889" s="25">
        <v>2.1924999999999999</v>
      </c>
      <c r="BK889" t="s">
        <v>381</v>
      </c>
      <c r="BL889">
        <v>47.155138061776377</v>
      </c>
      <c r="BM889" t="s">
        <v>384</v>
      </c>
      <c r="BN889" s="322">
        <v>45671.397583999998</v>
      </c>
      <c r="BO889" s="322">
        <v>2669.2165949999999</v>
      </c>
      <c r="BP889" s="10">
        <v>18309</v>
      </c>
      <c r="BQ889" s="254">
        <f t="shared" si="365"/>
        <v>2.494477993555082</v>
      </c>
      <c r="BR889" s="254">
        <f t="shared" si="366"/>
        <v>0.14578713173848926</v>
      </c>
      <c r="BS889" s="25">
        <v>69.456314121931982</v>
      </c>
      <c r="BT889" s="25">
        <v>94.139970917321421</v>
      </c>
      <c r="BU889" s="25">
        <v>38.591666666666661</v>
      </c>
      <c r="BV889" s="25">
        <v>94.856404834936939</v>
      </c>
      <c r="BW889" s="25">
        <v>50.899171724232993</v>
      </c>
      <c r="BX889" s="25">
        <v>74.261089135214263</v>
      </c>
      <c r="BY889" s="25">
        <v>52.278876754595537</v>
      </c>
      <c r="BZ889">
        <v>14</v>
      </c>
      <c r="CA889">
        <v>0</v>
      </c>
      <c r="CB889">
        <v>7</v>
      </c>
      <c r="CC889">
        <v>92483.888317000004</v>
      </c>
      <c r="CD889" s="10">
        <v>67928.338134000005</v>
      </c>
      <c r="CE889" s="255">
        <v>0.73448834570154742</v>
      </c>
      <c r="CF889" t="str">
        <f>IFERROR(VLOOKUP(CE889,'Rangos amb etnico'!$A$2:$C$6,3,9),"N.D.")</f>
        <v>71% - 100%</v>
      </c>
      <c r="CG889" s="256">
        <v>1.9762914234122647E-3</v>
      </c>
      <c r="CH889" s="232">
        <v>20472.271896999999</v>
      </c>
      <c r="CI889" s="311">
        <f t="shared" si="373"/>
        <v>0.22136041498199932</v>
      </c>
      <c r="CJ889" s="232" t="str">
        <f>IFERROR(VLOOKUP(CI889,'Rangos amb etnico'!$A$2:$C$6,3,9),"N.D.")</f>
        <v>0,1% - 30%</v>
      </c>
      <c r="CK889" s="311">
        <f t="shared" si="374"/>
        <v>8.1288323037934887E-4</v>
      </c>
      <c r="CL889" s="10">
        <v>0</v>
      </c>
      <c r="CM889" s="255">
        <f t="shared" si="375"/>
        <v>0</v>
      </c>
      <c r="CN889" s="232">
        <f>IFERROR(VLOOKUP(CM889,'Rangos amb etnico'!$A$2:$C$6,3,9),"N.D.")</f>
        <v>0</v>
      </c>
      <c r="CO889" s="311">
        <f t="shared" si="376"/>
        <v>0</v>
      </c>
      <c r="CP889">
        <v>0.96783533430092539</v>
      </c>
      <c r="CQ889" t="s">
        <v>2864</v>
      </c>
      <c r="CR889">
        <f t="shared" si="367"/>
        <v>1</v>
      </c>
      <c r="CS889" t="str">
        <f t="shared" si="377"/>
        <v>No es Candidato</v>
      </c>
      <c r="CT889">
        <v>1</v>
      </c>
      <c r="CU889" t="s">
        <v>2836</v>
      </c>
      <c r="CV889" s="25">
        <v>47.472347259521477</v>
      </c>
      <c r="CW889" s="25">
        <v>20.183256149291989</v>
      </c>
      <c r="CX889" s="25">
        <v>49.689445495605469</v>
      </c>
      <c r="CY889" s="25">
        <v>54.415031433105469</v>
      </c>
      <c r="CZ889" s="25">
        <v>36.201766967773438</v>
      </c>
      <c r="DA889" s="25">
        <v>65.071044921875</v>
      </c>
      <c r="DB889" s="25">
        <v>59.273536682128913</v>
      </c>
      <c r="DC889">
        <v>991</v>
      </c>
      <c r="DD889" s="253" t="s">
        <v>380</v>
      </c>
    </row>
    <row r="890" spans="1:108" hidden="1">
      <c r="A890" s="13">
        <v>15092</v>
      </c>
      <c r="B890" s="13" t="s">
        <v>2196</v>
      </c>
      <c r="C890" s="13" t="s">
        <v>498</v>
      </c>
      <c r="D890" s="13" t="s">
        <v>499</v>
      </c>
      <c r="E890" s="13" t="s">
        <v>2197</v>
      </c>
      <c r="F890" s="14">
        <v>54.629666666666701</v>
      </c>
      <c r="G890" s="13">
        <v>56.61</v>
      </c>
      <c r="H890" s="13">
        <v>59.66</v>
      </c>
      <c r="I890" s="13">
        <v>62.52</v>
      </c>
      <c r="J890" s="14">
        <v>59.289703972416042</v>
      </c>
      <c r="K890" s="14">
        <v>43.43414144016694</v>
      </c>
      <c r="L890" s="14">
        <v>47.608745692858392</v>
      </c>
      <c r="M890" s="14">
        <v>48.2804</v>
      </c>
      <c r="N890" s="14">
        <f t="shared" si="351"/>
        <v>58.354916666666675</v>
      </c>
      <c r="O890" s="14">
        <f t="shared" si="352"/>
        <v>49.653247776360345</v>
      </c>
      <c r="P890" s="14">
        <f t="shared" si="368"/>
        <v>54.004082221513514</v>
      </c>
      <c r="Q890" s="14">
        <v>63.913065748305954</v>
      </c>
      <c r="R890" s="17">
        <f t="shared" si="353"/>
        <v>36.086934251694046</v>
      </c>
      <c r="S890" s="14">
        <f t="shared" si="369"/>
        <v>0.42478240826524649</v>
      </c>
      <c r="T890" s="13">
        <v>0</v>
      </c>
      <c r="U890" s="13">
        <f t="shared" si="370"/>
        <v>22.939984102208893</v>
      </c>
      <c r="V890" s="13">
        <f>IF($T890=1,$AU890,(VLOOKUP(U890,'Cortes naturales'!$A$35:$C$39,3,9)))</f>
        <v>4</v>
      </c>
      <c r="W890" s="13">
        <v>4</v>
      </c>
      <c r="X890" s="14" t="b">
        <f t="shared" si="354"/>
        <v>1</v>
      </c>
      <c r="Y890" s="17">
        <f>IF($T890=1,$AU890,VLOOKUP(U890,'Cortes naturales'!$A$45:$C$49,3,9))</f>
        <v>4</v>
      </c>
      <c r="Z890" s="14">
        <v>53.000441057415443</v>
      </c>
      <c r="AA890" s="14">
        <v>0.44067108891207141</v>
      </c>
      <c r="AB890" s="14">
        <v>23.355762073591322</v>
      </c>
      <c r="AC890" s="13">
        <v>4</v>
      </c>
      <c r="AD890" s="13">
        <f t="shared" si="355"/>
        <v>0</v>
      </c>
      <c r="AE890" s="14">
        <f t="shared" si="356"/>
        <v>1.0036411640980702</v>
      </c>
      <c r="AF890" s="14">
        <f t="shared" si="357"/>
        <v>-1.5888680646824915E-2</v>
      </c>
      <c r="AG890" s="13">
        <f t="shared" si="358"/>
        <v>-0.415777971382429</v>
      </c>
      <c r="AH890" s="13">
        <f>IF($T890=1,$AU890,VLOOKUP(U890,'Cortes naturales'!$A$25:$C$29,3,9))</f>
        <v>4</v>
      </c>
      <c r="AI890" s="13" t="b">
        <f t="shared" si="359"/>
        <v>1</v>
      </c>
      <c r="AJ890" s="13">
        <f t="shared" si="360"/>
        <v>0</v>
      </c>
      <c r="AK890" s="28">
        <v>0.6523467210059386</v>
      </c>
      <c r="AL890" s="28">
        <v>34.574663935673485</v>
      </c>
      <c r="AM890" s="28">
        <v>0.26186658886228448</v>
      </c>
      <c r="AN890" s="13">
        <v>4</v>
      </c>
      <c r="AO890" s="33">
        <f t="shared" si="361"/>
        <v>0</v>
      </c>
      <c r="AP890" s="13">
        <f t="shared" si="371"/>
        <v>26.186658886228447</v>
      </c>
      <c r="AQ890" s="13">
        <f>IFERROR(VLOOKUP(U890,'Cortes naturales'!$E$15:$G$19,3,9),U890)</f>
        <v>4</v>
      </c>
      <c r="AR890" s="28">
        <f t="shared" si="362"/>
        <v>-0.22756431274069211</v>
      </c>
      <c r="AS890" s="13" t="b">
        <f t="shared" si="363"/>
        <v>1</v>
      </c>
      <c r="AT890" s="13">
        <f t="shared" si="372"/>
        <v>0</v>
      </c>
      <c r="AU890" s="13">
        <v>4</v>
      </c>
      <c r="AV890">
        <f t="shared" si="364"/>
        <v>0</v>
      </c>
      <c r="AW890" s="13">
        <v>0</v>
      </c>
      <c r="AX890" s="13">
        <v>0</v>
      </c>
      <c r="AY890" s="13">
        <v>0</v>
      </c>
      <c r="AZ890" s="13">
        <v>0</v>
      </c>
      <c r="BA890">
        <v>0</v>
      </c>
      <c r="BB890" t="s">
        <v>2841</v>
      </c>
      <c r="BC890">
        <v>6</v>
      </c>
      <c r="BD890" t="s">
        <v>2919</v>
      </c>
      <c r="BE890">
        <v>0</v>
      </c>
      <c r="BF890" s="232" t="s">
        <v>2846</v>
      </c>
      <c r="BG890" s="232" t="s">
        <v>2846</v>
      </c>
      <c r="BH890" s="253">
        <v>43.3</v>
      </c>
      <c r="BI890" s="253">
        <v>11.134564643799472</v>
      </c>
      <c r="BJ890" s="25">
        <v>42.127718014223582</v>
      </c>
      <c r="BK890" t="s">
        <v>376</v>
      </c>
      <c r="BL890">
        <v>0</v>
      </c>
      <c r="BM890" t="s">
        <v>377</v>
      </c>
      <c r="BN890" s="322">
        <v>6804.4069030000001</v>
      </c>
      <c r="BO890" s="322">
        <v>435.08374500000002</v>
      </c>
      <c r="BP890" s="10">
        <v>1825</v>
      </c>
      <c r="BQ890" s="254">
        <f t="shared" si="365"/>
        <v>3.728442138630137</v>
      </c>
      <c r="BR890" s="254">
        <f t="shared" si="366"/>
        <v>0.23840205205479453</v>
      </c>
      <c r="BS890" s="25">
        <v>52.237499999999997</v>
      </c>
      <c r="BT890" s="25">
        <v>89.388127853881272</v>
      </c>
      <c r="BU890" s="25">
        <v>28.540239203516929</v>
      </c>
      <c r="BV890" s="25">
        <v>98.614354942174757</v>
      </c>
      <c r="BW890" s="25">
        <v>65.916318471810342</v>
      </c>
      <c r="BX890" s="25">
        <v>67.195055499893243</v>
      </c>
      <c r="BY890" s="25">
        <v>66.991491726876106</v>
      </c>
      <c r="BZ890">
        <v>82</v>
      </c>
      <c r="CA890">
        <v>0</v>
      </c>
      <c r="CB890">
        <v>7</v>
      </c>
      <c r="CC890">
        <v>10166.571223999999</v>
      </c>
      <c r="CD890" s="10">
        <v>2223.3848170000001</v>
      </c>
      <c r="CE890" s="255">
        <v>0.2186956416290386</v>
      </c>
      <c r="CF890" t="str">
        <f>IFERROR(VLOOKUP(CE890,'Rangos amb etnico'!$A$2:$C$6,3,9),"N.D.")</f>
        <v>0,1% - 30%</v>
      </c>
      <c r="CG890" s="256">
        <v>6.4686645742961311E-5</v>
      </c>
      <c r="CH890" s="232">
        <v>0</v>
      </c>
      <c r="CI890" s="311">
        <f t="shared" si="373"/>
        <v>0</v>
      </c>
      <c r="CJ890" s="232">
        <f>IFERROR(VLOOKUP(CI890,'Rangos amb etnico'!$A$2:$C$6,3,9),"N.D.")</f>
        <v>0</v>
      </c>
      <c r="CK890" s="311">
        <f t="shared" si="374"/>
        <v>0</v>
      </c>
      <c r="CL890" s="10">
        <v>0</v>
      </c>
      <c r="CM890" s="255">
        <f t="shared" si="375"/>
        <v>0</v>
      </c>
      <c r="CN890" s="232">
        <f>IFERROR(VLOOKUP(CM890,'Rangos amb etnico'!$A$2:$C$6,3,9),"N.D.")</f>
        <v>0</v>
      </c>
      <c r="CO890" s="311">
        <f t="shared" si="376"/>
        <v>0</v>
      </c>
      <c r="CP890">
        <v>0.77018615009740721</v>
      </c>
      <c r="CQ890" t="s">
        <v>2865</v>
      </c>
      <c r="CR890">
        <f t="shared" si="367"/>
        <v>3</v>
      </c>
      <c r="CS890" t="str">
        <f t="shared" si="377"/>
        <v>Candidato</v>
      </c>
      <c r="CT890">
        <v>0</v>
      </c>
      <c r="CU890">
        <v>0</v>
      </c>
      <c r="CV890" s="25">
        <v>55.457511901855469</v>
      </c>
      <c r="CW890" s="25">
        <v>17.725461959838871</v>
      </c>
      <c r="CX890" s="25">
        <v>61.201419830322273</v>
      </c>
      <c r="CY890" s="25">
        <v>66.394279479980469</v>
      </c>
      <c r="CZ890" s="25">
        <v>46.949413299560547</v>
      </c>
      <c r="DA890" s="25">
        <v>85.63665771484375</v>
      </c>
      <c r="DB890" s="25">
        <v>54.837841033935547</v>
      </c>
      <c r="DC890">
        <v>13</v>
      </c>
      <c r="DD890" s="253" t="s">
        <v>380</v>
      </c>
    </row>
    <row r="891" spans="1:108" hidden="1">
      <c r="A891" s="13">
        <v>41801</v>
      </c>
      <c r="B891" s="13" t="s">
        <v>2198</v>
      </c>
      <c r="C891" s="13" t="s">
        <v>676</v>
      </c>
      <c r="D891" s="13" t="s">
        <v>677</v>
      </c>
      <c r="E891" s="13" t="s">
        <v>2199</v>
      </c>
      <c r="F891" s="14">
        <v>72.595233333333297</v>
      </c>
      <c r="G891" s="13">
        <v>75.34</v>
      </c>
      <c r="H891" s="13">
        <v>72.64</v>
      </c>
      <c r="I891" s="13">
        <v>70.75</v>
      </c>
      <c r="J891" s="14">
        <v>53.858352565842338</v>
      </c>
      <c r="K891" s="14">
        <v>58.545574914722735</v>
      </c>
      <c r="L891" s="14">
        <v>47.087265523427575</v>
      </c>
      <c r="M891" s="14">
        <v>51.181899999999999</v>
      </c>
      <c r="N891" s="14">
        <f t="shared" si="351"/>
        <v>72.831308333333325</v>
      </c>
      <c r="O891" s="14">
        <f t="shared" si="352"/>
        <v>52.668273250998155</v>
      </c>
      <c r="P891" s="14">
        <f t="shared" si="368"/>
        <v>62.74979079216574</v>
      </c>
      <c r="Q891" s="14">
        <v>63.286704249626389</v>
      </c>
      <c r="R891" s="17">
        <f t="shared" si="353"/>
        <v>36.713295750373611</v>
      </c>
      <c r="S891" s="14">
        <f t="shared" si="369"/>
        <v>0.43041966175336255</v>
      </c>
      <c r="T891" s="13">
        <v>0</v>
      </c>
      <c r="U891" s="13">
        <f t="shared" si="370"/>
        <v>27.008743727858242</v>
      </c>
      <c r="V891" s="13">
        <f>IF($T891=1,$AU891,(VLOOKUP(U891,'Cortes naturales'!$A$35:$C$39,3,9)))</f>
        <v>4</v>
      </c>
      <c r="W891" s="13">
        <v>4</v>
      </c>
      <c r="X891" s="14" t="b">
        <f t="shared" si="354"/>
        <v>1</v>
      </c>
      <c r="Y891" s="17">
        <f>IF($T891=1,$AU891,VLOOKUP(U891,'Cortes naturales'!$A$45:$C$49,3,9))</f>
        <v>4</v>
      </c>
      <c r="Z891" s="14">
        <v>62.298429806431464</v>
      </c>
      <c r="AA891" s="14">
        <v>0.43932312775958215</v>
      </c>
      <c r="AB891" s="14">
        <v>27.36914103707225</v>
      </c>
      <c r="AC891" s="13">
        <v>4</v>
      </c>
      <c r="AD891" s="13">
        <f t="shared" si="355"/>
        <v>0</v>
      </c>
      <c r="AE891" s="14">
        <f t="shared" si="356"/>
        <v>0.45136098573427574</v>
      </c>
      <c r="AF891" s="14">
        <f t="shared" si="357"/>
        <v>-8.9034660062196069E-3</v>
      </c>
      <c r="AG891" s="13">
        <f t="shared" si="358"/>
        <v>-0.36039730921400803</v>
      </c>
      <c r="AH891" s="13">
        <f>IF($T891=1,$AU891,VLOOKUP(U891,'Cortes naturales'!$A$25:$C$29,3,9))</f>
        <v>4</v>
      </c>
      <c r="AI891" s="13" t="b">
        <f t="shared" si="359"/>
        <v>1</v>
      </c>
      <c r="AJ891" s="13">
        <f t="shared" si="360"/>
        <v>0</v>
      </c>
      <c r="AK891" s="28">
        <v>0.6523467210059386</v>
      </c>
      <c r="AL891" s="28">
        <v>40.640176408044198</v>
      </c>
      <c r="AM891" s="28">
        <v>0.33773975623883645</v>
      </c>
      <c r="AN891" s="13">
        <v>4</v>
      </c>
      <c r="AO891" s="33">
        <f t="shared" si="361"/>
        <v>0</v>
      </c>
      <c r="AP891" s="13">
        <f t="shared" si="371"/>
        <v>33.773975623883643</v>
      </c>
      <c r="AQ891" s="13">
        <f>IFERROR(VLOOKUP(U891,'Cortes naturales'!$E$15:$G$19,3,9),U891)</f>
        <v>4</v>
      </c>
      <c r="AR891" s="28">
        <f t="shared" si="362"/>
        <v>-0.22192705925257605</v>
      </c>
      <c r="AS891" s="13" t="b">
        <f t="shared" si="363"/>
        <v>1</v>
      </c>
      <c r="AT891" s="13">
        <f t="shared" si="372"/>
        <v>0</v>
      </c>
      <c r="AU891" s="13">
        <v>4</v>
      </c>
      <c r="AV891">
        <f t="shared" si="364"/>
        <v>0</v>
      </c>
      <c r="AW891" s="13">
        <v>0</v>
      </c>
      <c r="AX891" s="13">
        <v>0</v>
      </c>
      <c r="AY891" s="13">
        <v>0</v>
      </c>
      <c r="AZ891" s="13">
        <v>0</v>
      </c>
      <c r="BA891">
        <v>0</v>
      </c>
      <c r="BB891" t="s">
        <v>2840</v>
      </c>
      <c r="BC891">
        <v>6</v>
      </c>
      <c r="BD891" t="s">
        <v>2919</v>
      </c>
      <c r="BE891">
        <v>0</v>
      </c>
      <c r="BF891" s="232" t="s">
        <v>2846</v>
      </c>
      <c r="BG891" s="232" t="s">
        <v>2845</v>
      </c>
      <c r="BH891" s="253">
        <v>39.9</v>
      </c>
      <c r="BI891" s="253">
        <v>11.07482993197279</v>
      </c>
      <c r="BJ891" s="25">
        <v>5.8050000000000006</v>
      </c>
      <c r="BK891" t="s">
        <v>377</v>
      </c>
      <c r="BL891">
        <v>8.2745805459827757</v>
      </c>
      <c r="BM891" t="s">
        <v>379</v>
      </c>
      <c r="BN891" s="322">
        <v>16363.744805</v>
      </c>
      <c r="BO891" s="322">
        <v>1041.593914</v>
      </c>
      <c r="BP891" s="10">
        <v>8237</v>
      </c>
      <c r="BQ891" s="254">
        <f t="shared" si="365"/>
        <v>1.9866146418599004</v>
      </c>
      <c r="BR891" s="254">
        <f t="shared" si="366"/>
        <v>0.12645306713609325</v>
      </c>
      <c r="BS891" s="25">
        <v>57.255182659714947</v>
      </c>
      <c r="BT891" s="25">
        <v>91.066417422605312</v>
      </c>
      <c r="BU891" s="25">
        <v>48.903333333333329</v>
      </c>
      <c r="BV891" s="25">
        <v>90.580542208207774</v>
      </c>
      <c r="BW891" s="25">
        <v>58.785484841348499</v>
      </c>
      <c r="BX891" s="25">
        <v>71.951368905965339</v>
      </c>
      <c r="BY891" s="25">
        <v>60.184998213041993</v>
      </c>
      <c r="BZ891">
        <v>71</v>
      </c>
      <c r="CA891">
        <v>0</v>
      </c>
      <c r="CB891">
        <v>7</v>
      </c>
      <c r="CC891">
        <v>47165.019785999997</v>
      </c>
      <c r="CD891" s="10">
        <v>41744.797059999997</v>
      </c>
      <c r="CE891" s="255">
        <v>0.88507960453333923</v>
      </c>
      <c r="CF891" t="str">
        <f>IFERROR(VLOOKUP(CE891,'Rangos amb etnico'!$A$2:$C$6,3,9),"N.D.")</f>
        <v>71% - 100%</v>
      </c>
      <c r="CG891" s="256">
        <v>1.214513510385293E-3</v>
      </c>
      <c r="CH891" s="232">
        <v>0</v>
      </c>
      <c r="CI891" s="311">
        <f t="shared" si="373"/>
        <v>0</v>
      </c>
      <c r="CJ891" s="232">
        <f>IFERROR(VLOOKUP(CI891,'Rangos amb etnico'!$A$2:$C$6,3,9),"N.D.")</f>
        <v>0</v>
      </c>
      <c r="CK891" s="311">
        <f t="shared" si="374"/>
        <v>0</v>
      </c>
      <c r="CL891" s="10">
        <v>0</v>
      </c>
      <c r="CM891" s="255">
        <f t="shared" si="375"/>
        <v>0</v>
      </c>
      <c r="CN891" s="232">
        <f>IFERROR(VLOOKUP(CM891,'Rangos amb etnico'!$A$2:$C$6,3,9),"N.D.")</f>
        <v>0</v>
      </c>
      <c r="CO891" s="311">
        <f t="shared" si="376"/>
        <v>0</v>
      </c>
      <c r="CP891">
        <v>0.94309209494986934</v>
      </c>
      <c r="CQ891" t="s">
        <v>2864</v>
      </c>
      <c r="CR891">
        <f t="shared" si="367"/>
        <v>3</v>
      </c>
      <c r="CS891" t="str">
        <f t="shared" si="377"/>
        <v>Candidato</v>
      </c>
      <c r="CT891">
        <v>0</v>
      </c>
      <c r="CU891">
        <v>0</v>
      </c>
      <c r="CV891" s="25">
        <v>48.436668395996087</v>
      </c>
      <c r="CW891" s="25">
        <v>24.345527648925781</v>
      </c>
      <c r="CX891" s="25">
        <v>44.932044982910163</v>
      </c>
      <c r="CY891" s="25">
        <v>61.485675811767578</v>
      </c>
      <c r="CZ891" s="25">
        <v>50.484424591064453</v>
      </c>
      <c r="DA891" s="25">
        <v>37.790817260742188</v>
      </c>
      <c r="DB891" s="25">
        <v>71.581520080566406</v>
      </c>
      <c r="DC891">
        <v>122</v>
      </c>
      <c r="DD891" s="253" t="s">
        <v>380</v>
      </c>
    </row>
    <row r="892" spans="1:108" hidden="1">
      <c r="A892" s="13">
        <v>68377</v>
      </c>
      <c r="B892" s="13" t="s">
        <v>2200</v>
      </c>
      <c r="C892" s="13" t="s">
        <v>431</v>
      </c>
      <c r="D892" s="13" t="s">
        <v>432</v>
      </c>
      <c r="E892" s="13" t="s">
        <v>2201</v>
      </c>
      <c r="F892" s="14">
        <v>62.262033333333299</v>
      </c>
      <c r="G892" s="13">
        <v>76.5</v>
      </c>
      <c r="H892" s="13">
        <v>70.010000000000005</v>
      </c>
      <c r="I892" s="13">
        <v>69.760000000000005</v>
      </c>
      <c r="J892" s="14">
        <v>67.196250534453156</v>
      </c>
      <c r="K892" s="14">
        <v>59.792950083026348</v>
      </c>
      <c r="L892" s="14">
        <v>62.616367129436597</v>
      </c>
      <c r="M892" s="14">
        <v>57.976700000000001</v>
      </c>
      <c r="N892" s="14">
        <f t="shared" si="351"/>
        <v>69.633008333333322</v>
      </c>
      <c r="O892" s="14">
        <f t="shared" si="352"/>
        <v>61.895566936729026</v>
      </c>
      <c r="P892" s="14">
        <f t="shared" si="368"/>
        <v>65.764287635031167</v>
      </c>
      <c r="Q892" s="14">
        <v>63.498506767982143</v>
      </c>
      <c r="R892" s="17">
        <f t="shared" si="353"/>
        <v>36.501493232017857</v>
      </c>
      <c r="S892" s="14">
        <f t="shared" si="369"/>
        <v>0.42851343908816075</v>
      </c>
      <c r="T892" s="13">
        <v>0</v>
      </c>
      <c r="U892" s="13">
        <f t="shared" si="370"/>
        <v>28.18088106367021</v>
      </c>
      <c r="V892" s="13">
        <f>IF($T892=1,$AU892,(VLOOKUP(U892,'Cortes naturales'!$A$35:$C$39,3,9)))</f>
        <v>4</v>
      </c>
      <c r="W892" s="13">
        <v>4</v>
      </c>
      <c r="X892" s="14" t="b">
        <f t="shared" si="354"/>
        <v>1</v>
      </c>
      <c r="Y892" s="17">
        <f>IF($T892=1,$AU892,VLOOKUP(U892,'Cortes naturales'!$A$45:$C$49,3,9))</f>
        <v>4</v>
      </c>
      <c r="Z892" s="14">
        <v>63.691770608654934</v>
      </c>
      <c r="AA892" s="14">
        <v>0.43836853439931467</v>
      </c>
      <c r="AB892" s="14">
        <v>27.920468135013408</v>
      </c>
      <c r="AC892" s="13">
        <v>3</v>
      </c>
      <c r="AD892" s="13">
        <f t="shared" si="355"/>
        <v>-1</v>
      </c>
      <c r="AE892" s="14">
        <f t="shared" si="356"/>
        <v>2.0725170263762323</v>
      </c>
      <c r="AF892" s="14">
        <f t="shared" si="357"/>
        <v>-9.8550953111539163E-3</v>
      </c>
      <c r="AG892" s="13">
        <f t="shared" si="358"/>
        <v>0.26041292865680177</v>
      </c>
      <c r="AH892" s="13">
        <f>IF($T892=1,$AU892,VLOOKUP(U892,'Cortes naturales'!$A$25:$C$29,3,9))</f>
        <v>3</v>
      </c>
      <c r="AI892" s="13" t="b">
        <f t="shared" si="359"/>
        <v>0</v>
      </c>
      <c r="AJ892" s="13" t="str">
        <f t="shared" si="360"/>
        <v>Cambio en corte</v>
      </c>
      <c r="AK892" s="28">
        <v>0.6523467210059386</v>
      </c>
      <c r="AL892" s="28">
        <v>41.549117711618457</v>
      </c>
      <c r="AM892" s="28">
        <v>0.34910965383210552</v>
      </c>
      <c r="AN892" s="13">
        <v>4</v>
      </c>
      <c r="AO892" s="33">
        <f t="shared" si="361"/>
        <v>0</v>
      </c>
      <c r="AP892" s="13">
        <f t="shared" si="371"/>
        <v>34.910965383210552</v>
      </c>
      <c r="AQ892" s="13">
        <f>IFERROR(VLOOKUP(U892,'Cortes naturales'!$E$15:$G$19,3,9),U892)</f>
        <v>4</v>
      </c>
      <c r="AR892" s="28">
        <f t="shared" si="362"/>
        <v>-0.22383328191777785</v>
      </c>
      <c r="AS892" s="13" t="b">
        <f t="shared" si="363"/>
        <v>1</v>
      </c>
      <c r="AT892" s="13">
        <f t="shared" si="372"/>
        <v>0</v>
      </c>
      <c r="AU892" s="13">
        <v>4</v>
      </c>
      <c r="AV892">
        <f t="shared" si="364"/>
        <v>0</v>
      </c>
      <c r="AW892" s="13">
        <v>0</v>
      </c>
      <c r="AX892" s="13">
        <v>0</v>
      </c>
      <c r="AY892" s="13">
        <v>0</v>
      </c>
      <c r="AZ892" s="13">
        <v>0</v>
      </c>
      <c r="BA892">
        <v>1</v>
      </c>
      <c r="BB892" t="s">
        <v>2840</v>
      </c>
      <c r="BC892">
        <v>6</v>
      </c>
      <c r="BD892" t="s">
        <v>2919</v>
      </c>
      <c r="BE892">
        <v>1</v>
      </c>
      <c r="BF892" s="232" t="s">
        <v>2846</v>
      </c>
      <c r="BG892" s="232" t="s">
        <v>2845</v>
      </c>
      <c r="BH892" s="253">
        <v>36.1</v>
      </c>
      <c r="BI892" s="253">
        <v>11.363636363636363</v>
      </c>
      <c r="BJ892" s="25">
        <v>0</v>
      </c>
      <c r="BK892" t="s">
        <v>381</v>
      </c>
      <c r="BL892">
        <v>1.9787709603466382E-2</v>
      </c>
      <c r="BM892" t="s">
        <v>377</v>
      </c>
      <c r="BN892" s="322">
        <v>18064.818571</v>
      </c>
      <c r="BO892" s="322">
        <v>3525.26991</v>
      </c>
      <c r="BP892" s="10">
        <v>6336</v>
      </c>
      <c r="BQ892" s="254">
        <f t="shared" si="365"/>
        <v>2.8511392946654039</v>
      </c>
      <c r="BR892" s="254">
        <f t="shared" si="366"/>
        <v>0.55638729640151519</v>
      </c>
      <c r="BS892" s="25">
        <v>57.968066426839563</v>
      </c>
      <c r="BT892" s="25">
        <v>96.511996430976424</v>
      </c>
      <c r="BU892" s="25">
        <v>34.640384861270938</v>
      </c>
      <c r="BV892" s="25">
        <v>98.051053912751399</v>
      </c>
      <c r="BW892" s="25">
        <v>55.736474566085413</v>
      </c>
      <c r="BX892" s="25">
        <v>71.792875407959585</v>
      </c>
      <c r="BY892" s="25">
        <v>57.354633665087078</v>
      </c>
      <c r="BZ892">
        <v>25</v>
      </c>
      <c r="CA892">
        <v>0</v>
      </c>
      <c r="CB892">
        <v>7</v>
      </c>
      <c r="CC892">
        <v>33477.752541000002</v>
      </c>
      <c r="CD892" s="10">
        <v>12055.789836</v>
      </c>
      <c r="CE892" s="255">
        <v>0.36011347599380655</v>
      </c>
      <c r="CF892" t="str">
        <f>IFERROR(VLOOKUP(CE892,'Rangos amb etnico'!$A$2:$C$6,3,9),"N.D.")</f>
        <v>31% - 50%</v>
      </c>
      <c r="CG892" s="256">
        <v>3.5074837262097104E-4</v>
      </c>
      <c r="CH892" s="232">
        <v>0</v>
      </c>
      <c r="CI892" s="311">
        <f t="shared" si="373"/>
        <v>0</v>
      </c>
      <c r="CJ892" s="232">
        <f>IFERROR(VLOOKUP(CI892,'Rangos amb etnico'!$A$2:$C$6,3,9),"N.D.")</f>
        <v>0</v>
      </c>
      <c r="CK892" s="311">
        <f t="shared" si="374"/>
        <v>0</v>
      </c>
      <c r="CL892" s="10">
        <v>0</v>
      </c>
      <c r="CM892" s="255">
        <f t="shared" si="375"/>
        <v>0</v>
      </c>
      <c r="CN892" s="232">
        <f>IFERROR(VLOOKUP(CM892,'Rangos amb etnico'!$A$2:$C$6,3,9),"N.D.")</f>
        <v>0</v>
      </c>
      <c r="CO892" s="311">
        <f t="shared" si="376"/>
        <v>0</v>
      </c>
      <c r="CP892">
        <v>0.97197789750971397</v>
      </c>
      <c r="CQ892" t="s">
        <v>2864</v>
      </c>
      <c r="CR892">
        <f t="shared" si="367"/>
        <v>2</v>
      </c>
      <c r="CS892" t="str">
        <f t="shared" si="377"/>
        <v>No es Candidato</v>
      </c>
      <c r="CT892">
        <v>0</v>
      </c>
      <c r="CU892">
        <v>0</v>
      </c>
      <c r="CV892" s="25">
        <v>50.928958892822273</v>
      </c>
      <c r="CW892" s="25">
        <v>13.593430519104</v>
      </c>
      <c r="CX892" s="25">
        <v>55.067890167236328</v>
      </c>
      <c r="CY892" s="25">
        <v>74.151466369628906</v>
      </c>
      <c r="CZ892" s="25">
        <v>41.841148376464837</v>
      </c>
      <c r="DA892" s="25">
        <v>73.349990844726563</v>
      </c>
      <c r="DB892" s="25">
        <v>47.569835662841797</v>
      </c>
      <c r="DC892">
        <v>53</v>
      </c>
      <c r="DD892" s="253" t="s">
        <v>380</v>
      </c>
    </row>
    <row r="893" spans="1:108" hidden="1">
      <c r="A893" s="13">
        <v>52540</v>
      </c>
      <c r="B893" s="13" t="s">
        <v>2202</v>
      </c>
      <c r="C893" s="13" t="s">
        <v>672</v>
      </c>
      <c r="D893" s="13" t="s">
        <v>673</v>
      </c>
      <c r="E893" s="13" t="s">
        <v>2203</v>
      </c>
      <c r="F893" s="14">
        <v>70.517133333333305</v>
      </c>
      <c r="G893" s="13">
        <v>52.45</v>
      </c>
      <c r="H893" s="13">
        <v>50.74</v>
      </c>
      <c r="I893" s="13">
        <v>49.11</v>
      </c>
      <c r="J893" s="14">
        <v>50.918963759997666</v>
      </c>
      <c r="K893" s="14">
        <v>59.267628734270843</v>
      </c>
      <c r="L893" s="14">
        <v>63.181345171465338</v>
      </c>
      <c r="M893" s="14">
        <v>58.319499999999998</v>
      </c>
      <c r="N893" s="14">
        <f t="shared" si="351"/>
        <v>55.704283333333322</v>
      </c>
      <c r="O893" s="14">
        <f t="shared" si="352"/>
        <v>57.921859416433463</v>
      </c>
      <c r="P893" s="14">
        <f t="shared" si="368"/>
        <v>56.813071374883393</v>
      </c>
      <c r="Q893" s="14">
        <v>63.40749558727299</v>
      </c>
      <c r="R893" s="17">
        <f t="shared" si="353"/>
        <v>36.59250441272701</v>
      </c>
      <c r="S893" s="14">
        <f t="shared" si="369"/>
        <v>0.4293325397145431</v>
      </c>
      <c r="T893" s="13">
        <v>0</v>
      </c>
      <c r="U893" s="13">
        <f t="shared" si="370"/>
        <v>24.391700222362296</v>
      </c>
      <c r="V893" s="13">
        <f>IF($T893=1,$AU893,(VLOOKUP(U893,'Cortes naturales'!$A$35:$C$39,3,9)))</f>
        <v>4</v>
      </c>
      <c r="W893" s="13">
        <v>4</v>
      </c>
      <c r="X893" s="14" t="b">
        <f t="shared" si="354"/>
        <v>1</v>
      </c>
      <c r="Y893" s="17">
        <f>IF($T893=1,$AU893,VLOOKUP(U893,'Cortes naturales'!$A$45:$C$49,3,9))</f>
        <v>4</v>
      </c>
      <c r="Z893" s="14">
        <v>59.996501266923467</v>
      </c>
      <c r="AA893" s="14">
        <v>0.43822647211000876</v>
      </c>
      <c r="AB893" s="14">
        <v>26.292055089147542</v>
      </c>
      <c r="AC893" s="13">
        <v>4</v>
      </c>
      <c r="AD893" s="13">
        <f t="shared" si="355"/>
        <v>0</v>
      </c>
      <c r="AE893" s="14">
        <f t="shared" si="356"/>
        <v>-3.1834298920400741</v>
      </c>
      <c r="AF893" s="14">
        <f t="shared" si="357"/>
        <v>-8.8939323954656535E-3</v>
      </c>
      <c r="AG893" s="13">
        <f t="shared" si="358"/>
        <v>-1.9003548667852463</v>
      </c>
      <c r="AH893" s="13">
        <f>IF($T893=1,$AU893,VLOOKUP(U893,'Cortes naturales'!$A$25:$C$29,3,9))</f>
        <v>4</v>
      </c>
      <c r="AI893" s="13" t="b">
        <f t="shared" si="359"/>
        <v>1</v>
      </c>
      <c r="AJ893" s="13">
        <f t="shared" si="360"/>
        <v>0</v>
      </c>
      <c r="AK893" s="28">
        <v>0.6523467210059386</v>
      </c>
      <c r="AL893" s="28">
        <v>39.138520873306163</v>
      </c>
      <c r="AM893" s="28">
        <v>0.31895562839339942</v>
      </c>
      <c r="AN893" s="13">
        <v>4</v>
      </c>
      <c r="AO893" s="33">
        <f t="shared" si="361"/>
        <v>0</v>
      </c>
      <c r="AP893" s="13">
        <f t="shared" si="371"/>
        <v>31.895562839339942</v>
      </c>
      <c r="AQ893" s="13">
        <f>IFERROR(VLOOKUP(U893,'Cortes naturales'!$E$15:$G$19,3,9),U893)</f>
        <v>4</v>
      </c>
      <c r="AR893" s="28">
        <f t="shared" si="362"/>
        <v>-0.2230141812913955</v>
      </c>
      <c r="AS893" s="13" t="b">
        <f t="shared" si="363"/>
        <v>1</v>
      </c>
      <c r="AT893" s="13">
        <f t="shared" si="372"/>
        <v>0</v>
      </c>
      <c r="AU893" s="13">
        <v>4</v>
      </c>
      <c r="AV893">
        <f t="shared" si="364"/>
        <v>0</v>
      </c>
      <c r="AW893" s="13">
        <v>0</v>
      </c>
      <c r="AX893" s="13">
        <v>0</v>
      </c>
      <c r="AY893" s="13">
        <v>0</v>
      </c>
      <c r="AZ893" s="13">
        <v>1</v>
      </c>
      <c r="BA893">
        <v>1</v>
      </c>
      <c r="BB893" t="s">
        <v>2841</v>
      </c>
      <c r="BC893">
        <v>6</v>
      </c>
      <c r="BD893" t="s">
        <v>2919</v>
      </c>
      <c r="BE893">
        <v>1</v>
      </c>
      <c r="BF893" s="232" t="s">
        <v>2846</v>
      </c>
      <c r="BG893" s="232" t="s">
        <v>2846</v>
      </c>
      <c r="BH893" s="253">
        <v>38.700000000000003</v>
      </c>
      <c r="BI893" s="253">
        <v>16.664621425941835</v>
      </c>
      <c r="BJ893" s="25">
        <v>55.438691408045827</v>
      </c>
      <c r="BK893" t="s">
        <v>376</v>
      </c>
      <c r="BL893">
        <v>46.704625240554279</v>
      </c>
      <c r="BM893" t="s">
        <v>384</v>
      </c>
      <c r="BN893" s="322">
        <v>31143.955430000002</v>
      </c>
      <c r="BO893" s="322">
        <v>2074.0070329999999</v>
      </c>
      <c r="BP893" s="10">
        <v>9905</v>
      </c>
      <c r="BQ893" s="254">
        <f t="shared" si="365"/>
        <v>3.1442660706713781</v>
      </c>
      <c r="BR893" s="254">
        <f t="shared" si="366"/>
        <v>0.20938990742049468</v>
      </c>
      <c r="BS893" s="25">
        <v>83.913333333333341</v>
      </c>
      <c r="BT893" s="25">
        <v>100</v>
      </c>
      <c r="BU893" s="25">
        <v>61.04</v>
      </c>
      <c r="BV893" s="25">
        <v>70.152426263232201</v>
      </c>
      <c r="BW893" s="25">
        <v>49.858670118850853</v>
      </c>
      <c r="BX893" s="25">
        <v>78.776439899141394</v>
      </c>
      <c r="BY893" s="25">
        <v>50.434721166821888</v>
      </c>
      <c r="BZ893">
        <v>26</v>
      </c>
      <c r="CA893">
        <v>0</v>
      </c>
      <c r="CB893">
        <v>7</v>
      </c>
      <c r="CC893">
        <v>43466.529853</v>
      </c>
      <c r="CD893" s="10">
        <v>23509.356781999999</v>
      </c>
      <c r="CE893" s="255">
        <v>0.54086113755817611</v>
      </c>
      <c r="CF893" t="str">
        <f>IFERROR(VLOOKUP(CE893,'Rangos amb etnico'!$A$2:$C$6,3,9),"N.D.")</f>
        <v>51% - 70%</v>
      </c>
      <c r="CG893" s="256">
        <v>6.8397581119315461E-4</v>
      </c>
      <c r="CH893" s="232">
        <v>12116.087685</v>
      </c>
      <c r="CI893" s="311">
        <f t="shared" si="373"/>
        <v>0.27874522594685036</v>
      </c>
      <c r="CJ893" s="232" t="str">
        <f>IFERROR(VLOOKUP(CI893,'Rangos amb etnico'!$A$2:$C$6,3,9),"N.D.")</f>
        <v>0,1% - 30%</v>
      </c>
      <c r="CK893" s="311">
        <f t="shared" si="374"/>
        <v>4.8108800754964143E-4</v>
      </c>
      <c r="CL893" s="10">
        <v>0</v>
      </c>
      <c r="CM893" s="255">
        <f t="shared" si="375"/>
        <v>0</v>
      </c>
      <c r="CN893" s="232">
        <f>IFERROR(VLOOKUP(CM893,'Rangos amb etnico'!$A$2:$C$6,3,9),"N.D.")</f>
        <v>0</v>
      </c>
      <c r="CO893" s="311">
        <f t="shared" si="376"/>
        <v>0</v>
      </c>
      <c r="CP893">
        <v>0.87428375201018826</v>
      </c>
      <c r="CQ893" t="s">
        <v>2864</v>
      </c>
      <c r="CR893">
        <f t="shared" si="367"/>
        <v>1</v>
      </c>
      <c r="CS893" t="str">
        <f t="shared" si="377"/>
        <v>No es Candidato</v>
      </c>
      <c r="CT893">
        <v>0</v>
      </c>
      <c r="CU893">
        <v>0</v>
      </c>
      <c r="CV893" s="25">
        <v>38.602535247802727</v>
      </c>
      <c r="CW893" s="25">
        <v>7.0447831153869629</v>
      </c>
      <c r="CX893" s="25">
        <v>43.122852325439453</v>
      </c>
      <c r="CY893" s="25">
        <v>49.096382141113281</v>
      </c>
      <c r="CZ893" s="25">
        <v>28.4553108215332</v>
      </c>
      <c r="DA893" s="25">
        <v>43.662052154541023</v>
      </c>
      <c r="DB893" s="25">
        <v>60.233821868896477</v>
      </c>
      <c r="DC893">
        <v>2363</v>
      </c>
      <c r="DD893" s="253" t="s">
        <v>380</v>
      </c>
    </row>
    <row r="894" spans="1:108" hidden="1">
      <c r="A894" s="13">
        <v>68176</v>
      </c>
      <c r="B894" s="13" t="s">
        <v>2204</v>
      </c>
      <c r="C894" s="13" t="s">
        <v>431</v>
      </c>
      <c r="D894" s="13" t="s">
        <v>432</v>
      </c>
      <c r="E894" s="13" t="s">
        <v>2205</v>
      </c>
      <c r="F894" s="14">
        <v>63.865066666666699</v>
      </c>
      <c r="G894" s="13">
        <v>51.57</v>
      </c>
      <c r="H894" s="13">
        <v>45.99</v>
      </c>
      <c r="I894" s="13">
        <v>53.65</v>
      </c>
      <c r="J894" s="14">
        <v>50.73803941267991</v>
      </c>
      <c r="K894" s="14">
        <v>52.207334155636822</v>
      </c>
      <c r="L894" s="14">
        <v>47.487110103958983</v>
      </c>
      <c r="M894" s="14">
        <v>53.263100000000001</v>
      </c>
      <c r="N894" s="14">
        <f t="shared" si="351"/>
        <v>53.768766666666679</v>
      </c>
      <c r="O894" s="14">
        <f t="shared" si="352"/>
        <v>50.923895918068936</v>
      </c>
      <c r="P894" s="14">
        <f t="shared" si="368"/>
        <v>52.346331292367807</v>
      </c>
      <c r="Q894" s="14">
        <v>62.365916879484608</v>
      </c>
      <c r="R894" s="17">
        <f t="shared" si="353"/>
        <v>37.634083120515392</v>
      </c>
      <c r="S894" s="14">
        <f t="shared" si="369"/>
        <v>0.43870674808463861</v>
      </c>
      <c r="T894" s="13">
        <v>0</v>
      </c>
      <c r="U894" s="13">
        <f t="shared" si="370"/>
        <v>22.964688775435839</v>
      </c>
      <c r="V894" s="13">
        <f>IF($T894=1,$AU894,(VLOOKUP(U894,'Cortes naturales'!$A$35:$C$39,3,9)))</f>
        <v>4</v>
      </c>
      <c r="W894" s="13">
        <v>4</v>
      </c>
      <c r="X894" s="14" t="b">
        <f t="shared" si="354"/>
        <v>1</v>
      </c>
      <c r="Y894" s="17">
        <f>IF($T894=1,$AU894,VLOOKUP(U894,'Cortes naturales'!$A$45:$C$49,3,9))</f>
        <v>4</v>
      </c>
      <c r="Z894" s="14">
        <v>54.526436318125619</v>
      </c>
      <c r="AA894" s="14">
        <v>0.439330991669728</v>
      </c>
      <c r="AB894" s="14">
        <v>23.955153339858402</v>
      </c>
      <c r="AC894" s="13">
        <v>4</v>
      </c>
      <c r="AD894" s="13">
        <f t="shared" si="355"/>
        <v>0</v>
      </c>
      <c r="AE894" s="14">
        <f t="shared" si="356"/>
        <v>-2.1801050257578112</v>
      </c>
      <c r="AF894" s="14">
        <f t="shared" si="357"/>
        <v>-6.2424358508939015E-4</v>
      </c>
      <c r="AG894" s="13">
        <f t="shared" si="358"/>
        <v>-0.99046456442256314</v>
      </c>
      <c r="AH894" s="13">
        <f>IF($T894=1,$AU894,VLOOKUP(U894,'Cortes naturales'!$A$25:$C$29,3,9))</f>
        <v>4</v>
      </c>
      <c r="AI894" s="13" t="b">
        <f t="shared" si="359"/>
        <v>1</v>
      </c>
      <c r="AJ894" s="13">
        <f t="shared" si="360"/>
        <v>0</v>
      </c>
      <c r="AK894" s="28">
        <v>0.6523467210059386</v>
      </c>
      <c r="AL894" s="28">
        <v>35.570141940268371</v>
      </c>
      <c r="AM894" s="28">
        <v>0.27431896936704053</v>
      </c>
      <c r="AN894" s="13">
        <v>4</v>
      </c>
      <c r="AO894" s="33">
        <f t="shared" si="361"/>
        <v>0</v>
      </c>
      <c r="AP894" s="13">
        <f t="shared" si="371"/>
        <v>27.431896936704053</v>
      </c>
      <c r="AQ894" s="13">
        <f>IFERROR(VLOOKUP(U894,'Cortes naturales'!$E$15:$G$19,3,9),U894)</f>
        <v>4</v>
      </c>
      <c r="AR894" s="28">
        <f t="shared" si="362"/>
        <v>-0.21363997292129999</v>
      </c>
      <c r="AS894" s="13" t="b">
        <f t="shared" si="363"/>
        <v>1</v>
      </c>
      <c r="AT894" s="13">
        <f t="shared" si="372"/>
        <v>0</v>
      </c>
      <c r="AU894" s="13">
        <v>4</v>
      </c>
      <c r="AV894">
        <f t="shared" si="364"/>
        <v>0</v>
      </c>
      <c r="AW894" s="13">
        <v>0</v>
      </c>
      <c r="AX894" s="13">
        <v>0</v>
      </c>
      <c r="AY894" s="13">
        <v>0</v>
      </c>
      <c r="AZ894" s="13">
        <v>0</v>
      </c>
      <c r="BA894">
        <v>0</v>
      </c>
      <c r="BB894" t="s">
        <v>2840</v>
      </c>
      <c r="BC894">
        <v>6</v>
      </c>
      <c r="BD894" t="s">
        <v>2919</v>
      </c>
      <c r="BE894">
        <v>0</v>
      </c>
      <c r="BF894" s="232" t="s">
        <v>2846</v>
      </c>
      <c r="BG894" s="232" t="s">
        <v>2846</v>
      </c>
      <c r="BH894" s="253">
        <v>45.2</v>
      </c>
      <c r="BI894" s="253">
        <v>19.458544839255499</v>
      </c>
      <c r="BJ894" s="25">
        <v>0.308</v>
      </c>
      <c r="BK894" t="s">
        <v>381</v>
      </c>
      <c r="BL894">
        <v>0</v>
      </c>
      <c r="BM894" t="s">
        <v>377</v>
      </c>
      <c r="BN894" s="322">
        <v>13830.756370999999</v>
      </c>
      <c r="BO894" s="322">
        <v>828.77509899999995</v>
      </c>
      <c r="BP894" s="10">
        <v>3243</v>
      </c>
      <c r="BQ894" s="254">
        <f t="shared" si="365"/>
        <v>4.2648030746222636</v>
      </c>
      <c r="BR894" s="254">
        <f t="shared" si="366"/>
        <v>0.25555815572001234</v>
      </c>
      <c r="BS894" s="25">
        <v>59.919805117056399</v>
      </c>
      <c r="BT894" s="25">
        <v>86.667077808613428</v>
      </c>
      <c r="BU894" s="25">
        <v>45.449050239909667</v>
      </c>
      <c r="BV894" s="25">
        <v>93.865235101774957</v>
      </c>
      <c r="BW894" s="25">
        <v>54.048708456606988</v>
      </c>
      <c r="BX894" s="25">
        <v>71.47529206683862</v>
      </c>
      <c r="BY894" s="25">
        <v>56.103803305881648</v>
      </c>
      <c r="BZ894">
        <v>45</v>
      </c>
      <c r="CA894">
        <v>0</v>
      </c>
      <c r="CB894">
        <v>7</v>
      </c>
      <c r="CC894">
        <v>17292.79869</v>
      </c>
      <c r="CD894" s="10">
        <v>17289.309944000001</v>
      </c>
      <c r="CE894" s="255">
        <v>0.99979825440274073</v>
      </c>
      <c r="CF894" t="str">
        <f>IFERROR(VLOOKUP(CE894,'Rangos amb etnico'!$A$2:$C$6,3,9),"N.D.")</f>
        <v>71% - 100%</v>
      </c>
      <c r="CG894" s="256">
        <v>5.0301120118145803E-4</v>
      </c>
      <c r="CH894" s="232">
        <v>0</v>
      </c>
      <c r="CI894" s="311">
        <f t="shared" si="373"/>
        <v>0</v>
      </c>
      <c r="CJ894" s="232">
        <f>IFERROR(VLOOKUP(CI894,'Rangos amb etnico'!$A$2:$C$6,3,9),"N.D.")</f>
        <v>0</v>
      </c>
      <c r="CK894" s="311">
        <f t="shared" si="374"/>
        <v>0</v>
      </c>
      <c r="CL894" s="10">
        <v>0</v>
      </c>
      <c r="CM894" s="255">
        <f t="shared" si="375"/>
        <v>0</v>
      </c>
      <c r="CN894" s="232">
        <f>IFERROR(VLOOKUP(CM894,'Rangos amb etnico'!$A$2:$C$6,3,9),"N.D.")</f>
        <v>0</v>
      </c>
      <c r="CO894" s="311">
        <f t="shared" si="376"/>
        <v>0</v>
      </c>
      <c r="CP894">
        <v>0.9254438173404087</v>
      </c>
      <c r="CQ894" t="s">
        <v>2864</v>
      </c>
      <c r="CR894">
        <f t="shared" si="367"/>
        <v>1</v>
      </c>
      <c r="CS894" t="str">
        <f t="shared" si="377"/>
        <v>No es Candidato</v>
      </c>
      <c r="CT894">
        <v>0</v>
      </c>
      <c r="CU894">
        <v>0</v>
      </c>
      <c r="CV894" s="25">
        <v>57.902091979980469</v>
      </c>
      <c r="CW894" s="25">
        <v>23.804363250732418</v>
      </c>
      <c r="CX894" s="25">
        <v>58.011177062988281</v>
      </c>
      <c r="CY894" s="25">
        <v>74.154106140136719</v>
      </c>
      <c r="CZ894" s="25">
        <v>36.555751800537109</v>
      </c>
      <c r="DA894" s="25">
        <v>78.221046447753906</v>
      </c>
      <c r="DB894" s="25">
        <v>76.666107177734375</v>
      </c>
      <c r="DC894">
        <v>41</v>
      </c>
      <c r="DD894" s="253" t="s">
        <v>380</v>
      </c>
    </row>
    <row r="895" spans="1:108" hidden="1">
      <c r="A895" s="13">
        <v>52699</v>
      </c>
      <c r="B895" s="13" t="s">
        <v>2206</v>
      </c>
      <c r="C895" s="13" t="s">
        <v>672</v>
      </c>
      <c r="D895" s="13" t="s">
        <v>673</v>
      </c>
      <c r="E895" s="13" t="s">
        <v>2207</v>
      </c>
      <c r="F895" s="14">
        <v>67.4148</v>
      </c>
      <c r="G895" s="13">
        <v>62.4</v>
      </c>
      <c r="H895" s="13">
        <v>51.89</v>
      </c>
      <c r="I895" s="13">
        <v>44.01</v>
      </c>
      <c r="J895" s="14">
        <v>46.768344382682834</v>
      </c>
      <c r="K895" s="14">
        <v>49.954630581983508</v>
      </c>
      <c r="L895" s="14">
        <v>56.690128864161082</v>
      </c>
      <c r="M895" s="14">
        <v>45.091099999999997</v>
      </c>
      <c r="N895" s="14">
        <f t="shared" si="351"/>
        <v>56.428699999999992</v>
      </c>
      <c r="O895" s="14">
        <f t="shared" si="352"/>
        <v>49.626050957206857</v>
      </c>
      <c r="P895" s="14">
        <f t="shared" si="368"/>
        <v>53.027375478603425</v>
      </c>
      <c r="Q895" s="14">
        <v>63.661970416138217</v>
      </c>
      <c r="R895" s="17">
        <f t="shared" si="353"/>
        <v>36.338029583861783</v>
      </c>
      <c r="S895" s="14">
        <f t="shared" si="369"/>
        <v>0.42704226625475605</v>
      </c>
      <c r="T895" s="13">
        <v>0</v>
      </c>
      <c r="U895" s="13">
        <f t="shared" si="370"/>
        <v>22.644930597924684</v>
      </c>
      <c r="V895" s="13">
        <f>IF($T895=1,$AU895,(VLOOKUP(U895,'Cortes naturales'!$A$35:$C$39,3,9)))</f>
        <v>4</v>
      </c>
      <c r="W895" s="13">
        <v>4</v>
      </c>
      <c r="X895" s="14" t="b">
        <f t="shared" si="354"/>
        <v>1</v>
      </c>
      <c r="Y895" s="17">
        <f>IF($T895=1,$AU895,VLOOKUP(U895,'Cortes naturales'!$A$45:$C$49,3,9))</f>
        <v>4</v>
      </c>
      <c r="Z895" s="14">
        <v>56.941429624072299</v>
      </c>
      <c r="AA895" s="14">
        <v>0.43729725769440242</v>
      </c>
      <c r="AB895" s="14">
        <v>24.900331023805624</v>
      </c>
      <c r="AC895" s="13">
        <v>4</v>
      </c>
      <c r="AD895" s="13">
        <f t="shared" si="355"/>
        <v>0</v>
      </c>
      <c r="AE895" s="14">
        <f t="shared" si="356"/>
        <v>-3.9140541454688744</v>
      </c>
      <c r="AF895" s="14">
        <f t="shared" si="357"/>
        <v>-1.0254991439646366E-2</v>
      </c>
      <c r="AG895" s="13">
        <f t="shared" si="358"/>
        <v>-2.2554004258809393</v>
      </c>
      <c r="AH895" s="13">
        <f>IF($T895=1,$AU895,VLOOKUP(U895,'Cortes naturales'!$A$25:$C$29,3,9))</f>
        <v>4</v>
      </c>
      <c r="AI895" s="13" t="b">
        <f t="shared" si="359"/>
        <v>1</v>
      </c>
      <c r="AJ895" s="13">
        <f t="shared" si="360"/>
        <v>0</v>
      </c>
      <c r="AK895" s="28">
        <v>0.6523467210059386</v>
      </c>
      <c r="AL895" s="28">
        <v>37.145554904653977</v>
      </c>
      <c r="AM895" s="28">
        <v>0.29402572490970946</v>
      </c>
      <c r="AN895" s="13">
        <v>4</v>
      </c>
      <c r="AO895" s="33">
        <f t="shared" si="361"/>
        <v>0</v>
      </c>
      <c r="AP895" s="13">
        <f t="shared" si="371"/>
        <v>29.402572490970947</v>
      </c>
      <c r="AQ895" s="13">
        <f>IFERROR(VLOOKUP(U895,'Cortes naturales'!$E$15:$G$19,3,9),U895)</f>
        <v>4</v>
      </c>
      <c r="AR895" s="28">
        <f t="shared" si="362"/>
        <v>-0.22530445475118255</v>
      </c>
      <c r="AS895" s="13" t="b">
        <f t="shared" si="363"/>
        <v>1</v>
      </c>
      <c r="AT895" s="13">
        <f t="shared" si="372"/>
        <v>0</v>
      </c>
      <c r="AU895" s="13">
        <v>4</v>
      </c>
      <c r="AV895">
        <f t="shared" si="364"/>
        <v>0</v>
      </c>
      <c r="AW895" s="13">
        <v>0</v>
      </c>
      <c r="AX895" s="13">
        <v>0</v>
      </c>
      <c r="AY895" s="13">
        <v>0</v>
      </c>
      <c r="AZ895" s="13">
        <v>0</v>
      </c>
      <c r="BA895">
        <v>0</v>
      </c>
      <c r="BB895" t="s">
        <v>2841</v>
      </c>
      <c r="BC895">
        <v>6</v>
      </c>
      <c r="BD895" t="s">
        <v>2919</v>
      </c>
      <c r="BE895">
        <v>0</v>
      </c>
      <c r="BF895" s="232" t="s">
        <v>2846</v>
      </c>
      <c r="BG895" s="232" t="s">
        <v>2845</v>
      </c>
      <c r="BH895" s="253">
        <v>65.099999999999994</v>
      </c>
      <c r="BI895" s="253">
        <v>41.138919850035464</v>
      </c>
      <c r="BJ895" s="25">
        <v>53.890625660676541</v>
      </c>
      <c r="BK895" t="s">
        <v>376</v>
      </c>
      <c r="BL895">
        <v>84.472705038815604</v>
      </c>
      <c r="BM895" t="s">
        <v>384</v>
      </c>
      <c r="BN895" s="322">
        <v>28201.562845</v>
      </c>
      <c r="BO895" s="322">
        <v>835.60692300000005</v>
      </c>
      <c r="BP895" s="10">
        <v>10666</v>
      </c>
      <c r="BQ895" s="254">
        <f t="shared" si="365"/>
        <v>2.6440617705794112</v>
      </c>
      <c r="BR895" s="254">
        <f t="shared" si="366"/>
        <v>7.8343045471591974E-2</v>
      </c>
      <c r="BS895" s="25">
        <v>58.668538408289521</v>
      </c>
      <c r="BT895" s="25">
        <v>93.073069836864804</v>
      </c>
      <c r="BU895" s="25">
        <v>27.641502890173399</v>
      </c>
      <c r="BV895" s="25">
        <v>98.093441684449473</v>
      </c>
      <c r="BW895" s="25">
        <v>46.423600373082898</v>
      </c>
      <c r="BX895" s="25">
        <v>69.369138204944306</v>
      </c>
      <c r="BY895" s="25">
        <v>46.219200311027983</v>
      </c>
      <c r="BZ895">
        <v>70</v>
      </c>
      <c r="CA895">
        <v>0</v>
      </c>
      <c r="CB895">
        <v>7</v>
      </c>
      <c r="CC895">
        <v>54127.497492000002</v>
      </c>
      <c r="CD895" s="10">
        <v>37933.899885999999</v>
      </c>
      <c r="CE895" s="255">
        <v>0.70082493452808525</v>
      </c>
      <c r="CF895" t="str">
        <f>IFERROR(VLOOKUP(CE895,'Rangos amb etnico'!$A$2:$C$6,3,9),"N.D.")</f>
        <v>51% - 70%</v>
      </c>
      <c r="CG895" s="256">
        <v>1.1036401457870718E-3</v>
      </c>
      <c r="CH895" s="232">
        <v>9011.7974510000004</v>
      </c>
      <c r="CI895" s="311">
        <f t="shared" si="373"/>
        <v>0.16649203950971384</v>
      </c>
      <c r="CJ895" s="232" t="str">
        <f>IFERROR(VLOOKUP(CI895,'Rangos amb etnico'!$A$2:$C$6,3,9),"N.D.")</f>
        <v>0,1% - 30%</v>
      </c>
      <c r="CK895" s="311">
        <f t="shared" si="374"/>
        <v>3.578273608493225E-4</v>
      </c>
      <c r="CL895" s="10">
        <v>0</v>
      </c>
      <c r="CM895" s="255">
        <f t="shared" si="375"/>
        <v>0</v>
      </c>
      <c r="CN895" s="232">
        <f>IFERROR(VLOOKUP(CM895,'Rangos amb etnico'!$A$2:$C$6,3,9),"N.D.")</f>
        <v>0</v>
      </c>
      <c r="CO895" s="311">
        <f t="shared" si="376"/>
        <v>0</v>
      </c>
      <c r="CP895">
        <v>0.93723887059701583</v>
      </c>
      <c r="CQ895" t="s">
        <v>2864</v>
      </c>
      <c r="CR895">
        <f t="shared" si="367"/>
        <v>1</v>
      </c>
      <c r="CS895" t="str">
        <f t="shared" si="377"/>
        <v>No es Candidato</v>
      </c>
      <c r="CT895">
        <v>0</v>
      </c>
      <c r="CU895">
        <v>0</v>
      </c>
      <c r="CV895" s="25">
        <v>45.451030731201172</v>
      </c>
      <c r="CW895" s="25">
        <v>13.846705436706539</v>
      </c>
      <c r="CX895" s="25">
        <v>49.291736602783203</v>
      </c>
      <c r="CY895" s="25">
        <v>31.020046234130859</v>
      </c>
      <c r="CZ895" s="25">
        <v>34.658473968505859</v>
      </c>
      <c r="DA895" s="25">
        <v>81.5029296875</v>
      </c>
      <c r="DB895" s="25">
        <v>62.386287689208977</v>
      </c>
      <c r="DC895">
        <v>9827</v>
      </c>
      <c r="DD895" s="253" t="s">
        <v>380</v>
      </c>
    </row>
    <row r="896" spans="1:108">
      <c r="A896" s="13">
        <v>5120</v>
      </c>
      <c r="B896" s="13" t="s">
        <v>2208</v>
      </c>
      <c r="C896" s="13" t="s">
        <v>435</v>
      </c>
      <c r="D896" s="13" t="s">
        <v>436</v>
      </c>
      <c r="E896" s="13" t="s">
        <v>2209</v>
      </c>
      <c r="F896" s="14">
        <v>55.881900000000002</v>
      </c>
      <c r="G896" s="13">
        <v>70.7</v>
      </c>
      <c r="H896" s="13">
        <v>64.59</v>
      </c>
      <c r="I896" s="13">
        <v>59.36</v>
      </c>
      <c r="J896" s="14">
        <v>45.662159666383012</v>
      </c>
      <c r="K896" s="14">
        <v>51.516075742836563</v>
      </c>
      <c r="L896" s="14">
        <v>56.994062878585879</v>
      </c>
      <c r="M896" s="14">
        <v>44.633400000000002</v>
      </c>
      <c r="N896" s="14">
        <f t="shared" si="351"/>
        <v>62.632975000000002</v>
      </c>
      <c r="O896" s="14">
        <f t="shared" si="352"/>
        <v>49.701424571951364</v>
      </c>
      <c r="P896" s="14">
        <f t="shared" si="368"/>
        <v>56.167199785975683</v>
      </c>
      <c r="Q896" s="14">
        <v>63.49038469009691</v>
      </c>
      <c r="R896" s="17">
        <f t="shared" si="353"/>
        <v>36.50961530990309</v>
      </c>
      <c r="S896" s="14">
        <f t="shared" si="369"/>
        <v>0.42858653778912781</v>
      </c>
      <c r="T896" s="13">
        <v>0</v>
      </c>
      <c r="U896" s="13">
        <f t="shared" si="370"/>
        <v>24.072505693581558</v>
      </c>
      <c r="V896" s="13">
        <f>IF($T896=1,$AU896,(VLOOKUP(U896,'Cortes naturales'!$A$35:$C$39,3,9)))</f>
        <v>4</v>
      </c>
      <c r="W896" s="13">
        <v>4</v>
      </c>
      <c r="X896" s="14" t="b">
        <f t="shared" si="354"/>
        <v>1</v>
      </c>
      <c r="Y896" s="17">
        <f>IF($T896=1,$AU896,VLOOKUP(U896,'Cortes naturales'!$A$45:$C$49,3,9))</f>
        <v>4</v>
      </c>
      <c r="Z896" s="14">
        <v>55.478152178892792</v>
      </c>
      <c r="AA896" s="14">
        <v>0.43852578193044967</v>
      </c>
      <c r="AB896" s="14">
        <v>24.328600064305441</v>
      </c>
      <c r="AC896" s="13">
        <v>4</v>
      </c>
      <c r="AD896" s="13">
        <f t="shared" si="355"/>
        <v>0</v>
      </c>
      <c r="AE896" s="14">
        <f t="shared" si="356"/>
        <v>0.68904760708289103</v>
      </c>
      <c r="AF896" s="14">
        <f t="shared" si="357"/>
        <v>-9.9392441413218569E-3</v>
      </c>
      <c r="AG896" s="13">
        <f t="shared" si="358"/>
        <v>-0.25609437072388275</v>
      </c>
      <c r="AH896" s="13">
        <f>IF($T896=1,$AU896,VLOOKUP(U896,'Cortes naturales'!$A$25:$C$29,3,9))</f>
        <v>4</v>
      </c>
      <c r="AI896" s="13" t="b">
        <f t="shared" si="359"/>
        <v>1</v>
      </c>
      <c r="AJ896" s="13">
        <f t="shared" si="360"/>
        <v>0</v>
      </c>
      <c r="AK896" s="28">
        <v>0.6523467210059386</v>
      </c>
      <c r="AL896" s="28">
        <v>36.190990661369177</v>
      </c>
      <c r="AM896" s="28">
        <v>0.28208513243177302</v>
      </c>
      <c r="AN896" s="13">
        <v>4</v>
      </c>
      <c r="AO896" s="33">
        <f t="shared" si="361"/>
        <v>0</v>
      </c>
      <c r="AP896" s="13">
        <f t="shared" si="371"/>
        <v>28.2085132431773</v>
      </c>
      <c r="AQ896" s="13">
        <f>IFERROR(VLOOKUP(U896,'Cortes naturales'!$E$15:$G$19,3,9),U896)</f>
        <v>4</v>
      </c>
      <c r="AR896" s="28">
        <f t="shared" si="362"/>
        <v>-0.22376018321681079</v>
      </c>
      <c r="AS896" s="13" t="b">
        <f t="shared" si="363"/>
        <v>1</v>
      </c>
      <c r="AT896" s="13">
        <f t="shared" si="372"/>
        <v>0</v>
      </c>
      <c r="AU896" s="13">
        <v>4</v>
      </c>
      <c r="AV896">
        <f t="shared" si="364"/>
        <v>0</v>
      </c>
      <c r="AW896" s="13">
        <v>0</v>
      </c>
      <c r="AX896" s="13">
        <v>0</v>
      </c>
      <c r="AY896" s="13">
        <v>0</v>
      </c>
      <c r="AZ896" s="13">
        <v>1</v>
      </c>
      <c r="BA896">
        <v>1</v>
      </c>
      <c r="BB896" t="s">
        <v>2841</v>
      </c>
      <c r="BC896">
        <v>6</v>
      </c>
      <c r="BD896" t="s">
        <v>2919</v>
      </c>
      <c r="BE896">
        <v>1</v>
      </c>
      <c r="BF896" s="232" t="s">
        <v>2846</v>
      </c>
      <c r="BG896" s="232" t="s">
        <v>2846</v>
      </c>
      <c r="BH896" s="253">
        <v>66.400000000000006</v>
      </c>
      <c r="BI896" s="253">
        <v>49.831546707503826</v>
      </c>
      <c r="BJ896" s="25">
        <v>33.354608472400514</v>
      </c>
      <c r="BK896" t="s">
        <v>379</v>
      </c>
      <c r="BL896">
        <v>46.473826969155191</v>
      </c>
      <c r="BM896" t="s">
        <v>384</v>
      </c>
      <c r="BN896" s="322">
        <v>55201.231109</v>
      </c>
      <c r="BO896" s="322">
        <v>5411.6988670000001</v>
      </c>
      <c r="BP896" s="10">
        <v>29159</v>
      </c>
      <c r="BQ896" s="254">
        <f t="shared" si="365"/>
        <v>1.8931112558386776</v>
      </c>
      <c r="BR896" s="254">
        <f t="shared" si="366"/>
        <v>0.18559274553311156</v>
      </c>
      <c r="BS896" s="25">
        <v>55.886839566223159</v>
      </c>
      <c r="BT896" s="25">
        <v>93.504422336842822</v>
      </c>
      <c r="BU896" s="25">
        <v>45.893303623734198</v>
      </c>
      <c r="BV896" s="25">
        <v>83.766878777886944</v>
      </c>
      <c r="BW896" s="25">
        <v>52.886468014574973</v>
      </c>
      <c r="BX896" s="25">
        <v>69.762861076171788</v>
      </c>
      <c r="BY896" s="25">
        <v>53.753673851220732</v>
      </c>
      <c r="BZ896">
        <v>67</v>
      </c>
      <c r="CA896">
        <v>0</v>
      </c>
      <c r="CB896">
        <v>7</v>
      </c>
      <c r="CC896">
        <v>187269.676011</v>
      </c>
      <c r="CD896" s="10">
        <v>42931.58253</v>
      </c>
      <c r="CE896" s="255">
        <v>0.22925004968491669</v>
      </c>
      <c r="CF896" t="str">
        <f>IFERROR(VLOOKUP(CE896,'Rangos amb etnico'!$A$2:$C$6,3,9),"N.D.")</f>
        <v>0,1% - 30%</v>
      </c>
      <c r="CG896" s="256">
        <v>1.2490415734915114E-3</v>
      </c>
      <c r="CH896" s="232">
        <v>1888.1835530000001</v>
      </c>
      <c r="CI896" s="311">
        <f t="shared" si="373"/>
        <v>1.0082697814295841E-2</v>
      </c>
      <c r="CJ896" s="232" t="str">
        <f>IFERROR(VLOOKUP(CI896,'Rangos amb etnico'!$A$2:$C$6,3,9),"N.D.")</f>
        <v>0,1% - 30%</v>
      </c>
      <c r="CK896" s="311">
        <f t="shared" si="374"/>
        <v>7.4973249370369896E-5</v>
      </c>
      <c r="CL896" s="10">
        <v>0</v>
      </c>
      <c r="CM896" s="255">
        <f t="shared" si="375"/>
        <v>0</v>
      </c>
      <c r="CN896" s="232">
        <f>IFERROR(VLOOKUP(CM896,'Rangos amb etnico'!$A$2:$C$6,3,9),"N.D.")</f>
        <v>0</v>
      </c>
      <c r="CO896" s="311">
        <f t="shared" si="376"/>
        <v>0</v>
      </c>
      <c r="CP896">
        <v>0.94215148188159659</v>
      </c>
      <c r="CQ896" t="s">
        <v>2864</v>
      </c>
      <c r="CR896">
        <f t="shared" si="367"/>
        <v>1</v>
      </c>
      <c r="CS896" t="str">
        <f t="shared" si="377"/>
        <v>No es Candidato</v>
      </c>
      <c r="CT896">
        <v>0</v>
      </c>
      <c r="CU896">
        <v>0</v>
      </c>
      <c r="CV896" s="25">
        <v>41.012584686279297</v>
      </c>
      <c r="CW896" s="25">
        <v>26.991512298583981</v>
      </c>
      <c r="CX896" s="25">
        <v>67.092758178710938</v>
      </c>
      <c r="CY896" s="25">
        <v>40.717975616455078</v>
      </c>
      <c r="CZ896" s="25">
        <v>12.16261100769043</v>
      </c>
      <c r="DA896" s="25">
        <v>58.046867370605469</v>
      </c>
      <c r="DB896" s="25">
        <v>41.06378173828125</v>
      </c>
      <c r="DC896">
        <v>3823</v>
      </c>
      <c r="DD896" s="253" t="s">
        <v>380</v>
      </c>
    </row>
    <row r="897" spans="1:108" hidden="1">
      <c r="A897" s="13">
        <v>52287</v>
      </c>
      <c r="B897" s="13" t="s">
        <v>2210</v>
      </c>
      <c r="C897" s="13" t="s">
        <v>672</v>
      </c>
      <c r="D897" s="13" t="s">
        <v>673</v>
      </c>
      <c r="E897" s="13" t="s">
        <v>2211</v>
      </c>
      <c r="F897" s="14">
        <v>76.641400000000004</v>
      </c>
      <c r="G897" s="13">
        <v>53.01</v>
      </c>
      <c r="H897" s="13">
        <v>80.83</v>
      </c>
      <c r="I897" s="13">
        <v>84.69</v>
      </c>
      <c r="J897" s="14">
        <v>49.304038144326299</v>
      </c>
      <c r="K897" s="14">
        <v>48.777802763900041</v>
      </c>
      <c r="L897" s="14">
        <v>28.454171415400161</v>
      </c>
      <c r="M897" s="14">
        <v>48.950200000000002</v>
      </c>
      <c r="N897" s="14">
        <f t="shared" si="351"/>
        <v>73.792850000000001</v>
      </c>
      <c r="O897" s="14">
        <f t="shared" si="352"/>
        <v>43.871553080906622</v>
      </c>
      <c r="P897" s="14">
        <f t="shared" si="368"/>
        <v>58.832201540453312</v>
      </c>
      <c r="Q897" s="14">
        <v>63.395632310499153</v>
      </c>
      <c r="R897" s="17">
        <f t="shared" si="353"/>
        <v>36.604367689500847</v>
      </c>
      <c r="S897" s="14">
        <f t="shared" si="369"/>
        <v>0.42943930920550766</v>
      </c>
      <c r="T897" s="13">
        <v>0</v>
      </c>
      <c r="U897" s="13">
        <f t="shared" si="370"/>
        <v>25.264859988571473</v>
      </c>
      <c r="V897" s="13">
        <f>IF($T897=1,$AU897,(VLOOKUP(U897,'Cortes naturales'!$A$35:$C$39,3,9)))</f>
        <v>4</v>
      </c>
      <c r="W897" s="13">
        <v>4</v>
      </c>
      <c r="X897" s="14" t="b">
        <f t="shared" si="354"/>
        <v>1</v>
      </c>
      <c r="Y897" s="17">
        <f>IF($T897=1,$AU897,VLOOKUP(U897,'Cortes naturales'!$A$45:$C$49,3,9))</f>
        <v>4</v>
      </c>
      <c r="Z897" s="14">
        <v>59.522783385207688</v>
      </c>
      <c r="AA897" s="14">
        <v>0.43616145466743017</v>
      </c>
      <c r="AB897" s="14">
        <v>25.961543787146528</v>
      </c>
      <c r="AC897" s="13">
        <v>4</v>
      </c>
      <c r="AD897" s="13">
        <f t="shared" si="355"/>
        <v>0</v>
      </c>
      <c r="AE897" s="14">
        <f t="shared" si="356"/>
        <v>-0.69058184475437656</v>
      </c>
      <c r="AF897" s="14">
        <f t="shared" si="357"/>
        <v>-6.7221454619225129E-3</v>
      </c>
      <c r="AG897" s="13">
        <f t="shared" si="358"/>
        <v>-0.69668379857505514</v>
      </c>
      <c r="AH897" s="13">
        <f>IF($T897=1,$AU897,VLOOKUP(U897,'Cortes naturales'!$A$25:$C$29,3,9))</f>
        <v>4</v>
      </c>
      <c r="AI897" s="13" t="b">
        <f t="shared" si="359"/>
        <v>1</v>
      </c>
      <c r="AJ897" s="13">
        <f t="shared" si="360"/>
        <v>0</v>
      </c>
      <c r="AK897" s="28">
        <v>0.6523467210059386</v>
      </c>
      <c r="AL897" s="28">
        <v>38.829492566486998</v>
      </c>
      <c r="AM897" s="28">
        <v>0.31509001002163156</v>
      </c>
      <c r="AN897" s="13">
        <v>4</v>
      </c>
      <c r="AO897" s="33">
        <f t="shared" si="361"/>
        <v>0</v>
      </c>
      <c r="AP897" s="13">
        <f t="shared" si="371"/>
        <v>31.509001002163156</v>
      </c>
      <c r="AQ897" s="13">
        <f>IFERROR(VLOOKUP(U897,'Cortes naturales'!$E$15:$G$19,3,9),U897)</f>
        <v>4</v>
      </c>
      <c r="AR897" s="28">
        <f t="shared" si="362"/>
        <v>-0.22290741180043094</v>
      </c>
      <c r="AS897" s="13" t="b">
        <f t="shared" si="363"/>
        <v>1</v>
      </c>
      <c r="AT897" s="13">
        <f t="shared" si="372"/>
        <v>0</v>
      </c>
      <c r="AU897" s="13">
        <v>4</v>
      </c>
      <c r="AV897">
        <f t="shared" si="364"/>
        <v>0</v>
      </c>
      <c r="AW897" s="13">
        <v>0</v>
      </c>
      <c r="AX897" s="13">
        <v>0</v>
      </c>
      <c r="AY897" s="13">
        <v>0</v>
      </c>
      <c r="AZ897" s="13">
        <v>0</v>
      </c>
      <c r="BA897">
        <v>0</v>
      </c>
      <c r="BB897" t="s">
        <v>2840</v>
      </c>
      <c r="BC897">
        <v>6</v>
      </c>
      <c r="BD897" t="s">
        <v>2919</v>
      </c>
      <c r="BE897">
        <v>0</v>
      </c>
      <c r="BF897" s="232" t="s">
        <v>2846</v>
      </c>
      <c r="BG897" s="232" t="s">
        <v>2845</v>
      </c>
      <c r="BH897" s="253">
        <v>41.1</v>
      </c>
      <c r="BI897" s="253">
        <v>23.358136525396311</v>
      </c>
      <c r="BJ897" s="25">
        <v>34.092258849452158</v>
      </c>
      <c r="BK897" t="s">
        <v>379</v>
      </c>
      <c r="BL897">
        <v>0</v>
      </c>
      <c r="BM897" t="s">
        <v>377</v>
      </c>
      <c r="BN897" s="322">
        <v>23570.353209000001</v>
      </c>
      <c r="BO897" s="322">
        <v>1373.9955319999999</v>
      </c>
      <c r="BP897" s="10">
        <v>7441</v>
      </c>
      <c r="BQ897" s="254">
        <f t="shared" si="365"/>
        <v>3.1676324699637148</v>
      </c>
      <c r="BR897" s="254">
        <f t="shared" si="366"/>
        <v>0.18465199999999998</v>
      </c>
      <c r="BS897" s="25">
        <v>56.957379100549083</v>
      </c>
      <c r="BT897" s="25">
        <v>90.201037920978365</v>
      </c>
      <c r="BU897" s="25">
        <v>46.052630522088329</v>
      </c>
      <c r="BV897" s="25">
        <v>99.293177694302017</v>
      </c>
      <c r="BW897" s="25">
        <v>51.248124039793893</v>
      </c>
      <c r="BX897" s="25">
        <v>73.126056309479452</v>
      </c>
      <c r="BY897" s="25">
        <v>51.3924399287014</v>
      </c>
      <c r="BZ897">
        <v>28</v>
      </c>
      <c r="CA897">
        <v>0</v>
      </c>
      <c r="CB897">
        <v>7</v>
      </c>
      <c r="CC897">
        <v>39511.901130999999</v>
      </c>
      <c r="CD897" s="10">
        <v>17281.427620999999</v>
      </c>
      <c r="CE897" s="255">
        <v>0.43737271875894235</v>
      </c>
      <c r="CF897" t="str">
        <f>IFERROR(VLOOKUP(CE897,'Rangos amb etnico'!$A$2:$C$6,3,9),"N.D.")</f>
        <v>31% - 50%</v>
      </c>
      <c r="CG897" s="256">
        <v>5.0278187469166903E-4</v>
      </c>
      <c r="CH897" s="232">
        <v>11603.790515999999</v>
      </c>
      <c r="CI897" s="311">
        <f t="shared" si="373"/>
        <v>0.29367836484324389</v>
      </c>
      <c r="CJ897" s="232" t="str">
        <f>IFERROR(VLOOKUP(CI897,'Rangos amb etnico'!$A$2:$C$6,3,9),"N.D.")</f>
        <v>0,1% - 30%</v>
      </c>
      <c r="CK897" s="311">
        <f t="shared" si="374"/>
        <v>4.6074645582806913E-4</v>
      </c>
      <c r="CL897" s="10">
        <v>0</v>
      </c>
      <c r="CM897" s="255">
        <f t="shared" si="375"/>
        <v>0</v>
      </c>
      <c r="CN897" s="232">
        <f>IFERROR(VLOOKUP(CM897,'Rangos amb etnico'!$A$2:$C$6,3,9),"N.D.")</f>
        <v>0</v>
      </c>
      <c r="CO897" s="311">
        <f t="shared" si="376"/>
        <v>0</v>
      </c>
      <c r="CP897">
        <v>0.90172932838408926</v>
      </c>
      <c r="CQ897" t="s">
        <v>2864</v>
      </c>
      <c r="CR897">
        <f t="shared" si="367"/>
        <v>2</v>
      </c>
      <c r="CS897" t="str">
        <f t="shared" si="377"/>
        <v>No es Candidato</v>
      </c>
      <c r="CT897">
        <v>0</v>
      </c>
      <c r="CU897">
        <v>0</v>
      </c>
      <c r="CV897" s="25">
        <v>56.774868011474609</v>
      </c>
      <c r="CW897" s="25">
        <v>24.43398284912109</v>
      </c>
      <c r="CX897" s="25">
        <v>48.738178253173828</v>
      </c>
      <c r="CY897" s="25">
        <v>59.367977142333977</v>
      </c>
      <c r="CZ897" s="25">
        <v>61.265758514404297</v>
      </c>
      <c r="DA897" s="25">
        <v>85.520606994628906</v>
      </c>
      <c r="DB897" s="25">
        <v>61.322696685791023</v>
      </c>
      <c r="DC897">
        <v>1193</v>
      </c>
      <c r="DD897" s="253" t="s">
        <v>380</v>
      </c>
    </row>
    <row r="898" spans="1:108" hidden="1">
      <c r="A898" s="13">
        <v>15403</v>
      </c>
      <c r="B898" s="13" t="s">
        <v>2212</v>
      </c>
      <c r="C898" s="13" t="s">
        <v>498</v>
      </c>
      <c r="D898" s="13" t="s">
        <v>499</v>
      </c>
      <c r="E898" s="13" t="s">
        <v>2213</v>
      </c>
      <c r="F898" s="14">
        <v>66.520533333333304</v>
      </c>
      <c r="G898" s="13">
        <v>73.98</v>
      </c>
      <c r="H898" s="13">
        <v>78.63</v>
      </c>
      <c r="I898" s="13">
        <v>77.459999999999994</v>
      </c>
      <c r="J898" s="14">
        <v>46.856277420153781</v>
      </c>
      <c r="K898" s="14">
        <v>58.791184469544859</v>
      </c>
      <c r="L898" s="14">
        <v>65.336954029060195</v>
      </c>
      <c r="M898" s="14">
        <v>50.427100000000003</v>
      </c>
      <c r="N898" s="14">
        <f t="shared" si="351"/>
        <v>74.147633333333317</v>
      </c>
      <c r="O898" s="14">
        <f t="shared" si="352"/>
        <v>55.352878979689706</v>
      </c>
      <c r="P898" s="14">
        <f t="shared" si="368"/>
        <v>64.750256156511512</v>
      </c>
      <c r="Q898" s="14">
        <v>64.170120541699575</v>
      </c>
      <c r="R898" s="17">
        <f t="shared" si="353"/>
        <v>35.829879458300425</v>
      </c>
      <c r="S898" s="14">
        <f t="shared" si="369"/>
        <v>0.42246891512470386</v>
      </c>
      <c r="T898" s="13">
        <v>0</v>
      </c>
      <c r="U898" s="13">
        <f t="shared" si="370"/>
        <v>27.354970472488095</v>
      </c>
      <c r="V898" s="13">
        <f>IF($T898=1,$AU898,(VLOOKUP(U898,'Cortes naturales'!$A$35:$C$39,3,9)))</f>
        <v>4</v>
      </c>
      <c r="W898" s="13">
        <v>4</v>
      </c>
      <c r="X898" s="14" t="b">
        <f t="shared" si="354"/>
        <v>1</v>
      </c>
      <c r="Y898" s="17">
        <f>IF($T898=1,$AU898,VLOOKUP(U898,'Cortes naturales'!$A$45:$C$49,3,9))</f>
        <v>4</v>
      </c>
      <c r="Z898" s="14">
        <v>63.48472312261999</v>
      </c>
      <c r="AA898" s="14">
        <v>0.43702136280451021</v>
      </c>
      <c r="AB898" s="14">
        <v>27.744180216314387</v>
      </c>
      <c r="AC898" s="13">
        <v>4</v>
      </c>
      <c r="AD898" s="13">
        <f t="shared" si="355"/>
        <v>0</v>
      </c>
      <c r="AE898" s="14">
        <f t="shared" si="356"/>
        <v>1.2655330338915221</v>
      </c>
      <c r="AF898" s="14">
        <f t="shared" si="357"/>
        <v>-1.4552447679806346E-2</v>
      </c>
      <c r="AG898" s="13">
        <f t="shared" si="358"/>
        <v>-0.38920974382629225</v>
      </c>
      <c r="AH898" s="13">
        <f>IF($T898=1,$AU898,VLOOKUP(U898,'Cortes naturales'!$A$25:$C$29,3,9))</f>
        <v>4</v>
      </c>
      <c r="AI898" s="13" t="b">
        <f t="shared" si="359"/>
        <v>1</v>
      </c>
      <c r="AJ898" s="13">
        <f t="shared" si="360"/>
        <v>0</v>
      </c>
      <c r="AK898" s="28">
        <v>0.6523467210059386</v>
      </c>
      <c r="AL898" s="28">
        <v>41.414050963011043</v>
      </c>
      <c r="AM898" s="28">
        <v>0.3474201111807998</v>
      </c>
      <c r="AN898" s="13">
        <v>4</v>
      </c>
      <c r="AO898" s="33">
        <f t="shared" si="361"/>
        <v>0</v>
      </c>
      <c r="AP898" s="13">
        <f t="shared" si="371"/>
        <v>34.742011118079979</v>
      </c>
      <c r="AQ898" s="13">
        <f>IFERROR(VLOOKUP(U898,'Cortes naturales'!$E$15:$G$19,3,9),U898)</f>
        <v>4</v>
      </c>
      <c r="AR898" s="28">
        <f t="shared" si="362"/>
        <v>-0.22987780588123474</v>
      </c>
      <c r="AS898" s="13" t="b">
        <f t="shared" si="363"/>
        <v>1</v>
      </c>
      <c r="AT898" s="13">
        <f t="shared" si="372"/>
        <v>0</v>
      </c>
      <c r="AU898" s="13">
        <v>4</v>
      </c>
      <c r="AV898">
        <f t="shared" si="364"/>
        <v>0</v>
      </c>
      <c r="AW898" s="13">
        <v>0</v>
      </c>
      <c r="AX898" s="13">
        <v>0</v>
      </c>
      <c r="AY898" s="13">
        <v>0</v>
      </c>
      <c r="AZ898" s="13">
        <v>0</v>
      </c>
      <c r="BA898">
        <v>0</v>
      </c>
      <c r="BB898" t="s">
        <v>2840</v>
      </c>
      <c r="BC898">
        <v>6</v>
      </c>
      <c r="BD898" t="s">
        <v>2919</v>
      </c>
      <c r="BE898">
        <v>0</v>
      </c>
      <c r="BF898" s="232" t="s">
        <v>2846</v>
      </c>
      <c r="BG898" s="232" t="s">
        <v>2846</v>
      </c>
      <c r="BH898" s="253">
        <v>41.9</v>
      </c>
      <c r="BI898" s="253">
        <v>13.121845710165825</v>
      </c>
      <c r="BJ898" s="25">
        <v>39.12691032608695</v>
      </c>
      <c r="BK898" t="s">
        <v>376</v>
      </c>
      <c r="BL898">
        <v>0</v>
      </c>
      <c r="BM898" t="s">
        <v>377</v>
      </c>
      <c r="BN898" s="322">
        <v>9704.2054380000009</v>
      </c>
      <c r="BO898" s="322">
        <v>835.73611100000005</v>
      </c>
      <c r="BP898" s="10">
        <v>2854</v>
      </c>
      <c r="BQ898" s="254">
        <f t="shared" si="365"/>
        <v>3.4002121366503157</v>
      </c>
      <c r="BR898" s="254">
        <f t="shared" si="366"/>
        <v>0.29282975157673441</v>
      </c>
      <c r="BS898" s="25">
        <v>61.118195142378561</v>
      </c>
      <c r="BT898" s="25">
        <v>86.272833450128473</v>
      </c>
      <c r="BU898" s="25">
        <v>46.064678407350662</v>
      </c>
      <c r="BV898" s="25">
        <v>95.06410543505244</v>
      </c>
      <c r="BW898" s="25">
        <v>52.424537582527783</v>
      </c>
      <c r="BX898" s="25">
        <v>72.129953108727534</v>
      </c>
      <c r="BY898" s="25">
        <v>55.411129061099828</v>
      </c>
      <c r="BZ898">
        <v>44</v>
      </c>
      <c r="CA898">
        <v>0</v>
      </c>
      <c r="CB898">
        <v>7</v>
      </c>
      <c r="CC898">
        <v>16120.129728</v>
      </c>
      <c r="CD898" s="10">
        <v>5657.7491719999998</v>
      </c>
      <c r="CE898" s="255">
        <v>0.35097417126691749</v>
      </c>
      <c r="CF898" t="str">
        <f>IFERROR(VLOOKUP(CE898,'Rangos amb etnico'!$A$2:$C$6,3,9),"N.D.")</f>
        <v>31% - 50%</v>
      </c>
      <c r="CG898" s="256">
        <v>1.6460525123379783E-4</v>
      </c>
      <c r="CH898" s="232">
        <v>0</v>
      </c>
      <c r="CI898" s="311">
        <f t="shared" si="373"/>
        <v>0</v>
      </c>
      <c r="CJ898" s="232">
        <f>IFERROR(VLOOKUP(CI898,'Rangos amb etnico'!$A$2:$C$6,3,9),"N.D.")</f>
        <v>0</v>
      </c>
      <c r="CK898" s="311">
        <f t="shared" si="374"/>
        <v>0</v>
      </c>
      <c r="CL898" s="10">
        <v>0</v>
      </c>
      <c r="CM898" s="255">
        <f t="shared" si="375"/>
        <v>0</v>
      </c>
      <c r="CN898" s="232">
        <f>IFERROR(VLOOKUP(CM898,'Rangos amb etnico'!$A$2:$C$6,3,9),"N.D.")</f>
        <v>0</v>
      </c>
      <c r="CO898" s="311">
        <f t="shared" si="376"/>
        <v>0</v>
      </c>
      <c r="CP898">
        <v>0.97703349137791839</v>
      </c>
      <c r="CQ898" t="s">
        <v>2864</v>
      </c>
      <c r="CR898">
        <f t="shared" si="367"/>
        <v>2</v>
      </c>
      <c r="CS898" t="str">
        <f t="shared" si="377"/>
        <v>No es Candidato</v>
      </c>
      <c r="CT898">
        <v>0</v>
      </c>
      <c r="CU898">
        <v>0</v>
      </c>
      <c r="CV898" s="25">
        <v>48.265369415283203</v>
      </c>
      <c r="CW898" s="25">
        <v>18.299808502197269</v>
      </c>
      <c r="CX898" s="25">
        <v>46.191059112548828</v>
      </c>
      <c r="CY898" s="25">
        <v>54.451255798339837</v>
      </c>
      <c r="CZ898" s="25">
        <v>37.929256439208977</v>
      </c>
      <c r="DA898" s="25">
        <v>77.544097900390625</v>
      </c>
      <c r="DB898" s="25">
        <v>55.176738739013672</v>
      </c>
      <c r="DC898">
        <v>15</v>
      </c>
      <c r="DD898" s="253" t="s">
        <v>380</v>
      </c>
    </row>
    <row r="899" spans="1:108" hidden="1">
      <c r="A899" s="13">
        <v>13655</v>
      </c>
      <c r="B899" s="204" t="s">
        <v>2214</v>
      </c>
      <c r="C899" s="13" t="s">
        <v>480</v>
      </c>
      <c r="D899" s="13" t="s">
        <v>481</v>
      </c>
      <c r="E899" s="13" t="s">
        <v>2215</v>
      </c>
      <c r="F899" s="14">
        <v>58.493299999999998</v>
      </c>
      <c r="G899" s="13">
        <v>34.880000000000003</v>
      </c>
      <c r="H899" s="13">
        <v>27.69</v>
      </c>
      <c r="I899" s="13">
        <v>0</v>
      </c>
      <c r="J899" s="14">
        <v>55.017275313447016</v>
      </c>
      <c r="K899" s="14">
        <v>50.443939425776009</v>
      </c>
      <c r="L899" s="14">
        <v>51.089517479840708</v>
      </c>
      <c r="M899" s="14">
        <v>54.822400000000002</v>
      </c>
      <c r="N899" s="14">
        <f t="shared" ref="N899:N962" si="378">IFERROR(AVERAGE(F899:I899),"N.D.")</f>
        <v>30.265825</v>
      </c>
      <c r="O899" s="14">
        <f t="shared" ref="O899:O962" si="379">IFERROR(AVERAGE(J899:M899),"N.D.")</f>
        <v>52.843283054765934</v>
      </c>
      <c r="P899" s="14">
        <f t="shared" si="368"/>
        <v>41.554554027382963</v>
      </c>
      <c r="Q899" s="14">
        <v>63.527547495808356</v>
      </c>
      <c r="R899" s="17">
        <f t="shared" ref="R899:R962" si="380">IFERROR(MAX($Q$3:$Q$1105)-Q899,"N.D.")</f>
        <v>36.472452504191644</v>
      </c>
      <c r="S899" s="14">
        <f t="shared" si="369"/>
        <v>0.42825207253772479</v>
      </c>
      <c r="T899" s="13">
        <v>0</v>
      </c>
      <c r="U899" s="13">
        <f t="shared" si="370"/>
        <v>17.795823885607614</v>
      </c>
      <c r="V899" s="13">
        <f>IF($T899=1,$AU899,(VLOOKUP(U899,'Cortes naturales'!$A$35:$C$39,3,9)))</f>
        <v>5</v>
      </c>
      <c r="W899" s="13">
        <v>5</v>
      </c>
      <c r="X899" s="14" t="b">
        <f t="shared" ref="X899:X962" si="381">V899=W899</f>
        <v>1</v>
      </c>
      <c r="Y899" s="17">
        <f>IF($T899=1,$AU899,VLOOKUP(U899,'Cortes naturales'!$A$45:$C$49,3,9))</f>
        <v>5</v>
      </c>
      <c r="Z899" s="14">
        <v>49.698378479533069</v>
      </c>
      <c r="AA899" s="14">
        <v>0.43613017900161721</v>
      </c>
      <c r="AB899" s="14">
        <v>21.674962702368877</v>
      </c>
      <c r="AC899" s="13">
        <v>4</v>
      </c>
      <c r="AD899" s="13">
        <f t="shared" ref="AD899:AD962" si="382">IFERROR(AC899-Y899,)</f>
        <v>-1</v>
      </c>
      <c r="AE899" s="14">
        <f t="shared" ref="AE899:AE962" si="383">IFERROR(P899-Z899,"N.D.")</f>
        <v>-8.1438244521501062</v>
      </c>
      <c r="AF899" s="14">
        <f t="shared" ref="AF899:AF962" si="384">IFERROR(S899-AA899,"N.D.")</f>
        <v>-7.8781064638924203E-3</v>
      </c>
      <c r="AG899" s="13">
        <f t="shared" ref="AG899:AG962" si="385">IFERROR(U899-AB899,0)</f>
        <v>-3.8791388167612624</v>
      </c>
      <c r="AH899" s="13">
        <f>IF($T899=1,$AU899,VLOOKUP(U899,'Cortes naturales'!$A$25:$C$29,3,9))</f>
        <v>5</v>
      </c>
      <c r="AI899" s="13" t="b">
        <f t="shared" ref="AI899:AI962" si="386">AH899=Y899</f>
        <v>1</v>
      </c>
      <c r="AJ899" s="13" t="str">
        <f t="shared" ref="AJ899:AJ962" si="387">IF(AD899=0,0,IF(AI899=TRUE,"Efecto ponderador","Cambio en corte"))</f>
        <v>Efecto ponderador</v>
      </c>
      <c r="AK899" s="28">
        <v>0.6523467210059386</v>
      </c>
      <c r="AL899" s="28">
        <v>32.420574240435499</v>
      </c>
      <c r="AM899" s="28">
        <v>0.23492119739942302</v>
      </c>
      <c r="AN899" s="13">
        <v>4</v>
      </c>
      <c r="AO899" s="33">
        <f t="shared" ref="AO899:AO962" si="388">IF(AND(ISNUMBER(AN899),ISNUMBER(Y899)),AN899-Y899,IF(AN899="SC- Centro aglomeración",Y899,IF(OR(AN899="Bogotá",AN899="Ciudades grandes"),0,0)))</f>
        <v>-1</v>
      </c>
      <c r="AP899" s="13">
        <f t="shared" si="371"/>
        <v>23.492119739942304</v>
      </c>
      <c r="AQ899" s="13">
        <f>IFERROR(VLOOKUP(U899,'Cortes naturales'!$E$15:$G$19,3,9),U899)</f>
        <v>5</v>
      </c>
      <c r="AR899" s="28">
        <f t="shared" ref="AR899:AR962" si="389">IFERROR(S899-AK899,"N.D.")</f>
        <v>-0.22409464846821381</v>
      </c>
      <c r="AS899" s="13" t="b">
        <f t="shared" ref="AS899:AS962" si="390">AQ899=Y899</f>
        <v>1</v>
      </c>
      <c r="AT899" s="13" t="str">
        <f t="shared" si="372"/>
        <v>Efecto ponderador</v>
      </c>
      <c r="AU899" s="13">
        <v>4</v>
      </c>
      <c r="AV899">
        <f t="shared" ref="AV899:AV962" si="391">IF(AND(ISNUMBER(AU899),ISNUMBER(Y899)),AU899-Y899,IF(AU899="SC- Centro aglomeración",Y899,IF(OR(AU899="Bogotá",AU899="Ciudades grandes"),0,0)))</f>
        <v>-1</v>
      </c>
      <c r="AW899" s="13">
        <v>0</v>
      </c>
      <c r="AX899" s="13">
        <v>0</v>
      </c>
      <c r="AY899" s="13">
        <v>0</v>
      </c>
      <c r="AZ899" s="13">
        <v>0</v>
      </c>
      <c r="BA899">
        <v>0</v>
      </c>
      <c r="BB899" t="s">
        <v>2841</v>
      </c>
      <c r="BC899">
        <v>6</v>
      </c>
      <c r="BD899" t="s">
        <v>2919</v>
      </c>
      <c r="BE899">
        <v>0</v>
      </c>
      <c r="BF899" s="232" t="s">
        <v>2846</v>
      </c>
      <c r="BG899" s="232" t="s">
        <v>2845</v>
      </c>
      <c r="BH899" s="253">
        <v>66.7</v>
      </c>
      <c r="BI899" s="253">
        <v>65.045178858769646</v>
      </c>
      <c r="BJ899" s="25">
        <v>37.737241379310348</v>
      </c>
      <c r="BK899" t="s">
        <v>376</v>
      </c>
      <c r="BL899">
        <v>4.5694876674540623</v>
      </c>
      <c r="BM899" t="s">
        <v>383</v>
      </c>
      <c r="BN899" s="322">
        <v>30703.142887000002</v>
      </c>
      <c r="BO899" s="322">
        <v>1354.224586</v>
      </c>
      <c r="BP899" s="10">
        <v>10708</v>
      </c>
      <c r="BQ899" s="254">
        <f t="shared" ref="BQ899:BQ962" si="392">BN899/BP899</f>
        <v>2.8673088239633922</v>
      </c>
      <c r="BR899" s="254">
        <f t="shared" ref="BR899:BR962" si="393">BO899/BP899</f>
        <v>0.12646848954053044</v>
      </c>
      <c r="BS899" s="25">
        <v>49.772694844426589</v>
      </c>
      <c r="BT899" s="25">
        <v>95.352384510023668</v>
      </c>
      <c r="BU899" s="25">
        <v>10.50300805987334</v>
      </c>
      <c r="BV899" s="25">
        <v>99.954733103826911</v>
      </c>
      <c r="BW899" s="25">
        <v>31.79254918180558</v>
      </c>
      <c r="BX899" s="25">
        <v>63.895705129537632</v>
      </c>
      <c r="BY899" s="25">
        <v>31.890952994846291</v>
      </c>
      <c r="BZ899">
        <v>64</v>
      </c>
      <c r="CA899">
        <v>0</v>
      </c>
      <c r="CB899">
        <v>7</v>
      </c>
      <c r="CC899">
        <v>56945.673473000003</v>
      </c>
      <c r="CD899" s="10">
        <v>29348.775619</v>
      </c>
      <c r="CE899" s="255">
        <v>0.51538200936222689</v>
      </c>
      <c r="CF899" t="str">
        <f>IFERROR(VLOOKUP(CE899,'Rangos amb etnico'!$A$2:$C$6,3,9),"N.D.")</f>
        <v>31% - 50%</v>
      </c>
      <c r="CG899" s="256">
        <v>8.5386651781562144E-4</v>
      </c>
      <c r="CH899" s="232">
        <v>0</v>
      </c>
      <c r="CI899" s="311">
        <f t="shared" si="373"/>
        <v>0</v>
      </c>
      <c r="CJ899" s="232">
        <f>IFERROR(VLOOKUP(CI899,'Rangos amb etnico'!$A$2:$C$6,3,9),"N.D.")</f>
        <v>0</v>
      </c>
      <c r="CK899" s="311">
        <f t="shared" si="374"/>
        <v>0</v>
      </c>
      <c r="CL899" s="10">
        <v>0</v>
      </c>
      <c r="CM899" s="255">
        <f t="shared" si="375"/>
        <v>0</v>
      </c>
      <c r="CN899" s="232">
        <f>IFERROR(VLOOKUP(CM899,'Rangos amb etnico'!$A$2:$C$6,3,9),"N.D.")</f>
        <v>0</v>
      </c>
      <c r="CO899" s="311">
        <f t="shared" si="376"/>
        <v>0</v>
      </c>
      <c r="CP899">
        <v>0.9584855232464875</v>
      </c>
      <c r="CQ899" t="s">
        <v>2864</v>
      </c>
      <c r="CR899">
        <f t="shared" ref="CR899:CR962" si="394">IF(BY899&gt;=60,1,0)+IF(M899&gt;=60,1,0)+IF(I899&gt;=60,1,0)+IF(OR(CQ899="Crítico Bajo",CQ899="Aceptable"),1,0)</f>
        <v>1</v>
      </c>
      <c r="CS899" t="str">
        <f t="shared" si="377"/>
        <v>No es Candidato</v>
      </c>
      <c r="CT899">
        <v>0</v>
      </c>
      <c r="CU899">
        <v>0</v>
      </c>
      <c r="CV899" s="25">
        <v>40.543926239013672</v>
      </c>
      <c r="CW899" s="25">
        <v>14.750486373901371</v>
      </c>
      <c r="CX899" s="25">
        <v>46.190662384033203</v>
      </c>
      <c r="CY899" s="25">
        <v>39.335742950439453</v>
      </c>
      <c r="CZ899" s="25">
        <v>12.69191360473633</v>
      </c>
      <c r="DA899" s="25">
        <v>95.904029846191406</v>
      </c>
      <c r="DB899" s="25">
        <v>34.390724182128913</v>
      </c>
      <c r="DC899">
        <v>884</v>
      </c>
      <c r="DD899" s="253" t="s">
        <v>380</v>
      </c>
    </row>
    <row r="900" spans="1:108" hidden="1">
      <c r="A900" s="13">
        <v>50110</v>
      </c>
      <c r="B900" s="13" t="s">
        <v>2216</v>
      </c>
      <c r="C900" s="13" t="s">
        <v>605</v>
      </c>
      <c r="D900" s="13" t="s">
        <v>606</v>
      </c>
      <c r="E900" s="13" t="s">
        <v>2217</v>
      </c>
      <c r="F900" s="14">
        <v>48.336033333333297</v>
      </c>
      <c r="G900" s="13">
        <v>61.12</v>
      </c>
      <c r="H900" s="13">
        <v>53.45</v>
      </c>
      <c r="I900" s="13">
        <v>38.6</v>
      </c>
      <c r="J900" s="14">
        <v>59.997589261761981</v>
      </c>
      <c r="K900" s="14">
        <v>61.622663659913741</v>
      </c>
      <c r="L900" s="14">
        <v>70.872116166348519</v>
      </c>
      <c r="M900" s="14">
        <v>62.311300000000003</v>
      </c>
      <c r="N900" s="14">
        <f t="shared" si="378"/>
        <v>50.376508333333327</v>
      </c>
      <c r="O900" s="14">
        <f t="shared" si="379"/>
        <v>63.700917272006066</v>
      </c>
      <c r="P900" s="14">
        <f t="shared" ref="P900:P963" si="395">IFERROR(AVERAGE(N900:O900),"N.D.")</f>
        <v>57.038712802669693</v>
      </c>
      <c r="Q900" s="14">
        <v>63.35188559581664</v>
      </c>
      <c r="R900" s="17">
        <f t="shared" si="380"/>
        <v>36.64811440418336</v>
      </c>
      <c r="S900" s="14">
        <f t="shared" ref="S900:S963" si="396">IFERROR((0.1+(1-0.1)*(R900%-0)/(1-0)),"N.D.")</f>
        <v>0.42983302963765024</v>
      </c>
      <c r="T900" s="13">
        <v>0</v>
      </c>
      <c r="U900" s="13">
        <f t="shared" ref="U900:U963" si="397">$P900*$S900</f>
        <v>24.517122730603344</v>
      </c>
      <c r="V900" s="13">
        <f>IF($T900=1,$AU900,(VLOOKUP(U900,'Cortes naturales'!$A$35:$C$39,3,9)))</f>
        <v>4</v>
      </c>
      <c r="W900" s="13">
        <v>4</v>
      </c>
      <c r="X900" s="14" t="b">
        <f t="shared" si="381"/>
        <v>1</v>
      </c>
      <c r="Y900" s="17">
        <f>IF($T900=1,$AU900,VLOOKUP(U900,'Cortes naturales'!$A$45:$C$49,3,9))</f>
        <v>4</v>
      </c>
      <c r="Z900" s="14">
        <v>58.275564668475859</v>
      </c>
      <c r="AA900" s="14">
        <v>0.4344945566824342</v>
      </c>
      <c r="AB900" s="14">
        <v>25.320415636047944</v>
      </c>
      <c r="AC900" s="13">
        <v>4</v>
      </c>
      <c r="AD900" s="13">
        <f t="shared" si="382"/>
        <v>0</v>
      </c>
      <c r="AE900" s="14">
        <f t="shared" si="383"/>
        <v>-1.236851865806166</v>
      </c>
      <c r="AF900" s="14">
        <f t="shared" si="384"/>
        <v>-4.661527044783953E-3</v>
      </c>
      <c r="AG900" s="13">
        <f t="shared" si="385"/>
        <v>-0.80329290544460008</v>
      </c>
      <c r="AH900" s="13">
        <f>IF($T900=1,$AU900,VLOOKUP(U900,'Cortes naturales'!$A$25:$C$29,3,9))</f>
        <v>4</v>
      </c>
      <c r="AI900" s="13" t="b">
        <f t="shared" si="386"/>
        <v>1</v>
      </c>
      <c r="AJ900" s="13">
        <f t="shared" si="387"/>
        <v>0</v>
      </c>
      <c r="AK900" s="28">
        <v>0.6523467210059386</v>
      </c>
      <c r="AL900" s="28">
        <v>38.015873526249756</v>
      </c>
      <c r="AM900" s="28">
        <v>0.30491249346357202</v>
      </c>
      <c r="AN900" s="13">
        <v>4</v>
      </c>
      <c r="AO900" s="33">
        <f t="shared" si="388"/>
        <v>0</v>
      </c>
      <c r="AP900" s="13">
        <f t="shared" ref="AP900:AP963" si="398">IFERROR(AM900*100,"N.D")</f>
        <v>30.491249346357201</v>
      </c>
      <c r="AQ900" s="13">
        <f>IFERROR(VLOOKUP(U900,'Cortes naturales'!$E$15:$G$19,3,9),U900)</f>
        <v>4</v>
      </c>
      <c r="AR900" s="28">
        <f t="shared" si="389"/>
        <v>-0.22251369136828836</v>
      </c>
      <c r="AS900" s="13" t="b">
        <f t="shared" si="390"/>
        <v>1</v>
      </c>
      <c r="AT900" s="13">
        <f t="shared" ref="AT900:AT963" si="399">IF(AO900=0,0,IF(AS900=TRUE,"Efecto ponderador","Cambio en corte"))</f>
        <v>0</v>
      </c>
      <c r="AU900" s="13">
        <v>3</v>
      </c>
      <c r="AV900">
        <f t="shared" si="391"/>
        <v>-1</v>
      </c>
      <c r="AW900" s="13">
        <v>0</v>
      </c>
      <c r="AX900" s="13">
        <v>0</v>
      </c>
      <c r="AY900" s="13">
        <v>0</v>
      </c>
      <c r="AZ900" s="13">
        <v>0</v>
      </c>
      <c r="BA900">
        <v>1</v>
      </c>
      <c r="BB900" t="s">
        <v>2840</v>
      </c>
      <c r="BC900">
        <v>6</v>
      </c>
      <c r="BD900" t="s">
        <v>2919</v>
      </c>
      <c r="BE900">
        <v>0</v>
      </c>
      <c r="BF900" s="232" t="s">
        <v>2846</v>
      </c>
      <c r="BG900" s="232" t="s">
        <v>2846</v>
      </c>
      <c r="BH900" s="253">
        <v>36.5</v>
      </c>
      <c r="BI900" s="253">
        <v>16.229648671808054</v>
      </c>
      <c r="BJ900" s="25">
        <v>5.830000000000001</v>
      </c>
      <c r="BK900" t="s">
        <v>377</v>
      </c>
      <c r="BL900">
        <v>3.8411958014584218</v>
      </c>
      <c r="BM900" t="s">
        <v>383</v>
      </c>
      <c r="BN900" s="322">
        <v>26728.915782</v>
      </c>
      <c r="BO900" s="322">
        <v>14338.802304000001</v>
      </c>
      <c r="BP900" s="10">
        <v>7750</v>
      </c>
      <c r="BQ900" s="254">
        <f t="shared" si="392"/>
        <v>3.448892358967742</v>
      </c>
      <c r="BR900" s="254">
        <f t="shared" si="393"/>
        <v>1.8501680392258066</v>
      </c>
      <c r="BS900" s="25">
        <v>65.870325515051206</v>
      </c>
      <c r="BT900" s="25">
        <v>92.735483870967741</v>
      </c>
      <c r="BU900" s="25">
        <v>51.213119429589987</v>
      </c>
      <c r="BV900" s="25">
        <v>90.82113238676196</v>
      </c>
      <c r="BW900" s="25">
        <v>64.765018182832009</v>
      </c>
      <c r="BX900" s="25">
        <v>75.160015300592733</v>
      </c>
      <c r="BY900" s="25">
        <v>66.675136699650963</v>
      </c>
      <c r="BZ900">
        <v>88</v>
      </c>
      <c r="CA900">
        <v>0</v>
      </c>
      <c r="CB900">
        <v>7</v>
      </c>
      <c r="CC900">
        <v>40301.385928000003</v>
      </c>
      <c r="CD900" s="10">
        <v>258.23743100000002</v>
      </c>
      <c r="CE900" s="255">
        <v>6.4076563387013849E-3</v>
      </c>
      <c r="CF900" t="str">
        <f>IFERROR(VLOOKUP(CE900,'Rangos amb etnico'!$A$2:$C$6,3,9),"N.D.")</f>
        <v>0,1% - 30%</v>
      </c>
      <c r="CG900" s="256">
        <v>7.5131003364539991E-6</v>
      </c>
      <c r="CH900" s="232">
        <v>0</v>
      </c>
      <c r="CI900" s="311">
        <f t="shared" ref="CI900:CI963" si="400">IFERROR(CH900/CC900,"N.D.")</f>
        <v>0</v>
      </c>
      <c r="CJ900" s="232">
        <f>IFERROR(VLOOKUP(CI900,'Rangos amb etnico'!$A$2:$C$6,3,9),"N.D.")</f>
        <v>0</v>
      </c>
      <c r="CK900" s="311">
        <f t="shared" ref="CK900:CK963" si="401">IFERROR(CH900/$CH$1,"N.D.")</f>
        <v>0</v>
      </c>
      <c r="CL900" s="10">
        <v>0</v>
      </c>
      <c r="CM900" s="255">
        <f t="shared" ref="CM900:CM963" si="402">IFERROR(CL900/CC900,"N.D.")</f>
        <v>0</v>
      </c>
      <c r="CN900" s="232">
        <f>IFERROR(VLOOKUP(CM900,'Rangos amb etnico'!$A$2:$C$6,3,9),"N.D.")</f>
        <v>0</v>
      </c>
      <c r="CO900" s="311">
        <f t="shared" ref="CO900:CO963" si="403">IFERROR(CL900/$CL$1,"N.D.")</f>
        <v>0</v>
      </c>
      <c r="CP900">
        <v>0.89617867759217584</v>
      </c>
      <c r="CQ900" t="s">
        <v>2864</v>
      </c>
      <c r="CR900">
        <f t="shared" si="394"/>
        <v>3</v>
      </c>
      <c r="CS900" t="str">
        <f t="shared" ref="CS900:CS963" si="404">IF(CR900&gt;=3,"Candidato","No es Candidato")</f>
        <v>Candidato</v>
      </c>
      <c r="CT900">
        <v>0</v>
      </c>
      <c r="CU900">
        <v>0</v>
      </c>
      <c r="CV900" s="25">
        <v>41.597354888916023</v>
      </c>
      <c r="CW900" s="25">
        <v>26.152984619140621</v>
      </c>
      <c r="CX900" s="25">
        <v>49.363437652587891</v>
      </c>
      <c r="CY900" s="25">
        <v>49.2894287109375</v>
      </c>
      <c r="CZ900" s="25">
        <v>35.452892303466797</v>
      </c>
      <c r="DA900" s="25">
        <v>39.812156677246087</v>
      </c>
      <c r="DB900" s="25">
        <v>49.513229370117188</v>
      </c>
      <c r="DC900">
        <v>31</v>
      </c>
      <c r="DD900" s="253" t="s">
        <v>380</v>
      </c>
    </row>
    <row r="901" spans="1:108" hidden="1">
      <c r="A901" s="13">
        <v>68207</v>
      </c>
      <c r="B901" s="13" t="s">
        <v>2218</v>
      </c>
      <c r="C901" s="13" t="s">
        <v>431</v>
      </c>
      <c r="D901" s="13" t="s">
        <v>432</v>
      </c>
      <c r="E901" s="13" t="s">
        <v>1728</v>
      </c>
      <c r="F901" s="14">
        <v>63.361833333333301</v>
      </c>
      <c r="G901" s="13">
        <v>65.87</v>
      </c>
      <c r="H901" s="13">
        <v>61.13</v>
      </c>
      <c r="I901" s="13">
        <v>60.98</v>
      </c>
      <c r="J901" s="14">
        <v>49.847173141647438</v>
      </c>
      <c r="K901" s="14">
        <v>55.203365758786688</v>
      </c>
      <c r="L901" s="14">
        <v>63.537857583008694</v>
      </c>
      <c r="M901" s="14">
        <v>59.427100000000003</v>
      </c>
      <c r="N901" s="14">
        <f t="shared" si="378"/>
        <v>62.835458333333321</v>
      </c>
      <c r="O901" s="14">
        <f t="shared" si="379"/>
        <v>57.003874120860708</v>
      </c>
      <c r="P901" s="14">
        <f t="shared" si="395"/>
        <v>59.919666227097011</v>
      </c>
      <c r="Q901" s="14">
        <v>63.35610590776276</v>
      </c>
      <c r="R901" s="17">
        <f t="shared" si="380"/>
        <v>36.64389409223724</v>
      </c>
      <c r="S901" s="14">
        <f t="shared" si="396"/>
        <v>0.42979504683013514</v>
      </c>
      <c r="T901" s="13">
        <v>0</v>
      </c>
      <c r="U901" s="13">
        <f t="shared" si="397"/>
        <v>25.753175752121226</v>
      </c>
      <c r="V901" s="13">
        <f>IF($T901=1,$AU901,(VLOOKUP(U901,'Cortes naturales'!$A$35:$C$39,3,9)))</f>
        <v>4</v>
      </c>
      <c r="W901" s="13">
        <v>4</v>
      </c>
      <c r="X901" s="14" t="b">
        <f t="shared" si="381"/>
        <v>1</v>
      </c>
      <c r="Y901" s="17">
        <f>IF($T901=1,$AU901,VLOOKUP(U901,'Cortes naturales'!$A$45:$C$49,3,9))</f>
        <v>4</v>
      </c>
      <c r="Z901" s="14">
        <v>58.864212793574566</v>
      </c>
      <c r="AA901" s="14">
        <v>0.43589373707744405</v>
      </c>
      <c r="AB901" s="14">
        <v>25.658541694713112</v>
      </c>
      <c r="AC901" s="13">
        <v>4</v>
      </c>
      <c r="AD901" s="13">
        <f t="shared" si="382"/>
        <v>0</v>
      </c>
      <c r="AE901" s="14">
        <f t="shared" si="383"/>
        <v>1.0554534335224446</v>
      </c>
      <c r="AF901" s="14">
        <f t="shared" si="384"/>
        <v>-6.0986902473089133E-3</v>
      </c>
      <c r="AG901" s="13">
        <f t="shared" si="385"/>
        <v>9.4634057408114813E-2</v>
      </c>
      <c r="AH901" s="13">
        <f>IF($T901=1,$AU901,VLOOKUP(U901,'Cortes naturales'!$A$25:$C$29,3,9))</f>
        <v>4</v>
      </c>
      <c r="AI901" s="13" t="b">
        <f t="shared" si="386"/>
        <v>1</v>
      </c>
      <c r="AJ901" s="13">
        <f t="shared" si="387"/>
        <v>0</v>
      </c>
      <c r="AK901" s="28">
        <v>0.6523467210059386</v>
      </c>
      <c r="AL901" s="28">
        <v>38.399876200484186</v>
      </c>
      <c r="AM901" s="28">
        <v>0.30971596214127217</v>
      </c>
      <c r="AN901" s="13">
        <v>4</v>
      </c>
      <c r="AO901" s="33">
        <f t="shared" si="388"/>
        <v>0</v>
      </c>
      <c r="AP901" s="13">
        <f t="shared" si="398"/>
        <v>30.971596214127217</v>
      </c>
      <c r="AQ901" s="13">
        <f>IFERROR(VLOOKUP(U901,'Cortes naturales'!$E$15:$G$19,3,9),U901)</f>
        <v>4</v>
      </c>
      <c r="AR901" s="28">
        <f t="shared" si="389"/>
        <v>-0.22255167417580346</v>
      </c>
      <c r="AS901" s="13" t="b">
        <f t="shared" si="390"/>
        <v>1</v>
      </c>
      <c r="AT901" s="13">
        <f t="shared" si="399"/>
        <v>0</v>
      </c>
      <c r="AU901" s="13">
        <v>4</v>
      </c>
      <c r="AV901">
        <f t="shared" si="391"/>
        <v>0</v>
      </c>
      <c r="AW901" s="13">
        <v>0</v>
      </c>
      <c r="AX901" s="13">
        <v>0</v>
      </c>
      <c r="AY901" s="13">
        <v>0</v>
      </c>
      <c r="AZ901" s="13">
        <v>0</v>
      </c>
      <c r="BA901">
        <v>0</v>
      </c>
      <c r="BB901" t="s">
        <v>2840</v>
      </c>
      <c r="BC901">
        <v>6</v>
      </c>
      <c r="BD901" t="s">
        <v>2919</v>
      </c>
      <c r="BE901">
        <v>0</v>
      </c>
      <c r="BF901" s="232" t="s">
        <v>2846</v>
      </c>
      <c r="BG901" s="232" t="s">
        <v>2845</v>
      </c>
      <c r="BH901" s="253">
        <v>36.200000000000003</v>
      </c>
      <c r="BI901" s="253">
        <v>16.641509433962263</v>
      </c>
      <c r="BJ901" s="25">
        <v>4.4533333333333331</v>
      </c>
      <c r="BK901" t="s">
        <v>381</v>
      </c>
      <c r="BL901">
        <v>0</v>
      </c>
      <c r="BM901" t="s">
        <v>377</v>
      </c>
      <c r="BN901" s="322">
        <v>17297.362963</v>
      </c>
      <c r="BO901" s="322">
        <v>1052.597548</v>
      </c>
      <c r="BP901" s="10">
        <v>6125</v>
      </c>
      <c r="BQ901" s="254">
        <f t="shared" si="392"/>
        <v>2.8240592592653062</v>
      </c>
      <c r="BR901" s="254">
        <f t="shared" si="393"/>
        <v>0.17185266089795917</v>
      </c>
      <c r="BS901" s="25">
        <v>69.122766812717984</v>
      </c>
      <c r="BT901" s="25">
        <v>91.912188095238093</v>
      </c>
      <c r="BU901" s="25">
        <v>40.201208476517728</v>
      </c>
      <c r="BV901" s="25">
        <v>97.822963762693391</v>
      </c>
      <c r="BW901" s="25">
        <v>58.095382283698157</v>
      </c>
      <c r="BX901" s="25">
        <v>74.764781786791801</v>
      </c>
      <c r="BY901" s="25">
        <v>59.848821804085517</v>
      </c>
      <c r="BZ901">
        <v>58</v>
      </c>
      <c r="CA901">
        <v>0</v>
      </c>
      <c r="CB901">
        <v>7</v>
      </c>
      <c r="CC901">
        <v>33637.615732999999</v>
      </c>
      <c r="CD901" s="10">
        <v>27242.409597999998</v>
      </c>
      <c r="CE901" s="255">
        <v>0.80987932718649802</v>
      </c>
      <c r="CF901" t="str">
        <f>IFERROR(VLOOKUP(CE901,'Rangos amb etnico'!$A$2:$C$6,3,9),"N.D.")</f>
        <v>71% - 100%</v>
      </c>
      <c r="CG901" s="256">
        <v>7.9258438996998636E-4</v>
      </c>
      <c r="CH901" s="232">
        <v>0</v>
      </c>
      <c r="CI901" s="311">
        <f t="shared" si="400"/>
        <v>0</v>
      </c>
      <c r="CJ901" s="232">
        <f>IFERROR(VLOOKUP(CI901,'Rangos amb etnico'!$A$2:$C$6,3,9),"N.D.")</f>
        <v>0</v>
      </c>
      <c r="CK901" s="311">
        <f t="shared" si="401"/>
        <v>0</v>
      </c>
      <c r="CL901" s="10">
        <v>0</v>
      </c>
      <c r="CM901" s="255">
        <f t="shared" si="402"/>
        <v>0</v>
      </c>
      <c r="CN901" s="232">
        <f>IFERROR(VLOOKUP(CM901,'Rangos amb etnico'!$A$2:$C$6,3,9),"N.D.")</f>
        <v>0</v>
      </c>
      <c r="CO901" s="311">
        <f t="shared" si="403"/>
        <v>0</v>
      </c>
      <c r="CP901">
        <v>0.90133393522440786</v>
      </c>
      <c r="CQ901" t="s">
        <v>2864</v>
      </c>
      <c r="CR901">
        <f t="shared" si="394"/>
        <v>2</v>
      </c>
      <c r="CS901" t="str">
        <f t="shared" si="404"/>
        <v>No es Candidato</v>
      </c>
      <c r="CT901">
        <v>0</v>
      </c>
      <c r="CU901">
        <v>0</v>
      </c>
      <c r="CV901" s="25">
        <v>55.709007263183587</v>
      </c>
      <c r="CW901" s="25">
        <v>22.036239624023441</v>
      </c>
      <c r="CX901" s="25">
        <v>54.879402160644531</v>
      </c>
      <c r="CY901" s="25">
        <v>71.500686645507813</v>
      </c>
      <c r="CZ901" s="25">
        <v>30.51329231262207</v>
      </c>
      <c r="DA901" s="25">
        <v>90.663055419921875</v>
      </c>
      <c r="DB901" s="25">
        <v>64.661369323730469</v>
      </c>
      <c r="DC901">
        <v>149</v>
      </c>
      <c r="DD901" s="253" t="s">
        <v>380</v>
      </c>
    </row>
    <row r="902" spans="1:108" hidden="1">
      <c r="A902" s="13">
        <v>52490</v>
      </c>
      <c r="B902" s="13" t="s">
        <v>2219</v>
      </c>
      <c r="C902" s="13" t="s">
        <v>672</v>
      </c>
      <c r="D902" s="13" t="s">
        <v>673</v>
      </c>
      <c r="E902" s="13" t="s">
        <v>2220</v>
      </c>
      <c r="F902" s="14">
        <v>63.472099999999998</v>
      </c>
      <c r="G902" s="13">
        <v>68.48</v>
      </c>
      <c r="H902" s="13">
        <v>41.35</v>
      </c>
      <c r="I902" s="13">
        <v>0</v>
      </c>
      <c r="J902" s="14">
        <v>53.473909427550808</v>
      </c>
      <c r="K902" s="14">
        <v>68.823557883427512</v>
      </c>
      <c r="L902" s="14">
        <v>66.412831418401282</v>
      </c>
      <c r="M902" s="14">
        <v>62.924700000000001</v>
      </c>
      <c r="N902" s="14">
        <f t="shared" si="378"/>
        <v>43.325524999999999</v>
      </c>
      <c r="O902" s="14">
        <f t="shared" si="379"/>
        <v>62.908749682344897</v>
      </c>
      <c r="P902" s="14">
        <f t="shared" si="395"/>
        <v>53.117137341172452</v>
      </c>
      <c r="Q902" s="14">
        <v>63.232418286324346</v>
      </c>
      <c r="R902" s="17">
        <f t="shared" si="380"/>
        <v>36.767581713675654</v>
      </c>
      <c r="S902" s="14">
        <f t="shared" si="396"/>
        <v>0.43090823542308088</v>
      </c>
      <c r="T902" s="13">
        <v>0</v>
      </c>
      <c r="U902" s="13">
        <f t="shared" si="397"/>
        <v>22.88861192241006</v>
      </c>
      <c r="V902" s="13">
        <f>IF($T902=1,$AU902,(VLOOKUP(U902,'Cortes naturales'!$A$35:$C$39,3,9)))</f>
        <v>4</v>
      </c>
      <c r="W902" s="13">
        <v>4</v>
      </c>
      <c r="X902" s="14" t="b">
        <f t="shared" si="381"/>
        <v>1</v>
      </c>
      <c r="Y902" s="17">
        <f>IF($T902=1,$AU902,VLOOKUP(U902,'Cortes naturales'!$A$45:$C$49,3,9))</f>
        <v>4</v>
      </c>
      <c r="Z902" s="14">
        <v>60.87513666808816</v>
      </c>
      <c r="AA902" s="14">
        <v>0.43552964959641305</v>
      </c>
      <c r="AB902" s="14">
        <v>26.512926942186191</v>
      </c>
      <c r="AC902" s="13">
        <v>4</v>
      </c>
      <c r="AD902" s="13">
        <f t="shared" si="382"/>
        <v>0</v>
      </c>
      <c r="AE902" s="14">
        <f t="shared" si="383"/>
        <v>-7.7579993269157086</v>
      </c>
      <c r="AF902" s="14">
        <f t="shared" si="384"/>
        <v>-4.6214141733321723E-3</v>
      </c>
      <c r="AG902" s="13">
        <f t="shared" si="385"/>
        <v>-3.6243150197761302</v>
      </c>
      <c r="AH902" s="13">
        <f>IF($T902=1,$AU902,VLOOKUP(U902,'Cortes naturales'!$A$25:$C$29,3,9))</f>
        <v>4</v>
      </c>
      <c r="AI902" s="13" t="b">
        <f t="shared" si="386"/>
        <v>1</v>
      </c>
      <c r="AJ902" s="13">
        <f t="shared" si="387"/>
        <v>0</v>
      </c>
      <c r="AK902" s="28">
        <v>0.6523467210059386</v>
      </c>
      <c r="AL902" s="28">
        <v>39.711695796215693</v>
      </c>
      <c r="AM902" s="28">
        <v>0.3261254424956791</v>
      </c>
      <c r="AN902" s="13">
        <v>4</v>
      </c>
      <c r="AO902" s="33">
        <f t="shared" si="388"/>
        <v>0</v>
      </c>
      <c r="AP902" s="13">
        <f t="shared" si="398"/>
        <v>32.612544249567911</v>
      </c>
      <c r="AQ902" s="13">
        <f>IFERROR(VLOOKUP(U902,'Cortes naturales'!$E$15:$G$19,3,9),U902)</f>
        <v>4</v>
      </c>
      <c r="AR902" s="28">
        <f t="shared" si="389"/>
        <v>-0.22143848558285772</v>
      </c>
      <c r="AS902" s="13" t="b">
        <f t="shared" si="390"/>
        <v>1</v>
      </c>
      <c r="AT902" s="13">
        <f t="shared" si="399"/>
        <v>0</v>
      </c>
      <c r="AU902" s="13">
        <v>4</v>
      </c>
      <c r="AV902">
        <f t="shared" si="391"/>
        <v>0</v>
      </c>
      <c r="AW902" s="13">
        <v>0</v>
      </c>
      <c r="AX902" s="13">
        <v>0</v>
      </c>
      <c r="AY902" s="13">
        <v>0</v>
      </c>
      <c r="AZ902" s="13">
        <v>1</v>
      </c>
      <c r="BA902">
        <v>1</v>
      </c>
      <c r="BB902" t="s">
        <v>2840</v>
      </c>
      <c r="BC902">
        <v>6</v>
      </c>
      <c r="BD902" t="s">
        <v>2919</v>
      </c>
      <c r="BE902">
        <v>1</v>
      </c>
      <c r="BF902" s="232" t="s">
        <v>2846</v>
      </c>
      <c r="BG902" s="232" t="s">
        <v>2846</v>
      </c>
      <c r="BH902" s="253">
        <v>75.900000000000006</v>
      </c>
      <c r="BI902" s="253">
        <v>77.458325529125304</v>
      </c>
      <c r="BJ902" s="25">
        <v>20.384373040160192</v>
      </c>
      <c r="BK902" t="s">
        <v>379</v>
      </c>
      <c r="BL902">
        <v>39.034562264621741</v>
      </c>
      <c r="BM902" t="s">
        <v>384</v>
      </c>
      <c r="BN902" s="322">
        <v>52816.859922000003</v>
      </c>
      <c r="BO902" s="322">
        <v>1680.685829</v>
      </c>
      <c r="BP902" s="10">
        <v>26822</v>
      </c>
      <c r="BQ902" s="254">
        <f t="shared" si="392"/>
        <v>1.9691618791290733</v>
      </c>
      <c r="BR902" s="254">
        <f t="shared" si="393"/>
        <v>6.266071989411677E-2</v>
      </c>
      <c r="BS902" s="25">
        <v>48.630748216039763</v>
      </c>
      <c r="BT902" s="25">
        <v>85.964776276755359</v>
      </c>
      <c r="BU902" s="25">
        <v>44.423333333333318</v>
      </c>
      <c r="BV902" s="25">
        <v>96.812356146259461</v>
      </c>
      <c r="BW902" s="25">
        <v>43.304409761944576</v>
      </c>
      <c r="BX902" s="25">
        <v>68.957803493096975</v>
      </c>
      <c r="BY902" s="25">
        <v>43.965950163544598</v>
      </c>
      <c r="BZ902">
        <v>97</v>
      </c>
      <c r="CA902">
        <v>0</v>
      </c>
      <c r="CB902">
        <v>7</v>
      </c>
      <c r="CC902">
        <v>100466.718157</v>
      </c>
      <c r="CD902" s="10">
        <v>41307.174072000002</v>
      </c>
      <c r="CE902" s="255">
        <v>0.41115281587529329</v>
      </c>
      <c r="CF902" t="str">
        <f>IFERROR(VLOOKUP(CE902,'Rangos amb etnico'!$A$2:$C$6,3,9),"N.D.")</f>
        <v>31% - 50%</v>
      </c>
      <c r="CG902" s="256">
        <v>1.2017814079722127E-3</v>
      </c>
      <c r="CH902" s="232">
        <v>74756.543025000006</v>
      </c>
      <c r="CI902" s="311">
        <f t="shared" si="400"/>
        <v>0.74409261491131296</v>
      </c>
      <c r="CJ902" s="232" t="str">
        <f>IFERROR(VLOOKUP(CI902,'Rangos amb etnico'!$A$2:$C$6,3,9),"N.D.")</f>
        <v>71% - 100%</v>
      </c>
      <c r="CK902" s="311">
        <f t="shared" si="401"/>
        <v>2.9683242041670891E-3</v>
      </c>
      <c r="CL902" s="10">
        <v>0</v>
      </c>
      <c r="CM902" s="255">
        <f t="shared" si="402"/>
        <v>0</v>
      </c>
      <c r="CN902" s="232">
        <f>IFERROR(VLOOKUP(CM902,'Rangos amb etnico'!$A$2:$C$6,3,9),"N.D.")</f>
        <v>0</v>
      </c>
      <c r="CO902" s="311">
        <f t="shared" si="403"/>
        <v>0</v>
      </c>
      <c r="CP902">
        <v>0.8693838767090134</v>
      </c>
      <c r="CQ902" t="s">
        <v>2864</v>
      </c>
      <c r="CR902">
        <f t="shared" si="394"/>
        <v>2</v>
      </c>
      <c r="CS902" t="str">
        <f t="shared" si="404"/>
        <v>No es Candidato</v>
      </c>
      <c r="CT902">
        <v>0</v>
      </c>
      <c r="CU902">
        <v>0</v>
      </c>
      <c r="CV902" s="25">
        <v>33.913631439208977</v>
      </c>
      <c r="CW902" s="25">
        <v>15.190666198730471</v>
      </c>
      <c r="CX902" s="25">
        <v>39.716884613037109</v>
      </c>
      <c r="CY902" s="25">
        <v>20.301578521728519</v>
      </c>
      <c r="CZ902" s="25">
        <v>8.0987520217895508</v>
      </c>
      <c r="DA902" s="25">
        <v>76.752998352050781</v>
      </c>
      <c r="DB902" s="25">
        <v>43.4208984375</v>
      </c>
      <c r="DC902">
        <v>25154</v>
      </c>
      <c r="DD902" s="253" t="s">
        <v>380</v>
      </c>
    </row>
    <row r="903" spans="1:108" hidden="1">
      <c r="A903" s="13">
        <v>52612</v>
      </c>
      <c r="B903" s="13" t="s">
        <v>2221</v>
      </c>
      <c r="C903" s="13" t="s">
        <v>672</v>
      </c>
      <c r="D903" s="13" t="s">
        <v>673</v>
      </c>
      <c r="E903" s="13" t="s">
        <v>862</v>
      </c>
      <c r="F903" s="14">
        <v>68.662733333333307</v>
      </c>
      <c r="G903" s="13">
        <v>59.98</v>
      </c>
      <c r="H903" s="13">
        <v>49.8</v>
      </c>
      <c r="I903" s="13">
        <v>51.43</v>
      </c>
      <c r="J903" s="14">
        <v>47.475115013307125</v>
      </c>
      <c r="K903" s="14">
        <v>58.290818553897786</v>
      </c>
      <c r="L903" s="14">
        <v>59.239651658153143</v>
      </c>
      <c r="M903" s="14">
        <v>59.313299999999998</v>
      </c>
      <c r="N903" s="14">
        <f t="shared" si="378"/>
        <v>57.468183333333329</v>
      </c>
      <c r="O903" s="14">
        <f t="shared" si="379"/>
        <v>56.079721306339515</v>
      </c>
      <c r="P903" s="14">
        <f t="shared" si="395"/>
        <v>56.773952319836425</v>
      </c>
      <c r="Q903" s="14">
        <v>62.725197964119296</v>
      </c>
      <c r="R903" s="17">
        <f t="shared" si="380"/>
        <v>37.274802035880704</v>
      </c>
      <c r="S903" s="14">
        <f t="shared" si="396"/>
        <v>0.4354732183229264</v>
      </c>
      <c r="T903" s="13">
        <v>0</v>
      </c>
      <c r="U903" s="13">
        <f t="shared" si="397"/>
        <v>24.723535733631543</v>
      </c>
      <c r="V903" s="13">
        <f>IF($T903=1,$AU903,(VLOOKUP(U903,'Cortes naturales'!$A$35:$C$39,3,9)))</f>
        <v>4</v>
      </c>
      <c r="W903" s="13">
        <v>4</v>
      </c>
      <c r="X903" s="14" t="b">
        <f t="shared" si="381"/>
        <v>1</v>
      </c>
      <c r="Y903" s="17">
        <f>IF($T903=1,$AU903,VLOOKUP(U903,'Cortes naturales'!$A$45:$C$49,3,9))</f>
        <v>4</v>
      </c>
      <c r="Z903" s="14">
        <v>58.948915186532858</v>
      </c>
      <c r="AA903" s="14">
        <v>0.43534145962232462</v>
      </c>
      <c r="AB903" s="14">
        <v>25.662906780457831</v>
      </c>
      <c r="AC903" s="13">
        <v>4</v>
      </c>
      <c r="AD903" s="13">
        <f t="shared" si="382"/>
        <v>0</v>
      </c>
      <c r="AE903" s="14">
        <f t="shared" si="383"/>
        <v>-2.1749628666964327</v>
      </c>
      <c r="AF903" s="14">
        <f t="shared" si="384"/>
        <v>1.3175870060178063E-4</v>
      </c>
      <c r="AG903" s="13">
        <f t="shared" si="385"/>
        <v>-0.93937104682628814</v>
      </c>
      <c r="AH903" s="13">
        <f>IF($T903=1,$AU903,VLOOKUP(U903,'Cortes naturales'!$A$25:$C$29,3,9))</f>
        <v>4</v>
      </c>
      <c r="AI903" s="13" t="b">
        <f t="shared" si="386"/>
        <v>1</v>
      </c>
      <c r="AJ903" s="13">
        <f t="shared" si="387"/>
        <v>0</v>
      </c>
      <c r="AK903" s="28">
        <v>0.6523467210059386</v>
      </c>
      <c r="AL903" s="28">
        <v>38.455131528791888</v>
      </c>
      <c r="AM903" s="28">
        <v>0.31040714805379543</v>
      </c>
      <c r="AN903" s="13">
        <v>4</v>
      </c>
      <c r="AO903" s="33">
        <f t="shared" si="388"/>
        <v>0</v>
      </c>
      <c r="AP903" s="13">
        <f t="shared" si="398"/>
        <v>31.040714805379544</v>
      </c>
      <c r="AQ903" s="13">
        <f>IFERROR(VLOOKUP(U903,'Cortes naturales'!$E$15:$G$19,3,9),U903)</f>
        <v>4</v>
      </c>
      <c r="AR903" s="28">
        <f t="shared" si="389"/>
        <v>-0.2168735026830122</v>
      </c>
      <c r="AS903" s="13" t="b">
        <f t="shared" si="390"/>
        <v>1</v>
      </c>
      <c r="AT903" s="13">
        <f t="shared" si="399"/>
        <v>0</v>
      </c>
      <c r="AU903" s="13">
        <v>4</v>
      </c>
      <c r="AV903">
        <f t="shared" si="391"/>
        <v>0</v>
      </c>
      <c r="AW903" s="13">
        <v>0</v>
      </c>
      <c r="AX903" s="13">
        <v>0</v>
      </c>
      <c r="AY903" s="13">
        <v>0</v>
      </c>
      <c r="AZ903" s="13">
        <v>1</v>
      </c>
      <c r="BA903">
        <v>1</v>
      </c>
      <c r="BB903" t="s">
        <v>2841</v>
      </c>
      <c r="BC903">
        <v>6</v>
      </c>
      <c r="BD903" t="s">
        <v>2919</v>
      </c>
      <c r="BE903">
        <v>1</v>
      </c>
      <c r="BF903" s="232" t="s">
        <v>2846</v>
      </c>
      <c r="BG903" s="232" t="s">
        <v>2845</v>
      </c>
      <c r="BH903" s="253">
        <v>71.900000000000006</v>
      </c>
      <c r="BI903" s="253">
        <v>62.345713178723642</v>
      </c>
      <c r="BJ903" s="25">
        <v>43.01082576559353</v>
      </c>
      <c r="BK903" t="s">
        <v>376</v>
      </c>
      <c r="BL903">
        <v>95.810391806776096</v>
      </c>
      <c r="BM903" t="s">
        <v>384</v>
      </c>
      <c r="BN903" s="322">
        <v>51556.405734</v>
      </c>
      <c r="BO903" s="322">
        <v>4331.1774349999996</v>
      </c>
      <c r="BP903" s="10">
        <v>22530</v>
      </c>
      <c r="BQ903" s="254">
        <f t="shared" si="392"/>
        <v>2.2883446841544606</v>
      </c>
      <c r="BR903" s="254">
        <f t="shared" si="393"/>
        <v>0.19224045428317796</v>
      </c>
      <c r="BS903" s="25">
        <v>49.208593399617307</v>
      </c>
      <c r="BT903" s="25">
        <v>89.894272703062583</v>
      </c>
      <c r="BU903" s="25">
        <v>32.654793172336802</v>
      </c>
      <c r="BV903" s="25">
        <v>87.910166355232278</v>
      </c>
      <c r="BW903" s="25">
        <v>64.070677210537283</v>
      </c>
      <c r="BX903" s="25">
        <v>64.916956407562239</v>
      </c>
      <c r="BY903" s="25">
        <v>65.753660779863665</v>
      </c>
      <c r="BZ903">
        <v>97</v>
      </c>
      <c r="CA903">
        <v>0</v>
      </c>
      <c r="CB903">
        <v>7</v>
      </c>
      <c r="CC903">
        <v>105643.71919600001</v>
      </c>
      <c r="CD903" s="10">
        <v>25836.862838000001</v>
      </c>
      <c r="CE903" s="255">
        <v>0.24456600955202137</v>
      </c>
      <c r="CF903" t="str">
        <f>IFERROR(VLOOKUP(CE903,'Rangos amb etnico'!$A$2:$C$6,3,9),"N.D.")</f>
        <v>0,1% - 30%</v>
      </c>
      <c r="CG903" s="256">
        <v>7.5169173628084009E-4</v>
      </c>
      <c r="CH903" s="232">
        <v>87248.239509000006</v>
      </c>
      <c r="CI903" s="311">
        <f t="shared" si="400"/>
        <v>0.82587247186109569</v>
      </c>
      <c r="CJ903" s="232" t="str">
        <f>IFERROR(VLOOKUP(CI903,'Rangos amb etnico'!$A$2:$C$6,3,9),"N.D.")</f>
        <v>71% - 100%</v>
      </c>
      <c r="CK903" s="311">
        <f t="shared" si="401"/>
        <v>3.4643263402231407E-3</v>
      </c>
      <c r="CL903" s="10">
        <v>0</v>
      </c>
      <c r="CM903" s="255">
        <f t="shared" si="402"/>
        <v>0</v>
      </c>
      <c r="CN903" s="232">
        <f>IFERROR(VLOOKUP(CM903,'Rangos amb etnico'!$A$2:$C$6,3,9),"N.D.")</f>
        <v>0</v>
      </c>
      <c r="CO903" s="311">
        <f t="shared" si="403"/>
        <v>0</v>
      </c>
      <c r="CP903">
        <v>0.89244209794763674</v>
      </c>
      <c r="CQ903" t="s">
        <v>2864</v>
      </c>
      <c r="CR903">
        <f t="shared" si="394"/>
        <v>2</v>
      </c>
      <c r="CS903" t="str">
        <f t="shared" si="404"/>
        <v>No es Candidato</v>
      </c>
      <c r="CT903">
        <v>1</v>
      </c>
      <c r="CU903" t="s">
        <v>2836</v>
      </c>
      <c r="CV903" s="25">
        <v>31.61966705322266</v>
      </c>
      <c r="CW903" s="25">
        <v>15.31064414978027</v>
      </c>
      <c r="CX903" s="25">
        <v>31.660524368286129</v>
      </c>
      <c r="CY903" s="25">
        <v>35.241016387939453</v>
      </c>
      <c r="CZ903" s="25">
        <v>25.403352737426761</v>
      </c>
      <c r="DA903" s="25">
        <v>45.979873657226563</v>
      </c>
      <c r="DB903" s="25">
        <v>36.122589111328118</v>
      </c>
      <c r="DC903">
        <v>15970</v>
      </c>
      <c r="DD903" s="253" t="s">
        <v>380</v>
      </c>
    </row>
    <row r="904" spans="1:108">
      <c r="A904" s="13">
        <v>5543</v>
      </c>
      <c r="B904" s="13" t="s">
        <v>2222</v>
      </c>
      <c r="C904" s="13" t="s">
        <v>435</v>
      </c>
      <c r="D904" s="13" t="s">
        <v>436</v>
      </c>
      <c r="E904" s="13" t="s">
        <v>2223</v>
      </c>
      <c r="F904" s="14">
        <v>73.570433333333298</v>
      </c>
      <c r="G904" s="13">
        <v>64.040000000000006</v>
      </c>
      <c r="H904" s="13">
        <v>48.18</v>
      </c>
      <c r="I904" s="13">
        <v>19.18</v>
      </c>
      <c r="J904" s="14">
        <v>57.676223987974062</v>
      </c>
      <c r="K904" s="14">
        <v>49.593737394750441</v>
      </c>
      <c r="L904" s="14">
        <v>55.623365111399359</v>
      </c>
      <c r="M904" s="14">
        <v>60.629899999999999</v>
      </c>
      <c r="N904" s="14">
        <f t="shared" si="378"/>
        <v>51.24260833333333</v>
      </c>
      <c r="O904" s="14">
        <f t="shared" si="379"/>
        <v>55.880806623530965</v>
      </c>
      <c r="P904" s="14">
        <f t="shared" si="395"/>
        <v>53.561707478432147</v>
      </c>
      <c r="Q904" s="14">
        <v>63.310242305850117</v>
      </c>
      <c r="R904" s="17">
        <f t="shared" si="380"/>
        <v>36.689757694149883</v>
      </c>
      <c r="S904" s="14">
        <f t="shared" si="396"/>
        <v>0.43020781924734897</v>
      </c>
      <c r="T904" s="13">
        <v>0</v>
      </c>
      <c r="U904" s="13">
        <f t="shared" si="397"/>
        <v>23.042665369460718</v>
      </c>
      <c r="V904" s="13">
        <f>IF($T904=1,$AU904,(VLOOKUP(U904,'Cortes naturales'!$A$35:$C$39,3,9)))</f>
        <v>4</v>
      </c>
      <c r="W904" s="13">
        <v>4</v>
      </c>
      <c r="X904" s="14" t="b">
        <f t="shared" si="381"/>
        <v>1</v>
      </c>
      <c r="Y904" s="17">
        <f>IF($T904=1,$AU904,VLOOKUP(U904,'Cortes naturales'!$A$45:$C$49,3,9))</f>
        <v>4</v>
      </c>
      <c r="Z904" s="14">
        <v>59.916494338888626</v>
      </c>
      <c r="AA904" s="14">
        <v>0.43399164971879001</v>
      </c>
      <c r="AB904" s="14">
        <v>26.003258223500819</v>
      </c>
      <c r="AC904" s="13">
        <v>4</v>
      </c>
      <c r="AD904" s="13">
        <f t="shared" si="382"/>
        <v>0</v>
      </c>
      <c r="AE904" s="14">
        <f t="shared" si="383"/>
        <v>-6.3547868604564783</v>
      </c>
      <c r="AF904" s="14">
        <f t="shared" si="384"/>
        <v>-3.7838304714410409E-3</v>
      </c>
      <c r="AG904" s="13">
        <f t="shared" si="385"/>
        <v>-2.960592854040101</v>
      </c>
      <c r="AH904" s="13">
        <f>IF($T904=1,$AU904,VLOOKUP(U904,'Cortes naturales'!$A$25:$C$29,3,9))</f>
        <v>4</v>
      </c>
      <c r="AI904" s="13" t="b">
        <f t="shared" si="386"/>
        <v>1</v>
      </c>
      <c r="AJ904" s="13">
        <f t="shared" si="387"/>
        <v>0</v>
      </c>
      <c r="AK904" s="28">
        <v>0.6523467210059386</v>
      </c>
      <c r="AL904" s="28">
        <v>39.086328616144876</v>
      </c>
      <c r="AM904" s="28">
        <v>0.31830275827213644</v>
      </c>
      <c r="AN904" s="13">
        <v>4</v>
      </c>
      <c r="AO904" s="33">
        <f t="shared" si="388"/>
        <v>0</v>
      </c>
      <c r="AP904" s="13">
        <f t="shared" si="398"/>
        <v>31.830275827213644</v>
      </c>
      <c r="AQ904" s="13">
        <f>IFERROR(VLOOKUP(U904,'Cortes naturales'!$E$15:$G$19,3,9),U904)</f>
        <v>4</v>
      </c>
      <c r="AR904" s="28">
        <f t="shared" si="389"/>
        <v>-0.22213890175858964</v>
      </c>
      <c r="AS904" s="13" t="b">
        <f t="shared" si="390"/>
        <v>1</v>
      </c>
      <c r="AT904" s="13">
        <f t="shared" si="399"/>
        <v>0</v>
      </c>
      <c r="AU904" s="13">
        <v>3</v>
      </c>
      <c r="AV904">
        <f t="shared" si="391"/>
        <v>-1</v>
      </c>
      <c r="AW904" s="13">
        <v>0</v>
      </c>
      <c r="AX904" s="13">
        <v>0</v>
      </c>
      <c r="AY904" s="13">
        <v>0</v>
      </c>
      <c r="AZ904" s="13">
        <v>0</v>
      </c>
      <c r="BA904">
        <v>0</v>
      </c>
      <c r="BB904" t="s">
        <v>2840</v>
      </c>
      <c r="BC904">
        <v>6</v>
      </c>
      <c r="BD904" t="s">
        <v>2919</v>
      </c>
      <c r="BE904">
        <v>1</v>
      </c>
      <c r="BF904" s="232" t="s">
        <v>2846</v>
      </c>
      <c r="BG904" s="232" t="s">
        <v>2845</v>
      </c>
      <c r="BH904" s="253">
        <v>53.5</v>
      </c>
      <c r="BI904" s="253">
        <v>27.363114409746533</v>
      </c>
      <c r="BJ904" s="25">
        <v>65.725539680703378</v>
      </c>
      <c r="BK904" t="s">
        <v>376</v>
      </c>
      <c r="BL904">
        <v>4.9740445632042292</v>
      </c>
      <c r="BM904" t="s">
        <v>383</v>
      </c>
      <c r="BN904" s="322">
        <v>27545.536712000001</v>
      </c>
      <c r="BO904" s="322">
        <v>2184.3323500000001</v>
      </c>
      <c r="BP904" s="10">
        <v>8733</v>
      </c>
      <c r="BQ904" s="254">
        <f t="shared" si="392"/>
        <v>3.1541894780716824</v>
      </c>
      <c r="BR904" s="254">
        <f t="shared" si="393"/>
        <v>0.25012393793656246</v>
      </c>
      <c r="BS904" s="25">
        <v>55.751530085632339</v>
      </c>
      <c r="BT904" s="25">
        <v>88.104754324300657</v>
      </c>
      <c r="BU904" s="25">
        <v>34.963333333333331</v>
      </c>
      <c r="BV904" s="25">
        <v>96.209362757374421</v>
      </c>
      <c r="BW904" s="25">
        <v>47.67454867332745</v>
      </c>
      <c r="BX904" s="25">
        <v>68.757245125160182</v>
      </c>
      <c r="BY904" s="25">
        <v>48.264920351314053</v>
      </c>
      <c r="BZ904">
        <v>99</v>
      </c>
      <c r="CA904">
        <v>0</v>
      </c>
      <c r="CB904">
        <v>7</v>
      </c>
      <c r="CC904">
        <v>43403.883129000002</v>
      </c>
      <c r="CD904" s="10">
        <v>31519.873702000001</v>
      </c>
      <c r="CE904" s="255">
        <v>0.72619939576190173</v>
      </c>
      <c r="CF904" t="str">
        <f>IFERROR(VLOOKUP(CE904,'Rangos amb etnico'!$A$2:$C$6,3,9),"N.D.")</f>
        <v>71% - 100%</v>
      </c>
      <c r="CG904" s="256">
        <v>9.1703194536303981E-4</v>
      </c>
      <c r="CH904" s="232">
        <v>0</v>
      </c>
      <c r="CI904" s="311">
        <f t="shared" si="400"/>
        <v>0</v>
      </c>
      <c r="CJ904" s="232">
        <f>IFERROR(VLOOKUP(CI904,'Rangos amb etnico'!$A$2:$C$6,3,9),"N.D.")</f>
        <v>0</v>
      </c>
      <c r="CK904" s="311">
        <f t="shared" si="401"/>
        <v>0</v>
      </c>
      <c r="CL904" s="10">
        <v>0</v>
      </c>
      <c r="CM904" s="255">
        <f t="shared" si="402"/>
        <v>0</v>
      </c>
      <c r="CN904" s="232">
        <f>IFERROR(VLOOKUP(CM904,'Rangos amb etnico'!$A$2:$C$6,3,9),"N.D.")</f>
        <v>0</v>
      </c>
      <c r="CO904" s="311">
        <f t="shared" si="403"/>
        <v>0</v>
      </c>
      <c r="CP904">
        <v>0.90464636002054688</v>
      </c>
      <c r="CQ904" t="s">
        <v>2864</v>
      </c>
      <c r="CR904">
        <f t="shared" si="394"/>
        <v>2</v>
      </c>
      <c r="CS904" t="str">
        <f t="shared" si="404"/>
        <v>No es Candidato</v>
      </c>
      <c r="CT904">
        <v>0</v>
      </c>
      <c r="CU904">
        <v>0</v>
      </c>
      <c r="CV904" s="25">
        <v>43.987964630126953</v>
      </c>
      <c r="CW904" s="25">
        <v>11.280197143554689</v>
      </c>
      <c r="CX904" s="25">
        <v>43.018085479736328</v>
      </c>
      <c r="CY904" s="25">
        <v>43.750602722167969</v>
      </c>
      <c r="CZ904" s="25">
        <v>30.472759246826168</v>
      </c>
      <c r="DA904" s="25">
        <v>79.299247741699219</v>
      </c>
      <c r="DB904" s="25">
        <v>56.106891632080078</v>
      </c>
      <c r="DC904">
        <v>262</v>
      </c>
      <c r="DD904" s="253" t="s">
        <v>380</v>
      </c>
    </row>
    <row r="905" spans="1:108" hidden="1">
      <c r="A905" s="13">
        <v>15507</v>
      </c>
      <c r="B905" s="13" t="s">
        <v>2224</v>
      </c>
      <c r="C905" s="13" t="s">
        <v>498</v>
      </c>
      <c r="D905" s="13" t="s">
        <v>499</v>
      </c>
      <c r="E905" s="13" t="s">
        <v>2225</v>
      </c>
      <c r="F905" s="14">
        <v>58.751100000000001</v>
      </c>
      <c r="G905" s="13">
        <v>50.14</v>
      </c>
      <c r="H905" s="13">
        <v>42.28</v>
      </c>
      <c r="I905" s="13">
        <v>73.69</v>
      </c>
      <c r="J905" s="14">
        <v>58.592931334030084</v>
      </c>
      <c r="K905" s="14">
        <v>61.929830098818869</v>
      </c>
      <c r="L905" s="14">
        <v>59.432964200530094</v>
      </c>
      <c r="M905" s="14">
        <v>68.273099999999999</v>
      </c>
      <c r="N905" s="14">
        <f t="shared" si="378"/>
        <v>56.215274999999998</v>
      </c>
      <c r="O905" s="14">
        <f t="shared" si="379"/>
        <v>62.057206408344761</v>
      </c>
      <c r="P905" s="14">
        <f t="shared" si="395"/>
        <v>59.13624070417238</v>
      </c>
      <c r="Q905" s="14">
        <v>64.07083460419733</v>
      </c>
      <c r="R905" s="17">
        <f t="shared" si="380"/>
        <v>35.92916539580267</v>
      </c>
      <c r="S905" s="14">
        <f t="shared" si="396"/>
        <v>0.42336248856222403</v>
      </c>
      <c r="T905" s="13">
        <v>0</v>
      </c>
      <c r="U905" s="13">
        <f t="shared" si="397"/>
        <v>25.036066028733106</v>
      </c>
      <c r="V905" s="13">
        <f>IF($T905=1,$AU905,(VLOOKUP(U905,'Cortes naturales'!$A$35:$C$39,3,9)))</f>
        <v>4</v>
      </c>
      <c r="W905" s="13">
        <v>4</v>
      </c>
      <c r="X905" s="14" t="b">
        <f t="shared" si="381"/>
        <v>1</v>
      </c>
      <c r="Y905" s="17">
        <f>IF($T905=1,$AU905,VLOOKUP(U905,'Cortes naturales'!$A$45:$C$49,3,9))</f>
        <v>4</v>
      </c>
      <c r="Z905" s="14">
        <v>56.613198070204703</v>
      </c>
      <c r="AA905" s="14">
        <v>0.43338126526807397</v>
      </c>
      <c r="AB905" s="14">
        <v>24.535099410537399</v>
      </c>
      <c r="AC905" s="13">
        <v>4</v>
      </c>
      <c r="AD905" s="13">
        <f t="shared" si="382"/>
        <v>0</v>
      </c>
      <c r="AE905" s="14">
        <f t="shared" si="383"/>
        <v>2.5230426339676768</v>
      </c>
      <c r="AF905" s="14">
        <f t="shared" si="384"/>
        <v>-1.0018776705849941E-2</v>
      </c>
      <c r="AG905" s="13">
        <f t="shared" si="385"/>
        <v>0.50096661819570798</v>
      </c>
      <c r="AH905" s="13">
        <f>IF($T905=1,$AU905,VLOOKUP(U905,'Cortes naturales'!$A$25:$C$29,3,9))</f>
        <v>4</v>
      </c>
      <c r="AI905" s="13" t="b">
        <f t="shared" si="386"/>
        <v>1</v>
      </c>
      <c r="AJ905" s="13">
        <f t="shared" si="387"/>
        <v>0</v>
      </c>
      <c r="AK905" s="28">
        <v>0.6523467210059386</v>
      </c>
      <c r="AL905" s="28">
        <v>36.931434126757772</v>
      </c>
      <c r="AM905" s="28">
        <v>0.29134729968280254</v>
      </c>
      <c r="AN905" s="13">
        <v>4</v>
      </c>
      <c r="AO905" s="33">
        <f t="shared" si="388"/>
        <v>0</v>
      </c>
      <c r="AP905" s="13">
        <f t="shared" si="398"/>
        <v>29.134729968280254</v>
      </c>
      <c r="AQ905" s="13">
        <f>IFERROR(VLOOKUP(U905,'Cortes naturales'!$E$15:$G$19,3,9),U905)</f>
        <v>4</v>
      </c>
      <c r="AR905" s="28">
        <f t="shared" si="389"/>
        <v>-0.22898423244371457</v>
      </c>
      <c r="AS905" s="13" t="b">
        <f t="shared" si="390"/>
        <v>1</v>
      </c>
      <c r="AT905" s="13">
        <f t="shared" si="399"/>
        <v>0</v>
      </c>
      <c r="AU905" s="13">
        <v>3</v>
      </c>
      <c r="AV905">
        <f t="shared" si="391"/>
        <v>-1</v>
      </c>
      <c r="AW905" s="13">
        <v>0</v>
      </c>
      <c r="AX905" s="13">
        <v>0</v>
      </c>
      <c r="AY905" s="13">
        <v>0</v>
      </c>
      <c r="AZ905" s="13">
        <v>0</v>
      </c>
      <c r="BA905">
        <v>0</v>
      </c>
      <c r="BB905" t="s">
        <v>2840</v>
      </c>
      <c r="BC905">
        <v>6</v>
      </c>
      <c r="BD905" t="s">
        <v>2919</v>
      </c>
      <c r="BE905">
        <v>0</v>
      </c>
      <c r="BF905" s="232" t="s">
        <v>2846</v>
      </c>
      <c r="BG905" s="232" t="s">
        <v>2846</v>
      </c>
      <c r="BH905" s="253">
        <v>44.7</v>
      </c>
      <c r="BI905" s="253">
        <v>27.571898697953927</v>
      </c>
      <c r="BJ905" s="25">
        <v>41.61133190138937</v>
      </c>
      <c r="BK905" t="s">
        <v>376</v>
      </c>
      <c r="BL905">
        <v>0.99637053164975242</v>
      </c>
      <c r="BM905" t="s">
        <v>383</v>
      </c>
      <c r="BN905" s="322">
        <v>34543.402633999998</v>
      </c>
      <c r="BO905" s="322">
        <v>11890.070308</v>
      </c>
      <c r="BP905" s="10">
        <v>8190</v>
      </c>
      <c r="BQ905" s="254">
        <f t="shared" si="392"/>
        <v>4.2177536793650789</v>
      </c>
      <c r="BR905" s="254">
        <f t="shared" si="393"/>
        <v>1.4517790363858365</v>
      </c>
      <c r="BS905" s="25">
        <v>61.582804890833017</v>
      </c>
      <c r="BT905" s="25">
        <v>93.279030789580773</v>
      </c>
      <c r="BU905" s="25">
        <v>30.019279125869161</v>
      </c>
      <c r="BV905" s="25">
        <v>92.046585142357344</v>
      </c>
      <c r="BW905" s="25">
        <v>62.263466681848932</v>
      </c>
      <c r="BX905" s="25">
        <v>69.23192498716007</v>
      </c>
      <c r="BY905" s="25">
        <v>62.970920401993517</v>
      </c>
      <c r="BZ905">
        <v>86</v>
      </c>
      <c r="CA905">
        <v>0</v>
      </c>
      <c r="CB905">
        <v>7</v>
      </c>
      <c r="CC905">
        <v>47448.466372000003</v>
      </c>
      <c r="CD905" s="10">
        <v>6144.2174999999997</v>
      </c>
      <c r="CE905" s="255">
        <v>0.12949243610591779</v>
      </c>
      <c r="CF905" t="str">
        <f>IFERROR(VLOOKUP(CE905,'Rangos amb etnico'!$A$2:$C$6,3,9),"N.D.")</f>
        <v>0,1% - 30%</v>
      </c>
      <c r="CG905" s="256">
        <v>1.7875844871805802E-4</v>
      </c>
      <c r="CH905" s="232">
        <v>0</v>
      </c>
      <c r="CI905" s="311">
        <f t="shared" si="400"/>
        <v>0</v>
      </c>
      <c r="CJ905" s="232">
        <f>IFERROR(VLOOKUP(CI905,'Rangos amb etnico'!$A$2:$C$6,3,9),"N.D.")</f>
        <v>0</v>
      </c>
      <c r="CK905" s="311">
        <f t="shared" si="401"/>
        <v>0</v>
      </c>
      <c r="CL905" s="10">
        <v>0</v>
      </c>
      <c r="CM905" s="255">
        <f t="shared" si="402"/>
        <v>0</v>
      </c>
      <c r="CN905" s="232">
        <f>IFERROR(VLOOKUP(CM905,'Rangos amb etnico'!$A$2:$C$6,3,9),"N.D.")</f>
        <v>0</v>
      </c>
      <c r="CO905" s="311">
        <f t="shared" si="403"/>
        <v>0</v>
      </c>
      <c r="CP905">
        <v>0.91260797017448758</v>
      </c>
      <c r="CQ905" t="s">
        <v>2864</v>
      </c>
      <c r="CR905">
        <f t="shared" si="394"/>
        <v>4</v>
      </c>
      <c r="CS905" t="str">
        <f t="shared" si="404"/>
        <v>Candidato</v>
      </c>
      <c r="CT905">
        <v>0</v>
      </c>
      <c r="CU905">
        <v>0</v>
      </c>
      <c r="CV905" s="25">
        <v>44.083255767822273</v>
      </c>
      <c r="CW905" s="25">
        <v>11.75207614898682</v>
      </c>
      <c r="CX905" s="25">
        <v>60.759193420410163</v>
      </c>
      <c r="CY905" s="25">
        <v>49.067283630371087</v>
      </c>
      <c r="CZ905" s="25">
        <v>37.005905151367188</v>
      </c>
      <c r="DA905" s="25">
        <v>39.566452026367188</v>
      </c>
      <c r="DB905" s="25">
        <v>66.348625183105469</v>
      </c>
      <c r="DC905">
        <v>61</v>
      </c>
      <c r="DD905" s="253" t="s">
        <v>380</v>
      </c>
    </row>
    <row r="906" spans="1:108" hidden="1">
      <c r="A906" s="13">
        <v>27580</v>
      </c>
      <c r="B906" s="13" t="s">
        <v>2226</v>
      </c>
      <c r="C906" s="13" t="s">
        <v>1714</v>
      </c>
      <c r="D906" s="13" t="s">
        <v>1715</v>
      </c>
      <c r="E906" s="13" t="s">
        <v>2227</v>
      </c>
      <c r="F906" s="14">
        <v>53.493466666666698</v>
      </c>
      <c r="G906" s="13">
        <v>33.119999999999997</v>
      </c>
      <c r="H906" s="13">
        <v>23.65</v>
      </c>
      <c r="I906" s="13">
        <v>86.13</v>
      </c>
      <c r="J906" s="14">
        <v>66.560583228781383</v>
      </c>
      <c r="K906" s="14">
        <v>65.371184545492312</v>
      </c>
      <c r="L906" s="14">
        <v>58.984287178086369</v>
      </c>
      <c r="M906" s="14">
        <v>66.139499999999998</v>
      </c>
      <c r="N906" s="14">
        <f t="shared" si="378"/>
        <v>49.098366666666671</v>
      </c>
      <c r="O906" s="14">
        <f t="shared" si="379"/>
        <v>64.263888738090003</v>
      </c>
      <c r="P906" s="14">
        <f t="shared" si="395"/>
        <v>56.681127702378333</v>
      </c>
      <c r="Q906" s="14">
        <v>63.5379458310153</v>
      </c>
      <c r="R906" s="17">
        <f t="shared" si="380"/>
        <v>36.4620541689847</v>
      </c>
      <c r="S906" s="14">
        <f t="shared" si="396"/>
        <v>0.42815848752086227</v>
      </c>
      <c r="T906" s="13">
        <v>0</v>
      </c>
      <c r="U906" s="13">
        <f t="shared" si="397"/>
        <v>24.268505908027155</v>
      </c>
      <c r="V906" s="13">
        <f>IF($T906=1,$AU906,(VLOOKUP(U906,'Cortes naturales'!$A$35:$C$39,3,9)))</f>
        <v>4</v>
      </c>
      <c r="W906" s="13">
        <v>4</v>
      </c>
      <c r="X906" s="14" t="b">
        <f t="shared" si="381"/>
        <v>1</v>
      </c>
      <c r="Y906" s="17">
        <f>IF($T906=1,$AU906,VLOOKUP(U906,'Cortes naturales'!$A$45:$C$49,3,9))</f>
        <v>4</v>
      </c>
      <c r="Z906" s="14">
        <v>53.036448989292211</v>
      </c>
      <c r="AA906" s="14">
        <v>0.43406073606553919</v>
      </c>
      <c r="AB906" s="14">
        <v>23.021040086594599</v>
      </c>
      <c r="AC906" s="13">
        <v>4</v>
      </c>
      <c r="AD906" s="13">
        <f t="shared" si="382"/>
        <v>0</v>
      </c>
      <c r="AE906" s="14">
        <f t="shared" si="383"/>
        <v>3.6446787130861225</v>
      </c>
      <c r="AF906" s="14">
        <f t="shared" si="384"/>
        <v>-5.9022485446769135E-3</v>
      </c>
      <c r="AG906" s="13">
        <f t="shared" si="385"/>
        <v>1.2474658214325558</v>
      </c>
      <c r="AH906" s="13">
        <f>IF($T906=1,$AU906,VLOOKUP(U906,'Cortes naturales'!$A$25:$C$29,3,9))</f>
        <v>4</v>
      </c>
      <c r="AI906" s="13" t="b">
        <f t="shared" si="386"/>
        <v>1</v>
      </c>
      <c r="AJ906" s="13">
        <f t="shared" si="387"/>
        <v>0</v>
      </c>
      <c r="AK906" s="28">
        <v>0.6523467210059386</v>
      </c>
      <c r="AL906" s="28">
        <v>34.598153591963502</v>
      </c>
      <c r="AM906" s="28">
        <v>0.26216041970204096</v>
      </c>
      <c r="AN906" s="13">
        <v>4</v>
      </c>
      <c r="AO906" s="33">
        <f t="shared" si="388"/>
        <v>0</v>
      </c>
      <c r="AP906" s="13">
        <f t="shared" si="398"/>
        <v>26.216041970204095</v>
      </c>
      <c r="AQ906" s="13">
        <f>IFERROR(VLOOKUP(U906,'Cortes naturales'!$E$15:$G$19,3,9),U906)</f>
        <v>4</v>
      </c>
      <c r="AR906" s="28">
        <f t="shared" si="389"/>
        <v>-0.22418823348507633</v>
      </c>
      <c r="AS906" s="13" t="b">
        <f t="shared" si="390"/>
        <v>1</v>
      </c>
      <c r="AT906" s="13">
        <f t="shared" si="399"/>
        <v>0</v>
      </c>
      <c r="AU906" s="13">
        <v>4</v>
      </c>
      <c r="AV906">
        <f t="shared" si="391"/>
        <v>0</v>
      </c>
      <c r="AW906" s="13">
        <v>0</v>
      </c>
      <c r="AX906" s="13">
        <v>0</v>
      </c>
      <c r="AY906" s="13">
        <v>0</v>
      </c>
      <c r="AZ906" s="13">
        <v>0</v>
      </c>
      <c r="BA906">
        <v>0</v>
      </c>
      <c r="BB906" t="s">
        <v>2841</v>
      </c>
      <c r="BC906">
        <v>6</v>
      </c>
      <c r="BD906" t="s">
        <v>2919</v>
      </c>
      <c r="BE906">
        <v>0</v>
      </c>
      <c r="BF906" s="232" t="s">
        <v>2846</v>
      </c>
      <c r="BG906" s="232" t="s">
        <v>2846</v>
      </c>
      <c r="BH906" s="253">
        <v>75.099999999999994</v>
      </c>
      <c r="BI906" s="253">
        <v>43.093922651933703</v>
      </c>
      <c r="BJ906" s="25" t="s">
        <v>2849</v>
      </c>
      <c r="BK906" t="s">
        <v>2849</v>
      </c>
      <c r="BL906">
        <v>37.877471855521399</v>
      </c>
      <c r="BM906" t="s">
        <v>384</v>
      </c>
      <c r="BN906" s="322">
        <v>19150.230528</v>
      </c>
      <c r="BO906" s="322">
        <v>756.64430200000004</v>
      </c>
      <c r="BP906" s="10">
        <v>5747</v>
      </c>
      <c r="BQ906" s="254">
        <f t="shared" si="392"/>
        <v>3.3322134205672524</v>
      </c>
      <c r="BR906" s="254">
        <f t="shared" si="393"/>
        <v>0.13165900504611103</v>
      </c>
      <c r="BS906" s="25">
        <v>68.388492837893452</v>
      </c>
      <c r="BT906" s="25">
        <v>83.088485837828429</v>
      </c>
      <c r="BU906" s="25">
        <v>44.945423925667797</v>
      </c>
      <c r="BV906" s="25">
        <v>84.302827785503595</v>
      </c>
      <c r="BW906" s="25">
        <v>23.18676078769969</v>
      </c>
      <c r="BX906" s="25">
        <v>70.181307596723315</v>
      </c>
      <c r="BY906" s="25">
        <v>23.858015245380741</v>
      </c>
      <c r="BZ906">
        <v>27</v>
      </c>
      <c r="CA906">
        <v>0</v>
      </c>
      <c r="CB906">
        <v>7</v>
      </c>
      <c r="CC906">
        <v>32521.630700999998</v>
      </c>
      <c r="CD906" s="10">
        <v>482.296739</v>
      </c>
      <c r="CE906" s="255">
        <v>1.4830029386723526E-2</v>
      </c>
      <c r="CF906" t="str">
        <f>IFERROR(VLOOKUP(CE906,'Rangos amb etnico'!$A$2:$C$6,3,9),"N.D.")</f>
        <v>0,1% - 30%</v>
      </c>
      <c r="CG906" s="256">
        <v>1.4031830234756195E-5</v>
      </c>
      <c r="CH906" s="232">
        <v>32022.122657</v>
      </c>
      <c r="CI906" s="311">
        <f t="shared" si="400"/>
        <v>0.98464074422981995</v>
      </c>
      <c r="CJ906" s="232" t="str">
        <f>IFERROR(VLOOKUP(CI906,'Rangos amb etnico'!$A$2:$C$6,3,9),"N.D.")</f>
        <v>71% - 100%</v>
      </c>
      <c r="CK906" s="311">
        <f t="shared" si="401"/>
        <v>1.2714879247398216E-3</v>
      </c>
      <c r="CL906" s="10">
        <v>0</v>
      </c>
      <c r="CM906" s="255">
        <f t="shared" si="402"/>
        <v>0</v>
      </c>
      <c r="CN906" s="232">
        <f>IFERROR(VLOOKUP(CM906,'Rangos amb etnico'!$A$2:$C$6,3,9),"N.D.")</f>
        <v>0</v>
      </c>
      <c r="CO906" s="311">
        <f t="shared" si="403"/>
        <v>0</v>
      </c>
      <c r="CP906">
        <v>0.87804357282965673</v>
      </c>
      <c r="CQ906" t="s">
        <v>2864</v>
      </c>
      <c r="CR906">
        <f t="shared" si="394"/>
        <v>3</v>
      </c>
      <c r="CS906" t="str">
        <f t="shared" si="404"/>
        <v>Candidato</v>
      </c>
      <c r="CT906">
        <v>0</v>
      </c>
      <c r="CU906">
        <v>0</v>
      </c>
      <c r="CV906" s="25">
        <v>42.440223693847663</v>
      </c>
      <c r="CW906" s="25">
        <v>18.213237762451168</v>
      </c>
      <c r="CX906" s="25">
        <v>46.744579315185547</v>
      </c>
      <c r="CY906" s="25">
        <v>41.43426513671875</v>
      </c>
      <c r="CZ906" s="25">
        <v>10.127256393432621</v>
      </c>
      <c r="DA906" s="25">
        <v>74.750228881835938</v>
      </c>
      <c r="DB906" s="25">
        <v>63.371772766113281</v>
      </c>
      <c r="DC906">
        <v>5451</v>
      </c>
      <c r="DD906" s="253" t="s">
        <v>380</v>
      </c>
    </row>
    <row r="907" spans="1:108" hidden="1">
      <c r="A907" s="13">
        <v>15839</v>
      </c>
      <c r="B907" s="13" t="s">
        <v>2228</v>
      </c>
      <c r="C907" s="13" t="s">
        <v>498</v>
      </c>
      <c r="D907" s="13" t="s">
        <v>499</v>
      </c>
      <c r="E907" s="13" t="s">
        <v>2229</v>
      </c>
      <c r="F907" s="14">
        <v>70.453599999999994</v>
      </c>
      <c r="G907" s="13">
        <v>58.78</v>
      </c>
      <c r="H907" s="13">
        <v>57.8</v>
      </c>
      <c r="I907" s="13">
        <v>76.290000000000006</v>
      </c>
      <c r="J907" s="14">
        <v>53.529970874073285</v>
      </c>
      <c r="K907" s="14">
        <v>52.160313723930201</v>
      </c>
      <c r="L907" s="14">
        <v>13.331006043422997</v>
      </c>
      <c r="M907" s="14">
        <v>45.817900000000002</v>
      </c>
      <c r="N907" s="14">
        <f t="shared" si="378"/>
        <v>65.8309</v>
      </c>
      <c r="O907" s="14">
        <f t="shared" si="379"/>
        <v>41.209797660356621</v>
      </c>
      <c r="P907" s="14">
        <f t="shared" si="395"/>
        <v>53.520348830178307</v>
      </c>
      <c r="Q907" s="14">
        <v>64.178194028075026</v>
      </c>
      <c r="R907" s="17">
        <f t="shared" si="380"/>
        <v>35.821805971924974</v>
      </c>
      <c r="S907" s="14">
        <f t="shared" si="396"/>
        <v>0.42239625374732481</v>
      </c>
      <c r="T907" s="13">
        <v>0</v>
      </c>
      <c r="U907" s="13">
        <f t="shared" si="397"/>
        <v>22.606794845117335</v>
      </c>
      <c r="V907" s="13">
        <f>IF($T907=1,$AU907,(VLOOKUP(U907,'Cortes naturales'!$A$35:$C$39,3,9)))</f>
        <v>4</v>
      </c>
      <c r="W907" s="13">
        <v>4</v>
      </c>
      <c r="X907" s="14" t="b">
        <f t="shared" si="381"/>
        <v>1</v>
      </c>
      <c r="Y907" s="17">
        <f>IF($T907=1,$AU907,VLOOKUP(U907,'Cortes naturales'!$A$45:$C$49,3,9))</f>
        <v>4</v>
      </c>
      <c r="Z907" s="14">
        <v>50.911081773571084</v>
      </c>
      <c r="AA907" s="14">
        <v>0.43416715997287236</v>
      </c>
      <c r="AB907" s="14">
        <v>22.103919784778022</v>
      </c>
      <c r="AC907" s="13">
        <v>4</v>
      </c>
      <c r="AD907" s="13">
        <f t="shared" si="382"/>
        <v>0</v>
      </c>
      <c r="AE907" s="14">
        <f t="shared" si="383"/>
        <v>2.6092670566072229</v>
      </c>
      <c r="AF907" s="14">
        <f t="shared" si="384"/>
        <v>-1.1770906225547551E-2</v>
      </c>
      <c r="AG907" s="13">
        <f t="shared" si="385"/>
        <v>0.50287506033931351</v>
      </c>
      <c r="AH907" s="13">
        <f>IF($T907=1,$AU907,VLOOKUP(U907,'Cortes naturales'!$A$25:$C$29,3,9))</f>
        <v>4</v>
      </c>
      <c r="AI907" s="13" t="b">
        <f t="shared" si="386"/>
        <v>1</v>
      </c>
      <c r="AJ907" s="13">
        <f t="shared" si="387"/>
        <v>0</v>
      </c>
      <c r="AK907" s="28">
        <v>0.6523467210059386</v>
      </c>
      <c r="AL907" s="28">
        <v>33.211677257854305</v>
      </c>
      <c r="AM907" s="28">
        <v>0.24481706224614916</v>
      </c>
      <c r="AN907" s="13">
        <v>4</v>
      </c>
      <c r="AO907" s="33">
        <f t="shared" si="388"/>
        <v>0</v>
      </c>
      <c r="AP907" s="13">
        <f t="shared" si="398"/>
        <v>24.481706224614914</v>
      </c>
      <c r="AQ907" s="13">
        <f>IFERROR(VLOOKUP(U907,'Cortes naturales'!$E$15:$G$19,3,9),U907)</f>
        <v>4</v>
      </c>
      <c r="AR907" s="28">
        <f t="shared" si="389"/>
        <v>-0.22995046725861379</v>
      </c>
      <c r="AS907" s="13" t="b">
        <f t="shared" si="390"/>
        <v>1</v>
      </c>
      <c r="AT907" s="13">
        <f t="shared" si="399"/>
        <v>0</v>
      </c>
      <c r="AU907" s="13">
        <v>4</v>
      </c>
      <c r="AV907">
        <f t="shared" si="391"/>
        <v>0</v>
      </c>
      <c r="AW907" s="13">
        <v>0</v>
      </c>
      <c r="AX907" s="13">
        <v>0</v>
      </c>
      <c r="AY907" s="13">
        <v>0</v>
      </c>
      <c r="AZ907" s="13">
        <v>0</v>
      </c>
      <c r="BA907">
        <v>0</v>
      </c>
      <c r="BB907" t="s">
        <v>2841</v>
      </c>
      <c r="BC907">
        <v>6</v>
      </c>
      <c r="BD907" t="s">
        <v>2919</v>
      </c>
      <c r="BE907">
        <v>0</v>
      </c>
      <c r="BF907" s="232" t="s">
        <v>2846</v>
      </c>
      <c r="BG907" s="232" t="s">
        <v>2846</v>
      </c>
      <c r="BH907" s="253">
        <v>36.4</v>
      </c>
      <c r="BI907" s="253">
        <v>15.997770345596432</v>
      </c>
      <c r="BJ907" s="25">
        <v>48.627327557379544</v>
      </c>
      <c r="BK907" t="s">
        <v>376</v>
      </c>
      <c r="BL907">
        <v>0.17240615686923888</v>
      </c>
      <c r="BM907" t="s">
        <v>377</v>
      </c>
      <c r="BN907" s="322">
        <v>7324.3975799999998</v>
      </c>
      <c r="BO907" s="322">
        <v>503.64437199999998</v>
      </c>
      <c r="BP907" s="10">
        <v>2021</v>
      </c>
      <c r="BQ907" s="254">
        <f t="shared" si="392"/>
        <v>3.6241452647204353</v>
      </c>
      <c r="BR907" s="254">
        <f t="shared" si="393"/>
        <v>0.2492055279564572</v>
      </c>
      <c r="BS907" s="25">
        <v>59.24720174720175</v>
      </c>
      <c r="BT907" s="25">
        <v>87.339188520534393</v>
      </c>
      <c r="BU907" s="25">
        <v>49.68152398871117</v>
      </c>
      <c r="BV907" s="25">
        <v>90.944236766740957</v>
      </c>
      <c r="BW907" s="25">
        <v>52.70342350010565</v>
      </c>
      <c r="BX907" s="25">
        <v>71.803037755797064</v>
      </c>
      <c r="BY907" s="25">
        <v>53.044338461031273</v>
      </c>
      <c r="BZ907">
        <v>21</v>
      </c>
      <c r="CA907">
        <v>0</v>
      </c>
      <c r="CB907">
        <v>7</v>
      </c>
      <c r="CC907">
        <v>12176.009910999999</v>
      </c>
      <c r="CD907" s="10">
        <v>9390.4855169999992</v>
      </c>
      <c r="CE907" s="255">
        <v>0.77122847185895327</v>
      </c>
      <c r="CF907" t="str">
        <f>IFERROR(VLOOKUP(CE907,'Rangos amb etnico'!$A$2:$C$6,3,9),"N.D.")</f>
        <v>71% - 100%</v>
      </c>
      <c r="CG907" s="256">
        <v>2.7320462267624984E-4</v>
      </c>
      <c r="CH907" s="232">
        <v>0</v>
      </c>
      <c r="CI907" s="311">
        <f t="shared" si="400"/>
        <v>0</v>
      </c>
      <c r="CJ907" s="232">
        <f>IFERROR(VLOOKUP(CI907,'Rangos amb etnico'!$A$2:$C$6,3,9),"N.D.")</f>
        <v>0</v>
      </c>
      <c r="CK907" s="311">
        <f t="shared" si="401"/>
        <v>0</v>
      </c>
      <c r="CL907" s="10">
        <v>0</v>
      </c>
      <c r="CM907" s="255">
        <f t="shared" si="402"/>
        <v>0</v>
      </c>
      <c r="CN907" s="232">
        <f>IFERROR(VLOOKUP(CM907,'Rangos amb etnico'!$A$2:$C$6,3,9),"N.D.")</f>
        <v>0</v>
      </c>
      <c r="CO907" s="311">
        <f t="shared" si="403"/>
        <v>0</v>
      </c>
      <c r="CP907">
        <v>0.99172093161051145</v>
      </c>
      <c r="CQ907" t="s">
        <v>2864</v>
      </c>
      <c r="CR907">
        <f t="shared" si="394"/>
        <v>2</v>
      </c>
      <c r="CS907" t="str">
        <f t="shared" si="404"/>
        <v>No es Candidato</v>
      </c>
      <c r="CT907">
        <v>0</v>
      </c>
      <c r="CU907">
        <v>0</v>
      </c>
      <c r="CV907" s="25">
        <v>53.433753967285163</v>
      </c>
      <c r="CW907" s="25">
        <v>17.866939544677731</v>
      </c>
      <c r="CX907" s="25">
        <v>50.268115997314453</v>
      </c>
      <c r="CY907" s="25">
        <v>59.636569976806641</v>
      </c>
      <c r="CZ907" s="25">
        <v>48.381515502929688</v>
      </c>
      <c r="DA907" s="25">
        <v>83.043037414550781</v>
      </c>
      <c r="DB907" s="25">
        <v>61.406341552734382</v>
      </c>
      <c r="DC907">
        <v>17</v>
      </c>
      <c r="DD907" s="253" t="s">
        <v>380</v>
      </c>
    </row>
    <row r="908" spans="1:108" hidden="1">
      <c r="A908" s="13">
        <v>86885</v>
      </c>
      <c r="B908" s="13" t="s">
        <v>2230</v>
      </c>
      <c r="C908" s="13" t="s">
        <v>943</v>
      </c>
      <c r="D908" s="13" t="s">
        <v>944</v>
      </c>
      <c r="E908" s="13" t="s">
        <v>2231</v>
      </c>
      <c r="F908" s="14">
        <v>53.487166666666702</v>
      </c>
      <c r="G908" s="13">
        <v>34.72</v>
      </c>
      <c r="H908" s="13">
        <v>49.98</v>
      </c>
      <c r="I908" s="13">
        <v>42.57</v>
      </c>
      <c r="J908" s="14">
        <v>46.735025945579117</v>
      </c>
      <c r="K908" s="14">
        <v>53.800785039395251</v>
      </c>
      <c r="L908" s="14">
        <v>58.475721224539235</v>
      </c>
      <c r="M908" s="14">
        <v>53.294600000000003</v>
      </c>
      <c r="N908" s="14">
        <f t="shared" si="378"/>
        <v>45.189291666666669</v>
      </c>
      <c r="O908" s="14">
        <f t="shared" si="379"/>
        <v>53.076533052378402</v>
      </c>
      <c r="P908" s="14">
        <f t="shared" si="395"/>
        <v>49.132912359522535</v>
      </c>
      <c r="Q908" s="14">
        <v>64.105891285662395</v>
      </c>
      <c r="R908" s="17">
        <f t="shared" si="380"/>
        <v>35.894108714337605</v>
      </c>
      <c r="S908" s="14">
        <f t="shared" si="396"/>
        <v>0.42304697842903849</v>
      </c>
      <c r="T908" s="13">
        <v>0</v>
      </c>
      <c r="U908" s="13">
        <f t="shared" si="397"/>
        <v>20.785530115114767</v>
      </c>
      <c r="V908" s="13">
        <f>IF($T908=1,$AU908,(VLOOKUP(U908,'Cortes naturales'!$A$35:$C$39,3,9)))</f>
        <v>5</v>
      </c>
      <c r="W908" s="13">
        <v>5</v>
      </c>
      <c r="X908" s="14" t="b">
        <f t="shared" si="381"/>
        <v>1</v>
      </c>
      <c r="Y908" s="17">
        <f>IF($T908=1,$AU908,VLOOKUP(U908,'Cortes naturales'!$A$45:$C$49,3,9))</f>
        <v>5</v>
      </c>
      <c r="Z908" s="14">
        <v>49.315367222799125</v>
      </c>
      <c r="AA908" s="14">
        <v>0.43173806552266192</v>
      </c>
      <c r="AB908" s="14">
        <v>21.291321245310982</v>
      </c>
      <c r="AC908" s="13">
        <v>4</v>
      </c>
      <c r="AD908" s="13">
        <f t="shared" si="382"/>
        <v>-1</v>
      </c>
      <c r="AE908" s="14">
        <f t="shared" si="383"/>
        <v>-0.18245486327658966</v>
      </c>
      <c r="AF908" s="14">
        <f t="shared" si="384"/>
        <v>-8.6910870936234286E-3</v>
      </c>
      <c r="AG908" s="13">
        <f t="shared" si="385"/>
        <v>-0.50579113019621502</v>
      </c>
      <c r="AH908" s="13">
        <f>IF($T908=1,$AU908,VLOOKUP(U908,'Cortes naturales'!$A$25:$C$29,3,9))</f>
        <v>4</v>
      </c>
      <c r="AI908" s="13" t="b">
        <f t="shared" si="386"/>
        <v>0</v>
      </c>
      <c r="AJ908" s="13" t="str">
        <f t="shared" si="387"/>
        <v>Cambio en corte</v>
      </c>
      <c r="AK908" s="28">
        <v>0.6523467210059386</v>
      </c>
      <c r="AL908" s="28">
        <v>32.170718102996751</v>
      </c>
      <c r="AM908" s="28">
        <v>0.23179576049325845</v>
      </c>
      <c r="AN908" s="13">
        <v>4</v>
      </c>
      <c r="AO908" s="33">
        <f t="shared" si="388"/>
        <v>-1</v>
      </c>
      <c r="AP908" s="13">
        <f t="shared" si="398"/>
        <v>23.179576049325846</v>
      </c>
      <c r="AQ908" s="13">
        <f>IFERROR(VLOOKUP(U908,'Cortes naturales'!$E$15:$G$19,3,9),U908)</f>
        <v>4</v>
      </c>
      <c r="AR908" s="28">
        <f t="shared" si="389"/>
        <v>-0.22929974257690011</v>
      </c>
      <c r="AS908" s="13" t="b">
        <f t="shared" si="390"/>
        <v>0</v>
      </c>
      <c r="AT908" s="13" t="str">
        <f t="shared" si="399"/>
        <v>Cambio en corte</v>
      </c>
      <c r="AU908" s="13">
        <v>4</v>
      </c>
      <c r="AV908">
        <f t="shared" si="391"/>
        <v>-1</v>
      </c>
      <c r="AW908" s="13">
        <v>0</v>
      </c>
      <c r="AX908" s="13">
        <v>0</v>
      </c>
      <c r="AY908" s="13">
        <v>0</v>
      </c>
      <c r="AZ908" s="13">
        <v>1</v>
      </c>
      <c r="BA908">
        <v>1</v>
      </c>
      <c r="BB908" t="s">
        <v>2840</v>
      </c>
      <c r="BC908">
        <v>6</v>
      </c>
      <c r="BD908" t="s">
        <v>2919</v>
      </c>
      <c r="BE908">
        <v>0</v>
      </c>
      <c r="BF908" s="232" t="s">
        <v>2846</v>
      </c>
      <c r="BG908" s="232" t="s">
        <v>2846</v>
      </c>
      <c r="BH908" s="253">
        <v>37.1</v>
      </c>
      <c r="BI908" s="253">
        <v>14.651681303180597</v>
      </c>
      <c r="BJ908" s="25">
        <v>0</v>
      </c>
      <c r="BK908" t="s">
        <v>381</v>
      </c>
      <c r="BL908">
        <v>14.944607280011098</v>
      </c>
      <c r="BM908" t="s">
        <v>376</v>
      </c>
      <c r="BN908" s="322">
        <v>59404.634678000002</v>
      </c>
      <c r="BO908" s="322">
        <v>10297.668931</v>
      </c>
      <c r="BP908" s="10">
        <v>25576</v>
      </c>
      <c r="BQ908" s="254">
        <f t="shared" si="392"/>
        <v>2.322671046215202</v>
      </c>
      <c r="BR908" s="254">
        <f t="shared" si="393"/>
        <v>0.40263015839067878</v>
      </c>
      <c r="BS908" s="25">
        <v>67.970258335205131</v>
      </c>
      <c r="BT908" s="25">
        <v>96.829709999999992</v>
      </c>
      <c r="BU908" s="25">
        <v>41.813333333333333</v>
      </c>
      <c r="BV908" s="25">
        <v>83.9625321423011</v>
      </c>
      <c r="BW908" s="25">
        <v>37.667904984867242</v>
      </c>
      <c r="BX908" s="25">
        <v>72.643958452709882</v>
      </c>
      <c r="BY908" s="25">
        <v>38.775420385379391</v>
      </c>
      <c r="BZ908">
        <v>81</v>
      </c>
      <c r="CA908">
        <v>0</v>
      </c>
      <c r="CB908">
        <v>6</v>
      </c>
      <c r="CC908">
        <v>139769.206374</v>
      </c>
      <c r="CD908" s="10">
        <v>5243.515813</v>
      </c>
      <c r="CE908" s="255">
        <v>3.7515529700935642E-2</v>
      </c>
      <c r="CF908" t="str">
        <f>IFERROR(VLOOKUP(CE908,'Rangos amb etnico'!$A$2:$C$6,3,9),"N.D.")</f>
        <v>0,1% - 30%</v>
      </c>
      <c r="CG908" s="256">
        <v>1.5255364129939847E-4</v>
      </c>
      <c r="CH908" s="232">
        <v>38155.142838</v>
      </c>
      <c r="CI908" s="311">
        <f t="shared" si="400"/>
        <v>0.27298676030185753</v>
      </c>
      <c r="CJ908" s="232" t="str">
        <f>IFERROR(VLOOKUP(CI908,'Rangos amb etnico'!$A$2:$C$6,3,9),"N.D.")</f>
        <v>0,1% - 30%</v>
      </c>
      <c r="CK908" s="311">
        <f t="shared" si="401"/>
        <v>1.5150089800382118E-3</v>
      </c>
      <c r="CL908" s="10">
        <v>0</v>
      </c>
      <c r="CM908" s="255">
        <f t="shared" si="402"/>
        <v>0</v>
      </c>
      <c r="CN908" s="232">
        <f>IFERROR(VLOOKUP(CM908,'Rangos amb etnico'!$A$2:$C$6,3,9),"N.D.")</f>
        <v>0</v>
      </c>
      <c r="CO908" s="311">
        <f t="shared" si="403"/>
        <v>0</v>
      </c>
      <c r="CP908">
        <v>0.9480842706570568</v>
      </c>
      <c r="CQ908" t="s">
        <v>2864</v>
      </c>
      <c r="CR908">
        <f t="shared" si="394"/>
        <v>1</v>
      </c>
      <c r="CS908" t="str">
        <f t="shared" si="404"/>
        <v>No es Candidato</v>
      </c>
      <c r="CT908">
        <v>0</v>
      </c>
      <c r="CU908">
        <v>0</v>
      </c>
      <c r="CV908" s="25">
        <v>42.513835906982422</v>
      </c>
      <c r="CW908" s="25">
        <v>34.319145202636719</v>
      </c>
      <c r="CX908" s="25">
        <v>38.893257141113281</v>
      </c>
      <c r="CY908" s="25">
        <v>72.749168395996094</v>
      </c>
      <c r="CZ908" s="25">
        <v>13.32821464538574</v>
      </c>
      <c r="DA908" s="25">
        <v>32.840248107910163</v>
      </c>
      <c r="DB908" s="25">
        <v>62.952987670898438</v>
      </c>
      <c r="DC908">
        <v>4775</v>
      </c>
      <c r="DD908" s="253" t="s">
        <v>380</v>
      </c>
    </row>
    <row r="909" spans="1:108" hidden="1">
      <c r="A909" s="13">
        <v>68092</v>
      </c>
      <c r="B909" s="13" t="s">
        <v>2232</v>
      </c>
      <c r="C909" s="13" t="s">
        <v>431</v>
      </c>
      <c r="D909" s="13" t="s">
        <v>432</v>
      </c>
      <c r="E909" s="13" t="s">
        <v>1359</v>
      </c>
      <c r="F909" s="14">
        <v>52.111033333333303</v>
      </c>
      <c r="G909" s="13">
        <v>58.1</v>
      </c>
      <c r="H909" s="13">
        <v>60.34</v>
      </c>
      <c r="I909" s="13">
        <v>61.04</v>
      </c>
      <c r="J909" s="14">
        <v>64.408818202374874</v>
      </c>
      <c r="K909" s="14">
        <v>68.166577492901595</v>
      </c>
      <c r="L909" s="14">
        <v>63.361538257208245</v>
      </c>
      <c r="M909" s="14">
        <v>71.628299999999996</v>
      </c>
      <c r="N909" s="14">
        <f t="shared" si="378"/>
        <v>57.897758333333321</v>
      </c>
      <c r="O909" s="14">
        <f t="shared" si="379"/>
        <v>66.891308488121183</v>
      </c>
      <c r="P909" s="14">
        <f t="shared" si="395"/>
        <v>62.394533410727249</v>
      </c>
      <c r="Q909" s="14">
        <v>63.137884830667666</v>
      </c>
      <c r="R909" s="17">
        <f t="shared" si="380"/>
        <v>36.862115169332334</v>
      </c>
      <c r="S909" s="14">
        <f t="shared" si="396"/>
        <v>0.43175903652399106</v>
      </c>
      <c r="T909" s="13">
        <v>0</v>
      </c>
      <c r="U909" s="13">
        <f t="shared" si="397"/>
        <v>26.939403629779566</v>
      </c>
      <c r="V909" s="13">
        <f>IF($T909=1,$AU909,(VLOOKUP(U909,'Cortes naturales'!$A$35:$C$39,3,9)))</f>
        <v>4</v>
      </c>
      <c r="W909" s="13">
        <v>4</v>
      </c>
      <c r="X909" s="14" t="b">
        <f t="shared" si="381"/>
        <v>1</v>
      </c>
      <c r="Y909" s="17">
        <f>IF($T909=1,$AU909,VLOOKUP(U909,'Cortes naturales'!$A$45:$C$49,3,9))</f>
        <v>4</v>
      </c>
      <c r="Z909" s="14">
        <v>59.569538656447776</v>
      </c>
      <c r="AA909" s="14">
        <v>0.43136884495084094</v>
      </c>
      <c r="AB909" s="14">
        <v>25.696443084486347</v>
      </c>
      <c r="AC909" s="13">
        <v>4</v>
      </c>
      <c r="AD909" s="13">
        <f t="shared" si="382"/>
        <v>0</v>
      </c>
      <c r="AE909" s="14">
        <f t="shared" si="383"/>
        <v>2.8249947542794729</v>
      </c>
      <c r="AF909" s="14">
        <f t="shared" si="384"/>
        <v>3.9019157315012265E-4</v>
      </c>
      <c r="AG909" s="13">
        <f t="shared" si="385"/>
        <v>1.2429605452932186</v>
      </c>
      <c r="AH909" s="13">
        <f>IF($T909=1,$AU909,VLOOKUP(U909,'Cortes naturales'!$A$25:$C$29,3,9))</f>
        <v>4</v>
      </c>
      <c r="AI909" s="13" t="b">
        <f t="shared" si="386"/>
        <v>1</v>
      </c>
      <c r="AJ909" s="13">
        <f t="shared" si="387"/>
        <v>0</v>
      </c>
      <c r="AK909" s="28">
        <v>0.6523467210059386</v>
      </c>
      <c r="AL909" s="28">
        <v>38.859993214370213</v>
      </c>
      <c r="AM909" s="28">
        <v>0.31547154097593727</v>
      </c>
      <c r="AN909" s="13">
        <v>4</v>
      </c>
      <c r="AO909" s="33">
        <f t="shared" si="388"/>
        <v>0</v>
      </c>
      <c r="AP909" s="13">
        <f t="shared" si="398"/>
        <v>31.547154097593726</v>
      </c>
      <c r="AQ909" s="13">
        <f>IFERROR(VLOOKUP(U909,'Cortes naturales'!$E$15:$G$19,3,9),U909)</f>
        <v>4</v>
      </c>
      <c r="AR909" s="28">
        <f t="shared" si="389"/>
        <v>-0.22058768448194754</v>
      </c>
      <c r="AS909" s="13" t="b">
        <f t="shared" si="390"/>
        <v>1</v>
      </c>
      <c r="AT909" s="13">
        <f t="shared" si="399"/>
        <v>0</v>
      </c>
      <c r="AU909" s="13">
        <v>4</v>
      </c>
      <c r="AV909">
        <f t="shared" si="391"/>
        <v>0</v>
      </c>
      <c r="AW909" s="13">
        <v>0</v>
      </c>
      <c r="AX909" s="13">
        <v>0</v>
      </c>
      <c r="AY909" s="13">
        <v>0</v>
      </c>
      <c r="AZ909" s="13">
        <v>0</v>
      </c>
      <c r="BA909">
        <v>0</v>
      </c>
      <c r="BB909" t="s">
        <v>2841</v>
      </c>
      <c r="BC909">
        <v>6</v>
      </c>
      <c r="BD909" t="s">
        <v>2919</v>
      </c>
      <c r="BE909">
        <v>0</v>
      </c>
      <c r="BF909" s="232" t="s">
        <v>2846</v>
      </c>
      <c r="BG909" s="232" t="s">
        <v>2845</v>
      </c>
      <c r="BH909" s="253">
        <v>43.9</v>
      </c>
      <c r="BI909" s="253">
        <v>21.581485053037607</v>
      </c>
      <c r="BJ909" s="25">
        <v>0</v>
      </c>
      <c r="BK909" t="s">
        <v>381</v>
      </c>
      <c r="BL909">
        <v>0.1479306152915833</v>
      </c>
      <c r="BM909" t="s">
        <v>377</v>
      </c>
      <c r="BN909" s="322">
        <v>25122.542696</v>
      </c>
      <c r="BO909" s="322">
        <v>5906.564394</v>
      </c>
      <c r="BP909" s="10">
        <v>6747</v>
      </c>
      <c r="BQ909" s="254">
        <f t="shared" si="392"/>
        <v>3.7235130718838003</v>
      </c>
      <c r="BR909" s="254">
        <f t="shared" si="393"/>
        <v>0.87543565940417967</v>
      </c>
      <c r="BS909" s="25">
        <v>62.145923941556759</v>
      </c>
      <c r="BT909" s="25">
        <v>78.045200065214161</v>
      </c>
      <c r="BU909" s="25">
        <v>50.45</v>
      </c>
      <c r="BV909" s="25">
        <v>98.898673774817667</v>
      </c>
      <c r="BW909" s="25">
        <v>64.713256992170372</v>
      </c>
      <c r="BX909" s="25">
        <v>72.38494944539714</v>
      </c>
      <c r="BY909" s="25">
        <v>66.924103530009987</v>
      </c>
      <c r="BZ909">
        <v>95</v>
      </c>
      <c r="CA909">
        <v>0</v>
      </c>
      <c r="CB909">
        <v>7</v>
      </c>
      <c r="CC909">
        <v>43051.655965999998</v>
      </c>
      <c r="CD909" s="10">
        <v>42935.193708999999</v>
      </c>
      <c r="CE909" s="255">
        <v>0.9972948251493049</v>
      </c>
      <c r="CF909" t="str">
        <f>IFERROR(VLOOKUP(CE909,'Rangos amb etnico'!$A$2:$C$6,3,9),"N.D.")</f>
        <v>71% - 100%</v>
      </c>
      <c r="CG909" s="256">
        <v>1.2491466363015573E-3</v>
      </c>
      <c r="CH909" s="232">
        <v>0</v>
      </c>
      <c r="CI909" s="311">
        <f t="shared" si="400"/>
        <v>0</v>
      </c>
      <c r="CJ909" s="232">
        <f>IFERROR(VLOOKUP(CI909,'Rangos amb etnico'!$A$2:$C$6,3,9),"N.D.")</f>
        <v>0</v>
      </c>
      <c r="CK909" s="311">
        <f t="shared" si="401"/>
        <v>0</v>
      </c>
      <c r="CL909" s="10">
        <v>0</v>
      </c>
      <c r="CM909" s="255">
        <f t="shared" si="402"/>
        <v>0</v>
      </c>
      <c r="CN909" s="232">
        <f>IFERROR(VLOOKUP(CM909,'Rangos amb etnico'!$A$2:$C$6,3,9),"N.D.")</f>
        <v>0</v>
      </c>
      <c r="CO909" s="311">
        <f t="shared" si="403"/>
        <v>0</v>
      </c>
      <c r="CP909">
        <v>0.92090671400131674</v>
      </c>
      <c r="CQ909" t="s">
        <v>2864</v>
      </c>
      <c r="CR909">
        <f t="shared" si="394"/>
        <v>4</v>
      </c>
      <c r="CS909" t="str">
        <f t="shared" si="404"/>
        <v>Candidato</v>
      </c>
      <c r="CT909">
        <v>0</v>
      </c>
      <c r="CU909">
        <v>0</v>
      </c>
      <c r="CV909" s="25">
        <v>59.755390167236328</v>
      </c>
      <c r="CW909" s="25">
        <v>23.48055458068848</v>
      </c>
      <c r="CX909" s="25">
        <v>58.106845855712891</v>
      </c>
      <c r="CY909" s="25">
        <v>76.768524169921875</v>
      </c>
      <c r="CZ909" s="25">
        <v>42.963031768798828</v>
      </c>
      <c r="DA909" s="25">
        <v>77.562873840332031</v>
      </c>
      <c r="DB909" s="25">
        <v>79.6505126953125</v>
      </c>
      <c r="DC909">
        <v>60</v>
      </c>
      <c r="DD909" s="253" t="s">
        <v>380</v>
      </c>
    </row>
    <row r="910" spans="1:108" hidden="1">
      <c r="A910" s="13">
        <v>68162</v>
      </c>
      <c r="B910" s="13" t="s">
        <v>2233</v>
      </c>
      <c r="C910" s="13" t="s">
        <v>431</v>
      </c>
      <c r="D910" s="13" t="s">
        <v>432</v>
      </c>
      <c r="E910" s="13" t="s">
        <v>2234</v>
      </c>
      <c r="F910" s="14">
        <v>60.0636333333333</v>
      </c>
      <c r="G910" s="13">
        <v>43.06</v>
      </c>
      <c r="H910" s="13">
        <v>47.17</v>
      </c>
      <c r="I910" s="13">
        <v>65.47</v>
      </c>
      <c r="J910" s="14">
        <v>55.999041132204482</v>
      </c>
      <c r="K910" s="14">
        <v>56.757117351652788</v>
      </c>
      <c r="L910" s="14">
        <v>64.218517885636089</v>
      </c>
      <c r="M910" s="14">
        <v>52.976199999999999</v>
      </c>
      <c r="N910" s="14">
        <f t="shared" si="378"/>
        <v>53.940908333333326</v>
      </c>
      <c r="O910" s="14">
        <f t="shared" si="379"/>
        <v>57.487719092373339</v>
      </c>
      <c r="P910" s="14">
        <f t="shared" si="395"/>
        <v>55.714313712853333</v>
      </c>
      <c r="Q910" s="14">
        <v>63.531538445371652</v>
      </c>
      <c r="R910" s="17">
        <f t="shared" si="380"/>
        <v>36.468461554628348</v>
      </c>
      <c r="S910" s="14">
        <f t="shared" si="396"/>
        <v>0.42821615399165514</v>
      </c>
      <c r="T910" s="13">
        <v>0</v>
      </c>
      <c r="U910" s="13">
        <f t="shared" si="397"/>
        <v>23.857769140402585</v>
      </c>
      <c r="V910" s="13">
        <f>IF($T910=1,$AU910,(VLOOKUP(U910,'Cortes naturales'!$A$35:$C$39,3,9)))</f>
        <v>4</v>
      </c>
      <c r="W910" s="13">
        <v>4</v>
      </c>
      <c r="X910" s="14" t="b">
        <f t="shared" si="381"/>
        <v>1</v>
      </c>
      <c r="Y910" s="17">
        <f>IF($T910=1,$AU910,VLOOKUP(U910,'Cortes naturales'!$A$45:$C$49,3,9))</f>
        <v>4</v>
      </c>
      <c r="Z910" s="14">
        <v>55.043814216607771</v>
      </c>
      <c r="AA910" s="14">
        <v>0.43122985730693897</v>
      </c>
      <c r="AB910" s="14">
        <v>23.736536150257429</v>
      </c>
      <c r="AC910" s="13">
        <v>4</v>
      </c>
      <c r="AD910" s="13">
        <f t="shared" si="382"/>
        <v>0</v>
      </c>
      <c r="AE910" s="14">
        <f t="shared" si="383"/>
        <v>0.67049949624556149</v>
      </c>
      <c r="AF910" s="14">
        <f t="shared" si="384"/>
        <v>-3.0137033152838333E-3</v>
      </c>
      <c r="AG910" s="13">
        <f t="shared" si="385"/>
        <v>0.12123299014515609</v>
      </c>
      <c r="AH910" s="13">
        <f>IF($T910=1,$AU910,VLOOKUP(U910,'Cortes naturales'!$A$25:$C$29,3,9))</f>
        <v>4</v>
      </c>
      <c r="AI910" s="13" t="b">
        <f t="shared" si="386"/>
        <v>1</v>
      </c>
      <c r="AJ910" s="13">
        <f t="shared" si="387"/>
        <v>0</v>
      </c>
      <c r="AK910" s="28">
        <v>0.6523467210059386</v>
      </c>
      <c r="AL910" s="28">
        <v>35.907651715864148</v>
      </c>
      <c r="AM910" s="28">
        <v>0.27854086089090579</v>
      </c>
      <c r="AN910" s="13">
        <v>4</v>
      </c>
      <c r="AO910" s="33">
        <f t="shared" si="388"/>
        <v>0</v>
      </c>
      <c r="AP910" s="13">
        <f t="shared" si="398"/>
        <v>27.854086089090579</v>
      </c>
      <c r="AQ910" s="13">
        <f>IFERROR(VLOOKUP(U910,'Cortes naturales'!$E$15:$G$19,3,9),U910)</f>
        <v>4</v>
      </c>
      <c r="AR910" s="28">
        <f t="shared" si="389"/>
        <v>-0.22413056701428347</v>
      </c>
      <c r="AS910" s="13" t="b">
        <f t="shared" si="390"/>
        <v>1</v>
      </c>
      <c r="AT910" s="13">
        <f t="shared" si="399"/>
        <v>0</v>
      </c>
      <c r="AU910" s="13">
        <v>4</v>
      </c>
      <c r="AV910">
        <f t="shared" si="391"/>
        <v>0</v>
      </c>
      <c r="AW910" s="13">
        <v>0</v>
      </c>
      <c r="AX910" s="13">
        <v>0</v>
      </c>
      <c r="AY910" s="13">
        <v>0</v>
      </c>
      <c r="AZ910" s="13">
        <v>0</v>
      </c>
      <c r="BA910">
        <v>0</v>
      </c>
      <c r="BB910" t="s">
        <v>2840</v>
      </c>
      <c r="BC910">
        <v>6</v>
      </c>
      <c r="BD910" t="s">
        <v>2919</v>
      </c>
      <c r="BE910">
        <v>0</v>
      </c>
      <c r="BF910" s="232" t="s">
        <v>2846</v>
      </c>
      <c r="BG910" s="232" t="s">
        <v>2845</v>
      </c>
      <c r="BH910" s="253">
        <v>41.9</v>
      </c>
      <c r="BI910" s="253">
        <v>16.05263157894737</v>
      </c>
      <c r="BJ910" s="25">
        <v>10.35</v>
      </c>
      <c r="BK910" t="s">
        <v>377</v>
      </c>
      <c r="BL910">
        <v>0.15687934919877167</v>
      </c>
      <c r="BM910" t="s">
        <v>377</v>
      </c>
      <c r="BN910" s="322">
        <v>16319.288042</v>
      </c>
      <c r="BO910" s="322">
        <v>1275.262772</v>
      </c>
      <c r="BP910" s="10">
        <v>7482</v>
      </c>
      <c r="BQ910" s="254">
        <f t="shared" si="392"/>
        <v>2.1811398078053998</v>
      </c>
      <c r="BR910" s="254">
        <f t="shared" si="393"/>
        <v>0.17044410211173483</v>
      </c>
      <c r="BS910" s="25">
        <v>67.756260079789499</v>
      </c>
      <c r="BT910" s="25">
        <v>90.150228323086523</v>
      </c>
      <c r="BU910" s="25">
        <v>43.419999999999987</v>
      </c>
      <c r="BV910" s="25">
        <v>93.817061512657503</v>
      </c>
      <c r="BW910" s="25">
        <v>52.40428852250831</v>
      </c>
      <c r="BX910" s="25">
        <v>73.785887478883382</v>
      </c>
      <c r="BY910" s="25">
        <v>52.98400829232633</v>
      </c>
      <c r="BZ910">
        <v>58</v>
      </c>
      <c r="CA910">
        <v>0</v>
      </c>
      <c r="CB910">
        <v>7</v>
      </c>
      <c r="CC910">
        <v>42006.462991</v>
      </c>
      <c r="CD910" s="10">
        <v>37493.724891999998</v>
      </c>
      <c r="CE910" s="255">
        <v>0.8925703861339892</v>
      </c>
      <c r="CF910" t="str">
        <f>IFERROR(VLOOKUP(CE910,'Rangos amb etnico'!$A$2:$C$6,3,9),"N.D.")</f>
        <v>71% - 100%</v>
      </c>
      <c r="CG910" s="256">
        <v>1.090833795899243E-3</v>
      </c>
      <c r="CH910" s="232">
        <v>0</v>
      </c>
      <c r="CI910" s="311">
        <f t="shared" si="400"/>
        <v>0</v>
      </c>
      <c r="CJ910" s="232">
        <f>IFERROR(VLOOKUP(CI910,'Rangos amb etnico'!$A$2:$C$6,3,9),"N.D.")</f>
        <v>0</v>
      </c>
      <c r="CK910" s="311">
        <f t="shared" si="401"/>
        <v>0</v>
      </c>
      <c r="CL910" s="10">
        <v>0</v>
      </c>
      <c r="CM910" s="255">
        <f t="shared" si="402"/>
        <v>0</v>
      </c>
      <c r="CN910" s="232">
        <f>IFERROR(VLOOKUP(CM910,'Rangos amb etnico'!$A$2:$C$6,3,9),"N.D.")</f>
        <v>0</v>
      </c>
      <c r="CO910" s="311">
        <f t="shared" si="403"/>
        <v>0</v>
      </c>
      <c r="CP910">
        <v>0.93362689994408732</v>
      </c>
      <c r="CQ910" t="s">
        <v>2864</v>
      </c>
      <c r="CR910">
        <f t="shared" si="394"/>
        <v>2</v>
      </c>
      <c r="CS910" t="str">
        <f t="shared" si="404"/>
        <v>No es Candidato</v>
      </c>
      <c r="CT910">
        <v>0</v>
      </c>
      <c r="CU910">
        <v>0</v>
      </c>
      <c r="CV910" s="25">
        <v>51.218997955322273</v>
      </c>
      <c r="CW910" s="25">
        <v>22.458835601806641</v>
      </c>
      <c r="CX910" s="25">
        <v>55.568763732910163</v>
      </c>
      <c r="CY910" s="25">
        <v>62.882068634033203</v>
      </c>
      <c r="CZ910" s="25">
        <v>26.265396118164059</v>
      </c>
      <c r="DA910" s="25">
        <v>71.658676147460938</v>
      </c>
      <c r="DB910" s="25">
        <v>68.480247497558594</v>
      </c>
      <c r="DC910">
        <v>121</v>
      </c>
      <c r="DD910" s="253" t="s">
        <v>380</v>
      </c>
    </row>
    <row r="911" spans="1:108">
      <c r="A911" s="13">
        <v>5480</v>
      </c>
      <c r="B911" s="13" t="s">
        <v>2235</v>
      </c>
      <c r="C911" s="13" t="s">
        <v>435</v>
      </c>
      <c r="D911" s="13" t="s">
        <v>436</v>
      </c>
      <c r="E911" s="13" t="s">
        <v>2236</v>
      </c>
      <c r="F911" s="14">
        <v>56.657533333333298</v>
      </c>
      <c r="G911" s="13">
        <v>44.09</v>
      </c>
      <c r="H911" s="13">
        <v>37.18</v>
      </c>
      <c r="I911" s="13">
        <v>43.32</v>
      </c>
      <c r="J911" s="14">
        <v>62.383118996516146</v>
      </c>
      <c r="K911" s="14">
        <v>57.879293544746133</v>
      </c>
      <c r="L911" s="14">
        <v>55.82494631056953</v>
      </c>
      <c r="M911" s="14">
        <v>57.946199999999997</v>
      </c>
      <c r="N911" s="14">
        <f t="shared" si="378"/>
        <v>45.311883333333327</v>
      </c>
      <c r="O911" s="14">
        <f t="shared" si="379"/>
        <v>58.508389712957957</v>
      </c>
      <c r="P911" s="14">
        <f t="shared" si="395"/>
        <v>51.910136523145638</v>
      </c>
      <c r="Q911" s="14">
        <v>64.30846307649918</v>
      </c>
      <c r="R911" s="17">
        <f t="shared" si="380"/>
        <v>35.69153692350082</v>
      </c>
      <c r="S911" s="14">
        <f t="shared" si="396"/>
        <v>0.4212238323115074</v>
      </c>
      <c r="T911" s="13">
        <v>0</v>
      </c>
      <c r="U911" s="13">
        <f t="shared" si="397"/>
        <v>21.865786642092953</v>
      </c>
      <c r="V911" s="13">
        <f>IF($T911=1,$AU911,(VLOOKUP(U911,'Cortes naturales'!$A$35:$C$39,3,9)))</f>
        <v>4</v>
      </c>
      <c r="W911" s="13">
        <v>4</v>
      </c>
      <c r="X911" s="14" t="b">
        <f t="shared" si="381"/>
        <v>1</v>
      </c>
      <c r="Y911" s="17">
        <f>IF($T911=1,$AU911,VLOOKUP(U911,'Cortes naturales'!$A$45:$C$49,3,9))</f>
        <v>4</v>
      </c>
      <c r="Z911" s="14">
        <v>52.574415639601142</v>
      </c>
      <c r="AA911" s="14">
        <v>0.43039838638748618</v>
      </c>
      <c r="AB911" s="14">
        <v>22.627943656549348</v>
      </c>
      <c r="AC911" s="13">
        <v>4</v>
      </c>
      <c r="AD911" s="13">
        <f t="shared" si="382"/>
        <v>0</v>
      </c>
      <c r="AE911" s="14">
        <f t="shared" si="383"/>
        <v>-0.66427911645550353</v>
      </c>
      <c r="AF911" s="14">
        <f t="shared" si="384"/>
        <v>-9.1745540759787803E-3</v>
      </c>
      <c r="AG911" s="13">
        <f t="shared" si="385"/>
        <v>-0.76215701445639539</v>
      </c>
      <c r="AH911" s="13">
        <f>IF($T911=1,$AU911,VLOOKUP(U911,'Cortes naturales'!$A$25:$C$29,3,9))</f>
        <v>4</v>
      </c>
      <c r="AI911" s="13" t="b">
        <f t="shared" si="386"/>
        <v>1</v>
      </c>
      <c r="AJ911" s="13">
        <f t="shared" si="387"/>
        <v>0</v>
      </c>
      <c r="AK911" s="28">
        <v>0.6523467210059386</v>
      </c>
      <c r="AL911" s="28">
        <v>34.296747651297139</v>
      </c>
      <c r="AM911" s="28">
        <v>0.25839014909611346</v>
      </c>
      <c r="AN911" s="13">
        <v>4</v>
      </c>
      <c r="AO911" s="33">
        <f t="shared" si="388"/>
        <v>0</v>
      </c>
      <c r="AP911" s="13">
        <f t="shared" si="398"/>
        <v>25.839014909611347</v>
      </c>
      <c r="AQ911" s="13">
        <f>IFERROR(VLOOKUP(U911,'Cortes naturales'!$E$15:$G$19,3,9),U911)</f>
        <v>4</v>
      </c>
      <c r="AR911" s="28">
        <f t="shared" si="389"/>
        <v>-0.23112288869443121</v>
      </c>
      <c r="AS911" s="13" t="b">
        <f t="shared" si="390"/>
        <v>1</v>
      </c>
      <c r="AT911" s="13">
        <f t="shared" si="399"/>
        <v>0</v>
      </c>
      <c r="AU911" s="13">
        <v>4</v>
      </c>
      <c r="AV911">
        <f t="shared" si="391"/>
        <v>0</v>
      </c>
      <c r="AW911" s="13">
        <v>0</v>
      </c>
      <c r="AX911" s="13">
        <v>0</v>
      </c>
      <c r="AY911" s="13">
        <v>0</v>
      </c>
      <c r="AZ911" s="13">
        <v>1</v>
      </c>
      <c r="BA911">
        <v>1</v>
      </c>
      <c r="BB911" t="s">
        <v>2840</v>
      </c>
      <c r="BC911">
        <v>6</v>
      </c>
      <c r="BD911" t="s">
        <v>2919</v>
      </c>
      <c r="BE911">
        <v>0</v>
      </c>
      <c r="BF911" s="232" t="s">
        <v>2846</v>
      </c>
      <c r="BG911" s="232" t="s">
        <v>2845</v>
      </c>
      <c r="BH911" s="253">
        <v>57.8</v>
      </c>
      <c r="BI911" s="253">
        <v>43.366132359942867</v>
      </c>
      <c r="BJ911" s="25">
        <v>27.828357362233223</v>
      </c>
      <c r="BK911" t="s">
        <v>379</v>
      </c>
      <c r="BL911">
        <v>28.3147603670024</v>
      </c>
      <c r="BM911" t="s">
        <v>384</v>
      </c>
      <c r="BN911" s="322">
        <v>56249.950336000002</v>
      </c>
      <c r="BO911" s="322">
        <v>4931.617663</v>
      </c>
      <c r="BP911" s="10">
        <v>13872</v>
      </c>
      <c r="BQ911" s="254">
        <f t="shared" si="392"/>
        <v>4.0549272156862743</v>
      </c>
      <c r="BR911" s="254">
        <f t="shared" si="393"/>
        <v>0.35550877040080736</v>
      </c>
      <c r="BS911" s="25">
        <v>69.126266211450272</v>
      </c>
      <c r="BT911" s="25">
        <v>96.848158974358967</v>
      </c>
      <c r="BU911" s="25">
        <v>44.693333333333342</v>
      </c>
      <c r="BV911" s="25">
        <v>83.82259722827466</v>
      </c>
      <c r="BW911" s="25">
        <v>56.381160702580956</v>
      </c>
      <c r="BX911" s="25">
        <v>73.622588936854314</v>
      </c>
      <c r="BY911" s="25">
        <v>57.860161722030902</v>
      </c>
      <c r="BZ911">
        <v>35</v>
      </c>
      <c r="CA911">
        <v>0</v>
      </c>
      <c r="CB911">
        <v>7</v>
      </c>
      <c r="CC911">
        <v>107502.160766</v>
      </c>
      <c r="CD911" s="10">
        <v>13919.991464999999</v>
      </c>
      <c r="CE911" s="255">
        <v>0.1294856900160328</v>
      </c>
      <c r="CF911" t="str">
        <f>IFERROR(VLOOKUP(CE911,'Rangos amb etnico'!$A$2:$C$6,3,9),"N.D.")</f>
        <v>0,1% - 30%</v>
      </c>
      <c r="CG911" s="256">
        <v>4.0498502542463832E-4</v>
      </c>
      <c r="CH911" s="232">
        <v>40371.003438</v>
      </c>
      <c r="CI911" s="311">
        <f t="shared" si="400"/>
        <v>0.37553666968495247</v>
      </c>
      <c r="CJ911" s="232" t="str">
        <f>IFERROR(VLOOKUP(CI911,'Rangos amb etnico'!$A$2:$C$6,3,9),"N.D.")</f>
        <v>31% - 50%</v>
      </c>
      <c r="CK911" s="311">
        <f t="shared" si="401"/>
        <v>1.6029931535418021E-3</v>
      </c>
      <c r="CL911" s="10">
        <v>0</v>
      </c>
      <c r="CM911" s="255">
        <f t="shared" si="402"/>
        <v>0</v>
      </c>
      <c r="CN911" s="232">
        <f>IFERROR(VLOOKUP(CM911,'Rangos amb etnico'!$A$2:$C$6,3,9),"N.D.")</f>
        <v>0</v>
      </c>
      <c r="CO911" s="311">
        <f t="shared" si="403"/>
        <v>0</v>
      </c>
      <c r="CP911">
        <v>0.91427586687538343</v>
      </c>
      <c r="CQ911" t="s">
        <v>2864</v>
      </c>
      <c r="CR911">
        <f t="shared" si="394"/>
        <v>1</v>
      </c>
      <c r="CS911" t="str">
        <f t="shared" si="404"/>
        <v>No es Candidato</v>
      </c>
      <c r="CT911">
        <v>0</v>
      </c>
      <c r="CU911">
        <v>0</v>
      </c>
      <c r="CV911" s="25">
        <v>37.582050323486328</v>
      </c>
      <c r="CW911" s="25">
        <v>25.986166000366211</v>
      </c>
      <c r="CX911" s="25">
        <v>46.988327026367188</v>
      </c>
      <c r="CY911" s="25">
        <v>38.454631805419922</v>
      </c>
      <c r="CZ911" s="25">
        <v>20.135322570800781</v>
      </c>
      <c r="DA911" s="25">
        <v>60.107921600341797</v>
      </c>
      <c r="DB911" s="25">
        <v>33.819942474365227</v>
      </c>
      <c r="DC911">
        <v>4261</v>
      </c>
      <c r="DD911" s="253" t="s">
        <v>380</v>
      </c>
    </row>
    <row r="912" spans="1:108" hidden="1">
      <c r="A912" s="13">
        <v>25839</v>
      </c>
      <c r="B912" s="13" t="s">
        <v>2237</v>
      </c>
      <c r="C912" s="13" t="s">
        <v>461</v>
      </c>
      <c r="D912" s="13" t="s">
        <v>462</v>
      </c>
      <c r="E912" s="13" t="s">
        <v>2238</v>
      </c>
      <c r="F912" s="14">
        <v>53.346533333333298</v>
      </c>
      <c r="G912" s="13">
        <v>69.03</v>
      </c>
      <c r="H912" s="13">
        <v>43.54</v>
      </c>
      <c r="I912" s="13">
        <v>56.29</v>
      </c>
      <c r="J912" s="14">
        <v>54.437670246614289</v>
      </c>
      <c r="K912" s="14">
        <v>61.211672995248584</v>
      </c>
      <c r="L912" s="14">
        <v>56.948972835779074</v>
      </c>
      <c r="M912" s="14">
        <v>63.120199999999997</v>
      </c>
      <c r="N912" s="14">
        <f t="shared" si="378"/>
        <v>55.551633333333321</v>
      </c>
      <c r="O912" s="14">
        <f t="shared" si="379"/>
        <v>58.929629019410484</v>
      </c>
      <c r="P912" s="14">
        <f t="shared" si="395"/>
        <v>57.240631176371906</v>
      </c>
      <c r="Q912" s="14">
        <v>64.827610869123504</v>
      </c>
      <c r="R912" s="17">
        <f t="shared" si="380"/>
        <v>35.172389130876496</v>
      </c>
      <c r="S912" s="14">
        <f t="shared" si="396"/>
        <v>0.4165515021778885</v>
      </c>
      <c r="T912" s="13">
        <v>0</v>
      </c>
      <c r="U912" s="13">
        <f t="shared" si="397"/>
        <v>23.843670902128196</v>
      </c>
      <c r="V912" s="13">
        <f>IF($T912=1,$AU912,(VLOOKUP(U912,'Cortes naturales'!$A$35:$C$39,3,9)))</f>
        <v>4</v>
      </c>
      <c r="W912" s="13">
        <v>4</v>
      </c>
      <c r="X912" s="14" t="b">
        <f t="shared" si="381"/>
        <v>1</v>
      </c>
      <c r="Y912" s="17">
        <f>IF($T912=1,$AU912,VLOOKUP(U912,'Cortes naturales'!$A$45:$C$49,3,9))</f>
        <v>4</v>
      </c>
      <c r="Z912" s="14">
        <v>54.430299685884449</v>
      </c>
      <c r="AA912" s="14">
        <v>0.42907719317351478</v>
      </c>
      <c r="AB912" s="14">
        <v>23.354800212812542</v>
      </c>
      <c r="AC912" s="13">
        <v>4</v>
      </c>
      <c r="AD912" s="13">
        <f t="shared" si="382"/>
        <v>0</v>
      </c>
      <c r="AE912" s="14">
        <f t="shared" si="383"/>
        <v>2.8103314904874566</v>
      </c>
      <c r="AF912" s="14">
        <f t="shared" si="384"/>
        <v>-1.2525690995626282E-2</v>
      </c>
      <c r="AG912" s="13">
        <f t="shared" si="385"/>
        <v>0.48887068931565381</v>
      </c>
      <c r="AH912" s="13">
        <f>IF($T912=1,$AU912,VLOOKUP(U912,'Cortes naturales'!$A$25:$C$29,3,9))</f>
        <v>4</v>
      </c>
      <c r="AI912" s="13" t="b">
        <f t="shared" si="386"/>
        <v>1</v>
      </c>
      <c r="AJ912" s="13">
        <f t="shared" si="387"/>
        <v>0</v>
      </c>
      <c r="AK912" s="28">
        <v>0.6523467210059386</v>
      </c>
      <c r="AL912" s="28">
        <v>35.507427523457288</v>
      </c>
      <c r="AM912" s="28">
        <v>0.2735344781199604</v>
      </c>
      <c r="AN912" s="13">
        <v>4</v>
      </c>
      <c r="AO912" s="33">
        <f t="shared" si="388"/>
        <v>0</v>
      </c>
      <c r="AP912" s="13">
        <f t="shared" si="398"/>
        <v>27.353447811996041</v>
      </c>
      <c r="AQ912" s="13">
        <f>IFERROR(VLOOKUP(U912,'Cortes naturales'!$E$15:$G$19,3,9),U912)</f>
        <v>4</v>
      </c>
      <c r="AR912" s="28">
        <f t="shared" si="389"/>
        <v>-0.2357952188280501</v>
      </c>
      <c r="AS912" s="13" t="b">
        <f t="shared" si="390"/>
        <v>1</v>
      </c>
      <c r="AT912" s="13">
        <f t="shared" si="399"/>
        <v>0</v>
      </c>
      <c r="AU912" s="13">
        <v>4</v>
      </c>
      <c r="AV912">
        <f t="shared" si="391"/>
        <v>0</v>
      </c>
      <c r="AW912" s="13">
        <v>0</v>
      </c>
      <c r="AX912" s="13">
        <v>0</v>
      </c>
      <c r="AY912" s="13">
        <v>0</v>
      </c>
      <c r="AZ912" s="13">
        <v>0</v>
      </c>
      <c r="BA912">
        <v>0</v>
      </c>
      <c r="BB912" t="s">
        <v>2841</v>
      </c>
      <c r="BC912">
        <v>6</v>
      </c>
      <c r="BD912" t="s">
        <v>2919</v>
      </c>
      <c r="BE912">
        <v>0</v>
      </c>
      <c r="BF912" s="232" t="s">
        <v>2846</v>
      </c>
      <c r="BG912" s="232" t="s">
        <v>2846</v>
      </c>
      <c r="BH912" s="253">
        <v>47</v>
      </c>
      <c r="BI912" s="253">
        <v>21.133018605942794</v>
      </c>
      <c r="BJ912" s="25">
        <v>9.4791666666666661</v>
      </c>
      <c r="BK912" t="s">
        <v>377</v>
      </c>
      <c r="BL912">
        <v>0.33880182386597135</v>
      </c>
      <c r="BM912" t="s">
        <v>383</v>
      </c>
      <c r="BN912" s="322">
        <v>30416.949071999999</v>
      </c>
      <c r="BO912" s="322">
        <v>3780.2761439999999</v>
      </c>
      <c r="BP912" s="10">
        <v>7889</v>
      </c>
      <c r="BQ912" s="254">
        <f t="shared" si="392"/>
        <v>3.8556152962352641</v>
      </c>
      <c r="BR912" s="254">
        <f t="shared" si="393"/>
        <v>0.47918318468753962</v>
      </c>
      <c r="BS912" s="25">
        <v>67.231813156440026</v>
      </c>
      <c r="BT912" s="25">
        <v>87.21062739806483</v>
      </c>
      <c r="BU912" s="25">
        <v>20.019337712096331</v>
      </c>
      <c r="BV912" s="25">
        <v>94.214774430805349</v>
      </c>
      <c r="BW912" s="25">
        <v>57.182279537579312</v>
      </c>
      <c r="BX912" s="25">
        <v>67.16913817435163</v>
      </c>
      <c r="BY912" s="25">
        <v>57.049218789889927</v>
      </c>
      <c r="BZ912">
        <v>87</v>
      </c>
      <c r="CA912">
        <v>0</v>
      </c>
      <c r="CB912">
        <v>7</v>
      </c>
      <c r="CC912">
        <v>52157.832968000002</v>
      </c>
      <c r="CD912" s="10">
        <v>3732.3883259999998</v>
      </c>
      <c r="CE912" s="255">
        <v>7.1559497655700216E-2</v>
      </c>
      <c r="CF912" t="str">
        <f>IFERROR(VLOOKUP(CE912,'Rangos amb etnico'!$A$2:$C$6,3,9),"N.D.")</f>
        <v>0,1% - 30%</v>
      </c>
      <c r="CG912" s="256">
        <v>1.0858924625782687E-4</v>
      </c>
      <c r="CH912" s="232">
        <v>0</v>
      </c>
      <c r="CI912" s="311">
        <f t="shared" si="400"/>
        <v>0</v>
      </c>
      <c r="CJ912" s="232">
        <f>IFERROR(VLOOKUP(CI912,'Rangos amb etnico'!$A$2:$C$6,3,9),"N.D.")</f>
        <v>0</v>
      </c>
      <c r="CK912" s="311">
        <f t="shared" si="401"/>
        <v>0</v>
      </c>
      <c r="CL912" s="10">
        <v>0</v>
      </c>
      <c r="CM912" s="255">
        <f t="shared" si="402"/>
        <v>0</v>
      </c>
      <c r="CN912" s="232">
        <f>IFERROR(VLOOKUP(CM912,'Rangos amb etnico'!$A$2:$C$6,3,9),"N.D.")</f>
        <v>0</v>
      </c>
      <c r="CO912" s="311">
        <f t="shared" si="403"/>
        <v>0</v>
      </c>
      <c r="CP912">
        <v>0.93720600726412884</v>
      </c>
      <c r="CQ912" t="s">
        <v>2864</v>
      </c>
      <c r="CR912">
        <f t="shared" si="394"/>
        <v>2</v>
      </c>
      <c r="CS912" t="str">
        <f t="shared" si="404"/>
        <v>No es Candidato</v>
      </c>
      <c r="CT912">
        <v>0</v>
      </c>
      <c r="CU912">
        <v>0</v>
      </c>
      <c r="CV912" s="25">
        <v>45.185043334960938</v>
      </c>
      <c r="CW912" s="25">
        <v>17.972072601318359</v>
      </c>
      <c r="CX912" s="25">
        <v>50.318466186523438</v>
      </c>
      <c r="CY912" s="25">
        <v>50.092292785644531</v>
      </c>
      <c r="CZ912" s="25">
        <v>27.852748870849609</v>
      </c>
      <c r="DA912" s="25">
        <v>76.900856018066406</v>
      </c>
      <c r="DB912" s="25">
        <v>47.973827362060547</v>
      </c>
      <c r="DC912">
        <v>97</v>
      </c>
      <c r="DD912" s="253" t="s">
        <v>380</v>
      </c>
    </row>
    <row r="913" spans="1:108" hidden="1">
      <c r="A913" s="13">
        <v>27361</v>
      </c>
      <c r="B913" s="13" t="s">
        <v>2239</v>
      </c>
      <c r="C913" s="13" t="s">
        <v>1714</v>
      </c>
      <c r="D913" s="13" t="s">
        <v>1715</v>
      </c>
      <c r="E913" s="13" t="s">
        <v>2240</v>
      </c>
      <c r="F913" s="14">
        <v>51.776333333333298</v>
      </c>
      <c r="G913" s="13">
        <v>45.24</v>
      </c>
      <c r="H913" s="13">
        <v>83.62</v>
      </c>
      <c r="I913" s="13">
        <v>86.01</v>
      </c>
      <c r="J913" s="14">
        <v>46.487329658011042</v>
      </c>
      <c r="K913" s="14">
        <v>42.496867556671603</v>
      </c>
      <c r="L913" s="14">
        <v>54.315217364738047</v>
      </c>
      <c r="M913" s="14">
        <v>59.780500000000004</v>
      </c>
      <c r="N913" s="14">
        <f t="shared" si="378"/>
        <v>66.661583333333326</v>
      </c>
      <c r="O913" s="14">
        <f t="shared" si="379"/>
        <v>50.769978644855172</v>
      </c>
      <c r="P913" s="14">
        <f t="shared" si="395"/>
        <v>58.715780989094249</v>
      </c>
      <c r="Q913" s="14">
        <v>63.442732904879939</v>
      </c>
      <c r="R913" s="17">
        <f t="shared" si="380"/>
        <v>36.557267095120061</v>
      </c>
      <c r="S913" s="14">
        <f t="shared" si="396"/>
        <v>0.42901540385608061</v>
      </c>
      <c r="T913" s="13">
        <v>0</v>
      </c>
      <c r="U913" s="13">
        <f t="shared" si="397"/>
        <v>25.189974493761451</v>
      </c>
      <c r="V913" s="13">
        <f>IF($T913=1,$AU913,(VLOOKUP(U913,'Cortes naturales'!$A$35:$C$39,3,9)))</f>
        <v>4</v>
      </c>
      <c r="W913" s="13">
        <v>4</v>
      </c>
      <c r="X913" s="14" t="b">
        <f t="shared" si="381"/>
        <v>1</v>
      </c>
      <c r="Y913" s="17">
        <f>IF($T913=1,$AU913,VLOOKUP(U913,'Cortes naturales'!$A$45:$C$49,3,9))</f>
        <v>4</v>
      </c>
      <c r="Z913" s="14">
        <v>52.505201730304989</v>
      </c>
      <c r="AA913" s="14">
        <v>0.43018847344034428</v>
      </c>
      <c r="AB913" s="14">
        <v>22.587132580037228</v>
      </c>
      <c r="AC913" s="13">
        <v>4</v>
      </c>
      <c r="AD913" s="13">
        <f t="shared" si="382"/>
        <v>0</v>
      </c>
      <c r="AE913" s="14">
        <f t="shared" si="383"/>
        <v>6.2105792587892594</v>
      </c>
      <c r="AF913" s="14">
        <f t="shared" si="384"/>
        <v>-1.173069584263664E-3</v>
      </c>
      <c r="AG913" s="13">
        <f t="shared" si="385"/>
        <v>2.6028419137242231</v>
      </c>
      <c r="AH913" s="13">
        <f>IF($T913=1,$AU913,VLOOKUP(U913,'Cortes naturales'!$A$25:$C$29,3,9))</f>
        <v>4</v>
      </c>
      <c r="AI913" s="13" t="b">
        <f t="shared" si="386"/>
        <v>1</v>
      </c>
      <c r="AJ913" s="13">
        <f t="shared" si="387"/>
        <v>0</v>
      </c>
      <c r="AK913" s="28">
        <v>0.6523467210059386</v>
      </c>
      <c r="AL913" s="28">
        <v>34.251596184519791</v>
      </c>
      <c r="AM913" s="28">
        <v>0.25782535184086097</v>
      </c>
      <c r="AN913" s="13">
        <v>4</v>
      </c>
      <c r="AO913" s="33">
        <f t="shared" si="388"/>
        <v>0</v>
      </c>
      <c r="AP913" s="13">
        <f t="shared" si="398"/>
        <v>25.782535184086097</v>
      </c>
      <c r="AQ913" s="13">
        <f>IFERROR(VLOOKUP(U913,'Cortes naturales'!$E$15:$G$19,3,9),U913)</f>
        <v>4</v>
      </c>
      <c r="AR913" s="28">
        <f t="shared" si="389"/>
        <v>-0.22333131714985799</v>
      </c>
      <c r="AS913" s="13" t="b">
        <f t="shared" si="390"/>
        <v>1</v>
      </c>
      <c r="AT913" s="13">
        <f t="shared" si="399"/>
        <v>0</v>
      </c>
      <c r="AU913" s="13">
        <v>4</v>
      </c>
      <c r="AV913">
        <f t="shared" si="391"/>
        <v>0</v>
      </c>
      <c r="AW913" s="13">
        <v>0</v>
      </c>
      <c r="AX913" s="13">
        <v>1</v>
      </c>
      <c r="AY913" s="13">
        <v>0</v>
      </c>
      <c r="AZ913" s="13">
        <v>1</v>
      </c>
      <c r="BA913">
        <v>1</v>
      </c>
      <c r="BB913" t="s">
        <v>2840</v>
      </c>
      <c r="BC913">
        <v>6</v>
      </c>
      <c r="BD913" t="s">
        <v>2919</v>
      </c>
      <c r="BE913">
        <v>0</v>
      </c>
      <c r="BF913" s="232" t="s">
        <v>2846</v>
      </c>
      <c r="BG913" s="232" t="s">
        <v>2846</v>
      </c>
      <c r="BH913" s="253">
        <v>55.1</v>
      </c>
      <c r="BI913" s="253">
        <v>83.959194120443158</v>
      </c>
      <c r="BJ913" s="25" t="s">
        <v>2849</v>
      </c>
      <c r="BK913" t="s">
        <v>2849</v>
      </c>
      <c r="BL913">
        <v>13.061328711429713</v>
      </c>
      <c r="BM913" t="s">
        <v>376</v>
      </c>
      <c r="BN913" s="322">
        <v>129946.71309400001</v>
      </c>
      <c r="BO913" s="322">
        <v>7054.8859540000003</v>
      </c>
      <c r="BP913" s="10">
        <v>35215</v>
      </c>
      <c r="BQ913" s="254">
        <f t="shared" si="392"/>
        <v>3.690095501746415</v>
      </c>
      <c r="BR913" s="254">
        <f t="shared" si="393"/>
        <v>0.20033752531591653</v>
      </c>
      <c r="BS913" s="25">
        <v>65.293798449612396</v>
      </c>
      <c r="BT913" s="25">
        <v>96.915579805683464</v>
      </c>
      <c r="BU913" s="25">
        <v>35.823333333333331</v>
      </c>
      <c r="BV913" s="25">
        <v>87.297212847387428</v>
      </c>
      <c r="BW913" s="25">
        <v>43.595681205456188</v>
      </c>
      <c r="BX913" s="25">
        <v>71.332481109004149</v>
      </c>
      <c r="BY913" s="25">
        <v>44.324029756530017</v>
      </c>
      <c r="BZ913">
        <v>27</v>
      </c>
      <c r="CA913">
        <v>1</v>
      </c>
      <c r="CB913">
        <v>6</v>
      </c>
      <c r="CC913">
        <v>188108.165087</v>
      </c>
      <c r="CD913" s="10">
        <v>2239.9040690000002</v>
      </c>
      <c r="CE913" s="255">
        <v>1.1907532392142811E-2</v>
      </c>
      <c r="CF913" t="str">
        <f>IFERROR(VLOOKUP(CE913,'Rangos amb etnico'!$A$2:$C$6,3,9),"N.D.")</f>
        <v>0,1% - 30%</v>
      </c>
      <c r="CG913" s="256">
        <v>6.5167253055691156E-5</v>
      </c>
      <c r="CH913" s="232">
        <v>185567.45533699999</v>
      </c>
      <c r="CI913" s="311">
        <f t="shared" si="400"/>
        <v>0.98649335743174715</v>
      </c>
      <c r="CJ913" s="232" t="str">
        <f>IFERROR(VLOOKUP(CI913,'Rangos amb etnico'!$A$2:$C$6,3,9),"N.D.")</f>
        <v>71% - 100%</v>
      </c>
      <c r="CK913" s="311">
        <f t="shared" si="401"/>
        <v>7.3682429242120815E-3</v>
      </c>
      <c r="CL913" s="10">
        <v>0</v>
      </c>
      <c r="CM913" s="255">
        <f t="shared" si="402"/>
        <v>0</v>
      </c>
      <c r="CN913" s="232">
        <f>IFERROR(VLOOKUP(CM913,'Rangos amb etnico'!$A$2:$C$6,3,9),"N.D.")</f>
        <v>0</v>
      </c>
      <c r="CO913" s="311">
        <f t="shared" si="403"/>
        <v>0</v>
      </c>
      <c r="CP913">
        <v>0.9348655604008953</v>
      </c>
      <c r="CQ913" t="s">
        <v>2864</v>
      </c>
      <c r="CR913">
        <f t="shared" si="394"/>
        <v>2</v>
      </c>
      <c r="CS913" t="str">
        <f t="shared" si="404"/>
        <v>No es Candidato</v>
      </c>
      <c r="CT913">
        <v>0</v>
      </c>
      <c r="CU913">
        <v>0</v>
      </c>
      <c r="CV913" s="25">
        <v>36.735866546630859</v>
      </c>
      <c r="CW913" s="25">
        <v>30.1842041015625</v>
      </c>
      <c r="CX913" s="25">
        <v>36.267463684082031</v>
      </c>
      <c r="CY913" s="25">
        <v>50.607341766357422</v>
      </c>
      <c r="CZ913" s="25">
        <v>5.5815777778625488</v>
      </c>
      <c r="DA913" s="25">
        <v>58.903102874755859</v>
      </c>
      <c r="DB913" s="25">
        <v>38.871513366699219</v>
      </c>
      <c r="DC913">
        <v>29891</v>
      </c>
      <c r="DD913" s="253" t="s">
        <v>380</v>
      </c>
    </row>
    <row r="914" spans="1:108" hidden="1">
      <c r="A914" s="13">
        <v>41872</v>
      </c>
      <c r="B914" s="13" t="s">
        <v>2241</v>
      </c>
      <c r="C914" s="13" t="s">
        <v>676</v>
      </c>
      <c r="D914" s="13" t="s">
        <v>677</v>
      </c>
      <c r="E914" s="13" t="s">
        <v>2242</v>
      </c>
      <c r="F914" s="14">
        <v>46.896333333333303</v>
      </c>
      <c r="G914" s="13">
        <v>75.25</v>
      </c>
      <c r="H914" s="13">
        <v>83.39</v>
      </c>
      <c r="I914" s="13">
        <v>80.09</v>
      </c>
      <c r="J914" s="14">
        <v>56.681814284040982</v>
      </c>
      <c r="K914" s="14">
        <v>53.849680634896686</v>
      </c>
      <c r="L914" s="14">
        <v>53.501614513949306</v>
      </c>
      <c r="M914" s="14">
        <v>51.270699999999998</v>
      </c>
      <c r="N914" s="14">
        <f t="shared" si="378"/>
        <v>71.406583333333316</v>
      </c>
      <c r="O914" s="14">
        <f t="shared" si="379"/>
        <v>53.825952358221748</v>
      </c>
      <c r="P914" s="14">
        <f t="shared" si="395"/>
        <v>62.616267845777529</v>
      </c>
      <c r="Q914" s="14">
        <v>64.327828404576167</v>
      </c>
      <c r="R914" s="17">
        <f t="shared" si="380"/>
        <v>35.672171595423833</v>
      </c>
      <c r="S914" s="14">
        <f t="shared" si="396"/>
        <v>0.42104954435881448</v>
      </c>
      <c r="T914" s="13">
        <v>0</v>
      </c>
      <c r="U914" s="13">
        <f t="shared" si="397"/>
        <v>26.364551045914116</v>
      </c>
      <c r="V914" s="13">
        <f>IF($T914=1,$AU914,(VLOOKUP(U914,'Cortes naturales'!$A$35:$C$39,3,9)))</f>
        <v>4</v>
      </c>
      <c r="W914" s="13">
        <v>4</v>
      </c>
      <c r="X914" s="14" t="b">
        <f t="shared" si="381"/>
        <v>1</v>
      </c>
      <c r="Y914" s="17">
        <f>IF($T914=1,$AU914,VLOOKUP(U914,'Cortes naturales'!$A$45:$C$49,3,9))</f>
        <v>4</v>
      </c>
      <c r="Z914" s="14">
        <v>57.549369203064188</v>
      </c>
      <c r="AA914" s="14">
        <v>0.42993317972839762</v>
      </c>
      <c r="AB914" s="14">
        <v>24.742383292836905</v>
      </c>
      <c r="AC914" s="13">
        <v>4</v>
      </c>
      <c r="AD914" s="13">
        <f t="shared" si="382"/>
        <v>0</v>
      </c>
      <c r="AE914" s="14">
        <f t="shared" si="383"/>
        <v>5.0668986427133405</v>
      </c>
      <c r="AF914" s="14">
        <f t="shared" si="384"/>
        <v>-8.8836353695831427E-3</v>
      </c>
      <c r="AG914" s="13">
        <f t="shared" si="385"/>
        <v>1.6221677530772105</v>
      </c>
      <c r="AH914" s="13">
        <f>IF($T914=1,$AU914,VLOOKUP(U914,'Cortes naturales'!$A$25:$C$29,3,9))</f>
        <v>4</v>
      </c>
      <c r="AI914" s="13" t="b">
        <f t="shared" si="386"/>
        <v>1</v>
      </c>
      <c r="AJ914" s="13">
        <f t="shared" si="387"/>
        <v>0</v>
      </c>
      <c r="AK914" s="28">
        <v>0.6523467210059386</v>
      </c>
      <c r="AL914" s="28">
        <v>37.542142295579069</v>
      </c>
      <c r="AM914" s="28">
        <v>0.298986615127668</v>
      </c>
      <c r="AN914" s="13">
        <v>4</v>
      </c>
      <c r="AO914" s="33">
        <f t="shared" si="388"/>
        <v>0</v>
      </c>
      <c r="AP914" s="13">
        <f t="shared" si="398"/>
        <v>29.8986615127668</v>
      </c>
      <c r="AQ914" s="13">
        <f>IFERROR(VLOOKUP(U914,'Cortes naturales'!$E$15:$G$19,3,9),U914)</f>
        <v>4</v>
      </c>
      <c r="AR914" s="28">
        <f t="shared" si="389"/>
        <v>-0.23129717664712413</v>
      </c>
      <c r="AS914" s="13" t="b">
        <f t="shared" si="390"/>
        <v>1</v>
      </c>
      <c r="AT914" s="13">
        <f t="shared" si="399"/>
        <v>0</v>
      </c>
      <c r="AU914" s="13">
        <v>4</v>
      </c>
      <c r="AV914">
        <f t="shared" si="391"/>
        <v>0</v>
      </c>
      <c r="AW914" s="13">
        <v>0</v>
      </c>
      <c r="AX914" s="13">
        <v>0</v>
      </c>
      <c r="AY914" s="13">
        <v>0</v>
      </c>
      <c r="AZ914" s="13">
        <v>0</v>
      </c>
      <c r="BA914">
        <v>0</v>
      </c>
      <c r="BB914" t="s">
        <v>2840</v>
      </c>
      <c r="BC914">
        <v>6</v>
      </c>
      <c r="BD914" t="s">
        <v>2919</v>
      </c>
      <c r="BE914">
        <v>0</v>
      </c>
      <c r="BF914" s="232" t="s">
        <v>2846</v>
      </c>
      <c r="BG914" s="232" t="s">
        <v>2845</v>
      </c>
      <c r="BH914" s="253">
        <v>37.9</v>
      </c>
      <c r="BI914" s="253">
        <v>14.518219789716261</v>
      </c>
      <c r="BJ914" s="25">
        <v>4.8174999999999999</v>
      </c>
      <c r="BK914" t="s">
        <v>381</v>
      </c>
      <c r="BL914">
        <v>5.0385657511535369</v>
      </c>
      <c r="BM914" t="s">
        <v>383</v>
      </c>
      <c r="BN914" s="322">
        <v>19509.924574000001</v>
      </c>
      <c r="BO914" s="322">
        <v>2796.8085759999999</v>
      </c>
      <c r="BP914" s="10">
        <v>7418</v>
      </c>
      <c r="BQ914" s="254">
        <f t="shared" si="392"/>
        <v>2.6300788047991372</v>
      </c>
      <c r="BR914" s="254">
        <f t="shared" si="393"/>
        <v>0.3770300048530601</v>
      </c>
      <c r="BS914" s="25">
        <v>56.637992434044342</v>
      </c>
      <c r="BT914" s="25">
        <v>93.219196548935017</v>
      </c>
      <c r="BU914" s="25">
        <v>45.709834983498332</v>
      </c>
      <c r="BV914" s="25">
        <v>93.398535285389229</v>
      </c>
      <c r="BW914" s="25">
        <v>62.598470061094332</v>
      </c>
      <c r="BX914" s="25">
        <v>72.24138981296673</v>
      </c>
      <c r="BY914" s="25">
        <v>63.951886578762057</v>
      </c>
      <c r="BZ914">
        <v>23</v>
      </c>
      <c r="CA914">
        <v>0</v>
      </c>
      <c r="CB914">
        <v>7</v>
      </c>
      <c r="CC914">
        <v>54362.984821999999</v>
      </c>
      <c r="CD914" s="10">
        <v>34242.434556</v>
      </c>
      <c r="CE914" s="255">
        <v>0.62988510781958629</v>
      </c>
      <c r="CF914" t="str">
        <f>IFERROR(VLOOKUP(CE914,'Rangos amb etnico'!$A$2:$C$6,3,9),"N.D.")</f>
        <v>51% - 70%</v>
      </c>
      <c r="CG914" s="256">
        <v>9.9624150374887999E-4</v>
      </c>
      <c r="CH914" s="232">
        <v>289.43271099999998</v>
      </c>
      <c r="CI914" s="311">
        <f t="shared" si="400"/>
        <v>5.3240768870157825E-3</v>
      </c>
      <c r="CJ914" s="232" t="str">
        <f>IFERROR(VLOOKUP(CI914,'Rangos amb etnico'!$A$2:$C$6,3,9),"N.D.")</f>
        <v>0,1% - 30%</v>
      </c>
      <c r="CK914" s="311">
        <f t="shared" si="401"/>
        <v>1.1492373600685208E-5</v>
      </c>
      <c r="CL914" s="10">
        <v>0</v>
      </c>
      <c r="CM914" s="255">
        <f t="shared" si="402"/>
        <v>0</v>
      </c>
      <c r="CN914" s="232">
        <f>IFERROR(VLOOKUP(CM914,'Rangos amb etnico'!$A$2:$C$6,3,9),"N.D.")</f>
        <v>0</v>
      </c>
      <c r="CO914" s="311">
        <f t="shared" si="403"/>
        <v>0</v>
      </c>
      <c r="CP914">
        <v>0.88547769350263961</v>
      </c>
      <c r="CQ914" t="s">
        <v>2864</v>
      </c>
      <c r="CR914">
        <f t="shared" si="394"/>
        <v>3</v>
      </c>
      <c r="CS914" t="str">
        <f t="shared" si="404"/>
        <v>Candidato</v>
      </c>
      <c r="CT914">
        <v>0</v>
      </c>
      <c r="CU914">
        <v>0</v>
      </c>
      <c r="CV914" s="25">
        <v>48.100028991699219</v>
      </c>
      <c r="CW914" s="25">
        <v>24.54184532165527</v>
      </c>
      <c r="CX914" s="25">
        <v>48.383060455322273</v>
      </c>
      <c r="CY914" s="25">
        <v>56.041259765625</v>
      </c>
      <c r="CZ914" s="25">
        <v>53.350765228271477</v>
      </c>
      <c r="DA914" s="25">
        <v>32.35308837890625</v>
      </c>
      <c r="DB914" s="25">
        <v>73.930168151855469</v>
      </c>
      <c r="DC914">
        <v>329</v>
      </c>
      <c r="DD914" s="253" t="s">
        <v>380</v>
      </c>
    </row>
    <row r="915" spans="1:108" hidden="1">
      <c r="A915" s="13">
        <v>52079</v>
      </c>
      <c r="B915" s="13" t="s">
        <v>2243</v>
      </c>
      <c r="C915" s="13" t="s">
        <v>672</v>
      </c>
      <c r="D915" s="13" t="s">
        <v>673</v>
      </c>
      <c r="E915" s="13" t="s">
        <v>2244</v>
      </c>
      <c r="F915" s="14">
        <v>70.439166666666694</v>
      </c>
      <c r="G915" s="13">
        <v>53.75</v>
      </c>
      <c r="H915" s="13">
        <v>22.14</v>
      </c>
      <c r="I915" s="13">
        <v>85.33</v>
      </c>
      <c r="J915" s="14">
        <v>56.949927822124948</v>
      </c>
      <c r="K915" s="14">
        <v>56.162380326896184</v>
      </c>
      <c r="L915" s="14">
        <v>61.277707500048479</v>
      </c>
      <c r="M915" s="14">
        <v>61.570900000000002</v>
      </c>
      <c r="N915" s="14">
        <f t="shared" si="378"/>
        <v>57.914791666666673</v>
      </c>
      <c r="O915" s="14">
        <f t="shared" si="379"/>
        <v>58.990228912267398</v>
      </c>
      <c r="P915" s="14">
        <f t="shared" si="395"/>
        <v>58.452510289467035</v>
      </c>
      <c r="Q915" s="14">
        <v>63.354789011954317</v>
      </c>
      <c r="R915" s="17">
        <f t="shared" si="380"/>
        <v>36.645210988045683</v>
      </c>
      <c r="S915" s="14">
        <f t="shared" si="396"/>
        <v>0.42980689889241119</v>
      </c>
      <c r="T915" s="13">
        <v>0</v>
      </c>
      <c r="U915" s="13">
        <f t="shared" si="397"/>
        <v>25.123292179992582</v>
      </c>
      <c r="V915" s="13">
        <f>IF($T915=1,$AU915,(VLOOKUP(U915,'Cortes naturales'!$A$35:$C$39,3,9)))</f>
        <v>4</v>
      </c>
      <c r="W915" s="13">
        <v>4</v>
      </c>
      <c r="X915" s="14" t="b">
        <f t="shared" si="381"/>
        <v>1</v>
      </c>
      <c r="Y915" s="17">
        <f>IF($T915=1,$AU915,VLOOKUP(U915,'Cortes naturales'!$A$45:$C$49,3,9))</f>
        <v>4</v>
      </c>
      <c r="Z915" s="14">
        <v>56.373368448871844</v>
      </c>
      <c r="AA915" s="14">
        <v>0.42958183143383399</v>
      </c>
      <c r="AB915" s="14">
        <v>24.216974862360679</v>
      </c>
      <c r="AC915" s="13">
        <v>4</v>
      </c>
      <c r="AD915" s="13">
        <f t="shared" si="382"/>
        <v>0</v>
      </c>
      <c r="AE915" s="14">
        <f t="shared" si="383"/>
        <v>2.0791418405951916</v>
      </c>
      <c r="AF915" s="14">
        <f t="shared" si="384"/>
        <v>2.2506745857719945E-4</v>
      </c>
      <c r="AG915" s="13">
        <f t="shared" si="385"/>
        <v>0.9063173176319026</v>
      </c>
      <c r="AH915" s="13">
        <f>IF($T915=1,$AU915,VLOOKUP(U915,'Cortes naturales'!$A$25:$C$29,3,9))</f>
        <v>4</v>
      </c>
      <c r="AI915" s="13" t="b">
        <f t="shared" si="386"/>
        <v>1</v>
      </c>
      <c r="AJ915" s="13">
        <f t="shared" si="387"/>
        <v>0</v>
      </c>
      <c r="AK915" s="28">
        <v>0.6523467210059386</v>
      </c>
      <c r="AL915" s="28">
        <v>36.774982059681186</v>
      </c>
      <c r="AM915" s="28">
        <v>0.28939024923969797</v>
      </c>
      <c r="AN915" s="13">
        <v>4</v>
      </c>
      <c r="AO915" s="33">
        <f t="shared" si="388"/>
        <v>0</v>
      </c>
      <c r="AP915" s="13">
        <f t="shared" si="398"/>
        <v>28.939024923969797</v>
      </c>
      <c r="AQ915" s="13">
        <f>IFERROR(VLOOKUP(U915,'Cortes naturales'!$E$15:$G$19,3,9),U915)</f>
        <v>4</v>
      </c>
      <c r="AR915" s="28">
        <f t="shared" si="389"/>
        <v>-0.22253982211352741</v>
      </c>
      <c r="AS915" s="13" t="b">
        <f t="shared" si="390"/>
        <v>1</v>
      </c>
      <c r="AT915" s="13">
        <f t="shared" si="399"/>
        <v>0</v>
      </c>
      <c r="AU915" s="13">
        <v>4</v>
      </c>
      <c r="AV915">
        <f t="shared" si="391"/>
        <v>0</v>
      </c>
      <c r="AW915" s="13">
        <v>0</v>
      </c>
      <c r="AX915" s="13">
        <v>0</v>
      </c>
      <c r="AY915" s="13">
        <v>0</v>
      </c>
      <c r="AZ915" s="13">
        <v>1</v>
      </c>
      <c r="BA915">
        <v>1</v>
      </c>
      <c r="BB915" t="s">
        <v>2841</v>
      </c>
      <c r="BC915">
        <v>6</v>
      </c>
      <c r="BD915" t="s">
        <v>2919</v>
      </c>
      <c r="BE915">
        <v>1</v>
      </c>
      <c r="BF915" s="232" t="s">
        <v>2846</v>
      </c>
      <c r="BG915" s="232" t="s">
        <v>2846</v>
      </c>
      <c r="BH915" s="253">
        <v>76.099999999999994</v>
      </c>
      <c r="BI915" s="253">
        <v>72.195598154064612</v>
      </c>
      <c r="BJ915" s="25">
        <v>65.45029223699801</v>
      </c>
      <c r="BK915" t="s">
        <v>376</v>
      </c>
      <c r="BL915">
        <v>43.611243471003711</v>
      </c>
      <c r="BM915" t="s">
        <v>384</v>
      </c>
      <c r="BN915" s="322">
        <v>86578.262361000001</v>
      </c>
      <c r="BO915" s="322">
        <v>2115.9765520000001</v>
      </c>
      <c r="BP915" s="10">
        <v>63548</v>
      </c>
      <c r="BQ915" s="254">
        <f t="shared" si="392"/>
        <v>1.3624073513092465</v>
      </c>
      <c r="BR915" s="254">
        <f t="shared" si="393"/>
        <v>3.3297295776420974E-2</v>
      </c>
      <c r="BS915" s="25">
        <v>39.672659530983729</v>
      </c>
      <c r="BT915" s="25">
        <v>80.779276188815729</v>
      </c>
      <c r="BU915" s="25">
        <v>39.849295838165169</v>
      </c>
      <c r="BV915" s="25">
        <v>95.155772679179961</v>
      </c>
      <c r="BW915" s="25">
        <v>52.970450460578569</v>
      </c>
      <c r="BX915" s="25">
        <v>63.864251059286147</v>
      </c>
      <c r="BY915" s="25">
        <v>52.704215188427007</v>
      </c>
      <c r="BZ915">
        <v>97</v>
      </c>
      <c r="CA915">
        <v>0</v>
      </c>
      <c r="CB915">
        <v>6</v>
      </c>
      <c r="CC915">
        <v>273590.39493100002</v>
      </c>
      <c r="CD915" s="10">
        <v>111195.45589300001</v>
      </c>
      <c r="CE915" s="255">
        <v>0.40643040820582788</v>
      </c>
      <c r="CF915" t="str">
        <f>IFERROR(VLOOKUP(CE915,'Rangos amb etnico'!$A$2:$C$6,3,9),"N.D.")</f>
        <v>31% - 50%</v>
      </c>
      <c r="CG915" s="256">
        <v>3.2350949815708714E-3</v>
      </c>
      <c r="CH915" s="232">
        <v>246263.99076300001</v>
      </c>
      <c r="CI915" s="311">
        <f t="shared" si="400"/>
        <v>0.90011928534665198</v>
      </c>
      <c r="CJ915" s="232" t="str">
        <f>IFERROR(VLOOKUP(CI915,'Rangos amb etnico'!$A$2:$C$6,3,9),"N.D.")</f>
        <v>71% - 100%</v>
      </c>
      <c r="CK915" s="311">
        <f t="shared" si="401"/>
        <v>9.7782927730103303E-3</v>
      </c>
      <c r="CL915" s="10">
        <v>0</v>
      </c>
      <c r="CM915" s="255">
        <f t="shared" si="402"/>
        <v>0</v>
      </c>
      <c r="CN915" s="232">
        <f>IFERROR(VLOOKUP(CM915,'Rangos amb etnico'!$A$2:$C$6,3,9),"N.D.")</f>
        <v>0</v>
      </c>
      <c r="CO915" s="311">
        <f t="shared" si="403"/>
        <v>0</v>
      </c>
      <c r="CP915">
        <v>0.8990945953886782</v>
      </c>
      <c r="CQ915" t="s">
        <v>2864</v>
      </c>
      <c r="CR915">
        <f t="shared" si="394"/>
        <v>3</v>
      </c>
      <c r="CS915" t="str">
        <f t="shared" si="404"/>
        <v>Candidato</v>
      </c>
      <c r="CT915">
        <v>1</v>
      </c>
      <c r="CU915" t="s">
        <v>2837</v>
      </c>
      <c r="CV915" s="25">
        <v>32.001296997070313</v>
      </c>
      <c r="CW915" s="25">
        <v>12.430610656738279</v>
      </c>
      <c r="CX915" s="25">
        <v>35.788837432861328</v>
      </c>
      <c r="CY915" s="25">
        <v>40.837268829345703</v>
      </c>
      <c r="CZ915" s="25">
        <v>9.5547037124633789</v>
      </c>
      <c r="DA915" s="25">
        <v>52.892353057861328</v>
      </c>
      <c r="DB915" s="25">
        <v>40.504001617431641</v>
      </c>
      <c r="DC915">
        <v>54449</v>
      </c>
      <c r="DD915" s="253" t="s">
        <v>380</v>
      </c>
    </row>
    <row r="916" spans="1:108" hidden="1">
      <c r="A916" s="13">
        <v>27135</v>
      </c>
      <c r="B916" s="13" t="s">
        <v>2245</v>
      </c>
      <c r="C916" s="13" t="s">
        <v>1714</v>
      </c>
      <c r="D916" s="13" t="s">
        <v>1715</v>
      </c>
      <c r="E916" s="13" t="s">
        <v>2246</v>
      </c>
      <c r="F916" s="14">
        <v>53.264466666666699</v>
      </c>
      <c r="G916" s="13">
        <v>37.75</v>
      </c>
      <c r="H916" s="13">
        <v>56.52</v>
      </c>
      <c r="I916" s="13">
        <v>75.400000000000006</v>
      </c>
      <c r="J916" s="14">
        <v>53.046415233246321</v>
      </c>
      <c r="K916" s="14">
        <v>57.704205329271204</v>
      </c>
      <c r="L916" s="14">
        <v>65.036595939492287</v>
      </c>
      <c r="M916" s="14">
        <v>64.528000000000006</v>
      </c>
      <c r="N916" s="14">
        <f t="shared" si="378"/>
        <v>55.733616666666677</v>
      </c>
      <c r="O916" s="14">
        <f t="shared" si="379"/>
        <v>60.078804125502458</v>
      </c>
      <c r="P916" s="14">
        <f t="shared" si="395"/>
        <v>57.906210396084568</v>
      </c>
      <c r="Q916" s="14">
        <v>64.342784257707393</v>
      </c>
      <c r="R916" s="17">
        <f t="shared" si="380"/>
        <v>35.657215742292607</v>
      </c>
      <c r="S916" s="14">
        <f t="shared" si="396"/>
        <v>0.42091494168063348</v>
      </c>
      <c r="T916" s="13">
        <v>0</v>
      </c>
      <c r="U916" s="13">
        <f t="shared" si="397"/>
        <v>24.373589171814427</v>
      </c>
      <c r="V916" s="13">
        <f>IF($T916=1,$AU916,(VLOOKUP(U916,'Cortes naturales'!$A$35:$C$39,3,9)))</f>
        <v>4</v>
      </c>
      <c r="W916" s="13">
        <v>4</v>
      </c>
      <c r="X916" s="14" t="b">
        <f t="shared" si="381"/>
        <v>1</v>
      </c>
      <c r="Y916" s="17">
        <f>IF($T916=1,$AU916,VLOOKUP(U916,'Cortes naturales'!$A$45:$C$49,3,9))</f>
        <v>4</v>
      </c>
      <c r="Z916" s="14">
        <v>54.432268460476948</v>
      </c>
      <c r="AA916" s="14">
        <v>0.42933507644577529</v>
      </c>
      <c r="AB916" s="14">
        <v>23.369682140595835</v>
      </c>
      <c r="AC916" s="13">
        <v>4</v>
      </c>
      <c r="AD916" s="13">
        <f t="shared" si="382"/>
        <v>0</v>
      </c>
      <c r="AE916" s="14">
        <f t="shared" si="383"/>
        <v>3.4739419356076198</v>
      </c>
      <c r="AF916" s="14">
        <f t="shared" si="384"/>
        <v>-8.4201347651418068E-3</v>
      </c>
      <c r="AG916" s="13">
        <f t="shared" si="385"/>
        <v>1.003907031218592</v>
      </c>
      <c r="AH916" s="13">
        <f>IF($T916=1,$AU916,VLOOKUP(U916,'Cortes naturales'!$A$25:$C$29,3,9))</f>
        <v>4</v>
      </c>
      <c r="AI916" s="13" t="b">
        <f t="shared" si="386"/>
        <v>1</v>
      </c>
      <c r="AJ916" s="13">
        <f t="shared" si="387"/>
        <v>0</v>
      </c>
      <c r="AK916" s="28">
        <v>0.6523467210059386</v>
      </c>
      <c r="AL916" s="28">
        <v>35.508711847107108</v>
      </c>
      <c r="AM916" s="28">
        <v>0.27355054365501491</v>
      </c>
      <c r="AN916" s="13">
        <v>4</v>
      </c>
      <c r="AO916" s="33">
        <f t="shared" si="388"/>
        <v>0</v>
      </c>
      <c r="AP916" s="13">
        <f t="shared" si="398"/>
        <v>27.355054365501491</v>
      </c>
      <c r="AQ916" s="13">
        <f>IFERROR(VLOOKUP(U916,'Cortes naturales'!$E$15:$G$19,3,9),U916)</f>
        <v>4</v>
      </c>
      <c r="AR916" s="28">
        <f t="shared" si="389"/>
        <v>-0.23143177932530512</v>
      </c>
      <c r="AS916" s="13" t="b">
        <f t="shared" si="390"/>
        <v>1</v>
      </c>
      <c r="AT916" s="13">
        <f t="shared" si="399"/>
        <v>0</v>
      </c>
      <c r="AU916" s="13">
        <v>4</v>
      </c>
      <c r="AV916">
        <f t="shared" si="391"/>
        <v>0</v>
      </c>
      <c r="AW916" s="13">
        <v>0</v>
      </c>
      <c r="AX916" s="13">
        <v>0</v>
      </c>
      <c r="AY916" s="13">
        <v>0</v>
      </c>
      <c r="AZ916" s="13">
        <v>0</v>
      </c>
      <c r="BA916">
        <v>0</v>
      </c>
      <c r="BB916" t="s">
        <v>2840</v>
      </c>
      <c r="BC916">
        <v>6</v>
      </c>
      <c r="BD916" t="s">
        <v>2919</v>
      </c>
      <c r="BE916">
        <v>0</v>
      </c>
      <c r="BF916" s="232" t="s">
        <v>2846</v>
      </c>
      <c r="BG916" s="232" t="s">
        <v>2846</v>
      </c>
      <c r="BH916" s="253">
        <v>60.2</v>
      </c>
      <c r="BI916" s="253">
        <v>43.515901060070668</v>
      </c>
      <c r="BJ916" s="25">
        <v>78.62</v>
      </c>
      <c r="BK916" t="s">
        <v>376</v>
      </c>
      <c r="BL916">
        <v>3.5954930270033554</v>
      </c>
      <c r="BM916" t="s">
        <v>383</v>
      </c>
      <c r="BN916" s="322">
        <v>29610.278329000001</v>
      </c>
      <c r="BO916" s="322">
        <v>3023.9171970000002</v>
      </c>
      <c r="BP916" s="10">
        <v>6486</v>
      </c>
      <c r="BQ916" s="254">
        <f t="shared" si="392"/>
        <v>4.5652603035769355</v>
      </c>
      <c r="BR916" s="254">
        <f t="shared" si="393"/>
        <v>0.46622220120259023</v>
      </c>
      <c r="BS916" s="25">
        <v>58.337769100958553</v>
      </c>
      <c r="BT916" s="25">
        <v>85.043268444855585</v>
      </c>
      <c r="BU916" s="25">
        <v>48.206083627797398</v>
      </c>
      <c r="BV916" s="25">
        <v>99.010716527905515</v>
      </c>
      <c r="BW916" s="25">
        <v>58.952294532144393</v>
      </c>
      <c r="BX916" s="25">
        <v>72.649459425379263</v>
      </c>
      <c r="BY916" s="25">
        <v>59.70493272181227</v>
      </c>
      <c r="BZ916">
        <v>27</v>
      </c>
      <c r="CA916">
        <v>0</v>
      </c>
      <c r="CB916">
        <v>7</v>
      </c>
      <c r="CC916">
        <v>38069.333423999997</v>
      </c>
      <c r="CD916" s="10">
        <v>1084.420701</v>
      </c>
      <c r="CE916" s="255">
        <v>2.8485413414576631E-2</v>
      </c>
      <c r="CF916" t="str">
        <f>IFERROR(VLOOKUP(CE916,'Rangos amb etnico'!$A$2:$C$6,3,9),"N.D.")</f>
        <v>0,1% - 30%</v>
      </c>
      <c r="CG916" s="256">
        <v>3.1549886095098201E-5</v>
      </c>
      <c r="CH916" s="232">
        <v>37618.930447999999</v>
      </c>
      <c r="CI916" s="311">
        <f t="shared" si="400"/>
        <v>0.98816887674434428</v>
      </c>
      <c r="CJ916" s="232" t="str">
        <f>IFERROR(VLOOKUP(CI916,'Rangos amb etnico'!$A$2:$C$6,3,9),"N.D.")</f>
        <v>71% - 100%</v>
      </c>
      <c r="CK916" s="311">
        <f t="shared" si="401"/>
        <v>1.4937178374651932E-3</v>
      </c>
      <c r="CL916" s="10">
        <v>0</v>
      </c>
      <c r="CM916" s="255">
        <f t="shared" si="402"/>
        <v>0</v>
      </c>
      <c r="CN916" s="232">
        <f>IFERROR(VLOOKUP(CM916,'Rangos amb etnico'!$A$2:$C$6,3,9),"N.D.")</f>
        <v>0</v>
      </c>
      <c r="CO916" s="311">
        <f t="shared" si="403"/>
        <v>0</v>
      </c>
      <c r="CP916">
        <v>0.981188673775784</v>
      </c>
      <c r="CQ916" t="s">
        <v>2864</v>
      </c>
      <c r="CR916">
        <f t="shared" si="394"/>
        <v>3</v>
      </c>
      <c r="CS916" t="str">
        <f t="shared" si="404"/>
        <v>Candidato</v>
      </c>
      <c r="CT916">
        <v>0</v>
      </c>
      <c r="CU916">
        <v>0</v>
      </c>
      <c r="CV916" s="25">
        <v>41.945941925048828</v>
      </c>
      <c r="CW916" s="25">
        <v>19.01967620849609</v>
      </c>
      <c r="CX916" s="25">
        <v>45.9833984375</v>
      </c>
      <c r="CY916" s="25">
        <v>45.228687286376953</v>
      </c>
      <c r="CZ916" s="25">
        <v>13.77570819854736</v>
      </c>
      <c r="DA916" s="25">
        <v>87.5</v>
      </c>
      <c r="DB916" s="25">
        <v>40.168186187744141</v>
      </c>
      <c r="DC916">
        <v>6071</v>
      </c>
      <c r="DD916" s="253" t="s">
        <v>380</v>
      </c>
    </row>
    <row r="917" spans="1:108" hidden="1">
      <c r="A917" s="13">
        <v>68682</v>
      </c>
      <c r="B917" s="13" t="s">
        <v>2247</v>
      </c>
      <c r="C917" s="13" t="s">
        <v>431</v>
      </c>
      <c r="D917" s="13" t="s">
        <v>432</v>
      </c>
      <c r="E917" s="13" t="s">
        <v>2248</v>
      </c>
      <c r="F917" s="14">
        <v>66.819166666666703</v>
      </c>
      <c r="G917" s="13">
        <v>54.22</v>
      </c>
      <c r="H917" s="13">
        <v>54.48</v>
      </c>
      <c r="I917" s="13">
        <v>58.91</v>
      </c>
      <c r="J917" s="14">
        <v>46.233399218655677</v>
      </c>
      <c r="K917" s="14">
        <v>51.057499223439933</v>
      </c>
      <c r="L917" s="14">
        <v>51.500919006031765</v>
      </c>
      <c r="M917" s="14">
        <v>49.724200000000003</v>
      </c>
      <c r="N917" s="14">
        <f t="shared" si="378"/>
        <v>58.607291666666676</v>
      </c>
      <c r="O917" s="14">
        <f t="shared" si="379"/>
        <v>49.629004362031843</v>
      </c>
      <c r="P917" s="14">
        <f t="shared" si="395"/>
        <v>54.118148014349259</v>
      </c>
      <c r="Q917" s="14">
        <v>63.317800851687466</v>
      </c>
      <c r="R917" s="17">
        <f t="shared" si="380"/>
        <v>36.682199148312534</v>
      </c>
      <c r="S917" s="14">
        <f t="shared" si="396"/>
        <v>0.43013979233481281</v>
      </c>
      <c r="T917" s="13">
        <v>0</v>
      </c>
      <c r="U917" s="13">
        <f t="shared" si="397"/>
        <v>23.278368948436853</v>
      </c>
      <c r="V917" s="13">
        <f>IF($T917=1,$AU917,(VLOOKUP(U917,'Cortes naturales'!$A$35:$C$39,3,9)))</f>
        <v>4</v>
      </c>
      <c r="W917" s="13">
        <v>4</v>
      </c>
      <c r="X917" s="14" t="b">
        <f t="shared" si="381"/>
        <v>1</v>
      </c>
      <c r="Y917" s="17">
        <f>IF($T917=1,$AU917,VLOOKUP(U917,'Cortes naturales'!$A$45:$C$49,3,9))</f>
        <v>4</v>
      </c>
      <c r="Z917" s="14">
        <v>55.182515964891635</v>
      </c>
      <c r="AA917" s="14">
        <v>0.42790113713311673</v>
      </c>
      <c r="AB917" s="14">
        <v>23.612661331243498</v>
      </c>
      <c r="AC917" s="13">
        <v>4</v>
      </c>
      <c r="AD917" s="13">
        <f t="shared" si="382"/>
        <v>0</v>
      </c>
      <c r="AE917" s="14">
        <f t="shared" si="383"/>
        <v>-1.0643679505423762</v>
      </c>
      <c r="AF917" s="14">
        <f t="shared" si="384"/>
        <v>2.2386552016960826E-3</v>
      </c>
      <c r="AG917" s="13">
        <f t="shared" si="385"/>
        <v>-0.33429238280664464</v>
      </c>
      <c r="AH917" s="13">
        <f>IF($T917=1,$AU917,VLOOKUP(U917,'Cortes naturales'!$A$25:$C$29,3,9))</f>
        <v>4</v>
      </c>
      <c r="AI917" s="13" t="b">
        <f t="shared" si="386"/>
        <v>1</v>
      </c>
      <c r="AJ917" s="13">
        <f t="shared" si="387"/>
        <v>0</v>
      </c>
      <c r="AK917" s="28">
        <v>0.6523467210059386</v>
      </c>
      <c r="AL917" s="28">
        <v>35.998133346554916</v>
      </c>
      <c r="AM917" s="28">
        <v>0.27967269071421841</v>
      </c>
      <c r="AN917" s="13">
        <v>4</v>
      </c>
      <c r="AO917" s="33">
        <f t="shared" si="388"/>
        <v>0</v>
      </c>
      <c r="AP917" s="13">
        <f t="shared" si="398"/>
        <v>27.967269071421839</v>
      </c>
      <c r="AQ917" s="13">
        <f>IFERROR(VLOOKUP(U917,'Cortes naturales'!$E$15:$G$19,3,9),U917)</f>
        <v>4</v>
      </c>
      <c r="AR917" s="28">
        <f t="shared" si="389"/>
        <v>-0.22220692867112579</v>
      </c>
      <c r="AS917" s="13" t="b">
        <f t="shared" si="390"/>
        <v>1</v>
      </c>
      <c r="AT917" s="13">
        <f t="shared" si="399"/>
        <v>0</v>
      </c>
      <c r="AU917" s="13">
        <v>4</v>
      </c>
      <c r="AV917">
        <f t="shared" si="391"/>
        <v>0</v>
      </c>
      <c r="AW917" s="13">
        <v>0</v>
      </c>
      <c r="AX917" s="13">
        <v>0</v>
      </c>
      <c r="AY917" s="13">
        <v>0</v>
      </c>
      <c r="AZ917" s="13">
        <v>0</v>
      </c>
      <c r="BA917">
        <v>0</v>
      </c>
      <c r="BB917" t="s">
        <v>2840</v>
      </c>
      <c r="BC917">
        <v>6</v>
      </c>
      <c r="BD917" t="s">
        <v>2919</v>
      </c>
      <c r="BE917">
        <v>0</v>
      </c>
      <c r="BF917" s="232" t="s">
        <v>2846</v>
      </c>
      <c r="BG917" s="232" t="s">
        <v>2846</v>
      </c>
      <c r="BH917" s="253">
        <v>41.4</v>
      </c>
      <c r="BI917" s="253">
        <v>12.874942316566681</v>
      </c>
      <c r="BJ917" s="25">
        <v>6.0475000000000003</v>
      </c>
      <c r="BK917" t="s">
        <v>377</v>
      </c>
      <c r="BL917">
        <v>3.6983923123948408</v>
      </c>
      <c r="BM917" t="s">
        <v>383</v>
      </c>
      <c r="BN917" s="322">
        <v>7806.3717200000001</v>
      </c>
      <c r="BO917" s="322">
        <v>534.93373499999996</v>
      </c>
      <c r="BP917" s="10">
        <v>2525</v>
      </c>
      <c r="BQ917" s="254">
        <f t="shared" si="392"/>
        <v>3.0916323643564358</v>
      </c>
      <c r="BR917" s="254">
        <f t="shared" si="393"/>
        <v>0.21185494455445542</v>
      </c>
      <c r="BS917" s="25">
        <v>58.699997470369262</v>
      </c>
      <c r="BT917" s="25">
        <v>86.788778877887793</v>
      </c>
      <c r="BU917" s="25">
        <v>34.907138391588497</v>
      </c>
      <c r="BV917" s="25">
        <v>96.726638853164374</v>
      </c>
      <c r="BW917" s="25">
        <v>63.229988313173678</v>
      </c>
      <c r="BX917" s="25">
        <v>69.280638398252478</v>
      </c>
      <c r="BY917" s="25">
        <v>64.107743803654813</v>
      </c>
      <c r="BZ917">
        <v>75</v>
      </c>
      <c r="CA917">
        <v>0</v>
      </c>
      <c r="CB917">
        <v>7</v>
      </c>
      <c r="CC917">
        <v>14284.073612</v>
      </c>
      <c r="CD917" s="10">
        <v>3406.6158679999999</v>
      </c>
      <c r="CE917" s="255">
        <v>0.23849050071669428</v>
      </c>
      <c r="CF917" t="str">
        <f>IFERROR(VLOOKUP(CE917,'Rangos amb etnico'!$A$2:$C$6,3,9),"N.D.")</f>
        <v>0,1% - 30%</v>
      </c>
      <c r="CG917" s="256">
        <v>9.9111297401499986E-5</v>
      </c>
      <c r="CH917" s="232">
        <v>0</v>
      </c>
      <c r="CI917" s="311">
        <f t="shared" si="400"/>
        <v>0</v>
      </c>
      <c r="CJ917" s="232">
        <f>IFERROR(VLOOKUP(CI917,'Rangos amb etnico'!$A$2:$C$6,3,9),"N.D.")</f>
        <v>0</v>
      </c>
      <c r="CK917" s="311">
        <f t="shared" si="401"/>
        <v>0</v>
      </c>
      <c r="CL917" s="10">
        <v>0</v>
      </c>
      <c r="CM917" s="255">
        <f t="shared" si="402"/>
        <v>0</v>
      </c>
      <c r="CN917" s="232">
        <f>IFERROR(VLOOKUP(CM917,'Rangos amb etnico'!$A$2:$C$6,3,9),"N.D.")</f>
        <v>0</v>
      </c>
      <c r="CO917" s="311">
        <f t="shared" si="403"/>
        <v>0</v>
      </c>
      <c r="CP917">
        <v>0.94519891303918047</v>
      </c>
      <c r="CQ917" t="s">
        <v>2864</v>
      </c>
      <c r="CR917">
        <f t="shared" si="394"/>
        <v>2</v>
      </c>
      <c r="CS917" t="str">
        <f t="shared" si="404"/>
        <v>No es Candidato</v>
      </c>
      <c r="CT917">
        <v>0</v>
      </c>
      <c r="CU917">
        <v>0</v>
      </c>
      <c r="CV917" s="25">
        <v>49.530536651611328</v>
      </c>
      <c r="CW917" s="25">
        <v>18.21663665771484</v>
      </c>
      <c r="CX917" s="25">
        <v>47.627983093261719</v>
      </c>
      <c r="CY917" s="25">
        <v>57.488746643066413</v>
      </c>
      <c r="CZ917" s="25">
        <v>33.526882171630859</v>
      </c>
      <c r="DA917" s="25">
        <v>90.247398376464844</v>
      </c>
      <c r="DB917" s="25">
        <v>50.075576782226563</v>
      </c>
      <c r="DC917">
        <v>15</v>
      </c>
      <c r="DD917" s="253" t="s">
        <v>380</v>
      </c>
    </row>
    <row r="918" spans="1:108" hidden="1">
      <c r="A918" s="13">
        <v>15047</v>
      </c>
      <c r="B918" s="13" t="s">
        <v>2249</v>
      </c>
      <c r="C918" s="13" t="s">
        <v>498</v>
      </c>
      <c r="D918" s="13" t="s">
        <v>499</v>
      </c>
      <c r="E918" s="13" t="s">
        <v>2250</v>
      </c>
      <c r="F918" s="14">
        <v>58.902099999999997</v>
      </c>
      <c r="G918" s="13">
        <v>70.099999999999994</v>
      </c>
      <c r="H918" s="13">
        <v>58.39</v>
      </c>
      <c r="I918" s="13">
        <v>55.92</v>
      </c>
      <c r="J918" s="14">
        <v>46.701659443040668</v>
      </c>
      <c r="K918" s="14">
        <v>51.114534470391277</v>
      </c>
      <c r="L918" s="14">
        <v>54.977491480565028</v>
      </c>
      <c r="M918" s="14">
        <v>55.215400000000002</v>
      </c>
      <c r="N918" s="14">
        <f t="shared" si="378"/>
        <v>60.828024999999997</v>
      </c>
      <c r="O918" s="14">
        <f t="shared" si="379"/>
        <v>52.002271348499249</v>
      </c>
      <c r="P918" s="14">
        <f t="shared" si="395"/>
        <v>56.415148174249623</v>
      </c>
      <c r="Q918" s="14">
        <v>64.61372659930349</v>
      </c>
      <c r="R918" s="17">
        <f t="shared" si="380"/>
        <v>35.38627340069651</v>
      </c>
      <c r="S918" s="14">
        <f t="shared" si="396"/>
        <v>0.41847646060626864</v>
      </c>
      <c r="T918" s="13">
        <v>0</v>
      </c>
      <c r="U918" s="13">
        <f t="shared" si="397"/>
        <v>23.608411532538181</v>
      </c>
      <c r="V918" s="13">
        <f>IF($T918=1,$AU918,(VLOOKUP(U918,'Cortes naturales'!$A$35:$C$39,3,9)))</f>
        <v>4</v>
      </c>
      <c r="W918" s="13">
        <v>4</v>
      </c>
      <c r="X918" s="14" t="b">
        <f t="shared" si="381"/>
        <v>1</v>
      </c>
      <c r="Y918" s="17">
        <f>IF($T918=1,$AU918,VLOOKUP(U918,'Cortes naturales'!$A$45:$C$49,3,9))</f>
        <v>4</v>
      </c>
      <c r="Z918" s="14">
        <v>55.477478773044041</v>
      </c>
      <c r="AA918" s="14">
        <v>0.4296540599699884</v>
      </c>
      <c r="AB918" s="14">
        <v>23.836123991737225</v>
      </c>
      <c r="AC918" s="13">
        <v>4</v>
      </c>
      <c r="AD918" s="13">
        <f t="shared" si="382"/>
        <v>0</v>
      </c>
      <c r="AE918" s="14">
        <f t="shared" si="383"/>
        <v>0.93766940120558218</v>
      </c>
      <c r="AF918" s="14">
        <f t="shared" si="384"/>
        <v>-1.1177599363719759E-2</v>
      </c>
      <c r="AG918" s="13">
        <f t="shared" si="385"/>
        <v>-0.22771245919904359</v>
      </c>
      <c r="AH918" s="13">
        <f>IF($T918=1,$AU918,VLOOKUP(U918,'Cortes naturales'!$A$25:$C$29,3,9))</f>
        <v>4</v>
      </c>
      <c r="AI918" s="13" t="b">
        <f t="shared" si="386"/>
        <v>1</v>
      </c>
      <c r="AJ918" s="13">
        <f t="shared" si="387"/>
        <v>0</v>
      </c>
      <c r="AK918" s="28">
        <v>0.6523467210059386</v>
      </c>
      <c r="AL918" s="28">
        <v>36.190551367271844</v>
      </c>
      <c r="AM918" s="28">
        <v>0.28207963732567504</v>
      </c>
      <c r="AN918" s="13">
        <v>4</v>
      </c>
      <c r="AO918" s="33">
        <f t="shared" si="388"/>
        <v>0</v>
      </c>
      <c r="AP918" s="13">
        <f t="shared" si="398"/>
        <v>28.207963732567503</v>
      </c>
      <c r="AQ918" s="13">
        <f>IFERROR(VLOOKUP(U918,'Cortes naturales'!$E$15:$G$19,3,9),U918)</f>
        <v>4</v>
      </c>
      <c r="AR918" s="28">
        <f t="shared" si="389"/>
        <v>-0.23387026039966996</v>
      </c>
      <c r="AS918" s="13" t="b">
        <f t="shared" si="390"/>
        <v>1</v>
      </c>
      <c r="AT918" s="13">
        <f t="shared" si="399"/>
        <v>0</v>
      </c>
      <c r="AU918" s="13">
        <v>4</v>
      </c>
      <c r="AV918">
        <f t="shared" si="391"/>
        <v>0</v>
      </c>
      <c r="AW918" s="13">
        <v>0</v>
      </c>
      <c r="AX918" s="13">
        <v>0</v>
      </c>
      <c r="AY918" s="13">
        <v>0</v>
      </c>
      <c r="AZ918" s="13">
        <v>0</v>
      </c>
      <c r="BA918">
        <v>0</v>
      </c>
      <c r="BB918" t="s">
        <v>2840</v>
      </c>
      <c r="BC918">
        <v>6</v>
      </c>
      <c r="BD918" t="s">
        <v>2919</v>
      </c>
      <c r="BE918">
        <v>1</v>
      </c>
      <c r="BF918" s="232" t="s">
        <v>2846</v>
      </c>
      <c r="BG918" s="232" t="s">
        <v>2846</v>
      </c>
      <c r="BH918" s="253">
        <v>33.5</v>
      </c>
      <c r="BI918" s="253">
        <v>13.001443001443002</v>
      </c>
      <c r="BJ918" s="25">
        <v>31.95288603590156</v>
      </c>
      <c r="BK918" t="s">
        <v>379</v>
      </c>
      <c r="BL918">
        <v>0.5214780752999908</v>
      </c>
      <c r="BM918" t="s">
        <v>383</v>
      </c>
      <c r="BN918" s="322">
        <v>37001.534784000003</v>
      </c>
      <c r="BO918" s="322">
        <v>3829.63967</v>
      </c>
      <c r="BP918" s="10">
        <v>15405</v>
      </c>
      <c r="BQ918" s="254">
        <f t="shared" si="392"/>
        <v>2.4019172206426487</v>
      </c>
      <c r="BR918" s="254">
        <f t="shared" si="393"/>
        <v>0.24859718727685817</v>
      </c>
      <c r="BS918" s="25">
        <v>64.878592063373588</v>
      </c>
      <c r="BT918" s="25">
        <v>91.794951853294378</v>
      </c>
      <c r="BU918" s="25">
        <v>62.075172927847333</v>
      </c>
      <c r="BV918" s="25">
        <v>84.743035811942008</v>
      </c>
      <c r="BW918" s="25">
        <v>60.459783454208917</v>
      </c>
      <c r="BX918" s="25">
        <v>75.872938164114316</v>
      </c>
      <c r="BY918" s="25">
        <v>64.651946213308804</v>
      </c>
      <c r="BZ918">
        <v>62</v>
      </c>
      <c r="CA918">
        <v>0</v>
      </c>
      <c r="CB918">
        <v>7</v>
      </c>
      <c r="CC918">
        <v>94035.437550999995</v>
      </c>
      <c r="CD918" s="10">
        <v>60949.261149999998</v>
      </c>
      <c r="CE918" s="255">
        <v>0.64815204498776591</v>
      </c>
      <c r="CF918" t="str">
        <f>IFERROR(VLOOKUP(CE918,'Rangos amb etnico'!$A$2:$C$6,3,9),"N.D.")</f>
        <v>51% - 70%</v>
      </c>
      <c r="CG918" s="256">
        <v>1.7732437651638798E-3</v>
      </c>
      <c r="CH918" s="232">
        <v>0</v>
      </c>
      <c r="CI918" s="311">
        <f t="shared" si="400"/>
        <v>0</v>
      </c>
      <c r="CJ918" s="232">
        <f>IFERROR(VLOOKUP(CI918,'Rangos amb etnico'!$A$2:$C$6,3,9),"N.D.")</f>
        <v>0</v>
      </c>
      <c r="CK918" s="311">
        <f t="shared" si="401"/>
        <v>0</v>
      </c>
      <c r="CL918" s="10">
        <v>0</v>
      </c>
      <c r="CM918" s="255">
        <f t="shared" si="402"/>
        <v>0</v>
      </c>
      <c r="CN918" s="232">
        <f>IFERROR(VLOOKUP(CM918,'Rangos amb etnico'!$A$2:$C$6,3,9),"N.D.")</f>
        <v>0</v>
      </c>
      <c r="CO918" s="311">
        <f t="shared" si="403"/>
        <v>0</v>
      </c>
      <c r="CP918">
        <v>0.98585547289249031</v>
      </c>
      <c r="CQ918" t="s">
        <v>2864</v>
      </c>
      <c r="CR918">
        <f t="shared" si="394"/>
        <v>2</v>
      </c>
      <c r="CS918" t="str">
        <f t="shared" si="404"/>
        <v>No es Candidato</v>
      </c>
      <c r="CT918">
        <v>0</v>
      </c>
      <c r="CU918">
        <v>0</v>
      </c>
      <c r="CV918" s="25">
        <v>54.300041198730469</v>
      </c>
      <c r="CW918" s="25">
        <v>27.37099647521973</v>
      </c>
      <c r="CX918" s="25">
        <v>50.581157684326172</v>
      </c>
      <c r="CY918" s="25">
        <v>60.549320220947273</v>
      </c>
      <c r="CZ918" s="25">
        <v>44.818527221679688</v>
      </c>
      <c r="DA918" s="25">
        <v>67.088508605957031</v>
      </c>
      <c r="DB918" s="25">
        <v>75.391738891601563</v>
      </c>
      <c r="DC918">
        <v>144</v>
      </c>
      <c r="DD918" s="253" t="s">
        <v>380</v>
      </c>
    </row>
    <row r="919" spans="1:108" hidden="1">
      <c r="A919" s="13">
        <v>68152</v>
      </c>
      <c r="B919" s="13" t="s">
        <v>2251</v>
      </c>
      <c r="C919" s="13" t="s">
        <v>431</v>
      </c>
      <c r="D919" s="13" t="s">
        <v>432</v>
      </c>
      <c r="E919" s="13" t="s">
        <v>2252</v>
      </c>
      <c r="F919" s="14">
        <v>54.102066666666701</v>
      </c>
      <c r="G919" s="13">
        <v>53.85</v>
      </c>
      <c r="H919" s="13">
        <v>42.58</v>
      </c>
      <c r="I919" s="13">
        <v>64.92</v>
      </c>
      <c r="J919" s="14">
        <v>46.312132629738173</v>
      </c>
      <c r="K919" s="14">
        <v>50.366014081351267</v>
      </c>
      <c r="L919" s="14">
        <v>59.968417737099053</v>
      </c>
      <c r="M919" s="14">
        <v>44.621499999999997</v>
      </c>
      <c r="N919" s="14">
        <f t="shared" si="378"/>
        <v>53.863016666666681</v>
      </c>
      <c r="O919" s="14">
        <f t="shared" si="379"/>
        <v>50.317016112047121</v>
      </c>
      <c r="P919" s="14">
        <f t="shared" si="395"/>
        <v>52.090016389356904</v>
      </c>
      <c r="Q919" s="14">
        <v>63.706595308570243</v>
      </c>
      <c r="R919" s="17">
        <f t="shared" si="380"/>
        <v>36.293404691429757</v>
      </c>
      <c r="S919" s="14">
        <f t="shared" si="396"/>
        <v>0.42664064222286779</v>
      </c>
      <c r="T919" s="13">
        <v>0</v>
      </c>
      <c r="U919" s="13">
        <f t="shared" si="397"/>
        <v>22.223718045754939</v>
      </c>
      <c r="V919" s="13">
        <f>IF($T919=1,$AU919,(VLOOKUP(U919,'Cortes naturales'!$A$35:$C$39,3,9)))</f>
        <v>4</v>
      </c>
      <c r="W919" s="13">
        <v>4</v>
      </c>
      <c r="X919" s="14" t="b">
        <f t="shared" si="381"/>
        <v>1</v>
      </c>
      <c r="Y919" s="17">
        <f>IF($T919=1,$AU919,VLOOKUP(U919,'Cortes naturales'!$A$45:$C$49,3,9))</f>
        <v>4</v>
      </c>
      <c r="Z919" s="14">
        <v>51.143813119402431</v>
      </c>
      <c r="AA919" s="14">
        <v>0.42815727200239462</v>
      </c>
      <c r="AB919" s="14">
        <v>21.897595505003626</v>
      </c>
      <c r="AC919" s="13">
        <v>4</v>
      </c>
      <c r="AD919" s="13">
        <f t="shared" si="382"/>
        <v>0</v>
      </c>
      <c r="AE919" s="14">
        <f t="shared" si="383"/>
        <v>0.94620326995447357</v>
      </c>
      <c r="AF919" s="14">
        <f t="shared" si="384"/>
        <v>-1.5166297795268235E-3</v>
      </c>
      <c r="AG919" s="13">
        <f t="shared" si="385"/>
        <v>0.32612254075131375</v>
      </c>
      <c r="AH919" s="13">
        <f>IF($T919=1,$AU919,VLOOKUP(U919,'Cortes naturales'!$A$25:$C$29,3,9))</f>
        <v>4</v>
      </c>
      <c r="AI919" s="13" t="b">
        <f t="shared" si="386"/>
        <v>1</v>
      </c>
      <c r="AJ919" s="13">
        <f t="shared" si="387"/>
        <v>0</v>
      </c>
      <c r="AK919" s="28">
        <v>0.6523467210059386</v>
      </c>
      <c r="AL919" s="28">
        <v>33.363498788182682</v>
      </c>
      <c r="AM919" s="28">
        <v>0.24671618955557945</v>
      </c>
      <c r="AN919" s="13">
        <v>4</v>
      </c>
      <c r="AO919" s="33">
        <f t="shared" si="388"/>
        <v>0</v>
      </c>
      <c r="AP919" s="13">
        <f t="shared" si="398"/>
        <v>24.671618955557946</v>
      </c>
      <c r="AQ919" s="13">
        <f>IFERROR(VLOOKUP(U919,'Cortes naturales'!$E$15:$G$19,3,9),U919)</f>
        <v>4</v>
      </c>
      <c r="AR919" s="28">
        <f t="shared" si="389"/>
        <v>-0.22570607878307081</v>
      </c>
      <c r="AS919" s="13" t="b">
        <f t="shared" si="390"/>
        <v>1</v>
      </c>
      <c r="AT919" s="13">
        <f t="shared" si="399"/>
        <v>0</v>
      </c>
      <c r="AU919" s="13">
        <v>4</v>
      </c>
      <c r="AV919">
        <f t="shared" si="391"/>
        <v>0</v>
      </c>
      <c r="AW919" s="13">
        <v>0</v>
      </c>
      <c r="AX919" s="13">
        <v>0</v>
      </c>
      <c r="AY919" s="13">
        <v>0</v>
      </c>
      <c r="AZ919" s="13">
        <v>0</v>
      </c>
      <c r="BA919">
        <v>0</v>
      </c>
      <c r="BB919" t="s">
        <v>2841</v>
      </c>
      <c r="BC919">
        <v>6</v>
      </c>
      <c r="BD919" t="s">
        <v>2919</v>
      </c>
      <c r="BE919">
        <v>0</v>
      </c>
      <c r="BF919" s="232" t="s">
        <v>2846</v>
      </c>
      <c r="BG919" s="232" t="s">
        <v>2846</v>
      </c>
      <c r="BH919" s="253">
        <v>60.8</v>
      </c>
      <c r="BI919" s="253">
        <v>28.184019370460049</v>
      </c>
      <c r="BJ919" s="25">
        <v>34.387999999999998</v>
      </c>
      <c r="BK919" t="s">
        <v>379</v>
      </c>
      <c r="BL919">
        <v>0</v>
      </c>
      <c r="BM919" t="s">
        <v>377</v>
      </c>
      <c r="BN919" s="322">
        <v>15041.167090000001</v>
      </c>
      <c r="BO919" s="322">
        <v>662.14818200000002</v>
      </c>
      <c r="BP919" s="10">
        <v>4852</v>
      </c>
      <c r="BQ919" s="254">
        <f t="shared" si="392"/>
        <v>3.0999932172300082</v>
      </c>
      <c r="BR919" s="254">
        <f t="shared" si="393"/>
        <v>0.13646912242374279</v>
      </c>
      <c r="BS919" s="25">
        <v>66.377136688525027</v>
      </c>
      <c r="BT919" s="25">
        <v>83.492978224787038</v>
      </c>
      <c r="BU919" s="25">
        <v>32.822146195550573</v>
      </c>
      <c r="BV919" s="25">
        <v>97.827167115128987</v>
      </c>
      <c r="BW919" s="25">
        <v>59.655417231667357</v>
      </c>
      <c r="BX919" s="25">
        <v>70.129857055997917</v>
      </c>
      <c r="BY919" s="25">
        <v>61.119521478879527</v>
      </c>
      <c r="BZ919">
        <v>58</v>
      </c>
      <c r="CA919">
        <v>0</v>
      </c>
      <c r="CB919">
        <v>7</v>
      </c>
      <c r="CC919">
        <v>25836.871983000001</v>
      </c>
      <c r="CD919" s="10">
        <v>16626.520055000001</v>
      </c>
      <c r="CE919" s="255">
        <v>0.64351907870038694</v>
      </c>
      <c r="CF919" t="str">
        <f>IFERROR(VLOOKUP(CE919,'Rangos amb etnico'!$A$2:$C$6,3,9),"N.D.")</f>
        <v>51% - 70%</v>
      </c>
      <c r="CG919" s="256">
        <v>4.8372814481445047E-4</v>
      </c>
      <c r="CH919" s="232">
        <v>0</v>
      </c>
      <c r="CI919" s="311">
        <f t="shared" si="400"/>
        <v>0</v>
      </c>
      <c r="CJ919" s="232">
        <f>IFERROR(VLOOKUP(CI919,'Rangos amb etnico'!$A$2:$C$6,3,9),"N.D.")</f>
        <v>0</v>
      </c>
      <c r="CK919" s="311">
        <f t="shared" si="401"/>
        <v>0</v>
      </c>
      <c r="CL919" s="10">
        <v>0</v>
      </c>
      <c r="CM919" s="255">
        <f t="shared" si="402"/>
        <v>0</v>
      </c>
      <c r="CN919" s="232">
        <f>IFERROR(VLOOKUP(CM919,'Rangos amb etnico'!$A$2:$C$6,3,9),"N.D.")</f>
        <v>0</v>
      </c>
      <c r="CO919" s="311">
        <f t="shared" si="403"/>
        <v>0</v>
      </c>
      <c r="CP919">
        <v>0.97560962995500478</v>
      </c>
      <c r="CQ919" t="s">
        <v>2864</v>
      </c>
      <c r="CR919">
        <f t="shared" si="394"/>
        <v>3</v>
      </c>
      <c r="CS919" t="str">
        <f t="shared" si="404"/>
        <v>Candidato</v>
      </c>
      <c r="CT919">
        <v>0</v>
      </c>
      <c r="CU919">
        <v>0</v>
      </c>
      <c r="CV919" s="25">
        <v>51.574111938476563</v>
      </c>
      <c r="CW919" s="25">
        <v>17.765459060668949</v>
      </c>
      <c r="CX919" s="25">
        <v>54.611049652099609</v>
      </c>
      <c r="CY919" s="25">
        <v>51.514217376708977</v>
      </c>
      <c r="CZ919" s="25">
        <v>38.086437225341797</v>
      </c>
      <c r="DA919" s="25">
        <v>92.9791259765625</v>
      </c>
      <c r="DB919" s="25">
        <v>54.488376617431641</v>
      </c>
      <c r="DC919">
        <v>25</v>
      </c>
      <c r="DD919" s="253" t="s">
        <v>380</v>
      </c>
    </row>
    <row r="920" spans="1:108" hidden="1">
      <c r="A920" s="13">
        <v>27450</v>
      </c>
      <c r="B920" s="13" t="s">
        <v>2253</v>
      </c>
      <c r="C920" s="13" t="s">
        <v>1714</v>
      </c>
      <c r="D920" s="13" t="s">
        <v>1715</v>
      </c>
      <c r="E920" s="13" t="s">
        <v>2254</v>
      </c>
      <c r="F920" s="14">
        <v>71.059233333333296</v>
      </c>
      <c r="G920" s="13">
        <v>73.31</v>
      </c>
      <c r="H920" s="13">
        <v>78.86</v>
      </c>
      <c r="I920" s="13">
        <v>85.61</v>
      </c>
      <c r="J920" s="14">
        <v>53.347626936403657</v>
      </c>
      <c r="K920" s="14">
        <v>60.102836287977382</v>
      </c>
      <c r="L920" s="14">
        <v>60.649018631303129</v>
      </c>
      <c r="M920" s="14">
        <v>58.8414</v>
      </c>
      <c r="N920" s="14">
        <f t="shared" si="378"/>
        <v>77.209808333333328</v>
      </c>
      <c r="O920" s="14">
        <f t="shared" si="379"/>
        <v>58.235220463921038</v>
      </c>
      <c r="P920" s="14">
        <f t="shared" si="395"/>
        <v>67.722514398627183</v>
      </c>
      <c r="Q920" s="14">
        <v>64.487062302902459</v>
      </c>
      <c r="R920" s="17">
        <f t="shared" si="380"/>
        <v>35.512937697097541</v>
      </c>
      <c r="S920" s="14">
        <f t="shared" si="396"/>
        <v>0.41961643927387793</v>
      </c>
      <c r="T920" s="13">
        <v>0</v>
      </c>
      <c r="U920" s="13">
        <f t="shared" si="397"/>
        <v>28.417480350625866</v>
      </c>
      <c r="V920" s="13">
        <f>IF($T920=1,$AU920,(VLOOKUP(U920,'Cortes naturales'!$A$35:$C$39,3,9)))</f>
        <v>4</v>
      </c>
      <c r="W920" s="13">
        <v>4</v>
      </c>
      <c r="X920" s="14" t="b">
        <f t="shared" si="381"/>
        <v>1</v>
      </c>
      <c r="Y920" s="17">
        <f>IF($T920=1,$AU920,VLOOKUP(U920,'Cortes naturales'!$A$45:$C$49,3,9))</f>
        <v>3</v>
      </c>
      <c r="Z920" s="14">
        <v>65.430942957861333</v>
      </c>
      <c r="AA920" s="14">
        <v>0.42803738762721655</v>
      </c>
      <c r="AB920" s="14">
        <v>28.006889893668387</v>
      </c>
      <c r="AC920" s="13">
        <v>3</v>
      </c>
      <c r="AD920" s="13">
        <f t="shared" si="382"/>
        <v>0</v>
      </c>
      <c r="AE920" s="14">
        <f t="shared" si="383"/>
        <v>2.2915714407658498</v>
      </c>
      <c r="AF920" s="14">
        <f t="shared" si="384"/>
        <v>-8.4209483533386198E-3</v>
      </c>
      <c r="AG920" s="13">
        <f t="shared" si="385"/>
        <v>0.41059045695747898</v>
      </c>
      <c r="AH920" s="13">
        <f>IF($T920=1,$AU920,VLOOKUP(U920,'Cortes naturales'!$A$25:$C$29,3,9))</f>
        <v>3</v>
      </c>
      <c r="AI920" s="13" t="b">
        <f t="shared" si="386"/>
        <v>1</v>
      </c>
      <c r="AJ920" s="13">
        <f t="shared" si="387"/>
        <v>0</v>
      </c>
      <c r="AK920" s="28">
        <v>0.6523467210059386</v>
      </c>
      <c r="AL920" s="28">
        <v>42.683661090887448</v>
      </c>
      <c r="AM920" s="28">
        <v>0.36330159558531239</v>
      </c>
      <c r="AN920" s="13">
        <v>3</v>
      </c>
      <c r="AO920" s="33">
        <f t="shared" si="388"/>
        <v>0</v>
      </c>
      <c r="AP920" s="13">
        <f t="shared" si="398"/>
        <v>36.330159558531236</v>
      </c>
      <c r="AQ920" s="13">
        <f>IFERROR(VLOOKUP(U920,'Cortes naturales'!$E$15:$G$19,3,9),U920)</f>
        <v>4</v>
      </c>
      <c r="AR920" s="28">
        <f t="shared" si="389"/>
        <v>-0.23273028173206067</v>
      </c>
      <c r="AS920" s="13" t="b">
        <f t="shared" si="390"/>
        <v>0</v>
      </c>
      <c r="AT920" s="13">
        <f t="shared" si="399"/>
        <v>0</v>
      </c>
      <c r="AU920" s="13">
        <v>4</v>
      </c>
      <c r="AV920">
        <f t="shared" si="391"/>
        <v>1</v>
      </c>
      <c r="AW920" s="13">
        <v>0</v>
      </c>
      <c r="AX920" s="13">
        <v>0</v>
      </c>
      <c r="AY920" s="13">
        <v>0</v>
      </c>
      <c r="AZ920" s="13">
        <v>1</v>
      </c>
      <c r="BA920">
        <v>1</v>
      </c>
      <c r="BB920" t="s">
        <v>2841</v>
      </c>
      <c r="BC920">
        <v>6</v>
      </c>
      <c r="BD920" t="s">
        <v>2919</v>
      </c>
      <c r="BE920">
        <v>0</v>
      </c>
      <c r="BF920" s="232" t="s">
        <v>2846</v>
      </c>
      <c r="BG920" s="232" t="s">
        <v>2846</v>
      </c>
      <c r="BH920" s="253">
        <v>69.7</v>
      </c>
      <c r="BI920" s="253">
        <v>64.092365484476858</v>
      </c>
      <c r="BJ920" s="25">
        <v>62.02</v>
      </c>
      <c r="BK920" t="s">
        <v>376</v>
      </c>
      <c r="BL920">
        <v>14.136339041660184</v>
      </c>
      <c r="BM920" t="s">
        <v>376</v>
      </c>
      <c r="BN920" s="322">
        <v>33985.194580000003</v>
      </c>
      <c r="BO920" s="322">
        <v>1716.402513</v>
      </c>
      <c r="BP920" s="10">
        <v>11112</v>
      </c>
      <c r="BQ920" s="254">
        <f t="shared" si="392"/>
        <v>3.0584228383729304</v>
      </c>
      <c r="BR920" s="254">
        <f t="shared" si="393"/>
        <v>0.15446386906047516</v>
      </c>
      <c r="BS920" s="25">
        <v>63.934315310460448</v>
      </c>
      <c r="BT920" s="25">
        <v>79.855051464865952</v>
      </c>
      <c r="BU920" s="25">
        <v>52.684257236482757</v>
      </c>
      <c r="BV920" s="25">
        <v>99.78372585621689</v>
      </c>
      <c r="BW920" s="25">
        <v>29.254094771005839</v>
      </c>
      <c r="BX920" s="25">
        <v>74.06433746700651</v>
      </c>
      <c r="BY920" s="25">
        <v>30.099052087194721</v>
      </c>
      <c r="BZ920">
        <v>27</v>
      </c>
      <c r="CA920">
        <v>0</v>
      </c>
      <c r="CB920">
        <v>7</v>
      </c>
      <c r="CC920">
        <v>66377.404699000006</v>
      </c>
      <c r="CD920" s="10">
        <v>786.15826500000003</v>
      </c>
      <c r="CE920" s="255">
        <v>1.1843763228842294E-2</v>
      </c>
      <c r="CF920" t="str">
        <f>IFERROR(VLOOKUP(CE920,'Rangos amb etnico'!$A$2:$C$6,3,9),"N.D.")</f>
        <v>0,1% - 30%</v>
      </c>
      <c r="CG920" s="256">
        <v>2.2872307482324637E-5</v>
      </c>
      <c r="CH920" s="232">
        <v>66101.573782000007</v>
      </c>
      <c r="CI920" s="311">
        <f t="shared" si="400"/>
        <v>0.99584450584877782</v>
      </c>
      <c r="CJ920" s="232" t="str">
        <f>IFERROR(VLOOKUP(CI920,'Rangos amb etnico'!$A$2:$C$6,3,9),"N.D.")</f>
        <v>71% - 100%</v>
      </c>
      <c r="CK920" s="311">
        <f t="shared" si="401"/>
        <v>2.6246652594011824E-3</v>
      </c>
      <c r="CL920" s="10">
        <v>0</v>
      </c>
      <c r="CM920" s="255">
        <f t="shared" si="402"/>
        <v>0</v>
      </c>
      <c r="CN920" s="232">
        <f>IFERROR(VLOOKUP(CM920,'Rangos amb etnico'!$A$2:$C$6,3,9),"N.D.")</f>
        <v>0</v>
      </c>
      <c r="CO920" s="311">
        <f t="shared" si="403"/>
        <v>0</v>
      </c>
      <c r="CP920">
        <v>0.88533625294972906</v>
      </c>
      <c r="CQ920" t="s">
        <v>2864</v>
      </c>
      <c r="CR920">
        <f t="shared" si="394"/>
        <v>2</v>
      </c>
      <c r="CS920" t="str">
        <f t="shared" si="404"/>
        <v>No es Candidato</v>
      </c>
      <c r="CT920">
        <v>0</v>
      </c>
      <c r="CU920">
        <v>0</v>
      </c>
      <c r="CV920" s="25">
        <v>40.568248748779297</v>
      </c>
      <c r="CW920" s="25">
        <v>16.696481704711911</v>
      </c>
      <c r="CX920" s="25">
        <v>41.773151397705078</v>
      </c>
      <c r="CY920" s="25">
        <v>34.602291107177727</v>
      </c>
      <c r="CZ920" s="25">
        <v>7.7111873626708984</v>
      </c>
      <c r="DA920" s="25">
        <v>90.116432189941406</v>
      </c>
      <c r="DB920" s="25">
        <v>52.50994873046875</v>
      </c>
      <c r="DC920">
        <v>10507</v>
      </c>
      <c r="DD920" s="253" t="s">
        <v>380</v>
      </c>
    </row>
    <row r="921" spans="1:108" hidden="1">
      <c r="A921" s="13">
        <v>81300</v>
      </c>
      <c r="B921" s="13" t="s">
        <v>2255</v>
      </c>
      <c r="C921" s="13" t="s">
        <v>1568</v>
      </c>
      <c r="D921" s="13" t="s">
        <v>1569</v>
      </c>
      <c r="E921" s="13" t="s">
        <v>2256</v>
      </c>
      <c r="F921" s="14">
        <v>71.018433333333306</v>
      </c>
      <c r="G921" s="13">
        <v>70.56</v>
      </c>
      <c r="H921" s="13">
        <v>67.31</v>
      </c>
      <c r="I921" s="13">
        <v>75.55</v>
      </c>
      <c r="J921" s="14">
        <v>63.934312157144198</v>
      </c>
      <c r="K921" s="14">
        <v>52.830901328946105</v>
      </c>
      <c r="L921" s="14">
        <v>66.112287535171319</v>
      </c>
      <c r="M921" s="14">
        <v>63.075499999999998</v>
      </c>
      <c r="N921" s="14">
        <f t="shared" si="378"/>
        <v>71.109608333333327</v>
      </c>
      <c r="O921" s="14">
        <f t="shared" si="379"/>
        <v>61.488250255315407</v>
      </c>
      <c r="P921" s="14">
        <f t="shared" si="395"/>
        <v>66.298929294324367</v>
      </c>
      <c r="Q921" s="14">
        <v>65.587059548668876</v>
      </c>
      <c r="R921" s="17">
        <f t="shared" si="380"/>
        <v>34.412940451331124</v>
      </c>
      <c r="S921" s="203">
        <f t="shared" si="396"/>
        <v>0.40971646406198015</v>
      </c>
      <c r="T921" s="13">
        <v>0</v>
      </c>
      <c r="U921" s="13">
        <f t="shared" si="397"/>
        <v>27.163762881565813</v>
      </c>
      <c r="V921" s="13">
        <f>IF($T921=1,$AU921,(VLOOKUP(U921,'Cortes naturales'!$A$35:$C$39,3,9)))</f>
        <v>4</v>
      </c>
      <c r="W921" s="13">
        <v>4</v>
      </c>
      <c r="X921" s="14" t="b">
        <f t="shared" si="381"/>
        <v>1</v>
      </c>
      <c r="Y921" s="17">
        <f>IF($T921=1,$AU921,VLOOKUP(U921,'Cortes naturales'!$A$45:$C$49,3,9))</f>
        <v>4</v>
      </c>
      <c r="Z921" s="14">
        <v>66.024907717595823</v>
      </c>
      <c r="AA921" s="203">
        <v>0.42782057070592905</v>
      </c>
      <c r="AB921" s="14">
        <v>28.246813700548145</v>
      </c>
      <c r="AC921" s="13">
        <v>3</v>
      </c>
      <c r="AD921" s="13">
        <f t="shared" si="382"/>
        <v>-1</v>
      </c>
      <c r="AE921" s="14">
        <f t="shared" si="383"/>
        <v>0.27402157672854344</v>
      </c>
      <c r="AF921" s="14">
        <f t="shared" si="384"/>
        <v>-1.8104106643948903E-2</v>
      </c>
      <c r="AG921" s="13">
        <f t="shared" si="385"/>
        <v>-1.0830508189823327</v>
      </c>
      <c r="AH921" s="13">
        <f>IF($T921=1,$AU921,VLOOKUP(U921,'Cortes naturales'!$A$25:$C$29,3,9))</f>
        <v>4</v>
      </c>
      <c r="AI921" s="13" t="b">
        <f t="shared" si="386"/>
        <v>1</v>
      </c>
      <c r="AJ921" s="13" t="str">
        <f t="shared" si="387"/>
        <v>Efecto ponderador</v>
      </c>
      <c r="AK921" s="28">
        <v>0.6523467210059386</v>
      </c>
      <c r="AL921" s="28">
        <v>43.071132054293322</v>
      </c>
      <c r="AM921" s="28">
        <v>0.36814844890462595</v>
      </c>
      <c r="AN921" s="13">
        <v>3</v>
      </c>
      <c r="AO921" s="33">
        <f t="shared" si="388"/>
        <v>-1</v>
      </c>
      <c r="AP921" s="13">
        <f t="shared" si="398"/>
        <v>36.814844890462595</v>
      </c>
      <c r="AQ921" s="13">
        <f>IFERROR(VLOOKUP(U921,'Cortes naturales'!$E$15:$G$19,3,9),U921)</f>
        <v>4</v>
      </c>
      <c r="AR921" s="28">
        <f t="shared" si="389"/>
        <v>-0.24263025694395846</v>
      </c>
      <c r="AS921" s="13" t="b">
        <f t="shared" si="390"/>
        <v>1</v>
      </c>
      <c r="AT921" s="13" t="str">
        <f t="shared" si="399"/>
        <v>Efecto ponderador</v>
      </c>
      <c r="AU921" s="13">
        <v>4</v>
      </c>
      <c r="AV921">
        <f t="shared" si="391"/>
        <v>0</v>
      </c>
      <c r="AW921" s="13">
        <v>0</v>
      </c>
      <c r="AX921" s="13">
        <v>0</v>
      </c>
      <c r="AY921" s="13">
        <v>0</v>
      </c>
      <c r="AZ921" s="13">
        <v>1</v>
      </c>
      <c r="BA921">
        <v>1</v>
      </c>
      <c r="BB921" t="s">
        <v>2840</v>
      </c>
      <c r="BC921">
        <v>6</v>
      </c>
      <c r="BD921" t="s">
        <v>2919</v>
      </c>
      <c r="BE921">
        <v>0</v>
      </c>
      <c r="BF921" s="232" t="s">
        <v>2846</v>
      </c>
      <c r="BG921" s="232" t="s">
        <v>2846</v>
      </c>
      <c r="BH921" s="253">
        <v>48.3</v>
      </c>
      <c r="BI921" s="253">
        <v>34.448660457629067</v>
      </c>
      <c r="BJ921" s="25">
        <v>34.787242935178718</v>
      </c>
      <c r="BK921" t="s">
        <v>379</v>
      </c>
      <c r="BL921">
        <v>28.328474636773443</v>
      </c>
      <c r="BM921" t="s">
        <v>384</v>
      </c>
      <c r="BN921" s="322">
        <v>54575.990141000002</v>
      </c>
      <c r="BO921" s="322">
        <v>5130.344564</v>
      </c>
      <c r="BP921" s="10">
        <v>20073</v>
      </c>
      <c r="BQ921" s="254">
        <f t="shared" si="392"/>
        <v>2.718875611069596</v>
      </c>
      <c r="BR921" s="254">
        <f t="shared" si="393"/>
        <v>0.2555843453395108</v>
      </c>
      <c r="BS921" s="25">
        <v>63.563361384034387</v>
      </c>
      <c r="BT921" s="25">
        <v>94.374476666666666</v>
      </c>
      <c r="BU921" s="25">
        <v>50.82500000000001</v>
      </c>
      <c r="BV921" s="25">
        <v>97.03213682699247</v>
      </c>
      <c r="BW921" s="25">
        <v>59.685252098806181</v>
      </c>
      <c r="BX921" s="25">
        <v>76.448743719423391</v>
      </c>
      <c r="BY921" s="25">
        <v>61.247774939634617</v>
      </c>
      <c r="BZ921">
        <v>53</v>
      </c>
      <c r="CA921">
        <v>0</v>
      </c>
      <c r="CB921">
        <v>7</v>
      </c>
      <c r="CC921">
        <v>115552.52545</v>
      </c>
      <c r="CD921" s="10">
        <v>38271.822240000001</v>
      </c>
      <c r="CE921" s="255">
        <v>0.3312071466283994</v>
      </c>
      <c r="CF921" t="str">
        <f>IFERROR(VLOOKUP(CE921,'Rangos amb etnico'!$A$2:$C$6,3,9),"N.D.")</f>
        <v>31% - 50%</v>
      </c>
      <c r="CG921" s="256">
        <v>1.1134715809190793E-3</v>
      </c>
      <c r="CH921" s="232">
        <v>52489.599757000004</v>
      </c>
      <c r="CI921" s="311">
        <f t="shared" si="400"/>
        <v>0.45424883231749397</v>
      </c>
      <c r="CJ921" s="232" t="str">
        <f>IFERROR(VLOOKUP(CI921,'Rangos amb etnico'!$A$2:$C$6,3,9),"N.D.")</f>
        <v>31% - 50%</v>
      </c>
      <c r="CK921" s="311">
        <f t="shared" si="401"/>
        <v>2.0841807702857732E-3</v>
      </c>
      <c r="CL921" s="10">
        <v>0</v>
      </c>
      <c r="CM921" s="255">
        <f t="shared" si="402"/>
        <v>0</v>
      </c>
      <c r="CN921" s="232">
        <f>IFERROR(VLOOKUP(CM921,'Rangos amb etnico'!$A$2:$C$6,3,9),"N.D.")</f>
        <v>0</v>
      </c>
      <c r="CO921" s="311">
        <f t="shared" si="403"/>
        <v>0</v>
      </c>
      <c r="CP921">
        <v>0.98697497927738098</v>
      </c>
      <c r="CQ921" t="s">
        <v>2864</v>
      </c>
      <c r="CR921">
        <f t="shared" si="394"/>
        <v>4</v>
      </c>
      <c r="CS921" t="str">
        <f t="shared" si="404"/>
        <v>Candidato</v>
      </c>
      <c r="CT921">
        <v>1</v>
      </c>
      <c r="CU921" t="s">
        <v>2836</v>
      </c>
      <c r="CV921" s="25">
        <v>42.413417816162109</v>
      </c>
      <c r="CW921" s="25">
        <v>16.245151519775391</v>
      </c>
      <c r="CX921" s="25">
        <v>44.975502014160163</v>
      </c>
      <c r="CY921" s="25">
        <v>50.045570373535163</v>
      </c>
      <c r="CZ921" s="25">
        <v>30.267934799194339</v>
      </c>
      <c r="DA921" s="25">
        <v>49.152271270751953</v>
      </c>
      <c r="DB921" s="25">
        <v>63.794075012207031</v>
      </c>
      <c r="DC921">
        <v>1300</v>
      </c>
      <c r="DD921" s="253" t="s">
        <v>380</v>
      </c>
    </row>
    <row r="922" spans="1:108" hidden="1">
      <c r="A922" s="13">
        <v>47660</v>
      </c>
      <c r="B922" s="13" t="s">
        <v>2257</v>
      </c>
      <c r="C922" s="13" t="s">
        <v>638</v>
      </c>
      <c r="D922" s="13" t="s">
        <v>639</v>
      </c>
      <c r="E922" s="13" t="s">
        <v>2258</v>
      </c>
      <c r="F922" s="14">
        <v>61.820466666666697</v>
      </c>
      <c r="G922" s="13">
        <v>44.38</v>
      </c>
      <c r="H922" s="13">
        <v>42.36</v>
      </c>
      <c r="I922" s="13">
        <v>51.46</v>
      </c>
      <c r="J922" s="14">
        <v>52.683284115816626</v>
      </c>
      <c r="K922" s="14">
        <v>53.588514975204518</v>
      </c>
      <c r="L922" s="14">
        <v>60.079852105829175</v>
      </c>
      <c r="M922" s="14">
        <v>63.157600000000002</v>
      </c>
      <c r="N922" s="14">
        <f t="shared" si="378"/>
        <v>50.005116666666673</v>
      </c>
      <c r="O922" s="14">
        <f t="shared" si="379"/>
        <v>57.377312799212575</v>
      </c>
      <c r="P922" s="14">
        <f t="shared" si="395"/>
        <v>53.691214732939628</v>
      </c>
      <c r="Q922" s="14">
        <v>64.57757980787467</v>
      </c>
      <c r="R922" s="17">
        <f t="shared" si="380"/>
        <v>35.42242019212533</v>
      </c>
      <c r="S922" s="14">
        <f t="shared" si="396"/>
        <v>0.41880178172912796</v>
      </c>
      <c r="T922" s="13">
        <v>0</v>
      </c>
      <c r="U922" s="13">
        <f t="shared" si="397"/>
        <v>22.485976393356321</v>
      </c>
      <c r="V922" s="13">
        <f>IF($T922=1,$AU922,(VLOOKUP(U922,'Cortes naturales'!$A$35:$C$39,3,9)))</f>
        <v>4</v>
      </c>
      <c r="W922" s="13">
        <v>4</v>
      </c>
      <c r="X922" s="14" t="b">
        <f t="shared" si="381"/>
        <v>1</v>
      </c>
      <c r="Y922" s="17">
        <f>IF($T922=1,$AU922,VLOOKUP(U922,'Cortes naturales'!$A$45:$C$49,3,9))</f>
        <v>4</v>
      </c>
      <c r="Z922" s="14">
        <v>54.495113012246655</v>
      </c>
      <c r="AA922" s="14">
        <v>0.42717908438025476</v>
      </c>
      <c r="AB922" s="14">
        <v>23.279172479770033</v>
      </c>
      <c r="AC922" s="13">
        <v>4</v>
      </c>
      <c r="AD922" s="13">
        <f t="shared" si="382"/>
        <v>0</v>
      </c>
      <c r="AE922" s="14">
        <f t="shared" si="383"/>
        <v>-0.80389827930702751</v>
      </c>
      <c r="AF922" s="14">
        <f t="shared" si="384"/>
        <v>-8.3773026511267945E-3</v>
      </c>
      <c r="AG922" s="13">
        <f t="shared" si="385"/>
        <v>-0.79319608641371175</v>
      </c>
      <c r="AH922" s="13">
        <f>IF($T922=1,$AU922,VLOOKUP(U922,'Cortes naturales'!$A$25:$C$29,3,9))</f>
        <v>4</v>
      </c>
      <c r="AI922" s="13" t="b">
        <f t="shared" si="386"/>
        <v>1</v>
      </c>
      <c r="AJ922" s="13">
        <f t="shared" si="387"/>
        <v>0</v>
      </c>
      <c r="AK922" s="28">
        <v>0.6523467210059386</v>
      </c>
      <c r="AL922" s="28">
        <v>35.549708284387165</v>
      </c>
      <c r="AM922" s="28">
        <v>0.27406336587107022</v>
      </c>
      <c r="AN922" s="13">
        <v>4</v>
      </c>
      <c r="AO922" s="33">
        <f t="shared" si="388"/>
        <v>0</v>
      </c>
      <c r="AP922" s="13">
        <f t="shared" si="398"/>
        <v>27.40633658710702</v>
      </c>
      <c r="AQ922" s="13">
        <f>IFERROR(VLOOKUP(U922,'Cortes naturales'!$E$15:$G$19,3,9),U922)</f>
        <v>4</v>
      </c>
      <c r="AR922" s="28">
        <f t="shared" si="389"/>
        <v>-0.23354493927681064</v>
      </c>
      <c r="AS922" s="13" t="b">
        <f t="shared" si="390"/>
        <v>1</v>
      </c>
      <c r="AT922" s="13">
        <f t="shared" si="399"/>
        <v>0</v>
      </c>
      <c r="AU922" s="13">
        <v>4</v>
      </c>
      <c r="AV922">
        <f t="shared" si="391"/>
        <v>0</v>
      </c>
      <c r="AW922" s="13">
        <v>0</v>
      </c>
      <c r="AX922" s="13">
        <v>0</v>
      </c>
      <c r="AY922" s="13">
        <v>0</v>
      </c>
      <c r="AZ922" s="13">
        <v>0</v>
      </c>
      <c r="BA922">
        <v>0</v>
      </c>
      <c r="BB922" t="s">
        <v>2841</v>
      </c>
      <c r="BC922">
        <v>6</v>
      </c>
      <c r="BD922" t="s">
        <v>2919</v>
      </c>
      <c r="BE922">
        <v>0</v>
      </c>
      <c r="BF922" s="232" t="s">
        <v>2846</v>
      </c>
      <c r="BG922" s="232" t="s">
        <v>2846</v>
      </c>
      <c r="BH922" s="253">
        <v>69.400000000000006</v>
      </c>
      <c r="BI922" s="253">
        <v>58.873780878479394</v>
      </c>
      <c r="BJ922" s="25">
        <v>0</v>
      </c>
      <c r="BK922" t="s">
        <v>381</v>
      </c>
      <c r="BL922">
        <v>0.25383937771605664</v>
      </c>
      <c r="BM922" t="s">
        <v>383</v>
      </c>
      <c r="BN922" s="322">
        <v>44731.809749</v>
      </c>
      <c r="BO922" s="322">
        <v>2030.1419269999999</v>
      </c>
      <c r="BP922" s="10">
        <v>16704</v>
      </c>
      <c r="BQ922" s="254">
        <f t="shared" si="392"/>
        <v>2.6779100663912834</v>
      </c>
      <c r="BR922" s="254">
        <f t="shared" si="393"/>
        <v>0.12153627436542144</v>
      </c>
      <c r="BS922" s="25">
        <v>58.540304150962093</v>
      </c>
      <c r="BT922" s="25">
        <v>92.993854393358859</v>
      </c>
      <c r="BU922" s="25">
        <v>21.192216316340499</v>
      </c>
      <c r="BV922" s="25">
        <v>99.0586507949224</v>
      </c>
      <c r="BW922" s="25">
        <v>39.902491408236301</v>
      </c>
      <c r="BX922" s="25">
        <v>67.946256413895966</v>
      </c>
      <c r="BY922" s="25">
        <v>40.46228045798555</v>
      </c>
      <c r="BZ922">
        <v>74</v>
      </c>
      <c r="CA922">
        <v>0</v>
      </c>
      <c r="CB922">
        <v>7</v>
      </c>
      <c r="CC922">
        <v>123752.338841</v>
      </c>
      <c r="CD922" s="10">
        <v>842.39312600000005</v>
      </c>
      <c r="CE922" s="255">
        <v>6.8070885276950372E-3</v>
      </c>
      <c r="CF922" t="str">
        <f>IFERROR(VLOOKUP(CE922,'Rangos amb etnico'!$A$2:$C$6,3,9),"N.D.")</f>
        <v>0,1% - 30%</v>
      </c>
      <c r="CG922" s="256">
        <v>2.4508391575414705E-5</v>
      </c>
      <c r="CH922" s="232">
        <v>2339.4753209999999</v>
      </c>
      <c r="CI922" s="311">
        <f t="shared" si="400"/>
        <v>1.8904493789049227E-2</v>
      </c>
      <c r="CJ922" s="232" t="str">
        <f>IFERROR(VLOOKUP(CI922,'Rangos amb etnico'!$A$2:$C$6,3,9),"N.D.")</f>
        <v>0,1% - 30%</v>
      </c>
      <c r="CK922" s="311">
        <f t="shared" si="401"/>
        <v>9.2892487257651237E-5</v>
      </c>
      <c r="CL922" s="10">
        <v>0</v>
      </c>
      <c r="CM922" s="255">
        <f t="shared" si="402"/>
        <v>0</v>
      </c>
      <c r="CN922" s="232">
        <f>IFERROR(VLOOKUP(CM922,'Rangos amb etnico'!$A$2:$C$6,3,9),"N.D.")</f>
        <v>0</v>
      </c>
      <c r="CO922" s="311">
        <f t="shared" si="403"/>
        <v>0</v>
      </c>
      <c r="CP922">
        <v>0.87201513311512746</v>
      </c>
      <c r="CQ922" t="s">
        <v>2864</v>
      </c>
      <c r="CR922">
        <f t="shared" si="394"/>
        <v>2</v>
      </c>
      <c r="CS922" t="str">
        <f t="shared" si="404"/>
        <v>No es Candidato</v>
      </c>
      <c r="CT922">
        <v>0</v>
      </c>
      <c r="CU922">
        <v>0</v>
      </c>
      <c r="CV922" s="25">
        <v>45.609676361083977</v>
      </c>
      <c r="CW922" s="25">
        <v>14.144111633300779</v>
      </c>
      <c r="CX922" s="25">
        <v>45.888683319091797</v>
      </c>
      <c r="CY922" s="25">
        <v>55.823318481445313</v>
      </c>
      <c r="CZ922" s="25">
        <v>6.8152341842651367</v>
      </c>
      <c r="DA922" s="25">
        <v>93.412986755371094</v>
      </c>
      <c r="DB922" s="25">
        <v>57.573711395263672</v>
      </c>
      <c r="DC922">
        <v>1865</v>
      </c>
      <c r="DD922" s="253" t="s">
        <v>380</v>
      </c>
    </row>
    <row r="923" spans="1:108">
      <c r="A923" s="13">
        <v>5234</v>
      </c>
      <c r="B923" s="13" t="s">
        <v>2259</v>
      </c>
      <c r="C923" s="13" t="s">
        <v>435</v>
      </c>
      <c r="D923" s="13" t="s">
        <v>436</v>
      </c>
      <c r="E923" s="13" t="s">
        <v>2260</v>
      </c>
      <c r="F923" s="14">
        <v>57.815899999999999</v>
      </c>
      <c r="G923" s="13">
        <v>69.08</v>
      </c>
      <c r="H923" s="13">
        <v>48.6</v>
      </c>
      <c r="I923" s="13">
        <v>71.650000000000006</v>
      </c>
      <c r="J923" s="14">
        <v>59.318023052662653</v>
      </c>
      <c r="K923" s="14">
        <v>64.478991183227549</v>
      </c>
      <c r="L923" s="14">
        <v>63.628220686715387</v>
      </c>
      <c r="M923" s="14">
        <v>48.346699999999998</v>
      </c>
      <c r="N923" s="14">
        <f t="shared" si="378"/>
        <v>61.786475000000003</v>
      </c>
      <c r="O923" s="14">
        <f t="shared" si="379"/>
        <v>58.942983730651399</v>
      </c>
      <c r="P923" s="14">
        <f t="shared" si="395"/>
        <v>60.364729365325701</v>
      </c>
      <c r="Q923" s="14">
        <v>64.01371324464823</v>
      </c>
      <c r="R923" s="17">
        <f t="shared" si="380"/>
        <v>35.98628675535177</v>
      </c>
      <c r="S923" s="14">
        <f t="shared" si="396"/>
        <v>0.42387658079816593</v>
      </c>
      <c r="T923" s="13">
        <v>0</v>
      </c>
      <c r="U923" s="13">
        <f t="shared" si="397"/>
        <v>25.587195084180898</v>
      </c>
      <c r="V923" s="13">
        <f>IF($T923=1,$AU923,(VLOOKUP(U923,'Cortes naturales'!$A$35:$C$39,3,9)))</f>
        <v>4</v>
      </c>
      <c r="W923" s="13">
        <v>4</v>
      </c>
      <c r="X923" s="14" t="b">
        <f t="shared" si="381"/>
        <v>1</v>
      </c>
      <c r="Y923" s="17">
        <f>IF($T923=1,$AU923,VLOOKUP(U923,'Cortes naturales'!$A$45:$C$49,3,9))</f>
        <v>4</v>
      </c>
      <c r="Z923" s="14">
        <v>59.321723799403998</v>
      </c>
      <c r="AA923" s="14">
        <v>0.42666778151719564</v>
      </c>
      <c r="AB923" s="14">
        <v>25.310668289267529</v>
      </c>
      <c r="AC923" s="13">
        <v>4</v>
      </c>
      <c r="AD923" s="13">
        <f t="shared" si="382"/>
        <v>0</v>
      </c>
      <c r="AE923" s="14">
        <f t="shared" si="383"/>
        <v>1.0430055659217032</v>
      </c>
      <c r="AF923" s="14">
        <f t="shared" si="384"/>
        <v>-2.7912007190297183E-3</v>
      </c>
      <c r="AG923" s="13">
        <f t="shared" si="385"/>
        <v>0.2765267949133694</v>
      </c>
      <c r="AH923" s="13">
        <f>IF($T923=1,$AU923,VLOOKUP(U923,'Cortes naturales'!$A$25:$C$29,3,9))</f>
        <v>4</v>
      </c>
      <c r="AI923" s="13" t="b">
        <f t="shared" si="386"/>
        <v>1</v>
      </c>
      <c r="AJ923" s="13">
        <f t="shared" si="387"/>
        <v>0</v>
      </c>
      <c r="AK923" s="28">
        <v>0.6523467210059386</v>
      </c>
      <c r="AL923" s="28">
        <v>38.698332004961145</v>
      </c>
      <c r="AM923" s="28">
        <v>0.31344932965320693</v>
      </c>
      <c r="AN923" s="13">
        <v>4</v>
      </c>
      <c r="AO923" s="33">
        <f t="shared" si="388"/>
        <v>0</v>
      </c>
      <c r="AP923" s="13">
        <f t="shared" si="398"/>
        <v>31.344932965320695</v>
      </c>
      <c r="AQ923" s="13">
        <f>IFERROR(VLOOKUP(U923,'Cortes naturales'!$E$15:$G$19,3,9),U923)</f>
        <v>4</v>
      </c>
      <c r="AR923" s="28">
        <f t="shared" si="389"/>
        <v>-0.22847014020777268</v>
      </c>
      <c r="AS923" s="13" t="b">
        <f t="shared" si="390"/>
        <v>1</v>
      </c>
      <c r="AT923" s="13">
        <f t="shared" si="399"/>
        <v>0</v>
      </c>
      <c r="AU923" s="13">
        <v>4</v>
      </c>
      <c r="AV923">
        <f t="shared" si="391"/>
        <v>0</v>
      </c>
      <c r="AW923" s="13">
        <v>0</v>
      </c>
      <c r="AX923" s="13">
        <v>0</v>
      </c>
      <c r="AY923" s="13">
        <v>0</v>
      </c>
      <c r="AZ923" s="13">
        <v>1</v>
      </c>
      <c r="BA923">
        <v>1</v>
      </c>
      <c r="BB923" t="s">
        <v>2840</v>
      </c>
      <c r="BC923">
        <v>6</v>
      </c>
      <c r="BD923" t="s">
        <v>2919</v>
      </c>
      <c r="BE923">
        <v>1</v>
      </c>
      <c r="BF923" s="232" t="s">
        <v>2846</v>
      </c>
      <c r="BG923" s="232" t="s">
        <v>2845</v>
      </c>
      <c r="BH923" s="253">
        <v>60.5</v>
      </c>
      <c r="BI923" s="253">
        <v>47.261663286004058</v>
      </c>
      <c r="BJ923" s="25">
        <v>54.542950459611177</v>
      </c>
      <c r="BK923" t="s">
        <v>376</v>
      </c>
      <c r="BL923">
        <v>27.189390102032856</v>
      </c>
      <c r="BM923" t="s">
        <v>384</v>
      </c>
      <c r="BN923" s="322">
        <v>69418.715733999998</v>
      </c>
      <c r="BO923" s="322">
        <v>7119.00569</v>
      </c>
      <c r="BP923" s="10">
        <v>24651</v>
      </c>
      <c r="BQ923" s="254">
        <f t="shared" si="392"/>
        <v>2.8160608386678025</v>
      </c>
      <c r="BR923" s="254">
        <f t="shared" si="393"/>
        <v>0.2887917605776642</v>
      </c>
      <c r="BS923" s="25">
        <v>57.35634101017186</v>
      </c>
      <c r="BT923" s="25">
        <v>97.337822363929263</v>
      </c>
      <c r="BU923" s="25">
        <v>58.876666666666672</v>
      </c>
      <c r="BV923" s="25">
        <v>91.242432416656584</v>
      </c>
      <c r="BW923" s="25">
        <v>43.630512016264383</v>
      </c>
      <c r="BX923" s="25">
        <v>76.203315614356086</v>
      </c>
      <c r="BY923" s="25">
        <v>44.541929673325988</v>
      </c>
      <c r="BZ923">
        <v>99</v>
      </c>
      <c r="CA923">
        <v>0</v>
      </c>
      <c r="CB923">
        <v>6</v>
      </c>
      <c r="CC923">
        <v>195769.913031</v>
      </c>
      <c r="CD923" s="10">
        <v>61570.387276000001</v>
      </c>
      <c r="CE923" s="255">
        <v>0.31450382912644181</v>
      </c>
      <c r="CF923" t="str">
        <f>IFERROR(VLOOKUP(CE923,'Rangos amb etnico'!$A$2:$C$6,3,9),"N.D.")</f>
        <v>31% - 50%</v>
      </c>
      <c r="CG923" s="256">
        <v>1.7913146656067789E-3</v>
      </c>
      <c r="CH923" s="232">
        <v>79146.757532999996</v>
      </c>
      <c r="CI923" s="311">
        <f t="shared" si="400"/>
        <v>0.40428458238354109</v>
      </c>
      <c r="CJ923" s="232" t="str">
        <f>IFERROR(VLOOKUP(CI923,'Rangos amb etnico'!$A$2:$C$6,3,9),"N.D.")</f>
        <v>31% - 50%</v>
      </c>
      <c r="CK923" s="311">
        <f t="shared" si="401"/>
        <v>3.1426444637492352E-3</v>
      </c>
      <c r="CL923" s="10">
        <v>0</v>
      </c>
      <c r="CM923" s="255">
        <f t="shared" si="402"/>
        <v>0</v>
      </c>
      <c r="CN923" s="232">
        <f>IFERROR(VLOOKUP(CM923,'Rangos amb etnico'!$A$2:$C$6,3,9),"N.D.")</f>
        <v>0</v>
      </c>
      <c r="CO923" s="311">
        <f t="shared" si="403"/>
        <v>0</v>
      </c>
      <c r="CP923">
        <v>0.94205890677000304</v>
      </c>
      <c r="CQ923" t="s">
        <v>2864</v>
      </c>
      <c r="CR923">
        <f t="shared" si="394"/>
        <v>2</v>
      </c>
      <c r="CS923" t="str">
        <f t="shared" si="404"/>
        <v>No es Candidato</v>
      </c>
      <c r="CT923">
        <v>0</v>
      </c>
      <c r="CU923">
        <v>0</v>
      </c>
      <c r="CV923" s="25">
        <v>40.086559295654297</v>
      </c>
      <c r="CW923" s="25">
        <v>23.24020957946777</v>
      </c>
      <c r="CX923" s="25">
        <v>46.1812744140625</v>
      </c>
      <c r="CY923" s="25">
        <v>37.153133392333977</v>
      </c>
      <c r="CZ923" s="25">
        <v>24.31728553771973</v>
      </c>
      <c r="DA923" s="25">
        <v>64.039039611816406</v>
      </c>
      <c r="DB923" s="25">
        <v>45.588413238525391</v>
      </c>
      <c r="DC923">
        <v>5313</v>
      </c>
      <c r="DD923" s="253" t="s">
        <v>380</v>
      </c>
    </row>
    <row r="924" spans="1:108" hidden="1">
      <c r="A924" s="13">
        <v>27050</v>
      </c>
      <c r="B924" s="13" t="s">
        <v>2261</v>
      </c>
      <c r="C924" s="13" t="s">
        <v>1714</v>
      </c>
      <c r="D924" s="13" t="s">
        <v>1715</v>
      </c>
      <c r="E924" s="13" t="s">
        <v>2262</v>
      </c>
      <c r="F924" s="14">
        <v>80.556700000000006</v>
      </c>
      <c r="G924" s="13">
        <v>66.81</v>
      </c>
      <c r="H924" s="13">
        <v>33.24</v>
      </c>
      <c r="I924" s="13">
        <v>48.65</v>
      </c>
      <c r="J924" s="14">
        <v>62.182169179495375</v>
      </c>
      <c r="K924" s="14">
        <v>48.124118977177012</v>
      </c>
      <c r="L924" s="14">
        <v>56.509020221570495</v>
      </c>
      <c r="M924" s="14">
        <v>52.073599999999999</v>
      </c>
      <c r="N924" s="14">
        <f t="shared" si="378"/>
        <v>57.314175000000006</v>
      </c>
      <c r="O924" s="14">
        <f t="shared" si="379"/>
        <v>54.722227094560722</v>
      </c>
      <c r="P924" s="14">
        <f t="shared" si="395"/>
        <v>56.018201047280364</v>
      </c>
      <c r="Q924" s="14">
        <v>64.640873055361695</v>
      </c>
      <c r="R924" s="17">
        <f t="shared" si="380"/>
        <v>35.359126944638305</v>
      </c>
      <c r="S924" s="14">
        <f t="shared" si="396"/>
        <v>0.41823214250174479</v>
      </c>
      <c r="T924" s="13">
        <v>0</v>
      </c>
      <c r="U924" s="13">
        <f t="shared" si="397"/>
        <v>23.42861224309755</v>
      </c>
      <c r="V924" s="13">
        <f>IF($T924=1,$AU924,(VLOOKUP(U924,'Cortes naturales'!$A$35:$C$39,3,9)))</f>
        <v>4</v>
      </c>
      <c r="W924" s="13">
        <v>4</v>
      </c>
      <c r="X924" s="14" t="b">
        <f t="shared" si="381"/>
        <v>1</v>
      </c>
      <c r="Y924" s="17">
        <f>IF($T924=1,$AU924,VLOOKUP(U924,'Cortes naturales'!$A$45:$C$49,3,9))</f>
        <v>4</v>
      </c>
      <c r="Z924" s="14">
        <v>59.887311334170278</v>
      </c>
      <c r="AA924" s="14">
        <v>0.42647168073269037</v>
      </c>
      <c r="AB924" s="14">
        <v>25.540242319245497</v>
      </c>
      <c r="AC924" s="13">
        <v>4</v>
      </c>
      <c r="AD924" s="13">
        <f t="shared" si="382"/>
        <v>0</v>
      </c>
      <c r="AE924" s="14">
        <f t="shared" si="383"/>
        <v>-3.8691102868899137</v>
      </c>
      <c r="AF924" s="14">
        <f t="shared" si="384"/>
        <v>-8.2395382309455867E-3</v>
      </c>
      <c r="AG924" s="13">
        <f t="shared" si="385"/>
        <v>-2.1116300761479465</v>
      </c>
      <c r="AH924" s="13">
        <f>IF($T924=1,$AU924,VLOOKUP(U924,'Cortes naturales'!$A$25:$C$29,3,9))</f>
        <v>4</v>
      </c>
      <c r="AI924" s="13" t="b">
        <f t="shared" si="386"/>
        <v>1</v>
      </c>
      <c r="AJ924" s="13">
        <f t="shared" si="387"/>
        <v>0</v>
      </c>
      <c r="AK924" s="28">
        <v>0.6523467210059386</v>
      </c>
      <c r="AL924" s="28">
        <v>39.067291178707762</v>
      </c>
      <c r="AM924" s="28">
        <v>0.3180646199971488</v>
      </c>
      <c r="AN924" s="13">
        <v>4</v>
      </c>
      <c r="AO924" s="33">
        <f t="shared" si="388"/>
        <v>0</v>
      </c>
      <c r="AP924" s="13">
        <f t="shared" si="398"/>
        <v>31.80646199971488</v>
      </c>
      <c r="AQ924" s="13">
        <f>IFERROR(VLOOKUP(U924,'Cortes naturales'!$E$15:$G$19,3,9),U924)</f>
        <v>4</v>
      </c>
      <c r="AR924" s="28">
        <f t="shared" si="389"/>
        <v>-0.23411457850419382</v>
      </c>
      <c r="AS924" s="13" t="b">
        <f t="shared" si="390"/>
        <v>1</v>
      </c>
      <c r="AT924" s="13">
        <f t="shared" si="399"/>
        <v>0</v>
      </c>
      <c r="AU924" s="13">
        <v>3</v>
      </c>
      <c r="AV924">
        <f t="shared" si="391"/>
        <v>-1</v>
      </c>
      <c r="AW924" s="13">
        <v>0</v>
      </c>
      <c r="AX924" s="13">
        <v>0</v>
      </c>
      <c r="AY924" s="13">
        <v>0</v>
      </c>
      <c r="AZ924" s="13">
        <v>0</v>
      </c>
      <c r="BA924">
        <v>0</v>
      </c>
      <c r="BB924" t="s">
        <v>2840</v>
      </c>
      <c r="BC924">
        <v>6</v>
      </c>
      <c r="BD924" t="s">
        <v>2919</v>
      </c>
      <c r="BE924">
        <v>0</v>
      </c>
      <c r="BF924" s="232" t="s">
        <v>2846</v>
      </c>
      <c r="BG924" s="232" t="s">
        <v>2846</v>
      </c>
      <c r="BH924" s="253">
        <v>61.5</v>
      </c>
      <c r="BI924" s="253">
        <v>42.500910083727703</v>
      </c>
      <c r="BJ924" s="25">
        <v>50.31</v>
      </c>
      <c r="BK924" t="s">
        <v>376</v>
      </c>
      <c r="BL924">
        <v>3.0787759685559184</v>
      </c>
      <c r="BM924" t="s">
        <v>383</v>
      </c>
      <c r="BN924" s="322">
        <v>24293.058142000002</v>
      </c>
      <c r="BO924" s="322">
        <v>2000.5696760000001</v>
      </c>
      <c r="BP924" s="10">
        <v>6409</v>
      </c>
      <c r="BQ924" s="254">
        <f t="shared" si="392"/>
        <v>3.7904600003120614</v>
      </c>
      <c r="BR924" s="254">
        <f t="shared" si="393"/>
        <v>0.31215005086596975</v>
      </c>
      <c r="BS924" s="25">
        <v>58.555884182922718</v>
      </c>
      <c r="BT924" s="25">
        <v>80.38697630415561</v>
      </c>
      <c r="BU924" s="25">
        <v>55.100425752855642</v>
      </c>
      <c r="BV924" s="25">
        <v>90.902841651484479</v>
      </c>
      <c r="BW924" s="25">
        <v>54.720190943518332</v>
      </c>
      <c r="BX924" s="25">
        <v>71.236531972854607</v>
      </c>
      <c r="BY924" s="25">
        <v>56.993291781267587</v>
      </c>
      <c r="BZ924">
        <v>51</v>
      </c>
      <c r="CA924">
        <v>0</v>
      </c>
      <c r="CB924">
        <v>7</v>
      </c>
      <c r="CC924">
        <v>42173.941593000003</v>
      </c>
      <c r="CD924" s="10">
        <v>17150.075288</v>
      </c>
      <c r="CE924" s="255">
        <v>0.40665099443412128</v>
      </c>
      <c r="CF924" t="str">
        <f>IFERROR(VLOOKUP(CE924,'Rangos amb etnico'!$A$2:$C$6,3,9),"N.D.")</f>
        <v>31% - 50%</v>
      </c>
      <c r="CG924" s="256">
        <v>4.9896034017037679E-4</v>
      </c>
      <c r="CH924" s="232">
        <v>41472.979101999998</v>
      </c>
      <c r="CI924" s="311">
        <f t="shared" si="400"/>
        <v>0.98337925115549663</v>
      </c>
      <c r="CJ924" s="232" t="str">
        <f>IFERROR(VLOOKUP(CI924,'Rangos amb etnico'!$A$2:$C$6,3,9),"N.D.")</f>
        <v>71% - 100%</v>
      </c>
      <c r="CK924" s="311">
        <f t="shared" si="401"/>
        <v>1.6467488022582015E-3</v>
      </c>
      <c r="CL924" s="10">
        <v>0</v>
      </c>
      <c r="CM924" s="255">
        <f t="shared" si="402"/>
        <v>0</v>
      </c>
      <c r="CN924" s="232">
        <f>IFERROR(VLOOKUP(CM924,'Rangos amb etnico'!$A$2:$C$6,3,9),"N.D.")</f>
        <v>0</v>
      </c>
      <c r="CO924" s="311">
        <f t="shared" si="403"/>
        <v>0</v>
      </c>
      <c r="CP924">
        <v>0.89585012449714863</v>
      </c>
      <c r="CQ924" t="s">
        <v>2864</v>
      </c>
      <c r="CR924">
        <f t="shared" si="394"/>
        <v>1</v>
      </c>
      <c r="CS924" t="str">
        <f t="shared" si="404"/>
        <v>No es Candidato</v>
      </c>
      <c r="CT924">
        <v>0</v>
      </c>
      <c r="CU924">
        <v>0</v>
      </c>
      <c r="CV924" s="25">
        <v>31.93670654296875</v>
      </c>
      <c r="CW924" s="25">
        <v>24.266872406005859</v>
      </c>
      <c r="CX924" s="25">
        <v>33.224395751953118</v>
      </c>
      <c r="CY924" s="25">
        <v>45.066673278808587</v>
      </c>
      <c r="CZ924" s="25">
        <v>15.11250114440918</v>
      </c>
      <c r="DA924" s="25">
        <v>32.905818939208977</v>
      </c>
      <c r="DB924" s="25">
        <v>41.043983459472663</v>
      </c>
      <c r="DC924">
        <v>5993</v>
      </c>
      <c r="DD924" s="253" t="s">
        <v>380</v>
      </c>
    </row>
    <row r="925" spans="1:108" hidden="1">
      <c r="A925" s="13">
        <v>86320</v>
      </c>
      <c r="B925" s="13" t="s">
        <v>2263</v>
      </c>
      <c r="C925" s="13" t="s">
        <v>943</v>
      </c>
      <c r="D925" s="13" t="s">
        <v>944</v>
      </c>
      <c r="E925" s="13" t="s">
        <v>2264</v>
      </c>
      <c r="F925" s="14">
        <v>49.640999999999998</v>
      </c>
      <c r="G925" s="13">
        <v>43.89</v>
      </c>
      <c r="H925" s="13">
        <v>40.19</v>
      </c>
      <c r="I925" s="13">
        <v>47.13</v>
      </c>
      <c r="J925" s="14">
        <v>57.00183734685082</v>
      </c>
      <c r="K925" s="14">
        <v>57.704431867374147</v>
      </c>
      <c r="L925" s="14">
        <v>57.118303867240122</v>
      </c>
      <c r="M925" s="14">
        <v>57.668799999999997</v>
      </c>
      <c r="N925" s="14">
        <f t="shared" si="378"/>
        <v>45.21275</v>
      </c>
      <c r="O925" s="14">
        <f t="shared" si="379"/>
        <v>57.37334327036627</v>
      </c>
      <c r="P925" s="14">
        <f t="shared" si="395"/>
        <v>51.293046635183131</v>
      </c>
      <c r="Q925" s="14">
        <v>64.687157959621587</v>
      </c>
      <c r="R925" s="17">
        <f t="shared" si="380"/>
        <v>35.312842040378413</v>
      </c>
      <c r="S925" s="14">
        <f t="shared" si="396"/>
        <v>0.41781557836340577</v>
      </c>
      <c r="T925" s="13">
        <v>0</v>
      </c>
      <c r="U925" s="13">
        <f t="shared" si="397"/>
        <v>21.431033945900186</v>
      </c>
      <c r="V925" s="13">
        <f>IF($T925=1,$AU925,(VLOOKUP(U925,'Cortes naturales'!$A$35:$C$39,3,9)))</f>
        <v>5</v>
      </c>
      <c r="W925" s="13">
        <v>5</v>
      </c>
      <c r="X925" s="14" t="b">
        <f t="shared" si="381"/>
        <v>1</v>
      </c>
      <c r="Y925" s="17">
        <f>IF($T925=1,$AU925,VLOOKUP(U925,'Cortes naturales'!$A$45:$C$49,3,9))</f>
        <v>4</v>
      </c>
      <c r="Z925" s="14">
        <v>52.559293840644074</v>
      </c>
      <c r="AA925" s="14">
        <v>0.42597769813402964</v>
      </c>
      <c r="AB925" s="14">
        <v>22.389087005787644</v>
      </c>
      <c r="AC925" s="13">
        <v>4</v>
      </c>
      <c r="AD925" s="13">
        <f t="shared" si="382"/>
        <v>0</v>
      </c>
      <c r="AE925" s="14">
        <f t="shared" si="383"/>
        <v>-1.2662472054609424</v>
      </c>
      <c r="AF925" s="14">
        <f t="shared" si="384"/>
        <v>-8.1621197706238657E-3</v>
      </c>
      <c r="AG925" s="13">
        <f t="shared" si="385"/>
        <v>-0.95805305988745815</v>
      </c>
      <c r="AH925" s="13">
        <f>IF($T925=1,$AU925,VLOOKUP(U925,'Cortes naturales'!$A$25:$C$29,3,9))</f>
        <v>4</v>
      </c>
      <c r="AI925" s="13" t="b">
        <f t="shared" si="386"/>
        <v>1</v>
      </c>
      <c r="AJ925" s="13">
        <f t="shared" si="387"/>
        <v>0</v>
      </c>
      <c r="AK925" s="28">
        <v>0.6523467210059386</v>
      </c>
      <c r="AL925" s="28">
        <v>34.286882995331787</v>
      </c>
      <c r="AM925" s="28">
        <v>0.25826675264831439</v>
      </c>
      <c r="AN925" s="13">
        <v>4</v>
      </c>
      <c r="AO925" s="33">
        <f t="shared" si="388"/>
        <v>0</v>
      </c>
      <c r="AP925" s="13">
        <f t="shared" si="398"/>
        <v>25.82667526483144</v>
      </c>
      <c r="AQ925" s="13">
        <f>IFERROR(VLOOKUP(U925,'Cortes naturales'!$E$15:$G$19,3,9),U925)</f>
        <v>4</v>
      </c>
      <c r="AR925" s="28">
        <f t="shared" si="389"/>
        <v>-0.23453114264253283</v>
      </c>
      <c r="AS925" s="13" t="b">
        <f t="shared" si="390"/>
        <v>1</v>
      </c>
      <c r="AT925" s="13">
        <f t="shared" si="399"/>
        <v>0</v>
      </c>
      <c r="AU925" s="13">
        <v>4</v>
      </c>
      <c r="AV925">
        <f t="shared" si="391"/>
        <v>0</v>
      </c>
      <c r="AW925" s="13">
        <v>0</v>
      </c>
      <c r="AX925" s="13">
        <v>0</v>
      </c>
      <c r="AY925" s="13">
        <v>0</v>
      </c>
      <c r="AZ925" s="13">
        <v>1</v>
      </c>
      <c r="BA925">
        <v>1</v>
      </c>
      <c r="BB925" t="s">
        <v>2840</v>
      </c>
      <c r="BC925">
        <v>6</v>
      </c>
      <c r="BD925" t="s">
        <v>2919</v>
      </c>
      <c r="BE925">
        <v>0</v>
      </c>
      <c r="BF925" s="232" t="s">
        <v>2846</v>
      </c>
      <c r="BG925" s="232" t="s">
        <v>2846</v>
      </c>
      <c r="BH925" s="253">
        <v>39.799999999999997</v>
      </c>
      <c r="BI925" s="253">
        <v>22.742310991300087</v>
      </c>
      <c r="BJ925" s="25">
        <v>29.884444444444448</v>
      </c>
      <c r="BK925" t="s">
        <v>379</v>
      </c>
      <c r="BL925">
        <v>41.872138218294573</v>
      </c>
      <c r="BM925" t="s">
        <v>384</v>
      </c>
      <c r="BN925" s="322">
        <v>83668.366110000003</v>
      </c>
      <c r="BO925" s="322">
        <v>7654.6394120000004</v>
      </c>
      <c r="BP925" s="10">
        <v>38938</v>
      </c>
      <c r="BQ925" s="254">
        <f t="shared" si="392"/>
        <v>2.1487586961323131</v>
      </c>
      <c r="BR925" s="254">
        <f t="shared" si="393"/>
        <v>0.19658532569726234</v>
      </c>
      <c r="BS925" s="25">
        <v>63.626981192923417</v>
      </c>
      <c r="BT925" s="25">
        <v>96.325414904214554</v>
      </c>
      <c r="BU925" s="25">
        <v>44.400712526262403</v>
      </c>
      <c r="BV925" s="25">
        <v>84.090902834902508</v>
      </c>
      <c r="BW925" s="25">
        <v>47.889903079939728</v>
      </c>
      <c r="BX925" s="25">
        <v>72.111002864575724</v>
      </c>
      <c r="BY925" s="25">
        <v>48.714163698043443</v>
      </c>
      <c r="BZ925">
        <v>11</v>
      </c>
      <c r="CA925">
        <v>0</v>
      </c>
      <c r="CB925">
        <v>6</v>
      </c>
      <c r="CC925">
        <v>194066.19583700001</v>
      </c>
      <c r="CD925" s="10">
        <v>13422.660217000001</v>
      </c>
      <c r="CE925" s="255">
        <v>6.9165369883758404E-2</v>
      </c>
      <c r="CF925" t="str">
        <f>IFERROR(VLOOKUP(CE925,'Rangos amb etnico'!$A$2:$C$6,3,9),"N.D.")</f>
        <v>0,1% - 30%</v>
      </c>
      <c r="CG925" s="256">
        <v>3.9051578464800637E-4</v>
      </c>
      <c r="CH925" s="232">
        <v>44789.425121</v>
      </c>
      <c r="CI925" s="311">
        <f t="shared" si="400"/>
        <v>0.23079457464410502</v>
      </c>
      <c r="CJ925" s="232" t="str">
        <f>IFERROR(VLOOKUP(CI925,'Rangos amb etnico'!$A$2:$C$6,3,9),"N.D.")</f>
        <v>0,1% - 30%</v>
      </c>
      <c r="CK925" s="311">
        <f t="shared" si="401"/>
        <v>1.7784334226494784E-3</v>
      </c>
      <c r="CL925" s="10">
        <v>0</v>
      </c>
      <c r="CM925" s="255">
        <f t="shared" si="402"/>
        <v>0</v>
      </c>
      <c r="CN925" s="232">
        <f>IFERROR(VLOOKUP(CM925,'Rangos amb etnico'!$A$2:$C$6,3,9),"N.D.")</f>
        <v>0</v>
      </c>
      <c r="CO925" s="311">
        <f t="shared" si="403"/>
        <v>0</v>
      </c>
      <c r="CP925">
        <v>0.93856782539008687</v>
      </c>
      <c r="CQ925" t="s">
        <v>2864</v>
      </c>
      <c r="CR925">
        <f t="shared" si="394"/>
        <v>1</v>
      </c>
      <c r="CS925" t="str">
        <f t="shared" si="404"/>
        <v>No es Candidato</v>
      </c>
      <c r="CT925">
        <v>0</v>
      </c>
      <c r="CU925">
        <v>0</v>
      </c>
      <c r="CV925" s="25">
        <v>37.577129364013672</v>
      </c>
      <c r="CW925" s="25">
        <v>30.88628005981445</v>
      </c>
      <c r="CX925" s="25">
        <v>35.538284301757813</v>
      </c>
      <c r="CY925" s="25">
        <v>45.709209442138672</v>
      </c>
      <c r="CZ925" s="25">
        <v>21.808624267578121</v>
      </c>
      <c r="DA925" s="25">
        <v>46.263523101806641</v>
      </c>
      <c r="DB925" s="25">
        <v>45.256858825683587</v>
      </c>
      <c r="DC925">
        <v>9132</v>
      </c>
      <c r="DD925" s="253" t="s">
        <v>380</v>
      </c>
    </row>
    <row r="926" spans="1:108" hidden="1">
      <c r="A926" s="13">
        <v>15774</v>
      </c>
      <c r="B926" s="13" t="s">
        <v>2265</v>
      </c>
      <c r="C926" s="13" t="s">
        <v>498</v>
      </c>
      <c r="D926" s="13" t="s">
        <v>499</v>
      </c>
      <c r="E926" s="13" t="s">
        <v>2266</v>
      </c>
      <c r="F926" s="14">
        <v>65.1542666666667</v>
      </c>
      <c r="G926" s="13">
        <v>37.950000000000003</v>
      </c>
      <c r="H926" s="13">
        <v>35.32</v>
      </c>
      <c r="I926" s="13">
        <v>42.18</v>
      </c>
      <c r="J926" s="14">
        <v>54.300590073338668</v>
      </c>
      <c r="K926" s="14">
        <v>52.332854963103145</v>
      </c>
      <c r="L926" s="14">
        <v>40.83762486663273</v>
      </c>
      <c r="M926" s="14">
        <v>45.064100000000003</v>
      </c>
      <c r="N926" s="14">
        <f t="shared" si="378"/>
        <v>45.151066666666679</v>
      </c>
      <c r="O926" s="14">
        <f t="shared" si="379"/>
        <v>48.133792475768637</v>
      </c>
      <c r="P926" s="14">
        <f t="shared" si="395"/>
        <v>46.642429571217662</v>
      </c>
      <c r="Q926" s="14">
        <v>64.560989046852285</v>
      </c>
      <c r="R926" s="17">
        <f t="shared" si="380"/>
        <v>35.439010953147715</v>
      </c>
      <c r="S926" s="14">
        <f t="shared" si="396"/>
        <v>0.41895109857832946</v>
      </c>
      <c r="T926" s="13">
        <v>0</v>
      </c>
      <c r="U926" s="13">
        <f t="shared" si="397"/>
        <v>19.540897109223998</v>
      </c>
      <c r="V926" s="13">
        <f>IF($T926=1,$AU926,(VLOOKUP(U926,'Cortes naturales'!$A$35:$C$39,3,9)))</f>
        <v>5</v>
      </c>
      <c r="W926" s="13">
        <v>5</v>
      </c>
      <c r="X926" s="14" t="b">
        <f t="shared" si="381"/>
        <v>1</v>
      </c>
      <c r="Y926" s="17">
        <f>IF($T926=1,$AU926,VLOOKUP(U926,'Cortes naturales'!$A$45:$C$49,3,9))</f>
        <v>5</v>
      </c>
      <c r="Z926" s="14">
        <v>48.914626012186552</v>
      </c>
      <c r="AA926" s="14">
        <v>0.42666108014981519</v>
      </c>
      <c r="AB926" s="14">
        <v>20.869967169483761</v>
      </c>
      <c r="AC926" s="13">
        <v>4</v>
      </c>
      <c r="AD926" s="13">
        <f t="shared" si="382"/>
        <v>-1</v>
      </c>
      <c r="AE926" s="14">
        <f t="shared" si="383"/>
        <v>-2.2721964409688908</v>
      </c>
      <c r="AF926" s="14">
        <f t="shared" si="384"/>
        <v>-7.7099815714857245E-3</v>
      </c>
      <c r="AG926" s="13">
        <f t="shared" si="385"/>
        <v>-1.3290700602597632</v>
      </c>
      <c r="AH926" s="13">
        <f>IF($T926=1,$AU926,VLOOKUP(U926,'Cortes naturales'!$A$25:$C$29,3,9))</f>
        <v>5</v>
      </c>
      <c r="AI926" s="13" t="b">
        <f t="shared" si="386"/>
        <v>1</v>
      </c>
      <c r="AJ926" s="13" t="str">
        <f t="shared" si="387"/>
        <v>Efecto ponderador</v>
      </c>
      <c r="AK926" s="28">
        <v>0.6523467210059386</v>
      </c>
      <c r="AL926" s="28">
        <v>31.909295888281687</v>
      </c>
      <c r="AM926" s="28">
        <v>0.22852564415216176</v>
      </c>
      <c r="AN926" s="13">
        <v>4</v>
      </c>
      <c r="AO926" s="33">
        <f t="shared" si="388"/>
        <v>-1</v>
      </c>
      <c r="AP926" s="13">
        <f t="shared" si="398"/>
        <v>22.852564415216175</v>
      </c>
      <c r="AQ926" s="13">
        <f>IFERROR(VLOOKUP(U926,'Cortes naturales'!$E$15:$G$19,3,9),U926)</f>
        <v>4</v>
      </c>
      <c r="AR926" s="28">
        <f t="shared" si="389"/>
        <v>-0.23339562242760914</v>
      </c>
      <c r="AS926" s="13" t="b">
        <f t="shared" si="390"/>
        <v>0</v>
      </c>
      <c r="AT926" s="13" t="str">
        <f t="shared" si="399"/>
        <v>Cambio en corte</v>
      </c>
      <c r="AU926" s="13">
        <v>4</v>
      </c>
      <c r="AV926">
        <f t="shared" si="391"/>
        <v>-1</v>
      </c>
      <c r="AW926" s="13">
        <v>0</v>
      </c>
      <c r="AX926" s="13">
        <v>0</v>
      </c>
      <c r="AY926" s="13">
        <v>0</v>
      </c>
      <c r="AZ926" s="13">
        <v>0</v>
      </c>
      <c r="BA926">
        <v>0</v>
      </c>
      <c r="BB926" t="s">
        <v>2841</v>
      </c>
      <c r="BC926">
        <v>6</v>
      </c>
      <c r="BD926" t="s">
        <v>2919</v>
      </c>
      <c r="BE926">
        <v>0</v>
      </c>
      <c r="BF926" s="232" t="s">
        <v>2846</v>
      </c>
      <c r="BG926" s="232" t="s">
        <v>2846</v>
      </c>
      <c r="BH926" s="253">
        <v>37.1</v>
      </c>
      <c r="BI926" s="253">
        <v>14.990215264187867</v>
      </c>
      <c r="BJ926" s="25">
        <v>31.954997966062297</v>
      </c>
      <c r="BK926" t="s">
        <v>379</v>
      </c>
      <c r="BL926">
        <v>0</v>
      </c>
      <c r="BM926" t="s">
        <v>377</v>
      </c>
      <c r="BN926" s="322">
        <v>9121.1061659999996</v>
      </c>
      <c r="BO926" s="322">
        <v>539.16559500000005</v>
      </c>
      <c r="BP926" s="10">
        <v>2795</v>
      </c>
      <c r="BQ926" s="254">
        <f t="shared" si="392"/>
        <v>3.2633653545617172</v>
      </c>
      <c r="BR926" s="254">
        <f t="shared" si="393"/>
        <v>0.19290361180679788</v>
      </c>
      <c r="BS926" s="25">
        <v>49.661724917239631</v>
      </c>
      <c r="BT926" s="25">
        <v>88.801431127012521</v>
      </c>
      <c r="BU926" s="25">
        <v>48.544122807017537</v>
      </c>
      <c r="BV926" s="25">
        <v>94.570721163356737</v>
      </c>
      <c r="BW926" s="25">
        <v>59.795207886344073</v>
      </c>
      <c r="BX926" s="25">
        <v>70.394500003656603</v>
      </c>
      <c r="BY926" s="25">
        <v>59.453113602850088</v>
      </c>
      <c r="BZ926">
        <v>82</v>
      </c>
      <c r="CA926">
        <v>0</v>
      </c>
      <c r="CB926">
        <v>7</v>
      </c>
      <c r="CC926">
        <v>18231.291118000001</v>
      </c>
      <c r="CD926" s="10">
        <v>10605.862496</v>
      </c>
      <c r="CE926" s="255">
        <v>0.58173951736905172</v>
      </c>
      <c r="CF926" t="str">
        <f>IFERROR(VLOOKUP(CE926,'Rangos amb etnico'!$A$2:$C$6,3,9),"N.D.")</f>
        <v>51% - 70%</v>
      </c>
      <c r="CG926" s="256">
        <v>3.085645205596955E-4</v>
      </c>
      <c r="CH926" s="232">
        <v>0</v>
      </c>
      <c r="CI926" s="311">
        <f t="shared" si="400"/>
        <v>0</v>
      </c>
      <c r="CJ926" s="232">
        <f>IFERROR(VLOOKUP(CI926,'Rangos amb etnico'!$A$2:$C$6,3,9),"N.D.")</f>
        <v>0</v>
      </c>
      <c r="CK926" s="311">
        <f t="shared" si="401"/>
        <v>0</v>
      </c>
      <c r="CL926" s="10">
        <v>0</v>
      </c>
      <c r="CM926" s="255">
        <f t="shared" si="402"/>
        <v>0</v>
      </c>
      <c r="CN926" s="232">
        <f>IFERROR(VLOOKUP(CM926,'Rangos amb etnico'!$A$2:$C$6,3,9),"N.D.")</f>
        <v>0</v>
      </c>
      <c r="CO926" s="311">
        <f t="shared" si="403"/>
        <v>0</v>
      </c>
      <c r="CP926">
        <v>0.87834275802833928</v>
      </c>
      <c r="CQ926" t="s">
        <v>2864</v>
      </c>
      <c r="CR926">
        <f t="shared" si="394"/>
        <v>1</v>
      </c>
      <c r="CS926" t="str">
        <f t="shared" si="404"/>
        <v>No es Candidato</v>
      </c>
      <c r="CT926">
        <v>0</v>
      </c>
      <c r="CU926">
        <v>0</v>
      </c>
      <c r="CV926" s="25">
        <v>54.743354797363281</v>
      </c>
      <c r="CW926" s="25">
        <v>17.55336761474609</v>
      </c>
      <c r="CX926" s="25">
        <v>47.492446899414063</v>
      </c>
      <c r="CY926" s="25">
        <v>65.542442321777344</v>
      </c>
      <c r="CZ926" s="25">
        <v>45.182865142822273</v>
      </c>
      <c r="DA926" s="25">
        <v>97.48388671875</v>
      </c>
      <c r="DB926" s="25">
        <v>55.205123901367188</v>
      </c>
      <c r="DC926">
        <v>18</v>
      </c>
      <c r="DD926" s="253" t="s">
        <v>380</v>
      </c>
    </row>
    <row r="927" spans="1:108" hidden="1">
      <c r="A927" s="13">
        <v>68773</v>
      </c>
      <c r="B927" s="13" t="s">
        <v>2267</v>
      </c>
      <c r="C927" s="13" t="s">
        <v>431</v>
      </c>
      <c r="D927" s="13" t="s">
        <v>432</v>
      </c>
      <c r="E927" s="13" t="s">
        <v>495</v>
      </c>
      <c r="F927" s="14">
        <v>59.226766666666698</v>
      </c>
      <c r="G927" s="13">
        <v>49.13</v>
      </c>
      <c r="H927" s="13">
        <v>59.69</v>
      </c>
      <c r="I927" s="13">
        <v>58.08</v>
      </c>
      <c r="J927" s="14">
        <v>44.689972110330643</v>
      </c>
      <c r="K927" s="14">
        <v>49.86029021725048</v>
      </c>
      <c r="L927" s="14">
        <v>48.959954864631243</v>
      </c>
      <c r="M927" s="14">
        <v>58.586399999999998</v>
      </c>
      <c r="N927" s="14">
        <f t="shared" si="378"/>
        <v>56.531691666666674</v>
      </c>
      <c r="O927" s="14">
        <f t="shared" si="379"/>
        <v>50.524154298053091</v>
      </c>
      <c r="P927" s="14">
        <f t="shared" si="395"/>
        <v>53.527922982359883</v>
      </c>
      <c r="Q927" s="14">
        <v>64.812163913548687</v>
      </c>
      <c r="R927" s="17">
        <f t="shared" si="380"/>
        <v>35.187836086451313</v>
      </c>
      <c r="S927" s="14">
        <f t="shared" si="396"/>
        <v>0.41669052477806179</v>
      </c>
      <c r="T927" s="13">
        <v>0</v>
      </c>
      <c r="U927" s="13">
        <f t="shared" si="397"/>
        <v>22.304578317799212</v>
      </c>
      <c r="V927" s="13">
        <f>IF($T927=1,$AU927,(VLOOKUP(U927,'Cortes naturales'!$A$35:$C$39,3,9)))</f>
        <v>4</v>
      </c>
      <c r="W927" s="13">
        <v>4</v>
      </c>
      <c r="X927" s="14" t="b">
        <f t="shared" si="381"/>
        <v>1</v>
      </c>
      <c r="Y927" s="17">
        <f>IF($T927=1,$AU927,VLOOKUP(U927,'Cortes naturales'!$A$45:$C$49,3,9))</f>
        <v>4</v>
      </c>
      <c r="Z927" s="14">
        <v>53.065449942753204</v>
      </c>
      <c r="AA927" s="14">
        <v>0.42493271052529358</v>
      </c>
      <c r="AB927" s="14">
        <v>22.549245479418403</v>
      </c>
      <c r="AC927" s="13">
        <v>4</v>
      </c>
      <c r="AD927" s="13">
        <f t="shared" si="382"/>
        <v>0</v>
      </c>
      <c r="AE927" s="14">
        <f t="shared" si="383"/>
        <v>0.46247303960667807</v>
      </c>
      <c r="AF927" s="14">
        <f t="shared" si="384"/>
        <v>-8.2421857472317894E-3</v>
      </c>
      <c r="AG927" s="13">
        <f t="shared" si="385"/>
        <v>-0.24466716161919067</v>
      </c>
      <c r="AH927" s="13">
        <f>IF($T927=1,$AU927,VLOOKUP(U927,'Cortes naturales'!$A$25:$C$29,3,9))</f>
        <v>4</v>
      </c>
      <c r="AI927" s="13" t="b">
        <f t="shared" si="386"/>
        <v>1</v>
      </c>
      <c r="AJ927" s="13">
        <f t="shared" si="387"/>
        <v>0</v>
      </c>
      <c r="AK927" s="28">
        <v>0.6523467210059386</v>
      </c>
      <c r="AL927" s="28">
        <v>34.617072268859822</v>
      </c>
      <c r="AM927" s="28">
        <v>0.26239707240784876</v>
      </c>
      <c r="AN927" s="13">
        <v>4</v>
      </c>
      <c r="AO927" s="33">
        <f t="shared" si="388"/>
        <v>0</v>
      </c>
      <c r="AP927" s="13">
        <f t="shared" si="398"/>
        <v>26.239707240784877</v>
      </c>
      <c r="AQ927" s="13">
        <f>IFERROR(VLOOKUP(U927,'Cortes naturales'!$E$15:$G$19,3,9),U927)</f>
        <v>4</v>
      </c>
      <c r="AR927" s="28">
        <f t="shared" si="389"/>
        <v>-0.23565619622787681</v>
      </c>
      <c r="AS927" s="13" t="b">
        <f t="shared" si="390"/>
        <v>1</v>
      </c>
      <c r="AT927" s="13">
        <f t="shared" si="399"/>
        <v>0</v>
      </c>
      <c r="AU927" s="13">
        <v>4</v>
      </c>
      <c r="AV927">
        <f t="shared" si="391"/>
        <v>0</v>
      </c>
      <c r="AW927" s="13">
        <v>0</v>
      </c>
      <c r="AX927" s="13">
        <v>0</v>
      </c>
      <c r="AY927" s="13">
        <v>0</v>
      </c>
      <c r="AZ927" s="13">
        <v>0</v>
      </c>
      <c r="BA927">
        <v>1</v>
      </c>
      <c r="BB927" t="s">
        <v>2841</v>
      </c>
      <c r="BC927">
        <v>6</v>
      </c>
      <c r="BD927" t="s">
        <v>2919</v>
      </c>
      <c r="BE927">
        <v>1</v>
      </c>
      <c r="BF927" s="232" t="s">
        <v>2846</v>
      </c>
      <c r="BG927" s="232" t="s">
        <v>2845</v>
      </c>
      <c r="BH927" s="253">
        <v>47.1</v>
      </c>
      <c r="BI927" s="253">
        <v>15.319642265650877</v>
      </c>
      <c r="BJ927" s="25">
        <v>52.406666666666666</v>
      </c>
      <c r="BK927" t="s">
        <v>376</v>
      </c>
      <c r="BL927">
        <v>2.4459795205584799E-2</v>
      </c>
      <c r="BM927" t="s">
        <v>377</v>
      </c>
      <c r="BN927" s="322">
        <v>16374.063769</v>
      </c>
      <c r="BO927" s="322">
        <v>864.09570199999996</v>
      </c>
      <c r="BP927" s="10">
        <v>7377</v>
      </c>
      <c r="BQ927" s="254">
        <f t="shared" si="392"/>
        <v>2.2196101083096109</v>
      </c>
      <c r="BR927" s="254">
        <f t="shared" si="393"/>
        <v>0.11713375382946997</v>
      </c>
      <c r="BS927" s="25">
        <v>56.392007104795738</v>
      </c>
      <c r="BT927" s="25">
        <v>88.325637628213812</v>
      </c>
      <c r="BU927" s="25">
        <v>38.91119047619047</v>
      </c>
      <c r="BV927" s="25">
        <v>95.851586269394872</v>
      </c>
      <c r="BW927" s="25">
        <v>51.712913783402442</v>
      </c>
      <c r="BX927" s="25">
        <v>69.870105369648726</v>
      </c>
      <c r="BY927" s="25">
        <v>51.888448792397419</v>
      </c>
      <c r="BZ927">
        <v>25</v>
      </c>
      <c r="CA927">
        <v>0</v>
      </c>
      <c r="CB927">
        <v>7</v>
      </c>
      <c r="CC927">
        <v>52184.692053999999</v>
      </c>
      <c r="CD927" s="10">
        <v>20555.068007000002</v>
      </c>
      <c r="CE927" s="255">
        <v>0.39389075987513544</v>
      </c>
      <c r="CF927" t="str">
        <f>IFERROR(VLOOKUP(CE927,'Rangos amb etnico'!$A$2:$C$6,3,9),"N.D.")</f>
        <v>31% - 50%</v>
      </c>
      <c r="CG927" s="256">
        <v>5.980244140487385E-4</v>
      </c>
      <c r="CH927" s="232">
        <v>0</v>
      </c>
      <c r="CI927" s="311">
        <f t="shared" si="400"/>
        <v>0</v>
      </c>
      <c r="CJ927" s="232">
        <f>IFERROR(VLOOKUP(CI927,'Rangos amb etnico'!$A$2:$C$6,3,9),"N.D.")</f>
        <v>0</v>
      </c>
      <c r="CK927" s="311">
        <f t="shared" si="401"/>
        <v>0</v>
      </c>
      <c r="CL927" s="10">
        <v>0</v>
      </c>
      <c r="CM927" s="255">
        <f t="shared" si="402"/>
        <v>0</v>
      </c>
      <c r="CN927" s="232">
        <f>IFERROR(VLOOKUP(CM927,'Rangos amb etnico'!$A$2:$C$6,3,9),"N.D.")</f>
        <v>0</v>
      </c>
      <c r="CO927" s="311">
        <f t="shared" si="403"/>
        <v>0</v>
      </c>
      <c r="CP927">
        <v>0.96010327122868699</v>
      </c>
      <c r="CQ927" t="s">
        <v>2864</v>
      </c>
      <c r="CR927">
        <f t="shared" si="394"/>
        <v>1</v>
      </c>
      <c r="CS927" t="str">
        <f t="shared" si="404"/>
        <v>No es Candidato</v>
      </c>
      <c r="CT927">
        <v>0</v>
      </c>
      <c r="CU927">
        <v>0</v>
      </c>
      <c r="CV927" s="25">
        <v>48.902050018310547</v>
      </c>
      <c r="CW927" s="25">
        <v>13.97168064117432</v>
      </c>
      <c r="CX927" s="25">
        <v>53.045768737792969</v>
      </c>
      <c r="CY927" s="25">
        <v>49.728679656982422</v>
      </c>
      <c r="CZ927" s="25">
        <v>44.939674377441413</v>
      </c>
      <c r="DA927" s="25">
        <v>91.957275390625</v>
      </c>
      <c r="DB927" s="25">
        <v>39.769229888916023</v>
      </c>
      <c r="DC927">
        <v>157</v>
      </c>
      <c r="DD927" s="253" t="s">
        <v>380</v>
      </c>
    </row>
    <row r="928" spans="1:108" hidden="1">
      <c r="A928" s="13">
        <v>50680</v>
      </c>
      <c r="B928" s="13" t="s">
        <v>2268</v>
      </c>
      <c r="C928" s="13" t="s">
        <v>605</v>
      </c>
      <c r="D928" s="13" t="s">
        <v>606</v>
      </c>
      <c r="E928" s="13" t="s">
        <v>2269</v>
      </c>
      <c r="F928" s="14">
        <v>67.522933333333299</v>
      </c>
      <c r="G928" s="13">
        <v>74.97</v>
      </c>
      <c r="H928" s="13">
        <v>47.87</v>
      </c>
      <c r="I928" s="13">
        <v>65.22</v>
      </c>
      <c r="J928" s="14">
        <v>59.70434176063003</v>
      </c>
      <c r="K928" s="14">
        <v>55.642271280518287</v>
      </c>
      <c r="L928" s="14">
        <v>61.848394800735278</v>
      </c>
      <c r="M928" s="14">
        <v>51.068300000000001</v>
      </c>
      <c r="N928" s="14">
        <f t="shared" si="378"/>
        <v>63.895733333333325</v>
      </c>
      <c r="O928" s="14">
        <f t="shared" si="379"/>
        <v>57.065826960470893</v>
      </c>
      <c r="P928" s="14">
        <f t="shared" si="395"/>
        <v>60.480780146902106</v>
      </c>
      <c r="Q928" s="14">
        <v>64.728140119619638</v>
      </c>
      <c r="R928" s="17">
        <f t="shared" si="380"/>
        <v>35.271859880380362</v>
      </c>
      <c r="S928" s="14">
        <f t="shared" si="396"/>
        <v>0.41744673892342332</v>
      </c>
      <c r="T928" s="13">
        <v>0</v>
      </c>
      <c r="U928" s="13">
        <f t="shared" si="397"/>
        <v>25.247504439868809</v>
      </c>
      <c r="V928" s="13">
        <f>IF($T928=1,$AU928,(VLOOKUP(U928,'Cortes naturales'!$A$35:$C$39,3,9)))</f>
        <v>4</v>
      </c>
      <c r="W928" s="13">
        <v>4</v>
      </c>
      <c r="X928" s="14" t="b">
        <f t="shared" si="381"/>
        <v>1</v>
      </c>
      <c r="Y928" s="17">
        <f>IF($T928=1,$AU928,VLOOKUP(U928,'Cortes naturales'!$A$45:$C$49,3,9))</f>
        <v>4</v>
      </c>
      <c r="Z928" s="14">
        <v>61.108735694219966</v>
      </c>
      <c r="AA928" s="14">
        <v>0.42412375254948809</v>
      </c>
      <c r="AB928" s="14">
        <v>25.91766629618742</v>
      </c>
      <c r="AC928" s="13">
        <v>4</v>
      </c>
      <c r="AD928" s="13">
        <f t="shared" si="382"/>
        <v>0</v>
      </c>
      <c r="AE928" s="14">
        <f t="shared" si="383"/>
        <v>-0.62795554731786041</v>
      </c>
      <c r="AF928" s="14">
        <f t="shared" si="384"/>
        <v>-6.677013626064765E-3</v>
      </c>
      <c r="AG928" s="13">
        <f t="shared" si="385"/>
        <v>-0.67016185631861092</v>
      </c>
      <c r="AH928" s="13">
        <f>IF($T928=1,$AU928,VLOOKUP(U928,'Cortes naturales'!$A$25:$C$29,3,9))</f>
        <v>4</v>
      </c>
      <c r="AI928" s="13" t="b">
        <f t="shared" si="386"/>
        <v>1</v>
      </c>
      <c r="AJ928" s="13">
        <f t="shared" si="387"/>
        <v>0</v>
      </c>
      <c r="AK928" s="28">
        <v>0.6523467210059386</v>
      </c>
      <c r="AL928" s="28">
        <v>39.864083354942956</v>
      </c>
      <c r="AM928" s="28">
        <v>0.32803165022372927</v>
      </c>
      <c r="AN928" s="13">
        <v>4</v>
      </c>
      <c r="AO928" s="33">
        <f t="shared" si="388"/>
        <v>0</v>
      </c>
      <c r="AP928" s="13">
        <f t="shared" si="398"/>
        <v>32.803165022372923</v>
      </c>
      <c r="AQ928" s="13">
        <f>IFERROR(VLOOKUP(U928,'Cortes naturales'!$E$15:$G$19,3,9),U928)</f>
        <v>4</v>
      </c>
      <c r="AR928" s="28">
        <f t="shared" si="389"/>
        <v>-0.23489998208251528</v>
      </c>
      <c r="AS928" s="13" t="b">
        <f t="shared" si="390"/>
        <v>1</v>
      </c>
      <c r="AT928" s="13">
        <f t="shared" si="399"/>
        <v>0</v>
      </c>
      <c r="AU928" s="13">
        <v>4</v>
      </c>
      <c r="AV928">
        <f t="shared" si="391"/>
        <v>0</v>
      </c>
      <c r="AW928" s="13">
        <v>0</v>
      </c>
      <c r="AX928" s="13">
        <v>0</v>
      </c>
      <c r="AY928" s="13">
        <v>0</v>
      </c>
      <c r="AZ928" s="13">
        <v>0</v>
      </c>
      <c r="BA928">
        <v>0</v>
      </c>
      <c r="BB928" t="s">
        <v>2840</v>
      </c>
      <c r="BC928">
        <v>6</v>
      </c>
      <c r="BD928" t="s">
        <v>2919</v>
      </c>
      <c r="BE928">
        <v>0</v>
      </c>
      <c r="BF928" s="232" t="s">
        <v>2846</v>
      </c>
      <c r="BG928" s="232" t="s">
        <v>2845</v>
      </c>
      <c r="BH928" s="253">
        <v>31.9</v>
      </c>
      <c r="BI928" s="253">
        <v>16.291986247024596</v>
      </c>
      <c r="BJ928" s="25">
        <v>11.167999999999999</v>
      </c>
      <c r="BK928" t="s">
        <v>377</v>
      </c>
      <c r="BL928">
        <v>18.584179366821825</v>
      </c>
      <c r="BM928" t="s">
        <v>376</v>
      </c>
      <c r="BN928" s="322">
        <v>33051.789510000002</v>
      </c>
      <c r="BO928" s="322">
        <v>14325.152233000001</v>
      </c>
      <c r="BP928" s="10">
        <v>14424</v>
      </c>
      <c r="BQ928" s="254">
        <f t="shared" si="392"/>
        <v>2.2914440869384363</v>
      </c>
      <c r="BR928" s="254">
        <f t="shared" si="393"/>
        <v>0.9931469934137549</v>
      </c>
      <c r="BS928" s="25">
        <v>65.392112615516865</v>
      </c>
      <c r="BT928" s="25">
        <v>90.142541338092428</v>
      </c>
      <c r="BU928" s="25">
        <v>46.745680537494557</v>
      </c>
      <c r="BV928" s="25">
        <v>82.713485984907138</v>
      </c>
      <c r="BW928" s="25">
        <v>70.301178810233125</v>
      </c>
      <c r="BX928" s="25">
        <v>71.248455119002742</v>
      </c>
      <c r="BY928" s="25">
        <v>71.107004761808255</v>
      </c>
      <c r="BZ928">
        <v>88</v>
      </c>
      <c r="CA928">
        <v>0</v>
      </c>
      <c r="CB928">
        <v>7</v>
      </c>
      <c r="CC928">
        <v>80656.564887</v>
      </c>
      <c r="CD928" s="10">
        <v>532.061554</v>
      </c>
      <c r="CE928" s="255">
        <v>6.5966304757141495E-3</v>
      </c>
      <c r="CF928" t="str">
        <f>IFERROR(VLOOKUP(CE928,'Rangos amb etnico'!$A$2:$C$6,3,9),"N.D.")</f>
        <v>0,1% - 30%</v>
      </c>
      <c r="CG928" s="256">
        <v>1.5479676299798836E-5</v>
      </c>
      <c r="CH928" s="232">
        <v>0</v>
      </c>
      <c r="CI928" s="311">
        <f t="shared" si="400"/>
        <v>0</v>
      </c>
      <c r="CJ928" s="232">
        <f>IFERROR(VLOOKUP(CI928,'Rangos amb etnico'!$A$2:$C$6,3,9),"N.D.")</f>
        <v>0</v>
      </c>
      <c r="CK928" s="311">
        <f t="shared" si="401"/>
        <v>0</v>
      </c>
      <c r="CL928" s="10">
        <v>0</v>
      </c>
      <c r="CM928" s="255">
        <f t="shared" si="402"/>
        <v>0</v>
      </c>
      <c r="CN928" s="232">
        <f>IFERROR(VLOOKUP(CM928,'Rangos amb etnico'!$A$2:$C$6,3,9),"N.D.")</f>
        <v>0</v>
      </c>
      <c r="CO928" s="311">
        <f t="shared" si="403"/>
        <v>0</v>
      </c>
      <c r="CP928">
        <v>0.93626596587198574</v>
      </c>
      <c r="CQ928" t="s">
        <v>2864</v>
      </c>
      <c r="CR928">
        <f t="shared" si="394"/>
        <v>3</v>
      </c>
      <c r="CS928" t="str">
        <f t="shared" si="404"/>
        <v>Candidato</v>
      </c>
      <c r="CT928">
        <v>0</v>
      </c>
      <c r="CU928">
        <v>0</v>
      </c>
      <c r="CV928" s="25">
        <v>40.283393859863281</v>
      </c>
      <c r="CW928" s="25">
        <v>26.288492202758789</v>
      </c>
      <c r="CX928" s="25">
        <v>61.276645660400391</v>
      </c>
      <c r="CY928" s="25">
        <v>54.729774475097663</v>
      </c>
      <c r="CZ928" s="25">
        <v>35.586936950683587</v>
      </c>
      <c r="DA928" s="25">
        <v>14.52176666259766</v>
      </c>
      <c r="DB928" s="25">
        <v>49.296749114990227</v>
      </c>
      <c r="DC928">
        <v>390</v>
      </c>
      <c r="DD928" s="253" t="s">
        <v>380</v>
      </c>
    </row>
    <row r="929" spans="1:108" hidden="1">
      <c r="A929" s="13">
        <v>52435</v>
      </c>
      <c r="B929" s="13" t="s">
        <v>2270</v>
      </c>
      <c r="C929" s="13" t="s">
        <v>672</v>
      </c>
      <c r="D929" s="13" t="s">
        <v>673</v>
      </c>
      <c r="E929" s="13" t="s">
        <v>2271</v>
      </c>
      <c r="F929" s="14">
        <v>52.042833333333299</v>
      </c>
      <c r="G929" s="13">
        <v>40.299999999999997</v>
      </c>
      <c r="H929" s="13">
        <v>64.540000000000006</v>
      </c>
      <c r="I929" s="13">
        <v>39.9</v>
      </c>
      <c r="J929" s="14">
        <v>56.318703241549727</v>
      </c>
      <c r="K929" s="14">
        <v>47.861319288889931</v>
      </c>
      <c r="L929" s="14">
        <v>46.134800900254021</v>
      </c>
      <c r="M929" s="14">
        <v>48.978000000000002</v>
      </c>
      <c r="N929" s="14">
        <f t="shared" si="378"/>
        <v>49.195708333333322</v>
      </c>
      <c r="O929" s="14">
        <f t="shared" si="379"/>
        <v>49.823205857673422</v>
      </c>
      <c r="P929" s="14">
        <f t="shared" si="395"/>
        <v>49.509457095503372</v>
      </c>
      <c r="Q929" s="14">
        <v>64.952043150566709</v>
      </c>
      <c r="R929" s="17">
        <f t="shared" si="380"/>
        <v>35.047956849433291</v>
      </c>
      <c r="S929" s="14">
        <f t="shared" si="396"/>
        <v>0.41543161164489961</v>
      </c>
      <c r="T929" s="13">
        <v>0</v>
      </c>
      <c r="U929" s="13">
        <f t="shared" si="397"/>
        <v>20.567793552848975</v>
      </c>
      <c r="V929" s="13">
        <f>IF($T929=1,$AU929,(VLOOKUP(U929,'Cortes naturales'!$A$35:$C$39,3,9)))</f>
        <v>5</v>
      </c>
      <c r="W929" s="13">
        <v>5</v>
      </c>
      <c r="X929" s="14" t="b">
        <f t="shared" si="381"/>
        <v>1</v>
      </c>
      <c r="Y929" s="17">
        <f>IF($T929=1,$AU929,VLOOKUP(U929,'Cortes naturales'!$A$45:$C$49,3,9))</f>
        <v>5</v>
      </c>
      <c r="Z929" s="14">
        <v>50.839881247795162</v>
      </c>
      <c r="AA929" s="14">
        <v>0.42484819691750841</v>
      </c>
      <c r="AB929" s="14">
        <v>21.599231879626021</v>
      </c>
      <c r="AC929" s="13">
        <v>4</v>
      </c>
      <c r="AD929" s="13">
        <f t="shared" si="382"/>
        <v>-1</v>
      </c>
      <c r="AE929" s="14">
        <f t="shared" si="383"/>
        <v>-1.3304241522917906</v>
      </c>
      <c r="AF929" s="14">
        <f t="shared" si="384"/>
        <v>-9.4165852726088017E-3</v>
      </c>
      <c r="AG929" s="13">
        <f t="shared" si="385"/>
        <v>-1.0314383267770459</v>
      </c>
      <c r="AH929" s="13">
        <f>IF($T929=1,$AU929,VLOOKUP(U929,'Cortes naturales'!$A$25:$C$29,3,9))</f>
        <v>4</v>
      </c>
      <c r="AI929" s="13" t="b">
        <f t="shared" si="386"/>
        <v>0</v>
      </c>
      <c r="AJ929" s="13" t="str">
        <f t="shared" si="387"/>
        <v>Cambio en corte</v>
      </c>
      <c r="AK929" s="28">
        <v>0.6523467210059386</v>
      </c>
      <c r="AL929" s="28">
        <v>33.165229828330482</v>
      </c>
      <c r="AM929" s="28">
        <v>0.24423605386301178</v>
      </c>
      <c r="AN929" s="13">
        <v>4</v>
      </c>
      <c r="AO929" s="33">
        <f t="shared" si="388"/>
        <v>-1</v>
      </c>
      <c r="AP929" s="13">
        <f t="shared" si="398"/>
        <v>24.42360538630118</v>
      </c>
      <c r="AQ929" s="13">
        <f>IFERROR(VLOOKUP(U929,'Cortes naturales'!$E$15:$G$19,3,9),U929)</f>
        <v>4</v>
      </c>
      <c r="AR929" s="28">
        <f t="shared" si="389"/>
        <v>-0.23691510936103899</v>
      </c>
      <c r="AS929" s="13" t="b">
        <f t="shared" si="390"/>
        <v>0</v>
      </c>
      <c r="AT929" s="13" t="str">
        <f t="shared" si="399"/>
        <v>Cambio en corte</v>
      </c>
      <c r="AU929" s="13">
        <v>5</v>
      </c>
      <c r="AV929">
        <f t="shared" si="391"/>
        <v>0</v>
      </c>
      <c r="AW929" s="13">
        <v>0</v>
      </c>
      <c r="AX929" s="13">
        <v>0</v>
      </c>
      <c r="AY929" s="13">
        <v>0</v>
      </c>
      <c r="AZ929" s="13">
        <v>0</v>
      </c>
      <c r="BA929">
        <v>1</v>
      </c>
      <c r="BB929" t="s">
        <v>2841</v>
      </c>
      <c r="BC929">
        <v>6</v>
      </c>
      <c r="BD929" t="s">
        <v>2919</v>
      </c>
      <c r="BE929">
        <v>1</v>
      </c>
      <c r="BF929" s="232" t="s">
        <v>2846</v>
      </c>
      <c r="BG929" s="232" t="s">
        <v>2845</v>
      </c>
      <c r="BH929" s="253">
        <v>39</v>
      </c>
      <c r="BI929" s="253">
        <v>11.803813346713497</v>
      </c>
      <c r="BJ929" s="25">
        <v>49.545270833333333</v>
      </c>
      <c r="BK929" t="s">
        <v>376</v>
      </c>
      <c r="BL929">
        <v>24.191467095926932</v>
      </c>
      <c r="BM929" t="s">
        <v>384</v>
      </c>
      <c r="BN929" s="322">
        <v>17460.109374</v>
      </c>
      <c r="BO929" s="322">
        <v>753.57973300000003</v>
      </c>
      <c r="BP929" s="10">
        <v>8934</v>
      </c>
      <c r="BQ929" s="254">
        <f t="shared" si="392"/>
        <v>1.9543440087306918</v>
      </c>
      <c r="BR929" s="254">
        <f t="shared" si="393"/>
        <v>8.4349645511529001E-2</v>
      </c>
      <c r="BS929" s="25">
        <v>57.020889874632047</v>
      </c>
      <c r="BT929" s="25">
        <v>90.899746287590474</v>
      </c>
      <c r="BU929" s="25">
        <v>34.244977529321467</v>
      </c>
      <c r="BV929" s="25">
        <v>92.338989634564385</v>
      </c>
      <c r="BW929" s="25">
        <v>47.190159103992492</v>
      </c>
      <c r="BX929" s="25">
        <v>68.626150831527099</v>
      </c>
      <c r="BY929" s="25">
        <v>48.303237116827859</v>
      </c>
      <c r="BZ929">
        <v>70</v>
      </c>
      <c r="CA929">
        <v>0</v>
      </c>
      <c r="CB929">
        <v>7</v>
      </c>
      <c r="CC929">
        <v>56981.370401</v>
      </c>
      <c r="CD929" s="10">
        <v>54916.492846000001</v>
      </c>
      <c r="CE929" s="255">
        <v>0.96376223420973106</v>
      </c>
      <c r="CF929" t="str">
        <f>IFERROR(VLOOKUP(CE929,'Rangos amb etnico'!$A$2:$C$6,3,9),"N.D.")</f>
        <v>71% - 100%</v>
      </c>
      <c r="CG929" s="256">
        <v>1.5977277936836207E-3</v>
      </c>
      <c r="CH929" s="232">
        <v>1774.9933140000001</v>
      </c>
      <c r="CI929" s="311">
        <f t="shared" si="400"/>
        <v>3.1150414626897945E-2</v>
      </c>
      <c r="CJ929" s="232" t="str">
        <f>IFERROR(VLOOKUP(CI929,'Rangos amb etnico'!$A$2:$C$6,3,9),"N.D.")</f>
        <v>0,1% - 30%</v>
      </c>
      <c r="CK929" s="311">
        <f t="shared" si="401"/>
        <v>7.047885580288247E-5</v>
      </c>
      <c r="CL929" s="10">
        <v>0</v>
      </c>
      <c r="CM929" s="255">
        <f t="shared" si="402"/>
        <v>0</v>
      </c>
      <c r="CN929" s="232">
        <f>IFERROR(VLOOKUP(CM929,'Rangos amb etnico'!$A$2:$C$6,3,9),"N.D.")</f>
        <v>0</v>
      </c>
      <c r="CO929" s="311">
        <f t="shared" si="403"/>
        <v>0</v>
      </c>
      <c r="CP929">
        <v>0.97440184938515362</v>
      </c>
      <c r="CQ929" t="s">
        <v>2864</v>
      </c>
      <c r="CR929">
        <f t="shared" si="394"/>
        <v>1</v>
      </c>
      <c r="CS929" t="str">
        <f t="shared" si="404"/>
        <v>No es Candidato</v>
      </c>
      <c r="CT929">
        <v>0</v>
      </c>
      <c r="CU929">
        <v>0</v>
      </c>
      <c r="CV929" s="25">
        <v>42.216697692871087</v>
      </c>
      <c r="CW929" s="25">
        <v>19.716203689575199</v>
      </c>
      <c r="CX929" s="25">
        <v>42.883152008056641</v>
      </c>
      <c r="CY929" s="25">
        <v>45.588111877441413</v>
      </c>
      <c r="CZ929" s="25">
        <v>28.039621353149411</v>
      </c>
      <c r="DA929" s="25">
        <v>60.28680419921875</v>
      </c>
      <c r="DB929" s="25">
        <v>56.786293029785163</v>
      </c>
      <c r="DC929">
        <v>8463</v>
      </c>
      <c r="DD929" s="253" t="s">
        <v>380</v>
      </c>
    </row>
    <row r="930" spans="1:108" hidden="1">
      <c r="A930" s="13">
        <v>68344</v>
      </c>
      <c r="B930" s="13" t="s">
        <v>2272</v>
      </c>
      <c r="C930" s="13" t="s">
        <v>431</v>
      </c>
      <c r="D930" s="13" t="s">
        <v>432</v>
      </c>
      <c r="E930" s="13" t="s">
        <v>2273</v>
      </c>
      <c r="F930" s="14">
        <v>60.661499999999997</v>
      </c>
      <c r="G930" s="13">
        <v>45.79</v>
      </c>
      <c r="H930" s="13">
        <v>56.51</v>
      </c>
      <c r="I930" s="13">
        <v>49.86</v>
      </c>
      <c r="J930" s="14">
        <v>52.878797353280731</v>
      </c>
      <c r="K930" s="14">
        <v>64.294886231753722</v>
      </c>
      <c r="L930" s="14">
        <v>54.852472505443643</v>
      </c>
      <c r="M930" s="14">
        <v>52.500900000000001</v>
      </c>
      <c r="N930" s="14">
        <f t="shared" si="378"/>
        <v>53.205375000000004</v>
      </c>
      <c r="O930" s="14">
        <f t="shared" si="379"/>
        <v>56.131764022619521</v>
      </c>
      <c r="P930" s="14">
        <f t="shared" si="395"/>
        <v>54.668569511309762</v>
      </c>
      <c r="Q930" s="14">
        <v>63.677894296189031</v>
      </c>
      <c r="R930" s="17">
        <f t="shared" si="380"/>
        <v>36.322105703810969</v>
      </c>
      <c r="S930" s="14">
        <f t="shared" si="396"/>
        <v>0.42689895133429878</v>
      </c>
      <c r="T930" s="13">
        <v>0</v>
      </c>
      <c r="U930" s="13">
        <f t="shared" si="397"/>
        <v>23.337954995324356</v>
      </c>
      <c r="V930" s="13">
        <f>IF($T930=1,$AU930,(VLOOKUP(U930,'Cortes naturales'!$A$35:$C$39,3,9)))</f>
        <v>4</v>
      </c>
      <c r="W930" s="13">
        <v>4</v>
      </c>
      <c r="X930" s="14" t="b">
        <f t="shared" si="381"/>
        <v>1</v>
      </c>
      <c r="Y930" s="17">
        <f>IF($T930=1,$AU930,VLOOKUP(U930,'Cortes naturales'!$A$45:$C$49,3,9))</f>
        <v>4</v>
      </c>
      <c r="Z930" s="14">
        <v>57.0090923630597</v>
      </c>
      <c r="AA930" s="14">
        <v>0.42748305784065155</v>
      </c>
      <c r="AB930" s="14">
        <v>24.370421128080896</v>
      </c>
      <c r="AC930" s="13">
        <v>4</v>
      </c>
      <c r="AD930" s="13">
        <f t="shared" si="382"/>
        <v>0</v>
      </c>
      <c r="AE930" s="14">
        <f t="shared" si="383"/>
        <v>-2.3405228517499381</v>
      </c>
      <c r="AF930" s="14">
        <f t="shared" si="384"/>
        <v>-5.8410650635276617E-4</v>
      </c>
      <c r="AG930" s="13">
        <f t="shared" si="385"/>
        <v>-1.0324661327565394</v>
      </c>
      <c r="AH930" s="13">
        <f>IF($T930=1,$AU930,VLOOKUP(U930,'Cortes naturales'!$A$25:$C$29,3,9))</f>
        <v>4</v>
      </c>
      <c r="AI930" s="13" t="b">
        <f t="shared" si="386"/>
        <v>1</v>
      </c>
      <c r="AJ930" s="13">
        <f t="shared" si="387"/>
        <v>0</v>
      </c>
      <c r="AK930" s="28">
        <v>0.6523467210059386</v>
      </c>
      <c r="AL930" s="28">
        <v>37.189694470566693</v>
      </c>
      <c r="AM930" s="28">
        <v>0.2945778643517894</v>
      </c>
      <c r="AN930" s="13">
        <v>4</v>
      </c>
      <c r="AO930" s="33">
        <f t="shared" si="388"/>
        <v>0</v>
      </c>
      <c r="AP930" s="13">
        <f t="shared" si="398"/>
        <v>29.457786435178939</v>
      </c>
      <c r="AQ930" s="13">
        <f>IFERROR(VLOOKUP(U930,'Cortes naturales'!$E$15:$G$19,3,9),U930)</f>
        <v>4</v>
      </c>
      <c r="AR930" s="28">
        <f t="shared" si="389"/>
        <v>-0.22544776967163982</v>
      </c>
      <c r="AS930" s="13" t="b">
        <f t="shared" si="390"/>
        <v>1</v>
      </c>
      <c r="AT930" s="13">
        <f t="shared" si="399"/>
        <v>0</v>
      </c>
      <c r="AU930" s="13">
        <v>4</v>
      </c>
      <c r="AV930">
        <f t="shared" si="391"/>
        <v>0</v>
      </c>
      <c r="AW930" s="13">
        <v>0</v>
      </c>
      <c r="AX930" s="13">
        <v>0</v>
      </c>
      <c r="AY930" s="13">
        <v>0</v>
      </c>
      <c r="AZ930" s="13">
        <v>0</v>
      </c>
      <c r="BA930">
        <v>0</v>
      </c>
      <c r="BB930" t="s">
        <v>2840</v>
      </c>
      <c r="BC930">
        <v>6</v>
      </c>
      <c r="BD930" t="s">
        <v>2919</v>
      </c>
      <c r="BE930">
        <v>0</v>
      </c>
      <c r="BF930" s="232" t="s">
        <v>2846</v>
      </c>
      <c r="BG930" s="232" t="s">
        <v>2846</v>
      </c>
      <c r="BH930" s="253">
        <v>46.9</v>
      </c>
      <c r="BI930" s="253">
        <v>19.90566037735849</v>
      </c>
      <c r="BJ930" s="25">
        <v>11.186000000000002</v>
      </c>
      <c r="BK930" t="s">
        <v>377</v>
      </c>
      <c r="BL930">
        <v>0</v>
      </c>
      <c r="BM930" t="s">
        <v>377</v>
      </c>
      <c r="BN930" s="322">
        <v>10282.513916</v>
      </c>
      <c r="BO930" s="322">
        <v>711.92695200000003</v>
      </c>
      <c r="BP930" s="10">
        <v>2618</v>
      </c>
      <c r="BQ930" s="254">
        <f t="shared" si="392"/>
        <v>3.9276218166539341</v>
      </c>
      <c r="BR930" s="254">
        <f t="shared" si="393"/>
        <v>0.27193542857142861</v>
      </c>
      <c r="BS930" s="25">
        <v>62.46682098765433</v>
      </c>
      <c r="BT930" s="25">
        <v>88.918597583397002</v>
      </c>
      <c r="BU930" s="25">
        <v>46.573639053254432</v>
      </c>
      <c r="BV930" s="25">
        <v>96.851093779246114</v>
      </c>
      <c r="BW930" s="25">
        <v>61.735550294444693</v>
      </c>
      <c r="BX930" s="25">
        <v>73.702537850887964</v>
      </c>
      <c r="BY930" s="25">
        <v>63.223221716590082</v>
      </c>
      <c r="BZ930">
        <v>45</v>
      </c>
      <c r="CA930">
        <v>0</v>
      </c>
      <c r="CB930">
        <v>7</v>
      </c>
      <c r="CC930">
        <v>16872.778997000001</v>
      </c>
      <c r="CD930" s="10">
        <v>16847.339362999999</v>
      </c>
      <c r="CE930" s="255">
        <v>0.9984922676931568</v>
      </c>
      <c r="CF930" t="str">
        <f>IFERROR(VLOOKUP(CE930,'Rangos amb etnico'!$A$2:$C$6,3,9),"N.D.")</f>
        <v>71% - 100%</v>
      </c>
      <c r="CG930" s="256">
        <v>4.9015261089903729E-4</v>
      </c>
      <c r="CH930" s="232">
        <v>0</v>
      </c>
      <c r="CI930" s="311">
        <f t="shared" si="400"/>
        <v>0</v>
      </c>
      <c r="CJ930" s="232">
        <f>IFERROR(VLOOKUP(CI930,'Rangos amb etnico'!$A$2:$C$6,3,9),"N.D.")</f>
        <v>0</v>
      </c>
      <c r="CK930" s="311">
        <f t="shared" si="401"/>
        <v>0</v>
      </c>
      <c r="CL930" s="10">
        <v>0</v>
      </c>
      <c r="CM930" s="255">
        <f t="shared" si="402"/>
        <v>0</v>
      </c>
      <c r="CN930" s="232">
        <f>IFERROR(VLOOKUP(CM930,'Rangos amb etnico'!$A$2:$C$6,3,9),"N.D.")</f>
        <v>0</v>
      </c>
      <c r="CO930" s="311">
        <f t="shared" si="403"/>
        <v>0</v>
      </c>
      <c r="CP930">
        <v>0.94090315781574851</v>
      </c>
      <c r="CQ930" t="s">
        <v>2864</v>
      </c>
      <c r="CR930">
        <f t="shared" si="394"/>
        <v>2</v>
      </c>
      <c r="CS930" t="str">
        <f t="shared" si="404"/>
        <v>No es Candidato</v>
      </c>
      <c r="CT930">
        <v>0</v>
      </c>
      <c r="CU930">
        <v>0</v>
      </c>
      <c r="CV930" s="25">
        <v>56.747859954833977</v>
      </c>
      <c r="CW930" s="25">
        <v>21.917757034301761</v>
      </c>
      <c r="CX930" s="25">
        <v>58.193878173828118</v>
      </c>
      <c r="CY930" s="25">
        <v>59.644157409667969</v>
      </c>
      <c r="CZ930" s="25">
        <v>40.399425506591797</v>
      </c>
      <c r="DA930" s="25">
        <v>90.0035400390625</v>
      </c>
      <c r="DB930" s="25">
        <v>70.328392028808594</v>
      </c>
      <c r="DC930">
        <v>21</v>
      </c>
      <c r="DD930" s="253" t="s">
        <v>380</v>
      </c>
    </row>
    <row r="931" spans="1:108" hidden="1">
      <c r="A931" s="13">
        <v>25086</v>
      </c>
      <c r="B931" s="13" t="s">
        <v>2274</v>
      </c>
      <c r="C931" s="13" t="s">
        <v>461</v>
      </c>
      <c r="D931" s="13" t="s">
        <v>462</v>
      </c>
      <c r="E931" s="13" t="s">
        <v>2275</v>
      </c>
      <c r="F931" s="14">
        <v>59.0884</v>
      </c>
      <c r="G931" s="13">
        <v>42.35</v>
      </c>
      <c r="H931" s="13">
        <v>41.72</v>
      </c>
      <c r="I931" s="13">
        <v>60.52</v>
      </c>
      <c r="J931" s="14">
        <v>59.872895693245177</v>
      </c>
      <c r="K931" s="14">
        <v>62.809122857092099</v>
      </c>
      <c r="L931" s="14">
        <v>54.194402956093008</v>
      </c>
      <c r="M931" s="14">
        <v>64.099599999999995</v>
      </c>
      <c r="N931" s="14">
        <f t="shared" si="378"/>
        <v>50.919600000000003</v>
      </c>
      <c r="O931" s="14">
        <f t="shared" si="379"/>
        <v>60.244005376607575</v>
      </c>
      <c r="P931" s="14">
        <f t="shared" si="395"/>
        <v>55.581802688303789</v>
      </c>
      <c r="Q931" s="14">
        <v>65.830623317309772</v>
      </c>
      <c r="R931" s="17">
        <f t="shared" si="380"/>
        <v>34.169376682690228</v>
      </c>
      <c r="S931" s="14">
        <f t="shared" si="396"/>
        <v>0.40752439014421205</v>
      </c>
      <c r="T931" s="13">
        <v>0</v>
      </c>
      <c r="U931" s="13">
        <f t="shared" si="397"/>
        <v>22.650940243666927</v>
      </c>
      <c r="V931" s="13">
        <f>IF($T931=1,$AU931,(VLOOKUP(U931,'Cortes naturales'!$A$35:$C$39,3,9)))</f>
        <v>4</v>
      </c>
      <c r="W931" s="13">
        <v>4</v>
      </c>
      <c r="X931" s="14" t="b">
        <f t="shared" si="381"/>
        <v>1</v>
      </c>
      <c r="Y931" s="17">
        <f>IF($T931=1,$AU931,VLOOKUP(U931,'Cortes naturales'!$A$45:$C$49,3,9))</f>
        <v>4</v>
      </c>
      <c r="Z931" s="14">
        <v>54.711217471357237</v>
      </c>
      <c r="AA931" s="14">
        <v>0.4226757664194859</v>
      </c>
      <c r="AB931" s="14">
        <v>23.125105776449086</v>
      </c>
      <c r="AC931" s="13">
        <v>4</v>
      </c>
      <c r="AD931" s="13">
        <f t="shared" si="382"/>
        <v>0</v>
      </c>
      <c r="AE931" s="14">
        <f t="shared" si="383"/>
        <v>0.87058521694655155</v>
      </c>
      <c r="AF931" s="14">
        <f t="shared" si="384"/>
        <v>-1.5151376275273853E-2</v>
      </c>
      <c r="AG931" s="13">
        <f t="shared" si="385"/>
        <v>-0.474165532782159</v>
      </c>
      <c r="AH931" s="13">
        <f>IF($T931=1,$AU931,VLOOKUP(U931,'Cortes naturales'!$A$25:$C$29,3,9))</f>
        <v>4</v>
      </c>
      <c r="AI931" s="13" t="b">
        <f t="shared" si="386"/>
        <v>1</v>
      </c>
      <c r="AJ931" s="13">
        <f t="shared" si="387"/>
        <v>0</v>
      </c>
      <c r="AK931" s="28">
        <v>0.6523467210059386</v>
      </c>
      <c r="AL931" s="28">
        <v>35.690683319682712</v>
      </c>
      <c r="AM931" s="28">
        <v>0.27582681496092326</v>
      </c>
      <c r="AN931" s="13">
        <v>4</v>
      </c>
      <c r="AO931" s="33">
        <f t="shared" si="388"/>
        <v>0</v>
      </c>
      <c r="AP931" s="13">
        <f t="shared" si="398"/>
        <v>27.582681496092327</v>
      </c>
      <c r="AQ931" s="13">
        <f>IFERROR(VLOOKUP(U931,'Cortes naturales'!$E$15:$G$19,3,9),U931)</f>
        <v>4</v>
      </c>
      <c r="AR931" s="28">
        <f t="shared" si="389"/>
        <v>-0.24482233086172656</v>
      </c>
      <c r="AS931" s="13" t="b">
        <f t="shared" si="390"/>
        <v>1</v>
      </c>
      <c r="AT931" s="13">
        <f t="shared" si="399"/>
        <v>0</v>
      </c>
      <c r="AU931" s="13">
        <v>4</v>
      </c>
      <c r="AV931">
        <f t="shared" si="391"/>
        <v>0</v>
      </c>
      <c r="AW931" s="13">
        <v>0</v>
      </c>
      <c r="AX931" s="13">
        <v>0</v>
      </c>
      <c r="AY931" s="13">
        <v>0</v>
      </c>
      <c r="AZ931" s="13">
        <v>0</v>
      </c>
      <c r="BA931">
        <v>0</v>
      </c>
      <c r="BB931" t="s">
        <v>2841</v>
      </c>
      <c r="BC931">
        <v>6</v>
      </c>
      <c r="BD931" t="s">
        <v>2919</v>
      </c>
      <c r="BE931">
        <v>0</v>
      </c>
      <c r="BF931" s="232" t="s">
        <v>2846</v>
      </c>
      <c r="BG931" s="232" t="s">
        <v>2846</v>
      </c>
      <c r="BH931" s="253">
        <v>38.299999999999997</v>
      </c>
      <c r="BI931" s="253">
        <v>9.5986038394415356</v>
      </c>
      <c r="BJ931" s="25">
        <v>10.698700058357174</v>
      </c>
      <c r="BK931" t="s">
        <v>377</v>
      </c>
      <c r="BL931">
        <v>0</v>
      </c>
      <c r="BM931" t="s">
        <v>377</v>
      </c>
      <c r="BN931" s="322">
        <v>7965.6529780000001</v>
      </c>
      <c r="BO931" s="322">
        <v>1208.1429189999999</v>
      </c>
      <c r="BP931" s="10">
        <v>1805</v>
      </c>
      <c r="BQ931" s="254">
        <f t="shared" si="392"/>
        <v>4.4131041429362883</v>
      </c>
      <c r="BR931" s="254">
        <f t="shared" si="393"/>
        <v>0.66933125706371188</v>
      </c>
      <c r="BS931" s="25">
        <v>53.637527727364393</v>
      </c>
      <c r="BT931" s="25">
        <v>81.413896583564181</v>
      </c>
      <c r="BU931" s="25">
        <v>56.710340136054391</v>
      </c>
      <c r="BV931" s="25">
        <v>78.321528550133635</v>
      </c>
      <c r="BW931" s="25">
        <v>64.500720324305121</v>
      </c>
      <c r="BX931" s="25">
        <v>67.520823249279147</v>
      </c>
      <c r="BY931" s="25">
        <v>66.611270429686002</v>
      </c>
      <c r="BZ931">
        <v>52</v>
      </c>
      <c r="CA931">
        <v>0</v>
      </c>
      <c r="CB931">
        <v>7</v>
      </c>
      <c r="CC931">
        <v>17672.663670000002</v>
      </c>
      <c r="CD931" s="10">
        <v>16230.298607000001</v>
      </c>
      <c r="CE931" s="255">
        <v>0.91838439920924486</v>
      </c>
      <c r="CF931" t="str">
        <f>IFERROR(VLOOKUP(CE931,'Rangos amb etnico'!$A$2:$C$6,3,9),"N.D.")</f>
        <v>71% - 100%</v>
      </c>
      <c r="CG931" s="256">
        <v>4.722005692699157E-4</v>
      </c>
      <c r="CH931" s="232">
        <v>0</v>
      </c>
      <c r="CI931" s="311">
        <f t="shared" si="400"/>
        <v>0</v>
      </c>
      <c r="CJ931" s="232">
        <f>IFERROR(VLOOKUP(CI931,'Rangos amb etnico'!$A$2:$C$6,3,9),"N.D.")</f>
        <v>0</v>
      </c>
      <c r="CK931" s="311">
        <f t="shared" si="401"/>
        <v>0</v>
      </c>
      <c r="CL931" s="10">
        <v>0</v>
      </c>
      <c r="CM931" s="255">
        <f t="shared" si="402"/>
        <v>0</v>
      </c>
      <c r="CN931" s="232">
        <f>IFERROR(VLOOKUP(CM931,'Rangos amb etnico'!$A$2:$C$6,3,9),"N.D.")</f>
        <v>0</v>
      </c>
      <c r="CO931" s="311">
        <f t="shared" si="403"/>
        <v>0</v>
      </c>
      <c r="CP931">
        <v>0.91101711629949789</v>
      </c>
      <c r="CQ931" t="s">
        <v>2864</v>
      </c>
      <c r="CR931">
        <f t="shared" si="394"/>
        <v>4</v>
      </c>
      <c r="CS931" t="str">
        <f t="shared" si="404"/>
        <v>Candidato</v>
      </c>
      <c r="CT931">
        <v>0</v>
      </c>
      <c r="CU931">
        <v>0</v>
      </c>
      <c r="CV931" s="25">
        <v>45.815475463867188</v>
      </c>
      <c r="CW931" s="25">
        <v>18.071626663208011</v>
      </c>
      <c r="CX931" s="25">
        <v>49.764080047607422</v>
      </c>
      <c r="CY931" s="25">
        <v>43.8812255859375</v>
      </c>
      <c r="CZ931" s="25">
        <v>30.531097412109379</v>
      </c>
      <c r="DA931" s="25">
        <v>69.747161865234375</v>
      </c>
      <c r="DB931" s="25">
        <v>62.897666931152337</v>
      </c>
      <c r="DC931">
        <v>15</v>
      </c>
      <c r="DD931" s="253" t="s">
        <v>380</v>
      </c>
    </row>
    <row r="932" spans="1:108" hidden="1">
      <c r="A932" s="13">
        <v>13042</v>
      </c>
      <c r="B932" s="13" t="s">
        <v>2276</v>
      </c>
      <c r="C932" s="13" t="s">
        <v>480</v>
      </c>
      <c r="D932" s="13" t="s">
        <v>481</v>
      </c>
      <c r="E932" s="13" t="s">
        <v>2277</v>
      </c>
      <c r="F932" s="14">
        <v>58.702566666666698</v>
      </c>
      <c r="G932" s="13">
        <v>51.08</v>
      </c>
      <c r="H932" s="13">
        <v>55.1</v>
      </c>
      <c r="I932" s="13">
        <v>50.1</v>
      </c>
      <c r="J932" s="14">
        <v>45.39951943899856</v>
      </c>
      <c r="K932" s="14">
        <v>48.355781441102529</v>
      </c>
      <c r="L932" s="14">
        <v>59.547923555344155</v>
      </c>
      <c r="M932" s="14">
        <v>64.746399999999994</v>
      </c>
      <c r="N932" s="14">
        <f t="shared" si="378"/>
        <v>53.745641666666671</v>
      </c>
      <c r="O932" s="14">
        <f t="shared" si="379"/>
        <v>54.512406108861313</v>
      </c>
      <c r="P932" s="14">
        <f t="shared" si="395"/>
        <v>54.129023887763992</v>
      </c>
      <c r="Q932" s="14">
        <v>63.923525771641351</v>
      </c>
      <c r="R932" s="17">
        <f t="shared" si="380"/>
        <v>36.076474228358649</v>
      </c>
      <c r="S932" s="14">
        <f t="shared" si="396"/>
        <v>0.42468826805522786</v>
      </c>
      <c r="T932" s="13">
        <v>0</v>
      </c>
      <c r="U932" s="13">
        <f t="shared" si="397"/>
        <v>22.987961406414545</v>
      </c>
      <c r="V932" s="13">
        <f>IF($T932=1,$AU932,(VLOOKUP(U932,'Cortes naturales'!$A$35:$C$39,3,9)))</f>
        <v>4</v>
      </c>
      <c r="W932" s="13">
        <v>4</v>
      </c>
      <c r="X932" s="14" t="b">
        <f t="shared" si="381"/>
        <v>1</v>
      </c>
      <c r="Y932" s="17">
        <f>IF($T932=1,$AU932,VLOOKUP(U932,'Cortes naturales'!$A$45:$C$49,3,9))</f>
        <v>4</v>
      </c>
      <c r="Z932" s="14">
        <v>53.75320020640109</v>
      </c>
      <c r="AA932" s="14">
        <v>0.42393927490798577</v>
      </c>
      <c r="AB932" s="14">
        <v>22.788092719485469</v>
      </c>
      <c r="AC932" s="13">
        <v>4</v>
      </c>
      <c r="AD932" s="13">
        <f t="shared" si="382"/>
        <v>0</v>
      </c>
      <c r="AE932" s="14">
        <f t="shared" si="383"/>
        <v>0.37582368136290256</v>
      </c>
      <c r="AF932" s="14">
        <f t="shared" si="384"/>
        <v>7.4899314724208299E-4</v>
      </c>
      <c r="AG932" s="13">
        <f t="shared" si="385"/>
        <v>0.19986868692907578</v>
      </c>
      <c r="AH932" s="13">
        <f>IF($T932=1,$AU932,VLOOKUP(U932,'Cortes naturales'!$A$25:$C$29,3,9))</f>
        <v>4</v>
      </c>
      <c r="AI932" s="13" t="b">
        <f t="shared" si="386"/>
        <v>1</v>
      </c>
      <c r="AJ932" s="13">
        <f t="shared" si="387"/>
        <v>0</v>
      </c>
      <c r="AK932" s="28">
        <v>0.6523467210059386</v>
      </c>
      <c r="AL932" s="28">
        <v>35.065723898221492</v>
      </c>
      <c r="AM932" s="28">
        <v>0.26800923136776855</v>
      </c>
      <c r="AN932" s="13">
        <v>4</v>
      </c>
      <c r="AO932" s="33">
        <f t="shared" si="388"/>
        <v>0</v>
      </c>
      <c r="AP932" s="13">
        <f t="shared" si="398"/>
        <v>26.800923136776856</v>
      </c>
      <c r="AQ932" s="13">
        <f>IFERROR(VLOOKUP(U932,'Cortes naturales'!$E$15:$G$19,3,9),U932)</f>
        <v>4</v>
      </c>
      <c r="AR932" s="28">
        <f t="shared" si="389"/>
        <v>-0.22765845295071074</v>
      </c>
      <c r="AS932" s="13" t="b">
        <f t="shared" si="390"/>
        <v>1</v>
      </c>
      <c r="AT932" s="13">
        <f t="shared" si="399"/>
        <v>0</v>
      </c>
      <c r="AU932" s="13">
        <v>4</v>
      </c>
      <c r="AV932">
        <f t="shared" si="391"/>
        <v>0</v>
      </c>
      <c r="AW932" s="13">
        <v>0</v>
      </c>
      <c r="AX932" s="13">
        <v>0</v>
      </c>
      <c r="AY932" s="13">
        <v>0</v>
      </c>
      <c r="AZ932" s="13">
        <v>1</v>
      </c>
      <c r="BA932">
        <v>1</v>
      </c>
      <c r="BB932" t="s">
        <v>2840</v>
      </c>
      <c r="BC932">
        <v>6</v>
      </c>
      <c r="BD932" t="s">
        <v>2919</v>
      </c>
      <c r="BE932">
        <v>1</v>
      </c>
      <c r="BF932" s="232" t="s">
        <v>2846</v>
      </c>
      <c r="BG932" s="232" t="s">
        <v>2845</v>
      </c>
      <c r="BH932" s="253">
        <v>62</v>
      </c>
      <c r="BI932" s="253">
        <v>36.267261821732461</v>
      </c>
      <c r="BJ932" s="25">
        <v>13.836000000000002</v>
      </c>
      <c r="BK932" t="s">
        <v>377</v>
      </c>
      <c r="BL932">
        <v>77.350270082374806</v>
      </c>
      <c r="BM932" t="s">
        <v>384</v>
      </c>
      <c r="BN932" s="322">
        <v>38311.006110000002</v>
      </c>
      <c r="BO932" s="322">
        <v>1038.0759049999999</v>
      </c>
      <c r="BP932" s="10">
        <v>8533</v>
      </c>
      <c r="BQ932" s="254">
        <f t="shared" si="392"/>
        <v>4.4897464092347361</v>
      </c>
      <c r="BR932" s="254">
        <f t="shared" si="393"/>
        <v>0.12165427223719676</v>
      </c>
      <c r="BS932" s="25">
        <v>63.080445512460351</v>
      </c>
      <c r="BT932" s="25">
        <v>96.624497593265346</v>
      </c>
      <c r="BU932" s="25">
        <v>43.409344420342229</v>
      </c>
      <c r="BV932" s="25">
        <v>83.548680836724913</v>
      </c>
      <c r="BW932" s="25">
        <v>39.525235424456064</v>
      </c>
      <c r="BX932" s="25">
        <v>71.665742090698217</v>
      </c>
      <c r="BY932" s="25">
        <v>39.523537152894953</v>
      </c>
      <c r="BZ932">
        <v>8</v>
      </c>
      <c r="CA932">
        <v>0</v>
      </c>
      <c r="CB932">
        <v>7</v>
      </c>
      <c r="CC932">
        <v>46136.296977999998</v>
      </c>
      <c r="CD932" s="10">
        <v>22830.322563999998</v>
      </c>
      <c r="CE932" s="255">
        <v>0.49484514491673642</v>
      </c>
      <c r="CF932" t="str">
        <f>IFERROR(VLOOKUP(CE932,'Rangos amb etnico'!$A$2:$C$6,3,9),"N.D.")</f>
        <v>31% - 50%</v>
      </c>
      <c r="CG932" s="256">
        <v>6.6422014605985495E-4</v>
      </c>
      <c r="CH932" s="232">
        <v>0</v>
      </c>
      <c r="CI932" s="311">
        <f t="shared" si="400"/>
        <v>0</v>
      </c>
      <c r="CJ932" s="232">
        <f>IFERROR(VLOOKUP(CI932,'Rangos amb etnico'!$A$2:$C$6,3,9),"N.D.")</f>
        <v>0</v>
      </c>
      <c r="CK932" s="311">
        <f t="shared" si="401"/>
        <v>0</v>
      </c>
      <c r="CL932" s="10">
        <v>11163.333634500001</v>
      </c>
      <c r="CM932" s="255">
        <f t="shared" si="402"/>
        <v>0.24196423132578704</v>
      </c>
      <c r="CN932" s="232" t="str">
        <f>IFERROR(VLOOKUP(CM932,'Rangos amb etnico'!$A$2:$C$6,3,9),"N.D.")</f>
        <v>0,1% - 30%</v>
      </c>
      <c r="CO932" s="311">
        <f t="shared" si="403"/>
        <v>7.0006040643130641E-3</v>
      </c>
      <c r="CP932">
        <v>0.88028144070536207</v>
      </c>
      <c r="CQ932" t="s">
        <v>2864</v>
      </c>
      <c r="CR932">
        <f t="shared" si="394"/>
        <v>2</v>
      </c>
      <c r="CS932" t="str">
        <f t="shared" si="404"/>
        <v>No es Candidato</v>
      </c>
      <c r="CT932">
        <v>0</v>
      </c>
      <c r="CU932">
        <v>0</v>
      </c>
      <c r="CV932" s="25">
        <v>32.497821807861328</v>
      </c>
      <c r="CW932" s="25">
        <v>15.100080490112299</v>
      </c>
      <c r="CX932" s="25">
        <v>47.134086608886719</v>
      </c>
      <c r="CY932" s="25">
        <v>43.221092224121087</v>
      </c>
      <c r="CZ932" s="25">
        <v>7.8139853477478027</v>
      </c>
      <c r="DA932" s="25">
        <v>36.017269134521477</v>
      </c>
      <c r="DB932" s="25">
        <v>45.700405120849609</v>
      </c>
      <c r="DC932">
        <v>2598</v>
      </c>
      <c r="DD932" s="253" t="s">
        <v>380</v>
      </c>
    </row>
    <row r="933" spans="1:108" hidden="1">
      <c r="A933" s="13">
        <v>68296</v>
      </c>
      <c r="B933" s="13" t="s">
        <v>2278</v>
      </c>
      <c r="C933" s="13" t="s">
        <v>431</v>
      </c>
      <c r="D933" s="13" t="s">
        <v>432</v>
      </c>
      <c r="E933" s="13" t="s">
        <v>2279</v>
      </c>
      <c r="F933" s="14">
        <v>72.0315333333333</v>
      </c>
      <c r="G933" s="13">
        <v>73.930000000000007</v>
      </c>
      <c r="H933" s="13">
        <v>73.260000000000005</v>
      </c>
      <c r="I933" s="13">
        <v>64.650000000000006</v>
      </c>
      <c r="J933" s="14">
        <v>51.250779218060671</v>
      </c>
      <c r="K933" s="14">
        <v>65.021950363295502</v>
      </c>
      <c r="L933" s="14">
        <v>61.716770333719396</v>
      </c>
      <c r="M933" s="14">
        <v>61.922199999999997</v>
      </c>
      <c r="N933" s="14">
        <f t="shared" si="378"/>
        <v>70.967883333333333</v>
      </c>
      <c r="O933" s="14">
        <f t="shared" si="379"/>
        <v>59.97792497876889</v>
      </c>
      <c r="P933" s="14">
        <f t="shared" si="395"/>
        <v>65.472904156051115</v>
      </c>
      <c r="Q933" s="14">
        <v>64.285896168533</v>
      </c>
      <c r="R933" s="17">
        <f t="shared" si="380"/>
        <v>35.714103831467</v>
      </c>
      <c r="S933" s="203">
        <f t="shared" si="396"/>
        <v>0.42142693448320301</v>
      </c>
      <c r="T933" s="13">
        <v>0</v>
      </c>
      <c r="U933" s="13">
        <f t="shared" si="397"/>
        <v>27.592045290197184</v>
      </c>
      <c r="V933" s="13">
        <f>IF($T933=1,$AU933,(VLOOKUP(U933,'Cortes naturales'!$A$35:$C$39,3,9)))</f>
        <v>4</v>
      </c>
      <c r="W933" s="13">
        <v>4</v>
      </c>
      <c r="X933" s="14" t="b">
        <f t="shared" si="381"/>
        <v>1</v>
      </c>
      <c r="Y933" s="17">
        <f>IF($T933=1,$AU933,VLOOKUP(U933,'Cortes naturales'!$A$45:$C$49,3,9))</f>
        <v>4</v>
      </c>
      <c r="Z933" s="14">
        <v>65.380754350269569</v>
      </c>
      <c r="AA933" s="203">
        <v>0.42616448741922819</v>
      </c>
      <c r="AB933" s="14">
        <v>27.862955664765103</v>
      </c>
      <c r="AC933" s="13">
        <v>3</v>
      </c>
      <c r="AD933" s="13">
        <f t="shared" si="382"/>
        <v>-1</v>
      </c>
      <c r="AE933" s="14">
        <f t="shared" si="383"/>
        <v>9.2149805781545524E-2</v>
      </c>
      <c r="AF933" s="241">
        <f t="shared" si="384"/>
        <v>-4.73755293602518E-3</v>
      </c>
      <c r="AG933" s="13">
        <f t="shared" si="385"/>
        <v>-0.27091037456791867</v>
      </c>
      <c r="AH933" s="13">
        <f>IF($T933=1,$AU933,VLOOKUP(U933,'Cortes naturales'!$A$25:$C$29,3,9))</f>
        <v>4</v>
      </c>
      <c r="AI933" s="13" t="b">
        <f t="shared" si="386"/>
        <v>1</v>
      </c>
      <c r="AJ933" s="13" t="str">
        <f t="shared" si="387"/>
        <v>Efecto ponderador</v>
      </c>
      <c r="AK933" s="28">
        <v>0.6523467210059386</v>
      </c>
      <c r="AL933" s="28">
        <v>42.650920717293111</v>
      </c>
      <c r="AM933" s="28">
        <v>0.36289204802325403</v>
      </c>
      <c r="AN933" s="13">
        <v>3</v>
      </c>
      <c r="AO933" s="33">
        <f t="shared" si="388"/>
        <v>-1</v>
      </c>
      <c r="AP933" s="13">
        <f t="shared" si="398"/>
        <v>36.289204802325401</v>
      </c>
      <c r="AQ933" s="13">
        <f>IFERROR(VLOOKUP(U933,'Cortes naturales'!$E$15:$G$19,3,9),U933)</f>
        <v>4</v>
      </c>
      <c r="AR933" s="28">
        <f t="shared" si="389"/>
        <v>-0.23091978652273559</v>
      </c>
      <c r="AS933" s="13" t="b">
        <f t="shared" si="390"/>
        <v>1</v>
      </c>
      <c r="AT933" s="13" t="str">
        <f t="shared" si="399"/>
        <v>Efecto ponderador</v>
      </c>
      <c r="AU933" s="13">
        <v>4</v>
      </c>
      <c r="AV933">
        <f t="shared" si="391"/>
        <v>0</v>
      </c>
      <c r="AW933" s="13">
        <v>0</v>
      </c>
      <c r="AX933" s="13">
        <v>0</v>
      </c>
      <c r="AY933" s="13">
        <v>0</v>
      </c>
      <c r="AZ933" s="13">
        <v>0</v>
      </c>
      <c r="BA933">
        <v>0</v>
      </c>
      <c r="BB933" t="s">
        <v>2840</v>
      </c>
      <c r="BC933">
        <v>6</v>
      </c>
      <c r="BD933" t="s">
        <v>2919</v>
      </c>
      <c r="BE933">
        <v>0</v>
      </c>
      <c r="BF933" s="232" t="s">
        <v>2846</v>
      </c>
      <c r="BG933" s="232" t="s">
        <v>2846</v>
      </c>
      <c r="BH933" s="253">
        <v>41.9</v>
      </c>
      <c r="BI933" s="253">
        <v>17.704426106526633</v>
      </c>
      <c r="BJ933" s="25">
        <v>4.9185714285714282</v>
      </c>
      <c r="BK933" t="s">
        <v>381</v>
      </c>
      <c r="BL933">
        <v>0</v>
      </c>
      <c r="BM933" t="s">
        <v>377</v>
      </c>
      <c r="BN933" s="322">
        <v>15100.868353</v>
      </c>
      <c r="BO933" s="322">
        <v>918.35793000000001</v>
      </c>
      <c r="BP933" s="10">
        <v>3063</v>
      </c>
      <c r="BQ933" s="254">
        <f t="shared" si="392"/>
        <v>4.9300908759386219</v>
      </c>
      <c r="BR933" s="254">
        <f t="shared" si="393"/>
        <v>0.29982302644466208</v>
      </c>
      <c r="BS933" s="25">
        <v>69.583906915765326</v>
      </c>
      <c r="BT933" s="25">
        <v>99.118511263467198</v>
      </c>
      <c r="BU933" s="25">
        <v>51.0783850014762</v>
      </c>
      <c r="BV933" s="25">
        <v>93.535577886133595</v>
      </c>
      <c r="BW933" s="25">
        <v>58.751844039064729</v>
      </c>
      <c r="BX933" s="25">
        <v>78.329095266710581</v>
      </c>
      <c r="BY933" s="25">
        <v>61.611453918217059</v>
      </c>
      <c r="BZ933">
        <v>45</v>
      </c>
      <c r="CA933">
        <v>0</v>
      </c>
      <c r="CB933">
        <v>7</v>
      </c>
      <c r="CC933">
        <v>20138.080288000001</v>
      </c>
      <c r="CD933" s="10">
        <v>20110.536695999999</v>
      </c>
      <c r="CE933" s="255">
        <v>0.9986322632740513</v>
      </c>
      <c r="CF933" t="str">
        <f>IFERROR(VLOOKUP(CE933,'Rangos amb etnico'!$A$2:$C$6,3,9),"N.D.")</f>
        <v>71% - 100%</v>
      </c>
      <c r="CG933" s="256">
        <v>5.8509132247752291E-4</v>
      </c>
      <c r="CH933" s="232">
        <v>0</v>
      </c>
      <c r="CI933" s="311">
        <f t="shared" si="400"/>
        <v>0</v>
      </c>
      <c r="CJ933" s="232">
        <f>IFERROR(VLOOKUP(CI933,'Rangos amb etnico'!$A$2:$C$6,3,9),"N.D.")</f>
        <v>0</v>
      </c>
      <c r="CK933" s="311">
        <f t="shared" si="401"/>
        <v>0</v>
      </c>
      <c r="CL933" s="10">
        <v>0</v>
      </c>
      <c r="CM933" s="255">
        <f t="shared" si="402"/>
        <v>0</v>
      </c>
      <c r="CN933" s="232">
        <f>IFERROR(VLOOKUP(CM933,'Rangos amb etnico'!$A$2:$C$6,3,9),"N.D.")</f>
        <v>0</v>
      </c>
      <c r="CO933" s="311">
        <f t="shared" si="403"/>
        <v>0</v>
      </c>
      <c r="CP933">
        <v>0.93722747563240949</v>
      </c>
      <c r="CQ933" t="s">
        <v>2864</v>
      </c>
      <c r="CR933">
        <f t="shared" si="394"/>
        <v>4</v>
      </c>
      <c r="CS933" t="str">
        <f t="shared" si="404"/>
        <v>Candidato</v>
      </c>
      <c r="CT933">
        <v>0</v>
      </c>
      <c r="CU933">
        <v>0</v>
      </c>
      <c r="CV933" s="25">
        <v>53.990146636962891</v>
      </c>
      <c r="CW933" s="25">
        <v>22.553865432739261</v>
      </c>
      <c r="CX933" s="25">
        <v>56.114681243896477</v>
      </c>
      <c r="CY933" s="25">
        <v>58.742752075195313</v>
      </c>
      <c r="CZ933" s="25">
        <v>39.697128295898438</v>
      </c>
      <c r="DA933" s="25">
        <v>74.730117797851563</v>
      </c>
      <c r="DB933" s="25">
        <v>72.102340698242188</v>
      </c>
      <c r="DC933">
        <v>26</v>
      </c>
      <c r="DD933" s="253" t="s">
        <v>380</v>
      </c>
    </row>
    <row r="934" spans="1:108" hidden="1">
      <c r="A934" s="13">
        <v>25368</v>
      </c>
      <c r="B934" s="13" t="s">
        <v>2280</v>
      </c>
      <c r="C934" s="13" t="s">
        <v>461</v>
      </c>
      <c r="D934" s="13" t="s">
        <v>462</v>
      </c>
      <c r="E934" s="13" t="s">
        <v>2281</v>
      </c>
      <c r="F934" s="14">
        <v>72.198866666666703</v>
      </c>
      <c r="G934" s="13">
        <v>52.42</v>
      </c>
      <c r="H934" s="13">
        <v>60.04</v>
      </c>
      <c r="I934" s="13">
        <v>58.77</v>
      </c>
      <c r="J934" s="14">
        <v>56.981738830517017</v>
      </c>
      <c r="K934" s="14">
        <v>64.668631018837942</v>
      </c>
      <c r="L934" s="14">
        <v>70.555520137851886</v>
      </c>
      <c r="M934" s="14">
        <v>54.612200000000001</v>
      </c>
      <c r="N934" s="14">
        <f t="shared" si="378"/>
        <v>60.85721666666668</v>
      </c>
      <c r="O934" s="14">
        <f t="shared" si="379"/>
        <v>61.704522496801708</v>
      </c>
      <c r="P934" s="14">
        <f t="shared" si="395"/>
        <v>61.280869581734194</v>
      </c>
      <c r="Q934" s="14">
        <v>66.071411815059562</v>
      </c>
      <c r="R934" s="17">
        <f t="shared" si="380"/>
        <v>33.928588184940438</v>
      </c>
      <c r="S934" s="14">
        <f t="shared" si="396"/>
        <v>0.40535729366446394</v>
      </c>
      <c r="T934" s="13">
        <v>0</v>
      </c>
      <c r="U934" s="13">
        <f t="shared" si="397"/>
        <v>24.840647447056742</v>
      </c>
      <c r="V934" s="13">
        <f>IF($T934=1,$AU934,(VLOOKUP(U934,'Cortes naturales'!$A$35:$C$39,3,9)))</f>
        <v>4</v>
      </c>
      <c r="W934" s="13">
        <v>4</v>
      </c>
      <c r="X934" s="14" t="b">
        <f t="shared" si="381"/>
        <v>1</v>
      </c>
      <c r="Y934" s="17">
        <f>IF($T934=1,$AU934,VLOOKUP(U934,'Cortes naturales'!$A$45:$C$49,3,9))</f>
        <v>4</v>
      </c>
      <c r="Z934" s="14">
        <v>63.742817348860882</v>
      </c>
      <c r="AA934" s="14">
        <v>0.42297367620595039</v>
      </c>
      <c r="AB934" s="14">
        <v>26.961533785772119</v>
      </c>
      <c r="AC934" s="13">
        <v>4</v>
      </c>
      <c r="AD934" s="13">
        <f t="shared" si="382"/>
        <v>0</v>
      </c>
      <c r="AE934" s="14">
        <f t="shared" si="383"/>
        <v>-2.4619477671266878</v>
      </c>
      <c r="AF934" s="14">
        <f t="shared" si="384"/>
        <v>-1.7616382541486453E-2</v>
      </c>
      <c r="AG934" s="13">
        <f t="shared" si="385"/>
        <v>-2.1208863387153762</v>
      </c>
      <c r="AH934" s="13">
        <f>IF($T934=1,$AU934,VLOOKUP(U934,'Cortes naturales'!$A$25:$C$29,3,9))</f>
        <v>4</v>
      </c>
      <c r="AI934" s="13" t="b">
        <f t="shared" si="386"/>
        <v>1</v>
      </c>
      <c r="AJ934" s="13">
        <f t="shared" si="387"/>
        <v>0</v>
      </c>
      <c r="AK934" s="28">
        <v>0.6523467210059386</v>
      </c>
      <c r="AL934" s="28">
        <v>41.58241788520985</v>
      </c>
      <c r="AM934" s="28">
        <v>0.3495262039020422</v>
      </c>
      <c r="AN934" s="13">
        <v>4</v>
      </c>
      <c r="AO934" s="33">
        <f t="shared" si="388"/>
        <v>0</v>
      </c>
      <c r="AP934" s="13">
        <f t="shared" si="398"/>
        <v>34.952620390204217</v>
      </c>
      <c r="AQ934" s="13">
        <f>IFERROR(VLOOKUP(U934,'Cortes naturales'!$E$15:$G$19,3,9),U934)</f>
        <v>4</v>
      </c>
      <c r="AR934" s="28">
        <f t="shared" si="389"/>
        <v>-0.24698942734147467</v>
      </c>
      <c r="AS934" s="13" t="b">
        <f t="shared" si="390"/>
        <v>1</v>
      </c>
      <c r="AT934" s="13">
        <f t="shared" si="399"/>
        <v>0</v>
      </c>
      <c r="AU934" s="13">
        <v>4</v>
      </c>
      <c r="AV934">
        <f t="shared" si="391"/>
        <v>0</v>
      </c>
      <c r="AW934" s="13">
        <v>0</v>
      </c>
      <c r="AX934" s="13">
        <v>0</v>
      </c>
      <c r="AY934" s="13">
        <v>0</v>
      </c>
      <c r="AZ934" s="13">
        <v>0</v>
      </c>
      <c r="BA934">
        <v>0</v>
      </c>
      <c r="BB934" t="s">
        <v>2840</v>
      </c>
      <c r="BC934">
        <v>6</v>
      </c>
      <c r="BD934" t="s">
        <v>2919</v>
      </c>
      <c r="BE934">
        <v>0</v>
      </c>
      <c r="BF934" s="232" t="s">
        <v>2846</v>
      </c>
      <c r="BG934" s="232" t="s">
        <v>2846</v>
      </c>
      <c r="BH934" s="253">
        <v>34.9</v>
      </c>
      <c r="BI934" s="253">
        <v>14.525691699604742</v>
      </c>
      <c r="BJ934" s="25">
        <v>3.4155300358078136</v>
      </c>
      <c r="BK934" t="s">
        <v>381</v>
      </c>
      <c r="BL934">
        <v>0</v>
      </c>
      <c r="BM934" t="s">
        <v>377</v>
      </c>
      <c r="BN934" s="322">
        <v>13833.355158</v>
      </c>
      <c r="BO934" s="322">
        <v>1515.2870250000001</v>
      </c>
      <c r="BP934" s="10">
        <v>2169</v>
      </c>
      <c r="BQ934" s="254">
        <f t="shared" si="392"/>
        <v>6.3777571037344396</v>
      </c>
      <c r="BR934" s="254">
        <f t="shared" si="393"/>
        <v>0.69861089211618266</v>
      </c>
      <c r="BS934" s="25">
        <v>60.544590095713687</v>
      </c>
      <c r="BT934" s="25">
        <v>93.453204241585979</v>
      </c>
      <c r="BU934" s="25">
        <v>33.539731819677513</v>
      </c>
      <c r="BV934" s="25">
        <v>86.13984925506621</v>
      </c>
      <c r="BW934" s="25">
        <v>58.95610300580573</v>
      </c>
      <c r="BX934" s="25">
        <v>68.419343853010844</v>
      </c>
      <c r="BY934" s="25">
        <v>57.344537053912468</v>
      </c>
      <c r="BZ934">
        <v>55</v>
      </c>
      <c r="CA934">
        <v>0</v>
      </c>
      <c r="CB934">
        <v>7</v>
      </c>
      <c r="CC934">
        <v>22167.275308</v>
      </c>
      <c r="CD934" s="10">
        <v>14104.871913999999</v>
      </c>
      <c r="CE934" s="255">
        <v>0.63629254015308134</v>
      </c>
      <c r="CF934" t="str">
        <f>IFERROR(VLOOKUP(CE934,'Rangos amb etnico'!$A$2:$C$6,3,9),"N.D.")</f>
        <v>51% - 70%</v>
      </c>
      <c r="CG934" s="256">
        <v>4.1036389462344814E-4</v>
      </c>
      <c r="CH934" s="232">
        <v>0</v>
      </c>
      <c r="CI934" s="311">
        <f t="shared" si="400"/>
        <v>0</v>
      </c>
      <c r="CJ934" s="232">
        <f>IFERROR(VLOOKUP(CI934,'Rangos amb etnico'!$A$2:$C$6,3,9),"N.D.")</f>
        <v>0</v>
      </c>
      <c r="CK934" s="311">
        <f t="shared" si="401"/>
        <v>0</v>
      </c>
      <c r="CL934" s="10">
        <v>0</v>
      </c>
      <c r="CM934" s="255">
        <f t="shared" si="402"/>
        <v>0</v>
      </c>
      <c r="CN934" s="232">
        <f>IFERROR(VLOOKUP(CM934,'Rangos amb etnico'!$A$2:$C$6,3,9),"N.D.")</f>
        <v>0</v>
      </c>
      <c r="CO934" s="311">
        <f t="shared" si="403"/>
        <v>0</v>
      </c>
      <c r="CP934">
        <v>0.94102506958385956</v>
      </c>
      <c r="CQ934" t="s">
        <v>2864</v>
      </c>
      <c r="CR934">
        <f t="shared" si="394"/>
        <v>1</v>
      </c>
      <c r="CS934" t="str">
        <f t="shared" si="404"/>
        <v>No es Candidato</v>
      </c>
      <c r="CT934">
        <v>0</v>
      </c>
      <c r="CU934">
        <v>0</v>
      </c>
      <c r="CV934" s="25">
        <v>51.626190185546882</v>
      </c>
      <c r="CW934" s="25">
        <v>24.54245567321777</v>
      </c>
      <c r="CX934" s="25">
        <v>57.154865264892578</v>
      </c>
      <c r="CY934" s="25">
        <v>68.379920959472656</v>
      </c>
      <c r="CZ934" s="25">
        <v>29.672319412231449</v>
      </c>
      <c r="DA934" s="25">
        <v>71.599906921386719</v>
      </c>
      <c r="DB934" s="25">
        <v>58.407688140869141</v>
      </c>
      <c r="DC934">
        <v>23</v>
      </c>
      <c r="DD934" s="253" t="s">
        <v>380</v>
      </c>
    </row>
    <row r="935" spans="1:108" hidden="1">
      <c r="A935" s="13">
        <v>86569</v>
      </c>
      <c r="B935" s="13" t="s">
        <v>2282</v>
      </c>
      <c r="C935" s="13" t="s">
        <v>943</v>
      </c>
      <c r="D935" s="13" t="s">
        <v>944</v>
      </c>
      <c r="E935" s="13" t="s">
        <v>2283</v>
      </c>
      <c r="F935" s="14">
        <v>54.7490666666667</v>
      </c>
      <c r="G935" s="13">
        <v>38.47</v>
      </c>
      <c r="H935" s="13">
        <v>34.619999999999997</v>
      </c>
      <c r="I935" s="13">
        <v>50.61</v>
      </c>
      <c r="J935" s="14">
        <v>58.136011360600634</v>
      </c>
      <c r="K935" s="14">
        <v>62.178000737232793</v>
      </c>
      <c r="L935" s="14">
        <v>57.882121469961717</v>
      </c>
      <c r="M935" s="14">
        <v>58.102600000000002</v>
      </c>
      <c r="N935" s="14">
        <f t="shared" si="378"/>
        <v>44.61226666666667</v>
      </c>
      <c r="O935" s="14">
        <f t="shared" si="379"/>
        <v>59.074683391948781</v>
      </c>
      <c r="P935" s="14">
        <f t="shared" si="395"/>
        <v>51.843475029307726</v>
      </c>
      <c r="Q935" s="14">
        <v>64.506498406849801</v>
      </c>
      <c r="R935" s="17">
        <f t="shared" si="380"/>
        <v>35.493501593150199</v>
      </c>
      <c r="S935" s="14">
        <f t="shared" si="396"/>
        <v>0.41944151433835186</v>
      </c>
      <c r="T935" s="13">
        <v>0</v>
      </c>
      <c r="U935" s="13">
        <f t="shared" si="397"/>
        <v>21.745305674855363</v>
      </c>
      <c r="V935" s="13">
        <f>IF($T935=1,$AU935,(VLOOKUP(U935,'Cortes naturales'!$A$35:$C$39,3,9)))</f>
        <v>5</v>
      </c>
      <c r="W935" s="13">
        <v>5</v>
      </c>
      <c r="X935" s="14" t="b">
        <f t="shared" si="381"/>
        <v>1</v>
      </c>
      <c r="Y935" s="17">
        <f>IF($T935=1,$AU935,VLOOKUP(U935,'Cortes naturales'!$A$45:$C$49,3,9))</f>
        <v>4</v>
      </c>
      <c r="Z935" s="14">
        <v>52.619571760963282</v>
      </c>
      <c r="AA935" s="14">
        <v>0.42262734018050407</v>
      </c>
      <c r="AB935" s="14">
        <v>22.238469654773073</v>
      </c>
      <c r="AC935" s="13">
        <v>4</v>
      </c>
      <c r="AD935" s="13">
        <f t="shared" si="382"/>
        <v>0</v>
      </c>
      <c r="AE935" s="14">
        <f t="shared" si="383"/>
        <v>-0.77609673165555648</v>
      </c>
      <c r="AF935" s="14">
        <f t="shared" si="384"/>
        <v>-3.1858258421522123E-3</v>
      </c>
      <c r="AG935" s="13">
        <f t="shared" si="385"/>
        <v>-0.49316397991771055</v>
      </c>
      <c r="AH935" s="13">
        <f>IF($T935=1,$AU935,VLOOKUP(U935,'Cortes naturales'!$A$25:$C$29,3,9))</f>
        <v>4</v>
      </c>
      <c r="AI935" s="13" t="b">
        <f t="shared" si="386"/>
        <v>1</v>
      </c>
      <c r="AJ935" s="13">
        <f t="shared" si="387"/>
        <v>0</v>
      </c>
      <c r="AK935" s="28">
        <v>0.6523467210059386</v>
      </c>
      <c r="AL935" s="28">
        <v>34.326205099001079</v>
      </c>
      <c r="AM935" s="28">
        <v>0.25875863071581301</v>
      </c>
      <c r="AN935" s="13">
        <v>4</v>
      </c>
      <c r="AO935" s="33">
        <f t="shared" si="388"/>
        <v>0</v>
      </c>
      <c r="AP935" s="13">
        <f t="shared" si="398"/>
        <v>25.8758630715813</v>
      </c>
      <c r="AQ935" s="13">
        <f>IFERROR(VLOOKUP(U935,'Cortes naturales'!$E$15:$G$19,3,9),U935)</f>
        <v>4</v>
      </c>
      <c r="AR935" s="28">
        <f t="shared" si="389"/>
        <v>-0.23290520666758674</v>
      </c>
      <c r="AS935" s="13" t="b">
        <f t="shared" si="390"/>
        <v>1</v>
      </c>
      <c r="AT935" s="13">
        <f t="shared" si="399"/>
        <v>0</v>
      </c>
      <c r="AU935" s="13">
        <v>4</v>
      </c>
      <c r="AV935">
        <f t="shared" si="391"/>
        <v>0</v>
      </c>
      <c r="AW935" s="13">
        <v>0</v>
      </c>
      <c r="AX935" s="13">
        <v>0</v>
      </c>
      <c r="AY935" s="13">
        <v>0</v>
      </c>
      <c r="AZ935" s="13">
        <v>1</v>
      </c>
      <c r="BA935">
        <v>1</v>
      </c>
      <c r="BB935" t="s">
        <v>2840</v>
      </c>
      <c r="BC935">
        <v>6</v>
      </c>
      <c r="BD935" t="s">
        <v>2919</v>
      </c>
      <c r="BE935">
        <v>0</v>
      </c>
      <c r="BF935" s="232" t="s">
        <v>2846</v>
      </c>
      <c r="BG935" s="232" t="s">
        <v>2846</v>
      </c>
      <c r="BH935" s="253">
        <v>38.9</v>
      </c>
      <c r="BI935" s="253">
        <v>19.662515791373398</v>
      </c>
      <c r="BJ935" s="25">
        <v>0</v>
      </c>
      <c r="BK935" t="s">
        <v>381</v>
      </c>
      <c r="BL935">
        <v>36.676485923564236</v>
      </c>
      <c r="BM935" t="s">
        <v>384</v>
      </c>
      <c r="BN935" s="322">
        <v>67857.376120999994</v>
      </c>
      <c r="BO935" s="322">
        <v>2306.45039</v>
      </c>
      <c r="BP935" s="10">
        <v>17329</v>
      </c>
      <c r="BQ935" s="254">
        <f t="shared" si="392"/>
        <v>3.9158275792601995</v>
      </c>
      <c r="BR935" s="254">
        <f t="shared" si="393"/>
        <v>0.1330977200069248</v>
      </c>
      <c r="BS935" s="25">
        <v>57.251046358889617</v>
      </c>
      <c r="BT935" s="25">
        <v>87.524135865504832</v>
      </c>
      <c r="BU935" s="25">
        <v>32.640497621661162</v>
      </c>
      <c r="BV935" s="25">
        <v>90.493125680158187</v>
      </c>
      <c r="BW935" s="25">
        <v>40.48828385650495</v>
      </c>
      <c r="BX935" s="25">
        <v>66.977201381553442</v>
      </c>
      <c r="BY935" s="25">
        <v>42.472522186005207</v>
      </c>
      <c r="BZ935">
        <v>11</v>
      </c>
      <c r="CA935">
        <v>0</v>
      </c>
      <c r="CB935">
        <v>7</v>
      </c>
      <c r="CC935">
        <v>92678.971416999993</v>
      </c>
      <c r="CD935" s="10">
        <v>2330.5010940000002</v>
      </c>
      <c r="CE935" s="255">
        <v>2.5145953373976689E-2</v>
      </c>
      <c r="CF935" t="str">
        <f>IFERROR(VLOOKUP(CE935,'Rangos amb etnico'!$A$2:$C$6,3,9),"N.D.")</f>
        <v>0,1% - 30%</v>
      </c>
      <c r="CG935" s="256">
        <v>6.7803062033395986E-5</v>
      </c>
      <c r="CH935" s="232">
        <v>5958.5554789999997</v>
      </c>
      <c r="CI935" s="311">
        <f t="shared" si="400"/>
        <v>6.4292421332451569E-2</v>
      </c>
      <c r="CJ935" s="232" t="str">
        <f>IFERROR(VLOOKUP(CI935,'Rangos amb etnico'!$A$2:$C$6,3,9),"N.D.")</f>
        <v>0,1% - 30%</v>
      </c>
      <c r="CK935" s="311">
        <f t="shared" si="401"/>
        <v>2.3659366437360914E-4</v>
      </c>
      <c r="CL935" s="10">
        <v>0</v>
      </c>
      <c r="CM935" s="255">
        <f t="shared" si="402"/>
        <v>0</v>
      </c>
      <c r="CN935" s="232">
        <f>IFERROR(VLOOKUP(CM935,'Rangos amb etnico'!$A$2:$C$6,3,9),"N.D.")</f>
        <v>0</v>
      </c>
      <c r="CO935" s="311">
        <f t="shared" si="403"/>
        <v>0</v>
      </c>
      <c r="CP935">
        <v>0.89814529668452847</v>
      </c>
      <c r="CQ935" t="s">
        <v>2864</v>
      </c>
      <c r="CR935">
        <f t="shared" si="394"/>
        <v>1</v>
      </c>
      <c r="CS935" t="str">
        <f t="shared" si="404"/>
        <v>No es Candidato</v>
      </c>
      <c r="CT935">
        <v>0</v>
      </c>
      <c r="CU935">
        <v>0</v>
      </c>
      <c r="CV935" s="25">
        <v>43.292335510253913</v>
      </c>
      <c r="CW935" s="25">
        <v>25.015659332275391</v>
      </c>
      <c r="CX935" s="25">
        <v>32.745822906494141</v>
      </c>
      <c r="CY935" s="25">
        <v>64.220703125</v>
      </c>
      <c r="CZ935" s="25">
        <v>17.77298736572266</v>
      </c>
      <c r="DA935" s="25">
        <v>65.525901794433594</v>
      </c>
      <c r="DB935" s="25">
        <v>54.472938537597663</v>
      </c>
      <c r="DC935">
        <v>2923</v>
      </c>
      <c r="DD935" s="253" t="s">
        <v>380</v>
      </c>
    </row>
    <row r="936" spans="1:108">
      <c r="A936" s="13">
        <v>5604</v>
      </c>
      <c r="B936" s="13" t="s">
        <v>2284</v>
      </c>
      <c r="C936" s="13" t="s">
        <v>435</v>
      </c>
      <c r="D936" s="13" t="s">
        <v>436</v>
      </c>
      <c r="E936" s="13" t="s">
        <v>2285</v>
      </c>
      <c r="F936" s="14">
        <v>60.937800000000003</v>
      </c>
      <c r="G936" s="13">
        <v>65.33</v>
      </c>
      <c r="H936" s="13">
        <v>46.05</v>
      </c>
      <c r="I936" s="13">
        <v>58.35</v>
      </c>
      <c r="J936" s="14">
        <v>56.27896923668942</v>
      </c>
      <c r="K936" s="14">
        <v>56.800906130225229</v>
      </c>
      <c r="L936" s="14">
        <v>47.994258586640264</v>
      </c>
      <c r="M936" s="14">
        <v>68.103099999999998</v>
      </c>
      <c r="N936" s="14">
        <f t="shared" si="378"/>
        <v>57.666949999999993</v>
      </c>
      <c r="O936" s="14">
        <f t="shared" si="379"/>
        <v>57.294308488388722</v>
      </c>
      <c r="P936" s="14">
        <f t="shared" si="395"/>
        <v>57.480629244194361</v>
      </c>
      <c r="Q936" s="14">
        <v>62.951921760945105</v>
      </c>
      <c r="R936" s="17">
        <f t="shared" si="380"/>
        <v>37.048078239054895</v>
      </c>
      <c r="S936" s="14">
        <f t="shared" si="396"/>
        <v>0.43343270415149404</v>
      </c>
      <c r="T936" s="13">
        <v>0</v>
      </c>
      <c r="U936" s="13">
        <f t="shared" si="397"/>
        <v>24.913984569640611</v>
      </c>
      <c r="V936" s="13">
        <f>IF($T936=1,$AU936,(VLOOKUP(U936,'Cortes naturales'!$A$35:$C$39,3,9)))</f>
        <v>4</v>
      </c>
      <c r="W936" s="13">
        <v>4</v>
      </c>
      <c r="X936" s="14" t="b">
        <f t="shared" si="381"/>
        <v>1</v>
      </c>
      <c r="Y936" s="17">
        <f>IF($T936=1,$AU936,VLOOKUP(U936,'Cortes naturales'!$A$45:$C$49,3,9))</f>
        <v>4</v>
      </c>
      <c r="Z936" s="14">
        <v>55.680963840360519</v>
      </c>
      <c r="AA936" s="14">
        <v>0.42425698267570588</v>
      </c>
      <c r="AB936" s="14">
        <v>23.623037711386438</v>
      </c>
      <c r="AC936" s="13">
        <v>4</v>
      </c>
      <c r="AD936" s="13">
        <f t="shared" si="382"/>
        <v>0</v>
      </c>
      <c r="AE936" s="14">
        <f t="shared" si="383"/>
        <v>1.799665403833842</v>
      </c>
      <c r="AF936" s="14">
        <f t="shared" si="384"/>
        <v>9.1757214757881567E-3</v>
      </c>
      <c r="AG936" s="13">
        <f t="shared" si="385"/>
        <v>1.2909468582541734</v>
      </c>
      <c r="AH936" s="13">
        <f>IF($T936=1,$AU936,VLOOKUP(U936,'Cortes naturales'!$A$25:$C$29,3,9))</f>
        <v>4</v>
      </c>
      <c r="AI936" s="13" t="b">
        <f t="shared" si="386"/>
        <v>1</v>
      </c>
      <c r="AJ936" s="13">
        <f t="shared" si="387"/>
        <v>0</v>
      </c>
      <c r="AK936" s="28">
        <v>0.6523467210059386</v>
      </c>
      <c r="AL936" s="28">
        <v>36.323294183709422</v>
      </c>
      <c r="AM936" s="28">
        <v>0.28374011003519145</v>
      </c>
      <c r="AN936" s="13">
        <v>4</v>
      </c>
      <c r="AO936" s="33">
        <f t="shared" si="388"/>
        <v>0</v>
      </c>
      <c r="AP936" s="13">
        <f t="shared" si="398"/>
        <v>28.374011003519144</v>
      </c>
      <c r="AQ936" s="13">
        <f>IFERROR(VLOOKUP(U936,'Cortes naturales'!$E$15:$G$19,3,9),U936)</f>
        <v>4</v>
      </c>
      <c r="AR936" s="28">
        <f t="shared" si="389"/>
        <v>-0.21891401685444456</v>
      </c>
      <c r="AS936" s="13" t="b">
        <f t="shared" si="390"/>
        <v>1</v>
      </c>
      <c r="AT936" s="13">
        <f t="shared" si="399"/>
        <v>0</v>
      </c>
      <c r="AU936" s="13">
        <v>4</v>
      </c>
      <c r="AV936">
        <f t="shared" si="391"/>
        <v>0</v>
      </c>
      <c r="AW936" s="13">
        <v>0</v>
      </c>
      <c r="AX936" s="13">
        <v>0</v>
      </c>
      <c r="AY936" s="13">
        <v>0</v>
      </c>
      <c r="AZ936" s="13">
        <v>1</v>
      </c>
      <c r="BA936">
        <v>1</v>
      </c>
      <c r="BB936" t="s">
        <v>2840</v>
      </c>
      <c r="BC936">
        <v>5</v>
      </c>
      <c r="BD936" t="s">
        <v>2919</v>
      </c>
      <c r="BE936">
        <v>1</v>
      </c>
      <c r="BF936" s="232" t="s">
        <v>2846</v>
      </c>
      <c r="BG936" s="232" t="s">
        <v>2845</v>
      </c>
      <c r="BH936" s="253">
        <v>42.1</v>
      </c>
      <c r="BI936" s="253">
        <v>22.203472623118255</v>
      </c>
      <c r="BJ936" s="25">
        <v>0</v>
      </c>
      <c r="BK936" t="s">
        <v>381</v>
      </c>
      <c r="BL936">
        <v>12.41326983102476</v>
      </c>
      <c r="BM936" t="s">
        <v>376</v>
      </c>
      <c r="BN936" s="322">
        <v>86796.619999000002</v>
      </c>
      <c r="BO936" s="322">
        <v>22249.972847000001</v>
      </c>
      <c r="BP936" s="10">
        <v>32457</v>
      </c>
      <c r="BQ936" s="254">
        <f t="shared" si="392"/>
        <v>2.6742034075546108</v>
      </c>
      <c r="BR936" s="254">
        <f t="shared" si="393"/>
        <v>0.68552154687740707</v>
      </c>
      <c r="BS936" s="25">
        <v>78.964658578533914</v>
      </c>
      <c r="BT936" s="25">
        <v>96.778249351449617</v>
      </c>
      <c r="BU936" s="25">
        <v>50.70333333333334</v>
      </c>
      <c r="BV936" s="25">
        <v>73.799034292934252</v>
      </c>
      <c r="BW936" s="25">
        <v>46.819114846790839</v>
      </c>
      <c r="BX936" s="25">
        <v>75.061318889062775</v>
      </c>
      <c r="BY936" s="25">
        <v>47.110295408409371</v>
      </c>
      <c r="BZ936">
        <v>72</v>
      </c>
      <c r="CA936">
        <v>0</v>
      </c>
      <c r="CB936">
        <v>7</v>
      </c>
      <c r="CC936">
        <v>196499.78461500001</v>
      </c>
      <c r="CD936" s="10">
        <v>4771.1643640000002</v>
      </c>
      <c r="CE936" s="255">
        <v>2.428076129115405E-2</v>
      </c>
      <c r="CF936" t="str">
        <f>IFERROR(VLOOKUP(CE936,'Rangos amb etnico'!$A$2:$C$6,3,9),"N.D.")</f>
        <v>0,1% - 30%</v>
      </c>
      <c r="CG936" s="256">
        <v>1.3881115704115617E-4</v>
      </c>
      <c r="CH936" s="232">
        <v>75.033018999999996</v>
      </c>
      <c r="CI936" s="311">
        <f t="shared" si="400"/>
        <v>3.8184784348243135E-4</v>
      </c>
      <c r="CJ936" s="232">
        <f>IFERROR(VLOOKUP(CI936,'Rangos amb etnico'!$A$2:$C$6,3,9),"N.D.")</f>
        <v>0</v>
      </c>
      <c r="CK936" s="311">
        <f t="shared" si="401"/>
        <v>2.9793021105182256E-6</v>
      </c>
      <c r="CL936" s="10">
        <v>173.24257553199899</v>
      </c>
      <c r="CM936" s="255">
        <f t="shared" si="402"/>
        <v>8.8164257213528953E-4</v>
      </c>
      <c r="CN936" s="232">
        <f>IFERROR(VLOOKUP(CM936,'Rangos amb etnico'!$A$2:$C$6,3,9),"N.D.")</f>
        <v>0</v>
      </c>
      <c r="CO936" s="311">
        <f t="shared" si="403"/>
        <v>1.0864162248391818E-4</v>
      </c>
      <c r="CP936">
        <v>0.9476437528544952</v>
      </c>
      <c r="CQ936" t="s">
        <v>2864</v>
      </c>
      <c r="CR936">
        <f t="shared" si="394"/>
        <v>2</v>
      </c>
      <c r="CS936" t="str">
        <f t="shared" si="404"/>
        <v>No es Candidato</v>
      </c>
      <c r="CT936">
        <v>0</v>
      </c>
      <c r="CU936">
        <v>0</v>
      </c>
      <c r="CV936" s="25">
        <v>38.443256378173828</v>
      </c>
      <c r="CW936" s="25">
        <v>23.571945190429691</v>
      </c>
      <c r="CX936" s="25">
        <v>38.850284576416023</v>
      </c>
      <c r="CY936" s="25">
        <v>61.360450744628913</v>
      </c>
      <c r="CZ936" s="25">
        <v>20.409297943115231</v>
      </c>
      <c r="DA936" s="25">
        <v>38.986820220947273</v>
      </c>
      <c r="DB936" s="25">
        <v>47.480731964111328</v>
      </c>
      <c r="DC936">
        <v>711</v>
      </c>
      <c r="DD936" s="253" t="s">
        <v>380</v>
      </c>
    </row>
    <row r="937" spans="1:108" hidden="1">
      <c r="A937" s="13">
        <v>15244</v>
      </c>
      <c r="B937" s="13" t="s">
        <v>2286</v>
      </c>
      <c r="C937" s="13" t="s">
        <v>498</v>
      </c>
      <c r="D937" s="13" t="s">
        <v>499</v>
      </c>
      <c r="E937" s="13" t="s">
        <v>2287</v>
      </c>
      <c r="F937" s="14">
        <v>69.820033333333299</v>
      </c>
      <c r="G937" s="13">
        <v>57.92</v>
      </c>
      <c r="H937" s="13">
        <v>57.02</v>
      </c>
      <c r="I937" s="13">
        <v>47.56</v>
      </c>
      <c r="J937" s="14">
        <v>54.779650042341508</v>
      </c>
      <c r="K937" s="14">
        <v>54.617734450338006</v>
      </c>
      <c r="L937" s="14">
        <v>60.271299237739804</v>
      </c>
      <c r="M937" s="14">
        <v>50.432600000000001</v>
      </c>
      <c r="N937" s="14">
        <f t="shared" si="378"/>
        <v>58.080008333333325</v>
      </c>
      <c r="O937" s="14">
        <f t="shared" si="379"/>
        <v>55.025320932604835</v>
      </c>
      <c r="P937" s="14">
        <f t="shared" si="395"/>
        <v>56.552664632969083</v>
      </c>
      <c r="Q937" s="14">
        <v>64.963150291962037</v>
      </c>
      <c r="R937" s="17">
        <f t="shared" si="380"/>
        <v>35.036849708037963</v>
      </c>
      <c r="S937" s="14">
        <f t="shared" si="396"/>
        <v>0.41533164737234174</v>
      </c>
      <c r="T937" s="13">
        <v>0</v>
      </c>
      <c r="U937" s="13">
        <f t="shared" si="397"/>
        <v>23.488111365306619</v>
      </c>
      <c r="V937" s="13">
        <f>IF($T937=1,$AU937,(VLOOKUP(U937,'Cortes naturales'!$A$35:$C$39,3,9)))</f>
        <v>4</v>
      </c>
      <c r="W937" s="13">
        <v>4</v>
      </c>
      <c r="X937" s="14" t="b">
        <f t="shared" si="381"/>
        <v>1</v>
      </c>
      <c r="Y937" s="17">
        <f>IF($T937=1,$AU937,VLOOKUP(U937,'Cortes naturales'!$A$45:$C$49,3,9))</f>
        <v>4</v>
      </c>
      <c r="Z937" s="14">
        <v>58.2263799896904</v>
      </c>
      <c r="AA937" s="14">
        <v>0.42258989256095303</v>
      </c>
      <c r="AB937" s="14">
        <v>24.605879664056491</v>
      </c>
      <c r="AC937" s="13">
        <v>4</v>
      </c>
      <c r="AD937" s="13">
        <f t="shared" si="382"/>
        <v>0</v>
      </c>
      <c r="AE937" s="14">
        <f t="shared" si="383"/>
        <v>-1.673715356721317</v>
      </c>
      <c r="AF937" s="14">
        <f t="shared" si="384"/>
        <v>-7.2582451886112898E-3</v>
      </c>
      <c r="AG937" s="13">
        <f t="shared" si="385"/>
        <v>-1.1177682987498727</v>
      </c>
      <c r="AH937" s="13">
        <f>IF($T937=1,$AU937,VLOOKUP(U937,'Cortes naturales'!$A$25:$C$29,3,9))</f>
        <v>4</v>
      </c>
      <c r="AI937" s="13" t="b">
        <f t="shared" si="386"/>
        <v>1</v>
      </c>
      <c r="AJ937" s="13">
        <f t="shared" si="387"/>
        <v>0</v>
      </c>
      <c r="AK937" s="28">
        <v>0.6523467210059386</v>
      </c>
      <c r="AL937" s="28">
        <v>37.983788062320329</v>
      </c>
      <c r="AM937" s="28">
        <v>0.30451113813108183</v>
      </c>
      <c r="AN937" s="13">
        <v>4</v>
      </c>
      <c r="AO937" s="33">
        <f t="shared" si="388"/>
        <v>0</v>
      </c>
      <c r="AP937" s="13">
        <f t="shared" si="398"/>
        <v>30.451113813108183</v>
      </c>
      <c r="AQ937" s="13">
        <f>IFERROR(VLOOKUP(U937,'Cortes naturales'!$E$15:$G$19,3,9),U937)</f>
        <v>4</v>
      </c>
      <c r="AR937" s="28">
        <f t="shared" si="389"/>
        <v>-0.23701507363359686</v>
      </c>
      <c r="AS937" s="13" t="b">
        <f t="shared" si="390"/>
        <v>1</v>
      </c>
      <c r="AT937" s="13">
        <f t="shared" si="399"/>
        <v>0</v>
      </c>
      <c r="AU937" s="13">
        <v>4</v>
      </c>
      <c r="AV937">
        <f t="shared" si="391"/>
        <v>0</v>
      </c>
      <c r="AW937" s="13">
        <v>0</v>
      </c>
      <c r="AX937" s="13">
        <v>0</v>
      </c>
      <c r="AY937" s="13">
        <v>0</v>
      </c>
      <c r="AZ937" s="13">
        <v>0</v>
      </c>
      <c r="BA937">
        <v>0</v>
      </c>
      <c r="BB937" t="s">
        <v>2840</v>
      </c>
      <c r="BC937">
        <v>6</v>
      </c>
      <c r="BD937" t="s">
        <v>2919</v>
      </c>
      <c r="BE937">
        <v>1</v>
      </c>
      <c r="BF937" s="232" t="s">
        <v>2846</v>
      </c>
      <c r="BG937" s="232" t="s">
        <v>2846</v>
      </c>
      <c r="BH937" s="253">
        <v>49.4</v>
      </c>
      <c r="BI937" s="253">
        <v>30.895748987854251</v>
      </c>
      <c r="BJ937" s="25">
        <v>19.437170812603647</v>
      </c>
      <c r="BK937" t="s">
        <v>379</v>
      </c>
      <c r="BL937">
        <v>0</v>
      </c>
      <c r="BM937" t="s">
        <v>377</v>
      </c>
      <c r="BN937" s="322">
        <v>15947.395140000001</v>
      </c>
      <c r="BO937" s="322">
        <v>1105.1101140000001</v>
      </c>
      <c r="BP937" s="10">
        <v>4305</v>
      </c>
      <c r="BQ937" s="254">
        <f t="shared" si="392"/>
        <v>3.7043891149825785</v>
      </c>
      <c r="BR937" s="254">
        <f t="shared" si="393"/>
        <v>0.25670385923344952</v>
      </c>
      <c r="BS937" s="25">
        <v>68.566576332429989</v>
      </c>
      <c r="BT937" s="25">
        <v>93.048629961285329</v>
      </c>
      <c r="BU937" s="25">
        <v>53.682306843267099</v>
      </c>
      <c r="BV937" s="25">
        <v>96.151923483428121</v>
      </c>
      <c r="BW937" s="25">
        <v>48.817654111333738</v>
      </c>
      <c r="BX937" s="25">
        <v>77.862359155102638</v>
      </c>
      <c r="BY937" s="25">
        <v>50.616018296277993</v>
      </c>
      <c r="BZ937">
        <v>44</v>
      </c>
      <c r="CA937">
        <v>0</v>
      </c>
      <c r="CB937">
        <v>6</v>
      </c>
      <c r="CC937">
        <v>23778.957096999999</v>
      </c>
      <c r="CD937" s="10">
        <v>23324.441637</v>
      </c>
      <c r="CE937" s="255">
        <v>0.98088581184843715</v>
      </c>
      <c r="CF937" t="str">
        <f>IFERROR(VLOOKUP(CE937,'Rangos amb etnico'!$A$2:$C$6,3,9),"N.D.")</f>
        <v>71% - 100%</v>
      </c>
      <c r="CG937" s="256">
        <v>6.785959325569126E-4</v>
      </c>
      <c r="CH937" s="232">
        <v>0.11493299999999999</v>
      </c>
      <c r="CI937" s="311">
        <f t="shared" si="400"/>
        <v>4.8333911168248912E-6</v>
      </c>
      <c r="CJ937" s="232">
        <f>IFERROR(VLOOKUP(CI937,'Rangos amb etnico'!$A$2:$C$6,3,9),"N.D.")</f>
        <v>0</v>
      </c>
      <c r="CK937" s="311">
        <f t="shared" si="401"/>
        <v>4.563592589393094E-9</v>
      </c>
      <c r="CL937" s="10">
        <v>0</v>
      </c>
      <c r="CM937" s="255">
        <f t="shared" si="402"/>
        <v>0</v>
      </c>
      <c r="CN937" s="232">
        <f>IFERROR(VLOOKUP(CM937,'Rangos amb etnico'!$A$2:$C$6,3,9),"N.D.")</f>
        <v>0</v>
      </c>
      <c r="CO937" s="311">
        <f t="shared" si="403"/>
        <v>0</v>
      </c>
      <c r="CP937">
        <v>0.89963056851082635</v>
      </c>
      <c r="CQ937" t="s">
        <v>2864</v>
      </c>
      <c r="CR937">
        <f t="shared" si="394"/>
        <v>1</v>
      </c>
      <c r="CS937" t="str">
        <f t="shared" si="404"/>
        <v>No es Candidato</v>
      </c>
      <c r="CT937">
        <v>0</v>
      </c>
      <c r="CU937">
        <v>0</v>
      </c>
      <c r="CV937" s="25">
        <v>46.420944213867188</v>
      </c>
      <c r="CW937" s="25">
        <v>12.47251605987549</v>
      </c>
      <c r="CX937" s="25">
        <v>48.413600921630859</v>
      </c>
      <c r="CY937" s="25">
        <v>58.864158630371087</v>
      </c>
      <c r="CZ937" s="25">
        <v>29.921390533447269</v>
      </c>
      <c r="DA937" s="25">
        <v>66.699729919433594</v>
      </c>
      <c r="DB937" s="25">
        <v>62.154277801513672</v>
      </c>
      <c r="DC937">
        <v>35</v>
      </c>
      <c r="DD937" s="253" t="s">
        <v>380</v>
      </c>
    </row>
    <row r="938" spans="1:108" hidden="1">
      <c r="A938" s="13">
        <v>81065</v>
      </c>
      <c r="B938" s="13" t="s">
        <v>2288</v>
      </c>
      <c r="C938" s="13" t="s">
        <v>1568</v>
      </c>
      <c r="D938" s="13" t="s">
        <v>1569</v>
      </c>
      <c r="E938" s="13" t="s">
        <v>2289</v>
      </c>
      <c r="F938" s="14">
        <v>59.450533333333297</v>
      </c>
      <c r="G938" s="13">
        <v>62.72</v>
      </c>
      <c r="H938" s="13">
        <v>65.31</v>
      </c>
      <c r="I938" s="13">
        <v>64.25</v>
      </c>
      <c r="J938" s="14">
        <v>70.62415942110546</v>
      </c>
      <c r="K938" s="14">
        <v>63.114912485051377</v>
      </c>
      <c r="L938" s="14">
        <v>68.450951674801146</v>
      </c>
      <c r="M938" s="14">
        <v>68.263000000000005</v>
      </c>
      <c r="N938" s="14">
        <f t="shared" si="378"/>
        <v>62.932633333333328</v>
      </c>
      <c r="O938" s="14">
        <f t="shared" si="379"/>
        <v>67.61325589523949</v>
      </c>
      <c r="P938" s="14">
        <f t="shared" si="395"/>
        <v>65.272944614286416</v>
      </c>
      <c r="Q938" s="14">
        <v>65.952344985391974</v>
      </c>
      <c r="R938" s="17">
        <f t="shared" si="380"/>
        <v>34.047655014608026</v>
      </c>
      <c r="S938" s="14">
        <f t="shared" si="396"/>
        <v>0.40642889513147229</v>
      </c>
      <c r="T938" s="13">
        <v>0</v>
      </c>
      <c r="U938" s="13">
        <f t="shared" si="397"/>
        <v>26.528810761562212</v>
      </c>
      <c r="V938" s="13">
        <f>IF($T938=1,$AU938,(VLOOKUP(U938,'Cortes naturales'!$A$35:$C$39,3,9)))</f>
        <v>4</v>
      </c>
      <c r="W938" s="13">
        <v>4</v>
      </c>
      <c r="X938" s="14" t="b">
        <f t="shared" si="381"/>
        <v>1</v>
      </c>
      <c r="Y938" s="17">
        <f>IF($T938=1,$AU938,VLOOKUP(U938,'Cortes naturales'!$A$45:$C$49,3,9))</f>
        <v>4</v>
      </c>
      <c r="Z938" s="14">
        <v>63.942847430169259</v>
      </c>
      <c r="AA938" s="14">
        <v>0.42217969321306392</v>
      </c>
      <c r="AB938" s="14">
        <v>26.995371711238612</v>
      </c>
      <c r="AC938" s="13">
        <v>4</v>
      </c>
      <c r="AD938" s="13">
        <f t="shared" si="382"/>
        <v>0</v>
      </c>
      <c r="AE938" s="14">
        <f t="shared" si="383"/>
        <v>1.3300971841171574</v>
      </c>
      <c r="AF938" s="14">
        <f t="shared" si="384"/>
        <v>-1.5750798081591633E-2</v>
      </c>
      <c r="AG938" s="13">
        <f t="shared" si="385"/>
        <v>-0.46656094967639916</v>
      </c>
      <c r="AH938" s="13">
        <f>IF($T938=1,$AU938,VLOOKUP(U938,'Cortes naturales'!$A$25:$C$29,3,9))</f>
        <v>4</v>
      </c>
      <c r="AI938" s="13" t="b">
        <f t="shared" si="386"/>
        <v>1</v>
      </c>
      <c r="AJ938" s="13">
        <f t="shared" si="387"/>
        <v>0</v>
      </c>
      <c r="AK938" s="28">
        <v>0.6523467210059386</v>
      </c>
      <c r="AL938" s="28">
        <v>41.712906852853926</v>
      </c>
      <c r="AM938" s="28">
        <v>0.35115848333893251</v>
      </c>
      <c r="AN938" s="13">
        <v>4</v>
      </c>
      <c r="AO938" s="33">
        <f t="shared" si="388"/>
        <v>0</v>
      </c>
      <c r="AP938" s="13">
        <f t="shared" si="398"/>
        <v>35.115848333893254</v>
      </c>
      <c r="AQ938" s="13">
        <f>IFERROR(VLOOKUP(U938,'Cortes naturales'!$E$15:$G$19,3,9),U938)</f>
        <v>4</v>
      </c>
      <c r="AR938" s="28">
        <f t="shared" si="389"/>
        <v>-0.24591782587446631</v>
      </c>
      <c r="AS938" s="13" t="b">
        <f t="shared" si="390"/>
        <v>1</v>
      </c>
      <c r="AT938" s="13">
        <f t="shared" si="399"/>
        <v>0</v>
      </c>
      <c r="AU938" s="13">
        <v>4</v>
      </c>
      <c r="AV938">
        <f t="shared" si="391"/>
        <v>0</v>
      </c>
      <c r="AW938" s="13">
        <v>0</v>
      </c>
      <c r="AX938" s="13">
        <v>1</v>
      </c>
      <c r="AY938" s="13">
        <v>0</v>
      </c>
      <c r="AZ938" s="13">
        <v>1</v>
      </c>
      <c r="BA938">
        <v>1</v>
      </c>
      <c r="BB938" t="s">
        <v>2841</v>
      </c>
      <c r="BC938">
        <v>6</v>
      </c>
      <c r="BD938" t="s">
        <v>2919</v>
      </c>
      <c r="BE938">
        <v>0</v>
      </c>
      <c r="BF938" s="232" t="s">
        <v>2846</v>
      </c>
      <c r="BG938" s="232" t="s">
        <v>2846</v>
      </c>
      <c r="BH938" s="253">
        <v>49.2</v>
      </c>
      <c r="BI938" s="253">
        <v>41.56453017212511</v>
      </c>
      <c r="BJ938" s="25">
        <v>19.958011350737795</v>
      </c>
      <c r="BK938" t="s">
        <v>379</v>
      </c>
      <c r="BL938">
        <v>28.08571096340166</v>
      </c>
      <c r="BM938" t="s">
        <v>384</v>
      </c>
      <c r="BN938" s="322">
        <v>122799.555742</v>
      </c>
      <c r="BO938" s="322">
        <v>10291.059388</v>
      </c>
      <c r="BP938" s="10">
        <v>53319</v>
      </c>
      <c r="BQ938" s="254">
        <f t="shared" si="392"/>
        <v>2.3031106311446199</v>
      </c>
      <c r="BR938" s="254">
        <f t="shared" si="393"/>
        <v>0.1930092347568409</v>
      </c>
      <c r="BS938" s="25">
        <v>54.179717685184407</v>
      </c>
      <c r="BT938" s="25">
        <v>95.580942960983251</v>
      </c>
      <c r="BU938" s="25">
        <v>42.490524328458058</v>
      </c>
      <c r="BV938" s="25">
        <v>89.321718524597713</v>
      </c>
      <c r="BW938" s="25">
        <v>57.349378370965653</v>
      </c>
      <c r="BX938" s="25">
        <v>70.393225874805864</v>
      </c>
      <c r="BY938" s="25">
        <v>59.772099826207281</v>
      </c>
      <c r="BZ938">
        <v>53</v>
      </c>
      <c r="CA938">
        <v>0</v>
      </c>
      <c r="CB938">
        <v>7</v>
      </c>
      <c r="CC938">
        <v>301167.57936799998</v>
      </c>
      <c r="CD938" s="10">
        <v>11823.403074</v>
      </c>
      <c r="CE938" s="255">
        <v>3.9258551995574709E-2</v>
      </c>
      <c r="CF938" t="str">
        <f>IFERROR(VLOOKUP(CE938,'Rangos amb etnico'!$A$2:$C$6,3,9),"N.D.")</f>
        <v>0,1% - 30%</v>
      </c>
      <c r="CG938" s="256">
        <v>3.4398736569409509E-4</v>
      </c>
      <c r="CH938" s="232">
        <v>5715.898725</v>
      </c>
      <c r="CI938" s="311">
        <f t="shared" si="400"/>
        <v>1.8979130280207486E-2</v>
      </c>
      <c r="CJ938" s="232" t="str">
        <f>IFERROR(VLOOKUP(CI938,'Rangos amb etnico'!$A$2:$C$6,3,9),"N.D.")</f>
        <v>0,1% - 30%</v>
      </c>
      <c r="CK938" s="311">
        <f t="shared" si="401"/>
        <v>2.2695860251739218E-4</v>
      </c>
      <c r="CL938" s="10">
        <v>0</v>
      </c>
      <c r="CM938" s="255">
        <f t="shared" si="402"/>
        <v>0</v>
      </c>
      <c r="CN938" s="232">
        <f>IFERROR(VLOOKUP(CM938,'Rangos amb etnico'!$A$2:$C$6,3,9),"N.D.")</f>
        <v>0</v>
      </c>
      <c r="CO938" s="311">
        <f t="shared" si="403"/>
        <v>0</v>
      </c>
      <c r="CP938">
        <v>0.95764907983930048</v>
      </c>
      <c r="CQ938" t="s">
        <v>2864</v>
      </c>
      <c r="CR938">
        <f t="shared" si="394"/>
        <v>3</v>
      </c>
      <c r="CS938" t="str">
        <f t="shared" si="404"/>
        <v>Candidato</v>
      </c>
      <c r="CT938">
        <v>1</v>
      </c>
      <c r="CU938" t="s">
        <v>2835</v>
      </c>
      <c r="CV938" s="25">
        <v>42.594608306884773</v>
      </c>
      <c r="CW938" s="25">
        <v>24.946584701538089</v>
      </c>
      <c r="CX938" s="25">
        <v>50.401882171630859</v>
      </c>
      <c r="CY938" s="25">
        <v>46.417713165283203</v>
      </c>
      <c r="CZ938" s="25">
        <v>30.17073822021484</v>
      </c>
      <c r="DA938" s="25">
        <v>55.499320983886719</v>
      </c>
      <c r="DB938" s="25">
        <v>48.13140869140625</v>
      </c>
      <c r="DC938">
        <v>5398</v>
      </c>
      <c r="DD938" s="253" t="s">
        <v>380</v>
      </c>
    </row>
    <row r="939" spans="1:108" hidden="1">
      <c r="A939" s="13">
        <v>73236</v>
      </c>
      <c r="B939" s="13" t="s">
        <v>2290</v>
      </c>
      <c r="C939" s="13" t="s">
        <v>595</v>
      </c>
      <c r="D939" s="13" t="s">
        <v>596</v>
      </c>
      <c r="E939" s="13" t="s">
        <v>2291</v>
      </c>
      <c r="F939" s="14">
        <v>52.070300000000003</v>
      </c>
      <c r="G939" s="13">
        <v>57.87</v>
      </c>
      <c r="H939" s="13">
        <v>35.479999999999997</v>
      </c>
      <c r="I939" s="13">
        <v>70.39</v>
      </c>
      <c r="J939" s="14">
        <v>38.776492746243306</v>
      </c>
      <c r="K939" s="14">
        <v>52.261787023324445</v>
      </c>
      <c r="L939" s="14">
        <v>48.62654597897582</v>
      </c>
      <c r="M939" s="14">
        <v>49.014099999999999</v>
      </c>
      <c r="N939" s="14">
        <f t="shared" si="378"/>
        <v>53.952574999999996</v>
      </c>
      <c r="O939" s="14">
        <f t="shared" si="379"/>
        <v>47.169731437135894</v>
      </c>
      <c r="P939" s="14">
        <f t="shared" si="395"/>
        <v>50.561153218567945</v>
      </c>
      <c r="Q939" s="14">
        <v>64.772190076894574</v>
      </c>
      <c r="R939" s="17">
        <f t="shared" si="380"/>
        <v>35.227809923105426</v>
      </c>
      <c r="S939" s="14">
        <f t="shared" si="396"/>
        <v>0.41705028930794885</v>
      </c>
      <c r="T939" s="13">
        <v>0</v>
      </c>
      <c r="U939" s="13">
        <f t="shared" si="397"/>
        <v>21.086543577547292</v>
      </c>
      <c r="V939" s="13">
        <f>IF($T939=1,$AU939,(VLOOKUP(U939,'Cortes naturales'!$A$35:$C$39,3,9)))</f>
        <v>5</v>
      </c>
      <c r="W939" s="13">
        <v>5</v>
      </c>
      <c r="X939" s="14" t="b">
        <f t="shared" si="381"/>
        <v>1</v>
      </c>
      <c r="Y939" s="17">
        <f>IF($T939=1,$AU939,VLOOKUP(U939,'Cortes naturales'!$A$45:$C$49,3,9))</f>
        <v>4</v>
      </c>
      <c r="Z939" s="14">
        <v>47.42824135347378</v>
      </c>
      <c r="AA939" s="14">
        <v>0.42227646211356229</v>
      </c>
      <c r="AB939" s="14">
        <v>20.027829963013058</v>
      </c>
      <c r="AC939" s="13">
        <v>5</v>
      </c>
      <c r="AD939" s="13">
        <f t="shared" si="382"/>
        <v>1</v>
      </c>
      <c r="AE939" s="14">
        <f t="shared" si="383"/>
        <v>3.1329118650941652</v>
      </c>
      <c r="AF939" s="14">
        <f t="shared" si="384"/>
        <v>-5.2261728056134382E-3</v>
      </c>
      <c r="AG939" s="13">
        <f t="shared" si="385"/>
        <v>1.0587136145342342</v>
      </c>
      <c r="AH939" s="13">
        <f>IF($T939=1,$AU939,VLOOKUP(U939,'Cortes naturales'!$A$25:$C$29,3,9))</f>
        <v>4</v>
      </c>
      <c r="AI939" s="13" t="b">
        <f t="shared" si="386"/>
        <v>1</v>
      </c>
      <c r="AJ939" s="13" t="str">
        <f t="shared" si="387"/>
        <v>Efecto ponderador</v>
      </c>
      <c r="AK939" s="28">
        <v>0.6523467210059386</v>
      </c>
      <c r="AL939" s="28">
        <v>30.939657730016879</v>
      </c>
      <c r="AM939" s="28">
        <v>0.21639649288722954</v>
      </c>
      <c r="AN939" s="13">
        <v>4</v>
      </c>
      <c r="AO939" s="33">
        <f t="shared" si="388"/>
        <v>0</v>
      </c>
      <c r="AP939" s="13">
        <f t="shared" si="398"/>
        <v>21.639649288722953</v>
      </c>
      <c r="AQ939" s="13">
        <f>IFERROR(VLOOKUP(U939,'Cortes naturales'!$E$15:$G$19,3,9),U939)</f>
        <v>4</v>
      </c>
      <c r="AR939" s="28">
        <f t="shared" si="389"/>
        <v>-0.23529643169798975</v>
      </c>
      <c r="AS939" s="13" t="b">
        <f t="shared" si="390"/>
        <v>1</v>
      </c>
      <c r="AT939" s="13">
        <f t="shared" si="399"/>
        <v>0</v>
      </c>
      <c r="AU939" s="13">
        <v>4</v>
      </c>
      <c r="AV939">
        <f t="shared" si="391"/>
        <v>0</v>
      </c>
      <c r="AW939" s="13">
        <v>0</v>
      </c>
      <c r="AX939" s="13">
        <v>0</v>
      </c>
      <c r="AY939" s="13">
        <v>0</v>
      </c>
      <c r="AZ939" s="13">
        <v>0</v>
      </c>
      <c r="BA939">
        <v>1</v>
      </c>
      <c r="BB939" t="s">
        <v>2840</v>
      </c>
      <c r="BC939">
        <v>6</v>
      </c>
      <c r="BD939" t="s">
        <v>2919</v>
      </c>
      <c r="BE939">
        <v>0</v>
      </c>
      <c r="BF939" s="232" t="s">
        <v>2846</v>
      </c>
      <c r="BG939" s="232" t="s">
        <v>2846</v>
      </c>
      <c r="BH939" s="253">
        <v>32.799999999999997</v>
      </c>
      <c r="BI939" s="253">
        <v>17.956485816579455</v>
      </c>
      <c r="BJ939" s="25">
        <v>57.366099290780141</v>
      </c>
      <c r="BK939" t="s">
        <v>376</v>
      </c>
      <c r="BL939">
        <v>1.5466909778063378</v>
      </c>
      <c r="BM939" t="s">
        <v>383</v>
      </c>
      <c r="BN939" s="322">
        <v>20485.974591999999</v>
      </c>
      <c r="BO939" s="322">
        <v>1600.351154</v>
      </c>
      <c r="BP939" s="10">
        <v>8594</v>
      </c>
      <c r="BQ939" s="254">
        <f t="shared" si="392"/>
        <v>2.3837531524319293</v>
      </c>
      <c r="BR939" s="254">
        <f t="shared" si="393"/>
        <v>0.186217262508727</v>
      </c>
      <c r="BS939" s="25">
        <v>71.889066706371821</v>
      </c>
      <c r="BT939" s="25">
        <v>94.643549763400827</v>
      </c>
      <c r="BU939" s="25">
        <v>38.363989314336571</v>
      </c>
      <c r="BV939" s="25">
        <v>89.265918028096067</v>
      </c>
      <c r="BW939" s="25">
        <v>34.589908403088238</v>
      </c>
      <c r="BX939" s="25">
        <v>73.54063095305132</v>
      </c>
      <c r="BY939" s="25">
        <v>33.884915132392408</v>
      </c>
      <c r="BZ939">
        <v>23</v>
      </c>
      <c r="CA939">
        <v>0</v>
      </c>
      <c r="CB939">
        <v>7</v>
      </c>
      <c r="CC939">
        <v>65144.951764999998</v>
      </c>
      <c r="CD939" s="10">
        <v>14906.722680999999</v>
      </c>
      <c r="CE939" s="255">
        <v>0.22882391155608833</v>
      </c>
      <c r="CF939" t="str">
        <f>IFERROR(VLOOKUP(CE939,'Rangos amb etnico'!$A$2:$C$6,3,9),"N.D.")</f>
        <v>0,1% - 30%</v>
      </c>
      <c r="CG939" s="256">
        <v>4.3369275614443185E-4</v>
      </c>
      <c r="CH939" s="232">
        <v>0.94856399999999996</v>
      </c>
      <c r="CI939" s="311">
        <f t="shared" si="400"/>
        <v>1.4560821280853703E-5</v>
      </c>
      <c r="CJ939" s="232">
        <f>IFERROR(VLOOKUP(CI939,'Rangos amb etnico'!$A$2:$C$6,3,9),"N.D.")</f>
        <v>0</v>
      </c>
      <c r="CK939" s="311">
        <f t="shared" si="401"/>
        <v>3.7664201238678804E-8</v>
      </c>
      <c r="CL939" s="10">
        <v>5.9688865155500004</v>
      </c>
      <c r="CM939" s="255">
        <f t="shared" si="402"/>
        <v>9.1624697752203498E-5</v>
      </c>
      <c r="CN939" s="232">
        <f>IFERROR(VLOOKUP(CM939,'Rangos amb etnico'!$A$2:$C$6,3,9),"N.D.")</f>
        <v>0</v>
      </c>
      <c r="CO939" s="311">
        <f t="shared" si="403"/>
        <v>3.7431301946440786E-6</v>
      </c>
      <c r="CP939">
        <v>0.90521502785223906</v>
      </c>
      <c r="CQ939" t="s">
        <v>2864</v>
      </c>
      <c r="CR939">
        <f t="shared" si="394"/>
        <v>2</v>
      </c>
      <c r="CS939" t="str">
        <f t="shared" si="404"/>
        <v>No es Candidato</v>
      </c>
      <c r="CT939">
        <v>0</v>
      </c>
      <c r="CU939">
        <v>0</v>
      </c>
      <c r="CV939" s="25">
        <v>40.105907440185547</v>
      </c>
      <c r="CW939" s="25">
        <v>15.57116794586182</v>
      </c>
      <c r="CX939" s="25">
        <v>36.945865631103523</v>
      </c>
      <c r="CY939" s="25">
        <v>61.836143493652337</v>
      </c>
      <c r="CZ939" s="25">
        <v>30.564729690551761</v>
      </c>
      <c r="DA939" s="25">
        <v>52.666175842285163</v>
      </c>
      <c r="DB939" s="25">
        <v>43.051357269287109</v>
      </c>
      <c r="DC939">
        <v>115</v>
      </c>
      <c r="DD939" s="253" t="s">
        <v>380</v>
      </c>
    </row>
    <row r="940" spans="1:108" hidden="1">
      <c r="A940" s="13">
        <v>13473</v>
      </c>
      <c r="B940" s="13" t="s">
        <v>2292</v>
      </c>
      <c r="C940" s="13" t="s">
        <v>480</v>
      </c>
      <c r="D940" s="13" t="s">
        <v>481</v>
      </c>
      <c r="E940" s="13" t="s">
        <v>1157</v>
      </c>
      <c r="F940" s="14">
        <v>55.4080333333333</v>
      </c>
      <c r="G940" s="13">
        <v>53.22</v>
      </c>
      <c r="H940" s="13">
        <v>51.08</v>
      </c>
      <c r="I940" s="13">
        <v>37.42</v>
      </c>
      <c r="J940" s="14">
        <v>44.474857008506596</v>
      </c>
      <c r="K940" s="14">
        <v>63.204888086508689</v>
      </c>
      <c r="L940" s="14">
        <v>63.450996079262005</v>
      </c>
      <c r="M940" s="14">
        <v>52.192500000000003</v>
      </c>
      <c r="N940" s="14">
        <f t="shared" si="378"/>
        <v>49.282008333333323</v>
      </c>
      <c r="O940" s="14">
        <f t="shared" si="379"/>
        <v>55.830810293569321</v>
      </c>
      <c r="P940" s="14">
        <f t="shared" si="395"/>
        <v>52.556409313451326</v>
      </c>
      <c r="Q940" s="14">
        <v>70.685171060198684</v>
      </c>
      <c r="R940" s="17">
        <f t="shared" si="380"/>
        <v>29.314828939801316</v>
      </c>
      <c r="S940" s="203">
        <f t="shared" si="396"/>
        <v>0.36383346045821185</v>
      </c>
      <c r="T940" s="13">
        <v>0</v>
      </c>
      <c r="U940" s="13">
        <f t="shared" si="397"/>
        <v>19.12178026977119</v>
      </c>
      <c r="V940" s="13">
        <f>IF($T940=1,$AU940,(VLOOKUP(U940,'Cortes naturales'!$A$35:$C$39,3,9)))</f>
        <v>5</v>
      </c>
      <c r="W940" s="13">
        <v>5</v>
      </c>
      <c r="X940" s="14" t="b">
        <f t="shared" si="381"/>
        <v>1</v>
      </c>
      <c r="Y940" s="17">
        <f>IF($T940=1,$AU940,VLOOKUP(U940,'Cortes naturales'!$A$45:$C$49,3,9))</f>
        <v>5</v>
      </c>
      <c r="Z940" s="14">
        <v>51.571254218103363</v>
      </c>
      <c r="AA940" s="203">
        <v>0.4210446689078865</v>
      </c>
      <c r="AB940" s="14">
        <v>21.713801657425776</v>
      </c>
      <c r="AC940" s="13">
        <v>4</v>
      </c>
      <c r="AD940" s="13">
        <f t="shared" si="382"/>
        <v>-1</v>
      </c>
      <c r="AE940" s="14">
        <f t="shared" si="383"/>
        <v>0.98515509534796308</v>
      </c>
      <c r="AF940" s="14">
        <f t="shared" si="384"/>
        <v>-5.7211208449674644E-2</v>
      </c>
      <c r="AG940" s="13">
        <f t="shared" si="385"/>
        <v>-2.5920213876545866</v>
      </c>
      <c r="AH940" s="13">
        <f>IF($T940=1,$AU940,VLOOKUP(U940,'Cortes naturales'!$A$25:$C$29,3,9))</f>
        <v>5</v>
      </c>
      <c r="AI940" s="13" t="b">
        <f t="shared" si="386"/>
        <v>1</v>
      </c>
      <c r="AJ940" s="13" t="str">
        <f t="shared" si="387"/>
        <v>Efecto ponderador</v>
      </c>
      <c r="AK940" s="28">
        <v>0.6523467210059386</v>
      </c>
      <c r="AL940" s="28">
        <v>33.64233858734341</v>
      </c>
      <c r="AM940" s="28">
        <v>0.25020418151822676</v>
      </c>
      <c r="AN940" s="13">
        <v>4</v>
      </c>
      <c r="AO940" s="33">
        <f t="shared" si="388"/>
        <v>-1</v>
      </c>
      <c r="AP940" s="13">
        <f t="shared" si="398"/>
        <v>25.020418151822675</v>
      </c>
      <c r="AQ940" s="13">
        <f>IFERROR(VLOOKUP(U940,'Cortes naturales'!$E$15:$G$19,3,9),U940)</f>
        <v>4</v>
      </c>
      <c r="AR940" s="28">
        <f t="shared" si="389"/>
        <v>-0.28851326054772675</v>
      </c>
      <c r="AS940" s="13" t="b">
        <f t="shared" si="390"/>
        <v>0</v>
      </c>
      <c r="AT940" s="13" t="str">
        <f t="shared" si="399"/>
        <v>Cambio en corte</v>
      </c>
      <c r="AU940" s="13">
        <v>4</v>
      </c>
      <c r="AV940">
        <f t="shared" si="391"/>
        <v>-1</v>
      </c>
      <c r="AW940" s="13">
        <v>0</v>
      </c>
      <c r="AX940" s="13">
        <v>0</v>
      </c>
      <c r="AY940" s="13">
        <v>0</v>
      </c>
      <c r="AZ940" s="13">
        <v>1</v>
      </c>
      <c r="BA940">
        <v>1</v>
      </c>
      <c r="BB940" t="s">
        <v>2840</v>
      </c>
      <c r="BC940">
        <v>6</v>
      </c>
      <c r="BD940" t="s">
        <v>2919</v>
      </c>
      <c r="BE940">
        <v>0</v>
      </c>
      <c r="BF940" s="232" t="s">
        <v>2846</v>
      </c>
      <c r="BG940" s="232" t="s">
        <v>2845</v>
      </c>
      <c r="BH940" s="253">
        <v>57.6</v>
      </c>
      <c r="BI940" s="253">
        <v>58.689367169932538</v>
      </c>
      <c r="BJ940" s="25">
        <v>5.4499999999999993</v>
      </c>
      <c r="BK940" t="s">
        <v>377</v>
      </c>
      <c r="BL940">
        <v>55.986300061078168</v>
      </c>
      <c r="BM940" t="s">
        <v>384</v>
      </c>
      <c r="BN940" s="322">
        <v>64987.691332000002</v>
      </c>
      <c r="BO940" s="322">
        <v>9248.8724559999991</v>
      </c>
      <c r="BP940" s="10">
        <v>25591</v>
      </c>
      <c r="BQ940" s="254">
        <f t="shared" si="392"/>
        <v>2.5394744766519479</v>
      </c>
      <c r="BR940" s="254">
        <f t="shared" si="393"/>
        <v>0.36141113891602511</v>
      </c>
      <c r="BS940" s="25">
        <v>51.192118010531637</v>
      </c>
      <c r="BT940" s="25">
        <v>83.82507418128769</v>
      </c>
      <c r="BU940" s="25">
        <v>43.069797318078344</v>
      </c>
      <c r="BV940" s="25">
        <v>93.642042258460648</v>
      </c>
      <c r="BW940" s="25">
        <v>39.511573312517008</v>
      </c>
      <c r="BX940" s="25">
        <v>67.932257942089578</v>
      </c>
      <c r="BY940" s="25">
        <v>40.723150755004767</v>
      </c>
      <c r="BZ940">
        <v>8</v>
      </c>
      <c r="CA940">
        <v>0</v>
      </c>
      <c r="CB940">
        <v>7</v>
      </c>
      <c r="CC940">
        <v>134574.855129</v>
      </c>
      <c r="CD940" s="10">
        <v>43576.243784999999</v>
      </c>
      <c r="CE940" s="255">
        <v>0.3238067300405334</v>
      </c>
      <c r="CF940" t="str">
        <f>IFERROR(VLOOKUP(CE940,'Rangos amb etnico'!$A$2:$C$6,3,9),"N.D.")</f>
        <v>31% - 50%</v>
      </c>
      <c r="CG940" s="256">
        <v>1.2677971995565776E-3</v>
      </c>
      <c r="CH940" s="232">
        <v>0</v>
      </c>
      <c r="CI940" s="311">
        <f t="shared" si="400"/>
        <v>0</v>
      </c>
      <c r="CJ940" s="232">
        <f>IFERROR(VLOOKUP(CI940,'Rangos amb etnico'!$A$2:$C$6,3,9),"N.D.")</f>
        <v>0</v>
      </c>
      <c r="CK940" s="311">
        <f t="shared" si="401"/>
        <v>0</v>
      </c>
      <c r="CL940" s="10">
        <v>16231.670897100001</v>
      </c>
      <c r="CM940" s="255">
        <f t="shared" si="402"/>
        <v>0.12061444079981165</v>
      </c>
      <c r="CN940" s="232" t="str">
        <f>IFERROR(VLOOKUP(CM940,'Rangos amb etnico'!$A$2:$C$6,3,9),"N.D.")</f>
        <v>0,1% - 30%</v>
      </c>
      <c r="CO940" s="311">
        <f t="shared" si="403"/>
        <v>1.0178993567087798E-2</v>
      </c>
      <c r="CP940">
        <v>0.90935306301177365</v>
      </c>
      <c r="CQ940" t="s">
        <v>2864</v>
      </c>
      <c r="CR940">
        <f t="shared" si="394"/>
        <v>1</v>
      </c>
      <c r="CS940" t="str">
        <f t="shared" si="404"/>
        <v>No es Candidato</v>
      </c>
      <c r="CT940">
        <v>0</v>
      </c>
      <c r="CU940">
        <v>0</v>
      </c>
      <c r="CV940" s="25">
        <v>35.044483184814453</v>
      </c>
      <c r="CW940" s="25">
        <v>15.324111938476561</v>
      </c>
      <c r="CX940" s="25">
        <v>44.070648193359382</v>
      </c>
      <c r="CY940" s="25">
        <v>40.249534606933587</v>
      </c>
      <c r="CZ940" s="25">
        <v>9.6531429290771484</v>
      </c>
      <c r="DA940" s="25">
        <v>54.7313232421875</v>
      </c>
      <c r="DB940" s="25">
        <v>46.238140106201172</v>
      </c>
      <c r="DC940">
        <v>1156</v>
      </c>
      <c r="DD940" s="253" t="s">
        <v>380</v>
      </c>
    </row>
    <row r="941" spans="1:108" hidden="1">
      <c r="A941" s="13">
        <v>18205</v>
      </c>
      <c r="B941" s="13" t="s">
        <v>2293</v>
      </c>
      <c r="C941" s="13" t="s">
        <v>1463</v>
      </c>
      <c r="D941" s="13" t="s">
        <v>1464</v>
      </c>
      <c r="E941" s="13" t="s">
        <v>2294</v>
      </c>
      <c r="F941" s="14">
        <v>51.921066666666697</v>
      </c>
      <c r="G941" s="13">
        <v>45.78</v>
      </c>
      <c r="H941" s="13">
        <v>45.53</v>
      </c>
      <c r="I941" s="13">
        <v>49.28</v>
      </c>
      <c r="J941" s="14">
        <v>52.095826708246534</v>
      </c>
      <c r="K941" s="14">
        <v>55.379872819088732</v>
      </c>
      <c r="L941" s="14">
        <v>57.232725057777621</v>
      </c>
      <c r="M941" s="14">
        <v>56.498800000000003</v>
      </c>
      <c r="N941" s="14">
        <f t="shared" si="378"/>
        <v>48.127766666666673</v>
      </c>
      <c r="O941" s="14">
        <f t="shared" si="379"/>
        <v>55.301806146278224</v>
      </c>
      <c r="P941" s="14">
        <f t="shared" si="395"/>
        <v>51.714786406472449</v>
      </c>
      <c r="Q941" s="14">
        <v>64.849774595630279</v>
      </c>
      <c r="R941" s="17">
        <f t="shared" si="380"/>
        <v>35.150225404369721</v>
      </c>
      <c r="S941" s="14">
        <f t="shared" si="396"/>
        <v>0.41635202863932752</v>
      </c>
      <c r="T941" s="13">
        <v>0</v>
      </c>
      <c r="U941" s="13">
        <f t="shared" si="397"/>
        <v>21.531556230984322</v>
      </c>
      <c r="V941" s="13">
        <f>IF($T941=1,$AU941,(VLOOKUP(U941,'Cortes naturales'!$A$35:$C$39,3,9)))</f>
        <v>5</v>
      </c>
      <c r="W941" s="13">
        <v>5</v>
      </c>
      <c r="X941" s="14" t="b">
        <f t="shared" si="381"/>
        <v>1</v>
      </c>
      <c r="Y941" s="17">
        <f>IF($T941=1,$AU941,VLOOKUP(U941,'Cortes naturales'!$A$45:$C$49,3,9))</f>
        <v>4</v>
      </c>
      <c r="Z941" s="14">
        <v>48.727525169478319</v>
      </c>
      <c r="AA941" s="14">
        <v>0.42147117222919883</v>
      </c>
      <c r="AB941" s="14">
        <v>20.537247153007819</v>
      </c>
      <c r="AC941" s="13">
        <v>4</v>
      </c>
      <c r="AD941" s="13">
        <f t="shared" si="382"/>
        <v>0</v>
      </c>
      <c r="AE941" s="14">
        <f t="shared" si="383"/>
        <v>2.9872612369941294</v>
      </c>
      <c r="AF941" s="14">
        <f t="shared" si="384"/>
        <v>-5.1191435898713111E-3</v>
      </c>
      <c r="AG941" s="13">
        <f t="shared" si="385"/>
        <v>0.99430907797650292</v>
      </c>
      <c r="AH941" s="13">
        <f>IF($T941=1,$AU941,VLOOKUP(U941,'Cortes naturales'!$A$25:$C$29,3,9))</f>
        <v>4</v>
      </c>
      <c r="AI941" s="13" t="b">
        <f t="shared" si="386"/>
        <v>1</v>
      </c>
      <c r="AJ941" s="13">
        <f t="shared" si="387"/>
        <v>0</v>
      </c>
      <c r="AK941" s="28">
        <v>0.6523467210059386</v>
      </c>
      <c r="AL941" s="28">
        <v>31.787241267043523</v>
      </c>
      <c r="AM941" s="28">
        <v>0.22699886949817027</v>
      </c>
      <c r="AN941" s="13">
        <v>4</v>
      </c>
      <c r="AO941" s="33">
        <f t="shared" si="388"/>
        <v>0</v>
      </c>
      <c r="AP941" s="13">
        <f t="shared" si="398"/>
        <v>22.699886949817028</v>
      </c>
      <c r="AQ941" s="13">
        <f>IFERROR(VLOOKUP(U941,'Cortes naturales'!$E$15:$G$19,3,9),U941)</f>
        <v>4</v>
      </c>
      <c r="AR941" s="28">
        <f t="shared" si="389"/>
        <v>-0.23599469236661108</v>
      </c>
      <c r="AS941" s="13" t="b">
        <f t="shared" si="390"/>
        <v>1</v>
      </c>
      <c r="AT941" s="13">
        <f t="shared" si="399"/>
        <v>0</v>
      </c>
      <c r="AU941" s="13">
        <v>4</v>
      </c>
      <c r="AV941">
        <f t="shared" si="391"/>
        <v>0</v>
      </c>
      <c r="AW941" s="13">
        <v>0</v>
      </c>
      <c r="AX941" s="13">
        <v>0</v>
      </c>
      <c r="AY941" s="13">
        <v>0</v>
      </c>
      <c r="AZ941" s="13">
        <v>1</v>
      </c>
      <c r="BA941">
        <v>1</v>
      </c>
      <c r="BB941" t="s">
        <v>2840</v>
      </c>
      <c r="BC941">
        <v>6</v>
      </c>
      <c r="BD941" t="s">
        <v>2919</v>
      </c>
      <c r="BE941">
        <v>1</v>
      </c>
      <c r="BF941" s="232" t="s">
        <v>2846</v>
      </c>
      <c r="BG941" s="232" t="s">
        <v>2846</v>
      </c>
      <c r="BH941" s="253">
        <v>55.4</v>
      </c>
      <c r="BI941" s="253">
        <v>22.970592221168179</v>
      </c>
      <c r="BJ941" s="25">
        <v>2.1233333333333331</v>
      </c>
      <c r="BK941" t="s">
        <v>381</v>
      </c>
      <c r="BL941">
        <v>13.919497757545651</v>
      </c>
      <c r="BM941" t="s">
        <v>376</v>
      </c>
      <c r="BN941" s="322">
        <v>21248.641315000001</v>
      </c>
      <c r="BO941" s="322">
        <v>1778.839041</v>
      </c>
      <c r="BP941" s="10">
        <v>7783</v>
      </c>
      <c r="BQ941" s="254">
        <f t="shared" si="392"/>
        <v>2.7301350783759477</v>
      </c>
      <c r="BR941" s="254">
        <f t="shared" si="393"/>
        <v>0.22855441873313631</v>
      </c>
      <c r="BS941" s="25">
        <v>55.9818110514571</v>
      </c>
      <c r="BT941" s="25">
        <v>100</v>
      </c>
      <c r="BU941" s="25">
        <v>33.071490947816812</v>
      </c>
      <c r="BV941" s="25">
        <v>95.821545904111119</v>
      </c>
      <c r="BW941" s="25">
        <v>57.148734065934882</v>
      </c>
      <c r="BX941" s="25">
        <v>71.218711975846261</v>
      </c>
      <c r="BY941" s="25">
        <v>58.759683977850578</v>
      </c>
      <c r="BZ941">
        <v>81</v>
      </c>
      <c r="CA941">
        <v>0</v>
      </c>
      <c r="CB941">
        <v>7</v>
      </c>
      <c r="CC941">
        <v>39927.721913000001</v>
      </c>
      <c r="CD941" s="10">
        <v>1231.0133699999999</v>
      </c>
      <c r="CE941" s="255">
        <v>3.0831044472867768E-2</v>
      </c>
      <c r="CF941" t="str">
        <f>IFERROR(VLOOKUP(CE941,'Rangos amb etnico'!$A$2:$C$6,3,9),"N.D.")</f>
        <v>0,1% - 30%</v>
      </c>
      <c r="CG941" s="256">
        <v>3.5814819441595091E-5</v>
      </c>
      <c r="CH941" s="232">
        <v>0</v>
      </c>
      <c r="CI941" s="311">
        <f t="shared" si="400"/>
        <v>0</v>
      </c>
      <c r="CJ941" s="232">
        <f>IFERROR(VLOOKUP(CI941,'Rangos amb etnico'!$A$2:$C$6,3,9),"N.D.")</f>
        <v>0</v>
      </c>
      <c r="CK941" s="311">
        <f t="shared" si="401"/>
        <v>0</v>
      </c>
      <c r="CL941" s="10">
        <v>0</v>
      </c>
      <c r="CM941" s="255">
        <f t="shared" si="402"/>
        <v>0</v>
      </c>
      <c r="CN941" s="232">
        <f>IFERROR(VLOOKUP(CM941,'Rangos amb etnico'!$A$2:$C$6,3,9),"N.D.")</f>
        <v>0</v>
      </c>
      <c r="CO941" s="311">
        <f t="shared" si="403"/>
        <v>0</v>
      </c>
      <c r="CP941">
        <v>0.94085439919235403</v>
      </c>
      <c r="CQ941" t="s">
        <v>2864</v>
      </c>
      <c r="CR941">
        <f t="shared" si="394"/>
        <v>1</v>
      </c>
      <c r="CS941" t="str">
        <f t="shared" si="404"/>
        <v>No es Candidato</v>
      </c>
      <c r="CT941">
        <v>0</v>
      </c>
      <c r="CU941">
        <v>0</v>
      </c>
      <c r="CV941" s="25">
        <v>34.084232330322273</v>
      </c>
      <c r="CW941" s="25">
        <v>12.65835762023926</v>
      </c>
      <c r="CX941" s="25">
        <v>35.060745239257813</v>
      </c>
      <c r="CY941" s="25">
        <v>52.523105621337891</v>
      </c>
      <c r="CZ941" s="25">
        <v>10.632541656494141</v>
      </c>
      <c r="DA941" s="25">
        <v>50.128494262695313</v>
      </c>
      <c r="DB941" s="25">
        <v>43.502147674560547</v>
      </c>
      <c r="DC941">
        <v>329</v>
      </c>
      <c r="DD941" s="253" t="s">
        <v>380</v>
      </c>
    </row>
    <row r="942" spans="1:108" hidden="1">
      <c r="A942" s="13">
        <v>13670</v>
      </c>
      <c r="B942" s="13" t="s">
        <v>2295</v>
      </c>
      <c r="C942" s="13" t="s">
        <v>480</v>
      </c>
      <c r="D942" s="13" t="s">
        <v>481</v>
      </c>
      <c r="E942" s="13" t="s">
        <v>1032</v>
      </c>
      <c r="F942" s="14">
        <v>39.8547333333333</v>
      </c>
      <c r="G942" s="13">
        <v>56.76</v>
      </c>
      <c r="H942" s="13">
        <v>37.83</v>
      </c>
      <c r="I942" s="13">
        <v>69.260000000000005</v>
      </c>
      <c r="J942" s="14">
        <v>47.491763301291812</v>
      </c>
      <c r="K942" s="14">
        <v>55.105331131029175</v>
      </c>
      <c r="L942" s="14">
        <v>50.91298136748275</v>
      </c>
      <c r="M942" s="14">
        <v>54.783900000000003</v>
      </c>
      <c r="N942" s="14">
        <f t="shared" si="378"/>
        <v>50.926183333333327</v>
      </c>
      <c r="O942" s="14">
        <f t="shared" si="379"/>
        <v>52.07349394995093</v>
      </c>
      <c r="P942" s="14">
        <f t="shared" si="395"/>
        <v>51.499838641642128</v>
      </c>
      <c r="Q942" s="14">
        <v>64.988073962260771</v>
      </c>
      <c r="R942" s="17">
        <f t="shared" si="380"/>
        <v>35.011926037739229</v>
      </c>
      <c r="S942" s="14">
        <f t="shared" si="396"/>
        <v>0.41510733433965308</v>
      </c>
      <c r="T942" s="13">
        <v>0</v>
      </c>
      <c r="U942" s="13">
        <f t="shared" si="397"/>
        <v>21.377960737454323</v>
      </c>
      <c r="V942" s="13">
        <f>IF($T942=1,$AU942,(VLOOKUP(U942,'Cortes naturales'!$A$35:$C$39,3,9)))</f>
        <v>5</v>
      </c>
      <c r="W942" s="13">
        <v>5</v>
      </c>
      <c r="X942" s="14" t="b">
        <f t="shared" si="381"/>
        <v>1</v>
      </c>
      <c r="Y942" s="17">
        <f>IF($T942=1,$AU942,VLOOKUP(U942,'Cortes naturales'!$A$45:$C$49,3,9))</f>
        <v>4</v>
      </c>
      <c r="Z942" s="14">
        <v>45.318760554167397</v>
      </c>
      <c r="AA942" s="14">
        <v>0.42119371336770706</v>
      </c>
      <c r="AB942" s="14">
        <v>19.087977043031731</v>
      </c>
      <c r="AC942" s="13">
        <v>5</v>
      </c>
      <c r="AD942" s="13">
        <f t="shared" si="382"/>
        <v>1</v>
      </c>
      <c r="AE942" s="14">
        <f t="shared" si="383"/>
        <v>6.1810780874747309</v>
      </c>
      <c r="AF942" s="14">
        <f t="shared" si="384"/>
        <v>-6.0863790280539787E-3</v>
      </c>
      <c r="AG942" s="13">
        <f t="shared" si="385"/>
        <v>2.2899836944225918</v>
      </c>
      <c r="AH942" s="13">
        <f>IF($T942=1,$AU942,VLOOKUP(U942,'Cortes naturales'!$A$25:$C$29,3,9))</f>
        <v>4</v>
      </c>
      <c r="AI942" s="13" t="b">
        <f t="shared" si="386"/>
        <v>1</v>
      </c>
      <c r="AJ942" s="13" t="str">
        <f t="shared" si="387"/>
        <v>Efecto ponderador</v>
      </c>
      <c r="AK942" s="28">
        <v>0.6523467210059386</v>
      </c>
      <c r="AL942" s="28">
        <v>29.563544847564376</v>
      </c>
      <c r="AM942" s="28">
        <v>0.19918277128745526</v>
      </c>
      <c r="AN942" s="13">
        <v>4</v>
      </c>
      <c r="AO942" s="33">
        <f t="shared" si="388"/>
        <v>0</v>
      </c>
      <c r="AP942" s="13">
        <f t="shared" si="398"/>
        <v>19.918277128745526</v>
      </c>
      <c r="AQ942" s="13">
        <f>IFERROR(VLOOKUP(U942,'Cortes naturales'!$E$15:$G$19,3,9),U942)</f>
        <v>4</v>
      </c>
      <c r="AR942" s="28">
        <f t="shared" si="389"/>
        <v>-0.23723938666628552</v>
      </c>
      <c r="AS942" s="13" t="b">
        <f t="shared" si="390"/>
        <v>1</v>
      </c>
      <c r="AT942" s="13">
        <f t="shared" si="399"/>
        <v>0</v>
      </c>
      <c r="AU942" s="13">
        <v>5</v>
      </c>
      <c r="AV942">
        <f t="shared" si="391"/>
        <v>1</v>
      </c>
      <c r="AW942" s="13">
        <v>0</v>
      </c>
      <c r="AX942" s="13">
        <v>0</v>
      </c>
      <c r="AY942" s="13">
        <v>0</v>
      </c>
      <c r="AZ942" s="13">
        <v>1</v>
      </c>
      <c r="BA942">
        <v>1</v>
      </c>
      <c r="BB942" t="s">
        <v>2840</v>
      </c>
      <c r="BC942">
        <v>6</v>
      </c>
      <c r="BD942" t="s">
        <v>2919</v>
      </c>
      <c r="BE942">
        <v>0</v>
      </c>
      <c r="BF942" s="232" t="s">
        <v>2846</v>
      </c>
      <c r="BG942" s="232" t="s">
        <v>2845</v>
      </c>
      <c r="BH942" s="253">
        <v>54</v>
      </c>
      <c r="BI942" s="253">
        <v>39.074225122349105</v>
      </c>
      <c r="BJ942" s="25">
        <v>1.7834482758620689</v>
      </c>
      <c r="BK942" t="s">
        <v>381</v>
      </c>
      <c r="BL942">
        <v>27.898789469236725</v>
      </c>
      <c r="BM942" t="s">
        <v>384</v>
      </c>
      <c r="BN942" s="322">
        <v>68431.358261999994</v>
      </c>
      <c r="BO942" s="322">
        <v>4646.8546969999998</v>
      </c>
      <c r="BP942" s="10">
        <v>29026</v>
      </c>
      <c r="BQ942" s="254">
        <f t="shared" si="392"/>
        <v>2.3575883091710876</v>
      </c>
      <c r="BR942" s="254">
        <f t="shared" si="393"/>
        <v>0.16009283735271823</v>
      </c>
      <c r="BS942" s="25">
        <v>61.180832590296802</v>
      </c>
      <c r="BT942" s="25">
        <v>97.762863333333328</v>
      </c>
      <c r="BU942" s="25">
        <v>57.653333333333329</v>
      </c>
      <c r="BV942" s="25">
        <v>88.414664568926284</v>
      </c>
      <c r="BW942" s="25">
        <v>36.001844935053462</v>
      </c>
      <c r="BX942" s="25">
        <v>76.252923456472431</v>
      </c>
      <c r="BY942" s="25">
        <v>37.048680679101487</v>
      </c>
      <c r="BZ942">
        <v>95</v>
      </c>
      <c r="CA942">
        <v>0</v>
      </c>
      <c r="CB942">
        <v>7</v>
      </c>
      <c r="CC942">
        <v>201855.75007899999</v>
      </c>
      <c r="CD942" s="10">
        <v>22587.960031999999</v>
      </c>
      <c r="CE942" s="255">
        <v>0.11190149412716646</v>
      </c>
      <c r="CF942" t="str">
        <f>IFERROR(VLOOKUP(CE942,'Rangos amb etnico'!$A$2:$C$6,3,9),"N.D.")</f>
        <v>0,1% - 30%</v>
      </c>
      <c r="CG942" s="256">
        <v>6.5716890637836567E-4</v>
      </c>
      <c r="CH942" s="232">
        <v>0</v>
      </c>
      <c r="CI942" s="311">
        <f t="shared" si="400"/>
        <v>0</v>
      </c>
      <c r="CJ942" s="232">
        <f>IFERROR(VLOOKUP(CI942,'Rangos amb etnico'!$A$2:$C$6,3,9),"N.D.")</f>
        <v>0</v>
      </c>
      <c r="CK942" s="311">
        <f t="shared" si="401"/>
        <v>0</v>
      </c>
      <c r="CL942" s="10">
        <v>1619.5920239100001</v>
      </c>
      <c r="CM942" s="255">
        <f t="shared" si="402"/>
        <v>8.0235119548298355E-3</v>
      </c>
      <c r="CN942" s="232" t="str">
        <f>IFERROR(VLOOKUP(CM942,'Rangos amb etnico'!$A$2:$C$6,3,9),"N.D.")</f>
        <v>0,1% - 30%</v>
      </c>
      <c r="CO942" s="311">
        <f t="shared" si="403"/>
        <v>1.0156574081126794E-3</v>
      </c>
      <c r="CP942">
        <v>0.93133177968902636</v>
      </c>
      <c r="CQ942" t="s">
        <v>2864</v>
      </c>
      <c r="CR942">
        <f t="shared" si="394"/>
        <v>2</v>
      </c>
      <c r="CS942" t="str">
        <f t="shared" si="404"/>
        <v>No es Candidato</v>
      </c>
      <c r="CT942">
        <v>0</v>
      </c>
      <c r="CU942">
        <v>0</v>
      </c>
      <c r="CV942" s="25">
        <v>40.227767944335938</v>
      </c>
      <c r="CW942" s="25">
        <v>24.16275787353516</v>
      </c>
      <c r="CX942" s="25">
        <v>48.920761108398438</v>
      </c>
      <c r="CY942" s="25">
        <v>60.646926879882813</v>
      </c>
      <c r="CZ942" s="25">
        <v>16.556980133056641</v>
      </c>
      <c r="DA942" s="25">
        <v>48.411323547363281</v>
      </c>
      <c r="DB942" s="25">
        <v>42.667865753173828</v>
      </c>
      <c r="DC942">
        <v>646</v>
      </c>
      <c r="DD942" s="253" t="s">
        <v>380</v>
      </c>
    </row>
    <row r="943" spans="1:108" hidden="1">
      <c r="A943" s="13">
        <v>15660</v>
      </c>
      <c r="B943" s="13" t="s">
        <v>2296</v>
      </c>
      <c r="C943" s="13" t="s">
        <v>498</v>
      </c>
      <c r="D943" s="13" t="s">
        <v>499</v>
      </c>
      <c r="E943" s="13" t="s">
        <v>2297</v>
      </c>
      <c r="F943" s="14">
        <v>66.467866666666694</v>
      </c>
      <c r="G943" s="13">
        <v>59.8</v>
      </c>
      <c r="H943" s="13">
        <v>35.64</v>
      </c>
      <c r="I943" s="13">
        <v>71.97</v>
      </c>
      <c r="J943" s="14">
        <v>56.383324960921442</v>
      </c>
      <c r="K943" s="14">
        <v>58.731436462130347</v>
      </c>
      <c r="L943" s="14">
        <v>58.796482430544344</v>
      </c>
      <c r="M943" s="14">
        <v>61.386699999999998</v>
      </c>
      <c r="N943" s="14">
        <f t="shared" si="378"/>
        <v>58.469466666666669</v>
      </c>
      <c r="O943" s="14">
        <f t="shared" si="379"/>
        <v>58.824485963399034</v>
      </c>
      <c r="P943" s="14">
        <f t="shared" si="395"/>
        <v>58.646976315032852</v>
      </c>
      <c r="Q943" s="14">
        <v>65.512053174798467</v>
      </c>
      <c r="R943" s="17">
        <f t="shared" si="380"/>
        <v>34.487946825201533</v>
      </c>
      <c r="S943" s="14">
        <f t="shared" si="396"/>
        <v>0.41039152142681379</v>
      </c>
      <c r="T943" s="13">
        <v>0</v>
      </c>
      <c r="U943" s="13">
        <f t="shared" si="397"/>
        <v>24.068221837008647</v>
      </c>
      <c r="V943" s="13">
        <f>IF($T943=1,$AU943,(VLOOKUP(U943,'Cortes naturales'!$A$35:$C$39,3,9)))</f>
        <v>4</v>
      </c>
      <c r="W943" s="13">
        <v>4</v>
      </c>
      <c r="X943" s="14" t="b">
        <f t="shared" si="381"/>
        <v>1</v>
      </c>
      <c r="Y943" s="17">
        <f>IF($T943=1,$AU943,VLOOKUP(U943,'Cortes naturales'!$A$45:$C$49,3,9))</f>
        <v>4</v>
      </c>
      <c r="Z943" s="14">
        <v>56.768027624056025</v>
      </c>
      <c r="AA943" s="14">
        <v>0.41904791182543344</v>
      </c>
      <c r="AB943" s="14">
        <v>23.788523434309198</v>
      </c>
      <c r="AC943" s="13">
        <v>4</v>
      </c>
      <c r="AD943" s="13">
        <f t="shared" si="382"/>
        <v>0</v>
      </c>
      <c r="AE943" s="14">
        <f t="shared" si="383"/>
        <v>1.8789486909768272</v>
      </c>
      <c r="AF943" s="14">
        <f t="shared" si="384"/>
        <v>-8.6563903986196511E-3</v>
      </c>
      <c r="AG943" s="13">
        <f t="shared" si="385"/>
        <v>0.27969840269944868</v>
      </c>
      <c r="AH943" s="13">
        <f>IF($T943=1,$AU943,VLOOKUP(U943,'Cortes naturales'!$A$25:$C$29,3,9))</f>
        <v>4</v>
      </c>
      <c r="AI943" s="13" t="b">
        <f t="shared" si="386"/>
        <v>1</v>
      </c>
      <c r="AJ943" s="13">
        <f t="shared" si="387"/>
        <v>0</v>
      </c>
      <c r="AK943" s="28">
        <v>0.6523467210059386</v>
      </c>
      <c r="AL943" s="28">
        <v>37.032436678527489</v>
      </c>
      <c r="AM943" s="28">
        <v>0.29261073513871666</v>
      </c>
      <c r="AN943" s="13">
        <v>4</v>
      </c>
      <c r="AO943" s="33">
        <f t="shared" si="388"/>
        <v>0</v>
      </c>
      <c r="AP943" s="13">
        <f t="shared" si="398"/>
        <v>29.261073513871665</v>
      </c>
      <c r="AQ943" s="13">
        <f>IFERROR(VLOOKUP(U943,'Cortes naturales'!$E$15:$G$19,3,9),U943)</f>
        <v>4</v>
      </c>
      <c r="AR943" s="28">
        <f t="shared" si="389"/>
        <v>-0.24195519957912481</v>
      </c>
      <c r="AS943" s="13" t="b">
        <f t="shared" si="390"/>
        <v>1</v>
      </c>
      <c r="AT943" s="13">
        <f t="shared" si="399"/>
        <v>0</v>
      </c>
      <c r="AU943" s="13">
        <v>4</v>
      </c>
      <c r="AV943">
        <f t="shared" si="391"/>
        <v>0</v>
      </c>
      <c r="AW943" s="13">
        <v>0</v>
      </c>
      <c r="AX943" s="13">
        <v>0</v>
      </c>
      <c r="AY943" s="13">
        <v>0</v>
      </c>
      <c r="AZ943" s="13">
        <v>0</v>
      </c>
      <c r="BA943">
        <v>0</v>
      </c>
      <c r="BB943" t="s">
        <v>2840</v>
      </c>
      <c r="BC943">
        <v>6</v>
      </c>
      <c r="BD943" t="s">
        <v>2919</v>
      </c>
      <c r="BE943">
        <v>0</v>
      </c>
      <c r="BF943" s="232" t="s">
        <v>2846</v>
      </c>
      <c r="BG943" s="232" t="s">
        <v>2846</v>
      </c>
      <c r="BH943" s="253">
        <v>35.9</v>
      </c>
      <c r="BI943" s="253">
        <v>12.066752246469832</v>
      </c>
      <c r="BJ943" s="25">
        <v>41.727645727221272</v>
      </c>
      <c r="BK943" t="s">
        <v>376</v>
      </c>
      <c r="BL943">
        <v>0</v>
      </c>
      <c r="BM943" t="s">
        <v>377</v>
      </c>
      <c r="BN943" s="322">
        <v>8081.6222209999996</v>
      </c>
      <c r="BO943" s="322">
        <v>430.86471899999998</v>
      </c>
      <c r="BP943" s="10">
        <v>1672</v>
      </c>
      <c r="BQ943" s="254">
        <f t="shared" si="392"/>
        <v>4.8335061130382773</v>
      </c>
      <c r="BR943" s="254">
        <f t="shared" si="393"/>
        <v>0.25769420992822967</v>
      </c>
      <c r="BS943" s="25">
        <v>70.898481405140672</v>
      </c>
      <c r="BT943" s="25">
        <v>84.423180271132381</v>
      </c>
      <c r="BU943" s="25">
        <v>67.743333333333325</v>
      </c>
      <c r="BV943" s="25">
        <v>100.2301119336158</v>
      </c>
      <c r="BW943" s="25">
        <v>52.887864030464151</v>
      </c>
      <c r="BX943" s="25">
        <v>80.823776735805552</v>
      </c>
      <c r="BY943" s="25">
        <v>55.729131344196553</v>
      </c>
      <c r="BZ943">
        <v>17</v>
      </c>
      <c r="CA943">
        <v>0</v>
      </c>
      <c r="CB943">
        <v>7</v>
      </c>
      <c r="CC943">
        <v>10925.946072000001</v>
      </c>
      <c r="CD943" s="10">
        <v>187.97044700000001</v>
      </c>
      <c r="CE943" s="255">
        <v>1.7204043088013512E-2</v>
      </c>
      <c r="CF943" t="str">
        <f>IFERROR(VLOOKUP(CE943,'Rangos amb etnico'!$A$2:$C$6,3,9),"N.D.")</f>
        <v>0,1% - 30%</v>
      </c>
      <c r="CG943" s="256">
        <v>5.4687688888877954E-6</v>
      </c>
      <c r="CH943" s="232">
        <v>0</v>
      </c>
      <c r="CI943" s="311">
        <f t="shared" si="400"/>
        <v>0</v>
      </c>
      <c r="CJ943" s="232">
        <f>IFERROR(VLOOKUP(CI943,'Rangos amb etnico'!$A$2:$C$6,3,9),"N.D.")</f>
        <v>0</v>
      </c>
      <c r="CK943" s="311">
        <f t="shared" si="401"/>
        <v>0</v>
      </c>
      <c r="CL943" s="10">
        <v>0</v>
      </c>
      <c r="CM943" s="255">
        <f t="shared" si="402"/>
        <v>0</v>
      </c>
      <c r="CN943" s="232">
        <f>IFERROR(VLOOKUP(CM943,'Rangos amb etnico'!$A$2:$C$6,3,9),"N.D.")</f>
        <v>0</v>
      </c>
      <c r="CO943" s="311">
        <f t="shared" si="403"/>
        <v>0</v>
      </c>
      <c r="CP943">
        <v>0.92371552662770373</v>
      </c>
      <c r="CQ943" t="s">
        <v>2864</v>
      </c>
      <c r="CR943">
        <f t="shared" si="394"/>
        <v>3</v>
      </c>
      <c r="CS943" t="str">
        <f t="shared" si="404"/>
        <v>Candidato</v>
      </c>
      <c r="CT943">
        <v>0</v>
      </c>
      <c r="CU943">
        <v>0</v>
      </c>
      <c r="CV943" s="25">
        <v>50.798015594482422</v>
      </c>
      <c r="CW943" s="25">
        <v>15.353044509887701</v>
      </c>
      <c r="CX943" s="25">
        <v>53.809589385986328</v>
      </c>
      <c r="CY943" s="25">
        <v>48.434165954589837</v>
      </c>
      <c r="CZ943" s="25">
        <v>33.809272766113281</v>
      </c>
      <c r="DA943" s="25">
        <v>97.955245971679688</v>
      </c>
      <c r="DB943" s="25">
        <v>55.426765441894531</v>
      </c>
      <c r="DC943">
        <v>8</v>
      </c>
      <c r="DD943" s="253" t="s">
        <v>380</v>
      </c>
    </row>
    <row r="944" spans="1:108" hidden="1">
      <c r="A944" s="13">
        <v>18247</v>
      </c>
      <c r="B944" s="13" t="s">
        <v>2298</v>
      </c>
      <c r="C944" s="13" t="s">
        <v>1463</v>
      </c>
      <c r="D944" s="13" t="s">
        <v>1464</v>
      </c>
      <c r="E944" s="13" t="s">
        <v>2299</v>
      </c>
      <c r="F944" s="14">
        <v>51.9099</v>
      </c>
      <c r="G944" s="13">
        <v>47.77</v>
      </c>
      <c r="H944" s="13">
        <v>43.3</v>
      </c>
      <c r="I944" s="13">
        <v>65.709999999999994</v>
      </c>
      <c r="J944" s="14">
        <v>58.085295616194969</v>
      </c>
      <c r="K944" s="14">
        <v>54.266419983014615</v>
      </c>
      <c r="L944" s="14">
        <v>50.202949555142453</v>
      </c>
      <c r="M944" s="14">
        <v>50.368400000000001</v>
      </c>
      <c r="N944" s="14">
        <f t="shared" si="378"/>
        <v>52.172474999999991</v>
      </c>
      <c r="O944" s="14">
        <f t="shared" si="379"/>
        <v>53.230766288588015</v>
      </c>
      <c r="P944" s="14">
        <f t="shared" si="395"/>
        <v>52.701620644294003</v>
      </c>
      <c r="Q944" s="14">
        <v>64.847647793847713</v>
      </c>
      <c r="R944" s="17">
        <f t="shared" si="380"/>
        <v>35.152352206152287</v>
      </c>
      <c r="S944" s="14">
        <f t="shared" si="396"/>
        <v>0.41637116985537059</v>
      </c>
      <c r="T944" s="13">
        <v>0</v>
      </c>
      <c r="U944" s="13">
        <f t="shared" si="397"/>
        <v>21.943435440938643</v>
      </c>
      <c r="V944" s="13">
        <f>IF($T944=1,$AU944,(VLOOKUP(U944,'Cortes naturales'!$A$35:$C$39,3,9)))</f>
        <v>4</v>
      </c>
      <c r="W944" s="13">
        <v>4</v>
      </c>
      <c r="X944" s="14" t="b">
        <f t="shared" si="381"/>
        <v>1</v>
      </c>
      <c r="Y944" s="17">
        <f>IF($T944=1,$AU944,VLOOKUP(U944,'Cortes naturales'!$A$45:$C$49,3,9))</f>
        <v>4</v>
      </c>
      <c r="Z944" s="14">
        <v>51.718975036828027</v>
      </c>
      <c r="AA944" s="14">
        <v>0.41991840354427212</v>
      </c>
      <c r="AB944" s="14">
        <v>21.717749430410887</v>
      </c>
      <c r="AC944" s="13">
        <v>4</v>
      </c>
      <c r="AD944" s="13">
        <f t="shared" si="382"/>
        <v>0</v>
      </c>
      <c r="AE944" s="14">
        <f t="shared" si="383"/>
        <v>0.98264560746597596</v>
      </c>
      <c r="AF944" s="14">
        <f t="shared" si="384"/>
        <v>-3.5472336889015299E-3</v>
      </c>
      <c r="AG944" s="13">
        <f t="shared" si="385"/>
        <v>0.22568601052775605</v>
      </c>
      <c r="AH944" s="13">
        <f>IF($T944=1,$AU944,VLOOKUP(U944,'Cortes naturales'!$A$25:$C$29,3,9))</f>
        <v>4</v>
      </c>
      <c r="AI944" s="13" t="b">
        <f t="shared" si="386"/>
        <v>1</v>
      </c>
      <c r="AJ944" s="13">
        <f t="shared" si="387"/>
        <v>0</v>
      </c>
      <c r="AK944" s="28">
        <v>0.6523467210059386</v>
      </c>
      <c r="AL944" s="28">
        <v>33.738703779062753</v>
      </c>
      <c r="AM944" s="28">
        <v>0.25140960848814897</v>
      </c>
      <c r="AN944" s="13">
        <v>4</v>
      </c>
      <c r="AO944" s="33">
        <f t="shared" si="388"/>
        <v>0</v>
      </c>
      <c r="AP944" s="13">
        <f t="shared" si="398"/>
        <v>25.140960848814899</v>
      </c>
      <c r="AQ944" s="13">
        <f>IFERROR(VLOOKUP(U944,'Cortes naturales'!$E$15:$G$19,3,9),U944)</f>
        <v>4</v>
      </c>
      <c r="AR944" s="28">
        <f t="shared" si="389"/>
        <v>-0.23597555115056801</v>
      </c>
      <c r="AS944" s="13" t="b">
        <f t="shared" si="390"/>
        <v>1</v>
      </c>
      <c r="AT944" s="13">
        <f t="shared" si="399"/>
        <v>0</v>
      </c>
      <c r="AU944" s="13">
        <v>4</v>
      </c>
      <c r="AV944">
        <f t="shared" si="391"/>
        <v>0</v>
      </c>
      <c r="AW944" s="13">
        <v>0</v>
      </c>
      <c r="AX944" s="13">
        <v>0</v>
      </c>
      <c r="AY944" s="13">
        <v>0</v>
      </c>
      <c r="AZ944" s="13">
        <v>1</v>
      </c>
      <c r="BA944">
        <v>1</v>
      </c>
      <c r="BB944" t="s">
        <v>2840</v>
      </c>
      <c r="BC944">
        <v>6</v>
      </c>
      <c r="BD944" t="s">
        <v>2919</v>
      </c>
      <c r="BE944">
        <v>1</v>
      </c>
      <c r="BF944" s="232" t="s">
        <v>2846</v>
      </c>
      <c r="BG944" s="232" t="s">
        <v>2846</v>
      </c>
      <c r="BH944" s="253">
        <v>44.3</v>
      </c>
      <c r="BI944" s="253">
        <v>20.413157295697701</v>
      </c>
      <c r="BJ944" s="25">
        <v>4.3000000000000007</v>
      </c>
      <c r="BK944" t="s">
        <v>381</v>
      </c>
      <c r="BL944">
        <v>7.8757591438823011</v>
      </c>
      <c r="BM944" t="s">
        <v>379</v>
      </c>
      <c r="BN944" s="322">
        <v>41070.463752000003</v>
      </c>
      <c r="BO944" s="322">
        <v>4585.0730309999999</v>
      </c>
      <c r="BP944" s="10">
        <v>19817</v>
      </c>
      <c r="BQ944" s="254">
        <f t="shared" si="392"/>
        <v>2.0724864385123887</v>
      </c>
      <c r="BR944" s="254">
        <f t="shared" si="393"/>
        <v>0.23137069339456023</v>
      </c>
      <c r="BS944" s="25">
        <v>57.635583716870983</v>
      </c>
      <c r="BT944" s="25">
        <v>91.982764266987374</v>
      </c>
      <c r="BU944" s="25">
        <v>43.393712436430867</v>
      </c>
      <c r="BV944" s="25">
        <v>94.792259360631064</v>
      </c>
      <c r="BW944" s="25">
        <v>50.261530001955343</v>
      </c>
      <c r="BX944" s="25">
        <v>71.951079945230063</v>
      </c>
      <c r="BY944" s="25">
        <v>50.439305703746157</v>
      </c>
      <c r="BZ944">
        <v>3</v>
      </c>
      <c r="CA944">
        <v>0</v>
      </c>
      <c r="CB944">
        <v>7</v>
      </c>
      <c r="CC944">
        <v>110549.811277</v>
      </c>
      <c r="CD944" s="10">
        <v>35071.922832999997</v>
      </c>
      <c r="CE944" s="255">
        <v>0.31724995662924976</v>
      </c>
      <c r="CF944" t="str">
        <f>IFERROR(VLOOKUP(CE944,'Rangos amb etnico'!$A$2:$C$6,3,9),"N.D.")</f>
        <v>31% - 50%</v>
      </c>
      <c r="CG944" s="256">
        <v>1.0203744446199241E-3</v>
      </c>
      <c r="CH944" s="232">
        <v>0</v>
      </c>
      <c r="CI944" s="311">
        <f t="shared" si="400"/>
        <v>0</v>
      </c>
      <c r="CJ944" s="232">
        <f>IFERROR(VLOOKUP(CI944,'Rangos amb etnico'!$A$2:$C$6,3,9),"N.D.")</f>
        <v>0</v>
      </c>
      <c r="CK944" s="311">
        <f t="shared" si="401"/>
        <v>0</v>
      </c>
      <c r="CL944" s="10">
        <v>0</v>
      </c>
      <c r="CM944" s="255">
        <f t="shared" si="402"/>
        <v>0</v>
      </c>
      <c r="CN944" s="232">
        <f>IFERROR(VLOOKUP(CM944,'Rangos amb etnico'!$A$2:$C$6,3,9),"N.D.")</f>
        <v>0</v>
      </c>
      <c r="CO944" s="311">
        <f t="shared" si="403"/>
        <v>0</v>
      </c>
      <c r="CP944">
        <v>0.92465885551637905</v>
      </c>
      <c r="CQ944" t="s">
        <v>2864</v>
      </c>
      <c r="CR944">
        <f t="shared" si="394"/>
        <v>2</v>
      </c>
      <c r="CS944" t="str">
        <f t="shared" si="404"/>
        <v>No es Candidato</v>
      </c>
      <c r="CT944">
        <v>0</v>
      </c>
      <c r="CU944">
        <v>0</v>
      </c>
      <c r="CV944" s="25">
        <v>42.858898162841797</v>
      </c>
      <c r="CW944" s="25">
        <v>24.027389526367191</v>
      </c>
      <c r="CX944" s="25">
        <v>37.164020538330078</v>
      </c>
      <c r="CY944" s="25">
        <v>58.950572967529297</v>
      </c>
      <c r="CZ944" s="25">
        <v>29.13047027587891</v>
      </c>
      <c r="DA944" s="25">
        <v>56.450668334960938</v>
      </c>
      <c r="DB944" s="25">
        <v>51.430255889892578</v>
      </c>
      <c r="DC944">
        <v>1552</v>
      </c>
      <c r="DD944" s="253" t="s">
        <v>380</v>
      </c>
    </row>
    <row r="945" spans="1:108" hidden="1">
      <c r="A945" s="13">
        <v>73555</v>
      </c>
      <c r="B945" s="13" t="s">
        <v>2300</v>
      </c>
      <c r="C945" s="13" t="s">
        <v>595</v>
      </c>
      <c r="D945" s="13" t="s">
        <v>596</v>
      </c>
      <c r="E945" s="13" t="s">
        <v>2301</v>
      </c>
      <c r="F945" s="14">
        <v>53.003233333333299</v>
      </c>
      <c r="G945" s="13">
        <v>39.28</v>
      </c>
      <c r="H945" s="13">
        <v>38.94</v>
      </c>
      <c r="I945" s="13">
        <v>57.38</v>
      </c>
      <c r="J945" s="14">
        <v>51.601979322626107</v>
      </c>
      <c r="K945" s="14">
        <v>54.54994278619489</v>
      </c>
      <c r="L945" s="14">
        <v>52.941254820274466</v>
      </c>
      <c r="M945" s="14">
        <v>55.182099999999998</v>
      </c>
      <c r="N945" s="14">
        <f t="shared" si="378"/>
        <v>47.150808333333323</v>
      </c>
      <c r="O945" s="14">
        <f t="shared" si="379"/>
        <v>53.568819232273867</v>
      </c>
      <c r="P945" s="14">
        <f t="shared" si="395"/>
        <v>50.359813782803599</v>
      </c>
      <c r="Q945" s="14">
        <v>65.22085376950352</v>
      </c>
      <c r="R945" s="17">
        <f t="shared" si="380"/>
        <v>34.77914623049648</v>
      </c>
      <c r="S945" s="14">
        <f t="shared" si="396"/>
        <v>0.41301231607446831</v>
      </c>
      <c r="T945" s="13">
        <v>0</v>
      </c>
      <c r="U945" s="13">
        <f t="shared" si="397"/>
        <v>20.799223327514646</v>
      </c>
      <c r="V945" s="13">
        <f>IF($T945=1,$AU945,(VLOOKUP(U945,'Cortes naturales'!$A$35:$C$39,3,9)))</f>
        <v>5</v>
      </c>
      <c r="W945" s="13">
        <v>5</v>
      </c>
      <c r="X945" s="14" t="b">
        <f t="shared" si="381"/>
        <v>1</v>
      </c>
      <c r="Y945" s="17">
        <f>IF($T945=1,$AU945,VLOOKUP(U945,'Cortes naturales'!$A$45:$C$49,3,9))</f>
        <v>5</v>
      </c>
      <c r="Z945" s="14">
        <v>49.635088805598272</v>
      </c>
      <c r="AA945" s="14">
        <v>0.4187017146373011</v>
      </c>
      <c r="AB945" s="14">
        <v>20.782296789078707</v>
      </c>
      <c r="AC945" s="13">
        <v>4</v>
      </c>
      <c r="AD945" s="13">
        <f t="shared" si="382"/>
        <v>-1</v>
      </c>
      <c r="AE945" s="14">
        <f t="shared" si="383"/>
        <v>0.72472497720532658</v>
      </c>
      <c r="AF945" s="14">
        <f t="shared" si="384"/>
        <v>-5.6893985628327925E-3</v>
      </c>
      <c r="AG945" s="13">
        <f t="shared" si="385"/>
        <v>1.6926538435939165E-2</v>
      </c>
      <c r="AH945" s="13">
        <f>IF($T945=1,$AU945,VLOOKUP(U945,'Cortes naturales'!$A$25:$C$29,3,9))</f>
        <v>4</v>
      </c>
      <c r="AI945" s="13" t="b">
        <f t="shared" si="386"/>
        <v>0</v>
      </c>
      <c r="AJ945" s="13" t="str">
        <f t="shared" si="387"/>
        <v>Cambio en corte</v>
      </c>
      <c r="AK945" s="28">
        <v>0.6523467210059386</v>
      </c>
      <c r="AL945" s="28">
        <v>32.379287429170603</v>
      </c>
      <c r="AM945" s="28">
        <v>0.23440474291090041</v>
      </c>
      <c r="AN945" s="13">
        <v>4</v>
      </c>
      <c r="AO945" s="33">
        <f t="shared" si="388"/>
        <v>-1</v>
      </c>
      <c r="AP945" s="13">
        <f t="shared" si="398"/>
        <v>23.440474291090041</v>
      </c>
      <c r="AQ945" s="13">
        <f>IFERROR(VLOOKUP(U945,'Cortes naturales'!$E$15:$G$19,3,9),U945)</f>
        <v>4</v>
      </c>
      <c r="AR945" s="28">
        <f t="shared" si="389"/>
        <v>-0.23933440493147029</v>
      </c>
      <c r="AS945" s="13" t="b">
        <f t="shared" si="390"/>
        <v>0</v>
      </c>
      <c r="AT945" s="13" t="str">
        <f t="shared" si="399"/>
        <v>Cambio en corte</v>
      </c>
      <c r="AU945" s="13">
        <v>4</v>
      </c>
      <c r="AV945">
        <f t="shared" si="391"/>
        <v>-1</v>
      </c>
      <c r="AW945" s="13">
        <v>0</v>
      </c>
      <c r="AX945" s="13">
        <v>0</v>
      </c>
      <c r="AY945" s="13">
        <v>0</v>
      </c>
      <c r="AZ945" s="13">
        <v>1</v>
      </c>
      <c r="BA945">
        <v>1</v>
      </c>
      <c r="BB945" t="s">
        <v>2841</v>
      </c>
      <c r="BC945">
        <v>6</v>
      </c>
      <c r="BD945" t="s">
        <v>2919</v>
      </c>
      <c r="BE945">
        <v>0</v>
      </c>
      <c r="BF945" s="232" t="s">
        <v>2846</v>
      </c>
      <c r="BG945" s="232" t="s">
        <v>2845</v>
      </c>
      <c r="BH945" s="253">
        <v>55.4</v>
      </c>
      <c r="BI945" s="253">
        <v>30.460865925684789</v>
      </c>
      <c r="BJ945" s="25">
        <v>30.767777777777773</v>
      </c>
      <c r="BK945" t="s">
        <v>379</v>
      </c>
      <c r="BL945">
        <v>6.1150707307106558</v>
      </c>
      <c r="BM945" t="s">
        <v>379</v>
      </c>
      <c r="BN945" s="322">
        <v>62349.915947000001</v>
      </c>
      <c r="BO945" s="322">
        <v>6104.9535400000004</v>
      </c>
      <c r="BP945" s="10">
        <v>27075</v>
      </c>
      <c r="BQ945" s="254">
        <f t="shared" si="392"/>
        <v>2.3028593147553096</v>
      </c>
      <c r="BR945" s="254">
        <f t="shared" si="393"/>
        <v>0.22548304856879042</v>
      </c>
      <c r="BS945" s="25">
        <v>73.701933347575306</v>
      </c>
      <c r="BT945" s="25">
        <v>95.877972286501361</v>
      </c>
      <c r="BU945" s="25">
        <v>48.076666666666661</v>
      </c>
      <c r="BV945" s="25">
        <v>88.61601090288157</v>
      </c>
      <c r="BW945" s="25">
        <v>54.851721255320072</v>
      </c>
      <c r="BX945" s="25">
        <v>76.568145800906223</v>
      </c>
      <c r="BY945" s="25">
        <v>57.086819461481127</v>
      </c>
      <c r="BZ945">
        <v>15</v>
      </c>
      <c r="CA945">
        <v>0</v>
      </c>
      <c r="CB945">
        <v>7</v>
      </c>
      <c r="CC945">
        <v>175393.489443</v>
      </c>
      <c r="CD945" s="10">
        <v>92647.408871000007</v>
      </c>
      <c r="CE945" s="255">
        <v>0.52822604285496522</v>
      </c>
      <c r="CF945" t="str">
        <f>IFERROR(VLOOKUP(CE945,'Rangos amb etnico'!$A$2:$C$6,3,9),"N.D.")</f>
        <v>51% - 70%</v>
      </c>
      <c r="CG945" s="256">
        <v>2.6954623737730004E-3</v>
      </c>
      <c r="CH945" s="232">
        <v>4907.7625829999997</v>
      </c>
      <c r="CI945" s="311">
        <f t="shared" si="400"/>
        <v>2.7981441036298797E-2</v>
      </c>
      <c r="CJ945" s="232" t="str">
        <f>IFERROR(VLOOKUP(CI945,'Rangos amb etnico'!$A$2:$C$6,3,9),"N.D.")</f>
        <v>0,1% - 30%</v>
      </c>
      <c r="CK945" s="311">
        <f t="shared" si="401"/>
        <v>1.9487030665065307E-4</v>
      </c>
      <c r="CL945" s="10">
        <v>0</v>
      </c>
      <c r="CM945" s="255">
        <f t="shared" si="402"/>
        <v>0</v>
      </c>
      <c r="CN945" s="232">
        <f>IFERROR(VLOOKUP(CM945,'Rangos amb etnico'!$A$2:$C$6,3,9),"N.D.")</f>
        <v>0</v>
      </c>
      <c r="CO945" s="311">
        <f t="shared" si="403"/>
        <v>0</v>
      </c>
      <c r="CP945">
        <v>0.93043475912620632</v>
      </c>
      <c r="CQ945" t="s">
        <v>2864</v>
      </c>
      <c r="CR945">
        <f t="shared" si="394"/>
        <v>1</v>
      </c>
      <c r="CS945" t="str">
        <f t="shared" si="404"/>
        <v>No es Candidato</v>
      </c>
      <c r="CT945">
        <v>0</v>
      </c>
      <c r="CU945">
        <v>0</v>
      </c>
      <c r="CV945" s="25">
        <v>36.523715972900391</v>
      </c>
      <c r="CW945" s="25">
        <v>12.802254676818849</v>
      </c>
      <c r="CX945" s="25">
        <v>41.658252716064453</v>
      </c>
      <c r="CY945" s="25">
        <v>48.912223815917969</v>
      </c>
      <c r="CZ945" s="25">
        <v>31.17033767700195</v>
      </c>
      <c r="DA945" s="25">
        <v>36.990474700927727</v>
      </c>
      <c r="DB945" s="25">
        <v>47.608745574951172</v>
      </c>
      <c r="DC945">
        <v>2081</v>
      </c>
      <c r="DD945" s="253" t="s">
        <v>380</v>
      </c>
    </row>
    <row r="946" spans="1:108" hidden="1">
      <c r="A946" s="13">
        <v>25120</v>
      </c>
      <c r="B946" s="13" t="s">
        <v>2302</v>
      </c>
      <c r="C946" s="13" t="s">
        <v>461</v>
      </c>
      <c r="D946" s="13" t="s">
        <v>462</v>
      </c>
      <c r="E946" s="13" t="s">
        <v>1902</v>
      </c>
      <c r="F946" s="14">
        <v>80.168866666666702</v>
      </c>
      <c r="G946" s="13">
        <v>61.53</v>
      </c>
      <c r="H946" s="13">
        <v>59.93</v>
      </c>
      <c r="I946" s="13">
        <v>54.9</v>
      </c>
      <c r="J946" s="14">
        <v>50.180911693847833</v>
      </c>
      <c r="K946" s="14">
        <v>42.570821453830497</v>
      </c>
      <c r="L946" s="14">
        <v>61.700949308297659</v>
      </c>
      <c r="M946" s="14">
        <v>47.762900000000002</v>
      </c>
      <c r="N946" s="14">
        <f t="shared" si="378"/>
        <v>64.132216666666679</v>
      </c>
      <c r="O946" s="14">
        <f t="shared" si="379"/>
        <v>50.553895613993994</v>
      </c>
      <c r="P946" s="14">
        <f t="shared" si="395"/>
        <v>57.343056140330333</v>
      </c>
      <c r="Q946" s="14">
        <v>66.126487987699022</v>
      </c>
      <c r="R946" s="17">
        <f t="shared" si="380"/>
        <v>33.873512012300978</v>
      </c>
      <c r="S946" s="14">
        <f t="shared" si="396"/>
        <v>0.40486160811070881</v>
      </c>
      <c r="T946" s="13">
        <v>0</v>
      </c>
      <c r="U946" s="13">
        <f t="shared" si="397"/>
        <v>23.216001922956796</v>
      </c>
      <c r="V946" s="13">
        <f>IF($T946=1,$AU946,(VLOOKUP(U946,'Cortes naturales'!$A$35:$C$39,3,9)))</f>
        <v>4</v>
      </c>
      <c r="W946" s="13">
        <v>4</v>
      </c>
      <c r="X946" s="14" t="b">
        <f t="shared" si="381"/>
        <v>1</v>
      </c>
      <c r="Y946" s="17">
        <f>IF($T946=1,$AU946,VLOOKUP(U946,'Cortes naturales'!$A$45:$C$49,3,9))</f>
        <v>4</v>
      </c>
      <c r="Z946" s="14">
        <v>60.204110491993355</v>
      </c>
      <c r="AA946" s="14">
        <v>0.41825652404026947</v>
      </c>
      <c r="AB946" s="14">
        <v>25.180761987317457</v>
      </c>
      <c r="AC946" s="13">
        <v>4</v>
      </c>
      <c r="AD946" s="13">
        <f t="shared" si="382"/>
        <v>0</v>
      </c>
      <c r="AE946" s="14">
        <f t="shared" si="383"/>
        <v>-2.8610543516630216</v>
      </c>
      <c r="AF946" s="14">
        <f t="shared" si="384"/>
        <v>-1.3394915929560658E-2</v>
      </c>
      <c r="AG946" s="13">
        <f t="shared" si="385"/>
        <v>-1.9647600643606609</v>
      </c>
      <c r="AH946" s="13">
        <f>IF($T946=1,$AU946,VLOOKUP(U946,'Cortes naturales'!$A$25:$C$29,3,9))</f>
        <v>4</v>
      </c>
      <c r="AI946" s="13" t="b">
        <f t="shared" si="386"/>
        <v>1</v>
      </c>
      <c r="AJ946" s="13">
        <f t="shared" si="387"/>
        <v>0</v>
      </c>
      <c r="AK946" s="28">
        <v>0.6523467210059386</v>
      </c>
      <c r="AL946" s="28">
        <v>39.27395407053109</v>
      </c>
      <c r="AM946" s="28">
        <v>0.32064975493063691</v>
      </c>
      <c r="AN946" s="13">
        <v>4</v>
      </c>
      <c r="AO946" s="33">
        <f t="shared" si="388"/>
        <v>0</v>
      </c>
      <c r="AP946" s="13">
        <f t="shared" si="398"/>
        <v>32.064975493063692</v>
      </c>
      <c r="AQ946" s="13">
        <f>IFERROR(VLOOKUP(U946,'Cortes naturales'!$E$15:$G$19,3,9),U946)</f>
        <v>4</v>
      </c>
      <c r="AR946" s="28">
        <f t="shared" si="389"/>
        <v>-0.24748511289522979</v>
      </c>
      <c r="AS946" s="13" t="b">
        <f t="shared" si="390"/>
        <v>1</v>
      </c>
      <c r="AT946" s="13">
        <f t="shared" si="399"/>
        <v>0</v>
      </c>
      <c r="AU946" s="13">
        <v>3</v>
      </c>
      <c r="AV946">
        <f t="shared" si="391"/>
        <v>-1</v>
      </c>
      <c r="AW946" s="13">
        <v>0</v>
      </c>
      <c r="AX946" s="13">
        <v>0</v>
      </c>
      <c r="AY946" s="13">
        <v>0</v>
      </c>
      <c r="AZ946" s="13">
        <v>0</v>
      </c>
      <c r="BA946">
        <v>1</v>
      </c>
      <c r="BB946" t="s">
        <v>2840</v>
      </c>
      <c r="BC946">
        <v>6</v>
      </c>
      <c r="BD946" t="s">
        <v>2919</v>
      </c>
      <c r="BE946">
        <v>1</v>
      </c>
      <c r="BF946" s="232" t="s">
        <v>2846</v>
      </c>
      <c r="BG946" s="232" t="s">
        <v>2846</v>
      </c>
      <c r="BH946" s="253">
        <v>39.5</v>
      </c>
      <c r="BI946" s="253">
        <v>10.304449648711945</v>
      </c>
      <c r="BJ946" s="25">
        <v>15.465136785253023</v>
      </c>
      <c r="BK946" t="s">
        <v>379</v>
      </c>
      <c r="BL946">
        <v>1.140624599606912</v>
      </c>
      <c r="BM946" t="s">
        <v>383</v>
      </c>
      <c r="BN946" s="322">
        <v>11984.202249</v>
      </c>
      <c r="BO946" s="322">
        <v>1024.1896939999999</v>
      </c>
      <c r="BP946" s="10">
        <v>4887</v>
      </c>
      <c r="BQ946" s="254">
        <f t="shared" si="392"/>
        <v>2.4522615610804173</v>
      </c>
      <c r="BR946" s="254">
        <f t="shared" si="393"/>
        <v>0.20957431839574378</v>
      </c>
      <c r="BS946" s="25">
        <v>50.358511650665328</v>
      </c>
      <c r="BT946" s="25">
        <v>83.267065958665839</v>
      </c>
      <c r="BU946" s="25">
        <v>34.027324159021397</v>
      </c>
      <c r="BV946" s="25">
        <v>92.273981477502673</v>
      </c>
      <c r="BW946" s="25">
        <v>45.189962665883527</v>
      </c>
      <c r="BX946" s="25">
        <v>64.981720811463816</v>
      </c>
      <c r="BY946" s="25">
        <v>46.137755384398822</v>
      </c>
      <c r="BZ946">
        <v>78</v>
      </c>
      <c r="CA946">
        <v>0</v>
      </c>
      <c r="CB946">
        <v>7</v>
      </c>
      <c r="CC946">
        <v>42141.640169999999</v>
      </c>
      <c r="CD946" s="10">
        <v>19691.255607999999</v>
      </c>
      <c r="CE946" s="255">
        <v>0.46726362639340052</v>
      </c>
      <c r="CF946" t="str">
        <f>IFERROR(VLOOKUP(CE946,'Rangos amb etnico'!$A$2:$C$6,3,9),"N.D.")</f>
        <v>31% - 50%</v>
      </c>
      <c r="CG946" s="256">
        <v>5.7289285507826511E-4</v>
      </c>
      <c r="CH946" s="232">
        <v>0</v>
      </c>
      <c r="CI946" s="311">
        <f t="shared" si="400"/>
        <v>0</v>
      </c>
      <c r="CJ946" s="232">
        <f>IFERROR(VLOOKUP(CI946,'Rangos amb etnico'!$A$2:$C$6,3,9),"N.D.")</f>
        <v>0</v>
      </c>
      <c r="CK946" s="311">
        <f t="shared" si="401"/>
        <v>0</v>
      </c>
      <c r="CL946" s="10">
        <v>41546.603435600002</v>
      </c>
      <c r="CM946" s="255">
        <f t="shared" si="402"/>
        <v>0.98588007652289733</v>
      </c>
      <c r="CN946" s="232" t="str">
        <f>IFERROR(VLOOKUP(CM946,'Rangos amb etnico'!$A$2:$C$6,3,9),"N.D.")</f>
        <v>71% - 100%</v>
      </c>
      <c r="CO946" s="311">
        <f t="shared" si="403"/>
        <v>2.6054163603136955E-2</v>
      </c>
      <c r="CP946">
        <v>0.9231703638368558</v>
      </c>
      <c r="CQ946" t="s">
        <v>2864</v>
      </c>
      <c r="CR946">
        <f t="shared" si="394"/>
        <v>1</v>
      </c>
      <c r="CS946" t="str">
        <f t="shared" si="404"/>
        <v>No es Candidato</v>
      </c>
      <c r="CT946">
        <v>0</v>
      </c>
      <c r="CU946">
        <v>0</v>
      </c>
      <c r="CV946" s="25">
        <v>44.394794464111328</v>
      </c>
      <c r="CW946" s="25">
        <v>21.684305191040039</v>
      </c>
      <c r="CX946" s="25">
        <v>46.231441497802727</v>
      </c>
      <c r="CY946" s="25">
        <v>60.533847808837891</v>
      </c>
      <c r="CZ946" s="25">
        <v>31.39644813537598</v>
      </c>
      <c r="DA946" s="25">
        <v>55.175743103027337</v>
      </c>
      <c r="DB946" s="25">
        <v>51.346981048583977</v>
      </c>
      <c r="DC946">
        <v>35</v>
      </c>
      <c r="DD946" s="253" t="s">
        <v>380</v>
      </c>
    </row>
    <row r="947" spans="1:108" hidden="1">
      <c r="A947" s="13">
        <v>27160</v>
      </c>
      <c r="B947" s="13" t="s">
        <v>2303</v>
      </c>
      <c r="C947" s="13" t="s">
        <v>1714</v>
      </c>
      <c r="D947" s="13" t="s">
        <v>1715</v>
      </c>
      <c r="E947" s="13" t="s">
        <v>2304</v>
      </c>
      <c r="F947" s="14">
        <v>65.583500000000001</v>
      </c>
      <c r="G947" s="13">
        <v>82.06</v>
      </c>
      <c r="H947" s="13">
        <v>81.25</v>
      </c>
      <c r="I947" s="13">
        <v>76.260000000000005</v>
      </c>
      <c r="J947" s="14">
        <v>40.808384398088727</v>
      </c>
      <c r="K947" s="14">
        <v>62.302042078381334</v>
      </c>
      <c r="L947" s="14">
        <v>48.411848724110413</v>
      </c>
      <c r="M947" s="14">
        <v>56.103400000000001</v>
      </c>
      <c r="N947" s="14">
        <f t="shared" si="378"/>
        <v>76.288375000000002</v>
      </c>
      <c r="O947" s="14">
        <f t="shared" si="379"/>
        <v>51.906418800145111</v>
      </c>
      <c r="P947" s="14">
        <f t="shared" si="395"/>
        <v>64.097396900072553</v>
      </c>
      <c r="Q947" s="14">
        <v>65.298289356650344</v>
      </c>
      <c r="R947" s="17">
        <f t="shared" si="380"/>
        <v>34.701710643349656</v>
      </c>
      <c r="S947" s="14">
        <f t="shared" si="396"/>
        <v>0.41231539579014698</v>
      </c>
      <c r="T947" s="13">
        <v>0</v>
      </c>
      <c r="U947" s="13">
        <f t="shared" si="397"/>
        <v>26.428343571971556</v>
      </c>
      <c r="V947" s="13">
        <f>IF($T947=1,$AU947,(VLOOKUP(U947,'Cortes naturales'!$A$35:$C$39,3,9)))</f>
        <v>4</v>
      </c>
      <c r="W947" s="13">
        <v>4</v>
      </c>
      <c r="X947" s="14" t="b">
        <f t="shared" si="381"/>
        <v>1</v>
      </c>
      <c r="Y947" s="17">
        <f>IF($T947=1,$AU947,VLOOKUP(U947,'Cortes naturales'!$A$45:$C$49,3,9))</f>
        <v>4</v>
      </c>
      <c r="Z947" s="14">
        <v>62.996759532205267</v>
      </c>
      <c r="AA947" s="14">
        <v>0.41839059463355965</v>
      </c>
      <c r="AB947" s="14">
        <v>26.357251680666728</v>
      </c>
      <c r="AC947" s="13">
        <v>4</v>
      </c>
      <c r="AD947" s="13">
        <f t="shared" si="382"/>
        <v>0</v>
      </c>
      <c r="AE947" s="14">
        <f t="shared" si="383"/>
        <v>1.1006373678672858</v>
      </c>
      <c r="AF947" s="14">
        <f t="shared" si="384"/>
        <v>-6.0751988434126769E-3</v>
      </c>
      <c r="AG947" s="13">
        <f t="shared" si="385"/>
        <v>7.1091891304828181E-2</v>
      </c>
      <c r="AH947" s="13">
        <f>IF($T947=1,$AU947,VLOOKUP(U947,'Cortes naturales'!$A$25:$C$29,3,9))</f>
        <v>4</v>
      </c>
      <c r="AI947" s="13" t="b">
        <f t="shared" si="386"/>
        <v>1</v>
      </c>
      <c r="AJ947" s="13">
        <f t="shared" si="387"/>
        <v>0</v>
      </c>
      <c r="AK947" s="28">
        <v>0.6523467210059386</v>
      </c>
      <c r="AL947" s="28">
        <v>41.095729514833714</v>
      </c>
      <c r="AM947" s="28">
        <v>0.34343824540653572</v>
      </c>
      <c r="AN947" s="13">
        <v>4</v>
      </c>
      <c r="AO947" s="33">
        <f t="shared" si="388"/>
        <v>0</v>
      </c>
      <c r="AP947" s="13">
        <f t="shared" si="398"/>
        <v>34.343824540653571</v>
      </c>
      <c r="AQ947" s="13">
        <f>IFERROR(VLOOKUP(U947,'Cortes naturales'!$E$15:$G$19,3,9),U947)</f>
        <v>4</v>
      </c>
      <c r="AR947" s="28">
        <f t="shared" si="389"/>
        <v>-0.24003132521579162</v>
      </c>
      <c r="AS947" s="13" t="b">
        <f t="shared" si="390"/>
        <v>1</v>
      </c>
      <c r="AT947" s="13">
        <f t="shared" si="399"/>
        <v>0</v>
      </c>
      <c r="AU947" s="13">
        <v>4</v>
      </c>
      <c r="AV947">
        <f t="shared" si="391"/>
        <v>0</v>
      </c>
      <c r="AW947" s="13">
        <v>0</v>
      </c>
      <c r="AX947" s="13">
        <v>0</v>
      </c>
      <c r="AY947" s="13">
        <v>0</v>
      </c>
      <c r="AZ947" s="13">
        <v>0</v>
      </c>
      <c r="BA947">
        <v>0</v>
      </c>
      <c r="BB947" t="s">
        <v>2840</v>
      </c>
      <c r="BC947">
        <v>6</v>
      </c>
      <c r="BD947" t="s">
        <v>2919</v>
      </c>
      <c r="BE947">
        <v>0</v>
      </c>
      <c r="BF947" s="232" t="s">
        <v>2846</v>
      </c>
      <c r="BG947" s="232" t="s">
        <v>2846</v>
      </c>
      <c r="BH947" s="253">
        <v>55.9</v>
      </c>
      <c r="BI947" s="253">
        <v>51.740337390561606</v>
      </c>
      <c r="BJ947" s="25">
        <v>89.94</v>
      </c>
      <c r="BK947" t="s">
        <v>2850</v>
      </c>
      <c r="BL947">
        <v>17.176300410725364</v>
      </c>
      <c r="BM947" t="s">
        <v>376</v>
      </c>
      <c r="BN947" s="322">
        <v>18447.294814000001</v>
      </c>
      <c r="BO947" s="322">
        <v>1017.621231</v>
      </c>
      <c r="BP947" s="10">
        <v>5986</v>
      </c>
      <c r="BQ947" s="254">
        <f t="shared" si="392"/>
        <v>3.0817398620113599</v>
      </c>
      <c r="BR947" s="254">
        <f t="shared" si="393"/>
        <v>0.1700002056465085</v>
      </c>
      <c r="BS947" s="25">
        <v>51.289303530009853</v>
      </c>
      <c r="BT947" s="25">
        <v>85.311352049833445</v>
      </c>
      <c r="BU947" s="25">
        <v>33.535920852359197</v>
      </c>
      <c r="BV947" s="25">
        <v>97.453745353035288</v>
      </c>
      <c r="BW947" s="25">
        <v>34.347883040437672</v>
      </c>
      <c r="BX947" s="25">
        <v>66.897580446309448</v>
      </c>
      <c r="BY947" s="25">
        <v>34.459113039285583</v>
      </c>
      <c r="BZ947">
        <v>27</v>
      </c>
      <c r="CA947">
        <v>0</v>
      </c>
      <c r="CB947">
        <v>7</v>
      </c>
      <c r="CC947">
        <v>42351.400064000001</v>
      </c>
      <c r="CD947" s="10">
        <v>174.131564</v>
      </c>
      <c r="CE947" s="255">
        <v>4.111589315509246E-3</v>
      </c>
      <c r="CF947" t="str">
        <f>IFERROR(VLOOKUP(CE947,'Rangos amb etnico'!$A$2:$C$6,3,9),"N.D.")</f>
        <v>0,1% - 30%</v>
      </c>
      <c r="CG947" s="256">
        <v>5.0661436144617665E-6</v>
      </c>
      <c r="CH947" s="232">
        <v>42146.862672000003</v>
      </c>
      <c r="CI947" s="311">
        <f t="shared" si="400"/>
        <v>0.99517046917714858</v>
      </c>
      <c r="CJ947" s="232" t="str">
        <f>IFERROR(VLOOKUP(CI947,'Rangos amb etnico'!$A$2:$C$6,3,9),"N.D.")</f>
        <v>71% - 100%</v>
      </c>
      <c r="CK947" s="311">
        <f t="shared" si="401"/>
        <v>1.6735063920380365E-3</v>
      </c>
      <c r="CL947" s="10">
        <v>0</v>
      </c>
      <c r="CM947" s="255">
        <f t="shared" si="402"/>
        <v>0</v>
      </c>
      <c r="CN947" s="232">
        <f>IFERROR(VLOOKUP(CM947,'Rangos amb etnico'!$A$2:$C$6,3,9),"N.D.")</f>
        <v>0</v>
      </c>
      <c r="CO947" s="311">
        <f t="shared" si="403"/>
        <v>0</v>
      </c>
      <c r="CP947">
        <v>0.9278673560588595</v>
      </c>
      <c r="CQ947" t="s">
        <v>2864</v>
      </c>
      <c r="CR947">
        <f t="shared" si="394"/>
        <v>2</v>
      </c>
      <c r="CS947" t="str">
        <f t="shared" si="404"/>
        <v>No es Candidato</v>
      </c>
      <c r="CT947">
        <v>0</v>
      </c>
      <c r="CU947">
        <v>0</v>
      </c>
      <c r="CV947" s="25">
        <v>39.242961883544922</v>
      </c>
      <c r="CW947" s="25">
        <v>24.400033950805661</v>
      </c>
      <c r="CX947" s="25">
        <v>43.197727203369141</v>
      </c>
      <c r="CY947" s="25">
        <v>38.748756408691413</v>
      </c>
      <c r="CZ947" s="25">
        <v>9.6580600738525391</v>
      </c>
      <c r="DA947" s="25">
        <v>73.0478515625</v>
      </c>
      <c r="DB947" s="25">
        <v>46.405338287353523</v>
      </c>
      <c r="DC947">
        <v>5586</v>
      </c>
      <c r="DD947" s="253" t="s">
        <v>380</v>
      </c>
    </row>
    <row r="948" spans="1:108" hidden="1">
      <c r="A948" s="13">
        <v>68705</v>
      </c>
      <c r="B948" s="13" t="s">
        <v>2305</v>
      </c>
      <c r="C948" s="13" t="s">
        <v>431</v>
      </c>
      <c r="D948" s="13" t="s">
        <v>432</v>
      </c>
      <c r="E948" s="13" t="s">
        <v>829</v>
      </c>
      <c r="F948" s="14">
        <v>67.148166666666697</v>
      </c>
      <c r="G948" s="13">
        <v>66.81</v>
      </c>
      <c r="H948" s="13">
        <v>75.209999999999994</v>
      </c>
      <c r="I948" s="13">
        <v>63.17</v>
      </c>
      <c r="J948" s="14">
        <v>64.261418614546471</v>
      </c>
      <c r="K948" s="14">
        <v>64.737322300412572</v>
      </c>
      <c r="L948" s="14">
        <v>71.22210121576623</v>
      </c>
      <c r="M948" s="14">
        <v>48.778199999999998</v>
      </c>
      <c r="N948" s="14">
        <f t="shared" si="378"/>
        <v>68.084541666666681</v>
      </c>
      <c r="O948" s="14">
        <f t="shared" si="379"/>
        <v>62.249760532681321</v>
      </c>
      <c r="P948" s="14">
        <f t="shared" si="395"/>
        <v>65.167151099674001</v>
      </c>
      <c r="Q948" s="14">
        <v>63.221952663402959</v>
      </c>
      <c r="R948" s="17">
        <f t="shared" si="380"/>
        <v>36.778047336597041</v>
      </c>
      <c r="S948" s="14">
        <f t="shared" si="396"/>
        <v>0.43100242602937344</v>
      </c>
      <c r="T948" s="13">
        <v>0</v>
      </c>
      <c r="U948" s="13">
        <f t="shared" si="397"/>
        <v>28.087200221382247</v>
      </c>
      <c r="V948" s="13">
        <f>IF($T948=1,$AU948,(VLOOKUP(U948,'Cortes naturales'!$A$35:$C$39,3,9)))</f>
        <v>4</v>
      </c>
      <c r="W948" s="13">
        <v>4</v>
      </c>
      <c r="X948" s="14" t="b">
        <f t="shared" si="381"/>
        <v>1</v>
      </c>
      <c r="Y948" s="17">
        <f>IF($T948=1,$AU948,VLOOKUP(U948,'Cortes naturales'!$A$45:$C$49,3,9))</f>
        <v>4</v>
      </c>
      <c r="Z948" s="14">
        <v>66.015639648402299</v>
      </c>
      <c r="AA948" s="14">
        <v>0.41795385228209481</v>
      </c>
      <c r="AB948" s="14">
        <v>27.591490901916334</v>
      </c>
      <c r="AC948" s="13">
        <v>4</v>
      </c>
      <c r="AD948" s="13">
        <f t="shared" si="382"/>
        <v>0</v>
      </c>
      <c r="AE948" s="14">
        <f t="shared" si="383"/>
        <v>-0.84848854872829804</v>
      </c>
      <c r="AF948" s="14">
        <f t="shared" si="384"/>
        <v>1.3048573747278636E-2</v>
      </c>
      <c r="AG948" s="13">
        <f t="shared" si="385"/>
        <v>0.49570931946591301</v>
      </c>
      <c r="AH948" s="13">
        <f>IF($T948=1,$AU948,VLOOKUP(U948,'Cortes naturales'!$A$25:$C$29,3,9))</f>
        <v>3</v>
      </c>
      <c r="AI948" s="13" t="b">
        <f t="shared" si="386"/>
        <v>0</v>
      </c>
      <c r="AJ948" s="13">
        <f t="shared" si="387"/>
        <v>0</v>
      </c>
      <c r="AK948" s="28">
        <v>0.6523467210059386</v>
      </c>
      <c r="AL948" s="28">
        <v>43.065086059744871</v>
      </c>
      <c r="AM948" s="28">
        <v>0.36807281988590379</v>
      </c>
      <c r="AN948" s="13">
        <v>3</v>
      </c>
      <c r="AO948" s="33">
        <f t="shared" si="388"/>
        <v>-1</v>
      </c>
      <c r="AP948" s="13">
        <f t="shared" si="398"/>
        <v>36.807281988590375</v>
      </c>
      <c r="AQ948" s="13">
        <f>IFERROR(VLOOKUP(U948,'Cortes naturales'!$E$15:$G$19,3,9),U948)</f>
        <v>4</v>
      </c>
      <c r="AR948" s="28">
        <f t="shared" si="389"/>
        <v>-0.22134429497656516</v>
      </c>
      <c r="AS948" s="13" t="b">
        <f t="shared" si="390"/>
        <v>1</v>
      </c>
      <c r="AT948" s="13" t="str">
        <f t="shared" si="399"/>
        <v>Efecto ponderador</v>
      </c>
      <c r="AU948" s="13">
        <v>4</v>
      </c>
      <c r="AV948">
        <f t="shared" si="391"/>
        <v>0</v>
      </c>
      <c r="AW948" s="13">
        <v>0</v>
      </c>
      <c r="AX948" s="13">
        <v>0</v>
      </c>
      <c r="AY948" s="13">
        <v>0</v>
      </c>
      <c r="AZ948" s="13">
        <v>0</v>
      </c>
      <c r="BA948">
        <v>0</v>
      </c>
      <c r="BB948" t="s">
        <v>2841</v>
      </c>
      <c r="BC948">
        <v>6</v>
      </c>
      <c r="BD948" t="s">
        <v>2919</v>
      </c>
      <c r="BE948">
        <v>0</v>
      </c>
      <c r="BF948" s="232" t="s">
        <v>2846</v>
      </c>
      <c r="BG948" s="232" t="s">
        <v>2846</v>
      </c>
      <c r="BH948" s="253">
        <v>53.8</v>
      </c>
      <c r="BI948" s="253">
        <v>16.748548459133541</v>
      </c>
      <c r="BJ948" s="25">
        <v>0</v>
      </c>
      <c r="BK948" t="s">
        <v>381</v>
      </c>
      <c r="BL948">
        <v>0</v>
      </c>
      <c r="BM948" t="s">
        <v>377</v>
      </c>
      <c r="BN948" s="322">
        <v>9461.1126989999993</v>
      </c>
      <c r="BO948" s="322">
        <v>506.78900499999997</v>
      </c>
      <c r="BP948" s="10">
        <v>2624</v>
      </c>
      <c r="BQ948" s="254">
        <f t="shared" si="392"/>
        <v>3.6056069737042682</v>
      </c>
      <c r="BR948" s="254">
        <f t="shared" si="393"/>
        <v>0.19313605373475609</v>
      </c>
      <c r="BS948" s="25">
        <v>69.531949327529432</v>
      </c>
      <c r="BT948" s="25">
        <v>81.671626666666668</v>
      </c>
      <c r="BU948" s="25">
        <v>40.826666666666661</v>
      </c>
      <c r="BV948" s="25">
        <v>100.2301119336158</v>
      </c>
      <c r="BW948" s="25">
        <v>56.903587451579902</v>
      </c>
      <c r="BX948" s="25">
        <v>73.06508864861965</v>
      </c>
      <c r="BY948" s="25">
        <v>59.647238913112822</v>
      </c>
      <c r="BZ948">
        <v>39</v>
      </c>
      <c r="CA948">
        <v>0</v>
      </c>
      <c r="CB948">
        <v>7</v>
      </c>
      <c r="CC948">
        <v>17827.661854000002</v>
      </c>
      <c r="CD948" s="10">
        <v>3931.182499</v>
      </c>
      <c r="CE948" s="255">
        <v>0.22051026832315415</v>
      </c>
      <c r="CF948" t="str">
        <f>IFERROR(VLOOKUP(CE948,'Rangos amb etnico'!$A$2:$C$6,3,9),"N.D.")</f>
        <v>0,1% - 30%</v>
      </c>
      <c r="CG948" s="256">
        <v>1.1437291813787821E-4</v>
      </c>
      <c r="CH948" s="232">
        <v>0</v>
      </c>
      <c r="CI948" s="311">
        <f t="shared" si="400"/>
        <v>0</v>
      </c>
      <c r="CJ948" s="232">
        <f>IFERROR(VLOOKUP(CI948,'Rangos amb etnico'!$A$2:$C$6,3,9),"N.D.")</f>
        <v>0</v>
      </c>
      <c r="CK948" s="311">
        <f t="shared" si="401"/>
        <v>0</v>
      </c>
      <c r="CL948" s="10">
        <v>0</v>
      </c>
      <c r="CM948" s="255">
        <f t="shared" si="402"/>
        <v>0</v>
      </c>
      <c r="CN948" s="232">
        <f>IFERROR(VLOOKUP(CM948,'Rangos amb etnico'!$A$2:$C$6,3,9),"N.D.")</f>
        <v>0</v>
      </c>
      <c r="CO948" s="311">
        <f t="shared" si="403"/>
        <v>0</v>
      </c>
      <c r="CP948">
        <v>0.90857473458443927</v>
      </c>
      <c r="CQ948" t="s">
        <v>2864</v>
      </c>
      <c r="CR948">
        <f t="shared" si="394"/>
        <v>2</v>
      </c>
      <c r="CS948" t="str">
        <f t="shared" si="404"/>
        <v>No es Candidato</v>
      </c>
      <c r="CT948">
        <v>0</v>
      </c>
      <c r="CU948">
        <v>0</v>
      </c>
      <c r="CV948" s="25">
        <v>59.718727111816413</v>
      </c>
      <c r="CW948" s="25">
        <v>19.449131011962891</v>
      </c>
      <c r="CX948" s="25">
        <v>54.581840515136719</v>
      </c>
      <c r="CY948" s="25">
        <v>79.101753234863281</v>
      </c>
      <c r="CZ948" s="25">
        <v>52.819862365722663</v>
      </c>
      <c r="DA948" s="25">
        <v>94.759552001953125</v>
      </c>
      <c r="DB948" s="25">
        <v>57.6002197265625</v>
      </c>
      <c r="DC948">
        <v>19</v>
      </c>
      <c r="DD948" s="253" t="s">
        <v>380</v>
      </c>
    </row>
    <row r="949" spans="1:108" hidden="1">
      <c r="A949" s="13">
        <v>25885</v>
      </c>
      <c r="B949" s="13" t="s">
        <v>2306</v>
      </c>
      <c r="C949" s="13" t="s">
        <v>461</v>
      </c>
      <c r="D949" s="13" t="s">
        <v>462</v>
      </c>
      <c r="E949" s="13" t="s">
        <v>2307</v>
      </c>
      <c r="F949" s="14">
        <v>54.462333333333298</v>
      </c>
      <c r="G949" s="13">
        <v>85.43</v>
      </c>
      <c r="H949" s="13">
        <v>83.73</v>
      </c>
      <c r="I949" s="13">
        <v>92.02</v>
      </c>
      <c r="J949" s="14">
        <v>66.853306664837149</v>
      </c>
      <c r="K949" s="14">
        <v>58.285438743215195</v>
      </c>
      <c r="L949" s="14">
        <v>61.994305238778679</v>
      </c>
      <c r="M949" s="14">
        <v>53.269199999999998</v>
      </c>
      <c r="N949" s="14">
        <f t="shared" si="378"/>
        <v>78.910583333333321</v>
      </c>
      <c r="O949" s="14">
        <f t="shared" si="379"/>
        <v>60.100562661707755</v>
      </c>
      <c r="P949" s="14">
        <f t="shared" si="395"/>
        <v>69.505572997520545</v>
      </c>
      <c r="Q949" s="14">
        <v>67.196240578996154</v>
      </c>
      <c r="R949" s="17">
        <f t="shared" si="380"/>
        <v>32.803759421003846</v>
      </c>
      <c r="S949" s="14">
        <f t="shared" si="396"/>
        <v>0.39523383478903462</v>
      </c>
      <c r="T949" s="13">
        <v>0</v>
      </c>
      <c r="U949" s="13">
        <f t="shared" si="397"/>
        <v>27.470954155019221</v>
      </c>
      <c r="V949" s="13">
        <f>IF($T949=1,$AU949,(VLOOKUP(U949,'Cortes naturales'!$A$35:$C$39,3,9)))</f>
        <v>4</v>
      </c>
      <c r="W949" s="13">
        <v>4</v>
      </c>
      <c r="X949" s="14" t="b">
        <f t="shared" si="381"/>
        <v>1</v>
      </c>
      <c r="Y949" s="17">
        <f>IF($T949=1,$AU949,VLOOKUP(U949,'Cortes naturales'!$A$45:$C$49,3,9))</f>
        <v>4</v>
      </c>
      <c r="Z949" s="14">
        <v>65.478125392897283</v>
      </c>
      <c r="AA949" s="14">
        <v>0.41645256891740878</v>
      </c>
      <c r="AB949" s="14">
        <v>27.268533527768291</v>
      </c>
      <c r="AC949" s="13">
        <v>4</v>
      </c>
      <c r="AD949" s="13">
        <f t="shared" si="382"/>
        <v>0</v>
      </c>
      <c r="AE949" s="14">
        <f t="shared" si="383"/>
        <v>4.0274476046232621</v>
      </c>
      <c r="AF949" s="14">
        <f t="shared" si="384"/>
        <v>-2.1218734128374162E-2</v>
      </c>
      <c r="AG949" s="13">
        <f t="shared" si="385"/>
        <v>0.20242062725093035</v>
      </c>
      <c r="AH949" s="13">
        <f>IF($T949=1,$AU949,VLOOKUP(U949,'Cortes naturales'!$A$25:$C$29,3,9))</f>
        <v>4</v>
      </c>
      <c r="AI949" s="13" t="b">
        <f t="shared" si="386"/>
        <v>1</v>
      </c>
      <c r="AJ949" s="13">
        <f t="shared" si="387"/>
        <v>0</v>
      </c>
      <c r="AK949" s="28">
        <v>0.6523467210059386</v>
      </c>
      <c r="AL949" s="28">
        <v>42.714440397672227</v>
      </c>
      <c r="AM949" s="28">
        <v>0.36368661226874244</v>
      </c>
      <c r="AN949" s="13">
        <v>3</v>
      </c>
      <c r="AO949" s="33">
        <f t="shared" si="388"/>
        <v>-1</v>
      </c>
      <c r="AP949" s="13">
        <f t="shared" si="398"/>
        <v>36.368661226874245</v>
      </c>
      <c r="AQ949" s="13">
        <f>IFERROR(VLOOKUP(U949,'Cortes naturales'!$E$15:$G$19,3,9),U949)</f>
        <v>4</v>
      </c>
      <c r="AR949" s="28">
        <f t="shared" si="389"/>
        <v>-0.25711288621690398</v>
      </c>
      <c r="AS949" s="13" t="b">
        <f t="shared" si="390"/>
        <v>1</v>
      </c>
      <c r="AT949" s="13" t="str">
        <f t="shared" si="399"/>
        <v>Efecto ponderador</v>
      </c>
      <c r="AU949" s="13">
        <v>4</v>
      </c>
      <c r="AV949">
        <f t="shared" si="391"/>
        <v>0</v>
      </c>
      <c r="AW949" s="13">
        <v>0</v>
      </c>
      <c r="AX949" s="13">
        <v>0</v>
      </c>
      <c r="AY949" s="13">
        <v>0</v>
      </c>
      <c r="AZ949" s="13">
        <v>0</v>
      </c>
      <c r="BA949">
        <v>0</v>
      </c>
      <c r="BB949" t="s">
        <v>2840</v>
      </c>
      <c r="BC949">
        <v>6</v>
      </c>
      <c r="BD949" t="s">
        <v>2919</v>
      </c>
      <c r="BE949">
        <v>0</v>
      </c>
      <c r="BF949" s="232" t="s">
        <v>2846</v>
      </c>
      <c r="BG949" s="232" t="s">
        <v>2846</v>
      </c>
      <c r="BH949" s="253">
        <v>55.5</v>
      </c>
      <c r="BI949" s="253">
        <v>40.6172499311105</v>
      </c>
      <c r="BJ949" s="25">
        <v>47.776071622629445</v>
      </c>
      <c r="BK949" t="s">
        <v>376</v>
      </c>
      <c r="BL949">
        <v>0.67404327837479916</v>
      </c>
      <c r="BM949" t="s">
        <v>383</v>
      </c>
      <c r="BN949" s="322">
        <v>33958.004713000002</v>
      </c>
      <c r="BO949" s="322">
        <v>1902.7934640000001</v>
      </c>
      <c r="BP949" s="10">
        <v>11191</v>
      </c>
      <c r="BQ949" s="254">
        <f t="shared" si="392"/>
        <v>3.0344030661245647</v>
      </c>
      <c r="BR949" s="254">
        <f t="shared" si="393"/>
        <v>0.17002890394066661</v>
      </c>
      <c r="BS949" s="25">
        <v>51.603352656820029</v>
      </c>
      <c r="BT949" s="25">
        <v>85.941913406308629</v>
      </c>
      <c r="BU949" s="25">
        <v>23.61150192935586</v>
      </c>
      <c r="BV949" s="25">
        <v>97.846432877794982</v>
      </c>
      <c r="BW949" s="25">
        <v>59.3626016024187</v>
      </c>
      <c r="BX949" s="25">
        <v>64.750800217569875</v>
      </c>
      <c r="BY949" s="25">
        <v>60.434528336520621</v>
      </c>
      <c r="BZ949">
        <v>33</v>
      </c>
      <c r="CA949">
        <v>0</v>
      </c>
      <c r="CB949">
        <v>7</v>
      </c>
      <c r="CC949">
        <v>95576.564425000004</v>
      </c>
      <c r="CD949" s="10">
        <v>38239.815580000002</v>
      </c>
      <c r="CE949" s="255">
        <v>0.40009615129038473</v>
      </c>
      <c r="CF949" t="str">
        <f>IFERROR(VLOOKUP(CE949,'Rangos amb etnico'!$A$2:$C$6,3,9),"N.D.")</f>
        <v>31% - 50%</v>
      </c>
      <c r="CG949" s="256">
        <v>1.1125403865252861E-3</v>
      </c>
      <c r="CH949" s="232">
        <v>0</v>
      </c>
      <c r="CI949" s="311">
        <f t="shared" si="400"/>
        <v>0</v>
      </c>
      <c r="CJ949" s="232">
        <f>IFERROR(VLOOKUP(CI949,'Rangos amb etnico'!$A$2:$C$6,3,9),"N.D.")</f>
        <v>0</v>
      </c>
      <c r="CK949" s="311">
        <f t="shared" si="401"/>
        <v>0</v>
      </c>
      <c r="CL949" s="10">
        <v>0</v>
      </c>
      <c r="CM949" s="255">
        <f t="shared" si="402"/>
        <v>0</v>
      </c>
      <c r="CN949" s="232">
        <f>IFERROR(VLOOKUP(CM949,'Rangos amb etnico'!$A$2:$C$6,3,9),"N.D.")</f>
        <v>0</v>
      </c>
      <c r="CO949" s="311">
        <f t="shared" si="403"/>
        <v>0</v>
      </c>
      <c r="CP949">
        <v>0.90701381818316418</v>
      </c>
      <c r="CQ949" t="s">
        <v>2864</v>
      </c>
      <c r="CR949">
        <f t="shared" si="394"/>
        <v>3</v>
      </c>
      <c r="CS949" t="str">
        <f t="shared" si="404"/>
        <v>Candidato</v>
      </c>
      <c r="CT949">
        <v>0</v>
      </c>
      <c r="CU949">
        <v>0</v>
      </c>
      <c r="CV949" s="25">
        <v>44.278488159179688</v>
      </c>
      <c r="CW949" s="25">
        <v>16.158245086669918</v>
      </c>
      <c r="CX949" s="25">
        <v>43.345424652099609</v>
      </c>
      <c r="CY949" s="25">
        <v>44.106071472167969</v>
      </c>
      <c r="CZ949" s="25">
        <v>27.134025573730469</v>
      </c>
      <c r="DA949" s="25">
        <v>96.430213928222656</v>
      </c>
      <c r="DB949" s="25">
        <v>38.496936798095703</v>
      </c>
      <c r="DC949">
        <v>169</v>
      </c>
      <c r="DD949" s="253" t="s">
        <v>380</v>
      </c>
    </row>
    <row r="950" spans="1:108" hidden="1">
      <c r="A950" s="13">
        <v>50251</v>
      </c>
      <c r="B950" s="13" t="s">
        <v>2308</v>
      </c>
      <c r="C950" s="13" t="s">
        <v>605</v>
      </c>
      <c r="D950" s="13" t="s">
        <v>606</v>
      </c>
      <c r="E950" s="13" t="s">
        <v>2309</v>
      </c>
      <c r="F950" s="14">
        <v>70.7417333333333</v>
      </c>
      <c r="G950" s="13">
        <v>48.15</v>
      </c>
      <c r="H950" s="13">
        <v>51.34</v>
      </c>
      <c r="I950" s="13">
        <v>62.88</v>
      </c>
      <c r="J950" s="14">
        <v>48.237863431638608</v>
      </c>
      <c r="K950" s="14">
        <v>51.417086235862094</v>
      </c>
      <c r="L950" s="14">
        <v>61.894586409263873</v>
      </c>
      <c r="M950" s="14">
        <v>53.830199999999998</v>
      </c>
      <c r="N950" s="14">
        <f t="shared" si="378"/>
        <v>58.277933333333323</v>
      </c>
      <c r="O950" s="14">
        <f t="shared" si="379"/>
        <v>53.844934019191143</v>
      </c>
      <c r="P950" s="14">
        <f t="shared" si="395"/>
        <v>56.061433676262233</v>
      </c>
      <c r="Q950" s="14">
        <v>66.098047223455282</v>
      </c>
      <c r="R950" s="17">
        <f t="shared" si="380"/>
        <v>33.901952776544718</v>
      </c>
      <c r="S950" s="14">
        <f t="shared" si="396"/>
        <v>0.40511757498890244</v>
      </c>
      <c r="T950" s="13">
        <v>0</v>
      </c>
      <c r="U950" s="13">
        <f t="shared" si="397"/>
        <v>22.711472061328546</v>
      </c>
      <c r="V950" s="13">
        <f>IF($T950=1,$AU950,(VLOOKUP(U950,'Cortes naturales'!$A$35:$C$39,3,9)))</f>
        <v>4</v>
      </c>
      <c r="W950" s="13">
        <v>4</v>
      </c>
      <c r="X950" s="14" t="b">
        <f t="shared" si="381"/>
        <v>1</v>
      </c>
      <c r="Y950" s="17">
        <f>IF($T950=1,$AU950,VLOOKUP(U950,'Cortes naturales'!$A$45:$C$49,3,9))</f>
        <v>4</v>
      </c>
      <c r="Z950" s="14">
        <v>57.057542343935431</v>
      </c>
      <c r="AA950" s="14">
        <v>0.41592832928891665</v>
      </c>
      <c r="AB950" s="14">
        <v>23.731848260444682</v>
      </c>
      <c r="AC950" s="13">
        <v>4</v>
      </c>
      <c r="AD950" s="13">
        <f t="shared" si="382"/>
        <v>0</v>
      </c>
      <c r="AE950" s="14">
        <f t="shared" si="383"/>
        <v>-0.99610866767319806</v>
      </c>
      <c r="AF950" s="14">
        <f t="shared" si="384"/>
        <v>-1.0810754300014214E-2</v>
      </c>
      <c r="AG950" s="13">
        <f t="shared" si="385"/>
        <v>-1.0203761991161358</v>
      </c>
      <c r="AH950" s="13">
        <f>IF($T950=1,$AU950,VLOOKUP(U950,'Cortes naturales'!$A$25:$C$29,3,9))</f>
        <v>4</v>
      </c>
      <c r="AI950" s="13" t="b">
        <f t="shared" si="386"/>
        <v>1</v>
      </c>
      <c r="AJ950" s="13">
        <f t="shared" si="387"/>
        <v>0</v>
      </c>
      <c r="AK950" s="28">
        <v>0.6523467210059386</v>
      </c>
      <c r="AL950" s="28">
        <v>37.221300656723777</v>
      </c>
      <c r="AM950" s="28">
        <v>0.29497322442455398</v>
      </c>
      <c r="AN950" s="13">
        <v>4</v>
      </c>
      <c r="AO950" s="33">
        <f t="shared" si="388"/>
        <v>0</v>
      </c>
      <c r="AP950" s="13">
        <f t="shared" si="398"/>
        <v>29.497322442455399</v>
      </c>
      <c r="AQ950" s="13">
        <f>IFERROR(VLOOKUP(U950,'Cortes naturales'!$E$15:$G$19,3,9),U950)</f>
        <v>4</v>
      </c>
      <c r="AR950" s="28">
        <f t="shared" si="389"/>
        <v>-0.24722914601703616</v>
      </c>
      <c r="AS950" s="13" t="b">
        <f t="shared" si="390"/>
        <v>1</v>
      </c>
      <c r="AT950" s="13">
        <f t="shared" si="399"/>
        <v>0</v>
      </c>
      <c r="AU950" s="13">
        <v>4</v>
      </c>
      <c r="AV950">
        <f t="shared" si="391"/>
        <v>0</v>
      </c>
      <c r="AW950" s="13">
        <v>0</v>
      </c>
      <c r="AX950" s="13">
        <v>0</v>
      </c>
      <c r="AY950" s="13">
        <v>0</v>
      </c>
      <c r="AZ950" s="13">
        <v>0</v>
      </c>
      <c r="BA950">
        <v>1</v>
      </c>
      <c r="BB950" t="s">
        <v>2840</v>
      </c>
      <c r="BC950">
        <v>6</v>
      </c>
      <c r="BD950" t="s">
        <v>2919</v>
      </c>
      <c r="BE950">
        <v>1</v>
      </c>
      <c r="BF950" s="232" t="s">
        <v>2846</v>
      </c>
      <c r="BG950" s="232" t="s">
        <v>2846</v>
      </c>
      <c r="BH950" s="253">
        <v>42.2</v>
      </c>
      <c r="BI950" s="253">
        <v>26.540741762029505</v>
      </c>
      <c r="BJ950" s="25">
        <v>4.2376064627813044</v>
      </c>
      <c r="BK950" t="s">
        <v>381</v>
      </c>
      <c r="BL950">
        <v>2.2705157946750423</v>
      </c>
      <c r="BM950" t="s">
        <v>383</v>
      </c>
      <c r="BN950" s="322">
        <v>26314.056531999999</v>
      </c>
      <c r="BO950" s="322">
        <v>2536.6650460000001</v>
      </c>
      <c r="BP950" s="10">
        <v>8473</v>
      </c>
      <c r="BQ950" s="254">
        <f t="shared" si="392"/>
        <v>3.1056363191313583</v>
      </c>
      <c r="BR950" s="254">
        <f t="shared" si="393"/>
        <v>0.29938216050985483</v>
      </c>
      <c r="BS950" s="25">
        <v>64.129130017862977</v>
      </c>
      <c r="BT950" s="25">
        <v>88.16910516778789</v>
      </c>
      <c r="BU950" s="25">
        <v>40.537422192151531</v>
      </c>
      <c r="BV950" s="25">
        <v>94.329730860526311</v>
      </c>
      <c r="BW950" s="25">
        <v>53.530593398492897</v>
      </c>
      <c r="BX950" s="25">
        <v>71.791347059582179</v>
      </c>
      <c r="BY950" s="25">
        <v>54.524169710814057</v>
      </c>
      <c r="BZ950">
        <v>63</v>
      </c>
      <c r="CA950">
        <v>0</v>
      </c>
      <c r="CB950">
        <v>7</v>
      </c>
      <c r="CC950">
        <v>56743.971314000002</v>
      </c>
      <c r="CD950" s="10">
        <v>12006.791418999999</v>
      </c>
      <c r="CE950" s="255">
        <v>0.2115958954046217</v>
      </c>
      <c r="CF950" t="str">
        <f>IFERROR(VLOOKUP(CE950,'Rangos amb etnico'!$A$2:$C$6,3,9),"N.D.")</f>
        <v>0,1% - 30%</v>
      </c>
      <c r="CG950" s="256">
        <v>3.4932282396281226E-4</v>
      </c>
      <c r="CH950" s="232">
        <v>0</v>
      </c>
      <c r="CI950" s="311">
        <f t="shared" si="400"/>
        <v>0</v>
      </c>
      <c r="CJ950" s="232">
        <f>IFERROR(VLOOKUP(CI950,'Rangos amb etnico'!$A$2:$C$6,3,9),"N.D.")</f>
        <v>0</v>
      </c>
      <c r="CK950" s="311">
        <f t="shared" si="401"/>
        <v>0</v>
      </c>
      <c r="CL950" s="10">
        <v>0</v>
      </c>
      <c r="CM950" s="255">
        <f t="shared" si="402"/>
        <v>0</v>
      </c>
      <c r="CN950" s="232">
        <f>IFERROR(VLOOKUP(CM950,'Rangos amb etnico'!$A$2:$C$6,3,9),"N.D.")</f>
        <v>0</v>
      </c>
      <c r="CO950" s="311">
        <f t="shared" si="403"/>
        <v>0</v>
      </c>
      <c r="CP950">
        <v>0.97406512166299497</v>
      </c>
      <c r="CQ950" t="s">
        <v>2864</v>
      </c>
      <c r="CR950">
        <f t="shared" si="394"/>
        <v>2</v>
      </c>
      <c r="CS950" t="str">
        <f t="shared" si="404"/>
        <v>No es Candidato</v>
      </c>
      <c r="CT950">
        <v>0</v>
      </c>
      <c r="CU950">
        <v>0</v>
      </c>
      <c r="CV950" s="25">
        <v>45.127952575683587</v>
      </c>
      <c r="CW950" s="25">
        <v>16.774017333984379</v>
      </c>
      <c r="CX950" s="25">
        <v>48.995429992675781</v>
      </c>
      <c r="CY950" s="25">
        <v>59.278053283691413</v>
      </c>
      <c r="CZ950" s="25">
        <v>27.436676025390621</v>
      </c>
      <c r="DA950" s="25">
        <v>64.385185241699219</v>
      </c>
      <c r="DB950" s="25">
        <v>53.898357391357422</v>
      </c>
      <c r="DC950">
        <v>36</v>
      </c>
      <c r="DD950" s="253" t="s">
        <v>380</v>
      </c>
    </row>
    <row r="951" spans="1:108">
      <c r="A951" s="13">
        <v>5040</v>
      </c>
      <c r="B951" s="13" t="s">
        <v>2310</v>
      </c>
      <c r="C951" s="13" t="s">
        <v>435</v>
      </c>
      <c r="D951" s="13" t="s">
        <v>436</v>
      </c>
      <c r="E951" s="13" t="s">
        <v>2311</v>
      </c>
      <c r="F951" s="14">
        <v>65.896600000000007</v>
      </c>
      <c r="G951" s="13">
        <v>72.97</v>
      </c>
      <c r="H951" s="13">
        <v>51.39</v>
      </c>
      <c r="I951" s="13">
        <v>57.71</v>
      </c>
      <c r="J951" s="14">
        <v>60.874753917062023</v>
      </c>
      <c r="K951" s="14">
        <v>62.238053962954012</v>
      </c>
      <c r="L951" s="14">
        <v>54.663181716474476</v>
      </c>
      <c r="M951" s="14">
        <v>49.569000000000003</v>
      </c>
      <c r="N951" s="14">
        <f t="shared" si="378"/>
        <v>61.99165</v>
      </c>
      <c r="O951" s="14">
        <f t="shared" si="379"/>
        <v>56.836247399122627</v>
      </c>
      <c r="P951" s="14">
        <f t="shared" si="395"/>
        <v>59.413948699561317</v>
      </c>
      <c r="Q951" s="14">
        <v>64.576971415060726</v>
      </c>
      <c r="R951" s="17">
        <f t="shared" si="380"/>
        <v>35.423028584939274</v>
      </c>
      <c r="S951" s="14">
        <f t="shared" si="396"/>
        <v>0.41880725726445345</v>
      </c>
      <c r="T951" s="13">
        <v>0</v>
      </c>
      <c r="U951" s="13">
        <f t="shared" si="397"/>
        <v>24.882992898114217</v>
      </c>
      <c r="V951" s="13">
        <f>IF($T951=1,$AU951,(VLOOKUP(U951,'Cortes naturales'!$A$35:$C$39,3,9)))</f>
        <v>4</v>
      </c>
      <c r="W951" s="13">
        <v>4</v>
      </c>
      <c r="X951" s="14" t="b">
        <f t="shared" si="381"/>
        <v>1</v>
      </c>
      <c r="Y951" s="17">
        <f>IF($T951=1,$AU951,VLOOKUP(U951,'Cortes naturales'!$A$45:$C$49,3,9))</f>
        <v>4</v>
      </c>
      <c r="Z951" s="14">
        <v>61.269319978022423</v>
      </c>
      <c r="AA951" s="14">
        <v>0.41846410177238491</v>
      </c>
      <c r="AB951" s="14">
        <v>25.639010950807993</v>
      </c>
      <c r="AC951" s="13">
        <v>4</v>
      </c>
      <c r="AD951" s="13">
        <f t="shared" si="382"/>
        <v>0</v>
      </c>
      <c r="AE951" s="14">
        <f t="shared" si="383"/>
        <v>-1.8553712784611065</v>
      </c>
      <c r="AF951" s="14">
        <f t="shared" si="384"/>
        <v>3.4315549206853646E-4</v>
      </c>
      <c r="AG951" s="13">
        <f t="shared" si="385"/>
        <v>-0.75601805269377564</v>
      </c>
      <c r="AH951" s="13">
        <f>IF($T951=1,$AU951,VLOOKUP(U951,'Cortes naturales'!$A$25:$C$29,3,9))</f>
        <v>4</v>
      </c>
      <c r="AI951" s="13" t="b">
        <f t="shared" si="386"/>
        <v>1</v>
      </c>
      <c r="AJ951" s="13">
        <f t="shared" si="387"/>
        <v>0</v>
      </c>
      <c r="AK951" s="28">
        <v>0.6523467210059386</v>
      </c>
      <c r="AL951" s="28">
        <v>39.968839985926572</v>
      </c>
      <c r="AM951" s="28">
        <v>0.3293420452534368</v>
      </c>
      <c r="AN951" s="13">
        <v>4</v>
      </c>
      <c r="AO951" s="33">
        <f t="shared" si="388"/>
        <v>0</v>
      </c>
      <c r="AP951" s="13">
        <f t="shared" si="398"/>
        <v>32.934204525343681</v>
      </c>
      <c r="AQ951" s="13">
        <f>IFERROR(VLOOKUP(U951,'Cortes naturales'!$E$15:$G$19,3,9),U951)</f>
        <v>4</v>
      </c>
      <c r="AR951" s="28">
        <f t="shared" si="389"/>
        <v>-0.23353946374148515</v>
      </c>
      <c r="AS951" s="13" t="b">
        <f t="shared" si="390"/>
        <v>1</v>
      </c>
      <c r="AT951" s="13">
        <f t="shared" si="399"/>
        <v>0</v>
      </c>
      <c r="AU951" s="13">
        <v>4</v>
      </c>
      <c r="AV951">
        <f t="shared" si="391"/>
        <v>0</v>
      </c>
      <c r="AW951" s="13">
        <v>0</v>
      </c>
      <c r="AX951" s="13">
        <v>0</v>
      </c>
      <c r="AY951" s="13">
        <v>0</v>
      </c>
      <c r="AZ951" s="13">
        <v>1</v>
      </c>
      <c r="BA951">
        <v>1</v>
      </c>
      <c r="BB951" t="s">
        <v>2840</v>
      </c>
      <c r="BC951">
        <v>6</v>
      </c>
      <c r="BD951" t="s">
        <v>2919</v>
      </c>
      <c r="BE951">
        <v>0</v>
      </c>
      <c r="BF951" s="232" t="s">
        <v>2846</v>
      </c>
      <c r="BG951" s="232" t="s">
        <v>2845</v>
      </c>
      <c r="BH951" s="253">
        <v>53.3</v>
      </c>
      <c r="BI951" s="253">
        <v>27.996131795261448</v>
      </c>
      <c r="BJ951" s="25">
        <v>2.1048955264426237</v>
      </c>
      <c r="BK951" t="s">
        <v>381</v>
      </c>
      <c r="BL951">
        <v>48.852717741349863</v>
      </c>
      <c r="BM951" t="s">
        <v>384</v>
      </c>
      <c r="BN951" s="322">
        <v>65454.204449999997</v>
      </c>
      <c r="BO951" s="322">
        <v>4900.6183520000004</v>
      </c>
      <c r="BP951" s="10">
        <v>20688</v>
      </c>
      <c r="BQ951" s="254">
        <f t="shared" si="392"/>
        <v>3.1638729915893271</v>
      </c>
      <c r="BR951" s="254">
        <f t="shared" si="393"/>
        <v>0.23688217092034031</v>
      </c>
      <c r="BS951" s="25">
        <v>51.751745671878247</v>
      </c>
      <c r="BT951" s="25">
        <v>94.391273524104164</v>
      </c>
      <c r="BU951" s="25">
        <v>37.663389859540928</v>
      </c>
      <c r="BV951" s="25">
        <v>76.436016658191178</v>
      </c>
      <c r="BW951" s="25">
        <v>44.023326921022431</v>
      </c>
      <c r="BX951" s="25">
        <v>65.060606428428628</v>
      </c>
      <c r="BY951" s="25">
        <v>44.403500361659972</v>
      </c>
      <c r="BZ951">
        <v>72</v>
      </c>
      <c r="CA951">
        <v>0</v>
      </c>
      <c r="CB951">
        <v>7</v>
      </c>
      <c r="CC951">
        <v>141295.73709000001</v>
      </c>
      <c r="CD951" s="10">
        <v>43466.461397999999</v>
      </c>
      <c r="CE951" s="255">
        <v>0.30762754979871415</v>
      </c>
      <c r="CF951" t="str">
        <f>IFERROR(VLOOKUP(CE951,'Rangos amb etnico'!$A$2:$C$6,3,9),"N.D.")</f>
        <v>31% - 50%</v>
      </c>
      <c r="CG951" s="256">
        <v>1.2646032160759009E-3</v>
      </c>
      <c r="CH951" s="232">
        <v>3514.392859</v>
      </c>
      <c r="CI951" s="311">
        <f t="shared" si="400"/>
        <v>2.4872603599933561E-2</v>
      </c>
      <c r="CJ951" s="232" t="str">
        <f>IFERROR(VLOOKUP(CI951,'Rangos amb etnico'!$A$2:$C$6,3,9),"N.D.")</f>
        <v>0,1% - 30%</v>
      </c>
      <c r="CK951" s="311">
        <f t="shared" si="401"/>
        <v>1.3954440593692333E-4</v>
      </c>
      <c r="CL951" s="10">
        <v>0</v>
      </c>
      <c r="CM951" s="255">
        <f t="shared" si="402"/>
        <v>0</v>
      </c>
      <c r="CN951" s="232">
        <f>IFERROR(VLOOKUP(CM951,'Rangos amb etnico'!$A$2:$C$6,3,9),"N.D.")</f>
        <v>0</v>
      </c>
      <c r="CO951" s="311">
        <f t="shared" si="403"/>
        <v>0</v>
      </c>
      <c r="CP951">
        <v>0.94062649874304349</v>
      </c>
      <c r="CQ951" t="s">
        <v>2864</v>
      </c>
      <c r="CR951">
        <f t="shared" si="394"/>
        <v>1</v>
      </c>
      <c r="CS951" t="str">
        <f t="shared" si="404"/>
        <v>No es Candidato</v>
      </c>
      <c r="CT951">
        <v>0</v>
      </c>
      <c r="CU951">
        <v>0</v>
      </c>
      <c r="CV951" s="25">
        <v>36.140846252441413</v>
      </c>
      <c r="CW951" s="25">
        <v>14.2356014251709</v>
      </c>
      <c r="CX951" s="25">
        <v>31.25554275512695</v>
      </c>
      <c r="CY951" s="25">
        <v>55.372524261474609</v>
      </c>
      <c r="CZ951" s="25">
        <v>26.086956024169918</v>
      </c>
      <c r="DA951" s="25">
        <v>51.842193603515618</v>
      </c>
      <c r="DB951" s="25">
        <v>38.052253723144531</v>
      </c>
      <c r="DC951">
        <v>1067</v>
      </c>
      <c r="DD951" s="253" t="s">
        <v>380</v>
      </c>
    </row>
    <row r="952" spans="1:108">
      <c r="A952" s="13">
        <v>5847</v>
      </c>
      <c r="B952" s="13" t="s">
        <v>2312</v>
      </c>
      <c r="C952" s="13" t="s">
        <v>435</v>
      </c>
      <c r="D952" s="13" t="s">
        <v>436</v>
      </c>
      <c r="E952" s="13" t="s">
        <v>2313</v>
      </c>
      <c r="F952" s="14">
        <v>43.774000000000001</v>
      </c>
      <c r="G952" s="13">
        <v>35.65</v>
      </c>
      <c r="H952" s="13">
        <v>32.979999999999997</v>
      </c>
      <c r="I952" s="13">
        <v>43.74</v>
      </c>
      <c r="J952" s="14">
        <v>42.826641356605947</v>
      </c>
      <c r="K952" s="14">
        <v>54.242667703149436</v>
      </c>
      <c r="L952" s="14">
        <v>52.406674909170647</v>
      </c>
      <c r="M952" s="14">
        <v>41.790900000000001</v>
      </c>
      <c r="N952" s="14">
        <f t="shared" si="378"/>
        <v>39.036000000000001</v>
      </c>
      <c r="O952" s="14">
        <f t="shared" si="379"/>
        <v>47.816720992231502</v>
      </c>
      <c r="P952" s="14">
        <f t="shared" si="395"/>
        <v>43.426360496115748</v>
      </c>
      <c r="Q952" s="14">
        <v>65.124436511120464</v>
      </c>
      <c r="R952" s="17">
        <f t="shared" si="380"/>
        <v>34.875563488879536</v>
      </c>
      <c r="S952" s="14">
        <f t="shared" si="396"/>
        <v>0.41388007139991578</v>
      </c>
      <c r="T952" s="13">
        <v>0</v>
      </c>
      <c r="U952" s="13">
        <f t="shared" si="397"/>
        <v>17.973305182770869</v>
      </c>
      <c r="V952" s="13">
        <f>IF($T952=1,$AU952,(VLOOKUP(U952,'Cortes naturales'!$A$35:$C$39,3,9)))</f>
        <v>5</v>
      </c>
      <c r="W952" s="13">
        <v>5</v>
      </c>
      <c r="X952" s="14" t="b">
        <f t="shared" si="381"/>
        <v>1</v>
      </c>
      <c r="Y952" s="17">
        <f>IF($T952=1,$AU952,VLOOKUP(U952,'Cortes naturales'!$A$45:$C$49,3,9))</f>
        <v>5</v>
      </c>
      <c r="Z952" s="14">
        <v>44.910035631000326</v>
      </c>
      <c r="AA952" s="14">
        <v>0.4160407644058276</v>
      </c>
      <c r="AB952" s="14">
        <v>18.684405553414329</v>
      </c>
      <c r="AC952" s="13">
        <v>5</v>
      </c>
      <c r="AD952" s="13">
        <f t="shared" si="382"/>
        <v>0</v>
      </c>
      <c r="AE952" s="14">
        <f t="shared" si="383"/>
        <v>-1.483675134884578</v>
      </c>
      <c r="AF952" s="14">
        <f t="shared" si="384"/>
        <v>-2.1606930059118179E-3</v>
      </c>
      <c r="AG952" s="13">
        <f t="shared" si="385"/>
        <v>-0.71110037064346088</v>
      </c>
      <c r="AH952" s="13">
        <f>IF($T952=1,$AU952,VLOOKUP(U952,'Cortes naturales'!$A$25:$C$29,3,9))</f>
        <v>5</v>
      </c>
      <c r="AI952" s="13" t="b">
        <f t="shared" si="386"/>
        <v>1</v>
      </c>
      <c r="AJ952" s="13">
        <f t="shared" si="387"/>
        <v>0</v>
      </c>
      <c r="AK952" s="28">
        <v>0.6523467210059386</v>
      </c>
      <c r="AL952" s="28">
        <v>29.296914484142931</v>
      </c>
      <c r="AM952" s="28">
        <v>0.19584750649594801</v>
      </c>
      <c r="AN952" s="13">
        <v>4</v>
      </c>
      <c r="AO952" s="33">
        <f t="shared" si="388"/>
        <v>-1</v>
      </c>
      <c r="AP952" s="13">
        <f t="shared" si="398"/>
        <v>19.584750649594802</v>
      </c>
      <c r="AQ952" s="13">
        <f>IFERROR(VLOOKUP(U952,'Cortes naturales'!$E$15:$G$19,3,9),U952)</f>
        <v>5</v>
      </c>
      <c r="AR952" s="28">
        <f t="shared" si="389"/>
        <v>-0.23846664960602282</v>
      </c>
      <c r="AS952" s="13" t="b">
        <f t="shared" si="390"/>
        <v>1</v>
      </c>
      <c r="AT952" s="13" t="str">
        <f t="shared" si="399"/>
        <v>Efecto ponderador</v>
      </c>
      <c r="AU952" s="13">
        <v>4</v>
      </c>
      <c r="AV952">
        <f t="shared" si="391"/>
        <v>-1</v>
      </c>
      <c r="AW952" s="13">
        <v>0</v>
      </c>
      <c r="AX952" s="13">
        <v>0</v>
      </c>
      <c r="AY952" s="13">
        <v>0</v>
      </c>
      <c r="AZ952" s="13">
        <v>0</v>
      </c>
      <c r="BA952">
        <v>1</v>
      </c>
      <c r="BB952" t="s">
        <v>2840</v>
      </c>
      <c r="BC952">
        <v>6</v>
      </c>
      <c r="BD952" t="s">
        <v>2919</v>
      </c>
      <c r="BE952">
        <v>1</v>
      </c>
      <c r="BF952" s="232" t="s">
        <v>2846</v>
      </c>
      <c r="BG952" s="232" t="s">
        <v>2845</v>
      </c>
      <c r="BH952" s="253">
        <v>46.1</v>
      </c>
      <c r="BI952" s="253">
        <v>24.452529452529454</v>
      </c>
      <c r="BJ952" s="25">
        <v>38.746189040221779</v>
      </c>
      <c r="BK952" t="s">
        <v>376</v>
      </c>
      <c r="BL952">
        <v>11.236423612152064</v>
      </c>
      <c r="BM952" t="s">
        <v>379</v>
      </c>
      <c r="BN952" s="322">
        <v>59999.519951000002</v>
      </c>
      <c r="BO952" s="322">
        <v>9040.8884689999995</v>
      </c>
      <c r="BP952" s="10">
        <v>31776</v>
      </c>
      <c r="BQ952" s="254">
        <f t="shared" si="392"/>
        <v>1.8882024153763848</v>
      </c>
      <c r="BR952" s="254">
        <f t="shared" si="393"/>
        <v>0.28451940045946628</v>
      </c>
      <c r="BS952" s="25">
        <v>66.015342539425831</v>
      </c>
      <c r="BT952" s="25">
        <v>94.318260144343739</v>
      </c>
      <c r="BU952" s="25">
        <v>50.29666666666666</v>
      </c>
      <c r="BV952" s="25">
        <v>86.054051017840536</v>
      </c>
      <c r="BW952" s="25">
        <v>49.493234168772283</v>
      </c>
      <c r="BX952" s="25">
        <v>74.17108009206919</v>
      </c>
      <c r="BY952" s="25">
        <v>50.998709385182067</v>
      </c>
      <c r="BZ952">
        <v>83</v>
      </c>
      <c r="CA952">
        <v>0</v>
      </c>
      <c r="CB952">
        <v>5</v>
      </c>
      <c r="CC952">
        <v>256384.97193599999</v>
      </c>
      <c r="CD952" s="10">
        <v>209102.07934600001</v>
      </c>
      <c r="CE952" s="255">
        <v>0.81557853319966445</v>
      </c>
      <c r="CF952" t="str">
        <f>IFERROR(VLOOKUP(CE952,'Rangos amb etnico'!$A$2:$C$6,3,9),"N.D.")</f>
        <v>71% - 100%</v>
      </c>
      <c r="CG952" s="256">
        <v>6.0835677330125836E-3</v>
      </c>
      <c r="CH952" s="232">
        <v>54887.370929999997</v>
      </c>
      <c r="CI952" s="311">
        <f t="shared" si="400"/>
        <v>0.21408185712110006</v>
      </c>
      <c r="CJ952" s="232" t="str">
        <f>IFERROR(VLOOKUP(CI952,'Rangos amb etnico'!$A$2:$C$6,3,9),"N.D.")</f>
        <v>0,1% - 30%</v>
      </c>
      <c r="CK952" s="311">
        <f t="shared" si="401"/>
        <v>2.1793879845424546E-3</v>
      </c>
      <c r="CL952" s="10">
        <v>0</v>
      </c>
      <c r="CM952" s="255">
        <f t="shared" si="402"/>
        <v>0</v>
      </c>
      <c r="CN952" s="232">
        <f>IFERROR(VLOOKUP(CM952,'Rangos amb etnico'!$A$2:$C$6,3,9),"N.D.")</f>
        <v>0</v>
      </c>
      <c r="CO952" s="311">
        <f t="shared" si="403"/>
        <v>0</v>
      </c>
      <c r="CP952">
        <v>0.9215640057178216</v>
      </c>
      <c r="CQ952" t="s">
        <v>2864</v>
      </c>
      <c r="CR952">
        <f t="shared" si="394"/>
        <v>1</v>
      </c>
      <c r="CS952" t="str">
        <f t="shared" si="404"/>
        <v>No es Candidato</v>
      </c>
      <c r="CT952">
        <v>0</v>
      </c>
      <c r="CU952">
        <v>0</v>
      </c>
      <c r="CV952" s="25">
        <v>39.580123901367188</v>
      </c>
      <c r="CW952" s="25">
        <v>20.869131088256839</v>
      </c>
      <c r="CX952" s="25">
        <v>35.303092956542969</v>
      </c>
      <c r="CY952" s="25">
        <v>47.804164886474609</v>
      </c>
      <c r="CZ952" s="25">
        <v>25.67563438415527</v>
      </c>
      <c r="DA952" s="25">
        <v>57.914340972900391</v>
      </c>
      <c r="DB952" s="25">
        <v>49.914371490478523</v>
      </c>
      <c r="DC952">
        <v>3667</v>
      </c>
      <c r="DD952" s="253" t="s">
        <v>380</v>
      </c>
    </row>
    <row r="953" spans="1:108" hidden="1">
      <c r="A953" s="13">
        <v>15720</v>
      </c>
      <c r="B953" s="13" t="s">
        <v>2314</v>
      </c>
      <c r="C953" s="13" t="s">
        <v>498</v>
      </c>
      <c r="D953" s="13" t="s">
        <v>499</v>
      </c>
      <c r="E953" s="13" t="s">
        <v>2315</v>
      </c>
      <c r="F953" s="14">
        <v>53.050066666666702</v>
      </c>
      <c r="G953" s="13">
        <v>85.99</v>
      </c>
      <c r="H953" s="13">
        <v>84.47</v>
      </c>
      <c r="I953" s="13">
        <v>64.739999999999995</v>
      </c>
      <c r="J953" s="14">
        <v>44.359799100025846</v>
      </c>
      <c r="K953" s="14">
        <v>43.610457308408371</v>
      </c>
      <c r="L953" s="14">
        <v>55.478171304777305</v>
      </c>
      <c r="M953" s="14">
        <v>51.139400000000002</v>
      </c>
      <c r="N953" s="14">
        <f t="shared" si="378"/>
        <v>72.062516666666667</v>
      </c>
      <c r="O953" s="14">
        <f t="shared" si="379"/>
        <v>48.646956928302878</v>
      </c>
      <c r="P953" s="14">
        <f t="shared" si="395"/>
        <v>60.354736797484776</v>
      </c>
      <c r="Q953" s="14">
        <v>66.281914314939257</v>
      </c>
      <c r="R953" s="17">
        <f t="shared" si="380"/>
        <v>33.718085685060743</v>
      </c>
      <c r="S953" s="14">
        <f t="shared" si="396"/>
        <v>0.40346277116554674</v>
      </c>
      <c r="T953" s="13">
        <v>0</v>
      </c>
      <c r="U953" s="13">
        <f t="shared" si="397"/>
        <v>24.350889361280405</v>
      </c>
      <c r="V953" s="13">
        <f>IF($T953=1,$AU953,(VLOOKUP(U953,'Cortes naturales'!$A$35:$C$39,3,9)))</f>
        <v>4</v>
      </c>
      <c r="W953" s="13">
        <v>4</v>
      </c>
      <c r="X953" s="14" t="b">
        <f t="shared" si="381"/>
        <v>1</v>
      </c>
      <c r="Y953" s="17">
        <f>IF($T953=1,$AU953,VLOOKUP(U953,'Cortes naturales'!$A$45:$C$49,3,9))</f>
        <v>4</v>
      </c>
      <c r="Z953" s="14">
        <v>57.858035423846388</v>
      </c>
      <c r="AA953" s="14">
        <v>0.41666128051020512</v>
      </c>
      <c r="AB953" s="14">
        <v>24.107203127504643</v>
      </c>
      <c r="AC953" s="13">
        <v>4</v>
      </c>
      <c r="AD953" s="13">
        <f t="shared" si="382"/>
        <v>0</v>
      </c>
      <c r="AE953" s="14">
        <f t="shared" si="383"/>
        <v>2.4967013736383876</v>
      </c>
      <c r="AF953" s="14">
        <f t="shared" si="384"/>
        <v>-1.3198509344658382E-2</v>
      </c>
      <c r="AG953" s="13">
        <f t="shared" si="385"/>
        <v>0.24368623377576171</v>
      </c>
      <c r="AH953" s="13">
        <f>IF($T953=1,$AU953,VLOOKUP(U953,'Cortes naturales'!$A$25:$C$29,3,9))</f>
        <v>4</v>
      </c>
      <c r="AI953" s="13" t="b">
        <f t="shared" si="386"/>
        <v>1</v>
      </c>
      <c r="AJ953" s="13">
        <f t="shared" si="387"/>
        <v>0</v>
      </c>
      <c r="AK953" s="28">
        <v>0.6523467210059386</v>
      </c>
      <c r="AL953" s="28">
        <v>37.743499692591634</v>
      </c>
      <c r="AM953" s="28">
        <v>0.30150538391359222</v>
      </c>
      <c r="AN953" s="13">
        <v>4</v>
      </c>
      <c r="AO953" s="33">
        <f t="shared" si="388"/>
        <v>0</v>
      </c>
      <c r="AP953" s="13">
        <f t="shared" si="398"/>
        <v>30.150538391359223</v>
      </c>
      <c r="AQ953" s="13">
        <f>IFERROR(VLOOKUP(U953,'Cortes naturales'!$E$15:$G$19,3,9),U953)</f>
        <v>4</v>
      </c>
      <c r="AR953" s="28">
        <f t="shared" si="389"/>
        <v>-0.24888394984039186</v>
      </c>
      <c r="AS953" s="13" t="b">
        <f t="shared" si="390"/>
        <v>1</v>
      </c>
      <c r="AT953" s="13">
        <f t="shared" si="399"/>
        <v>0</v>
      </c>
      <c r="AU953" s="13">
        <v>4</v>
      </c>
      <c r="AV953">
        <f t="shared" si="391"/>
        <v>0</v>
      </c>
      <c r="AW953" s="13">
        <v>0</v>
      </c>
      <c r="AX953" s="13">
        <v>0</v>
      </c>
      <c r="AY953" s="13">
        <v>0</v>
      </c>
      <c r="AZ953" s="13">
        <v>0</v>
      </c>
      <c r="BA953">
        <v>0</v>
      </c>
      <c r="BB953" t="s">
        <v>2840</v>
      </c>
      <c r="BC953">
        <v>6</v>
      </c>
      <c r="BD953" t="s">
        <v>2919</v>
      </c>
      <c r="BE953">
        <v>0</v>
      </c>
      <c r="BF953" s="232" t="s">
        <v>2846</v>
      </c>
      <c r="BG953" s="232" t="s">
        <v>2846</v>
      </c>
      <c r="BH953" s="253">
        <v>51.6</v>
      </c>
      <c r="BI953" s="253">
        <v>21.16076014381099</v>
      </c>
      <c r="BJ953" s="25">
        <v>22.293504743423888</v>
      </c>
      <c r="BK953" t="s">
        <v>379</v>
      </c>
      <c r="BL953">
        <v>3.7112955563979622</v>
      </c>
      <c r="BM953" t="s">
        <v>383</v>
      </c>
      <c r="BN953" s="322">
        <v>15362.063354</v>
      </c>
      <c r="BO953" s="322">
        <v>850.32946600000002</v>
      </c>
      <c r="BP953" s="10">
        <v>2080</v>
      </c>
      <c r="BQ953" s="254">
        <f t="shared" si="392"/>
        <v>7.385607381730769</v>
      </c>
      <c r="BR953" s="254">
        <f t="shared" si="393"/>
        <v>0.40881224326923077</v>
      </c>
      <c r="BS953" s="25">
        <v>54.615459882583167</v>
      </c>
      <c r="BT953" s="25">
        <v>80.345443076923075</v>
      </c>
      <c r="BU953" s="25">
        <v>52.799319371727726</v>
      </c>
      <c r="BV953" s="25">
        <v>85.086337569924964</v>
      </c>
      <c r="BW953" s="25">
        <v>51.124216743911227</v>
      </c>
      <c r="BX953" s="25">
        <v>68.211639975289742</v>
      </c>
      <c r="BY953" s="25">
        <v>51.084734902948433</v>
      </c>
      <c r="BZ953">
        <v>82</v>
      </c>
      <c r="CA953">
        <v>0</v>
      </c>
      <c r="CB953">
        <v>7</v>
      </c>
      <c r="CC953">
        <v>16107.007156</v>
      </c>
      <c r="CD953" s="10">
        <v>8875.968003</v>
      </c>
      <c r="CE953" s="255">
        <v>0.55106252310154502</v>
      </c>
      <c r="CF953" t="str">
        <f>IFERROR(VLOOKUP(CE953,'Rangos amb etnico'!$A$2:$C$6,3,9),"N.D.")</f>
        <v>51% - 70%</v>
      </c>
      <c r="CG953" s="256">
        <v>2.5823536863520856E-4</v>
      </c>
      <c r="CH953" s="232">
        <v>0</v>
      </c>
      <c r="CI953" s="311">
        <f t="shared" si="400"/>
        <v>0</v>
      </c>
      <c r="CJ953" s="232">
        <f>IFERROR(VLOOKUP(CI953,'Rangos amb etnico'!$A$2:$C$6,3,9),"N.D.")</f>
        <v>0</v>
      </c>
      <c r="CK953" s="311">
        <f t="shared" si="401"/>
        <v>0</v>
      </c>
      <c r="CL953" s="10">
        <v>0</v>
      </c>
      <c r="CM953" s="255">
        <f t="shared" si="402"/>
        <v>0</v>
      </c>
      <c r="CN953" s="232">
        <f>IFERROR(VLOOKUP(CM953,'Rangos amb etnico'!$A$2:$C$6,3,9),"N.D.")</f>
        <v>0</v>
      </c>
      <c r="CO953" s="311">
        <f t="shared" si="403"/>
        <v>0</v>
      </c>
      <c r="CP953">
        <v>0.92383429622608459</v>
      </c>
      <c r="CQ953" t="s">
        <v>2864</v>
      </c>
      <c r="CR953">
        <f t="shared" si="394"/>
        <v>2</v>
      </c>
      <c r="CS953" t="str">
        <f t="shared" si="404"/>
        <v>No es Candidato</v>
      </c>
      <c r="CT953">
        <v>0</v>
      </c>
      <c r="CU953">
        <v>0</v>
      </c>
      <c r="CV953" s="25">
        <v>47.458263397216797</v>
      </c>
      <c r="CW953" s="25">
        <v>20.967739105224609</v>
      </c>
      <c r="CX953" s="25">
        <v>48.61053466796875</v>
      </c>
      <c r="CY953" s="25">
        <v>58.944614410400391</v>
      </c>
      <c r="CZ953" s="25">
        <v>48.243846893310547</v>
      </c>
      <c r="DA953" s="25">
        <v>50.77557373046875</v>
      </c>
      <c r="DB953" s="25">
        <v>57.207275390625</v>
      </c>
      <c r="DC953">
        <v>17</v>
      </c>
      <c r="DD953" s="253" t="s">
        <v>380</v>
      </c>
    </row>
    <row r="954" spans="1:108">
      <c r="A954" s="13">
        <v>5893</v>
      </c>
      <c r="B954" s="13" t="s">
        <v>2316</v>
      </c>
      <c r="C954" s="13" t="s">
        <v>435</v>
      </c>
      <c r="D954" s="13" t="s">
        <v>436</v>
      </c>
      <c r="E954" s="13" t="s">
        <v>2317</v>
      </c>
      <c r="F954" s="14">
        <v>55.667533333333303</v>
      </c>
      <c r="G954" s="13">
        <v>73.81</v>
      </c>
      <c r="H954" s="13">
        <v>67.37</v>
      </c>
      <c r="I954" s="13">
        <v>66.8</v>
      </c>
      <c r="J954" s="14">
        <v>60.520033817034417</v>
      </c>
      <c r="K954" s="14">
        <v>66.461948351476295</v>
      </c>
      <c r="L954" s="14">
        <v>67.040655939524953</v>
      </c>
      <c r="M954" s="14">
        <v>64.482100000000003</v>
      </c>
      <c r="N954" s="14">
        <f t="shared" si="378"/>
        <v>65.911883333333321</v>
      </c>
      <c r="O954" s="14">
        <f t="shared" si="379"/>
        <v>64.626184527008917</v>
      </c>
      <c r="P954" s="14">
        <f t="shared" si="395"/>
        <v>65.269033930171119</v>
      </c>
      <c r="Q954" s="14">
        <v>64.965843220813923</v>
      </c>
      <c r="R954" s="17">
        <f t="shared" si="380"/>
        <v>35.034156779186077</v>
      </c>
      <c r="S954" s="14">
        <f t="shared" si="396"/>
        <v>0.41530741101267465</v>
      </c>
      <c r="T954" s="13">
        <v>0</v>
      </c>
      <c r="U954" s="13">
        <f t="shared" si="397"/>
        <v>27.106713500837785</v>
      </c>
      <c r="V954" s="13">
        <f>IF($T954=1,$AU954,(VLOOKUP(U954,'Cortes naturales'!$A$35:$C$39,3,9)))</f>
        <v>4</v>
      </c>
      <c r="W954" s="13">
        <v>4</v>
      </c>
      <c r="X954" s="14" t="b">
        <f t="shared" si="381"/>
        <v>1</v>
      </c>
      <c r="Y954" s="17">
        <f>IF($T954=1,$AU954,VLOOKUP(U954,'Cortes naturales'!$A$45:$C$49,3,9))</f>
        <v>4</v>
      </c>
      <c r="Z954" s="14">
        <v>63.119613644562563</v>
      </c>
      <c r="AA954" s="14">
        <v>0.41674103557729925</v>
      </c>
      <c r="AB954" s="14">
        <v>26.304533155474029</v>
      </c>
      <c r="AC954" s="13">
        <v>4</v>
      </c>
      <c r="AD954" s="13">
        <f t="shared" si="382"/>
        <v>0</v>
      </c>
      <c r="AE954" s="14">
        <f t="shared" si="383"/>
        <v>2.1494202856085565</v>
      </c>
      <c r="AF954" s="14">
        <f t="shared" si="384"/>
        <v>-1.4336245646245915E-3</v>
      </c>
      <c r="AG954" s="13">
        <f t="shared" si="385"/>
        <v>0.80218034536375526</v>
      </c>
      <c r="AH954" s="13">
        <f>IF($T954=1,$AU954,VLOOKUP(U954,'Cortes naturales'!$A$25:$C$29,3,9))</f>
        <v>4</v>
      </c>
      <c r="AI954" s="13" t="b">
        <f t="shared" si="386"/>
        <v>1</v>
      </c>
      <c r="AJ954" s="13">
        <f t="shared" si="387"/>
        <v>0</v>
      </c>
      <c r="AK954" s="28">
        <v>0.6523467210059386</v>
      </c>
      <c r="AL954" s="28">
        <v>41.17587299219209</v>
      </c>
      <c r="AM954" s="28">
        <v>0.34444075582910094</v>
      </c>
      <c r="AN954" s="13">
        <v>4</v>
      </c>
      <c r="AO954" s="33">
        <f t="shared" si="388"/>
        <v>0</v>
      </c>
      <c r="AP954" s="13">
        <f t="shared" si="398"/>
        <v>34.444075582910095</v>
      </c>
      <c r="AQ954" s="13">
        <f>IFERROR(VLOOKUP(U954,'Cortes naturales'!$E$15:$G$19,3,9),U954)</f>
        <v>4</v>
      </c>
      <c r="AR954" s="28">
        <f t="shared" si="389"/>
        <v>-0.23703930999326395</v>
      </c>
      <c r="AS954" s="13" t="b">
        <f t="shared" si="390"/>
        <v>1</v>
      </c>
      <c r="AT954" s="13">
        <f t="shared" si="399"/>
        <v>0</v>
      </c>
      <c r="AU954" s="13">
        <v>4</v>
      </c>
      <c r="AV954">
        <f t="shared" si="391"/>
        <v>0</v>
      </c>
      <c r="AW954" s="13">
        <v>0</v>
      </c>
      <c r="AX954" s="13">
        <v>0</v>
      </c>
      <c r="AY954" s="13">
        <v>0</v>
      </c>
      <c r="AZ954" s="13">
        <v>1</v>
      </c>
      <c r="BA954">
        <v>1</v>
      </c>
      <c r="BB954" t="s">
        <v>2840</v>
      </c>
      <c r="BC954">
        <v>5</v>
      </c>
      <c r="BD954" t="s">
        <v>2919</v>
      </c>
      <c r="BE954">
        <v>1</v>
      </c>
      <c r="BF954" s="232" t="s">
        <v>2846</v>
      </c>
      <c r="BG954" s="232" t="s">
        <v>2845</v>
      </c>
      <c r="BH954" s="253">
        <v>46.3</v>
      </c>
      <c r="BI954" s="253">
        <v>26.010404161664667</v>
      </c>
      <c r="BJ954" s="25">
        <v>10.62676177296238</v>
      </c>
      <c r="BK954" t="s">
        <v>377</v>
      </c>
      <c r="BL954">
        <v>12.659385762888123</v>
      </c>
      <c r="BM954" t="s">
        <v>376</v>
      </c>
      <c r="BN954" s="322">
        <v>69725.323680999994</v>
      </c>
      <c r="BO954" s="322">
        <v>16545.423246999999</v>
      </c>
      <c r="BP954" s="10">
        <v>21677</v>
      </c>
      <c r="BQ954" s="254">
        <f t="shared" si="392"/>
        <v>3.2165578115514135</v>
      </c>
      <c r="BR954" s="254">
        <f t="shared" si="393"/>
        <v>0.76327089758730449</v>
      </c>
      <c r="BS954" s="25">
        <v>64.570597452340181</v>
      </c>
      <c r="BT954" s="25">
        <v>81.563790001076413</v>
      </c>
      <c r="BU954" s="25">
        <v>53.702696434752497</v>
      </c>
      <c r="BV954" s="25">
        <v>82.385838537464977</v>
      </c>
      <c r="BW954" s="25">
        <v>62.210539465107601</v>
      </c>
      <c r="BX954" s="25">
        <v>70.555730606408517</v>
      </c>
      <c r="BY954" s="25">
        <v>64.033623485703558</v>
      </c>
      <c r="BZ954">
        <v>95</v>
      </c>
      <c r="CA954">
        <v>0</v>
      </c>
      <c r="CB954">
        <v>7</v>
      </c>
      <c r="CC954">
        <v>189295.35422499999</v>
      </c>
      <c r="CD954" s="10">
        <v>47805.712766999997</v>
      </c>
      <c r="CE954" s="255">
        <v>0.2525456209040251</v>
      </c>
      <c r="CF954" t="str">
        <f>IFERROR(VLOOKUP(CE954,'Rangos amb etnico'!$A$2:$C$6,3,9),"N.D.")</f>
        <v>0,1% - 30%</v>
      </c>
      <c r="CG954" s="256">
        <v>1.3908483959251085E-3</v>
      </c>
      <c r="CH954" s="232">
        <v>2178.7478059999999</v>
      </c>
      <c r="CI954" s="311">
        <f t="shared" si="400"/>
        <v>1.1509779597708982E-2</v>
      </c>
      <c r="CJ954" s="232" t="str">
        <f>IFERROR(VLOOKUP(CI954,'Rangos amb etnico'!$A$2:$C$6,3,9),"N.D.")</f>
        <v>0,1% - 30%</v>
      </c>
      <c r="CK954" s="311">
        <f t="shared" si="401"/>
        <v>8.6510552596887421E-5</v>
      </c>
      <c r="CL954" s="10">
        <v>180034.19706000001</v>
      </c>
      <c r="CM954" s="255">
        <f t="shared" si="402"/>
        <v>0.95107562357820996</v>
      </c>
      <c r="CN954" s="232" t="str">
        <f>IFERROR(VLOOKUP(CM954,'Rangos amb etnico'!$A$2:$C$6,3,9),"N.D.")</f>
        <v>71% - 100%</v>
      </c>
      <c r="CO954" s="311">
        <f t="shared" si="403"/>
        <v>0.11290069551970579</v>
      </c>
      <c r="CP954">
        <v>0.93618233405332996</v>
      </c>
      <c r="CQ954" t="s">
        <v>2864</v>
      </c>
      <c r="CR954">
        <f t="shared" si="394"/>
        <v>4</v>
      </c>
      <c r="CS954" t="str">
        <f t="shared" si="404"/>
        <v>Candidato</v>
      </c>
      <c r="CT954">
        <v>0</v>
      </c>
      <c r="CU954">
        <v>0</v>
      </c>
      <c r="CV954" s="25">
        <v>37.287925720214837</v>
      </c>
      <c r="CW954" s="25">
        <v>37.256462097167969</v>
      </c>
      <c r="CX954" s="25">
        <v>44.902500152587891</v>
      </c>
      <c r="CY954" s="25">
        <v>48.504581451416023</v>
      </c>
      <c r="CZ954" s="25">
        <v>21.248353958129879</v>
      </c>
      <c r="DA954" s="25">
        <v>31.716917037963871</v>
      </c>
      <c r="DB954" s="25">
        <v>40.098751068115227</v>
      </c>
      <c r="DC954">
        <v>1531</v>
      </c>
      <c r="DD954" s="253" t="s">
        <v>380</v>
      </c>
    </row>
    <row r="955" spans="1:108" hidden="1">
      <c r="A955" s="13">
        <v>85263</v>
      </c>
      <c r="B955" s="13" t="s">
        <v>2318</v>
      </c>
      <c r="C955" s="13" t="s">
        <v>1351</v>
      </c>
      <c r="D955" s="13" t="s">
        <v>1352</v>
      </c>
      <c r="E955" s="13" t="s">
        <v>2319</v>
      </c>
      <c r="F955" s="14">
        <v>64.682833333333306</v>
      </c>
      <c r="G955" s="13">
        <v>59.73</v>
      </c>
      <c r="H955" s="13">
        <v>63.2</v>
      </c>
      <c r="I955" s="13">
        <v>65.08</v>
      </c>
      <c r="J955" s="14">
        <v>53.851214595410198</v>
      </c>
      <c r="K955" s="14">
        <v>62.470006230907209</v>
      </c>
      <c r="L955" s="14">
        <v>75.729729644861862</v>
      </c>
      <c r="M955" s="14">
        <v>65.346900000000005</v>
      </c>
      <c r="N955" s="14">
        <f t="shared" si="378"/>
        <v>63.173208333333321</v>
      </c>
      <c r="O955" s="14">
        <f t="shared" si="379"/>
        <v>64.349462617794813</v>
      </c>
      <c r="P955" s="14">
        <f t="shared" si="395"/>
        <v>63.761335475564067</v>
      </c>
      <c r="Q955" s="14">
        <v>65.14094707322981</v>
      </c>
      <c r="R955" s="17">
        <f t="shared" si="380"/>
        <v>34.85905292677019</v>
      </c>
      <c r="S955" s="14">
        <f t="shared" si="396"/>
        <v>0.41373147634093177</v>
      </c>
      <c r="T955" s="13">
        <v>0</v>
      </c>
      <c r="U955" s="13">
        <f t="shared" si="397"/>
        <v>26.380071459774548</v>
      </c>
      <c r="V955" s="13">
        <f>IF($T955=1,$AU955,(VLOOKUP(U955,'Cortes naturales'!$A$35:$C$39,3,9)))</f>
        <v>4</v>
      </c>
      <c r="W955" s="13">
        <v>4</v>
      </c>
      <c r="X955" s="14" t="b">
        <f t="shared" si="381"/>
        <v>1</v>
      </c>
      <c r="Y955" s="17">
        <f>IF($T955=1,$AU955,VLOOKUP(U955,'Cortes naturales'!$A$45:$C$49,3,9))</f>
        <v>4</v>
      </c>
      <c r="Z955" s="14">
        <v>63.03334081053255</v>
      </c>
      <c r="AA955" s="14">
        <v>0.4158924521834505</v>
      </c>
      <c r="AB955" s="14">
        <v>26.215090679007549</v>
      </c>
      <c r="AC955" s="13">
        <v>4</v>
      </c>
      <c r="AD955" s="13">
        <f t="shared" si="382"/>
        <v>0</v>
      </c>
      <c r="AE955" s="14">
        <f t="shared" si="383"/>
        <v>0.72799466503151677</v>
      </c>
      <c r="AF955" s="14">
        <f t="shared" si="384"/>
        <v>-2.1609758425187309E-3</v>
      </c>
      <c r="AG955" s="13">
        <f t="shared" si="385"/>
        <v>0.1649807807669994</v>
      </c>
      <c r="AH955" s="13">
        <f>IF($T955=1,$AU955,VLOOKUP(U955,'Cortes naturales'!$A$25:$C$29,3,9))</f>
        <v>4</v>
      </c>
      <c r="AI955" s="13" t="b">
        <f t="shared" si="386"/>
        <v>1</v>
      </c>
      <c r="AJ955" s="13">
        <f t="shared" si="387"/>
        <v>0</v>
      </c>
      <c r="AK955" s="28">
        <v>0.6523467210059386</v>
      </c>
      <c r="AL955" s="28">
        <v>41.119593191800725</v>
      </c>
      <c r="AM955" s="28">
        <v>0.34373675485070643</v>
      </c>
      <c r="AN955" s="13">
        <v>4</v>
      </c>
      <c r="AO955" s="33">
        <f t="shared" si="388"/>
        <v>0</v>
      </c>
      <c r="AP955" s="13">
        <f t="shared" si="398"/>
        <v>34.373675485070642</v>
      </c>
      <c r="AQ955" s="13">
        <f>IFERROR(VLOOKUP(U955,'Cortes naturales'!$E$15:$G$19,3,9),U955)</f>
        <v>4</v>
      </c>
      <c r="AR955" s="28">
        <f t="shared" si="389"/>
        <v>-0.23861524466500683</v>
      </c>
      <c r="AS955" s="13" t="b">
        <f t="shared" si="390"/>
        <v>1</v>
      </c>
      <c r="AT955" s="13">
        <f t="shared" si="399"/>
        <v>0</v>
      </c>
      <c r="AU955" s="13">
        <v>4</v>
      </c>
      <c r="AV955">
        <f t="shared" si="391"/>
        <v>0</v>
      </c>
      <c r="AW955" s="13">
        <v>0</v>
      </c>
      <c r="AX955" s="13">
        <v>0</v>
      </c>
      <c r="AY955" s="13">
        <v>0</v>
      </c>
      <c r="AZ955" s="13">
        <v>0</v>
      </c>
      <c r="BA955">
        <v>1</v>
      </c>
      <c r="BB955" t="s">
        <v>2840</v>
      </c>
      <c r="BC955">
        <v>6</v>
      </c>
      <c r="BD955" t="s">
        <v>2919</v>
      </c>
      <c r="BE955">
        <v>0</v>
      </c>
      <c r="BF955" s="232" t="s">
        <v>2846</v>
      </c>
      <c r="BG955" s="232" t="s">
        <v>2846</v>
      </c>
      <c r="BH955" s="253">
        <v>45.2</v>
      </c>
      <c r="BI955" s="253">
        <v>27.072599531615925</v>
      </c>
      <c r="BJ955" s="25">
        <v>2.6166666666666667</v>
      </c>
      <c r="BK955" t="s">
        <v>381</v>
      </c>
      <c r="BL955">
        <v>1.5023356482704484</v>
      </c>
      <c r="BM955" t="s">
        <v>383</v>
      </c>
      <c r="BN955" s="322">
        <v>48896.922274999997</v>
      </c>
      <c r="BO955" s="322">
        <v>11366.724007999999</v>
      </c>
      <c r="BP955" s="10">
        <v>13407</v>
      </c>
      <c r="BQ955" s="254">
        <f t="shared" si="392"/>
        <v>3.6471188390393077</v>
      </c>
      <c r="BR955" s="254">
        <f t="shared" si="393"/>
        <v>0.84782009457745944</v>
      </c>
      <c r="BS955" s="25">
        <v>63.496085504688743</v>
      </c>
      <c r="BT955" s="25">
        <v>92.960022093931045</v>
      </c>
      <c r="BU955" s="25">
        <v>36.853162254637127</v>
      </c>
      <c r="BV955" s="25">
        <v>90.051363987825866</v>
      </c>
      <c r="BW955" s="25">
        <v>56.969917905402887</v>
      </c>
      <c r="BX955" s="25">
        <v>70.8401584602707</v>
      </c>
      <c r="BY955" s="25">
        <v>57.688485451100753</v>
      </c>
      <c r="BZ955">
        <v>50</v>
      </c>
      <c r="CA955">
        <v>0</v>
      </c>
      <c r="CB955">
        <v>6</v>
      </c>
      <c r="CC955">
        <v>77944.547435999993</v>
      </c>
      <c r="CD955" s="10">
        <v>5507.1548670000002</v>
      </c>
      <c r="CE955" s="255">
        <v>7.0654780201551706E-2</v>
      </c>
      <c r="CF955" t="str">
        <f>IFERROR(VLOOKUP(CE955,'Rangos amb etnico'!$A$2:$C$6,3,9),"N.D.")</f>
        <v>0,1% - 30%</v>
      </c>
      <c r="CG955" s="256">
        <v>1.6022389521123286E-4</v>
      </c>
      <c r="CH955" s="232">
        <v>0</v>
      </c>
      <c r="CI955" s="311">
        <f t="shared" si="400"/>
        <v>0</v>
      </c>
      <c r="CJ955" s="232">
        <f>IFERROR(VLOOKUP(CI955,'Rangos amb etnico'!$A$2:$C$6,3,9),"N.D.")</f>
        <v>0</v>
      </c>
      <c r="CK955" s="311">
        <f t="shared" si="401"/>
        <v>0</v>
      </c>
      <c r="CL955" s="10">
        <v>0</v>
      </c>
      <c r="CM955" s="255">
        <f t="shared" si="402"/>
        <v>0</v>
      </c>
      <c r="CN955" s="232">
        <f>IFERROR(VLOOKUP(CM955,'Rangos amb etnico'!$A$2:$C$6,3,9),"N.D.")</f>
        <v>0</v>
      </c>
      <c r="CO955" s="311">
        <f t="shared" si="403"/>
        <v>0</v>
      </c>
      <c r="CP955">
        <v>0.94089338740561068</v>
      </c>
      <c r="CQ955" t="s">
        <v>2864</v>
      </c>
      <c r="CR955">
        <f t="shared" si="394"/>
        <v>3</v>
      </c>
      <c r="CS955" t="str">
        <f t="shared" si="404"/>
        <v>Candidato</v>
      </c>
      <c r="CT955">
        <v>0</v>
      </c>
      <c r="CU955">
        <v>0</v>
      </c>
      <c r="CV955" s="25">
        <v>47.486537933349609</v>
      </c>
      <c r="CW955" s="25">
        <v>26.763881683349609</v>
      </c>
      <c r="CX955" s="25">
        <v>44.547527313232422</v>
      </c>
      <c r="CY955" s="25">
        <v>60.379436492919922</v>
      </c>
      <c r="CZ955" s="25">
        <v>33.385231018066413</v>
      </c>
      <c r="DA955" s="25">
        <v>49.804927825927727</v>
      </c>
      <c r="DB955" s="25">
        <v>70.038215637207031</v>
      </c>
      <c r="DC955">
        <v>87</v>
      </c>
      <c r="DD955" s="253" t="s">
        <v>380</v>
      </c>
    </row>
    <row r="956" spans="1:108" hidden="1">
      <c r="A956" s="13">
        <v>68250</v>
      </c>
      <c r="B956" s="13" t="s">
        <v>2320</v>
      </c>
      <c r="C956" s="13" t="s">
        <v>431</v>
      </c>
      <c r="D956" s="13" t="s">
        <v>432</v>
      </c>
      <c r="E956" s="13" t="s">
        <v>1722</v>
      </c>
      <c r="F956" s="14">
        <v>71.628966666666699</v>
      </c>
      <c r="G956" s="13">
        <v>50.67</v>
      </c>
      <c r="H956" s="13">
        <v>59.26</v>
      </c>
      <c r="I956" s="13">
        <v>81.73</v>
      </c>
      <c r="J956" s="14">
        <v>66.310816762905688</v>
      </c>
      <c r="K956" s="14">
        <v>46.646435242547597</v>
      </c>
      <c r="L956" s="14">
        <v>64.460025324302563</v>
      </c>
      <c r="M956" s="14">
        <v>57.200899999999997</v>
      </c>
      <c r="N956" s="14">
        <f t="shared" si="378"/>
        <v>65.82224166666667</v>
      </c>
      <c r="O956" s="14">
        <f t="shared" si="379"/>
        <v>58.654544332438959</v>
      </c>
      <c r="P956" s="14">
        <f t="shared" si="395"/>
        <v>62.238392999552815</v>
      </c>
      <c r="Q956" s="14">
        <v>65.725445040430159</v>
      </c>
      <c r="R956" s="17">
        <f t="shared" si="380"/>
        <v>34.274554959569841</v>
      </c>
      <c r="S956" s="14">
        <f t="shared" si="396"/>
        <v>0.40847099463612857</v>
      </c>
      <c r="T956" s="13">
        <v>0</v>
      </c>
      <c r="U956" s="13">
        <f t="shared" si="397"/>
        <v>25.4225782930816</v>
      </c>
      <c r="V956" s="13">
        <f>IF($T956=1,$AU956,(VLOOKUP(U956,'Cortes naturales'!$A$35:$C$39,3,9)))</f>
        <v>4</v>
      </c>
      <c r="W956" s="13">
        <v>4</v>
      </c>
      <c r="X956" s="14" t="b">
        <f t="shared" si="381"/>
        <v>1</v>
      </c>
      <c r="Y956" s="17">
        <f>IF($T956=1,$AU956,VLOOKUP(U956,'Cortes naturales'!$A$45:$C$49,3,9))</f>
        <v>4</v>
      </c>
      <c r="Z956" s="14">
        <v>60.498833772670736</v>
      </c>
      <c r="AA956" s="14">
        <v>0.41445125657579229</v>
      </c>
      <c r="AB956" s="14">
        <v>25.073817678453366</v>
      </c>
      <c r="AC956" s="13">
        <v>4</v>
      </c>
      <c r="AD956" s="13">
        <f t="shared" si="382"/>
        <v>0</v>
      </c>
      <c r="AE956" s="14">
        <f t="shared" si="383"/>
        <v>1.7395592268820792</v>
      </c>
      <c r="AF956" s="14">
        <f t="shared" si="384"/>
        <v>-5.9802619396637224E-3</v>
      </c>
      <c r="AG956" s="13">
        <f t="shared" si="385"/>
        <v>0.34876061462823316</v>
      </c>
      <c r="AH956" s="13">
        <f>IF($T956=1,$AU956,VLOOKUP(U956,'Cortes naturales'!$A$25:$C$29,3,9))</f>
        <v>4</v>
      </c>
      <c r="AI956" s="13" t="b">
        <f t="shared" si="386"/>
        <v>1</v>
      </c>
      <c r="AJ956" s="13">
        <f t="shared" si="387"/>
        <v>0</v>
      </c>
      <c r="AK956" s="28">
        <v>0.6523467210059386</v>
      </c>
      <c r="AL956" s="28">
        <v>39.466215836285095</v>
      </c>
      <c r="AM956" s="28">
        <v>0.32305474695721559</v>
      </c>
      <c r="AN956" s="13">
        <v>4</v>
      </c>
      <c r="AO956" s="33">
        <f t="shared" si="388"/>
        <v>0</v>
      </c>
      <c r="AP956" s="13">
        <f t="shared" si="398"/>
        <v>32.305474695721557</v>
      </c>
      <c r="AQ956" s="13">
        <f>IFERROR(VLOOKUP(U956,'Cortes naturales'!$E$15:$G$19,3,9),U956)</f>
        <v>4</v>
      </c>
      <c r="AR956" s="28">
        <f t="shared" si="389"/>
        <v>-0.24387572636981003</v>
      </c>
      <c r="AS956" s="13" t="b">
        <f t="shared" si="390"/>
        <v>1</v>
      </c>
      <c r="AT956" s="13">
        <f t="shared" si="399"/>
        <v>0</v>
      </c>
      <c r="AU956" s="13">
        <v>4</v>
      </c>
      <c r="AV956">
        <f t="shared" si="391"/>
        <v>0</v>
      </c>
      <c r="AW956" s="13">
        <v>0</v>
      </c>
      <c r="AX956" s="13">
        <v>0</v>
      </c>
      <c r="AY956" s="13">
        <v>0</v>
      </c>
      <c r="AZ956" s="13">
        <v>0</v>
      </c>
      <c r="BA956">
        <v>0</v>
      </c>
      <c r="BB956" t="s">
        <v>2841</v>
      </c>
      <c r="BC956">
        <v>6</v>
      </c>
      <c r="BD956" t="s">
        <v>2919</v>
      </c>
      <c r="BE956">
        <v>1</v>
      </c>
      <c r="BF956" s="232" t="s">
        <v>2846</v>
      </c>
      <c r="BG956" s="232" t="s">
        <v>2845</v>
      </c>
      <c r="BH956" s="253">
        <v>57.8</v>
      </c>
      <c r="BI956" s="253">
        <v>31.941391941391942</v>
      </c>
      <c r="BJ956" s="25">
        <v>33.994999999999997</v>
      </c>
      <c r="BK956" t="s">
        <v>379</v>
      </c>
      <c r="BL956">
        <v>3.5954701588270099</v>
      </c>
      <c r="BM956" t="s">
        <v>383</v>
      </c>
      <c r="BN956" s="322">
        <v>16115.358324999999</v>
      </c>
      <c r="BO956" s="322">
        <v>904.67626299999995</v>
      </c>
      <c r="BP956" s="10">
        <v>5351</v>
      </c>
      <c r="BQ956" s="254">
        <f t="shared" si="392"/>
        <v>3.0116535834423472</v>
      </c>
      <c r="BR956" s="254">
        <f t="shared" si="393"/>
        <v>0.16906676565128012</v>
      </c>
      <c r="BS956" s="25">
        <v>53.208163977714193</v>
      </c>
      <c r="BT956" s="25">
        <v>88.646262330405534</v>
      </c>
      <c r="BU956" s="25">
        <v>25.136411092985298</v>
      </c>
      <c r="BV956" s="25">
        <v>93.292214692204269</v>
      </c>
      <c r="BW956" s="25">
        <v>41.628573327966393</v>
      </c>
      <c r="BX956" s="25">
        <v>65.070763023327316</v>
      </c>
      <c r="BY956" s="25">
        <v>41.313304260192133</v>
      </c>
      <c r="BZ956">
        <v>25</v>
      </c>
      <c r="CA956">
        <v>0</v>
      </c>
      <c r="CB956">
        <v>7</v>
      </c>
      <c r="CC956">
        <v>39767.677644000003</v>
      </c>
      <c r="CD956" s="10">
        <v>19398.883022999999</v>
      </c>
      <c r="CE956" s="255">
        <v>0.48780527735762386</v>
      </c>
      <c r="CF956" t="str">
        <f>IFERROR(VLOOKUP(CE956,'Rangos amb etnico'!$A$2:$C$6,3,9),"N.D.")</f>
        <v>31% - 50%</v>
      </c>
      <c r="CG956" s="256">
        <v>5.6438663443384807E-4</v>
      </c>
      <c r="CH956" s="232">
        <v>0</v>
      </c>
      <c r="CI956" s="311">
        <f t="shared" si="400"/>
        <v>0</v>
      </c>
      <c r="CJ956" s="232">
        <f>IFERROR(VLOOKUP(CI956,'Rangos amb etnico'!$A$2:$C$6,3,9),"N.D.")</f>
        <v>0</v>
      </c>
      <c r="CK956" s="311">
        <f t="shared" si="401"/>
        <v>0</v>
      </c>
      <c r="CL956" s="10">
        <v>0</v>
      </c>
      <c r="CM956" s="255">
        <f t="shared" si="402"/>
        <v>0</v>
      </c>
      <c r="CN956" s="232">
        <f>IFERROR(VLOOKUP(CM956,'Rangos amb etnico'!$A$2:$C$6,3,9),"N.D.")</f>
        <v>0</v>
      </c>
      <c r="CO956" s="311">
        <f t="shared" si="403"/>
        <v>0</v>
      </c>
      <c r="CP956">
        <v>0.95111758369232291</v>
      </c>
      <c r="CQ956" t="s">
        <v>2864</v>
      </c>
      <c r="CR956">
        <f t="shared" si="394"/>
        <v>2</v>
      </c>
      <c r="CS956" t="str">
        <f t="shared" si="404"/>
        <v>No es Candidato</v>
      </c>
      <c r="CT956">
        <v>0</v>
      </c>
      <c r="CU956">
        <v>0</v>
      </c>
      <c r="CV956" s="25">
        <v>41.713062286376953</v>
      </c>
      <c r="CW956" s="25">
        <v>10.8775577545166</v>
      </c>
      <c r="CX956" s="25">
        <v>56.552867889404297</v>
      </c>
      <c r="CY956" s="25">
        <v>36.298316955566413</v>
      </c>
      <c r="CZ956" s="25">
        <v>42.14129638671875</v>
      </c>
      <c r="DA956" s="25">
        <v>49.885318756103523</v>
      </c>
      <c r="DB956" s="25">
        <v>54.523029327392578</v>
      </c>
      <c r="DC956">
        <v>55</v>
      </c>
      <c r="DD956" s="253" t="s">
        <v>380</v>
      </c>
    </row>
    <row r="957" spans="1:108" hidden="1">
      <c r="A957" s="13">
        <v>27245</v>
      </c>
      <c r="B957" s="13" t="s">
        <v>2321</v>
      </c>
      <c r="C957" s="13" t="s">
        <v>1714</v>
      </c>
      <c r="D957" s="13" t="s">
        <v>1715</v>
      </c>
      <c r="E957" s="13" t="s">
        <v>2322</v>
      </c>
      <c r="F957" s="14">
        <v>62.169766666666703</v>
      </c>
      <c r="G957" s="13">
        <v>68.510000000000005</v>
      </c>
      <c r="H957" s="13">
        <v>60.11</v>
      </c>
      <c r="I957" s="13">
        <v>58.56</v>
      </c>
      <c r="J957" s="14">
        <v>56.231368148312413</v>
      </c>
      <c r="K957" s="14">
        <v>47.367372055481717</v>
      </c>
      <c r="L957" s="14">
        <v>41.623065013024984</v>
      </c>
      <c r="M957" s="14">
        <v>64.532399999999996</v>
      </c>
      <c r="N957" s="14">
        <f t="shared" si="378"/>
        <v>62.337441666666678</v>
      </c>
      <c r="O957" s="14">
        <f t="shared" si="379"/>
        <v>52.438551304204779</v>
      </c>
      <c r="P957" s="14">
        <f t="shared" si="395"/>
        <v>57.387996485435728</v>
      </c>
      <c r="Q957" s="14">
        <v>65.845785568397858</v>
      </c>
      <c r="R957" s="17">
        <f t="shared" si="380"/>
        <v>34.154214431602142</v>
      </c>
      <c r="S957" s="14">
        <f t="shared" si="396"/>
        <v>0.4073879298844193</v>
      </c>
      <c r="T957" s="13">
        <v>0</v>
      </c>
      <c r="U957" s="13">
        <f t="shared" si="397"/>
        <v>23.379177088415993</v>
      </c>
      <c r="V957" s="13">
        <f>IF($T957=1,$AU957,(VLOOKUP(U957,'Cortes naturales'!$A$35:$C$39,3,9)))</f>
        <v>4</v>
      </c>
      <c r="W957" s="13">
        <v>4</v>
      </c>
      <c r="X957" s="14" t="b">
        <f t="shared" si="381"/>
        <v>1</v>
      </c>
      <c r="Y957" s="17">
        <f>IF($T957=1,$AU957,VLOOKUP(U957,'Cortes naturales'!$A$45:$C$49,3,9))</f>
        <v>4</v>
      </c>
      <c r="Z957" s="14">
        <v>56.096468787451769</v>
      </c>
      <c r="AA957" s="14">
        <v>0.41469488989730707</v>
      </c>
      <c r="AB957" s="14">
        <v>23.262918947440035</v>
      </c>
      <c r="AC957" s="13">
        <v>4</v>
      </c>
      <c r="AD957" s="13">
        <f t="shared" si="382"/>
        <v>0</v>
      </c>
      <c r="AE957" s="14">
        <f t="shared" si="383"/>
        <v>1.2915276979839589</v>
      </c>
      <c r="AF957" s="14">
        <f t="shared" si="384"/>
        <v>-7.3069600128877754E-3</v>
      </c>
      <c r="AG957" s="13">
        <f t="shared" si="385"/>
        <v>0.11625814097595821</v>
      </c>
      <c r="AH957" s="13">
        <f>IF($T957=1,$AU957,VLOOKUP(U957,'Cortes naturales'!$A$25:$C$29,3,9))</f>
        <v>4</v>
      </c>
      <c r="AI957" s="13" t="b">
        <f t="shared" si="386"/>
        <v>1</v>
      </c>
      <c r="AJ957" s="13">
        <f t="shared" si="387"/>
        <v>0</v>
      </c>
      <c r="AK957" s="28">
        <v>0.6523467210059386</v>
      </c>
      <c r="AL957" s="28">
        <v>36.59434747350614</v>
      </c>
      <c r="AM957" s="28">
        <v>0.28713070097344956</v>
      </c>
      <c r="AN957" s="13">
        <v>4</v>
      </c>
      <c r="AO957" s="33">
        <f t="shared" si="388"/>
        <v>0</v>
      </c>
      <c r="AP957" s="13">
        <f t="shared" si="398"/>
        <v>28.713070097344957</v>
      </c>
      <c r="AQ957" s="13">
        <f>IFERROR(VLOOKUP(U957,'Cortes naturales'!$E$15:$G$19,3,9),U957)</f>
        <v>4</v>
      </c>
      <c r="AR957" s="28">
        <f t="shared" si="389"/>
        <v>-0.2449587911215193</v>
      </c>
      <c r="AS957" s="13" t="b">
        <f t="shared" si="390"/>
        <v>1</v>
      </c>
      <c r="AT957" s="13">
        <f t="shared" si="399"/>
        <v>0</v>
      </c>
      <c r="AU957" s="13">
        <v>4</v>
      </c>
      <c r="AV957">
        <f t="shared" si="391"/>
        <v>0</v>
      </c>
      <c r="AW957" s="13">
        <v>0</v>
      </c>
      <c r="AX957" s="13">
        <v>0</v>
      </c>
      <c r="AY957" s="13">
        <v>0</v>
      </c>
      <c r="AZ957" s="13">
        <v>0</v>
      </c>
      <c r="BA957">
        <v>1</v>
      </c>
      <c r="BB957" t="s">
        <v>2841</v>
      </c>
      <c r="BC957">
        <v>6</v>
      </c>
      <c r="BD957" t="s">
        <v>2919</v>
      </c>
      <c r="BE957">
        <v>0</v>
      </c>
      <c r="BF957" s="232" t="s">
        <v>2846</v>
      </c>
      <c r="BG957" s="232" t="s">
        <v>2846</v>
      </c>
      <c r="BH957" s="253">
        <v>54</v>
      </c>
      <c r="BI957" s="253">
        <v>36.477589263104583</v>
      </c>
      <c r="BJ957" s="25">
        <v>43.11</v>
      </c>
      <c r="BK957" t="s">
        <v>376</v>
      </c>
      <c r="BL957">
        <v>2.7347421529919362</v>
      </c>
      <c r="BM957" t="s">
        <v>383</v>
      </c>
      <c r="BN957" s="322">
        <v>26214.600343999999</v>
      </c>
      <c r="BO957" s="322">
        <v>2658.4675630000002</v>
      </c>
      <c r="BP957" s="10">
        <v>8622</v>
      </c>
      <c r="BQ957" s="254">
        <f t="shared" si="392"/>
        <v>3.0404314943168638</v>
      </c>
      <c r="BR957" s="254">
        <f t="shared" si="393"/>
        <v>0.3083353703317096</v>
      </c>
      <c r="BS957" s="25">
        <v>80.373522458628841</v>
      </c>
      <c r="BT957" s="25">
        <v>90.769768045977003</v>
      </c>
      <c r="BU957" s="25">
        <v>46.016666666666673</v>
      </c>
      <c r="BV957" s="25">
        <v>92.549556230539281</v>
      </c>
      <c r="BW957" s="25">
        <v>59.313680961438337</v>
      </c>
      <c r="BX957" s="25">
        <v>77.427378350452955</v>
      </c>
      <c r="BY957" s="25">
        <v>60.939885535069408</v>
      </c>
      <c r="BZ957">
        <v>51</v>
      </c>
      <c r="CA957">
        <v>0</v>
      </c>
      <c r="CB957">
        <v>7</v>
      </c>
      <c r="CC957">
        <v>83029.380883999998</v>
      </c>
      <c r="CD957" s="10">
        <v>69529.833773999999</v>
      </c>
      <c r="CE957" s="255">
        <v>0.83741240791786509</v>
      </c>
      <c r="CF957" t="str">
        <f>IFERROR(VLOOKUP(CE957,'Rangos amb etnico'!$A$2:$C$6,3,9),"N.D.")</f>
        <v>71% - 100%</v>
      </c>
      <c r="CG957" s="256">
        <v>2.0228849686822902E-3</v>
      </c>
      <c r="CH957" s="232">
        <v>16793.814535000001</v>
      </c>
      <c r="CI957" s="311">
        <f t="shared" si="400"/>
        <v>0.2022635163143342</v>
      </c>
      <c r="CJ957" s="232" t="str">
        <f>IFERROR(VLOOKUP(CI957,'Rangos amb etnico'!$A$2:$C$6,3,9),"N.D.")</f>
        <v>0,1% - 30%</v>
      </c>
      <c r="CK957" s="311">
        <f t="shared" si="401"/>
        <v>6.6682438951013237E-4</v>
      </c>
      <c r="CL957" s="10">
        <v>0</v>
      </c>
      <c r="CM957" s="255">
        <f t="shared" si="402"/>
        <v>0</v>
      </c>
      <c r="CN957" s="232">
        <f>IFERROR(VLOOKUP(CM957,'Rangos amb etnico'!$A$2:$C$6,3,9),"N.D.")</f>
        <v>0</v>
      </c>
      <c r="CO957" s="311">
        <f t="shared" si="403"/>
        <v>0</v>
      </c>
      <c r="CP957">
        <v>0.89013130626459636</v>
      </c>
      <c r="CQ957" t="s">
        <v>2864</v>
      </c>
      <c r="CR957">
        <f t="shared" si="394"/>
        <v>3</v>
      </c>
      <c r="CS957" t="str">
        <f t="shared" si="404"/>
        <v>Candidato</v>
      </c>
      <c r="CT957">
        <v>0</v>
      </c>
      <c r="CU957">
        <v>0</v>
      </c>
      <c r="CV957" s="25">
        <v>32.395137786865227</v>
      </c>
      <c r="CW957" s="25">
        <v>10.816126823425289</v>
      </c>
      <c r="CX957" s="25">
        <v>29.830648422241211</v>
      </c>
      <c r="CY957" s="25">
        <v>35.879199981689453</v>
      </c>
      <c r="CZ957" s="25">
        <v>14.32848072052002</v>
      </c>
      <c r="DA957" s="25">
        <v>38.692161560058587</v>
      </c>
      <c r="DB957" s="25">
        <v>64.824195861816406</v>
      </c>
      <c r="DC957">
        <v>2711</v>
      </c>
      <c r="DD957" s="253" t="s">
        <v>380</v>
      </c>
    </row>
    <row r="958" spans="1:108" hidden="1">
      <c r="A958" s="13">
        <v>73873</v>
      </c>
      <c r="B958" s="13" t="s">
        <v>2323</v>
      </c>
      <c r="C958" s="13" t="s">
        <v>595</v>
      </c>
      <c r="D958" s="13" t="s">
        <v>596</v>
      </c>
      <c r="E958" s="13" t="s">
        <v>2324</v>
      </c>
      <c r="F958" s="14">
        <v>54.501233333333303</v>
      </c>
      <c r="G958" s="13">
        <v>38.58</v>
      </c>
      <c r="H958" s="13">
        <v>31.93</v>
      </c>
      <c r="I958" s="13">
        <v>39.89</v>
      </c>
      <c r="J958" s="14">
        <v>44.515399530518501</v>
      </c>
      <c r="K958" s="14">
        <v>38.890800990210352</v>
      </c>
      <c r="L958" s="14">
        <v>36.306933874055019</v>
      </c>
      <c r="M958" s="14">
        <v>38.493099999999998</v>
      </c>
      <c r="N958" s="14">
        <f t="shared" si="378"/>
        <v>41.225308333333331</v>
      </c>
      <c r="O958" s="14">
        <f t="shared" si="379"/>
        <v>39.551558598695962</v>
      </c>
      <c r="P958" s="14">
        <f t="shared" si="395"/>
        <v>40.388433466014646</v>
      </c>
      <c r="Q958" s="14">
        <v>65.469475048145526</v>
      </c>
      <c r="R958" s="17">
        <f t="shared" si="380"/>
        <v>34.530524951854474</v>
      </c>
      <c r="S958" s="14">
        <f t="shared" si="396"/>
        <v>0.41077472456669029</v>
      </c>
      <c r="T958" s="13">
        <v>0</v>
      </c>
      <c r="U958" s="13">
        <f t="shared" si="397"/>
        <v>16.590547632682263</v>
      </c>
      <c r="V958" s="13">
        <f>IF($T958=1,$AU958,(VLOOKUP(U958,'Cortes naturales'!$A$35:$C$39,3,9)))</f>
        <v>5</v>
      </c>
      <c r="W958" s="13">
        <v>5</v>
      </c>
      <c r="X958" s="14" t="b">
        <f t="shared" si="381"/>
        <v>1</v>
      </c>
      <c r="Y958" s="17">
        <f>IF($T958=1,$AU958,VLOOKUP(U958,'Cortes naturales'!$A$45:$C$49,3,9))</f>
        <v>5</v>
      </c>
      <c r="Z958" s="14">
        <v>43.426715921011613</v>
      </c>
      <c r="AA958" s="14">
        <v>0.4147809847832804</v>
      </c>
      <c r="AB958" s="14">
        <v>18.01257599562096</v>
      </c>
      <c r="AC958" s="13">
        <v>5</v>
      </c>
      <c r="AD958" s="13">
        <f t="shared" si="382"/>
        <v>0</v>
      </c>
      <c r="AE958" s="14">
        <f t="shared" si="383"/>
        <v>-3.0382824549969669</v>
      </c>
      <c r="AF958" s="14">
        <f t="shared" si="384"/>
        <v>-4.0062602165901184E-3</v>
      </c>
      <c r="AG958" s="13">
        <f t="shared" si="385"/>
        <v>-1.4220283629386969</v>
      </c>
      <c r="AH958" s="13">
        <f>IF($T958=1,$AU958,VLOOKUP(U958,'Cortes naturales'!$A$25:$C$29,3,9))</f>
        <v>5</v>
      </c>
      <c r="AI958" s="13" t="b">
        <f t="shared" si="386"/>
        <v>1</v>
      </c>
      <c r="AJ958" s="13">
        <f t="shared" si="387"/>
        <v>0</v>
      </c>
      <c r="AK958" s="28">
        <v>0.6523467210059386</v>
      </c>
      <c r="AL958" s="28">
        <v>28.329275735128316</v>
      </c>
      <c r="AM958" s="28">
        <v>0.18374336573315969</v>
      </c>
      <c r="AN958" s="13">
        <v>5</v>
      </c>
      <c r="AO958" s="33">
        <f t="shared" si="388"/>
        <v>0</v>
      </c>
      <c r="AP958" s="13">
        <f t="shared" si="398"/>
        <v>18.374336573315968</v>
      </c>
      <c r="AQ958" s="13">
        <f>IFERROR(VLOOKUP(U958,'Cortes naturales'!$E$15:$G$19,3,9),U958)</f>
        <v>5</v>
      </c>
      <c r="AR958" s="28">
        <f t="shared" si="389"/>
        <v>-0.24157199643924832</v>
      </c>
      <c r="AS958" s="13" t="b">
        <f t="shared" si="390"/>
        <v>1</v>
      </c>
      <c r="AT958" s="13">
        <f t="shared" si="399"/>
        <v>0</v>
      </c>
      <c r="AU958" s="13">
        <v>4</v>
      </c>
      <c r="AV958">
        <f t="shared" si="391"/>
        <v>-1</v>
      </c>
      <c r="AW958" s="13">
        <v>0</v>
      </c>
      <c r="AX958" s="13">
        <v>0</v>
      </c>
      <c r="AY958" s="13">
        <v>0</v>
      </c>
      <c r="AZ958" s="13">
        <v>0</v>
      </c>
      <c r="BA958">
        <v>1</v>
      </c>
      <c r="BB958" t="s">
        <v>2840</v>
      </c>
      <c r="BC958">
        <v>6</v>
      </c>
      <c r="BD958" t="s">
        <v>2919</v>
      </c>
      <c r="BE958">
        <v>0</v>
      </c>
      <c r="BF958" s="232" t="s">
        <v>2846</v>
      </c>
      <c r="BG958" s="232" t="s">
        <v>2846</v>
      </c>
      <c r="BH958" s="253">
        <v>38.4</v>
      </c>
      <c r="BI958" s="253">
        <v>17.842157842157842</v>
      </c>
      <c r="BJ958" s="25">
        <v>54.634986738077011</v>
      </c>
      <c r="BK958" t="s">
        <v>376</v>
      </c>
      <c r="BL958">
        <v>0.85353001852213084</v>
      </c>
      <c r="BM958" t="s">
        <v>383</v>
      </c>
      <c r="BN958" s="322">
        <v>15919.765689</v>
      </c>
      <c r="BO958" s="322">
        <v>858.48005599999999</v>
      </c>
      <c r="BP958" s="10">
        <v>5280</v>
      </c>
      <c r="BQ958" s="254">
        <f t="shared" si="392"/>
        <v>3.0151071380681818</v>
      </c>
      <c r="BR958" s="254">
        <f t="shared" si="393"/>
        <v>0.1625909196969697</v>
      </c>
      <c r="BS958" s="25">
        <v>72.596894593870175</v>
      </c>
      <c r="BT958" s="25">
        <v>86.704545454545453</v>
      </c>
      <c r="BU958" s="25">
        <v>44.063262993356773</v>
      </c>
      <c r="BV958" s="25">
        <v>85.938534526081241</v>
      </c>
      <c r="BW958" s="25">
        <v>44.990034675000707</v>
      </c>
      <c r="BX958" s="25">
        <v>72.325809391963418</v>
      </c>
      <c r="BY958" s="25">
        <v>45.557083569588833</v>
      </c>
      <c r="BZ958">
        <v>6</v>
      </c>
      <c r="CA958">
        <v>0</v>
      </c>
      <c r="CB958">
        <v>7</v>
      </c>
      <c r="CC958">
        <v>43008.013946999999</v>
      </c>
      <c r="CD958" s="10">
        <v>20385.702806000001</v>
      </c>
      <c r="CE958" s="255">
        <v>0.47399777239474211</v>
      </c>
      <c r="CF958" t="str">
        <f>IFERROR(VLOOKUP(CE958,'Rangos amb etnico'!$A$2:$C$6,3,9),"N.D.")</f>
        <v>31% - 50%</v>
      </c>
      <c r="CG958" s="256">
        <v>5.9309694190153961E-4</v>
      </c>
      <c r="CH958" s="232">
        <v>0</v>
      </c>
      <c r="CI958" s="311">
        <f t="shared" si="400"/>
        <v>0</v>
      </c>
      <c r="CJ958" s="232">
        <f>IFERROR(VLOOKUP(CI958,'Rangos amb etnico'!$A$2:$C$6,3,9),"N.D.")</f>
        <v>0</v>
      </c>
      <c r="CK958" s="311">
        <f t="shared" si="401"/>
        <v>0</v>
      </c>
      <c r="CL958" s="10">
        <v>53.947754279400002</v>
      </c>
      <c r="CM958" s="255">
        <f t="shared" si="402"/>
        <v>1.2543651596160976E-3</v>
      </c>
      <c r="CN958" s="232" t="str">
        <f>IFERROR(VLOOKUP(CM958,'Rangos amb etnico'!$A$2:$C$6,3,9),"N.D.")</f>
        <v>0,1% - 30%</v>
      </c>
      <c r="CO958" s="311">
        <f t="shared" si="403"/>
        <v>3.3831011437458092E-5</v>
      </c>
      <c r="CP958">
        <v>0.98299585358965769</v>
      </c>
      <c r="CQ958" t="s">
        <v>2864</v>
      </c>
      <c r="CR958">
        <f t="shared" si="394"/>
        <v>1</v>
      </c>
      <c r="CS958" t="str">
        <f t="shared" si="404"/>
        <v>No es Candidato</v>
      </c>
      <c r="CT958">
        <v>0</v>
      </c>
      <c r="CU958">
        <v>0</v>
      </c>
      <c r="CV958" s="25">
        <v>41.444789886474609</v>
      </c>
      <c r="CW958" s="25">
        <v>18.376504898071289</v>
      </c>
      <c r="CX958" s="25">
        <v>46.44586181640625</v>
      </c>
      <c r="CY958" s="25">
        <v>55.560157775878913</v>
      </c>
      <c r="CZ958" s="25">
        <v>31.437118530273441</v>
      </c>
      <c r="DA958" s="25">
        <v>42.574546813964837</v>
      </c>
      <c r="DB958" s="25">
        <v>54.274555206298828</v>
      </c>
      <c r="DC958">
        <v>34</v>
      </c>
      <c r="DD958" s="253" t="s">
        <v>380</v>
      </c>
    </row>
    <row r="959" spans="1:108" hidden="1">
      <c r="A959" s="13">
        <v>27073</v>
      </c>
      <c r="B959" s="13" t="s">
        <v>2325</v>
      </c>
      <c r="C959" s="13" t="s">
        <v>1714</v>
      </c>
      <c r="D959" s="13" t="s">
        <v>1715</v>
      </c>
      <c r="E959" s="13" t="s">
        <v>2326</v>
      </c>
      <c r="F959" s="14">
        <v>64.856633333333306</v>
      </c>
      <c r="G959" s="13">
        <v>73.25</v>
      </c>
      <c r="H959" s="13">
        <v>72.44</v>
      </c>
      <c r="I959" s="13">
        <v>69.11</v>
      </c>
      <c r="J959" s="14">
        <v>59.948495857687561</v>
      </c>
      <c r="K959" s="14">
        <v>66.990712871261238</v>
      </c>
      <c r="L959" s="14">
        <v>37.060733340706022</v>
      </c>
      <c r="M959" s="14">
        <v>52.276400000000002</v>
      </c>
      <c r="N959" s="14">
        <f t="shared" si="378"/>
        <v>69.914158333333333</v>
      </c>
      <c r="O959" s="14">
        <f t="shared" si="379"/>
        <v>54.069085517413704</v>
      </c>
      <c r="P959" s="14">
        <f t="shared" si="395"/>
        <v>61.991621925373522</v>
      </c>
      <c r="Q959" s="14">
        <v>65.056424593967293</v>
      </c>
      <c r="R959" s="17">
        <f t="shared" si="380"/>
        <v>34.943575406032707</v>
      </c>
      <c r="S959" s="14">
        <f t="shared" si="396"/>
        <v>0.41449217865429433</v>
      </c>
      <c r="T959" s="13">
        <v>0</v>
      </c>
      <c r="U959" s="13">
        <f t="shared" si="397"/>
        <v>25.69504243016139</v>
      </c>
      <c r="V959" s="13">
        <f>IF($T959=1,$AU959,(VLOOKUP(U959,'Cortes naturales'!$A$35:$C$39,3,9)))</f>
        <v>4</v>
      </c>
      <c r="W959" s="13">
        <v>4</v>
      </c>
      <c r="X959" s="14" t="b">
        <f t="shared" si="381"/>
        <v>1</v>
      </c>
      <c r="Y959" s="17">
        <f>IF($T959=1,$AU959,VLOOKUP(U959,'Cortes naturales'!$A$45:$C$49,3,9))</f>
        <v>4</v>
      </c>
      <c r="Z959" s="14">
        <v>58.957229653722692</v>
      </c>
      <c r="AA959" s="14">
        <v>0.41481835779534215</v>
      </c>
      <c r="AB959" s="14">
        <v>24.456541185120095</v>
      </c>
      <c r="AC959" s="13">
        <v>4</v>
      </c>
      <c r="AD959" s="13">
        <f t="shared" si="382"/>
        <v>0</v>
      </c>
      <c r="AE959" s="14">
        <f t="shared" si="383"/>
        <v>3.0343922716508303</v>
      </c>
      <c r="AF959" s="14">
        <f t="shared" si="384"/>
        <v>-3.2617914104782209E-4</v>
      </c>
      <c r="AG959" s="13">
        <f t="shared" si="385"/>
        <v>1.2385012450412951</v>
      </c>
      <c r="AH959" s="13">
        <f>IF($T959=1,$AU959,VLOOKUP(U959,'Cortes naturales'!$A$25:$C$29,3,9))</f>
        <v>4</v>
      </c>
      <c r="AI959" s="13" t="b">
        <f t="shared" si="386"/>
        <v>1</v>
      </c>
      <c r="AJ959" s="13">
        <f t="shared" si="387"/>
        <v>0</v>
      </c>
      <c r="AK959" s="28">
        <v>0.6523467210059386</v>
      </c>
      <c r="AL959" s="28">
        <v>38.460555444200089</v>
      </c>
      <c r="AM959" s="28">
        <v>0.31047499551820629</v>
      </c>
      <c r="AN959" s="13">
        <v>4</v>
      </c>
      <c r="AO959" s="33">
        <f t="shared" si="388"/>
        <v>0</v>
      </c>
      <c r="AP959" s="13">
        <f t="shared" si="398"/>
        <v>31.047499551820628</v>
      </c>
      <c r="AQ959" s="13">
        <f>IFERROR(VLOOKUP(U959,'Cortes naturales'!$E$15:$G$19,3,9),U959)</f>
        <v>4</v>
      </c>
      <c r="AR959" s="28">
        <f t="shared" si="389"/>
        <v>-0.23785454235164427</v>
      </c>
      <c r="AS959" s="13" t="b">
        <f t="shared" si="390"/>
        <v>1</v>
      </c>
      <c r="AT959" s="13">
        <f t="shared" si="399"/>
        <v>0</v>
      </c>
      <c r="AU959" s="13">
        <v>4</v>
      </c>
      <c r="AV959">
        <f t="shared" si="391"/>
        <v>0</v>
      </c>
      <c r="AW959" s="13">
        <v>0</v>
      </c>
      <c r="AX959" s="13">
        <v>0</v>
      </c>
      <c r="AY959" s="13">
        <v>0</v>
      </c>
      <c r="AZ959" s="13">
        <v>0</v>
      </c>
      <c r="BA959">
        <v>1</v>
      </c>
      <c r="BB959" t="s">
        <v>2841</v>
      </c>
      <c r="BC959">
        <v>6</v>
      </c>
      <c r="BD959" t="s">
        <v>2919</v>
      </c>
      <c r="BE959">
        <v>0</v>
      </c>
      <c r="BF959" s="232" t="s">
        <v>2846</v>
      </c>
      <c r="BG959" s="232" t="s">
        <v>2846</v>
      </c>
      <c r="BH959" s="253">
        <v>81</v>
      </c>
      <c r="BI959" s="253">
        <v>70.520231213872833</v>
      </c>
      <c r="BJ959" s="25">
        <v>20.63</v>
      </c>
      <c r="BK959" t="s">
        <v>379</v>
      </c>
      <c r="BL959">
        <v>0.93080764237955427</v>
      </c>
      <c r="BM959" t="s">
        <v>383</v>
      </c>
      <c r="BN959" s="322">
        <v>35546.488010000001</v>
      </c>
      <c r="BO959" s="322">
        <v>1424.2324040000001</v>
      </c>
      <c r="BP959" s="10">
        <v>12471</v>
      </c>
      <c r="BQ959" s="254">
        <f t="shared" si="392"/>
        <v>2.8503318106005935</v>
      </c>
      <c r="BR959" s="254">
        <f t="shared" si="393"/>
        <v>0.11420354454334056</v>
      </c>
      <c r="BS959" s="25">
        <v>72.258090614886726</v>
      </c>
      <c r="BT959" s="25">
        <v>70.246530069878929</v>
      </c>
      <c r="BU959" s="25">
        <v>61.473298368298373</v>
      </c>
      <c r="BV959" s="25">
        <v>98.424575619758471</v>
      </c>
      <c r="BW959" s="25">
        <v>39.991552153327071</v>
      </c>
      <c r="BX959" s="25">
        <v>75.600623668205628</v>
      </c>
      <c r="BY959" s="25">
        <v>42.553094457993531</v>
      </c>
      <c r="BZ959">
        <v>51</v>
      </c>
      <c r="CA959">
        <v>0</v>
      </c>
      <c r="CB959">
        <v>7</v>
      </c>
      <c r="CC959">
        <v>80756.872134000005</v>
      </c>
      <c r="CD959" s="10">
        <v>2379.3220249999999</v>
      </c>
      <c r="CE959" s="255">
        <v>2.9462780839901614E-2</v>
      </c>
      <c r="CF959" t="str">
        <f>IFERROR(VLOOKUP(CE959,'Rangos amb etnico'!$A$2:$C$6,3,9),"N.D.")</f>
        <v>0,1% - 30%</v>
      </c>
      <c r="CG959" s="256">
        <v>6.9223446954751921E-5</v>
      </c>
      <c r="CH959" s="232">
        <v>72396.969255000004</v>
      </c>
      <c r="CI959" s="311">
        <f t="shared" si="400"/>
        <v>0.89648060086913217</v>
      </c>
      <c r="CJ959" s="232" t="str">
        <f>IFERROR(VLOOKUP(CI959,'Rangos amb etnico'!$A$2:$C$6,3,9),"N.D.")</f>
        <v>71% - 100%</v>
      </c>
      <c r="CK959" s="311">
        <f t="shared" si="401"/>
        <v>2.8746336768955627E-3</v>
      </c>
      <c r="CL959" s="10">
        <v>0</v>
      </c>
      <c r="CM959" s="255">
        <f t="shared" si="402"/>
        <v>0</v>
      </c>
      <c r="CN959" s="232">
        <f>IFERROR(VLOOKUP(CM959,'Rangos amb etnico'!$A$2:$C$6,3,9),"N.D.")</f>
        <v>0</v>
      </c>
      <c r="CO959" s="311">
        <f t="shared" si="403"/>
        <v>0</v>
      </c>
      <c r="CP959">
        <v>0.69089080187486296</v>
      </c>
      <c r="CQ959" t="s">
        <v>2866</v>
      </c>
      <c r="CR959">
        <f t="shared" si="394"/>
        <v>1</v>
      </c>
      <c r="CS959" t="str">
        <f t="shared" si="404"/>
        <v>No es Candidato</v>
      </c>
      <c r="CT959">
        <v>0</v>
      </c>
      <c r="CU959">
        <v>0</v>
      </c>
      <c r="CV959" s="25">
        <v>38.712043762207031</v>
      </c>
      <c r="CW959" s="25">
        <v>14.643453598022459</v>
      </c>
      <c r="CX959" s="25">
        <v>46.125946044921882</v>
      </c>
      <c r="CY959" s="25">
        <v>22.989166259765621</v>
      </c>
      <c r="CZ959" s="25">
        <v>9.2898054122924805</v>
      </c>
      <c r="DA959" s="25">
        <v>87.211349487304688</v>
      </c>
      <c r="DB959" s="25">
        <v>52.012538909912109</v>
      </c>
      <c r="DC959">
        <v>10961</v>
      </c>
      <c r="DD959" s="253" t="s">
        <v>380</v>
      </c>
    </row>
    <row r="960" spans="1:108" hidden="1">
      <c r="A960" s="13">
        <v>68780</v>
      </c>
      <c r="B960" s="13" t="s">
        <v>2327</v>
      </c>
      <c r="C960" s="13" t="s">
        <v>431</v>
      </c>
      <c r="D960" s="13" t="s">
        <v>432</v>
      </c>
      <c r="E960" s="13" t="s">
        <v>2328</v>
      </c>
      <c r="F960" s="14">
        <v>63.354233333333298</v>
      </c>
      <c r="G960" s="13">
        <v>32.67</v>
      </c>
      <c r="H960" s="13">
        <v>32.9</v>
      </c>
      <c r="I960" s="13">
        <v>33.96</v>
      </c>
      <c r="J960" s="14">
        <v>55.661888183980814</v>
      </c>
      <c r="K960" s="14">
        <v>55.024869661600036</v>
      </c>
      <c r="L960" s="14">
        <v>50.482242401128012</v>
      </c>
      <c r="M960" s="14">
        <v>47.883499999999998</v>
      </c>
      <c r="N960" s="14">
        <f t="shared" si="378"/>
        <v>40.721058333333325</v>
      </c>
      <c r="O960" s="14">
        <f t="shared" si="379"/>
        <v>52.263125061677215</v>
      </c>
      <c r="P960" s="14">
        <f t="shared" si="395"/>
        <v>46.492091697505273</v>
      </c>
      <c r="Q960" s="14">
        <v>64.917894689403127</v>
      </c>
      <c r="R960" s="17">
        <f t="shared" si="380"/>
        <v>35.082105310596873</v>
      </c>
      <c r="S960" s="14">
        <f t="shared" si="396"/>
        <v>0.4157389477953719</v>
      </c>
      <c r="T960" s="13">
        <v>0</v>
      </c>
      <c r="U960" s="13">
        <f t="shared" si="397"/>
        <v>19.32857328312679</v>
      </c>
      <c r="V960" s="13">
        <f>IF($T960=1,$AU960,(VLOOKUP(U960,'Cortes naturales'!$A$35:$C$39,3,9)))</f>
        <v>5</v>
      </c>
      <c r="W960" s="13">
        <v>5</v>
      </c>
      <c r="X960" s="14" t="b">
        <f t="shared" si="381"/>
        <v>1</v>
      </c>
      <c r="Y960" s="17">
        <f>IF($T960=1,$AU960,VLOOKUP(U960,'Cortes naturales'!$A$45:$C$49,3,9))</f>
        <v>5</v>
      </c>
      <c r="Z960" s="14">
        <v>50.839894333674685</v>
      </c>
      <c r="AA960" s="14">
        <v>0.41470317083494057</v>
      </c>
      <c r="AB960" s="14">
        <v>21.083465385088221</v>
      </c>
      <c r="AC960" s="13">
        <v>4</v>
      </c>
      <c r="AD960" s="13">
        <f t="shared" si="382"/>
        <v>-1</v>
      </c>
      <c r="AE960" s="14">
        <f t="shared" si="383"/>
        <v>-4.347802636169412</v>
      </c>
      <c r="AF960" s="14">
        <f t="shared" si="384"/>
        <v>1.0357769604313338E-3</v>
      </c>
      <c r="AG960" s="13">
        <f t="shared" si="385"/>
        <v>-1.7548921019614312</v>
      </c>
      <c r="AH960" s="13">
        <f>IF($T960=1,$AU960,VLOOKUP(U960,'Cortes naturales'!$A$25:$C$29,3,9))</f>
        <v>5</v>
      </c>
      <c r="AI960" s="13" t="b">
        <f t="shared" si="386"/>
        <v>1</v>
      </c>
      <c r="AJ960" s="13" t="str">
        <f t="shared" si="387"/>
        <v>Efecto ponderador</v>
      </c>
      <c r="AK960" s="28">
        <v>0.6523467210059386</v>
      </c>
      <c r="AL960" s="28">
        <v>33.165238364861082</v>
      </c>
      <c r="AM960" s="28">
        <v>0.24423616064601125</v>
      </c>
      <c r="AN960" s="13">
        <v>4</v>
      </c>
      <c r="AO960" s="33">
        <f t="shared" si="388"/>
        <v>-1</v>
      </c>
      <c r="AP960" s="13">
        <f t="shared" si="398"/>
        <v>24.423616064601124</v>
      </c>
      <c r="AQ960" s="13">
        <f>IFERROR(VLOOKUP(U960,'Cortes naturales'!$E$15:$G$19,3,9),U960)</f>
        <v>4</v>
      </c>
      <c r="AR960" s="28">
        <f t="shared" si="389"/>
        <v>-0.2366077732105667</v>
      </c>
      <c r="AS960" s="13" t="b">
        <f t="shared" si="390"/>
        <v>0</v>
      </c>
      <c r="AT960" s="13" t="str">
        <f t="shared" si="399"/>
        <v>Cambio en corte</v>
      </c>
      <c r="AU960" s="13">
        <v>4</v>
      </c>
      <c r="AV960">
        <f t="shared" si="391"/>
        <v>-1</v>
      </c>
      <c r="AW960" s="13">
        <v>0</v>
      </c>
      <c r="AX960" s="13">
        <v>0</v>
      </c>
      <c r="AY960" s="13">
        <v>0</v>
      </c>
      <c r="AZ960" s="13">
        <v>0</v>
      </c>
      <c r="BA960">
        <v>1</v>
      </c>
      <c r="BB960" t="s">
        <v>2841</v>
      </c>
      <c r="BC960">
        <v>6</v>
      </c>
      <c r="BD960" t="s">
        <v>2919</v>
      </c>
      <c r="BE960">
        <v>0</v>
      </c>
      <c r="BF960" s="232" t="s">
        <v>2846</v>
      </c>
      <c r="BG960" s="232" t="s">
        <v>2846</v>
      </c>
      <c r="BH960" s="253">
        <v>44.2</v>
      </c>
      <c r="BI960" s="253">
        <v>17.869318181818183</v>
      </c>
      <c r="BJ960" s="25">
        <v>5.2233333333333336</v>
      </c>
      <c r="BK960" t="s">
        <v>377</v>
      </c>
      <c r="BL960">
        <v>0.49418903505510914</v>
      </c>
      <c r="BM960" t="s">
        <v>383</v>
      </c>
      <c r="BN960" s="322">
        <v>7832.8249269999997</v>
      </c>
      <c r="BO960" s="322">
        <v>581.32241999999997</v>
      </c>
      <c r="BP960" s="10">
        <v>4451</v>
      </c>
      <c r="BQ960" s="254">
        <f t="shared" si="392"/>
        <v>1.7597899184452932</v>
      </c>
      <c r="BR960" s="254">
        <f t="shared" si="393"/>
        <v>0.130604902269153</v>
      </c>
      <c r="BS960" s="25">
        <v>66.113940550827166</v>
      </c>
      <c r="BT960" s="25">
        <v>77.959072867520405</v>
      </c>
      <c r="BU960" s="25">
        <v>36.616631063640398</v>
      </c>
      <c r="BV960" s="25">
        <v>93.81575691966458</v>
      </c>
      <c r="BW960" s="25">
        <v>58.326250576355619</v>
      </c>
      <c r="BX960" s="25">
        <v>68.626350350413134</v>
      </c>
      <c r="BY960" s="25">
        <v>59.327414604005973</v>
      </c>
      <c r="BZ960">
        <v>39</v>
      </c>
      <c r="CA960">
        <v>0</v>
      </c>
      <c r="CB960">
        <v>7</v>
      </c>
      <c r="CC960">
        <v>36229.847182999998</v>
      </c>
      <c r="CD960" s="10">
        <v>14820.419809999999</v>
      </c>
      <c r="CE960" s="255">
        <v>0.40906658355860059</v>
      </c>
      <c r="CF960" t="str">
        <f>IFERROR(VLOOKUP(CE960,'Rangos amb etnico'!$A$2:$C$6,3,9),"N.D.")</f>
        <v>31% - 50%</v>
      </c>
      <c r="CG960" s="256">
        <v>4.3118188029411006E-4</v>
      </c>
      <c r="CH960" s="232">
        <v>0</v>
      </c>
      <c r="CI960" s="311">
        <f t="shared" si="400"/>
        <v>0</v>
      </c>
      <c r="CJ960" s="232">
        <f>IFERROR(VLOOKUP(CI960,'Rangos amb etnico'!$A$2:$C$6,3,9),"N.D.")</f>
        <v>0</v>
      </c>
      <c r="CK960" s="311">
        <f t="shared" si="401"/>
        <v>0</v>
      </c>
      <c r="CL960" s="10">
        <v>0</v>
      </c>
      <c r="CM960" s="255">
        <f t="shared" si="402"/>
        <v>0</v>
      </c>
      <c r="CN960" s="232">
        <f>IFERROR(VLOOKUP(CM960,'Rangos amb etnico'!$A$2:$C$6,3,9),"N.D.")</f>
        <v>0</v>
      </c>
      <c r="CO960" s="311">
        <f t="shared" si="403"/>
        <v>0</v>
      </c>
      <c r="CP960">
        <v>0.90438606753967465</v>
      </c>
      <c r="CQ960" t="s">
        <v>2864</v>
      </c>
      <c r="CR960">
        <f t="shared" si="394"/>
        <v>1</v>
      </c>
      <c r="CS960" t="str">
        <f t="shared" si="404"/>
        <v>No es Candidato</v>
      </c>
      <c r="CT960">
        <v>0</v>
      </c>
      <c r="CU960">
        <v>0</v>
      </c>
      <c r="CV960" s="25">
        <v>53.886100769042969</v>
      </c>
      <c r="CW960" s="25">
        <v>16.851175308227539</v>
      </c>
      <c r="CX960" s="25">
        <v>56.343158721923828</v>
      </c>
      <c r="CY960" s="25">
        <v>60.015113830566413</v>
      </c>
      <c r="CZ960" s="25">
        <v>58.98529052734375</v>
      </c>
      <c r="DA960" s="25">
        <v>61.69818115234375</v>
      </c>
      <c r="DB960" s="25">
        <v>69.423690795898438</v>
      </c>
      <c r="DC960">
        <v>35</v>
      </c>
      <c r="DD960" s="253" t="s">
        <v>380</v>
      </c>
    </row>
    <row r="961" spans="1:108" hidden="1">
      <c r="A961" s="13">
        <v>27800</v>
      </c>
      <c r="B961" s="13" t="s">
        <v>2329</v>
      </c>
      <c r="C961" s="13" t="s">
        <v>1714</v>
      </c>
      <c r="D961" s="13" t="s">
        <v>1715</v>
      </c>
      <c r="E961" s="13" t="s">
        <v>2330</v>
      </c>
      <c r="F961" s="14">
        <v>76.833266666666702</v>
      </c>
      <c r="G961" s="13">
        <v>53.98</v>
      </c>
      <c r="H961" s="13">
        <v>50.15</v>
      </c>
      <c r="I961" s="13">
        <v>0</v>
      </c>
      <c r="J961" s="14">
        <v>45.789168265425573</v>
      </c>
      <c r="K961" s="14">
        <v>46.160973069489586</v>
      </c>
      <c r="L961" s="14">
        <v>5.9835292062067129</v>
      </c>
      <c r="M961" s="14">
        <v>44.674999999999997</v>
      </c>
      <c r="N961" s="14">
        <f t="shared" si="378"/>
        <v>45.240816666666674</v>
      </c>
      <c r="O961" s="14">
        <f t="shared" si="379"/>
        <v>35.652167635280463</v>
      </c>
      <c r="P961" s="14">
        <f t="shared" si="395"/>
        <v>40.446492150973569</v>
      </c>
      <c r="Q961" s="14">
        <v>66.696799999173237</v>
      </c>
      <c r="R961" s="17">
        <f t="shared" si="380"/>
        <v>33.303200000826763</v>
      </c>
      <c r="S961" s="14">
        <f t="shared" si="396"/>
        <v>0.39972880000744082</v>
      </c>
      <c r="T961" s="13">
        <v>0</v>
      </c>
      <c r="U961" s="13">
        <f t="shared" si="397"/>
        <v>16.167627772019038</v>
      </c>
      <c r="V961" s="13">
        <f>IF($T961=1,$AU961,(VLOOKUP(U961,'Cortes naturales'!$A$35:$C$39,3,9)))</f>
        <v>5</v>
      </c>
      <c r="W961" s="13">
        <v>5</v>
      </c>
      <c r="X961" s="14" t="b">
        <f t="shared" si="381"/>
        <v>1</v>
      </c>
      <c r="Y961" s="17">
        <f>IF($T961=1,$AU961,VLOOKUP(U961,'Cortes naturales'!$A$45:$C$49,3,9))</f>
        <v>5</v>
      </c>
      <c r="Z961" s="14">
        <v>48.894721216819022</v>
      </c>
      <c r="AA961" s="14">
        <v>0.4139226905212734</v>
      </c>
      <c r="AB961" s="14">
        <v>20.238634558353318</v>
      </c>
      <c r="AC961" s="13">
        <v>4</v>
      </c>
      <c r="AD961" s="13">
        <f t="shared" si="382"/>
        <v>-1</v>
      </c>
      <c r="AE961" s="14">
        <f t="shared" si="383"/>
        <v>-8.4482290658454531</v>
      </c>
      <c r="AF961" s="14">
        <f t="shared" si="384"/>
        <v>-1.4193890513832574E-2</v>
      </c>
      <c r="AG961" s="13">
        <f t="shared" si="385"/>
        <v>-4.07100678633428</v>
      </c>
      <c r="AH961" s="13">
        <f>IF($T961=1,$AU961,VLOOKUP(U961,'Cortes naturales'!$A$25:$C$29,3,9))</f>
        <v>5</v>
      </c>
      <c r="AI961" s="13" t="b">
        <f t="shared" si="386"/>
        <v>1</v>
      </c>
      <c r="AJ961" s="13" t="str">
        <f t="shared" si="387"/>
        <v>Efecto ponderador</v>
      </c>
      <c r="AK961" s="28">
        <v>0.6523467210059386</v>
      </c>
      <c r="AL961" s="28">
        <v>31.896311060291385</v>
      </c>
      <c r="AM961" s="28">
        <v>0.22836321764130194</v>
      </c>
      <c r="AN961" s="13">
        <v>4</v>
      </c>
      <c r="AO961" s="33">
        <f t="shared" si="388"/>
        <v>-1</v>
      </c>
      <c r="AP961" s="13">
        <f t="shared" si="398"/>
        <v>22.836321764130194</v>
      </c>
      <c r="AQ961" s="13">
        <f>IFERROR(VLOOKUP(U961,'Cortes naturales'!$E$15:$G$19,3,9),U961)</f>
        <v>5</v>
      </c>
      <c r="AR961" s="28">
        <f t="shared" si="389"/>
        <v>-0.25261792099849778</v>
      </c>
      <c r="AS961" s="13" t="b">
        <f t="shared" si="390"/>
        <v>1</v>
      </c>
      <c r="AT961" s="13" t="str">
        <f t="shared" si="399"/>
        <v>Efecto ponderador</v>
      </c>
      <c r="AU961" s="13">
        <v>4</v>
      </c>
      <c r="AV961">
        <f t="shared" si="391"/>
        <v>-1</v>
      </c>
      <c r="AW961" s="13">
        <v>0</v>
      </c>
      <c r="AX961" s="13">
        <v>0</v>
      </c>
      <c r="AY961" s="13">
        <v>0</v>
      </c>
      <c r="AZ961" s="13">
        <v>1</v>
      </c>
      <c r="BA961">
        <v>1</v>
      </c>
      <c r="BB961" t="s">
        <v>2841</v>
      </c>
      <c r="BC961">
        <v>6</v>
      </c>
      <c r="BD961" t="s">
        <v>2919</v>
      </c>
      <c r="BE961">
        <v>0</v>
      </c>
      <c r="BF961" s="232" t="s">
        <v>2846</v>
      </c>
      <c r="BG961" s="232" t="s">
        <v>2846</v>
      </c>
      <c r="BH961" s="253">
        <v>63.4</v>
      </c>
      <c r="BI961" s="253">
        <v>48.589238845144358</v>
      </c>
      <c r="BJ961" s="25">
        <v>90.37</v>
      </c>
      <c r="BK961" t="s">
        <v>2850</v>
      </c>
      <c r="BL961">
        <v>21.828833917374514</v>
      </c>
      <c r="BM961" t="s">
        <v>376</v>
      </c>
      <c r="BN961" s="322">
        <v>29468.429661999999</v>
      </c>
      <c r="BO961" s="322">
        <v>1138.760575</v>
      </c>
      <c r="BP961" s="10">
        <v>12703</v>
      </c>
      <c r="BQ961" s="254">
        <f t="shared" si="392"/>
        <v>2.3198008078406676</v>
      </c>
      <c r="BR961" s="254">
        <f t="shared" si="393"/>
        <v>8.9645011021018656E-2</v>
      </c>
      <c r="BS961" s="25">
        <v>71.977614068034953</v>
      </c>
      <c r="BT961" s="25">
        <v>88.346741148547594</v>
      </c>
      <c r="BU961" s="25">
        <v>56.37</v>
      </c>
      <c r="BV961" s="25">
        <v>93.024404463002512</v>
      </c>
      <c r="BW961" s="25">
        <v>46.490983641208821</v>
      </c>
      <c r="BX961" s="25">
        <v>77.429689919896262</v>
      </c>
      <c r="BY961" s="25">
        <v>48.405416265810253</v>
      </c>
      <c r="BZ961">
        <v>35</v>
      </c>
      <c r="CA961">
        <v>0</v>
      </c>
      <c r="CB961">
        <v>7</v>
      </c>
      <c r="CC961">
        <v>119123.066643</v>
      </c>
      <c r="CD961" s="10">
        <v>55753.674912000002</v>
      </c>
      <c r="CE961" s="255">
        <v>0.46803424796885251</v>
      </c>
      <c r="CF961" t="str">
        <f>IFERROR(VLOOKUP(CE961,'Rangos amb etnico'!$A$2:$C$6,3,9),"N.D.")</f>
        <v>31% - 50%</v>
      </c>
      <c r="CG961" s="256">
        <v>1.6220845758796838E-3</v>
      </c>
      <c r="CH961" s="232">
        <v>40320.437684999997</v>
      </c>
      <c r="CI961" s="311">
        <f t="shared" si="400"/>
        <v>0.33847716333425454</v>
      </c>
      <c r="CJ961" s="232" t="str">
        <f>IFERROR(VLOOKUP(CI961,'Rangos amb etnico'!$A$2:$C$6,3,9),"N.D.")</f>
        <v>31% - 50%</v>
      </c>
      <c r="CK961" s="311">
        <f t="shared" si="401"/>
        <v>1.6009853620835796E-3</v>
      </c>
      <c r="CL961" s="10">
        <v>0</v>
      </c>
      <c r="CM961" s="255">
        <f t="shared" si="402"/>
        <v>0</v>
      </c>
      <c r="CN961" s="232">
        <f>IFERROR(VLOOKUP(CM961,'Rangos amb etnico'!$A$2:$C$6,3,9),"N.D.")</f>
        <v>0</v>
      </c>
      <c r="CO961" s="311">
        <f t="shared" si="403"/>
        <v>0</v>
      </c>
      <c r="CP961">
        <v>0.94080516472946452</v>
      </c>
      <c r="CQ961" t="s">
        <v>2864</v>
      </c>
      <c r="CR961">
        <f t="shared" si="394"/>
        <v>1</v>
      </c>
      <c r="CS961" t="str">
        <f t="shared" si="404"/>
        <v>No es Candidato</v>
      </c>
      <c r="CT961">
        <v>1</v>
      </c>
      <c r="CU961" t="s">
        <v>2836</v>
      </c>
      <c r="CV961" s="25">
        <v>35.846012115478523</v>
      </c>
      <c r="CW961" s="25">
        <v>19.990264892578121</v>
      </c>
      <c r="CX961" s="25">
        <v>40.2569580078125</v>
      </c>
      <c r="CY961" s="25">
        <v>44.065704345703118</v>
      </c>
      <c r="CZ961" s="25">
        <v>11.96893787384033</v>
      </c>
      <c r="DA961" s="25">
        <v>63.213966369628913</v>
      </c>
      <c r="DB961" s="25">
        <v>35.580249786376953</v>
      </c>
      <c r="DC961">
        <v>11899</v>
      </c>
      <c r="DD961" s="253" t="s">
        <v>380</v>
      </c>
    </row>
    <row r="962" spans="1:108" hidden="1">
      <c r="A962" s="13">
        <v>86755</v>
      </c>
      <c r="B962" s="13" t="s">
        <v>2331</v>
      </c>
      <c r="C962" s="13" t="s">
        <v>943</v>
      </c>
      <c r="D962" s="13" t="s">
        <v>944</v>
      </c>
      <c r="E962" s="13" t="s">
        <v>975</v>
      </c>
      <c r="F962" s="14">
        <v>53.1678</v>
      </c>
      <c r="G962" s="13">
        <v>34.119999999999997</v>
      </c>
      <c r="H962" s="13">
        <v>35.090000000000003</v>
      </c>
      <c r="I962" s="13">
        <v>20.03</v>
      </c>
      <c r="J962" s="14">
        <v>44.663131658469638</v>
      </c>
      <c r="K962" s="14">
        <v>52.895973835605545</v>
      </c>
      <c r="L962" s="14">
        <v>51.091151913418685</v>
      </c>
      <c r="M962" s="14">
        <v>53.595199999999998</v>
      </c>
      <c r="N962" s="14">
        <f t="shared" si="378"/>
        <v>35.601950000000002</v>
      </c>
      <c r="O962" s="14">
        <f t="shared" si="379"/>
        <v>50.561364351873472</v>
      </c>
      <c r="P962" s="14">
        <f t="shared" si="395"/>
        <v>43.081657175936741</v>
      </c>
      <c r="Q962" s="14">
        <v>66.458750294355468</v>
      </c>
      <c r="R962" s="17">
        <f t="shared" si="380"/>
        <v>33.541249705644532</v>
      </c>
      <c r="S962" s="14">
        <f t="shared" si="396"/>
        <v>0.40187124735080082</v>
      </c>
      <c r="T962" s="13">
        <v>0</v>
      </c>
      <c r="U962" s="13">
        <f t="shared" si="397"/>
        <v>17.313279307233277</v>
      </c>
      <c r="V962" s="13">
        <f>IF($T962=1,$AU962,(VLOOKUP(U962,'Cortes naturales'!$A$35:$C$39,3,9)))</f>
        <v>5</v>
      </c>
      <c r="W962" s="13">
        <v>5</v>
      </c>
      <c r="X962" s="14" t="b">
        <f t="shared" si="381"/>
        <v>1</v>
      </c>
      <c r="Y962" s="17">
        <f>IF($T962=1,$AU962,VLOOKUP(U962,'Cortes naturales'!$A$45:$C$49,3,9))</f>
        <v>5</v>
      </c>
      <c r="Z962" s="14">
        <v>47.540422396883059</v>
      </c>
      <c r="AA962" s="14">
        <v>0.4140404732878622</v>
      </c>
      <c r="AB962" s="14">
        <v>19.683658989510345</v>
      </c>
      <c r="AC962" s="13">
        <v>5</v>
      </c>
      <c r="AD962" s="13">
        <f t="shared" si="382"/>
        <v>0</v>
      </c>
      <c r="AE962" s="14">
        <f t="shared" si="383"/>
        <v>-4.4587652209463187</v>
      </c>
      <c r="AF962" s="14">
        <f t="shared" si="384"/>
        <v>-1.2169225937061379E-2</v>
      </c>
      <c r="AG962" s="13">
        <f t="shared" si="385"/>
        <v>-2.3703796822770684</v>
      </c>
      <c r="AH962" s="13">
        <f>IF($T962=1,$AU962,VLOOKUP(U962,'Cortes naturales'!$A$25:$C$29,3,9))</f>
        <v>5</v>
      </c>
      <c r="AI962" s="13" t="b">
        <f t="shared" si="386"/>
        <v>1</v>
      </c>
      <c r="AJ962" s="13">
        <f t="shared" si="387"/>
        <v>0</v>
      </c>
      <c r="AK962" s="28">
        <v>0.6523467210059386</v>
      </c>
      <c r="AL962" s="28">
        <v>31.012838665843947</v>
      </c>
      <c r="AM962" s="28">
        <v>0.21731190925444865</v>
      </c>
      <c r="AN962" s="13">
        <v>4</v>
      </c>
      <c r="AO962" s="33">
        <f t="shared" si="388"/>
        <v>-1</v>
      </c>
      <c r="AP962" s="13">
        <f t="shared" si="398"/>
        <v>21.731190925444864</v>
      </c>
      <c r="AQ962" s="13">
        <f>IFERROR(VLOOKUP(U962,'Cortes naturales'!$E$15:$G$19,3,9),U962)</f>
        <v>5</v>
      </c>
      <c r="AR962" s="28">
        <f t="shared" si="389"/>
        <v>-0.25047547365513778</v>
      </c>
      <c r="AS962" s="13" t="b">
        <f t="shared" si="390"/>
        <v>1</v>
      </c>
      <c r="AT962" s="13" t="str">
        <f t="shared" si="399"/>
        <v>Efecto ponderador</v>
      </c>
      <c r="AU962" s="13">
        <v>4</v>
      </c>
      <c r="AV962">
        <f t="shared" si="391"/>
        <v>-1</v>
      </c>
      <c r="AW962" s="13">
        <v>0</v>
      </c>
      <c r="AX962" s="13">
        <v>0</v>
      </c>
      <c r="AY962" s="13">
        <v>0</v>
      </c>
      <c r="AZ962" s="13">
        <v>0</v>
      </c>
      <c r="BA962">
        <v>0</v>
      </c>
      <c r="BB962" t="s">
        <v>2840</v>
      </c>
      <c r="BC962">
        <v>6</v>
      </c>
      <c r="BD962" t="s">
        <v>2919</v>
      </c>
      <c r="BE962">
        <v>0</v>
      </c>
      <c r="BF962" s="232" t="s">
        <v>2846</v>
      </c>
      <c r="BG962" s="232" t="s">
        <v>2846</v>
      </c>
      <c r="BH962" s="253">
        <v>23.5</v>
      </c>
      <c r="BI962" s="253">
        <v>7.5899280575539567</v>
      </c>
      <c r="BJ962" s="25">
        <v>31.417777777777776</v>
      </c>
      <c r="BK962" t="s">
        <v>379</v>
      </c>
      <c r="BL962">
        <v>0.50272243723866539</v>
      </c>
      <c r="BM962" t="s">
        <v>383</v>
      </c>
      <c r="BN962" s="322">
        <v>24591.021109000001</v>
      </c>
      <c r="BO962" s="322">
        <v>1621.522937</v>
      </c>
      <c r="BP962" s="10">
        <v>5670</v>
      </c>
      <c r="BQ962" s="254">
        <f t="shared" si="392"/>
        <v>4.3370407599647267</v>
      </c>
      <c r="BR962" s="254">
        <f t="shared" si="393"/>
        <v>0.28598288130511462</v>
      </c>
      <c r="BS962" s="25">
        <v>52.718703696309618</v>
      </c>
      <c r="BT962" s="25">
        <v>91.305114638447961</v>
      </c>
      <c r="BU962" s="25">
        <v>38.70218390804596</v>
      </c>
      <c r="BV962" s="25">
        <v>96.541367132169185</v>
      </c>
      <c r="BW962" s="25">
        <v>53.264583280917179</v>
      </c>
      <c r="BX962" s="25">
        <v>69.816842343743176</v>
      </c>
      <c r="BY962" s="25">
        <v>55.121251614139787</v>
      </c>
      <c r="BZ962">
        <v>80</v>
      </c>
      <c r="CA962">
        <v>0</v>
      </c>
      <c r="CB962">
        <v>7</v>
      </c>
      <c r="CC962">
        <v>40759.611105999997</v>
      </c>
      <c r="CD962" s="10">
        <v>14086.167255</v>
      </c>
      <c r="CE962" s="255">
        <v>0.34559130651093117</v>
      </c>
      <c r="CF962" t="str">
        <f>IFERROR(VLOOKUP(CE962,'Rangos amb etnico'!$A$2:$C$6,3,9),"N.D.")</f>
        <v>31% - 50%</v>
      </c>
      <c r="CG962" s="256">
        <v>4.0981970558283555E-4</v>
      </c>
      <c r="CH962" s="232">
        <v>23292.827464000002</v>
      </c>
      <c r="CI962" s="311">
        <f t="shared" si="400"/>
        <v>0.57146834407777736</v>
      </c>
      <c r="CJ962" s="232" t="str">
        <f>IFERROR(VLOOKUP(CI962,'Rangos amb etnico'!$A$2:$C$6,3,9),"N.D.")</f>
        <v>51% - 70%</v>
      </c>
      <c r="CK962" s="311">
        <f t="shared" si="401"/>
        <v>9.2487775313201915E-4</v>
      </c>
      <c r="CL962" s="10">
        <v>0</v>
      </c>
      <c r="CM962" s="255">
        <f t="shared" si="402"/>
        <v>0</v>
      </c>
      <c r="CN962" s="232">
        <f>IFERROR(VLOOKUP(CM962,'Rangos amb etnico'!$A$2:$C$6,3,9),"N.D.")</f>
        <v>0</v>
      </c>
      <c r="CO962" s="311">
        <f t="shared" si="403"/>
        <v>0</v>
      </c>
      <c r="CP962">
        <v>0.81891107489358728</v>
      </c>
      <c r="CQ962" t="s">
        <v>2865</v>
      </c>
      <c r="CR962">
        <f t="shared" si="394"/>
        <v>1</v>
      </c>
      <c r="CS962" t="str">
        <f t="shared" si="404"/>
        <v>No es Candidato</v>
      </c>
      <c r="CT962">
        <v>0</v>
      </c>
      <c r="CU962">
        <v>0</v>
      </c>
      <c r="CV962" s="25">
        <v>58.717464447021477</v>
      </c>
      <c r="CW962" s="25">
        <v>21.906623840332031</v>
      </c>
      <c r="CX962" s="25">
        <v>51.343032836914063</v>
      </c>
      <c r="CY962" s="25">
        <v>65.379844665527344</v>
      </c>
      <c r="CZ962" s="25">
        <v>56.847148895263672</v>
      </c>
      <c r="DA962" s="25">
        <v>88.797988891601563</v>
      </c>
      <c r="DB962" s="25">
        <v>68.030143737792969</v>
      </c>
      <c r="DC962">
        <v>1902</v>
      </c>
      <c r="DD962" s="253" t="s">
        <v>380</v>
      </c>
    </row>
    <row r="963" spans="1:108" hidden="1">
      <c r="A963" s="13">
        <v>15464</v>
      </c>
      <c r="B963" s="13" t="s">
        <v>2332</v>
      </c>
      <c r="C963" s="13" t="s">
        <v>498</v>
      </c>
      <c r="D963" s="13" t="s">
        <v>499</v>
      </c>
      <c r="E963" s="13" t="s">
        <v>2333</v>
      </c>
      <c r="F963" s="14">
        <v>54.524466666666697</v>
      </c>
      <c r="G963" s="13">
        <v>41.93</v>
      </c>
      <c r="H963" s="13">
        <v>42.03</v>
      </c>
      <c r="I963" s="13">
        <v>78.69</v>
      </c>
      <c r="J963" s="14">
        <v>54.025497339902692</v>
      </c>
      <c r="K963" s="14">
        <v>62.312144982117495</v>
      </c>
      <c r="L963" s="14">
        <v>64.112185241700629</v>
      </c>
      <c r="M963" s="14">
        <v>57.914700000000003</v>
      </c>
      <c r="N963" s="14">
        <f t="shared" ref="N963:N1026" si="405">IFERROR(AVERAGE(F963:I963),"N.D.")</f>
        <v>54.293616666666672</v>
      </c>
      <c r="O963" s="14">
        <f t="shared" ref="O963:O1026" si="406">IFERROR(AVERAGE(J963:M963),"N.D.")</f>
        <v>59.591131890930207</v>
      </c>
      <c r="P963" s="14">
        <f t="shared" si="395"/>
        <v>56.942374278798439</v>
      </c>
      <c r="Q963" s="14">
        <v>66.507613065758164</v>
      </c>
      <c r="R963" s="17">
        <f t="shared" ref="R963:R1026" si="407">IFERROR(MAX($Q$3:$Q$1105)-Q963,"N.D.")</f>
        <v>33.492386934241836</v>
      </c>
      <c r="S963" s="14">
        <f t="shared" si="396"/>
        <v>0.4014314824081765</v>
      </c>
      <c r="T963" s="13">
        <v>0</v>
      </c>
      <c r="U963" s="13">
        <f t="shared" si="397"/>
        <v>22.858461718579278</v>
      </c>
      <c r="V963" s="13">
        <f>IF($T963=1,$AU963,(VLOOKUP(U963,'Cortes naturales'!$A$35:$C$39,3,9)))</f>
        <v>4</v>
      </c>
      <c r="W963" s="13">
        <v>4</v>
      </c>
      <c r="X963" s="14" t="b">
        <f t="shared" ref="X963:X1026" si="408">V963=W963</f>
        <v>1</v>
      </c>
      <c r="Y963" s="17">
        <f>IF($T963=1,$AU963,VLOOKUP(U963,'Cortes naturales'!$A$45:$C$49,3,9))</f>
        <v>4</v>
      </c>
      <c r="Z963" s="14">
        <v>54.619364666050856</v>
      </c>
      <c r="AA963" s="14">
        <v>0.41403097257856936</v>
      </c>
      <c r="AB963" s="14">
        <v>22.614108674308582</v>
      </c>
      <c r="AC963" s="13">
        <v>4</v>
      </c>
      <c r="AD963" s="13">
        <f t="shared" ref="AD963:AD1026" si="409">IFERROR(AC963-Y963,)</f>
        <v>0</v>
      </c>
      <c r="AE963" s="14">
        <f t="shared" ref="AE963:AE1026" si="410">IFERROR(P963-Z963,"N.D.")</f>
        <v>2.3230096127475832</v>
      </c>
      <c r="AF963" s="14">
        <f t="shared" ref="AF963:AF1026" si="411">IFERROR(S963-AA963,"N.D.")</f>
        <v>-1.2599490170392857E-2</v>
      </c>
      <c r="AG963" s="13">
        <f t="shared" ref="AG963:AG1026" si="412">IFERROR(U963-AB963,0)</f>
        <v>0.24435304427069582</v>
      </c>
      <c r="AH963" s="13">
        <f>IF($T963=1,$AU963,VLOOKUP(U963,'Cortes naturales'!$A$25:$C$29,3,9))</f>
        <v>4</v>
      </c>
      <c r="AI963" s="13" t="b">
        <f t="shared" ref="AI963:AI1026" si="413">AH963=Y963</f>
        <v>1</v>
      </c>
      <c r="AJ963" s="13">
        <f t="shared" ref="AJ963:AJ1026" si="414">IF(AD963=0,0,IF(AI963=TRUE,"Efecto ponderador","Cambio en corte"))</f>
        <v>0</v>
      </c>
      <c r="AK963" s="28">
        <v>0.6523467210059386</v>
      </c>
      <c r="AL963" s="28">
        <v>35.630763443325897</v>
      </c>
      <c r="AM963" s="28">
        <v>0.27507728046920271</v>
      </c>
      <c r="AN963" s="13">
        <v>4</v>
      </c>
      <c r="AO963" s="33">
        <f t="shared" ref="AO963:AO1026" si="415">IF(AND(ISNUMBER(AN963),ISNUMBER(Y963)),AN963-Y963,IF(AN963="SC- Centro aglomeración",Y963,IF(OR(AN963="Bogotá",AN963="Ciudades grandes"),0,0)))</f>
        <v>0</v>
      </c>
      <c r="AP963" s="13">
        <f t="shared" si="398"/>
        <v>27.507728046920271</v>
      </c>
      <c r="AQ963" s="13">
        <f>IFERROR(VLOOKUP(U963,'Cortes naturales'!$E$15:$G$19,3,9),U963)</f>
        <v>4</v>
      </c>
      <c r="AR963" s="28">
        <f t="shared" ref="AR963:AR1026" si="416">IFERROR(S963-AK963,"N.D.")</f>
        <v>-0.2509152385977621</v>
      </c>
      <c r="AS963" s="13" t="b">
        <f t="shared" ref="AS963:AS1026" si="417">AQ963=Y963</f>
        <v>1</v>
      </c>
      <c r="AT963" s="13">
        <f t="shared" si="399"/>
        <v>0</v>
      </c>
      <c r="AU963" s="13">
        <v>4</v>
      </c>
      <c r="AV963">
        <f t="shared" ref="AV963:AV1026" si="418">IF(AND(ISNUMBER(AU963),ISNUMBER(Y963)),AU963-Y963,IF(AU963="SC- Centro aglomeración",Y963,IF(OR(AU963="Bogotá",AU963="Ciudades grandes"),0,0)))</f>
        <v>0</v>
      </c>
      <c r="AW963" s="13">
        <v>0</v>
      </c>
      <c r="AX963" s="13">
        <v>0</v>
      </c>
      <c r="AY963" s="13">
        <v>0</v>
      </c>
      <c r="AZ963" s="13">
        <v>0</v>
      </c>
      <c r="BA963">
        <v>0</v>
      </c>
      <c r="BB963" t="s">
        <v>2840</v>
      </c>
      <c r="BC963">
        <v>6</v>
      </c>
      <c r="BD963" t="s">
        <v>2919</v>
      </c>
      <c r="BE963">
        <v>1</v>
      </c>
      <c r="BF963" s="232" t="s">
        <v>2846</v>
      </c>
      <c r="BG963" s="232" t="s">
        <v>2846</v>
      </c>
      <c r="BH963" s="253">
        <v>50.7</v>
      </c>
      <c r="BI963" s="253">
        <v>20.813953488372093</v>
      </c>
      <c r="BJ963" s="25">
        <v>59.103986852750815</v>
      </c>
      <c r="BK963" t="s">
        <v>376</v>
      </c>
      <c r="BL963">
        <v>0.11337310315613228</v>
      </c>
      <c r="BM963" t="s">
        <v>377</v>
      </c>
      <c r="BN963" s="322">
        <v>14058.397299</v>
      </c>
      <c r="BO963" s="322">
        <v>1062.9545840000001</v>
      </c>
      <c r="BP963" s="10">
        <v>4526</v>
      </c>
      <c r="BQ963" s="254">
        <f t="shared" ref="BQ963:BQ1026" si="419">BN963/BP963</f>
        <v>3.1061416922227134</v>
      </c>
      <c r="BR963" s="254">
        <f t="shared" ref="BR963:BR1026" si="420">BO963/BP963</f>
        <v>0.23485518868758287</v>
      </c>
      <c r="BS963" s="25">
        <v>60.469593795680758</v>
      </c>
      <c r="BT963" s="25">
        <v>87.787014239210478</v>
      </c>
      <c r="BU963" s="25">
        <v>49.804012738853508</v>
      </c>
      <c r="BV963" s="25">
        <v>91.967503958530315</v>
      </c>
      <c r="BW963" s="25">
        <v>61.764684733271693</v>
      </c>
      <c r="BX963" s="25">
        <v>72.507031183068761</v>
      </c>
      <c r="BY963" s="25">
        <v>63.837560141791577</v>
      </c>
      <c r="BZ963">
        <v>62</v>
      </c>
      <c r="CA963">
        <v>0</v>
      </c>
      <c r="CB963">
        <v>7</v>
      </c>
      <c r="CC963">
        <v>36004.045098000002</v>
      </c>
      <c r="CD963" s="10">
        <v>25552.503094</v>
      </c>
      <c r="CE963" s="255">
        <v>0.7097120066494812</v>
      </c>
      <c r="CF963" t="str">
        <f>IFERROR(VLOOKUP(CE963,'Rangos amb etnico'!$A$2:$C$6,3,9),"N.D.")</f>
        <v>71% - 100%</v>
      </c>
      <c r="CG963" s="256">
        <v>7.4341863938684103E-4</v>
      </c>
      <c r="CH963" s="232">
        <v>0</v>
      </c>
      <c r="CI963" s="311">
        <f t="shared" si="400"/>
        <v>0</v>
      </c>
      <c r="CJ963" s="232">
        <f>IFERROR(VLOOKUP(CI963,'Rangos amb etnico'!$A$2:$C$6,3,9),"N.D.")</f>
        <v>0</v>
      </c>
      <c r="CK963" s="311">
        <f t="shared" si="401"/>
        <v>0</v>
      </c>
      <c r="CL963" s="10">
        <v>0</v>
      </c>
      <c r="CM963" s="255">
        <f t="shared" si="402"/>
        <v>0</v>
      </c>
      <c r="CN963" s="232">
        <f>IFERROR(VLOOKUP(CM963,'Rangos amb etnico'!$A$2:$C$6,3,9),"N.D.")</f>
        <v>0</v>
      </c>
      <c r="CO963" s="311">
        <f t="shared" si="403"/>
        <v>0</v>
      </c>
      <c r="CP963">
        <v>0.94657276012345526</v>
      </c>
      <c r="CQ963" t="s">
        <v>2864</v>
      </c>
      <c r="CR963">
        <f t="shared" ref="CR963:CR1026" si="421">IF(BY963&gt;=60,1,0)+IF(M963&gt;=60,1,0)+IF(I963&gt;=60,1,0)+IF(OR(CQ963="Crítico Bajo",CQ963="Aceptable"),1,0)</f>
        <v>3</v>
      </c>
      <c r="CS963" t="str">
        <f t="shared" si="404"/>
        <v>Candidato</v>
      </c>
      <c r="CT963">
        <v>0</v>
      </c>
      <c r="CU963">
        <v>0</v>
      </c>
      <c r="CV963" s="25">
        <v>49.624309539794922</v>
      </c>
      <c r="CW963" s="25">
        <v>22.08704948425293</v>
      </c>
      <c r="CX963" s="25">
        <v>53.225975036621087</v>
      </c>
      <c r="CY963" s="25">
        <v>55.865436553955078</v>
      </c>
      <c r="CZ963" s="25">
        <v>45.876529693603523</v>
      </c>
      <c r="DA963" s="25">
        <v>56.496421813964837</v>
      </c>
      <c r="DB963" s="25">
        <v>64.194442749023438</v>
      </c>
      <c r="DC963">
        <v>21</v>
      </c>
      <c r="DD963" s="253" t="s">
        <v>380</v>
      </c>
    </row>
    <row r="964" spans="1:108" hidden="1">
      <c r="A964" s="13">
        <v>68745</v>
      </c>
      <c r="B964" s="13" t="s">
        <v>2334</v>
      </c>
      <c r="C964" s="13" t="s">
        <v>431</v>
      </c>
      <c r="D964" s="13" t="s">
        <v>432</v>
      </c>
      <c r="E964" s="13" t="s">
        <v>2335</v>
      </c>
      <c r="F964" s="14">
        <v>82.577666666666701</v>
      </c>
      <c r="G964" s="13">
        <v>82.3</v>
      </c>
      <c r="H964" s="13">
        <v>88.92</v>
      </c>
      <c r="I964" s="13">
        <v>77.599999999999994</v>
      </c>
      <c r="J964" s="14">
        <v>49.817084196815308</v>
      </c>
      <c r="K964" s="14">
        <v>54.044176489705208</v>
      </c>
      <c r="L964" s="14">
        <v>68.309212810863045</v>
      </c>
      <c r="M964" s="14">
        <v>59.431199999999997</v>
      </c>
      <c r="N964" s="14">
        <f t="shared" si="405"/>
        <v>82.849416666666684</v>
      </c>
      <c r="O964" s="14">
        <f t="shared" si="406"/>
        <v>57.90041837434589</v>
      </c>
      <c r="P964" s="14">
        <f t="shared" ref="P964:P1027" si="422">IFERROR(AVERAGE(N964:O964),"N.D.")</f>
        <v>70.374917520506287</v>
      </c>
      <c r="Q964" s="14">
        <v>64.963052599031883</v>
      </c>
      <c r="R964" s="17">
        <f t="shared" si="407"/>
        <v>35.036947400968117</v>
      </c>
      <c r="S964" s="14">
        <f t="shared" ref="S964:S1027" si="423">IFERROR((0.1+(1-0.1)*(R964%-0)/(1-0)),"N.D.")</f>
        <v>0.415332526608713</v>
      </c>
      <c r="T964" s="13">
        <v>0</v>
      </c>
      <c r="U964" s="13">
        <f t="shared" ref="U964:U1027" si="424">$P964*$S964</f>
        <v>29.22899230367166</v>
      </c>
      <c r="V964" s="13">
        <f>IF($T964=1,$AU964,(VLOOKUP(U964,'Cortes naturales'!$A$35:$C$39,3,9)))</f>
        <v>4</v>
      </c>
      <c r="W964" s="13">
        <v>4</v>
      </c>
      <c r="X964" s="14" t="b">
        <f t="shared" si="408"/>
        <v>1</v>
      </c>
      <c r="Y964" s="17">
        <f>IF($T964=1,$AU964,VLOOKUP(U964,'Cortes naturales'!$A$45:$C$49,3,9))</f>
        <v>3</v>
      </c>
      <c r="Z964" s="14">
        <v>70.138524080856968</v>
      </c>
      <c r="AA964" s="14">
        <v>0.41636437940185544</v>
      </c>
      <c r="AB964" s="14">
        <v>29.203183051088104</v>
      </c>
      <c r="AC964" s="13">
        <v>3</v>
      </c>
      <c r="AD964" s="13">
        <f t="shared" si="409"/>
        <v>0</v>
      </c>
      <c r="AE964" s="14">
        <f t="shared" si="410"/>
        <v>0.23639343964931925</v>
      </c>
      <c r="AF964" s="14">
        <f t="shared" si="411"/>
        <v>-1.0318527931424404E-3</v>
      </c>
      <c r="AG964" s="13">
        <f t="shared" si="412"/>
        <v>2.5809252583556486E-2</v>
      </c>
      <c r="AH964" s="13">
        <f>IF($T964=1,$AU964,VLOOKUP(U964,'Cortes naturales'!$A$25:$C$29,3,9))</f>
        <v>3</v>
      </c>
      <c r="AI964" s="13" t="b">
        <f t="shared" si="413"/>
        <v>1</v>
      </c>
      <c r="AJ964" s="13">
        <f t="shared" si="414"/>
        <v>0</v>
      </c>
      <c r="AK964" s="28">
        <v>0.6523467210059386</v>
      </c>
      <c r="AL964" s="28">
        <v>45.754636200343107</v>
      </c>
      <c r="AM964" s="28">
        <v>0.4017162570917101</v>
      </c>
      <c r="AN964" s="13">
        <v>3</v>
      </c>
      <c r="AO964" s="33">
        <f t="shared" si="415"/>
        <v>0</v>
      </c>
      <c r="AP964" s="13">
        <f t="shared" ref="AP964:AP1027" si="425">IFERROR(AM964*100,"N.D")</f>
        <v>40.17162570917101</v>
      </c>
      <c r="AQ964" s="13">
        <f>IFERROR(VLOOKUP(U964,'Cortes naturales'!$E$15:$G$19,3,9),U964)</f>
        <v>4</v>
      </c>
      <c r="AR964" s="28">
        <f t="shared" si="416"/>
        <v>-0.2370141943972256</v>
      </c>
      <c r="AS964" s="13" t="b">
        <f t="shared" si="417"/>
        <v>0</v>
      </c>
      <c r="AT964" s="13">
        <f t="shared" ref="AT964:AT1027" si="426">IF(AO964=0,0,IF(AS964=TRUE,"Efecto ponderador","Cambio en corte"))</f>
        <v>0</v>
      </c>
      <c r="AU964" s="13">
        <v>3</v>
      </c>
      <c r="AV964">
        <f t="shared" si="418"/>
        <v>0</v>
      </c>
      <c r="AW964" s="13">
        <v>0</v>
      </c>
      <c r="AX964" s="13">
        <v>0</v>
      </c>
      <c r="AY964" s="13">
        <v>0</v>
      </c>
      <c r="AZ964" s="13">
        <v>0</v>
      </c>
      <c r="BA964">
        <v>0</v>
      </c>
      <c r="BB964" t="s">
        <v>2841</v>
      </c>
      <c r="BC964">
        <v>6</v>
      </c>
      <c r="BD964" t="s">
        <v>2919</v>
      </c>
      <c r="BE964">
        <v>0</v>
      </c>
      <c r="BF964" s="232" t="s">
        <v>2846</v>
      </c>
      <c r="BG964" s="232" t="s">
        <v>2845</v>
      </c>
      <c r="BH964" s="253">
        <v>44.5</v>
      </c>
      <c r="BI964" s="253">
        <v>24.797009923959273</v>
      </c>
      <c r="BJ964" s="25">
        <v>0</v>
      </c>
      <c r="BK964" t="s">
        <v>381</v>
      </c>
      <c r="BL964">
        <v>8.6235285824282928E-2</v>
      </c>
      <c r="BM964" t="s">
        <v>377</v>
      </c>
      <c r="BN964" s="322">
        <v>24041.828052000001</v>
      </c>
      <c r="BO964" s="322">
        <v>4099.3073709999999</v>
      </c>
      <c r="BP964" s="10">
        <v>11483</v>
      </c>
      <c r="BQ964" s="254">
        <f t="shared" si="419"/>
        <v>2.0936887618218236</v>
      </c>
      <c r="BR964" s="254">
        <f t="shared" si="420"/>
        <v>0.35698923373682834</v>
      </c>
      <c r="BS964" s="25">
        <v>55.004268775783409</v>
      </c>
      <c r="BT964" s="25">
        <v>78.146430183749899</v>
      </c>
      <c r="BU964" s="25">
        <v>45.651586649820992</v>
      </c>
      <c r="BV964" s="25">
        <v>93.577077043910563</v>
      </c>
      <c r="BW964" s="25">
        <v>58.123640858841569</v>
      </c>
      <c r="BX964" s="25">
        <v>68.094840663316219</v>
      </c>
      <c r="BY964" s="25">
        <v>58.596797276260219</v>
      </c>
      <c r="BZ964">
        <v>45</v>
      </c>
      <c r="CA964">
        <v>0</v>
      </c>
      <c r="CB964">
        <v>7</v>
      </c>
      <c r="CC964">
        <v>90335.872199000005</v>
      </c>
      <c r="CD964" s="10">
        <v>42822.389411999997</v>
      </c>
      <c r="CE964" s="255">
        <v>0.47403526826715059</v>
      </c>
      <c r="CF964" t="str">
        <f>IFERROR(VLOOKUP(CE964,'Rangos amb etnico'!$A$2:$C$6,3,9),"N.D.")</f>
        <v>31% - 50%</v>
      </c>
      <c r="CG964" s="256">
        <v>1.2458647340673915E-3</v>
      </c>
      <c r="CH964" s="232">
        <v>0</v>
      </c>
      <c r="CI964" s="311">
        <f t="shared" ref="CI964:CI1027" si="427">IFERROR(CH964/CC964,"N.D.")</f>
        <v>0</v>
      </c>
      <c r="CJ964" s="232">
        <f>IFERROR(VLOOKUP(CI964,'Rangos amb etnico'!$A$2:$C$6,3,9),"N.D.")</f>
        <v>0</v>
      </c>
      <c r="CK964" s="311">
        <f t="shared" ref="CK964:CK1027" si="428">IFERROR(CH964/$CH$1,"N.D.")</f>
        <v>0</v>
      </c>
      <c r="CL964" s="10">
        <v>0</v>
      </c>
      <c r="CM964" s="255">
        <f t="shared" ref="CM964:CM1027" si="429">IFERROR(CL964/CC964,"N.D.")</f>
        <v>0</v>
      </c>
      <c r="CN964" s="232">
        <f>IFERROR(VLOOKUP(CM964,'Rangos amb etnico'!$A$2:$C$6,3,9),"N.D.")</f>
        <v>0</v>
      </c>
      <c r="CO964" s="311">
        <f t="shared" ref="CO964:CO1027" si="430">IFERROR(CL964/$CL$1,"N.D.")</f>
        <v>0</v>
      </c>
      <c r="CP964">
        <v>0.96003309554909944</v>
      </c>
      <c r="CQ964" t="s">
        <v>2864</v>
      </c>
      <c r="CR964">
        <f t="shared" si="421"/>
        <v>2</v>
      </c>
      <c r="CS964" t="str">
        <f t="shared" ref="CS964:CS1027" si="431">IF(CR964&gt;=3,"Candidato","No es Candidato")</f>
        <v>No es Candidato</v>
      </c>
      <c r="CT964">
        <v>0</v>
      </c>
      <c r="CU964">
        <v>0</v>
      </c>
      <c r="CV964" s="25">
        <v>47.246299743652337</v>
      </c>
      <c r="CW964" s="25">
        <v>18.997360229492191</v>
      </c>
      <c r="CX964" s="25">
        <v>47.028610229492188</v>
      </c>
      <c r="CY964" s="25">
        <v>69.811149597167969</v>
      </c>
      <c r="CZ964" s="25">
        <v>37.688758850097663</v>
      </c>
      <c r="DA964" s="25">
        <v>66.613990783691406</v>
      </c>
      <c r="DB964" s="25">
        <v>43.337932586669922</v>
      </c>
      <c r="DC964">
        <v>115</v>
      </c>
      <c r="DD964" s="253" t="s">
        <v>380</v>
      </c>
    </row>
    <row r="965" spans="1:108" hidden="1">
      <c r="A965" s="13">
        <v>52473</v>
      </c>
      <c r="B965" s="13" t="s">
        <v>2336</v>
      </c>
      <c r="C965" s="13" t="s">
        <v>672</v>
      </c>
      <c r="D965" s="13" t="s">
        <v>673</v>
      </c>
      <c r="E965" s="13" t="s">
        <v>492</v>
      </c>
      <c r="F965" s="14">
        <v>52.471633333333301</v>
      </c>
      <c r="G965" s="14">
        <v>0</v>
      </c>
      <c r="H965" s="13">
        <v>24</v>
      </c>
      <c r="I965" s="13">
        <v>0</v>
      </c>
      <c r="J965" s="14">
        <v>45.907806076611784</v>
      </c>
      <c r="K965" s="14">
        <v>49.293109651372248</v>
      </c>
      <c r="L965" s="14">
        <v>56.334068539381775</v>
      </c>
      <c r="M965" s="14">
        <v>52.131900000000002</v>
      </c>
      <c r="N965" s="14">
        <f t="shared" si="405"/>
        <v>19.117908333333325</v>
      </c>
      <c r="O965" s="14">
        <f t="shared" si="406"/>
        <v>50.916721066841454</v>
      </c>
      <c r="P965" s="14">
        <f t="shared" si="422"/>
        <v>35.01731470008739</v>
      </c>
      <c r="Q965" s="14">
        <v>66.119205967024243</v>
      </c>
      <c r="R965" s="17">
        <f t="shared" si="407"/>
        <v>33.880794032975757</v>
      </c>
      <c r="S965" s="14">
        <f t="shared" si="423"/>
        <v>0.40492714629678184</v>
      </c>
      <c r="T965" s="13">
        <v>0</v>
      </c>
      <c r="U965" s="13">
        <f t="shared" si="424"/>
        <v>14.179461312482736</v>
      </c>
      <c r="V965" s="13">
        <f>IF($T965=1,$AU965,(VLOOKUP(U965,'Cortes naturales'!$A$35:$C$39,3,9)))</f>
        <v>5</v>
      </c>
      <c r="W965" s="13">
        <v>5</v>
      </c>
      <c r="X965" s="14" t="b">
        <f t="shared" si="408"/>
        <v>1</v>
      </c>
      <c r="Y965" s="17">
        <f>IF($T965=1,$AU965,VLOOKUP(U965,'Cortes naturales'!$A$45:$C$49,3,9))</f>
        <v>5</v>
      </c>
      <c r="Z965" s="14">
        <v>46.089544900975227</v>
      </c>
      <c r="AA965" s="14">
        <v>0.4129516516379248</v>
      </c>
      <c r="AB965" s="14">
        <v>19.032753690098016</v>
      </c>
      <c r="AC965" s="13">
        <v>5</v>
      </c>
      <c r="AD965" s="13">
        <f t="shared" si="409"/>
        <v>0</v>
      </c>
      <c r="AE965" s="14">
        <f t="shared" si="410"/>
        <v>-11.072230200887837</v>
      </c>
      <c r="AF965" s="14">
        <f t="shared" si="411"/>
        <v>-8.0245053411429623E-3</v>
      </c>
      <c r="AG965" s="13">
        <f t="shared" si="412"/>
        <v>-4.8532923776152792</v>
      </c>
      <c r="AH965" s="13">
        <f>IF($T965=1,$AU965,VLOOKUP(U965,'Cortes naturales'!$A$25:$C$29,3,9))</f>
        <v>5</v>
      </c>
      <c r="AI965" s="13" t="b">
        <f t="shared" si="413"/>
        <v>1</v>
      </c>
      <c r="AJ965" s="13">
        <f t="shared" si="414"/>
        <v>0</v>
      </c>
      <c r="AK965" s="28">
        <v>0.6523467210059386</v>
      </c>
      <c r="AL965" s="28">
        <v>30.066363488807166</v>
      </c>
      <c r="AM965" s="28">
        <v>0.20547250246859541</v>
      </c>
      <c r="AN965" s="13">
        <v>4</v>
      </c>
      <c r="AO965" s="33">
        <f t="shared" si="415"/>
        <v>-1</v>
      </c>
      <c r="AP965" s="13">
        <f t="shared" si="425"/>
        <v>20.547250246859541</v>
      </c>
      <c r="AQ965" s="13">
        <f>IFERROR(VLOOKUP(U965,'Cortes naturales'!$E$15:$G$19,3,9),U965)</f>
        <v>5</v>
      </c>
      <c r="AR965" s="28">
        <f t="shared" si="416"/>
        <v>-0.24741957470915676</v>
      </c>
      <c r="AS965" s="13" t="b">
        <f t="shared" si="417"/>
        <v>1</v>
      </c>
      <c r="AT965" s="13" t="str">
        <f t="shared" si="426"/>
        <v>Efecto ponderador</v>
      </c>
      <c r="AU965" s="13">
        <v>4</v>
      </c>
      <c r="AV965">
        <f t="shared" si="418"/>
        <v>-1</v>
      </c>
      <c r="AW965" s="13">
        <v>0</v>
      </c>
      <c r="AX965" s="13">
        <v>0</v>
      </c>
      <c r="AY965" s="13">
        <v>0</v>
      </c>
      <c r="AZ965" s="13">
        <v>1</v>
      </c>
      <c r="BA965">
        <v>1</v>
      </c>
      <c r="BB965" t="s">
        <v>2840</v>
      </c>
      <c r="BC965">
        <v>6</v>
      </c>
      <c r="BD965" t="s">
        <v>2919</v>
      </c>
      <c r="BE965">
        <v>1</v>
      </c>
      <c r="BF965" s="232" t="s">
        <v>2846</v>
      </c>
      <c r="BG965" s="232" t="s">
        <v>2846</v>
      </c>
      <c r="BH965" s="253">
        <v>70.2</v>
      </c>
      <c r="BI965" s="253">
        <v>79.180552832777892</v>
      </c>
      <c r="BJ965" s="25">
        <v>28.866666666666664</v>
      </c>
      <c r="BK965" t="s">
        <v>379</v>
      </c>
      <c r="BL965">
        <v>20.708956603679486</v>
      </c>
      <c r="BM965" t="s">
        <v>376</v>
      </c>
      <c r="BN965" s="322">
        <v>31570.222889000001</v>
      </c>
      <c r="BO965" s="322">
        <v>1114.852879</v>
      </c>
      <c r="BP965" s="10">
        <v>12081</v>
      </c>
      <c r="BQ965" s="254">
        <f t="shared" si="419"/>
        <v>2.6132127215462297</v>
      </c>
      <c r="BR965" s="254">
        <f t="shared" si="420"/>
        <v>9.2281506415031869E-2</v>
      </c>
      <c r="BS965" s="25">
        <v>46.404484601092193</v>
      </c>
      <c r="BT965" s="25">
        <v>82.348293980906661</v>
      </c>
      <c r="BU965" s="25">
        <v>51.618333333333339</v>
      </c>
      <c r="BV965" s="25">
        <v>99.819529854975244</v>
      </c>
      <c r="BW965" s="25">
        <v>32.929977843044377</v>
      </c>
      <c r="BX965" s="25">
        <v>70.047660442576856</v>
      </c>
      <c r="BY965" s="25">
        <v>34.348757875078157</v>
      </c>
      <c r="BZ965">
        <v>97</v>
      </c>
      <c r="CA965">
        <v>0</v>
      </c>
      <c r="CB965">
        <v>7</v>
      </c>
      <c r="CC965">
        <v>76930.849046999996</v>
      </c>
      <c r="CD965" s="10">
        <v>50362.576706</v>
      </c>
      <c r="CE965" s="255">
        <v>0.65464735317338796</v>
      </c>
      <c r="CF965" t="str">
        <f>IFERROR(VLOOKUP(CE965,'Rangos amb etnico'!$A$2:$C$6,3,9),"N.D.")</f>
        <v>51% - 70%</v>
      </c>
      <c r="CG965" s="256">
        <v>1.4652372064317002E-3</v>
      </c>
      <c r="CH965" s="232">
        <v>39535.861104000003</v>
      </c>
      <c r="CI965" s="311">
        <f t="shared" si="427"/>
        <v>0.51391426968193255</v>
      </c>
      <c r="CJ965" s="232" t="str">
        <f>IFERROR(VLOOKUP(CI965,'Rangos amb etnico'!$A$2:$C$6,3,9),"N.D.")</f>
        <v>31% - 50%</v>
      </c>
      <c r="CK965" s="311">
        <f t="shared" si="428"/>
        <v>1.5698325350377098E-3</v>
      </c>
      <c r="CL965" s="10">
        <v>0</v>
      </c>
      <c r="CM965" s="255">
        <f t="shared" si="429"/>
        <v>0</v>
      </c>
      <c r="CN965" s="232">
        <f>IFERROR(VLOOKUP(CM965,'Rangos amb etnico'!$A$2:$C$6,3,9),"N.D.")</f>
        <v>0</v>
      </c>
      <c r="CO965" s="311">
        <f t="shared" si="430"/>
        <v>0</v>
      </c>
      <c r="CP965">
        <v>0.87675840672909044</v>
      </c>
      <c r="CQ965" t="s">
        <v>2864</v>
      </c>
      <c r="CR965">
        <f t="shared" si="421"/>
        <v>1</v>
      </c>
      <c r="CS965" t="str">
        <f t="shared" si="431"/>
        <v>No es Candidato</v>
      </c>
      <c r="CT965">
        <v>0</v>
      </c>
      <c r="CU965">
        <v>0</v>
      </c>
      <c r="CV965" s="25">
        <v>46.398262023925781</v>
      </c>
      <c r="CW965" s="25">
        <v>29.166557312011719</v>
      </c>
      <c r="CX965" s="25">
        <v>42.885204315185547</v>
      </c>
      <c r="CY965" s="25">
        <v>35.229770660400391</v>
      </c>
      <c r="CZ965" s="25">
        <v>11.7088623046875</v>
      </c>
      <c r="DA965" s="25">
        <v>100</v>
      </c>
      <c r="DB965" s="25">
        <v>59.399166107177727</v>
      </c>
      <c r="DC965">
        <v>11905</v>
      </c>
      <c r="DD965" s="253" t="s">
        <v>380</v>
      </c>
    </row>
    <row r="966" spans="1:108" hidden="1">
      <c r="A966" s="13">
        <v>13600</v>
      </c>
      <c r="B966" s="13" t="s">
        <v>2337</v>
      </c>
      <c r="C966" s="13" t="s">
        <v>480</v>
      </c>
      <c r="D966" s="13" t="s">
        <v>481</v>
      </c>
      <c r="E966" s="13" t="s">
        <v>2338</v>
      </c>
      <c r="F966" s="14">
        <v>34.700733333333297</v>
      </c>
      <c r="G966" s="13">
        <v>31.9</v>
      </c>
      <c r="H966" s="13">
        <v>33.68</v>
      </c>
      <c r="I966" s="13">
        <v>32.32</v>
      </c>
      <c r="J966" s="14">
        <v>50.00116281314606</v>
      </c>
      <c r="K966" s="14">
        <v>48.668572002120769</v>
      </c>
      <c r="L966" s="14">
        <v>48.400610488903197</v>
      </c>
      <c r="M966" s="14">
        <v>41.863500000000002</v>
      </c>
      <c r="N966" s="14">
        <f t="shared" si="405"/>
        <v>33.150183333333324</v>
      </c>
      <c r="O966" s="14">
        <f t="shared" si="406"/>
        <v>47.233461326042502</v>
      </c>
      <c r="P966" s="14">
        <f t="shared" si="422"/>
        <v>40.191822329687909</v>
      </c>
      <c r="Q966" s="14">
        <v>65.251902043600978</v>
      </c>
      <c r="R966" s="17">
        <f t="shared" si="407"/>
        <v>34.748097956399022</v>
      </c>
      <c r="S966" s="14">
        <f t="shared" si="423"/>
        <v>0.41273288160759125</v>
      </c>
      <c r="T966" s="13">
        <v>0</v>
      </c>
      <c r="U966" s="13">
        <f t="shared" si="424"/>
        <v>16.588486647192422</v>
      </c>
      <c r="V966" s="13">
        <f>IF($T966=1,$AU966,(VLOOKUP(U966,'Cortes naturales'!$A$35:$C$39,3,9)))</f>
        <v>5</v>
      </c>
      <c r="W966" s="13">
        <v>5</v>
      </c>
      <c r="X966" s="14" t="b">
        <f t="shared" si="408"/>
        <v>1</v>
      </c>
      <c r="Y966" s="17">
        <f>IF($T966=1,$AU966,VLOOKUP(U966,'Cortes naturales'!$A$45:$C$49,3,9))</f>
        <v>5</v>
      </c>
      <c r="Z966" s="14">
        <v>40.832406306757996</v>
      </c>
      <c r="AA966" s="14">
        <v>0.41153547758589559</v>
      </c>
      <c r="AB966" s="14">
        <v>16.803983830432987</v>
      </c>
      <c r="AC966" s="13">
        <v>5</v>
      </c>
      <c r="AD966" s="13">
        <f t="shared" si="409"/>
        <v>0</v>
      </c>
      <c r="AE966" s="14">
        <f t="shared" si="410"/>
        <v>-0.64058397707008652</v>
      </c>
      <c r="AF966" s="14">
        <f t="shared" si="411"/>
        <v>1.1974040216956583E-3</v>
      </c>
      <c r="AG966" s="13">
        <f t="shared" si="412"/>
        <v>-0.21549718324056499</v>
      </c>
      <c r="AH966" s="13">
        <f>IF($T966=1,$AU966,VLOOKUP(U966,'Cortes naturales'!$A$25:$C$29,3,9))</f>
        <v>5</v>
      </c>
      <c r="AI966" s="13" t="b">
        <f t="shared" si="413"/>
        <v>1</v>
      </c>
      <c r="AJ966" s="13">
        <f t="shared" si="414"/>
        <v>0</v>
      </c>
      <c r="AK966" s="28">
        <v>0.6523467210059386</v>
      </c>
      <c r="AL966" s="28">
        <v>26.636886364995785</v>
      </c>
      <c r="AM966" s="28">
        <v>0.16257335865935099</v>
      </c>
      <c r="AN966" s="13">
        <v>5</v>
      </c>
      <c r="AO966" s="33">
        <f t="shared" si="415"/>
        <v>0</v>
      </c>
      <c r="AP966" s="13">
        <f t="shared" si="425"/>
        <v>16.257335865935101</v>
      </c>
      <c r="AQ966" s="13">
        <f>IFERROR(VLOOKUP(U966,'Cortes naturales'!$E$15:$G$19,3,9),U966)</f>
        <v>5</v>
      </c>
      <c r="AR966" s="28">
        <f t="shared" si="416"/>
        <v>-0.23961383939834735</v>
      </c>
      <c r="AS966" s="13" t="b">
        <f t="shared" si="417"/>
        <v>1</v>
      </c>
      <c r="AT966" s="13">
        <f t="shared" si="426"/>
        <v>0</v>
      </c>
      <c r="AU966" s="13">
        <v>5</v>
      </c>
      <c r="AV966">
        <f t="shared" si="418"/>
        <v>0</v>
      </c>
      <c r="AW966" s="13">
        <v>0</v>
      </c>
      <c r="AX966" s="13">
        <v>0</v>
      </c>
      <c r="AY966" s="13">
        <v>0</v>
      </c>
      <c r="AZ966" s="13">
        <v>0</v>
      </c>
      <c r="BA966">
        <v>1</v>
      </c>
      <c r="BB966" t="s">
        <v>2840</v>
      </c>
      <c r="BC966">
        <v>6</v>
      </c>
      <c r="BD966" t="s">
        <v>2919</v>
      </c>
      <c r="BE966">
        <v>0</v>
      </c>
      <c r="BF966" s="232" t="s">
        <v>2846</v>
      </c>
      <c r="BG966" s="232" t="s">
        <v>2845</v>
      </c>
      <c r="BH966" s="253">
        <v>57.3</v>
      </c>
      <c r="BI966" s="253">
        <v>43.53230769230769</v>
      </c>
      <c r="BJ966" s="25">
        <v>8.1109090909090913</v>
      </c>
      <c r="BK966" t="s">
        <v>377</v>
      </c>
      <c r="BL966">
        <v>15.844242641118136</v>
      </c>
      <c r="BM966" t="s">
        <v>376</v>
      </c>
      <c r="BN966" s="322">
        <v>23896.239440000001</v>
      </c>
      <c r="BO966" s="322">
        <v>1290.052173</v>
      </c>
      <c r="BP966" s="10">
        <v>12277</v>
      </c>
      <c r="BQ966" s="254">
        <f t="shared" si="419"/>
        <v>1.9464233477233852</v>
      </c>
      <c r="BR966" s="254">
        <f t="shared" si="420"/>
        <v>0.1050787792620347</v>
      </c>
      <c r="BS966" s="25">
        <v>51.591192723173442</v>
      </c>
      <c r="BT966" s="25">
        <v>82.812176301485167</v>
      </c>
      <c r="BU966" s="25">
        <v>23.168855291576669</v>
      </c>
      <c r="BV966" s="25">
        <v>95.753841112128995</v>
      </c>
      <c r="BW966" s="25">
        <v>47.710804847945489</v>
      </c>
      <c r="BX966" s="25">
        <v>63.331516357091083</v>
      </c>
      <c r="BY966" s="25">
        <v>48.224839751480772</v>
      </c>
      <c r="BZ966">
        <v>8</v>
      </c>
      <c r="CA966">
        <v>0</v>
      </c>
      <c r="CB966">
        <v>7</v>
      </c>
      <c r="CC966">
        <v>84425.962604999993</v>
      </c>
      <c r="CD966" s="10">
        <v>21549.976119999999</v>
      </c>
      <c r="CE966" s="255">
        <v>0.25525295128496095</v>
      </c>
      <c r="CF966" t="str">
        <f>IFERROR(VLOOKUP(CE966,'Rangos amb etnico'!$A$2:$C$6,3,9),"N.D.")</f>
        <v>0,1% - 30%</v>
      </c>
      <c r="CG966" s="256">
        <v>6.2697004152642631E-4</v>
      </c>
      <c r="CH966" s="232">
        <v>0</v>
      </c>
      <c r="CI966" s="311">
        <f t="shared" si="427"/>
        <v>0</v>
      </c>
      <c r="CJ966" s="232">
        <f>IFERROR(VLOOKUP(CI966,'Rangos amb etnico'!$A$2:$C$6,3,9),"N.D.")</f>
        <v>0</v>
      </c>
      <c r="CK966" s="311">
        <f t="shared" si="428"/>
        <v>0</v>
      </c>
      <c r="CL966" s="10">
        <v>29.8264058466</v>
      </c>
      <c r="CM966" s="255">
        <f t="shared" si="429"/>
        <v>3.532847589330723E-4</v>
      </c>
      <c r="CN966" s="232">
        <f>IFERROR(VLOOKUP(CM966,'Rangos amb etnico'!$A$2:$C$6,3,9),"N.D.")</f>
        <v>0</v>
      </c>
      <c r="CO966" s="311">
        <f t="shared" si="430"/>
        <v>1.8704346284899964E-5</v>
      </c>
      <c r="CP966">
        <v>0.84065304309773192</v>
      </c>
      <c r="CQ966" t="s">
        <v>2865</v>
      </c>
      <c r="CR966">
        <f t="shared" si="421"/>
        <v>1</v>
      </c>
      <c r="CS966" t="str">
        <f t="shared" si="431"/>
        <v>No es Candidato</v>
      </c>
      <c r="CT966">
        <v>0</v>
      </c>
      <c r="CU966">
        <v>0</v>
      </c>
      <c r="CV966" s="25">
        <v>37.734786987304688</v>
      </c>
      <c r="CW966" s="25">
        <v>18.140476226806641</v>
      </c>
      <c r="CX966" s="25">
        <v>56.180652618408203</v>
      </c>
      <c r="CY966" s="25">
        <v>37.674530029296882</v>
      </c>
      <c r="CZ966" s="25">
        <v>4.9186983108520508</v>
      </c>
      <c r="DA966" s="25">
        <v>66.347572326660156</v>
      </c>
      <c r="DB966" s="25">
        <v>43.14678955078125</v>
      </c>
      <c r="DC966">
        <v>417</v>
      </c>
      <c r="DD966" s="253" t="s">
        <v>380</v>
      </c>
    </row>
    <row r="967" spans="1:108" hidden="1">
      <c r="A967" s="13">
        <v>68190</v>
      </c>
      <c r="B967" s="13" t="s">
        <v>2339</v>
      </c>
      <c r="C967" s="13" t="s">
        <v>431</v>
      </c>
      <c r="D967" s="13" t="s">
        <v>432</v>
      </c>
      <c r="E967" s="13" t="s">
        <v>2340</v>
      </c>
      <c r="F967" s="14">
        <v>58.824433333333303</v>
      </c>
      <c r="G967" s="13">
        <v>51.13</v>
      </c>
      <c r="H967" s="13">
        <v>59.76</v>
      </c>
      <c r="I967" s="13">
        <v>55.13</v>
      </c>
      <c r="J967" s="14">
        <v>70.349070131076289</v>
      </c>
      <c r="K967" s="14">
        <v>72.670959580505297</v>
      </c>
      <c r="L967" s="14">
        <v>14.801287158351293</v>
      </c>
      <c r="M967" s="14">
        <v>75.500200000000007</v>
      </c>
      <c r="N967" s="14">
        <f t="shared" si="405"/>
        <v>56.211108333333321</v>
      </c>
      <c r="O967" s="14">
        <f t="shared" si="406"/>
        <v>58.33037921748322</v>
      </c>
      <c r="P967" s="14">
        <f t="shared" si="422"/>
        <v>57.27074377540827</v>
      </c>
      <c r="Q967" s="14">
        <v>66.183286106245816</v>
      </c>
      <c r="R967" s="17">
        <f t="shared" si="407"/>
        <v>33.816713893754184</v>
      </c>
      <c r="S967" s="14">
        <f t="shared" si="423"/>
        <v>0.40435042504378771</v>
      </c>
      <c r="T967" s="13">
        <v>0</v>
      </c>
      <c r="U967" s="13">
        <f t="shared" si="424"/>
        <v>23.157449588160194</v>
      </c>
      <c r="V967" s="13">
        <f>IF($T967=1,$AU967,(VLOOKUP(U967,'Cortes naturales'!$A$35:$C$39,3,9)))</f>
        <v>4</v>
      </c>
      <c r="W967" s="13">
        <v>4</v>
      </c>
      <c r="X967" s="14" t="b">
        <f t="shared" si="408"/>
        <v>1</v>
      </c>
      <c r="Y967" s="17">
        <f>IF($T967=1,$AU967,VLOOKUP(U967,'Cortes naturales'!$A$45:$C$49,3,9))</f>
        <v>4</v>
      </c>
      <c r="Z967" s="14">
        <v>57.103051844708801</v>
      </c>
      <c r="AA967" s="14">
        <v>0.41224023089362871</v>
      </c>
      <c r="AB967" s="14">
        <v>23.540175277193608</v>
      </c>
      <c r="AC967" s="13">
        <v>4</v>
      </c>
      <c r="AD967" s="13">
        <f t="shared" si="409"/>
        <v>0</v>
      </c>
      <c r="AE967" s="14">
        <f t="shared" si="410"/>
        <v>0.16769193069946908</v>
      </c>
      <c r="AF967" s="14">
        <f t="shared" si="411"/>
        <v>-7.8898058498410029E-3</v>
      </c>
      <c r="AG967" s="13">
        <f t="shared" si="412"/>
        <v>-0.38272568903341408</v>
      </c>
      <c r="AH967" s="13">
        <f>IF($T967=1,$AU967,VLOOKUP(U967,'Cortes naturales'!$A$25:$C$29,3,9))</f>
        <v>4</v>
      </c>
      <c r="AI967" s="13" t="b">
        <f t="shared" si="413"/>
        <v>1</v>
      </c>
      <c r="AJ967" s="13">
        <f t="shared" si="414"/>
        <v>0</v>
      </c>
      <c r="AK967" s="28">
        <v>0.6523467210059386</v>
      </c>
      <c r="AL967" s="28">
        <v>37.250988630327903</v>
      </c>
      <c r="AM967" s="28">
        <v>0.29534458968026767</v>
      </c>
      <c r="AN967" s="13">
        <v>4</v>
      </c>
      <c r="AO967" s="33">
        <f t="shared" si="415"/>
        <v>0</v>
      </c>
      <c r="AP967" s="13">
        <f t="shared" si="425"/>
        <v>29.534458968026765</v>
      </c>
      <c r="AQ967" s="13">
        <f>IFERROR(VLOOKUP(U967,'Cortes naturales'!$E$15:$G$19,3,9),U967)</f>
        <v>4</v>
      </c>
      <c r="AR967" s="28">
        <f t="shared" si="416"/>
        <v>-0.24799629596215089</v>
      </c>
      <c r="AS967" s="13" t="b">
        <f t="shared" si="417"/>
        <v>1</v>
      </c>
      <c r="AT967" s="13">
        <f t="shared" si="426"/>
        <v>0</v>
      </c>
      <c r="AU967" s="13">
        <v>4</v>
      </c>
      <c r="AV967">
        <f t="shared" si="418"/>
        <v>0</v>
      </c>
      <c r="AW967" s="13">
        <v>0</v>
      </c>
      <c r="AX967" s="13">
        <v>0</v>
      </c>
      <c r="AY967" s="13">
        <v>0</v>
      </c>
      <c r="AZ967" s="13">
        <v>0</v>
      </c>
      <c r="BA967">
        <v>0</v>
      </c>
      <c r="BB967" t="s">
        <v>2840</v>
      </c>
      <c r="BC967">
        <v>6</v>
      </c>
      <c r="BD967" t="s">
        <v>2919</v>
      </c>
      <c r="BE967">
        <v>0</v>
      </c>
      <c r="BF967" s="232" t="s">
        <v>2846</v>
      </c>
      <c r="BG967" s="232" t="s">
        <v>2846</v>
      </c>
      <c r="BH967" s="253">
        <v>36</v>
      </c>
      <c r="BI967" s="253">
        <v>17.892364046210201</v>
      </c>
      <c r="BJ967" s="25">
        <v>0.88351360487127129</v>
      </c>
      <c r="BK967" t="s">
        <v>381</v>
      </c>
      <c r="BL967">
        <v>1.8293511724659344</v>
      </c>
      <c r="BM967" t="s">
        <v>383</v>
      </c>
      <c r="BN967" s="322">
        <v>63710.381197000002</v>
      </c>
      <c r="BO967" s="322">
        <v>20711.798177000001</v>
      </c>
      <c r="BP967" s="10">
        <v>33782</v>
      </c>
      <c r="BQ967" s="254">
        <f t="shared" si="419"/>
        <v>1.8859268603694275</v>
      </c>
      <c r="BR967" s="254">
        <f t="shared" si="420"/>
        <v>0.61310159780356399</v>
      </c>
      <c r="BS967" s="25">
        <v>58.267732771204543</v>
      </c>
      <c r="BT967" s="25">
        <v>92.600233126714429</v>
      </c>
      <c r="BU967" s="25">
        <v>53.257936234734842</v>
      </c>
      <c r="BV967" s="25">
        <v>88.10077416681132</v>
      </c>
      <c r="BW967" s="25">
        <v>57.810006523917806</v>
      </c>
      <c r="BX967" s="25">
        <v>73.056669074866278</v>
      </c>
      <c r="BY967" s="25">
        <v>57.816179521852568</v>
      </c>
      <c r="BZ967">
        <v>29</v>
      </c>
      <c r="CA967">
        <v>0</v>
      </c>
      <c r="CB967">
        <v>6</v>
      </c>
      <c r="CC967">
        <v>317054.22870099999</v>
      </c>
      <c r="CD967" s="10">
        <v>32721.785096</v>
      </c>
      <c r="CE967" s="255">
        <v>0.10320564160290222</v>
      </c>
      <c r="CF967" t="str">
        <f>IFERROR(VLOOKUP(CE967,'Rangos amb etnico'!$A$2:$C$6,3,9),"N.D.")</f>
        <v>0,1% - 30%</v>
      </c>
      <c r="CG967" s="256">
        <v>9.5200007861808789E-4</v>
      </c>
      <c r="CH967" s="232">
        <v>0</v>
      </c>
      <c r="CI967" s="311">
        <f t="shared" si="427"/>
        <v>0</v>
      </c>
      <c r="CJ967" s="232">
        <f>IFERROR(VLOOKUP(CI967,'Rangos amb etnico'!$A$2:$C$6,3,9),"N.D.")</f>
        <v>0</v>
      </c>
      <c r="CK967" s="311">
        <f t="shared" si="428"/>
        <v>0</v>
      </c>
      <c r="CL967" s="10">
        <v>189.285932559</v>
      </c>
      <c r="CM967" s="255">
        <f t="shared" si="429"/>
        <v>5.9701437616688376E-4</v>
      </c>
      <c r="CN967" s="232">
        <f>IFERROR(VLOOKUP(CM967,'Rangos amb etnico'!$A$2:$C$6,3,9),"N.D.")</f>
        <v>0</v>
      </c>
      <c r="CO967" s="311">
        <f t="shared" si="430"/>
        <v>1.1870252311501171E-4</v>
      </c>
      <c r="CP967">
        <v>0.91663615611994631</v>
      </c>
      <c r="CQ967" t="s">
        <v>2864</v>
      </c>
      <c r="CR967">
        <f t="shared" si="421"/>
        <v>2</v>
      </c>
      <c r="CS967" t="str">
        <f t="shared" si="431"/>
        <v>No es Candidato</v>
      </c>
      <c r="CT967">
        <v>0</v>
      </c>
      <c r="CU967">
        <v>0</v>
      </c>
      <c r="CV967" s="25">
        <v>40.264198303222663</v>
      </c>
      <c r="CW967" s="25">
        <v>35.982852935791023</v>
      </c>
      <c r="CX967" s="25">
        <v>47.936946868896477</v>
      </c>
      <c r="CY967" s="25">
        <v>72.590286254882813</v>
      </c>
      <c r="CZ967" s="25">
        <v>19.245267868041989</v>
      </c>
      <c r="DA967" s="25">
        <v>25.625703811645511</v>
      </c>
      <c r="DB967" s="25">
        <v>40.204139709472663</v>
      </c>
      <c r="DC967">
        <v>1742</v>
      </c>
      <c r="DD967" s="253" t="s">
        <v>380</v>
      </c>
    </row>
    <row r="968" spans="1:108" hidden="1">
      <c r="A968" s="13">
        <v>50400</v>
      </c>
      <c r="B968" s="13" t="s">
        <v>2341</v>
      </c>
      <c r="C968" s="13" t="s">
        <v>605</v>
      </c>
      <c r="D968" s="13" t="s">
        <v>606</v>
      </c>
      <c r="E968" s="13" t="s">
        <v>2342</v>
      </c>
      <c r="F968" s="14">
        <v>64.662466666666703</v>
      </c>
      <c r="G968" s="13">
        <v>78.349999999999994</v>
      </c>
      <c r="H968" s="13">
        <v>63.45</v>
      </c>
      <c r="I968" s="13">
        <v>71.099999999999994</v>
      </c>
      <c r="J968" s="14">
        <v>61.871584249456006</v>
      </c>
      <c r="K968" s="14">
        <v>53.299925619919826</v>
      </c>
      <c r="L968" s="14">
        <v>55.661842560962292</v>
      </c>
      <c r="M968" s="14">
        <v>56.384599999999999</v>
      </c>
      <c r="N968" s="14">
        <f t="shared" si="405"/>
        <v>69.390616666666659</v>
      </c>
      <c r="O968" s="14">
        <f t="shared" si="406"/>
        <v>56.804488107584532</v>
      </c>
      <c r="P968" s="14">
        <f t="shared" si="422"/>
        <v>63.097552387125596</v>
      </c>
      <c r="Q968" s="14">
        <v>66.647467282974532</v>
      </c>
      <c r="R968" s="17">
        <f t="shared" si="407"/>
        <v>33.352532717025468</v>
      </c>
      <c r="S968" s="14">
        <f t="shared" si="423"/>
        <v>0.40017279445322917</v>
      </c>
      <c r="T968" s="13">
        <v>0</v>
      </c>
      <c r="U968" s="13">
        <f t="shared" si="424"/>
        <v>25.249923861915072</v>
      </c>
      <c r="V968" s="13">
        <f>IF($T968=1,$AU968,(VLOOKUP(U968,'Cortes naturales'!$A$35:$C$39,3,9)))</f>
        <v>4</v>
      </c>
      <c r="W968" s="13">
        <v>4</v>
      </c>
      <c r="X968" s="14" t="b">
        <f t="shared" si="408"/>
        <v>1</v>
      </c>
      <c r="Y968" s="17">
        <f>IF($T968=1,$AU968,VLOOKUP(U968,'Cortes naturales'!$A$45:$C$49,3,9))</f>
        <v>4</v>
      </c>
      <c r="Z968" s="14">
        <v>62.321587997015087</v>
      </c>
      <c r="AA968" s="14">
        <v>0.41076827877878919</v>
      </c>
      <c r="AB968" s="14">
        <v>25.599731432294735</v>
      </c>
      <c r="AC968" s="13">
        <v>4</v>
      </c>
      <c r="AD968" s="13">
        <f t="shared" si="409"/>
        <v>0</v>
      </c>
      <c r="AE968" s="14">
        <f t="shared" si="410"/>
        <v>0.77596439011050933</v>
      </c>
      <c r="AF968" s="14">
        <f t="shared" si="411"/>
        <v>-1.0595484325560012E-2</v>
      </c>
      <c r="AG968" s="13">
        <f t="shared" si="412"/>
        <v>-0.3498075703796637</v>
      </c>
      <c r="AH968" s="13">
        <f>IF($T968=1,$AU968,VLOOKUP(U968,'Cortes naturales'!$A$25:$C$29,3,9))</f>
        <v>4</v>
      </c>
      <c r="AI968" s="13" t="b">
        <f t="shared" si="413"/>
        <v>1</v>
      </c>
      <c r="AJ968" s="13">
        <f t="shared" si="414"/>
        <v>0</v>
      </c>
      <c r="AK968" s="28">
        <v>0.6523467210059386</v>
      </c>
      <c r="AL968" s="28">
        <v>40.655283577735851</v>
      </c>
      <c r="AM968" s="28">
        <v>0.33792873100722115</v>
      </c>
      <c r="AN968" s="13">
        <v>4</v>
      </c>
      <c r="AO968" s="33">
        <f t="shared" si="415"/>
        <v>0</v>
      </c>
      <c r="AP968" s="13">
        <f t="shared" si="425"/>
        <v>33.792873100722112</v>
      </c>
      <c r="AQ968" s="13">
        <f>IFERROR(VLOOKUP(U968,'Cortes naturales'!$E$15:$G$19,3,9),U968)</f>
        <v>4</v>
      </c>
      <c r="AR968" s="28">
        <f t="shared" si="416"/>
        <v>-0.25217392655270943</v>
      </c>
      <c r="AS968" s="13" t="b">
        <f t="shared" si="417"/>
        <v>1</v>
      </c>
      <c r="AT968" s="13">
        <f t="shared" si="426"/>
        <v>0</v>
      </c>
      <c r="AU968" s="13">
        <v>4</v>
      </c>
      <c r="AV968">
        <f t="shared" si="418"/>
        <v>0</v>
      </c>
      <c r="AW968" s="13">
        <v>0</v>
      </c>
      <c r="AX968" s="13">
        <v>0</v>
      </c>
      <c r="AY968" s="13">
        <v>0</v>
      </c>
      <c r="AZ968" s="13">
        <v>0</v>
      </c>
      <c r="BA968">
        <v>1</v>
      </c>
      <c r="BB968" t="s">
        <v>2840</v>
      </c>
      <c r="BC968">
        <v>6</v>
      </c>
      <c r="BD968" t="s">
        <v>2919</v>
      </c>
      <c r="BE968">
        <v>1</v>
      </c>
      <c r="BF968" s="232" t="s">
        <v>2846</v>
      </c>
      <c r="BG968" s="232" t="s">
        <v>2846</v>
      </c>
      <c r="BH968" s="253">
        <v>39.9</v>
      </c>
      <c r="BI968" s="253">
        <v>20.458015267175572</v>
      </c>
      <c r="BJ968" s="25">
        <v>21.618333333333336</v>
      </c>
      <c r="BK968" t="s">
        <v>379</v>
      </c>
      <c r="BL968">
        <v>1.851063680995553</v>
      </c>
      <c r="BM968" t="s">
        <v>383</v>
      </c>
      <c r="BN968" s="322">
        <v>27440.121725000001</v>
      </c>
      <c r="BO968" s="322">
        <v>3062.965725</v>
      </c>
      <c r="BP968" s="10">
        <v>12161</v>
      </c>
      <c r="BQ968" s="254">
        <f t="shared" si="419"/>
        <v>2.2564033981580462</v>
      </c>
      <c r="BR968" s="254">
        <f t="shared" si="420"/>
        <v>0.25186791587862839</v>
      </c>
      <c r="BS968" s="25">
        <v>61.84319514352719</v>
      </c>
      <c r="BT968" s="25">
        <v>88.086953435572738</v>
      </c>
      <c r="BU968" s="25">
        <v>47.997740590903497</v>
      </c>
      <c r="BV968" s="25">
        <v>94.234010828684646</v>
      </c>
      <c r="BW968" s="25">
        <v>62.100855659643507</v>
      </c>
      <c r="BX968" s="25">
        <v>73.040474999672014</v>
      </c>
      <c r="BY968" s="25">
        <v>62.719494482856128</v>
      </c>
      <c r="BZ968">
        <v>63</v>
      </c>
      <c r="CA968">
        <v>0</v>
      </c>
      <c r="CB968">
        <v>7</v>
      </c>
      <c r="CC968">
        <v>81442.101242000004</v>
      </c>
      <c r="CD968" s="10">
        <v>27595.327757999999</v>
      </c>
      <c r="CE968" s="255">
        <v>0.33883369089412668</v>
      </c>
      <c r="CF968" t="str">
        <f>IFERROR(VLOOKUP(CE968,'Rangos amb etnico'!$A$2:$C$6,3,9),"N.D.")</f>
        <v>31% - 50%</v>
      </c>
      <c r="CG968" s="256">
        <v>8.0285210962770216E-4</v>
      </c>
      <c r="CH968" s="232">
        <v>144.59636</v>
      </c>
      <c r="CI968" s="311">
        <f t="shared" si="427"/>
        <v>1.7754497710016242E-3</v>
      </c>
      <c r="CJ968" s="232" t="str">
        <f>IFERROR(VLOOKUP(CI968,'Rangos amb etnico'!$A$2:$C$6,3,9),"N.D.")</f>
        <v>0,1% - 30%</v>
      </c>
      <c r="CK968" s="311">
        <f t="shared" si="428"/>
        <v>5.7414221933580096E-6</v>
      </c>
      <c r="CL968" s="10">
        <v>0</v>
      </c>
      <c r="CM968" s="255">
        <f t="shared" si="429"/>
        <v>0</v>
      </c>
      <c r="CN968" s="232">
        <f>IFERROR(VLOOKUP(CM968,'Rangos amb etnico'!$A$2:$C$6,3,9),"N.D.")</f>
        <v>0</v>
      </c>
      <c r="CO968" s="311">
        <f t="shared" si="430"/>
        <v>0</v>
      </c>
      <c r="CP968">
        <v>0.97816983790482892</v>
      </c>
      <c r="CQ968" t="s">
        <v>2864</v>
      </c>
      <c r="CR968">
        <f t="shared" si="421"/>
        <v>3</v>
      </c>
      <c r="CS968" t="str">
        <f t="shared" si="431"/>
        <v>Candidato</v>
      </c>
      <c r="CT968">
        <v>0</v>
      </c>
      <c r="CU968">
        <v>0</v>
      </c>
      <c r="CV968" s="25">
        <v>45.132766723632813</v>
      </c>
      <c r="CW968" s="25">
        <v>13.899923324584959</v>
      </c>
      <c r="CX968" s="25">
        <v>56.343353271484382</v>
      </c>
      <c r="CY968" s="25">
        <v>49.785686492919922</v>
      </c>
      <c r="CZ968" s="25">
        <v>33.507892608642578</v>
      </c>
      <c r="DA968" s="25">
        <v>58.594108581542969</v>
      </c>
      <c r="DB968" s="25">
        <v>58.665630340576172</v>
      </c>
      <c r="DC968">
        <v>168</v>
      </c>
      <c r="DD968" s="253" t="s">
        <v>380</v>
      </c>
    </row>
    <row r="969" spans="1:108" hidden="1">
      <c r="A969" s="13">
        <v>54871</v>
      </c>
      <c r="B969" s="13" t="s">
        <v>2343</v>
      </c>
      <c r="C969" s="13" t="s">
        <v>517</v>
      </c>
      <c r="D969" s="13" t="s">
        <v>518</v>
      </c>
      <c r="E969" s="13" t="s">
        <v>2344</v>
      </c>
      <c r="F969" s="14">
        <v>55.9621</v>
      </c>
      <c r="G969" s="13">
        <v>59.67</v>
      </c>
      <c r="H969" s="13">
        <v>54.69</v>
      </c>
      <c r="I969" s="13">
        <v>53.43</v>
      </c>
      <c r="J969" s="14">
        <v>57.54538938420383</v>
      </c>
      <c r="K969" s="14">
        <v>47.885209026886315</v>
      </c>
      <c r="L969" s="14">
        <v>49.587450038551104</v>
      </c>
      <c r="M969" s="14">
        <v>55.683</v>
      </c>
      <c r="N969" s="14">
        <f t="shared" si="405"/>
        <v>55.938025000000003</v>
      </c>
      <c r="O969" s="14">
        <f t="shared" si="406"/>
        <v>52.675262112410309</v>
      </c>
      <c r="P969" s="14">
        <f t="shared" si="422"/>
        <v>54.306643556205159</v>
      </c>
      <c r="Q969" s="14">
        <v>66.406080697830234</v>
      </c>
      <c r="R969" s="17">
        <f t="shared" si="407"/>
        <v>33.593919302169766</v>
      </c>
      <c r="S969" s="14">
        <f t="shared" si="423"/>
        <v>0.40234527371952788</v>
      </c>
      <c r="T969" s="13">
        <v>0</v>
      </c>
      <c r="U969" s="13">
        <f t="shared" si="424"/>
        <v>21.8500213664102</v>
      </c>
      <c r="V969" s="13">
        <f>IF($T969=1,$AU969,(VLOOKUP(U969,'Cortes naturales'!$A$35:$C$39,3,9)))</f>
        <v>4</v>
      </c>
      <c r="W969" s="13">
        <v>4</v>
      </c>
      <c r="X969" s="14" t="b">
        <f t="shared" si="408"/>
        <v>1</v>
      </c>
      <c r="Y969" s="17">
        <f>IF($T969=1,$AU969,VLOOKUP(U969,'Cortes naturales'!$A$45:$C$49,3,9))</f>
        <v>4</v>
      </c>
      <c r="Z969" s="14">
        <v>52.42643906983934</v>
      </c>
      <c r="AA969" s="14">
        <v>0.41075168343640245</v>
      </c>
      <c r="AB969" s="14">
        <v>21.534248104512489</v>
      </c>
      <c r="AC969" s="13">
        <v>4</v>
      </c>
      <c r="AD969" s="13">
        <f t="shared" si="409"/>
        <v>0</v>
      </c>
      <c r="AE969" s="14">
        <f t="shared" si="410"/>
        <v>1.8802044863658196</v>
      </c>
      <c r="AF969" s="14">
        <f t="shared" si="411"/>
        <v>-8.4064097168745633E-3</v>
      </c>
      <c r="AG969" s="13">
        <f t="shared" si="412"/>
        <v>0.31577326189771071</v>
      </c>
      <c r="AH969" s="13">
        <f>IF($T969=1,$AU969,VLOOKUP(U969,'Cortes naturales'!$A$25:$C$29,3,9))</f>
        <v>4</v>
      </c>
      <c r="AI969" s="13" t="b">
        <f t="shared" si="413"/>
        <v>1</v>
      </c>
      <c r="AJ969" s="13">
        <f t="shared" si="414"/>
        <v>0</v>
      </c>
      <c r="AK969" s="28">
        <v>0.6523467210059386</v>
      </c>
      <c r="AL969" s="28">
        <v>34.200215621227322</v>
      </c>
      <c r="AM969" s="28">
        <v>0.25718263515429102</v>
      </c>
      <c r="AN969" s="13">
        <v>4</v>
      </c>
      <c r="AO969" s="33">
        <f t="shared" si="415"/>
        <v>0</v>
      </c>
      <c r="AP969" s="13">
        <f t="shared" si="425"/>
        <v>25.718263515429101</v>
      </c>
      <c r="AQ969" s="13">
        <f>IFERROR(VLOOKUP(U969,'Cortes naturales'!$E$15:$G$19,3,9),U969)</f>
        <v>4</v>
      </c>
      <c r="AR969" s="28">
        <f t="shared" si="416"/>
        <v>-0.25000144728641072</v>
      </c>
      <c r="AS969" s="13" t="b">
        <f t="shared" si="417"/>
        <v>1</v>
      </c>
      <c r="AT969" s="13">
        <f t="shared" si="426"/>
        <v>0</v>
      </c>
      <c r="AU969" s="13">
        <v>4</v>
      </c>
      <c r="AV969">
        <f t="shared" si="418"/>
        <v>0</v>
      </c>
      <c r="AW969" s="13">
        <v>0</v>
      </c>
      <c r="AX969" s="13">
        <v>0</v>
      </c>
      <c r="AY969" s="13">
        <v>0</v>
      </c>
      <c r="AZ969" s="13">
        <v>0</v>
      </c>
      <c r="BA969">
        <v>0</v>
      </c>
      <c r="BB969" t="s">
        <v>2840</v>
      </c>
      <c r="BC969">
        <v>6</v>
      </c>
      <c r="BD969" t="s">
        <v>2919</v>
      </c>
      <c r="BE969">
        <v>1</v>
      </c>
      <c r="BF969" s="232" t="s">
        <v>2846</v>
      </c>
      <c r="BG969" s="232" t="s">
        <v>2846</v>
      </c>
      <c r="BH969" s="253">
        <v>64.8</v>
      </c>
      <c r="BI969" s="253">
        <v>31.35593220338983</v>
      </c>
      <c r="BJ969" s="25">
        <v>0</v>
      </c>
      <c r="BK969" t="s">
        <v>381</v>
      </c>
      <c r="BL969">
        <v>0</v>
      </c>
      <c r="BM969" t="s">
        <v>377</v>
      </c>
      <c r="BN969" s="322">
        <v>16057.255266</v>
      </c>
      <c r="BO969" s="322">
        <v>675.09513300000003</v>
      </c>
      <c r="BP969" s="10">
        <v>5381</v>
      </c>
      <c r="BQ969" s="254">
        <f t="shared" si="419"/>
        <v>2.984065278944434</v>
      </c>
      <c r="BR969" s="254">
        <f t="shared" si="420"/>
        <v>0.12545904720312209</v>
      </c>
      <c r="BS969" s="25">
        <v>49.615546772068512</v>
      </c>
      <c r="BT969" s="25">
        <v>93.755167221086538</v>
      </c>
      <c r="BU969" s="25">
        <v>47.101666666666667</v>
      </c>
      <c r="BV969" s="25">
        <v>93.505076213100992</v>
      </c>
      <c r="BW969" s="25">
        <v>50.668891523771777</v>
      </c>
      <c r="BX969" s="25">
        <v>70.994364218230672</v>
      </c>
      <c r="BY969" s="25">
        <v>51.523362533102038</v>
      </c>
      <c r="BZ969">
        <v>1</v>
      </c>
      <c r="CA969">
        <v>0</v>
      </c>
      <c r="CB969">
        <v>7</v>
      </c>
      <c r="CC969">
        <v>40027.398825999997</v>
      </c>
      <c r="CD969" s="10">
        <v>9667.2713949999998</v>
      </c>
      <c r="CE969" s="255">
        <v>0.24151635326152085</v>
      </c>
      <c r="CF969" t="str">
        <f>IFERROR(VLOOKUP(CE969,'Rangos amb etnico'!$A$2:$C$6,3,9),"N.D.")</f>
        <v>0,1% - 30%</v>
      </c>
      <c r="CG969" s="256">
        <v>2.8125736725736952E-4</v>
      </c>
      <c r="CH969" s="232">
        <v>0</v>
      </c>
      <c r="CI969" s="311">
        <f t="shared" si="427"/>
        <v>0</v>
      </c>
      <c r="CJ969" s="232">
        <f>IFERROR(VLOOKUP(CI969,'Rangos amb etnico'!$A$2:$C$6,3,9),"N.D.")</f>
        <v>0</v>
      </c>
      <c r="CK969" s="311">
        <f t="shared" si="428"/>
        <v>0</v>
      </c>
      <c r="CL969" s="10">
        <v>0</v>
      </c>
      <c r="CM969" s="255">
        <f t="shared" si="429"/>
        <v>0</v>
      </c>
      <c r="CN969" s="232">
        <f>IFERROR(VLOOKUP(CM969,'Rangos amb etnico'!$A$2:$C$6,3,9),"N.D.")</f>
        <v>0</v>
      </c>
      <c r="CO969" s="311">
        <f t="shared" si="430"/>
        <v>0</v>
      </c>
      <c r="CP969">
        <v>0.93883118960732836</v>
      </c>
      <c r="CQ969" t="s">
        <v>2864</v>
      </c>
      <c r="CR969">
        <f t="shared" si="421"/>
        <v>1</v>
      </c>
      <c r="CS969" t="str">
        <f t="shared" si="431"/>
        <v>No es Candidato</v>
      </c>
      <c r="CT969">
        <v>0</v>
      </c>
      <c r="CU969">
        <v>0</v>
      </c>
      <c r="CV969" s="25">
        <v>50.748771667480469</v>
      </c>
      <c r="CW969" s="25">
        <v>15.793460845947269</v>
      </c>
      <c r="CX969" s="25">
        <v>50.920269012451172</v>
      </c>
      <c r="CY969" s="25">
        <v>70.150154113769531</v>
      </c>
      <c r="CZ969" s="25">
        <v>31.554569244384769</v>
      </c>
      <c r="DA969" s="25">
        <v>81.0849609375</v>
      </c>
      <c r="DB969" s="25">
        <v>54.989219665527337</v>
      </c>
      <c r="DC969">
        <v>46</v>
      </c>
      <c r="DD969" s="253" t="s">
        <v>380</v>
      </c>
    </row>
    <row r="970" spans="1:108" hidden="1">
      <c r="A970" s="13">
        <v>27025</v>
      </c>
      <c r="B970" s="13" t="s">
        <v>2345</v>
      </c>
      <c r="C970" s="13" t="s">
        <v>1714</v>
      </c>
      <c r="D970" s="13" t="s">
        <v>1715</v>
      </c>
      <c r="E970" s="13" t="s">
        <v>2346</v>
      </c>
      <c r="F970" s="14">
        <v>66.472899999999996</v>
      </c>
      <c r="G970" s="13">
        <v>68.17</v>
      </c>
      <c r="H970" s="13">
        <v>27.02</v>
      </c>
      <c r="I970" s="13">
        <v>25.74</v>
      </c>
      <c r="J970" s="14">
        <v>48.612460129131051</v>
      </c>
      <c r="K970" s="14">
        <v>45.083843795451727</v>
      </c>
      <c r="L970" s="14">
        <v>59.16940148032873</v>
      </c>
      <c r="M970" s="14">
        <v>50.751199999999997</v>
      </c>
      <c r="N970" s="14">
        <f t="shared" si="405"/>
        <v>46.850725000000004</v>
      </c>
      <c r="O970" s="14">
        <f t="shared" si="406"/>
        <v>50.904226351227877</v>
      </c>
      <c r="P970" s="14">
        <f t="shared" si="422"/>
        <v>48.877475675613937</v>
      </c>
      <c r="Q970" s="14">
        <v>66.480236348278893</v>
      </c>
      <c r="R970" s="17">
        <f t="shared" si="407"/>
        <v>33.519763651721107</v>
      </c>
      <c r="S970" s="14">
        <f t="shared" si="423"/>
        <v>0.40167787286548995</v>
      </c>
      <c r="T970" s="13">
        <v>0</v>
      </c>
      <c r="U970" s="13">
        <f t="shared" si="424"/>
        <v>19.633000460415332</v>
      </c>
      <c r="V970" s="13">
        <f>IF($T970=1,$AU970,(VLOOKUP(U970,'Cortes naturales'!$A$35:$C$39,3,9)))</f>
        <v>5</v>
      </c>
      <c r="W970" s="13">
        <v>5</v>
      </c>
      <c r="X970" s="14" t="b">
        <f t="shared" si="408"/>
        <v>1</v>
      </c>
      <c r="Y970" s="17">
        <f>IF($T970=1,$AU970,VLOOKUP(U970,'Cortes naturales'!$A$45:$C$49,3,9))</f>
        <v>5</v>
      </c>
      <c r="Z970" s="14">
        <v>52.575292795567208</v>
      </c>
      <c r="AA970" s="14">
        <v>0.41060999317403513</v>
      </c>
      <c r="AB970" s="14">
        <v>21.58794061591075</v>
      </c>
      <c r="AC970" s="13">
        <v>4</v>
      </c>
      <c r="AD970" s="13">
        <f t="shared" si="409"/>
        <v>-1</v>
      </c>
      <c r="AE970" s="14">
        <f t="shared" si="410"/>
        <v>-3.697817119953271</v>
      </c>
      <c r="AF970" s="14">
        <f t="shared" si="411"/>
        <v>-8.9321203085451772E-3</v>
      </c>
      <c r="AG970" s="13">
        <f t="shared" si="412"/>
        <v>-1.954940155495418</v>
      </c>
      <c r="AH970" s="13">
        <f>IF($T970=1,$AU970,VLOOKUP(U970,'Cortes naturales'!$A$25:$C$29,3,9))</f>
        <v>5</v>
      </c>
      <c r="AI970" s="13" t="b">
        <f t="shared" si="413"/>
        <v>1</v>
      </c>
      <c r="AJ970" s="13" t="str">
        <f t="shared" si="414"/>
        <v>Efecto ponderador</v>
      </c>
      <c r="AK970" s="28">
        <v>0.6523467210059386</v>
      </c>
      <c r="AL970" s="28">
        <v>34.297319861115412</v>
      </c>
      <c r="AM970" s="28">
        <v>0.25839730683777401</v>
      </c>
      <c r="AN970" s="13">
        <v>4</v>
      </c>
      <c r="AO970" s="33">
        <f t="shared" si="415"/>
        <v>-1</v>
      </c>
      <c r="AP970" s="13">
        <f t="shared" si="425"/>
        <v>25.8397306837774</v>
      </c>
      <c r="AQ970" s="13">
        <f>IFERROR(VLOOKUP(U970,'Cortes naturales'!$E$15:$G$19,3,9),U970)</f>
        <v>4</v>
      </c>
      <c r="AR970" s="28">
        <f t="shared" si="416"/>
        <v>-0.25066884814044865</v>
      </c>
      <c r="AS970" s="13" t="b">
        <f t="shared" si="417"/>
        <v>0</v>
      </c>
      <c r="AT970" s="13" t="str">
        <f t="shared" si="426"/>
        <v>Cambio en corte</v>
      </c>
      <c r="AU970" s="13">
        <v>4</v>
      </c>
      <c r="AV970">
        <f t="shared" si="418"/>
        <v>-1</v>
      </c>
      <c r="AW970" s="13">
        <v>0</v>
      </c>
      <c r="AX970" s="13">
        <v>0</v>
      </c>
      <c r="AY970" s="13">
        <v>0</v>
      </c>
      <c r="AZ970" s="13">
        <v>0</v>
      </c>
      <c r="BA970">
        <v>0</v>
      </c>
      <c r="BB970" t="s">
        <v>2841</v>
      </c>
      <c r="BC970">
        <v>6</v>
      </c>
      <c r="BD970" t="s">
        <v>2919</v>
      </c>
      <c r="BE970">
        <v>0</v>
      </c>
      <c r="BF970" s="232" t="s">
        <v>2846</v>
      </c>
      <c r="BG970" s="232" t="s">
        <v>2846</v>
      </c>
      <c r="BH970" s="253">
        <v>90.6</v>
      </c>
      <c r="BI970" s="253">
        <v>77.84921098772648</v>
      </c>
      <c r="BJ970" s="25" t="s">
        <v>2849</v>
      </c>
      <c r="BK970" t="s">
        <v>2849</v>
      </c>
      <c r="BL970">
        <v>11.145847100912404</v>
      </c>
      <c r="BM970" t="s">
        <v>379</v>
      </c>
      <c r="BN970" s="322">
        <v>80277.931677999994</v>
      </c>
      <c r="BO970" s="322">
        <v>1148.630418</v>
      </c>
      <c r="BP970" s="10">
        <v>28940</v>
      </c>
      <c r="BQ970" s="254">
        <f t="shared" si="419"/>
        <v>2.7739437345542499</v>
      </c>
      <c r="BR970" s="254">
        <f t="shared" si="420"/>
        <v>3.9690062819626816E-2</v>
      </c>
      <c r="BS970" s="25">
        <v>60.822439262134417</v>
      </c>
      <c r="BT970" s="25">
        <v>74.18920958604707</v>
      </c>
      <c r="BU970" s="25">
        <v>49.755817805383003</v>
      </c>
      <c r="BV970" s="25">
        <v>100.12821986349211</v>
      </c>
      <c r="BW970" s="25">
        <v>37.142652981329292</v>
      </c>
      <c r="BX970" s="25">
        <v>71.223921629264154</v>
      </c>
      <c r="BY970" s="25">
        <v>38.695987030446837</v>
      </c>
      <c r="BZ970">
        <v>38</v>
      </c>
      <c r="CA970">
        <v>0</v>
      </c>
      <c r="CB970">
        <v>7</v>
      </c>
      <c r="CC970">
        <v>205187.78937300001</v>
      </c>
      <c r="CD970" s="10">
        <v>24249.291022000001</v>
      </c>
      <c r="CE970" s="255">
        <v>0.1181809653298545</v>
      </c>
      <c r="CF970" t="str">
        <f>IFERROR(VLOOKUP(CE970,'Rangos amb etnico'!$A$2:$C$6,3,9),"N.D.")</f>
        <v>0,1% - 30%</v>
      </c>
      <c r="CG970" s="256">
        <v>7.0550328753912967E-4</v>
      </c>
      <c r="CH970" s="232">
        <v>201446.28522200001</v>
      </c>
      <c r="CI970" s="311">
        <f t="shared" si="427"/>
        <v>0.98176546390780339</v>
      </c>
      <c r="CJ970" s="232" t="str">
        <f>IFERROR(VLOOKUP(CI970,'Rangos amb etnico'!$A$2:$C$6,3,9),"N.D.")</f>
        <v>71% - 100%</v>
      </c>
      <c r="CK970" s="311">
        <f t="shared" si="428"/>
        <v>7.9987364325292722E-3</v>
      </c>
      <c r="CL970" s="10">
        <v>0</v>
      </c>
      <c r="CM970" s="255">
        <f t="shared" si="429"/>
        <v>0</v>
      </c>
      <c r="CN970" s="232">
        <f>IFERROR(VLOOKUP(CM970,'Rangos amb etnico'!$A$2:$C$6,3,9),"N.D.")</f>
        <v>0</v>
      </c>
      <c r="CO970" s="311">
        <f t="shared" si="430"/>
        <v>0</v>
      </c>
      <c r="CP970">
        <v>0.87455421885539431</v>
      </c>
      <c r="CQ970" t="s">
        <v>2864</v>
      </c>
      <c r="CR970">
        <f t="shared" si="421"/>
        <v>1</v>
      </c>
      <c r="CS970" t="str">
        <f t="shared" si="431"/>
        <v>No es Candidato</v>
      </c>
      <c r="CT970">
        <v>0</v>
      </c>
      <c r="CU970">
        <v>0</v>
      </c>
      <c r="CV970" s="25">
        <v>35.581195831298828</v>
      </c>
      <c r="CW970" s="25">
        <v>10.80598258972168</v>
      </c>
      <c r="CX970" s="25">
        <v>47.777259826660163</v>
      </c>
      <c r="CY970" s="25">
        <v>14.42169189453125</v>
      </c>
      <c r="CZ970" s="25">
        <v>8.177403450012207</v>
      </c>
      <c r="DA970" s="25">
        <v>96.205009460449219</v>
      </c>
      <c r="DB970" s="25">
        <v>36.099830627441413</v>
      </c>
      <c r="DC970">
        <v>27348</v>
      </c>
      <c r="DD970" s="253" t="s">
        <v>380</v>
      </c>
    </row>
    <row r="971" spans="1:108" hidden="1">
      <c r="A971" s="13">
        <v>13744</v>
      </c>
      <c r="B971" s="13" t="s">
        <v>2347</v>
      </c>
      <c r="C971" s="13" t="s">
        <v>480</v>
      </c>
      <c r="D971" s="13" t="s">
        <v>481</v>
      </c>
      <c r="E971" s="13" t="s">
        <v>2348</v>
      </c>
      <c r="F971" s="14">
        <v>59.451733333333301</v>
      </c>
      <c r="G971" s="13">
        <v>41</v>
      </c>
      <c r="H971" s="13">
        <v>49.78</v>
      </c>
      <c r="I971" s="13">
        <v>42.83</v>
      </c>
      <c r="J971" s="14">
        <v>39.426516472914287</v>
      </c>
      <c r="K971" s="14">
        <v>53.121705888832345</v>
      </c>
      <c r="L971" s="14">
        <v>51.362446437023024</v>
      </c>
      <c r="M971" s="14">
        <v>63.857799999999997</v>
      </c>
      <c r="N971" s="14">
        <f t="shared" si="405"/>
        <v>48.26543333333332</v>
      </c>
      <c r="O971" s="14">
        <f t="shared" si="406"/>
        <v>51.942117199692419</v>
      </c>
      <c r="P971" s="14">
        <f t="shared" si="422"/>
        <v>50.103775266512869</v>
      </c>
      <c r="Q971" s="14">
        <v>66.571053666508703</v>
      </c>
      <c r="R971" s="17">
        <f t="shared" si="407"/>
        <v>33.428946333491297</v>
      </c>
      <c r="S971" s="14">
        <f t="shared" si="423"/>
        <v>0.40086051700142167</v>
      </c>
      <c r="T971" s="13">
        <v>0</v>
      </c>
      <c r="U971" s="13">
        <f t="shared" si="424"/>
        <v>20.084625257057393</v>
      </c>
      <c r="V971" s="13">
        <f>IF($T971=1,$AU971,(VLOOKUP(U971,'Cortes naturales'!$A$35:$C$39,3,9)))</f>
        <v>5</v>
      </c>
      <c r="W971" s="13">
        <v>5</v>
      </c>
      <c r="X971" s="14" t="b">
        <f t="shared" si="408"/>
        <v>1</v>
      </c>
      <c r="Y971" s="17">
        <f>IF($T971=1,$AU971,VLOOKUP(U971,'Cortes naturales'!$A$45:$C$49,3,9))</f>
        <v>5</v>
      </c>
      <c r="Z971" s="14">
        <v>51.500474960659076</v>
      </c>
      <c r="AA971" s="14">
        <v>0.41041428780234712</v>
      </c>
      <c r="AB971" s="14">
        <v>21.136530752461507</v>
      </c>
      <c r="AC971" s="13">
        <v>4</v>
      </c>
      <c r="AD971" s="13">
        <f t="shared" si="409"/>
        <v>-1</v>
      </c>
      <c r="AE971" s="14">
        <f t="shared" si="410"/>
        <v>-1.3966996941462071</v>
      </c>
      <c r="AF971" s="14">
        <f t="shared" si="411"/>
        <v>-9.5537708009254541E-3</v>
      </c>
      <c r="AG971" s="13">
        <f t="shared" si="412"/>
        <v>-1.0519054954041138</v>
      </c>
      <c r="AH971" s="13">
        <f>IF($T971=1,$AU971,VLOOKUP(U971,'Cortes naturales'!$A$25:$C$29,3,9))</f>
        <v>5</v>
      </c>
      <c r="AI971" s="13" t="b">
        <f t="shared" si="413"/>
        <v>1</v>
      </c>
      <c r="AJ971" s="13" t="str">
        <f t="shared" si="414"/>
        <v>Efecto ponderador</v>
      </c>
      <c r="AK971" s="28">
        <v>0.6523467210059386</v>
      </c>
      <c r="AL971" s="28">
        <v>33.596165970834392</v>
      </c>
      <c r="AM971" s="28">
        <v>0.24962661075622436</v>
      </c>
      <c r="AN971" s="13">
        <v>4</v>
      </c>
      <c r="AO971" s="33">
        <f t="shared" si="415"/>
        <v>-1</v>
      </c>
      <c r="AP971" s="13">
        <f t="shared" si="425"/>
        <v>24.962661075622435</v>
      </c>
      <c r="AQ971" s="13">
        <f>IFERROR(VLOOKUP(U971,'Cortes naturales'!$E$15:$G$19,3,9),U971)</f>
        <v>4</v>
      </c>
      <c r="AR971" s="28">
        <f t="shared" si="416"/>
        <v>-0.25148620400451693</v>
      </c>
      <c r="AS971" s="13" t="b">
        <f t="shared" si="417"/>
        <v>0</v>
      </c>
      <c r="AT971" s="13" t="str">
        <f t="shared" si="426"/>
        <v>Cambio en corte</v>
      </c>
      <c r="AU971" s="13">
        <v>4</v>
      </c>
      <c r="AV971">
        <f t="shared" si="418"/>
        <v>-1</v>
      </c>
      <c r="AW971" s="13">
        <v>0</v>
      </c>
      <c r="AX971" s="13">
        <v>0</v>
      </c>
      <c r="AY971" s="13">
        <v>0</v>
      </c>
      <c r="AZ971" s="13">
        <v>1</v>
      </c>
      <c r="BA971">
        <v>1</v>
      </c>
      <c r="BB971" t="s">
        <v>2840</v>
      </c>
      <c r="BC971">
        <v>6</v>
      </c>
      <c r="BD971" t="s">
        <v>2919</v>
      </c>
      <c r="BE971">
        <v>0</v>
      </c>
      <c r="BF971" s="232" t="s">
        <v>2846</v>
      </c>
      <c r="BG971" s="232" t="s">
        <v>2845</v>
      </c>
      <c r="BH971" s="253">
        <v>54.8</v>
      </c>
      <c r="BI971" s="253">
        <v>34.591194968553459</v>
      </c>
      <c r="BJ971" s="25">
        <v>0.22225806451612906</v>
      </c>
      <c r="BK971" t="s">
        <v>381</v>
      </c>
      <c r="BL971">
        <v>18.156357099704088</v>
      </c>
      <c r="BM971" t="s">
        <v>376</v>
      </c>
      <c r="BN971" s="322">
        <v>40497.272886999999</v>
      </c>
      <c r="BO971" s="322">
        <v>3231.5495559999999</v>
      </c>
      <c r="BP971" s="10">
        <v>18510</v>
      </c>
      <c r="BQ971" s="254">
        <f t="shared" si="419"/>
        <v>2.1878591511075096</v>
      </c>
      <c r="BR971" s="254">
        <f t="shared" si="420"/>
        <v>0.17458398465694219</v>
      </c>
      <c r="BS971" s="25">
        <v>59.376026527796903</v>
      </c>
      <c r="BT971" s="25">
        <v>99.955791335101665</v>
      </c>
      <c r="BU971" s="25">
        <v>15.8396135816546</v>
      </c>
      <c r="BV971" s="25">
        <v>86.545908307973775</v>
      </c>
      <c r="BW971" s="25">
        <v>31.472663581663831</v>
      </c>
      <c r="BX971" s="25">
        <v>65.429334938131731</v>
      </c>
      <c r="BY971" s="25">
        <v>31.696114376304529</v>
      </c>
      <c r="BZ971">
        <v>8</v>
      </c>
      <c r="CA971">
        <v>0</v>
      </c>
      <c r="CB971">
        <v>6</v>
      </c>
      <c r="CC971">
        <v>135283.547674</v>
      </c>
      <c r="CD971" s="10">
        <v>19346.110422000002</v>
      </c>
      <c r="CE971" s="255">
        <v>0.14300416240280273</v>
      </c>
      <c r="CF971" t="str">
        <f>IFERROR(VLOOKUP(CE971,'Rangos amb etnico'!$A$2:$C$6,3,9),"N.D.")</f>
        <v>0,1% - 30%</v>
      </c>
      <c r="CG971" s="256">
        <v>5.6285128053571918E-4</v>
      </c>
      <c r="CH971" s="232">
        <v>0</v>
      </c>
      <c r="CI971" s="311">
        <f t="shared" si="427"/>
        <v>0</v>
      </c>
      <c r="CJ971" s="232">
        <f>IFERROR(VLOOKUP(CI971,'Rangos amb etnico'!$A$2:$C$6,3,9),"N.D.")</f>
        <v>0</v>
      </c>
      <c r="CK971" s="311">
        <f t="shared" si="428"/>
        <v>0</v>
      </c>
      <c r="CL971" s="10">
        <v>634.43037888599895</v>
      </c>
      <c r="CM971" s="255">
        <f t="shared" si="429"/>
        <v>4.6896343997040926E-3</v>
      </c>
      <c r="CN971" s="232" t="str">
        <f>IFERROR(VLOOKUP(CM971,'Rangos amb etnico'!$A$2:$C$6,3,9),"N.D.")</f>
        <v>0,1% - 30%</v>
      </c>
      <c r="CO971" s="311">
        <f t="shared" si="430"/>
        <v>3.9785569744390511E-4</v>
      </c>
      <c r="CP971">
        <v>0.8951614942227526</v>
      </c>
      <c r="CQ971" t="s">
        <v>2864</v>
      </c>
      <c r="CR971">
        <f t="shared" si="421"/>
        <v>2</v>
      </c>
      <c r="CS971" t="str">
        <f t="shared" si="431"/>
        <v>No es Candidato</v>
      </c>
      <c r="CT971">
        <v>0</v>
      </c>
      <c r="CU971">
        <v>0</v>
      </c>
      <c r="CV971" s="25">
        <v>45.565525054931641</v>
      </c>
      <c r="CW971" s="25">
        <v>17.364076614379879</v>
      </c>
      <c r="CX971" s="25">
        <v>45.085395812988281</v>
      </c>
      <c r="CY971" s="25">
        <v>71.125297546386719</v>
      </c>
      <c r="CZ971" s="25">
        <v>32.881626129150391</v>
      </c>
      <c r="DA971" s="25">
        <v>63.302509307861328</v>
      </c>
      <c r="DB971" s="25">
        <v>43.634250640869141</v>
      </c>
      <c r="DC971">
        <v>668</v>
      </c>
      <c r="DD971" s="253" t="s">
        <v>380</v>
      </c>
    </row>
    <row r="972" spans="1:108" hidden="1">
      <c r="A972" s="13">
        <v>52390</v>
      </c>
      <c r="B972" s="13" t="s">
        <v>2349</v>
      </c>
      <c r="C972" s="13" t="s">
        <v>672</v>
      </c>
      <c r="D972" s="13" t="s">
        <v>673</v>
      </c>
      <c r="E972" s="13" t="s">
        <v>2350</v>
      </c>
      <c r="F972" s="14">
        <v>50.885100000000001</v>
      </c>
      <c r="G972" s="13">
        <v>53.1</v>
      </c>
      <c r="H972" s="13">
        <v>47.8</v>
      </c>
      <c r="I972" s="13">
        <v>0</v>
      </c>
      <c r="J972" s="14">
        <v>40.396620282562353</v>
      </c>
      <c r="K972" s="14">
        <v>59.622003358889629</v>
      </c>
      <c r="L972" s="14">
        <v>61.184071282459271</v>
      </c>
      <c r="M972" s="14">
        <v>57.549399999999999</v>
      </c>
      <c r="N972" s="14">
        <f t="shared" si="405"/>
        <v>37.946275</v>
      </c>
      <c r="O972" s="14">
        <f t="shared" si="406"/>
        <v>54.688023730977811</v>
      </c>
      <c r="P972" s="14">
        <f t="shared" si="422"/>
        <v>46.317149365488902</v>
      </c>
      <c r="Q972" s="14">
        <v>65.948252646001961</v>
      </c>
      <c r="R972" s="17">
        <f t="shared" si="407"/>
        <v>34.051747353998039</v>
      </c>
      <c r="S972" s="14">
        <f t="shared" si="423"/>
        <v>0.40646572618598242</v>
      </c>
      <c r="T972" s="13">
        <v>0</v>
      </c>
      <c r="U972" s="13">
        <f t="shared" si="424"/>
        <v>18.826333751708063</v>
      </c>
      <c r="V972" s="13">
        <f>IF($T972=1,$AU972,(VLOOKUP(U972,'Cortes naturales'!$A$35:$C$39,3,9)))</f>
        <v>5</v>
      </c>
      <c r="W972" s="13">
        <v>5</v>
      </c>
      <c r="X972" s="14" t="b">
        <f t="shared" si="408"/>
        <v>1</v>
      </c>
      <c r="Y972" s="17">
        <f>IF($T972=1,$AU972,VLOOKUP(U972,'Cortes naturales'!$A$45:$C$49,3,9))</f>
        <v>5</v>
      </c>
      <c r="Z972" s="14">
        <v>53.295159005854167</v>
      </c>
      <c r="AA972" s="14">
        <v>0.4100416833687579</v>
      </c>
      <c r="AB972" s="14">
        <v>21.853236714166062</v>
      </c>
      <c r="AC972" s="13">
        <v>4</v>
      </c>
      <c r="AD972" s="13">
        <f t="shared" si="409"/>
        <v>-1</v>
      </c>
      <c r="AE972" s="14">
        <f t="shared" si="410"/>
        <v>-6.9780096403652649</v>
      </c>
      <c r="AF972" s="14">
        <f t="shared" si="411"/>
        <v>-3.5759571827754799E-3</v>
      </c>
      <c r="AG972" s="13">
        <f t="shared" si="412"/>
        <v>-3.0269029624579993</v>
      </c>
      <c r="AH972" s="13">
        <f>IF($T972=1,$AU972,VLOOKUP(U972,'Cortes naturales'!$A$25:$C$29,3,9))</f>
        <v>5</v>
      </c>
      <c r="AI972" s="13" t="b">
        <f t="shared" si="413"/>
        <v>1</v>
      </c>
      <c r="AJ972" s="13" t="str">
        <f t="shared" si="414"/>
        <v>Efecto ponderador</v>
      </c>
      <c r="AK972" s="28">
        <v>0.6523467210059386</v>
      </c>
      <c r="AL972" s="28">
        <v>34.766922222959082</v>
      </c>
      <c r="AM972" s="28">
        <v>0.26427153737689002</v>
      </c>
      <c r="AN972" s="13">
        <v>4</v>
      </c>
      <c r="AO972" s="33">
        <f t="shared" si="415"/>
        <v>-1</v>
      </c>
      <c r="AP972" s="13">
        <f t="shared" si="425"/>
        <v>26.427153737689004</v>
      </c>
      <c r="AQ972" s="13">
        <f>IFERROR(VLOOKUP(U972,'Cortes naturales'!$E$15:$G$19,3,9),U972)</f>
        <v>4</v>
      </c>
      <c r="AR972" s="28">
        <f t="shared" si="416"/>
        <v>-0.24588099481995618</v>
      </c>
      <c r="AS972" s="13" t="b">
        <f t="shared" si="417"/>
        <v>0</v>
      </c>
      <c r="AT972" s="13" t="str">
        <f t="shared" si="426"/>
        <v>Cambio en corte</v>
      </c>
      <c r="AU972" s="13">
        <v>4</v>
      </c>
      <c r="AV972">
        <f t="shared" si="418"/>
        <v>-1</v>
      </c>
      <c r="AW972" s="13">
        <v>0</v>
      </c>
      <c r="AX972" s="13">
        <v>0</v>
      </c>
      <c r="AY972" s="13">
        <v>0</v>
      </c>
      <c r="AZ972" s="13">
        <v>1</v>
      </c>
      <c r="BA972">
        <v>1</v>
      </c>
      <c r="BB972" t="s">
        <v>2840</v>
      </c>
      <c r="BC972">
        <v>6</v>
      </c>
      <c r="BD972" t="s">
        <v>2919</v>
      </c>
      <c r="BE972">
        <v>1</v>
      </c>
      <c r="BF972" s="232" t="s">
        <v>2846</v>
      </c>
      <c r="BG972" s="232" t="s">
        <v>2846</v>
      </c>
      <c r="BH972" s="253">
        <v>73.900000000000006</v>
      </c>
      <c r="BI972" s="253">
        <v>82.298614674191896</v>
      </c>
      <c r="BJ972" s="25">
        <v>21.275643403813724</v>
      </c>
      <c r="BK972" t="s">
        <v>379</v>
      </c>
      <c r="BL972">
        <v>20.522909523143024</v>
      </c>
      <c r="BM972" t="s">
        <v>376</v>
      </c>
      <c r="BN972" s="322">
        <v>32027.786158999999</v>
      </c>
      <c r="BO972" s="322">
        <v>558.82152699999995</v>
      </c>
      <c r="BP972" s="10">
        <v>7838</v>
      </c>
      <c r="BQ972" s="254">
        <f t="shared" si="419"/>
        <v>4.0862192088542999</v>
      </c>
      <c r="BR972" s="254">
        <f t="shared" si="420"/>
        <v>7.1296443863230405E-2</v>
      </c>
      <c r="BS972" s="25">
        <v>45.174195831764663</v>
      </c>
      <c r="BT972" s="25">
        <v>82.18163563834311</v>
      </c>
      <c r="BU972" s="25">
        <v>64.046666666666667</v>
      </c>
      <c r="BV972" s="25">
        <v>93.133969257601052</v>
      </c>
      <c r="BW972" s="25">
        <v>49.074222364076171</v>
      </c>
      <c r="BX972" s="25">
        <v>71.134116848593877</v>
      </c>
      <c r="BY972" s="25">
        <v>49.217512612226031</v>
      </c>
      <c r="BZ972">
        <v>97</v>
      </c>
      <c r="CA972">
        <v>0</v>
      </c>
      <c r="CB972">
        <v>7</v>
      </c>
      <c r="CC972">
        <v>41653.210279999999</v>
      </c>
      <c r="CD972" s="10">
        <v>22741.741170000001</v>
      </c>
      <c r="CE972" s="255">
        <v>0.54597811350256387</v>
      </c>
      <c r="CF972" t="str">
        <f>IFERROR(VLOOKUP(CE972,'Rangos amb etnico'!$A$2:$C$6,3,9),"N.D.")</f>
        <v>51% - 70%</v>
      </c>
      <c r="CG972" s="256">
        <v>6.6164297938619426E-4</v>
      </c>
      <c r="CH972" s="232">
        <v>21754.837538</v>
      </c>
      <c r="CI972" s="311">
        <f t="shared" si="427"/>
        <v>0.52228477449301658</v>
      </c>
      <c r="CJ972" s="232" t="str">
        <f>IFERROR(VLOOKUP(CI972,'Rangos amb etnico'!$A$2:$C$6,3,9),"N.D.")</f>
        <v>51% - 70%</v>
      </c>
      <c r="CK972" s="311">
        <f t="shared" si="428"/>
        <v>8.6380948354143291E-4</v>
      </c>
      <c r="CL972" s="10">
        <v>0</v>
      </c>
      <c r="CM972" s="255">
        <f t="shared" si="429"/>
        <v>0</v>
      </c>
      <c r="CN972" s="232">
        <f>IFERROR(VLOOKUP(CM972,'Rangos amb etnico'!$A$2:$C$6,3,9),"N.D.")</f>
        <v>0</v>
      </c>
      <c r="CO972" s="311">
        <f t="shared" si="430"/>
        <v>0</v>
      </c>
      <c r="CP972">
        <v>0.90592027074812942</v>
      </c>
      <c r="CQ972" t="s">
        <v>2864</v>
      </c>
      <c r="CR972">
        <f t="shared" si="421"/>
        <v>1</v>
      </c>
      <c r="CS972" t="str">
        <f t="shared" si="431"/>
        <v>No es Candidato</v>
      </c>
      <c r="CT972">
        <v>0</v>
      </c>
      <c r="CU972">
        <v>0</v>
      </c>
      <c r="CV972" s="25">
        <v>37.587646484375</v>
      </c>
      <c r="CW972" s="25">
        <v>15.21700382232666</v>
      </c>
      <c r="CX972" s="25">
        <v>40.599822998046882</v>
      </c>
      <c r="CY972" s="25">
        <v>37.028495788574219</v>
      </c>
      <c r="CZ972" s="25">
        <v>28.6486930847168</v>
      </c>
      <c r="DA972" s="25">
        <v>62.15289306640625</v>
      </c>
      <c r="DB972" s="25">
        <v>41.878978729248047</v>
      </c>
      <c r="DC972">
        <v>7399</v>
      </c>
      <c r="DD972" s="253" t="s">
        <v>380</v>
      </c>
    </row>
    <row r="973" spans="1:108" hidden="1">
      <c r="A973" s="13">
        <v>18256</v>
      </c>
      <c r="B973" s="13" t="s">
        <v>2351</v>
      </c>
      <c r="C973" s="13" t="s">
        <v>1463</v>
      </c>
      <c r="D973" s="13" t="s">
        <v>1464</v>
      </c>
      <c r="E973" s="13" t="s">
        <v>2352</v>
      </c>
      <c r="F973" s="14">
        <v>55.621866666666698</v>
      </c>
      <c r="G973" s="13">
        <v>56.99</v>
      </c>
      <c r="H973" s="13">
        <v>52.56</v>
      </c>
      <c r="I973" s="13">
        <v>69.64</v>
      </c>
      <c r="J973" s="14">
        <v>50.469509979317898</v>
      </c>
      <c r="K973" s="14">
        <v>59.921384726868979</v>
      </c>
      <c r="L973" s="14">
        <v>55.473450242639714</v>
      </c>
      <c r="M973" s="14">
        <v>55.532400000000003</v>
      </c>
      <c r="N973" s="14">
        <f t="shared" si="405"/>
        <v>58.702966666666669</v>
      </c>
      <c r="O973" s="14">
        <f t="shared" si="406"/>
        <v>55.349186237206652</v>
      </c>
      <c r="P973" s="14">
        <f t="shared" si="422"/>
        <v>57.02607645193666</v>
      </c>
      <c r="Q973" s="14">
        <v>65.915901514160012</v>
      </c>
      <c r="R973" s="17">
        <f t="shared" si="407"/>
        <v>34.084098485839988</v>
      </c>
      <c r="S973" s="14">
        <f t="shared" si="423"/>
        <v>0.40675688637255991</v>
      </c>
      <c r="T973" s="13">
        <v>0</v>
      </c>
      <c r="U973" s="13">
        <f t="shared" si="424"/>
        <v>23.195749299633313</v>
      </c>
      <c r="V973" s="13">
        <f>IF($T973=1,$AU973,(VLOOKUP(U973,'Cortes naturales'!$A$35:$C$39,3,9)))</f>
        <v>4</v>
      </c>
      <c r="W973" s="13">
        <v>4</v>
      </c>
      <c r="X973" s="14" t="b">
        <f t="shared" si="408"/>
        <v>1</v>
      </c>
      <c r="Y973" s="17">
        <f>IF($T973=1,$AU973,VLOOKUP(U973,'Cortes naturales'!$A$45:$C$49,3,9))</f>
        <v>4</v>
      </c>
      <c r="Z973" s="14">
        <v>54.231857391385901</v>
      </c>
      <c r="AA973" s="14">
        <v>0.40988263955148718</v>
      </c>
      <c r="AB973" s="14">
        <v>22.228696855361083</v>
      </c>
      <c r="AC973" s="13">
        <v>4</v>
      </c>
      <c r="AD973" s="13">
        <f t="shared" si="409"/>
        <v>0</v>
      </c>
      <c r="AE973" s="14">
        <f t="shared" si="410"/>
        <v>2.7942190605507591</v>
      </c>
      <c r="AF973" s="14">
        <f t="shared" si="411"/>
        <v>-3.1257531789272708E-3</v>
      </c>
      <c r="AG973" s="13">
        <f t="shared" si="412"/>
        <v>0.96705244427223036</v>
      </c>
      <c r="AH973" s="13">
        <f>IF($T973=1,$AU973,VLOOKUP(U973,'Cortes naturales'!$A$25:$C$29,3,9))</f>
        <v>4</v>
      </c>
      <c r="AI973" s="13" t="b">
        <f t="shared" si="413"/>
        <v>1</v>
      </c>
      <c r="AJ973" s="13">
        <f t="shared" si="414"/>
        <v>0</v>
      </c>
      <c r="AK973" s="28">
        <v>0.6523467210059386</v>
      </c>
      <c r="AL973" s="28">
        <v>35.377974343332269</v>
      </c>
      <c r="AM973" s="28">
        <v>0.27191515529311056</v>
      </c>
      <c r="AN973" s="13">
        <v>4</v>
      </c>
      <c r="AO973" s="33">
        <f t="shared" si="415"/>
        <v>0</v>
      </c>
      <c r="AP973" s="13">
        <f t="shared" si="425"/>
        <v>27.191515529311054</v>
      </c>
      <c r="AQ973" s="13">
        <f>IFERROR(VLOOKUP(U973,'Cortes naturales'!$E$15:$G$19,3,9),U973)</f>
        <v>4</v>
      </c>
      <c r="AR973" s="28">
        <f t="shared" si="416"/>
        <v>-0.24558983463337869</v>
      </c>
      <c r="AS973" s="13" t="b">
        <f t="shared" si="417"/>
        <v>1</v>
      </c>
      <c r="AT973" s="13">
        <f t="shared" si="426"/>
        <v>0</v>
      </c>
      <c r="AU973" s="13">
        <v>4</v>
      </c>
      <c r="AV973">
        <f t="shared" si="418"/>
        <v>0</v>
      </c>
      <c r="AW973" s="13">
        <v>0</v>
      </c>
      <c r="AX973" s="13">
        <v>0</v>
      </c>
      <c r="AY973" s="13">
        <v>0</v>
      </c>
      <c r="AZ973" s="13">
        <v>1</v>
      </c>
      <c r="BA973">
        <v>1</v>
      </c>
      <c r="BB973" t="s">
        <v>2840</v>
      </c>
      <c r="BC973">
        <v>6</v>
      </c>
      <c r="BD973" t="s">
        <v>2919</v>
      </c>
      <c r="BE973">
        <v>1</v>
      </c>
      <c r="BF973" s="232" t="s">
        <v>2846</v>
      </c>
      <c r="BG973" s="232" t="s">
        <v>2846</v>
      </c>
      <c r="BH973" s="253">
        <v>45.5</v>
      </c>
      <c r="BI973" s="253">
        <v>24.286382779597567</v>
      </c>
      <c r="BJ973" s="25">
        <v>2.1500000000000004</v>
      </c>
      <c r="BK973" t="s">
        <v>381</v>
      </c>
      <c r="BL973">
        <v>7.0533584602694255</v>
      </c>
      <c r="BM973" t="s">
        <v>379</v>
      </c>
      <c r="BN973" s="322">
        <v>37801.355753000003</v>
      </c>
      <c r="BO973" s="322">
        <v>3182.6480329999999</v>
      </c>
      <c r="BP973" s="10">
        <v>18838</v>
      </c>
      <c r="BQ973" s="254">
        <f t="shared" si="419"/>
        <v>2.0066544088013591</v>
      </c>
      <c r="BR973" s="254">
        <f t="shared" si="420"/>
        <v>0.16894829774923029</v>
      </c>
      <c r="BS973" s="25">
        <v>49.171827929210963</v>
      </c>
      <c r="BT973" s="25">
        <v>85.687442990409451</v>
      </c>
      <c r="BU973" s="25">
        <v>36.615905575905558</v>
      </c>
      <c r="BV973" s="25">
        <v>94.239077308912158</v>
      </c>
      <c r="BW973" s="25">
        <v>55.379682723470701</v>
      </c>
      <c r="BX973" s="25">
        <v>66.42856345110954</v>
      </c>
      <c r="BY973" s="25">
        <v>57.272681306179287</v>
      </c>
      <c r="BZ973">
        <v>3</v>
      </c>
      <c r="CA973">
        <v>0</v>
      </c>
      <c r="CB973">
        <v>7</v>
      </c>
      <c r="CC973">
        <v>123415.379541</v>
      </c>
      <c r="CD973" s="10">
        <v>32665.305796000001</v>
      </c>
      <c r="CE973" s="255">
        <v>0.26467775667414456</v>
      </c>
      <c r="CF973" t="str">
        <f>IFERROR(VLOOKUP(CE973,'Rangos amb etnico'!$A$2:$C$6,3,9),"N.D.")</f>
        <v>0,1% - 30%</v>
      </c>
      <c r="CG973" s="256">
        <v>9.5035688287303463E-4</v>
      </c>
      <c r="CH973" s="232">
        <v>0</v>
      </c>
      <c r="CI973" s="311">
        <f t="shared" si="427"/>
        <v>0</v>
      </c>
      <c r="CJ973" s="232">
        <f>IFERROR(VLOOKUP(CI973,'Rangos amb etnico'!$A$2:$C$6,3,9),"N.D.")</f>
        <v>0</v>
      </c>
      <c r="CK973" s="311">
        <f t="shared" si="428"/>
        <v>0</v>
      </c>
      <c r="CL973" s="10">
        <v>0</v>
      </c>
      <c r="CM973" s="255">
        <f t="shared" si="429"/>
        <v>0</v>
      </c>
      <c r="CN973" s="232">
        <f>IFERROR(VLOOKUP(CM973,'Rangos amb etnico'!$A$2:$C$6,3,9),"N.D.")</f>
        <v>0</v>
      </c>
      <c r="CO973" s="311">
        <f t="shared" si="430"/>
        <v>0</v>
      </c>
      <c r="CP973">
        <v>0.94474701631269475</v>
      </c>
      <c r="CQ973" t="s">
        <v>2864</v>
      </c>
      <c r="CR973">
        <f t="shared" si="421"/>
        <v>2</v>
      </c>
      <c r="CS973" t="str">
        <f t="shared" si="431"/>
        <v>No es Candidato</v>
      </c>
      <c r="CT973">
        <v>0</v>
      </c>
      <c r="CU973">
        <v>0</v>
      </c>
      <c r="CV973" s="25">
        <v>45.082962036132813</v>
      </c>
      <c r="CW973" s="25">
        <v>25.241352081298832</v>
      </c>
      <c r="CX973" s="25">
        <v>37.372596740722663</v>
      </c>
      <c r="CY973" s="25">
        <v>67.80621337890625</v>
      </c>
      <c r="CZ973" s="25">
        <v>21.122283935546879</v>
      </c>
      <c r="DA973" s="25">
        <v>62.603050231933587</v>
      </c>
      <c r="DB973" s="25">
        <v>56.352272033691413</v>
      </c>
      <c r="DC973">
        <v>872</v>
      </c>
      <c r="DD973" s="253" t="s">
        <v>380</v>
      </c>
    </row>
    <row r="974" spans="1:108" hidden="1">
      <c r="A974" s="13">
        <v>13688</v>
      </c>
      <c r="B974" s="13" t="s">
        <v>2353</v>
      </c>
      <c r="C974" s="13" t="s">
        <v>480</v>
      </c>
      <c r="D974" s="13" t="s">
        <v>481</v>
      </c>
      <c r="E974" s="13" t="s">
        <v>2354</v>
      </c>
      <c r="F974" s="14">
        <v>72.755633333333293</v>
      </c>
      <c r="G974" s="13">
        <v>75.87</v>
      </c>
      <c r="H974" s="13">
        <v>80.28</v>
      </c>
      <c r="I974" s="13">
        <v>81.87</v>
      </c>
      <c r="J974" s="14">
        <v>56.310307850653196</v>
      </c>
      <c r="K974" s="14">
        <v>55.79546218902027</v>
      </c>
      <c r="L974" s="14">
        <v>56.568744192193243</v>
      </c>
      <c r="M974" s="14">
        <v>62.528799999999997</v>
      </c>
      <c r="N974" s="14">
        <f t="shared" si="405"/>
        <v>77.693908333333326</v>
      </c>
      <c r="O974" s="14">
        <f t="shared" si="406"/>
        <v>57.800828557966675</v>
      </c>
      <c r="P974" s="14">
        <f t="shared" si="422"/>
        <v>67.747368445649997</v>
      </c>
      <c r="Q974" s="14">
        <v>66.56034292871567</v>
      </c>
      <c r="R974" s="17">
        <f t="shared" si="407"/>
        <v>33.43965707128433</v>
      </c>
      <c r="S974" s="14">
        <f t="shared" si="423"/>
        <v>0.40095691364155894</v>
      </c>
      <c r="T974" s="13">
        <v>0</v>
      </c>
      <c r="U974" s="13">
        <f t="shared" si="424"/>
        <v>27.163775759305363</v>
      </c>
      <c r="V974" s="13">
        <f>IF($T974=1,$AU974,(VLOOKUP(U974,'Cortes naturales'!$A$35:$C$39,3,9)))</f>
        <v>4</v>
      </c>
      <c r="W974" s="13">
        <v>4</v>
      </c>
      <c r="X974" s="14" t="b">
        <f t="shared" si="408"/>
        <v>1</v>
      </c>
      <c r="Y974" s="17">
        <f>IF($T974=1,$AU974,VLOOKUP(U974,'Cortes naturales'!$A$45:$C$49,3,9))</f>
        <v>4</v>
      </c>
      <c r="Z974" s="14">
        <v>64.583695810639853</v>
      </c>
      <c r="AA974" s="14">
        <v>0.40991316700065061</v>
      </c>
      <c r="AB974" s="14">
        <v>26.473707286346034</v>
      </c>
      <c r="AC974" s="13">
        <v>4</v>
      </c>
      <c r="AD974" s="13">
        <f t="shared" si="409"/>
        <v>0</v>
      </c>
      <c r="AE974" s="14">
        <f t="shared" si="410"/>
        <v>3.1636726350101441</v>
      </c>
      <c r="AF974" s="14">
        <f t="shared" si="411"/>
        <v>-8.9562533590916704E-3</v>
      </c>
      <c r="AG974" s="13">
        <f t="shared" si="412"/>
        <v>0.69006847295932872</v>
      </c>
      <c r="AH974" s="13">
        <f>IF($T974=1,$AU974,VLOOKUP(U974,'Cortes naturales'!$A$25:$C$29,3,9))</f>
        <v>4</v>
      </c>
      <c r="AI974" s="13" t="b">
        <f t="shared" si="413"/>
        <v>1</v>
      </c>
      <c r="AJ974" s="13">
        <f t="shared" si="414"/>
        <v>0</v>
      </c>
      <c r="AK974" s="28">
        <v>0.6523467210059386</v>
      </c>
      <c r="AL974" s="28">
        <v>42.130962192515881</v>
      </c>
      <c r="AM974" s="28">
        <v>0.35638791496623828</v>
      </c>
      <c r="AN974" s="13">
        <v>3</v>
      </c>
      <c r="AO974" s="33">
        <f t="shared" si="415"/>
        <v>-1</v>
      </c>
      <c r="AP974" s="13">
        <f t="shared" si="425"/>
        <v>35.638791496623831</v>
      </c>
      <c r="AQ974" s="13">
        <f>IFERROR(VLOOKUP(U974,'Cortes naturales'!$E$15:$G$19,3,9),U974)</f>
        <v>4</v>
      </c>
      <c r="AR974" s="28">
        <f t="shared" si="416"/>
        <v>-0.25138980736437966</v>
      </c>
      <c r="AS974" s="13" t="b">
        <f t="shared" si="417"/>
        <v>1</v>
      </c>
      <c r="AT974" s="13" t="str">
        <f t="shared" si="426"/>
        <v>Efecto ponderador</v>
      </c>
      <c r="AU974" s="13">
        <v>3</v>
      </c>
      <c r="AV974">
        <f t="shared" si="418"/>
        <v>-1</v>
      </c>
      <c r="AW974" s="13">
        <v>0</v>
      </c>
      <c r="AX974" s="13">
        <v>0</v>
      </c>
      <c r="AY974" s="13">
        <v>0</v>
      </c>
      <c r="AZ974" s="13">
        <v>1</v>
      </c>
      <c r="BA974">
        <v>1</v>
      </c>
      <c r="BB974" t="s">
        <v>2840</v>
      </c>
      <c r="BC974">
        <v>6</v>
      </c>
      <c r="BD974" t="s">
        <v>2919</v>
      </c>
      <c r="BE974">
        <v>0</v>
      </c>
      <c r="BF974" s="232" t="s">
        <v>2846</v>
      </c>
      <c r="BG974" s="232" t="s">
        <v>2845</v>
      </c>
      <c r="BH974" s="253">
        <v>43.6</v>
      </c>
      <c r="BI974" s="253">
        <v>28.056736548893124</v>
      </c>
      <c r="BJ974" s="25">
        <v>0</v>
      </c>
      <c r="BK974" t="s">
        <v>381</v>
      </c>
      <c r="BL974">
        <v>48.755592525505769</v>
      </c>
      <c r="BM974" t="s">
        <v>384</v>
      </c>
      <c r="BN974" s="322">
        <v>117899.090031</v>
      </c>
      <c r="BO974" s="322">
        <v>8034.7171630000003</v>
      </c>
      <c r="BP974" s="10">
        <v>33643</v>
      </c>
      <c r="BQ974" s="254">
        <f t="shared" si="419"/>
        <v>3.5044166700650954</v>
      </c>
      <c r="BR974" s="254">
        <f t="shared" si="420"/>
        <v>0.23882285060785305</v>
      </c>
      <c r="BS974" s="25">
        <v>81.524069585984805</v>
      </c>
      <c r="BT974" s="25">
        <v>95.703255124378117</v>
      </c>
      <c r="BU974" s="25">
        <v>36.871488757103997</v>
      </c>
      <c r="BV974" s="25">
        <v>83.212096832862258</v>
      </c>
      <c r="BW974" s="25">
        <v>56.435236814049567</v>
      </c>
      <c r="BX974" s="25">
        <v>74.327727575082292</v>
      </c>
      <c r="BY974" s="25">
        <v>57.358182870419071</v>
      </c>
      <c r="BZ974">
        <v>8</v>
      </c>
      <c r="CA974">
        <v>0</v>
      </c>
      <c r="CB974">
        <v>7</v>
      </c>
      <c r="CC974">
        <v>238012.020926</v>
      </c>
      <c r="CD974" s="10">
        <v>166469.28359400001</v>
      </c>
      <c r="CE974" s="255">
        <v>0.69941544526340016</v>
      </c>
      <c r="CF974" t="str">
        <f>IFERROR(VLOOKUP(CE974,'Rangos amb etnico'!$A$2:$C$6,3,9),"N.D.")</f>
        <v>51% - 70%</v>
      </c>
      <c r="CG974" s="256">
        <v>4.8432189932192194E-3</v>
      </c>
      <c r="CH974" s="232">
        <v>0</v>
      </c>
      <c r="CI974" s="311">
        <f t="shared" si="427"/>
        <v>0</v>
      </c>
      <c r="CJ974" s="232">
        <f>IFERROR(VLOOKUP(CI974,'Rangos amb etnico'!$A$2:$C$6,3,9),"N.D.")</f>
        <v>0</v>
      </c>
      <c r="CK974" s="311">
        <f t="shared" si="428"/>
        <v>0</v>
      </c>
      <c r="CL974" s="10">
        <v>0</v>
      </c>
      <c r="CM974" s="255">
        <f t="shared" si="429"/>
        <v>0</v>
      </c>
      <c r="CN974" s="232">
        <f>IFERROR(VLOOKUP(CM974,'Rangos amb etnico'!$A$2:$C$6,3,9),"N.D.")</f>
        <v>0</v>
      </c>
      <c r="CO974" s="311">
        <f t="shared" si="430"/>
        <v>0</v>
      </c>
      <c r="CP974">
        <v>0.92931098850663107</v>
      </c>
      <c r="CQ974" t="s">
        <v>2864</v>
      </c>
      <c r="CR974">
        <f t="shared" si="421"/>
        <v>3</v>
      </c>
      <c r="CS974" t="str">
        <f t="shared" si="431"/>
        <v>Candidato</v>
      </c>
      <c r="CT974">
        <v>0</v>
      </c>
      <c r="CU974">
        <v>0</v>
      </c>
      <c r="CV974" s="25">
        <v>33.989009857177727</v>
      </c>
      <c r="CW974" s="25">
        <v>18.422952651977539</v>
      </c>
      <c r="CX974" s="25">
        <v>38.207332611083977</v>
      </c>
      <c r="CY974" s="25">
        <v>72.83917236328125</v>
      </c>
      <c r="CZ974" s="25">
        <v>6.0225110054016113</v>
      </c>
      <c r="DA974" s="25">
        <v>32.551700592041023</v>
      </c>
      <c r="DB974" s="25">
        <v>35.890392303466797</v>
      </c>
      <c r="DC974">
        <v>734</v>
      </c>
      <c r="DD974" s="253" t="s">
        <v>380</v>
      </c>
    </row>
    <row r="975" spans="1:108" hidden="1">
      <c r="A975" s="13">
        <v>15621</v>
      </c>
      <c r="B975" s="13" t="s">
        <v>2355</v>
      </c>
      <c r="C975" s="13" t="s">
        <v>498</v>
      </c>
      <c r="D975" s="13" t="s">
        <v>499</v>
      </c>
      <c r="E975" s="13" t="s">
        <v>2356</v>
      </c>
      <c r="F975" s="14">
        <v>71.711799999999997</v>
      </c>
      <c r="G975" s="13">
        <v>63.43</v>
      </c>
      <c r="H975" s="13">
        <v>33.81</v>
      </c>
      <c r="I975" s="13">
        <v>41.69</v>
      </c>
      <c r="J975" s="14">
        <v>67.034285667300708</v>
      </c>
      <c r="K975" s="14">
        <v>39.886262636356676</v>
      </c>
      <c r="L975" s="14">
        <v>61.372457782077312</v>
      </c>
      <c r="M975" s="14">
        <v>55.162199999999999</v>
      </c>
      <c r="N975" s="14">
        <f t="shared" si="405"/>
        <v>52.660449999999997</v>
      </c>
      <c r="O975" s="14">
        <f t="shared" si="406"/>
        <v>55.863801521433672</v>
      </c>
      <c r="P975" s="14">
        <f t="shared" si="422"/>
        <v>54.262125760716835</v>
      </c>
      <c r="Q975" s="14">
        <v>66.526277563071886</v>
      </c>
      <c r="R975" s="17">
        <f t="shared" si="407"/>
        <v>33.473722436928114</v>
      </c>
      <c r="S975" s="14">
        <f t="shared" si="423"/>
        <v>0.40126350193235305</v>
      </c>
      <c r="T975" s="13">
        <v>0</v>
      </c>
      <c r="U975" s="13">
        <f t="shared" si="424"/>
        <v>21.773410605038983</v>
      </c>
      <c r="V975" s="13">
        <f>IF($T975=1,$AU975,(VLOOKUP(U975,'Cortes naturales'!$A$35:$C$39,3,9)))</f>
        <v>5</v>
      </c>
      <c r="W975" s="13">
        <v>5</v>
      </c>
      <c r="X975" s="14" t="b">
        <f t="shared" si="408"/>
        <v>1</v>
      </c>
      <c r="Y975" s="17">
        <f>IF($T975=1,$AU975,VLOOKUP(U975,'Cortes naturales'!$A$45:$C$49,3,9))</f>
        <v>4</v>
      </c>
      <c r="Z975" s="14">
        <v>57.907063208329554</v>
      </c>
      <c r="AA975" s="14">
        <v>0.40806526564186507</v>
      </c>
      <c r="AB975" s="14">
        <v>23.629861130647271</v>
      </c>
      <c r="AC975" s="13">
        <v>4</v>
      </c>
      <c r="AD975" s="13">
        <f t="shared" si="409"/>
        <v>0</v>
      </c>
      <c r="AE975" s="14">
        <f t="shared" si="410"/>
        <v>-3.644937447612719</v>
      </c>
      <c r="AF975" s="14">
        <f t="shared" si="411"/>
        <v>-6.8017637095120209E-3</v>
      </c>
      <c r="AG975" s="13">
        <f t="shared" si="412"/>
        <v>-1.8564505256082882</v>
      </c>
      <c r="AH975" s="13">
        <f>IF($T975=1,$AU975,VLOOKUP(U975,'Cortes naturales'!$A$25:$C$29,3,9))</f>
        <v>4</v>
      </c>
      <c r="AI975" s="13" t="b">
        <f t="shared" si="413"/>
        <v>1</v>
      </c>
      <c r="AJ975" s="13">
        <f t="shared" si="414"/>
        <v>0</v>
      </c>
      <c r="AK975" s="28">
        <v>0.6523467210059386</v>
      </c>
      <c r="AL975" s="28">
        <v>37.775482807037413</v>
      </c>
      <c r="AM975" s="28">
        <v>0.3019054589619285</v>
      </c>
      <c r="AN975" s="13">
        <v>4</v>
      </c>
      <c r="AO975" s="33">
        <f t="shared" si="415"/>
        <v>0</v>
      </c>
      <c r="AP975" s="13">
        <f t="shared" si="425"/>
        <v>30.190545896192848</v>
      </c>
      <c r="AQ975" s="13">
        <f>IFERROR(VLOOKUP(U975,'Cortes naturales'!$E$15:$G$19,3,9),U975)</f>
        <v>4</v>
      </c>
      <c r="AR975" s="28">
        <f t="shared" si="416"/>
        <v>-0.25108321907358555</v>
      </c>
      <c r="AS975" s="13" t="b">
        <f t="shared" si="417"/>
        <v>1</v>
      </c>
      <c r="AT975" s="13">
        <f t="shared" si="426"/>
        <v>0</v>
      </c>
      <c r="AU975" s="13">
        <v>4</v>
      </c>
      <c r="AV975">
        <f t="shared" si="418"/>
        <v>0</v>
      </c>
      <c r="AW975" s="13">
        <v>0</v>
      </c>
      <c r="AX975" s="13">
        <v>0</v>
      </c>
      <c r="AY975" s="13">
        <v>0</v>
      </c>
      <c r="AZ975" s="13">
        <v>0</v>
      </c>
      <c r="BA975">
        <v>0</v>
      </c>
      <c r="BB975" t="s">
        <v>2841</v>
      </c>
      <c r="BC975">
        <v>6</v>
      </c>
      <c r="BD975" t="s">
        <v>2919</v>
      </c>
      <c r="BE975">
        <v>0</v>
      </c>
      <c r="BF975" s="232" t="s">
        <v>2846</v>
      </c>
      <c r="BG975" s="232" t="s">
        <v>2846</v>
      </c>
      <c r="BH975" s="253">
        <v>46.9</v>
      </c>
      <c r="BI975" s="253">
        <v>7.9113924050632916</v>
      </c>
      <c r="BJ975" s="25">
        <v>50.541576026014802</v>
      </c>
      <c r="BK975" t="s">
        <v>376</v>
      </c>
      <c r="BL975">
        <v>0</v>
      </c>
      <c r="BM975" t="s">
        <v>377</v>
      </c>
      <c r="BN975" s="322">
        <v>8822.5795610000005</v>
      </c>
      <c r="BO975" s="322">
        <v>627.41312900000003</v>
      </c>
      <c r="BP975" s="10">
        <v>2467</v>
      </c>
      <c r="BQ975" s="254">
        <f t="shared" si="419"/>
        <v>3.5762381682205109</v>
      </c>
      <c r="BR975" s="254">
        <f t="shared" si="420"/>
        <v>0.25432230603972439</v>
      </c>
      <c r="BS975" s="25">
        <v>57.225590333885258</v>
      </c>
      <c r="BT975" s="25">
        <v>84.875016889609512</v>
      </c>
      <c r="BU975" s="25">
        <v>29.827214983713329</v>
      </c>
      <c r="BV975" s="25">
        <v>93.058430111045936</v>
      </c>
      <c r="BW975" s="25">
        <v>60.633631274945692</v>
      </c>
      <c r="BX975" s="25">
        <v>66.246563079563515</v>
      </c>
      <c r="BY975" s="25">
        <v>61.996488894076819</v>
      </c>
      <c r="BZ975">
        <v>0</v>
      </c>
      <c r="CA975">
        <v>0</v>
      </c>
      <c r="CB975">
        <v>7</v>
      </c>
      <c r="CC975">
        <v>20598.719502</v>
      </c>
      <c r="CD975" s="10">
        <v>6026.9299389999996</v>
      </c>
      <c r="CE975" s="255">
        <v>0.29258760178829679</v>
      </c>
      <c r="CF975" t="str">
        <f>IFERROR(VLOOKUP(CE975,'Rangos amb etnico'!$A$2:$C$6,3,9),"N.D.")</f>
        <v>0,1% - 30%</v>
      </c>
      <c r="CG975" s="256">
        <v>1.7534611143372772E-4</v>
      </c>
      <c r="CH975" s="232">
        <v>0</v>
      </c>
      <c r="CI975" s="311">
        <f t="shared" si="427"/>
        <v>0</v>
      </c>
      <c r="CJ975" s="232">
        <f>IFERROR(VLOOKUP(CI975,'Rangos amb etnico'!$A$2:$C$6,3,9),"N.D.")</f>
        <v>0</v>
      </c>
      <c r="CK975" s="311">
        <f t="shared" si="428"/>
        <v>0</v>
      </c>
      <c r="CL975" s="10">
        <v>0</v>
      </c>
      <c r="CM975" s="255">
        <f t="shared" si="429"/>
        <v>0</v>
      </c>
      <c r="CN975" s="232">
        <f>IFERROR(VLOOKUP(CM975,'Rangos amb etnico'!$A$2:$C$6,3,9),"N.D.")</f>
        <v>0</v>
      </c>
      <c r="CO975" s="311">
        <f t="shared" si="430"/>
        <v>0</v>
      </c>
      <c r="CP975">
        <v>0.93457179892358533</v>
      </c>
      <c r="CQ975" t="s">
        <v>2864</v>
      </c>
      <c r="CR975">
        <f t="shared" si="421"/>
        <v>2</v>
      </c>
      <c r="CS975" t="str">
        <f t="shared" si="431"/>
        <v>No es Candidato</v>
      </c>
      <c r="CT975">
        <v>0</v>
      </c>
      <c r="CU975">
        <v>0</v>
      </c>
      <c r="CV975" s="25">
        <v>54.108303070068359</v>
      </c>
      <c r="CW975" s="25">
        <v>19.182590484619141</v>
      </c>
      <c r="CX975" s="25">
        <v>52.305568695068359</v>
      </c>
      <c r="CY975" s="25">
        <v>65.436737060546875</v>
      </c>
      <c r="CZ975" s="25">
        <v>46.814586639404297</v>
      </c>
      <c r="DA975" s="25">
        <v>85.225616455078125</v>
      </c>
      <c r="DB975" s="25">
        <v>55.684715270996087</v>
      </c>
      <c r="DC975">
        <v>25</v>
      </c>
      <c r="DD975" s="253" t="s">
        <v>380</v>
      </c>
    </row>
    <row r="976" spans="1:108" hidden="1">
      <c r="A976" s="13">
        <v>52233</v>
      </c>
      <c r="B976" s="13" t="s">
        <v>2357</v>
      </c>
      <c r="C976" s="13" t="s">
        <v>672</v>
      </c>
      <c r="D976" s="13" t="s">
        <v>673</v>
      </c>
      <c r="E976" s="13" t="s">
        <v>2358</v>
      </c>
      <c r="F976" s="14">
        <v>58.199666666666701</v>
      </c>
      <c r="G976" s="13">
        <v>61.64</v>
      </c>
      <c r="H976" s="13">
        <v>61.42</v>
      </c>
      <c r="I976" s="13">
        <v>62.36</v>
      </c>
      <c r="J976" s="14">
        <v>57.146612448411922</v>
      </c>
      <c r="K976" s="14">
        <v>65.290073740710866</v>
      </c>
      <c r="L976" s="14">
        <v>62.800582245239958</v>
      </c>
      <c r="M976" s="14">
        <v>68.757800000000003</v>
      </c>
      <c r="N976" s="14">
        <f t="shared" si="405"/>
        <v>60.904916666666679</v>
      </c>
      <c r="O976" s="14">
        <f t="shared" si="406"/>
        <v>63.498767108590684</v>
      </c>
      <c r="P976" s="14">
        <f t="shared" si="422"/>
        <v>62.201841887628682</v>
      </c>
      <c r="Q976" s="14">
        <v>66.436023457386923</v>
      </c>
      <c r="R976" s="17">
        <f t="shared" si="407"/>
        <v>33.563976542613077</v>
      </c>
      <c r="S976" s="14">
        <f t="shared" si="423"/>
        <v>0.40207578888351769</v>
      </c>
      <c r="T976" s="13">
        <v>0</v>
      </c>
      <c r="U976" s="13">
        <f t="shared" si="424"/>
        <v>25.009854646976137</v>
      </c>
      <c r="V976" s="13">
        <f>IF($T976=1,$AU976,(VLOOKUP(U976,'Cortes naturales'!$A$35:$C$39,3,9)))</f>
        <v>4</v>
      </c>
      <c r="W976" s="13">
        <v>4</v>
      </c>
      <c r="X976" s="14" t="b">
        <f t="shared" si="408"/>
        <v>1</v>
      </c>
      <c r="Y976" s="17">
        <f>IF($T976=1,$AU976,VLOOKUP(U976,'Cortes naturales'!$A$45:$C$49,3,9))</f>
        <v>4</v>
      </c>
      <c r="Z976" s="14">
        <v>59.518084863745344</v>
      </c>
      <c r="AA976" s="14">
        <v>0.40941674508234871</v>
      </c>
      <c r="AB976" s="14">
        <v>24.367700578449625</v>
      </c>
      <c r="AC976" s="13">
        <v>4</v>
      </c>
      <c r="AD976" s="13">
        <f t="shared" si="409"/>
        <v>0</v>
      </c>
      <c r="AE976" s="14">
        <f t="shared" si="410"/>
        <v>2.6837570238833379</v>
      </c>
      <c r="AF976" s="14">
        <f t="shared" si="411"/>
        <v>-7.3409561988310168E-3</v>
      </c>
      <c r="AG976" s="13">
        <f t="shared" si="412"/>
        <v>0.64215406852651213</v>
      </c>
      <c r="AH976" s="13">
        <f>IF($T976=1,$AU976,VLOOKUP(U976,'Cortes naturales'!$A$25:$C$29,3,9))</f>
        <v>4</v>
      </c>
      <c r="AI976" s="13" t="b">
        <f t="shared" si="413"/>
        <v>1</v>
      </c>
      <c r="AJ976" s="13">
        <f t="shared" si="414"/>
        <v>0</v>
      </c>
      <c r="AK976" s="28">
        <v>0.6523467210059386</v>
      </c>
      <c r="AL976" s="28">
        <v>38.826427501417463</v>
      </c>
      <c r="AM976" s="28">
        <v>0.31505166928849482</v>
      </c>
      <c r="AN976" s="13">
        <v>4</v>
      </c>
      <c r="AO976" s="33">
        <f t="shared" si="415"/>
        <v>0</v>
      </c>
      <c r="AP976" s="13">
        <f t="shared" si="425"/>
        <v>31.505166928849484</v>
      </c>
      <c r="AQ976" s="13">
        <f>IFERROR(VLOOKUP(U976,'Cortes naturales'!$E$15:$G$19,3,9),U976)</f>
        <v>4</v>
      </c>
      <c r="AR976" s="28">
        <f t="shared" si="416"/>
        <v>-0.25027093212242091</v>
      </c>
      <c r="AS976" s="13" t="b">
        <f t="shared" si="417"/>
        <v>1</v>
      </c>
      <c r="AT976" s="13">
        <f t="shared" si="426"/>
        <v>0</v>
      </c>
      <c r="AU976" s="13">
        <v>4</v>
      </c>
      <c r="AV976">
        <f t="shared" si="418"/>
        <v>0</v>
      </c>
      <c r="AW976" s="13">
        <v>0</v>
      </c>
      <c r="AX976" s="13">
        <v>0</v>
      </c>
      <c r="AY976" s="13">
        <v>0</v>
      </c>
      <c r="AZ976" s="13">
        <v>1</v>
      </c>
      <c r="BA976">
        <v>1</v>
      </c>
      <c r="BB976" t="s">
        <v>2841</v>
      </c>
      <c r="BC976">
        <v>6</v>
      </c>
      <c r="BD976" t="s">
        <v>2919</v>
      </c>
      <c r="BE976">
        <v>1</v>
      </c>
      <c r="BF976" s="232" t="s">
        <v>2846</v>
      </c>
      <c r="BG976" s="232" t="s">
        <v>2846</v>
      </c>
      <c r="BH976" s="253">
        <v>39.4</v>
      </c>
      <c r="BI976" s="253">
        <v>20.451422963689893</v>
      </c>
      <c r="BJ976" s="25">
        <v>45.878401822267364</v>
      </c>
      <c r="BK976" t="s">
        <v>376</v>
      </c>
      <c r="BL976">
        <v>79.900393814299719</v>
      </c>
      <c r="BM976" t="s">
        <v>384</v>
      </c>
      <c r="BN976" s="322">
        <v>24189.112953</v>
      </c>
      <c r="BO976" s="322">
        <v>1238.2694570000001</v>
      </c>
      <c r="BP976" s="10">
        <v>5948</v>
      </c>
      <c r="BQ976" s="254">
        <f t="shared" si="419"/>
        <v>4.0667641144922664</v>
      </c>
      <c r="BR976" s="254">
        <f t="shared" si="420"/>
        <v>0.20818249108944184</v>
      </c>
      <c r="BS976" s="25">
        <v>84.151111111111106</v>
      </c>
      <c r="BT976" s="25">
        <v>97.14285666666666</v>
      </c>
      <c r="BU976" s="25">
        <v>58.424999999999997</v>
      </c>
      <c r="BV976" s="25">
        <v>82.700455080316601</v>
      </c>
      <c r="BW976" s="25">
        <v>57.877823496374774</v>
      </c>
      <c r="BX976" s="25">
        <v>80.604855714523595</v>
      </c>
      <c r="BY976" s="25">
        <v>60.449847556189567</v>
      </c>
      <c r="BZ976">
        <v>26</v>
      </c>
      <c r="CA976">
        <v>0</v>
      </c>
      <c r="CB976">
        <v>7</v>
      </c>
      <c r="CC976">
        <v>35555.104449999999</v>
      </c>
      <c r="CD976" s="10">
        <v>34099.377919999999</v>
      </c>
      <c r="CE976" s="255">
        <v>0.95905717188801565</v>
      </c>
      <c r="CF976" t="str">
        <f>IFERROR(VLOOKUP(CE976,'Rangos amb etnico'!$A$2:$C$6,3,9),"N.D.")</f>
        <v>71% - 100%</v>
      </c>
      <c r="CG976" s="256">
        <v>9.9207944693201363E-4</v>
      </c>
      <c r="CH976" s="232">
        <v>1493.7650470000001</v>
      </c>
      <c r="CI976" s="311">
        <f t="shared" si="427"/>
        <v>4.2012674976124285E-2</v>
      </c>
      <c r="CJ976" s="232" t="str">
        <f>IFERROR(VLOOKUP(CI976,'Rangos amb etnico'!$A$2:$C$6,3,9),"N.D.")</f>
        <v>0,1% - 30%</v>
      </c>
      <c r="CK976" s="311">
        <f t="shared" si="428"/>
        <v>5.9312252345136971E-5</v>
      </c>
      <c r="CL976" s="10">
        <v>0</v>
      </c>
      <c r="CM976" s="255">
        <f t="shared" si="429"/>
        <v>0</v>
      </c>
      <c r="CN976" s="232">
        <f>IFERROR(VLOOKUP(CM976,'Rangos amb etnico'!$A$2:$C$6,3,9),"N.D.")</f>
        <v>0</v>
      </c>
      <c r="CO976" s="311">
        <f t="shared" si="430"/>
        <v>0</v>
      </c>
      <c r="CP976">
        <v>0.95365967556952635</v>
      </c>
      <c r="CQ976" t="s">
        <v>2864</v>
      </c>
      <c r="CR976">
        <f t="shared" si="421"/>
        <v>4</v>
      </c>
      <c r="CS976" t="str">
        <f t="shared" si="431"/>
        <v>Candidato</v>
      </c>
      <c r="CT976">
        <v>0</v>
      </c>
      <c r="CU976">
        <v>0</v>
      </c>
      <c r="CV976" s="25">
        <v>42.218120574951172</v>
      </c>
      <c r="CW976" s="25">
        <v>6.6512794494628906</v>
      </c>
      <c r="CX976" s="25">
        <v>43.090171813964837</v>
      </c>
      <c r="CY976" s="25">
        <v>51.682388305664063</v>
      </c>
      <c r="CZ976" s="25">
        <v>22.385953903198239</v>
      </c>
      <c r="DA976" s="25">
        <v>61.801277160644531</v>
      </c>
      <c r="DB976" s="25">
        <v>67.697647094726563</v>
      </c>
      <c r="DC976">
        <v>331</v>
      </c>
      <c r="DD976" s="253" t="s">
        <v>380</v>
      </c>
    </row>
    <row r="977" spans="1:108" hidden="1">
      <c r="A977" s="13">
        <v>68101</v>
      </c>
      <c r="B977" s="13" t="s">
        <v>2359</v>
      </c>
      <c r="C977" s="13" t="s">
        <v>431</v>
      </c>
      <c r="D977" s="13" t="s">
        <v>432</v>
      </c>
      <c r="E977" s="13" t="s">
        <v>481</v>
      </c>
      <c r="F977" s="14">
        <v>71.346800000000002</v>
      </c>
      <c r="G977" s="13">
        <v>61.36</v>
      </c>
      <c r="H977" s="13">
        <v>62.09</v>
      </c>
      <c r="I977" s="13">
        <v>66.14</v>
      </c>
      <c r="J977" s="14">
        <v>54.227864596734648</v>
      </c>
      <c r="K977" s="14">
        <v>42.205660877601439</v>
      </c>
      <c r="L977" s="14">
        <v>60.34050124130659</v>
      </c>
      <c r="M977" s="14">
        <v>52.015599999999999</v>
      </c>
      <c r="N977" s="14">
        <f t="shared" si="405"/>
        <v>65.234200000000001</v>
      </c>
      <c r="O977" s="14">
        <f t="shared" si="406"/>
        <v>52.197406678910667</v>
      </c>
      <c r="P977" s="14">
        <f t="shared" si="422"/>
        <v>58.715803339455334</v>
      </c>
      <c r="Q977" s="14">
        <v>66.519583679534875</v>
      </c>
      <c r="R977" s="17">
        <f t="shared" si="407"/>
        <v>33.480416320465125</v>
      </c>
      <c r="S977" s="14">
        <f t="shared" si="423"/>
        <v>0.40132374688418615</v>
      </c>
      <c r="T977" s="13">
        <v>0</v>
      </c>
      <c r="U977" s="13">
        <f t="shared" si="424"/>
        <v>23.564046197505224</v>
      </c>
      <c r="V977" s="13">
        <f>IF($T977=1,$AU977,(VLOOKUP(U977,'Cortes naturales'!$A$35:$C$39,3,9)))</f>
        <v>4</v>
      </c>
      <c r="W977" s="13">
        <v>4</v>
      </c>
      <c r="X977" s="14" t="b">
        <f t="shared" si="408"/>
        <v>1</v>
      </c>
      <c r="Y977" s="17">
        <f>IF($T977=1,$AU977,VLOOKUP(U977,'Cortes naturales'!$A$45:$C$49,3,9))</f>
        <v>4</v>
      </c>
      <c r="Z977" s="14">
        <v>58.725210852579465</v>
      </c>
      <c r="AA977" s="14">
        <v>0.40884762454159596</v>
      </c>
      <c r="AB977" s="14">
        <v>24.009662957781465</v>
      </c>
      <c r="AC977" s="13">
        <v>4</v>
      </c>
      <c r="AD977" s="13">
        <f t="shared" si="409"/>
        <v>0</v>
      </c>
      <c r="AE977" s="14">
        <f t="shared" si="410"/>
        <v>-9.4075131241311283E-3</v>
      </c>
      <c r="AF977" s="14">
        <f t="shared" si="411"/>
        <v>-7.5238776574098054E-3</v>
      </c>
      <c r="AG977" s="13">
        <f t="shared" si="412"/>
        <v>-0.44561676027624131</v>
      </c>
      <c r="AH977" s="13">
        <f>IF($T977=1,$AU977,VLOOKUP(U977,'Cortes naturales'!$A$25:$C$29,3,9))</f>
        <v>4</v>
      </c>
      <c r="AI977" s="13" t="b">
        <f t="shared" si="413"/>
        <v>1</v>
      </c>
      <c r="AJ977" s="13">
        <f t="shared" si="414"/>
        <v>0</v>
      </c>
      <c r="AK977" s="28">
        <v>0.6523467210059386</v>
      </c>
      <c r="AL977" s="28">
        <v>38.309198740062577</v>
      </c>
      <c r="AM977" s="28">
        <v>0.30858168269445069</v>
      </c>
      <c r="AN977" s="13">
        <v>4</v>
      </c>
      <c r="AO977" s="33">
        <f t="shared" si="415"/>
        <v>0</v>
      </c>
      <c r="AP977" s="13">
        <f t="shared" si="425"/>
        <v>30.85816826944507</v>
      </c>
      <c r="AQ977" s="13">
        <f>IFERROR(VLOOKUP(U977,'Cortes naturales'!$E$15:$G$19,3,9),U977)</f>
        <v>4</v>
      </c>
      <c r="AR977" s="28">
        <f t="shared" si="416"/>
        <v>-0.25102297412175245</v>
      </c>
      <c r="AS977" s="13" t="b">
        <f t="shared" si="417"/>
        <v>1</v>
      </c>
      <c r="AT977" s="13">
        <f t="shared" si="426"/>
        <v>0</v>
      </c>
      <c r="AU977" s="13">
        <v>4</v>
      </c>
      <c r="AV977">
        <f t="shared" si="418"/>
        <v>0</v>
      </c>
      <c r="AW977" s="13">
        <v>0</v>
      </c>
      <c r="AX977" s="13">
        <v>0</v>
      </c>
      <c r="AY977" s="13">
        <v>0</v>
      </c>
      <c r="AZ977" s="13">
        <v>0</v>
      </c>
      <c r="BA977">
        <v>1</v>
      </c>
      <c r="BB977" t="s">
        <v>2841</v>
      </c>
      <c r="BC977">
        <v>6</v>
      </c>
      <c r="BD977" t="s">
        <v>2919</v>
      </c>
      <c r="BE977">
        <v>1</v>
      </c>
      <c r="BF977" s="232" t="s">
        <v>2846</v>
      </c>
      <c r="BG977" s="232" t="s">
        <v>2846</v>
      </c>
      <c r="BH977" s="253">
        <v>45.5</v>
      </c>
      <c r="BI977" s="253">
        <v>25.675532478541911</v>
      </c>
      <c r="BJ977" s="25">
        <v>0.49666666666666665</v>
      </c>
      <c r="BK977" t="s">
        <v>381</v>
      </c>
      <c r="BL977">
        <v>6.148942657920016E-2</v>
      </c>
      <c r="BM977" t="s">
        <v>377</v>
      </c>
      <c r="BN977" s="322">
        <v>23706.711336</v>
      </c>
      <c r="BO977" s="322">
        <v>2368.6047050000002</v>
      </c>
      <c r="BP977" s="10">
        <v>11558</v>
      </c>
      <c r="BQ977" s="254">
        <f t="shared" si="419"/>
        <v>2.0511084388302474</v>
      </c>
      <c r="BR977" s="254">
        <f t="shared" si="420"/>
        <v>0.20493205615158333</v>
      </c>
      <c r="BS977" s="25">
        <v>56.135869464174313</v>
      </c>
      <c r="BT977" s="25">
        <v>83.671493679990775</v>
      </c>
      <c r="BU977" s="25">
        <v>32.730557414766757</v>
      </c>
      <c r="BV977" s="25">
        <v>96.762951123079986</v>
      </c>
      <c r="BW977" s="25">
        <v>30.97799858976369</v>
      </c>
      <c r="BX977" s="25">
        <v>67.325217920502965</v>
      </c>
      <c r="BY977" s="25">
        <v>31.318191604847868</v>
      </c>
      <c r="BZ977">
        <v>25</v>
      </c>
      <c r="CA977">
        <v>0</v>
      </c>
      <c r="CB977">
        <v>7</v>
      </c>
      <c r="CC977">
        <v>100885.600032</v>
      </c>
      <c r="CD977" s="10">
        <v>54594.703595999999</v>
      </c>
      <c r="CE977" s="255">
        <v>0.54115457090687924</v>
      </c>
      <c r="CF977" t="str">
        <f>IFERROR(VLOOKUP(CE977,'Rangos amb etnico'!$A$2:$C$6,3,9),"N.D.")</f>
        <v>51% - 70%</v>
      </c>
      <c r="CG977" s="256">
        <v>1.5883657313633744E-3</v>
      </c>
      <c r="CH977" s="232">
        <v>0</v>
      </c>
      <c r="CI977" s="311">
        <f t="shared" si="427"/>
        <v>0</v>
      </c>
      <c r="CJ977" s="232">
        <f>IFERROR(VLOOKUP(CI977,'Rangos amb etnico'!$A$2:$C$6,3,9),"N.D.")</f>
        <v>0</v>
      </c>
      <c r="CK977" s="311">
        <f t="shared" si="428"/>
        <v>0</v>
      </c>
      <c r="CL977" s="10">
        <v>0</v>
      </c>
      <c r="CM977" s="255">
        <f t="shared" si="429"/>
        <v>0</v>
      </c>
      <c r="CN977" s="232">
        <f>IFERROR(VLOOKUP(CM977,'Rangos amb etnico'!$A$2:$C$6,3,9),"N.D.")</f>
        <v>0</v>
      </c>
      <c r="CO977" s="311">
        <f t="shared" si="430"/>
        <v>0</v>
      </c>
      <c r="CP977">
        <v>0.7960134004315752</v>
      </c>
      <c r="CQ977" t="s">
        <v>2865</v>
      </c>
      <c r="CR977">
        <f t="shared" si="421"/>
        <v>2</v>
      </c>
      <c r="CS977" t="str">
        <f t="shared" si="431"/>
        <v>No es Candidato</v>
      </c>
      <c r="CT977">
        <v>0</v>
      </c>
      <c r="CU977">
        <v>0</v>
      </c>
      <c r="CV977" s="25">
        <v>51.196743011474609</v>
      </c>
      <c r="CW977" s="25">
        <v>13.997207641601561</v>
      </c>
      <c r="CX977" s="25">
        <v>54.102447509765618</v>
      </c>
      <c r="CY977" s="25">
        <v>75.320587158203125</v>
      </c>
      <c r="CZ977" s="25">
        <v>44.573055267333977</v>
      </c>
      <c r="DA977" s="25">
        <v>76.269035339355469</v>
      </c>
      <c r="DB977" s="25">
        <v>42.918128967285163</v>
      </c>
      <c r="DC977">
        <v>160</v>
      </c>
      <c r="DD977" s="253" t="s">
        <v>380</v>
      </c>
    </row>
    <row r="978" spans="1:108" hidden="1">
      <c r="A978" s="13">
        <v>68573</v>
      </c>
      <c r="B978" s="13" t="s">
        <v>2360</v>
      </c>
      <c r="C978" s="13" t="s">
        <v>431</v>
      </c>
      <c r="D978" s="13" t="s">
        <v>432</v>
      </c>
      <c r="E978" s="13" t="s">
        <v>2361</v>
      </c>
      <c r="F978" s="14">
        <v>65.792299999999997</v>
      </c>
      <c r="G978" s="13">
        <v>66.89</v>
      </c>
      <c r="H978" s="13">
        <v>65.44</v>
      </c>
      <c r="I978" s="13">
        <v>0</v>
      </c>
      <c r="J978" s="14">
        <v>69.427385122162761</v>
      </c>
      <c r="K978" s="14">
        <v>72.076423887720154</v>
      </c>
      <c r="L978" s="14">
        <v>63.398090689502908</v>
      </c>
      <c r="M978" s="14">
        <v>66.561199999999999</v>
      </c>
      <c r="N978" s="14">
        <f t="shared" si="405"/>
        <v>49.530574999999999</v>
      </c>
      <c r="O978" s="14">
        <f t="shared" si="406"/>
        <v>67.865774924846448</v>
      </c>
      <c r="P978" s="14">
        <f t="shared" si="422"/>
        <v>58.698174962423224</v>
      </c>
      <c r="Q978" s="14">
        <v>65.280692562235245</v>
      </c>
      <c r="R978" s="17">
        <f t="shared" si="407"/>
        <v>34.719307437764755</v>
      </c>
      <c r="S978" s="14">
        <f t="shared" si="423"/>
        <v>0.4124737669398828</v>
      </c>
      <c r="T978" s="13">
        <v>0</v>
      </c>
      <c r="U978" s="13">
        <f t="shared" si="424"/>
        <v>24.211457339247019</v>
      </c>
      <c r="V978" s="13">
        <f>IF($T978=1,$AU978,(VLOOKUP(U978,'Cortes naturales'!$A$35:$C$39,3,9)))</f>
        <v>4</v>
      </c>
      <c r="W978" s="13">
        <v>4</v>
      </c>
      <c r="X978" s="14" t="b">
        <f t="shared" si="408"/>
        <v>1</v>
      </c>
      <c r="Y978" s="17">
        <f>IF($T978=1,$AU978,VLOOKUP(U978,'Cortes naturales'!$A$45:$C$49,3,9))</f>
        <v>4</v>
      </c>
      <c r="Z978" s="14">
        <v>65.668660753260198</v>
      </c>
      <c r="AA978" s="14">
        <v>0.40867915351620088</v>
      </c>
      <c r="AB978" s="14">
        <v>26.837412689184941</v>
      </c>
      <c r="AC978" s="13">
        <v>4</v>
      </c>
      <c r="AD978" s="13">
        <f t="shared" si="409"/>
        <v>0</v>
      </c>
      <c r="AE978" s="14">
        <f t="shared" si="410"/>
        <v>-6.9704857908369746</v>
      </c>
      <c r="AF978" s="14">
        <f t="shared" si="411"/>
        <v>3.7946134236819251E-3</v>
      </c>
      <c r="AG978" s="13">
        <f t="shared" si="412"/>
        <v>-2.6259553499379216</v>
      </c>
      <c r="AH978" s="13">
        <f>IF($T978=1,$AU978,VLOOKUP(U978,'Cortes naturales'!$A$25:$C$29,3,9))</f>
        <v>4</v>
      </c>
      <c r="AI978" s="13" t="b">
        <f t="shared" si="413"/>
        <v>1</v>
      </c>
      <c r="AJ978" s="13">
        <f t="shared" si="414"/>
        <v>0</v>
      </c>
      <c r="AK978" s="28">
        <v>0.6523467210059386</v>
      </c>
      <c r="AL978" s="28">
        <v>42.838735515240657</v>
      </c>
      <c r="AM978" s="28">
        <v>0.36524141317011982</v>
      </c>
      <c r="AN978" s="13">
        <v>3</v>
      </c>
      <c r="AO978" s="33">
        <f t="shared" si="415"/>
        <v>-1</v>
      </c>
      <c r="AP978" s="13">
        <f t="shared" si="425"/>
        <v>36.524141317011981</v>
      </c>
      <c r="AQ978" s="13">
        <f>IFERROR(VLOOKUP(U978,'Cortes naturales'!$E$15:$G$19,3,9),U978)</f>
        <v>4</v>
      </c>
      <c r="AR978" s="28">
        <f t="shared" si="416"/>
        <v>-0.2398729540660558</v>
      </c>
      <c r="AS978" s="13" t="b">
        <f t="shared" si="417"/>
        <v>1</v>
      </c>
      <c r="AT978" s="13" t="str">
        <f t="shared" si="426"/>
        <v>Efecto ponderador</v>
      </c>
      <c r="AU978" s="13">
        <v>4</v>
      </c>
      <c r="AV978">
        <f t="shared" si="418"/>
        <v>0</v>
      </c>
      <c r="AW978" s="13">
        <v>0</v>
      </c>
      <c r="AX978" s="13">
        <v>0</v>
      </c>
      <c r="AY978" s="13">
        <v>0</v>
      </c>
      <c r="AZ978" s="13">
        <v>0</v>
      </c>
      <c r="BA978">
        <v>0</v>
      </c>
      <c r="BB978" t="s">
        <v>2840</v>
      </c>
      <c r="BC978">
        <v>6</v>
      </c>
      <c r="BD978" t="s">
        <v>2919</v>
      </c>
      <c r="BE978">
        <v>0</v>
      </c>
      <c r="BF978" s="232" t="s">
        <v>2846</v>
      </c>
      <c r="BG978" s="232" t="s">
        <v>2846</v>
      </c>
      <c r="BH978" s="253">
        <v>36.1</v>
      </c>
      <c r="BI978" s="253">
        <v>18.452120682116309</v>
      </c>
      <c r="BJ978" s="25">
        <v>10.998838916070756</v>
      </c>
      <c r="BK978" t="s">
        <v>377</v>
      </c>
      <c r="BL978">
        <v>0.48996548826712694</v>
      </c>
      <c r="BM978" t="s">
        <v>383</v>
      </c>
      <c r="BN978" s="322">
        <v>23340.387788</v>
      </c>
      <c r="BO978" s="322">
        <v>6034.477355</v>
      </c>
      <c r="BP978" s="10">
        <v>8892</v>
      </c>
      <c r="BQ978" s="254">
        <f t="shared" si="419"/>
        <v>2.624874919928025</v>
      </c>
      <c r="BR978" s="254">
        <f t="shared" si="420"/>
        <v>0.67864117802519119</v>
      </c>
      <c r="BS978" s="25">
        <v>64.132669891023667</v>
      </c>
      <c r="BT978" s="25">
        <v>88.767101761883339</v>
      </c>
      <c r="BU978" s="25">
        <v>58.415484633569733</v>
      </c>
      <c r="BV978" s="25">
        <v>88.366430999121974</v>
      </c>
      <c r="BW978" s="25">
        <v>51.766829988971608</v>
      </c>
      <c r="BX978" s="25">
        <v>74.920421821399685</v>
      </c>
      <c r="BY978" s="25">
        <v>53.056012399309871</v>
      </c>
      <c r="BZ978">
        <v>29</v>
      </c>
      <c r="CA978">
        <v>0</v>
      </c>
      <c r="CB978">
        <v>7</v>
      </c>
      <c r="CC978">
        <v>76133.382119999995</v>
      </c>
      <c r="CD978" s="10">
        <v>4961.2616690000004</v>
      </c>
      <c r="CE978" s="255">
        <v>6.5165391722387347E-2</v>
      </c>
      <c r="CF978" t="str">
        <f>IFERROR(VLOOKUP(CE978,'Rangos amb etnico'!$A$2:$C$6,3,9),"N.D.")</f>
        <v>0,1% - 30%</v>
      </c>
      <c r="CG978" s="256">
        <v>1.4434180424680661E-4</v>
      </c>
      <c r="CH978" s="232">
        <v>0</v>
      </c>
      <c r="CI978" s="311">
        <f t="shared" si="427"/>
        <v>0</v>
      </c>
      <c r="CJ978" s="232">
        <f>IFERROR(VLOOKUP(CI978,'Rangos amb etnico'!$A$2:$C$6,3,9),"N.D.")</f>
        <v>0</v>
      </c>
      <c r="CK978" s="311">
        <f t="shared" si="428"/>
        <v>0</v>
      </c>
      <c r="CL978" s="10">
        <v>10.8198090684</v>
      </c>
      <c r="CM978" s="255">
        <f t="shared" si="429"/>
        <v>1.4211649038980065E-4</v>
      </c>
      <c r="CN978" s="232">
        <f>IFERROR(VLOOKUP(CM978,'Rangos amb etnico'!$A$2:$C$6,3,9),"N.D.")</f>
        <v>0</v>
      </c>
      <c r="CO978" s="311">
        <f t="shared" si="430"/>
        <v>6.7851774227407992E-6</v>
      </c>
      <c r="CP978">
        <v>0.86835544034184486</v>
      </c>
      <c r="CQ978" t="s">
        <v>2864</v>
      </c>
      <c r="CR978">
        <f t="shared" si="421"/>
        <v>2</v>
      </c>
      <c r="CS978" t="str">
        <f t="shared" si="431"/>
        <v>No es Candidato</v>
      </c>
      <c r="CT978">
        <v>0</v>
      </c>
      <c r="CU978">
        <v>0</v>
      </c>
      <c r="CV978" s="25">
        <v>38.636299133300781</v>
      </c>
      <c r="CW978" s="25">
        <v>21.428876876831051</v>
      </c>
      <c r="CX978" s="25">
        <v>43.619331359863281</v>
      </c>
      <c r="CY978" s="25">
        <v>49.979682922363281</v>
      </c>
      <c r="CZ978" s="25">
        <v>19.873857498168949</v>
      </c>
      <c r="DA978" s="25">
        <v>58.682350158691413</v>
      </c>
      <c r="DB978" s="25">
        <v>38.233695983886719</v>
      </c>
      <c r="DC978">
        <v>622</v>
      </c>
      <c r="DD978" s="253" t="s">
        <v>380</v>
      </c>
    </row>
    <row r="979" spans="1:108" hidden="1">
      <c r="A979" s="13">
        <v>54820</v>
      </c>
      <c r="B979" s="13" t="s">
        <v>2362</v>
      </c>
      <c r="C979" s="13" t="s">
        <v>517</v>
      </c>
      <c r="D979" s="13" t="s">
        <v>518</v>
      </c>
      <c r="E979" s="13" t="s">
        <v>1666</v>
      </c>
      <c r="F979" s="14">
        <v>56.272133333333301</v>
      </c>
      <c r="G979" s="13">
        <v>54.63</v>
      </c>
      <c r="H979" s="13">
        <v>44.02</v>
      </c>
      <c r="I979" s="13">
        <v>44.47</v>
      </c>
      <c r="J979" s="14">
        <v>49.361154582155542</v>
      </c>
      <c r="K979" s="14">
        <v>62.713600077400848</v>
      </c>
      <c r="L979" s="14">
        <v>67.108423329516512</v>
      </c>
      <c r="M979" s="14">
        <v>60.1783</v>
      </c>
      <c r="N979" s="14">
        <f t="shared" si="405"/>
        <v>49.848033333333326</v>
      </c>
      <c r="O979" s="14">
        <f t="shared" si="406"/>
        <v>59.840369497268227</v>
      </c>
      <c r="P979" s="14">
        <f t="shared" si="422"/>
        <v>54.844201415300773</v>
      </c>
      <c r="Q979" s="14">
        <v>66.29068710994342</v>
      </c>
      <c r="R979" s="17">
        <f t="shared" si="407"/>
        <v>33.70931289005658</v>
      </c>
      <c r="S979" s="14">
        <f t="shared" si="423"/>
        <v>0.40338381601050921</v>
      </c>
      <c r="T979" s="13">
        <v>0</v>
      </c>
      <c r="U979" s="13">
        <f t="shared" si="424"/>
        <v>22.123263252952995</v>
      </c>
      <c r="V979" s="13">
        <f>IF($T979=1,$AU979,(VLOOKUP(U979,'Cortes naturales'!$A$35:$C$39,3,9)))</f>
        <v>4</v>
      </c>
      <c r="W979" s="13">
        <v>4</v>
      </c>
      <c r="X979" s="14" t="b">
        <f t="shared" si="408"/>
        <v>1</v>
      </c>
      <c r="Y979" s="17">
        <f>IF($T979=1,$AU979,VLOOKUP(U979,'Cortes naturales'!$A$45:$C$49,3,9))</f>
        <v>4</v>
      </c>
      <c r="Z979" s="14">
        <v>56.248882613074286</v>
      </c>
      <c r="AA979" s="14">
        <v>0.40885967880856855</v>
      </c>
      <c r="AB979" s="14">
        <v>22.997900078522427</v>
      </c>
      <c r="AC979" s="13">
        <v>4</v>
      </c>
      <c r="AD979" s="13">
        <f t="shared" si="409"/>
        <v>0</v>
      </c>
      <c r="AE979" s="14">
        <f t="shared" si="410"/>
        <v>-1.4046811977735132</v>
      </c>
      <c r="AF979" s="14">
        <f t="shared" si="411"/>
        <v>-5.4758627980593388E-3</v>
      </c>
      <c r="AG979" s="13">
        <f t="shared" si="412"/>
        <v>-0.87463682556943212</v>
      </c>
      <c r="AH979" s="13">
        <f>IF($T979=1,$AU979,VLOOKUP(U979,'Cortes naturales'!$A$25:$C$29,3,9))</f>
        <v>4</v>
      </c>
      <c r="AI979" s="13" t="b">
        <f t="shared" si="413"/>
        <v>1</v>
      </c>
      <c r="AJ979" s="13">
        <f t="shared" si="414"/>
        <v>0</v>
      </c>
      <c r="AK979" s="28">
        <v>0.6523467210059386</v>
      </c>
      <c r="AL979" s="28">
        <v>36.693774132886965</v>
      </c>
      <c r="AM979" s="28">
        <v>0.28837442367672578</v>
      </c>
      <c r="AN979" s="13">
        <v>4</v>
      </c>
      <c r="AO979" s="33">
        <f t="shared" si="415"/>
        <v>0</v>
      </c>
      <c r="AP979" s="13">
        <f t="shared" si="425"/>
        <v>28.837442367672576</v>
      </c>
      <c r="AQ979" s="13">
        <f>IFERROR(VLOOKUP(U979,'Cortes naturales'!$E$15:$G$19,3,9),U979)</f>
        <v>4</v>
      </c>
      <c r="AR979" s="28">
        <f t="shared" si="416"/>
        <v>-0.24896290499542939</v>
      </c>
      <c r="AS979" s="13" t="b">
        <f t="shared" si="417"/>
        <v>1</v>
      </c>
      <c r="AT979" s="13">
        <f t="shared" si="426"/>
        <v>0</v>
      </c>
      <c r="AU979" s="13">
        <v>4</v>
      </c>
      <c r="AV979">
        <f t="shared" si="418"/>
        <v>0</v>
      </c>
      <c r="AW979" s="13">
        <v>0</v>
      </c>
      <c r="AX979" s="13">
        <v>0</v>
      </c>
      <c r="AY979" s="13">
        <v>0</v>
      </c>
      <c r="AZ979" s="13">
        <v>0</v>
      </c>
      <c r="BA979">
        <v>0</v>
      </c>
      <c r="BB979" t="s">
        <v>2840</v>
      </c>
      <c r="BC979">
        <v>6</v>
      </c>
      <c r="BD979" t="s">
        <v>2919</v>
      </c>
      <c r="BE979">
        <v>0</v>
      </c>
      <c r="BF979" s="232" t="s">
        <v>2846</v>
      </c>
      <c r="BG979" s="232" t="s">
        <v>2846</v>
      </c>
      <c r="BH979" s="253">
        <v>50.1</v>
      </c>
      <c r="BI979" s="253">
        <v>33.116575221838382</v>
      </c>
      <c r="BJ979" s="25">
        <v>51.78338634494105</v>
      </c>
      <c r="BK979" t="s">
        <v>376</v>
      </c>
      <c r="BL979">
        <v>7.8164807577682653</v>
      </c>
      <c r="BM979" t="s">
        <v>379</v>
      </c>
      <c r="BN979" s="322">
        <v>44826.828690000002</v>
      </c>
      <c r="BO979" s="322">
        <v>10079.768491000001</v>
      </c>
      <c r="BP979" s="10">
        <v>17424</v>
      </c>
      <c r="BQ979" s="254">
        <f t="shared" si="419"/>
        <v>2.572705962465565</v>
      </c>
      <c r="BR979" s="254">
        <f t="shared" si="420"/>
        <v>0.57849910990587694</v>
      </c>
      <c r="BS979" s="25">
        <v>72.530618663407111</v>
      </c>
      <c r="BT979" s="25">
        <v>89.940714651711929</v>
      </c>
      <c r="BU979" s="25">
        <v>43.3070075553157</v>
      </c>
      <c r="BV979" s="25">
        <v>95.31431220890336</v>
      </c>
      <c r="BW979" s="25">
        <v>60.986795142717682</v>
      </c>
      <c r="BX979" s="25">
        <v>75.273163269834527</v>
      </c>
      <c r="BY979" s="25">
        <v>61.601225526274298</v>
      </c>
      <c r="BZ979">
        <v>24</v>
      </c>
      <c r="CA979">
        <v>0</v>
      </c>
      <c r="CB979">
        <v>7</v>
      </c>
      <c r="CC979">
        <v>149927.71403999999</v>
      </c>
      <c r="CD979" s="10">
        <v>114095.97977799999</v>
      </c>
      <c r="CE979" s="255">
        <v>0.76100659913723312</v>
      </c>
      <c r="CF979" t="str">
        <f>IFERROR(VLOOKUP(CE979,'Rangos amb etnico'!$A$2:$C$6,3,9),"N.D.")</f>
        <v>71% - 100%</v>
      </c>
      <c r="CG979" s="256">
        <v>3.319482155389551E-3</v>
      </c>
      <c r="CH979" s="232">
        <v>10419.744446000001</v>
      </c>
      <c r="CI979" s="311">
        <f t="shared" si="427"/>
        <v>6.9498454723454686E-2</v>
      </c>
      <c r="CJ979" s="232" t="str">
        <f>IFERROR(VLOOKUP(CI979,'Rangos amb etnico'!$A$2:$C$6,3,9),"N.D.")</f>
        <v>0,1% - 30%</v>
      </c>
      <c r="CK979" s="311">
        <f t="shared" si="428"/>
        <v>4.1373207466206797E-4</v>
      </c>
      <c r="CL979" s="10">
        <v>0</v>
      </c>
      <c r="CM979" s="255">
        <f t="shared" si="429"/>
        <v>0</v>
      </c>
      <c r="CN979" s="232">
        <f>IFERROR(VLOOKUP(CM979,'Rangos amb etnico'!$A$2:$C$6,3,9),"N.D.")</f>
        <v>0</v>
      </c>
      <c r="CO979" s="311">
        <f t="shared" si="430"/>
        <v>0</v>
      </c>
      <c r="CP979">
        <v>0.97864487085970575</v>
      </c>
      <c r="CQ979" t="s">
        <v>2864</v>
      </c>
      <c r="CR979">
        <f t="shared" si="421"/>
        <v>3</v>
      </c>
      <c r="CS979" t="str">
        <f t="shared" si="431"/>
        <v>Candidato</v>
      </c>
      <c r="CT979">
        <v>1</v>
      </c>
      <c r="CU979" t="s">
        <v>2836</v>
      </c>
      <c r="CV979" s="25">
        <v>50.315849304199219</v>
      </c>
      <c r="CW979" s="25">
        <v>25.7209358215332</v>
      </c>
      <c r="CX979" s="25">
        <v>45.555252075195313</v>
      </c>
      <c r="CY979" s="25">
        <v>48.087802886962891</v>
      </c>
      <c r="CZ979" s="25">
        <v>36.757732391357422</v>
      </c>
      <c r="DA979" s="25">
        <v>81.513320922851563</v>
      </c>
      <c r="DB979" s="25">
        <v>64.260040283203125</v>
      </c>
      <c r="DC979">
        <v>855</v>
      </c>
      <c r="DD979" s="253" t="s">
        <v>380</v>
      </c>
    </row>
    <row r="980" spans="1:108" hidden="1">
      <c r="A980" s="13">
        <v>73461</v>
      </c>
      <c r="B980" s="13" t="s">
        <v>2363</v>
      </c>
      <c r="C980" s="13" t="s">
        <v>595</v>
      </c>
      <c r="D980" s="13" t="s">
        <v>596</v>
      </c>
      <c r="E980" s="13" t="s">
        <v>2364</v>
      </c>
      <c r="F980" s="14">
        <v>69.733933333333297</v>
      </c>
      <c r="G980" s="13">
        <v>47.77</v>
      </c>
      <c r="H980" s="13">
        <v>53.47</v>
      </c>
      <c r="I980" s="13">
        <v>41.1</v>
      </c>
      <c r="J980" s="14">
        <v>53.71426170349411</v>
      </c>
      <c r="K980" s="14">
        <v>54.451609758701338</v>
      </c>
      <c r="L980" s="14">
        <v>64.04153016031583</v>
      </c>
      <c r="M980" s="14">
        <v>57.372300000000003</v>
      </c>
      <c r="N980" s="14">
        <f t="shared" si="405"/>
        <v>53.018483333333322</v>
      </c>
      <c r="O980" s="14">
        <f t="shared" si="406"/>
        <v>57.394925405627816</v>
      </c>
      <c r="P980" s="14">
        <f t="shared" si="422"/>
        <v>55.206704369480569</v>
      </c>
      <c r="Q980" s="14">
        <v>66.718921593369842</v>
      </c>
      <c r="R980" s="17">
        <f t="shared" si="407"/>
        <v>33.281078406630158</v>
      </c>
      <c r="S980" s="14">
        <f t="shared" si="423"/>
        <v>0.3995297056596715</v>
      </c>
      <c r="T980" s="13">
        <v>0</v>
      </c>
      <c r="U980" s="13">
        <f t="shared" si="424"/>
        <v>22.056718347179071</v>
      </c>
      <c r="V980" s="13">
        <f>IF($T980=1,$AU980,(VLOOKUP(U980,'Cortes naturales'!$A$35:$C$39,3,9)))</f>
        <v>4</v>
      </c>
      <c r="W980" s="13">
        <v>4</v>
      </c>
      <c r="X980" s="14" t="b">
        <f t="shared" si="408"/>
        <v>1</v>
      </c>
      <c r="Y980" s="17">
        <f>IF($T980=1,$AU980,VLOOKUP(U980,'Cortes naturales'!$A$45:$C$49,3,9))</f>
        <v>4</v>
      </c>
      <c r="Z980" s="14">
        <v>60.101317050408682</v>
      </c>
      <c r="AA980" s="14">
        <v>0.40835539280798472</v>
      </c>
      <c r="AB980" s="14">
        <v>24.542696932396865</v>
      </c>
      <c r="AC980" s="13">
        <v>4</v>
      </c>
      <c r="AD980" s="13">
        <f t="shared" si="409"/>
        <v>0</v>
      </c>
      <c r="AE980" s="14">
        <f t="shared" si="410"/>
        <v>-4.8946126809281125</v>
      </c>
      <c r="AF980" s="14">
        <f t="shared" si="411"/>
        <v>-8.8256871483132215E-3</v>
      </c>
      <c r="AG980" s="13">
        <f t="shared" si="412"/>
        <v>-2.4859785852177936</v>
      </c>
      <c r="AH980" s="13">
        <f>IF($T980=1,$AU980,VLOOKUP(U980,'Cortes naturales'!$A$25:$C$29,3,9))</f>
        <v>4</v>
      </c>
      <c r="AI980" s="13" t="b">
        <f t="shared" si="413"/>
        <v>1</v>
      </c>
      <c r="AJ980" s="13">
        <f t="shared" si="414"/>
        <v>0</v>
      </c>
      <c r="AK980" s="28">
        <v>0.6523467210059386</v>
      </c>
      <c r="AL980" s="28">
        <v>39.206897105972416</v>
      </c>
      <c r="AM980" s="28">
        <v>0.31981094298871121</v>
      </c>
      <c r="AN980" s="13">
        <v>4</v>
      </c>
      <c r="AO980" s="33">
        <f t="shared" si="415"/>
        <v>0</v>
      </c>
      <c r="AP980" s="13">
        <f t="shared" si="425"/>
        <v>31.98109429887112</v>
      </c>
      <c r="AQ980" s="13">
        <f>IFERROR(VLOOKUP(U980,'Cortes naturales'!$E$15:$G$19,3,9),U980)</f>
        <v>4</v>
      </c>
      <c r="AR980" s="28">
        <f t="shared" si="416"/>
        <v>-0.2528170153462671</v>
      </c>
      <c r="AS980" s="13" t="b">
        <f t="shared" si="417"/>
        <v>1</v>
      </c>
      <c r="AT980" s="13">
        <f t="shared" si="426"/>
        <v>0</v>
      </c>
      <c r="AU980" s="13">
        <v>4</v>
      </c>
      <c r="AV980">
        <f t="shared" si="418"/>
        <v>0</v>
      </c>
      <c r="AW980" s="13">
        <v>0</v>
      </c>
      <c r="AX980" s="13">
        <v>0</v>
      </c>
      <c r="AY980" s="13">
        <v>0</v>
      </c>
      <c r="AZ980" s="13">
        <v>0</v>
      </c>
      <c r="BA980">
        <v>1</v>
      </c>
      <c r="BB980" t="s">
        <v>2840</v>
      </c>
      <c r="BC980">
        <v>6</v>
      </c>
      <c r="BD980" t="s">
        <v>2919</v>
      </c>
      <c r="BE980">
        <v>0</v>
      </c>
      <c r="BF980" s="232" t="s">
        <v>2846</v>
      </c>
      <c r="BG980" s="232" t="s">
        <v>2845</v>
      </c>
      <c r="BH980" s="253">
        <v>50.4</v>
      </c>
      <c r="BI980" s="253">
        <v>14.486260454002389</v>
      </c>
      <c r="BJ980" s="25">
        <v>13.028571428571427</v>
      </c>
      <c r="BK980" t="s">
        <v>377</v>
      </c>
      <c r="BL980">
        <v>3.8653445103680095</v>
      </c>
      <c r="BM980" t="s">
        <v>383</v>
      </c>
      <c r="BN980" s="322">
        <v>9649.6862710000005</v>
      </c>
      <c r="BO980" s="322">
        <v>1223.1188010000001</v>
      </c>
      <c r="BP980" s="10">
        <v>4251</v>
      </c>
      <c r="BQ980" s="254">
        <f t="shared" si="419"/>
        <v>2.2699803036932487</v>
      </c>
      <c r="BR980" s="254">
        <f t="shared" si="420"/>
        <v>0.28772495906845452</v>
      </c>
      <c r="BS980" s="25">
        <v>54.121249604709433</v>
      </c>
      <c r="BT980" s="25">
        <v>80.701682208892024</v>
      </c>
      <c r="BU980" s="25">
        <v>18.815878489326739</v>
      </c>
      <c r="BV980" s="25">
        <v>96.03592638067505</v>
      </c>
      <c r="BW980" s="25">
        <v>64.055918982296646</v>
      </c>
      <c r="BX980" s="25">
        <v>62.418684170900811</v>
      </c>
      <c r="BY980" s="25">
        <v>66.063907593617969</v>
      </c>
      <c r="BZ980">
        <v>89</v>
      </c>
      <c r="CA980">
        <v>0</v>
      </c>
      <c r="CB980">
        <v>7</v>
      </c>
      <c r="CC980">
        <v>42372.151345999999</v>
      </c>
      <c r="CD980" s="10">
        <v>37120.616525999998</v>
      </c>
      <c r="CE980" s="255">
        <v>0.87606164300893463</v>
      </c>
      <c r="CF980" t="str">
        <f>IFERROR(VLOOKUP(CE980,'Rangos amb etnico'!$A$2:$C$6,3,9),"N.D.")</f>
        <v>71% - 100%</v>
      </c>
      <c r="CG980" s="256">
        <v>1.0799786670386698E-3</v>
      </c>
      <c r="CH980" s="232">
        <v>0</v>
      </c>
      <c r="CI980" s="311">
        <f t="shared" si="427"/>
        <v>0</v>
      </c>
      <c r="CJ980" s="232">
        <f>IFERROR(VLOOKUP(CI980,'Rangos amb etnico'!$A$2:$C$6,3,9),"N.D.")</f>
        <v>0</v>
      </c>
      <c r="CK980" s="311">
        <f t="shared" si="428"/>
        <v>0</v>
      </c>
      <c r="CL980" s="10">
        <v>0</v>
      </c>
      <c r="CM980" s="255">
        <f t="shared" si="429"/>
        <v>0</v>
      </c>
      <c r="CN980" s="232">
        <f>IFERROR(VLOOKUP(CM980,'Rangos amb etnico'!$A$2:$C$6,3,9),"N.D.")</f>
        <v>0</v>
      </c>
      <c r="CO980" s="311">
        <f t="shared" si="430"/>
        <v>0</v>
      </c>
      <c r="CP980">
        <v>0.9511242351949678</v>
      </c>
      <c r="CQ980" t="s">
        <v>2864</v>
      </c>
      <c r="CR980">
        <f t="shared" si="421"/>
        <v>2</v>
      </c>
      <c r="CS980" t="str">
        <f t="shared" si="431"/>
        <v>No es Candidato</v>
      </c>
      <c r="CT980">
        <v>0</v>
      </c>
      <c r="CU980">
        <v>0</v>
      </c>
      <c r="CV980" s="25">
        <v>45.245399475097663</v>
      </c>
      <c r="CW980" s="25">
        <v>21.343719482421879</v>
      </c>
      <c r="CX980" s="25">
        <v>47.564582824707031</v>
      </c>
      <c r="CY980" s="25">
        <v>49.343345642089837</v>
      </c>
      <c r="CZ980" s="25">
        <v>51.66192626953125</v>
      </c>
      <c r="DA980" s="25">
        <v>29.72343826293945</v>
      </c>
      <c r="DB980" s="25">
        <v>71.835380554199219</v>
      </c>
      <c r="DC980">
        <v>48</v>
      </c>
      <c r="DD980" s="253" t="s">
        <v>380</v>
      </c>
    </row>
    <row r="981" spans="1:108" hidden="1">
      <c r="A981" s="13">
        <v>25293</v>
      </c>
      <c r="B981" s="13" t="s">
        <v>2365</v>
      </c>
      <c r="C981" s="13" t="s">
        <v>461</v>
      </c>
      <c r="D981" s="13" t="s">
        <v>462</v>
      </c>
      <c r="E981" s="13" t="s">
        <v>2366</v>
      </c>
      <c r="F981" s="14">
        <v>57.106400000000001</v>
      </c>
      <c r="G981" s="13">
        <v>67.349999999999994</v>
      </c>
      <c r="H981" s="13">
        <v>59.67</v>
      </c>
      <c r="I981" s="13">
        <v>64.64</v>
      </c>
      <c r="J981" s="14">
        <v>56.865322154154811</v>
      </c>
      <c r="K981" s="14">
        <v>48.328169959739462</v>
      </c>
      <c r="L981" s="14">
        <v>66.065220564274867</v>
      </c>
      <c r="M981" s="14">
        <v>53.2866</v>
      </c>
      <c r="N981" s="14">
        <f t="shared" si="405"/>
        <v>62.191599999999994</v>
      </c>
      <c r="O981" s="14">
        <f t="shared" si="406"/>
        <v>56.136328169542288</v>
      </c>
      <c r="P981" s="14">
        <f t="shared" si="422"/>
        <v>59.163964084771138</v>
      </c>
      <c r="Q981" s="14">
        <v>67.186416645888599</v>
      </c>
      <c r="R981" s="17">
        <f t="shared" si="407"/>
        <v>32.813583354111401</v>
      </c>
      <c r="S981" s="14">
        <f t="shared" si="423"/>
        <v>0.39532225018700262</v>
      </c>
      <c r="T981" s="13">
        <v>0</v>
      </c>
      <c r="U981" s="13">
        <f t="shared" si="424"/>
        <v>23.388831411974735</v>
      </c>
      <c r="V981" s="13">
        <f>IF($T981=1,$AU981,(VLOOKUP(U981,'Cortes naturales'!$A$35:$C$39,3,9)))</f>
        <v>4</v>
      </c>
      <c r="W981" s="13">
        <v>4</v>
      </c>
      <c r="X981" s="14" t="b">
        <f t="shared" si="408"/>
        <v>1</v>
      </c>
      <c r="Y981" s="17">
        <f>IF($T981=1,$AU981,VLOOKUP(U981,'Cortes naturales'!$A$45:$C$49,3,9))</f>
        <v>4</v>
      </c>
      <c r="Z981" s="14">
        <v>57.153475183220472</v>
      </c>
      <c r="AA981" s="14">
        <v>0.40647846811935651</v>
      </c>
      <c r="AB981" s="14">
        <v>23.231657040173115</v>
      </c>
      <c r="AC981" s="13">
        <v>4</v>
      </c>
      <c r="AD981" s="13">
        <f t="shared" si="409"/>
        <v>0</v>
      </c>
      <c r="AE981" s="14">
        <f t="shared" si="410"/>
        <v>2.0104889015506657</v>
      </c>
      <c r="AF981" s="14">
        <f t="shared" si="411"/>
        <v>-1.1156217932353885E-2</v>
      </c>
      <c r="AG981" s="13">
        <f t="shared" si="412"/>
        <v>0.15717437180162008</v>
      </c>
      <c r="AH981" s="13">
        <f>IF($T981=1,$AU981,VLOOKUP(U981,'Cortes naturales'!$A$25:$C$29,3,9))</f>
        <v>4</v>
      </c>
      <c r="AI981" s="13" t="b">
        <f t="shared" si="413"/>
        <v>1</v>
      </c>
      <c r="AJ981" s="13">
        <f t="shared" si="414"/>
        <v>0</v>
      </c>
      <c r="AK981" s="28">
        <v>0.6523467210059386</v>
      </c>
      <c r="AL981" s="28">
        <v>37.283882129868161</v>
      </c>
      <c r="AM981" s="28">
        <v>0.29575605268649957</v>
      </c>
      <c r="AN981" s="13">
        <v>4</v>
      </c>
      <c r="AO981" s="33">
        <f t="shared" si="415"/>
        <v>0</v>
      </c>
      <c r="AP981" s="13">
        <f t="shared" si="425"/>
        <v>29.575605268649959</v>
      </c>
      <c r="AQ981" s="13">
        <f>IFERROR(VLOOKUP(U981,'Cortes naturales'!$E$15:$G$19,3,9),U981)</f>
        <v>4</v>
      </c>
      <c r="AR981" s="28">
        <f t="shared" si="416"/>
        <v>-0.25702447081893598</v>
      </c>
      <c r="AS981" s="13" t="b">
        <f t="shared" si="417"/>
        <v>1</v>
      </c>
      <c r="AT981" s="13">
        <f t="shared" si="426"/>
        <v>0</v>
      </c>
      <c r="AU981" s="13">
        <v>4</v>
      </c>
      <c r="AV981">
        <f t="shared" si="418"/>
        <v>0</v>
      </c>
      <c r="AW981" s="13">
        <v>0</v>
      </c>
      <c r="AX981" s="13">
        <v>0</v>
      </c>
      <c r="AY981" s="13">
        <v>0</v>
      </c>
      <c r="AZ981" s="13">
        <v>0</v>
      </c>
      <c r="BA981">
        <v>0</v>
      </c>
      <c r="BB981" t="s">
        <v>2840</v>
      </c>
      <c r="BC981">
        <v>6</v>
      </c>
      <c r="BD981" t="s">
        <v>2919</v>
      </c>
      <c r="BE981">
        <v>0</v>
      </c>
      <c r="BF981" s="232" t="s">
        <v>2846</v>
      </c>
      <c r="BG981" s="232" t="s">
        <v>2846</v>
      </c>
      <c r="BH981" s="253">
        <v>51.5</v>
      </c>
      <c r="BI981" s="253">
        <v>17.545475477780336</v>
      </c>
      <c r="BJ981" s="25">
        <v>0</v>
      </c>
      <c r="BK981" t="s">
        <v>381</v>
      </c>
      <c r="BL981">
        <v>0</v>
      </c>
      <c r="BM981" t="s">
        <v>377</v>
      </c>
      <c r="BN981" s="322">
        <v>21601.993060000001</v>
      </c>
      <c r="BO981" s="322">
        <v>2753.6672370000001</v>
      </c>
      <c r="BP981" s="10">
        <v>4548</v>
      </c>
      <c r="BQ981" s="254">
        <f t="shared" si="419"/>
        <v>4.7497785971855766</v>
      </c>
      <c r="BR981" s="254">
        <f t="shared" si="420"/>
        <v>0.6054677302110818</v>
      </c>
      <c r="BS981" s="25">
        <v>59.932309623177879</v>
      </c>
      <c r="BT981" s="25">
        <v>90.589270008795083</v>
      </c>
      <c r="BU981" s="25">
        <v>20.016339113680129</v>
      </c>
      <c r="BV981" s="25">
        <v>99.581748585027455</v>
      </c>
      <c r="BW981" s="25">
        <v>53.148796012478783</v>
      </c>
      <c r="BX981" s="25">
        <v>67.529916832670139</v>
      </c>
      <c r="BY981" s="25">
        <v>54.478078554586773</v>
      </c>
      <c r="BZ981">
        <v>87</v>
      </c>
      <c r="CA981">
        <v>0</v>
      </c>
      <c r="CB981">
        <v>7</v>
      </c>
      <c r="CC981">
        <v>38437.423110000003</v>
      </c>
      <c r="CD981" s="10">
        <v>7063.6006420000003</v>
      </c>
      <c r="CE981" s="255">
        <v>0.18376883959638574</v>
      </c>
      <c r="CF981" t="str">
        <f>IFERROR(VLOOKUP(CE981,'Rangos amb etnico'!$A$2:$C$6,3,9),"N.D.")</f>
        <v>0,1% - 30%</v>
      </c>
      <c r="CG981" s="256">
        <v>2.0550677008549889E-4</v>
      </c>
      <c r="CH981" s="232">
        <v>0</v>
      </c>
      <c r="CI981" s="311">
        <f t="shared" si="427"/>
        <v>0</v>
      </c>
      <c r="CJ981" s="232">
        <f>IFERROR(VLOOKUP(CI981,'Rangos amb etnico'!$A$2:$C$6,3,9),"N.D.")</f>
        <v>0</v>
      </c>
      <c r="CK981" s="311">
        <f t="shared" si="428"/>
        <v>0</v>
      </c>
      <c r="CL981" s="10">
        <v>0</v>
      </c>
      <c r="CM981" s="255">
        <f t="shared" si="429"/>
        <v>0</v>
      </c>
      <c r="CN981" s="232">
        <f>IFERROR(VLOOKUP(CM981,'Rangos amb etnico'!$A$2:$C$6,3,9),"N.D.")</f>
        <v>0</v>
      </c>
      <c r="CO981" s="311">
        <f t="shared" si="430"/>
        <v>0</v>
      </c>
      <c r="CP981">
        <v>0.92148902624329532</v>
      </c>
      <c r="CQ981" t="s">
        <v>2864</v>
      </c>
      <c r="CR981">
        <f t="shared" si="421"/>
        <v>2</v>
      </c>
      <c r="CS981" t="str">
        <f t="shared" si="431"/>
        <v>No es Candidato</v>
      </c>
      <c r="CT981">
        <v>0</v>
      </c>
      <c r="CU981">
        <v>0</v>
      </c>
      <c r="CV981" s="25">
        <v>53.203636169433587</v>
      </c>
      <c r="CW981" s="25">
        <v>13.36620998382568</v>
      </c>
      <c r="CX981" s="25">
        <v>49.356418609619141</v>
      </c>
      <c r="CY981" s="25">
        <v>74.050735473632813</v>
      </c>
      <c r="CZ981" s="25">
        <v>30.403066635131839</v>
      </c>
      <c r="DA981" s="25">
        <v>97.750450134277344</v>
      </c>
      <c r="DB981" s="25">
        <v>54.294937133789063</v>
      </c>
      <c r="DC981">
        <v>43</v>
      </c>
      <c r="DD981" s="253" t="s">
        <v>380</v>
      </c>
    </row>
    <row r="982" spans="1:108" hidden="1">
      <c r="A982" s="13">
        <v>15667</v>
      </c>
      <c r="B982" s="13" t="s">
        <v>2367</v>
      </c>
      <c r="C982" s="13" t="s">
        <v>498</v>
      </c>
      <c r="D982" s="13" t="s">
        <v>499</v>
      </c>
      <c r="E982" s="13" t="s">
        <v>2368</v>
      </c>
      <c r="F982" s="14">
        <v>50.167366666666702</v>
      </c>
      <c r="G982" s="13">
        <v>54.25</v>
      </c>
      <c r="H982" s="13">
        <v>50.94</v>
      </c>
      <c r="I982" s="13">
        <v>52.09</v>
      </c>
      <c r="J982" s="14">
        <v>46.603527038199402</v>
      </c>
      <c r="K982" s="14">
        <v>48.130819806777318</v>
      </c>
      <c r="L982" s="14">
        <v>51.320309990908044</v>
      </c>
      <c r="M982" s="14">
        <v>57.551099999999998</v>
      </c>
      <c r="N982" s="14">
        <f t="shared" si="405"/>
        <v>51.861841666666677</v>
      </c>
      <c r="O982" s="14">
        <f t="shared" si="406"/>
        <v>50.90143920897119</v>
      </c>
      <c r="P982" s="14">
        <f t="shared" si="422"/>
        <v>51.38164043781893</v>
      </c>
      <c r="Q982" s="14">
        <v>67.312145408713988</v>
      </c>
      <c r="R982" s="17">
        <f t="shared" si="407"/>
        <v>32.687854591286012</v>
      </c>
      <c r="S982" s="14">
        <f t="shared" si="423"/>
        <v>0.39419069132157414</v>
      </c>
      <c r="T982" s="13">
        <v>0</v>
      </c>
      <c r="U982" s="13">
        <f t="shared" si="424"/>
        <v>20.254164365420394</v>
      </c>
      <c r="V982" s="13">
        <f>IF($T982=1,$AU982,(VLOOKUP(U982,'Cortes naturales'!$A$35:$C$39,3,9)))</f>
        <v>5</v>
      </c>
      <c r="W982" s="13">
        <v>5</v>
      </c>
      <c r="X982" s="14" t="b">
        <f t="shared" si="408"/>
        <v>1</v>
      </c>
      <c r="Y982" s="17">
        <f>IF($T982=1,$AU982,VLOOKUP(U982,'Cortes naturales'!$A$45:$C$49,3,9))</f>
        <v>5</v>
      </c>
      <c r="Z982" s="14">
        <v>49.982138549152147</v>
      </c>
      <c r="AA982" s="14">
        <v>0.40533751422719699</v>
      </c>
      <c r="AB982" s="14">
        <v>20.25963579527269</v>
      </c>
      <c r="AC982" s="13">
        <v>4</v>
      </c>
      <c r="AD982" s="13">
        <f t="shared" si="409"/>
        <v>-1</v>
      </c>
      <c r="AE982" s="14">
        <f t="shared" si="410"/>
        <v>1.3995018886667836</v>
      </c>
      <c r="AF982" s="14">
        <f t="shared" si="411"/>
        <v>-1.1146822905622855E-2</v>
      </c>
      <c r="AG982" s="13">
        <f t="shared" si="412"/>
        <v>-5.4714298522959837E-3</v>
      </c>
      <c r="AH982" s="13">
        <f>IF($T982=1,$AU982,VLOOKUP(U982,'Cortes naturales'!$A$25:$C$29,3,9))</f>
        <v>4</v>
      </c>
      <c r="AI982" s="13" t="b">
        <f t="shared" si="413"/>
        <v>0</v>
      </c>
      <c r="AJ982" s="13" t="str">
        <f t="shared" si="414"/>
        <v>Cambio en corte</v>
      </c>
      <c r="AK982" s="28">
        <v>0.6523467210059386</v>
      </c>
      <c r="AL982" s="28">
        <v>32.605684191403924</v>
      </c>
      <c r="AM982" s="28">
        <v>0.23723672776175744</v>
      </c>
      <c r="AN982" s="13">
        <v>4</v>
      </c>
      <c r="AO982" s="33">
        <f t="shared" si="415"/>
        <v>-1</v>
      </c>
      <c r="AP982" s="13">
        <f t="shared" si="425"/>
        <v>23.723672776175743</v>
      </c>
      <c r="AQ982" s="13">
        <f>IFERROR(VLOOKUP(U982,'Cortes naturales'!$E$15:$G$19,3,9),U982)</f>
        <v>4</v>
      </c>
      <c r="AR982" s="28">
        <f t="shared" si="416"/>
        <v>-0.25815602968436446</v>
      </c>
      <c r="AS982" s="13" t="b">
        <f t="shared" si="417"/>
        <v>0</v>
      </c>
      <c r="AT982" s="13" t="str">
        <f t="shared" si="426"/>
        <v>Cambio en corte</v>
      </c>
      <c r="AU982" s="13">
        <v>4</v>
      </c>
      <c r="AV982">
        <f t="shared" si="418"/>
        <v>-1</v>
      </c>
      <c r="AW982" s="13">
        <v>0</v>
      </c>
      <c r="AX982" s="13">
        <v>0</v>
      </c>
      <c r="AY982" s="13">
        <v>0</v>
      </c>
      <c r="AZ982" s="13">
        <v>0</v>
      </c>
      <c r="BA982">
        <v>0</v>
      </c>
      <c r="BB982" t="s">
        <v>2840</v>
      </c>
      <c r="BC982">
        <v>6</v>
      </c>
      <c r="BD982" t="s">
        <v>2919</v>
      </c>
      <c r="BE982">
        <v>0</v>
      </c>
      <c r="BF982" s="232" t="s">
        <v>2846</v>
      </c>
      <c r="BG982" s="232" t="s">
        <v>2846</v>
      </c>
      <c r="BH982" s="253">
        <v>31.4</v>
      </c>
      <c r="BI982" s="253">
        <v>15.284516982796648</v>
      </c>
      <c r="BJ982" s="25">
        <v>19.300808802677103</v>
      </c>
      <c r="BK982" t="s">
        <v>379</v>
      </c>
      <c r="BL982">
        <v>0</v>
      </c>
      <c r="BM982" t="s">
        <v>377</v>
      </c>
      <c r="BN982" s="322">
        <v>16561.154482999998</v>
      </c>
      <c r="BO982" s="322">
        <v>3246.9870740000001</v>
      </c>
      <c r="BP982" s="10">
        <v>5304</v>
      </c>
      <c r="BQ982" s="254">
        <f t="shared" si="419"/>
        <v>3.1223896084087479</v>
      </c>
      <c r="BR982" s="254">
        <f t="shared" si="420"/>
        <v>0.61217705015082957</v>
      </c>
      <c r="BS982" s="25">
        <v>54.705824491927991</v>
      </c>
      <c r="BT982" s="25">
        <v>84.354986475615888</v>
      </c>
      <c r="BU982" s="25">
        <v>33.665056202738597</v>
      </c>
      <c r="BV982" s="25">
        <v>92.067388957551273</v>
      </c>
      <c r="BW982" s="25">
        <v>68.474578317301791</v>
      </c>
      <c r="BX982" s="25">
        <v>66.198314031958446</v>
      </c>
      <c r="BY982" s="25">
        <v>68.287901571972867</v>
      </c>
      <c r="BZ982">
        <v>17</v>
      </c>
      <c r="CA982">
        <v>0</v>
      </c>
      <c r="CB982">
        <v>7</v>
      </c>
      <c r="CC982">
        <v>46896.632053000001</v>
      </c>
      <c r="CD982" s="10">
        <v>24.865068999999998</v>
      </c>
      <c r="CE982" s="255">
        <v>5.3021012195286993E-4</v>
      </c>
      <c r="CF982">
        <f>IFERROR(VLOOKUP(CE982,'Rangos amb etnico'!$A$2:$C$6,3,9),"N.D.")</f>
        <v>0</v>
      </c>
      <c r="CG982" s="256">
        <v>7.2341859019598089E-7</v>
      </c>
      <c r="CH982" s="232">
        <v>0</v>
      </c>
      <c r="CI982" s="311">
        <f t="shared" si="427"/>
        <v>0</v>
      </c>
      <c r="CJ982" s="232">
        <f>IFERROR(VLOOKUP(CI982,'Rangos amb etnico'!$A$2:$C$6,3,9),"N.D.")</f>
        <v>0</v>
      </c>
      <c r="CK982" s="311">
        <f t="shared" si="428"/>
        <v>0</v>
      </c>
      <c r="CL982" s="10">
        <v>0</v>
      </c>
      <c r="CM982" s="255">
        <f t="shared" si="429"/>
        <v>0</v>
      </c>
      <c r="CN982" s="232">
        <f>IFERROR(VLOOKUP(CM982,'Rangos amb etnico'!$A$2:$C$6,3,9),"N.D.")</f>
        <v>0</v>
      </c>
      <c r="CO982" s="311">
        <f t="shared" si="430"/>
        <v>0</v>
      </c>
      <c r="CP982">
        <v>0.95927808526425173</v>
      </c>
      <c r="CQ982" t="s">
        <v>2864</v>
      </c>
      <c r="CR982">
        <f t="shared" si="421"/>
        <v>2</v>
      </c>
      <c r="CS982" t="str">
        <f t="shared" si="431"/>
        <v>No es Candidato</v>
      </c>
      <c r="CT982">
        <v>0</v>
      </c>
      <c r="CU982">
        <v>0</v>
      </c>
      <c r="CV982" s="25">
        <v>45.694881439208977</v>
      </c>
      <c r="CW982" s="25">
        <v>16.96341514587402</v>
      </c>
      <c r="CX982" s="25">
        <v>46.982662200927727</v>
      </c>
      <c r="CY982" s="25">
        <v>58.393844604492188</v>
      </c>
      <c r="CZ982" s="25">
        <v>33.512153625488281</v>
      </c>
      <c r="DA982" s="25">
        <v>61.229106903076172</v>
      </c>
      <c r="DB982" s="25">
        <v>57.088108062744141</v>
      </c>
      <c r="DC982">
        <v>64</v>
      </c>
      <c r="DD982" s="253" t="s">
        <v>380</v>
      </c>
    </row>
    <row r="983" spans="1:108" hidden="1">
      <c r="A983" s="13">
        <v>25530</v>
      </c>
      <c r="B983" s="13" t="s">
        <v>2369</v>
      </c>
      <c r="C983" s="13" t="s">
        <v>461</v>
      </c>
      <c r="D983" s="13" t="s">
        <v>462</v>
      </c>
      <c r="E983" s="13" t="s">
        <v>2370</v>
      </c>
      <c r="F983" s="14">
        <v>56.3583</v>
      </c>
      <c r="G983" s="13">
        <v>58.75</v>
      </c>
      <c r="H983" s="13">
        <v>56.97</v>
      </c>
      <c r="I983" s="13">
        <v>44.36</v>
      </c>
      <c r="J983" s="14">
        <v>62.813058646805217</v>
      </c>
      <c r="K983" s="14">
        <v>71.830255474707741</v>
      </c>
      <c r="L983" s="14">
        <v>68.62131443682101</v>
      </c>
      <c r="M983" s="14">
        <v>61.979599999999998</v>
      </c>
      <c r="N983" s="14">
        <f t="shared" si="405"/>
        <v>54.109575000000007</v>
      </c>
      <c r="O983" s="14">
        <f t="shared" si="406"/>
        <v>66.311057139583497</v>
      </c>
      <c r="P983" s="14">
        <f t="shared" si="422"/>
        <v>60.210316069791752</v>
      </c>
      <c r="Q983" s="14">
        <v>68.408760836799303</v>
      </c>
      <c r="R983" s="17">
        <f t="shared" si="407"/>
        <v>31.591239163200697</v>
      </c>
      <c r="S983" s="14">
        <f t="shared" si="423"/>
        <v>0.38432115246880627</v>
      </c>
      <c r="T983" s="13">
        <v>0</v>
      </c>
      <c r="U983" s="13">
        <f t="shared" si="424"/>
        <v>23.14009806245345</v>
      </c>
      <c r="V983" s="13">
        <f>IF($T983=1,$AU983,(VLOOKUP(U983,'Cortes naturales'!$A$35:$C$39,3,9)))</f>
        <v>4</v>
      </c>
      <c r="W983" s="13">
        <v>4</v>
      </c>
      <c r="X983" s="14" t="b">
        <f t="shared" si="408"/>
        <v>1</v>
      </c>
      <c r="Y983" s="17">
        <f>IF($T983=1,$AU983,VLOOKUP(U983,'Cortes naturales'!$A$45:$C$49,3,9))</f>
        <v>4</v>
      </c>
      <c r="Z983" s="14">
        <v>60.273168977248929</v>
      </c>
      <c r="AA983" s="14">
        <v>0.40453251150210179</v>
      </c>
      <c r="AB983" s="14">
        <v>24.382456422557077</v>
      </c>
      <c r="AC983" s="13">
        <v>4</v>
      </c>
      <c r="AD983" s="13">
        <f t="shared" si="409"/>
        <v>0</v>
      </c>
      <c r="AE983" s="14">
        <f t="shared" si="410"/>
        <v>-6.2852907457177309E-2</v>
      </c>
      <c r="AF983" s="14">
        <f t="shared" si="411"/>
        <v>-2.0211359033295517E-2</v>
      </c>
      <c r="AG983" s="13">
        <f t="shared" si="412"/>
        <v>-1.2423583601036263</v>
      </c>
      <c r="AH983" s="13">
        <f>IF($T983=1,$AU983,VLOOKUP(U983,'Cortes naturales'!$A$25:$C$29,3,9))</f>
        <v>4</v>
      </c>
      <c r="AI983" s="13" t="b">
        <f t="shared" si="413"/>
        <v>1</v>
      </c>
      <c r="AJ983" s="13">
        <f t="shared" si="414"/>
        <v>0</v>
      </c>
      <c r="AK983" s="28">
        <v>0.6523467210059386</v>
      </c>
      <c r="AL983" s="28">
        <v>39.319004146945204</v>
      </c>
      <c r="AM983" s="28">
        <v>0.32121328389932086</v>
      </c>
      <c r="AN983" s="13">
        <v>4</v>
      </c>
      <c r="AO983" s="33">
        <f t="shared" si="415"/>
        <v>0</v>
      </c>
      <c r="AP983" s="13">
        <f t="shared" si="425"/>
        <v>32.121328389932088</v>
      </c>
      <c r="AQ983" s="13">
        <f>IFERROR(VLOOKUP(U983,'Cortes naturales'!$E$15:$G$19,3,9),U983)</f>
        <v>4</v>
      </c>
      <c r="AR983" s="28">
        <f t="shared" si="416"/>
        <v>-0.26802556853713233</v>
      </c>
      <c r="AS983" s="13" t="b">
        <f t="shared" si="417"/>
        <v>1</v>
      </c>
      <c r="AT983" s="13">
        <f t="shared" si="426"/>
        <v>0</v>
      </c>
      <c r="AU983" s="13">
        <v>4</v>
      </c>
      <c r="AV983">
        <f t="shared" si="418"/>
        <v>0</v>
      </c>
      <c r="AW983" s="13">
        <v>0</v>
      </c>
      <c r="AX983" s="13">
        <v>0</v>
      </c>
      <c r="AY983" s="13">
        <v>0</v>
      </c>
      <c r="AZ983" s="13">
        <v>0</v>
      </c>
      <c r="BA983">
        <v>1</v>
      </c>
      <c r="BB983" t="s">
        <v>2840</v>
      </c>
      <c r="BC983">
        <v>6</v>
      </c>
      <c r="BD983" t="s">
        <v>2919</v>
      </c>
      <c r="BE983">
        <v>0</v>
      </c>
      <c r="BF983" s="232" t="s">
        <v>2846</v>
      </c>
      <c r="BG983" s="232" t="s">
        <v>2846</v>
      </c>
      <c r="BH983" s="253">
        <v>37.4</v>
      </c>
      <c r="BI983" s="253">
        <v>15.573053368328958</v>
      </c>
      <c r="BJ983" s="25">
        <v>9.1933333333333334</v>
      </c>
      <c r="BK983" t="s">
        <v>377</v>
      </c>
      <c r="BL983">
        <v>7.9435417057605653</v>
      </c>
      <c r="BM983" t="s">
        <v>379</v>
      </c>
      <c r="BN983" s="322">
        <v>23705.079368999999</v>
      </c>
      <c r="BO983" s="322">
        <v>8279.2794869999998</v>
      </c>
      <c r="BP983" s="10">
        <v>8841</v>
      </c>
      <c r="BQ983" s="254">
        <f t="shared" si="419"/>
        <v>2.6812667536477774</v>
      </c>
      <c r="BR983" s="254">
        <f t="shared" si="420"/>
        <v>0.93646414285714286</v>
      </c>
      <c r="BS983" s="25">
        <v>58.12489756658173</v>
      </c>
      <c r="BT983" s="25">
        <v>86.393217545149483</v>
      </c>
      <c r="BU983" s="25">
        <v>33.423855278766297</v>
      </c>
      <c r="BV983" s="25">
        <v>83.354331968291888</v>
      </c>
      <c r="BW983" s="25">
        <v>64.796408444190604</v>
      </c>
      <c r="BX983" s="25">
        <v>65.324075589697344</v>
      </c>
      <c r="BY983" s="25">
        <v>65.867934316088494</v>
      </c>
      <c r="BZ983">
        <v>88</v>
      </c>
      <c r="CA983">
        <v>0</v>
      </c>
      <c r="CB983">
        <v>7</v>
      </c>
      <c r="CC983">
        <v>88390.653760999994</v>
      </c>
      <c r="CD983" s="10">
        <v>965.72936200000004</v>
      </c>
      <c r="CE983" s="255">
        <v>1.0925695431682645E-2</v>
      </c>
      <c r="CF983" t="str">
        <f>IFERROR(VLOOKUP(CE983,'Rangos amb etnico'!$A$2:$C$6,3,9),"N.D.")</f>
        <v>0,1% - 30%</v>
      </c>
      <c r="CG983" s="256">
        <v>2.8096707616974808E-5</v>
      </c>
      <c r="CH983" s="232">
        <v>0</v>
      </c>
      <c r="CI983" s="311">
        <f t="shared" si="427"/>
        <v>0</v>
      </c>
      <c r="CJ983" s="232">
        <f>IFERROR(VLOOKUP(CI983,'Rangos amb etnico'!$A$2:$C$6,3,9),"N.D.")</f>
        <v>0</v>
      </c>
      <c r="CK983" s="311">
        <f t="shared" si="428"/>
        <v>0</v>
      </c>
      <c r="CL983" s="10">
        <v>0</v>
      </c>
      <c r="CM983" s="255">
        <f t="shared" si="429"/>
        <v>0</v>
      </c>
      <c r="CN983" s="232">
        <f>IFERROR(VLOOKUP(CM983,'Rangos amb etnico'!$A$2:$C$6,3,9),"N.D.")</f>
        <v>0</v>
      </c>
      <c r="CO983" s="311">
        <f t="shared" si="430"/>
        <v>0</v>
      </c>
      <c r="CP983">
        <v>0.89934529351261072</v>
      </c>
      <c r="CQ983" t="s">
        <v>2864</v>
      </c>
      <c r="CR983">
        <f t="shared" si="421"/>
        <v>3</v>
      </c>
      <c r="CS983" t="str">
        <f t="shared" si="431"/>
        <v>Candidato</v>
      </c>
      <c r="CT983">
        <v>0</v>
      </c>
      <c r="CU983">
        <v>0</v>
      </c>
      <c r="CV983" s="25">
        <v>42.387195587158203</v>
      </c>
      <c r="CW983" s="25">
        <v>27.572196960449219</v>
      </c>
      <c r="CX983" s="25">
        <v>48.888786315917969</v>
      </c>
      <c r="CY983" s="25">
        <v>59.422782897949219</v>
      </c>
      <c r="CZ983" s="25">
        <v>47.628532409667969</v>
      </c>
      <c r="DA983" s="25">
        <v>12.5</v>
      </c>
      <c r="DB983" s="25">
        <v>58.310874938964837</v>
      </c>
      <c r="DC983">
        <v>62</v>
      </c>
      <c r="DD983" s="253" t="s">
        <v>380</v>
      </c>
    </row>
    <row r="984" spans="1:108" hidden="1">
      <c r="A984" s="13">
        <v>54174</v>
      </c>
      <c r="B984" s="13" t="s">
        <v>2371</v>
      </c>
      <c r="C984" s="13" t="s">
        <v>517</v>
      </c>
      <c r="D984" s="13" t="s">
        <v>518</v>
      </c>
      <c r="E984" s="13" t="s">
        <v>2372</v>
      </c>
      <c r="F984" s="14">
        <v>59.760966666666697</v>
      </c>
      <c r="G984" s="13">
        <v>47.3</v>
      </c>
      <c r="H984" s="13">
        <v>42.07</v>
      </c>
      <c r="I984" s="13">
        <v>52.75</v>
      </c>
      <c r="J984" s="14">
        <v>59.168726571013735</v>
      </c>
      <c r="K984" s="14">
        <v>51.367140469710492</v>
      </c>
      <c r="L984" s="14">
        <v>60.443449452704648</v>
      </c>
      <c r="M984" s="14">
        <v>59.401899999999998</v>
      </c>
      <c r="N984" s="14">
        <f t="shared" si="405"/>
        <v>50.470241666666674</v>
      </c>
      <c r="O984" s="14">
        <f t="shared" si="406"/>
        <v>57.595304123357224</v>
      </c>
      <c r="P984" s="14">
        <f t="shared" si="422"/>
        <v>54.032772895011945</v>
      </c>
      <c r="Q984" s="14">
        <v>66.505830214389391</v>
      </c>
      <c r="R984" s="17">
        <f t="shared" si="407"/>
        <v>33.494169785610609</v>
      </c>
      <c r="S984" s="14">
        <f t="shared" si="423"/>
        <v>0.40144752807049555</v>
      </c>
      <c r="T984" s="13">
        <v>0</v>
      </c>
      <c r="U984" s="13">
        <f t="shared" si="424"/>
        <v>21.69132311349702</v>
      </c>
      <c r="V984" s="13">
        <f>IF($T984=1,$AU984,(VLOOKUP(U984,'Cortes naturales'!$A$35:$C$39,3,9)))</f>
        <v>5</v>
      </c>
      <c r="W984" s="13">
        <v>5</v>
      </c>
      <c r="X984" s="14" t="b">
        <f t="shared" si="408"/>
        <v>1</v>
      </c>
      <c r="Y984" s="17">
        <f>IF($T984=1,$AU984,VLOOKUP(U984,'Cortes naturales'!$A$45:$C$49,3,9))</f>
        <v>4</v>
      </c>
      <c r="Z984" s="14">
        <v>53.881986889411237</v>
      </c>
      <c r="AA984" s="14">
        <v>0.40654661855730589</v>
      </c>
      <c r="AB984" s="14">
        <v>21.905539571039228</v>
      </c>
      <c r="AC984" s="13">
        <v>4</v>
      </c>
      <c r="AD984" s="13">
        <f t="shared" si="409"/>
        <v>0</v>
      </c>
      <c r="AE984" s="14">
        <f t="shared" si="410"/>
        <v>0.15078600560070754</v>
      </c>
      <c r="AF984" s="14">
        <f t="shared" si="411"/>
        <v>-5.0990904868103426E-3</v>
      </c>
      <c r="AG984" s="13">
        <f t="shared" si="412"/>
        <v>-0.21421645754220719</v>
      </c>
      <c r="AH984" s="13">
        <f>IF($T984=1,$AU984,VLOOKUP(U984,'Cortes naturales'!$A$25:$C$29,3,9))</f>
        <v>4</v>
      </c>
      <c r="AI984" s="13" t="b">
        <f t="shared" si="413"/>
        <v>1</v>
      </c>
      <c r="AJ984" s="13">
        <f t="shared" si="414"/>
        <v>0</v>
      </c>
      <c r="AK984" s="28">
        <v>0.6523467210059386</v>
      </c>
      <c r="AL984" s="28">
        <v>35.149737468592392</v>
      </c>
      <c r="AM984" s="28">
        <v>0.26906015257445792</v>
      </c>
      <c r="AN984" s="13">
        <v>4</v>
      </c>
      <c r="AO984" s="33">
        <f t="shared" si="415"/>
        <v>0</v>
      </c>
      <c r="AP984" s="13">
        <f t="shared" si="425"/>
        <v>26.906015257445791</v>
      </c>
      <c r="AQ984" s="13">
        <f>IFERROR(VLOOKUP(U984,'Cortes naturales'!$E$15:$G$19,3,9),U984)</f>
        <v>4</v>
      </c>
      <c r="AR984" s="28">
        <f t="shared" si="416"/>
        <v>-0.25089919293544305</v>
      </c>
      <c r="AS984" s="13" t="b">
        <f t="shared" si="417"/>
        <v>1</v>
      </c>
      <c r="AT984" s="13">
        <f t="shared" si="426"/>
        <v>0</v>
      </c>
      <c r="AU984" s="13">
        <v>4</v>
      </c>
      <c r="AV984">
        <f t="shared" si="418"/>
        <v>0</v>
      </c>
      <c r="AW984" s="13">
        <v>0</v>
      </c>
      <c r="AX984" s="13">
        <v>0</v>
      </c>
      <c r="AY984" s="13">
        <v>0</v>
      </c>
      <c r="AZ984" s="13">
        <v>0</v>
      </c>
      <c r="BA984">
        <v>0</v>
      </c>
      <c r="BB984" t="s">
        <v>2840</v>
      </c>
      <c r="BC984">
        <v>6</v>
      </c>
      <c r="BD984" t="s">
        <v>2919</v>
      </c>
      <c r="BE984">
        <v>1</v>
      </c>
      <c r="BF984" s="232" t="s">
        <v>2846</v>
      </c>
      <c r="BG984" s="232" t="s">
        <v>2846</v>
      </c>
      <c r="BH984" s="253">
        <v>54.8</v>
      </c>
      <c r="BI984" s="253">
        <v>31.8173204472238</v>
      </c>
      <c r="BJ984" s="25">
        <v>9.3559999999999999</v>
      </c>
      <c r="BK984" t="s">
        <v>377</v>
      </c>
      <c r="BL984">
        <v>1.6665760572424131</v>
      </c>
      <c r="BM984" t="s">
        <v>383</v>
      </c>
      <c r="BN984" s="322">
        <v>31258.903306</v>
      </c>
      <c r="BO984" s="322">
        <v>3594.5617149999998</v>
      </c>
      <c r="BP984" s="10">
        <v>13208</v>
      </c>
      <c r="BQ984" s="254">
        <f t="shared" si="419"/>
        <v>2.3666643932465172</v>
      </c>
      <c r="BR984" s="254">
        <f t="shared" si="420"/>
        <v>0.2721503418382798</v>
      </c>
      <c r="BS984" s="25">
        <v>58.415503815328563</v>
      </c>
      <c r="BT984" s="25">
        <v>84.528672228952146</v>
      </c>
      <c r="BU984" s="25">
        <v>35.409063429727468</v>
      </c>
      <c r="BV984" s="25">
        <v>93.665166621277422</v>
      </c>
      <c r="BW984" s="25">
        <v>51.605305354922343</v>
      </c>
      <c r="BX984" s="25">
        <v>68.004601523821407</v>
      </c>
      <c r="BY984" s="25">
        <v>51.847658102241063</v>
      </c>
      <c r="BZ984">
        <v>24</v>
      </c>
      <c r="CA984">
        <v>0</v>
      </c>
      <c r="CB984">
        <v>7</v>
      </c>
      <c r="CC984">
        <v>118250.538184</v>
      </c>
      <c r="CD984" s="10">
        <v>52644.090402000002</v>
      </c>
      <c r="CE984" s="255">
        <v>0.44519112733410848</v>
      </c>
      <c r="CF984" t="str">
        <f>IFERROR(VLOOKUP(CE984,'Rangos amb etnico'!$A$2:$C$6,3,9),"N.D.")</f>
        <v>31% - 50%</v>
      </c>
      <c r="CG984" s="256">
        <v>1.5316150403911855E-3</v>
      </c>
      <c r="CH984" s="232">
        <v>33928.263680999997</v>
      </c>
      <c r="CI984" s="311">
        <f t="shared" si="427"/>
        <v>0.28691847159466621</v>
      </c>
      <c r="CJ984" s="232" t="str">
        <f>IFERROR(VLOOKUP(CI984,'Rangos amb etnico'!$A$2:$C$6,3,9),"N.D.")</f>
        <v>0,1% - 30%</v>
      </c>
      <c r="CK984" s="311">
        <f t="shared" si="428"/>
        <v>1.3471742032800541E-3</v>
      </c>
      <c r="CL984" s="10">
        <v>0</v>
      </c>
      <c r="CM984" s="255">
        <f t="shared" si="429"/>
        <v>0</v>
      </c>
      <c r="CN984" s="232">
        <f>IFERROR(VLOOKUP(CM984,'Rangos amb etnico'!$A$2:$C$6,3,9),"N.D.")</f>
        <v>0</v>
      </c>
      <c r="CO984" s="311">
        <f t="shared" si="430"/>
        <v>0</v>
      </c>
      <c r="CP984">
        <v>0.97315565297251738</v>
      </c>
      <c r="CQ984" t="s">
        <v>2864</v>
      </c>
      <c r="CR984">
        <f t="shared" si="421"/>
        <v>1</v>
      </c>
      <c r="CS984" t="str">
        <f t="shared" si="431"/>
        <v>No es Candidato</v>
      </c>
      <c r="CT984">
        <v>0</v>
      </c>
      <c r="CU984">
        <v>0</v>
      </c>
      <c r="CV984" s="25">
        <v>47.705852508544922</v>
      </c>
      <c r="CW984" s="25">
        <v>22.551580429077148</v>
      </c>
      <c r="CX984" s="25">
        <v>49.072574615478523</v>
      </c>
      <c r="CY984" s="25">
        <v>49.453166961669922</v>
      </c>
      <c r="CZ984" s="25">
        <v>35.725444793701172</v>
      </c>
      <c r="DA984" s="25">
        <v>64.020462036132813</v>
      </c>
      <c r="DB984" s="25">
        <v>65.411880493164063</v>
      </c>
      <c r="DC984">
        <v>590</v>
      </c>
      <c r="DD984" s="253" t="s">
        <v>380</v>
      </c>
    </row>
    <row r="985" spans="1:108" hidden="1">
      <c r="A985" s="13">
        <v>41078</v>
      </c>
      <c r="B985" s="13" t="s">
        <v>2373</v>
      </c>
      <c r="C985" s="13" t="s">
        <v>676</v>
      </c>
      <c r="D985" s="13" t="s">
        <v>677</v>
      </c>
      <c r="E985" s="13" t="s">
        <v>2374</v>
      </c>
      <c r="F985" s="14">
        <v>71.364599999999996</v>
      </c>
      <c r="G985" s="13">
        <v>75.98</v>
      </c>
      <c r="H985" s="13">
        <v>73.959999999999994</v>
      </c>
      <c r="I985" s="13">
        <v>75.78</v>
      </c>
      <c r="J985" s="14">
        <v>62.216054397843045</v>
      </c>
      <c r="K985" s="14">
        <v>48.151479977425637</v>
      </c>
      <c r="L985" s="14">
        <v>53.649388540969923</v>
      </c>
      <c r="M985" s="14">
        <v>54.743699999999997</v>
      </c>
      <c r="N985" s="14">
        <f t="shared" si="405"/>
        <v>74.271150000000006</v>
      </c>
      <c r="O985" s="14">
        <f t="shared" si="406"/>
        <v>54.690155729059654</v>
      </c>
      <c r="P985" s="14">
        <f t="shared" si="422"/>
        <v>64.48065286452983</v>
      </c>
      <c r="Q985" s="14">
        <v>67.178383220168669</v>
      </c>
      <c r="R985" s="17">
        <f t="shared" si="407"/>
        <v>32.821616779831331</v>
      </c>
      <c r="S985" s="14">
        <f t="shared" si="423"/>
        <v>0.39539455101848198</v>
      </c>
      <c r="T985" s="13">
        <v>0</v>
      </c>
      <c r="U985" s="13">
        <f t="shared" si="424"/>
        <v>25.495298788749366</v>
      </c>
      <c r="V985" s="13">
        <f>IF($T985=1,$AU985,(VLOOKUP(U985,'Cortes naturales'!$A$35:$C$39,3,9)))</f>
        <v>4</v>
      </c>
      <c r="W985" s="13">
        <v>4</v>
      </c>
      <c r="X985" s="14" t="b">
        <f t="shared" si="408"/>
        <v>1</v>
      </c>
      <c r="Y985" s="17">
        <f>IF($T985=1,$AU985,VLOOKUP(U985,'Cortes naturales'!$A$45:$C$49,3,9))</f>
        <v>4</v>
      </c>
      <c r="Z985" s="14">
        <v>64.418709922783393</v>
      </c>
      <c r="AA985" s="14">
        <v>0.40535410773314395</v>
      </c>
      <c r="AB985" s="14">
        <v>26.11238868207009</v>
      </c>
      <c r="AC985" s="13">
        <v>4</v>
      </c>
      <c r="AD985" s="13">
        <f t="shared" si="409"/>
        <v>0</v>
      </c>
      <c r="AE985" s="14">
        <f t="shared" si="410"/>
        <v>6.1942941746437441E-2</v>
      </c>
      <c r="AF985" s="14">
        <f t="shared" si="411"/>
        <v>-9.9595567146619768E-3</v>
      </c>
      <c r="AG985" s="13">
        <f t="shared" si="412"/>
        <v>-0.61708989332072406</v>
      </c>
      <c r="AH985" s="13">
        <f>IF($T985=1,$AU985,VLOOKUP(U985,'Cortes naturales'!$A$25:$C$29,3,9))</f>
        <v>4</v>
      </c>
      <c r="AI985" s="13" t="b">
        <f t="shared" si="413"/>
        <v>1</v>
      </c>
      <c r="AJ985" s="13">
        <f t="shared" si="414"/>
        <v>0</v>
      </c>
      <c r="AK985" s="28">
        <v>0.6523467210059386</v>
      </c>
      <c r="AL985" s="28">
        <v>42.023334189560465</v>
      </c>
      <c r="AM985" s="28">
        <v>0.3550416020998749</v>
      </c>
      <c r="AN985" s="13">
        <v>3</v>
      </c>
      <c r="AO985" s="33">
        <f t="shared" si="415"/>
        <v>-1</v>
      </c>
      <c r="AP985" s="13">
        <f t="shared" si="425"/>
        <v>35.504160209987489</v>
      </c>
      <c r="AQ985" s="13">
        <f>IFERROR(VLOOKUP(U985,'Cortes naturales'!$E$15:$G$19,3,9),U985)</f>
        <v>4</v>
      </c>
      <c r="AR985" s="28">
        <f t="shared" si="416"/>
        <v>-0.25695216998745662</v>
      </c>
      <c r="AS985" s="13" t="b">
        <f t="shared" si="417"/>
        <v>1</v>
      </c>
      <c r="AT985" s="13" t="str">
        <f t="shared" si="426"/>
        <v>Efecto ponderador</v>
      </c>
      <c r="AU985" s="13">
        <v>4</v>
      </c>
      <c r="AV985">
        <f t="shared" si="418"/>
        <v>0</v>
      </c>
      <c r="AW985" s="13">
        <v>0</v>
      </c>
      <c r="AX985" s="13">
        <v>0</v>
      </c>
      <c r="AY985" s="13">
        <v>0</v>
      </c>
      <c r="AZ985" s="13">
        <v>0</v>
      </c>
      <c r="BA985">
        <v>1</v>
      </c>
      <c r="BB985" t="s">
        <v>2840</v>
      </c>
      <c r="BC985">
        <v>6</v>
      </c>
      <c r="BD985" t="s">
        <v>2919</v>
      </c>
      <c r="BE985">
        <v>1</v>
      </c>
      <c r="BF985" s="232" t="s">
        <v>2846</v>
      </c>
      <c r="BG985" s="232" t="s">
        <v>2845</v>
      </c>
      <c r="BH985" s="253">
        <v>49.4</v>
      </c>
      <c r="BI985" s="253">
        <v>20.790995779271533</v>
      </c>
      <c r="BJ985" s="25">
        <v>4.6512500000000001</v>
      </c>
      <c r="BK985" t="s">
        <v>381</v>
      </c>
      <c r="BL985">
        <v>4.9799064358897542</v>
      </c>
      <c r="BM985" t="s">
        <v>383</v>
      </c>
      <c r="BN985" s="322">
        <v>16055.660662</v>
      </c>
      <c r="BO985" s="322">
        <v>1729.948212</v>
      </c>
      <c r="BP985" s="10">
        <v>8221</v>
      </c>
      <c r="BQ985" s="254">
        <f t="shared" si="419"/>
        <v>1.9530057975915338</v>
      </c>
      <c r="BR985" s="254">
        <f t="shared" si="420"/>
        <v>0.21043038705753558</v>
      </c>
      <c r="BS985" s="25">
        <v>58.170438262055967</v>
      </c>
      <c r="BT985" s="25">
        <v>83.140428301909751</v>
      </c>
      <c r="BU985" s="25">
        <v>21.898878836260401</v>
      </c>
      <c r="BV985" s="25">
        <v>94.605025061650565</v>
      </c>
      <c r="BW985" s="25">
        <v>59.385209156991053</v>
      </c>
      <c r="BX985" s="25">
        <v>64.453692615469166</v>
      </c>
      <c r="BY985" s="25">
        <v>59.70986213336792</v>
      </c>
      <c r="BZ985">
        <v>23</v>
      </c>
      <c r="CA985">
        <v>0</v>
      </c>
      <c r="CB985">
        <v>7</v>
      </c>
      <c r="CC985">
        <v>78547.923049000005</v>
      </c>
      <c r="CD985" s="10">
        <v>35277.665173000001</v>
      </c>
      <c r="CE985" s="255">
        <v>0.44912282595929343</v>
      </c>
      <c r="CF985" t="str">
        <f>IFERROR(VLOOKUP(CE985,'Rangos amb etnico'!$A$2:$C$6,3,9),"N.D.")</f>
        <v>31% - 50%</v>
      </c>
      <c r="CG985" s="256">
        <v>1.026360264870269E-3</v>
      </c>
      <c r="CH985" s="232">
        <v>0</v>
      </c>
      <c r="CI985" s="311">
        <f t="shared" si="427"/>
        <v>0</v>
      </c>
      <c r="CJ985" s="232">
        <f>IFERROR(VLOOKUP(CI985,'Rangos amb etnico'!$A$2:$C$6,3,9),"N.D.")</f>
        <v>0</v>
      </c>
      <c r="CK985" s="311">
        <f t="shared" si="428"/>
        <v>0</v>
      </c>
      <c r="CL985" s="10">
        <v>0</v>
      </c>
      <c r="CM985" s="255">
        <f t="shared" si="429"/>
        <v>0</v>
      </c>
      <c r="CN985" s="232">
        <f>IFERROR(VLOOKUP(CM985,'Rangos amb etnico'!$A$2:$C$6,3,9),"N.D.")</f>
        <v>0</v>
      </c>
      <c r="CO985" s="311">
        <f t="shared" si="430"/>
        <v>0</v>
      </c>
      <c r="CP985">
        <v>0.96383502780073549</v>
      </c>
      <c r="CQ985" t="s">
        <v>2864</v>
      </c>
      <c r="CR985">
        <f t="shared" si="421"/>
        <v>2</v>
      </c>
      <c r="CS985" t="str">
        <f t="shared" si="431"/>
        <v>No es Candidato</v>
      </c>
      <c r="CT985">
        <v>0</v>
      </c>
      <c r="CU985">
        <v>0</v>
      </c>
      <c r="CV985" s="25">
        <v>52.589523315429688</v>
      </c>
      <c r="CW985" s="25">
        <v>24.32672119140625</v>
      </c>
      <c r="CX985" s="25">
        <v>48.719532012939453</v>
      </c>
      <c r="CY985" s="25">
        <v>62.775260925292969</v>
      </c>
      <c r="CZ985" s="25">
        <v>49.420364379882813</v>
      </c>
      <c r="DA985" s="25">
        <v>64.087165832519531</v>
      </c>
      <c r="DB985" s="25">
        <v>66.208091735839844</v>
      </c>
      <c r="DC985">
        <v>173</v>
      </c>
      <c r="DD985" s="253" t="s">
        <v>380</v>
      </c>
    </row>
    <row r="986" spans="1:108" hidden="1">
      <c r="A986" s="13">
        <v>27413</v>
      </c>
      <c r="B986" s="13" t="s">
        <v>2375</v>
      </c>
      <c r="C986" s="13" t="s">
        <v>1714</v>
      </c>
      <c r="D986" s="13" t="s">
        <v>1715</v>
      </c>
      <c r="E986" s="13" t="s">
        <v>2376</v>
      </c>
      <c r="F986" s="14">
        <v>67.212400000000002</v>
      </c>
      <c r="G986" s="13">
        <v>60.22</v>
      </c>
      <c r="H986" s="13">
        <v>34.49</v>
      </c>
      <c r="I986" s="13">
        <v>34.979999999999997</v>
      </c>
      <c r="J986" s="14">
        <v>49.17394860891644</v>
      </c>
      <c r="K986" s="14">
        <v>47.434311011115</v>
      </c>
      <c r="L986" s="14">
        <v>6.2446130505055546</v>
      </c>
      <c r="M986" s="14">
        <v>32.754600000000003</v>
      </c>
      <c r="N986" s="14">
        <f t="shared" si="405"/>
        <v>49.2256</v>
      </c>
      <c r="O986" s="14">
        <f t="shared" si="406"/>
        <v>33.901868167634248</v>
      </c>
      <c r="P986" s="14">
        <f t="shared" si="422"/>
        <v>41.563734083817124</v>
      </c>
      <c r="Q986" s="14">
        <v>66.658187729221879</v>
      </c>
      <c r="R986" s="17">
        <f t="shared" si="407"/>
        <v>33.341812270778121</v>
      </c>
      <c r="S986" s="14">
        <f t="shared" si="423"/>
        <v>0.40007631043700309</v>
      </c>
      <c r="T986" s="13">
        <v>0</v>
      </c>
      <c r="U986" s="13">
        <f t="shared" si="424"/>
        <v>16.628665380238267</v>
      </c>
      <c r="V986" s="13">
        <f>IF($T986=1,$AU986,(VLOOKUP(U986,'Cortes naturales'!$A$35:$C$39,3,9)))</f>
        <v>5</v>
      </c>
      <c r="W986" s="13">
        <v>5</v>
      </c>
      <c r="X986" s="14" t="b">
        <f t="shared" si="408"/>
        <v>1</v>
      </c>
      <c r="Y986" s="17">
        <f>IF($T986=1,$AU986,VLOOKUP(U986,'Cortes naturales'!$A$45:$C$49,3,9))</f>
        <v>5</v>
      </c>
      <c r="Z986" s="14">
        <v>47.108336941486513</v>
      </c>
      <c r="AA986" s="14">
        <v>0.40520623401733069</v>
      </c>
      <c r="AB986" s="14">
        <v>19.088591802879247</v>
      </c>
      <c r="AC986" s="13">
        <v>5</v>
      </c>
      <c r="AD986" s="13">
        <f t="shared" si="409"/>
        <v>0</v>
      </c>
      <c r="AE986" s="14">
        <f t="shared" si="410"/>
        <v>-5.5446028576693891</v>
      </c>
      <c r="AF986" s="14">
        <f t="shared" si="411"/>
        <v>-5.1299235803276E-3</v>
      </c>
      <c r="AG986" s="13">
        <f t="shared" si="412"/>
        <v>-2.4599264226409794</v>
      </c>
      <c r="AH986" s="13">
        <f>IF($T986=1,$AU986,VLOOKUP(U986,'Cortes naturales'!$A$25:$C$29,3,9))</f>
        <v>5</v>
      </c>
      <c r="AI986" s="13" t="b">
        <f t="shared" si="413"/>
        <v>1</v>
      </c>
      <c r="AJ986" s="13">
        <f t="shared" si="414"/>
        <v>0</v>
      </c>
      <c r="AK986" s="28">
        <v>0.6523467210059386</v>
      </c>
      <c r="AL986" s="28">
        <v>30.730969135821653</v>
      </c>
      <c r="AM986" s="28">
        <v>0.21378601855236054</v>
      </c>
      <c r="AN986" s="13">
        <v>4</v>
      </c>
      <c r="AO986" s="33">
        <f t="shared" si="415"/>
        <v>-1</v>
      </c>
      <c r="AP986" s="13">
        <f t="shared" si="425"/>
        <v>21.378601855236052</v>
      </c>
      <c r="AQ986" s="13">
        <f>IFERROR(VLOOKUP(U986,'Cortes naturales'!$E$15:$G$19,3,9),U986)</f>
        <v>5</v>
      </c>
      <c r="AR986" s="28">
        <f t="shared" si="416"/>
        <v>-0.25227041056893551</v>
      </c>
      <c r="AS986" s="13" t="b">
        <f t="shared" si="417"/>
        <v>1</v>
      </c>
      <c r="AT986" s="13" t="str">
        <f t="shared" si="426"/>
        <v>Efecto ponderador</v>
      </c>
      <c r="AU986" s="13">
        <v>4</v>
      </c>
      <c r="AV986">
        <f t="shared" si="418"/>
        <v>-1</v>
      </c>
      <c r="AW986" s="13">
        <v>0</v>
      </c>
      <c r="AX986" s="13">
        <v>0</v>
      </c>
      <c r="AY986" s="13">
        <v>0</v>
      </c>
      <c r="AZ986" s="13">
        <v>0</v>
      </c>
      <c r="BA986">
        <v>0</v>
      </c>
      <c r="BB986" t="s">
        <v>2840</v>
      </c>
      <c r="BC986">
        <v>6</v>
      </c>
      <c r="BD986" t="s">
        <v>2919</v>
      </c>
      <c r="BE986">
        <v>0</v>
      </c>
      <c r="BF986" s="232" t="s">
        <v>2846</v>
      </c>
      <c r="BG986" s="232" t="s">
        <v>2846</v>
      </c>
      <c r="BH986" s="253">
        <v>74.400000000000006</v>
      </c>
      <c r="BI986" s="253">
        <v>76.624103942652326</v>
      </c>
      <c r="BJ986" s="25">
        <v>68.150000000000006</v>
      </c>
      <c r="BK986" t="s">
        <v>376</v>
      </c>
      <c r="BL986">
        <v>3.0092321454745243</v>
      </c>
      <c r="BM986" t="s">
        <v>383</v>
      </c>
      <c r="BN986" s="322">
        <v>36371.676076999996</v>
      </c>
      <c r="BO986" s="322">
        <v>1052.6960959999999</v>
      </c>
      <c r="BP986" s="10">
        <v>10316</v>
      </c>
      <c r="BQ986" s="254">
        <f t="shared" si="419"/>
        <v>3.525753787999224</v>
      </c>
      <c r="BR986" s="254">
        <f t="shared" si="420"/>
        <v>0.10204498797983713</v>
      </c>
      <c r="BS986" s="25">
        <v>58.73315951397219</v>
      </c>
      <c r="BT986" s="25">
        <v>99.562212714486634</v>
      </c>
      <c r="BU986" s="25">
        <v>58.006666666666661</v>
      </c>
      <c r="BV986" s="25">
        <v>90.395429286919907</v>
      </c>
      <c r="BW986" s="25">
        <v>37.869250412030119</v>
      </c>
      <c r="BX986" s="25">
        <v>76.674367045511346</v>
      </c>
      <c r="BY986" s="25">
        <v>39.889434152566793</v>
      </c>
      <c r="BZ986">
        <v>51</v>
      </c>
      <c r="CA986">
        <v>0</v>
      </c>
      <c r="CB986">
        <v>7</v>
      </c>
      <c r="CC986">
        <v>84312.259021000005</v>
      </c>
      <c r="CD986" s="10">
        <v>11159.803113</v>
      </c>
      <c r="CE986" s="255">
        <v>0.13236275771261663</v>
      </c>
      <c r="CF986" t="str">
        <f>IFERROR(VLOOKUP(CE986,'Rangos amb etnico'!$A$2:$C$6,3,9),"N.D.")</f>
        <v>0,1% - 30%</v>
      </c>
      <c r="CG986" s="256">
        <v>3.2468074127890733E-4</v>
      </c>
      <c r="CH986" s="232">
        <v>69381.076585999996</v>
      </c>
      <c r="CI986" s="311">
        <f t="shared" si="427"/>
        <v>0.82290615139038037</v>
      </c>
      <c r="CJ986" s="232" t="str">
        <f>IFERROR(VLOOKUP(CI986,'Rangos amb etnico'!$A$2:$C$6,3,9),"N.D.")</f>
        <v>71% - 100%</v>
      </c>
      <c r="CK986" s="311">
        <f t="shared" si="428"/>
        <v>2.7548829922823237E-3</v>
      </c>
      <c r="CL986" s="10">
        <v>0</v>
      </c>
      <c r="CM986" s="255">
        <f t="shared" si="429"/>
        <v>0</v>
      </c>
      <c r="CN986" s="232">
        <f>IFERROR(VLOOKUP(CM986,'Rangos amb etnico'!$A$2:$C$6,3,9),"N.D.")</f>
        <v>0</v>
      </c>
      <c r="CO986" s="311">
        <f t="shared" si="430"/>
        <v>0</v>
      </c>
      <c r="CP986">
        <v>0.92677721978149075</v>
      </c>
      <c r="CQ986" t="s">
        <v>2864</v>
      </c>
      <c r="CR986">
        <f t="shared" si="421"/>
        <v>1</v>
      </c>
      <c r="CS986" t="str">
        <f t="shared" si="431"/>
        <v>No es Candidato</v>
      </c>
      <c r="CT986">
        <v>0</v>
      </c>
      <c r="CU986">
        <v>0</v>
      </c>
      <c r="CV986" s="25">
        <v>35.092784881591797</v>
      </c>
      <c r="CW986" s="25">
        <v>26.569540023803711</v>
      </c>
      <c r="CX986" s="25">
        <v>42.144050598144531</v>
      </c>
      <c r="CY986" s="25">
        <v>28.618268966674801</v>
      </c>
      <c r="CZ986" s="25">
        <v>12.57661819458008</v>
      </c>
      <c r="DA986" s="25">
        <v>61.048683166503913</v>
      </c>
      <c r="DB986" s="25">
        <v>39.599555969238281</v>
      </c>
      <c r="DC986">
        <v>9709</v>
      </c>
      <c r="DD986" s="253" t="s">
        <v>380</v>
      </c>
    </row>
    <row r="987" spans="1:108" hidden="1">
      <c r="A987" s="13">
        <v>15690</v>
      </c>
      <c r="B987" s="13" t="s">
        <v>2377</v>
      </c>
      <c r="C987" s="13" t="s">
        <v>498</v>
      </c>
      <c r="D987" s="13" t="s">
        <v>499</v>
      </c>
      <c r="E987" s="13" t="s">
        <v>1894</v>
      </c>
      <c r="F987" s="14">
        <v>68.151133333333306</v>
      </c>
      <c r="G987" s="13">
        <v>61.05</v>
      </c>
      <c r="H987" s="13">
        <v>59.12</v>
      </c>
      <c r="I987" s="13">
        <v>79.91</v>
      </c>
      <c r="J987" s="14">
        <v>62.335658056689518</v>
      </c>
      <c r="K987" s="14">
        <v>58.78769347494692</v>
      </c>
      <c r="L987" s="14">
        <v>62.084324019781619</v>
      </c>
      <c r="M987" s="14">
        <v>58.459299999999999</v>
      </c>
      <c r="N987" s="14">
        <f t="shared" si="405"/>
        <v>67.057783333333333</v>
      </c>
      <c r="O987" s="14">
        <f t="shared" si="406"/>
        <v>60.416743887854508</v>
      </c>
      <c r="P987" s="14">
        <f t="shared" si="422"/>
        <v>63.737263610593921</v>
      </c>
      <c r="Q987" s="14">
        <v>66.982838281696743</v>
      </c>
      <c r="R987" s="17">
        <f t="shared" si="407"/>
        <v>33.017161718303257</v>
      </c>
      <c r="S987" s="14">
        <f t="shared" si="423"/>
        <v>0.39715445546472927</v>
      </c>
      <c r="T987" s="13">
        <v>0</v>
      </c>
      <c r="U987" s="13">
        <f t="shared" si="424"/>
        <v>25.313538222077334</v>
      </c>
      <c r="V987" s="13">
        <f>IF($T987=1,$AU987,(VLOOKUP(U987,'Cortes naturales'!$A$35:$C$39,3,9)))</f>
        <v>4</v>
      </c>
      <c r="W987" s="13">
        <v>4</v>
      </c>
      <c r="X987" s="14" t="b">
        <f t="shared" si="408"/>
        <v>1</v>
      </c>
      <c r="Y987" s="17">
        <f>IF($T987=1,$AU987,VLOOKUP(U987,'Cortes naturales'!$A$45:$C$49,3,9))</f>
        <v>4</v>
      </c>
      <c r="Z987" s="14">
        <v>62.039169816554114</v>
      </c>
      <c r="AA987" s="14">
        <v>0.40275023393455445</v>
      </c>
      <c r="AB987" s="14">
        <v>24.98629015672272</v>
      </c>
      <c r="AC987" s="13">
        <v>4</v>
      </c>
      <c r="AD987" s="13">
        <f t="shared" si="409"/>
        <v>0</v>
      </c>
      <c r="AE987" s="14">
        <f t="shared" si="410"/>
        <v>1.6980937940398064</v>
      </c>
      <c r="AF987" s="14">
        <f t="shared" si="411"/>
        <v>-5.5957784698251745E-3</v>
      </c>
      <c r="AG987" s="13">
        <f t="shared" si="412"/>
        <v>0.32724806535461326</v>
      </c>
      <c r="AH987" s="13">
        <f>IF($T987=1,$AU987,VLOOKUP(U987,'Cortes naturales'!$A$25:$C$29,3,9))</f>
        <v>4</v>
      </c>
      <c r="AI987" s="13" t="b">
        <f t="shared" si="413"/>
        <v>1</v>
      </c>
      <c r="AJ987" s="13">
        <f t="shared" si="414"/>
        <v>0</v>
      </c>
      <c r="AK987" s="28">
        <v>0.6523467210059386</v>
      </c>
      <c r="AL987" s="28">
        <v>40.471049003759674</v>
      </c>
      <c r="AM987" s="28">
        <v>0.33562415068832541</v>
      </c>
      <c r="AN987" s="13">
        <v>4</v>
      </c>
      <c r="AO987" s="33">
        <f t="shared" si="415"/>
        <v>0</v>
      </c>
      <c r="AP987" s="13">
        <f t="shared" si="425"/>
        <v>33.562415068832543</v>
      </c>
      <c r="AQ987" s="13">
        <f>IFERROR(VLOOKUP(U987,'Cortes naturales'!$E$15:$G$19,3,9),U987)</f>
        <v>4</v>
      </c>
      <c r="AR987" s="28">
        <f t="shared" si="416"/>
        <v>-0.25519226554120933</v>
      </c>
      <c r="AS987" s="13" t="b">
        <f t="shared" si="417"/>
        <v>1</v>
      </c>
      <c r="AT987" s="13">
        <f t="shared" si="426"/>
        <v>0</v>
      </c>
      <c r="AU987" s="13">
        <v>3</v>
      </c>
      <c r="AV987">
        <f t="shared" si="418"/>
        <v>-1</v>
      </c>
      <c r="AW987" s="13">
        <v>0</v>
      </c>
      <c r="AX987" s="13">
        <v>0</v>
      </c>
      <c r="AY987" s="13">
        <v>0</v>
      </c>
      <c r="AZ987" s="13">
        <v>0</v>
      </c>
      <c r="BA987">
        <v>0</v>
      </c>
      <c r="BB987" t="s">
        <v>2840</v>
      </c>
      <c r="BC987">
        <v>6</v>
      </c>
      <c r="BD987" t="s">
        <v>2919</v>
      </c>
      <c r="BE987">
        <v>1</v>
      </c>
      <c r="BF987" s="232" t="s">
        <v>2846</v>
      </c>
      <c r="BG987" s="232" t="s">
        <v>2846</v>
      </c>
      <c r="BH987" s="253">
        <v>29</v>
      </c>
      <c r="BI987" s="253">
        <v>10.830908503071452</v>
      </c>
      <c r="BJ987" s="25">
        <v>4.0877417065815154</v>
      </c>
      <c r="BK987" t="s">
        <v>381</v>
      </c>
      <c r="BL987">
        <v>0</v>
      </c>
      <c r="BM987" t="s">
        <v>377</v>
      </c>
      <c r="BN987" s="322">
        <v>16788.185225000001</v>
      </c>
      <c r="BO987" s="322">
        <v>5281.9422059999997</v>
      </c>
      <c r="BP987" s="10">
        <v>3640</v>
      </c>
      <c r="BQ987" s="254">
        <f t="shared" si="419"/>
        <v>4.6121387980769235</v>
      </c>
      <c r="BR987" s="254">
        <f t="shared" si="420"/>
        <v>1.4510830236263736</v>
      </c>
      <c r="BS987" s="25">
        <v>62.185819942011904</v>
      </c>
      <c r="BT987" s="25">
        <v>89.174747802197814</v>
      </c>
      <c r="BU987" s="25">
        <v>62.645789473684196</v>
      </c>
      <c r="BV987" s="25">
        <v>91.834018595765812</v>
      </c>
      <c r="BW987" s="25">
        <v>63.722528415584229</v>
      </c>
      <c r="BX987" s="25">
        <v>76.460093953414926</v>
      </c>
      <c r="BY987" s="25">
        <v>63.971216102477918</v>
      </c>
      <c r="BZ987">
        <v>17</v>
      </c>
      <c r="CA987">
        <v>0</v>
      </c>
      <c r="CB987">
        <v>7</v>
      </c>
      <c r="CC987">
        <v>30910.660693999998</v>
      </c>
      <c r="CD987" s="10">
        <v>10842.160221</v>
      </c>
      <c r="CE987" s="255">
        <v>0.35075795785576813</v>
      </c>
      <c r="CF987" t="str">
        <f>IFERROR(VLOOKUP(CE987,'Rangos amb etnico'!$A$2:$C$6,3,9),"N.D.")</f>
        <v>31% - 50%</v>
      </c>
      <c r="CG987" s="256">
        <v>3.1543931214326272E-4</v>
      </c>
      <c r="CH987" s="232">
        <v>0</v>
      </c>
      <c r="CI987" s="311">
        <f t="shared" si="427"/>
        <v>0</v>
      </c>
      <c r="CJ987" s="232">
        <f>IFERROR(VLOOKUP(CI987,'Rangos amb etnico'!$A$2:$C$6,3,9),"N.D.")</f>
        <v>0</v>
      </c>
      <c r="CK987" s="311">
        <f t="shared" si="428"/>
        <v>0</v>
      </c>
      <c r="CL987" s="10">
        <v>0</v>
      </c>
      <c r="CM987" s="255">
        <f t="shared" si="429"/>
        <v>0</v>
      </c>
      <c r="CN987" s="232">
        <f>IFERROR(VLOOKUP(CM987,'Rangos amb etnico'!$A$2:$C$6,3,9),"N.D.")</f>
        <v>0</v>
      </c>
      <c r="CO987" s="311">
        <f t="shared" si="430"/>
        <v>0</v>
      </c>
      <c r="CP987">
        <v>0.71506579371812262</v>
      </c>
      <c r="CQ987" t="s">
        <v>2866</v>
      </c>
      <c r="CR987">
        <f t="shared" si="421"/>
        <v>2</v>
      </c>
      <c r="CS987" t="str">
        <f t="shared" si="431"/>
        <v>No es Candidato</v>
      </c>
      <c r="CT987">
        <v>0</v>
      </c>
      <c r="CU987">
        <v>0</v>
      </c>
      <c r="CV987" s="25">
        <v>51.827091217041023</v>
      </c>
      <c r="CW987" s="25">
        <v>20.59250640869141</v>
      </c>
      <c r="CX987" s="25">
        <v>47.213802337646477</v>
      </c>
      <c r="CY987" s="25">
        <v>61.592506408691413</v>
      </c>
      <c r="CZ987" s="25">
        <v>41.712005615234382</v>
      </c>
      <c r="DA987" s="25">
        <v>81.061080932617188</v>
      </c>
      <c r="DB987" s="25">
        <v>58.790637969970703</v>
      </c>
      <c r="DC987">
        <v>78</v>
      </c>
      <c r="DD987" s="253" t="s">
        <v>380</v>
      </c>
    </row>
    <row r="988" spans="1:108" hidden="1">
      <c r="A988" s="13">
        <v>81001</v>
      </c>
      <c r="B988" s="13" t="s">
        <v>2378</v>
      </c>
      <c r="C988" s="13" t="s">
        <v>1568</v>
      </c>
      <c r="D988" s="13" t="s">
        <v>1569</v>
      </c>
      <c r="E988" s="13" t="s">
        <v>1569</v>
      </c>
      <c r="F988" s="14">
        <v>64.3733</v>
      </c>
      <c r="G988" s="13">
        <v>60.44</v>
      </c>
      <c r="H988" s="13">
        <v>59.61</v>
      </c>
      <c r="I988" s="13">
        <v>55.75</v>
      </c>
      <c r="J988" s="14">
        <v>59.402578103156785</v>
      </c>
      <c r="K988" s="14">
        <v>56.833486539936757</v>
      </c>
      <c r="L988" s="14">
        <v>56.58912477560331</v>
      </c>
      <c r="M988" s="14">
        <v>53.568199999999997</v>
      </c>
      <c r="N988" s="14">
        <f t="shared" si="405"/>
        <v>60.043324999999996</v>
      </c>
      <c r="O988" s="14">
        <f t="shared" si="406"/>
        <v>56.59834735467421</v>
      </c>
      <c r="P988" s="14">
        <f t="shared" si="422"/>
        <v>58.3208361773371</v>
      </c>
      <c r="Q988" s="14">
        <v>67.546621220254281</v>
      </c>
      <c r="R988" s="17">
        <f t="shared" si="407"/>
        <v>32.453378779745719</v>
      </c>
      <c r="S988" s="14">
        <f t="shared" si="423"/>
        <v>0.39208040901771146</v>
      </c>
      <c r="T988" s="13">
        <v>0</v>
      </c>
      <c r="U988" s="13">
        <f t="shared" si="424"/>
        <v>22.866457302665275</v>
      </c>
      <c r="V988" s="13">
        <f>IF($T988=1,$AU988,(VLOOKUP(U988,'Cortes naturales'!$A$35:$C$39,3,9)))</f>
        <v>4</v>
      </c>
      <c r="W988" s="13">
        <v>4</v>
      </c>
      <c r="X988" s="14" t="b">
        <f t="shared" si="408"/>
        <v>1</v>
      </c>
      <c r="Y988" s="17">
        <f>IF($T988=1,$AU988,VLOOKUP(U988,'Cortes naturales'!$A$45:$C$49,3,9))</f>
        <v>4</v>
      </c>
      <c r="Z988" s="14">
        <v>58.362330043754305</v>
      </c>
      <c r="AA988" s="14">
        <v>0.40242958807851215</v>
      </c>
      <c r="AB988" s="14">
        <v>23.486728438810218</v>
      </c>
      <c r="AC988" s="13">
        <v>4</v>
      </c>
      <c r="AD988" s="13">
        <f t="shared" si="409"/>
        <v>0</v>
      </c>
      <c r="AE988" s="14">
        <f t="shared" si="410"/>
        <v>-4.1493866417205538E-2</v>
      </c>
      <c r="AF988" s="14">
        <f t="shared" si="411"/>
        <v>-1.0349179060800684E-2</v>
      </c>
      <c r="AG988" s="13">
        <f t="shared" si="412"/>
        <v>-0.62027113614494311</v>
      </c>
      <c r="AH988" s="13">
        <f>IF($T988=1,$AU988,VLOOKUP(U988,'Cortes naturales'!$A$25:$C$29,3,9))</f>
        <v>4</v>
      </c>
      <c r="AI988" s="13" t="b">
        <f t="shared" si="413"/>
        <v>1</v>
      </c>
      <c r="AJ988" s="13">
        <f t="shared" si="414"/>
        <v>0</v>
      </c>
      <c r="AK988" s="28">
        <v>0.6523467210059386</v>
      </c>
      <c r="AL988" s="28">
        <v>38.072474634309501</v>
      </c>
      <c r="AM988" s="28">
        <v>0.30562051366220772</v>
      </c>
      <c r="AN988" s="13">
        <v>4</v>
      </c>
      <c r="AO988" s="33">
        <f t="shared" si="415"/>
        <v>0</v>
      </c>
      <c r="AP988" s="13">
        <f t="shared" si="425"/>
        <v>30.562051366220771</v>
      </c>
      <c r="AQ988" s="13">
        <f>IFERROR(VLOOKUP(U988,'Cortes naturales'!$E$15:$G$19,3,9),U988)</f>
        <v>4</v>
      </c>
      <c r="AR988" s="28">
        <f t="shared" si="416"/>
        <v>-0.26026631198822714</v>
      </c>
      <c r="AS988" s="13" t="b">
        <f t="shared" si="417"/>
        <v>1</v>
      </c>
      <c r="AT988" s="13">
        <f t="shared" si="426"/>
        <v>0</v>
      </c>
      <c r="AU988" s="13">
        <v>3</v>
      </c>
      <c r="AV988">
        <f t="shared" si="418"/>
        <v>-1</v>
      </c>
      <c r="AW988" s="13">
        <v>1</v>
      </c>
      <c r="AX988" s="13">
        <v>0</v>
      </c>
      <c r="AY988" s="13">
        <v>0</v>
      </c>
      <c r="AZ988" s="13">
        <v>0</v>
      </c>
      <c r="BA988">
        <v>1</v>
      </c>
      <c r="BB988" t="s">
        <v>2839</v>
      </c>
      <c r="BC988">
        <v>4</v>
      </c>
      <c r="BD988" t="s">
        <v>2920</v>
      </c>
      <c r="BE988">
        <v>0</v>
      </c>
      <c r="BF988" s="232" t="s">
        <v>2846</v>
      </c>
      <c r="BG988" s="232" t="s">
        <v>2846</v>
      </c>
      <c r="BH988" s="253">
        <v>38.6</v>
      </c>
      <c r="BI988" s="253">
        <v>31.560754049600064</v>
      </c>
      <c r="BJ988" s="25">
        <v>6.5643441018874524</v>
      </c>
      <c r="BK988" t="s">
        <v>377</v>
      </c>
      <c r="BL988">
        <v>9.76793800894648</v>
      </c>
      <c r="BM988" t="s">
        <v>379</v>
      </c>
      <c r="BN988" s="322">
        <v>177890.81426300001</v>
      </c>
      <c r="BO988" s="322">
        <v>31418.025560999999</v>
      </c>
      <c r="BP988" s="10">
        <v>90619</v>
      </c>
      <c r="BQ988" s="254">
        <f t="shared" si="419"/>
        <v>1.9630630912170737</v>
      </c>
      <c r="BR988" s="254">
        <f t="shared" si="420"/>
        <v>0.3467046155993776</v>
      </c>
      <c r="BS988" s="25">
        <v>70.804967544959709</v>
      </c>
      <c r="BT988" s="25">
        <v>91.451876498316494</v>
      </c>
      <c r="BU988" s="25">
        <v>56.284999999999997</v>
      </c>
      <c r="BV988" s="25">
        <v>90.088868596343715</v>
      </c>
      <c r="BW988" s="25">
        <v>55.00505785787383</v>
      </c>
      <c r="BX988" s="25">
        <v>77.157678159904975</v>
      </c>
      <c r="BY988" s="25">
        <v>56.493163926234281</v>
      </c>
      <c r="BZ988">
        <v>53</v>
      </c>
      <c r="CA988">
        <v>1</v>
      </c>
      <c r="CB988">
        <v>4</v>
      </c>
      <c r="CC988">
        <v>575597.51622800005</v>
      </c>
      <c r="CD988" s="10">
        <v>132119.172154</v>
      </c>
      <c r="CE988" s="255">
        <v>0.22953395111883396</v>
      </c>
      <c r="CF988" t="str">
        <f>IFERROR(VLOOKUP(CE988,'Rangos amb etnico'!$A$2:$C$6,3,9),"N.D.")</f>
        <v>0,1% - 30%</v>
      </c>
      <c r="CG988" s="256">
        <v>3.8438447630089736E-3</v>
      </c>
      <c r="CH988" s="232">
        <v>414.55091199999998</v>
      </c>
      <c r="CI988" s="311">
        <f t="shared" si="427"/>
        <v>7.2020969568567799E-4</v>
      </c>
      <c r="CJ988" s="232">
        <f>IFERROR(VLOOKUP(CI988,'Rangos amb etnico'!$A$2:$C$6,3,9),"N.D.")</f>
        <v>0</v>
      </c>
      <c r="CK988" s="311">
        <f t="shared" si="428"/>
        <v>1.6460385354331207E-5</v>
      </c>
      <c r="CL988" s="10">
        <v>0</v>
      </c>
      <c r="CM988" s="255">
        <f t="shared" si="429"/>
        <v>0</v>
      </c>
      <c r="CN988" s="232">
        <f>IFERROR(VLOOKUP(CM988,'Rangos amb etnico'!$A$2:$C$6,3,9),"N.D.")</f>
        <v>0</v>
      </c>
      <c r="CO988" s="311">
        <f t="shared" si="430"/>
        <v>0</v>
      </c>
      <c r="CP988">
        <v>0.87210635228643163</v>
      </c>
      <c r="CQ988" t="s">
        <v>2864</v>
      </c>
      <c r="CR988">
        <f t="shared" si="421"/>
        <v>1</v>
      </c>
      <c r="CS988" t="str">
        <f t="shared" si="431"/>
        <v>No es Candidato</v>
      </c>
      <c r="CT988">
        <v>1</v>
      </c>
      <c r="CU988" t="s">
        <v>2835</v>
      </c>
      <c r="CV988" s="25">
        <v>42.381946563720703</v>
      </c>
      <c r="CW988" s="25">
        <v>43.832309722900391</v>
      </c>
      <c r="CX988" s="25">
        <v>43.558345794677727</v>
      </c>
      <c r="CY988" s="25">
        <v>53.703941345214837</v>
      </c>
      <c r="CZ988" s="25">
        <v>26.678987503051761</v>
      </c>
      <c r="DA988" s="25">
        <v>30.612386703491211</v>
      </c>
      <c r="DB988" s="25">
        <v>55.905704498291023</v>
      </c>
      <c r="DC988">
        <v>7305</v>
      </c>
      <c r="DD988" s="253">
        <v>3.9243529359974492</v>
      </c>
    </row>
    <row r="989" spans="1:108">
      <c r="A989" s="13">
        <v>5004</v>
      </c>
      <c r="B989" s="13" t="s">
        <v>2379</v>
      </c>
      <c r="C989" s="13" t="s">
        <v>435</v>
      </c>
      <c r="D989" s="13" t="s">
        <v>436</v>
      </c>
      <c r="E989" s="13" t="s">
        <v>2380</v>
      </c>
      <c r="F989" s="14">
        <v>39.360599999999998</v>
      </c>
      <c r="G989" s="13">
        <v>18.27</v>
      </c>
      <c r="H989" s="13">
        <v>19.55</v>
      </c>
      <c r="I989" s="13">
        <v>22.85</v>
      </c>
      <c r="J989" s="14">
        <v>53.762177420239396</v>
      </c>
      <c r="K989" s="14">
        <v>51.505645987747215</v>
      </c>
      <c r="L989" s="14">
        <v>63.304394940857613</v>
      </c>
      <c r="M989" s="14">
        <v>55.817399999999999</v>
      </c>
      <c r="N989" s="14">
        <f t="shared" si="405"/>
        <v>25.007649999999998</v>
      </c>
      <c r="O989" s="14">
        <f t="shared" si="406"/>
        <v>56.097404587211052</v>
      </c>
      <c r="P989" s="14">
        <f t="shared" si="422"/>
        <v>40.552527293605522</v>
      </c>
      <c r="Q989" s="14">
        <v>66.680195047431241</v>
      </c>
      <c r="R989" s="17">
        <f t="shared" si="407"/>
        <v>33.319804952568759</v>
      </c>
      <c r="S989" s="14">
        <f t="shared" si="423"/>
        <v>0.39987824457311882</v>
      </c>
      <c r="T989" s="13">
        <v>0</v>
      </c>
      <c r="U989" s="13">
        <f t="shared" si="424"/>
        <v>16.216073427170464</v>
      </c>
      <c r="V989" s="13">
        <f>IF($T989=1,$AU989,(VLOOKUP(U989,'Cortes naturales'!$A$35:$C$39,3,9)))</f>
        <v>5</v>
      </c>
      <c r="W989" s="13">
        <v>5</v>
      </c>
      <c r="X989" s="14" t="b">
        <f t="shared" si="408"/>
        <v>1</v>
      </c>
      <c r="Y989" s="17">
        <f>IF($T989=1,$AU989,VLOOKUP(U989,'Cortes naturales'!$A$45:$C$49,3,9))</f>
        <v>5</v>
      </c>
      <c r="Z989" s="14">
        <v>41.364716964384122</v>
      </c>
      <c r="AA989" s="14">
        <v>0.40156259357577984</v>
      </c>
      <c r="AB989" s="14">
        <v>16.610523026746147</v>
      </c>
      <c r="AC989" s="13">
        <v>5</v>
      </c>
      <c r="AD989" s="13">
        <f t="shared" si="409"/>
        <v>0</v>
      </c>
      <c r="AE989" s="14">
        <f t="shared" si="410"/>
        <v>-0.81218967077860071</v>
      </c>
      <c r="AF989" s="14">
        <f t="shared" si="411"/>
        <v>-1.684349002661012E-3</v>
      </c>
      <c r="AG989" s="13">
        <f t="shared" si="412"/>
        <v>-0.39444959957568315</v>
      </c>
      <c r="AH989" s="13">
        <f>IF($T989=1,$AU989,VLOOKUP(U989,'Cortes naturales'!$A$25:$C$29,3,9))</f>
        <v>5</v>
      </c>
      <c r="AI989" s="13" t="b">
        <f t="shared" si="413"/>
        <v>1</v>
      </c>
      <c r="AJ989" s="13">
        <f t="shared" si="414"/>
        <v>0</v>
      </c>
      <c r="AK989" s="28">
        <v>0.6523467210059386</v>
      </c>
      <c r="AL989" s="28">
        <v>26.984137477054706</v>
      </c>
      <c r="AM989" s="28">
        <v>0.16691710403403365</v>
      </c>
      <c r="AN989" s="13">
        <v>5</v>
      </c>
      <c r="AO989" s="33">
        <f t="shared" si="415"/>
        <v>0</v>
      </c>
      <c r="AP989" s="13">
        <f t="shared" si="425"/>
        <v>16.691710403403366</v>
      </c>
      <c r="AQ989" s="13">
        <f>IFERROR(VLOOKUP(U989,'Cortes naturales'!$E$15:$G$19,3,9),U989)</f>
        <v>5</v>
      </c>
      <c r="AR989" s="28">
        <f t="shared" si="416"/>
        <v>-0.25246847643281978</v>
      </c>
      <c r="AS989" s="13" t="b">
        <f t="shared" si="417"/>
        <v>1</v>
      </c>
      <c r="AT989" s="13">
        <f t="shared" si="426"/>
        <v>0</v>
      </c>
      <c r="AU989" s="13">
        <v>4</v>
      </c>
      <c r="AV989">
        <f t="shared" si="418"/>
        <v>-1</v>
      </c>
      <c r="AW989" s="13">
        <v>0</v>
      </c>
      <c r="AX989" s="13">
        <v>0</v>
      </c>
      <c r="AY989" s="13">
        <v>0</v>
      </c>
      <c r="AZ989" s="13">
        <v>0</v>
      </c>
      <c r="BA989">
        <v>1</v>
      </c>
      <c r="BB989" t="s">
        <v>2841</v>
      </c>
      <c r="BC989">
        <v>6</v>
      </c>
      <c r="BD989" t="s">
        <v>2919</v>
      </c>
      <c r="BE989">
        <v>1</v>
      </c>
      <c r="BF989" s="232" t="s">
        <v>2846</v>
      </c>
      <c r="BG989" s="232" t="s">
        <v>2845</v>
      </c>
      <c r="BH989" s="253">
        <v>34.799999999999997</v>
      </c>
      <c r="BI989" s="253">
        <v>11.630079402148528</v>
      </c>
      <c r="BJ989" s="25">
        <v>65.798687390542909</v>
      </c>
      <c r="BK989" t="s">
        <v>376</v>
      </c>
      <c r="BL989">
        <v>0</v>
      </c>
      <c r="BM989" t="s">
        <v>377</v>
      </c>
      <c r="BN989" s="322">
        <v>9199.6478260000004</v>
      </c>
      <c r="BO989" s="322">
        <v>606.55197599999997</v>
      </c>
      <c r="BP989" s="10">
        <v>2810</v>
      </c>
      <c r="BQ989" s="254">
        <f t="shared" si="419"/>
        <v>3.2738960234875445</v>
      </c>
      <c r="BR989" s="254">
        <f t="shared" si="420"/>
        <v>0.21585479572953736</v>
      </c>
      <c r="BS989" s="25">
        <v>50.411109630926553</v>
      </c>
      <c r="BT989" s="25">
        <v>85.884996488730735</v>
      </c>
      <c r="BU989" s="25">
        <v>45.945208866155127</v>
      </c>
      <c r="BV989" s="25">
        <v>100.2301119336158</v>
      </c>
      <c r="BW989" s="25">
        <v>42.507432020818747</v>
      </c>
      <c r="BX989" s="25">
        <v>70.617856729857067</v>
      </c>
      <c r="BY989" s="25">
        <v>43.315488920197389</v>
      </c>
      <c r="BZ989">
        <v>99</v>
      </c>
      <c r="CA989">
        <v>0</v>
      </c>
      <c r="CB989">
        <v>7</v>
      </c>
      <c r="CC989">
        <v>29697.419204999998</v>
      </c>
      <c r="CD989" s="10">
        <v>29520.605855999998</v>
      </c>
      <c r="CE989" s="255">
        <v>0.99404617122520089</v>
      </c>
      <c r="CF989" t="str">
        <f>IFERROR(VLOOKUP(CE989,'Rangos amb etnico'!$A$2:$C$6,3,9),"N.D.")</f>
        <v>71% - 100%</v>
      </c>
      <c r="CG989" s="256">
        <v>8.5886570715242082E-4</v>
      </c>
      <c r="CH989" s="232">
        <v>0</v>
      </c>
      <c r="CI989" s="311">
        <f t="shared" si="427"/>
        <v>0</v>
      </c>
      <c r="CJ989" s="232">
        <f>IFERROR(VLOOKUP(CI989,'Rangos amb etnico'!$A$2:$C$6,3,9),"N.D.")</f>
        <v>0</v>
      </c>
      <c r="CK989" s="311">
        <f t="shared" si="428"/>
        <v>0</v>
      </c>
      <c r="CL989" s="10">
        <v>0</v>
      </c>
      <c r="CM989" s="255">
        <f t="shared" si="429"/>
        <v>0</v>
      </c>
      <c r="CN989" s="232">
        <f>IFERROR(VLOOKUP(CM989,'Rangos amb etnico'!$A$2:$C$6,3,9),"N.D.")</f>
        <v>0</v>
      </c>
      <c r="CO989" s="311">
        <f t="shared" si="430"/>
        <v>0</v>
      </c>
      <c r="CP989">
        <v>0.87881731439489652</v>
      </c>
      <c r="CQ989" t="s">
        <v>2864</v>
      </c>
      <c r="CR989">
        <f t="shared" si="421"/>
        <v>1</v>
      </c>
      <c r="CS989" t="str">
        <f t="shared" si="431"/>
        <v>No es Candidato</v>
      </c>
      <c r="CT989">
        <v>0</v>
      </c>
      <c r="CU989">
        <v>0</v>
      </c>
      <c r="CV989" s="25">
        <v>49.649681091308587</v>
      </c>
      <c r="CW989" s="25">
        <v>11.77962493896484</v>
      </c>
      <c r="CX989" s="25">
        <v>51.365447998046882</v>
      </c>
      <c r="CY989" s="25">
        <v>52.149410247802727</v>
      </c>
      <c r="CZ989" s="25">
        <v>33.289493560791023</v>
      </c>
      <c r="DA989" s="25">
        <v>100</v>
      </c>
      <c r="DB989" s="25">
        <v>49.314102172851563</v>
      </c>
      <c r="DC989">
        <v>113</v>
      </c>
      <c r="DD989" s="253" t="s">
        <v>380</v>
      </c>
    </row>
    <row r="990" spans="1:108" hidden="1">
      <c r="A990" s="13">
        <v>27600</v>
      </c>
      <c r="B990" s="13" t="s">
        <v>2381</v>
      </c>
      <c r="C990" s="13" t="s">
        <v>1714</v>
      </c>
      <c r="D990" s="13" t="s">
        <v>1715</v>
      </c>
      <c r="E990" s="13" t="s">
        <v>2382</v>
      </c>
      <c r="F990" s="14">
        <v>67.010933333333298</v>
      </c>
      <c r="G990" s="13">
        <v>84.43</v>
      </c>
      <c r="H990" s="13">
        <v>86.98</v>
      </c>
      <c r="I990" s="13">
        <v>91.86</v>
      </c>
      <c r="J990" s="14">
        <v>63.204253326973699</v>
      </c>
      <c r="K990" s="14">
        <v>70.113066731669818</v>
      </c>
      <c r="L990" s="14">
        <v>50.598529691963904</v>
      </c>
      <c r="M990" s="14">
        <v>51.750900000000001</v>
      </c>
      <c r="N990" s="14">
        <f t="shared" si="405"/>
        <v>82.570233333333334</v>
      </c>
      <c r="O990" s="14">
        <f t="shared" si="406"/>
        <v>58.916687437651859</v>
      </c>
      <c r="P990" s="14">
        <f t="shared" si="422"/>
        <v>70.743460385492597</v>
      </c>
      <c r="Q990" s="14">
        <v>67.493726086520894</v>
      </c>
      <c r="R990" s="17">
        <f t="shared" si="407"/>
        <v>32.506273913479106</v>
      </c>
      <c r="S990" s="14">
        <f t="shared" si="423"/>
        <v>0.39255646522131193</v>
      </c>
      <c r="T990" s="13">
        <v>0</v>
      </c>
      <c r="U990" s="13">
        <f t="shared" si="424"/>
        <v>27.770802746452883</v>
      </c>
      <c r="V990" s="13">
        <f>IF($T990=1,$AU990,(VLOOKUP(U990,'Cortes naturales'!$A$35:$C$39,3,9)))</f>
        <v>4</v>
      </c>
      <c r="W990" s="13">
        <v>4</v>
      </c>
      <c r="X990" s="14" t="b">
        <f t="shared" si="408"/>
        <v>1</v>
      </c>
      <c r="Y990" s="17">
        <f>IF($T990=1,$AU990,VLOOKUP(U990,'Cortes naturales'!$A$45:$C$49,3,9))</f>
        <v>4</v>
      </c>
      <c r="Z990" s="14">
        <v>67.635914894756695</v>
      </c>
      <c r="AA990" s="14">
        <v>0.40142865771271108</v>
      </c>
      <c r="AB990" s="14">
        <v>27.150994529373342</v>
      </c>
      <c r="AC990" s="13">
        <v>4</v>
      </c>
      <c r="AD990" s="13">
        <f t="shared" si="409"/>
        <v>0</v>
      </c>
      <c r="AE990" s="14">
        <f t="shared" si="410"/>
        <v>3.1075454907359017</v>
      </c>
      <c r="AF990" s="14">
        <f t="shared" si="411"/>
        <v>-8.8721924913991446E-3</v>
      </c>
      <c r="AG990" s="13">
        <f t="shared" si="412"/>
        <v>0.61980821707954092</v>
      </c>
      <c r="AH990" s="13">
        <f>IF($T990=1,$AU990,VLOOKUP(U990,'Cortes naturales'!$A$25:$C$29,3,9))</f>
        <v>4</v>
      </c>
      <c r="AI990" s="13" t="b">
        <f t="shared" si="413"/>
        <v>1</v>
      </c>
      <c r="AJ990" s="13">
        <f t="shared" si="414"/>
        <v>0</v>
      </c>
      <c r="AK990" s="28">
        <v>0.6523467210059386</v>
      </c>
      <c r="AL990" s="28">
        <v>44.122067303831251</v>
      </c>
      <c r="AM990" s="28">
        <v>0.38129454108617317</v>
      </c>
      <c r="AN990" s="13">
        <v>3</v>
      </c>
      <c r="AO990" s="33">
        <f t="shared" si="415"/>
        <v>-1</v>
      </c>
      <c r="AP990" s="13">
        <f t="shared" si="425"/>
        <v>38.129454108617317</v>
      </c>
      <c r="AQ990" s="13">
        <f>IFERROR(VLOOKUP(U990,'Cortes naturales'!$E$15:$G$19,3,9),U990)</f>
        <v>4</v>
      </c>
      <c r="AR990" s="28">
        <f t="shared" si="416"/>
        <v>-0.25979025578462667</v>
      </c>
      <c r="AS990" s="13" t="b">
        <f t="shared" si="417"/>
        <v>1</v>
      </c>
      <c r="AT990" s="13" t="str">
        <f t="shared" si="426"/>
        <v>Efecto ponderador</v>
      </c>
      <c r="AU990" s="13">
        <v>4</v>
      </c>
      <c r="AV990">
        <f t="shared" si="418"/>
        <v>0</v>
      </c>
      <c r="AW990" s="13">
        <v>0</v>
      </c>
      <c r="AX990" s="13">
        <v>0</v>
      </c>
      <c r="AY990" s="13">
        <v>0</v>
      </c>
      <c r="AZ990" s="13">
        <v>0</v>
      </c>
      <c r="BA990">
        <v>0</v>
      </c>
      <c r="BB990" t="s">
        <v>2841</v>
      </c>
      <c r="BC990">
        <v>6</v>
      </c>
      <c r="BD990" t="s">
        <v>2919</v>
      </c>
      <c r="BE990">
        <v>0</v>
      </c>
      <c r="BF990" s="232" t="s">
        <v>2846</v>
      </c>
      <c r="BG990" s="232" t="s">
        <v>2846</v>
      </c>
      <c r="BH990" s="253">
        <v>66.8</v>
      </c>
      <c r="BI990" s="253">
        <v>58.339603712064211</v>
      </c>
      <c r="BJ990" s="25" t="s">
        <v>2849</v>
      </c>
      <c r="BK990" t="s">
        <v>2849</v>
      </c>
      <c r="BL990">
        <v>30.812435323228303</v>
      </c>
      <c r="BM990" t="s">
        <v>384</v>
      </c>
      <c r="BN990" s="322">
        <v>37387.334481999998</v>
      </c>
      <c r="BO990" s="322">
        <v>1896.0810100000001</v>
      </c>
      <c r="BP990" s="10">
        <v>8434</v>
      </c>
      <c r="BQ990" s="254">
        <f t="shared" si="419"/>
        <v>4.4329303393407633</v>
      </c>
      <c r="BR990" s="254">
        <f t="shared" si="420"/>
        <v>0.22481396846099125</v>
      </c>
      <c r="BS990" s="25">
        <v>54.218096347449872</v>
      </c>
      <c r="BT990" s="25">
        <v>94.051214857323529</v>
      </c>
      <c r="BU990" s="25">
        <v>48.494999999999997</v>
      </c>
      <c r="BV990" s="25">
        <v>96.400210371366896</v>
      </c>
      <c r="BW990" s="25">
        <v>46.810769874675209</v>
      </c>
      <c r="BX990" s="25">
        <v>73.291130394035079</v>
      </c>
      <c r="BY990" s="25">
        <v>46.359324031528352</v>
      </c>
      <c r="BZ990">
        <v>51</v>
      </c>
      <c r="CA990">
        <v>0</v>
      </c>
      <c r="CB990">
        <v>7</v>
      </c>
      <c r="CC990">
        <v>69936.305498999995</v>
      </c>
      <c r="CD990" s="10">
        <v>7054.6979009999995</v>
      </c>
      <c r="CE990" s="255">
        <v>0.10087318525999166</v>
      </c>
      <c r="CF990" t="str">
        <f>IFERROR(VLOOKUP(CE990,'Rangos amb etnico'!$A$2:$C$6,3,9),"N.D.")</f>
        <v>0,1% - 30%</v>
      </c>
      <c r="CG990" s="256">
        <v>2.0524775578945569E-4</v>
      </c>
      <c r="CH990" s="232">
        <v>64289.040386000001</v>
      </c>
      <c r="CI990" s="311">
        <f t="shared" si="427"/>
        <v>0.9192513091346991</v>
      </c>
      <c r="CJ990" s="232" t="str">
        <f>IFERROR(VLOOKUP(CI990,'Rangos amb etnico'!$A$2:$C$6,3,9),"N.D.")</f>
        <v>71% - 100%</v>
      </c>
      <c r="CK990" s="311">
        <f t="shared" si="428"/>
        <v>2.5526958165604566E-3</v>
      </c>
      <c r="CL990" s="10">
        <v>0</v>
      </c>
      <c r="CM990" s="255">
        <f t="shared" si="429"/>
        <v>0</v>
      </c>
      <c r="CN990" s="232">
        <f>IFERROR(VLOOKUP(CM990,'Rangos amb etnico'!$A$2:$C$6,3,9),"N.D.")</f>
        <v>0</v>
      </c>
      <c r="CO990" s="311">
        <f t="shared" si="430"/>
        <v>0</v>
      </c>
      <c r="CP990">
        <v>0.85442091914408547</v>
      </c>
      <c r="CQ990" t="s">
        <v>2864</v>
      </c>
      <c r="CR990">
        <f t="shared" si="421"/>
        <v>2</v>
      </c>
      <c r="CS990" t="str">
        <f t="shared" si="431"/>
        <v>No es Candidato</v>
      </c>
      <c r="CT990">
        <v>0</v>
      </c>
      <c r="CU990">
        <v>0</v>
      </c>
      <c r="CV990" s="25">
        <v>34.141437530517578</v>
      </c>
      <c r="CW990" s="25">
        <v>10.873256683349609</v>
      </c>
      <c r="CX990" s="25">
        <v>44.856422424316413</v>
      </c>
      <c r="CY990" s="25">
        <v>23.840114593505859</v>
      </c>
      <c r="CZ990" s="25">
        <v>12.165756225585939</v>
      </c>
      <c r="DA990" s="25">
        <v>70.991462707519531</v>
      </c>
      <c r="DB990" s="25">
        <v>42.121620178222663</v>
      </c>
      <c r="DC990">
        <v>8204</v>
      </c>
      <c r="DD990" s="253" t="s">
        <v>380</v>
      </c>
    </row>
    <row r="991" spans="1:108" hidden="1">
      <c r="A991" s="13">
        <v>15755</v>
      </c>
      <c r="B991" s="13" t="s">
        <v>2383</v>
      </c>
      <c r="C991" s="13" t="s">
        <v>498</v>
      </c>
      <c r="D991" s="13" t="s">
        <v>499</v>
      </c>
      <c r="E991" s="13" t="s">
        <v>2384</v>
      </c>
      <c r="F991" s="14">
        <v>68.150633333333303</v>
      </c>
      <c r="G991" s="13">
        <v>48.37</v>
      </c>
      <c r="H991" s="13">
        <v>42.48</v>
      </c>
      <c r="I991" s="13">
        <v>70.599999999999994</v>
      </c>
      <c r="J991" s="14">
        <v>60.645843543125935</v>
      </c>
      <c r="K991" s="14">
        <v>60.846969759930744</v>
      </c>
      <c r="L991" s="14">
        <v>67.875974354375572</v>
      </c>
      <c r="M991" s="14">
        <v>61.991399999999999</v>
      </c>
      <c r="N991" s="14">
        <f t="shared" si="405"/>
        <v>57.400158333333323</v>
      </c>
      <c r="O991" s="14">
        <f t="shared" si="406"/>
        <v>62.840046914358062</v>
      </c>
      <c r="P991" s="14">
        <f t="shared" si="422"/>
        <v>60.120102623845696</v>
      </c>
      <c r="Q991" s="14">
        <v>67.342506458955469</v>
      </c>
      <c r="R991" s="17">
        <f t="shared" si="407"/>
        <v>32.657493541044531</v>
      </c>
      <c r="S991" s="14">
        <f t="shared" si="423"/>
        <v>0.39391744186940081</v>
      </c>
      <c r="T991" s="13">
        <v>0</v>
      </c>
      <c r="U991" s="13">
        <f t="shared" si="424"/>
        <v>23.682357030511149</v>
      </c>
      <c r="V991" s="13">
        <f>IF($T991=1,$AU991,(VLOOKUP(U991,'Cortes naturales'!$A$35:$C$39,3,9)))</f>
        <v>4</v>
      </c>
      <c r="W991" s="13">
        <v>4</v>
      </c>
      <c r="X991" s="14" t="b">
        <f t="shared" si="408"/>
        <v>1</v>
      </c>
      <c r="Y991" s="17">
        <f>IF($T991=1,$AU991,VLOOKUP(U991,'Cortes naturales'!$A$45:$C$49,3,9))</f>
        <v>4</v>
      </c>
      <c r="Z991" s="14">
        <v>58.543829005375159</v>
      </c>
      <c r="AA991" s="14">
        <v>0.40171774886671341</v>
      </c>
      <c r="AB991" s="14">
        <v>23.518095198077109</v>
      </c>
      <c r="AC991" s="13">
        <v>4</v>
      </c>
      <c r="AD991" s="13">
        <f t="shared" si="409"/>
        <v>0</v>
      </c>
      <c r="AE991" s="14">
        <f t="shared" si="410"/>
        <v>1.5762736184705375</v>
      </c>
      <c r="AF991" s="14">
        <f t="shared" si="411"/>
        <v>-7.8003069973126005E-3</v>
      </c>
      <c r="AG991" s="13">
        <f t="shared" si="412"/>
        <v>0.16426183243403969</v>
      </c>
      <c r="AH991" s="13">
        <f>IF($T991=1,$AU991,VLOOKUP(U991,'Cortes naturales'!$A$25:$C$29,3,9))</f>
        <v>4</v>
      </c>
      <c r="AI991" s="13" t="b">
        <f t="shared" si="413"/>
        <v>1</v>
      </c>
      <c r="AJ991" s="13">
        <f t="shared" si="414"/>
        <v>0</v>
      </c>
      <c r="AK991" s="28">
        <v>0.6523467210059386</v>
      </c>
      <c r="AL991" s="28">
        <v>38.190874886788848</v>
      </c>
      <c r="AM991" s="28">
        <v>0.30710157601509419</v>
      </c>
      <c r="AN991" s="13">
        <v>4</v>
      </c>
      <c r="AO991" s="33">
        <f t="shared" si="415"/>
        <v>0</v>
      </c>
      <c r="AP991" s="13">
        <f t="shared" si="425"/>
        <v>30.710157601509419</v>
      </c>
      <c r="AQ991" s="13">
        <f>IFERROR(VLOOKUP(U991,'Cortes naturales'!$E$15:$G$19,3,9),U991)</f>
        <v>4</v>
      </c>
      <c r="AR991" s="28">
        <f t="shared" si="416"/>
        <v>-0.25842927913653779</v>
      </c>
      <c r="AS991" s="13" t="b">
        <f t="shared" si="417"/>
        <v>1</v>
      </c>
      <c r="AT991" s="13">
        <f t="shared" si="426"/>
        <v>0</v>
      </c>
      <c r="AU991" s="13">
        <v>4</v>
      </c>
      <c r="AV991">
        <f t="shared" si="418"/>
        <v>0</v>
      </c>
      <c r="AW991" s="13">
        <v>0</v>
      </c>
      <c r="AX991" s="13">
        <v>0</v>
      </c>
      <c r="AY991" s="13">
        <v>0</v>
      </c>
      <c r="AZ991" s="13">
        <v>0</v>
      </c>
      <c r="BA991">
        <v>0</v>
      </c>
      <c r="BB991" t="s">
        <v>2841</v>
      </c>
      <c r="BC991">
        <v>6</v>
      </c>
      <c r="BD991" t="s">
        <v>2919</v>
      </c>
      <c r="BE991">
        <v>0</v>
      </c>
      <c r="BF991" s="232" t="s">
        <v>2846</v>
      </c>
      <c r="BG991" s="232" t="s">
        <v>2846</v>
      </c>
      <c r="BH991" s="253">
        <v>52.9</v>
      </c>
      <c r="BI991" s="253">
        <v>27.309744453805109</v>
      </c>
      <c r="BJ991" s="25">
        <v>64.737170427939645</v>
      </c>
      <c r="BK991" t="s">
        <v>376</v>
      </c>
      <c r="BL991">
        <v>13.613574003470333</v>
      </c>
      <c r="BM991" t="s">
        <v>376</v>
      </c>
      <c r="BN991" s="322">
        <v>23965.151132999999</v>
      </c>
      <c r="BO991" s="322">
        <v>1974.9429459999999</v>
      </c>
      <c r="BP991" s="10">
        <v>7460</v>
      </c>
      <c r="BQ991" s="254">
        <f t="shared" si="419"/>
        <v>3.2124867470509382</v>
      </c>
      <c r="BR991" s="254">
        <f t="shared" si="420"/>
        <v>0.26473766032171581</v>
      </c>
      <c r="BS991" s="25">
        <v>73.660436447424573</v>
      </c>
      <c r="BT991" s="25">
        <v>91.802259183795059</v>
      </c>
      <c r="BU991" s="25">
        <v>43.998772875407361</v>
      </c>
      <c r="BV991" s="25">
        <v>96.69085311240967</v>
      </c>
      <c r="BW991" s="25">
        <v>56.898582194950613</v>
      </c>
      <c r="BX991" s="25">
        <v>76.538080404759157</v>
      </c>
      <c r="BY991" s="25">
        <v>58.597128120418063</v>
      </c>
      <c r="BZ991">
        <v>82</v>
      </c>
      <c r="CA991">
        <v>0</v>
      </c>
      <c r="CB991">
        <v>7</v>
      </c>
      <c r="CC991">
        <v>60230.379151000001</v>
      </c>
      <c r="CD991" s="10">
        <v>43690.974031999998</v>
      </c>
      <c r="CE991" s="255">
        <v>0.72539762571417588</v>
      </c>
      <c r="CF991" t="str">
        <f>IFERROR(VLOOKUP(CE991,'Rangos amb etnico'!$A$2:$C$6,3,9),"N.D.")</f>
        <v>71% - 100%</v>
      </c>
      <c r="CG991" s="256">
        <v>1.2711351349364304E-3</v>
      </c>
      <c r="CH991" s="232">
        <v>0</v>
      </c>
      <c r="CI991" s="311">
        <f t="shared" si="427"/>
        <v>0</v>
      </c>
      <c r="CJ991" s="232">
        <f>IFERROR(VLOOKUP(CI991,'Rangos amb etnico'!$A$2:$C$6,3,9),"N.D.")</f>
        <v>0</v>
      </c>
      <c r="CK991" s="311">
        <f t="shared" si="428"/>
        <v>0</v>
      </c>
      <c r="CL991" s="10">
        <v>0</v>
      </c>
      <c r="CM991" s="255">
        <f t="shared" si="429"/>
        <v>0</v>
      </c>
      <c r="CN991" s="232">
        <f>IFERROR(VLOOKUP(CM991,'Rangos amb etnico'!$A$2:$C$6,3,9),"N.D.")</f>
        <v>0</v>
      </c>
      <c r="CO991" s="311">
        <f t="shared" si="430"/>
        <v>0</v>
      </c>
      <c r="CP991">
        <v>0.98602022767852726</v>
      </c>
      <c r="CQ991" t="s">
        <v>2864</v>
      </c>
      <c r="CR991">
        <f t="shared" si="421"/>
        <v>3</v>
      </c>
      <c r="CS991" t="str">
        <f t="shared" si="431"/>
        <v>Candidato</v>
      </c>
      <c r="CT991">
        <v>0</v>
      </c>
      <c r="CU991">
        <v>0</v>
      </c>
      <c r="CV991" s="25">
        <v>43.600185394287109</v>
      </c>
      <c r="CW991" s="25">
        <v>15.982747077941889</v>
      </c>
      <c r="CX991" s="25">
        <v>54.195823669433587</v>
      </c>
      <c r="CY991" s="25">
        <v>55.269203186035163</v>
      </c>
      <c r="CZ991" s="25">
        <v>34.843898773193359</v>
      </c>
      <c r="DA991" s="25">
        <v>55.658973693847663</v>
      </c>
      <c r="DB991" s="25">
        <v>45.650474548339837</v>
      </c>
      <c r="DC991">
        <v>39</v>
      </c>
      <c r="DD991" s="253" t="s">
        <v>380</v>
      </c>
    </row>
    <row r="992" spans="1:108" hidden="1">
      <c r="A992" s="13">
        <v>73616</v>
      </c>
      <c r="B992" s="13" t="s">
        <v>2385</v>
      </c>
      <c r="C992" s="13" t="s">
        <v>595</v>
      </c>
      <c r="D992" s="13" t="s">
        <v>596</v>
      </c>
      <c r="E992" s="13" t="s">
        <v>2386</v>
      </c>
      <c r="F992" s="14">
        <v>60.613633333333297</v>
      </c>
      <c r="G992" s="13">
        <v>59.36</v>
      </c>
      <c r="H992" s="13">
        <v>61.01</v>
      </c>
      <c r="I992" s="13">
        <v>64.819999999999993</v>
      </c>
      <c r="J992" s="14">
        <v>46.130721053090909</v>
      </c>
      <c r="K992" s="14">
        <v>55.407142666508818</v>
      </c>
      <c r="L992" s="14">
        <v>65.344820233309946</v>
      </c>
      <c r="M992" s="14">
        <v>59.146000000000001</v>
      </c>
      <c r="N992" s="14">
        <f t="shared" si="405"/>
        <v>61.450908333333324</v>
      </c>
      <c r="O992" s="14">
        <f t="shared" si="406"/>
        <v>56.507170988227415</v>
      </c>
      <c r="P992" s="14">
        <f t="shared" si="422"/>
        <v>58.979039660780373</v>
      </c>
      <c r="Q992" s="14">
        <v>67.141371461214177</v>
      </c>
      <c r="R992" s="17">
        <f t="shared" si="407"/>
        <v>32.858628538785823</v>
      </c>
      <c r="S992" s="14">
        <f t="shared" si="423"/>
        <v>0.39572765684907241</v>
      </c>
      <c r="T992" s="13">
        <v>0</v>
      </c>
      <c r="U992" s="13">
        <f t="shared" si="424"/>
        <v>23.339637168169126</v>
      </c>
      <c r="V992" s="13">
        <f>IF($T992=1,$AU992,(VLOOKUP(U992,'Cortes naturales'!$A$35:$C$39,3,9)))</f>
        <v>4</v>
      </c>
      <c r="W992" s="13">
        <v>4</v>
      </c>
      <c r="X992" s="14" t="b">
        <f t="shared" si="408"/>
        <v>1</v>
      </c>
      <c r="Y992" s="17">
        <f>IF($T992=1,$AU992,VLOOKUP(U992,'Cortes naturales'!$A$45:$C$49,3,9))</f>
        <v>4</v>
      </c>
      <c r="Z992" s="14">
        <v>54.958909546377939</v>
      </c>
      <c r="AA992" s="14">
        <v>0.39842502242359912</v>
      </c>
      <c r="AB992" s="14">
        <v>21.897004768392186</v>
      </c>
      <c r="AC992" s="13">
        <v>4</v>
      </c>
      <c r="AD992" s="13">
        <f t="shared" si="409"/>
        <v>0</v>
      </c>
      <c r="AE992" s="14">
        <f t="shared" si="410"/>
        <v>4.0201301144024342</v>
      </c>
      <c r="AF992" s="14">
        <f t="shared" si="411"/>
        <v>-2.6973655745267111E-3</v>
      </c>
      <c r="AG992" s="13">
        <f t="shared" si="412"/>
        <v>1.4426323997769401</v>
      </c>
      <c r="AH992" s="13">
        <f>IF($T992=1,$AU992,VLOOKUP(U992,'Cortes naturales'!$A$25:$C$29,3,9))</f>
        <v>4</v>
      </c>
      <c r="AI992" s="13" t="b">
        <f t="shared" si="413"/>
        <v>1</v>
      </c>
      <c r="AJ992" s="13">
        <f t="shared" si="414"/>
        <v>0</v>
      </c>
      <c r="AK992" s="28">
        <v>0.6523467210059386</v>
      </c>
      <c r="AL992" s="28">
        <v>35.852264432641626</v>
      </c>
      <c r="AM992" s="28">
        <v>0.27784802436149175</v>
      </c>
      <c r="AN992" s="13">
        <v>4</v>
      </c>
      <c r="AO992" s="33">
        <f t="shared" si="415"/>
        <v>0</v>
      </c>
      <c r="AP992" s="13">
        <f t="shared" si="425"/>
        <v>27.784802436149175</v>
      </c>
      <c r="AQ992" s="13">
        <f>IFERROR(VLOOKUP(U992,'Cortes naturales'!$E$15:$G$19,3,9),U992)</f>
        <v>4</v>
      </c>
      <c r="AR992" s="28">
        <f t="shared" si="416"/>
        <v>-0.25661906415686619</v>
      </c>
      <c r="AS992" s="13" t="b">
        <f t="shared" si="417"/>
        <v>1</v>
      </c>
      <c r="AT992" s="13">
        <f t="shared" si="426"/>
        <v>0</v>
      </c>
      <c r="AU992" s="13">
        <v>4</v>
      </c>
      <c r="AV992">
        <f t="shared" si="418"/>
        <v>0</v>
      </c>
      <c r="AW992" s="13">
        <v>0</v>
      </c>
      <c r="AX992" s="13">
        <v>0</v>
      </c>
      <c r="AY992" s="13">
        <v>0</v>
      </c>
      <c r="AZ992" s="13">
        <v>1</v>
      </c>
      <c r="BA992">
        <v>1</v>
      </c>
      <c r="BB992" t="s">
        <v>2841</v>
      </c>
      <c r="BC992">
        <v>6</v>
      </c>
      <c r="BD992" t="s">
        <v>2919</v>
      </c>
      <c r="BE992">
        <v>0</v>
      </c>
      <c r="BF992" s="232" t="s">
        <v>2846</v>
      </c>
      <c r="BG992" s="232" t="s">
        <v>2846</v>
      </c>
      <c r="BH992" s="253">
        <v>60.5</v>
      </c>
      <c r="BI992" s="253">
        <v>34.078153684762654</v>
      </c>
      <c r="BJ992" s="25">
        <v>0</v>
      </c>
      <c r="BK992" t="s">
        <v>381</v>
      </c>
      <c r="BL992">
        <v>5.4839318137342135</v>
      </c>
      <c r="BM992" t="s">
        <v>383</v>
      </c>
      <c r="BN992" s="322">
        <v>51848.482326999998</v>
      </c>
      <c r="BO992" s="322">
        <v>3667.9961979999998</v>
      </c>
      <c r="BP992" s="10">
        <v>23853</v>
      </c>
      <c r="BQ992" s="254">
        <f t="shared" si="419"/>
        <v>2.1736671415335596</v>
      </c>
      <c r="BR992" s="254">
        <f t="shared" si="420"/>
        <v>0.15377504708003187</v>
      </c>
      <c r="BS992" s="25">
        <v>64.526170090548746</v>
      </c>
      <c r="BT992" s="25">
        <v>91.164190482718553</v>
      </c>
      <c r="BU992" s="25">
        <v>33.515537413034203</v>
      </c>
      <c r="BV992" s="25">
        <v>94.144567635872292</v>
      </c>
      <c r="BW992" s="25">
        <v>41.953473974525863</v>
      </c>
      <c r="BX992" s="25">
        <v>70.837616405543443</v>
      </c>
      <c r="BY992" s="25">
        <v>43.199171242698753</v>
      </c>
      <c r="BZ992">
        <v>15</v>
      </c>
      <c r="CA992">
        <v>0</v>
      </c>
      <c r="CB992">
        <v>7</v>
      </c>
      <c r="CC992">
        <v>204608.21722600001</v>
      </c>
      <c r="CD992" s="10">
        <v>106696.24159400001</v>
      </c>
      <c r="CE992" s="255">
        <v>0.52146606348731672</v>
      </c>
      <c r="CF992" t="str">
        <f>IFERROR(VLOOKUP(CE992,'Rangos amb etnico'!$A$2:$C$6,3,9),"N.D.")</f>
        <v>51% - 70%</v>
      </c>
      <c r="CG992" s="256">
        <v>3.1041958770812689E-3</v>
      </c>
      <c r="CH992" s="232">
        <v>419.50141000000002</v>
      </c>
      <c r="CI992" s="311">
        <f t="shared" si="427"/>
        <v>2.050266678862852E-3</v>
      </c>
      <c r="CJ992" s="232" t="str">
        <f>IFERROR(VLOOKUP(CI992,'Rangos amb etnico'!$A$2:$C$6,3,9),"N.D.")</f>
        <v>0,1% - 30%</v>
      </c>
      <c r="CK992" s="311">
        <f t="shared" si="428"/>
        <v>1.6656952536834105E-5</v>
      </c>
      <c r="CL992" s="10">
        <v>0</v>
      </c>
      <c r="CM992" s="255">
        <f t="shared" si="429"/>
        <v>0</v>
      </c>
      <c r="CN992" s="232">
        <f>IFERROR(VLOOKUP(CM992,'Rangos amb etnico'!$A$2:$C$6,3,9),"N.D.")</f>
        <v>0</v>
      </c>
      <c r="CO992" s="311">
        <f t="shared" si="430"/>
        <v>0</v>
      </c>
      <c r="CP992">
        <v>0.95221312762935595</v>
      </c>
      <c r="CQ992" t="s">
        <v>2864</v>
      </c>
      <c r="CR992">
        <f t="shared" si="421"/>
        <v>2</v>
      </c>
      <c r="CS992" t="str">
        <f t="shared" si="431"/>
        <v>No es Candidato</v>
      </c>
      <c r="CT992">
        <v>0</v>
      </c>
      <c r="CU992">
        <v>0</v>
      </c>
      <c r="CV992" s="25">
        <v>41.392063140869141</v>
      </c>
      <c r="CW992" s="25">
        <v>10.620034217834471</v>
      </c>
      <c r="CX992" s="25">
        <v>51.102916717529297</v>
      </c>
      <c r="CY992" s="25">
        <v>55.56634521484375</v>
      </c>
      <c r="CZ992" s="25">
        <v>28.868011474609379</v>
      </c>
      <c r="DA992" s="25">
        <v>48.163581848144531</v>
      </c>
      <c r="DB992" s="25">
        <v>54.031482696533203</v>
      </c>
      <c r="DC992">
        <v>1229</v>
      </c>
      <c r="DD992" s="253" t="s">
        <v>380</v>
      </c>
    </row>
    <row r="993" spans="1:108" hidden="1">
      <c r="A993" s="13">
        <v>27075</v>
      </c>
      <c r="B993" s="13" t="s">
        <v>2387</v>
      </c>
      <c r="C993" s="13" t="s">
        <v>1714</v>
      </c>
      <c r="D993" s="13" t="s">
        <v>1715</v>
      </c>
      <c r="E993" s="13" t="s">
        <v>2388</v>
      </c>
      <c r="F993" s="14">
        <v>49.575000000000003</v>
      </c>
      <c r="G993" s="13">
        <v>81.819999999999993</v>
      </c>
      <c r="H993" s="13">
        <v>93.75</v>
      </c>
      <c r="I993" s="13">
        <v>93.59</v>
      </c>
      <c r="J993" s="14">
        <v>56.23077824126058</v>
      </c>
      <c r="K993" s="14">
        <v>38.809690482313684</v>
      </c>
      <c r="L993" s="14">
        <v>50.190436284314401</v>
      </c>
      <c r="M993" s="14">
        <v>54.412100000000002</v>
      </c>
      <c r="N993" s="14">
        <f t="shared" si="405"/>
        <v>79.683750000000003</v>
      </c>
      <c r="O993" s="14">
        <f t="shared" si="406"/>
        <v>49.910751251972172</v>
      </c>
      <c r="P993" s="14">
        <f t="shared" si="422"/>
        <v>64.797250625986095</v>
      </c>
      <c r="Q993" s="14">
        <v>67.734462641465299</v>
      </c>
      <c r="R993" s="17">
        <f t="shared" si="407"/>
        <v>32.265537358534701</v>
      </c>
      <c r="S993" s="14">
        <f t="shared" si="423"/>
        <v>0.39038983622681234</v>
      </c>
      <c r="T993" s="13">
        <v>0</v>
      </c>
      <c r="U993" s="13">
        <f t="shared" si="424"/>
        <v>25.296188059826424</v>
      </c>
      <c r="V993" s="13">
        <f>IF($T993=1,$AU993,(VLOOKUP(U993,'Cortes naturales'!$A$35:$C$39,3,9)))</f>
        <v>4</v>
      </c>
      <c r="W993" s="13">
        <v>4</v>
      </c>
      <c r="X993" s="14" t="b">
        <f t="shared" si="408"/>
        <v>1</v>
      </c>
      <c r="Y993" s="17">
        <f>IF($T993=1,$AU993,VLOOKUP(U993,'Cortes naturales'!$A$45:$C$49,3,9))</f>
        <v>4</v>
      </c>
      <c r="Z993" s="14">
        <v>57.19938238040163</v>
      </c>
      <c r="AA993" s="14">
        <v>0.39805988192215114</v>
      </c>
      <c r="AB993" s="14">
        <v>22.768779396362646</v>
      </c>
      <c r="AC993" s="13">
        <v>4</v>
      </c>
      <c r="AD993" s="13">
        <f t="shared" si="409"/>
        <v>0</v>
      </c>
      <c r="AE993" s="14">
        <f t="shared" si="410"/>
        <v>7.5978682455844648</v>
      </c>
      <c r="AF993" s="14">
        <f t="shared" si="411"/>
        <v>-7.6700456953388008E-3</v>
      </c>
      <c r="AG993" s="13">
        <f t="shared" si="412"/>
        <v>2.5274086634637776</v>
      </c>
      <c r="AH993" s="13">
        <f>IF($T993=1,$AU993,VLOOKUP(U993,'Cortes naturales'!$A$25:$C$29,3,9))</f>
        <v>4</v>
      </c>
      <c r="AI993" s="13" t="b">
        <f t="shared" si="413"/>
        <v>1</v>
      </c>
      <c r="AJ993" s="13">
        <f t="shared" si="414"/>
        <v>0</v>
      </c>
      <c r="AK993" s="28">
        <v>0.6523467210059386</v>
      </c>
      <c r="AL993" s="28">
        <v>37.313829539419864</v>
      </c>
      <c r="AM993" s="28">
        <v>0.29613066321244613</v>
      </c>
      <c r="AN993" s="13">
        <v>4</v>
      </c>
      <c r="AO993" s="33">
        <f t="shared" si="415"/>
        <v>0</v>
      </c>
      <c r="AP993" s="13">
        <f t="shared" si="425"/>
        <v>29.613066321244613</v>
      </c>
      <c r="AQ993" s="13">
        <f>IFERROR(VLOOKUP(U993,'Cortes naturales'!$E$15:$G$19,3,9),U993)</f>
        <v>4</v>
      </c>
      <c r="AR993" s="28">
        <f t="shared" si="416"/>
        <v>-0.26195688477912626</v>
      </c>
      <c r="AS993" s="13" t="b">
        <f t="shared" si="417"/>
        <v>1</v>
      </c>
      <c r="AT993" s="13">
        <f t="shared" si="426"/>
        <v>0</v>
      </c>
      <c r="AU993" s="13">
        <v>4</v>
      </c>
      <c r="AV993">
        <f t="shared" si="418"/>
        <v>0</v>
      </c>
      <c r="AW993" s="13">
        <v>0</v>
      </c>
      <c r="AX993" s="13">
        <v>0</v>
      </c>
      <c r="AY993" s="13">
        <v>0</v>
      </c>
      <c r="AZ993" s="13">
        <v>0</v>
      </c>
      <c r="BA993">
        <v>0</v>
      </c>
      <c r="BB993" t="s">
        <v>2840</v>
      </c>
      <c r="BC993">
        <v>6</v>
      </c>
      <c r="BD993" t="s">
        <v>2919</v>
      </c>
      <c r="BE993">
        <v>0</v>
      </c>
      <c r="BF993" s="232" t="s">
        <v>2846</v>
      </c>
      <c r="BG993" s="232" t="s">
        <v>2846</v>
      </c>
      <c r="BH993" s="253">
        <v>46.6</v>
      </c>
      <c r="BI993" s="253">
        <v>24.608648056923919</v>
      </c>
      <c r="BJ993" s="25">
        <v>74.83</v>
      </c>
      <c r="BK993" t="s">
        <v>376</v>
      </c>
      <c r="BL993">
        <v>9.1559701988215156</v>
      </c>
      <c r="BM993" t="s">
        <v>379</v>
      </c>
      <c r="BN993" s="322">
        <v>28980.575045000001</v>
      </c>
      <c r="BO993" s="322">
        <v>4409.967455</v>
      </c>
      <c r="BP993" s="10">
        <v>10756</v>
      </c>
      <c r="BQ993" s="254">
        <f t="shared" si="419"/>
        <v>2.6943636151915213</v>
      </c>
      <c r="BR993" s="254">
        <f t="shared" si="420"/>
        <v>0.4100006931015247</v>
      </c>
      <c r="BS993" s="25">
        <v>75.980404290429036</v>
      </c>
      <c r="BT993" s="25">
        <v>98.453041980311426</v>
      </c>
      <c r="BU993" s="25">
        <v>51.176666666666669</v>
      </c>
      <c r="BV993" s="25">
        <v>94.572554301210303</v>
      </c>
      <c r="BW993" s="25">
        <v>53.750647299845092</v>
      </c>
      <c r="BX993" s="25">
        <v>80.045666809654364</v>
      </c>
      <c r="BY993" s="25">
        <v>56.697637673342548</v>
      </c>
      <c r="BZ993">
        <v>38</v>
      </c>
      <c r="CA993">
        <v>0</v>
      </c>
      <c r="CB993">
        <v>6</v>
      </c>
      <c r="CC993">
        <v>89606.565780000004</v>
      </c>
      <c r="CD993" s="10">
        <v>10429.077192999999</v>
      </c>
      <c r="CE993" s="255">
        <v>0.11638742208473017</v>
      </c>
      <c r="CF993" t="str">
        <f>IFERROR(VLOOKUP(CE993,'Rangos amb etnico'!$A$2:$C$6,3,9),"N.D.")</f>
        <v>0,1% - 30%</v>
      </c>
      <c r="CG993" s="256">
        <v>3.0342116967401611E-4</v>
      </c>
      <c r="CH993" s="232">
        <v>81336.554720999993</v>
      </c>
      <c r="CI993" s="311">
        <f t="shared" si="427"/>
        <v>0.90770753251157565</v>
      </c>
      <c r="CJ993" s="232" t="str">
        <f>IFERROR(VLOOKUP(CI993,'Rangos amb etnico'!$A$2:$C$6,3,9),"N.D.")</f>
        <v>71% - 100%</v>
      </c>
      <c r="CK993" s="311">
        <f t="shared" si="428"/>
        <v>3.2295937491540415E-3</v>
      </c>
      <c r="CL993" s="10">
        <v>0</v>
      </c>
      <c r="CM993" s="255">
        <f t="shared" si="429"/>
        <v>0</v>
      </c>
      <c r="CN993" s="232">
        <f>IFERROR(VLOOKUP(CM993,'Rangos amb etnico'!$A$2:$C$6,3,9),"N.D.")</f>
        <v>0</v>
      </c>
      <c r="CO993" s="311">
        <f t="shared" si="430"/>
        <v>0</v>
      </c>
      <c r="CP993">
        <v>0.72150871082257861</v>
      </c>
      <c r="CQ993" t="s">
        <v>2866</v>
      </c>
      <c r="CR993">
        <f t="shared" si="421"/>
        <v>1</v>
      </c>
      <c r="CS993" t="str">
        <f t="shared" si="431"/>
        <v>No es Candidato</v>
      </c>
      <c r="CT993">
        <v>0</v>
      </c>
      <c r="CU993">
        <v>0</v>
      </c>
      <c r="CV993" s="25">
        <v>34.311866760253913</v>
      </c>
      <c r="CW993" s="25">
        <v>15.49793148040771</v>
      </c>
      <c r="CX993" s="25">
        <v>42.043155670166023</v>
      </c>
      <c r="CY993" s="25">
        <v>37.977577209472663</v>
      </c>
      <c r="CZ993" s="25">
        <v>8.0111570358276367</v>
      </c>
      <c r="DA993" s="25">
        <v>33.581939697265618</v>
      </c>
      <c r="DB993" s="25">
        <v>68.759437561035156</v>
      </c>
      <c r="DC993">
        <v>9893</v>
      </c>
      <c r="DD993" s="253" t="s">
        <v>380</v>
      </c>
    </row>
    <row r="994" spans="1:108" hidden="1">
      <c r="A994" s="13">
        <v>85410</v>
      </c>
      <c r="B994" s="13" t="s">
        <v>2389</v>
      </c>
      <c r="C994" s="13" t="s">
        <v>1351</v>
      </c>
      <c r="D994" s="13" t="s">
        <v>1352</v>
      </c>
      <c r="E994" s="13" t="s">
        <v>2390</v>
      </c>
      <c r="F994" s="14">
        <v>80.257900000000006</v>
      </c>
      <c r="G994" s="13">
        <v>77.430000000000007</v>
      </c>
      <c r="H994" s="13">
        <v>82.18</v>
      </c>
      <c r="I994" s="13">
        <v>81.510000000000005</v>
      </c>
      <c r="J994" s="14">
        <v>48.581049136765664</v>
      </c>
      <c r="K994" s="14">
        <v>64.187893723326653</v>
      </c>
      <c r="L994" s="14">
        <v>58.95489636397631</v>
      </c>
      <c r="M994" s="14">
        <v>62.245399999999997</v>
      </c>
      <c r="N994" s="14">
        <f t="shared" si="405"/>
        <v>80.344475000000003</v>
      </c>
      <c r="O994" s="14">
        <f t="shared" si="406"/>
        <v>58.492309806017154</v>
      </c>
      <c r="P994" s="14">
        <f t="shared" si="422"/>
        <v>69.418392403008582</v>
      </c>
      <c r="Q994" s="14">
        <v>67.820216216667347</v>
      </c>
      <c r="R994" s="17">
        <f t="shared" si="407"/>
        <v>32.179783783332653</v>
      </c>
      <c r="S994" s="14">
        <f t="shared" si="423"/>
        <v>0.38961805404999394</v>
      </c>
      <c r="T994" s="13">
        <v>0</v>
      </c>
      <c r="U994" s="13">
        <f t="shared" si="424"/>
        <v>27.046658963339087</v>
      </c>
      <c r="V994" s="13">
        <f>IF($T994=1,$AU994,(VLOOKUP(U994,'Cortes naturales'!$A$35:$C$39,3,9)))</f>
        <v>4</v>
      </c>
      <c r="W994" s="13">
        <v>4</v>
      </c>
      <c r="X994" s="14" t="b">
        <f t="shared" si="408"/>
        <v>1</v>
      </c>
      <c r="Y994" s="17">
        <f>IF($T994=1,$AU994,VLOOKUP(U994,'Cortes naturales'!$A$45:$C$49,3,9))</f>
        <v>4</v>
      </c>
      <c r="Z994" s="14">
        <v>69.860025683723507</v>
      </c>
      <c r="AA994" s="14">
        <v>0.39671160353227641</v>
      </c>
      <c r="AB994" s="14">
        <v>27.714282811795968</v>
      </c>
      <c r="AC994" s="13">
        <v>4</v>
      </c>
      <c r="AD994" s="13">
        <f t="shared" si="409"/>
        <v>0</v>
      </c>
      <c r="AE994" s="14">
        <f t="shared" si="410"/>
        <v>-0.44163328071492458</v>
      </c>
      <c r="AF994" s="14">
        <f t="shared" si="411"/>
        <v>-7.0935494822824685E-3</v>
      </c>
      <c r="AG994" s="13">
        <f t="shared" si="412"/>
        <v>-0.66762384845688061</v>
      </c>
      <c r="AH994" s="13">
        <f>IF($T994=1,$AU994,VLOOKUP(U994,'Cortes naturales'!$A$25:$C$29,3,9))</f>
        <v>4</v>
      </c>
      <c r="AI994" s="13" t="b">
        <f t="shared" si="413"/>
        <v>1</v>
      </c>
      <c r="AJ994" s="13">
        <f t="shared" si="414"/>
        <v>0</v>
      </c>
      <c r="AK994" s="28">
        <v>0.6523467210059386</v>
      </c>
      <c r="AL994" s="28">
        <v>45.572958684167681</v>
      </c>
      <c r="AM994" s="28">
        <v>0.39944366287050875</v>
      </c>
      <c r="AN994" s="13">
        <v>3</v>
      </c>
      <c r="AO994" s="33">
        <f t="shared" si="415"/>
        <v>-1</v>
      </c>
      <c r="AP994" s="13">
        <f t="shared" si="425"/>
        <v>39.944366287050876</v>
      </c>
      <c r="AQ994" s="13">
        <f>IFERROR(VLOOKUP(U994,'Cortes naturales'!$E$15:$G$19,3,9),U994)</f>
        <v>4</v>
      </c>
      <c r="AR994" s="28">
        <f t="shared" si="416"/>
        <v>-0.26272866695594466</v>
      </c>
      <c r="AS994" s="13" t="b">
        <f t="shared" si="417"/>
        <v>1</v>
      </c>
      <c r="AT994" s="13" t="str">
        <f t="shared" si="426"/>
        <v>Efecto ponderador</v>
      </c>
      <c r="AU994" s="13">
        <v>3</v>
      </c>
      <c r="AV994">
        <f t="shared" si="418"/>
        <v>-1</v>
      </c>
      <c r="AW994" s="13">
        <v>0</v>
      </c>
      <c r="AX994" s="13">
        <v>0</v>
      </c>
      <c r="AY994" s="13">
        <v>0</v>
      </c>
      <c r="AZ994" s="13">
        <v>0</v>
      </c>
      <c r="BA994">
        <v>1</v>
      </c>
      <c r="BB994" t="s">
        <v>2840</v>
      </c>
      <c r="BC994">
        <v>5</v>
      </c>
      <c r="BD994" t="s">
        <v>2919</v>
      </c>
      <c r="BE994">
        <v>0</v>
      </c>
      <c r="BF994" s="232" t="s">
        <v>2846</v>
      </c>
      <c r="BG994" s="232" t="s">
        <v>2846</v>
      </c>
      <c r="BH994" s="253">
        <v>27.2</v>
      </c>
      <c r="BI994" s="253">
        <v>14.613866967305524</v>
      </c>
      <c r="BJ994" s="25">
        <v>9.639122202643966</v>
      </c>
      <c r="BK994" t="s">
        <v>377</v>
      </c>
      <c r="BL994">
        <v>0.77114769393754057</v>
      </c>
      <c r="BM994" t="s">
        <v>383</v>
      </c>
      <c r="BN994" s="322">
        <v>150045.931102</v>
      </c>
      <c r="BO994" s="322">
        <v>41286.711615</v>
      </c>
      <c r="BP994" s="10">
        <v>25904</v>
      </c>
      <c r="BQ994" s="254">
        <f t="shared" si="419"/>
        <v>5.7923846163526873</v>
      </c>
      <c r="BR994" s="254">
        <f t="shared" si="420"/>
        <v>1.5938353773548486</v>
      </c>
      <c r="BS994" s="25">
        <v>69.513257638418921</v>
      </c>
      <c r="BT994" s="25">
        <v>95.727345847230779</v>
      </c>
      <c r="BU994" s="25">
        <v>51.655827505827503</v>
      </c>
      <c r="BV994" s="25">
        <v>90.19059268080089</v>
      </c>
      <c r="BW994" s="25">
        <v>65.123392901785621</v>
      </c>
      <c r="BX994" s="25">
        <v>76.771755918069516</v>
      </c>
      <c r="BY994" s="25">
        <v>66.643497483129266</v>
      </c>
      <c r="BZ994">
        <v>41</v>
      </c>
      <c r="CA994">
        <v>0</v>
      </c>
      <c r="CB994">
        <v>6</v>
      </c>
      <c r="CC994">
        <v>238017.36971200001</v>
      </c>
      <c r="CD994" s="10">
        <v>40359.036016999999</v>
      </c>
      <c r="CE994" s="255">
        <v>0.16956340651034946</v>
      </c>
      <c r="CF994" t="str">
        <f>IFERROR(VLOOKUP(CE994,'Rangos amb etnico'!$A$2:$C$6,3,9),"N.D.")</f>
        <v>0,1% - 30%</v>
      </c>
      <c r="CG994" s="256">
        <v>1.1741964977892061E-3</v>
      </c>
      <c r="CH994" s="232">
        <v>0</v>
      </c>
      <c r="CI994" s="311">
        <f t="shared" si="427"/>
        <v>0</v>
      </c>
      <c r="CJ994" s="232">
        <f>IFERROR(VLOOKUP(CI994,'Rangos amb etnico'!$A$2:$C$6,3,9),"N.D.")</f>
        <v>0</v>
      </c>
      <c r="CK994" s="311">
        <f t="shared" si="428"/>
        <v>0</v>
      </c>
      <c r="CL994" s="10">
        <v>0</v>
      </c>
      <c r="CM994" s="255">
        <f t="shared" si="429"/>
        <v>0</v>
      </c>
      <c r="CN994" s="232">
        <f>IFERROR(VLOOKUP(CM994,'Rangos amb etnico'!$A$2:$C$6,3,9),"N.D.")</f>
        <v>0</v>
      </c>
      <c r="CO994" s="311">
        <f t="shared" si="430"/>
        <v>0</v>
      </c>
      <c r="CP994">
        <v>0.75171144567111825</v>
      </c>
      <c r="CQ994" t="s">
        <v>2865</v>
      </c>
      <c r="CR994">
        <f t="shared" si="421"/>
        <v>4</v>
      </c>
      <c r="CS994" t="str">
        <f t="shared" si="431"/>
        <v>Candidato</v>
      </c>
      <c r="CT994">
        <v>0</v>
      </c>
      <c r="CU994">
        <v>0</v>
      </c>
      <c r="CV994" s="25">
        <v>45.172374725341797</v>
      </c>
      <c r="CW994" s="25">
        <v>38.876873016357422</v>
      </c>
      <c r="CX994" s="25">
        <v>51.679412841796882</v>
      </c>
      <c r="CY994" s="25">
        <v>64.253242492675781</v>
      </c>
      <c r="CZ994" s="25">
        <v>34.523372650146477</v>
      </c>
      <c r="DA994" s="25">
        <v>21.649843215942379</v>
      </c>
      <c r="DB994" s="25">
        <v>60.051502227783203</v>
      </c>
      <c r="DC994">
        <v>646</v>
      </c>
      <c r="DD994" s="253" t="s">
        <v>380</v>
      </c>
    </row>
    <row r="995" spans="1:108" hidden="1">
      <c r="A995" s="13">
        <v>15183</v>
      </c>
      <c r="B995" s="13" t="s">
        <v>2391</v>
      </c>
      <c r="C995" s="13" t="s">
        <v>498</v>
      </c>
      <c r="D995" s="13" t="s">
        <v>499</v>
      </c>
      <c r="E995" s="13" t="s">
        <v>2392</v>
      </c>
      <c r="F995" s="14">
        <v>74.557333333333304</v>
      </c>
      <c r="G995" s="13">
        <v>67.930000000000007</v>
      </c>
      <c r="H995" s="13">
        <v>30.79</v>
      </c>
      <c r="I995" s="13">
        <v>58.87</v>
      </c>
      <c r="J995" s="14">
        <v>56.329083281596887</v>
      </c>
      <c r="K995" s="14">
        <v>55.547854856810417</v>
      </c>
      <c r="L995" s="14">
        <v>62.395616885732252</v>
      </c>
      <c r="M995" s="14">
        <v>62.274500000000003</v>
      </c>
      <c r="N995" s="14">
        <f t="shared" si="405"/>
        <v>58.036833333333327</v>
      </c>
      <c r="O995" s="14">
        <f t="shared" si="406"/>
        <v>59.136763756034881</v>
      </c>
      <c r="P995" s="14">
        <f t="shared" si="422"/>
        <v>58.5867985446841</v>
      </c>
      <c r="Q995" s="14">
        <v>67.79438893169457</v>
      </c>
      <c r="R995" s="17">
        <f t="shared" si="407"/>
        <v>32.20561106830543</v>
      </c>
      <c r="S995" s="14">
        <f t="shared" si="423"/>
        <v>0.38985049961474882</v>
      </c>
      <c r="T995" s="13">
        <v>0</v>
      </c>
      <c r="U995" s="13">
        <f t="shared" si="424"/>
        <v>22.840092683473735</v>
      </c>
      <c r="V995" s="13">
        <f>IF($T995=1,$AU995,(VLOOKUP(U995,'Cortes naturales'!$A$35:$C$39,3,9)))</f>
        <v>4</v>
      </c>
      <c r="W995" s="13">
        <v>4</v>
      </c>
      <c r="X995" s="14" t="b">
        <f t="shared" si="408"/>
        <v>1</v>
      </c>
      <c r="Y995" s="17">
        <f>IF($T995=1,$AU995,VLOOKUP(U995,'Cortes naturales'!$A$45:$C$49,3,9))</f>
        <v>4</v>
      </c>
      <c r="Z995" s="14">
        <v>59.007603446142582</v>
      </c>
      <c r="AA995" s="14">
        <v>0.39560911249637454</v>
      </c>
      <c r="AB995" s="14">
        <v>23.343945629866479</v>
      </c>
      <c r="AC995" s="13">
        <v>4</v>
      </c>
      <c r="AD995" s="13">
        <f t="shared" si="409"/>
        <v>0</v>
      </c>
      <c r="AE995" s="14">
        <f t="shared" si="410"/>
        <v>-0.4208049014584816</v>
      </c>
      <c r="AF995" s="14">
        <f t="shared" si="411"/>
        <v>-5.7586128816257132E-3</v>
      </c>
      <c r="AG995" s="13">
        <f t="shared" si="412"/>
        <v>-0.50385294639274392</v>
      </c>
      <c r="AH995" s="13">
        <f>IF($T995=1,$AU995,VLOOKUP(U995,'Cortes naturales'!$A$25:$C$29,3,9))</f>
        <v>4</v>
      </c>
      <c r="AI995" s="13" t="b">
        <f t="shared" si="413"/>
        <v>1</v>
      </c>
      <c r="AJ995" s="13">
        <f t="shared" si="414"/>
        <v>0</v>
      </c>
      <c r="AK995" s="28">
        <v>0.6523467210059386</v>
      </c>
      <c r="AL995" s="28">
        <v>38.493416622509834</v>
      </c>
      <c r="AM995" s="28">
        <v>0.31088605421991417</v>
      </c>
      <c r="AN995" s="13">
        <v>4</v>
      </c>
      <c r="AO995" s="33">
        <f t="shared" si="415"/>
        <v>0</v>
      </c>
      <c r="AP995" s="13">
        <f t="shared" si="425"/>
        <v>31.088605421991417</v>
      </c>
      <c r="AQ995" s="13">
        <f>IFERROR(VLOOKUP(U995,'Cortes naturales'!$E$15:$G$19,3,9),U995)</f>
        <v>4</v>
      </c>
      <c r="AR995" s="28">
        <f t="shared" si="416"/>
        <v>-0.26249622139118978</v>
      </c>
      <c r="AS995" s="13" t="b">
        <f t="shared" si="417"/>
        <v>1</v>
      </c>
      <c r="AT995" s="13">
        <f t="shared" si="426"/>
        <v>0</v>
      </c>
      <c r="AU995" s="13">
        <v>4</v>
      </c>
      <c r="AV995">
        <f t="shared" si="418"/>
        <v>0</v>
      </c>
      <c r="AW995" s="13">
        <v>0</v>
      </c>
      <c r="AX995" s="13">
        <v>0</v>
      </c>
      <c r="AY995" s="13">
        <v>0</v>
      </c>
      <c r="AZ995" s="13">
        <v>0</v>
      </c>
      <c r="BA995">
        <v>0</v>
      </c>
      <c r="BB995" t="s">
        <v>2841</v>
      </c>
      <c r="BC995">
        <v>6</v>
      </c>
      <c r="BD995" t="s">
        <v>2919</v>
      </c>
      <c r="BE995">
        <v>0</v>
      </c>
      <c r="BF995" s="232" t="s">
        <v>2846</v>
      </c>
      <c r="BG995" s="232" t="s">
        <v>2846</v>
      </c>
      <c r="BH995" s="253">
        <v>69.099999999999994</v>
      </c>
      <c r="BI995" s="253">
        <v>42.727860374919196</v>
      </c>
      <c r="BJ995" s="25">
        <v>22.352128062300576</v>
      </c>
      <c r="BK995" t="s">
        <v>379</v>
      </c>
      <c r="BL995">
        <v>11.99377853430499</v>
      </c>
      <c r="BM995" t="s">
        <v>376</v>
      </c>
      <c r="BN995" s="322">
        <v>26594.431920999999</v>
      </c>
      <c r="BO995" s="322">
        <v>1388.066135</v>
      </c>
      <c r="BP995" s="10">
        <v>8239</v>
      </c>
      <c r="BQ995" s="254">
        <f t="shared" si="419"/>
        <v>3.2278713340211191</v>
      </c>
      <c r="BR995" s="254">
        <f t="shared" si="420"/>
        <v>0.16847507403811143</v>
      </c>
      <c r="BS995" s="25">
        <v>62.735738017194969</v>
      </c>
      <c r="BT995" s="25">
        <v>95.256494026783187</v>
      </c>
      <c r="BU995" s="25">
        <v>30.59400792716427</v>
      </c>
      <c r="BV995" s="25">
        <v>96.520585813841151</v>
      </c>
      <c r="BW995" s="25">
        <v>44.609404850639443</v>
      </c>
      <c r="BX995" s="25">
        <v>71.276706446245896</v>
      </c>
      <c r="BY995" s="25">
        <v>44.36363045856789</v>
      </c>
      <c r="BZ995">
        <v>44</v>
      </c>
      <c r="CA995">
        <v>1</v>
      </c>
      <c r="CB995">
        <v>7</v>
      </c>
      <c r="CC995">
        <v>67580.77893</v>
      </c>
      <c r="CD995" s="10">
        <v>45251.651593000002</v>
      </c>
      <c r="CE995" s="255">
        <v>0.66959351918496746</v>
      </c>
      <c r="CF995" t="str">
        <f>IFERROR(VLOOKUP(CE995,'Rangos amb etnico'!$A$2:$C$6,3,9),"N.D.")</f>
        <v>51% - 70%</v>
      </c>
      <c r="CG995" s="256">
        <v>1.316541128417853E-3</v>
      </c>
      <c r="CH995" s="232">
        <v>0</v>
      </c>
      <c r="CI995" s="311">
        <f t="shared" si="427"/>
        <v>0</v>
      </c>
      <c r="CJ995" s="232">
        <f>IFERROR(VLOOKUP(CI995,'Rangos amb etnico'!$A$2:$C$6,3,9),"N.D.")</f>
        <v>0</v>
      </c>
      <c r="CK995" s="311">
        <f t="shared" si="428"/>
        <v>0</v>
      </c>
      <c r="CL995" s="10">
        <v>0</v>
      </c>
      <c r="CM995" s="255">
        <f t="shared" si="429"/>
        <v>0</v>
      </c>
      <c r="CN995" s="232">
        <f>IFERROR(VLOOKUP(CM995,'Rangos amb etnico'!$A$2:$C$6,3,9),"N.D.")</f>
        <v>0</v>
      </c>
      <c r="CO995" s="311">
        <f t="shared" si="430"/>
        <v>0</v>
      </c>
      <c r="CP995">
        <v>0.89661712761346324</v>
      </c>
      <c r="CQ995" t="s">
        <v>2864</v>
      </c>
      <c r="CR995">
        <f t="shared" si="421"/>
        <v>2</v>
      </c>
      <c r="CS995" t="str">
        <f t="shared" si="431"/>
        <v>No es Candidato</v>
      </c>
      <c r="CT995">
        <v>0</v>
      </c>
      <c r="CU995">
        <v>0</v>
      </c>
      <c r="CV995" s="25">
        <v>38.381622314453118</v>
      </c>
      <c r="CW995" s="25">
        <v>6.8475203514099121</v>
      </c>
      <c r="CX995" s="25">
        <v>44.449581146240227</v>
      </c>
      <c r="CY995" s="25">
        <v>34.94683837890625</v>
      </c>
      <c r="CZ995" s="25">
        <v>38.008441925048828</v>
      </c>
      <c r="DA995" s="25">
        <v>59.194206237792969</v>
      </c>
      <c r="DB995" s="25">
        <v>46.843147277832031</v>
      </c>
      <c r="DC995">
        <v>106</v>
      </c>
      <c r="DD995" s="253" t="s">
        <v>380</v>
      </c>
    </row>
    <row r="996" spans="1:108" hidden="1">
      <c r="A996" s="13">
        <v>27430</v>
      </c>
      <c r="B996" s="13" t="s">
        <v>2393</v>
      </c>
      <c r="C996" s="13" t="s">
        <v>1714</v>
      </c>
      <c r="D996" s="13" t="s">
        <v>1715</v>
      </c>
      <c r="E996" s="13" t="s">
        <v>2394</v>
      </c>
      <c r="F996" s="14">
        <v>77.949033333333304</v>
      </c>
      <c r="G996" s="13">
        <v>74.510000000000005</v>
      </c>
      <c r="H996" s="13">
        <v>26.15</v>
      </c>
      <c r="I996" s="13">
        <v>85.83</v>
      </c>
      <c r="J996" s="14">
        <v>67.796631017515779</v>
      </c>
      <c r="K996" s="14">
        <v>70.700717585467487</v>
      </c>
      <c r="L996" s="14">
        <v>15.172141142098745</v>
      </c>
      <c r="M996" s="14">
        <v>49.592500000000001</v>
      </c>
      <c r="N996" s="14">
        <f t="shared" si="405"/>
        <v>66.109758333333332</v>
      </c>
      <c r="O996" s="14">
        <f t="shared" si="406"/>
        <v>50.815497436270505</v>
      </c>
      <c r="P996" s="14">
        <f t="shared" si="422"/>
        <v>58.462627884801918</v>
      </c>
      <c r="Q996" s="14">
        <v>67.662547320522819</v>
      </c>
      <c r="R996" s="17">
        <f t="shared" si="407"/>
        <v>32.337452679477181</v>
      </c>
      <c r="S996" s="14">
        <f t="shared" si="423"/>
        <v>0.39103707411529465</v>
      </c>
      <c r="T996" s="13">
        <v>0</v>
      </c>
      <c r="U996" s="13">
        <f t="shared" si="424"/>
        <v>22.861054953164178</v>
      </c>
      <c r="V996" s="13">
        <f>IF($T996=1,$AU996,(VLOOKUP(U996,'Cortes naturales'!$A$35:$C$39,3,9)))</f>
        <v>4</v>
      </c>
      <c r="W996" s="13">
        <v>4</v>
      </c>
      <c r="X996" s="14" t="b">
        <f t="shared" si="408"/>
        <v>1</v>
      </c>
      <c r="Y996" s="17">
        <f>IF($T996=1,$AU996,VLOOKUP(U996,'Cortes naturales'!$A$45:$C$49,3,9))</f>
        <v>4</v>
      </c>
      <c r="Z996" s="14">
        <v>60.842421029889309</v>
      </c>
      <c r="AA996" s="14">
        <v>0.39360862773081207</v>
      </c>
      <c r="AB996" s="14">
        <v>23.948101849395034</v>
      </c>
      <c r="AC996" s="13">
        <v>4</v>
      </c>
      <c r="AD996" s="13">
        <f t="shared" si="409"/>
        <v>0</v>
      </c>
      <c r="AE996" s="14">
        <f t="shared" si="410"/>
        <v>-2.3797931450873904</v>
      </c>
      <c r="AF996" s="14">
        <f t="shared" si="411"/>
        <v>-2.571553615517419E-3</v>
      </c>
      <c r="AG996" s="13">
        <f t="shared" si="412"/>
        <v>-1.0870468962308557</v>
      </c>
      <c r="AH996" s="13">
        <f>IF($T996=1,$AU996,VLOOKUP(U996,'Cortes naturales'!$A$25:$C$29,3,9))</f>
        <v>4</v>
      </c>
      <c r="AI996" s="13" t="b">
        <f t="shared" si="413"/>
        <v>1</v>
      </c>
      <c r="AJ996" s="13">
        <f t="shared" si="414"/>
        <v>0</v>
      </c>
      <c r="AK996" s="28">
        <v>0.6523467210059386</v>
      </c>
      <c r="AL996" s="28">
        <v>39.690353856911052</v>
      </c>
      <c r="AM996" s="28">
        <v>0.32585847733150258</v>
      </c>
      <c r="AN996" s="13">
        <v>4</v>
      </c>
      <c r="AO996" s="33">
        <f t="shared" si="415"/>
        <v>0</v>
      </c>
      <c r="AP996" s="13">
        <f t="shared" si="425"/>
        <v>32.58584773315026</v>
      </c>
      <c r="AQ996" s="13">
        <f>IFERROR(VLOOKUP(U996,'Cortes naturales'!$E$15:$G$19,3,9),U996)</f>
        <v>4</v>
      </c>
      <c r="AR996" s="28">
        <f t="shared" si="416"/>
        <v>-0.26130964689064395</v>
      </c>
      <c r="AS996" s="13" t="b">
        <f t="shared" si="417"/>
        <v>1</v>
      </c>
      <c r="AT996" s="13">
        <f t="shared" si="426"/>
        <v>0</v>
      </c>
      <c r="AU996" s="13">
        <v>3</v>
      </c>
      <c r="AV996">
        <f t="shared" si="418"/>
        <v>-1</v>
      </c>
      <c r="AW996" s="13">
        <v>0</v>
      </c>
      <c r="AX996" s="13">
        <v>0</v>
      </c>
      <c r="AY996" s="13">
        <v>0</v>
      </c>
      <c r="AZ996" s="13">
        <v>0</v>
      </c>
      <c r="BA996">
        <v>0</v>
      </c>
      <c r="BB996" t="s">
        <v>2841</v>
      </c>
      <c r="BC996">
        <v>6</v>
      </c>
      <c r="BD996" t="s">
        <v>2919</v>
      </c>
      <c r="BE996">
        <v>0</v>
      </c>
      <c r="BF996" s="232" t="s">
        <v>2846</v>
      </c>
      <c r="BG996" s="232" t="s">
        <v>2846</v>
      </c>
      <c r="BH996" s="253">
        <v>80.2</v>
      </c>
      <c r="BI996" s="253">
        <v>63.212396632645458</v>
      </c>
      <c r="BJ996" s="25" t="s">
        <v>2849</v>
      </c>
      <c r="BK996" t="s">
        <v>2849</v>
      </c>
      <c r="BL996">
        <v>18.552989321021528</v>
      </c>
      <c r="BM996" t="s">
        <v>376</v>
      </c>
      <c r="BN996" s="322">
        <v>39470.317933999999</v>
      </c>
      <c r="BO996" s="322">
        <v>2077.1005639999998</v>
      </c>
      <c r="BP996" s="10">
        <v>17004</v>
      </c>
      <c r="BQ996" s="254">
        <f t="shared" si="419"/>
        <v>2.3212372344154315</v>
      </c>
      <c r="BR996" s="254">
        <f t="shared" si="420"/>
        <v>0.12215364408374499</v>
      </c>
      <c r="BS996" s="25">
        <v>51.200741432270007</v>
      </c>
      <c r="BT996" s="25">
        <v>73.046228590135641</v>
      </c>
      <c r="BU996" s="25">
        <v>45.175045120088839</v>
      </c>
      <c r="BV996" s="25">
        <v>99.820106777491745</v>
      </c>
      <c r="BW996" s="25">
        <v>21.109362608671031</v>
      </c>
      <c r="BX996" s="25">
        <v>67.310530479996558</v>
      </c>
      <c r="BY996" s="25">
        <v>21.75724387409786</v>
      </c>
      <c r="BZ996">
        <v>38</v>
      </c>
      <c r="CA996">
        <v>0</v>
      </c>
      <c r="CB996">
        <v>7</v>
      </c>
      <c r="CC996">
        <v>137294.29948399999</v>
      </c>
      <c r="CD996" s="10">
        <v>5312.7981399999999</v>
      </c>
      <c r="CE996" s="255">
        <v>3.8696421919681694E-2</v>
      </c>
      <c r="CF996" t="str">
        <f>IFERROR(VLOOKUP(CE996,'Rangos amb etnico'!$A$2:$C$6,3,9),"N.D.")</f>
        <v>0,1% - 30%</v>
      </c>
      <c r="CG996" s="256">
        <v>1.5456932536300741E-4</v>
      </c>
      <c r="CH996" s="232">
        <v>130908.686135</v>
      </c>
      <c r="CI996" s="311">
        <f t="shared" si="427"/>
        <v>0.95348959590456883</v>
      </c>
      <c r="CJ996" s="232" t="str">
        <f>IFERROR(VLOOKUP(CI996,'Rangos amb etnico'!$A$2:$C$6,3,9),"N.D.")</f>
        <v>71% - 100%</v>
      </c>
      <c r="CK996" s="311">
        <f t="shared" si="428"/>
        <v>5.197931924972571E-3</v>
      </c>
      <c r="CL996" s="10">
        <v>0</v>
      </c>
      <c r="CM996" s="255">
        <f t="shared" si="429"/>
        <v>0</v>
      </c>
      <c r="CN996" s="232">
        <f>IFERROR(VLOOKUP(CM996,'Rangos amb etnico'!$A$2:$C$6,3,9),"N.D.")</f>
        <v>0</v>
      </c>
      <c r="CO996" s="311">
        <f t="shared" si="430"/>
        <v>0</v>
      </c>
      <c r="CP996">
        <v>0.90387500028810863</v>
      </c>
      <c r="CQ996" t="s">
        <v>2864</v>
      </c>
      <c r="CR996">
        <f t="shared" si="421"/>
        <v>2</v>
      </c>
      <c r="CS996" t="str">
        <f t="shared" si="431"/>
        <v>No es Candidato</v>
      </c>
      <c r="CT996">
        <v>0</v>
      </c>
      <c r="CU996">
        <v>0</v>
      </c>
      <c r="CV996" s="25">
        <v>36.457901000976563</v>
      </c>
      <c r="CW996" s="25">
        <v>10.93911743164062</v>
      </c>
      <c r="CX996" s="25">
        <v>38.922672271728523</v>
      </c>
      <c r="CY996" s="25">
        <v>26.777057647705082</v>
      </c>
      <c r="CZ996" s="25">
        <v>12.197456359863279</v>
      </c>
      <c r="DA996" s="25">
        <v>84.87115478515625</v>
      </c>
      <c r="DB996" s="25">
        <v>45.039951324462891</v>
      </c>
      <c r="DC996">
        <v>14899</v>
      </c>
      <c r="DD996" s="253" t="s">
        <v>380</v>
      </c>
    </row>
    <row r="997" spans="1:108" hidden="1">
      <c r="A997" s="13">
        <v>73024</v>
      </c>
      <c r="B997" s="13" t="s">
        <v>2395</v>
      </c>
      <c r="C997" s="13" t="s">
        <v>595</v>
      </c>
      <c r="D997" s="13" t="s">
        <v>596</v>
      </c>
      <c r="E997" s="13" t="s">
        <v>2396</v>
      </c>
      <c r="F997" s="14">
        <v>62.8960333333333</v>
      </c>
      <c r="G997" s="13">
        <v>56.13</v>
      </c>
      <c r="H997" s="13">
        <v>54.19</v>
      </c>
      <c r="I997" s="13">
        <v>70.92</v>
      </c>
      <c r="J997" s="14">
        <v>44.390842660867499</v>
      </c>
      <c r="K997" s="14">
        <v>54.662888670130094</v>
      </c>
      <c r="L997" s="14">
        <v>12.9032166493445</v>
      </c>
      <c r="M997" s="14">
        <v>49.862900000000003</v>
      </c>
      <c r="N997" s="14">
        <f t="shared" si="405"/>
        <v>61.034008333333333</v>
      </c>
      <c r="O997" s="14">
        <f t="shared" si="406"/>
        <v>40.454961995085526</v>
      </c>
      <c r="P997" s="14">
        <f t="shared" si="422"/>
        <v>50.744485164209429</v>
      </c>
      <c r="Q997" s="14">
        <v>67.670982002398929</v>
      </c>
      <c r="R997" s="17">
        <f t="shared" si="407"/>
        <v>32.329017997601071</v>
      </c>
      <c r="S997" s="14">
        <f t="shared" si="423"/>
        <v>0.39096116197840969</v>
      </c>
      <c r="T997" s="13">
        <v>0</v>
      </c>
      <c r="U997" s="13">
        <f t="shared" si="424"/>
        <v>19.83912288379549</v>
      </c>
      <c r="V997" s="13">
        <f>IF($T997=1,$AU997,(VLOOKUP(U997,'Cortes naturales'!$A$35:$C$39,3,9)))</f>
        <v>5</v>
      </c>
      <c r="W997" s="13">
        <v>5</v>
      </c>
      <c r="X997" s="14" t="b">
        <f t="shared" si="408"/>
        <v>1</v>
      </c>
      <c r="Y997" s="17">
        <f>IF($T997=1,$AU997,VLOOKUP(U997,'Cortes naturales'!$A$45:$C$49,3,9))</f>
        <v>5</v>
      </c>
      <c r="Z997" s="14">
        <v>49.407453349426305</v>
      </c>
      <c r="AA997" s="14">
        <v>0.3934358749675021</v>
      </c>
      <c r="AB997" s="14">
        <v>19.43866463844758</v>
      </c>
      <c r="AC997" s="13">
        <v>5</v>
      </c>
      <c r="AD997" s="13">
        <f t="shared" si="409"/>
        <v>0</v>
      </c>
      <c r="AE997" s="14">
        <f t="shared" si="410"/>
        <v>1.3370318147831242</v>
      </c>
      <c r="AF997" s="14">
        <f t="shared" si="411"/>
        <v>-2.4747129890924091E-3</v>
      </c>
      <c r="AG997" s="13">
        <f t="shared" si="412"/>
        <v>0.40045824534790952</v>
      </c>
      <c r="AH997" s="13">
        <f>IF($T997=1,$AU997,VLOOKUP(U997,'Cortes naturales'!$A$25:$C$29,3,9))</f>
        <v>5</v>
      </c>
      <c r="AI997" s="13" t="b">
        <f t="shared" si="413"/>
        <v>1</v>
      </c>
      <c r="AJ997" s="13">
        <f t="shared" si="414"/>
        <v>0</v>
      </c>
      <c r="AK997" s="28">
        <v>0.6523467210059386</v>
      </c>
      <c r="AL997" s="28">
        <v>32.230790185752127</v>
      </c>
      <c r="AM997" s="28">
        <v>0.23254719892658432</v>
      </c>
      <c r="AN997" s="13">
        <v>4</v>
      </c>
      <c r="AO997" s="33">
        <f t="shared" si="415"/>
        <v>-1</v>
      </c>
      <c r="AP997" s="13">
        <f t="shared" si="425"/>
        <v>23.254719892658432</v>
      </c>
      <c r="AQ997" s="13">
        <f>IFERROR(VLOOKUP(U997,'Cortes naturales'!$E$15:$G$19,3,9),U997)</f>
        <v>4</v>
      </c>
      <c r="AR997" s="28">
        <f t="shared" si="416"/>
        <v>-0.26138555902752891</v>
      </c>
      <c r="AS997" s="13" t="b">
        <f t="shared" si="417"/>
        <v>0</v>
      </c>
      <c r="AT997" s="13" t="str">
        <f t="shared" si="426"/>
        <v>Cambio en corte</v>
      </c>
      <c r="AU997" s="13">
        <v>4</v>
      </c>
      <c r="AV997">
        <f t="shared" si="418"/>
        <v>-1</v>
      </c>
      <c r="AW997" s="13">
        <v>0</v>
      </c>
      <c r="AX997" s="13">
        <v>0</v>
      </c>
      <c r="AY997" s="13">
        <v>0</v>
      </c>
      <c r="AZ997" s="13">
        <v>0</v>
      </c>
      <c r="BA997">
        <v>0</v>
      </c>
      <c r="BB997" t="s">
        <v>2841</v>
      </c>
      <c r="BC997">
        <v>6</v>
      </c>
      <c r="BD997" t="s">
        <v>2919</v>
      </c>
      <c r="BE997">
        <v>0</v>
      </c>
      <c r="BF997" s="232" t="s">
        <v>2846</v>
      </c>
      <c r="BG997" s="232" t="s">
        <v>2845</v>
      </c>
      <c r="BH997" s="253">
        <v>30.9</v>
      </c>
      <c r="BI997" s="253">
        <v>12.475442043222005</v>
      </c>
      <c r="BJ997" s="25">
        <v>42.735886966307945</v>
      </c>
      <c r="BK997" t="s">
        <v>376</v>
      </c>
      <c r="BL997">
        <v>0.59017790541323589</v>
      </c>
      <c r="BM997" t="s">
        <v>383</v>
      </c>
      <c r="BN997" s="322">
        <v>14878.129645000001</v>
      </c>
      <c r="BO997" s="322">
        <v>1429.703399</v>
      </c>
      <c r="BP997" s="10">
        <v>4807</v>
      </c>
      <c r="BQ997" s="254">
        <f t="shared" si="419"/>
        <v>3.0950966600790517</v>
      </c>
      <c r="BR997" s="254">
        <f t="shared" si="420"/>
        <v>0.29742113563553152</v>
      </c>
      <c r="BS997" s="25">
        <v>66.067951372299206</v>
      </c>
      <c r="BT997" s="25">
        <v>86.948567456487069</v>
      </c>
      <c r="BU997" s="25">
        <v>39.39360333531863</v>
      </c>
      <c r="BV997" s="25">
        <v>93.287195669639914</v>
      </c>
      <c r="BW997" s="25">
        <v>52.787350194344697</v>
      </c>
      <c r="BX997" s="25">
        <v>71.424329458436205</v>
      </c>
      <c r="BY997" s="25">
        <v>53.530862579284232</v>
      </c>
      <c r="BZ997">
        <v>23</v>
      </c>
      <c r="CA997">
        <v>0</v>
      </c>
      <c r="CB997">
        <v>7</v>
      </c>
      <c r="CC997">
        <v>50117.177628999998</v>
      </c>
      <c r="CD997" s="10">
        <v>7168.9113109999998</v>
      </c>
      <c r="CE997" s="255">
        <v>0.1430429974343119</v>
      </c>
      <c r="CF997" t="str">
        <f>IFERROR(VLOOKUP(CE997,'Rangos amb etnico'!$A$2:$C$6,3,9),"N.D.")</f>
        <v>0,1% - 30%</v>
      </c>
      <c r="CG997" s="256">
        <v>2.0857065443267587E-4</v>
      </c>
      <c r="CH997" s="232">
        <v>113.937583</v>
      </c>
      <c r="CI997" s="311">
        <f t="shared" si="427"/>
        <v>2.2734237718540383E-3</v>
      </c>
      <c r="CJ997" s="232" t="str">
        <f>IFERROR(VLOOKUP(CI997,'Rangos amb etnico'!$A$2:$C$6,3,9),"N.D.")</f>
        <v>0,1% - 30%</v>
      </c>
      <c r="CK997" s="311">
        <f t="shared" si="428"/>
        <v>4.5240680172984317E-6</v>
      </c>
      <c r="CL997" s="10">
        <v>0</v>
      </c>
      <c r="CM997" s="255">
        <f t="shared" si="429"/>
        <v>0</v>
      </c>
      <c r="CN997" s="232">
        <f>IFERROR(VLOOKUP(CM997,'Rangos amb etnico'!$A$2:$C$6,3,9),"N.D.")</f>
        <v>0</v>
      </c>
      <c r="CO997" s="311">
        <f t="shared" si="430"/>
        <v>0</v>
      </c>
      <c r="CP997">
        <v>0.9417840298946889</v>
      </c>
      <c r="CQ997" t="s">
        <v>2864</v>
      </c>
      <c r="CR997">
        <f t="shared" si="421"/>
        <v>2</v>
      </c>
      <c r="CS997" t="str">
        <f t="shared" si="431"/>
        <v>No es Candidato</v>
      </c>
      <c r="CT997">
        <v>0</v>
      </c>
      <c r="CU997">
        <v>0</v>
      </c>
      <c r="CV997" s="25">
        <v>44.762699127197273</v>
      </c>
      <c r="CW997" s="25">
        <v>16.418497085571289</v>
      </c>
      <c r="CX997" s="25">
        <v>37.897556304931641</v>
      </c>
      <c r="CY997" s="25">
        <v>59.629951477050781</v>
      </c>
      <c r="CZ997" s="25">
        <v>41.212245941162109</v>
      </c>
      <c r="DA997" s="25">
        <v>57.434070587158203</v>
      </c>
      <c r="DB997" s="25">
        <v>55.983875274658203</v>
      </c>
      <c r="DC997">
        <v>48</v>
      </c>
      <c r="DD997" s="253" t="s">
        <v>380</v>
      </c>
    </row>
    <row r="998" spans="1:108" hidden="1">
      <c r="A998" s="13">
        <v>52427</v>
      </c>
      <c r="B998" s="13" t="s">
        <v>2397</v>
      </c>
      <c r="C998" s="13" t="s">
        <v>672</v>
      </c>
      <c r="D998" s="13" t="s">
        <v>673</v>
      </c>
      <c r="E998" s="13" t="s">
        <v>2398</v>
      </c>
      <c r="F998" s="14">
        <v>66.952399999999997</v>
      </c>
      <c r="G998" s="13">
        <v>59.43</v>
      </c>
      <c r="H998" s="13">
        <v>45.34</v>
      </c>
      <c r="I998" s="13">
        <v>0</v>
      </c>
      <c r="J998" s="14">
        <v>61.869856751717784</v>
      </c>
      <c r="K998" s="14">
        <v>60.199733318025793</v>
      </c>
      <c r="L998" s="14">
        <v>61.73664692420239</v>
      </c>
      <c r="M998" s="14">
        <v>56.125399999999999</v>
      </c>
      <c r="N998" s="14">
        <f t="shared" si="405"/>
        <v>42.930599999999998</v>
      </c>
      <c r="O998" s="14">
        <f t="shared" si="406"/>
        <v>59.982909248486493</v>
      </c>
      <c r="P998" s="14">
        <f t="shared" si="422"/>
        <v>51.456754624243246</v>
      </c>
      <c r="Q998" s="14">
        <v>67.472231363514851</v>
      </c>
      <c r="R998" s="17">
        <f t="shared" si="407"/>
        <v>32.527768636485149</v>
      </c>
      <c r="S998" s="14">
        <f t="shared" si="423"/>
        <v>0.39274991772836632</v>
      </c>
      <c r="T998" s="13">
        <v>0</v>
      </c>
      <c r="U998" s="13">
        <f t="shared" si="424"/>
        <v>20.209636145240268</v>
      </c>
      <c r="V998" s="13">
        <f>IF($T998=1,$AU998,(VLOOKUP(U998,'Cortes naturales'!$A$35:$C$39,3,9)))</f>
        <v>5</v>
      </c>
      <c r="W998" s="13">
        <v>5</v>
      </c>
      <c r="X998" s="14" t="b">
        <f t="shared" si="408"/>
        <v>1</v>
      </c>
      <c r="Y998" s="17">
        <f>IF($T998=1,$AU998,VLOOKUP(U998,'Cortes naturales'!$A$45:$C$49,3,9))</f>
        <v>5</v>
      </c>
      <c r="Z998" s="14">
        <v>60.073300548051492</v>
      </c>
      <c r="AA998" s="14">
        <v>0.39215544317744078</v>
      </c>
      <c r="AB998" s="14">
        <v>23.558071799552728</v>
      </c>
      <c r="AC998" s="13">
        <v>4</v>
      </c>
      <c r="AD998" s="13">
        <f t="shared" si="409"/>
        <v>-1</v>
      </c>
      <c r="AE998" s="14">
        <f t="shared" si="410"/>
        <v>-8.6165459238082462</v>
      </c>
      <c r="AF998" s="14">
        <f t="shared" si="411"/>
        <v>5.9447455092553891E-4</v>
      </c>
      <c r="AG998" s="13">
        <f t="shared" si="412"/>
        <v>-3.3484356543124605</v>
      </c>
      <c r="AH998" s="13">
        <f>IF($T998=1,$AU998,VLOOKUP(U998,'Cortes naturales'!$A$25:$C$29,3,9))</f>
        <v>4</v>
      </c>
      <c r="AI998" s="13" t="b">
        <f t="shared" si="413"/>
        <v>0</v>
      </c>
      <c r="AJ998" s="13" t="str">
        <f t="shared" si="414"/>
        <v>Cambio en corte</v>
      </c>
      <c r="AK998" s="28">
        <v>0.6523467210059386</v>
      </c>
      <c r="AL998" s="28">
        <v>39.188620632525648</v>
      </c>
      <c r="AM998" s="28">
        <v>0.3195823235711111</v>
      </c>
      <c r="AN998" s="13">
        <v>4</v>
      </c>
      <c r="AO998" s="33">
        <f t="shared" si="415"/>
        <v>-1</v>
      </c>
      <c r="AP998" s="13">
        <f t="shared" si="425"/>
        <v>31.958232357111111</v>
      </c>
      <c r="AQ998" s="13">
        <f>IFERROR(VLOOKUP(U998,'Cortes naturales'!$E$15:$G$19,3,9),U998)</f>
        <v>4</v>
      </c>
      <c r="AR998" s="28">
        <f t="shared" si="416"/>
        <v>-0.25959680327757229</v>
      </c>
      <c r="AS998" s="13" t="b">
        <f t="shared" si="417"/>
        <v>0</v>
      </c>
      <c r="AT998" s="13" t="str">
        <f t="shared" si="426"/>
        <v>Cambio en corte</v>
      </c>
      <c r="AU998" s="13">
        <v>5</v>
      </c>
      <c r="AV998">
        <f t="shared" si="418"/>
        <v>0</v>
      </c>
      <c r="AW998" s="13">
        <v>0</v>
      </c>
      <c r="AX998" s="13">
        <v>0</v>
      </c>
      <c r="AY998" s="13">
        <v>0</v>
      </c>
      <c r="AZ998" s="13">
        <v>1</v>
      </c>
      <c r="BA998">
        <v>1</v>
      </c>
      <c r="BB998" t="s">
        <v>2841</v>
      </c>
      <c r="BC998">
        <v>6</v>
      </c>
      <c r="BD998" t="s">
        <v>2919</v>
      </c>
      <c r="BE998">
        <v>1</v>
      </c>
      <c r="BF998" s="232" t="s">
        <v>2846</v>
      </c>
      <c r="BG998" s="232" t="s">
        <v>2846</v>
      </c>
      <c r="BH998" s="253">
        <v>85.3</v>
      </c>
      <c r="BI998" s="253">
        <v>82.508901670775131</v>
      </c>
      <c r="BJ998" s="25">
        <v>34.648195692919714</v>
      </c>
      <c r="BK998" t="s">
        <v>379</v>
      </c>
      <c r="BL998">
        <v>45.826702162784535</v>
      </c>
      <c r="BM998" t="s">
        <v>384</v>
      </c>
      <c r="BN998" s="322">
        <v>47576.839849000004</v>
      </c>
      <c r="BO998" s="322">
        <v>762.58598300000006</v>
      </c>
      <c r="BP998" s="10">
        <v>27970</v>
      </c>
      <c r="BQ998" s="254">
        <f t="shared" si="419"/>
        <v>1.7009953467643906</v>
      </c>
      <c r="BR998" s="254">
        <f t="shared" si="420"/>
        <v>2.7264425563103326E-2</v>
      </c>
      <c r="BS998" s="25">
        <v>29.599827337205902</v>
      </c>
      <c r="BT998" s="25">
        <v>70.089968254170032</v>
      </c>
      <c r="BU998" s="25">
        <v>55.19</v>
      </c>
      <c r="BV998" s="25">
        <v>98.902808103126247</v>
      </c>
      <c r="BW998" s="25">
        <v>44.792665988965652</v>
      </c>
      <c r="BX998" s="25">
        <v>63.445650923625543</v>
      </c>
      <c r="BY998" s="25">
        <v>45.243869128957293</v>
      </c>
      <c r="BZ998">
        <v>97</v>
      </c>
      <c r="CA998">
        <v>0</v>
      </c>
      <c r="CB998">
        <v>7</v>
      </c>
      <c r="CC998">
        <v>181061.067041</v>
      </c>
      <c r="CD998" s="10">
        <v>24566.745226999999</v>
      </c>
      <c r="CE998" s="255">
        <v>0.13568209681122134</v>
      </c>
      <c r="CF998" t="str">
        <f>IFERROR(VLOOKUP(CE998,'Rangos amb etnico'!$A$2:$C$6,3,9),"N.D.")</f>
        <v>0,1% - 30%</v>
      </c>
      <c r="CG998" s="256">
        <v>7.147392270586574E-4</v>
      </c>
      <c r="CH998" s="232">
        <v>168072.31303799999</v>
      </c>
      <c r="CI998" s="311">
        <f t="shared" si="427"/>
        <v>0.92826313124478166</v>
      </c>
      <c r="CJ998" s="232" t="str">
        <f>IFERROR(VLOOKUP(CI998,'Rangos amb etnico'!$A$2:$C$6,3,9),"N.D.")</f>
        <v>71% - 100%</v>
      </c>
      <c r="CK998" s="311">
        <f t="shared" si="428"/>
        <v>6.6735712307376743E-3</v>
      </c>
      <c r="CL998" s="10">
        <v>0</v>
      </c>
      <c r="CM998" s="255">
        <f t="shared" si="429"/>
        <v>0</v>
      </c>
      <c r="CN998" s="232">
        <f>IFERROR(VLOOKUP(CM998,'Rangos amb etnico'!$A$2:$C$6,3,9),"N.D.")</f>
        <v>0</v>
      </c>
      <c r="CO998" s="311">
        <f t="shared" si="430"/>
        <v>0</v>
      </c>
      <c r="CP998">
        <v>0.94435294031578221</v>
      </c>
      <c r="CQ998" t="s">
        <v>2864</v>
      </c>
      <c r="CR998">
        <f t="shared" si="421"/>
        <v>1</v>
      </c>
      <c r="CS998" t="str">
        <f t="shared" si="431"/>
        <v>No es Candidato</v>
      </c>
      <c r="CT998">
        <v>0</v>
      </c>
      <c r="CU998">
        <v>0</v>
      </c>
      <c r="CV998" s="25">
        <v>37.634994506835938</v>
      </c>
      <c r="CW998" s="25">
        <v>8.8694725036621094</v>
      </c>
      <c r="CX998" s="25">
        <v>46.807018280029297</v>
      </c>
      <c r="CY998" s="25">
        <v>19.869377136230469</v>
      </c>
      <c r="CZ998" s="25">
        <v>12.389115333557131</v>
      </c>
      <c r="DA998" s="25">
        <v>92.576370239257813</v>
      </c>
      <c r="DB998" s="25">
        <v>45.298610687255859</v>
      </c>
      <c r="DC998">
        <v>24412</v>
      </c>
      <c r="DD998" s="253" t="s">
        <v>380</v>
      </c>
    </row>
    <row r="999" spans="1:108" hidden="1">
      <c r="A999" s="13">
        <v>13160</v>
      </c>
      <c r="B999" s="13" t="s">
        <v>2399</v>
      </c>
      <c r="C999" s="13" t="s">
        <v>480</v>
      </c>
      <c r="D999" s="13" t="s">
        <v>481</v>
      </c>
      <c r="E999" s="13" t="s">
        <v>2400</v>
      </c>
      <c r="F999" s="14">
        <v>59.067466666666697</v>
      </c>
      <c r="G999" s="13">
        <v>83.1</v>
      </c>
      <c r="H999" s="13">
        <v>80.05</v>
      </c>
      <c r="I999" s="13">
        <v>91.03</v>
      </c>
      <c r="J999" s="14">
        <v>62.576769567795125</v>
      </c>
      <c r="K999" s="14">
        <v>50.993422762052106</v>
      </c>
      <c r="L999" s="14">
        <v>53.24775754765718</v>
      </c>
      <c r="M999" s="14">
        <v>63.996400000000001</v>
      </c>
      <c r="N999" s="14">
        <f t="shared" si="405"/>
        <v>78.311866666666674</v>
      </c>
      <c r="O999" s="14">
        <f t="shared" si="406"/>
        <v>57.703587469376103</v>
      </c>
      <c r="P999" s="14">
        <f t="shared" si="422"/>
        <v>68.007727068021381</v>
      </c>
      <c r="Q999" s="14">
        <v>68.119327269522628</v>
      </c>
      <c r="R999" s="17">
        <f t="shared" si="407"/>
        <v>31.880672730477372</v>
      </c>
      <c r="S999" s="14">
        <f t="shared" si="423"/>
        <v>0.38692605457429641</v>
      </c>
      <c r="T999" s="13">
        <v>0</v>
      </c>
      <c r="U999" s="13">
        <f t="shared" si="424"/>
        <v>26.313961514995096</v>
      </c>
      <c r="V999" s="13">
        <f>IF($T999=1,$AU999,(VLOOKUP(U999,'Cortes naturales'!$A$35:$C$39,3,9)))</f>
        <v>4</v>
      </c>
      <c r="W999" s="13">
        <v>4</v>
      </c>
      <c r="X999" s="14" t="b">
        <f t="shared" si="408"/>
        <v>1</v>
      </c>
      <c r="Y999" s="17">
        <f>IF($T999=1,$AU999,VLOOKUP(U999,'Cortes naturales'!$A$45:$C$49,3,9))</f>
        <v>4</v>
      </c>
      <c r="Z999" s="14">
        <v>63.147597194751995</v>
      </c>
      <c r="AA999" s="14">
        <v>0.39223135764484851</v>
      </c>
      <c r="AB999" s="14">
        <v>24.768467779707603</v>
      </c>
      <c r="AC999" s="13">
        <v>4</v>
      </c>
      <c r="AD999" s="13">
        <f t="shared" si="409"/>
        <v>0</v>
      </c>
      <c r="AE999" s="14">
        <f t="shared" si="410"/>
        <v>4.8601298732693863</v>
      </c>
      <c r="AF999" s="14">
        <f t="shared" si="411"/>
        <v>-5.3053030705521032E-3</v>
      </c>
      <c r="AG999" s="13">
        <f t="shared" si="412"/>
        <v>1.5454937352874936</v>
      </c>
      <c r="AH999" s="13">
        <f>IF($T999=1,$AU999,VLOOKUP(U999,'Cortes naturales'!$A$25:$C$29,3,9))</f>
        <v>4</v>
      </c>
      <c r="AI999" s="13" t="b">
        <f t="shared" si="413"/>
        <v>1</v>
      </c>
      <c r="AJ999" s="13">
        <f t="shared" si="414"/>
        <v>0</v>
      </c>
      <c r="AK999" s="28">
        <v>0.6523467210059386</v>
      </c>
      <c r="AL999" s="28">
        <v>41.19412796940027</v>
      </c>
      <c r="AM999" s="28">
        <v>0.34466910635141551</v>
      </c>
      <c r="AN999" s="13">
        <v>4</v>
      </c>
      <c r="AO999" s="33">
        <f t="shared" si="415"/>
        <v>0</v>
      </c>
      <c r="AP999" s="13">
        <f t="shared" si="425"/>
        <v>34.466910635141552</v>
      </c>
      <c r="AQ999" s="13">
        <f>IFERROR(VLOOKUP(U999,'Cortes naturales'!$E$15:$G$19,3,9),U999)</f>
        <v>4</v>
      </c>
      <c r="AR999" s="28">
        <f t="shared" si="416"/>
        <v>-0.26542066643164219</v>
      </c>
      <c r="AS999" s="13" t="b">
        <f t="shared" si="417"/>
        <v>1</v>
      </c>
      <c r="AT999" s="13">
        <f t="shared" si="426"/>
        <v>0</v>
      </c>
      <c r="AU999" s="13">
        <v>4</v>
      </c>
      <c r="AV999">
        <f t="shared" si="418"/>
        <v>0</v>
      </c>
      <c r="AW999" s="13">
        <v>0</v>
      </c>
      <c r="AX999" s="13">
        <v>0</v>
      </c>
      <c r="AY999" s="13">
        <v>0</v>
      </c>
      <c r="AZ999" s="13">
        <v>1</v>
      </c>
      <c r="BA999">
        <v>1</v>
      </c>
      <c r="BB999" t="s">
        <v>2840</v>
      </c>
      <c r="BC999">
        <v>6</v>
      </c>
      <c r="BD999" t="s">
        <v>2919</v>
      </c>
      <c r="BE999">
        <v>0</v>
      </c>
      <c r="BF999" s="232" t="s">
        <v>2846</v>
      </c>
      <c r="BG999" s="232" t="s">
        <v>2846</v>
      </c>
      <c r="BH999" s="253">
        <v>50.6</v>
      </c>
      <c r="BI999" s="253">
        <v>39.351178353215012</v>
      </c>
      <c r="BJ999" s="25">
        <v>0</v>
      </c>
      <c r="BK999" t="s">
        <v>381</v>
      </c>
      <c r="BL999">
        <v>25.473051147611532</v>
      </c>
      <c r="BM999" t="s">
        <v>384</v>
      </c>
      <c r="BN999" s="322">
        <v>28094.990862999999</v>
      </c>
      <c r="BO999" s="322">
        <v>6507.1357170000001</v>
      </c>
      <c r="BP999" s="10">
        <v>8825</v>
      </c>
      <c r="BQ999" s="254">
        <f t="shared" si="419"/>
        <v>3.1835683697450423</v>
      </c>
      <c r="BR999" s="254">
        <f t="shared" si="420"/>
        <v>0.73735248917847029</v>
      </c>
      <c r="BS999" s="25">
        <v>65.954961037499643</v>
      </c>
      <c r="BT999" s="25">
        <v>87.769917712127338</v>
      </c>
      <c r="BU999" s="25">
        <v>30.459652014652001</v>
      </c>
      <c r="BV999" s="25">
        <v>84.084773335067425</v>
      </c>
      <c r="BW999" s="25">
        <v>49.026550114525101</v>
      </c>
      <c r="BX999" s="25">
        <v>67.067326024836603</v>
      </c>
      <c r="BY999" s="25">
        <v>48.806305849053828</v>
      </c>
      <c r="BZ999">
        <v>95</v>
      </c>
      <c r="CA999">
        <v>0</v>
      </c>
      <c r="CB999">
        <v>7</v>
      </c>
      <c r="CC999">
        <v>87958.754767999999</v>
      </c>
      <c r="CD999" s="10">
        <v>3770.8365699999999</v>
      </c>
      <c r="CE999" s="255">
        <v>4.2870508796378007E-2</v>
      </c>
      <c r="CF999" t="str">
        <f>IFERROR(VLOOKUP(CE999,'Rangos amb etnico'!$A$2:$C$6,3,9),"N.D.")</f>
        <v>0,1% - 30%</v>
      </c>
      <c r="CG999" s="256">
        <v>1.0970785061279534E-4</v>
      </c>
      <c r="CH999" s="232">
        <v>0</v>
      </c>
      <c r="CI999" s="311">
        <f t="shared" si="427"/>
        <v>0</v>
      </c>
      <c r="CJ999" s="232">
        <f>IFERROR(VLOOKUP(CI999,'Rangos amb etnico'!$A$2:$C$6,3,9),"N.D.")</f>
        <v>0</v>
      </c>
      <c r="CK999" s="311">
        <f t="shared" si="428"/>
        <v>0</v>
      </c>
      <c r="CL999" s="10">
        <v>13180.589890200001</v>
      </c>
      <c r="CM999" s="255">
        <f t="shared" si="429"/>
        <v>0.14984966448155301</v>
      </c>
      <c r="CN999" s="232" t="str">
        <f>IFERROR(VLOOKUP(CM999,'Rangos amb etnico'!$A$2:$C$6,3,9),"N.D.")</f>
        <v>0,1% - 30%</v>
      </c>
      <c r="CO999" s="311">
        <f t="shared" si="430"/>
        <v>8.2656394744140983E-3</v>
      </c>
      <c r="CP999">
        <v>0.8261746586037253</v>
      </c>
      <c r="CQ999" t="s">
        <v>2865</v>
      </c>
      <c r="CR999">
        <f t="shared" si="421"/>
        <v>3</v>
      </c>
      <c r="CS999" t="str">
        <f t="shared" si="431"/>
        <v>Candidato</v>
      </c>
      <c r="CT999">
        <v>0</v>
      </c>
      <c r="CU999">
        <v>0</v>
      </c>
      <c r="CV999" s="25">
        <v>34.302707672119141</v>
      </c>
      <c r="CW999" s="25">
        <v>22.14717864990234</v>
      </c>
      <c r="CX999" s="25">
        <v>45.835964202880859</v>
      </c>
      <c r="CY999" s="25">
        <v>54.915019989013672</v>
      </c>
      <c r="CZ999" s="25">
        <v>15.34081935882568</v>
      </c>
      <c r="DA999" s="25">
        <v>15.837211608886721</v>
      </c>
      <c r="DB999" s="25">
        <v>51.740043640136719</v>
      </c>
      <c r="DC999">
        <v>700</v>
      </c>
      <c r="DD999" s="253" t="s">
        <v>380</v>
      </c>
    </row>
    <row r="1000" spans="1:108">
      <c r="A1000" s="13">
        <v>5361</v>
      </c>
      <c r="B1000" s="13" t="s">
        <v>2401</v>
      </c>
      <c r="C1000" s="13" t="s">
        <v>435</v>
      </c>
      <c r="D1000" s="13" t="s">
        <v>436</v>
      </c>
      <c r="E1000" s="13" t="s">
        <v>2402</v>
      </c>
      <c r="F1000" s="14">
        <v>52.381466666666697</v>
      </c>
      <c r="G1000" s="13">
        <v>49.27</v>
      </c>
      <c r="H1000" s="13">
        <v>46</v>
      </c>
      <c r="I1000" s="13">
        <v>81.5</v>
      </c>
      <c r="J1000" s="14">
        <v>57.286715460255152</v>
      </c>
      <c r="K1000" s="14">
        <v>47.784090998759709</v>
      </c>
      <c r="L1000" s="14">
        <v>61.846637839438401</v>
      </c>
      <c r="M1000" s="14">
        <v>57.116700000000002</v>
      </c>
      <c r="N1000" s="14">
        <f t="shared" si="405"/>
        <v>57.287866666666673</v>
      </c>
      <c r="O1000" s="14">
        <f t="shared" si="406"/>
        <v>56.008536074613318</v>
      </c>
      <c r="P1000" s="14">
        <f t="shared" si="422"/>
        <v>56.648201370639995</v>
      </c>
      <c r="Q1000" s="14">
        <v>67.645453563761009</v>
      </c>
      <c r="R1000" s="17">
        <f t="shared" si="407"/>
        <v>32.354546436238991</v>
      </c>
      <c r="S1000" s="14">
        <f t="shared" si="423"/>
        <v>0.39119091792615091</v>
      </c>
      <c r="T1000" s="13">
        <v>0</v>
      </c>
      <c r="U1000" s="13">
        <f t="shared" si="424"/>
        <v>22.160261893046101</v>
      </c>
      <c r="V1000" s="13">
        <f>IF($T1000=1,$AU1000,(VLOOKUP(U1000,'Cortes naturales'!$A$35:$C$39,3,9)))</f>
        <v>4</v>
      </c>
      <c r="W1000" s="13">
        <v>4</v>
      </c>
      <c r="X1000" s="14" t="b">
        <f t="shared" si="408"/>
        <v>1</v>
      </c>
      <c r="Y1000" s="17">
        <f>IF($T1000=1,$AU1000,VLOOKUP(U1000,'Cortes naturales'!$A$45:$C$49,3,9))</f>
        <v>4</v>
      </c>
      <c r="Z1000" s="14">
        <v>51.101803780970236</v>
      </c>
      <c r="AA1000" s="14">
        <v>0.39298706040218523</v>
      </c>
      <c r="AB1000" s="14">
        <v>20.082347649132767</v>
      </c>
      <c r="AC1000" s="13">
        <v>5</v>
      </c>
      <c r="AD1000" s="13">
        <f t="shared" si="409"/>
        <v>1</v>
      </c>
      <c r="AE1000" s="14">
        <f t="shared" si="410"/>
        <v>5.546397589669759</v>
      </c>
      <c r="AF1000" s="14">
        <f t="shared" si="411"/>
        <v>-1.7961424760343236E-3</v>
      </c>
      <c r="AG1000" s="13">
        <f t="shared" si="412"/>
        <v>2.0779142439133338</v>
      </c>
      <c r="AH1000" s="13">
        <f>IF($T1000=1,$AU1000,VLOOKUP(U1000,'Cortes naturales'!$A$25:$C$29,3,9))</f>
        <v>4</v>
      </c>
      <c r="AI1000" s="13" t="b">
        <f t="shared" si="413"/>
        <v>1</v>
      </c>
      <c r="AJ1000" s="13" t="str">
        <f t="shared" si="414"/>
        <v>Efecto ponderador</v>
      </c>
      <c r="AK1000" s="28">
        <v>0.6523467210059386</v>
      </c>
      <c r="AL1000" s="28">
        <v>33.33609413400481</v>
      </c>
      <c r="AM1000" s="28">
        <v>0.24637338621904264</v>
      </c>
      <c r="AN1000" s="13">
        <v>4</v>
      </c>
      <c r="AO1000" s="33">
        <f t="shared" si="415"/>
        <v>0</v>
      </c>
      <c r="AP1000" s="13">
        <f t="shared" si="425"/>
        <v>24.637338621904263</v>
      </c>
      <c r="AQ1000" s="13">
        <f>IFERROR(VLOOKUP(U1000,'Cortes naturales'!$E$15:$G$19,3,9),U1000)</f>
        <v>4</v>
      </c>
      <c r="AR1000" s="28">
        <f t="shared" si="416"/>
        <v>-0.2611558030797877</v>
      </c>
      <c r="AS1000" s="13" t="b">
        <f t="shared" si="417"/>
        <v>1</v>
      </c>
      <c r="AT1000" s="13">
        <f t="shared" si="426"/>
        <v>0</v>
      </c>
      <c r="AU1000" s="13">
        <v>4</v>
      </c>
      <c r="AV1000">
        <f t="shared" si="418"/>
        <v>0</v>
      </c>
      <c r="AW1000" s="13">
        <v>0</v>
      </c>
      <c r="AX1000" s="13">
        <v>0</v>
      </c>
      <c r="AY1000" s="13">
        <v>0</v>
      </c>
      <c r="AZ1000" s="13">
        <v>1</v>
      </c>
      <c r="BA1000">
        <v>1</v>
      </c>
      <c r="BB1000" t="s">
        <v>2840</v>
      </c>
      <c r="BC1000">
        <v>6</v>
      </c>
      <c r="BD1000" t="s">
        <v>2919</v>
      </c>
      <c r="BE1000">
        <v>1</v>
      </c>
      <c r="BF1000" s="232" t="s">
        <v>2846</v>
      </c>
      <c r="BG1000" s="232" t="s">
        <v>2845</v>
      </c>
      <c r="BH1000" s="253">
        <v>57.6</v>
      </c>
      <c r="BI1000" s="253">
        <v>35.710025483923438</v>
      </c>
      <c r="BJ1000" s="25">
        <v>61.31695261010173</v>
      </c>
      <c r="BK1000" t="s">
        <v>376</v>
      </c>
      <c r="BL1000">
        <v>40.522294685045033</v>
      </c>
      <c r="BM1000" t="s">
        <v>384</v>
      </c>
      <c r="BN1000" s="322">
        <v>65263.823079000002</v>
      </c>
      <c r="BO1000" s="322">
        <v>5921.0184159999999</v>
      </c>
      <c r="BP1000" s="10">
        <v>29342</v>
      </c>
      <c r="BQ1000" s="254">
        <f t="shared" si="419"/>
        <v>2.2242458959511962</v>
      </c>
      <c r="BR1000" s="254">
        <f t="shared" si="420"/>
        <v>0.20179327980369435</v>
      </c>
      <c r="BS1000" s="25">
        <v>46.656743687245161</v>
      </c>
      <c r="BT1000" s="25">
        <v>85.910183741167387</v>
      </c>
      <c r="BU1000" s="25">
        <v>63.525185328434198</v>
      </c>
      <c r="BV1000" s="25">
        <v>92.743763337875677</v>
      </c>
      <c r="BW1000" s="25">
        <v>47.912640030699229</v>
      </c>
      <c r="BX1000" s="25">
        <v>72.208969023680609</v>
      </c>
      <c r="BY1000" s="25">
        <v>48.388308667206509</v>
      </c>
      <c r="BZ1000">
        <v>99</v>
      </c>
      <c r="CA1000">
        <v>1</v>
      </c>
      <c r="CB1000">
        <v>6</v>
      </c>
      <c r="CC1000">
        <v>284092.64165399998</v>
      </c>
      <c r="CD1000" s="10">
        <v>151173.26573000001</v>
      </c>
      <c r="CE1000" s="255">
        <v>0.53212665013026228</v>
      </c>
      <c r="CF1000" t="str">
        <f>IFERROR(VLOOKUP(CE1000,'Rangos amb etnico'!$A$2:$C$6,3,9),"N.D.")</f>
        <v>51% - 70%</v>
      </c>
      <c r="CG1000" s="256">
        <v>4.398200172688803E-3</v>
      </c>
      <c r="CH1000" s="232">
        <v>10164.131345</v>
      </c>
      <c r="CI1000" s="311">
        <f t="shared" si="427"/>
        <v>3.5777524140801306E-2</v>
      </c>
      <c r="CJ1000" s="232" t="str">
        <f>IFERROR(VLOOKUP(CI1000,'Rangos amb etnico'!$A$2:$C$6,3,9),"N.D.")</f>
        <v>0,1% - 30%</v>
      </c>
      <c r="CK1000" s="311">
        <f t="shared" si="428"/>
        <v>4.0358256100214967E-4</v>
      </c>
      <c r="CL1000" s="10">
        <v>0</v>
      </c>
      <c r="CM1000" s="255">
        <f t="shared" si="429"/>
        <v>0</v>
      </c>
      <c r="CN1000" s="232">
        <f>IFERROR(VLOOKUP(CM1000,'Rangos amb etnico'!$A$2:$C$6,3,9),"N.D.")</f>
        <v>0</v>
      </c>
      <c r="CO1000" s="311">
        <f t="shared" si="430"/>
        <v>0</v>
      </c>
      <c r="CP1000">
        <v>0.90834497954550319</v>
      </c>
      <c r="CQ1000" t="s">
        <v>2864</v>
      </c>
      <c r="CR1000">
        <f t="shared" si="421"/>
        <v>2</v>
      </c>
      <c r="CS1000" t="str">
        <f t="shared" si="431"/>
        <v>No es Candidato</v>
      </c>
      <c r="CT1000">
        <v>0</v>
      </c>
      <c r="CU1000">
        <v>0</v>
      </c>
      <c r="CV1000" s="25">
        <v>35.169353485107422</v>
      </c>
      <c r="CW1000" s="25">
        <v>16.802768707275391</v>
      </c>
      <c r="CX1000" s="25">
        <v>31.78225135803223</v>
      </c>
      <c r="CY1000" s="25">
        <v>36.894233703613281</v>
      </c>
      <c r="CZ1000" s="25">
        <v>27.822587966918949</v>
      </c>
      <c r="DA1000" s="25">
        <v>49.464248657226563</v>
      </c>
      <c r="DB1000" s="25">
        <v>48.250022888183587</v>
      </c>
      <c r="DC1000">
        <v>1031</v>
      </c>
      <c r="DD1000" s="253" t="s">
        <v>380</v>
      </c>
    </row>
    <row r="1001" spans="1:108" hidden="1">
      <c r="A1001" s="13">
        <v>85300</v>
      </c>
      <c r="B1001" s="13" t="s">
        <v>2403</v>
      </c>
      <c r="C1001" s="13" t="s">
        <v>1351</v>
      </c>
      <c r="D1001" s="13" t="s">
        <v>1352</v>
      </c>
      <c r="E1001" s="13" t="s">
        <v>634</v>
      </c>
      <c r="F1001" s="14">
        <v>86.469433333333299</v>
      </c>
      <c r="G1001" s="13">
        <v>68.14</v>
      </c>
      <c r="H1001" s="13">
        <v>79.790000000000006</v>
      </c>
      <c r="I1001" s="13">
        <v>79.64</v>
      </c>
      <c r="J1001" s="14">
        <v>62.843964910831168</v>
      </c>
      <c r="K1001" s="14">
        <v>62.064837128559979</v>
      </c>
      <c r="L1001" s="14">
        <v>65.411120093209249</v>
      </c>
      <c r="M1001" s="14">
        <v>61.536900000000003</v>
      </c>
      <c r="N1001" s="14">
        <f t="shared" si="405"/>
        <v>78.509858333333327</v>
      </c>
      <c r="O1001" s="14">
        <f t="shared" si="406"/>
        <v>62.9642055331501</v>
      </c>
      <c r="P1001" s="14">
        <f t="shared" si="422"/>
        <v>70.73703193324171</v>
      </c>
      <c r="Q1001" s="14">
        <v>68.759731295569537</v>
      </c>
      <c r="R1001" s="17">
        <f t="shared" si="407"/>
        <v>31.240268704430463</v>
      </c>
      <c r="S1001" s="14">
        <f t="shared" si="423"/>
        <v>0.38116241833987419</v>
      </c>
      <c r="T1001" s="13">
        <v>0</v>
      </c>
      <c r="U1001" s="13">
        <f t="shared" si="424"/>
        <v>26.962298157859315</v>
      </c>
      <c r="V1001" s="13">
        <f>IF($T1001=1,$AU1001,(VLOOKUP(U1001,'Cortes naturales'!$A$35:$C$39,3,9)))</f>
        <v>4</v>
      </c>
      <c r="W1001" s="13">
        <v>4</v>
      </c>
      <c r="X1001" s="14" t="b">
        <f t="shared" si="408"/>
        <v>1</v>
      </c>
      <c r="Y1001" s="17">
        <f>IF($T1001=1,$AU1001,VLOOKUP(U1001,'Cortes naturales'!$A$45:$C$49,3,9))</f>
        <v>4</v>
      </c>
      <c r="Z1001" s="14">
        <v>71.036793927843888</v>
      </c>
      <c r="AA1001" s="14">
        <v>0.38839308005216511</v>
      </c>
      <c r="AB1001" s="14">
        <v>27.590199190666226</v>
      </c>
      <c r="AC1001" s="13">
        <v>4</v>
      </c>
      <c r="AD1001" s="13">
        <f t="shared" si="409"/>
        <v>0</v>
      </c>
      <c r="AE1001" s="14">
        <f t="shared" si="410"/>
        <v>-0.29976199460217856</v>
      </c>
      <c r="AF1001" s="14">
        <f t="shared" si="411"/>
        <v>-7.23066171229092E-3</v>
      </c>
      <c r="AG1001" s="13">
        <f t="shared" si="412"/>
        <v>-0.62790103280691056</v>
      </c>
      <c r="AH1001" s="13">
        <f>IF($T1001=1,$AU1001,VLOOKUP(U1001,'Cortes naturales'!$A$25:$C$29,3,9))</f>
        <v>4</v>
      </c>
      <c r="AI1001" s="13" t="b">
        <f t="shared" si="413"/>
        <v>1</v>
      </c>
      <c r="AJ1001" s="13">
        <f t="shared" si="414"/>
        <v>0</v>
      </c>
      <c r="AK1001" s="28">
        <v>0.6523467210059386</v>
      </c>
      <c r="AL1001" s="28">
        <v>46.340619589603527</v>
      </c>
      <c r="AM1001" s="28">
        <v>0.40904629160664324</v>
      </c>
      <c r="AN1001" s="13">
        <v>3</v>
      </c>
      <c r="AO1001" s="33">
        <f t="shared" si="415"/>
        <v>-1</v>
      </c>
      <c r="AP1001" s="13">
        <f t="shared" si="425"/>
        <v>40.904629160664321</v>
      </c>
      <c r="AQ1001" s="13">
        <f>IFERROR(VLOOKUP(U1001,'Cortes naturales'!$E$15:$G$19,3,9),U1001)</f>
        <v>4</v>
      </c>
      <c r="AR1001" s="28">
        <f t="shared" si="416"/>
        <v>-0.27118430266606441</v>
      </c>
      <c r="AS1001" s="13" t="b">
        <f t="shared" si="417"/>
        <v>1</v>
      </c>
      <c r="AT1001" s="13" t="str">
        <f t="shared" si="426"/>
        <v>Efecto ponderador</v>
      </c>
      <c r="AU1001" s="13">
        <v>3</v>
      </c>
      <c r="AV1001">
        <f t="shared" si="418"/>
        <v>-1</v>
      </c>
      <c r="AW1001" s="13">
        <v>0</v>
      </c>
      <c r="AX1001" s="13">
        <v>0</v>
      </c>
      <c r="AY1001" s="13">
        <v>0</v>
      </c>
      <c r="AZ1001" s="13">
        <v>0</v>
      </c>
      <c r="BA1001">
        <v>1</v>
      </c>
      <c r="BB1001" t="s">
        <v>2840</v>
      </c>
      <c r="BC1001">
        <v>6</v>
      </c>
      <c r="BD1001" t="s">
        <v>2919</v>
      </c>
      <c r="BE1001">
        <v>0</v>
      </c>
      <c r="BF1001" s="232" t="s">
        <v>2846</v>
      </c>
      <c r="BG1001" s="232" t="s">
        <v>2846</v>
      </c>
      <c r="BH1001" s="253">
        <v>34.200000000000003</v>
      </c>
      <c r="BI1001" s="253">
        <v>11.78036605657238</v>
      </c>
      <c r="BJ1001" s="25">
        <v>1.7658333333333334</v>
      </c>
      <c r="BK1001" t="s">
        <v>381</v>
      </c>
      <c r="BL1001">
        <v>0</v>
      </c>
      <c r="BM1001" t="s">
        <v>377</v>
      </c>
      <c r="BN1001" s="322">
        <v>27111.817053999999</v>
      </c>
      <c r="BO1001" s="322">
        <v>11370.314913</v>
      </c>
      <c r="BP1001" s="10">
        <v>3836</v>
      </c>
      <c r="BQ1001" s="254">
        <f t="shared" si="419"/>
        <v>7.0677312445255476</v>
      </c>
      <c r="BR1001" s="254">
        <f t="shared" si="420"/>
        <v>2.964107120177268</v>
      </c>
      <c r="BS1001" s="25">
        <v>54.314423108977557</v>
      </c>
      <c r="BT1001" s="25">
        <v>87.983432926659717</v>
      </c>
      <c r="BU1001" s="25">
        <v>42.615948905109462</v>
      </c>
      <c r="BV1001" s="25">
        <v>96.106546447986489</v>
      </c>
      <c r="BW1001" s="25">
        <v>65.985475853282267</v>
      </c>
      <c r="BX1001" s="25">
        <v>70.255087847183304</v>
      </c>
      <c r="BY1001" s="25">
        <v>68.941032608314117</v>
      </c>
      <c r="BZ1001">
        <v>41</v>
      </c>
      <c r="CA1001">
        <v>0</v>
      </c>
      <c r="CB1001">
        <v>7</v>
      </c>
      <c r="CC1001">
        <v>40015.819687000003</v>
      </c>
      <c r="CD1001" s="10">
        <v>163.83066700000001</v>
      </c>
      <c r="CE1001" s="255">
        <v>4.0941474717116422E-3</v>
      </c>
      <c r="CF1001" t="str">
        <f>IFERROR(VLOOKUP(CE1001,'Rangos amb etnico'!$A$2:$C$6,3,9),"N.D.")</f>
        <v>0,1% - 30%</v>
      </c>
      <c r="CG1001" s="256">
        <v>4.7664516897985373E-6</v>
      </c>
      <c r="CH1001" s="232">
        <v>0</v>
      </c>
      <c r="CI1001" s="311">
        <f t="shared" si="427"/>
        <v>0</v>
      </c>
      <c r="CJ1001" s="232">
        <f>IFERROR(VLOOKUP(CI1001,'Rangos amb etnico'!$A$2:$C$6,3,9),"N.D.")</f>
        <v>0</v>
      </c>
      <c r="CK1001" s="311">
        <f t="shared" si="428"/>
        <v>0</v>
      </c>
      <c r="CL1001" s="10">
        <v>0</v>
      </c>
      <c r="CM1001" s="255">
        <f t="shared" si="429"/>
        <v>0</v>
      </c>
      <c r="CN1001" s="232">
        <f>IFERROR(VLOOKUP(CM1001,'Rangos amb etnico'!$A$2:$C$6,3,9),"N.D.")</f>
        <v>0</v>
      </c>
      <c r="CO1001" s="311">
        <f t="shared" si="430"/>
        <v>0</v>
      </c>
      <c r="CP1001">
        <v>0.90799223314483357</v>
      </c>
      <c r="CQ1001" t="s">
        <v>2864</v>
      </c>
      <c r="CR1001">
        <f t="shared" si="421"/>
        <v>4</v>
      </c>
      <c r="CS1001" t="str">
        <f t="shared" si="431"/>
        <v>Candidato</v>
      </c>
      <c r="CT1001">
        <v>0</v>
      </c>
      <c r="CU1001">
        <v>0</v>
      </c>
      <c r="CV1001" s="25">
        <v>54.828197479248047</v>
      </c>
      <c r="CW1001" s="25">
        <v>16.135959625244141</v>
      </c>
      <c r="CX1001" s="25">
        <v>52.125312805175781</v>
      </c>
      <c r="CY1001" s="25">
        <v>64.513717651367188</v>
      </c>
      <c r="CZ1001" s="25">
        <v>37.706043243408203</v>
      </c>
      <c r="DA1001" s="25">
        <v>90.090385437011719</v>
      </c>
      <c r="DB1001" s="25">
        <v>68.397773742675781</v>
      </c>
      <c r="DC1001">
        <v>23</v>
      </c>
      <c r="DD1001" s="253" t="s">
        <v>380</v>
      </c>
    </row>
    <row r="1002" spans="1:108" hidden="1">
      <c r="A1002" s="13">
        <v>18785</v>
      </c>
      <c r="B1002" s="13" t="s">
        <v>2404</v>
      </c>
      <c r="C1002" s="13" t="s">
        <v>1463</v>
      </c>
      <c r="D1002" s="13" t="s">
        <v>1464</v>
      </c>
      <c r="E1002" s="13" t="s">
        <v>2405</v>
      </c>
      <c r="F1002" s="14">
        <v>52.433333333333302</v>
      </c>
      <c r="G1002" s="13">
        <v>53.39</v>
      </c>
      <c r="H1002" s="13">
        <v>51.35</v>
      </c>
      <c r="I1002" s="13">
        <v>68.709999999999994</v>
      </c>
      <c r="J1002" s="14">
        <v>25.806935640544477</v>
      </c>
      <c r="K1002" s="14">
        <v>46.229873459241489</v>
      </c>
      <c r="L1002" s="14">
        <v>48.313059388336299</v>
      </c>
      <c r="M1002" s="14">
        <v>59.379899999999999</v>
      </c>
      <c r="N1002" s="14">
        <f t="shared" si="405"/>
        <v>56.470833333333317</v>
      </c>
      <c r="O1002" s="14">
        <f t="shared" si="406"/>
        <v>44.932442122030565</v>
      </c>
      <c r="P1002" s="14">
        <f t="shared" si="422"/>
        <v>50.701637727681941</v>
      </c>
      <c r="Q1002" s="14">
        <v>68.063563103172115</v>
      </c>
      <c r="R1002" s="17">
        <f t="shared" si="407"/>
        <v>31.936436896827885</v>
      </c>
      <c r="S1002" s="14">
        <f t="shared" si="423"/>
        <v>0.38742793207145099</v>
      </c>
      <c r="T1002" s="13">
        <v>0</v>
      </c>
      <c r="U1002" s="13">
        <f t="shared" si="424"/>
        <v>19.643230657471676</v>
      </c>
      <c r="V1002" s="13">
        <f>IF($T1002=1,$AU1002,(VLOOKUP(U1002,'Cortes naturales'!$A$35:$C$39,3,9)))</f>
        <v>5</v>
      </c>
      <c r="W1002" s="13">
        <v>5</v>
      </c>
      <c r="X1002" s="14" t="b">
        <f t="shared" si="408"/>
        <v>1</v>
      </c>
      <c r="Y1002" s="17">
        <f>IF($T1002=1,$AU1002,VLOOKUP(U1002,'Cortes naturales'!$A$45:$C$49,3,9))</f>
        <v>5</v>
      </c>
      <c r="Z1002" s="14">
        <v>46.300042027560465</v>
      </c>
      <c r="AA1002" s="14">
        <v>0.38922420445222483</v>
      </c>
      <c r="AB1002" s="14">
        <v>18.021097024281797</v>
      </c>
      <c r="AC1002" s="13">
        <v>5</v>
      </c>
      <c r="AD1002" s="13">
        <f t="shared" si="409"/>
        <v>0</v>
      </c>
      <c r="AE1002" s="14">
        <f t="shared" si="410"/>
        <v>4.4015957001214758</v>
      </c>
      <c r="AF1002" s="14">
        <f t="shared" si="411"/>
        <v>-1.7962723807738445E-3</v>
      </c>
      <c r="AG1002" s="13">
        <f t="shared" si="412"/>
        <v>1.622133633189879</v>
      </c>
      <c r="AH1002" s="13">
        <f>IF($T1002=1,$AU1002,VLOOKUP(U1002,'Cortes naturales'!$A$25:$C$29,3,9))</f>
        <v>5</v>
      </c>
      <c r="AI1002" s="13" t="b">
        <f t="shared" si="413"/>
        <v>1</v>
      </c>
      <c r="AJ1002" s="13">
        <f t="shared" si="414"/>
        <v>0</v>
      </c>
      <c r="AK1002" s="28">
        <v>0.6523467210059386</v>
      </c>
      <c r="AL1002" s="28">
        <v>30.203680599116218</v>
      </c>
      <c r="AM1002" s="28">
        <v>0.2071901947726838</v>
      </c>
      <c r="AN1002" s="13">
        <v>4</v>
      </c>
      <c r="AO1002" s="33">
        <f t="shared" si="415"/>
        <v>-1</v>
      </c>
      <c r="AP1002" s="13">
        <f t="shared" si="425"/>
        <v>20.719019477268379</v>
      </c>
      <c r="AQ1002" s="13">
        <f>IFERROR(VLOOKUP(U1002,'Cortes naturales'!$E$15:$G$19,3,9),U1002)</f>
        <v>4</v>
      </c>
      <c r="AR1002" s="28">
        <f t="shared" si="416"/>
        <v>-0.26491878893448761</v>
      </c>
      <c r="AS1002" s="13" t="b">
        <f t="shared" si="417"/>
        <v>0</v>
      </c>
      <c r="AT1002" s="13" t="str">
        <f t="shared" si="426"/>
        <v>Cambio en corte</v>
      </c>
      <c r="AU1002" s="13">
        <v>4</v>
      </c>
      <c r="AV1002">
        <f t="shared" si="418"/>
        <v>-1</v>
      </c>
      <c r="AW1002" s="13">
        <v>0</v>
      </c>
      <c r="AX1002" s="13">
        <v>0</v>
      </c>
      <c r="AY1002" s="13">
        <v>0</v>
      </c>
      <c r="AZ1002" s="13">
        <v>1</v>
      </c>
      <c r="BA1002">
        <v>1</v>
      </c>
      <c r="BB1002" t="s">
        <v>2840</v>
      </c>
      <c r="BC1002">
        <v>6</v>
      </c>
      <c r="BD1002" t="s">
        <v>2919</v>
      </c>
      <c r="BE1002">
        <v>1</v>
      </c>
      <c r="BF1002" s="232" t="s">
        <v>2846</v>
      </c>
      <c r="BG1002" s="232" t="s">
        <v>2846</v>
      </c>
      <c r="BH1002" s="253">
        <v>58.1</v>
      </c>
      <c r="BI1002" s="253">
        <v>27.279664250286149</v>
      </c>
      <c r="BJ1002" s="25">
        <v>10.457142857142857</v>
      </c>
      <c r="BK1002" t="s">
        <v>377</v>
      </c>
      <c r="BL1002">
        <v>67.719090452010249</v>
      </c>
      <c r="BM1002" t="s">
        <v>384</v>
      </c>
      <c r="BN1002" s="322">
        <v>30118.940231</v>
      </c>
      <c r="BO1002" s="322">
        <v>1765.2149730000001</v>
      </c>
      <c r="BP1002" s="10">
        <v>6398</v>
      </c>
      <c r="BQ1002" s="254">
        <f t="shared" si="419"/>
        <v>4.7075555221944354</v>
      </c>
      <c r="BR1002" s="254">
        <f t="shared" si="420"/>
        <v>0.27590105861206626</v>
      </c>
      <c r="BS1002" s="25">
        <v>55.639782390407909</v>
      </c>
      <c r="BT1002" s="25">
        <v>98.997493333333338</v>
      </c>
      <c r="BU1002" s="25">
        <v>29.503063063063031</v>
      </c>
      <c r="BV1002" s="25">
        <v>91.472940070483801</v>
      </c>
      <c r="BW1002" s="25">
        <v>55.076712243978477</v>
      </c>
      <c r="BX1002" s="25">
        <v>68.903319714322024</v>
      </c>
      <c r="BY1002" s="25">
        <v>56.381020555102403</v>
      </c>
      <c r="BZ1002">
        <v>81</v>
      </c>
      <c r="CA1002">
        <v>0</v>
      </c>
      <c r="CB1002">
        <v>7</v>
      </c>
      <c r="CC1002">
        <v>47683.005818999998</v>
      </c>
      <c r="CD1002" s="10">
        <v>1716.5944059999999</v>
      </c>
      <c r="CE1002" s="255">
        <v>3.6000129952294187E-2</v>
      </c>
      <c r="CF1002" t="str">
        <f>IFERROR(VLOOKUP(CE1002,'Rangos amb etnico'!$A$2:$C$6,3,9),"N.D.")</f>
        <v>0,1% - 30%</v>
      </c>
      <c r="CG1002" s="256">
        <v>4.9942202256781483E-5</v>
      </c>
      <c r="CH1002" s="232">
        <v>330.13518800000003</v>
      </c>
      <c r="CI1002" s="311">
        <f t="shared" si="427"/>
        <v>6.923539788015058E-3</v>
      </c>
      <c r="CJ1002" s="232" t="str">
        <f>IFERROR(VLOOKUP(CI1002,'Rangos amb etnico'!$A$2:$C$6,3,9),"N.D.")</f>
        <v>0,1% - 30%</v>
      </c>
      <c r="CK1002" s="311">
        <f t="shared" si="428"/>
        <v>1.3108528424862278E-5</v>
      </c>
      <c r="CL1002" s="10">
        <v>0</v>
      </c>
      <c r="CM1002" s="255">
        <f t="shared" si="429"/>
        <v>0</v>
      </c>
      <c r="CN1002" s="232">
        <f>IFERROR(VLOOKUP(CM1002,'Rangos amb etnico'!$A$2:$C$6,3,9),"N.D.")</f>
        <v>0</v>
      </c>
      <c r="CO1002" s="311">
        <f t="shared" si="430"/>
        <v>0</v>
      </c>
      <c r="CP1002">
        <v>0.93414897669345986</v>
      </c>
      <c r="CQ1002" t="s">
        <v>2864</v>
      </c>
      <c r="CR1002">
        <f t="shared" si="421"/>
        <v>2</v>
      </c>
      <c r="CS1002" t="str">
        <f t="shared" si="431"/>
        <v>No es Candidato</v>
      </c>
      <c r="CT1002">
        <v>0</v>
      </c>
      <c r="CU1002">
        <v>0</v>
      </c>
      <c r="CV1002" s="25">
        <v>37.701663970947273</v>
      </c>
      <c r="CW1002" s="25">
        <v>14.490425109863279</v>
      </c>
      <c r="CX1002" s="25">
        <v>28.512821197509769</v>
      </c>
      <c r="CY1002" s="25">
        <v>50.244895935058587</v>
      </c>
      <c r="CZ1002" s="25">
        <v>34.454036712646477</v>
      </c>
      <c r="DA1002" s="25">
        <v>56.45050048828125</v>
      </c>
      <c r="DB1002" s="25">
        <v>42.057292938232422</v>
      </c>
      <c r="DC1002">
        <v>437</v>
      </c>
      <c r="DD1002" s="253" t="s">
        <v>380</v>
      </c>
    </row>
    <row r="1003" spans="1:108" hidden="1">
      <c r="A1003" s="13">
        <v>15135</v>
      </c>
      <c r="B1003" s="13" t="s">
        <v>2406</v>
      </c>
      <c r="C1003" s="13" t="s">
        <v>498</v>
      </c>
      <c r="D1003" s="13" t="s">
        <v>499</v>
      </c>
      <c r="E1003" s="13" t="s">
        <v>2407</v>
      </c>
      <c r="F1003" s="14">
        <v>59.122633333333297</v>
      </c>
      <c r="G1003" s="13">
        <v>26.94</v>
      </c>
      <c r="H1003" s="13">
        <v>18.38</v>
      </c>
      <c r="I1003" s="13">
        <v>38.25</v>
      </c>
      <c r="J1003" s="14">
        <v>73.086492652283212</v>
      </c>
      <c r="K1003" s="14">
        <v>61.007520164554165</v>
      </c>
      <c r="L1003" s="14">
        <v>71.918137861970649</v>
      </c>
      <c r="M1003" s="14">
        <v>68.574200000000005</v>
      </c>
      <c r="N1003" s="14">
        <f t="shared" si="405"/>
        <v>35.673158333333319</v>
      </c>
      <c r="O1003" s="14">
        <f t="shared" si="406"/>
        <v>68.646587669702015</v>
      </c>
      <c r="P1003" s="14">
        <f t="shared" si="422"/>
        <v>52.159873001517667</v>
      </c>
      <c r="Q1003" s="14">
        <v>68.637966791287468</v>
      </c>
      <c r="R1003" s="17">
        <f t="shared" si="407"/>
        <v>31.362033208712532</v>
      </c>
      <c r="S1003" s="14">
        <f t="shared" si="423"/>
        <v>0.38225829887841278</v>
      </c>
      <c r="T1003" s="13">
        <v>0</v>
      </c>
      <c r="U1003" s="13">
        <f t="shared" si="424"/>
        <v>19.938544323274193</v>
      </c>
      <c r="V1003" s="13">
        <f>IF($T1003=1,$AU1003,(VLOOKUP(U1003,'Cortes naturales'!$A$35:$C$39,3,9)))</f>
        <v>5</v>
      </c>
      <c r="W1003" s="13">
        <v>5</v>
      </c>
      <c r="X1003" s="14" t="b">
        <f t="shared" si="408"/>
        <v>1</v>
      </c>
      <c r="Y1003" s="17">
        <f>IF($T1003=1,$AU1003,VLOOKUP(U1003,'Cortes naturales'!$A$45:$C$49,3,9))</f>
        <v>5</v>
      </c>
      <c r="Z1003" s="14">
        <v>53.289621050314977</v>
      </c>
      <c r="AA1003" s="14">
        <v>0.38805338823663582</v>
      </c>
      <c r="AB1003" s="14">
        <v>20.679218006421078</v>
      </c>
      <c r="AC1003" s="13">
        <v>4</v>
      </c>
      <c r="AD1003" s="13">
        <f t="shared" si="409"/>
        <v>-1</v>
      </c>
      <c r="AE1003" s="14">
        <f t="shared" si="410"/>
        <v>-1.1297480487973104</v>
      </c>
      <c r="AF1003" s="14">
        <f t="shared" si="411"/>
        <v>-5.7950893582230378E-3</v>
      </c>
      <c r="AG1003" s="13">
        <f t="shared" si="412"/>
        <v>-0.74067368314688409</v>
      </c>
      <c r="AH1003" s="13">
        <f>IF($T1003=1,$AU1003,VLOOKUP(U1003,'Cortes naturales'!$A$25:$C$29,3,9))</f>
        <v>5</v>
      </c>
      <c r="AI1003" s="13" t="b">
        <f t="shared" si="413"/>
        <v>1</v>
      </c>
      <c r="AJ1003" s="13" t="str">
        <f t="shared" si="414"/>
        <v>Efecto ponderador</v>
      </c>
      <c r="AK1003" s="28">
        <v>0.6523467210059386</v>
      </c>
      <c r="AL1003" s="28">
        <v>34.763309555822019</v>
      </c>
      <c r="AM1003" s="28">
        <v>0.26422634671911549</v>
      </c>
      <c r="AN1003" s="13">
        <v>4</v>
      </c>
      <c r="AO1003" s="33">
        <f t="shared" si="415"/>
        <v>-1</v>
      </c>
      <c r="AP1003" s="13">
        <f t="shared" si="425"/>
        <v>26.422634671911549</v>
      </c>
      <c r="AQ1003" s="13">
        <f>IFERROR(VLOOKUP(U1003,'Cortes naturales'!$E$15:$G$19,3,9),U1003)</f>
        <v>4</v>
      </c>
      <c r="AR1003" s="28">
        <f t="shared" si="416"/>
        <v>-0.27008842212752582</v>
      </c>
      <c r="AS1003" s="13" t="b">
        <f t="shared" si="417"/>
        <v>0</v>
      </c>
      <c r="AT1003" s="13" t="str">
        <f t="shared" si="426"/>
        <v>Cambio en corte</v>
      </c>
      <c r="AU1003" s="13">
        <v>3</v>
      </c>
      <c r="AV1003">
        <f t="shared" si="418"/>
        <v>-2</v>
      </c>
      <c r="AW1003" s="13">
        <v>0</v>
      </c>
      <c r="AX1003" s="13">
        <v>0</v>
      </c>
      <c r="AY1003" s="13">
        <v>0</v>
      </c>
      <c r="AZ1003" s="13">
        <v>0</v>
      </c>
      <c r="BA1003">
        <v>0</v>
      </c>
      <c r="BB1003" t="s">
        <v>2841</v>
      </c>
      <c r="BC1003">
        <v>6</v>
      </c>
      <c r="BD1003" t="s">
        <v>2919</v>
      </c>
      <c r="BE1003">
        <v>0</v>
      </c>
      <c r="BF1003" s="232" t="s">
        <v>2846</v>
      </c>
      <c r="BG1003" s="232" t="s">
        <v>2846</v>
      </c>
      <c r="BH1003" s="253">
        <v>52.3</v>
      </c>
      <c r="BI1003" s="253">
        <v>20.739371534195932</v>
      </c>
      <c r="BJ1003" s="25">
        <v>10.969347276952611</v>
      </c>
      <c r="BK1003" t="s">
        <v>377</v>
      </c>
      <c r="BL1003">
        <v>0</v>
      </c>
      <c r="BM1003" t="s">
        <v>377</v>
      </c>
      <c r="BN1003" s="322">
        <v>18770.076932</v>
      </c>
      <c r="BO1003" s="322">
        <v>4402.6908549999998</v>
      </c>
      <c r="BP1003" s="10">
        <v>3186</v>
      </c>
      <c r="BQ1003" s="254">
        <f t="shared" si="419"/>
        <v>5.8914240213433775</v>
      </c>
      <c r="BR1003" s="254">
        <f t="shared" si="420"/>
        <v>1.3818866462649089</v>
      </c>
      <c r="BS1003" s="25">
        <v>60.537983615585851</v>
      </c>
      <c r="BT1003" s="25">
        <v>84.128479501987869</v>
      </c>
      <c r="BU1003" s="25">
        <v>58.036280781924333</v>
      </c>
      <c r="BV1003" s="25">
        <v>97.453505050960473</v>
      </c>
      <c r="BW1003" s="25">
        <v>58.686172247667017</v>
      </c>
      <c r="BX1003" s="25">
        <v>75.03906223761463</v>
      </c>
      <c r="BY1003" s="25">
        <v>62.40607223792064</v>
      </c>
      <c r="BZ1003">
        <v>17</v>
      </c>
      <c r="CA1003">
        <v>0</v>
      </c>
      <c r="CB1003">
        <v>7</v>
      </c>
      <c r="CC1003">
        <v>29817.353908000001</v>
      </c>
      <c r="CD1003" s="10">
        <v>9563.3564349999997</v>
      </c>
      <c r="CE1003" s="255">
        <v>0.32073122465887727</v>
      </c>
      <c r="CF1003" t="str">
        <f>IFERROR(VLOOKUP(CE1003,'Rangos amb etnico'!$A$2:$C$6,3,9),"N.D.")</f>
        <v>31% - 50%</v>
      </c>
      <c r="CG1003" s="256">
        <v>2.782340893463582E-4</v>
      </c>
      <c r="CH1003" s="232">
        <v>0</v>
      </c>
      <c r="CI1003" s="311">
        <f t="shared" si="427"/>
        <v>0</v>
      </c>
      <c r="CJ1003" s="232">
        <f>IFERROR(VLOOKUP(CI1003,'Rangos amb etnico'!$A$2:$C$6,3,9),"N.D.")</f>
        <v>0</v>
      </c>
      <c r="CK1003" s="311">
        <f t="shared" si="428"/>
        <v>0</v>
      </c>
      <c r="CL1003" s="10">
        <v>0</v>
      </c>
      <c r="CM1003" s="255">
        <f t="shared" si="429"/>
        <v>0</v>
      </c>
      <c r="CN1003" s="232">
        <f>IFERROR(VLOOKUP(CM1003,'Rangos amb etnico'!$A$2:$C$6,3,9),"N.D.")</f>
        <v>0</v>
      </c>
      <c r="CO1003" s="311">
        <f t="shared" si="430"/>
        <v>0</v>
      </c>
      <c r="CP1003">
        <v>0.9292554718792374</v>
      </c>
      <c r="CQ1003" t="s">
        <v>2864</v>
      </c>
      <c r="CR1003">
        <f t="shared" si="421"/>
        <v>3</v>
      </c>
      <c r="CS1003" t="str">
        <f t="shared" si="431"/>
        <v>Candidato</v>
      </c>
      <c r="CT1003">
        <v>0</v>
      </c>
      <c r="CU1003">
        <v>0</v>
      </c>
      <c r="CV1003" s="25">
        <v>50.647743225097663</v>
      </c>
      <c r="CW1003" s="25">
        <v>8.9572772979736328</v>
      </c>
      <c r="CX1003" s="25">
        <v>52.524124145507813</v>
      </c>
      <c r="CY1003" s="25">
        <v>49.149150848388672</v>
      </c>
      <c r="CZ1003" s="25">
        <v>37.735679626464837</v>
      </c>
      <c r="DA1003" s="25">
        <v>100</v>
      </c>
      <c r="DB1003" s="25">
        <v>55.520236968994141</v>
      </c>
      <c r="DC1003">
        <v>32</v>
      </c>
      <c r="DD1003" s="253" t="s">
        <v>380</v>
      </c>
    </row>
    <row r="1004" spans="1:108" hidden="1">
      <c r="A1004" s="13">
        <v>68217</v>
      </c>
      <c r="B1004" s="13" t="s">
        <v>2408</v>
      </c>
      <c r="C1004" s="13" t="s">
        <v>431</v>
      </c>
      <c r="D1004" s="13" t="s">
        <v>432</v>
      </c>
      <c r="E1004" s="13" t="s">
        <v>2409</v>
      </c>
      <c r="F1004" s="14">
        <v>72.136933333333303</v>
      </c>
      <c r="G1004" s="13">
        <v>72.760000000000005</v>
      </c>
      <c r="H1004" s="13">
        <v>73.819999999999993</v>
      </c>
      <c r="I1004" s="13">
        <v>69.77</v>
      </c>
      <c r="J1004" s="14">
        <v>46.204918149147176</v>
      </c>
      <c r="K1004" s="14">
        <v>54.659619514828663</v>
      </c>
      <c r="L1004" s="14">
        <v>59.638624315486936</v>
      </c>
      <c r="M1004" s="14">
        <v>56.970700000000001</v>
      </c>
      <c r="N1004" s="14">
        <f t="shared" si="405"/>
        <v>72.121733333333324</v>
      </c>
      <c r="O1004" s="14">
        <f t="shared" si="406"/>
        <v>54.368465494865696</v>
      </c>
      <c r="P1004" s="14">
        <f t="shared" si="422"/>
        <v>63.245099414099514</v>
      </c>
      <c r="Q1004" s="14">
        <v>67.756630829592865</v>
      </c>
      <c r="R1004" s="17">
        <f t="shared" si="407"/>
        <v>32.243369170407135</v>
      </c>
      <c r="S1004" s="14">
        <f t="shared" si="423"/>
        <v>0.39019032253366426</v>
      </c>
      <c r="T1004" s="13">
        <v>0</v>
      </c>
      <c r="U1004" s="13">
        <f t="shared" si="424"/>
        <v>24.677625739061149</v>
      </c>
      <c r="V1004" s="13">
        <f>IF($T1004=1,$AU1004,(VLOOKUP(U1004,'Cortes naturales'!$A$35:$C$39,3,9)))</f>
        <v>4</v>
      </c>
      <c r="W1004" s="13">
        <v>4</v>
      </c>
      <c r="X1004" s="14" t="b">
        <f t="shared" si="408"/>
        <v>1</v>
      </c>
      <c r="Y1004" s="17">
        <f>IF($T1004=1,$AU1004,VLOOKUP(U1004,'Cortes naturales'!$A$45:$C$49,3,9))</f>
        <v>4</v>
      </c>
      <c r="Z1004" s="14">
        <v>62.667955761096096</v>
      </c>
      <c r="AA1004" s="14">
        <v>0.38969294663436338</v>
      </c>
      <c r="AB1004" s="14">
        <v>24.421260340093465</v>
      </c>
      <c r="AC1004" s="13">
        <v>4</v>
      </c>
      <c r="AD1004" s="13">
        <f t="shared" si="409"/>
        <v>0</v>
      </c>
      <c r="AE1004" s="14">
        <f t="shared" si="410"/>
        <v>0.57714365300341797</v>
      </c>
      <c r="AF1004" s="14">
        <f t="shared" si="411"/>
        <v>4.9737589930087811E-4</v>
      </c>
      <c r="AG1004" s="13">
        <f t="shared" si="412"/>
        <v>0.2563653989676844</v>
      </c>
      <c r="AH1004" s="13">
        <f>IF($T1004=1,$AU1004,VLOOKUP(U1004,'Cortes naturales'!$A$25:$C$29,3,9))</f>
        <v>4</v>
      </c>
      <c r="AI1004" s="13" t="b">
        <f t="shared" si="413"/>
        <v>1</v>
      </c>
      <c r="AJ1004" s="13">
        <f t="shared" si="414"/>
        <v>0</v>
      </c>
      <c r="AK1004" s="28">
        <v>0.6523467210059386</v>
      </c>
      <c r="AL1004" s="28">
        <v>40.881235452896256</v>
      </c>
      <c r="AM1004" s="28">
        <v>0.34075515078975122</v>
      </c>
      <c r="AN1004" s="13">
        <v>4</v>
      </c>
      <c r="AO1004" s="33">
        <f t="shared" si="415"/>
        <v>0</v>
      </c>
      <c r="AP1004" s="13">
        <f t="shared" si="425"/>
        <v>34.075515078975123</v>
      </c>
      <c r="AQ1004" s="13">
        <f>IFERROR(VLOOKUP(U1004,'Cortes naturales'!$E$15:$G$19,3,9),U1004)</f>
        <v>4</v>
      </c>
      <c r="AR1004" s="28">
        <f t="shared" si="416"/>
        <v>-0.26215639847227434</v>
      </c>
      <c r="AS1004" s="13" t="b">
        <f t="shared" si="417"/>
        <v>1</v>
      </c>
      <c r="AT1004" s="13">
        <f t="shared" si="426"/>
        <v>0</v>
      </c>
      <c r="AU1004" s="13">
        <v>4</v>
      </c>
      <c r="AV1004">
        <f t="shared" si="418"/>
        <v>0</v>
      </c>
      <c r="AW1004" s="13">
        <v>0</v>
      </c>
      <c r="AX1004" s="13">
        <v>0</v>
      </c>
      <c r="AY1004" s="13">
        <v>0</v>
      </c>
      <c r="AZ1004" s="13">
        <v>0</v>
      </c>
      <c r="BA1004">
        <v>0</v>
      </c>
      <c r="BB1004" t="s">
        <v>2841</v>
      </c>
      <c r="BC1004">
        <v>6</v>
      </c>
      <c r="BD1004" t="s">
        <v>2919</v>
      </c>
      <c r="BE1004">
        <v>0</v>
      </c>
      <c r="BF1004" s="232" t="s">
        <v>2846</v>
      </c>
      <c r="BG1004" s="232" t="s">
        <v>2845</v>
      </c>
      <c r="BH1004" s="253">
        <v>53.6</v>
      </c>
      <c r="BI1004" s="253">
        <v>21.549738219895289</v>
      </c>
      <c r="BJ1004" s="25">
        <v>0</v>
      </c>
      <c r="BK1004" t="s">
        <v>381</v>
      </c>
      <c r="BL1004">
        <v>2.0781736443639875</v>
      </c>
      <c r="BM1004" t="s">
        <v>383</v>
      </c>
      <c r="BN1004" s="322">
        <v>26143.281434</v>
      </c>
      <c r="BO1004" s="322">
        <v>1430.4903449999999</v>
      </c>
      <c r="BP1004" s="10">
        <v>5662</v>
      </c>
      <c r="BQ1004" s="254">
        <f t="shared" si="419"/>
        <v>4.6173227541504769</v>
      </c>
      <c r="BR1004" s="254">
        <f t="shared" si="420"/>
        <v>0.25264753532320733</v>
      </c>
      <c r="BS1004" s="25">
        <v>67.328836972141104</v>
      </c>
      <c r="BT1004" s="25">
        <v>92.838639272341936</v>
      </c>
      <c r="BU1004" s="25">
        <v>60.821142191142172</v>
      </c>
      <c r="BV1004" s="25">
        <v>95.542932741736649</v>
      </c>
      <c r="BW1004" s="25">
        <v>55.520206794561247</v>
      </c>
      <c r="BX1004" s="25">
        <v>79.132887794340462</v>
      </c>
      <c r="BY1004" s="25">
        <v>59.037681508147337</v>
      </c>
      <c r="BZ1004">
        <v>75</v>
      </c>
      <c r="CA1004">
        <v>0</v>
      </c>
      <c r="CB1004">
        <v>7</v>
      </c>
      <c r="CC1004">
        <v>57636.242976000001</v>
      </c>
      <c r="CD1004" s="10">
        <v>52836.617948999999</v>
      </c>
      <c r="CE1004" s="255">
        <v>0.91672557440986246</v>
      </c>
      <c r="CF1004" t="str">
        <f>IFERROR(VLOOKUP(CE1004,'Rangos amb etnico'!$A$2:$C$6,3,9),"N.D.")</f>
        <v>71% - 100%</v>
      </c>
      <c r="CG1004" s="256">
        <v>1.5372163924978145E-3</v>
      </c>
      <c r="CH1004" s="232">
        <v>0</v>
      </c>
      <c r="CI1004" s="311">
        <f t="shared" si="427"/>
        <v>0</v>
      </c>
      <c r="CJ1004" s="232">
        <f>IFERROR(VLOOKUP(CI1004,'Rangos amb etnico'!$A$2:$C$6,3,9),"N.D.")</f>
        <v>0</v>
      </c>
      <c r="CK1004" s="311">
        <f t="shared" si="428"/>
        <v>0</v>
      </c>
      <c r="CL1004" s="10">
        <v>0</v>
      </c>
      <c r="CM1004" s="255">
        <f t="shared" si="429"/>
        <v>0</v>
      </c>
      <c r="CN1004" s="232">
        <f>IFERROR(VLOOKUP(CM1004,'Rangos amb etnico'!$A$2:$C$6,3,9),"N.D.")</f>
        <v>0</v>
      </c>
      <c r="CO1004" s="311">
        <f t="shared" si="430"/>
        <v>0</v>
      </c>
      <c r="CP1004">
        <v>0.95001205666356836</v>
      </c>
      <c r="CQ1004" t="s">
        <v>2864</v>
      </c>
      <c r="CR1004">
        <f t="shared" si="421"/>
        <v>2</v>
      </c>
      <c r="CS1004" t="str">
        <f t="shared" si="431"/>
        <v>No es Candidato</v>
      </c>
      <c r="CT1004">
        <v>0</v>
      </c>
      <c r="CU1004">
        <v>0</v>
      </c>
      <c r="CV1004" s="25">
        <v>53.951416015625</v>
      </c>
      <c r="CW1004" s="25">
        <v>18.043523788452148</v>
      </c>
      <c r="CX1004" s="25">
        <v>52.129306793212891</v>
      </c>
      <c r="CY1004" s="25">
        <v>75.579635620117188</v>
      </c>
      <c r="CZ1004" s="25">
        <v>27.382255554199219</v>
      </c>
      <c r="DA1004" s="25">
        <v>81.126930236816406</v>
      </c>
      <c r="DB1004" s="25">
        <v>69.446853637695313</v>
      </c>
      <c r="DC1004">
        <v>58</v>
      </c>
      <c r="DD1004" s="253" t="s">
        <v>380</v>
      </c>
    </row>
    <row r="1005" spans="1:108" hidden="1">
      <c r="A1005" s="13">
        <v>25339</v>
      </c>
      <c r="B1005" s="13" t="s">
        <v>2410</v>
      </c>
      <c r="C1005" s="13" t="s">
        <v>461</v>
      </c>
      <c r="D1005" s="13" t="s">
        <v>462</v>
      </c>
      <c r="E1005" s="13" t="s">
        <v>2411</v>
      </c>
      <c r="F1005" s="14">
        <v>72.247033333333306</v>
      </c>
      <c r="G1005" s="13">
        <v>92.81</v>
      </c>
      <c r="H1005" s="13">
        <v>94.06</v>
      </c>
      <c r="I1005" s="13">
        <v>93.47</v>
      </c>
      <c r="J1005" s="14">
        <v>65.844125512312289</v>
      </c>
      <c r="K1005" s="14">
        <v>57.493785010601343</v>
      </c>
      <c r="L1005" s="14">
        <v>63.651489315106147</v>
      </c>
      <c r="M1005" s="14">
        <v>66.299499999999995</v>
      </c>
      <c r="N1005" s="14">
        <f t="shared" si="405"/>
        <v>88.146758333333338</v>
      </c>
      <c r="O1005" s="14">
        <f t="shared" si="406"/>
        <v>63.322224959504943</v>
      </c>
      <c r="P1005" s="14">
        <f t="shared" si="422"/>
        <v>75.734491646419144</v>
      </c>
      <c r="Q1005" s="14">
        <v>69.39566970200471</v>
      </c>
      <c r="R1005" s="17">
        <f t="shared" si="407"/>
        <v>30.60433029799529</v>
      </c>
      <c r="S1005" s="14">
        <f t="shared" si="423"/>
        <v>0.37543897268195758</v>
      </c>
      <c r="T1005" s="13">
        <v>0</v>
      </c>
      <c r="U1005" s="13">
        <f t="shared" si="424"/>
        <v>28.433679740321903</v>
      </c>
      <c r="V1005" s="13">
        <f>IF($T1005=1,$AU1005,(VLOOKUP(U1005,'Cortes naturales'!$A$35:$C$39,3,9)))</f>
        <v>4</v>
      </c>
      <c r="W1005" s="13">
        <v>4</v>
      </c>
      <c r="X1005" s="14" t="b">
        <f t="shared" si="408"/>
        <v>1</v>
      </c>
      <c r="Y1005" s="17">
        <f>IF($T1005=1,$AU1005,VLOOKUP(U1005,'Cortes naturales'!$A$45:$C$49,3,9))</f>
        <v>3</v>
      </c>
      <c r="Z1005" s="14">
        <v>70.396855751601933</v>
      </c>
      <c r="AA1005" s="14">
        <v>0.38756195136974703</v>
      </c>
      <c r="AB1005" s="14">
        <v>27.283142785385444</v>
      </c>
      <c r="AC1005" s="13">
        <v>4</v>
      </c>
      <c r="AD1005" s="13">
        <f t="shared" si="409"/>
        <v>1</v>
      </c>
      <c r="AE1005" s="14">
        <f t="shared" si="410"/>
        <v>5.3376358948172111</v>
      </c>
      <c r="AF1005" s="14">
        <f t="shared" si="411"/>
        <v>-1.2122978687789443E-2</v>
      </c>
      <c r="AG1005" s="13">
        <f t="shared" si="412"/>
        <v>1.1505369549364595</v>
      </c>
      <c r="AH1005" s="13">
        <f>IF($T1005=1,$AU1005,VLOOKUP(U1005,'Cortes naturales'!$A$25:$C$29,3,9))</f>
        <v>3</v>
      </c>
      <c r="AI1005" s="13" t="b">
        <f t="shared" si="413"/>
        <v>1</v>
      </c>
      <c r="AJ1005" s="13" t="str">
        <f t="shared" si="414"/>
        <v>Efecto ponderador</v>
      </c>
      <c r="AK1005" s="28">
        <v>0.6523467210059386</v>
      </c>
      <c r="AL1005" s="28">
        <v>45.923158018685569</v>
      </c>
      <c r="AM1005" s="28">
        <v>0.40382428740043369</v>
      </c>
      <c r="AN1005" s="13">
        <v>3</v>
      </c>
      <c r="AO1005" s="33">
        <f t="shared" si="415"/>
        <v>0</v>
      </c>
      <c r="AP1005" s="13">
        <f t="shared" si="425"/>
        <v>40.382428740043366</v>
      </c>
      <c r="AQ1005" s="13">
        <f>IFERROR(VLOOKUP(U1005,'Cortes naturales'!$E$15:$G$19,3,9),U1005)</f>
        <v>4</v>
      </c>
      <c r="AR1005" s="28">
        <f t="shared" si="416"/>
        <v>-0.27690774832398102</v>
      </c>
      <c r="AS1005" s="13" t="b">
        <f t="shared" si="417"/>
        <v>0</v>
      </c>
      <c r="AT1005" s="13">
        <f t="shared" si="426"/>
        <v>0</v>
      </c>
      <c r="AU1005" s="13">
        <v>4</v>
      </c>
      <c r="AV1005">
        <f t="shared" si="418"/>
        <v>1</v>
      </c>
      <c r="AW1005" s="13">
        <v>0</v>
      </c>
      <c r="AX1005" s="13">
        <v>0</v>
      </c>
      <c r="AY1005" s="13">
        <v>0</v>
      </c>
      <c r="AZ1005" s="13">
        <v>0</v>
      </c>
      <c r="BA1005">
        <v>0</v>
      </c>
      <c r="BB1005" t="s">
        <v>2841</v>
      </c>
      <c r="BC1005">
        <v>6</v>
      </c>
      <c r="BD1005" t="s">
        <v>2919</v>
      </c>
      <c r="BE1005">
        <v>0</v>
      </c>
      <c r="BF1005" s="232" t="s">
        <v>2846</v>
      </c>
      <c r="BG1005" s="232" t="s">
        <v>2846</v>
      </c>
      <c r="BH1005" s="253">
        <v>37.6</v>
      </c>
      <c r="BI1005" s="253">
        <v>11.295681063122924</v>
      </c>
      <c r="BJ1005" s="25">
        <v>9.2008333333333336</v>
      </c>
      <c r="BK1005" t="s">
        <v>377</v>
      </c>
      <c r="BL1005">
        <v>0.18784027874562992</v>
      </c>
      <c r="BM1005" t="s">
        <v>377</v>
      </c>
      <c r="BN1005" s="322">
        <v>10760.806589</v>
      </c>
      <c r="BO1005" s="322">
        <v>1510.216889</v>
      </c>
      <c r="BP1005" s="10">
        <v>3512</v>
      </c>
      <c r="BQ1005" s="254">
        <f t="shared" si="419"/>
        <v>3.064010987756264</v>
      </c>
      <c r="BR1005" s="254">
        <f t="shared" si="420"/>
        <v>0.43001619846241457</v>
      </c>
      <c r="BS1005" s="25">
        <v>57.994680485018648</v>
      </c>
      <c r="BT1005" s="25">
        <v>85.682788246013672</v>
      </c>
      <c r="BU1005" s="25">
        <v>49.362198067632818</v>
      </c>
      <c r="BV1005" s="25">
        <v>86.985032012795912</v>
      </c>
      <c r="BW1005" s="25">
        <v>52.615444275581503</v>
      </c>
      <c r="BX1005" s="25">
        <v>70.006174702865266</v>
      </c>
      <c r="BY1005" s="25">
        <v>53.831030265027941</v>
      </c>
      <c r="BZ1005">
        <v>40</v>
      </c>
      <c r="CA1005">
        <v>0</v>
      </c>
      <c r="CB1005">
        <v>7</v>
      </c>
      <c r="CC1005">
        <v>45264.521918999999</v>
      </c>
      <c r="CD1005" s="10">
        <v>19307.925629000001</v>
      </c>
      <c r="CE1005" s="255">
        <v>0.42655759545082939</v>
      </c>
      <c r="CF1005" t="str">
        <f>IFERROR(VLOOKUP(CE1005,'Rangos amb etnico'!$A$2:$C$6,3,9),"N.D.")</f>
        <v>31% - 50%</v>
      </c>
      <c r="CG1005" s="256">
        <v>5.6174034096346278E-4</v>
      </c>
      <c r="CH1005" s="232">
        <v>0</v>
      </c>
      <c r="CI1005" s="311">
        <f t="shared" si="427"/>
        <v>0</v>
      </c>
      <c r="CJ1005" s="232">
        <f>IFERROR(VLOOKUP(CI1005,'Rangos amb etnico'!$A$2:$C$6,3,9),"N.D.")</f>
        <v>0</v>
      </c>
      <c r="CK1005" s="311">
        <f t="shared" si="428"/>
        <v>0</v>
      </c>
      <c r="CL1005" s="10">
        <v>0</v>
      </c>
      <c r="CM1005" s="255">
        <f t="shared" si="429"/>
        <v>0</v>
      </c>
      <c r="CN1005" s="232">
        <f>IFERROR(VLOOKUP(CM1005,'Rangos amb etnico'!$A$2:$C$6,3,9),"N.D.")</f>
        <v>0</v>
      </c>
      <c r="CO1005" s="311">
        <f t="shared" si="430"/>
        <v>0</v>
      </c>
      <c r="CP1005">
        <v>0.96876882277696486</v>
      </c>
      <c r="CQ1005" t="s">
        <v>2864</v>
      </c>
      <c r="CR1005">
        <f t="shared" si="421"/>
        <v>3</v>
      </c>
      <c r="CS1005" t="str">
        <f t="shared" si="431"/>
        <v>Candidato</v>
      </c>
      <c r="CT1005">
        <v>0</v>
      </c>
      <c r="CU1005">
        <v>0</v>
      </c>
      <c r="CV1005" s="25">
        <v>44.47943115234375</v>
      </c>
      <c r="CW1005" s="25">
        <v>11.45991897583008</v>
      </c>
      <c r="CX1005" s="25">
        <v>47.950550079345703</v>
      </c>
      <c r="CY1005" s="25">
        <v>51.965164184570313</v>
      </c>
      <c r="CZ1005" s="25">
        <v>39.496685028076172</v>
      </c>
      <c r="DA1005" s="25">
        <v>59.879299163818359</v>
      </c>
      <c r="DB1005" s="25">
        <v>56.124969482421882</v>
      </c>
      <c r="DC1005">
        <v>14</v>
      </c>
      <c r="DD1005" s="253" t="s">
        <v>380</v>
      </c>
    </row>
    <row r="1006" spans="1:108" hidden="1">
      <c r="A1006" s="13">
        <v>27491</v>
      </c>
      <c r="B1006" s="13" t="s">
        <v>2412</v>
      </c>
      <c r="C1006" s="13" t="s">
        <v>1714</v>
      </c>
      <c r="D1006" s="13" t="s">
        <v>1715</v>
      </c>
      <c r="E1006" s="13" t="s">
        <v>2413</v>
      </c>
      <c r="F1006" s="14">
        <v>58.834699999999998</v>
      </c>
      <c r="G1006" s="13">
        <v>56.95</v>
      </c>
      <c r="H1006" s="13">
        <v>73.7</v>
      </c>
      <c r="I1006" s="13">
        <v>73.3</v>
      </c>
      <c r="J1006" s="14">
        <v>57.963997440581622</v>
      </c>
      <c r="K1006" s="14">
        <v>50.811697088082596</v>
      </c>
      <c r="L1006" s="14">
        <v>61.697603237864676</v>
      </c>
      <c r="M1006" s="14">
        <v>61.984200000000001</v>
      </c>
      <c r="N1006" s="14">
        <f t="shared" si="405"/>
        <v>65.696174999999997</v>
      </c>
      <c r="O1006" s="14">
        <f t="shared" si="406"/>
        <v>58.114374441632222</v>
      </c>
      <c r="P1006" s="14">
        <f t="shared" si="422"/>
        <v>61.905274720816109</v>
      </c>
      <c r="Q1006" s="14">
        <v>68.68062441310839</v>
      </c>
      <c r="R1006" s="17">
        <f t="shared" si="407"/>
        <v>31.31937558689161</v>
      </c>
      <c r="S1006" s="14">
        <f t="shared" si="423"/>
        <v>0.38187438028202447</v>
      </c>
      <c r="T1006" s="13">
        <v>0</v>
      </c>
      <c r="U1006" s="13">
        <f t="shared" si="424"/>
        <v>23.640038420200128</v>
      </c>
      <c r="V1006" s="13">
        <f>IF($T1006=1,$AU1006,(VLOOKUP(U1006,'Cortes naturales'!$A$35:$C$39,3,9)))</f>
        <v>4</v>
      </c>
      <c r="W1006" s="13">
        <v>4</v>
      </c>
      <c r="X1006" s="14" t="b">
        <f t="shared" si="408"/>
        <v>1</v>
      </c>
      <c r="Y1006" s="17">
        <f>IF($T1006=1,$AU1006,VLOOKUP(U1006,'Cortes naturales'!$A$45:$C$49,3,9))</f>
        <v>4</v>
      </c>
      <c r="Z1006" s="14">
        <v>58.495669782345971</v>
      </c>
      <c r="AA1006" s="14">
        <v>0.38826885655469456</v>
      </c>
      <c r="AB1006" s="14">
        <v>22.712046819792469</v>
      </c>
      <c r="AC1006" s="13">
        <v>4</v>
      </c>
      <c r="AD1006" s="13">
        <f t="shared" si="409"/>
        <v>0</v>
      </c>
      <c r="AE1006" s="14">
        <f t="shared" si="410"/>
        <v>3.4096049384701388</v>
      </c>
      <c r="AF1006" s="14">
        <f t="shared" si="411"/>
        <v>-6.394476272670091E-3</v>
      </c>
      <c r="AG1006" s="13">
        <f t="shared" si="412"/>
        <v>0.92799160040765827</v>
      </c>
      <c r="AH1006" s="13">
        <f>IF($T1006=1,$AU1006,VLOOKUP(U1006,'Cortes naturales'!$A$25:$C$29,3,9))</f>
        <v>4</v>
      </c>
      <c r="AI1006" s="13" t="b">
        <f t="shared" si="413"/>
        <v>1</v>
      </c>
      <c r="AJ1006" s="13">
        <f t="shared" si="414"/>
        <v>0</v>
      </c>
      <c r="AK1006" s="28">
        <v>0.6523467210059386</v>
      </c>
      <c r="AL1006" s="28">
        <v>38.159458375559559</v>
      </c>
      <c r="AM1006" s="28">
        <v>0.30670858857574013</v>
      </c>
      <c r="AN1006" s="13">
        <v>4</v>
      </c>
      <c r="AO1006" s="33">
        <f t="shared" si="415"/>
        <v>0</v>
      </c>
      <c r="AP1006" s="13">
        <f t="shared" si="425"/>
        <v>30.670858857574011</v>
      </c>
      <c r="AQ1006" s="13">
        <f>IFERROR(VLOOKUP(U1006,'Cortes naturales'!$E$15:$G$19,3,9),U1006)</f>
        <v>4</v>
      </c>
      <c r="AR1006" s="28">
        <f t="shared" si="416"/>
        <v>-0.27047234072391413</v>
      </c>
      <c r="AS1006" s="13" t="b">
        <f t="shared" si="417"/>
        <v>1</v>
      </c>
      <c r="AT1006" s="13">
        <f t="shared" si="426"/>
        <v>0</v>
      </c>
      <c r="AU1006" s="13">
        <v>4</v>
      </c>
      <c r="AV1006">
        <f t="shared" si="418"/>
        <v>0</v>
      </c>
      <c r="AW1006" s="13">
        <v>0</v>
      </c>
      <c r="AX1006" s="13">
        <v>0</v>
      </c>
      <c r="AY1006" s="13">
        <v>0</v>
      </c>
      <c r="AZ1006" s="13">
        <v>1</v>
      </c>
      <c r="BA1006">
        <v>1</v>
      </c>
      <c r="BB1006" t="s">
        <v>2840</v>
      </c>
      <c r="BC1006">
        <v>6</v>
      </c>
      <c r="BD1006" t="s">
        <v>2919</v>
      </c>
      <c r="BE1006">
        <v>0</v>
      </c>
      <c r="BF1006" s="232" t="s">
        <v>2846</v>
      </c>
      <c r="BG1006" s="232" t="s">
        <v>2846</v>
      </c>
      <c r="BH1006" s="253">
        <v>60.1</v>
      </c>
      <c r="BI1006" s="253">
        <v>50.012248897599214</v>
      </c>
      <c r="BJ1006" s="25">
        <v>95.24</v>
      </c>
      <c r="BK1006" t="s">
        <v>2850</v>
      </c>
      <c r="BL1006">
        <v>62.027549969117466</v>
      </c>
      <c r="BM1006" t="s">
        <v>384</v>
      </c>
      <c r="BN1006" s="322">
        <v>36654.911511999999</v>
      </c>
      <c r="BO1006" s="322">
        <v>1515.8919310000001</v>
      </c>
      <c r="BP1006" s="10">
        <v>9825</v>
      </c>
      <c r="BQ1006" s="254">
        <f t="shared" si="419"/>
        <v>3.7307797976590331</v>
      </c>
      <c r="BR1006" s="254">
        <f t="shared" si="420"/>
        <v>0.15428925506361324</v>
      </c>
      <c r="BS1006" s="25">
        <v>52.049940082494153</v>
      </c>
      <c r="BT1006" s="25">
        <v>78.801861781170473</v>
      </c>
      <c r="BU1006" s="25">
        <v>44.152717156301662</v>
      </c>
      <c r="BV1006" s="25">
        <v>89.41302444800759</v>
      </c>
      <c r="BW1006" s="25">
        <v>48.025644160865887</v>
      </c>
      <c r="BX1006" s="25">
        <v>66.104385866993468</v>
      </c>
      <c r="BY1006" s="25">
        <v>48.847963156282283</v>
      </c>
      <c r="BZ1006">
        <v>27</v>
      </c>
      <c r="CA1006">
        <v>0</v>
      </c>
      <c r="CB1006">
        <v>7</v>
      </c>
      <c r="CC1006">
        <v>94567.601723</v>
      </c>
      <c r="CD1006" s="10">
        <v>1524.504981</v>
      </c>
      <c r="CE1006" s="255">
        <v>1.6120795634275049E-2</v>
      </c>
      <c r="CF1006" t="str">
        <f>IFERROR(VLOOKUP(CE1006,'Rangos amb etnico'!$A$2:$C$6,3,9),"N.D.")</f>
        <v>0,1% - 30%</v>
      </c>
      <c r="CG1006" s="256">
        <v>4.4353596770705552E-5</v>
      </c>
      <c r="CH1006" s="232">
        <v>94259.130892999994</v>
      </c>
      <c r="CI1006" s="311">
        <f t="shared" si="427"/>
        <v>0.99673809185831364</v>
      </c>
      <c r="CJ1006" s="232" t="str">
        <f>IFERROR(VLOOKUP(CI1006,'Rangos amb etnico'!$A$2:$C$6,3,9),"N.D.")</f>
        <v>71% - 100%</v>
      </c>
      <c r="CK1006" s="311">
        <f t="shared" si="428"/>
        <v>3.7427046298793946E-3</v>
      </c>
      <c r="CL1006" s="10">
        <v>0</v>
      </c>
      <c r="CM1006" s="255">
        <f t="shared" si="429"/>
        <v>0</v>
      </c>
      <c r="CN1006" s="232">
        <f>IFERROR(VLOOKUP(CM1006,'Rangos amb etnico'!$A$2:$C$6,3,9),"N.D.")</f>
        <v>0</v>
      </c>
      <c r="CO1006" s="311">
        <f t="shared" si="430"/>
        <v>0</v>
      </c>
      <c r="CP1006">
        <v>0.9141942743181467</v>
      </c>
      <c r="CQ1006" t="s">
        <v>2864</v>
      </c>
      <c r="CR1006">
        <f t="shared" si="421"/>
        <v>3</v>
      </c>
      <c r="CS1006" t="str">
        <f t="shared" si="431"/>
        <v>Candidato</v>
      </c>
      <c r="CT1006">
        <v>0</v>
      </c>
      <c r="CU1006">
        <v>0</v>
      </c>
      <c r="CV1006" s="25">
        <v>35.499019622802727</v>
      </c>
      <c r="CW1006" s="25">
        <v>17.074777603149411</v>
      </c>
      <c r="CX1006" s="25">
        <v>43.722003936767578</v>
      </c>
      <c r="CY1006" s="25">
        <v>36.988063812255859</v>
      </c>
      <c r="CZ1006" s="25">
        <v>9.1509885787963867</v>
      </c>
      <c r="DA1006" s="25">
        <v>67.553474426269531</v>
      </c>
      <c r="DB1006" s="25">
        <v>38.504806518554688</v>
      </c>
      <c r="DC1006">
        <v>9058</v>
      </c>
      <c r="DD1006" s="253" t="s">
        <v>380</v>
      </c>
    </row>
    <row r="1007" spans="1:108" hidden="1">
      <c r="A1007" s="13">
        <v>18029</v>
      </c>
      <c r="B1007" s="13" t="s">
        <v>2414</v>
      </c>
      <c r="C1007" s="13" t="s">
        <v>1463</v>
      </c>
      <c r="D1007" s="13" t="s">
        <v>1464</v>
      </c>
      <c r="E1007" s="13" t="s">
        <v>1268</v>
      </c>
      <c r="F1007" s="14">
        <v>59.882066666666702</v>
      </c>
      <c r="G1007" s="13">
        <v>60.38</v>
      </c>
      <c r="H1007" s="13">
        <v>58.18</v>
      </c>
      <c r="I1007" s="13">
        <v>49.49</v>
      </c>
      <c r="J1007" s="14">
        <v>51.932030555524399</v>
      </c>
      <c r="K1007" s="14">
        <v>54.072307074198335</v>
      </c>
      <c r="L1007" s="14">
        <v>55.197644529739819</v>
      </c>
      <c r="M1007" s="14">
        <v>53.838900000000002</v>
      </c>
      <c r="N1007" s="14">
        <f t="shared" si="405"/>
        <v>56.983016666666678</v>
      </c>
      <c r="O1007" s="14">
        <f t="shared" si="406"/>
        <v>53.760220539865635</v>
      </c>
      <c r="P1007" s="14">
        <f t="shared" si="422"/>
        <v>55.371618603266157</v>
      </c>
      <c r="Q1007" s="14">
        <v>68.1479162806734</v>
      </c>
      <c r="R1007" s="17">
        <f t="shared" si="407"/>
        <v>31.8520837193266</v>
      </c>
      <c r="S1007" s="14">
        <f t="shared" si="423"/>
        <v>0.38666875347393947</v>
      </c>
      <c r="T1007" s="13">
        <v>0</v>
      </c>
      <c r="U1007" s="13">
        <f t="shared" si="424"/>
        <v>21.410474743159323</v>
      </c>
      <c r="V1007" s="13">
        <f>IF($T1007=1,$AU1007,(VLOOKUP(U1007,'Cortes naturales'!$A$35:$C$39,3,9)))</f>
        <v>5</v>
      </c>
      <c r="W1007" s="13">
        <v>5</v>
      </c>
      <c r="X1007" s="14" t="b">
        <f t="shared" si="408"/>
        <v>1</v>
      </c>
      <c r="Y1007" s="17">
        <f>IF($T1007=1,$AU1007,VLOOKUP(U1007,'Cortes naturales'!$A$45:$C$49,3,9))</f>
        <v>4</v>
      </c>
      <c r="Z1007" s="14">
        <v>58.014500145242238</v>
      </c>
      <c r="AA1007" s="14">
        <v>0.38759799537974737</v>
      </c>
      <c r="AB1007" s="14">
        <v>22.486303959253956</v>
      </c>
      <c r="AC1007" s="13">
        <v>4</v>
      </c>
      <c r="AD1007" s="13">
        <f t="shared" si="409"/>
        <v>0</v>
      </c>
      <c r="AE1007" s="14">
        <f t="shared" si="410"/>
        <v>-2.6428815419760809</v>
      </c>
      <c r="AF1007" s="14">
        <f t="shared" si="411"/>
        <v>-9.2924190580789823E-4</v>
      </c>
      <c r="AG1007" s="13">
        <f t="shared" si="412"/>
        <v>-1.0758292160946326</v>
      </c>
      <c r="AH1007" s="13">
        <f>IF($T1007=1,$AU1007,VLOOKUP(U1007,'Cortes naturales'!$A$25:$C$29,3,9))</f>
        <v>4</v>
      </c>
      <c r="AI1007" s="13" t="b">
        <f t="shared" si="413"/>
        <v>1</v>
      </c>
      <c r="AJ1007" s="13">
        <f t="shared" si="414"/>
        <v>0</v>
      </c>
      <c r="AK1007" s="28">
        <v>0.6523467210059386</v>
      </c>
      <c r="AL1007" s="28">
        <v>37.845568940547324</v>
      </c>
      <c r="AM1007" s="28">
        <v>0.30278216261438912</v>
      </c>
      <c r="AN1007" s="13">
        <v>4</v>
      </c>
      <c r="AO1007" s="33">
        <f t="shared" si="415"/>
        <v>0</v>
      </c>
      <c r="AP1007" s="13">
        <f t="shared" si="425"/>
        <v>30.27821626143891</v>
      </c>
      <c r="AQ1007" s="13">
        <f>IFERROR(VLOOKUP(U1007,'Cortes naturales'!$E$15:$G$19,3,9),U1007)</f>
        <v>4</v>
      </c>
      <c r="AR1007" s="28">
        <f t="shared" si="416"/>
        <v>-0.26567796753199913</v>
      </c>
      <c r="AS1007" s="13" t="b">
        <f t="shared" si="417"/>
        <v>1</v>
      </c>
      <c r="AT1007" s="13">
        <f t="shared" si="426"/>
        <v>0</v>
      </c>
      <c r="AU1007" s="13">
        <v>4</v>
      </c>
      <c r="AV1007">
        <f t="shared" si="418"/>
        <v>0</v>
      </c>
      <c r="AW1007" s="13">
        <v>0</v>
      </c>
      <c r="AX1007" s="13">
        <v>0</v>
      </c>
      <c r="AY1007" s="13">
        <v>0</v>
      </c>
      <c r="AZ1007" s="13">
        <v>1</v>
      </c>
      <c r="BA1007">
        <v>1</v>
      </c>
      <c r="BB1007" t="s">
        <v>2840</v>
      </c>
      <c r="BC1007">
        <v>6</v>
      </c>
      <c r="BD1007" t="s">
        <v>2919</v>
      </c>
      <c r="BE1007">
        <v>1</v>
      </c>
      <c r="BF1007" s="232" t="s">
        <v>2846</v>
      </c>
      <c r="BG1007" s="232" t="s">
        <v>2846</v>
      </c>
      <c r="BH1007" s="253">
        <v>38.799999999999997</v>
      </c>
      <c r="BI1007" s="253">
        <v>20.169608067843228</v>
      </c>
      <c r="BJ1007" s="25">
        <v>4.3011111111111111</v>
      </c>
      <c r="BK1007" t="s">
        <v>381</v>
      </c>
      <c r="BL1007">
        <v>1.7079147452608558</v>
      </c>
      <c r="BM1007" t="s">
        <v>383</v>
      </c>
      <c r="BN1007" s="322">
        <v>13997.934397000001</v>
      </c>
      <c r="BO1007" s="322">
        <v>1297.851028</v>
      </c>
      <c r="BP1007" s="10">
        <v>4833</v>
      </c>
      <c r="BQ1007" s="254">
        <f t="shared" si="419"/>
        <v>2.896324104489965</v>
      </c>
      <c r="BR1007" s="254">
        <f t="shared" si="420"/>
        <v>0.26853942230498656</v>
      </c>
      <c r="BS1007" s="25">
        <v>59.684463864613683</v>
      </c>
      <c r="BT1007" s="25">
        <v>88.230701029726205</v>
      </c>
      <c r="BU1007" s="25">
        <v>46.837552255225511</v>
      </c>
      <c r="BV1007" s="25">
        <v>92.075951944175827</v>
      </c>
      <c r="BW1007" s="25">
        <v>60.410598576373829</v>
      </c>
      <c r="BX1007" s="25">
        <v>71.707167273435303</v>
      </c>
      <c r="BY1007" s="25">
        <v>63.596404610923827</v>
      </c>
      <c r="BZ1007">
        <v>3</v>
      </c>
      <c r="CA1007">
        <v>0</v>
      </c>
      <c r="CB1007">
        <v>7</v>
      </c>
      <c r="CC1007">
        <v>41282.769348000002</v>
      </c>
      <c r="CD1007" s="10">
        <v>4565.3679320000001</v>
      </c>
      <c r="CE1007" s="255">
        <v>0.11058773440113642</v>
      </c>
      <c r="CF1007" t="str">
        <f>IFERROR(VLOOKUP(CE1007,'Rangos amb etnico'!$A$2:$C$6,3,9),"N.D.")</f>
        <v>0,1% - 30%</v>
      </c>
      <c r="CG1007" s="256">
        <v>1.3282376305062259E-4</v>
      </c>
      <c r="CH1007" s="232">
        <v>117.91862500000001</v>
      </c>
      <c r="CI1007" s="311">
        <f t="shared" si="427"/>
        <v>2.8563642135047982E-3</v>
      </c>
      <c r="CJ1007" s="232" t="str">
        <f>IFERROR(VLOOKUP(CI1007,'Rangos amb etnico'!$A$2:$C$6,3,9),"N.D.")</f>
        <v>0,1% - 30%</v>
      </c>
      <c r="CK1007" s="311">
        <f t="shared" si="428"/>
        <v>4.682141449378536E-6</v>
      </c>
      <c r="CL1007" s="10">
        <v>0</v>
      </c>
      <c r="CM1007" s="255">
        <f t="shared" si="429"/>
        <v>0</v>
      </c>
      <c r="CN1007" s="232">
        <f>IFERROR(VLOOKUP(CM1007,'Rangos amb etnico'!$A$2:$C$6,3,9),"N.D.")</f>
        <v>0</v>
      </c>
      <c r="CO1007" s="311">
        <f t="shared" si="430"/>
        <v>0</v>
      </c>
      <c r="CP1007">
        <v>0.93598516163639534</v>
      </c>
      <c r="CQ1007" t="s">
        <v>2864</v>
      </c>
      <c r="CR1007">
        <f t="shared" si="421"/>
        <v>2</v>
      </c>
      <c r="CS1007" t="str">
        <f t="shared" si="431"/>
        <v>No es Candidato</v>
      </c>
      <c r="CT1007">
        <v>0</v>
      </c>
      <c r="CU1007">
        <v>0</v>
      </c>
      <c r="CV1007" s="25">
        <v>45.319332122802727</v>
      </c>
      <c r="CW1007" s="25">
        <v>19.425043106079102</v>
      </c>
      <c r="CX1007" s="25">
        <v>51.190200805664063</v>
      </c>
      <c r="CY1007" s="25">
        <v>52.716770172119141</v>
      </c>
      <c r="CZ1007" s="25">
        <v>28.35395622253418</v>
      </c>
      <c r="DA1007" s="25">
        <v>68.452102661132813</v>
      </c>
      <c r="DB1007" s="25">
        <v>51.777927398681641</v>
      </c>
      <c r="DC1007">
        <v>194</v>
      </c>
      <c r="DD1007" s="253" t="s">
        <v>380</v>
      </c>
    </row>
    <row r="1008" spans="1:108" hidden="1">
      <c r="A1008" s="13">
        <v>15514</v>
      </c>
      <c r="B1008" s="13" t="s">
        <v>2415</v>
      </c>
      <c r="C1008" s="13" t="s">
        <v>498</v>
      </c>
      <c r="D1008" s="13" t="s">
        <v>499</v>
      </c>
      <c r="E1008" s="13" t="s">
        <v>2063</v>
      </c>
      <c r="F1008" s="14">
        <v>57.750599999999999</v>
      </c>
      <c r="G1008" s="13">
        <v>48.37</v>
      </c>
      <c r="H1008" s="13">
        <v>59.81</v>
      </c>
      <c r="I1008" s="13">
        <v>68.069999999999993</v>
      </c>
      <c r="J1008" s="14">
        <v>65.601987998157227</v>
      </c>
      <c r="K1008" s="14">
        <v>59.81359985714451</v>
      </c>
      <c r="L1008" s="14">
        <v>54.097773932326675</v>
      </c>
      <c r="M1008" s="14">
        <v>65.317999999999998</v>
      </c>
      <c r="N1008" s="14">
        <f t="shared" si="405"/>
        <v>58.500149999999998</v>
      </c>
      <c r="O1008" s="14">
        <f t="shared" si="406"/>
        <v>61.207840446907099</v>
      </c>
      <c r="P1008" s="14">
        <f t="shared" si="422"/>
        <v>59.853995223453552</v>
      </c>
      <c r="Q1008" s="14">
        <v>68.837409437479707</v>
      </c>
      <c r="R1008" s="17">
        <f t="shared" si="407"/>
        <v>31.162590562520293</v>
      </c>
      <c r="S1008" s="14">
        <f t="shared" si="423"/>
        <v>0.38046331506268261</v>
      </c>
      <c r="T1008" s="13">
        <v>0</v>
      </c>
      <c r="U1008" s="13">
        <f t="shared" si="424"/>
        <v>22.77224944246111</v>
      </c>
      <c r="V1008" s="13">
        <f>IF($T1008=1,$AU1008,(VLOOKUP(U1008,'Cortes naturales'!$A$35:$C$39,3,9)))</f>
        <v>4</v>
      </c>
      <c r="W1008" s="13">
        <v>4</v>
      </c>
      <c r="X1008" s="14" t="b">
        <f t="shared" si="408"/>
        <v>1</v>
      </c>
      <c r="Y1008" s="17">
        <f>IF($T1008=1,$AU1008,VLOOKUP(U1008,'Cortes naturales'!$A$45:$C$49,3,9))</f>
        <v>4</v>
      </c>
      <c r="Z1008" s="14">
        <v>58.183918605733808</v>
      </c>
      <c r="AA1008" s="14">
        <v>0.38578819964225608</v>
      </c>
      <c r="AB1008" s="14">
        <v>22.446669207037612</v>
      </c>
      <c r="AC1008" s="13">
        <v>4</v>
      </c>
      <c r="AD1008" s="13">
        <f t="shared" si="409"/>
        <v>0</v>
      </c>
      <c r="AE1008" s="14">
        <f t="shared" si="410"/>
        <v>1.6700766177197437</v>
      </c>
      <c r="AF1008" s="14">
        <f t="shared" si="411"/>
        <v>-5.3248845795734745E-3</v>
      </c>
      <c r="AG1008" s="13">
        <f t="shared" si="412"/>
        <v>0.32558023542349801</v>
      </c>
      <c r="AH1008" s="13">
        <f>IF($T1008=1,$AU1008,VLOOKUP(U1008,'Cortes naturales'!$A$25:$C$29,3,9))</f>
        <v>4</v>
      </c>
      <c r="AI1008" s="13" t="b">
        <f t="shared" si="413"/>
        <v>1</v>
      </c>
      <c r="AJ1008" s="13">
        <f t="shared" si="414"/>
        <v>0</v>
      </c>
      <c r="AK1008" s="28">
        <v>0.6523467210059386</v>
      </c>
      <c r="AL1008" s="28">
        <v>37.956088517726876</v>
      </c>
      <c r="AM1008" s="28">
        <v>0.3041646460262899</v>
      </c>
      <c r="AN1008" s="13">
        <v>4</v>
      </c>
      <c r="AO1008" s="33">
        <f t="shared" si="415"/>
        <v>0</v>
      </c>
      <c r="AP1008" s="13">
        <f t="shared" si="425"/>
        <v>30.416464602628992</v>
      </c>
      <c r="AQ1008" s="13">
        <f>IFERROR(VLOOKUP(U1008,'Cortes naturales'!$E$15:$G$19,3,9),U1008)</f>
        <v>4</v>
      </c>
      <c r="AR1008" s="28">
        <f t="shared" si="416"/>
        <v>-0.271883405943256</v>
      </c>
      <c r="AS1008" s="13" t="b">
        <f t="shared" si="417"/>
        <v>1</v>
      </c>
      <c r="AT1008" s="13">
        <f t="shared" si="426"/>
        <v>0</v>
      </c>
      <c r="AU1008" s="13">
        <v>3</v>
      </c>
      <c r="AV1008">
        <f t="shared" si="418"/>
        <v>-1</v>
      </c>
      <c r="AW1008" s="13">
        <v>0</v>
      </c>
      <c r="AX1008" s="13">
        <v>0</v>
      </c>
      <c r="AY1008" s="13">
        <v>0</v>
      </c>
      <c r="AZ1008" s="13">
        <v>0</v>
      </c>
      <c r="BA1008">
        <v>0</v>
      </c>
      <c r="BB1008" t="s">
        <v>2840</v>
      </c>
      <c r="BC1008">
        <v>6</v>
      </c>
      <c r="BD1008" t="s">
        <v>2919</v>
      </c>
      <c r="BE1008">
        <v>0</v>
      </c>
      <c r="BF1008" s="232" t="s">
        <v>2846</v>
      </c>
      <c r="BG1008" s="232" t="s">
        <v>2846</v>
      </c>
      <c r="BH1008" s="253">
        <v>36.5</v>
      </c>
      <c r="BI1008" s="253">
        <v>13.23076923076923</v>
      </c>
      <c r="BJ1008" s="25">
        <v>37.611175625179641</v>
      </c>
      <c r="BK1008" t="s">
        <v>376</v>
      </c>
      <c r="BL1008">
        <v>5.3785899798122261E-2</v>
      </c>
      <c r="BM1008" t="s">
        <v>377</v>
      </c>
      <c r="BN1008" s="322">
        <v>18907.418149000001</v>
      </c>
      <c r="BO1008" s="322">
        <v>6659.795333</v>
      </c>
      <c r="BP1008" s="10">
        <v>3376</v>
      </c>
      <c r="BQ1008" s="254">
        <f t="shared" si="419"/>
        <v>5.6005385512440764</v>
      </c>
      <c r="BR1008" s="254">
        <f t="shared" si="420"/>
        <v>1.9726881910545024</v>
      </c>
      <c r="BS1008" s="25">
        <v>63.45520459348662</v>
      </c>
      <c r="BT1008" s="25">
        <v>88.740785734597168</v>
      </c>
      <c r="BU1008" s="25">
        <v>30.7757999378689</v>
      </c>
      <c r="BV1008" s="25">
        <v>97.60977143357438</v>
      </c>
      <c r="BW1008" s="25">
        <v>64.547626595443546</v>
      </c>
      <c r="BX1008" s="25">
        <v>70.145390424881768</v>
      </c>
      <c r="BY1008" s="25">
        <v>65.476817150902662</v>
      </c>
      <c r="BZ1008">
        <v>17</v>
      </c>
      <c r="CA1008">
        <v>0</v>
      </c>
      <c r="CB1008">
        <v>7</v>
      </c>
      <c r="CC1008">
        <v>33840.819422</v>
      </c>
      <c r="CD1008" s="10">
        <v>199.145465</v>
      </c>
      <c r="CE1008" s="255">
        <v>5.8847707709623323E-3</v>
      </c>
      <c r="CF1008" t="str">
        <f>IFERROR(VLOOKUP(CE1008,'Rangos amb etnico'!$A$2:$C$6,3,9),"N.D.")</f>
        <v>0,1% - 30%</v>
      </c>
      <c r="CG1008" s="256">
        <v>5.7938922885845625E-6</v>
      </c>
      <c r="CH1008" s="232">
        <v>0</v>
      </c>
      <c r="CI1008" s="311">
        <f t="shared" si="427"/>
        <v>0</v>
      </c>
      <c r="CJ1008" s="232">
        <f>IFERROR(VLOOKUP(CI1008,'Rangos amb etnico'!$A$2:$C$6,3,9),"N.D.")</f>
        <v>0</v>
      </c>
      <c r="CK1008" s="311">
        <f t="shared" si="428"/>
        <v>0</v>
      </c>
      <c r="CL1008" s="10">
        <v>0</v>
      </c>
      <c r="CM1008" s="255">
        <f t="shared" si="429"/>
        <v>0</v>
      </c>
      <c r="CN1008" s="232">
        <f>IFERROR(VLOOKUP(CM1008,'Rangos amb etnico'!$A$2:$C$6,3,9),"N.D.")</f>
        <v>0</v>
      </c>
      <c r="CO1008" s="311">
        <f t="shared" si="430"/>
        <v>0</v>
      </c>
      <c r="CP1008">
        <v>0.93999783867584696</v>
      </c>
      <c r="CQ1008" t="s">
        <v>2864</v>
      </c>
      <c r="CR1008">
        <f t="shared" si="421"/>
        <v>4</v>
      </c>
      <c r="CS1008" t="str">
        <f t="shared" si="431"/>
        <v>Candidato</v>
      </c>
      <c r="CT1008">
        <v>0</v>
      </c>
      <c r="CU1008">
        <v>0</v>
      </c>
      <c r="CV1008" s="25">
        <v>52.136985778808587</v>
      </c>
      <c r="CW1008" s="25">
        <v>14.30835437774658</v>
      </c>
      <c r="CX1008" s="25">
        <v>54.896205902099609</v>
      </c>
      <c r="CY1008" s="25">
        <v>59.56671142578125</v>
      </c>
      <c r="CZ1008" s="25">
        <v>33.372409820556641</v>
      </c>
      <c r="DA1008" s="25">
        <v>93.471321105957031</v>
      </c>
      <c r="DB1008" s="25">
        <v>57.2069091796875</v>
      </c>
      <c r="DC1008">
        <v>51</v>
      </c>
      <c r="DD1008" s="253" t="s">
        <v>380</v>
      </c>
    </row>
    <row r="1009" spans="1:108" hidden="1">
      <c r="A1009" s="13">
        <v>19809</v>
      </c>
      <c r="B1009" s="13" t="s">
        <v>2416</v>
      </c>
      <c r="C1009" s="13" t="s">
        <v>557</v>
      </c>
      <c r="D1009" s="13" t="s">
        <v>558</v>
      </c>
      <c r="E1009" s="13" t="s">
        <v>2417</v>
      </c>
      <c r="F1009" s="14">
        <v>39.479633333333297</v>
      </c>
      <c r="G1009" s="13">
        <v>79.040000000000006</v>
      </c>
      <c r="H1009" s="13">
        <v>80.05</v>
      </c>
      <c r="I1009" s="13">
        <v>88.79</v>
      </c>
      <c r="J1009" s="14">
        <v>56.466144790737481</v>
      </c>
      <c r="K1009" s="14">
        <v>62.82751722187713</v>
      </c>
      <c r="L1009" s="14">
        <v>67.82740777656241</v>
      </c>
      <c r="M1009" s="14">
        <v>54.478299999999997</v>
      </c>
      <c r="N1009" s="14">
        <f t="shared" si="405"/>
        <v>71.839908333333327</v>
      </c>
      <c r="O1009" s="14">
        <f t="shared" si="406"/>
        <v>60.399842447294255</v>
      </c>
      <c r="P1009" s="14">
        <f t="shared" si="422"/>
        <v>66.119875390313794</v>
      </c>
      <c r="Q1009" s="14">
        <v>68.406838707602162</v>
      </c>
      <c r="R1009" s="17">
        <f t="shared" si="407"/>
        <v>31.593161292397838</v>
      </c>
      <c r="S1009" s="14">
        <f t="shared" si="423"/>
        <v>0.38433845163158054</v>
      </c>
      <c r="T1009" s="13">
        <v>0</v>
      </c>
      <c r="U1009" s="13">
        <f t="shared" si="424"/>
        <v>25.41241052958625</v>
      </c>
      <c r="V1009" s="13">
        <f>IF($T1009=1,$AU1009,(VLOOKUP(U1009,'Cortes naturales'!$A$35:$C$39,3,9)))</f>
        <v>4</v>
      </c>
      <c r="W1009" s="13">
        <v>4</v>
      </c>
      <c r="X1009" s="14" t="b">
        <f t="shared" si="408"/>
        <v>1</v>
      </c>
      <c r="Y1009" s="17">
        <f>IF($T1009=1,$AU1009,VLOOKUP(U1009,'Cortes naturales'!$A$45:$C$49,3,9))</f>
        <v>4</v>
      </c>
      <c r="Z1009" s="14">
        <v>56.834914982409558</v>
      </c>
      <c r="AA1009" s="14">
        <v>0.38564105481906608</v>
      </c>
      <c r="AB1009" s="14">
        <v>21.917876564368363</v>
      </c>
      <c r="AC1009" s="13">
        <v>4</v>
      </c>
      <c r="AD1009" s="13">
        <f t="shared" si="409"/>
        <v>0</v>
      </c>
      <c r="AE1009" s="14">
        <f t="shared" si="410"/>
        <v>9.2849604079042365</v>
      </c>
      <c r="AF1009" s="14">
        <f t="shared" si="411"/>
        <v>-1.3026031874855404E-3</v>
      </c>
      <c r="AG1009" s="13">
        <f t="shared" si="412"/>
        <v>3.4945339652178866</v>
      </c>
      <c r="AH1009" s="13">
        <f>IF($T1009=1,$AU1009,VLOOKUP(U1009,'Cortes naturales'!$A$25:$C$29,3,9))</f>
        <v>4</v>
      </c>
      <c r="AI1009" s="13" t="b">
        <f t="shared" si="413"/>
        <v>1</v>
      </c>
      <c r="AJ1009" s="13">
        <f t="shared" si="414"/>
        <v>0</v>
      </c>
      <c r="AK1009" s="28">
        <v>0.6523467210059386</v>
      </c>
      <c r="AL1009" s="28">
        <v>37.076070427426167</v>
      </c>
      <c r="AM1009" s="28">
        <v>0.2931565473431324</v>
      </c>
      <c r="AN1009" s="13">
        <v>4</v>
      </c>
      <c r="AO1009" s="33">
        <f t="shared" si="415"/>
        <v>0</v>
      </c>
      <c r="AP1009" s="13">
        <f t="shared" si="425"/>
        <v>29.315654734313242</v>
      </c>
      <c r="AQ1009" s="13">
        <f>IFERROR(VLOOKUP(U1009,'Cortes naturales'!$E$15:$G$19,3,9),U1009)</f>
        <v>4</v>
      </c>
      <c r="AR1009" s="28">
        <f t="shared" si="416"/>
        <v>-0.26800826937435807</v>
      </c>
      <c r="AS1009" s="13" t="b">
        <f t="shared" si="417"/>
        <v>1</v>
      </c>
      <c r="AT1009" s="13">
        <f t="shared" si="426"/>
        <v>0</v>
      </c>
      <c r="AU1009" s="13">
        <v>4</v>
      </c>
      <c r="AV1009">
        <f t="shared" si="418"/>
        <v>0</v>
      </c>
      <c r="AW1009" s="13">
        <v>0</v>
      </c>
      <c r="AX1009" s="13">
        <v>0</v>
      </c>
      <c r="AY1009" s="13">
        <v>0</v>
      </c>
      <c r="AZ1009" s="13">
        <v>1</v>
      </c>
      <c r="BA1009">
        <v>1</v>
      </c>
      <c r="BB1009" t="s">
        <v>2841</v>
      </c>
      <c r="BC1009">
        <v>6</v>
      </c>
      <c r="BD1009" t="s">
        <v>2919</v>
      </c>
      <c r="BE1009">
        <v>0</v>
      </c>
      <c r="BF1009" s="232" t="s">
        <v>2846</v>
      </c>
      <c r="BG1009" s="232" t="s">
        <v>2846</v>
      </c>
      <c r="BH1009" s="253">
        <v>72.400000000000006</v>
      </c>
      <c r="BI1009" s="253">
        <v>64.125104099194971</v>
      </c>
      <c r="BJ1009" s="25">
        <v>18.633333333333336</v>
      </c>
      <c r="BK1009" t="s">
        <v>379</v>
      </c>
      <c r="BL1009">
        <v>11.913539423930091</v>
      </c>
      <c r="BM1009" t="s">
        <v>376</v>
      </c>
      <c r="BN1009" s="322">
        <v>66292.247537999996</v>
      </c>
      <c r="BO1009" s="322">
        <v>1731.390449</v>
      </c>
      <c r="BP1009" s="10">
        <v>29010</v>
      </c>
      <c r="BQ1009" s="254">
        <f t="shared" si="419"/>
        <v>2.2851515869700103</v>
      </c>
      <c r="BR1009" s="254">
        <f t="shared" si="420"/>
        <v>5.9682538745260257E-2</v>
      </c>
      <c r="BS1009" s="25">
        <v>46.964310928784784</v>
      </c>
      <c r="BT1009" s="25">
        <v>74.829432036289191</v>
      </c>
      <c r="BU1009" s="25">
        <v>51.929799616657931</v>
      </c>
      <c r="BV1009" s="25">
        <v>97.896865679233997</v>
      </c>
      <c r="BW1009" s="25">
        <v>43.820882573108221</v>
      </c>
      <c r="BX1009" s="25">
        <v>67.905102065241479</v>
      </c>
      <c r="BY1009" s="25">
        <v>44.505085865358502</v>
      </c>
      <c r="BZ1009">
        <v>38</v>
      </c>
      <c r="CA1009">
        <v>0</v>
      </c>
      <c r="CB1009">
        <v>7</v>
      </c>
      <c r="CC1009">
        <v>205978.54676600001</v>
      </c>
      <c r="CD1009" s="10">
        <v>21644.819993000001</v>
      </c>
      <c r="CE1009" s="255">
        <v>0.10508288524624554</v>
      </c>
      <c r="CF1009" t="str">
        <f>IFERROR(VLOOKUP(CE1009,'Rangos amb etnico'!$A$2:$C$6,3,9),"N.D.")</f>
        <v>0,1% - 30%</v>
      </c>
      <c r="CG1009" s="256">
        <v>6.2972940732164634E-4</v>
      </c>
      <c r="CH1009" s="232">
        <v>200110.33422700001</v>
      </c>
      <c r="CI1009" s="311">
        <f t="shared" si="427"/>
        <v>0.9715105644197668</v>
      </c>
      <c r="CJ1009" s="232" t="str">
        <f>IFERROR(VLOOKUP(CI1009,'Rangos amb etnico'!$A$2:$C$6,3,9),"N.D.")</f>
        <v>71% - 100%</v>
      </c>
      <c r="CK1009" s="311">
        <f t="shared" si="428"/>
        <v>7.9456904312887738E-3</v>
      </c>
      <c r="CL1009" s="10">
        <v>0</v>
      </c>
      <c r="CM1009" s="255">
        <f t="shared" si="429"/>
        <v>0</v>
      </c>
      <c r="CN1009" s="232">
        <f>IFERROR(VLOOKUP(CM1009,'Rangos amb etnico'!$A$2:$C$6,3,9),"N.D.")</f>
        <v>0</v>
      </c>
      <c r="CO1009" s="311">
        <f t="shared" si="430"/>
        <v>0</v>
      </c>
      <c r="CP1009">
        <v>0.91557569717401965</v>
      </c>
      <c r="CQ1009" t="s">
        <v>2864</v>
      </c>
      <c r="CR1009">
        <f t="shared" si="421"/>
        <v>2</v>
      </c>
      <c r="CS1009" t="str">
        <f t="shared" si="431"/>
        <v>No es Candidato</v>
      </c>
      <c r="CT1009">
        <v>0</v>
      </c>
      <c r="CU1009">
        <v>0</v>
      </c>
      <c r="CV1009" s="25">
        <v>36.517326354980469</v>
      </c>
      <c r="CW1009" s="25">
        <v>13.500027656555179</v>
      </c>
      <c r="CX1009" s="25">
        <v>43.236042022705078</v>
      </c>
      <c r="CY1009" s="25">
        <v>16.93387603759766</v>
      </c>
      <c r="CZ1009" s="25">
        <v>13.26419830322266</v>
      </c>
      <c r="DA1009" s="25">
        <v>91.60430908203125</v>
      </c>
      <c r="DB1009" s="25">
        <v>40.565509796142578</v>
      </c>
      <c r="DC1009">
        <v>25959</v>
      </c>
      <c r="DD1009" s="253" t="s">
        <v>380</v>
      </c>
    </row>
    <row r="1010" spans="1:108" hidden="1">
      <c r="A1010" s="13">
        <v>68720</v>
      </c>
      <c r="B1010" s="13" t="s">
        <v>2418</v>
      </c>
      <c r="C1010" s="13" t="s">
        <v>431</v>
      </c>
      <c r="D1010" s="13" t="s">
        <v>432</v>
      </c>
      <c r="E1010" s="13" t="s">
        <v>2419</v>
      </c>
      <c r="F1010" s="14">
        <v>46.0276</v>
      </c>
      <c r="G1010" s="13">
        <v>31.77</v>
      </c>
      <c r="H1010" s="13">
        <v>30.18</v>
      </c>
      <c r="I1010" s="13">
        <v>67.23</v>
      </c>
      <c r="J1010" s="14">
        <v>52.728679405703552</v>
      </c>
      <c r="K1010" s="14">
        <v>49.487621052772042</v>
      </c>
      <c r="L1010" s="14">
        <v>52.316259958600206</v>
      </c>
      <c r="M1010" s="14">
        <v>47.5441</v>
      </c>
      <c r="N1010" s="14">
        <f t="shared" si="405"/>
        <v>43.801900000000003</v>
      </c>
      <c r="O1010" s="14">
        <f t="shared" si="406"/>
        <v>50.51916510426895</v>
      </c>
      <c r="P1010" s="14">
        <f t="shared" si="422"/>
        <v>47.160532552134477</v>
      </c>
      <c r="Q1010" s="14">
        <v>68.822718612445954</v>
      </c>
      <c r="R1010" s="17">
        <f t="shared" si="407"/>
        <v>31.177281387554046</v>
      </c>
      <c r="S1010" s="14">
        <f t="shared" si="423"/>
        <v>0.38059553248798639</v>
      </c>
      <c r="T1010" s="13">
        <v>0</v>
      </c>
      <c r="U1010" s="13">
        <f t="shared" si="424"/>
        <v>17.949087999096637</v>
      </c>
      <c r="V1010" s="13">
        <f>IF($T1010=1,$AU1010,(VLOOKUP(U1010,'Cortes naturales'!$A$35:$C$39,3,9)))</f>
        <v>5</v>
      </c>
      <c r="W1010" s="13">
        <v>5</v>
      </c>
      <c r="X1010" s="14" t="b">
        <f t="shared" si="408"/>
        <v>1</v>
      </c>
      <c r="Y1010" s="17">
        <f>IF($T1010=1,$AU1010,VLOOKUP(U1010,'Cortes naturales'!$A$45:$C$49,3,9))</f>
        <v>5</v>
      </c>
      <c r="Z1010" s="14">
        <v>46.622030944503628</v>
      </c>
      <c r="AA1010" s="14">
        <v>0.38485083530506703</v>
      </c>
      <c r="AB1010" s="14">
        <v>17.942527552610905</v>
      </c>
      <c r="AC1010" s="13">
        <v>5</v>
      </c>
      <c r="AD1010" s="13">
        <f t="shared" si="409"/>
        <v>0</v>
      </c>
      <c r="AE1010" s="14">
        <f t="shared" si="410"/>
        <v>0.53850160763084887</v>
      </c>
      <c r="AF1010" s="14">
        <f t="shared" si="411"/>
        <v>-4.2553028170806417E-3</v>
      </c>
      <c r="AG1010" s="13">
        <f t="shared" si="412"/>
        <v>6.5604464857322853E-3</v>
      </c>
      <c r="AH1010" s="13">
        <f>IF($T1010=1,$AU1010,VLOOKUP(U1010,'Cortes naturales'!$A$25:$C$29,3,9))</f>
        <v>5</v>
      </c>
      <c r="AI1010" s="13" t="b">
        <f t="shared" si="413"/>
        <v>1</v>
      </c>
      <c r="AJ1010" s="13">
        <f t="shared" si="414"/>
        <v>0</v>
      </c>
      <c r="AK1010" s="28">
        <v>0.6523467210059386</v>
      </c>
      <c r="AL1010" s="28">
        <v>30.413729013284343</v>
      </c>
      <c r="AM1010" s="28">
        <v>0.20981767902202839</v>
      </c>
      <c r="AN1010" s="13">
        <v>4</v>
      </c>
      <c r="AO1010" s="33">
        <f t="shared" si="415"/>
        <v>-1</v>
      </c>
      <c r="AP1010" s="13">
        <f t="shared" si="425"/>
        <v>20.98176790220284</v>
      </c>
      <c r="AQ1010" s="13">
        <f>IFERROR(VLOOKUP(U1010,'Cortes naturales'!$E$15:$G$19,3,9),U1010)</f>
        <v>5</v>
      </c>
      <c r="AR1010" s="28">
        <f t="shared" si="416"/>
        <v>-0.27175118851795221</v>
      </c>
      <c r="AS1010" s="13" t="b">
        <f t="shared" si="417"/>
        <v>1</v>
      </c>
      <c r="AT1010" s="13" t="str">
        <f t="shared" si="426"/>
        <v>Efecto ponderador</v>
      </c>
      <c r="AU1010" s="13">
        <v>4</v>
      </c>
      <c r="AV1010">
        <f t="shared" si="418"/>
        <v>-1</v>
      </c>
      <c r="AW1010" s="13">
        <v>0</v>
      </c>
      <c r="AX1010" s="13">
        <v>0</v>
      </c>
      <c r="AY1010" s="13">
        <v>0</v>
      </c>
      <c r="AZ1010" s="13">
        <v>0</v>
      </c>
      <c r="BA1010">
        <v>0</v>
      </c>
      <c r="BB1010" t="s">
        <v>2841</v>
      </c>
      <c r="BC1010">
        <v>6</v>
      </c>
      <c r="BD1010" t="s">
        <v>2919</v>
      </c>
      <c r="BE1010">
        <v>0</v>
      </c>
      <c r="BF1010" s="232" t="s">
        <v>2846</v>
      </c>
      <c r="BG1010" s="232" t="s">
        <v>2845</v>
      </c>
      <c r="BH1010" s="253">
        <v>47.9</v>
      </c>
      <c r="BI1010" s="253">
        <v>22.658227848101266</v>
      </c>
      <c r="BJ1010" s="25">
        <v>46.476666666666667</v>
      </c>
      <c r="BK1010" t="s">
        <v>376</v>
      </c>
      <c r="BL1010">
        <v>5.2042557499141842E-2</v>
      </c>
      <c r="BM1010" t="s">
        <v>377</v>
      </c>
      <c r="BN1010" s="322">
        <v>13616.127145</v>
      </c>
      <c r="BO1010" s="322">
        <v>904.380539</v>
      </c>
      <c r="BP1010" s="10">
        <v>3472</v>
      </c>
      <c r="BQ1010" s="254">
        <f t="shared" si="419"/>
        <v>3.921695606278802</v>
      </c>
      <c r="BR1010" s="254">
        <f t="shared" si="420"/>
        <v>0.2604782658410138</v>
      </c>
      <c r="BS1010" s="25">
        <v>63.343324465211403</v>
      </c>
      <c r="BT1010" s="25">
        <v>100</v>
      </c>
      <c r="BU1010" s="25">
        <v>37.012948717948703</v>
      </c>
      <c r="BV1010" s="25">
        <v>96.832927014975283</v>
      </c>
      <c r="BW1010" s="25">
        <v>49.75206100411193</v>
      </c>
      <c r="BX1010" s="25">
        <v>74.297300049533845</v>
      </c>
      <c r="BY1010" s="25">
        <v>51.39115407015705</v>
      </c>
      <c r="BZ1010">
        <v>45</v>
      </c>
      <c r="CA1010">
        <v>0</v>
      </c>
      <c r="CB1010">
        <v>7</v>
      </c>
      <c r="CC1010">
        <v>37326.689286000001</v>
      </c>
      <c r="CD1010" s="10">
        <v>37216.860566000003</v>
      </c>
      <c r="CE1010" s="255">
        <v>0.9970576356462133</v>
      </c>
      <c r="CF1010" t="str">
        <f>IFERROR(VLOOKUP(CE1010,'Rangos amb etnico'!$A$2:$C$6,3,9),"N.D.")</f>
        <v>71% - 100%</v>
      </c>
      <c r="CG1010" s="256">
        <v>1.0827787689700809E-3</v>
      </c>
      <c r="CH1010" s="232">
        <v>0</v>
      </c>
      <c r="CI1010" s="311">
        <f t="shared" si="427"/>
        <v>0</v>
      </c>
      <c r="CJ1010" s="232">
        <f>IFERROR(VLOOKUP(CI1010,'Rangos amb etnico'!$A$2:$C$6,3,9),"N.D.")</f>
        <v>0</v>
      </c>
      <c r="CK1010" s="311">
        <f t="shared" si="428"/>
        <v>0</v>
      </c>
      <c r="CL1010" s="10">
        <v>0</v>
      </c>
      <c r="CM1010" s="255">
        <f t="shared" si="429"/>
        <v>0</v>
      </c>
      <c r="CN1010" s="232">
        <f>IFERROR(VLOOKUP(CM1010,'Rangos amb etnico'!$A$2:$C$6,3,9),"N.D.")</f>
        <v>0</v>
      </c>
      <c r="CO1010" s="311">
        <f t="shared" si="430"/>
        <v>0</v>
      </c>
      <c r="CP1010">
        <v>0.92939144003965923</v>
      </c>
      <c r="CQ1010" t="s">
        <v>2864</v>
      </c>
      <c r="CR1010">
        <f t="shared" si="421"/>
        <v>2</v>
      </c>
      <c r="CS1010" t="str">
        <f t="shared" si="431"/>
        <v>No es Candidato</v>
      </c>
      <c r="CT1010">
        <v>0</v>
      </c>
      <c r="CU1010">
        <v>0</v>
      </c>
      <c r="CV1010" s="25">
        <v>48.985771179199219</v>
      </c>
      <c r="CW1010" s="25">
        <v>9.0129241943359375</v>
      </c>
      <c r="CX1010" s="25">
        <v>47.001724243164063</v>
      </c>
      <c r="CY1010" s="25">
        <v>52.156044006347663</v>
      </c>
      <c r="CZ1010" s="25">
        <v>31.255630493164059</v>
      </c>
      <c r="DA1010" s="25">
        <v>93.653335571289063</v>
      </c>
      <c r="DB1010" s="25">
        <v>60.834964752197273</v>
      </c>
      <c r="DC1010">
        <v>20</v>
      </c>
      <c r="DD1010" s="253" t="s">
        <v>380</v>
      </c>
    </row>
    <row r="1011" spans="1:108" hidden="1">
      <c r="A1011" s="13">
        <v>68502</v>
      </c>
      <c r="B1011" s="13" t="s">
        <v>2420</v>
      </c>
      <c r="C1011" s="13" t="s">
        <v>431</v>
      </c>
      <c r="D1011" s="13" t="s">
        <v>432</v>
      </c>
      <c r="E1011" s="13" t="s">
        <v>2421</v>
      </c>
      <c r="F1011" s="14">
        <v>69.046000000000006</v>
      </c>
      <c r="G1011" s="13">
        <v>51.35</v>
      </c>
      <c r="H1011" s="13">
        <v>46.11</v>
      </c>
      <c r="I1011" s="13">
        <v>63.61</v>
      </c>
      <c r="J1011" s="14">
        <v>49.466003015074492</v>
      </c>
      <c r="K1011" s="14">
        <v>48.388017144046337</v>
      </c>
      <c r="L1011" s="14">
        <v>50.223196650267177</v>
      </c>
      <c r="M1011" s="14">
        <v>49.097799999999999</v>
      </c>
      <c r="N1011" s="14">
        <f t="shared" si="405"/>
        <v>57.529000000000011</v>
      </c>
      <c r="O1011" s="14">
        <f t="shared" si="406"/>
        <v>49.293754202347003</v>
      </c>
      <c r="P1011" s="14">
        <f t="shared" si="422"/>
        <v>53.411377101173507</v>
      </c>
      <c r="Q1011" s="14">
        <v>67.984713935699276</v>
      </c>
      <c r="R1011" s="17">
        <f t="shared" si="407"/>
        <v>32.015286064300724</v>
      </c>
      <c r="S1011" s="14">
        <f t="shared" si="423"/>
        <v>0.38813757457870657</v>
      </c>
      <c r="T1011" s="13">
        <v>0</v>
      </c>
      <c r="U1011" s="13">
        <f t="shared" si="424"/>
        <v>20.730962362958152</v>
      </c>
      <c r="V1011" s="13">
        <f>IF($T1011=1,$AU1011,(VLOOKUP(U1011,'Cortes naturales'!$A$35:$C$39,3,9)))</f>
        <v>5</v>
      </c>
      <c r="W1011" s="13">
        <v>5</v>
      </c>
      <c r="X1011" s="14" t="b">
        <f t="shared" si="408"/>
        <v>1</v>
      </c>
      <c r="Y1011" s="17">
        <f>IF($T1011=1,$AU1011,VLOOKUP(U1011,'Cortes naturales'!$A$45:$C$49,3,9))</f>
        <v>5</v>
      </c>
      <c r="Z1011" s="14">
        <v>54.039036134897998</v>
      </c>
      <c r="AA1011" s="14">
        <v>0.38527145320775835</v>
      </c>
      <c r="AB1011" s="14">
        <v>20.819697981638718</v>
      </c>
      <c r="AC1011" s="13">
        <v>4</v>
      </c>
      <c r="AD1011" s="13">
        <f t="shared" si="409"/>
        <v>-1</v>
      </c>
      <c r="AE1011" s="14">
        <f t="shared" si="410"/>
        <v>-0.62765903372449117</v>
      </c>
      <c r="AF1011" s="14">
        <f t="shared" si="411"/>
        <v>2.8661213709482158E-3</v>
      </c>
      <c r="AG1011" s="13">
        <f t="shared" si="412"/>
        <v>-8.873561868056612E-2</v>
      </c>
      <c r="AH1011" s="13">
        <f>IF($T1011=1,$AU1011,VLOOKUP(U1011,'Cortes naturales'!$A$25:$C$29,3,9))</f>
        <v>4</v>
      </c>
      <c r="AI1011" s="13" t="b">
        <f t="shared" si="413"/>
        <v>0</v>
      </c>
      <c r="AJ1011" s="13" t="str">
        <f t="shared" si="414"/>
        <v>Cambio en corte</v>
      </c>
      <c r="AK1011" s="28">
        <v>0.6523467210059386</v>
      </c>
      <c r="AL1011" s="28">
        <v>35.252188028922141</v>
      </c>
      <c r="AM1011" s="28">
        <v>0.27034170109111316</v>
      </c>
      <c r="AN1011" s="13">
        <v>4</v>
      </c>
      <c r="AO1011" s="33">
        <f t="shared" si="415"/>
        <v>-1</v>
      </c>
      <c r="AP1011" s="13">
        <f t="shared" si="425"/>
        <v>27.034170109111315</v>
      </c>
      <c r="AQ1011" s="13">
        <f>IFERROR(VLOOKUP(U1011,'Cortes naturales'!$E$15:$G$19,3,9),U1011)</f>
        <v>4</v>
      </c>
      <c r="AR1011" s="28">
        <f t="shared" si="416"/>
        <v>-0.26420914642723203</v>
      </c>
      <c r="AS1011" s="13" t="b">
        <f t="shared" si="417"/>
        <v>0</v>
      </c>
      <c r="AT1011" s="13" t="str">
        <f t="shared" si="426"/>
        <v>Cambio en corte</v>
      </c>
      <c r="AU1011" s="13">
        <v>4</v>
      </c>
      <c r="AV1011">
        <f t="shared" si="418"/>
        <v>-1</v>
      </c>
      <c r="AW1011" s="13">
        <v>0</v>
      </c>
      <c r="AX1011" s="13">
        <v>0</v>
      </c>
      <c r="AY1011" s="13">
        <v>0</v>
      </c>
      <c r="AZ1011" s="13">
        <v>0</v>
      </c>
      <c r="BA1011">
        <v>0</v>
      </c>
      <c r="BB1011" t="s">
        <v>2841</v>
      </c>
      <c r="BC1011">
        <v>6</v>
      </c>
      <c r="BD1011" t="s">
        <v>2919</v>
      </c>
      <c r="BE1011">
        <v>0</v>
      </c>
      <c r="BF1011" s="232" t="s">
        <v>2846</v>
      </c>
      <c r="BG1011" s="232" t="s">
        <v>2845</v>
      </c>
      <c r="BH1011" s="253">
        <v>55.1</v>
      </c>
      <c r="BI1011" s="253">
        <v>26.043788187372709</v>
      </c>
      <c r="BJ1011" s="25">
        <v>0</v>
      </c>
      <c r="BK1011" t="s">
        <v>381</v>
      </c>
      <c r="BL1011">
        <v>1.9957787783350209</v>
      </c>
      <c r="BM1011" t="s">
        <v>383</v>
      </c>
      <c r="BN1011" s="322">
        <v>14107.256033</v>
      </c>
      <c r="BO1011" s="322">
        <v>779.73546899999997</v>
      </c>
      <c r="BP1011" s="10">
        <v>4721</v>
      </c>
      <c r="BQ1011" s="254">
        <f t="shared" si="419"/>
        <v>2.9881923391230671</v>
      </c>
      <c r="BR1011" s="254">
        <f t="shared" si="420"/>
        <v>0.16516320038127513</v>
      </c>
      <c r="BS1011" s="25">
        <v>56.938623090745729</v>
      </c>
      <c r="BT1011" s="25">
        <v>89.528693348866753</v>
      </c>
      <c r="BU1011" s="25">
        <v>34.822142440163432</v>
      </c>
      <c r="BV1011" s="25">
        <v>90.236444458487711</v>
      </c>
      <c r="BW1011" s="25">
        <v>55.343988994492577</v>
      </c>
      <c r="BX1011" s="25">
        <v>67.881475834565904</v>
      </c>
      <c r="BY1011" s="25">
        <v>54.996498574203592</v>
      </c>
      <c r="BZ1011">
        <v>75</v>
      </c>
      <c r="CA1011">
        <v>0</v>
      </c>
      <c r="CB1011">
        <v>7</v>
      </c>
      <c r="CC1011">
        <v>48821.431624999997</v>
      </c>
      <c r="CD1011" s="10">
        <v>25430.641599999999</v>
      </c>
      <c r="CE1011" s="255">
        <v>0.52089094386527013</v>
      </c>
      <c r="CF1011" t="str">
        <f>IFERROR(VLOOKUP(CE1011,'Rangos amb etnico'!$A$2:$C$6,3,9),"N.D.")</f>
        <v>51% - 70%</v>
      </c>
      <c r="CG1011" s="256">
        <v>7.3987322914934451E-4</v>
      </c>
      <c r="CH1011" s="232">
        <v>0</v>
      </c>
      <c r="CI1011" s="311">
        <f t="shared" si="427"/>
        <v>0</v>
      </c>
      <c r="CJ1011" s="232">
        <f>IFERROR(VLOOKUP(CI1011,'Rangos amb etnico'!$A$2:$C$6,3,9),"N.D.")</f>
        <v>0</v>
      </c>
      <c r="CK1011" s="311">
        <f t="shared" si="428"/>
        <v>0</v>
      </c>
      <c r="CL1011" s="10">
        <v>0</v>
      </c>
      <c r="CM1011" s="255">
        <f t="shared" si="429"/>
        <v>0</v>
      </c>
      <c r="CN1011" s="232">
        <f>IFERROR(VLOOKUP(CM1011,'Rangos amb etnico'!$A$2:$C$6,3,9),"N.D.")</f>
        <v>0</v>
      </c>
      <c r="CO1011" s="311">
        <f t="shared" si="430"/>
        <v>0</v>
      </c>
      <c r="CP1011">
        <v>0.97146092513381799</v>
      </c>
      <c r="CQ1011" t="s">
        <v>2864</v>
      </c>
      <c r="CR1011">
        <f t="shared" si="421"/>
        <v>2</v>
      </c>
      <c r="CS1011" t="str">
        <f t="shared" si="431"/>
        <v>No es Candidato</v>
      </c>
      <c r="CT1011">
        <v>0</v>
      </c>
      <c r="CU1011">
        <v>0</v>
      </c>
      <c r="CV1011" s="25">
        <v>53.793323516845703</v>
      </c>
      <c r="CW1011" s="25">
        <v>14.567020416259769</v>
      </c>
      <c r="CX1011" s="25">
        <v>49.259635925292969</v>
      </c>
      <c r="CY1011" s="25">
        <v>69.410186767578125</v>
      </c>
      <c r="CZ1011" s="25">
        <v>31.42787933349609</v>
      </c>
      <c r="DA1011" s="25">
        <v>86.403694152832031</v>
      </c>
      <c r="DB1011" s="25">
        <v>71.691513061523438</v>
      </c>
      <c r="DC1011">
        <v>35</v>
      </c>
      <c r="DD1011" s="253" t="s">
        <v>380</v>
      </c>
    </row>
    <row r="1012" spans="1:108" hidden="1">
      <c r="A1012" s="13">
        <v>52418</v>
      </c>
      <c r="B1012" s="13" t="s">
        <v>2422</v>
      </c>
      <c r="C1012" s="13" t="s">
        <v>672</v>
      </c>
      <c r="D1012" s="13" t="s">
        <v>673</v>
      </c>
      <c r="E1012" s="13" t="s">
        <v>2423</v>
      </c>
      <c r="F1012" s="14">
        <v>63.540700000000001</v>
      </c>
      <c r="G1012" s="13">
        <v>30.08</v>
      </c>
      <c r="H1012" s="13">
        <v>37.67</v>
      </c>
      <c r="I1012" s="13">
        <v>60.74</v>
      </c>
      <c r="J1012" s="14">
        <v>57.410636894364735</v>
      </c>
      <c r="K1012" s="14">
        <v>65.926108108431961</v>
      </c>
      <c r="L1012" s="14">
        <v>70.131247201226927</v>
      </c>
      <c r="M1012" s="14">
        <v>68.802000000000007</v>
      </c>
      <c r="N1012" s="14">
        <f t="shared" si="405"/>
        <v>48.007675000000006</v>
      </c>
      <c r="O1012" s="14">
        <f t="shared" si="406"/>
        <v>65.567498051005913</v>
      </c>
      <c r="P1012" s="14">
        <f t="shared" si="422"/>
        <v>56.787586525502959</v>
      </c>
      <c r="Q1012" s="14">
        <v>69.072292156350784</v>
      </c>
      <c r="R1012" s="17">
        <f t="shared" si="407"/>
        <v>30.927707843649216</v>
      </c>
      <c r="S1012" s="14">
        <f t="shared" si="423"/>
        <v>0.3783493705928429</v>
      </c>
      <c r="T1012" s="13">
        <v>0</v>
      </c>
      <c r="U1012" s="13">
        <f t="shared" si="424"/>
        <v>21.485547619410653</v>
      </c>
      <c r="V1012" s="13">
        <f>IF($T1012=1,$AU1012,(VLOOKUP(U1012,'Cortes naturales'!$A$35:$C$39,3,9)))</f>
        <v>5</v>
      </c>
      <c r="W1012" s="13">
        <v>5</v>
      </c>
      <c r="X1012" s="14" t="b">
        <f t="shared" si="408"/>
        <v>1</v>
      </c>
      <c r="Y1012" s="17">
        <f>IF($T1012=1,$AU1012,VLOOKUP(U1012,'Cortes naturales'!$A$45:$C$49,3,9))</f>
        <v>4</v>
      </c>
      <c r="Z1012" s="14">
        <v>55.297398756086082</v>
      </c>
      <c r="AA1012" s="14">
        <v>0.38442032629358203</v>
      </c>
      <c r="AB1012" s="14">
        <v>21.257444073000929</v>
      </c>
      <c r="AC1012" s="13">
        <v>4</v>
      </c>
      <c r="AD1012" s="13">
        <f t="shared" si="409"/>
        <v>0</v>
      </c>
      <c r="AE1012" s="14">
        <f t="shared" si="410"/>
        <v>1.4901877694168775</v>
      </c>
      <c r="AF1012" s="14">
        <f t="shared" si="411"/>
        <v>-6.0709557007391224E-3</v>
      </c>
      <c r="AG1012" s="13">
        <f t="shared" si="412"/>
        <v>0.22810354640972363</v>
      </c>
      <c r="AH1012" s="13">
        <f>IF($T1012=1,$AU1012,VLOOKUP(U1012,'Cortes naturales'!$A$25:$C$29,3,9))</f>
        <v>4</v>
      </c>
      <c r="AI1012" s="13" t="b">
        <f t="shared" si="413"/>
        <v>1</v>
      </c>
      <c r="AJ1012" s="13">
        <f t="shared" si="414"/>
        <v>0</v>
      </c>
      <c r="AK1012" s="28">
        <v>0.6523467210059386</v>
      </c>
      <c r="AL1012" s="28">
        <v>36.073076758690625</v>
      </c>
      <c r="AM1012" s="28">
        <v>0.28061015380223353</v>
      </c>
      <c r="AN1012" s="13">
        <v>4</v>
      </c>
      <c r="AO1012" s="33">
        <f t="shared" si="415"/>
        <v>0</v>
      </c>
      <c r="AP1012" s="13">
        <f t="shared" si="425"/>
        <v>28.061015380223353</v>
      </c>
      <c r="AQ1012" s="13">
        <f>IFERROR(VLOOKUP(U1012,'Cortes naturales'!$E$15:$G$19,3,9),U1012)</f>
        <v>4</v>
      </c>
      <c r="AR1012" s="28">
        <f t="shared" si="416"/>
        <v>-0.2739973504130957</v>
      </c>
      <c r="AS1012" s="13" t="b">
        <f t="shared" si="417"/>
        <v>1</v>
      </c>
      <c r="AT1012" s="13">
        <f t="shared" si="426"/>
        <v>0</v>
      </c>
      <c r="AU1012" s="13">
        <v>4</v>
      </c>
      <c r="AV1012">
        <f t="shared" si="418"/>
        <v>0</v>
      </c>
      <c r="AW1012" s="13">
        <v>0</v>
      </c>
      <c r="AX1012" s="13">
        <v>0</v>
      </c>
      <c r="AY1012" s="13">
        <v>0</v>
      </c>
      <c r="AZ1012" s="13">
        <v>1</v>
      </c>
      <c r="BA1012">
        <v>1</v>
      </c>
      <c r="BB1012" t="s">
        <v>2840</v>
      </c>
      <c r="BC1012">
        <v>6</v>
      </c>
      <c r="BD1012" t="s">
        <v>2919</v>
      </c>
      <c r="BE1012">
        <v>0</v>
      </c>
      <c r="BF1012" s="232" t="s">
        <v>2846</v>
      </c>
      <c r="BG1012" s="232" t="s">
        <v>2845</v>
      </c>
      <c r="BH1012" s="253">
        <v>44.9</v>
      </c>
      <c r="BI1012" s="253">
        <v>23.701485661637683</v>
      </c>
      <c r="BJ1012" s="25">
        <v>38.924068128527601</v>
      </c>
      <c r="BK1012" t="s">
        <v>376</v>
      </c>
      <c r="BL1012">
        <v>72.613668202209965</v>
      </c>
      <c r="BM1012" t="s">
        <v>384</v>
      </c>
      <c r="BN1012" s="322">
        <v>25170.178512999999</v>
      </c>
      <c r="BO1012" s="322">
        <v>1498.61994</v>
      </c>
      <c r="BP1012" s="10">
        <v>9553</v>
      </c>
      <c r="BQ1012" s="254">
        <f t="shared" si="419"/>
        <v>2.6347931030042919</v>
      </c>
      <c r="BR1012" s="254">
        <f t="shared" si="420"/>
        <v>0.15687427405003665</v>
      </c>
      <c r="BS1012" s="25">
        <v>64.733491859599766</v>
      </c>
      <c r="BT1012" s="25">
        <v>98.646149551624262</v>
      </c>
      <c r="BU1012" s="25">
        <v>52.019849385652002</v>
      </c>
      <c r="BV1012" s="25">
        <v>89.59570138598292</v>
      </c>
      <c r="BW1012" s="25">
        <v>53.950431344273618</v>
      </c>
      <c r="BX1012" s="25">
        <v>76.24879804571475</v>
      </c>
      <c r="BY1012" s="25">
        <v>54.108313685134497</v>
      </c>
      <c r="BZ1012">
        <v>70</v>
      </c>
      <c r="CA1012">
        <v>0</v>
      </c>
      <c r="CB1012">
        <v>7</v>
      </c>
      <c r="CC1012">
        <v>95796.688473999995</v>
      </c>
      <c r="CD1012" s="10">
        <v>82135.357373999999</v>
      </c>
      <c r="CE1012" s="255">
        <v>0.85739244938818748</v>
      </c>
      <c r="CF1012" t="str">
        <f>IFERROR(VLOOKUP(CE1012,'Rangos amb etnico'!$A$2:$C$6,3,9),"N.D.")</f>
        <v>71% - 100%</v>
      </c>
      <c r="CG1012" s="256">
        <v>2.3896271688102753E-3</v>
      </c>
      <c r="CH1012" s="232">
        <v>55112.022356000001</v>
      </c>
      <c r="CI1012" s="311">
        <f t="shared" si="427"/>
        <v>0.57530195702910814</v>
      </c>
      <c r="CJ1012" s="232" t="str">
        <f>IFERROR(VLOOKUP(CI1012,'Rangos amb etnico'!$A$2:$C$6,3,9),"N.D.")</f>
        <v>51% - 70%</v>
      </c>
      <c r="CK1012" s="311">
        <f t="shared" si="428"/>
        <v>2.1883081169925796E-3</v>
      </c>
      <c r="CL1012" s="10">
        <v>0</v>
      </c>
      <c r="CM1012" s="255">
        <f t="shared" si="429"/>
        <v>0</v>
      </c>
      <c r="CN1012" s="232">
        <f>IFERROR(VLOOKUP(CM1012,'Rangos amb etnico'!$A$2:$C$6,3,9),"N.D.")</f>
        <v>0</v>
      </c>
      <c r="CO1012" s="311">
        <f t="shared" si="430"/>
        <v>0</v>
      </c>
      <c r="CP1012">
        <v>0.85829350057651055</v>
      </c>
      <c r="CQ1012" t="s">
        <v>2864</v>
      </c>
      <c r="CR1012">
        <f t="shared" si="421"/>
        <v>3</v>
      </c>
      <c r="CS1012" t="str">
        <f t="shared" si="431"/>
        <v>Candidato</v>
      </c>
      <c r="CT1012">
        <v>0</v>
      </c>
      <c r="CU1012">
        <v>0</v>
      </c>
      <c r="CV1012" s="25">
        <v>43.509746551513672</v>
      </c>
      <c r="CW1012" s="25">
        <v>14.926224708557131</v>
      </c>
      <c r="CX1012" s="25">
        <v>43.652622222900391</v>
      </c>
      <c r="CY1012" s="25">
        <v>54.690341949462891</v>
      </c>
      <c r="CZ1012" s="25">
        <v>32.310661315917969</v>
      </c>
      <c r="DA1012" s="25">
        <v>51.342185974121087</v>
      </c>
      <c r="DB1012" s="25">
        <v>64.136451721191406</v>
      </c>
      <c r="DC1012">
        <v>421</v>
      </c>
      <c r="DD1012" s="253" t="s">
        <v>380</v>
      </c>
    </row>
    <row r="1013" spans="1:108" hidden="1">
      <c r="A1013" s="13">
        <v>18610</v>
      </c>
      <c r="B1013" s="13" t="s">
        <v>2424</v>
      </c>
      <c r="C1013" s="13" t="s">
        <v>1463</v>
      </c>
      <c r="D1013" s="13" t="s">
        <v>1464</v>
      </c>
      <c r="E1013" s="13" t="s">
        <v>2425</v>
      </c>
      <c r="F1013" s="14">
        <v>60.578299999999999</v>
      </c>
      <c r="G1013" s="13">
        <v>57.81</v>
      </c>
      <c r="H1013" s="13">
        <v>48.68</v>
      </c>
      <c r="I1013" s="13">
        <v>62.83</v>
      </c>
      <c r="J1013" s="14">
        <v>58.07232143493529</v>
      </c>
      <c r="K1013" s="14">
        <v>46.847114953080599</v>
      </c>
      <c r="L1013" s="14">
        <v>61.915969587205964</v>
      </c>
      <c r="M1013" s="14">
        <v>58.572200000000002</v>
      </c>
      <c r="N1013" s="14">
        <f t="shared" si="405"/>
        <v>57.474575000000002</v>
      </c>
      <c r="O1013" s="14">
        <f t="shared" si="406"/>
        <v>56.351901493805471</v>
      </c>
      <c r="P1013" s="14">
        <f t="shared" si="422"/>
        <v>56.913238246902736</v>
      </c>
      <c r="Q1013" s="14">
        <v>69.079346441951827</v>
      </c>
      <c r="R1013" s="17">
        <f t="shared" si="407"/>
        <v>30.920653558048173</v>
      </c>
      <c r="S1013" s="14">
        <f t="shared" si="423"/>
        <v>0.37828588202243352</v>
      </c>
      <c r="T1013" s="13">
        <v>0</v>
      </c>
      <c r="U1013" s="13">
        <f t="shared" si="424"/>
        <v>21.529474528982501</v>
      </c>
      <c r="V1013" s="13">
        <f>IF($T1013=1,$AU1013,(VLOOKUP(U1013,'Cortes naturales'!$A$35:$C$39,3,9)))</f>
        <v>5</v>
      </c>
      <c r="W1013" s="13">
        <v>5</v>
      </c>
      <c r="X1013" s="14" t="b">
        <f t="shared" si="408"/>
        <v>1</v>
      </c>
      <c r="Y1013" s="17">
        <f>IF($T1013=1,$AU1013,VLOOKUP(U1013,'Cortes naturales'!$A$45:$C$49,3,9))</f>
        <v>4</v>
      </c>
      <c r="Z1013" s="14">
        <v>56.071464321062834</v>
      </c>
      <c r="AA1013" s="14">
        <v>0.38275002136189584</v>
      </c>
      <c r="AB1013" s="14">
        <v>21.46135416667958</v>
      </c>
      <c r="AC1013" s="13">
        <v>4</v>
      </c>
      <c r="AD1013" s="13">
        <f t="shared" si="409"/>
        <v>0</v>
      </c>
      <c r="AE1013" s="14">
        <f t="shared" si="410"/>
        <v>0.8417739258399024</v>
      </c>
      <c r="AF1013" s="14">
        <f t="shared" si="411"/>
        <v>-4.4641393394623252E-3</v>
      </c>
      <c r="AG1013" s="13">
        <f t="shared" si="412"/>
        <v>6.8120362302920512E-2</v>
      </c>
      <c r="AH1013" s="13">
        <f>IF($T1013=1,$AU1013,VLOOKUP(U1013,'Cortes naturales'!$A$25:$C$29,3,9))</f>
        <v>4</v>
      </c>
      <c r="AI1013" s="13" t="b">
        <f t="shared" si="413"/>
        <v>1</v>
      </c>
      <c r="AJ1013" s="13">
        <f t="shared" si="414"/>
        <v>0</v>
      </c>
      <c r="AK1013" s="28">
        <v>0.6523467210059386</v>
      </c>
      <c r="AL1013" s="28">
        <v>36.578035891846817</v>
      </c>
      <c r="AM1013" s="28">
        <v>0.28692666028091918</v>
      </c>
      <c r="AN1013" s="13">
        <v>4</v>
      </c>
      <c r="AO1013" s="33">
        <f t="shared" si="415"/>
        <v>0</v>
      </c>
      <c r="AP1013" s="13">
        <f t="shared" si="425"/>
        <v>28.692666028091917</v>
      </c>
      <c r="AQ1013" s="13">
        <f>IFERROR(VLOOKUP(U1013,'Cortes naturales'!$E$15:$G$19,3,9),U1013)</f>
        <v>4</v>
      </c>
      <c r="AR1013" s="28">
        <f t="shared" si="416"/>
        <v>-0.27406083898350508</v>
      </c>
      <c r="AS1013" s="13" t="b">
        <f t="shared" si="417"/>
        <v>1</v>
      </c>
      <c r="AT1013" s="13">
        <f t="shared" si="426"/>
        <v>0</v>
      </c>
      <c r="AU1013" s="13">
        <v>4</v>
      </c>
      <c r="AV1013">
        <f t="shared" si="418"/>
        <v>0</v>
      </c>
      <c r="AW1013" s="13">
        <v>0</v>
      </c>
      <c r="AX1013" s="13">
        <v>0</v>
      </c>
      <c r="AY1013" s="13">
        <v>0</v>
      </c>
      <c r="AZ1013" s="13">
        <v>1</v>
      </c>
      <c r="BA1013">
        <v>1</v>
      </c>
      <c r="BB1013" t="s">
        <v>2840</v>
      </c>
      <c r="BC1013">
        <v>6</v>
      </c>
      <c r="BD1013" t="s">
        <v>2919</v>
      </c>
      <c r="BE1013">
        <v>1</v>
      </c>
      <c r="BF1013" s="232" t="s">
        <v>2846</v>
      </c>
      <c r="BG1013" s="232" t="s">
        <v>2846</v>
      </c>
      <c r="BH1013" s="253">
        <v>48.7</v>
      </c>
      <c r="BI1013" s="253">
        <v>26.72138622891017</v>
      </c>
      <c r="BJ1013" s="25">
        <v>5.1611111111111114</v>
      </c>
      <c r="BK1013" t="s">
        <v>377</v>
      </c>
      <c r="BL1013">
        <v>18.699411262881366</v>
      </c>
      <c r="BM1013" t="s">
        <v>376</v>
      </c>
      <c r="BN1013" s="322">
        <v>30275.120149999999</v>
      </c>
      <c r="BO1013" s="322">
        <v>3245.616297</v>
      </c>
      <c r="BP1013" s="10">
        <v>13229</v>
      </c>
      <c r="BQ1013" s="254">
        <f t="shared" si="419"/>
        <v>2.2885418512359208</v>
      </c>
      <c r="BR1013" s="254">
        <f t="shared" si="420"/>
        <v>0.24534101572303274</v>
      </c>
      <c r="BS1013" s="25">
        <v>63.48771143671339</v>
      </c>
      <c r="BT1013" s="25">
        <v>95.776773333333338</v>
      </c>
      <c r="BU1013" s="25">
        <v>47.14441657773034</v>
      </c>
      <c r="BV1013" s="25">
        <v>80.454283155939109</v>
      </c>
      <c r="BW1013" s="25">
        <v>57.595063446632089</v>
      </c>
      <c r="BX1013" s="25">
        <v>71.715796125929046</v>
      </c>
      <c r="BY1013" s="25">
        <v>58.373907322351698</v>
      </c>
      <c r="BZ1013">
        <v>3</v>
      </c>
      <c r="CA1013">
        <v>0</v>
      </c>
      <c r="CB1013">
        <v>7</v>
      </c>
      <c r="CC1013">
        <v>131024.886417</v>
      </c>
      <c r="CD1013" s="10">
        <v>63443.890757000001</v>
      </c>
      <c r="CE1013" s="255">
        <v>0.48421252245991941</v>
      </c>
      <c r="CF1013" t="str">
        <f>IFERROR(VLOOKUP(CE1013,'Rangos amb etnico'!$A$2:$C$6,3,9),"N.D.")</f>
        <v>31% - 50%</v>
      </c>
      <c r="CG1013" s="256">
        <v>1.8458219443499941E-3</v>
      </c>
      <c r="CH1013" s="232">
        <v>2834.5356879999999</v>
      </c>
      <c r="CI1013" s="311">
        <f t="shared" si="427"/>
        <v>2.1633567221564325E-2</v>
      </c>
      <c r="CJ1013" s="232" t="str">
        <f>IFERROR(VLOOKUP(CI1013,'Rangos amb etnico'!$A$2:$C$6,3,9),"N.D.")</f>
        <v>0,1% - 30%</v>
      </c>
      <c r="CK1013" s="311">
        <f t="shared" si="428"/>
        <v>1.1254962508702511E-4</v>
      </c>
      <c r="CL1013" s="10">
        <v>0</v>
      </c>
      <c r="CM1013" s="255">
        <f t="shared" si="429"/>
        <v>0</v>
      </c>
      <c r="CN1013" s="232">
        <f>IFERROR(VLOOKUP(CM1013,'Rangos amb etnico'!$A$2:$C$6,3,9),"N.D.")</f>
        <v>0</v>
      </c>
      <c r="CO1013" s="311">
        <f t="shared" si="430"/>
        <v>0</v>
      </c>
      <c r="CP1013">
        <v>0.94455899087031292</v>
      </c>
      <c r="CQ1013" t="s">
        <v>2864</v>
      </c>
      <c r="CR1013">
        <f t="shared" si="421"/>
        <v>2</v>
      </c>
      <c r="CS1013" t="str">
        <f t="shared" si="431"/>
        <v>No es Candidato</v>
      </c>
      <c r="CT1013">
        <v>0</v>
      </c>
      <c r="CU1013">
        <v>0</v>
      </c>
      <c r="CV1013" s="25">
        <v>37.593196868896477</v>
      </c>
      <c r="CW1013" s="25">
        <v>21.528154373168949</v>
      </c>
      <c r="CX1013" s="25">
        <v>38.967796325683587</v>
      </c>
      <c r="CY1013" s="25">
        <v>47.399520874023438</v>
      </c>
      <c r="CZ1013" s="25">
        <v>15.70565795898438</v>
      </c>
      <c r="DA1013" s="25">
        <v>45.984577178955078</v>
      </c>
      <c r="DB1013" s="25">
        <v>55.973472595214837</v>
      </c>
      <c r="DC1013">
        <v>716</v>
      </c>
      <c r="DD1013" s="253" t="s">
        <v>380</v>
      </c>
    </row>
    <row r="1014" spans="1:108" hidden="1">
      <c r="A1014" s="13">
        <v>54245</v>
      </c>
      <c r="B1014" s="13" t="s">
        <v>2426</v>
      </c>
      <c r="C1014" s="13" t="s">
        <v>517</v>
      </c>
      <c r="D1014" s="13" t="s">
        <v>518</v>
      </c>
      <c r="E1014" s="13" t="s">
        <v>2427</v>
      </c>
      <c r="F1014" s="14">
        <v>70.041166666666697</v>
      </c>
      <c r="G1014" s="13">
        <v>74.13</v>
      </c>
      <c r="H1014" s="13">
        <v>77.89</v>
      </c>
      <c r="I1014" s="13">
        <v>93.47</v>
      </c>
      <c r="J1014" s="14">
        <v>45.506334548201423</v>
      </c>
      <c r="K1014" s="14">
        <v>55.234122179078909</v>
      </c>
      <c r="L1014" s="14">
        <v>55.391430604406636</v>
      </c>
      <c r="M1014" s="14">
        <v>57.7712</v>
      </c>
      <c r="N1014" s="14">
        <f t="shared" si="405"/>
        <v>78.882791666666662</v>
      </c>
      <c r="O1014" s="14">
        <f t="shared" si="406"/>
        <v>53.475771832921744</v>
      </c>
      <c r="P1014" s="14">
        <f t="shared" si="422"/>
        <v>66.1792817497942</v>
      </c>
      <c r="Q1014" s="14">
        <v>69.315834827227562</v>
      </c>
      <c r="R1014" s="17">
        <f t="shared" si="407"/>
        <v>30.684165172772438</v>
      </c>
      <c r="S1014" s="14">
        <f t="shared" si="423"/>
        <v>0.37615748655495196</v>
      </c>
      <c r="T1014" s="13">
        <v>0</v>
      </c>
      <c r="U1014" s="13">
        <f t="shared" si="424"/>
        <v>24.893832285014589</v>
      </c>
      <c r="V1014" s="13">
        <f>IF($T1014=1,$AU1014,(VLOOKUP(U1014,'Cortes naturales'!$A$35:$C$39,3,9)))</f>
        <v>4</v>
      </c>
      <c r="W1014" s="13">
        <v>4</v>
      </c>
      <c r="X1014" s="14" t="b">
        <f t="shared" si="408"/>
        <v>1</v>
      </c>
      <c r="Y1014" s="17">
        <f>IF($T1014=1,$AU1014,VLOOKUP(U1014,'Cortes naturales'!$A$45:$C$49,3,9))</f>
        <v>4</v>
      </c>
      <c r="Z1014" s="14">
        <v>59.743367146064948</v>
      </c>
      <c r="AA1014" s="14">
        <v>0.38074154658472648</v>
      </c>
      <c r="AB1014" s="14">
        <v>22.746782005371905</v>
      </c>
      <c r="AC1014" s="13">
        <v>4</v>
      </c>
      <c r="AD1014" s="13">
        <f t="shared" si="409"/>
        <v>0</v>
      </c>
      <c r="AE1014" s="14">
        <f t="shared" si="410"/>
        <v>6.4359146037292518</v>
      </c>
      <c r="AF1014" s="14">
        <f t="shared" si="411"/>
        <v>-4.5840600297745171E-3</v>
      </c>
      <c r="AG1014" s="13">
        <f t="shared" si="412"/>
        <v>2.1470502796426842</v>
      </c>
      <c r="AH1014" s="13">
        <f>IF($T1014=1,$AU1014,VLOOKUP(U1014,'Cortes naturales'!$A$25:$C$29,3,9))</f>
        <v>4</v>
      </c>
      <c r="AI1014" s="13" t="b">
        <f t="shared" si="413"/>
        <v>1</v>
      </c>
      <c r="AJ1014" s="13">
        <f t="shared" si="414"/>
        <v>0</v>
      </c>
      <c r="AK1014" s="28">
        <v>0.6523467210059386</v>
      </c>
      <c r="AL1014" s="28">
        <v>38.973389659589387</v>
      </c>
      <c r="AM1014" s="28">
        <v>0.31689001097450897</v>
      </c>
      <c r="AN1014" s="13">
        <v>4</v>
      </c>
      <c r="AO1014" s="33">
        <f t="shared" si="415"/>
        <v>0</v>
      </c>
      <c r="AP1014" s="13">
        <f t="shared" si="425"/>
        <v>31.689001097450898</v>
      </c>
      <c r="AQ1014" s="13">
        <f>IFERROR(VLOOKUP(U1014,'Cortes naturales'!$E$15:$G$19,3,9),U1014)</f>
        <v>4</v>
      </c>
      <c r="AR1014" s="28">
        <f t="shared" si="416"/>
        <v>-0.27618923445098664</v>
      </c>
      <c r="AS1014" s="13" t="b">
        <f t="shared" si="417"/>
        <v>1</v>
      </c>
      <c r="AT1014" s="13">
        <f t="shared" si="426"/>
        <v>0</v>
      </c>
      <c r="AU1014" s="13">
        <v>4</v>
      </c>
      <c r="AV1014">
        <f t="shared" si="418"/>
        <v>0</v>
      </c>
      <c r="AW1014" s="13">
        <v>0</v>
      </c>
      <c r="AX1014" s="13">
        <v>0</v>
      </c>
      <c r="AY1014" s="13">
        <v>0</v>
      </c>
      <c r="AZ1014" s="13">
        <v>1</v>
      </c>
      <c r="BA1014">
        <v>1</v>
      </c>
      <c r="BB1014" t="s">
        <v>2841</v>
      </c>
      <c r="BC1014">
        <v>6</v>
      </c>
      <c r="BD1014" t="s">
        <v>2919</v>
      </c>
      <c r="BE1014">
        <v>1</v>
      </c>
      <c r="BF1014" s="232" t="s">
        <v>2846</v>
      </c>
      <c r="BG1014" s="232" t="s">
        <v>2846</v>
      </c>
      <c r="BH1014" s="253">
        <v>68.900000000000006</v>
      </c>
      <c r="BI1014" s="253">
        <v>48.716447863533737</v>
      </c>
      <c r="BJ1014" s="25">
        <v>65.201283819628642</v>
      </c>
      <c r="BK1014" t="s">
        <v>376</v>
      </c>
      <c r="BL1014">
        <v>20.382028804776784</v>
      </c>
      <c r="BM1014" t="s">
        <v>376</v>
      </c>
      <c r="BN1014" s="322">
        <v>38560.300695999998</v>
      </c>
      <c r="BO1014" s="322">
        <v>2887.4965090000001</v>
      </c>
      <c r="BP1014" s="10">
        <v>14851</v>
      </c>
      <c r="BQ1014" s="254">
        <f t="shared" si="419"/>
        <v>2.5964783984916839</v>
      </c>
      <c r="BR1014" s="254">
        <f t="shared" si="420"/>
        <v>0.19443111635580096</v>
      </c>
      <c r="BS1014" s="25">
        <v>65.768312237837037</v>
      </c>
      <c r="BT1014" s="25">
        <v>96.884609341682946</v>
      </c>
      <c r="BU1014" s="25">
        <v>39.425612496152667</v>
      </c>
      <c r="BV1014" s="25">
        <v>90.438511083934273</v>
      </c>
      <c r="BW1014" s="25">
        <v>58.205089570964901</v>
      </c>
      <c r="BX1014" s="25">
        <v>73.129261289901734</v>
      </c>
      <c r="BY1014" s="25">
        <v>60.536814919813132</v>
      </c>
      <c r="BZ1014">
        <v>14</v>
      </c>
      <c r="CA1014">
        <v>0</v>
      </c>
      <c r="CB1014">
        <v>7</v>
      </c>
      <c r="CC1014">
        <v>173345.063138</v>
      </c>
      <c r="CD1014" s="10">
        <v>119508.36367599999</v>
      </c>
      <c r="CE1014" s="255">
        <v>0.68942467418791953</v>
      </c>
      <c r="CF1014" t="str">
        <f>IFERROR(VLOOKUP(CE1014,'Rangos amb etnico'!$A$2:$C$6,3,9),"N.D.")</f>
        <v>51% - 70%</v>
      </c>
      <c r="CG1014" s="256">
        <v>3.4769488058577474E-3</v>
      </c>
      <c r="CH1014" s="232">
        <v>48314.437964999997</v>
      </c>
      <c r="CI1014" s="311">
        <f t="shared" si="427"/>
        <v>0.27871828069621385</v>
      </c>
      <c r="CJ1014" s="232" t="str">
        <f>IFERROR(VLOOKUP(CI1014,'Rangos amb etnico'!$A$2:$C$6,3,9),"N.D.")</f>
        <v>0,1% - 30%</v>
      </c>
      <c r="CK1014" s="311">
        <f t="shared" si="428"/>
        <v>1.9183995115220726E-3</v>
      </c>
      <c r="CL1014" s="10">
        <v>0</v>
      </c>
      <c r="CM1014" s="255">
        <f t="shared" si="429"/>
        <v>0</v>
      </c>
      <c r="CN1014" s="232">
        <f>IFERROR(VLOOKUP(CM1014,'Rangos amb etnico'!$A$2:$C$6,3,9),"N.D.")</f>
        <v>0</v>
      </c>
      <c r="CO1014" s="311">
        <f t="shared" si="430"/>
        <v>0</v>
      </c>
      <c r="CP1014">
        <v>0.97222028037130781</v>
      </c>
      <c r="CQ1014" t="s">
        <v>2864</v>
      </c>
      <c r="CR1014">
        <f t="shared" si="421"/>
        <v>3</v>
      </c>
      <c r="CS1014" t="str">
        <f t="shared" si="431"/>
        <v>Candidato</v>
      </c>
      <c r="CT1014">
        <v>1</v>
      </c>
      <c r="CU1014" t="s">
        <v>2836</v>
      </c>
      <c r="CV1014" s="25">
        <v>39.965679168701172</v>
      </c>
      <c r="CW1014" s="25">
        <v>20.062894821166989</v>
      </c>
      <c r="CX1014" s="25">
        <v>44.15155029296875</v>
      </c>
      <c r="CY1014" s="25">
        <v>47.100696563720703</v>
      </c>
      <c r="CZ1014" s="25">
        <v>18.43678092956543</v>
      </c>
      <c r="DA1014" s="25">
        <v>64.210220336914063</v>
      </c>
      <c r="DB1014" s="25">
        <v>45.831939697265618</v>
      </c>
      <c r="DC1014">
        <v>886</v>
      </c>
      <c r="DD1014" s="253" t="s">
        <v>380</v>
      </c>
    </row>
    <row r="1015" spans="1:108" hidden="1">
      <c r="A1015" s="13">
        <v>18094</v>
      </c>
      <c r="B1015" s="13" t="s">
        <v>2428</v>
      </c>
      <c r="C1015" s="13" t="s">
        <v>1463</v>
      </c>
      <c r="D1015" s="13" t="s">
        <v>1464</v>
      </c>
      <c r="E1015" s="13" t="s">
        <v>2429</v>
      </c>
      <c r="F1015" s="14">
        <v>48.456866666666699</v>
      </c>
      <c r="G1015" s="13">
        <v>39.869999999999997</v>
      </c>
      <c r="H1015" s="13">
        <v>40.6</v>
      </c>
      <c r="I1015" s="13">
        <v>45.89</v>
      </c>
      <c r="J1015" s="14">
        <v>45.593522906005624</v>
      </c>
      <c r="K1015" s="14">
        <v>51.995273542159055</v>
      </c>
      <c r="L1015" s="14">
        <v>54.004158456538811</v>
      </c>
      <c r="M1015" s="14">
        <v>57.329099999999997</v>
      </c>
      <c r="N1015" s="14">
        <f t="shared" si="405"/>
        <v>43.704216666666667</v>
      </c>
      <c r="O1015" s="14">
        <f t="shared" si="406"/>
        <v>52.230513726175872</v>
      </c>
      <c r="P1015" s="14">
        <f t="shared" si="422"/>
        <v>47.96736519642127</v>
      </c>
      <c r="Q1015" s="14">
        <v>69.40486915122051</v>
      </c>
      <c r="R1015" s="17">
        <f t="shared" si="407"/>
        <v>30.59513084877949</v>
      </c>
      <c r="S1015" s="14">
        <f t="shared" si="423"/>
        <v>0.37535617763901541</v>
      </c>
      <c r="T1015" s="13">
        <v>0</v>
      </c>
      <c r="U1015" s="13">
        <f t="shared" si="424"/>
        <v>18.004846851543427</v>
      </c>
      <c r="V1015" s="13">
        <f>IF($T1015=1,$AU1015,(VLOOKUP(U1015,'Cortes naturales'!$A$35:$C$39,3,9)))</f>
        <v>5</v>
      </c>
      <c r="W1015" s="13">
        <v>5</v>
      </c>
      <c r="X1015" s="14" t="b">
        <f t="shared" si="408"/>
        <v>1</v>
      </c>
      <c r="Y1015" s="17">
        <f>IF($T1015=1,$AU1015,VLOOKUP(U1015,'Cortes naturales'!$A$45:$C$49,3,9))</f>
        <v>5</v>
      </c>
      <c r="Z1015" s="14">
        <v>47.908857384516509</v>
      </c>
      <c r="AA1015" s="14">
        <v>0.37758839594991545</v>
      </c>
      <c r="AB1015" s="14">
        <v>18.089828611612852</v>
      </c>
      <c r="AC1015" s="13">
        <v>5</v>
      </c>
      <c r="AD1015" s="13">
        <f t="shared" si="409"/>
        <v>0</v>
      </c>
      <c r="AE1015" s="14">
        <f t="shared" si="410"/>
        <v>5.8507811904760842E-2</v>
      </c>
      <c r="AF1015" s="14">
        <f t="shared" si="411"/>
        <v>-2.232218310900036E-3</v>
      </c>
      <c r="AG1015" s="13">
        <f t="shared" si="412"/>
        <v>-8.498176006942515E-2</v>
      </c>
      <c r="AH1015" s="13">
        <f>IF($T1015=1,$AU1015,VLOOKUP(U1015,'Cortes naturales'!$A$25:$C$29,3,9))</f>
        <v>5</v>
      </c>
      <c r="AI1015" s="13" t="b">
        <f t="shared" si="413"/>
        <v>1</v>
      </c>
      <c r="AJ1015" s="13">
        <f t="shared" si="414"/>
        <v>0</v>
      </c>
      <c r="AK1015" s="28">
        <v>0.6523467210059386</v>
      </c>
      <c r="AL1015" s="28">
        <v>31.253186021930492</v>
      </c>
      <c r="AM1015" s="28">
        <v>0.2203184013290975</v>
      </c>
      <c r="AN1015" s="13">
        <v>4</v>
      </c>
      <c r="AO1015" s="33">
        <f t="shared" si="415"/>
        <v>-1</v>
      </c>
      <c r="AP1015" s="13">
        <f t="shared" si="425"/>
        <v>22.03184013290975</v>
      </c>
      <c r="AQ1015" s="13">
        <f>IFERROR(VLOOKUP(U1015,'Cortes naturales'!$E$15:$G$19,3,9),U1015)</f>
        <v>5</v>
      </c>
      <c r="AR1015" s="28">
        <f t="shared" si="416"/>
        <v>-0.27699054336692319</v>
      </c>
      <c r="AS1015" s="13" t="b">
        <f t="shared" si="417"/>
        <v>1</v>
      </c>
      <c r="AT1015" s="13" t="str">
        <f t="shared" si="426"/>
        <v>Efecto ponderador</v>
      </c>
      <c r="AU1015" s="13">
        <v>4</v>
      </c>
      <c r="AV1015">
        <f t="shared" si="418"/>
        <v>-1</v>
      </c>
      <c r="AW1015" s="13">
        <v>0</v>
      </c>
      <c r="AX1015" s="13">
        <v>0</v>
      </c>
      <c r="AY1015" s="13">
        <v>0</v>
      </c>
      <c r="AZ1015" s="13">
        <v>1</v>
      </c>
      <c r="BA1015">
        <v>1</v>
      </c>
      <c r="BB1015" t="s">
        <v>2841</v>
      </c>
      <c r="BC1015">
        <v>6</v>
      </c>
      <c r="BD1015" t="s">
        <v>2919</v>
      </c>
      <c r="BE1015">
        <v>1</v>
      </c>
      <c r="BF1015" s="232" t="s">
        <v>2846</v>
      </c>
      <c r="BG1015" s="232" t="s">
        <v>2846</v>
      </c>
      <c r="BH1015" s="253">
        <v>50</v>
      </c>
      <c r="BI1015" s="253">
        <v>28.491236109519992</v>
      </c>
      <c r="BJ1015" s="25">
        <v>2.4187500000000002</v>
      </c>
      <c r="BK1015" t="s">
        <v>381</v>
      </c>
      <c r="BL1015">
        <v>23.291771442603714</v>
      </c>
      <c r="BM1015" t="s">
        <v>384</v>
      </c>
      <c r="BN1015" s="322">
        <v>33780.272073</v>
      </c>
      <c r="BO1015" s="322">
        <v>2274.4529250000001</v>
      </c>
      <c r="BP1015" s="10">
        <v>11371</v>
      </c>
      <c r="BQ1015" s="254">
        <f t="shared" si="419"/>
        <v>2.9707389036144578</v>
      </c>
      <c r="BR1015" s="254">
        <f t="shared" si="420"/>
        <v>0.20002224298654472</v>
      </c>
      <c r="BS1015" s="25">
        <v>56.6181096947386</v>
      </c>
      <c r="BT1015" s="25">
        <v>90.239980258259322</v>
      </c>
      <c r="BU1015" s="25">
        <v>62.735845204178531</v>
      </c>
      <c r="BV1015" s="25">
        <v>87.156941626647082</v>
      </c>
      <c r="BW1015" s="25">
        <v>57.782636708794463</v>
      </c>
      <c r="BX1015" s="25">
        <v>74.187719195955879</v>
      </c>
      <c r="BY1015" s="25">
        <v>58.915752186360507</v>
      </c>
      <c r="BZ1015">
        <v>3</v>
      </c>
      <c r="CA1015">
        <v>0</v>
      </c>
      <c r="CB1015">
        <v>6</v>
      </c>
      <c r="CC1015">
        <v>119155.051036</v>
      </c>
      <c r="CD1015" s="10">
        <v>43432.296047999997</v>
      </c>
      <c r="CE1015" s="255">
        <v>0.36450234942099025</v>
      </c>
      <c r="CF1015" t="str">
        <f>IFERROR(VLOOKUP(CE1015,'Rangos amb etnico'!$A$2:$C$6,3,9),"N.D.")</f>
        <v>31% - 50%</v>
      </c>
      <c r="CG1015" s="256">
        <v>1.263609217252469E-3</v>
      </c>
      <c r="CH1015" s="232">
        <v>1324.812054</v>
      </c>
      <c r="CI1015" s="311">
        <f t="shared" si="427"/>
        <v>1.1118387701413832E-2</v>
      </c>
      <c r="CJ1015" s="232" t="str">
        <f>IFERROR(VLOOKUP(CI1015,'Rangos amb etnico'!$A$2:$C$6,3,9),"N.D.")</f>
        <v>0,1% - 30%</v>
      </c>
      <c r="CK1015" s="311">
        <f t="shared" si="428"/>
        <v>5.2603712353919624E-5</v>
      </c>
      <c r="CL1015" s="10">
        <v>0</v>
      </c>
      <c r="CM1015" s="255">
        <f t="shared" si="429"/>
        <v>0</v>
      </c>
      <c r="CN1015" s="232">
        <f>IFERROR(VLOOKUP(CM1015,'Rangos amb etnico'!$A$2:$C$6,3,9),"N.D.")</f>
        <v>0</v>
      </c>
      <c r="CO1015" s="311">
        <f t="shared" si="430"/>
        <v>0</v>
      </c>
      <c r="CP1015">
        <v>0.93252567664146424</v>
      </c>
      <c r="CQ1015" t="s">
        <v>2864</v>
      </c>
      <c r="CR1015">
        <f t="shared" si="421"/>
        <v>1</v>
      </c>
      <c r="CS1015" t="str">
        <f t="shared" si="431"/>
        <v>No es Candidato</v>
      </c>
      <c r="CT1015">
        <v>0</v>
      </c>
      <c r="CU1015">
        <v>0</v>
      </c>
      <c r="CV1015" s="25">
        <v>42.477287292480469</v>
      </c>
      <c r="CW1015" s="25">
        <v>20.495685577392582</v>
      </c>
      <c r="CX1015" s="25">
        <v>47.277324676513672</v>
      </c>
      <c r="CY1015" s="25">
        <v>67.606025695800781</v>
      </c>
      <c r="CZ1015" s="25">
        <v>18.947299957275391</v>
      </c>
      <c r="DA1015" s="25">
        <v>45.507846832275391</v>
      </c>
      <c r="DB1015" s="25">
        <v>55.029544830322273</v>
      </c>
      <c r="DC1015">
        <v>398</v>
      </c>
      <c r="DD1015" s="253" t="s">
        <v>380</v>
      </c>
    </row>
    <row r="1016" spans="1:108" hidden="1">
      <c r="A1016" s="13">
        <v>19318</v>
      </c>
      <c r="B1016" s="13" t="s">
        <v>2430</v>
      </c>
      <c r="C1016" s="13" t="s">
        <v>557</v>
      </c>
      <c r="D1016" s="13" t="s">
        <v>558</v>
      </c>
      <c r="E1016" s="13" t="s">
        <v>2431</v>
      </c>
      <c r="F1016" s="14">
        <v>53.941033333333301</v>
      </c>
      <c r="G1016" s="13">
        <v>48.77</v>
      </c>
      <c r="H1016" s="13">
        <v>51.36</v>
      </c>
      <c r="I1016" s="13">
        <v>85.84</v>
      </c>
      <c r="J1016" s="14">
        <v>26.750571350287327</v>
      </c>
      <c r="K1016" s="14">
        <v>51.22527370732216</v>
      </c>
      <c r="L1016" s="14">
        <v>55.752225118132223</v>
      </c>
      <c r="M1016" s="14">
        <v>48.056899999999999</v>
      </c>
      <c r="N1016" s="14">
        <f t="shared" si="405"/>
        <v>59.977758333333327</v>
      </c>
      <c r="O1016" s="14">
        <f t="shared" si="406"/>
        <v>45.446242543935426</v>
      </c>
      <c r="P1016" s="14">
        <f t="shared" si="422"/>
        <v>52.712000438634377</v>
      </c>
      <c r="Q1016" s="14">
        <v>69.681524706690368</v>
      </c>
      <c r="R1016" s="17">
        <f t="shared" si="407"/>
        <v>30.318475293309632</v>
      </c>
      <c r="S1016" s="14">
        <f t="shared" si="423"/>
        <v>0.37286627763978675</v>
      </c>
      <c r="T1016" s="13">
        <v>0</v>
      </c>
      <c r="U1016" s="13">
        <f t="shared" si="424"/>
        <v>19.654527390500405</v>
      </c>
      <c r="V1016" s="13">
        <f>IF($T1016=1,$AU1016,(VLOOKUP(U1016,'Cortes naturales'!$A$35:$C$39,3,9)))</f>
        <v>5</v>
      </c>
      <c r="W1016" s="13">
        <v>5</v>
      </c>
      <c r="X1016" s="14" t="b">
        <f t="shared" si="408"/>
        <v>1</v>
      </c>
      <c r="Y1016" s="17">
        <f>IF($T1016=1,$AU1016,VLOOKUP(U1016,'Cortes naturales'!$A$45:$C$49,3,9))</f>
        <v>5</v>
      </c>
      <c r="Z1016" s="14">
        <v>54.417204724687466</v>
      </c>
      <c r="AA1016" s="14">
        <v>0.37664644566164096</v>
      </c>
      <c r="AB1016" s="14">
        <v>20.496046742395389</v>
      </c>
      <c r="AC1016" s="13">
        <v>4</v>
      </c>
      <c r="AD1016" s="13">
        <f t="shared" si="409"/>
        <v>-1</v>
      </c>
      <c r="AE1016" s="14">
        <f t="shared" si="410"/>
        <v>-1.7052042860530889</v>
      </c>
      <c r="AF1016" s="14">
        <f t="shared" si="411"/>
        <v>-3.7801680218542133E-3</v>
      </c>
      <c r="AG1016" s="13">
        <f t="shared" si="412"/>
        <v>-0.84151935189498417</v>
      </c>
      <c r="AH1016" s="13">
        <f>IF($T1016=1,$AU1016,VLOOKUP(U1016,'Cortes naturales'!$A$25:$C$29,3,9))</f>
        <v>5</v>
      </c>
      <c r="AI1016" s="13" t="b">
        <f t="shared" si="413"/>
        <v>1</v>
      </c>
      <c r="AJ1016" s="13" t="str">
        <f t="shared" si="414"/>
        <v>Efecto ponderador</v>
      </c>
      <c r="AK1016" s="28">
        <v>0.6523467210059386</v>
      </c>
      <c r="AL1016" s="28">
        <v>35.49888506845874</v>
      </c>
      <c r="AM1016" s="28">
        <v>0.27342762101252494</v>
      </c>
      <c r="AN1016" s="13">
        <v>4</v>
      </c>
      <c r="AO1016" s="33">
        <f t="shared" si="415"/>
        <v>-1</v>
      </c>
      <c r="AP1016" s="13">
        <f t="shared" si="425"/>
        <v>27.342762101252493</v>
      </c>
      <c r="AQ1016" s="13">
        <f>IFERROR(VLOOKUP(U1016,'Cortes naturales'!$E$15:$G$19,3,9),U1016)</f>
        <v>4</v>
      </c>
      <c r="AR1016" s="28">
        <f t="shared" si="416"/>
        <v>-0.27948044336615185</v>
      </c>
      <c r="AS1016" s="13" t="b">
        <f t="shared" si="417"/>
        <v>0</v>
      </c>
      <c r="AT1016" s="13" t="str">
        <f t="shared" si="426"/>
        <v>Cambio en corte</v>
      </c>
      <c r="AU1016" s="13">
        <v>5</v>
      </c>
      <c r="AV1016">
        <f t="shared" si="418"/>
        <v>0</v>
      </c>
      <c r="AW1016" s="13">
        <v>0</v>
      </c>
      <c r="AX1016" s="13">
        <v>0</v>
      </c>
      <c r="AY1016" s="13">
        <v>0</v>
      </c>
      <c r="AZ1016" s="13">
        <v>1</v>
      </c>
      <c r="BA1016">
        <v>1</v>
      </c>
      <c r="BB1016" t="s">
        <v>2840</v>
      </c>
      <c r="BC1016">
        <v>6</v>
      </c>
      <c r="BD1016" t="s">
        <v>2919</v>
      </c>
      <c r="BE1016">
        <v>0</v>
      </c>
      <c r="BF1016" s="232" t="s">
        <v>2846</v>
      </c>
      <c r="BG1016" s="232" t="s">
        <v>2846</v>
      </c>
      <c r="BH1016" s="253">
        <v>68.900000000000006</v>
      </c>
      <c r="BI1016" s="253">
        <v>70.683491062039963</v>
      </c>
      <c r="BJ1016" s="25">
        <v>9.2159847664184156</v>
      </c>
      <c r="BK1016" t="s">
        <v>377</v>
      </c>
      <c r="BL1016">
        <v>18.208601955578878</v>
      </c>
      <c r="BM1016" t="s">
        <v>376</v>
      </c>
      <c r="BN1016" s="322">
        <v>62418.241402</v>
      </c>
      <c r="BO1016" s="322">
        <v>2905.7237190000001</v>
      </c>
      <c r="BP1016" s="10">
        <v>29275</v>
      </c>
      <c r="BQ1016" s="254">
        <f t="shared" si="419"/>
        <v>2.1321346337147737</v>
      </c>
      <c r="BR1016" s="254">
        <f t="shared" si="420"/>
        <v>9.9256147532023914E-2</v>
      </c>
      <c r="BS1016" s="25">
        <v>49.481492088445307</v>
      </c>
      <c r="BT1016" s="25">
        <v>84.483246974096218</v>
      </c>
      <c r="BU1016" s="25">
        <v>37.478258019199231</v>
      </c>
      <c r="BV1016" s="25">
        <v>95.903430123939799</v>
      </c>
      <c r="BW1016" s="25">
        <v>48.015121564914857</v>
      </c>
      <c r="BX1016" s="25">
        <v>66.836606801420146</v>
      </c>
      <c r="BY1016" s="25">
        <v>49.357328856779858</v>
      </c>
      <c r="BZ1016">
        <v>38</v>
      </c>
      <c r="CA1016">
        <v>0</v>
      </c>
      <c r="CB1016">
        <v>6</v>
      </c>
      <c r="CC1016">
        <v>257088.669112</v>
      </c>
      <c r="CD1016" s="10">
        <v>17435.388598000001</v>
      </c>
      <c r="CE1016" s="255">
        <v>6.781858048518008E-2</v>
      </c>
      <c r="CF1016" t="str">
        <f>IFERROR(VLOOKUP(CE1016,'Rangos amb etnico'!$A$2:$C$6,3,9),"N.D.")</f>
        <v>0,1% - 30%</v>
      </c>
      <c r="CG1016" s="256">
        <v>5.0726117989394041E-4</v>
      </c>
      <c r="CH1016" s="232">
        <v>248101.332054</v>
      </c>
      <c r="CI1016" s="311">
        <f t="shared" si="427"/>
        <v>0.96504187800635932</v>
      </c>
      <c r="CJ1016" s="232" t="str">
        <f>IFERROR(VLOOKUP(CI1016,'Rangos amb etnico'!$A$2:$C$6,3,9),"N.D.")</f>
        <v>71% - 100%</v>
      </c>
      <c r="CK1016" s="311">
        <f t="shared" si="428"/>
        <v>9.8512472517048172E-3</v>
      </c>
      <c r="CL1016" s="10">
        <v>0</v>
      </c>
      <c r="CM1016" s="255">
        <f t="shared" si="429"/>
        <v>0</v>
      </c>
      <c r="CN1016" s="232">
        <f>IFERROR(VLOOKUP(CM1016,'Rangos amb etnico'!$A$2:$C$6,3,9),"N.D.")</f>
        <v>0</v>
      </c>
      <c r="CO1016" s="311">
        <f t="shared" si="430"/>
        <v>0</v>
      </c>
      <c r="CP1016">
        <v>0.96618293748633621</v>
      </c>
      <c r="CQ1016" t="s">
        <v>2864</v>
      </c>
      <c r="CR1016">
        <f t="shared" si="421"/>
        <v>2</v>
      </c>
      <c r="CS1016" t="str">
        <f t="shared" si="431"/>
        <v>No es Candidato</v>
      </c>
      <c r="CT1016">
        <v>0</v>
      </c>
      <c r="CU1016">
        <v>0</v>
      </c>
      <c r="CV1016" s="25">
        <v>36.655662536621087</v>
      </c>
      <c r="CW1016" s="25">
        <v>20.021087646484379</v>
      </c>
      <c r="CX1016" s="25">
        <v>37.340457916259773</v>
      </c>
      <c r="CY1016" s="25">
        <v>33.758815765380859</v>
      </c>
      <c r="CZ1016" s="25">
        <v>7.2606925964355469</v>
      </c>
      <c r="DA1016" s="25">
        <v>78.259941101074219</v>
      </c>
      <c r="DB1016" s="25">
        <v>43.292972564697273</v>
      </c>
      <c r="DC1016">
        <v>27378</v>
      </c>
      <c r="DD1016" s="253" t="s">
        <v>380</v>
      </c>
    </row>
    <row r="1017" spans="1:108" hidden="1">
      <c r="A1017" s="13">
        <v>27077</v>
      </c>
      <c r="B1017" s="13" t="s">
        <v>2432</v>
      </c>
      <c r="C1017" s="13" t="s">
        <v>1714</v>
      </c>
      <c r="D1017" s="13" t="s">
        <v>1715</v>
      </c>
      <c r="E1017" s="13" t="s">
        <v>2433</v>
      </c>
      <c r="F1017" s="14">
        <v>59.176466666666698</v>
      </c>
      <c r="G1017" s="13">
        <v>48.5</v>
      </c>
      <c r="H1017" s="13">
        <v>42.75</v>
      </c>
      <c r="I1017" s="13">
        <v>61.67</v>
      </c>
      <c r="J1017" s="14">
        <v>58.38337040259124</v>
      </c>
      <c r="K1017" s="14">
        <v>58.152144654815586</v>
      </c>
      <c r="L1017" s="14">
        <v>64.461748290296825</v>
      </c>
      <c r="M1017" s="14">
        <v>58.8598</v>
      </c>
      <c r="N1017" s="14">
        <f t="shared" si="405"/>
        <v>53.024116666666671</v>
      </c>
      <c r="O1017" s="14">
        <f t="shared" si="406"/>
        <v>59.964265836925918</v>
      </c>
      <c r="P1017" s="14">
        <f t="shared" si="422"/>
        <v>56.494191251796295</v>
      </c>
      <c r="Q1017" s="14">
        <v>69.466664798295426</v>
      </c>
      <c r="R1017" s="17">
        <f t="shared" si="407"/>
        <v>30.533335201704574</v>
      </c>
      <c r="S1017" s="14">
        <f t="shared" si="423"/>
        <v>0.37480001681534114</v>
      </c>
      <c r="T1017" s="13">
        <v>0</v>
      </c>
      <c r="U1017" s="13">
        <f t="shared" si="424"/>
        <v>21.17402383114235</v>
      </c>
      <c r="V1017" s="13">
        <f>IF($T1017=1,$AU1017,(VLOOKUP(U1017,'Cortes naturales'!$A$35:$C$39,3,9)))</f>
        <v>5</v>
      </c>
      <c r="W1017" s="13">
        <v>5</v>
      </c>
      <c r="X1017" s="14" t="b">
        <f t="shared" si="408"/>
        <v>1</v>
      </c>
      <c r="Y1017" s="17">
        <f>IF($T1017=1,$AU1017,VLOOKUP(U1017,'Cortes naturales'!$A$45:$C$49,3,9))</f>
        <v>4</v>
      </c>
      <c r="Z1017" s="14">
        <v>56.658392363660539</v>
      </c>
      <c r="AA1017" s="14">
        <v>0.37664602936217961</v>
      </c>
      <c r="AB1017" s="14">
        <v>21.34015851381718</v>
      </c>
      <c r="AC1017" s="13">
        <v>4</v>
      </c>
      <c r="AD1017" s="13">
        <f t="shared" si="409"/>
        <v>0</v>
      </c>
      <c r="AE1017" s="14">
        <f t="shared" si="410"/>
        <v>-0.16420111186424435</v>
      </c>
      <c r="AF1017" s="14">
        <f t="shared" si="411"/>
        <v>-1.8460125468384714E-3</v>
      </c>
      <c r="AG1017" s="13">
        <f t="shared" si="412"/>
        <v>-0.16613468267483</v>
      </c>
      <c r="AH1017" s="13">
        <f>IF($T1017=1,$AU1017,VLOOKUP(U1017,'Cortes naturales'!$A$25:$C$29,3,9))</f>
        <v>4</v>
      </c>
      <c r="AI1017" s="13" t="b">
        <f t="shared" si="413"/>
        <v>1</v>
      </c>
      <c r="AJ1017" s="13">
        <f t="shared" si="414"/>
        <v>0</v>
      </c>
      <c r="AK1017" s="28">
        <v>0.6523467210059386</v>
      </c>
      <c r="AL1017" s="28">
        <v>36.960916475901861</v>
      </c>
      <c r="AM1017" s="28">
        <v>0.29171609279326977</v>
      </c>
      <c r="AN1017" s="13">
        <v>4</v>
      </c>
      <c r="AO1017" s="33">
        <f t="shared" si="415"/>
        <v>0</v>
      </c>
      <c r="AP1017" s="13">
        <f t="shared" si="425"/>
        <v>29.171609279326976</v>
      </c>
      <c r="AQ1017" s="13">
        <f>IFERROR(VLOOKUP(U1017,'Cortes naturales'!$E$15:$G$19,3,9),U1017)</f>
        <v>4</v>
      </c>
      <c r="AR1017" s="28">
        <f t="shared" si="416"/>
        <v>-0.27754670419059746</v>
      </c>
      <c r="AS1017" s="13" t="b">
        <f t="shared" si="417"/>
        <v>1</v>
      </c>
      <c r="AT1017" s="13">
        <f t="shared" si="426"/>
        <v>0</v>
      </c>
      <c r="AU1017" s="13">
        <v>4</v>
      </c>
      <c r="AV1017">
        <f t="shared" si="418"/>
        <v>0</v>
      </c>
      <c r="AW1017" s="13">
        <v>0</v>
      </c>
      <c r="AX1017" s="13">
        <v>0</v>
      </c>
      <c r="AY1017" s="13">
        <v>0</v>
      </c>
      <c r="AZ1017" s="13">
        <v>0</v>
      </c>
      <c r="BA1017">
        <v>1</v>
      </c>
      <c r="BB1017" t="s">
        <v>2841</v>
      </c>
      <c r="BC1017">
        <v>6</v>
      </c>
      <c r="BD1017" t="s">
        <v>2919</v>
      </c>
      <c r="BE1017">
        <v>0</v>
      </c>
      <c r="BF1017" s="232" t="s">
        <v>2846</v>
      </c>
      <c r="BG1017" s="232" t="s">
        <v>2846</v>
      </c>
      <c r="BH1017" s="253">
        <v>80.400000000000006</v>
      </c>
      <c r="BI1017" s="253">
        <v>65.866348707387132</v>
      </c>
      <c r="BJ1017" s="25" t="s">
        <v>2849</v>
      </c>
      <c r="BK1017" t="s">
        <v>2849</v>
      </c>
      <c r="BL1017">
        <v>5.4399309489002903</v>
      </c>
      <c r="BM1017" t="s">
        <v>383</v>
      </c>
      <c r="BN1017" s="322">
        <v>68690.103801999998</v>
      </c>
      <c r="BO1017" s="322">
        <v>10721.259528000001</v>
      </c>
      <c r="BP1017" s="10">
        <v>34197</v>
      </c>
      <c r="BQ1017" s="254">
        <f t="shared" si="419"/>
        <v>2.0086587654472612</v>
      </c>
      <c r="BR1017" s="254">
        <f t="shared" si="420"/>
        <v>0.31351462198438462</v>
      </c>
      <c r="BS1017" s="25">
        <v>41.336385612775622</v>
      </c>
      <c r="BT1017" s="25">
        <v>73.456761651134485</v>
      </c>
      <c r="BU1017" s="25">
        <v>58.13014443607134</v>
      </c>
      <c r="BV1017" s="25">
        <v>98.595686463484029</v>
      </c>
      <c r="BW1017" s="25">
        <v>70.575188243419063</v>
      </c>
      <c r="BX1017" s="25">
        <v>67.879744540866369</v>
      </c>
      <c r="BY1017" s="25">
        <v>71.424981264340417</v>
      </c>
      <c r="BZ1017">
        <v>38</v>
      </c>
      <c r="CA1017">
        <v>0</v>
      </c>
      <c r="CB1017">
        <v>7</v>
      </c>
      <c r="CC1017">
        <v>348219.82303999999</v>
      </c>
      <c r="CD1017" s="10">
        <v>111660.432147</v>
      </c>
      <c r="CE1017" s="255">
        <v>0.32066075725440124</v>
      </c>
      <c r="CF1017" t="str">
        <f>IFERROR(VLOOKUP(CE1017,'Rangos amb etnico'!$A$2:$C$6,3,9),"N.D.")</f>
        <v>31% - 50%</v>
      </c>
      <c r="CG1017" s="256">
        <v>3.2486228936045472E-3</v>
      </c>
      <c r="CH1017" s="232">
        <v>340643.653651</v>
      </c>
      <c r="CI1017" s="311">
        <f t="shared" si="427"/>
        <v>0.97824314157976666</v>
      </c>
      <c r="CJ1017" s="232" t="str">
        <f>IFERROR(VLOOKUP(CI1017,'Rangos amb etnico'!$A$2:$C$6,3,9),"N.D.")</f>
        <v>71% - 100%</v>
      </c>
      <c r="CK1017" s="311">
        <f t="shared" si="428"/>
        <v>1.3525783312238361E-2</v>
      </c>
      <c r="CL1017" s="10">
        <v>0</v>
      </c>
      <c r="CM1017" s="255">
        <f t="shared" si="429"/>
        <v>0</v>
      </c>
      <c r="CN1017" s="232">
        <f>IFERROR(VLOOKUP(CM1017,'Rangos amb etnico'!$A$2:$C$6,3,9),"N.D.")</f>
        <v>0</v>
      </c>
      <c r="CO1017" s="311">
        <f t="shared" si="430"/>
        <v>0</v>
      </c>
      <c r="CP1017">
        <v>0.96028665920753808</v>
      </c>
      <c r="CQ1017" t="s">
        <v>2864</v>
      </c>
      <c r="CR1017">
        <f t="shared" si="421"/>
        <v>3</v>
      </c>
      <c r="CS1017" t="str">
        <f t="shared" si="431"/>
        <v>Candidato</v>
      </c>
      <c r="CT1017">
        <v>0</v>
      </c>
      <c r="CU1017">
        <v>0</v>
      </c>
      <c r="CV1017" s="25">
        <v>32.669998168945313</v>
      </c>
      <c r="CW1017" s="25">
        <v>9.4492254257202148</v>
      </c>
      <c r="CX1017" s="25">
        <v>45.260456085205078</v>
      </c>
      <c r="CY1017" s="25">
        <v>25.715000152587891</v>
      </c>
      <c r="CZ1017" s="25">
        <v>2.886971235275269</v>
      </c>
      <c r="DA1017" s="25">
        <v>74.927734375</v>
      </c>
      <c r="DB1017" s="25">
        <v>37.780605316162109</v>
      </c>
      <c r="DC1017">
        <v>29893</v>
      </c>
      <c r="DD1017" s="253" t="s">
        <v>380</v>
      </c>
    </row>
    <row r="1018" spans="1:108" hidden="1">
      <c r="A1018" s="13">
        <v>85279</v>
      </c>
      <c r="B1018" s="13" t="s">
        <v>2434</v>
      </c>
      <c r="C1018" s="13" t="s">
        <v>1351</v>
      </c>
      <c r="D1018" s="13" t="s">
        <v>1352</v>
      </c>
      <c r="E1018" s="13" t="s">
        <v>2435</v>
      </c>
      <c r="F1018" s="14">
        <v>46.1721</v>
      </c>
      <c r="G1018" s="13">
        <v>72.69</v>
      </c>
      <c r="H1018" s="13">
        <v>52.79</v>
      </c>
      <c r="I1018" s="13">
        <v>53.06</v>
      </c>
      <c r="J1018" s="14">
        <v>54.372744202329194</v>
      </c>
      <c r="K1018" s="14">
        <v>73.086231219869106</v>
      </c>
      <c r="L1018" s="14">
        <v>66.539595254966144</v>
      </c>
      <c r="M1018" s="14">
        <v>54.4131</v>
      </c>
      <c r="N1018" s="14">
        <f t="shared" si="405"/>
        <v>56.178024999999998</v>
      </c>
      <c r="O1018" s="14">
        <f t="shared" si="406"/>
        <v>62.102917669291116</v>
      </c>
      <c r="P1018" s="14">
        <f t="shared" si="422"/>
        <v>59.140471334645554</v>
      </c>
      <c r="Q1018" s="14">
        <v>69.124289406140946</v>
      </c>
      <c r="R1018" s="17">
        <f t="shared" si="407"/>
        <v>30.875710593859054</v>
      </c>
      <c r="S1018" s="14">
        <f t="shared" si="423"/>
        <v>0.37788139534473153</v>
      </c>
      <c r="T1018" s="13">
        <v>0</v>
      </c>
      <c r="U1018" s="13">
        <f t="shared" si="424"/>
        <v>22.348083829280959</v>
      </c>
      <c r="V1018" s="13">
        <f>IF($T1018=1,$AU1018,(VLOOKUP(U1018,'Cortes naturales'!$A$35:$C$39,3,9)))</f>
        <v>4</v>
      </c>
      <c r="W1018" s="13">
        <v>4</v>
      </c>
      <c r="X1018" s="14" t="b">
        <f t="shared" si="408"/>
        <v>1</v>
      </c>
      <c r="Y1018" s="17">
        <f>IF($T1018=1,$AU1018,VLOOKUP(U1018,'Cortes naturales'!$A$45:$C$49,3,9))</f>
        <v>4</v>
      </c>
      <c r="Z1018" s="14">
        <v>56.509863941292032</v>
      </c>
      <c r="AA1018" s="14">
        <v>0.37604205184105799</v>
      </c>
      <c r="AB1018" s="14">
        <v>21.250085185742471</v>
      </c>
      <c r="AC1018" s="13">
        <v>4</v>
      </c>
      <c r="AD1018" s="13">
        <f t="shared" si="409"/>
        <v>0</v>
      </c>
      <c r="AE1018" s="14">
        <f t="shared" si="410"/>
        <v>2.6306073933535217</v>
      </c>
      <c r="AF1018" s="14">
        <f t="shared" si="411"/>
        <v>1.8393435036735406E-3</v>
      </c>
      <c r="AG1018" s="13">
        <f t="shared" si="412"/>
        <v>1.0979986435384887</v>
      </c>
      <c r="AH1018" s="13">
        <f>IF($T1018=1,$AU1018,VLOOKUP(U1018,'Cortes naturales'!$A$25:$C$29,3,9))</f>
        <v>4</v>
      </c>
      <c r="AI1018" s="13" t="b">
        <f t="shared" si="413"/>
        <v>1</v>
      </c>
      <c r="AJ1018" s="13">
        <f t="shared" si="414"/>
        <v>0</v>
      </c>
      <c r="AK1018" s="28">
        <v>0.6523467210059386</v>
      </c>
      <c r="AL1018" s="28">
        <v>36.864024446593582</v>
      </c>
      <c r="AM1018" s="28">
        <v>0.29050407564044911</v>
      </c>
      <c r="AN1018" s="13">
        <v>4</v>
      </c>
      <c r="AO1018" s="33">
        <f t="shared" si="415"/>
        <v>0</v>
      </c>
      <c r="AP1018" s="13">
        <f t="shared" si="425"/>
        <v>29.05040756404491</v>
      </c>
      <c r="AQ1018" s="13">
        <f>IFERROR(VLOOKUP(U1018,'Cortes naturales'!$E$15:$G$19,3,9),U1018)</f>
        <v>4</v>
      </c>
      <c r="AR1018" s="28">
        <f t="shared" si="416"/>
        <v>-0.27446532566120707</v>
      </c>
      <c r="AS1018" s="13" t="b">
        <f t="shared" si="417"/>
        <v>1</v>
      </c>
      <c r="AT1018" s="13">
        <f t="shared" si="426"/>
        <v>0</v>
      </c>
      <c r="AU1018" s="13">
        <v>4</v>
      </c>
      <c r="AV1018">
        <f t="shared" si="418"/>
        <v>0</v>
      </c>
      <c r="AW1018" s="13">
        <v>0</v>
      </c>
      <c r="AX1018" s="13">
        <v>0</v>
      </c>
      <c r="AY1018" s="13">
        <v>0</v>
      </c>
      <c r="AZ1018" s="13">
        <v>0</v>
      </c>
      <c r="BA1018">
        <v>1</v>
      </c>
      <c r="BB1018" t="s">
        <v>2841</v>
      </c>
      <c r="BC1018">
        <v>6</v>
      </c>
      <c r="BD1018" t="s">
        <v>2919</v>
      </c>
      <c r="BE1018">
        <v>0</v>
      </c>
      <c r="BF1018" s="232" t="s">
        <v>2846</v>
      </c>
      <c r="BG1018" s="232" t="s">
        <v>2846</v>
      </c>
      <c r="BH1018" s="253">
        <v>39.299999999999997</v>
      </c>
      <c r="BI1018" s="253">
        <v>28.130081300813007</v>
      </c>
      <c r="BJ1018" s="25">
        <v>6.7972727272727278</v>
      </c>
      <c r="BK1018" t="s">
        <v>377</v>
      </c>
      <c r="BL1018">
        <v>0</v>
      </c>
      <c r="BM1018" t="s">
        <v>377</v>
      </c>
      <c r="BN1018" s="322">
        <v>15162.594743</v>
      </c>
      <c r="BO1018" s="322">
        <v>732.42208400000004</v>
      </c>
      <c r="BP1018" s="10">
        <v>1728</v>
      </c>
      <c r="BQ1018" s="254">
        <f t="shared" si="419"/>
        <v>8.7746497355324067</v>
      </c>
      <c r="BR1018" s="254">
        <f t="shared" si="420"/>
        <v>0.42385537268518519</v>
      </c>
      <c r="BS1018" s="25">
        <v>58.968253968253983</v>
      </c>
      <c r="BT1018" s="25">
        <v>78.987793703703701</v>
      </c>
      <c r="BU1018" s="25">
        <v>19.0192424242424</v>
      </c>
      <c r="BV1018" s="25">
        <v>90.070041749554434</v>
      </c>
      <c r="BW1018" s="25">
        <v>49.372638475698217</v>
      </c>
      <c r="BX1018" s="25">
        <v>61.761332961438633</v>
      </c>
      <c r="BY1018" s="25">
        <v>54.422608513926193</v>
      </c>
      <c r="BZ1018">
        <v>41</v>
      </c>
      <c r="CA1018">
        <v>0</v>
      </c>
      <c r="CB1018">
        <v>7</v>
      </c>
      <c r="CC1018">
        <v>18084.587339999998</v>
      </c>
      <c r="CD1018" s="10">
        <v>151.33895699999999</v>
      </c>
      <c r="CE1018" s="255">
        <v>8.3683942660535155E-3</v>
      </c>
      <c r="CF1018" t="str">
        <f>IFERROR(VLOOKUP(CE1018,'Rangos amb etnico'!$A$2:$C$6,3,9),"N.D.")</f>
        <v>0,1% - 30%</v>
      </c>
      <c r="CG1018" s="256">
        <v>4.4030207563337212E-6</v>
      </c>
      <c r="CH1018" s="232">
        <v>0</v>
      </c>
      <c r="CI1018" s="311">
        <f t="shared" si="427"/>
        <v>0</v>
      </c>
      <c r="CJ1018" s="232">
        <f>IFERROR(VLOOKUP(CI1018,'Rangos amb etnico'!$A$2:$C$6,3,9),"N.D.")</f>
        <v>0</v>
      </c>
      <c r="CK1018" s="311">
        <f t="shared" si="428"/>
        <v>0</v>
      </c>
      <c r="CL1018" s="10">
        <v>0</v>
      </c>
      <c r="CM1018" s="255">
        <f t="shared" si="429"/>
        <v>0</v>
      </c>
      <c r="CN1018" s="232">
        <f>IFERROR(VLOOKUP(CM1018,'Rangos amb etnico'!$A$2:$C$6,3,9),"N.D.")</f>
        <v>0</v>
      </c>
      <c r="CO1018" s="311">
        <f t="shared" si="430"/>
        <v>0</v>
      </c>
      <c r="CP1018">
        <v>0.86038035315799655</v>
      </c>
      <c r="CQ1018" t="s">
        <v>2864</v>
      </c>
      <c r="CR1018">
        <f t="shared" si="421"/>
        <v>1</v>
      </c>
      <c r="CS1018" t="str">
        <f t="shared" si="431"/>
        <v>No es Candidato</v>
      </c>
      <c r="CT1018">
        <v>0</v>
      </c>
      <c r="CU1018">
        <v>0</v>
      </c>
      <c r="CV1018" s="25">
        <v>46.986919403076172</v>
      </c>
      <c r="CW1018" s="25">
        <v>20.049314498901371</v>
      </c>
      <c r="CX1018" s="25">
        <v>55.235519409179688</v>
      </c>
      <c r="CY1018" s="25">
        <v>65.681182861328125</v>
      </c>
      <c r="CZ1018" s="25">
        <v>29.46745491027832</v>
      </c>
      <c r="DA1018" s="25">
        <v>53.77545166015625</v>
      </c>
      <c r="DB1018" s="25">
        <v>57.712589263916023</v>
      </c>
      <c r="DC1018">
        <v>3</v>
      </c>
      <c r="DD1018" s="253" t="s">
        <v>380</v>
      </c>
    </row>
    <row r="1019" spans="1:108" hidden="1">
      <c r="A1019" s="13">
        <v>52696</v>
      </c>
      <c r="B1019" s="13" t="s">
        <v>2436</v>
      </c>
      <c r="C1019" s="13" t="s">
        <v>672</v>
      </c>
      <c r="D1019" s="13" t="s">
        <v>673</v>
      </c>
      <c r="E1019" s="13" t="s">
        <v>829</v>
      </c>
      <c r="F1019" s="14">
        <v>58.5535</v>
      </c>
      <c r="G1019" s="14">
        <v>0</v>
      </c>
      <c r="H1019" s="13">
        <v>37.79</v>
      </c>
      <c r="I1019" s="13">
        <v>36.99</v>
      </c>
      <c r="J1019" s="14">
        <v>54.026801783099671</v>
      </c>
      <c r="K1019" s="14">
        <v>59.083555789353753</v>
      </c>
      <c r="L1019" s="14">
        <v>57.398274104836105</v>
      </c>
      <c r="M1019" s="14">
        <v>59.938200000000002</v>
      </c>
      <c r="N1019" s="14">
        <f t="shared" si="405"/>
        <v>33.333375000000004</v>
      </c>
      <c r="O1019" s="14">
        <f t="shared" si="406"/>
        <v>57.611707919322384</v>
      </c>
      <c r="P1019" s="14">
        <f t="shared" si="422"/>
        <v>45.472541459661194</v>
      </c>
      <c r="Q1019" s="14">
        <v>69.710328006630888</v>
      </c>
      <c r="R1019" s="17">
        <f t="shared" si="407"/>
        <v>30.289671993369112</v>
      </c>
      <c r="S1019" s="14">
        <f t="shared" si="423"/>
        <v>0.37260704794032196</v>
      </c>
      <c r="T1019" s="13">
        <v>0</v>
      </c>
      <c r="U1019" s="13">
        <f t="shared" si="424"/>
        <v>16.943389435628255</v>
      </c>
      <c r="V1019" s="13">
        <f>IF($T1019=1,$AU1019,(VLOOKUP(U1019,'Cortes naturales'!$A$35:$C$39,3,9)))</f>
        <v>5</v>
      </c>
      <c r="W1019" s="13">
        <v>5</v>
      </c>
      <c r="X1019" s="14" t="b">
        <f t="shared" si="408"/>
        <v>1</v>
      </c>
      <c r="Y1019" s="17">
        <f>IF($T1019=1,$AU1019,VLOOKUP(U1019,'Cortes naturales'!$A$45:$C$49,3,9))</f>
        <v>5</v>
      </c>
      <c r="Z1019" s="14">
        <v>53.037033083148501</v>
      </c>
      <c r="AA1019" s="14">
        <v>0.37612552727651427</v>
      </c>
      <c r="AB1019" s="14">
        <v>19.948582033581161</v>
      </c>
      <c r="AC1019" s="13">
        <v>5</v>
      </c>
      <c r="AD1019" s="13">
        <f t="shared" si="409"/>
        <v>0</v>
      </c>
      <c r="AE1019" s="14">
        <f t="shared" si="410"/>
        <v>-7.5644916234873065</v>
      </c>
      <c r="AF1019" s="14">
        <f t="shared" si="411"/>
        <v>-3.518479336192315E-3</v>
      </c>
      <c r="AG1019" s="13">
        <f t="shared" si="412"/>
        <v>-3.0051925979529059</v>
      </c>
      <c r="AH1019" s="13">
        <f>IF($T1019=1,$AU1019,VLOOKUP(U1019,'Cortes naturales'!$A$25:$C$29,3,9))</f>
        <v>5</v>
      </c>
      <c r="AI1019" s="13" t="b">
        <f t="shared" si="413"/>
        <v>1</v>
      </c>
      <c r="AJ1019" s="13">
        <f t="shared" si="414"/>
        <v>0</v>
      </c>
      <c r="AK1019" s="28">
        <v>0.6523467210059386</v>
      </c>
      <c r="AL1019" s="28">
        <v>34.598534623675413</v>
      </c>
      <c r="AM1019" s="28">
        <v>0.26216518600711169</v>
      </c>
      <c r="AN1019" s="13">
        <v>4</v>
      </c>
      <c r="AO1019" s="33">
        <f t="shared" si="415"/>
        <v>-1</v>
      </c>
      <c r="AP1019" s="13">
        <f t="shared" si="425"/>
        <v>26.216518600711169</v>
      </c>
      <c r="AQ1019" s="13">
        <f>IFERROR(VLOOKUP(U1019,'Cortes naturales'!$E$15:$G$19,3,9),U1019)</f>
        <v>5</v>
      </c>
      <c r="AR1019" s="28">
        <f t="shared" si="416"/>
        <v>-0.27973967306561665</v>
      </c>
      <c r="AS1019" s="13" t="b">
        <f t="shared" si="417"/>
        <v>1</v>
      </c>
      <c r="AT1019" s="13" t="str">
        <f t="shared" si="426"/>
        <v>Efecto ponderador</v>
      </c>
      <c r="AU1019" s="13">
        <v>4</v>
      </c>
      <c r="AV1019">
        <f t="shared" si="418"/>
        <v>-1</v>
      </c>
      <c r="AW1019" s="13">
        <v>0</v>
      </c>
      <c r="AX1019" s="13">
        <v>0</v>
      </c>
      <c r="AY1019" s="13">
        <v>0</v>
      </c>
      <c r="AZ1019" s="13">
        <v>1</v>
      </c>
      <c r="BA1019">
        <v>1</v>
      </c>
      <c r="BB1019" t="s">
        <v>2841</v>
      </c>
      <c r="BC1019">
        <v>6</v>
      </c>
      <c r="BD1019" t="s">
        <v>2919</v>
      </c>
      <c r="BE1019">
        <v>1</v>
      </c>
      <c r="BF1019" s="232" t="s">
        <v>2846</v>
      </c>
      <c r="BG1019" s="232" t="s">
        <v>2846</v>
      </c>
      <c r="BH1019" s="253">
        <v>75.099999999999994</v>
      </c>
      <c r="BI1019" s="253">
        <v>74.268550450550677</v>
      </c>
      <c r="BJ1019" s="25">
        <v>47.774645550527893</v>
      </c>
      <c r="BK1019" t="s">
        <v>376</v>
      </c>
      <c r="BL1019">
        <v>18.491394946127286</v>
      </c>
      <c r="BM1019" t="s">
        <v>376</v>
      </c>
      <c r="BN1019" s="322">
        <v>30355.105017999998</v>
      </c>
      <c r="BO1019" s="322">
        <v>1689.6741870000001</v>
      </c>
      <c r="BP1019" s="10">
        <v>14142</v>
      </c>
      <c r="BQ1019" s="254">
        <f t="shared" si="419"/>
        <v>2.146450644746146</v>
      </c>
      <c r="BR1019" s="254">
        <f t="shared" si="420"/>
        <v>0.1194791533729317</v>
      </c>
      <c r="BS1019" s="25">
        <v>41.456005908409338</v>
      </c>
      <c r="BT1019" s="25">
        <v>77.76256627021165</v>
      </c>
      <c r="BU1019" s="25">
        <v>49.70333333333334</v>
      </c>
      <c r="BV1019" s="25">
        <v>94.515765683679049</v>
      </c>
      <c r="BW1019" s="25">
        <v>38.392837634047723</v>
      </c>
      <c r="BX1019" s="25">
        <v>65.859417798908339</v>
      </c>
      <c r="BY1019" s="25">
        <v>38.991303093077697</v>
      </c>
      <c r="BZ1019">
        <v>97</v>
      </c>
      <c r="CA1019">
        <v>0</v>
      </c>
      <c r="CB1019">
        <v>7</v>
      </c>
      <c r="CC1019">
        <v>122612.581315</v>
      </c>
      <c r="CD1019" s="10">
        <v>24163.669097000002</v>
      </c>
      <c r="CE1019" s="255">
        <v>0.19707332508498376</v>
      </c>
      <c r="CF1019" t="str">
        <f>IFERROR(VLOOKUP(CE1019,'Rangos amb etnico'!$A$2:$C$6,3,9),"N.D.")</f>
        <v>0,1% - 30%</v>
      </c>
      <c r="CG1019" s="256">
        <v>7.0301222297488631E-4</v>
      </c>
      <c r="CH1019" s="232">
        <v>106050.565881</v>
      </c>
      <c r="CI1019" s="311">
        <f t="shared" si="427"/>
        <v>0.86492401304682542</v>
      </c>
      <c r="CJ1019" s="232" t="str">
        <f>IFERROR(VLOOKUP(CI1019,'Rangos amb etnico'!$A$2:$C$6,3,9),"N.D.")</f>
        <v>71% - 100%</v>
      </c>
      <c r="CK1019" s="311">
        <f t="shared" si="428"/>
        <v>4.2109017997918417E-3</v>
      </c>
      <c r="CL1019" s="10">
        <v>0</v>
      </c>
      <c r="CM1019" s="255">
        <f t="shared" si="429"/>
        <v>0</v>
      </c>
      <c r="CN1019" s="232">
        <f>IFERROR(VLOOKUP(CM1019,'Rangos amb etnico'!$A$2:$C$6,3,9),"N.D.")</f>
        <v>0</v>
      </c>
      <c r="CO1019" s="311">
        <f t="shared" si="430"/>
        <v>0</v>
      </c>
      <c r="CP1019">
        <v>0.86805628463772133</v>
      </c>
      <c r="CQ1019" t="s">
        <v>2864</v>
      </c>
      <c r="CR1019">
        <f t="shared" si="421"/>
        <v>1</v>
      </c>
      <c r="CS1019" t="str">
        <f t="shared" si="431"/>
        <v>No es Candidato</v>
      </c>
      <c r="CT1019">
        <v>0</v>
      </c>
      <c r="CU1019">
        <v>0</v>
      </c>
      <c r="CV1019" s="25">
        <v>34.004856109619141</v>
      </c>
      <c r="CW1019" s="25">
        <v>11.06306171417236</v>
      </c>
      <c r="CX1019" s="25">
        <v>44.493492126464837</v>
      </c>
      <c r="CY1019" s="25">
        <v>25.360797882080082</v>
      </c>
      <c r="CZ1019" s="25">
        <v>9.230525016784668</v>
      </c>
      <c r="DA1019" s="25">
        <v>71.898628234863281</v>
      </c>
      <c r="DB1019" s="25">
        <v>41.982624053955078</v>
      </c>
      <c r="DC1019">
        <v>13342</v>
      </c>
      <c r="DD1019" s="253" t="s">
        <v>380</v>
      </c>
    </row>
    <row r="1020" spans="1:108" hidden="1">
      <c r="A1020" s="13">
        <v>25438</v>
      </c>
      <c r="B1020" s="13" t="s">
        <v>2437</v>
      </c>
      <c r="C1020" s="13" t="s">
        <v>461</v>
      </c>
      <c r="D1020" s="13" t="s">
        <v>462</v>
      </c>
      <c r="E1020" s="13" t="s">
        <v>2438</v>
      </c>
      <c r="F1020" s="14">
        <v>55.5657</v>
      </c>
      <c r="G1020" s="13">
        <v>43.06</v>
      </c>
      <c r="H1020" s="13">
        <v>36.6</v>
      </c>
      <c r="I1020" s="13">
        <v>62.4</v>
      </c>
      <c r="J1020" s="14">
        <v>48.349730559189119</v>
      </c>
      <c r="K1020" s="14">
        <v>51.982377037316795</v>
      </c>
      <c r="L1020" s="14">
        <v>66.975380944780582</v>
      </c>
      <c r="M1020" s="14">
        <v>51.6402</v>
      </c>
      <c r="N1020" s="14">
        <f t="shared" si="405"/>
        <v>49.406424999999999</v>
      </c>
      <c r="O1020" s="14">
        <f t="shared" si="406"/>
        <v>54.73692213532162</v>
      </c>
      <c r="P1020" s="14">
        <f t="shared" si="422"/>
        <v>52.07167356766081</v>
      </c>
      <c r="Q1020" s="14">
        <v>71.013237183563831</v>
      </c>
      <c r="R1020" s="17">
        <f t="shared" si="407"/>
        <v>28.986762816436169</v>
      </c>
      <c r="S1020" s="14">
        <f t="shared" si="423"/>
        <v>0.36088086534792552</v>
      </c>
      <c r="T1020" s="13">
        <v>0</v>
      </c>
      <c r="U1020" s="13">
        <f t="shared" si="424"/>
        <v>18.791670617212134</v>
      </c>
      <c r="V1020" s="13">
        <f>IF($T1020=1,$AU1020,(VLOOKUP(U1020,'Cortes naturales'!$A$35:$C$39,3,9)))</f>
        <v>5</v>
      </c>
      <c r="W1020" s="13">
        <v>5</v>
      </c>
      <c r="X1020" s="14" t="b">
        <f t="shared" si="408"/>
        <v>1</v>
      </c>
      <c r="Y1020" s="17">
        <f>IF($T1020=1,$AU1020,VLOOKUP(U1020,'Cortes naturales'!$A$45:$C$49,3,9))</f>
        <v>5</v>
      </c>
      <c r="Z1020" s="14">
        <v>51.050055596240313</v>
      </c>
      <c r="AA1020" s="14">
        <v>0.37388277253011459</v>
      </c>
      <c r="AB1020" s="14">
        <v>19.086736324138819</v>
      </c>
      <c r="AC1020" s="13">
        <v>5</v>
      </c>
      <c r="AD1020" s="13">
        <f t="shared" si="409"/>
        <v>0</v>
      </c>
      <c r="AE1020" s="14">
        <f t="shared" si="410"/>
        <v>1.0216179714204969</v>
      </c>
      <c r="AF1020" s="14">
        <f t="shared" si="411"/>
        <v>-1.3001907182189076E-2</v>
      </c>
      <c r="AG1020" s="13">
        <f t="shared" si="412"/>
        <v>-0.29506570692668532</v>
      </c>
      <c r="AH1020" s="13">
        <f>IF($T1020=1,$AU1020,VLOOKUP(U1020,'Cortes naturales'!$A$25:$C$29,3,9))</f>
        <v>5</v>
      </c>
      <c r="AI1020" s="13" t="b">
        <f t="shared" si="413"/>
        <v>1</v>
      </c>
      <c r="AJ1020" s="13">
        <f t="shared" si="414"/>
        <v>0</v>
      </c>
      <c r="AK1020" s="28">
        <v>0.6523467210059386</v>
      </c>
      <c r="AL1020" s="28">
        <v>33.302336375378232</v>
      </c>
      <c r="AM1020" s="28">
        <v>0.24595111224265587</v>
      </c>
      <c r="AN1020" s="13">
        <v>4</v>
      </c>
      <c r="AO1020" s="33">
        <f t="shared" si="415"/>
        <v>-1</v>
      </c>
      <c r="AP1020" s="13">
        <f t="shared" si="425"/>
        <v>24.595111224265587</v>
      </c>
      <c r="AQ1020" s="13">
        <f>IFERROR(VLOOKUP(U1020,'Cortes naturales'!$E$15:$G$19,3,9),U1020)</f>
        <v>4</v>
      </c>
      <c r="AR1020" s="28">
        <f t="shared" si="416"/>
        <v>-0.29146585565801308</v>
      </c>
      <c r="AS1020" s="13" t="b">
        <f t="shared" si="417"/>
        <v>0</v>
      </c>
      <c r="AT1020" s="13" t="str">
        <f t="shared" si="426"/>
        <v>Cambio en corte</v>
      </c>
      <c r="AU1020" s="13">
        <v>4</v>
      </c>
      <c r="AV1020">
        <f t="shared" si="418"/>
        <v>-1</v>
      </c>
      <c r="AW1020" s="13">
        <v>0</v>
      </c>
      <c r="AX1020" s="13">
        <v>0</v>
      </c>
      <c r="AY1020" s="13">
        <v>0</v>
      </c>
      <c r="AZ1020" s="13">
        <v>0</v>
      </c>
      <c r="BA1020">
        <v>1</v>
      </c>
      <c r="BB1020" t="s">
        <v>2841</v>
      </c>
      <c r="BC1020">
        <v>6</v>
      </c>
      <c r="BD1020" t="s">
        <v>2919</v>
      </c>
      <c r="BE1020">
        <v>1</v>
      </c>
      <c r="BF1020" s="232" t="s">
        <v>2846</v>
      </c>
      <c r="BG1020" s="232" t="s">
        <v>2846</v>
      </c>
      <c r="BH1020" s="253">
        <v>38.5</v>
      </c>
      <c r="BI1020" s="253">
        <v>21.24088595405145</v>
      </c>
      <c r="BJ1020" s="25">
        <v>25.62166666666667</v>
      </c>
      <c r="BK1020" t="s">
        <v>379</v>
      </c>
      <c r="BL1020">
        <v>0</v>
      </c>
      <c r="BM1020" t="s">
        <v>377</v>
      </c>
      <c r="BN1020" s="322">
        <v>26330.424863</v>
      </c>
      <c r="BO1020" s="322">
        <v>1973.566161</v>
      </c>
      <c r="BP1020" s="10">
        <v>8472</v>
      </c>
      <c r="BQ1020" s="254">
        <f t="shared" si="419"/>
        <v>3.1079349460576013</v>
      </c>
      <c r="BR1020" s="254">
        <f t="shared" si="420"/>
        <v>0.2329516242917847</v>
      </c>
      <c r="BS1020" s="25">
        <v>50.648926704482257</v>
      </c>
      <c r="BT1020" s="25">
        <v>93.68440128423039</v>
      </c>
      <c r="BU1020" s="25">
        <v>28.620115620302901</v>
      </c>
      <c r="BV1020" s="25">
        <v>88.949142547820898</v>
      </c>
      <c r="BW1020" s="25">
        <v>43.995108230417692</v>
      </c>
      <c r="BX1020" s="25">
        <v>65.475646539209109</v>
      </c>
      <c r="BY1020" s="25">
        <v>43.860779404111611</v>
      </c>
      <c r="BZ1020">
        <v>88</v>
      </c>
      <c r="CA1020">
        <v>0</v>
      </c>
      <c r="CB1020">
        <v>7</v>
      </c>
      <c r="CC1020">
        <v>119492.912499</v>
      </c>
      <c r="CD1020" s="10">
        <v>20202.425157000001</v>
      </c>
      <c r="CE1020" s="255">
        <v>0.16906797846415425</v>
      </c>
      <c r="CF1020" t="str">
        <f>IFERROR(VLOOKUP(CE1020,'Rangos amb etnico'!$A$2:$C$6,3,9),"N.D.")</f>
        <v>0,1% - 30%</v>
      </c>
      <c r="CG1020" s="256">
        <v>5.8776470419674926E-4</v>
      </c>
      <c r="CH1020" s="232">
        <v>0</v>
      </c>
      <c r="CI1020" s="311">
        <f t="shared" si="427"/>
        <v>0</v>
      </c>
      <c r="CJ1020" s="232">
        <f>IFERROR(VLOOKUP(CI1020,'Rangos amb etnico'!$A$2:$C$6,3,9),"N.D.")</f>
        <v>0</v>
      </c>
      <c r="CK1020" s="311">
        <f t="shared" si="428"/>
        <v>0</v>
      </c>
      <c r="CL1020" s="10">
        <v>0</v>
      </c>
      <c r="CM1020" s="255">
        <f t="shared" si="429"/>
        <v>0</v>
      </c>
      <c r="CN1020" s="232">
        <f>IFERROR(VLOOKUP(CM1020,'Rangos amb etnico'!$A$2:$C$6,3,9),"N.D.")</f>
        <v>0</v>
      </c>
      <c r="CO1020" s="311">
        <f t="shared" si="430"/>
        <v>0</v>
      </c>
      <c r="CP1020">
        <v>0.96237395252644498</v>
      </c>
      <c r="CQ1020" t="s">
        <v>2864</v>
      </c>
      <c r="CR1020">
        <f t="shared" si="421"/>
        <v>2</v>
      </c>
      <c r="CS1020" t="str">
        <f t="shared" si="431"/>
        <v>No es Candidato</v>
      </c>
      <c r="CT1020">
        <v>0</v>
      </c>
      <c r="CU1020">
        <v>0</v>
      </c>
      <c r="CV1020" s="25">
        <v>47.912525177001953</v>
      </c>
      <c r="CW1020" s="25">
        <v>17.94038009643555</v>
      </c>
      <c r="CX1020" s="25">
        <v>50.218978881835938</v>
      </c>
      <c r="CY1020" s="25">
        <v>57.882389068603523</v>
      </c>
      <c r="CZ1020" s="25">
        <v>45.123695373535163</v>
      </c>
      <c r="DA1020" s="25">
        <v>55.551334381103523</v>
      </c>
      <c r="DB1020" s="25">
        <v>60.758373260498047</v>
      </c>
      <c r="DC1020">
        <v>178</v>
      </c>
      <c r="DD1020" s="253" t="s">
        <v>380</v>
      </c>
    </row>
    <row r="1021" spans="1:108" hidden="1">
      <c r="A1021" s="13">
        <v>18410</v>
      </c>
      <c r="B1021" s="13" t="s">
        <v>2439</v>
      </c>
      <c r="C1021" s="13" t="s">
        <v>1463</v>
      </c>
      <c r="D1021" s="13" t="s">
        <v>1464</v>
      </c>
      <c r="E1021" s="13" t="s">
        <v>2440</v>
      </c>
      <c r="F1021" s="14">
        <v>49.705966666666697</v>
      </c>
      <c r="G1021" s="13">
        <v>44.73</v>
      </c>
      <c r="H1021" s="13">
        <v>54.77</v>
      </c>
      <c r="I1021" s="13">
        <v>49.59</v>
      </c>
      <c r="J1021" s="14">
        <v>41.024176599704461</v>
      </c>
      <c r="K1021" s="14">
        <v>45.538015210809888</v>
      </c>
      <c r="L1021" s="14">
        <v>61.189121868624184</v>
      </c>
      <c r="M1021" s="14">
        <v>57.363599999999998</v>
      </c>
      <c r="N1021" s="14">
        <f t="shared" si="405"/>
        <v>49.698991666666679</v>
      </c>
      <c r="O1021" s="14">
        <f t="shared" si="406"/>
        <v>51.278728419784635</v>
      </c>
      <c r="P1021" s="14">
        <f t="shared" si="422"/>
        <v>50.488860043225657</v>
      </c>
      <c r="Q1021" s="14">
        <v>69.705230580643885</v>
      </c>
      <c r="R1021" s="17">
        <f t="shared" si="407"/>
        <v>30.294769419356115</v>
      </c>
      <c r="S1021" s="14">
        <f t="shared" si="423"/>
        <v>0.37265292477420509</v>
      </c>
      <c r="T1021" s="13">
        <v>0</v>
      </c>
      <c r="U1021" s="13">
        <f t="shared" si="424"/>
        <v>18.81482136362354</v>
      </c>
      <c r="V1021" s="13">
        <f>IF($T1021=1,$AU1021,(VLOOKUP(U1021,'Cortes naturales'!$A$35:$C$39,3,9)))</f>
        <v>5</v>
      </c>
      <c r="W1021" s="13">
        <v>5</v>
      </c>
      <c r="X1021" s="14" t="b">
        <f t="shared" si="408"/>
        <v>1</v>
      </c>
      <c r="Y1021" s="17">
        <f>IF($T1021=1,$AU1021,VLOOKUP(U1021,'Cortes naturales'!$A$45:$C$49,3,9))</f>
        <v>5</v>
      </c>
      <c r="Z1021" s="14">
        <v>49.870350788759595</v>
      </c>
      <c r="AA1021" s="14">
        <v>0.37424028861499137</v>
      </c>
      <c r="AB1021" s="14">
        <v>18.663494472516252</v>
      </c>
      <c r="AC1021" s="13">
        <v>5</v>
      </c>
      <c r="AD1021" s="13">
        <f t="shared" si="409"/>
        <v>0</v>
      </c>
      <c r="AE1021" s="14">
        <f t="shared" si="410"/>
        <v>0.61850925446606198</v>
      </c>
      <c r="AF1021" s="14">
        <f t="shared" si="411"/>
        <v>-1.5873638407862822E-3</v>
      </c>
      <c r="AG1021" s="13">
        <f t="shared" si="412"/>
        <v>0.15132689110728847</v>
      </c>
      <c r="AH1021" s="13">
        <f>IF($T1021=1,$AU1021,VLOOKUP(U1021,'Cortes naturales'!$A$25:$C$29,3,9))</f>
        <v>5</v>
      </c>
      <c r="AI1021" s="13" t="b">
        <f t="shared" si="413"/>
        <v>1</v>
      </c>
      <c r="AJ1021" s="13">
        <f t="shared" si="414"/>
        <v>0</v>
      </c>
      <c r="AK1021" s="28">
        <v>0.6523467210059386</v>
      </c>
      <c r="AL1021" s="28">
        <v>32.532759812463247</v>
      </c>
      <c r="AM1021" s="28">
        <v>0.23632452065075063</v>
      </c>
      <c r="AN1021" s="13">
        <v>4</v>
      </c>
      <c r="AO1021" s="33">
        <f t="shared" si="415"/>
        <v>-1</v>
      </c>
      <c r="AP1021" s="13">
        <f t="shared" si="425"/>
        <v>23.632452065075064</v>
      </c>
      <c r="AQ1021" s="13">
        <f>IFERROR(VLOOKUP(U1021,'Cortes naturales'!$E$15:$G$19,3,9),U1021)</f>
        <v>4</v>
      </c>
      <c r="AR1021" s="28">
        <f t="shared" si="416"/>
        <v>-0.27969379623173352</v>
      </c>
      <c r="AS1021" s="13" t="b">
        <f t="shared" si="417"/>
        <v>0</v>
      </c>
      <c r="AT1021" s="13" t="str">
        <f t="shared" si="426"/>
        <v>Cambio en corte</v>
      </c>
      <c r="AU1021" s="13">
        <v>4</v>
      </c>
      <c r="AV1021">
        <f t="shared" si="418"/>
        <v>-1</v>
      </c>
      <c r="AW1021" s="13">
        <v>0</v>
      </c>
      <c r="AX1021" s="13">
        <v>0</v>
      </c>
      <c r="AY1021" s="13">
        <v>0</v>
      </c>
      <c r="AZ1021" s="13">
        <v>1</v>
      </c>
      <c r="BA1021">
        <v>1</v>
      </c>
      <c r="BB1021" t="s">
        <v>2841</v>
      </c>
      <c r="BC1021">
        <v>6</v>
      </c>
      <c r="BD1021" t="s">
        <v>2919</v>
      </c>
      <c r="BE1021">
        <v>1</v>
      </c>
      <c r="BF1021" s="232" t="s">
        <v>2846</v>
      </c>
      <c r="BG1021" s="232" t="s">
        <v>2846</v>
      </c>
      <c r="BH1021" s="253">
        <v>56.2</v>
      </c>
      <c r="BI1021" s="253">
        <v>32.853175980562305</v>
      </c>
      <c r="BJ1021" s="25">
        <v>4.3000000000000007</v>
      </c>
      <c r="BK1021" t="s">
        <v>381</v>
      </c>
      <c r="BL1021">
        <v>36.68514643945165</v>
      </c>
      <c r="BM1021" t="s">
        <v>384</v>
      </c>
      <c r="BN1021" s="322">
        <v>40173.821800999998</v>
      </c>
      <c r="BO1021" s="322">
        <v>3312.1460010000001</v>
      </c>
      <c r="BP1021" s="10">
        <v>15382</v>
      </c>
      <c r="BQ1021" s="254">
        <f t="shared" si="419"/>
        <v>2.6117424132752567</v>
      </c>
      <c r="BR1021" s="254">
        <f t="shared" si="420"/>
        <v>0.21532609550123522</v>
      </c>
      <c r="BS1021" s="25">
        <v>52.713719655421947</v>
      </c>
      <c r="BT1021" s="25">
        <v>90.20394405726752</v>
      </c>
      <c r="BU1021" s="25">
        <v>28.15646864686466</v>
      </c>
      <c r="BV1021" s="25">
        <v>91.203121829555826</v>
      </c>
      <c r="BW1021" s="25">
        <v>46.879049115571867</v>
      </c>
      <c r="BX1021" s="25">
        <v>65.569313547277488</v>
      </c>
      <c r="BY1021" s="25">
        <v>46.846893475706842</v>
      </c>
      <c r="BZ1021">
        <v>3</v>
      </c>
      <c r="CA1021">
        <v>0</v>
      </c>
      <c r="CB1021">
        <v>7</v>
      </c>
      <c r="CC1021">
        <v>170023.55642899999</v>
      </c>
      <c r="CD1021" s="10">
        <v>10488.727532000001</v>
      </c>
      <c r="CE1021" s="255">
        <v>6.1689849055592369E-2</v>
      </c>
      <c r="CF1021" t="str">
        <f>IFERROR(VLOOKUP(CE1021,'Rangos amb etnico'!$A$2:$C$6,3,9),"N.D.")</f>
        <v>0,1% - 30%</v>
      </c>
      <c r="CG1021" s="256">
        <v>3.0515662289733484E-4</v>
      </c>
      <c r="CH1021" s="232">
        <v>424.96158800000001</v>
      </c>
      <c r="CI1021" s="311">
        <f t="shared" si="427"/>
        <v>2.4994277082861717E-3</v>
      </c>
      <c r="CJ1021" s="232" t="str">
        <f>IFERROR(VLOOKUP(CI1021,'Rangos amb etnico'!$A$2:$C$6,3,9),"N.D.")</f>
        <v>0,1% - 30%</v>
      </c>
      <c r="CK1021" s="311">
        <f t="shared" si="428"/>
        <v>1.6873757352314142E-5</v>
      </c>
      <c r="CL1021" s="10">
        <v>0</v>
      </c>
      <c r="CM1021" s="255">
        <f t="shared" si="429"/>
        <v>0</v>
      </c>
      <c r="CN1021" s="232">
        <f>IFERROR(VLOOKUP(CM1021,'Rangos amb etnico'!$A$2:$C$6,3,9),"N.D.")</f>
        <v>0</v>
      </c>
      <c r="CO1021" s="311">
        <f t="shared" si="430"/>
        <v>0</v>
      </c>
      <c r="CP1021">
        <v>0.97231499034999902</v>
      </c>
      <c r="CQ1021" t="s">
        <v>2864</v>
      </c>
      <c r="CR1021">
        <f t="shared" si="421"/>
        <v>1</v>
      </c>
      <c r="CS1021" t="str">
        <f t="shared" si="431"/>
        <v>No es Candidato</v>
      </c>
      <c r="CT1021">
        <v>0</v>
      </c>
      <c r="CU1021">
        <v>0</v>
      </c>
      <c r="CV1021" s="25">
        <v>38.646125793457031</v>
      </c>
      <c r="CW1021" s="25">
        <v>20.54172515869141</v>
      </c>
      <c r="CX1021" s="25">
        <v>46.799816131591797</v>
      </c>
      <c r="CY1021" s="25">
        <v>58.087890625</v>
      </c>
      <c r="CZ1021" s="25">
        <v>14.90817928314209</v>
      </c>
      <c r="DA1021" s="25">
        <v>59.147548675537109</v>
      </c>
      <c r="DB1021" s="25">
        <v>32.391597747802727</v>
      </c>
      <c r="DC1021">
        <v>241</v>
      </c>
      <c r="DD1021" s="253" t="s">
        <v>380</v>
      </c>
    </row>
    <row r="1022" spans="1:108" hidden="1">
      <c r="A1022" s="13">
        <v>81794</v>
      </c>
      <c r="B1022" s="13" t="s">
        <v>2441</v>
      </c>
      <c r="C1022" s="13" t="s">
        <v>1568</v>
      </c>
      <c r="D1022" s="13" t="s">
        <v>1569</v>
      </c>
      <c r="E1022" s="13" t="s">
        <v>2442</v>
      </c>
      <c r="F1022" s="14">
        <v>55.690066666666702</v>
      </c>
      <c r="G1022" s="13">
        <v>55.34</v>
      </c>
      <c r="H1022" s="13">
        <v>62.32</v>
      </c>
      <c r="I1022" s="13">
        <v>75.94</v>
      </c>
      <c r="J1022" s="14">
        <v>63.429725096539698</v>
      </c>
      <c r="K1022" s="14">
        <v>57.696422973411543</v>
      </c>
      <c r="L1022" s="14">
        <v>67.117618495846457</v>
      </c>
      <c r="M1022" s="14">
        <v>63.99</v>
      </c>
      <c r="N1022" s="14">
        <f t="shared" si="405"/>
        <v>62.322516666666672</v>
      </c>
      <c r="O1022" s="14">
        <f t="shared" si="406"/>
        <v>63.058441641449427</v>
      </c>
      <c r="P1022" s="14">
        <f t="shared" si="422"/>
        <v>62.690479154058053</v>
      </c>
      <c r="Q1022" s="14">
        <v>71.156542574789711</v>
      </c>
      <c r="R1022" s="17">
        <f t="shared" si="407"/>
        <v>28.843457425210289</v>
      </c>
      <c r="S1022" s="14">
        <f t="shared" si="423"/>
        <v>0.3595911168268926</v>
      </c>
      <c r="T1022" s="13">
        <v>0</v>
      </c>
      <c r="U1022" s="13">
        <f t="shared" si="424"/>
        <v>22.542939413420765</v>
      </c>
      <c r="V1022" s="13">
        <f>IF($T1022=1,$AU1022,(VLOOKUP(U1022,'Cortes naturales'!$A$35:$C$39,3,9)))</f>
        <v>4</v>
      </c>
      <c r="W1022" s="13">
        <v>4</v>
      </c>
      <c r="X1022" s="14" t="b">
        <f t="shared" si="408"/>
        <v>1</v>
      </c>
      <c r="Y1022" s="17">
        <f>IF($T1022=1,$AU1022,VLOOKUP(U1022,'Cortes naturales'!$A$45:$C$49,3,9))</f>
        <v>4</v>
      </c>
      <c r="Z1022" s="14">
        <v>59.763725550025825</v>
      </c>
      <c r="AA1022" s="14">
        <v>0.37412375058660474</v>
      </c>
      <c r="AB1022" s="14">
        <v>22.359029151804158</v>
      </c>
      <c r="AC1022" s="13">
        <v>4</v>
      </c>
      <c r="AD1022" s="13">
        <f t="shared" si="409"/>
        <v>0</v>
      </c>
      <c r="AE1022" s="14">
        <f t="shared" si="410"/>
        <v>2.9267536040322284</v>
      </c>
      <c r="AF1022" s="14">
        <f t="shared" si="411"/>
        <v>-1.4532633759712144E-2</v>
      </c>
      <c r="AG1022" s="13">
        <f t="shared" si="412"/>
        <v>0.18391026161660662</v>
      </c>
      <c r="AH1022" s="13">
        <f>IF($T1022=1,$AU1022,VLOOKUP(U1022,'Cortes naturales'!$A$25:$C$29,3,9))</f>
        <v>4</v>
      </c>
      <c r="AI1022" s="13" t="b">
        <f t="shared" si="413"/>
        <v>1</v>
      </c>
      <c r="AJ1022" s="13">
        <f t="shared" si="414"/>
        <v>0</v>
      </c>
      <c r="AK1022" s="28">
        <v>0.6523467210059386</v>
      </c>
      <c r="AL1022" s="28">
        <v>38.98667039765818</v>
      </c>
      <c r="AM1022" s="28">
        <v>0.31705613900853208</v>
      </c>
      <c r="AN1022" s="13">
        <v>4</v>
      </c>
      <c r="AO1022" s="33">
        <f t="shared" si="415"/>
        <v>0</v>
      </c>
      <c r="AP1022" s="13">
        <f t="shared" si="425"/>
        <v>31.705613900853209</v>
      </c>
      <c r="AQ1022" s="13">
        <f>IFERROR(VLOOKUP(U1022,'Cortes naturales'!$E$15:$G$19,3,9),U1022)</f>
        <v>4</v>
      </c>
      <c r="AR1022" s="28">
        <f t="shared" si="416"/>
        <v>-0.292755604179046</v>
      </c>
      <c r="AS1022" s="13" t="b">
        <f t="shared" si="417"/>
        <v>1</v>
      </c>
      <c r="AT1022" s="13">
        <f t="shared" si="426"/>
        <v>0</v>
      </c>
      <c r="AU1022" s="13">
        <v>4</v>
      </c>
      <c r="AV1022">
        <f t="shared" si="418"/>
        <v>0</v>
      </c>
      <c r="AW1022" s="13">
        <v>0</v>
      </c>
      <c r="AX1022" s="13">
        <v>0</v>
      </c>
      <c r="AY1022" s="13">
        <v>0</v>
      </c>
      <c r="AZ1022" s="13">
        <v>1</v>
      </c>
      <c r="BA1022">
        <v>1</v>
      </c>
      <c r="BB1022" t="s">
        <v>2839</v>
      </c>
      <c r="BC1022">
        <v>6</v>
      </c>
      <c r="BD1022" t="s">
        <v>2919</v>
      </c>
      <c r="BE1022">
        <v>0</v>
      </c>
      <c r="BF1022" s="232" t="s">
        <v>2846</v>
      </c>
      <c r="BG1022" s="232" t="s">
        <v>2846</v>
      </c>
      <c r="BH1022" s="253">
        <v>41.9</v>
      </c>
      <c r="BI1022" s="253">
        <v>30.124200225818594</v>
      </c>
      <c r="BJ1022" s="25">
        <v>21.016784846846289</v>
      </c>
      <c r="BK1022" t="s">
        <v>379</v>
      </c>
      <c r="BL1022">
        <v>48.415923271850723</v>
      </c>
      <c r="BM1022" t="s">
        <v>384</v>
      </c>
      <c r="BN1022" s="322">
        <v>141714.49328699999</v>
      </c>
      <c r="BO1022" s="322">
        <v>14786.15604</v>
      </c>
      <c r="BP1022" s="10">
        <v>46068</v>
      </c>
      <c r="BQ1022" s="254">
        <f t="shared" si="419"/>
        <v>3.0762024243943733</v>
      </c>
      <c r="BR1022" s="254">
        <f t="shared" si="420"/>
        <v>0.32096370669445168</v>
      </c>
      <c r="BS1022" s="25">
        <v>78.692274623034962</v>
      </c>
      <c r="BT1022" s="25">
        <v>97.153221240310074</v>
      </c>
      <c r="BU1022" s="25">
        <v>56.966666666666661</v>
      </c>
      <c r="BV1022" s="25">
        <v>78.244686711510113</v>
      </c>
      <c r="BW1022" s="25">
        <v>55.910376569051927</v>
      </c>
      <c r="BX1022" s="25">
        <v>77.764212310380458</v>
      </c>
      <c r="BY1022" s="25">
        <v>58.067277660595522</v>
      </c>
      <c r="BZ1022">
        <v>53</v>
      </c>
      <c r="CA1022">
        <v>0</v>
      </c>
      <c r="CB1022">
        <v>6</v>
      </c>
      <c r="CC1022">
        <v>540388.16032699996</v>
      </c>
      <c r="CD1022" s="10">
        <v>174882.60929299999</v>
      </c>
      <c r="CE1022" s="255">
        <v>0.32362405791269544</v>
      </c>
      <c r="CF1022" t="str">
        <f>IFERROR(VLOOKUP(CE1022,'Rangos amb etnico'!$A$2:$C$6,3,9),"N.D.")</f>
        <v>31% - 50%</v>
      </c>
      <c r="CG1022" s="256">
        <v>5.0879943532244612E-3</v>
      </c>
      <c r="CH1022" s="232">
        <v>60145.164678000001</v>
      </c>
      <c r="CI1022" s="311">
        <f t="shared" si="427"/>
        <v>0.11129993048257188</v>
      </c>
      <c r="CJ1022" s="232" t="str">
        <f>IFERROR(VLOOKUP(CI1022,'Rangos amb etnico'!$A$2:$C$6,3,9),"N.D.")</f>
        <v>0,1% - 30%</v>
      </c>
      <c r="CK1022" s="311">
        <f t="shared" si="428"/>
        <v>2.3881568201678206E-3</v>
      </c>
      <c r="CL1022" s="10">
        <v>0</v>
      </c>
      <c r="CM1022" s="255">
        <f t="shared" si="429"/>
        <v>0</v>
      </c>
      <c r="CN1022" s="232">
        <f>IFERROR(VLOOKUP(CM1022,'Rangos amb etnico'!$A$2:$C$6,3,9),"N.D.")</f>
        <v>0</v>
      </c>
      <c r="CO1022" s="311">
        <f t="shared" si="430"/>
        <v>0</v>
      </c>
      <c r="CP1022">
        <v>0.8205432056576053</v>
      </c>
      <c r="CQ1022" t="s">
        <v>2865</v>
      </c>
      <c r="CR1022">
        <f t="shared" si="421"/>
        <v>3</v>
      </c>
      <c r="CS1022" t="str">
        <f t="shared" si="431"/>
        <v>Candidato</v>
      </c>
      <c r="CT1022">
        <v>0</v>
      </c>
      <c r="CU1022">
        <v>0</v>
      </c>
      <c r="CV1022" s="25">
        <v>38.611320495605469</v>
      </c>
      <c r="CW1022" s="25">
        <v>29.874897003173832</v>
      </c>
      <c r="CX1022" s="25">
        <v>36.156730651855469</v>
      </c>
      <c r="CY1022" s="25">
        <v>46.288829803466797</v>
      </c>
      <c r="CZ1022" s="25">
        <v>35.279994964599609</v>
      </c>
      <c r="DA1022" s="25">
        <v>30.493637084960941</v>
      </c>
      <c r="DB1022" s="25">
        <v>53.573844909667969</v>
      </c>
      <c r="DC1022">
        <v>4255</v>
      </c>
      <c r="DD1022" s="253" t="s">
        <v>380</v>
      </c>
    </row>
    <row r="1023" spans="1:108" hidden="1">
      <c r="A1023" s="13">
        <v>50683</v>
      </c>
      <c r="B1023" s="13" t="s">
        <v>2443</v>
      </c>
      <c r="C1023" s="13" t="s">
        <v>605</v>
      </c>
      <c r="D1023" s="13" t="s">
        <v>606</v>
      </c>
      <c r="E1023" s="13" t="s">
        <v>2444</v>
      </c>
      <c r="F1023" s="14">
        <v>68.093833333333293</v>
      </c>
      <c r="G1023" s="13">
        <v>63.34</v>
      </c>
      <c r="H1023" s="13">
        <v>65.099999999999994</v>
      </c>
      <c r="I1023" s="13">
        <v>73.48</v>
      </c>
      <c r="J1023" s="14">
        <v>61.81053877817746</v>
      </c>
      <c r="K1023" s="14">
        <v>56.565497374977653</v>
      </c>
      <c r="L1023" s="14">
        <v>55.713555419061095</v>
      </c>
      <c r="M1023" s="14">
        <v>50.228200000000001</v>
      </c>
      <c r="N1023" s="14">
        <f t="shared" si="405"/>
        <v>67.503458333333327</v>
      </c>
      <c r="O1023" s="14">
        <f t="shared" si="406"/>
        <v>56.079447893054052</v>
      </c>
      <c r="P1023" s="14">
        <f t="shared" si="422"/>
        <v>61.79145311319369</v>
      </c>
      <c r="Q1023" s="14">
        <v>71.00474951025771</v>
      </c>
      <c r="R1023" s="17">
        <f t="shared" si="407"/>
        <v>28.99525048974229</v>
      </c>
      <c r="S1023" s="14">
        <f t="shared" si="423"/>
        <v>0.36095725440768067</v>
      </c>
      <c r="T1023" s="13">
        <v>0</v>
      </c>
      <c r="U1023" s="13">
        <f t="shared" si="424"/>
        <v>22.304073261599328</v>
      </c>
      <c r="V1023" s="13">
        <f>IF($T1023=1,$AU1023,(VLOOKUP(U1023,'Cortes naturales'!$A$35:$C$39,3,9)))</f>
        <v>4</v>
      </c>
      <c r="W1023" s="13">
        <v>4</v>
      </c>
      <c r="X1023" s="14" t="b">
        <f t="shared" si="408"/>
        <v>1</v>
      </c>
      <c r="Y1023" s="17">
        <f>IF($T1023=1,$AU1023,VLOOKUP(U1023,'Cortes naturales'!$A$45:$C$49,3,9))</f>
        <v>4</v>
      </c>
      <c r="Z1023" s="14">
        <v>61.704000052429492</v>
      </c>
      <c r="AA1023" s="14">
        <v>0.37240090194794095</v>
      </c>
      <c r="AB1023" s="14">
        <v>22.978625273320539</v>
      </c>
      <c r="AC1023" s="13">
        <v>4</v>
      </c>
      <c r="AD1023" s="13">
        <f t="shared" si="409"/>
        <v>0</v>
      </c>
      <c r="AE1023" s="14">
        <f t="shared" si="410"/>
        <v>8.7453060764197232E-2</v>
      </c>
      <c r="AF1023" s="14">
        <f t="shared" si="411"/>
        <v>-1.1443647540260282E-2</v>
      </c>
      <c r="AG1023" s="13">
        <f t="shared" si="412"/>
        <v>-0.67455201172121093</v>
      </c>
      <c r="AH1023" s="13">
        <f>IF($T1023=1,$AU1023,VLOOKUP(U1023,'Cortes naturales'!$A$25:$C$29,3,9))</f>
        <v>4</v>
      </c>
      <c r="AI1023" s="13" t="b">
        <f t="shared" si="413"/>
        <v>1</v>
      </c>
      <c r="AJ1023" s="13">
        <f t="shared" si="414"/>
        <v>0</v>
      </c>
      <c r="AK1023" s="28">
        <v>0.6523467210059386</v>
      </c>
      <c r="AL1023" s="28">
        <v>40.252402107152641</v>
      </c>
      <c r="AM1023" s="28">
        <v>0.33288910848732489</v>
      </c>
      <c r="AN1023" s="13">
        <v>4</v>
      </c>
      <c r="AO1023" s="33">
        <f t="shared" si="415"/>
        <v>0</v>
      </c>
      <c r="AP1023" s="13">
        <f t="shared" si="425"/>
        <v>33.288910848732492</v>
      </c>
      <c r="AQ1023" s="13">
        <f>IFERROR(VLOOKUP(U1023,'Cortes naturales'!$E$15:$G$19,3,9),U1023)</f>
        <v>4</v>
      </c>
      <c r="AR1023" s="28">
        <f t="shared" si="416"/>
        <v>-0.29138946659825793</v>
      </c>
      <c r="AS1023" s="13" t="b">
        <f t="shared" si="417"/>
        <v>1</v>
      </c>
      <c r="AT1023" s="13">
        <f t="shared" si="426"/>
        <v>0</v>
      </c>
      <c r="AU1023" s="13">
        <v>4</v>
      </c>
      <c r="AV1023">
        <f t="shared" si="418"/>
        <v>0</v>
      </c>
      <c r="AW1023" s="13">
        <v>0</v>
      </c>
      <c r="AX1023" s="13">
        <v>0</v>
      </c>
      <c r="AY1023" s="13">
        <v>0</v>
      </c>
      <c r="AZ1023" s="13">
        <v>0</v>
      </c>
      <c r="BA1023">
        <v>1</v>
      </c>
      <c r="BB1023" t="s">
        <v>2841</v>
      </c>
      <c r="BC1023">
        <v>6</v>
      </c>
      <c r="BD1023" t="s">
        <v>2919</v>
      </c>
      <c r="BE1023">
        <v>1</v>
      </c>
      <c r="BF1023" s="232" t="s">
        <v>2846</v>
      </c>
      <c r="BG1023" s="232" t="s">
        <v>2846</v>
      </c>
      <c r="BH1023" s="253">
        <v>37.9</v>
      </c>
      <c r="BI1023" s="253">
        <v>22.831050228310502</v>
      </c>
      <c r="BJ1023" s="25">
        <v>19.945</v>
      </c>
      <c r="BK1023" t="s">
        <v>379</v>
      </c>
      <c r="BL1023">
        <v>47.639960826248085</v>
      </c>
      <c r="BM1023" t="s">
        <v>384</v>
      </c>
      <c r="BN1023" s="322">
        <v>21256.521012000001</v>
      </c>
      <c r="BO1023" s="322">
        <v>3267.8547619999999</v>
      </c>
      <c r="BP1023" s="10">
        <v>9444</v>
      </c>
      <c r="BQ1023" s="254">
        <f t="shared" si="419"/>
        <v>2.2507963799237611</v>
      </c>
      <c r="BR1023" s="254">
        <f t="shared" si="420"/>
        <v>0.34602443477340111</v>
      </c>
      <c r="BS1023" s="25">
        <v>64.802882265847572</v>
      </c>
      <c r="BT1023" s="25">
        <v>83.187646734434566</v>
      </c>
      <c r="BU1023" s="25">
        <v>38.405697694574442</v>
      </c>
      <c r="BV1023" s="25">
        <v>93.672943509316951</v>
      </c>
      <c r="BW1023" s="25">
        <v>62.443836100032229</v>
      </c>
      <c r="BX1023" s="25">
        <v>70.017292551043383</v>
      </c>
      <c r="BY1023" s="25">
        <v>64.082131142860874</v>
      </c>
      <c r="BZ1023">
        <v>63</v>
      </c>
      <c r="CA1023">
        <v>0</v>
      </c>
      <c r="CB1023">
        <v>7</v>
      </c>
      <c r="CC1023">
        <v>116536.000711</v>
      </c>
      <c r="CD1023" s="10">
        <v>15181.357486999999</v>
      </c>
      <c r="CE1023" s="255">
        <v>0.13027182496719239</v>
      </c>
      <c r="CF1023" t="str">
        <f>IFERROR(VLOOKUP(CE1023,'Rangos amb etnico'!$A$2:$C$6,3,9),"N.D.")</f>
        <v>0,1% - 30%</v>
      </c>
      <c r="CG1023" s="256">
        <v>4.4168291793225022E-4</v>
      </c>
      <c r="CH1023" s="232">
        <v>0</v>
      </c>
      <c r="CI1023" s="311">
        <f t="shared" si="427"/>
        <v>0</v>
      </c>
      <c r="CJ1023" s="232">
        <f>IFERROR(VLOOKUP(CI1023,'Rangos amb etnico'!$A$2:$C$6,3,9),"N.D.")</f>
        <v>0</v>
      </c>
      <c r="CK1023" s="311">
        <f t="shared" si="428"/>
        <v>0</v>
      </c>
      <c r="CL1023" s="10">
        <v>0</v>
      </c>
      <c r="CM1023" s="255">
        <f t="shared" si="429"/>
        <v>0</v>
      </c>
      <c r="CN1023" s="232">
        <f>IFERROR(VLOOKUP(CM1023,'Rangos amb etnico'!$A$2:$C$6,3,9),"N.D.")</f>
        <v>0</v>
      </c>
      <c r="CO1023" s="311">
        <f t="shared" si="430"/>
        <v>0</v>
      </c>
      <c r="CP1023">
        <v>0.97110011096353133</v>
      </c>
      <c r="CQ1023" t="s">
        <v>2864</v>
      </c>
      <c r="CR1023">
        <f t="shared" si="421"/>
        <v>3</v>
      </c>
      <c r="CS1023" t="str">
        <f t="shared" si="431"/>
        <v>Candidato</v>
      </c>
      <c r="CT1023">
        <v>0</v>
      </c>
      <c r="CU1023">
        <v>0</v>
      </c>
      <c r="CV1023" s="25">
        <v>38.826553344726563</v>
      </c>
      <c r="CW1023" s="25">
        <v>13.77117443084717</v>
      </c>
      <c r="CX1023" s="25">
        <v>64.520034790039063</v>
      </c>
      <c r="CY1023" s="25">
        <v>45.178600311279297</v>
      </c>
      <c r="CZ1023" s="25">
        <v>26.799615859985352</v>
      </c>
      <c r="DA1023" s="25">
        <v>34.123226165771477</v>
      </c>
      <c r="DB1023" s="25">
        <v>48.566677093505859</v>
      </c>
      <c r="DC1023">
        <v>56</v>
      </c>
      <c r="DD1023" s="253" t="s">
        <v>380</v>
      </c>
    </row>
    <row r="1024" spans="1:108" hidden="1">
      <c r="A1024" s="13">
        <v>15223</v>
      </c>
      <c r="B1024" s="13" t="s">
        <v>2445</v>
      </c>
      <c r="C1024" s="13" t="s">
        <v>498</v>
      </c>
      <c r="D1024" s="13" t="s">
        <v>499</v>
      </c>
      <c r="E1024" s="13" t="s">
        <v>2446</v>
      </c>
      <c r="F1024" s="14">
        <v>65.732633333333297</v>
      </c>
      <c r="G1024" s="13">
        <v>55.04</v>
      </c>
      <c r="H1024" s="13">
        <v>56.22</v>
      </c>
      <c r="I1024" s="13">
        <v>83.3</v>
      </c>
      <c r="J1024" s="14">
        <v>61.703493265014792</v>
      </c>
      <c r="K1024" s="14">
        <v>64.162912175789685</v>
      </c>
      <c r="L1024" s="14">
        <v>68.922522793039946</v>
      </c>
      <c r="M1024" s="14">
        <v>64.399199999999993</v>
      </c>
      <c r="N1024" s="14">
        <f t="shared" si="405"/>
        <v>65.073158333333325</v>
      </c>
      <c r="O1024" s="14">
        <f t="shared" si="406"/>
        <v>64.797032058461099</v>
      </c>
      <c r="P1024" s="14">
        <f t="shared" si="422"/>
        <v>64.935095195897219</v>
      </c>
      <c r="Q1024" s="14">
        <v>68.58019140463</v>
      </c>
      <c r="R1024" s="17">
        <f t="shared" si="407"/>
        <v>31.41980859537</v>
      </c>
      <c r="S1024" s="14">
        <f t="shared" si="423"/>
        <v>0.38277827735833003</v>
      </c>
      <c r="T1024" s="13">
        <v>0</v>
      </c>
      <c r="U1024" s="13">
        <f t="shared" si="424"/>
        <v>24.855743879184711</v>
      </c>
      <c r="V1024" s="13">
        <f>IF($T1024=1,$AU1024,(VLOOKUP(U1024,'Cortes naturales'!$A$35:$C$39,3,9)))</f>
        <v>4</v>
      </c>
      <c r="W1024" s="13">
        <v>4</v>
      </c>
      <c r="X1024" s="14" t="b">
        <f t="shared" si="408"/>
        <v>1</v>
      </c>
      <c r="Y1024" s="17">
        <f>IF($T1024=1,$AU1024,VLOOKUP(U1024,'Cortes naturales'!$A$45:$C$49,3,9))</f>
        <v>4</v>
      </c>
      <c r="Z1024" s="14">
        <v>61.730533304923931</v>
      </c>
      <c r="AA1024" s="14">
        <v>0.37348874008888699</v>
      </c>
      <c r="AB1024" s="14">
        <v>23.055659109071115</v>
      </c>
      <c r="AC1024" s="13">
        <v>4</v>
      </c>
      <c r="AD1024" s="13">
        <f t="shared" si="409"/>
        <v>0</v>
      </c>
      <c r="AE1024" s="14">
        <f t="shared" si="410"/>
        <v>3.204561890973288</v>
      </c>
      <c r="AF1024" s="14">
        <f t="shared" si="411"/>
        <v>9.2895372694430378E-3</v>
      </c>
      <c r="AG1024" s="13">
        <f t="shared" si="412"/>
        <v>1.800084770113596</v>
      </c>
      <c r="AH1024" s="13">
        <f>IF($T1024=1,$AU1024,VLOOKUP(U1024,'Cortes naturales'!$A$25:$C$29,3,9))</f>
        <v>4</v>
      </c>
      <c r="AI1024" s="13" t="b">
        <f t="shared" si="413"/>
        <v>1</v>
      </c>
      <c r="AJ1024" s="13">
        <f t="shared" si="414"/>
        <v>0</v>
      </c>
      <c r="AK1024" s="28">
        <v>0.6523467210059386</v>
      </c>
      <c r="AL1024" s="28">
        <v>40.26971098741501</v>
      </c>
      <c r="AM1024" s="28">
        <v>0.33310562433412755</v>
      </c>
      <c r="AN1024" s="13">
        <v>4</v>
      </c>
      <c r="AO1024" s="33">
        <f t="shared" si="415"/>
        <v>0</v>
      </c>
      <c r="AP1024" s="13">
        <f t="shared" si="425"/>
        <v>33.310562433412755</v>
      </c>
      <c r="AQ1024" s="13">
        <f>IFERROR(VLOOKUP(U1024,'Cortes naturales'!$E$15:$G$19,3,9),U1024)</f>
        <v>4</v>
      </c>
      <c r="AR1024" s="28">
        <f t="shared" si="416"/>
        <v>-0.26956844364760857</v>
      </c>
      <c r="AS1024" s="13" t="b">
        <f t="shared" si="417"/>
        <v>1</v>
      </c>
      <c r="AT1024" s="13">
        <f t="shared" si="426"/>
        <v>0</v>
      </c>
      <c r="AU1024" s="13">
        <v>4</v>
      </c>
      <c r="AV1024">
        <f t="shared" si="418"/>
        <v>0</v>
      </c>
      <c r="AW1024" s="13">
        <v>0</v>
      </c>
      <c r="AX1024" s="13">
        <v>0</v>
      </c>
      <c r="AY1024" s="13">
        <v>0</v>
      </c>
      <c r="AZ1024" s="13">
        <v>0</v>
      </c>
      <c r="BA1024">
        <v>0</v>
      </c>
      <c r="BB1024" t="s">
        <v>2841</v>
      </c>
      <c r="BC1024">
        <v>6</v>
      </c>
      <c r="BD1024" t="s">
        <v>2919</v>
      </c>
      <c r="BE1024">
        <v>0</v>
      </c>
      <c r="BF1024" s="232" t="s">
        <v>2846</v>
      </c>
      <c r="BG1024" s="232" t="s">
        <v>2846</v>
      </c>
      <c r="BH1024" s="253">
        <v>69.7</v>
      </c>
      <c r="BI1024" s="253">
        <v>61.104405552202778</v>
      </c>
      <c r="BJ1024" s="25">
        <v>40.400924007672998</v>
      </c>
      <c r="BK1024" t="s">
        <v>376</v>
      </c>
      <c r="BL1024">
        <v>6.4485592821587447</v>
      </c>
      <c r="BM1024" t="s">
        <v>379</v>
      </c>
      <c r="BN1024" s="322">
        <v>40402.306458999999</v>
      </c>
      <c r="BO1024" s="322">
        <v>3506.6599449999999</v>
      </c>
      <c r="BP1024" s="10">
        <v>12974</v>
      </c>
      <c r="BQ1024" s="254">
        <f t="shared" si="419"/>
        <v>3.1140979234623094</v>
      </c>
      <c r="BR1024" s="254">
        <f t="shared" si="420"/>
        <v>0.27028363997225219</v>
      </c>
      <c r="BS1024" s="25">
        <v>39.624848668430481</v>
      </c>
      <c r="BT1024" s="25">
        <v>94.519808848466155</v>
      </c>
      <c r="BU1024" s="25">
        <v>38.984761077324031</v>
      </c>
      <c r="BV1024" s="25">
        <v>98.205529458821914</v>
      </c>
      <c r="BW1024" s="25">
        <v>59.652863374000503</v>
      </c>
      <c r="BX1024" s="25">
        <v>67.833737013260645</v>
      </c>
      <c r="BY1024" s="25">
        <v>60.327111430931289</v>
      </c>
      <c r="BZ1024">
        <v>53</v>
      </c>
      <c r="CA1024">
        <v>0</v>
      </c>
      <c r="CB1024">
        <v>7</v>
      </c>
      <c r="CC1024">
        <v>113821.02992099999</v>
      </c>
      <c r="CD1024" s="10">
        <v>31791.414912</v>
      </c>
      <c r="CE1024" s="255">
        <v>0.27931055389382381</v>
      </c>
      <c r="CF1024" t="str">
        <f>IFERROR(VLOOKUP(CE1024,'Rangos amb etnico'!$A$2:$C$6,3,9),"N.D.")</f>
        <v>0,1% - 30%</v>
      </c>
      <c r="CG1024" s="256">
        <v>9.2493210278139684E-4</v>
      </c>
      <c r="CH1024" s="232">
        <v>93351.768599999996</v>
      </c>
      <c r="CI1024" s="311">
        <f t="shared" si="427"/>
        <v>0.82016274729540628</v>
      </c>
      <c r="CJ1024" s="232" t="str">
        <f>IFERROR(VLOOKUP(CI1024,'Rangos amb etnico'!$A$2:$C$6,3,9),"N.D.")</f>
        <v>71% - 100%</v>
      </c>
      <c r="CK1024" s="311">
        <f t="shared" si="428"/>
        <v>3.7066764061644518E-3</v>
      </c>
      <c r="CL1024" s="10">
        <v>0</v>
      </c>
      <c r="CM1024" s="255">
        <f t="shared" si="429"/>
        <v>0</v>
      </c>
      <c r="CN1024" s="232">
        <f>IFERROR(VLOOKUP(CM1024,'Rangos amb etnico'!$A$2:$C$6,3,9),"N.D.")</f>
        <v>0</v>
      </c>
      <c r="CO1024" s="311">
        <f t="shared" si="430"/>
        <v>0</v>
      </c>
      <c r="CP1024">
        <v>0.97712003339730624</v>
      </c>
      <c r="CQ1024" t="s">
        <v>2864</v>
      </c>
      <c r="CR1024">
        <f t="shared" si="421"/>
        <v>4</v>
      </c>
      <c r="CS1024" t="str">
        <f t="shared" si="431"/>
        <v>Candidato</v>
      </c>
      <c r="CT1024">
        <v>1</v>
      </c>
      <c r="CU1024" t="s">
        <v>2835</v>
      </c>
      <c r="CV1024" s="25">
        <v>49.013965606689453</v>
      </c>
      <c r="CW1024" s="25">
        <v>9.1705923080444336</v>
      </c>
      <c r="CX1024" s="25">
        <v>40.585704803466797</v>
      </c>
      <c r="CY1024" s="25">
        <v>53.810504913330078</v>
      </c>
      <c r="CZ1024" s="25">
        <v>45.298480987548828</v>
      </c>
      <c r="DA1024" s="25">
        <v>91.08551025390625</v>
      </c>
      <c r="DB1024" s="25">
        <v>54.133010864257813</v>
      </c>
      <c r="DC1024">
        <v>5730</v>
      </c>
      <c r="DD1024" s="253" t="s">
        <v>380</v>
      </c>
    </row>
    <row r="1025" spans="1:108" hidden="1">
      <c r="A1025" s="13">
        <v>15518</v>
      </c>
      <c r="B1025" s="13" t="s">
        <v>2447</v>
      </c>
      <c r="C1025" s="13" t="s">
        <v>498</v>
      </c>
      <c r="D1025" s="13" t="s">
        <v>499</v>
      </c>
      <c r="E1025" s="13" t="s">
        <v>2448</v>
      </c>
      <c r="F1025" s="14">
        <v>62.754166666666698</v>
      </c>
      <c r="G1025" s="13">
        <v>41.94</v>
      </c>
      <c r="H1025" s="13">
        <v>19.43</v>
      </c>
      <c r="I1025" s="13">
        <v>52.04</v>
      </c>
      <c r="J1025" s="14">
        <v>52.933279272917893</v>
      </c>
      <c r="K1025" s="14">
        <v>56.574355938858311</v>
      </c>
      <c r="L1025" s="14">
        <v>61.480464566824779</v>
      </c>
      <c r="M1025" s="14">
        <v>58.425400000000003</v>
      </c>
      <c r="N1025" s="14">
        <f t="shared" si="405"/>
        <v>44.041041666666672</v>
      </c>
      <c r="O1025" s="14">
        <f t="shared" si="406"/>
        <v>57.353374944650248</v>
      </c>
      <c r="P1025" s="14">
        <f t="shared" si="422"/>
        <v>50.697208305658464</v>
      </c>
      <c r="Q1025" s="14">
        <v>71.237124480721093</v>
      </c>
      <c r="R1025" s="17">
        <f t="shared" si="407"/>
        <v>28.762875519278907</v>
      </c>
      <c r="S1025" s="14">
        <f t="shared" si="423"/>
        <v>0.35886587967351014</v>
      </c>
      <c r="T1025" s="13">
        <v>0</v>
      </c>
      <c r="U1025" s="13">
        <f t="shared" si="424"/>
        <v>18.193498255601309</v>
      </c>
      <c r="V1025" s="13">
        <f>IF($T1025=1,$AU1025,(VLOOKUP(U1025,'Cortes naturales'!$A$35:$C$39,3,9)))</f>
        <v>5</v>
      </c>
      <c r="W1025" s="13">
        <v>5</v>
      </c>
      <c r="X1025" s="14" t="b">
        <f t="shared" si="408"/>
        <v>1</v>
      </c>
      <c r="Y1025" s="17">
        <f>IF($T1025=1,$AU1025,VLOOKUP(U1025,'Cortes naturales'!$A$45:$C$49,3,9))</f>
        <v>5</v>
      </c>
      <c r="Z1025" s="14">
        <v>51.419664844281627</v>
      </c>
      <c r="AA1025" s="14">
        <v>0.37290975019514128</v>
      </c>
      <c r="AB1025" s="14">
        <v>19.174894372198949</v>
      </c>
      <c r="AC1025" s="13">
        <v>5</v>
      </c>
      <c r="AD1025" s="13">
        <f t="shared" si="409"/>
        <v>0</v>
      </c>
      <c r="AE1025" s="14">
        <f t="shared" si="410"/>
        <v>-0.72245653862316317</v>
      </c>
      <c r="AF1025" s="14">
        <f t="shared" si="411"/>
        <v>-1.4043870521631141E-2</v>
      </c>
      <c r="AG1025" s="13">
        <f t="shared" si="412"/>
        <v>-0.98139611659764014</v>
      </c>
      <c r="AH1025" s="13">
        <f>IF($T1025=1,$AU1025,VLOOKUP(U1025,'Cortes naturales'!$A$25:$C$29,3,9))</f>
        <v>5</v>
      </c>
      <c r="AI1025" s="13" t="b">
        <f t="shared" si="413"/>
        <v>1</v>
      </c>
      <c r="AJ1025" s="13">
        <f t="shared" si="414"/>
        <v>0</v>
      </c>
      <c r="AK1025" s="28">
        <v>0.6523467210059386</v>
      </c>
      <c r="AL1025" s="28">
        <v>33.543449756391453</v>
      </c>
      <c r="AM1025" s="28">
        <v>0.24896718648167104</v>
      </c>
      <c r="AN1025" s="13">
        <v>4</v>
      </c>
      <c r="AO1025" s="33">
        <f t="shared" si="415"/>
        <v>-1</v>
      </c>
      <c r="AP1025" s="13">
        <f t="shared" si="425"/>
        <v>24.896718648167106</v>
      </c>
      <c r="AQ1025" s="13">
        <f>IFERROR(VLOOKUP(U1025,'Cortes naturales'!$E$15:$G$19,3,9),U1025)</f>
        <v>5</v>
      </c>
      <c r="AR1025" s="28">
        <f t="shared" si="416"/>
        <v>-0.29348084133242847</v>
      </c>
      <c r="AS1025" s="13" t="b">
        <f t="shared" si="417"/>
        <v>1</v>
      </c>
      <c r="AT1025" s="13" t="str">
        <f t="shared" si="426"/>
        <v>Efecto ponderador</v>
      </c>
      <c r="AU1025" s="13">
        <v>4</v>
      </c>
      <c r="AV1025">
        <f t="shared" si="418"/>
        <v>-1</v>
      </c>
      <c r="AW1025" s="13">
        <v>0</v>
      </c>
      <c r="AX1025" s="13">
        <v>0</v>
      </c>
      <c r="AY1025" s="13">
        <v>0</v>
      </c>
      <c r="AZ1025" s="13">
        <v>0</v>
      </c>
      <c r="BA1025">
        <v>1</v>
      </c>
      <c r="BB1025" t="s">
        <v>2841</v>
      </c>
      <c r="BC1025">
        <v>6</v>
      </c>
      <c r="BD1025" t="s">
        <v>2919</v>
      </c>
      <c r="BE1025">
        <v>1</v>
      </c>
      <c r="BF1025" s="232" t="s">
        <v>2846</v>
      </c>
      <c r="BG1025" s="232" t="s">
        <v>2846</v>
      </c>
      <c r="BH1025" s="253">
        <v>27.8</v>
      </c>
      <c r="BI1025" s="253">
        <v>11.347150259067357</v>
      </c>
      <c r="BJ1025" s="25">
        <v>11.089681734800838</v>
      </c>
      <c r="BK1025" t="s">
        <v>377</v>
      </c>
      <c r="BL1025">
        <v>7.3069645432114805E-2</v>
      </c>
      <c r="BM1025" t="s">
        <v>377</v>
      </c>
      <c r="BN1025" s="322">
        <v>10994.951429999999</v>
      </c>
      <c r="BO1025" s="322">
        <v>948.30120699999998</v>
      </c>
      <c r="BP1025" s="10">
        <v>2205</v>
      </c>
      <c r="BQ1025" s="254">
        <f t="shared" si="419"/>
        <v>4.9863725306122442</v>
      </c>
      <c r="BR1025" s="254">
        <f t="shared" si="420"/>
        <v>0.4300685746031746</v>
      </c>
      <c r="BS1025" s="25">
        <v>51.624821033450473</v>
      </c>
      <c r="BT1025" s="25">
        <v>93.151927437641731</v>
      </c>
      <c r="BU1025" s="25">
        <v>29.817082139446029</v>
      </c>
      <c r="BV1025" s="25">
        <v>80.533504022836567</v>
      </c>
      <c r="BW1025" s="25">
        <v>45.796871757842162</v>
      </c>
      <c r="BX1025" s="25">
        <v>63.7818336583437</v>
      </c>
      <c r="BY1025" s="25">
        <v>44.805878488758538</v>
      </c>
      <c r="BZ1025">
        <v>41</v>
      </c>
      <c r="CA1025">
        <v>0</v>
      </c>
      <c r="CB1025">
        <v>7</v>
      </c>
      <c r="CC1025">
        <v>31300.817619000001</v>
      </c>
      <c r="CD1025" s="10">
        <v>6173.3679689999999</v>
      </c>
      <c r="CE1025" s="255">
        <v>0.19722705151486797</v>
      </c>
      <c r="CF1025" t="str">
        <f>IFERROR(VLOOKUP(CE1025,'Rangos amb etnico'!$A$2:$C$6,3,9),"N.D.")</f>
        <v>0,1% - 30%</v>
      </c>
      <c r="CG1025" s="256">
        <v>1.7960654574877737E-4</v>
      </c>
      <c r="CH1025" s="232">
        <v>0</v>
      </c>
      <c r="CI1025" s="311">
        <f t="shared" si="427"/>
        <v>0</v>
      </c>
      <c r="CJ1025" s="232">
        <f>IFERROR(VLOOKUP(CI1025,'Rangos amb etnico'!$A$2:$C$6,3,9),"N.D.")</f>
        <v>0</v>
      </c>
      <c r="CK1025" s="311">
        <f t="shared" si="428"/>
        <v>0</v>
      </c>
      <c r="CL1025" s="10">
        <v>0</v>
      </c>
      <c r="CM1025" s="255">
        <f t="shared" si="429"/>
        <v>0</v>
      </c>
      <c r="CN1025" s="232">
        <f>IFERROR(VLOOKUP(CM1025,'Rangos amb etnico'!$A$2:$C$6,3,9),"N.D.")</f>
        <v>0</v>
      </c>
      <c r="CO1025" s="311">
        <f t="shared" si="430"/>
        <v>0</v>
      </c>
      <c r="CP1025">
        <v>0.92380037855548403</v>
      </c>
      <c r="CQ1025" t="s">
        <v>2864</v>
      </c>
      <c r="CR1025">
        <f t="shared" si="421"/>
        <v>1</v>
      </c>
      <c r="CS1025" t="str">
        <f t="shared" si="431"/>
        <v>No es Candidato</v>
      </c>
      <c r="CT1025">
        <v>0</v>
      </c>
      <c r="CU1025">
        <v>0</v>
      </c>
      <c r="CV1025" s="25">
        <v>48.034725189208977</v>
      </c>
      <c r="CW1025" s="25">
        <v>18.3961067199707</v>
      </c>
      <c r="CX1025" s="25">
        <v>45.600021362304688</v>
      </c>
      <c r="CY1025" s="25">
        <v>62.136993408203118</v>
      </c>
      <c r="CZ1025" s="25">
        <v>25.481986999511719</v>
      </c>
      <c r="DA1025" s="25">
        <v>58.333332061767578</v>
      </c>
      <c r="DB1025" s="25">
        <v>78.259910583496094</v>
      </c>
      <c r="DC1025">
        <v>34</v>
      </c>
      <c r="DD1025" s="253" t="s">
        <v>380</v>
      </c>
    </row>
    <row r="1026" spans="1:108" hidden="1">
      <c r="A1026" s="13">
        <v>85225</v>
      </c>
      <c r="B1026" s="13" t="s">
        <v>2449</v>
      </c>
      <c r="C1026" s="13" t="s">
        <v>1351</v>
      </c>
      <c r="D1026" s="13" t="s">
        <v>1352</v>
      </c>
      <c r="E1026" s="13" t="s">
        <v>2450</v>
      </c>
      <c r="F1026" s="14">
        <v>51.913233333333302</v>
      </c>
      <c r="G1026" s="13">
        <v>51.23</v>
      </c>
      <c r="H1026" s="13">
        <v>36.700000000000003</v>
      </c>
      <c r="I1026" s="13">
        <v>41.61</v>
      </c>
      <c r="J1026" s="14">
        <v>62.940237585740341</v>
      </c>
      <c r="K1026" s="14">
        <v>59.350646924093375</v>
      </c>
      <c r="L1026" s="14">
        <v>64.695144519485893</v>
      </c>
      <c r="M1026" s="14">
        <v>56.6708</v>
      </c>
      <c r="N1026" s="14">
        <f t="shared" si="405"/>
        <v>45.363308333333322</v>
      </c>
      <c r="O1026" s="14">
        <f t="shared" si="406"/>
        <v>60.914207257329906</v>
      </c>
      <c r="P1026" s="14">
        <f t="shared" si="422"/>
        <v>53.138757795331614</v>
      </c>
      <c r="Q1026" s="14">
        <v>70.637612969135759</v>
      </c>
      <c r="R1026" s="17">
        <f t="shared" si="407"/>
        <v>29.362387030864241</v>
      </c>
      <c r="S1026" s="14">
        <f t="shared" si="423"/>
        <v>0.36426148327777819</v>
      </c>
      <c r="T1026" s="13">
        <v>0</v>
      </c>
      <c r="U1026" s="13">
        <f t="shared" si="424"/>
        <v>19.356402734066091</v>
      </c>
      <c r="V1026" s="13">
        <f>IF($T1026=1,$AU1026,(VLOOKUP(U1026,'Cortes naturales'!$A$35:$C$39,3,9)))</f>
        <v>5</v>
      </c>
      <c r="W1026" s="13">
        <v>5</v>
      </c>
      <c r="X1026" s="14" t="b">
        <f t="shared" si="408"/>
        <v>1</v>
      </c>
      <c r="Y1026" s="17">
        <f>IF($T1026=1,$AU1026,VLOOKUP(U1026,'Cortes naturales'!$A$45:$C$49,3,9))</f>
        <v>5</v>
      </c>
      <c r="Z1026" s="14">
        <v>53.547973227942357</v>
      </c>
      <c r="AA1026" s="14">
        <v>0.37205968178921145</v>
      </c>
      <c r="AB1026" s="14">
        <v>19.923041879645446</v>
      </c>
      <c r="AC1026" s="13">
        <v>5</v>
      </c>
      <c r="AD1026" s="13">
        <f t="shared" si="409"/>
        <v>0</v>
      </c>
      <c r="AE1026" s="14">
        <f t="shared" si="410"/>
        <v>-0.40921543261074333</v>
      </c>
      <c r="AF1026" s="14">
        <f t="shared" si="411"/>
        <v>-7.798198511433263E-3</v>
      </c>
      <c r="AG1026" s="13">
        <f t="shared" si="412"/>
        <v>-0.56663914557935513</v>
      </c>
      <c r="AH1026" s="13">
        <f>IF($T1026=1,$AU1026,VLOOKUP(U1026,'Cortes naturales'!$A$25:$C$29,3,9))</f>
        <v>5</v>
      </c>
      <c r="AI1026" s="13" t="b">
        <f t="shared" si="413"/>
        <v>1</v>
      </c>
      <c r="AJ1026" s="13">
        <f t="shared" si="414"/>
        <v>0</v>
      </c>
      <c r="AK1026" s="28">
        <v>0.6523467210059386</v>
      </c>
      <c r="AL1026" s="28">
        <v>34.931844751761986</v>
      </c>
      <c r="AM1026" s="28">
        <v>0.26633454436748255</v>
      </c>
      <c r="AN1026" s="13">
        <v>4</v>
      </c>
      <c r="AO1026" s="33">
        <f t="shared" si="415"/>
        <v>-1</v>
      </c>
      <c r="AP1026" s="13">
        <f t="shared" si="425"/>
        <v>26.633454436748256</v>
      </c>
      <c r="AQ1026" s="13">
        <f>IFERROR(VLOOKUP(U1026,'Cortes naturales'!$E$15:$G$19,3,9),U1026)</f>
        <v>4</v>
      </c>
      <c r="AR1026" s="28">
        <f t="shared" si="416"/>
        <v>-0.28808523772816041</v>
      </c>
      <c r="AS1026" s="13" t="b">
        <f t="shared" si="417"/>
        <v>0</v>
      </c>
      <c r="AT1026" s="13" t="str">
        <f t="shared" si="426"/>
        <v>Cambio en corte</v>
      </c>
      <c r="AU1026" s="13">
        <v>4</v>
      </c>
      <c r="AV1026">
        <f t="shared" si="418"/>
        <v>-1</v>
      </c>
      <c r="AW1026" s="13">
        <v>0</v>
      </c>
      <c r="AX1026" s="13">
        <v>0</v>
      </c>
      <c r="AY1026" s="13">
        <v>0</v>
      </c>
      <c r="AZ1026" s="13">
        <v>0</v>
      </c>
      <c r="BA1026">
        <v>0</v>
      </c>
      <c r="BB1026" t="s">
        <v>2841</v>
      </c>
      <c r="BC1026">
        <v>6</v>
      </c>
      <c r="BD1026" t="s">
        <v>2919</v>
      </c>
      <c r="BE1026">
        <v>1</v>
      </c>
      <c r="BF1026" s="232" t="s">
        <v>2846</v>
      </c>
      <c r="BG1026" s="232" t="s">
        <v>2846</v>
      </c>
      <c r="BH1026" s="253">
        <v>56.4</v>
      </c>
      <c r="BI1026" s="253">
        <v>34.039514401333015</v>
      </c>
      <c r="BJ1026" s="25">
        <v>1.8166666666666667</v>
      </c>
      <c r="BK1026" t="s">
        <v>381</v>
      </c>
      <c r="BL1026">
        <v>2.2057474025705894</v>
      </c>
      <c r="BM1026" t="s">
        <v>383</v>
      </c>
      <c r="BN1026" s="322">
        <v>29252.988187999999</v>
      </c>
      <c r="BO1026" s="322">
        <v>4185.6020429999999</v>
      </c>
      <c r="BP1026" s="10">
        <v>9365</v>
      </c>
      <c r="BQ1026" s="254">
        <f t="shared" si="419"/>
        <v>3.1236506340630004</v>
      </c>
      <c r="BR1026" s="254">
        <f t="shared" si="420"/>
        <v>0.44694095493860114</v>
      </c>
      <c r="BS1026" s="25">
        <v>59.727247758713332</v>
      </c>
      <c r="BT1026" s="25">
        <v>81.322156623954442</v>
      </c>
      <c r="BU1026" s="25">
        <v>36.392166105499427</v>
      </c>
      <c r="BV1026" s="25">
        <v>94.962783213698231</v>
      </c>
      <c r="BW1026" s="25">
        <v>51.939427122664902</v>
      </c>
      <c r="BX1026" s="25">
        <v>68.101088425466358</v>
      </c>
      <c r="BY1026" s="25">
        <v>52.814561915953291</v>
      </c>
      <c r="BZ1026">
        <v>50</v>
      </c>
      <c r="CA1026">
        <v>0</v>
      </c>
      <c r="CB1026">
        <v>7</v>
      </c>
      <c r="CC1026">
        <v>109912.873731</v>
      </c>
      <c r="CD1026" s="10">
        <v>16459.718518999998</v>
      </c>
      <c r="CE1026" s="255">
        <v>0.14975241716710455</v>
      </c>
      <c r="CF1026" t="str">
        <f>IFERROR(VLOOKUP(CE1026,'Rangos amb etnico'!$A$2:$C$6,3,9),"N.D.")</f>
        <v>0,1% - 30%</v>
      </c>
      <c r="CG1026" s="256">
        <v>4.7887525934626031E-4</v>
      </c>
      <c r="CH1026" s="232">
        <v>0</v>
      </c>
      <c r="CI1026" s="311">
        <f t="shared" si="427"/>
        <v>0</v>
      </c>
      <c r="CJ1026" s="232">
        <f>IFERROR(VLOOKUP(CI1026,'Rangos amb etnico'!$A$2:$C$6,3,9),"N.D.")</f>
        <v>0</v>
      </c>
      <c r="CK1026" s="311">
        <f t="shared" si="428"/>
        <v>0</v>
      </c>
      <c r="CL1026" s="10">
        <v>0</v>
      </c>
      <c r="CM1026" s="255">
        <f t="shared" si="429"/>
        <v>0</v>
      </c>
      <c r="CN1026" s="232">
        <f>IFERROR(VLOOKUP(CM1026,'Rangos amb etnico'!$A$2:$C$6,3,9),"N.D.")</f>
        <v>0</v>
      </c>
      <c r="CO1026" s="311">
        <f t="shared" si="430"/>
        <v>0</v>
      </c>
      <c r="CP1026">
        <v>0.95424232849493751</v>
      </c>
      <c r="CQ1026" t="s">
        <v>2864</v>
      </c>
      <c r="CR1026">
        <f t="shared" si="421"/>
        <v>1</v>
      </c>
      <c r="CS1026" t="str">
        <f t="shared" si="431"/>
        <v>No es Candidato</v>
      </c>
      <c r="CT1026">
        <v>0</v>
      </c>
      <c r="CU1026">
        <v>0</v>
      </c>
      <c r="CV1026" s="25">
        <v>51.475433349609382</v>
      </c>
      <c r="CW1026" s="25">
        <v>22.388704299926761</v>
      </c>
      <c r="CX1026" s="25">
        <v>52.908905029296882</v>
      </c>
      <c r="CY1026" s="25">
        <v>68.999153137207031</v>
      </c>
      <c r="CZ1026" s="25">
        <v>30.273466110229489</v>
      </c>
      <c r="DA1026" s="25">
        <v>69.175804138183594</v>
      </c>
      <c r="DB1026" s="25">
        <v>65.106559753417969</v>
      </c>
      <c r="DC1026">
        <v>29</v>
      </c>
      <c r="DD1026" s="253" t="s">
        <v>380</v>
      </c>
    </row>
    <row r="1027" spans="1:108" hidden="1">
      <c r="A1027" s="13">
        <v>68298</v>
      </c>
      <c r="B1027" s="13" t="s">
        <v>2451</v>
      </c>
      <c r="C1027" s="13" t="s">
        <v>431</v>
      </c>
      <c r="D1027" s="13" t="s">
        <v>432</v>
      </c>
      <c r="E1027" s="13" t="s">
        <v>2452</v>
      </c>
      <c r="F1027" s="14">
        <v>71.050533333333306</v>
      </c>
      <c r="G1027" s="13">
        <v>61.74</v>
      </c>
      <c r="H1027" s="13">
        <v>54.14</v>
      </c>
      <c r="I1027" s="13">
        <v>47.94</v>
      </c>
      <c r="J1027" s="14">
        <v>42.964139596733723</v>
      </c>
      <c r="K1027" s="14">
        <v>43.569309839835462</v>
      </c>
      <c r="L1027" s="14">
        <v>48.504257473300449</v>
      </c>
      <c r="M1027" s="14">
        <v>44.101999999999997</v>
      </c>
      <c r="N1027" s="14">
        <f t="shared" ref="N1027:N1090" si="432">IFERROR(AVERAGE(F1027:I1027),"N.D.")</f>
        <v>58.717633333333325</v>
      </c>
      <c r="O1027" s="14">
        <f t="shared" ref="O1027:O1090" si="433">IFERROR(AVERAGE(J1027:M1027),"N.D.")</f>
        <v>44.784926727467408</v>
      </c>
      <c r="P1027" s="14">
        <f t="shared" si="422"/>
        <v>51.751280030400366</v>
      </c>
      <c r="Q1027" s="14">
        <v>70.672518538943024</v>
      </c>
      <c r="R1027" s="17">
        <f t="shared" ref="R1027:R1090" si="434">IFERROR(MAX($Q$3:$Q$1105)-Q1027,"N.D.")</f>
        <v>29.327481461056976</v>
      </c>
      <c r="S1027" s="14">
        <f t="shared" si="423"/>
        <v>0.36394733314951278</v>
      </c>
      <c r="T1027" s="13">
        <v>0</v>
      </c>
      <c r="U1027" s="13">
        <f t="shared" si="424"/>
        <v>18.83474035413785</v>
      </c>
      <c r="V1027" s="13">
        <f>IF($T1027=1,$AU1027,(VLOOKUP(U1027,'Cortes naturales'!$A$35:$C$39,3,9)))</f>
        <v>5</v>
      </c>
      <c r="W1027" s="13">
        <v>5</v>
      </c>
      <c r="X1027" s="14" t="b">
        <f t="shared" ref="X1027:X1090" si="435">V1027=W1027</f>
        <v>1</v>
      </c>
      <c r="Y1027" s="17">
        <f>IF($T1027=1,$AU1027,VLOOKUP(U1027,'Cortes naturales'!$A$45:$C$49,3,9))</f>
        <v>5</v>
      </c>
      <c r="Z1027" s="14">
        <v>54.346434647555164</v>
      </c>
      <c r="AA1027" s="14">
        <v>0.36941744426714929</v>
      </c>
      <c r="AB1027" s="14">
        <v>20.076520992531481</v>
      </c>
      <c r="AC1027" s="13">
        <v>5</v>
      </c>
      <c r="AD1027" s="13">
        <f t="shared" ref="AD1027:AD1090" si="436">IFERROR(AC1027-Y1027,)</f>
        <v>0</v>
      </c>
      <c r="AE1027" s="14">
        <f t="shared" ref="AE1027:AE1090" si="437">IFERROR(P1027-Z1027,"N.D.")</f>
        <v>-2.5951546171547974</v>
      </c>
      <c r="AF1027" s="14">
        <f t="shared" ref="AF1027:AF1090" si="438">IFERROR(S1027-AA1027,"N.D.")</f>
        <v>-5.4701111176365114E-3</v>
      </c>
      <c r="AG1027" s="13">
        <f t="shared" ref="AG1027:AG1090" si="439">IFERROR(U1027-AB1027,0)</f>
        <v>-1.2417806383936316</v>
      </c>
      <c r="AH1027" s="13">
        <f>IF($T1027=1,$AU1027,VLOOKUP(U1027,'Cortes naturales'!$A$25:$C$29,3,9))</f>
        <v>5</v>
      </c>
      <c r="AI1027" s="13" t="b">
        <f t="shared" ref="AI1027:AI1090" si="440">AH1027=Y1027</f>
        <v>1</v>
      </c>
      <c r="AJ1027" s="13">
        <f t="shared" ref="AJ1027:AJ1090" si="441">IF(AD1027=0,0,IF(AI1027=TRUE,"Efecto ponderador","Cambio en corte"))</f>
        <v>0</v>
      </c>
      <c r="AK1027" s="28">
        <v>0.6523467210059386</v>
      </c>
      <c r="AL1027" s="28">
        <v>35.452718440696145</v>
      </c>
      <c r="AM1027" s="28">
        <v>0.27285012516342755</v>
      </c>
      <c r="AN1027" s="13">
        <v>4</v>
      </c>
      <c r="AO1027" s="33">
        <f t="shared" ref="AO1027:AO1090" si="442">IF(AND(ISNUMBER(AN1027),ISNUMBER(Y1027)),AN1027-Y1027,IF(AN1027="SC- Centro aglomeración",Y1027,IF(OR(AN1027="Bogotá",AN1027="Ciudades grandes"),0,0)))</f>
        <v>-1</v>
      </c>
      <c r="AP1027" s="13">
        <f t="shared" si="425"/>
        <v>27.285012516342753</v>
      </c>
      <c r="AQ1027" s="13">
        <f>IFERROR(VLOOKUP(U1027,'Cortes naturales'!$E$15:$G$19,3,9),U1027)</f>
        <v>4</v>
      </c>
      <c r="AR1027" s="28">
        <f t="shared" ref="AR1027:AR1090" si="443">IFERROR(S1027-AK1027,"N.D.")</f>
        <v>-0.28839938785642583</v>
      </c>
      <c r="AS1027" s="13" t="b">
        <f t="shared" ref="AS1027:AS1090" si="444">AQ1027=Y1027</f>
        <v>0</v>
      </c>
      <c r="AT1027" s="13" t="str">
        <f t="shared" si="426"/>
        <v>Cambio en corte</v>
      </c>
      <c r="AU1027" s="13">
        <v>4</v>
      </c>
      <c r="AV1027">
        <f t="shared" ref="AV1027:AV1090" si="445">IF(AND(ISNUMBER(AU1027),ISNUMBER(Y1027)),AU1027-Y1027,IF(AU1027="SC- Centro aglomeración",Y1027,IF(OR(AU1027="Bogotá",AU1027="Ciudades grandes"),0,0)))</f>
        <v>-1</v>
      </c>
      <c r="AW1027" s="13">
        <v>0</v>
      </c>
      <c r="AX1027" s="13">
        <v>0</v>
      </c>
      <c r="AY1027" s="13">
        <v>0</v>
      </c>
      <c r="AZ1027" s="13">
        <v>0</v>
      </c>
      <c r="BA1027">
        <v>0</v>
      </c>
      <c r="BB1027" t="s">
        <v>2841</v>
      </c>
      <c r="BC1027">
        <v>6</v>
      </c>
      <c r="BD1027" t="s">
        <v>2919</v>
      </c>
      <c r="BE1027">
        <v>0</v>
      </c>
      <c r="BF1027" s="232" t="s">
        <v>2846</v>
      </c>
      <c r="BG1027" s="232" t="s">
        <v>2846</v>
      </c>
      <c r="BH1027" s="253">
        <v>51.1</v>
      </c>
      <c r="BI1027" s="253">
        <v>23.859749144811857</v>
      </c>
      <c r="BJ1027" s="25">
        <v>22.851999999999997</v>
      </c>
      <c r="BK1027" t="s">
        <v>379</v>
      </c>
      <c r="BL1027">
        <v>2.0310264226301977</v>
      </c>
      <c r="BM1027" t="s">
        <v>383</v>
      </c>
      <c r="BN1027" s="322">
        <v>12583.345762000001</v>
      </c>
      <c r="BO1027" s="322">
        <v>787.73535500000003</v>
      </c>
      <c r="BP1027" s="10">
        <v>4110</v>
      </c>
      <c r="BQ1027" s="254">
        <f t="shared" ref="BQ1027:BQ1090" si="446">BN1027/BP1027</f>
        <v>3.0616413046228712</v>
      </c>
      <c r="BR1027" s="254">
        <f t="shared" ref="BR1027:BR1090" si="447">BO1027/BP1027</f>
        <v>0.19166310340632603</v>
      </c>
      <c r="BS1027" s="25">
        <v>59.299881568910827</v>
      </c>
      <c r="BT1027" s="25">
        <v>64.014158523925389</v>
      </c>
      <c r="BU1027" s="25">
        <v>27.29668297020897</v>
      </c>
      <c r="BV1027" s="25">
        <v>88.750767858170605</v>
      </c>
      <c r="BW1027" s="25">
        <v>59.595391930732298</v>
      </c>
      <c r="BX1027" s="25">
        <v>59.840372730303947</v>
      </c>
      <c r="BY1027" s="25">
        <v>58.789172186809722</v>
      </c>
      <c r="BZ1027">
        <v>20</v>
      </c>
      <c r="CA1027">
        <v>0</v>
      </c>
      <c r="CB1027">
        <v>7</v>
      </c>
      <c r="CC1027">
        <v>60717.315348999997</v>
      </c>
      <c r="CD1027" s="10">
        <v>20627.973585</v>
      </c>
      <c r="CE1027" s="255">
        <v>0.33973790617110577</v>
      </c>
      <c r="CF1027" t="str">
        <f>IFERROR(VLOOKUP(CE1027,'Rangos amb etnico'!$A$2:$C$6,3,9),"N.D.")</f>
        <v>31% - 50%</v>
      </c>
      <c r="CG1027" s="256">
        <v>6.0014551214238076E-4</v>
      </c>
      <c r="CH1027" s="232">
        <v>0</v>
      </c>
      <c r="CI1027" s="311">
        <f t="shared" si="427"/>
        <v>0</v>
      </c>
      <c r="CJ1027" s="232">
        <f>IFERROR(VLOOKUP(CI1027,'Rangos amb etnico'!$A$2:$C$6,3,9),"N.D.")</f>
        <v>0</v>
      </c>
      <c r="CK1027" s="311">
        <f t="shared" si="428"/>
        <v>0</v>
      </c>
      <c r="CL1027" s="10">
        <v>0</v>
      </c>
      <c r="CM1027" s="255">
        <f t="shared" si="429"/>
        <v>0</v>
      </c>
      <c r="CN1027" s="232">
        <f>IFERROR(VLOOKUP(CM1027,'Rangos amb etnico'!$A$2:$C$6,3,9),"N.D.")</f>
        <v>0</v>
      </c>
      <c r="CO1027" s="311">
        <f t="shared" si="430"/>
        <v>0</v>
      </c>
      <c r="CP1027">
        <v>0.93911602647924686</v>
      </c>
      <c r="CQ1027" t="s">
        <v>2864</v>
      </c>
      <c r="CR1027">
        <f t="shared" ref="CR1027:CR1090" si="448">IF(BY1027&gt;=60,1,0)+IF(M1027&gt;=60,1,0)+IF(I1027&gt;=60,1,0)+IF(OR(CQ1027="Crítico Bajo",CQ1027="Aceptable"),1,0)</f>
        <v>1</v>
      </c>
      <c r="CS1027" t="str">
        <f t="shared" si="431"/>
        <v>No es Candidato</v>
      </c>
      <c r="CT1027">
        <v>0</v>
      </c>
      <c r="CU1027">
        <v>0</v>
      </c>
      <c r="CV1027" s="25">
        <v>51.738697052001953</v>
      </c>
      <c r="CW1027" s="25">
        <v>16.052219390869141</v>
      </c>
      <c r="CX1027" s="25">
        <v>50.771114349365227</v>
      </c>
      <c r="CY1027" s="25">
        <v>48.380985260009773</v>
      </c>
      <c r="CZ1027" s="25">
        <v>55.589168548583977</v>
      </c>
      <c r="DA1027" s="25">
        <v>77.511848449707031</v>
      </c>
      <c r="DB1027" s="25">
        <v>62.126838684082031</v>
      </c>
      <c r="DC1027">
        <v>63</v>
      </c>
      <c r="DD1027" s="253" t="s">
        <v>380</v>
      </c>
    </row>
    <row r="1028" spans="1:108" hidden="1">
      <c r="A1028" s="13">
        <v>17446</v>
      </c>
      <c r="B1028" s="13" t="s">
        <v>2453</v>
      </c>
      <c r="C1028" s="13" t="s">
        <v>506</v>
      </c>
      <c r="D1028" s="13" t="s">
        <v>507</v>
      </c>
      <c r="E1028" s="13" t="s">
        <v>2454</v>
      </c>
      <c r="F1028" s="14">
        <v>54.620533333333299</v>
      </c>
      <c r="G1028" s="13">
        <v>32.54</v>
      </c>
      <c r="H1028" s="13">
        <v>39.74</v>
      </c>
      <c r="I1028" s="13">
        <v>72.45</v>
      </c>
      <c r="J1028" s="14">
        <v>52.947328122175023</v>
      </c>
      <c r="K1028" s="14">
        <v>38.929424508696528</v>
      </c>
      <c r="L1028" s="14">
        <v>52.826075730068979</v>
      </c>
      <c r="M1028" s="14">
        <v>52.959000000000003</v>
      </c>
      <c r="N1028" s="14">
        <f t="shared" si="432"/>
        <v>49.837633333333329</v>
      </c>
      <c r="O1028" s="14">
        <f t="shared" si="433"/>
        <v>49.415457090235137</v>
      </c>
      <c r="P1028" s="14">
        <f t="shared" ref="P1028:P1091" si="449">IFERROR(AVERAGE(N1028:O1028),"N.D.")</f>
        <v>49.626545211784233</v>
      </c>
      <c r="Q1028" s="14">
        <v>70.336174246136835</v>
      </c>
      <c r="R1028" s="17">
        <f t="shared" si="434"/>
        <v>29.663825753863165</v>
      </c>
      <c r="S1028" s="14">
        <f t="shared" ref="S1028:S1091" si="450">IFERROR((0.1+(1-0.1)*(R1028%-0)/(1-0)),"N.D.")</f>
        <v>0.36697443178476852</v>
      </c>
      <c r="T1028" s="13">
        <v>0</v>
      </c>
      <c r="U1028" s="13">
        <f t="shared" ref="U1028:U1091" si="451">$P1028*$S1028</f>
        <v>18.211673230535645</v>
      </c>
      <c r="V1028" s="13">
        <f>IF($T1028=1,$AU1028,(VLOOKUP(U1028,'Cortes naturales'!$A$35:$C$39,3,9)))</f>
        <v>5</v>
      </c>
      <c r="W1028" s="13">
        <v>5</v>
      </c>
      <c r="X1028" s="14" t="b">
        <f t="shared" si="435"/>
        <v>1</v>
      </c>
      <c r="Y1028" s="17">
        <f>IF($T1028=1,$AU1028,VLOOKUP(U1028,'Cortes naturales'!$A$45:$C$49,3,9))</f>
        <v>5</v>
      </c>
      <c r="Z1028" s="14">
        <v>46.324665767000411</v>
      </c>
      <c r="AA1028" s="14">
        <v>0.37174855697353826</v>
      </c>
      <c r="AB1028" s="14">
        <v>17.221127651163869</v>
      </c>
      <c r="AC1028" s="13">
        <v>5</v>
      </c>
      <c r="AD1028" s="13">
        <f t="shared" si="436"/>
        <v>0</v>
      </c>
      <c r="AE1028" s="14">
        <f t="shared" si="437"/>
        <v>3.3018794447838218</v>
      </c>
      <c r="AF1028" s="14">
        <f t="shared" si="438"/>
        <v>-4.77412518876974E-3</v>
      </c>
      <c r="AG1028" s="13">
        <f t="shared" si="439"/>
        <v>0.99054557937177634</v>
      </c>
      <c r="AH1028" s="13">
        <f>IF($T1028=1,$AU1028,VLOOKUP(U1028,'Cortes naturales'!$A$25:$C$29,3,9))</f>
        <v>5</v>
      </c>
      <c r="AI1028" s="13" t="b">
        <f t="shared" si="440"/>
        <v>1</v>
      </c>
      <c r="AJ1028" s="13">
        <f t="shared" si="441"/>
        <v>0</v>
      </c>
      <c r="AK1028" s="28">
        <v>0.6523467210059386</v>
      </c>
      <c r="AL1028" s="28">
        <v>30.219743814798772</v>
      </c>
      <c r="AM1028" s="28">
        <v>0.20739112866864717</v>
      </c>
      <c r="AN1028" s="13">
        <v>4</v>
      </c>
      <c r="AO1028" s="33">
        <f t="shared" si="442"/>
        <v>-1</v>
      </c>
      <c r="AP1028" s="13">
        <f t="shared" ref="AP1028:AP1091" si="452">IFERROR(AM1028*100,"N.D")</f>
        <v>20.739112866864716</v>
      </c>
      <c r="AQ1028" s="13">
        <f>IFERROR(VLOOKUP(U1028,'Cortes naturales'!$E$15:$G$19,3,9),U1028)</f>
        <v>5</v>
      </c>
      <c r="AR1028" s="28">
        <f t="shared" si="443"/>
        <v>-0.28537228922117008</v>
      </c>
      <c r="AS1028" s="13" t="b">
        <f t="shared" si="444"/>
        <v>1</v>
      </c>
      <c r="AT1028" s="13" t="str">
        <f t="shared" ref="AT1028:AT1091" si="453">IF(AO1028=0,0,IF(AS1028=TRUE,"Efecto ponderador","Cambio en corte"))</f>
        <v>Efecto ponderador</v>
      </c>
      <c r="AU1028" s="13">
        <v>4</v>
      </c>
      <c r="AV1028">
        <f t="shared" si="445"/>
        <v>-1</v>
      </c>
      <c r="AW1028" s="13">
        <v>0</v>
      </c>
      <c r="AX1028" s="13">
        <v>0</v>
      </c>
      <c r="AY1028" s="13">
        <v>0</v>
      </c>
      <c r="AZ1028" s="13">
        <v>0</v>
      </c>
      <c r="BA1028">
        <v>1</v>
      </c>
      <c r="BB1028" t="s">
        <v>2841</v>
      </c>
      <c r="BC1028">
        <v>6</v>
      </c>
      <c r="BD1028" t="s">
        <v>2919</v>
      </c>
      <c r="BE1028">
        <v>0</v>
      </c>
      <c r="BF1028" s="232" t="s">
        <v>2846</v>
      </c>
      <c r="BG1028" s="232" t="s">
        <v>2846</v>
      </c>
      <c r="BH1028" s="253">
        <v>34.6</v>
      </c>
      <c r="BI1028" s="253">
        <v>7.8808265257087937</v>
      </c>
      <c r="BJ1028" s="25">
        <v>37.592566397652234</v>
      </c>
      <c r="BK1028" t="s">
        <v>376</v>
      </c>
      <c r="BL1028">
        <v>9.4555563453561398</v>
      </c>
      <c r="BM1028" t="s">
        <v>379</v>
      </c>
      <c r="BN1028" s="322">
        <v>6887.7606450000003</v>
      </c>
      <c r="BO1028" s="322">
        <v>575.53871000000004</v>
      </c>
      <c r="BP1028" s="10">
        <v>2685</v>
      </c>
      <c r="BQ1028" s="254">
        <f t="shared" si="446"/>
        <v>2.5652739832402234</v>
      </c>
      <c r="BR1028" s="254">
        <f t="shared" si="447"/>
        <v>0.21435333705772813</v>
      </c>
      <c r="BS1028" s="25">
        <v>47.530889265448693</v>
      </c>
      <c r="BT1028" s="25">
        <v>82.715541707014282</v>
      </c>
      <c r="BU1028" s="25">
        <v>48.451666666666682</v>
      </c>
      <c r="BV1028" s="25">
        <v>90.447269092656327</v>
      </c>
      <c r="BW1028" s="25">
        <v>61.171980389519717</v>
      </c>
      <c r="BX1028" s="25">
        <v>67.2863416829465</v>
      </c>
      <c r="BY1028" s="25">
        <v>63.812199605158497</v>
      </c>
      <c r="BZ1028">
        <v>13</v>
      </c>
      <c r="CA1028">
        <v>0</v>
      </c>
      <c r="CB1028">
        <v>7</v>
      </c>
      <c r="CC1028">
        <v>37609.138028000001</v>
      </c>
      <c r="CD1028" s="10">
        <v>26421.623083999999</v>
      </c>
      <c r="CE1028" s="255">
        <v>0.70253200337452837</v>
      </c>
      <c r="CF1028" t="str">
        <f>IFERROR(VLOOKUP(CE1028,'Rangos amb etnico'!$A$2:$C$6,3,9),"N.D.")</f>
        <v>51% - 70%</v>
      </c>
      <c r="CG1028" s="256">
        <v>7.6870461618734555E-4</v>
      </c>
      <c r="CH1028" s="232">
        <v>0</v>
      </c>
      <c r="CI1028" s="311">
        <f t="shared" ref="CI1028:CI1091" si="454">IFERROR(CH1028/CC1028,"N.D.")</f>
        <v>0</v>
      </c>
      <c r="CJ1028" s="232">
        <f>IFERROR(VLOOKUP(CI1028,'Rangos amb etnico'!$A$2:$C$6,3,9),"N.D.")</f>
        <v>0</v>
      </c>
      <c r="CK1028" s="311">
        <f t="shared" ref="CK1028:CK1091" si="455">IFERROR(CH1028/$CH$1,"N.D.")</f>
        <v>0</v>
      </c>
      <c r="CL1028" s="10">
        <v>0</v>
      </c>
      <c r="CM1028" s="255">
        <f t="shared" ref="CM1028:CM1091" si="456">IFERROR(CL1028/CC1028,"N.D.")</f>
        <v>0</v>
      </c>
      <c r="CN1028" s="232">
        <f>IFERROR(VLOOKUP(CM1028,'Rangos amb etnico'!$A$2:$C$6,3,9),"N.D.")</f>
        <v>0</v>
      </c>
      <c r="CO1028" s="311">
        <f t="shared" ref="CO1028:CO1091" si="457">IFERROR(CL1028/$CL$1,"N.D.")</f>
        <v>0</v>
      </c>
      <c r="CP1028">
        <v>0.98655603309387463</v>
      </c>
      <c r="CQ1028" t="s">
        <v>2864</v>
      </c>
      <c r="CR1028">
        <f t="shared" si="448"/>
        <v>3</v>
      </c>
      <c r="CS1028" t="str">
        <f t="shared" ref="CS1028:CS1091" si="458">IF(CR1028&gt;=3,"Candidato","No es Candidato")</f>
        <v>Candidato</v>
      </c>
      <c r="CT1028">
        <v>0</v>
      </c>
      <c r="CU1028">
        <v>0</v>
      </c>
      <c r="CV1028" s="25">
        <v>45.524349212646477</v>
      </c>
      <c r="CW1028" s="25">
        <v>7.7456331253051758</v>
      </c>
      <c r="CX1028" s="25">
        <v>52.978740692138672</v>
      </c>
      <c r="CY1028" s="25">
        <v>55.224689483642578</v>
      </c>
      <c r="CZ1028" s="25">
        <v>31.827766418457031</v>
      </c>
      <c r="DA1028" s="25">
        <v>72.408905029296875</v>
      </c>
      <c r="DB1028" s="25">
        <v>52.960369110107422</v>
      </c>
      <c r="DC1028">
        <v>42</v>
      </c>
      <c r="DD1028" s="253" t="s">
        <v>380</v>
      </c>
    </row>
    <row r="1029" spans="1:108" hidden="1">
      <c r="A1029" s="13">
        <v>73622</v>
      </c>
      <c r="B1029" s="13" t="s">
        <v>2455</v>
      </c>
      <c r="C1029" s="13" t="s">
        <v>595</v>
      </c>
      <c r="D1029" s="13" t="s">
        <v>596</v>
      </c>
      <c r="E1029" s="13" t="s">
        <v>2456</v>
      </c>
      <c r="F1029" s="14">
        <v>68.778733333333307</v>
      </c>
      <c r="G1029" s="13">
        <v>68.12</v>
      </c>
      <c r="H1029" s="13">
        <v>39.049999999999997</v>
      </c>
      <c r="I1029" s="13">
        <v>35.99</v>
      </c>
      <c r="J1029" s="14">
        <v>54.766358452202745</v>
      </c>
      <c r="K1029" s="14">
        <v>47.409702066643625</v>
      </c>
      <c r="L1029" s="14">
        <v>56.249528375038203</v>
      </c>
      <c r="M1029" s="14">
        <v>57.994700000000002</v>
      </c>
      <c r="N1029" s="14">
        <f t="shared" si="432"/>
        <v>52.984683333333336</v>
      </c>
      <c r="O1029" s="14">
        <f t="shared" si="433"/>
        <v>54.10507222347114</v>
      </c>
      <c r="P1029" s="14">
        <f t="shared" si="449"/>
        <v>53.544877778402238</v>
      </c>
      <c r="Q1029" s="14">
        <v>70.347130433904454</v>
      </c>
      <c r="R1029" s="17">
        <f t="shared" si="434"/>
        <v>29.652869566095546</v>
      </c>
      <c r="S1029" s="14">
        <f t="shared" si="450"/>
        <v>0.36687582609485991</v>
      </c>
      <c r="T1029" s="13">
        <v>0</v>
      </c>
      <c r="U1029" s="13">
        <f t="shared" si="451"/>
        <v>19.644321268099628</v>
      </c>
      <c r="V1029" s="13">
        <f>IF($T1029=1,$AU1029,(VLOOKUP(U1029,'Cortes naturales'!$A$35:$C$39,3,9)))</f>
        <v>5</v>
      </c>
      <c r="W1029" s="13">
        <v>5</v>
      </c>
      <c r="X1029" s="14" t="b">
        <f t="shared" si="435"/>
        <v>1</v>
      </c>
      <c r="Y1029" s="17">
        <f>IF($T1029=1,$AU1029,VLOOKUP(U1029,'Cortes naturales'!$A$45:$C$49,3,9))</f>
        <v>5</v>
      </c>
      <c r="Z1029" s="14">
        <v>57.057773894478153</v>
      </c>
      <c r="AA1029" s="14">
        <v>0.37064456152898473</v>
      </c>
      <c r="AB1029" s="14">
        <v>21.148153586938808</v>
      </c>
      <c r="AC1029" s="13">
        <v>4</v>
      </c>
      <c r="AD1029" s="13">
        <f t="shared" si="436"/>
        <v>-1</v>
      </c>
      <c r="AE1029" s="14">
        <f t="shared" si="437"/>
        <v>-3.5128961160759147</v>
      </c>
      <c r="AF1029" s="14">
        <f t="shared" si="438"/>
        <v>-3.7687354341248147E-3</v>
      </c>
      <c r="AG1029" s="13">
        <f t="shared" si="439"/>
        <v>-1.50383231883918</v>
      </c>
      <c r="AH1029" s="13">
        <f>IF($T1029=1,$AU1029,VLOOKUP(U1029,'Cortes naturales'!$A$25:$C$29,3,9))</f>
        <v>5</v>
      </c>
      <c r="AI1029" s="13" t="b">
        <f t="shared" si="440"/>
        <v>1</v>
      </c>
      <c r="AJ1029" s="13" t="str">
        <f t="shared" si="441"/>
        <v>Efecto ponderador</v>
      </c>
      <c r="AK1029" s="28">
        <v>0.6523467210059386</v>
      </c>
      <c r="AL1029" s="28">
        <v>37.221451707961066</v>
      </c>
      <c r="AM1029" s="28">
        <v>0.29497511391630948</v>
      </c>
      <c r="AN1029" s="13">
        <v>4</v>
      </c>
      <c r="AO1029" s="33">
        <f t="shared" si="442"/>
        <v>-1</v>
      </c>
      <c r="AP1029" s="13">
        <f t="shared" si="452"/>
        <v>29.497511391630947</v>
      </c>
      <c r="AQ1029" s="13">
        <f>IFERROR(VLOOKUP(U1029,'Cortes naturales'!$E$15:$G$19,3,9),U1029)</f>
        <v>4</v>
      </c>
      <c r="AR1029" s="28">
        <f t="shared" si="443"/>
        <v>-0.28547089491107869</v>
      </c>
      <c r="AS1029" s="13" t="b">
        <f t="shared" si="444"/>
        <v>0</v>
      </c>
      <c r="AT1029" s="13" t="str">
        <f t="shared" si="453"/>
        <v>Cambio en corte</v>
      </c>
      <c r="AU1029" s="13">
        <v>4</v>
      </c>
      <c r="AV1029">
        <f t="shared" si="445"/>
        <v>-1</v>
      </c>
      <c r="AW1029" s="13">
        <v>0</v>
      </c>
      <c r="AX1029" s="13">
        <v>0</v>
      </c>
      <c r="AY1029" s="13">
        <v>0</v>
      </c>
      <c r="AZ1029" s="13">
        <v>0</v>
      </c>
      <c r="BA1029">
        <v>1</v>
      </c>
      <c r="BB1029" t="s">
        <v>2841</v>
      </c>
      <c r="BC1029">
        <v>6</v>
      </c>
      <c r="BD1029" t="s">
        <v>2919</v>
      </c>
      <c r="BE1029">
        <v>0</v>
      </c>
      <c r="BF1029" s="232" t="s">
        <v>2846</v>
      </c>
      <c r="BG1029" s="232" t="s">
        <v>2845</v>
      </c>
      <c r="BH1029" s="253">
        <v>42</v>
      </c>
      <c r="BI1029" s="253">
        <v>16.709208717848028</v>
      </c>
      <c r="BJ1029" s="25">
        <v>65.773333333333341</v>
      </c>
      <c r="BK1029" t="s">
        <v>376</v>
      </c>
      <c r="BL1029">
        <v>1.4443498197877309</v>
      </c>
      <c r="BM1029" t="s">
        <v>383</v>
      </c>
      <c r="BN1029" s="322">
        <v>16125.850845000001</v>
      </c>
      <c r="BO1029" s="322">
        <v>1201.47072</v>
      </c>
      <c r="BP1029" s="10">
        <v>5609</v>
      </c>
      <c r="BQ1029" s="254">
        <f t="shared" si="446"/>
        <v>2.8749956935282581</v>
      </c>
      <c r="BR1029" s="254">
        <f t="shared" si="447"/>
        <v>0.21420408628989124</v>
      </c>
      <c r="BS1029" s="25">
        <v>62.372736006329298</v>
      </c>
      <c r="BT1029" s="25">
        <v>83.579962138824499</v>
      </c>
      <c r="BU1029" s="25">
        <v>39.354643337819631</v>
      </c>
      <c r="BV1029" s="25">
        <v>89.69114244388139</v>
      </c>
      <c r="BW1029" s="25">
        <v>57.729211545213133</v>
      </c>
      <c r="BX1029" s="25">
        <v>68.749620981713704</v>
      </c>
      <c r="BY1029" s="25">
        <v>58.873611708910751</v>
      </c>
      <c r="BZ1029">
        <v>15</v>
      </c>
      <c r="CA1029">
        <v>0</v>
      </c>
      <c r="CB1029">
        <v>7</v>
      </c>
      <c r="CC1029">
        <v>77565.671187999993</v>
      </c>
      <c r="CD1029" s="10">
        <v>62121.125720999997</v>
      </c>
      <c r="CE1029" s="255">
        <v>0.80088426709328353</v>
      </c>
      <c r="CF1029" t="str">
        <f>IFERROR(VLOOKUP(CE1029,'Rangos amb etnico'!$A$2:$C$6,3,9),"N.D.")</f>
        <v>71% - 100%</v>
      </c>
      <c r="CG1029" s="256">
        <v>1.8073377230713942E-3</v>
      </c>
      <c r="CH1029" s="232">
        <v>0</v>
      </c>
      <c r="CI1029" s="311">
        <f t="shared" si="454"/>
        <v>0</v>
      </c>
      <c r="CJ1029" s="232">
        <f>IFERROR(VLOOKUP(CI1029,'Rangos amb etnico'!$A$2:$C$6,3,9),"N.D.")</f>
        <v>0</v>
      </c>
      <c r="CK1029" s="311">
        <f t="shared" si="455"/>
        <v>0</v>
      </c>
      <c r="CL1029" s="10">
        <v>0</v>
      </c>
      <c r="CM1029" s="255">
        <f t="shared" si="456"/>
        <v>0</v>
      </c>
      <c r="CN1029" s="232">
        <f>IFERROR(VLOOKUP(CM1029,'Rangos amb etnico'!$A$2:$C$6,3,9),"N.D.")</f>
        <v>0</v>
      </c>
      <c r="CO1029" s="311">
        <f t="shared" si="457"/>
        <v>0</v>
      </c>
      <c r="CP1029">
        <v>0.96492290430585381</v>
      </c>
      <c r="CQ1029" t="s">
        <v>2864</v>
      </c>
      <c r="CR1029">
        <f t="shared" si="448"/>
        <v>1</v>
      </c>
      <c r="CS1029" t="str">
        <f t="shared" si="458"/>
        <v>No es Candidato</v>
      </c>
      <c r="CT1029">
        <v>0</v>
      </c>
      <c r="CU1029">
        <v>0</v>
      </c>
      <c r="CV1029" s="25">
        <v>34.438503265380859</v>
      </c>
      <c r="CW1029" s="25">
        <v>6.8626956939697266</v>
      </c>
      <c r="CX1029" s="25">
        <v>34.040550231933587</v>
      </c>
      <c r="CY1029" s="25">
        <v>34.297454833984382</v>
      </c>
      <c r="CZ1029" s="25">
        <v>27.693794250488281</v>
      </c>
      <c r="DA1029" s="25">
        <v>55.424385070800781</v>
      </c>
      <c r="DB1029" s="25">
        <v>48.312129974365227</v>
      </c>
      <c r="DC1029">
        <v>96</v>
      </c>
      <c r="DD1029" s="253" t="s">
        <v>380</v>
      </c>
    </row>
    <row r="1030" spans="1:108" hidden="1">
      <c r="A1030" s="13">
        <v>18479</v>
      </c>
      <c r="B1030" s="13" t="s">
        <v>2457</v>
      </c>
      <c r="C1030" s="13" t="s">
        <v>1463</v>
      </c>
      <c r="D1030" s="13" t="s">
        <v>1464</v>
      </c>
      <c r="E1030" s="13" t="s">
        <v>2458</v>
      </c>
      <c r="F1030" s="14">
        <v>59.6475333333333</v>
      </c>
      <c r="G1030" s="13">
        <v>57.41</v>
      </c>
      <c r="H1030" s="13">
        <v>60</v>
      </c>
      <c r="I1030" s="13">
        <v>52.06</v>
      </c>
      <c r="J1030" s="14">
        <v>45.963652519654843</v>
      </c>
      <c r="K1030" s="14">
        <v>65.98954818552923</v>
      </c>
      <c r="L1030" s="14">
        <v>51.35627919711267</v>
      </c>
      <c r="M1030" s="14">
        <v>51.695799999999998</v>
      </c>
      <c r="N1030" s="14">
        <f t="shared" si="432"/>
        <v>57.279383333333328</v>
      </c>
      <c r="O1030" s="14">
        <f t="shared" si="433"/>
        <v>53.751319975574184</v>
      </c>
      <c r="P1030" s="14">
        <f t="shared" si="449"/>
        <v>55.515351654453752</v>
      </c>
      <c r="Q1030" s="14">
        <v>70.31682448170767</v>
      </c>
      <c r="R1030" s="17">
        <f t="shared" si="434"/>
        <v>29.68317551829233</v>
      </c>
      <c r="S1030" s="14">
        <f t="shared" si="450"/>
        <v>0.36714857966463099</v>
      </c>
      <c r="T1030" s="13">
        <v>0</v>
      </c>
      <c r="U1030" s="13">
        <f t="shared" si="451"/>
        <v>20.382382509515217</v>
      </c>
      <c r="V1030" s="13">
        <f>IF($T1030=1,$AU1030,(VLOOKUP(U1030,'Cortes naturales'!$A$35:$C$39,3,9)))</f>
        <v>5</v>
      </c>
      <c r="W1030" s="13">
        <v>5</v>
      </c>
      <c r="X1030" s="14" t="b">
        <f t="shared" si="435"/>
        <v>1</v>
      </c>
      <c r="Y1030" s="17">
        <f>IF($T1030=1,$AU1030,VLOOKUP(U1030,'Cortes naturales'!$A$45:$C$49,3,9))</f>
        <v>5</v>
      </c>
      <c r="Z1030" s="14">
        <v>58.241752473790811</v>
      </c>
      <c r="AA1030" s="14">
        <v>0.36977064385961955</v>
      </c>
      <c r="AB1030" s="14">
        <v>21.536090311746218</v>
      </c>
      <c r="AC1030" s="13">
        <v>4</v>
      </c>
      <c r="AD1030" s="13">
        <f t="shared" si="436"/>
        <v>-1</v>
      </c>
      <c r="AE1030" s="14">
        <f t="shared" si="437"/>
        <v>-2.7264008193370586</v>
      </c>
      <c r="AF1030" s="14">
        <f t="shared" si="438"/>
        <v>-2.6220641949885604E-3</v>
      </c>
      <c r="AG1030" s="13">
        <f t="shared" si="439"/>
        <v>-1.1537078022310006</v>
      </c>
      <c r="AH1030" s="13">
        <f>IF($T1030=1,$AU1030,VLOOKUP(U1030,'Cortes naturales'!$A$25:$C$29,3,9))</f>
        <v>4</v>
      </c>
      <c r="AI1030" s="13" t="b">
        <f t="shared" si="440"/>
        <v>0</v>
      </c>
      <c r="AJ1030" s="13" t="str">
        <f t="shared" si="441"/>
        <v>Cambio en corte</v>
      </c>
      <c r="AK1030" s="28">
        <v>0.6523467210059386</v>
      </c>
      <c r="AL1030" s="28">
        <v>37.993816251916947</v>
      </c>
      <c r="AM1030" s="28">
        <v>0.30463658021222728</v>
      </c>
      <c r="AN1030" s="13">
        <v>4</v>
      </c>
      <c r="AO1030" s="33">
        <f t="shared" si="442"/>
        <v>-1</v>
      </c>
      <c r="AP1030" s="13">
        <f t="shared" si="452"/>
        <v>30.463658021222727</v>
      </c>
      <c r="AQ1030" s="13">
        <f>IFERROR(VLOOKUP(U1030,'Cortes naturales'!$E$15:$G$19,3,9),U1030)</f>
        <v>4</v>
      </c>
      <c r="AR1030" s="28">
        <f t="shared" si="443"/>
        <v>-0.28519814134130761</v>
      </c>
      <c r="AS1030" s="13" t="b">
        <f t="shared" si="444"/>
        <v>0</v>
      </c>
      <c r="AT1030" s="13" t="str">
        <f t="shared" si="453"/>
        <v>Cambio en corte</v>
      </c>
      <c r="AU1030" s="13">
        <v>4</v>
      </c>
      <c r="AV1030">
        <f t="shared" si="445"/>
        <v>-1</v>
      </c>
      <c r="AW1030" s="13">
        <v>0</v>
      </c>
      <c r="AX1030" s="13">
        <v>0</v>
      </c>
      <c r="AY1030" s="13">
        <v>0</v>
      </c>
      <c r="AZ1030" s="13">
        <v>1</v>
      </c>
      <c r="BA1030">
        <v>1</v>
      </c>
      <c r="BB1030" t="s">
        <v>2841</v>
      </c>
      <c r="BC1030">
        <v>6</v>
      </c>
      <c r="BD1030" t="s">
        <v>2919</v>
      </c>
      <c r="BE1030">
        <v>1</v>
      </c>
      <c r="BF1030" s="232" t="s">
        <v>2846</v>
      </c>
      <c r="BG1030" s="232" t="s">
        <v>2846</v>
      </c>
      <c r="BH1030" s="253">
        <v>42.4</v>
      </c>
      <c r="BI1030" s="253">
        <v>21.223880597014926</v>
      </c>
      <c r="BJ1030" s="25">
        <v>58.784444444444439</v>
      </c>
      <c r="BK1030" t="s">
        <v>376</v>
      </c>
      <c r="BL1030">
        <v>4.3070718159112582</v>
      </c>
      <c r="BM1030" t="s">
        <v>383</v>
      </c>
      <c r="BN1030" s="322">
        <v>13268.653337</v>
      </c>
      <c r="BO1030" s="322">
        <v>1305.7924439999999</v>
      </c>
      <c r="BP1030" s="10">
        <v>3807</v>
      </c>
      <c r="BQ1030" s="254">
        <f t="shared" si="446"/>
        <v>3.4853305324402415</v>
      </c>
      <c r="BR1030" s="254">
        <f t="shared" si="447"/>
        <v>0.34299775256107168</v>
      </c>
      <c r="BS1030" s="25">
        <v>54.027364185110663</v>
      </c>
      <c r="BT1030" s="25">
        <v>80.917873333333333</v>
      </c>
      <c r="BU1030" s="25">
        <v>46.482878544676261</v>
      </c>
      <c r="BV1030" s="25">
        <v>91.81224337738729</v>
      </c>
      <c r="BW1030" s="25">
        <v>53.093952367610648</v>
      </c>
      <c r="BX1030" s="25">
        <v>68.31008986012688</v>
      </c>
      <c r="BY1030" s="25">
        <v>53.684233826520597</v>
      </c>
      <c r="BZ1030">
        <v>3</v>
      </c>
      <c r="CA1030">
        <v>0</v>
      </c>
      <c r="CB1030">
        <v>7</v>
      </c>
      <c r="CC1030">
        <v>46239.668387999998</v>
      </c>
      <c r="CD1030" s="10">
        <v>7343.2943859999996</v>
      </c>
      <c r="CE1030" s="255">
        <v>0.15880940850141809</v>
      </c>
      <c r="CF1030" t="str">
        <f>IFERROR(VLOOKUP(CE1030,'Rangos amb etnico'!$A$2:$C$6,3,9),"N.D.")</f>
        <v>0,1% - 30%</v>
      </c>
      <c r="CG1030" s="256">
        <v>2.1364411545023989E-4</v>
      </c>
      <c r="CH1030" s="232">
        <v>5.8009599999999999</v>
      </c>
      <c r="CI1030" s="311">
        <f t="shared" si="454"/>
        <v>1.2545418689692529E-4</v>
      </c>
      <c r="CJ1030" s="232">
        <f>IFERROR(VLOOKUP(CI1030,'Rangos amb etnico'!$A$2:$C$6,3,9),"N.D.")</f>
        <v>0</v>
      </c>
      <c r="CK1030" s="311">
        <f t="shared" si="455"/>
        <v>2.3033609204811295E-7</v>
      </c>
      <c r="CL1030" s="10">
        <v>0</v>
      </c>
      <c r="CM1030" s="255">
        <f t="shared" si="456"/>
        <v>0</v>
      </c>
      <c r="CN1030" s="232">
        <f>IFERROR(VLOOKUP(CM1030,'Rangos amb etnico'!$A$2:$C$6,3,9),"N.D.")</f>
        <v>0</v>
      </c>
      <c r="CO1030" s="311">
        <f t="shared" si="457"/>
        <v>0</v>
      </c>
      <c r="CP1030">
        <v>0.94397823602613529</v>
      </c>
      <c r="CQ1030" t="s">
        <v>2864</v>
      </c>
      <c r="CR1030">
        <f t="shared" si="448"/>
        <v>1</v>
      </c>
      <c r="CS1030" t="str">
        <f t="shared" si="458"/>
        <v>No es Candidato</v>
      </c>
      <c r="CT1030">
        <v>0</v>
      </c>
      <c r="CU1030">
        <v>0</v>
      </c>
      <c r="CV1030" s="25">
        <v>43.062427520751953</v>
      </c>
      <c r="CW1030" s="25">
        <v>20.65457916259766</v>
      </c>
      <c r="CX1030" s="25">
        <v>46.456592559814453</v>
      </c>
      <c r="CY1030" s="25">
        <v>53.632915496826172</v>
      </c>
      <c r="CZ1030" s="25">
        <v>33.083297729492188</v>
      </c>
      <c r="DA1030" s="25">
        <v>59.388420104980469</v>
      </c>
      <c r="DB1030" s="25">
        <v>45.15875244140625</v>
      </c>
      <c r="DC1030">
        <v>26</v>
      </c>
      <c r="DD1030" s="253" t="s">
        <v>380</v>
      </c>
    </row>
    <row r="1031" spans="1:108" hidden="1">
      <c r="A1031" s="13">
        <v>27615</v>
      </c>
      <c r="B1031" s="13" t="s">
        <v>2459</v>
      </c>
      <c r="C1031" s="13" t="s">
        <v>1714</v>
      </c>
      <c r="D1031" s="13" t="s">
        <v>1715</v>
      </c>
      <c r="E1031" s="13" t="s">
        <v>855</v>
      </c>
      <c r="F1031" s="14">
        <v>51.196466666666701</v>
      </c>
      <c r="G1031" s="13">
        <v>39.25</v>
      </c>
      <c r="H1031" s="13">
        <v>32.53</v>
      </c>
      <c r="I1031" s="13">
        <v>82.33</v>
      </c>
      <c r="J1031" s="14">
        <v>60.12358458930197</v>
      </c>
      <c r="K1031" s="14">
        <v>61.07550124891489</v>
      </c>
      <c r="L1031" s="14">
        <v>60.368841342941515</v>
      </c>
      <c r="M1031" s="14">
        <v>56.5563</v>
      </c>
      <c r="N1031" s="14">
        <f t="shared" si="432"/>
        <v>51.326616666666681</v>
      </c>
      <c r="O1031" s="14">
        <f t="shared" si="433"/>
        <v>59.531056795289594</v>
      </c>
      <c r="P1031" s="14">
        <f t="shared" si="449"/>
        <v>55.428836730978134</v>
      </c>
      <c r="Q1031" s="14">
        <v>76.190908517540961</v>
      </c>
      <c r="R1031" s="17">
        <f t="shared" si="434"/>
        <v>23.809091482459039</v>
      </c>
      <c r="S1031" s="14">
        <f t="shared" si="450"/>
        <v>0.31428182334213139</v>
      </c>
      <c r="T1031" s="13">
        <v>0</v>
      </c>
      <c r="U1031" s="13">
        <f t="shared" si="451"/>
        <v>17.420275873545112</v>
      </c>
      <c r="V1031" s="13">
        <f>IF($T1031=1,$AU1031,(VLOOKUP(U1031,'Cortes naturales'!$A$35:$C$39,3,9)))</f>
        <v>5</v>
      </c>
      <c r="W1031" s="13">
        <v>5</v>
      </c>
      <c r="X1031" s="14" t="b">
        <f t="shared" si="435"/>
        <v>1</v>
      </c>
      <c r="Y1031" s="17">
        <f>IF($T1031=1,$AU1031,VLOOKUP(U1031,'Cortes naturales'!$A$45:$C$49,3,9))</f>
        <v>5</v>
      </c>
      <c r="Z1031" s="14">
        <v>53.33493822799565</v>
      </c>
      <c r="AA1031" s="14">
        <v>0.36775408577747681</v>
      </c>
      <c r="AB1031" s="14">
        <v>19.61414144803474</v>
      </c>
      <c r="AC1031" s="13">
        <v>5</v>
      </c>
      <c r="AD1031" s="13">
        <f t="shared" si="436"/>
        <v>0</v>
      </c>
      <c r="AE1031" s="14">
        <f t="shared" si="437"/>
        <v>2.0938985029824835</v>
      </c>
      <c r="AF1031" s="14">
        <f t="shared" si="438"/>
        <v>-5.3472262435345419E-2</v>
      </c>
      <c r="AG1031" s="13">
        <f t="shared" si="439"/>
        <v>-2.193865574489628</v>
      </c>
      <c r="AH1031" s="13">
        <f>IF($T1031=1,$AU1031,VLOOKUP(U1031,'Cortes naturales'!$A$25:$C$29,3,9))</f>
        <v>5</v>
      </c>
      <c r="AI1031" s="13" t="b">
        <f t="shared" si="440"/>
        <v>1</v>
      </c>
      <c r="AJ1031" s="13">
        <f t="shared" si="441"/>
        <v>0</v>
      </c>
      <c r="AK1031" s="28">
        <v>0.6523467210059386</v>
      </c>
      <c r="AL1031" s="28">
        <v>34.792872068087249</v>
      </c>
      <c r="AM1031" s="28">
        <v>0.26459614258572828</v>
      </c>
      <c r="AN1031" s="13">
        <v>4</v>
      </c>
      <c r="AO1031" s="33">
        <f t="shared" si="442"/>
        <v>-1</v>
      </c>
      <c r="AP1031" s="13">
        <f t="shared" si="452"/>
        <v>26.459614258572827</v>
      </c>
      <c r="AQ1031" s="13">
        <f>IFERROR(VLOOKUP(U1031,'Cortes naturales'!$E$15:$G$19,3,9),U1031)</f>
        <v>5</v>
      </c>
      <c r="AR1031" s="28">
        <f t="shared" si="443"/>
        <v>-0.33806489766380721</v>
      </c>
      <c r="AS1031" s="13" t="b">
        <f t="shared" si="444"/>
        <v>1</v>
      </c>
      <c r="AT1031" s="13" t="str">
        <f t="shared" si="453"/>
        <v>Efecto ponderador</v>
      </c>
      <c r="AU1031" s="13">
        <v>4</v>
      </c>
      <c r="AV1031">
        <f t="shared" si="445"/>
        <v>-1</v>
      </c>
      <c r="AW1031" s="13">
        <v>0</v>
      </c>
      <c r="AX1031" s="13">
        <v>0</v>
      </c>
      <c r="AY1031" s="13">
        <v>0</v>
      </c>
      <c r="AZ1031" s="13">
        <v>1</v>
      </c>
      <c r="BA1031">
        <v>1</v>
      </c>
      <c r="BB1031" t="s">
        <v>2841</v>
      </c>
      <c r="BC1031">
        <v>5</v>
      </c>
      <c r="BD1031" t="s">
        <v>2919</v>
      </c>
      <c r="BE1031">
        <v>1</v>
      </c>
      <c r="BF1031" s="232" t="s">
        <v>2846</v>
      </c>
      <c r="BG1031" s="232" t="s">
        <v>2846</v>
      </c>
      <c r="BH1031" s="253">
        <v>70.900000000000006</v>
      </c>
      <c r="BI1031" s="253">
        <v>75.152919563265897</v>
      </c>
      <c r="BJ1031" s="25" t="s">
        <v>2849</v>
      </c>
      <c r="BK1031" t="s">
        <v>2849</v>
      </c>
      <c r="BL1031">
        <v>12.87162071174739</v>
      </c>
      <c r="BM1031" t="s">
        <v>376</v>
      </c>
      <c r="BN1031" s="322">
        <v>71457.424828999996</v>
      </c>
      <c r="BO1031" s="322">
        <v>2230.0557690000001</v>
      </c>
      <c r="BP1031" s="10">
        <v>30082</v>
      </c>
      <c r="BQ1031" s="254">
        <f t="shared" si="446"/>
        <v>2.375421342630144</v>
      </c>
      <c r="BR1031" s="254">
        <f t="shared" si="447"/>
        <v>7.4132563293663981E-2</v>
      </c>
      <c r="BS1031" s="25">
        <v>68.41578644737983</v>
      </c>
      <c r="BT1031" s="25">
        <v>99.040972343439122</v>
      </c>
      <c r="BU1031" s="25">
        <v>21.717437316951202</v>
      </c>
      <c r="BV1031" s="25">
        <v>96.291486514117935</v>
      </c>
      <c r="BW1031" s="25">
        <v>44.966732105332241</v>
      </c>
      <c r="BX1031" s="25">
        <v>71.366420655472012</v>
      </c>
      <c r="BY1031" s="25">
        <v>48.095450210030471</v>
      </c>
      <c r="BZ1031">
        <v>35</v>
      </c>
      <c r="CA1031">
        <v>0</v>
      </c>
      <c r="CB1031">
        <v>6</v>
      </c>
      <c r="CC1031">
        <v>761567.10415000003</v>
      </c>
      <c r="CD1031" s="10">
        <v>122962.26367099999</v>
      </c>
      <c r="CE1031" s="255">
        <v>0.16145952602330504</v>
      </c>
      <c r="CF1031" t="str">
        <f>IFERROR(VLOOKUP(CE1031,'Rangos amb etnico'!$A$2:$C$6,3,9),"N.D.")</f>
        <v>0,1% - 30%</v>
      </c>
      <c r="CG1031" s="256">
        <v>3.5774357767590068E-3</v>
      </c>
      <c r="CH1031" s="232">
        <v>657388.31417799997</v>
      </c>
      <c r="CI1031" s="311">
        <f t="shared" si="454"/>
        <v>0.86320471380092489</v>
      </c>
      <c r="CJ1031" s="232" t="str">
        <f>IFERROR(VLOOKUP(CI1031,'Rangos amb etnico'!$A$2:$C$6,3,9),"N.D.")</f>
        <v>71% - 100%</v>
      </c>
      <c r="CK1031" s="311">
        <f t="shared" si="455"/>
        <v>2.6102620125954601E-2</v>
      </c>
      <c r="CL1031" s="10">
        <v>0</v>
      </c>
      <c r="CM1031" s="255">
        <f t="shared" si="456"/>
        <v>0</v>
      </c>
      <c r="CN1031" s="232">
        <f>IFERROR(VLOOKUP(CM1031,'Rangos amb etnico'!$A$2:$C$6,3,9),"N.D.")</f>
        <v>0</v>
      </c>
      <c r="CO1031" s="311">
        <f t="shared" si="457"/>
        <v>0</v>
      </c>
      <c r="CP1031">
        <v>0.82727250911499839</v>
      </c>
      <c r="CQ1031" t="s">
        <v>2865</v>
      </c>
      <c r="CR1031">
        <f t="shared" si="448"/>
        <v>2</v>
      </c>
      <c r="CS1031" t="str">
        <f t="shared" si="458"/>
        <v>No es Candidato</v>
      </c>
      <c r="CT1031">
        <v>1</v>
      </c>
      <c r="CU1031" t="s">
        <v>2837</v>
      </c>
      <c r="CV1031" s="25">
        <v>38.577220916748047</v>
      </c>
      <c r="CW1031" s="25">
        <v>15.18964099884033</v>
      </c>
      <c r="CX1031" s="25">
        <v>42.673748016357422</v>
      </c>
      <c r="CY1031" s="25">
        <v>48.253578186035163</v>
      </c>
      <c r="CZ1031" s="25">
        <v>5.993288516998291</v>
      </c>
      <c r="DA1031" s="25">
        <v>80.577392578125</v>
      </c>
      <c r="DB1031" s="25">
        <v>38.775676727294922</v>
      </c>
      <c r="DC1031">
        <v>50018</v>
      </c>
      <c r="DD1031" s="253" t="s">
        <v>380</v>
      </c>
    </row>
    <row r="1032" spans="1:108" hidden="1">
      <c r="A1032" s="13">
        <v>27425</v>
      </c>
      <c r="B1032" s="13" t="s">
        <v>2460</v>
      </c>
      <c r="C1032" s="13" t="s">
        <v>1714</v>
      </c>
      <c r="D1032" s="13" t="s">
        <v>1715</v>
      </c>
      <c r="E1032" s="13" t="s">
        <v>2461</v>
      </c>
      <c r="F1032" s="14">
        <v>59.130400000000002</v>
      </c>
      <c r="G1032" s="13">
        <v>69.59</v>
      </c>
      <c r="H1032" s="13">
        <v>63.75</v>
      </c>
      <c r="I1032" s="13">
        <v>87.62</v>
      </c>
      <c r="J1032" s="14">
        <v>49.455528034975949</v>
      </c>
      <c r="K1032" s="14">
        <v>59.593036991870811</v>
      </c>
      <c r="L1032" s="14">
        <v>75.239831380705141</v>
      </c>
      <c r="M1032" s="14">
        <v>49.037199999999999</v>
      </c>
      <c r="N1032" s="14">
        <f t="shared" si="432"/>
        <v>70.022600000000011</v>
      </c>
      <c r="O1032" s="14">
        <f t="shared" si="433"/>
        <v>58.331399101887968</v>
      </c>
      <c r="P1032" s="14">
        <f t="shared" si="449"/>
        <v>64.176999550943989</v>
      </c>
      <c r="Q1032" s="14">
        <v>71.580549917205602</v>
      </c>
      <c r="R1032" s="17">
        <f t="shared" si="434"/>
        <v>28.419450082794398</v>
      </c>
      <c r="S1032" s="14">
        <f t="shared" si="450"/>
        <v>0.35577505074514959</v>
      </c>
      <c r="T1032" s="13">
        <v>0</v>
      </c>
      <c r="U1032" s="13">
        <f t="shared" si="451"/>
        <v>22.832575271908539</v>
      </c>
      <c r="V1032" s="13">
        <f>IF($T1032=1,$AU1032,(VLOOKUP(U1032,'Cortes naturales'!$A$35:$C$39,3,9)))</f>
        <v>4</v>
      </c>
      <c r="W1032" s="13">
        <v>4</v>
      </c>
      <c r="X1032" s="14" t="b">
        <f t="shared" si="435"/>
        <v>1</v>
      </c>
      <c r="Y1032" s="17">
        <f>IF($T1032=1,$AU1032,VLOOKUP(U1032,'Cortes naturales'!$A$45:$C$49,3,9))</f>
        <v>4</v>
      </c>
      <c r="Z1032" s="14">
        <v>61.295327050027481</v>
      </c>
      <c r="AA1032" s="14">
        <v>0.36719452961385446</v>
      </c>
      <c r="AB1032" s="14">
        <v>22.507308783662211</v>
      </c>
      <c r="AC1032" s="13">
        <v>4</v>
      </c>
      <c r="AD1032" s="13">
        <f t="shared" si="436"/>
        <v>0</v>
      </c>
      <c r="AE1032" s="14">
        <f t="shared" si="437"/>
        <v>2.8816725009165083</v>
      </c>
      <c r="AF1032" s="14">
        <f t="shared" si="438"/>
        <v>-1.1419478868704869E-2</v>
      </c>
      <c r="AG1032" s="13">
        <f t="shared" si="439"/>
        <v>0.32526648824632787</v>
      </c>
      <c r="AH1032" s="13">
        <f>IF($T1032=1,$AU1032,VLOOKUP(U1032,'Cortes naturales'!$A$25:$C$29,3,9))</f>
        <v>4</v>
      </c>
      <c r="AI1032" s="13" t="b">
        <f t="shared" si="440"/>
        <v>1</v>
      </c>
      <c r="AJ1032" s="13">
        <f t="shared" si="441"/>
        <v>0</v>
      </c>
      <c r="AK1032" s="28">
        <v>0.6523467210059386</v>
      </c>
      <c r="AL1032" s="28">
        <v>39.985805614072042</v>
      </c>
      <c r="AM1032" s="28">
        <v>0.32955426737807891</v>
      </c>
      <c r="AN1032" s="13">
        <v>4</v>
      </c>
      <c r="AO1032" s="33">
        <f t="shared" si="442"/>
        <v>0</v>
      </c>
      <c r="AP1032" s="13">
        <f t="shared" si="452"/>
        <v>32.95542673780789</v>
      </c>
      <c r="AQ1032" s="13">
        <f>IFERROR(VLOOKUP(U1032,'Cortes naturales'!$E$15:$G$19,3,9),U1032)</f>
        <v>4</v>
      </c>
      <c r="AR1032" s="28">
        <f t="shared" si="443"/>
        <v>-0.29657167026078901</v>
      </c>
      <c r="AS1032" s="13" t="b">
        <f t="shared" si="444"/>
        <v>1</v>
      </c>
      <c r="AT1032" s="13">
        <f t="shared" si="453"/>
        <v>0</v>
      </c>
      <c r="AU1032" s="13">
        <v>4</v>
      </c>
      <c r="AV1032">
        <f t="shared" si="445"/>
        <v>0</v>
      </c>
      <c r="AW1032" s="13">
        <v>0</v>
      </c>
      <c r="AX1032" s="13">
        <v>0</v>
      </c>
      <c r="AY1032" s="13">
        <v>0</v>
      </c>
      <c r="AZ1032" s="13">
        <v>1</v>
      </c>
      <c r="BA1032">
        <v>1</v>
      </c>
      <c r="BB1032" t="s">
        <v>2841</v>
      </c>
      <c r="BC1032">
        <v>6</v>
      </c>
      <c r="BD1032" t="s">
        <v>2919</v>
      </c>
      <c r="BE1032">
        <v>1</v>
      </c>
      <c r="BF1032" s="232" t="s">
        <v>2846</v>
      </c>
      <c r="BG1032" s="232" t="s">
        <v>2846</v>
      </c>
      <c r="BH1032" s="253">
        <v>76.599999999999994</v>
      </c>
      <c r="BI1032" s="253">
        <v>51.637080867850102</v>
      </c>
      <c r="BJ1032" s="25" t="s">
        <v>2849</v>
      </c>
      <c r="BK1032" t="s">
        <v>2849</v>
      </c>
      <c r="BL1032">
        <v>5.0432475470797389</v>
      </c>
      <c r="BM1032" t="s">
        <v>383</v>
      </c>
      <c r="BN1032" s="322">
        <v>28421.317135000001</v>
      </c>
      <c r="BO1032" s="322">
        <v>599.87501499999996</v>
      </c>
      <c r="BP1032" s="10">
        <v>11179</v>
      </c>
      <c r="BQ1032" s="254">
        <f t="shared" si="446"/>
        <v>2.5423845724125593</v>
      </c>
      <c r="BR1032" s="254">
        <f t="shared" si="447"/>
        <v>5.3660883352714905E-2</v>
      </c>
      <c r="BS1032" s="25">
        <v>48.35247095219021</v>
      </c>
      <c r="BT1032" s="25">
        <v>69.597420580552821</v>
      </c>
      <c r="BU1032" s="25">
        <v>44.204176245210732</v>
      </c>
      <c r="BV1032" s="25">
        <v>98.923389975598297</v>
      </c>
      <c r="BW1032" s="25">
        <v>31.499284342144581</v>
      </c>
      <c r="BX1032" s="25">
        <v>65.26936443838801</v>
      </c>
      <c r="BY1032" s="25">
        <v>35.516180790440167</v>
      </c>
      <c r="BZ1032">
        <v>51</v>
      </c>
      <c r="CA1032">
        <v>0</v>
      </c>
      <c r="CB1032">
        <v>7</v>
      </c>
      <c r="CC1032">
        <v>181374.92092400001</v>
      </c>
      <c r="CD1032" s="10">
        <v>409.77710200000001</v>
      </c>
      <c r="CE1032" s="255">
        <v>2.2592820435836632E-3</v>
      </c>
      <c r="CF1032" t="str">
        <f>IFERROR(VLOOKUP(CE1032,'Rangos amb etnico'!$A$2:$C$6,3,9),"N.D.")</f>
        <v>0,1% - 30%</v>
      </c>
      <c r="CG1032" s="256">
        <v>1.1921960619672307E-5</v>
      </c>
      <c r="CH1032" s="232">
        <v>181329.322835</v>
      </c>
      <c r="CI1032" s="311">
        <f t="shared" si="454"/>
        <v>0.99974859760782964</v>
      </c>
      <c r="CJ1032" s="232" t="str">
        <f>IFERROR(VLOOKUP(CI1032,'Rangos amb etnico'!$A$2:$C$6,3,9),"N.D.")</f>
        <v>71% - 100%</v>
      </c>
      <c r="CK1032" s="311">
        <f t="shared" si="455"/>
        <v>7.199961315979519E-3</v>
      </c>
      <c r="CL1032" s="10">
        <v>0</v>
      </c>
      <c r="CM1032" s="255">
        <f t="shared" si="456"/>
        <v>0</v>
      </c>
      <c r="CN1032" s="232">
        <f>IFERROR(VLOOKUP(CM1032,'Rangos amb etnico'!$A$2:$C$6,3,9),"N.D.")</f>
        <v>0</v>
      </c>
      <c r="CO1032" s="311">
        <f t="shared" si="457"/>
        <v>0</v>
      </c>
      <c r="CP1032">
        <v>0.71476670181147828</v>
      </c>
      <c r="CQ1032" t="s">
        <v>2866</v>
      </c>
      <c r="CR1032">
        <f t="shared" si="448"/>
        <v>1</v>
      </c>
      <c r="CS1032" t="str">
        <f t="shared" si="458"/>
        <v>No es Candidato</v>
      </c>
      <c r="CT1032">
        <v>0</v>
      </c>
      <c r="CU1032">
        <v>0</v>
      </c>
      <c r="CV1032" s="25">
        <v>39.233879089355469</v>
      </c>
      <c r="CW1032" s="25">
        <v>19.88169097900391</v>
      </c>
      <c r="CX1032" s="25">
        <v>51.42340087890625</v>
      </c>
      <c r="CY1032" s="25">
        <v>24.94331169128418</v>
      </c>
      <c r="CZ1032" s="25">
        <v>8.3512105941772461</v>
      </c>
      <c r="DA1032" s="25">
        <v>90.7003173828125</v>
      </c>
      <c r="DB1032" s="25">
        <v>40.103336334228523</v>
      </c>
      <c r="DC1032">
        <v>10254</v>
      </c>
      <c r="DD1032" s="253" t="s">
        <v>380</v>
      </c>
    </row>
    <row r="1033" spans="1:108" hidden="1">
      <c r="A1033" s="13">
        <v>19533</v>
      </c>
      <c r="B1033" s="13" t="s">
        <v>2462</v>
      </c>
      <c r="C1033" s="13" t="s">
        <v>557</v>
      </c>
      <c r="D1033" s="13" t="s">
        <v>558</v>
      </c>
      <c r="E1033" s="13" t="s">
        <v>2463</v>
      </c>
      <c r="F1033" s="14">
        <v>62.1619666666667</v>
      </c>
      <c r="G1033" s="13">
        <v>42.21</v>
      </c>
      <c r="H1033" s="13">
        <v>50.13</v>
      </c>
      <c r="I1033" s="13">
        <v>60.22</v>
      </c>
      <c r="J1033" s="14">
        <v>53.536658599748279</v>
      </c>
      <c r="K1033" s="14">
        <v>50.875003682785554</v>
      </c>
      <c r="L1033" s="14">
        <v>54.90051043731912</v>
      </c>
      <c r="M1033" s="14">
        <v>61.494500000000002</v>
      </c>
      <c r="N1033" s="14">
        <f t="shared" si="432"/>
        <v>53.680491666666676</v>
      </c>
      <c r="O1033" s="14">
        <f t="shared" si="433"/>
        <v>55.201668179963235</v>
      </c>
      <c r="P1033" s="14">
        <f t="shared" si="449"/>
        <v>54.441079923314959</v>
      </c>
      <c r="Q1033" s="14">
        <v>70.631690866484746</v>
      </c>
      <c r="R1033" s="17">
        <f t="shared" si="434"/>
        <v>29.368309133515254</v>
      </c>
      <c r="S1033" s="14">
        <f t="shared" si="450"/>
        <v>0.36431478220163727</v>
      </c>
      <c r="T1033" s="13">
        <v>0</v>
      </c>
      <c r="U1033" s="13">
        <f t="shared" si="451"/>
        <v>19.833690175084417</v>
      </c>
      <c r="V1033" s="13">
        <f>IF($T1033=1,$AU1033,(VLOOKUP(U1033,'Cortes naturales'!$A$35:$C$39,3,9)))</f>
        <v>5</v>
      </c>
      <c r="W1033" s="13">
        <v>5</v>
      </c>
      <c r="X1033" s="14" t="b">
        <f t="shared" si="435"/>
        <v>1</v>
      </c>
      <c r="Y1033" s="17">
        <f>IF($T1033=1,$AU1033,VLOOKUP(U1033,'Cortes naturales'!$A$45:$C$49,3,9))</f>
        <v>5</v>
      </c>
      <c r="Z1033" s="14">
        <v>52.948404616026906</v>
      </c>
      <c r="AA1033" s="14">
        <v>0.36664330262474332</v>
      </c>
      <c r="AB1033" s="14">
        <v>19.413177937131309</v>
      </c>
      <c r="AC1033" s="13">
        <v>5</v>
      </c>
      <c r="AD1033" s="13">
        <f t="shared" si="436"/>
        <v>0</v>
      </c>
      <c r="AE1033" s="14">
        <f t="shared" si="437"/>
        <v>1.492675307288053</v>
      </c>
      <c r="AF1033" s="14">
        <f t="shared" si="438"/>
        <v>-2.3285204231060508E-3</v>
      </c>
      <c r="AG1033" s="13">
        <f t="shared" si="439"/>
        <v>0.42051223795310833</v>
      </c>
      <c r="AH1033" s="13">
        <f>IF($T1033=1,$AU1033,VLOOKUP(U1033,'Cortes naturales'!$A$25:$C$29,3,9))</f>
        <v>5</v>
      </c>
      <c r="AI1033" s="13" t="b">
        <f t="shared" si="440"/>
        <v>1</v>
      </c>
      <c r="AJ1033" s="13">
        <f t="shared" si="441"/>
        <v>0</v>
      </c>
      <c r="AK1033" s="28">
        <v>0.6523467210059386</v>
      </c>
      <c r="AL1033" s="28">
        <v>34.540718133760855</v>
      </c>
      <c r="AM1033" s="28">
        <v>0.2614419626626055</v>
      </c>
      <c r="AN1033" s="13">
        <v>4</v>
      </c>
      <c r="AO1033" s="33">
        <f t="shared" si="442"/>
        <v>-1</v>
      </c>
      <c r="AP1033" s="13">
        <f t="shared" si="452"/>
        <v>26.14419626626055</v>
      </c>
      <c r="AQ1033" s="13">
        <f>IFERROR(VLOOKUP(U1033,'Cortes naturales'!$E$15:$G$19,3,9),U1033)</f>
        <v>4</v>
      </c>
      <c r="AR1033" s="28">
        <f t="shared" si="443"/>
        <v>-0.28803193880430134</v>
      </c>
      <c r="AS1033" s="13" t="b">
        <f t="shared" si="444"/>
        <v>0</v>
      </c>
      <c r="AT1033" s="13" t="str">
        <f t="shared" si="453"/>
        <v>Cambio en corte</v>
      </c>
      <c r="AU1033" s="13">
        <v>4</v>
      </c>
      <c r="AV1033">
        <f t="shared" si="445"/>
        <v>-1</v>
      </c>
      <c r="AW1033" s="13">
        <v>0</v>
      </c>
      <c r="AX1033" s="13">
        <v>0</v>
      </c>
      <c r="AY1033" s="13">
        <v>0</v>
      </c>
      <c r="AZ1033" s="13">
        <v>0</v>
      </c>
      <c r="BA1033">
        <v>1</v>
      </c>
      <c r="BB1033" t="s">
        <v>2841</v>
      </c>
      <c r="BC1033">
        <v>6</v>
      </c>
      <c r="BD1033" t="s">
        <v>2919</v>
      </c>
      <c r="BE1033">
        <v>0</v>
      </c>
      <c r="BF1033" s="232" t="s">
        <v>2846</v>
      </c>
      <c r="BG1033" s="232" t="s">
        <v>2846</v>
      </c>
      <c r="BH1033" s="253">
        <v>44</v>
      </c>
      <c r="BI1033" s="253">
        <v>21.673217293655249</v>
      </c>
      <c r="BJ1033" s="25">
        <v>12.422499999999999</v>
      </c>
      <c r="BK1033" t="s">
        <v>377</v>
      </c>
      <c r="BL1033">
        <v>30.90595003915525</v>
      </c>
      <c r="BM1033" t="s">
        <v>384</v>
      </c>
      <c r="BN1033" s="322">
        <v>24030.046301999999</v>
      </c>
      <c r="BO1033" s="322">
        <v>2708.9233170000002</v>
      </c>
      <c r="BP1033" s="10">
        <v>9705</v>
      </c>
      <c r="BQ1033" s="254">
        <f t="shared" si="446"/>
        <v>2.4760480476043276</v>
      </c>
      <c r="BR1033" s="254">
        <f t="shared" si="447"/>
        <v>0.27912656537867081</v>
      </c>
      <c r="BS1033" s="25">
        <v>58.113836067148462</v>
      </c>
      <c r="BT1033" s="25">
        <v>91.909915316846991</v>
      </c>
      <c r="BU1033" s="25">
        <v>40.478588842006531</v>
      </c>
      <c r="BV1033" s="25">
        <v>87.788093228148838</v>
      </c>
      <c r="BW1033" s="25">
        <v>45.4329877748455</v>
      </c>
      <c r="BX1033" s="25">
        <v>69.572608363537711</v>
      </c>
      <c r="BY1033" s="25">
        <v>46.823096864468141</v>
      </c>
      <c r="BZ1033">
        <v>81</v>
      </c>
      <c r="CA1033">
        <v>0</v>
      </c>
      <c r="CB1033">
        <v>7</v>
      </c>
      <c r="CC1033">
        <v>110495.71941600001</v>
      </c>
      <c r="CD1033" s="10">
        <v>44360.239382</v>
      </c>
      <c r="CE1033" s="255">
        <v>0.40146568225860652</v>
      </c>
      <c r="CF1033" t="str">
        <f>IFERROR(VLOOKUP(CE1033,'Rangos amb etnico'!$A$2:$C$6,3,9),"N.D.")</f>
        <v>31% - 50%</v>
      </c>
      <c r="CG1033" s="256">
        <v>1.2906065868742481E-3</v>
      </c>
      <c r="CH1033" s="232">
        <v>17441.343700000001</v>
      </c>
      <c r="CI1033" s="311">
        <f t="shared" si="454"/>
        <v>0.15784632918073438</v>
      </c>
      <c r="CJ1033" s="232" t="str">
        <f>IFERROR(VLOOKUP(CI1033,'Rangos amb etnico'!$A$2:$C$6,3,9),"N.D.")</f>
        <v>0,1% - 30%</v>
      </c>
      <c r="CK1033" s="311">
        <f t="shared" si="455"/>
        <v>6.9253553686389414E-4</v>
      </c>
      <c r="CL1033" s="10">
        <v>0</v>
      </c>
      <c r="CM1033" s="255">
        <f t="shared" si="456"/>
        <v>0</v>
      </c>
      <c r="CN1033" s="232">
        <f>IFERROR(VLOOKUP(CM1033,'Rangos amb etnico'!$A$2:$C$6,3,9),"N.D.")</f>
        <v>0</v>
      </c>
      <c r="CO1033" s="311">
        <f t="shared" si="457"/>
        <v>0</v>
      </c>
      <c r="CP1033">
        <v>0.89314449184338174</v>
      </c>
      <c r="CQ1033" t="s">
        <v>2864</v>
      </c>
      <c r="CR1033">
        <f t="shared" si="448"/>
        <v>3</v>
      </c>
      <c r="CS1033" t="str">
        <f t="shared" si="458"/>
        <v>Candidato</v>
      </c>
      <c r="CT1033">
        <v>0</v>
      </c>
      <c r="CU1033">
        <v>0</v>
      </c>
      <c r="CV1033" s="25">
        <v>40.919307708740227</v>
      </c>
      <c r="CW1033" s="25">
        <v>13.455099105834959</v>
      </c>
      <c r="CX1033" s="25">
        <v>35.653163909912109</v>
      </c>
      <c r="CY1033" s="25">
        <v>45.747867584228523</v>
      </c>
      <c r="CZ1033" s="25">
        <v>28.247161865234379</v>
      </c>
      <c r="DA1033" s="25">
        <v>64.6114501953125</v>
      </c>
      <c r="DB1033" s="25">
        <v>57.801094055175781</v>
      </c>
      <c r="DC1033">
        <v>2038</v>
      </c>
      <c r="DD1033" s="253" t="s">
        <v>380</v>
      </c>
    </row>
    <row r="1034" spans="1:108" hidden="1">
      <c r="A1034" s="13">
        <v>85015</v>
      </c>
      <c r="B1034" s="13" t="s">
        <v>2464</v>
      </c>
      <c r="C1034" s="13" t="s">
        <v>1351</v>
      </c>
      <c r="D1034" s="13" t="s">
        <v>1352</v>
      </c>
      <c r="E1034" s="13" t="s">
        <v>2465</v>
      </c>
      <c r="F1034" s="14">
        <v>56.596533333333298</v>
      </c>
      <c r="G1034" s="13">
        <v>55.53</v>
      </c>
      <c r="H1034" s="13">
        <v>52.92</v>
      </c>
      <c r="I1034" s="13">
        <v>52.27</v>
      </c>
      <c r="J1034" s="14">
        <v>56.182696326865369</v>
      </c>
      <c r="K1034" s="14">
        <v>54.539530187185903</v>
      </c>
      <c r="L1034" s="14">
        <v>53.843933825949975</v>
      </c>
      <c r="M1034" s="14">
        <v>39.661700000000003</v>
      </c>
      <c r="N1034" s="14">
        <f t="shared" si="432"/>
        <v>54.329133333333324</v>
      </c>
      <c r="O1034" s="14">
        <f t="shared" si="433"/>
        <v>51.056965085000314</v>
      </c>
      <c r="P1034" s="14">
        <f t="shared" si="449"/>
        <v>52.693049209166816</v>
      </c>
      <c r="Q1034" s="14">
        <v>70.12067614305667</v>
      </c>
      <c r="R1034" s="17">
        <f t="shared" si="434"/>
        <v>29.87932385694333</v>
      </c>
      <c r="S1034" s="14">
        <f t="shared" si="450"/>
        <v>0.36891391471249002</v>
      </c>
      <c r="T1034" s="13">
        <v>0</v>
      </c>
      <c r="U1034" s="13">
        <f t="shared" si="451"/>
        <v>19.439199061891607</v>
      </c>
      <c r="V1034" s="13">
        <f>IF($T1034=1,$AU1034,(VLOOKUP(U1034,'Cortes naturales'!$A$35:$C$39,3,9)))</f>
        <v>5</v>
      </c>
      <c r="W1034" s="13">
        <v>5</v>
      </c>
      <c r="X1034" s="14" t="b">
        <f t="shared" si="435"/>
        <v>1</v>
      </c>
      <c r="Y1034" s="17">
        <f>IF($T1034=1,$AU1034,VLOOKUP(U1034,'Cortes naturales'!$A$45:$C$49,3,9))</f>
        <v>5</v>
      </c>
      <c r="Z1034" s="14">
        <v>54.966359994468966</v>
      </c>
      <c r="AA1034" s="14">
        <v>0.36654131440319127</v>
      </c>
      <c r="AB1034" s="14">
        <v>20.147441840331645</v>
      </c>
      <c r="AC1034" s="13">
        <v>5</v>
      </c>
      <c r="AD1034" s="13">
        <f t="shared" si="436"/>
        <v>0</v>
      </c>
      <c r="AE1034" s="14">
        <f t="shared" si="437"/>
        <v>-2.2733107853021508</v>
      </c>
      <c r="AF1034" s="14">
        <f t="shared" si="438"/>
        <v>2.3726003092987558E-3</v>
      </c>
      <c r="AG1034" s="13">
        <f t="shared" si="439"/>
        <v>-0.70824277844003802</v>
      </c>
      <c r="AH1034" s="13">
        <f>IF($T1034=1,$AU1034,VLOOKUP(U1034,'Cortes naturales'!$A$25:$C$29,3,9))</f>
        <v>5</v>
      </c>
      <c r="AI1034" s="13" t="b">
        <f t="shared" si="440"/>
        <v>1</v>
      </c>
      <c r="AJ1034" s="13">
        <f t="shared" si="441"/>
        <v>0</v>
      </c>
      <c r="AK1034" s="28">
        <v>0.6523467210059386</v>
      </c>
      <c r="AL1034" s="28">
        <v>35.857124708023832</v>
      </c>
      <c r="AM1034" s="28">
        <v>0.27790882128330996</v>
      </c>
      <c r="AN1034" s="13">
        <v>4</v>
      </c>
      <c r="AO1034" s="33">
        <f t="shared" si="442"/>
        <v>-1</v>
      </c>
      <c r="AP1034" s="13">
        <f t="shared" si="452"/>
        <v>27.790882128330995</v>
      </c>
      <c r="AQ1034" s="13">
        <f>IFERROR(VLOOKUP(U1034,'Cortes naturales'!$E$15:$G$19,3,9),U1034)</f>
        <v>4</v>
      </c>
      <c r="AR1034" s="28">
        <f t="shared" si="443"/>
        <v>-0.28343280629344858</v>
      </c>
      <c r="AS1034" s="13" t="b">
        <f t="shared" si="444"/>
        <v>0</v>
      </c>
      <c r="AT1034" s="13" t="str">
        <f t="shared" si="453"/>
        <v>Cambio en corte</v>
      </c>
      <c r="AU1034" s="13">
        <v>4</v>
      </c>
      <c r="AV1034">
        <f t="shared" si="445"/>
        <v>-1</v>
      </c>
      <c r="AW1034" s="13">
        <v>0</v>
      </c>
      <c r="AX1034" s="13">
        <v>0</v>
      </c>
      <c r="AY1034" s="13">
        <v>0</v>
      </c>
      <c r="AZ1034" s="13">
        <v>0</v>
      </c>
      <c r="BA1034">
        <v>1</v>
      </c>
      <c r="BB1034" t="s">
        <v>2841</v>
      </c>
      <c r="BC1034">
        <v>6</v>
      </c>
      <c r="BD1034" t="s">
        <v>2919</v>
      </c>
      <c r="BE1034">
        <v>0</v>
      </c>
      <c r="BF1034" s="232" t="s">
        <v>2846</v>
      </c>
      <c r="BG1034" s="232" t="s">
        <v>2846</v>
      </c>
      <c r="BH1034" s="253">
        <v>36</v>
      </c>
      <c r="BI1034" s="253">
        <v>17.424629535002556</v>
      </c>
      <c r="BJ1034" s="25">
        <v>3.1575000000000002</v>
      </c>
      <c r="BK1034" t="s">
        <v>381</v>
      </c>
      <c r="BL1034">
        <v>0</v>
      </c>
      <c r="BM1034" t="s">
        <v>377</v>
      </c>
      <c r="BN1034" s="322">
        <v>10591.155718</v>
      </c>
      <c r="BO1034" s="322">
        <v>640.41892499999994</v>
      </c>
      <c r="BP1034" s="10">
        <v>2691</v>
      </c>
      <c r="BQ1034" s="254">
        <f t="shared" si="446"/>
        <v>3.9357694975845412</v>
      </c>
      <c r="BR1034" s="254">
        <f t="shared" si="447"/>
        <v>0.23798547937569675</v>
      </c>
      <c r="BS1034" s="25">
        <v>57.612673274437981</v>
      </c>
      <c r="BT1034" s="25">
        <v>89.863519639539206</v>
      </c>
      <c r="BU1034" s="25">
        <v>27.927696267696259</v>
      </c>
      <c r="BV1034" s="25">
        <v>96.14438215283235</v>
      </c>
      <c r="BW1034" s="25">
        <v>42.638184809931012</v>
      </c>
      <c r="BX1034" s="25">
        <v>67.887067833626446</v>
      </c>
      <c r="BY1034" s="25">
        <v>43.307691427622828</v>
      </c>
      <c r="BZ1034">
        <v>41</v>
      </c>
      <c r="CA1034">
        <v>0</v>
      </c>
      <c r="CB1034">
        <v>7</v>
      </c>
      <c r="CC1034">
        <v>30916.338244999999</v>
      </c>
      <c r="CD1034" s="10">
        <v>1547.486568</v>
      </c>
      <c r="CE1034" s="255">
        <v>5.0054005611426838E-2</v>
      </c>
      <c r="CF1034" t="str">
        <f>IFERROR(VLOOKUP(CE1034,'Rangos amb etnico'!$A$2:$C$6,3,9),"N.D.")</f>
        <v>0,1% - 30%</v>
      </c>
      <c r="CG1034" s="256">
        <v>4.5022217769424933E-5</v>
      </c>
      <c r="CH1034" s="232">
        <v>0</v>
      </c>
      <c r="CI1034" s="311">
        <f t="shared" si="454"/>
        <v>0</v>
      </c>
      <c r="CJ1034" s="232">
        <f>IFERROR(VLOOKUP(CI1034,'Rangos amb etnico'!$A$2:$C$6,3,9),"N.D.")</f>
        <v>0</v>
      </c>
      <c r="CK1034" s="311">
        <f t="shared" si="455"/>
        <v>0</v>
      </c>
      <c r="CL1034" s="10">
        <v>0</v>
      </c>
      <c r="CM1034" s="255">
        <f t="shared" si="456"/>
        <v>0</v>
      </c>
      <c r="CN1034" s="232">
        <f>IFERROR(VLOOKUP(CM1034,'Rangos amb etnico'!$A$2:$C$6,3,9),"N.D.")</f>
        <v>0</v>
      </c>
      <c r="CO1034" s="311">
        <f t="shared" si="457"/>
        <v>0</v>
      </c>
      <c r="CP1034">
        <v>0.90671850802621168</v>
      </c>
      <c r="CQ1034" t="s">
        <v>2864</v>
      </c>
      <c r="CR1034">
        <f t="shared" si="448"/>
        <v>1</v>
      </c>
      <c r="CS1034" t="str">
        <f t="shared" si="458"/>
        <v>No es Candidato</v>
      </c>
      <c r="CT1034">
        <v>0</v>
      </c>
      <c r="CU1034">
        <v>0</v>
      </c>
      <c r="CV1034" s="25">
        <v>50.494911193847663</v>
      </c>
      <c r="CW1034" s="25">
        <v>14.39891147613525</v>
      </c>
      <c r="CX1034" s="25">
        <v>51.638824462890618</v>
      </c>
      <c r="CY1034" s="25">
        <v>67.835693359375</v>
      </c>
      <c r="CZ1034" s="25">
        <v>31.696943283081051</v>
      </c>
      <c r="DA1034" s="25">
        <v>68.198326110839844</v>
      </c>
      <c r="DB1034" s="25">
        <v>69.200767517089844</v>
      </c>
      <c r="DC1034">
        <v>7</v>
      </c>
      <c r="DD1034" s="253" t="s">
        <v>380</v>
      </c>
    </row>
    <row r="1035" spans="1:108" hidden="1">
      <c r="A1035" s="13">
        <v>13458</v>
      </c>
      <c r="B1035" s="13" t="s">
        <v>2466</v>
      </c>
      <c r="C1035" s="13" t="s">
        <v>480</v>
      </c>
      <c r="D1035" s="13" t="s">
        <v>481</v>
      </c>
      <c r="E1035" s="13" t="s">
        <v>2467</v>
      </c>
      <c r="F1035" s="14">
        <v>42.328366666666703</v>
      </c>
      <c r="G1035" s="13">
        <v>50.57</v>
      </c>
      <c r="H1035" s="13">
        <v>36.799999999999997</v>
      </c>
      <c r="I1035" s="13">
        <v>55.03</v>
      </c>
      <c r="J1035" s="14">
        <v>43.60658490143426</v>
      </c>
      <c r="K1035" s="14">
        <v>42.799702120444202</v>
      </c>
      <c r="L1035" s="14">
        <v>50.858967392495458</v>
      </c>
      <c r="M1035" s="14">
        <v>49.2102</v>
      </c>
      <c r="N1035" s="14">
        <f t="shared" si="432"/>
        <v>46.182091666666672</v>
      </c>
      <c r="O1035" s="14">
        <f t="shared" si="433"/>
        <v>46.618863603593482</v>
      </c>
      <c r="P1035" s="14">
        <f t="shared" si="449"/>
        <v>46.400477635130073</v>
      </c>
      <c r="Q1035" s="14">
        <v>71.508805881608311</v>
      </c>
      <c r="R1035" s="17">
        <f t="shared" si="434"/>
        <v>28.491194118391689</v>
      </c>
      <c r="S1035" s="14">
        <f t="shared" si="450"/>
        <v>0.35642074706552518</v>
      </c>
      <c r="T1035" s="13">
        <v>0</v>
      </c>
      <c r="U1035" s="13">
        <f t="shared" si="451"/>
        <v>16.538092902910254</v>
      </c>
      <c r="V1035" s="13">
        <f>IF($T1035=1,$AU1035,(VLOOKUP(U1035,'Cortes naturales'!$A$35:$C$39,3,9)))</f>
        <v>5</v>
      </c>
      <c r="W1035" s="13">
        <v>5</v>
      </c>
      <c r="X1035" s="14" t="b">
        <f t="shared" si="435"/>
        <v>1</v>
      </c>
      <c r="Y1035" s="17">
        <f>IF($T1035=1,$AU1035,VLOOKUP(U1035,'Cortes naturales'!$A$45:$C$49,3,9))</f>
        <v>5</v>
      </c>
      <c r="Z1035" s="14">
        <v>44.704073784409943</v>
      </c>
      <c r="AA1035" s="14">
        <v>0.36595950661020882</v>
      </c>
      <c r="AB1035" s="14">
        <v>16.359880785609032</v>
      </c>
      <c r="AC1035" s="13">
        <v>5</v>
      </c>
      <c r="AD1035" s="13">
        <f t="shared" si="436"/>
        <v>0</v>
      </c>
      <c r="AE1035" s="14">
        <f t="shared" si="437"/>
        <v>1.6964038507201309</v>
      </c>
      <c r="AF1035" s="14">
        <f t="shared" si="438"/>
        <v>-9.5387595446836393E-3</v>
      </c>
      <c r="AG1035" s="13">
        <f t="shared" si="439"/>
        <v>0.17821211730122144</v>
      </c>
      <c r="AH1035" s="13">
        <f>IF($T1035=1,$AU1035,VLOOKUP(U1035,'Cortes naturales'!$A$25:$C$29,3,9))</f>
        <v>5</v>
      </c>
      <c r="AI1035" s="13" t="b">
        <f t="shared" si="440"/>
        <v>1</v>
      </c>
      <c r="AJ1035" s="13">
        <f t="shared" si="441"/>
        <v>0</v>
      </c>
      <c r="AK1035" s="28">
        <v>0.6523467210059386</v>
      </c>
      <c r="AL1035" s="28">
        <v>29.162555948867368</v>
      </c>
      <c r="AM1035" s="28">
        <v>0.19416682284689654</v>
      </c>
      <c r="AN1035" s="13">
        <v>4</v>
      </c>
      <c r="AO1035" s="33">
        <f t="shared" si="442"/>
        <v>-1</v>
      </c>
      <c r="AP1035" s="13">
        <f t="shared" si="452"/>
        <v>19.416682284689653</v>
      </c>
      <c r="AQ1035" s="13">
        <f>IFERROR(VLOOKUP(U1035,'Cortes naturales'!$E$15:$G$19,3,9),U1035)</f>
        <v>5</v>
      </c>
      <c r="AR1035" s="28">
        <f t="shared" si="443"/>
        <v>-0.29592597394041342</v>
      </c>
      <c r="AS1035" s="13" t="b">
        <f t="shared" si="444"/>
        <v>1</v>
      </c>
      <c r="AT1035" s="13" t="str">
        <f t="shared" si="453"/>
        <v>Efecto ponderador</v>
      </c>
      <c r="AU1035" s="13">
        <v>5</v>
      </c>
      <c r="AV1035">
        <f t="shared" si="445"/>
        <v>0</v>
      </c>
      <c r="AW1035" s="13">
        <v>0</v>
      </c>
      <c r="AX1035" s="13">
        <v>0</v>
      </c>
      <c r="AY1035" s="13">
        <v>0</v>
      </c>
      <c r="AZ1035" s="13">
        <v>0</v>
      </c>
      <c r="BA1035">
        <v>1</v>
      </c>
      <c r="BB1035" t="s">
        <v>2841</v>
      </c>
      <c r="BC1035">
        <v>6</v>
      </c>
      <c r="BD1035" t="s">
        <v>2919</v>
      </c>
      <c r="BE1035">
        <v>0</v>
      </c>
      <c r="BF1035" s="232" t="s">
        <v>2846</v>
      </c>
      <c r="BG1035" s="232" t="s">
        <v>2846</v>
      </c>
      <c r="BH1035" s="253">
        <v>70.099999999999994</v>
      </c>
      <c r="BI1035" s="253">
        <v>63.110616184112843</v>
      </c>
      <c r="BJ1035" s="25">
        <v>12.200381299231422</v>
      </c>
      <c r="BK1035" t="s">
        <v>377</v>
      </c>
      <c r="BL1035">
        <v>79.063654582067429</v>
      </c>
      <c r="BM1035" t="s">
        <v>384</v>
      </c>
      <c r="BN1035" s="322">
        <v>41477.454661000003</v>
      </c>
      <c r="BO1035" s="322">
        <v>2558.9348030000001</v>
      </c>
      <c r="BP1035" s="10">
        <v>16510</v>
      </c>
      <c r="BQ1035" s="254">
        <f t="shared" si="446"/>
        <v>2.5122625476075107</v>
      </c>
      <c r="BR1035" s="254">
        <f t="shared" si="447"/>
        <v>0.15499302259236827</v>
      </c>
      <c r="BS1035" s="25">
        <v>51.66326524885509</v>
      </c>
      <c r="BT1035" s="25">
        <v>80.608568671512216</v>
      </c>
      <c r="BU1035" s="25">
        <v>10.327929003502071</v>
      </c>
      <c r="BV1035" s="25">
        <v>97.388849998746934</v>
      </c>
      <c r="BW1035" s="25">
        <v>25.309423307583309</v>
      </c>
      <c r="BX1035" s="25">
        <v>59.997153230654078</v>
      </c>
      <c r="BY1035" s="25">
        <v>26.15896395699119</v>
      </c>
      <c r="BZ1035">
        <v>64</v>
      </c>
      <c r="CA1035">
        <v>0</v>
      </c>
      <c r="CB1035">
        <v>7</v>
      </c>
      <c r="CC1035">
        <v>209071.74660700001</v>
      </c>
      <c r="CD1035" s="10">
        <v>199372.885481</v>
      </c>
      <c r="CE1035" s="255">
        <v>0.95360989094221649</v>
      </c>
      <c r="CF1035" t="str">
        <f>IFERROR(VLOOKUP(CE1035,'Rangos amb etnico'!$A$2:$C$6,3,9),"N.D.")</f>
        <v>71% - 100%</v>
      </c>
      <c r="CG1035" s="256">
        <v>5.8005088076759316E-3</v>
      </c>
      <c r="CH1035" s="232">
        <v>0</v>
      </c>
      <c r="CI1035" s="311">
        <f t="shared" si="454"/>
        <v>0</v>
      </c>
      <c r="CJ1035" s="232">
        <f>IFERROR(VLOOKUP(CI1035,'Rangos amb etnico'!$A$2:$C$6,3,9),"N.D.")</f>
        <v>0</v>
      </c>
      <c r="CK1035" s="311">
        <f t="shared" si="455"/>
        <v>0</v>
      </c>
      <c r="CL1035" s="10">
        <v>0</v>
      </c>
      <c r="CM1035" s="255">
        <f t="shared" si="456"/>
        <v>0</v>
      </c>
      <c r="CN1035" s="232">
        <f>IFERROR(VLOOKUP(CM1035,'Rangos amb etnico'!$A$2:$C$6,3,9),"N.D.")</f>
        <v>0</v>
      </c>
      <c r="CO1035" s="311">
        <f t="shared" si="457"/>
        <v>0</v>
      </c>
      <c r="CP1035">
        <v>0.90784625641885763</v>
      </c>
      <c r="CQ1035" t="s">
        <v>2864</v>
      </c>
      <c r="CR1035">
        <f t="shared" si="448"/>
        <v>1</v>
      </c>
      <c r="CS1035" t="str">
        <f t="shared" si="458"/>
        <v>No es Candidato</v>
      </c>
      <c r="CT1035">
        <v>0</v>
      </c>
      <c r="CU1035">
        <v>0</v>
      </c>
      <c r="CV1035" s="25">
        <v>36.095371246337891</v>
      </c>
      <c r="CW1035" s="25">
        <v>10.33675956726074</v>
      </c>
      <c r="CX1035" s="25">
        <v>35.771072387695313</v>
      </c>
      <c r="CY1035" s="25">
        <v>34.667888641357422</v>
      </c>
      <c r="CZ1035" s="25">
        <v>4.9634919166564941</v>
      </c>
      <c r="DA1035" s="25">
        <v>81.532737731933594</v>
      </c>
      <c r="DB1035" s="25">
        <v>49.300281524658203</v>
      </c>
      <c r="DC1035">
        <v>4408</v>
      </c>
      <c r="DD1035" s="253" t="s">
        <v>380</v>
      </c>
    </row>
    <row r="1036" spans="1:108" hidden="1">
      <c r="A1036" s="13">
        <v>68264</v>
      </c>
      <c r="B1036" s="13" t="s">
        <v>2468</v>
      </c>
      <c r="C1036" s="13" t="s">
        <v>431</v>
      </c>
      <c r="D1036" s="13" t="s">
        <v>432</v>
      </c>
      <c r="E1036" s="13" t="s">
        <v>2469</v>
      </c>
      <c r="F1036" s="14">
        <v>66.670466666666698</v>
      </c>
      <c r="G1036" s="13">
        <v>57.39</v>
      </c>
      <c r="H1036" s="13">
        <v>61.2</v>
      </c>
      <c r="I1036" s="13">
        <v>75.7</v>
      </c>
      <c r="J1036" s="14">
        <v>64.996552838910418</v>
      </c>
      <c r="K1036" s="14">
        <v>63.260015848762571</v>
      </c>
      <c r="L1036" s="14">
        <v>58.866919573635407</v>
      </c>
      <c r="M1036" s="14">
        <v>57.963799999999999</v>
      </c>
      <c r="N1036" s="14">
        <f t="shared" si="432"/>
        <v>65.24011666666668</v>
      </c>
      <c r="O1036" s="14">
        <f t="shared" si="433"/>
        <v>61.2718220653271</v>
      </c>
      <c r="P1036" s="14">
        <f t="shared" si="449"/>
        <v>63.25596936599689</v>
      </c>
      <c r="Q1036" s="14">
        <v>70.321318940787194</v>
      </c>
      <c r="R1036" s="17">
        <f t="shared" si="434"/>
        <v>29.678681059212806</v>
      </c>
      <c r="S1036" s="14">
        <f t="shared" si="450"/>
        <v>0.36710812953291527</v>
      </c>
      <c r="T1036" s="13">
        <v>0</v>
      </c>
      <c r="U1036" s="13">
        <f t="shared" si="451"/>
        <v>23.221780595742505</v>
      </c>
      <c r="V1036" s="13">
        <f>IF($T1036=1,$AU1036,(VLOOKUP(U1036,'Cortes naturales'!$A$35:$C$39,3,9)))</f>
        <v>4</v>
      </c>
      <c r="W1036" s="13">
        <v>4</v>
      </c>
      <c r="X1036" s="14" t="b">
        <f t="shared" si="435"/>
        <v>1</v>
      </c>
      <c r="Y1036" s="17">
        <f>IF($T1036=1,$AU1036,VLOOKUP(U1036,'Cortes naturales'!$A$45:$C$49,3,9))</f>
        <v>4</v>
      </c>
      <c r="Z1036" s="14">
        <v>60.325653266540044</v>
      </c>
      <c r="AA1036" s="14">
        <v>0.36654829217145035</v>
      </c>
      <c r="AB1036" s="14">
        <v>22.112265178977328</v>
      </c>
      <c r="AC1036" s="13">
        <v>4</v>
      </c>
      <c r="AD1036" s="13">
        <f t="shared" si="436"/>
        <v>0</v>
      </c>
      <c r="AE1036" s="14">
        <f t="shared" si="437"/>
        <v>2.9303160994568458</v>
      </c>
      <c r="AF1036" s="14">
        <f t="shared" si="438"/>
        <v>5.5983736146492102E-4</v>
      </c>
      <c r="AG1036" s="13">
        <f t="shared" si="439"/>
        <v>1.1095154167651771</v>
      </c>
      <c r="AH1036" s="13">
        <f>IF($T1036=1,$AU1036,VLOOKUP(U1036,'Cortes naturales'!$A$25:$C$29,3,9))</f>
        <v>4</v>
      </c>
      <c r="AI1036" s="13" t="b">
        <f t="shared" si="440"/>
        <v>1</v>
      </c>
      <c r="AJ1036" s="13">
        <f t="shared" si="441"/>
        <v>0</v>
      </c>
      <c r="AK1036" s="28">
        <v>0.6523467210059386</v>
      </c>
      <c r="AL1036" s="28">
        <v>39.353242100968586</v>
      </c>
      <c r="AM1036" s="28">
        <v>0.32164156461394799</v>
      </c>
      <c r="AN1036" s="13">
        <v>4</v>
      </c>
      <c r="AO1036" s="33">
        <f t="shared" si="442"/>
        <v>0</v>
      </c>
      <c r="AP1036" s="13">
        <f t="shared" si="452"/>
        <v>32.164156461394796</v>
      </c>
      <c r="AQ1036" s="13">
        <f>IFERROR(VLOOKUP(U1036,'Cortes naturales'!$E$15:$G$19,3,9),U1036)</f>
        <v>4</v>
      </c>
      <c r="AR1036" s="28">
        <f t="shared" si="443"/>
        <v>-0.28523859147302333</v>
      </c>
      <c r="AS1036" s="13" t="b">
        <f t="shared" si="444"/>
        <v>1</v>
      </c>
      <c r="AT1036" s="13">
        <f t="shared" si="453"/>
        <v>0</v>
      </c>
      <c r="AU1036" s="13">
        <v>4</v>
      </c>
      <c r="AV1036">
        <f t="shared" si="445"/>
        <v>0</v>
      </c>
      <c r="AW1036" s="13">
        <v>0</v>
      </c>
      <c r="AX1036" s="13">
        <v>0</v>
      </c>
      <c r="AY1036" s="13">
        <v>0</v>
      </c>
      <c r="AZ1036" s="13">
        <v>0</v>
      </c>
      <c r="BA1036">
        <v>0</v>
      </c>
      <c r="BB1036" t="s">
        <v>2841</v>
      </c>
      <c r="BC1036">
        <v>6</v>
      </c>
      <c r="BD1036" t="s">
        <v>2919</v>
      </c>
      <c r="BE1036">
        <v>0</v>
      </c>
      <c r="BF1036" s="232" t="s">
        <v>2846</v>
      </c>
      <c r="BG1036" s="232" t="s">
        <v>2845</v>
      </c>
      <c r="BH1036" s="253">
        <v>32</v>
      </c>
      <c r="BI1036" s="253">
        <v>9.8797250859106533</v>
      </c>
      <c r="BJ1036" s="25">
        <v>4.5883333333333338</v>
      </c>
      <c r="BK1036" t="s">
        <v>381</v>
      </c>
      <c r="BL1036">
        <v>0</v>
      </c>
      <c r="BM1036" t="s">
        <v>377</v>
      </c>
      <c r="BN1036" s="322">
        <v>8276.9891279999993</v>
      </c>
      <c r="BO1036" s="322">
        <v>505.02941199999998</v>
      </c>
      <c r="BP1036" s="10">
        <v>2898</v>
      </c>
      <c r="BQ1036" s="254">
        <f t="shared" si="446"/>
        <v>2.8561039089026914</v>
      </c>
      <c r="BR1036" s="254">
        <f t="shared" si="447"/>
        <v>0.1742682581090407</v>
      </c>
      <c r="BS1036" s="25">
        <v>51.07219315583459</v>
      </c>
      <c r="BT1036" s="25">
        <v>86.365486878306868</v>
      </c>
      <c r="BU1036" s="25">
        <v>41.168525243578372</v>
      </c>
      <c r="BV1036" s="25">
        <v>94.171933438771759</v>
      </c>
      <c r="BW1036" s="25">
        <v>56.926987779216262</v>
      </c>
      <c r="BX1036" s="25">
        <v>68.194534679122896</v>
      </c>
      <c r="BY1036" s="25">
        <v>57.534057022734423</v>
      </c>
      <c r="BZ1036">
        <v>75</v>
      </c>
      <c r="CA1036">
        <v>0</v>
      </c>
      <c r="CB1036">
        <v>7</v>
      </c>
      <c r="CC1036">
        <v>39966.773633999997</v>
      </c>
      <c r="CD1036" s="10">
        <v>37516.261212999998</v>
      </c>
      <c r="CE1036" s="255">
        <v>0.93868625865473088</v>
      </c>
      <c r="CF1036" t="str">
        <f>IFERROR(VLOOKUP(CE1036,'Rangos amb etnico'!$A$2:$C$6,3,9),"N.D.")</f>
        <v>71% - 100%</v>
      </c>
      <c r="CG1036" s="256">
        <v>1.0914894624315186E-3</v>
      </c>
      <c r="CH1036" s="232">
        <v>0</v>
      </c>
      <c r="CI1036" s="311">
        <f t="shared" si="454"/>
        <v>0</v>
      </c>
      <c r="CJ1036" s="232">
        <f>IFERROR(VLOOKUP(CI1036,'Rangos amb etnico'!$A$2:$C$6,3,9),"N.D.")</f>
        <v>0</v>
      </c>
      <c r="CK1036" s="311">
        <f t="shared" si="455"/>
        <v>0</v>
      </c>
      <c r="CL1036" s="10">
        <v>0</v>
      </c>
      <c r="CM1036" s="255">
        <f t="shared" si="456"/>
        <v>0</v>
      </c>
      <c r="CN1036" s="232">
        <f>IFERROR(VLOOKUP(CM1036,'Rangos amb etnico'!$A$2:$C$6,3,9),"N.D.")</f>
        <v>0</v>
      </c>
      <c r="CO1036" s="311">
        <f t="shared" si="457"/>
        <v>0</v>
      </c>
      <c r="CP1036">
        <v>0.98434187261174888</v>
      </c>
      <c r="CQ1036" t="s">
        <v>2864</v>
      </c>
      <c r="CR1036">
        <f t="shared" si="448"/>
        <v>2</v>
      </c>
      <c r="CS1036" t="str">
        <f t="shared" si="458"/>
        <v>No es Candidato</v>
      </c>
      <c r="CT1036">
        <v>0</v>
      </c>
      <c r="CU1036">
        <v>0</v>
      </c>
      <c r="CV1036" s="25">
        <v>53.525096893310547</v>
      </c>
      <c r="CW1036" s="25">
        <v>14.076563835144039</v>
      </c>
      <c r="CX1036" s="25">
        <v>57.583736419677727</v>
      </c>
      <c r="CY1036" s="25">
        <v>62.62030029296875</v>
      </c>
      <c r="CZ1036" s="25">
        <v>33.694221496582031</v>
      </c>
      <c r="DA1036" s="25">
        <v>77.955825805664063</v>
      </c>
      <c r="DB1036" s="25">
        <v>75.219932556152344</v>
      </c>
      <c r="DC1036">
        <v>115</v>
      </c>
      <c r="DD1036" s="253" t="s">
        <v>380</v>
      </c>
    </row>
    <row r="1037" spans="1:108" hidden="1">
      <c r="A1037" s="13">
        <v>86571</v>
      </c>
      <c r="B1037" s="13" t="s">
        <v>2470</v>
      </c>
      <c r="C1037" s="13" t="s">
        <v>943</v>
      </c>
      <c r="D1037" s="13" t="s">
        <v>944</v>
      </c>
      <c r="E1037" s="13" t="s">
        <v>2471</v>
      </c>
      <c r="F1037" s="14">
        <v>70.129400000000004</v>
      </c>
      <c r="G1037" s="13">
        <v>92.45</v>
      </c>
      <c r="H1037" s="13">
        <v>39.35</v>
      </c>
      <c r="I1037" s="13">
        <v>51.03</v>
      </c>
      <c r="J1037" s="14">
        <v>48.188877272773453</v>
      </c>
      <c r="K1037" s="14">
        <v>61.056473677965606</v>
      </c>
      <c r="L1037" s="14">
        <v>14.315809487601157</v>
      </c>
      <c r="M1037" s="14">
        <v>59.5505</v>
      </c>
      <c r="N1037" s="14">
        <f t="shared" si="432"/>
        <v>63.239850000000004</v>
      </c>
      <c r="O1037" s="14">
        <f t="shared" si="433"/>
        <v>45.777915109585052</v>
      </c>
      <c r="P1037" s="14">
        <f t="shared" si="449"/>
        <v>54.508882554792528</v>
      </c>
      <c r="Q1037" s="14">
        <v>70.299371556704955</v>
      </c>
      <c r="R1037" s="17">
        <f t="shared" si="434"/>
        <v>29.700628443295045</v>
      </c>
      <c r="S1037" s="14">
        <f t="shared" si="450"/>
        <v>0.36730565598965548</v>
      </c>
      <c r="T1037" s="13">
        <v>0</v>
      </c>
      <c r="U1037" s="13">
        <f t="shared" si="451"/>
        <v>20.021420864051159</v>
      </c>
      <c r="V1037" s="13">
        <f>IF($T1037=1,$AU1037,(VLOOKUP(U1037,'Cortes naturales'!$A$35:$C$39,3,9)))</f>
        <v>5</v>
      </c>
      <c r="W1037" s="13">
        <v>5</v>
      </c>
      <c r="X1037" s="14" t="b">
        <f t="shared" si="435"/>
        <v>1</v>
      </c>
      <c r="Y1037" s="17">
        <f>IF($T1037=1,$AU1037,VLOOKUP(U1037,'Cortes naturales'!$A$45:$C$49,3,9))</f>
        <v>5</v>
      </c>
      <c r="Z1037" s="14">
        <v>54.184965798589857</v>
      </c>
      <c r="AA1037" s="14">
        <v>0.36526048905816133</v>
      </c>
      <c r="AB1037" s="14">
        <v>19.791627107192678</v>
      </c>
      <c r="AC1037" s="13">
        <v>5</v>
      </c>
      <c r="AD1037" s="13">
        <f t="shared" si="436"/>
        <v>0</v>
      </c>
      <c r="AE1037" s="14">
        <f t="shared" si="437"/>
        <v>0.3239167562026708</v>
      </c>
      <c r="AF1037" s="14">
        <f t="shared" si="438"/>
        <v>2.0451669314941467E-3</v>
      </c>
      <c r="AG1037" s="13">
        <f t="shared" si="439"/>
        <v>0.22979375685848069</v>
      </c>
      <c r="AH1037" s="13">
        <f>IF($T1037=1,$AU1037,VLOOKUP(U1037,'Cortes naturales'!$A$25:$C$29,3,9))</f>
        <v>5</v>
      </c>
      <c r="AI1037" s="13" t="b">
        <f t="shared" si="440"/>
        <v>1</v>
      </c>
      <c r="AJ1037" s="13">
        <f t="shared" si="441"/>
        <v>0</v>
      </c>
      <c r="AK1037" s="28">
        <v>0.6523467210059386</v>
      </c>
      <c r="AL1037" s="28">
        <v>35.347384766529025</v>
      </c>
      <c r="AM1037" s="28">
        <v>0.27153251193175526</v>
      </c>
      <c r="AN1037" s="13">
        <v>4</v>
      </c>
      <c r="AO1037" s="33">
        <f t="shared" si="442"/>
        <v>-1</v>
      </c>
      <c r="AP1037" s="13">
        <f t="shared" si="452"/>
        <v>27.153251193175524</v>
      </c>
      <c r="AQ1037" s="13">
        <f>IFERROR(VLOOKUP(U1037,'Cortes naturales'!$E$15:$G$19,3,9),U1037)</f>
        <v>4</v>
      </c>
      <c r="AR1037" s="28">
        <f t="shared" si="443"/>
        <v>-0.28504106501628312</v>
      </c>
      <c r="AS1037" s="13" t="b">
        <f t="shared" si="444"/>
        <v>0</v>
      </c>
      <c r="AT1037" s="13" t="str">
        <f t="shared" si="453"/>
        <v>Cambio en corte</v>
      </c>
      <c r="AU1037" s="13">
        <v>4</v>
      </c>
      <c r="AV1037">
        <f t="shared" si="445"/>
        <v>-1</v>
      </c>
      <c r="AW1037" s="13">
        <v>0</v>
      </c>
      <c r="AX1037" s="13">
        <v>0</v>
      </c>
      <c r="AY1037" s="13">
        <v>0</v>
      </c>
      <c r="AZ1037" s="13">
        <v>1</v>
      </c>
      <c r="BA1037">
        <v>1</v>
      </c>
      <c r="BB1037" t="s">
        <v>2841</v>
      </c>
      <c r="BC1037">
        <v>6</v>
      </c>
      <c r="BD1037" t="s">
        <v>2919</v>
      </c>
      <c r="BE1037">
        <v>0</v>
      </c>
      <c r="BF1037" s="232" t="s">
        <v>2846</v>
      </c>
      <c r="BG1037" s="232" t="s">
        <v>2846</v>
      </c>
      <c r="BH1037" s="253">
        <v>62.2</v>
      </c>
      <c r="BI1037" s="253">
        <v>36.165279429250894</v>
      </c>
      <c r="BJ1037" s="25">
        <v>21.368575292852331</v>
      </c>
      <c r="BK1037" t="s">
        <v>379</v>
      </c>
      <c r="BL1037">
        <v>35.342216088770726</v>
      </c>
      <c r="BM1037" t="s">
        <v>384</v>
      </c>
      <c r="BN1037" s="322">
        <v>60792.106660999998</v>
      </c>
      <c r="BO1037" s="322">
        <v>2404.4079969999998</v>
      </c>
      <c r="BP1037" s="10">
        <v>41134</v>
      </c>
      <c r="BQ1037" s="254">
        <f t="shared" si="446"/>
        <v>1.4779040856955317</v>
      </c>
      <c r="BR1037" s="254">
        <f t="shared" si="447"/>
        <v>5.8453055793261044E-2</v>
      </c>
      <c r="BS1037" s="25">
        <v>40.476166084640958</v>
      </c>
      <c r="BT1037" s="25">
        <v>80.321226560347483</v>
      </c>
      <c r="BU1037" s="25">
        <v>22.28987924356343</v>
      </c>
      <c r="BV1037" s="25">
        <v>91.498559583467042</v>
      </c>
      <c r="BW1037" s="25">
        <v>50.124030862911908</v>
      </c>
      <c r="BX1037" s="25">
        <v>58.646457868004731</v>
      </c>
      <c r="BY1037" s="25">
        <v>51.265638898712368</v>
      </c>
      <c r="BZ1037">
        <v>81</v>
      </c>
      <c r="CA1037">
        <v>0</v>
      </c>
      <c r="CB1037">
        <v>7</v>
      </c>
      <c r="CC1037">
        <v>457640.23664199997</v>
      </c>
      <c r="CD1037" s="10">
        <v>9869.2127349999992</v>
      </c>
      <c r="CE1037" s="255">
        <v>2.1565439279152429E-2</v>
      </c>
      <c r="CF1037" t="str">
        <f>IFERROR(VLOOKUP(CE1037,'Rangos amb etnico'!$A$2:$C$6,3,9),"N.D.")</f>
        <v>0,1% - 30%</v>
      </c>
      <c r="CG1037" s="256">
        <v>2.8713260208921681E-4</v>
      </c>
      <c r="CH1037" s="232">
        <v>78386.023176000002</v>
      </c>
      <c r="CI1037" s="311">
        <f t="shared" si="454"/>
        <v>0.17128306669703813</v>
      </c>
      <c r="CJ1037" s="232" t="str">
        <f>IFERROR(VLOOKUP(CI1037,'Rangos amb etnico'!$A$2:$C$6,3,9),"N.D.")</f>
        <v>0,1% - 30%</v>
      </c>
      <c r="CK1037" s="311">
        <f t="shared" si="455"/>
        <v>3.1124383290959861E-3</v>
      </c>
      <c r="CL1037" s="10">
        <v>0</v>
      </c>
      <c r="CM1037" s="255">
        <f t="shared" si="456"/>
        <v>0</v>
      </c>
      <c r="CN1037" s="232">
        <f>IFERROR(VLOOKUP(CM1037,'Rangos amb etnico'!$A$2:$C$6,3,9),"N.D.")</f>
        <v>0</v>
      </c>
      <c r="CO1037" s="311">
        <f t="shared" si="457"/>
        <v>0</v>
      </c>
      <c r="CP1037">
        <v>0.92625103099496586</v>
      </c>
      <c r="CQ1037" t="s">
        <v>2864</v>
      </c>
      <c r="CR1037">
        <f t="shared" si="448"/>
        <v>1</v>
      </c>
      <c r="CS1037" t="str">
        <f t="shared" si="458"/>
        <v>No es Candidato</v>
      </c>
      <c r="CT1037">
        <v>0</v>
      </c>
      <c r="CU1037">
        <v>0</v>
      </c>
      <c r="CV1037" s="25">
        <v>37.649818420410163</v>
      </c>
      <c r="CW1037" s="25">
        <v>20.48066329956055</v>
      </c>
      <c r="CX1037" s="25">
        <v>34.161266326904297</v>
      </c>
      <c r="CY1037" s="25">
        <v>37.597362518310547</v>
      </c>
      <c r="CZ1037" s="25">
        <v>20.142463684082031</v>
      </c>
      <c r="DA1037" s="25">
        <v>72.867477416992188</v>
      </c>
      <c r="DB1037" s="25">
        <v>40.649692535400391</v>
      </c>
      <c r="DC1037">
        <v>10041</v>
      </c>
      <c r="DD1037" s="253" t="s">
        <v>380</v>
      </c>
    </row>
    <row r="1038" spans="1:108" hidden="1">
      <c r="A1038" s="13">
        <v>50223</v>
      </c>
      <c r="B1038" s="13" t="s">
        <v>2472</v>
      </c>
      <c r="C1038" s="13" t="s">
        <v>605</v>
      </c>
      <c r="D1038" s="13" t="s">
        <v>606</v>
      </c>
      <c r="E1038" s="13" t="s">
        <v>2473</v>
      </c>
      <c r="F1038" s="14">
        <v>65.408666666666704</v>
      </c>
      <c r="G1038" s="13">
        <v>57.43</v>
      </c>
      <c r="H1038" s="13">
        <v>53.34</v>
      </c>
      <c r="I1038" s="13">
        <v>52.87</v>
      </c>
      <c r="J1038" s="14">
        <v>63.679567883304173</v>
      </c>
      <c r="K1038" s="14">
        <v>52.532940229808254</v>
      </c>
      <c r="L1038" s="14">
        <v>59.179116742687057</v>
      </c>
      <c r="M1038" s="14">
        <v>54.373800000000003</v>
      </c>
      <c r="N1038" s="14">
        <f t="shared" si="432"/>
        <v>57.26216666666668</v>
      </c>
      <c r="O1038" s="14">
        <f t="shared" si="433"/>
        <v>57.441356213949874</v>
      </c>
      <c r="P1038" s="14">
        <f t="shared" si="449"/>
        <v>57.35176144030828</v>
      </c>
      <c r="Q1038" s="14">
        <v>71.981147058085469</v>
      </c>
      <c r="R1038" s="17">
        <f t="shared" si="434"/>
        <v>28.018852941914531</v>
      </c>
      <c r="S1038" s="14">
        <f t="shared" si="450"/>
        <v>0.35216967647723074</v>
      </c>
      <c r="T1038" s="13">
        <v>0</v>
      </c>
      <c r="U1038" s="13">
        <f t="shared" si="451"/>
        <v>20.197551271832683</v>
      </c>
      <c r="V1038" s="13">
        <f>IF($T1038=1,$AU1038,(VLOOKUP(U1038,'Cortes naturales'!$A$35:$C$39,3,9)))</f>
        <v>5</v>
      </c>
      <c r="W1038" s="13">
        <v>5</v>
      </c>
      <c r="X1038" s="14" t="b">
        <f t="shared" si="435"/>
        <v>1</v>
      </c>
      <c r="Y1038" s="17">
        <f>IF($T1038=1,$AU1038,VLOOKUP(U1038,'Cortes naturales'!$A$45:$C$49,3,9))</f>
        <v>5</v>
      </c>
      <c r="Z1038" s="14">
        <v>59.954070212098053</v>
      </c>
      <c r="AA1038" s="14">
        <v>0.36405836583114959</v>
      </c>
      <c r="AB1038" s="14">
        <v>21.826780826342421</v>
      </c>
      <c r="AC1038" s="13">
        <v>4</v>
      </c>
      <c r="AD1038" s="13">
        <f t="shared" si="436"/>
        <v>-1</v>
      </c>
      <c r="AE1038" s="14">
        <f t="shared" si="437"/>
        <v>-2.6023087717897724</v>
      </c>
      <c r="AF1038" s="14">
        <f t="shared" si="438"/>
        <v>-1.1888689353918847E-2</v>
      </c>
      <c r="AG1038" s="13">
        <f t="shared" si="439"/>
        <v>-1.6292295545097382</v>
      </c>
      <c r="AH1038" s="13">
        <f>IF($T1038=1,$AU1038,VLOOKUP(U1038,'Cortes naturales'!$A$25:$C$29,3,9))</f>
        <v>4</v>
      </c>
      <c r="AI1038" s="13" t="b">
        <f t="shared" si="440"/>
        <v>0</v>
      </c>
      <c r="AJ1038" s="13" t="str">
        <f t="shared" si="441"/>
        <v>Cambio en corte</v>
      </c>
      <c r="AK1038" s="28">
        <v>0.6523467210059386</v>
      </c>
      <c r="AL1038" s="28">
        <v>39.110841113821984</v>
      </c>
      <c r="AM1038" s="28">
        <v>0.31860938377946901</v>
      </c>
      <c r="AN1038" s="13">
        <v>4</v>
      </c>
      <c r="AO1038" s="33">
        <f t="shared" si="442"/>
        <v>-1</v>
      </c>
      <c r="AP1038" s="13">
        <f t="shared" si="452"/>
        <v>31.860938377946901</v>
      </c>
      <c r="AQ1038" s="13">
        <f>IFERROR(VLOOKUP(U1038,'Cortes naturales'!$E$15:$G$19,3,9),U1038)</f>
        <v>4</v>
      </c>
      <c r="AR1038" s="28">
        <f t="shared" si="443"/>
        <v>-0.30017704452870786</v>
      </c>
      <c r="AS1038" s="13" t="b">
        <f t="shared" si="444"/>
        <v>0</v>
      </c>
      <c r="AT1038" s="13" t="str">
        <f t="shared" si="453"/>
        <v>Cambio en corte</v>
      </c>
      <c r="AU1038" s="13">
        <v>4</v>
      </c>
      <c r="AV1038">
        <f t="shared" si="445"/>
        <v>-1</v>
      </c>
      <c r="AW1038" s="13">
        <v>0</v>
      </c>
      <c r="AX1038" s="13">
        <v>0</v>
      </c>
      <c r="AY1038" s="13">
        <v>0</v>
      </c>
      <c r="AZ1038" s="13">
        <v>0</v>
      </c>
      <c r="BA1038">
        <v>1</v>
      </c>
      <c r="BB1038" t="s">
        <v>2841</v>
      </c>
      <c r="BC1038">
        <v>6</v>
      </c>
      <c r="BD1038" t="s">
        <v>2919</v>
      </c>
      <c r="BE1038">
        <v>1</v>
      </c>
      <c r="BF1038" s="232" t="s">
        <v>2846</v>
      </c>
      <c r="BG1038" s="232" t="s">
        <v>2846</v>
      </c>
      <c r="BH1038" s="253">
        <v>21.8</v>
      </c>
      <c r="BI1038" s="253">
        <v>7.5366475462077753</v>
      </c>
      <c r="BJ1038" s="25">
        <v>64.810909090909092</v>
      </c>
      <c r="BK1038" t="s">
        <v>376</v>
      </c>
      <c r="BL1038">
        <v>1.1070639665435844</v>
      </c>
      <c r="BM1038" t="s">
        <v>383</v>
      </c>
      <c r="BN1038" s="322">
        <v>17449.904599000001</v>
      </c>
      <c r="BO1038" s="322">
        <v>2155.7304730000001</v>
      </c>
      <c r="BP1038" s="10">
        <v>7436</v>
      </c>
      <c r="BQ1038" s="254">
        <f t="shared" si="446"/>
        <v>2.3466789401559982</v>
      </c>
      <c r="BR1038" s="254">
        <f t="shared" si="447"/>
        <v>0.28990458216783216</v>
      </c>
      <c r="BS1038" s="25">
        <v>63.905411874793487</v>
      </c>
      <c r="BT1038" s="25">
        <v>85.598376978662372</v>
      </c>
      <c r="BU1038" s="25">
        <v>39.20540983606557</v>
      </c>
      <c r="BV1038" s="25">
        <v>92.207001547123596</v>
      </c>
      <c r="BW1038" s="25">
        <v>58.949392741943917</v>
      </c>
      <c r="BX1038" s="25">
        <v>70.229050059161253</v>
      </c>
      <c r="BY1038" s="25">
        <v>59.407676819770131</v>
      </c>
      <c r="BZ1038">
        <v>63</v>
      </c>
      <c r="CA1038">
        <v>0</v>
      </c>
      <c r="CB1038">
        <v>7</v>
      </c>
      <c r="CC1038">
        <v>115641.771718</v>
      </c>
      <c r="CD1038" s="10">
        <v>82804.611722999995</v>
      </c>
      <c r="CE1038" s="255">
        <v>0.71604412914845716</v>
      </c>
      <c r="CF1038" t="str">
        <f>IFERROR(VLOOKUP(CE1038,'Rangos amb etnico'!$A$2:$C$6,3,9),"N.D.")</f>
        <v>71% - 100%</v>
      </c>
      <c r="CG1038" s="256">
        <v>2.4090983006875327E-3</v>
      </c>
      <c r="CH1038" s="232">
        <v>0</v>
      </c>
      <c r="CI1038" s="311">
        <f t="shared" si="454"/>
        <v>0</v>
      </c>
      <c r="CJ1038" s="232">
        <f>IFERROR(VLOOKUP(CI1038,'Rangos amb etnico'!$A$2:$C$6,3,9),"N.D.")</f>
        <v>0</v>
      </c>
      <c r="CK1038" s="311">
        <f t="shared" si="455"/>
        <v>0</v>
      </c>
      <c r="CL1038" s="10">
        <v>0</v>
      </c>
      <c r="CM1038" s="255">
        <f t="shared" si="456"/>
        <v>0</v>
      </c>
      <c r="CN1038" s="232">
        <f>IFERROR(VLOOKUP(CM1038,'Rangos amb etnico'!$A$2:$C$6,3,9),"N.D.")</f>
        <v>0</v>
      </c>
      <c r="CO1038" s="311">
        <f t="shared" si="457"/>
        <v>0</v>
      </c>
      <c r="CP1038">
        <v>0.84107610067672955</v>
      </c>
      <c r="CQ1038" t="s">
        <v>2865</v>
      </c>
      <c r="CR1038">
        <f t="shared" si="448"/>
        <v>1</v>
      </c>
      <c r="CS1038" t="str">
        <f t="shared" si="458"/>
        <v>No es Candidato</v>
      </c>
      <c r="CT1038">
        <v>0</v>
      </c>
      <c r="CU1038">
        <v>0</v>
      </c>
      <c r="CV1038" s="25">
        <v>46.897365570068359</v>
      </c>
      <c r="CW1038" s="25">
        <v>19.149909973144531</v>
      </c>
      <c r="CX1038" s="25">
        <v>50.387805938720703</v>
      </c>
      <c r="CY1038" s="25">
        <v>59.234466552734382</v>
      </c>
      <c r="CZ1038" s="25">
        <v>30.226093292236332</v>
      </c>
      <c r="DA1038" s="25">
        <v>61.699958801269531</v>
      </c>
      <c r="DB1038" s="25">
        <v>60.685951232910163</v>
      </c>
      <c r="DC1038">
        <v>112</v>
      </c>
      <c r="DD1038" s="253" t="s">
        <v>380</v>
      </c>
    </row>
    <row r="1039" spans="1:108" hidden="1">
      <c r="A1039" s="13">
        <v>50124</v>
      </c>
      <c r="B1039" s="13" t="s">
        <v>2474</v>
      </c>
      <c r="C1039" s="13" t="s">
        <v>605</v>
      </c>
      <c r="D1039" s="13" t="s">
        <v>606</v>
      </c>
      <c r="E1039" s="13" t="s">
        <v>2475</v>
      </c>
      <c r="F1039" s="14">
        <v>62.634433333333298</v>
      </c>
      <c r="G1039" s="13">
        <v>81.96</v>
      </c>
      <c r="H1039" s="13">
        <v>74.25</v>
      </c>
      <c r="I1039" s="13">
        <v>56.1</v>
      </c>
      <c r="J1039" s="14">
        <v>56.956829845607388</v>
      </c>
      <c r="K1039" s="14">
        <v>61.875659541759546</v>
      </c>
      <c r="L1039" s="14">
        <v>61.819012659326717</v>
      </c>
      <c r="M1039" s="14">
        <v>64.355400000000003</v>
      </c>
      <c r="N1039" s="14">
        <f t="shared" si="432"/>
        <v>68.73610833333332</v>
      </c>
      <c r="O1039" s="14">
        <f t="shared" si="433"/>
        <v>61.251725511673413</v>
      </c>
      <c r="P1039" s="14">
        <f t="shared" si="449"/>
        <v>64.99391692250336</v>
      </c>
      <c r="Q1039" s="14">
        <v>71.545806085146864</v>
      </c>
      <c r="R1039" s="17">
        <f t="shared" si="434"/>
        <v>28.454193914853136</v>
      </c>
      <c r="S1039" s="14">
        <f t="shared" si="450"/>
        <v>0.35608774523367825</v>
      </c>
      <c r="T1039" s="13">
        <v>0</v>
      </c>
      <c r="U1039" s="13">
        <f t="shared" si="451"/>
        <v>23.143537330839226</v>
      </c>
      <c r="V1039" s="13">
        <f>IF($T1039=1,$AU1039,(VLOOKUP(U1039,'Cortes naturales'!$A$35:$C$39,3,9)))</f>
        <v>4</v>
      </c>
      <c r="W1039" s="13">
        <v>4</v>
      </c>
      <c r="X1039" s="14" t="b">
        <f t="shared" si="435"/>
        <v>1</v>
      </c>
      <c r="Y1039" s="17">
        <f>IF($T1039=1,$AU1039,VLOOKUP(U1039,'Cortes naturales'!$A$45:$C$49,3,9))</f>
        <v>4</v>
      </c>
      <c r="Z1039" s="14">
        <v>64.466817612245762</v>
      </c>
      <c r="AA1039" s="14">
        <v>0.36069856183443505</v>
      </c>
      <c r="AB1039" s="14">
        <v>23.253088398779873</v>
      </c>
      <c r="AC1039" s="13">
        <v>4</v>
      </c>
      <c r="AD1039" s="13">
        <f t="shared" si="436"/>
        <v>0</v>
      </c>
      <c r="AE1039" s="14">
        <f t="shared" si="437"/>
        <v>0.52709931025759715</v>
      </c>
      <c r="AF1039" s="14">
        <f t="shared" si="438"/>
        <v>-4.6108166007567952E-3</v>
      </c>
      <c r="AG1039" s="13">
        <f t="shared" si="439"/>
        <v>-0.10955106794064662</v>
      </c>
      <c r="AH1039" s="13">
        <f>IF($T1039=1,$AU1039,VLOOKUP(U1039,'Cortes naturales'!$A$25:$C$29,3,9))</f>
        <v>4</v>
      </c>
      <c r="AI1039" s="13" t="b">
        <f t="shared" si="440"/>
        <v>1</v>
      </c>
      <c r="AJ1039" s="13">
        <f t="shared" si="441"/>
        <v>0</v>
      </c>
      <c r="AK1039" s="28">
        <v>0.6523467210059386</v>
      </c>
      <c r="AL1039" s="28">
        <v>42.054717083036415</v>
      </c>
      <c r="AM1039" s="28">
        <v>0.35543416901657116</v>
      </c>
      <c r="AN1039" s="13">
        <v>3</v>
      </c>
      <c r="AO1039" s="33">
        <f t="shared" si="442"/>
        <v>-1</v>
      </c>
      <c r="AP1039" s="13">
        <f t="shared" si="452"/>
        <v>35.543416901657118</v>
      </c>
      <c r="AQ1039" s="13">
        <f>IFERROR(VLOOKUP(U1039,'Cortes naturales'!$E$15:$G$19,3,9),U1039)</f>
        <v>4</v>
      </c>
      <c r="AR1039" s="28">
        <f t="shared" si="443"/>
        <v>-0.29625897577226035</v>
      </c>
      <c r="AS1039" s="13" t="b">
        <f t="shared" si="444"/>
        <v>1</v>
      </c>
      <c r="AT1039" s="13" t="str">
        <f t="shared" si="453"/>
        <v>Efecto ponderador</v>
      </c>
      <c r="AU1039" s="13">
        <v>4</v>
      </c>
      <c r="AV1039">
        <f t="shared" si="445"/>
        <v>0</v>
      </c>
      <c r="AW1039" s="13">
        <v>0</v>
      </c>
      <c r="AX1039" s="13">
        <v>0</v>
      </c>
      <c r="AY1039" s="13">
        <v>0</v>
      </c>
      <c r="AZ1039" s="13">
        <v>0</v>
      </c>
      <c r="BA1039">
        <v>0</v>
      </c>
      <c r="BB1039" t="s">
        <v>2841</v>
      </c>
      <c r="BC1039">
        <v>6</v>
      </c>
      <c r="BD1039" t="s">
        <v>2919</v>
      </c>
      <c r="BE1039">
        <v>0</v>
      </c>
      <c r="BF1039" s="232" t="s">
        <v>2846</v>
      </c>
      <c r="BG1039" s="232" t="s">
        <v>2846</v>
      </c>
      <c r="BH1039" s="253">
        <v>32.200000000000003</v>
      </c>
      <c r="BI1039" s="253">
        <v>17.631993695823482</v>
      </c>
      <c r="BJ1039" s="25">
        <v>0</v>
      </c>
      <c r="BK1039" t="s">
        <v>381</v>
      </c>
      <c r="BL1039">
        <v>0.64798304274640672</v>
      </c>
      <c r="BM1039" t="s">
        <v>383</v>
      </c>
      <c r="BN1039" s="322">
        <v>68391.127697999997</v>
      </c>
      <c r="BO1039" s="322">
        <v>26197.895293000001</v>
      </c>
      <c r="BP1039" s="10">
        <v>6865</v>
      </c>
      <c r="BQ1039" s="254">
        <f t="shared" si="446"/>
        <v>9.9622909975236702</v>
      </c>
      <c r="BR1039" s="254">
        <f t="shared" si="447"/>
        <v>3.8161537207574656</v>
      </c>
      <c r="BS1039" s="25">
        <v>72.543101877164204</v>
      </c>
      <c r="BT1039" s="25">
        <v>98.494780286477294</v>
      </c>
      <c r="BU1039" s="25">
        <v>41.701806309800872</v>
      </c>
      <c r="BV1039" s="25">
        <v>95.778286769774013</v>
      </c>
      <c r="BW1039" s="25">
        <v>61.408631189558918</v>
      </c>
      <c r="BX1039" s="25">
        <v>77.129493810804092</v>
      </c>
      <c r="BY1039" s="25">
        <v>63.30903211697855</v>
      </c>
      <c r="BZ1039">
        <v>88</v>
      </c>
      <c r="CA1039">
        <v>0</v>
      </c>
      <c r="CB1039">
        <v>7</v>
      </c>
      <c r="CC1039">
        <v>91184.372055999993</v>
      </c>
      <c r="CD1039" s="10">
        <v>1273.1982089999999</v>
      </c>
      <c r="CE1039" s="255">
        <v>1.3962899346590637E-2</v>
      </c>
      <c r="CF1039" t="str">
        <f>IFERROR(VLOOKUP(CE1039,'Rangos amb etnico'!$A$2:$C$6,3,9),"N.D.")</f>
        <v>0,1% - 30%</v>
      </c>
      <c r="CG1039" s="256">
        <v>3.7042135430825783E-5</v>
      </c>
      <c r="CH1039" s="232">
        <v>0</v>
      </c>
      <c r="CI1039" s="311">
        <f t="shared" si="454"/>
        <v>0</v>
      </c>
      <c r="CJ1039" s="232">
        <f>IFERROR(VLOOKUP(CI1039,'Rangos amb etnico'!$A$2:$C$6,3,9),"N.D.")</f>
        <v>0</v>
      </c>
      <c r="CK1039" s="311">
        <f t="shared" si="455"/>
        <v>0</v>
      </c>
      <c r="CL1039" s="10">
        <v>0</v>
      </c>
      <c r="CM1039" s="255">
        <f t="shared" si="456"/>
        <v>0</v>
      </c>
      <c r="CN1039" s="232">
        <f>IFERROR(VLOOKUP(CM1039,'Rangos amb etnico'!$A$2:$C$6,3,9),"N.D.")</f>
        <v>0</v>
      </c>
      <c r="CO1039" s="311">
        <f t="shared" si="457"/>
        <v>0</v>
      </c>
      <c r="CP1039">
        <v>0.95149999740568036</v>
      </c>
      <c r="CQ1039" t="s">
        <v>2864</v>
      </c>
      <c r="CR1039">
        <f t="shared" si="448"/>
        <v>3</v>
      </c>
      <c r="CS1039" t="str">
        <f t="shared" si="458"/>
        <v>Candidato</v>
      </c>
      <c r="CT1039">
        <v>0</v>
      </c>
      <c r="CU1039">
        <v>0</v>
      </c>
      <c r="CV1039" s="25">
        <v>46.739707946777337</v>
      </c>
      <c r="CW1039" s="25">
        <v>20.668910980224609</v>
      </c>
      <c r="CX1039" s="25">
        <v>60.815711975097663</v>
      </c>
      <c r="CY1039" s="25">
        <v>71.279449462890625</v>
      </c>
      <c r="CZ1039" s="25">
        <v>23.72285079956055</v>
      </c>
      <c r="DA1039" s="25">
        <v>64.096168518066406</v>
      </c>
      <c r="DB1039" s="25">
        <v>39.855144500732422</v>
      </c>
      <c r="DC1039">
        <v>379</v>
      </c>
      <c r="DD1039" s="253" t="s">
        <v>380</v>
      </c>
    </row>
    <row r="1040" spans="1:108" hidden="1">
      <c r="A1040" s="13">
        <v>50245</v>
      </c>
      <c r="B1040" s="13" t="s">
        <v>2476</v>
      </c>
      <c r="C1040" s="13" t="s">
        <v>605</v>
      </c>
      <c r="D1040" s="13" t="s">
        <v>606</v>
      </c>
      <c r="E1040" s="13" t="s">
        <v>2477</v>
      </c>
      <c r="F1040" s="14">
        <v>46.557533333333303</v>
      </c>
      <c r="G1040" s="13">
        <v>34.299999999999997</v>
      </c>
      <c r="H1040" s="13">
        <v>24.15</v>
      </c>
      <c r="I1040" s="13">
        <v>26.42</v>
      </c>
      <c r="J1040" s="14">
        <v>53.054002811771142</v>
      </c>
      <c r="K1040" s="14">
        <v>52.65056776728148</v>
      </c>
      <c r="L1040" s="14">
        <v>56.698548839892389</v>
      </c>
      <c r="M1040" s="14">
        <v>49.912399999999998</v>
      </c>
      <c r="N1040" s="14">
        <f t="shared" si="432"/>
        <v>32.856883333333329</v>
      </c>
      <c r="O1040" s="14">
        <f t="shared" si="433"/>
        <v>53.07887985473625</v>
      </c>
      <c r="P1040" s="14">
        <f t="shared" si="449"/>
        <v>42.967881594034793</v>
      </c>
      <c r="Q1040" s="14">
        <v>70.983603167797355</v>
      </c>
      <c r="R1040" s="17">
        <f t="shared" si="434"/>
        <v>29.016396832202645</v>
      </c>
      <c r="S1040" s="14">
        <f t="shared" si="450"/>
        <v>0.36114757148982379</v>
      </c>
      <c r="T1040" s="13">
        <v>0</v>
      </c>
      <c r="U1040" s="13">
        <f t="shared" si="451"/>
        <v>15.517746089747964</v>
      </c>
      <c r="V1040" s="13">
        <f>IF($T1040=1,$AU1040,(VLOOKUP(U1040,'Cortes naturales'!$A$35:$C$39,3,9)))</f>
        <v>5</v>
      </c>
      <c r="W1040" s="13">
        <v>5</v>
      </c>
      <c r="X1040" s="14" t="b">
        <f t="shared" si="435"/>
        <v>1</v>
      </c>
      <c r="Y1040" s="17">
        <f>IF($T1040=1,$AU1040,VLOOKUP(U1040,'Cortes naturales'!$A$45:$C$49,3,9))</f>
        <v>5</v>
      </c>
      <c r="Z1040" s="14">
        <v>45.535530040214887</v>
      </c>
      <c r="AA1040" s="14">
        <v>0.36075494917323092</v>
      </c>
      <c r="AB1040" s="14">
        <v>16.427167825233852</v>
      </c>
      <c r="AC1040" s="13">
        <v>5</v>
      </c>
      <c r="AD1040" s="13">
        <f t="shared" si="436"/>
        <v>0</v>
      </c>
      <c r="AE1040" s="14">
        <f t="shared" si="437"/>
        <v>-2.5676484461800939</v>
      </c>
      <c r="AF1040" s="14">
        <f t="shared" si="438"/>
        <v>3.9262231659287217E-4</v>
      </c>
      <c r="AG1040" s="13">
        <f t="shared" si="439"/>
        <v>-0.90942173548588734</v>
      </c>
      <c r="AH1040" s="13">
        <f>IF($T1040=1,$AU1040,VLOOKUP(U1040,'Cortes naturales'!$A$25:$C$29,3,9))</f>
        <v>5</v>
      </c>
      <c r="AI1040" s="13" t="b">
        <f t="shared" si="440"/>
        <v>1</v>
      </c>
      <c r="AJ1040" s="13">
        <f t="shared" si="441"/>
        <v>0</v>
      </c>
      <c r="AK1040" s="28">
        <v>0.6523467210059386</v>
      </c>
      <c r="AL1040" s="28">
        <v>29.704953711001597</v>
      </c>
      <c r="AM1040" s="28">
        <v>0.20095164711006264</v>
      </c>
      <c r="AN1040" s="13">
        <v>4</v>
      </c>
      <c r="AO1040" s="33">
        <f t="shared" si="442"/>
        <v>-1</v>
      </c>
      <c r="AP1040" s="13">
        <f t="shared" si="452"/>
        <v>20.095164711006262</v>
      </c>
      <c r="AQ1040" s="13">
        <f>IFERROR(VLOOKUP(U1040,'Cortes naturales'!$E$15:$G$19,3,9),U1040)</f>
        <v>5</v>
      </c>
      <c r="AR1040" s="28">
        <f t="shared" si="443"/>
        <v>-0.29119914951611481</v>
      </c>
      <c r="AS1040" s="13" t="b">
        <f t="shared" si="444"/>
        <v>1</v>
      </c>
      <c r="AT1040" s="13" t="str">
        <f t="shared" si="453"/>
        <v>Efecto ponderador</v>
      </c>
      <c r="AU1040" s="13">
        <v>4</v>
      </c>
      <c r="AV1040">
        <f t="shared" si="445"/>
        <v>-1</v>
      </c>
      <c r="AW1040" s="13">
        <v>0</v>
      </c>
      <c r="AX1040" s="13">
        <v>0</v>
      </c>
      <c r="AY1040" s="13">
        <v>0</v>
      </c>
      <c r="AZ1040" s="13">
        <v>0</v>
      </c>
      <c r="BA1040">
        <v>1</v>
      </c>
      <c r="BB1040" t="s">
        <v>2841</v>
      </c>
      <c r="BC1040">
        <v>6</v>
      </c>
      <c r="BD1040" t="s">
        <v>2919</v>
      </c>
      <c r="BE1040">
        <v>0</v>
      </c>
      <c r="BF1040" s="232" t="s">
        <v>2846</v>
      </c>
      <c r="BG1040" s="232" t="s">
        <v>2846</v>
      </c>
      <c r="BH1040" s="253">
        <v>29.7</v>
      </c>
      <c r="BI1040" s="253">
        <v>4.3979812545061288</v>
      </c>
      <c r="BJ1040" s="25">
        <v>17.633636363636359</v>
      </c>
      <c r="BK1040" t="s">
        <v>379</v>
      </c>
      <c r="BL1040">
        <v>0.4937085401255461</v>
      </c>
      <c r="BM1040" t="s">
        <v>383</v>
      </c>
      <c r="BN1040" s="322">
        <v>6719.7835189999996</v>
      </c>
      <c r="BO1040" s="322">
        <v>433.59457600000002</v>
      </c>
      <c r="BP1040" s="10">
        <v>1896</v>
      </c>
      <c r="BQ1040" s="254">
        <f t="shared" si="446"/>
        <v>3.5441896197257381</v>
      </c>
      <c r="BR1040" s="254">
        <f t="shared" si="447"/>
        <v>0.2286891223628692</v>
      </c>
      <c r="BS1040" s="25">
        <v>69.010264979019851</v>
      </c>
      <c r="BT1040" s="25">
        <v>85.411393516174414</v>
      </c>
      <c r="BU1040" s="25">
        <v>32.08249999999996</v>
      </c>
      <c r="BV1040" s="25">
        <v>100.2301119336158</v>
      </c>
      <c r="BW1040" s="25">
        <v>48.116137514137478</v>
      </c>
      <c r="BX1040" s="25">
        <v>71.683567607202519</v>
      </c>
      <c r="BY1040" s="25">
        <v>50.737327067984559</v>
      </c>
      <c r="BZ1040">
        <v>88</v>
      </c>
      <c r="CA1040">
        <v>0</v>
      </c>
      <c r="CB1040">
        <v>7</v>
      </c>
      <c r="CC1040">
        <v>26990.593195000001</v>
      </c>
      <c r="CD1040" s="10">
        <v>7920.6612269999996</v>
      </c>
      <c r="CE1040" s="255">
        <v>0.29346006476313014</v>
      </c>
      <c r="CF1040" t="str">
        <f>IFERROR(VLOOKUP(CE1040,'Rangos amb etnico'!$A$2:$C$6,3,9),"N.D.")</f>
        <v>0,1% - 30%</v>
      </c>
      <c r="CG1040" s="256">
        <v>2.3044189333463374E-4</v>
      </c>
      <c r="CH1040" s="232">
        <v>0</v>
      </c>
      <c r="CI1040" s="311">
        <f t="shared" si="454"/>
        <v>0</v>
      </c>
      <c r="CJ1040" s="232">
        <f>IFERROR(VLOOKUP(CI1040,'Rangos amb etnico'!$A$2:$C$6,3,9),"N.D.")</f>
        <v>0</v>
      </c>
      <c r="CK1040" s="311">
        <f t="shared" si="455"/>
        <v>0</v>
      </c>
      <c r="CL1040" s="10">
        <v>0</v>
      </c>
      <c r="CM1040" s="255">
        <f t="shared" si="456"/>
        <v>0</v>
      </c>
      <c r="CN1040" s="232">
        <f>IFERROR(VLOOKUP(CM1040,'Rangos amb etnico'!$A$2:$C$6,3,9),"N.D.")</f>
        <v>0</v>
      </c>
      <c r="CO1040" s="311">
        <f t="shared" si="457"/>
        <v>0</v>
      </c>
      <c r="CP1040">
        <v>0.93170875213777826</v>
      </c>
      <c r="CQ1040" t="s">
        <v>2864</v>
      </c>
      <c r="CR1040">
        <f t="shared" si="448"/>
        <v>1</v>
      </c>
      <c r="CS1040" t="str">
        <f t="shared" si="458"/>
        <v>No es Candidato</v>
      </c>
      <c r="CT1040">
        <v>0</v>
      </c>
      <c r="CU1040">
        <v>0</v>
      </c>
      <c r="CV1040" s="25">
        <v>47.534767150878913</v>
      </c>
      <c r="CW1040" s="25">
        <v>11.615312576293951</v>
      </c>
      <c r="CX1040" s="25">
        <v>43.679092407226563</v>
      </c>
      <c r="CY1040" s="25">
        <v>60.630924224853523</v>
      </c>
      <c r="CZ1040" s="25">
        <v>30.880735397338871</v>
      </c>
      <c r="DA1040" s="25">
        <v>82.33709716796875</v>
      </c>
      <c r="DB1040" s="25">
        <v>56.065448760986328</v>
      </c>
      <c r="DC1040">
        <v>18</v>
      </c>
      <c r="DD1040" s="253" t="s">
        <v>380</v>
      </c>
    </row>
    <row r="1041" spans="1:108" hidden="1">
      <c r="A1041" s="13">
        <v>52250</v>
      </c>
      <c r="B1041" s="13" t="s">
        <v>2478</v>
      </c>
      <c r="C1041" s="13" t="s">
        <v>672</v>
      </c>
      <c r="D1041" s="13" t="s">
        <v>673</v>
      </c>
      <c r="E1041" s="13" t="s">
        <v>2479</v>
      </c>
      <c r="F1041" s="14">
        <v>49.428066666666702</v>
      </c>
      <c r="G1041" s="13">
        <v>42.11</v>
      </c>
      <c r="H1041" s="13">
        <v>42.28</v>
      </c>
      <c r="I1041" s="13">
        <v>45.77</v>
      </c>
      <c r="J1041" s="14">
        <v>48.124675333592407</v>
      </c>
      <c r="K1041" s="14">
        <v>64.006261198757798</v>
      </c>
      <c r="L1041" s="14">
        <v>51.725848152891089</v>
      </c>
      <c r="M1041" s="14">
        <v>51.769199999999998</v>
      </c>
      <c r="N1041" s="14">
        <f t="shared" si="432"/>
        <v>44.89701666666668</v>
      </c>
      <c r="O1041" s="14">
        <f t="shared" si="433"/>
        <v>53.906496171310323</v>
      </c>
      <c r="P1041" s="14">
        <f t="shared" si="449"/>
        <v>49.401756418988498</v>
      </c>
      <c r="Q1041" s="14">
        <v>71.691098676363836</v>
      </c>
      <c r="R1041" s="17">
        <f t="shared" si="434"/>
        <v>28.308901323636164</v>
      </c>
      <c r="S1041" s="14">
        <f t="shared" si="450"/>
        <v>0.35478011191272552</v>
      </c>
      <c r="T1041" s="13">
        <v>0</v>
      </c>
      <c r="U1041" s="13">
        <f t="shared" si="451"/>
        <v>17.526760671013946</v>
      </c>
      <c r="V1041" s="13">
        <f>IF($T1041=1,$AU1041,(VLOOKUP(U1041,'Cortes naturales'!$A$35:$C$39,3,9)))</f>
        <v>5</v>
      </c>
      <c r="W1041" s="13">
        <v>5</v>
      </c>
      <c r="X1041" s="14" t="b">
        <f t="shared" si="435"/>
        <v>1</v>
      </c>
      <c r="Y1041" s="17">
        <f>IF($T1041=1,$AU1041,VLOOKUP(U1041,'Cortes naturales'!$A$45:$C$49,3,9))</f>
        <v>5</v>
      </c>
      <c r="Z1041" s="14">
        <v>48.328482944828039</v>
      </c>
      <c r="AA1041" s="14">
        <v>0.36039240503571812</v>
      </c>
      <c r="AB1041" s="14">
        <v>17.417218200214261</v>
      </c>
      <c r="AC1041" s="13">
        <v>5</v>
      </c>
      <c r="AD1041" s="13">
        <f t="shared" si="436"/>
        <v>0</v>
      </c>
      <c r="AE1041" s="14">
        <f t="shared" si="437"/>
        <v>1.0732734741604588</v>
      </c>
      <c r="AF1041" s="14">
        <f t="shared" si="438"/>
        <v>-5.6122931229926065E-3</v>
      </c>
      <c r="AG1041" s="13">
        <f t="shared" si="439"/>
        <v>0.10954247079968482</v>
      </c>
      <c r="AH1041" s="13">
        <f>IF($T1041=1,$AU1041,VLOOKUP(U1041,'Cortes naturales'!$A$25:$C$29,3,9))</f>
        <v>5</v>
      </c>
      <c r="AI1041" s="13" t="b">
        <f t="shared" si="440"/>
        <v>1</v>
      </c>
      <c r="AJ1041" s="13">
        <f t="shared" si="441"/>
        <v>0</v>
      </c>
      <c r="AK1041" s="28">
        <v>0.6523467210059386</v>
      </c>
      <c r="AL1041" s="28">
        <v>31.526927380249997</v>
      </c>
      <c r="AM1041" s="28">
        <v>0.22374261717108432</v>
      </c>
      <c r="AN1041" s="13">
        <v>4</v>
      </c>
      <c r="AO1041" s="33">
        <f t="shared" si="442"/>
        <v>-1</v>
      </c>
      <c r="AP1041" s="13">
        <f t="shared" si="452"/>
        <v>22.374261717108432</v>
      </c>
      <c r="AQ1041" s="13">
        <f>IFERROR(VLOOKUP(U1041,'Cortes naturales'!$E$15:$G$19,3,9),U1041)</f>
        <v>5</v>
      </c>
      <c r="AR1041" s="28">
        <f t="shared" si="443"/>
        <v>-0.29756660909321309</v>
      </c>
      <c r="AS1041" s="13" t="b">
        <f t="shared" si="444"/>
        <v>1</v>
      </c>
      <c r="AT1041" s="13" t="str">
        <f t="shared" si="453"/>
        <v>Efecto ponderador</v>
      </c>
      <c r="AU1041" s="13">
        <v>4</v>
      </c>
      <c r="AV1041">
        <f t="shared" si="445"/>
        <v>-1</v>
      </c>
      <c r="AW1041" s="13">
        <v>0</v>
      </c>
      <c r="AX1041" s="13">
        <v>0</v>
      </c>
      <c r="AY1041" s="13">
        <v>0</v>
      </c>
      <c r="AZ1041" s="13">
        <v>1</v>
      </c>
      <c r="BA1041">
        <v>1</v>
      </c>
      <c r="BB1041" t="s">
        <v>2841</v>
      </c>
      <c r="BC1041">
        <v>6</v>
      </c>
      <c r="BD1041" t="s">
        <v>2919</v>
      </c>
      <c r="BE1041">
        <v>1</v>
      </c>
      <c r="BF1041" s="232" t="s">
        <v>2846</v>
      </c>
      <c r="BG1041" s="232" t="s">
        <v>2846</v>
      </c>
      <c r="BH1041" s="253">
        <v>75.900000000000006</v>
      </c>
      <c r="BI1041" s="253">
        <v>58.155759100185087</v>
      </c>
      <c r="BJ1041" s="25">
        <v>19.988366668100419</v>
      </c>
      <c r="BK1041" t="s">
        <v>379</v>
      </c>
      <c r="BL1041">
        <v>42.819448332970147</v>
      </c>
      <c r="BM1041" t="s">
        <v>384</v>
      </c>
      <c r="BN1041" s="322">
        <v>49176.807004000002</v>
      </c>
      <c r="BO1041" s="322">
        <v>1089.6879309999999</v>
      </c>
      <c r="BP1041" s="10">
        <v>22396</v>
      </c>
      <c r="BQ1041" s="254">
        <f t="shared" si="446"/>
        <v>2.1957852743347028</v>
      </c>
      <c r="BR1041" s="254">
        <f t="shared" si="447"/>
        <v>4.865547111091266E-2</v>
      </c>
      <c r="BS1041" s="25">
        <v>49.667325397616892</v>
      </c>
      <c r="BT1041" s="25">
        <v>93.625467180084385</v>
      </c>
      <c r="BU1041" s="25">
        <v>56.523333333333333</v>
      </c>
      <c r="BV1041" s="25">
        <v>94.365137093739108</v>
      </c>
      <c r="BW1041" s="25">
        <v>26.119986239243818</v>
      </c>
      <c r="BX1041" s="25">
        <v>73.545315751193428</v>
      </c>
      <c r="BY1041" s="25">
        <v>26.765744365372601</v>
      </c>
      <c r="BZ1041">
        <v>97</v>
      </c>
      <c r="CA1041">
        <v>0</v>
      </c>
      <c r="CB1041">
        <v>7</v>
      </c>
      <c r="CC1041">
        <v>249369.84237500001</v>
      </c>
      <c r="CD1041" s="10">
        <v>53465.805977999997</v>
      </c>
      <c r="CE1041" s="255">
        <v>0.21440365630739994</v>
      </c>
      <c r="CF1041" t="str">
        <f>IFERROR(VLOOKUP(CE1041,'Rangos amb etnico'!$A$2:$C$6,3,9),"N.D.")</f>
        <v>0,1% - 30%</v>
      </c>
      <c r="CG1041" s="256">
        <v>1.5555218440896587E-3</v>
      </c>
      <c r="CH1041" s="232">
        <v>209522.015274</v>
      </c>
      <c r="CI1041" s="311">
        <f t="shared" si="454"/>
        <v>0.84020590973836673</v>
      </c>
      <c r="CJ1041" s="232" t="str">
        <f>IFERROR(VLOOKUP(CI1041,'Rangos amb etnico'!$A$2:$C$6,3,9),"N.D.")</f>
        <v>71% - 100%</v>
      </c>
      <c r="CK1041" s="311">
        <f t="shared" si="455"/>
        <v>8.3193957890173673E-3</v>
      </c>
      <c r="CL1041" s="10">
        <v>0</v>
      </c>
      <c r="CM1041" s="255">
        <f t="shared" si="456"/>
        <v>0</v>
      </c>
      <c r="CN1041" s="232">
        <f>IFERROR(VLOOKUP(CM1041,'Rangos amb etnico'!$A$2:$C$6,3,9),"N.D.")</f>
        <v>0</v>
      </c>
      <c r="CO1041" s="311">
        <f t="shared" si="457"/>
        <v>0</v>
      </c>
      <c r="CP1041">
        <v>0.92810639660087579</v>
      </c>
      <c r="CQ1041" t="s">
        <v>2864</v>
      </c>
      <c r="CR1041">
        <f t="shared" si="448"/>
        <v>1</v>
      </c>
      <c r="CS1041" t="str">
        <f t="shared" si="458"/>
        <v>No es Candidato</v>
      </c>
      <c r="CT1041">
        <v>0</v>
      </c>
      <c r="CU1041">
        <v>0</v>
      </c>
      <c r="CV1041" s="25">
        <v>29.901140213012699</v>
      </c>
      <c r="CW1041" s="25">
        <v>13.44445896148682</v>
      </c>
      <c r="CX1041" s="25">
        <v>36.587226867675781</v>
      </c>
      <c r="CY1041" s="25">
        <v>30.902101516723629</v>
      </c>
      <c r="CZ1041" s="25">
        <v>5.0006856918334961</v>
      </c>
      <c r="DA1041" s="25">
        <v>60.677200317382813</v>
      </c>
      <c r="DB1041" s="25">
        <v>32.795173645019531</v>
      </c>
      <c r="DC1041">
        <v>22339</v>
      </c>
      <c r="DD1041" s="253" t="s">
        <v>380</v>
      </c>
    </row>
    <row r="1042" spans="1:108" hidden="1">
      <c r="A1042" s="13">
        <v>52621</v>
      </c>
      <c r="B1042" s="13" t="s">
        <v>2480</v>
      </c>
      <c r="C1042" s="13" t="s">
        <v>672</v>
      </c>
      <c r="D1042" s="13" t="s">
        <v>673</v>
      </c>
      <c r="E1042" s="13" t="s">
        <v>2481</v>
      </c>
      <c r="F1042" s="14">
        <v>87.886899999999997</v>
      </c>
      <c r="G1042" s="14">
        <v>0</v>
      </c>
      <c r="H1042" s="13">
        <v>32.57</v>
      </c>
      <c r="I1042" s="13">
        <v>54.48</v>
      </c>
      <c r="J1042" s="14">
        <v>52.886816368102942</v>
      </c>
      <c r="K1042" s="14">
        <v>65.186101439509528</v>
      </c>
      <c r="L1042" s="14">
        <v>68.743556770016824</v>
      </c>
      <c r="M1042" s="14">
        <v>53.942100000000003</v>
      </c>
      <c r="N1042" s="14">
        <f t="shared" si="432"/>
        <v>43.734224999999995</v>
      </c>
      <c r="O1042" s="14">
        <f t="shared" si="433"/>
        <v>60.189643644407326</v>
      </c>
      <c r="P1042" s="14">
        <f t="shared" si="449"/>
        <v>51.96193432220366</v>
      </c>
      <c r="Q1042" s="14">
        <v>72.091504197536068</v>
      </c>
      <c r="R1042" s="17">
        <f t="shared" si="434"/>
        <v>27.908495802463932</v>
      </c>
      <c r="S1042" s="14">
        <f t="shared" si="450"/>
        <v>0.35117646222217547</v>
      </c>
      <c r="T1042" s="13">
        <v>0</v>
      </c>
      <c r="U1042" s="13">
        <f t="shared" si="451"/>
        <v>18.247808265492516</v>
      </c>
      <c r="V1042" s="13">
        <f>IF($T1042=1,$AU1042,(VLOOKUP(U1042,'Cortes naturales'!$A$35:$C$39,3,9)))</f>
        <v>5</v>
      </c>
      <c r="W1042" s="13">
        <v>5</v>
      </c>
      <c r="X1042" s="14" t="b">
        <f t="shared" si="435"/>
        <v>1</v>
      </c>
      <c r="Y1042" s="17">
        <f>IF($T1042=1,$AU1042,VLOOKUP(U1042,'Cortes naturales'!$A$45:$C$49,3,9))</f>
        <v>5</v>
      </c>
      <c r="Z1042" s="14">
        <v>64.066298454350857</v>
      </c>
      <c r="AA1042" s="14">
        <v>0.35908750643910226</v>
      </c>
      <c r="AB1042" s="14">
        <v>23.005407358756159</v>
      </c>
      <c r="AC1042" s="13">
        <v>4</v>
      </c>
      <c r="AD1042" s="13">
        <f t="shared" si="436"/>
        <v>-1</v>
      </c>
      <c r="AE1042" s="14">
        <f t="shared" si="437"/>
        <v>-12.104364132147197</v>
      </c>
      <c r="AF1042" s="14">
        <f t="shared" si="438"/>
        <v>-7.9110442169267881E-3</v>
      </c>
      <c r="AG1042" s="13">
        <f t="shared" si="439"/>
        <v>-4.7575990932636429</v>
      </c>
      <c r="AH1042" s="13">
        <f>IF($T1042=1,$AU1042,VLOOKUP(U1042,'Cortes naturales'!$A$25:$C$29,3,9))</f>
        <v>5</v>
      </c>
      <c r="AI1042" s="13" t="b">
        <f t="shared" si="440"/>
        <v>1</v>
      </c>
      <c r="AJ1042" s="13" t="str">
        <f t="shared" si="441"/>
        <v>Efecto ponderador</v>
      </c>
      <c r="AK1042" s="28">
        <v>0.6523467210059386</v>
      </c>
      <c r="AL1042" s="28">
        <v>41.793439723683612</v>
      </c>
      <c r="AM1042" s="28">
        <v>0.35216586466336441</v>
      </c>
      <c r="AN1042" s="13">
        <v>4</v>
      </c>
      <c r="AO1042" s="33">
        <f t="shared" si="442"/>
        <v>-1</v>
      </c>
      <c r="AP1042" s="13">
        <f t="shared" si="452"/>
        <v>35.216586466336445</v>
      </c>
      <c r="AQ1042" s="13">
        <f>IFERROR(VLOOKUP(U1042,'Cortes naturales'!$E$15:$G$19,3,9),U1042)</f>
        <v>5</v>
      </c>
      <c r="AR1042" s="28">
        <f t="shared" si="443"/>
        <v>-0.30117025878376313</v>
      </c>
      <c r="AS1042" s="13" t="b">
        <f t="shared" si="444"/>
        <v>1</v>
      </c>
      <c r="AT1042" s="13" t="str">
        <f t="shared" si="453"/>
        <v>Efecto ponderador</v>
      </c>
      <c r="AU1042" s="13">
        <v>4</v>
      </c>
      <c r="AV1042">
        <f t="shared" si="445"/>
        <v>-1</v>
      </c>
      <c r="AW1042" s="13">
        <v>0</v>
      </c>
      <c r="AX1042" s="13">
        <v>0</v>
      </c>
      <c r="AY1042" s="13">
        <v>0</v>
      </c>
      <c r="AZ1042" s="13">
        <v>1</v>
      </c>
      <c r="BA1042">
        <v>1</v>
      </c>
      <c r="BB1042" t="s">
        <v>2841</v>
      </c>
      <c r="BC1042">
        <v>6</v>
      </c>
      <c r="BD1042" t="s">
        <v>2919</v>
      </c>
      <c r="BE1042">
        <v>1</v>
      </c>
      <c r="BF1042" s="232" t="s">
        <v>2846</v>
      </c>
      <c r="BG1042" s="232" t="s">
        <v>2845</v>
      </c>
      <c r="BH1042" s="253">
        <v>81</v>
      </c>
      <c r="BI1042" s="253">
        <v>44.418982144562207</v>
      </c>
      <c r="BJ1042" s="25">
        <v>76.566116446578633</v>
      </c>
      <c r="BK1042" t="s">
        <v>376</v>
      </c>
      <c r="BL1042">
        <v>63.589947721553422</v>
      </c>
      <c r="BM1042" t="s">
        <v>384</v>
      </c>
      <c r="BN1042" s="322">
        <v>30212.558025999999</v>
      </c>
      <c r="BO1042" s="322">
        <v>1953.4873</v>
      </c>
      <c r="BP1042" s="10">
        <v>12427</v>
      </c>
      <c r="BQ1042" s="254">
        <f t="shared" si="446"/>
        <v>2.4312028668222418</v>
      </c>
      <c r="BR1042" s="254">
        <f t="shared" si="447"/>
        <v>0.15719701456505994</v>
      </c>
      <c r="BS1042" s="25">
        <v>52.056891846547813</v>
      </c>
      <c r="BT1042" s="25">
        <v>94.348327566320634</v>
      </c>
      <c r="BU1042" s="25">
        <v>54.006666666666668</v>
      </c>
      <c r="BV1042" s="25">
        <v>99.054619476170103</v>
      </c>
      <c r="BW1042" s="25">
        <v>52.665768558849592</v>
      </c>
      <c r="BX1042" s="25">
        <v>74.866626388926306</v>
      </c>
      <c r="BY1042" s="25">
        <v>55.024575307546293</v>
      </c>
      <c r="BZ1042">
        <v>97</v>
      </c>
      <c r="CA1042">
        <v>0</v>
      </c>
      <c r="CB1042">
        <v>7</v>
      </c>
      <c r="CC1042">
        <v>146003.84956100001</v>
      </c>
      <c r="CD1042" s="10">
        <v>14418.991867000001</v>
      </c>
      <c r="CE1042" s="255">
        <v>9.8757614339310865E-2</v>
      </c>
      <c r="CF1042" t="str">
        <f>IFERROR(VLOOKUP(CE1042,'Rangos amb etnico'!$A$2:$C$6,3,9),"N.D.")</f>
        <v>0,1% - 30%</v>
      </c>
      <c r="CG1042" s="256">
        <v>4.1950282818328214E-4</v>
      </c>
      <c r="CH1042" s="232">
        <v>142952.37126700001</v>
      </c>
      <c r="CI1042" s="311">
        <f t="shared" si="454"/>
        <v>0.97910001480662945</v>
      </c>
      <c r="CJ1042" s="232" t="str">
        <f>IFERROR(VLOOKUP(CI1042,'Rangos amb etnico'!$A$2:$C$6,3,9),"N.D.")</f>
        <v>71% - 100%</v>
      </c>
      <c r="CK1042" s="311">
        <f t="shared" si="455"/>
        <v>5.6761450771340835E-3</v>
      </c>
      <c r="CL1042" s="10">
        <v>0</v>
      </c>
      <c r="CM1042" s="255">
        <f t="shared" si="456"/>
        <v>0</v>
      </c>
      <c r="CN1042" s="232">
        <f>IFERROR(VLOOKUP(CM1042,'Rangos amb etnico'!$A$2:$C$6,3,9),"N.D.")</f>
        <v>0</v>
      </c>
      <c r="CO1042" s="311">
        <f t="shared" si="457"/>
        <v>0</v>
      </c>
      <c r="CP1042">
        <v>0.95254318886729683</v>
      </c>
      <c r="CQ1042" t="s">
        <v>2864</v>
      </c>
      <c r="CR1042">
        <f t="shared" si="448"/>
        <v>1</v>
      </c>
      <c r="CS1042" t="str">
        <f t="shared" si="458"/>
        <v>No es Candidato</v>
      </c>
      <c r="CT1042">
        <v>0</v>
      </c>
      <c r="CU1042">
        <v>0</v>
      </c>
      <c r="CV1042" s="25">
        <v>35.055423736572273</v>
      </c>
      <c r="CW1042" s="25">
        <v>8.7861623764038086</v>
      </c>
      <c r="CX1042" s="25">
        <v>41.613494873046882</v>
      </c>
      <c r="CY1042" s="25">
        <v>31.750541687011719</v>
      </c>
      <c r="CZ1042" s="25">
        <v>11.75073146820068</v>
      </c>
      <c r="DA1042" s="25">
        <v>75.777519226074219</v>
      </c>
      <c r="DB1042" s="25">
        <v>40.654102325439453</v>
      </c>
      <c r="DC1042">
        <v>12617</v>
      </c>
      <c r="DD1042" s="253" t="s">
        <v>380</v>
      </c>
    </row>
    <row r="1043" spans="1:108" hidden="1">
      <c r="A1043" s="13">
        <v>27150</v>
      </c>
      <c r="B1043" s="13" t="s">
        <v>2482</v>
      </c>
      <c r="C1043" s="13" t="s">
        <v>1714</v>
      </c>
      <c r="D1043" s="13" t="s">
        <v>1715</v>
      </c>
      <c r="E1043" s="13" t="s">
        <v>2483</v>
      </c>
      <c r="F1043" s="14">
        <v>62.423633333333299</v>
      </c>
      <c r="G1043" s="13">
        <v>62.07</v>
      </c>
      <c r="H1043" s="13">
        <v>58.3</v>
      </c>
      <c r="I1043" s="13">
        <v>60.99</v>
      </c>
      <c r="J1043" s="14">
        <v>53.803773688135735</v>
      </c>
      <c r="K1043" s="14">
        <v>59.472230608047006</v>
      </c>
      <c r="L1043" s="14">
        <v>58.347739028897337</v>
      </c>
      <c r="M1043" s="14">
        <v>59.922600000000003</v>
      </c>
      <c r="N1043" s="14">
        <f t="shared" si="432"/>
        <v>60.945908333333321</v>
      </c>
      <c r="O1043" s="14">
        <f t="shared" si="433"/>
        <v>57.886585831270025</v>
      </c>
      <c r="P1043" s="14">
        <f t="shared" si="449"/>
        <v>59.416247082301673</v>
      </c>
      <c r="Q1043" s="14">
        <v>71.740874918042408</v>
      </c>
      <c r="R1043" s="17">
        <f t="shared" si="434"/>
        <v>28.259125081957592</v>
      </c>
      <c r="S1043" s="14">
        <f t="shared" si="450"/>
        <v>0.3543321257376183</v>
      </c>
      <c r="T1043" s="13">
        <v>0</v>
      </c>
      <c r="U1043" s="13">
        <f t="shared" si="451"/>
        <v>21.053085132023512</v>
      </c>
      <c r="V1043" s="13">
        <f>IF($T1043=1,$AU1043,(VLOOKUP(U1043,'Cortes naturales'!$A$35:$C$39,3,9)))</f>
        <v>5</v>
      </c>
      <c r="W1043" s="13">
        <v>5</v>
      </c>
      <c r="X1043" s="14" t="b">
        <f t="shared" si="435"/>
        <v>1</v>
      </c>
      <c r="Y1043" s="17">
        <f>IF($T1043=1,$AU1043,VLOOKUP(U1043,'Cortes naturales'!$A$45:$C$49,3,9))</f>
        <v>4</v>
      </c>
      <c r="Z1043" s="14">
        <v>58.426520871084826</v>
      </c>
      <c r="AA1043" s="14">
        <v>0.3585855499355991</v>
      </c>
      <c r="AB1043" s="14">
        <v>20.950906117381709</v>
      </c>
      <c r="AC1043" s="13">
        <v>4</v>
      </c>
      <c r="AD1043" s="13">
        <f t="shared" si="436"/>
        <v>0</v>
      </c>
      <c r="AE1043" s="14">
        <f t="shared" si="437"/>
        <v>0.98972621121684767</v>
      </c>
      <c r="AF1043" s="14">
        <f t="shared" si="438"/>
        <v>-4.2534241979808041E-3</v>
      </c>
      <c r="AG1043" s="13">
        <f t="shared" si="439"/>
        <v>0.10217901464180201</v>
      </c>
      <c r="AH1043" s="13">
        <f>IF($T1043=1,$AU1043,VLOOKUP(U1043,'Cortes naturales'!$A$25:$C$29,3,9))</f>
        <v>4</v>
      </c>
      <c r="AI1043" s="13" t="b">
        <f t="shared" si="440"/>
        <v>1</v>
      </c>
      <c r="AJ1043" s="13">
        <f t="shared" si="441"/>
        <v>0</v>
      </c>
      <c r="AK1043" s="28">
        <v>0.6523467210059386</v>
      </c>
      <c r="AL1043" s="28">
        <v>38.11434931003722</v>
      </c>
      <c r="AM1043" s="28">
        <v>0.30614432171549266</v>
      </c>
      <c r="AN1043" s="13">
        <v>4</v>
      </c>
      <c r="AO1043" s="33">
        <f t="shared" si="442"/>
        <v>0</v>
      </c>
      <c r="AP1043" s="13">
        <f t="shared" si="452"/>
        <v>30.614432171549268</v>
      </c>
      <c r="AQ1043" s="13">
        <f>IFERROR(VLOOKUP(U1043,'Cortes naturales'!$E$15:$G$19,3,9),U1043)</f>
        <v>4</v>
      </c>
      <c r="AR1043" s="28">
        <f t="shared" si="443"/>
        <v>-0.2980145952683203</v>
      </c>
      <c r="AS1043" s="13" t="b">
        <f t="shared" si="444"/>
        <v>1</v>
      </c>
      <c r="AT1043" s="13">
        <f t="shared" si="453"/>
        <v>0</v>
      </c>
      <c r="AU1043" s="13">
        <v>4</v>
      </c>
      <c r="AV1043">
        <f t="shared" si="445"/>
        <v>0</v>
      </c>
      <c r="AW1043" s="13">
        <v>0</v>
      </c>
      <c r="AX1043" s="13">
        <v>0</v>
      </c>
      <c r="AY1043" s="13">
        <v>0</v>
      </c>
      <c r="AZ1043" s="13">
        <v>1</v>
      </c>
      <c r="BA1043">
        <v>1</v>
      </c>
      <c r="BB1043" t="s">
        <v>2841</v>
      </c>
      <c r="BC1043">
        <v>6</v>
      </c>
      <c r="BD1043" t="s">
        <v>2919</v>
      </c>
      <c r="BE1043">
        <v>1</v>
      </c>
      <c r="BF1043" s="232" t="s">
        <v>2846</v>
      </c>
      <c r="BG1043" s="232" t="s">
        <v>2846</v>
      </c>
      <c r="BH1043" s="253">
        <v>77.8</v>
      </c>
      <c r="BI1043" s="253">
        <v>75.676912516207764</v>
      </c>
      <c r="BJ1043" s="25" t="s">
        <v>2849</v>
      </c>
      <c r="BK1043" t="s">
        <v>2849</v>
      </c>
      <c r="BL1043">
        <v>3.6034279021061759</v>
      </c>
      <c r="BM1043" t="s">
        <v>383</v>
      </c>
      <c r="BN1043" s="322">
        <v>33235.565856000001</v>
      </c>
      <c r="BO1043" s="322">
        <v>2351.1576620000001</v>
      </c>
      <c r="BP1043" s="10">
        <v>21234</v>
      </c>
      <c r="BQ1043" s="254">
        <f t="shared" si="446"/>
        <v>1.5652051359141002</v>
      </c>
      <c r="BR1043" s="254">
        <f t="shared" si="447"/>
        <v>0.11072608373363474</v>
      </c>
      <c r="BS1043" s="25">
        <v>48.770486902371339</v>
      </c>
      <c r="BT1043" s="25">
        <v>74.57822115349596</v>
      </c>
      <c r="BU1043" s="25">
        <v>33.483498550248903</v>
      </c>
      <c r="BV1043" s="25">
        <v>99.681035534477743</v>
      </c>
      <c r="BW1043" s="25">
        <v>41.135665948585967</v>
      </c>
      <c r="BX1043" s="25">
        <v>64.128310535148486</v>
      </c>
      <c r="BY1043" s="25">
        <v>43.888858804794033</v>
      </c>
      <c r="BZ1043">
        <v>51</v>
      </c>
      <c r="CA1043">
        <v>0</v>
      </c>
      <c r="CB1043">
        <v>7</v>
      </c>
      <c r="CC1043">
        <v>318268.74901600002</v>
      </c>
      <c r="CD1043" s="10">
        <v>5191.0216200000004</v>
      </c>
      <c r="CE1043" s="255">
        <v>1.6310183252516059E-2</v>
      </c>
      <c r="CF1043" t="str">
        <f>IFERROR(VLOOKUP(CE1043,'Rangos amb etnico'!$A$2:$C$6,3,9),"N.D.")</f>
        <v>0,1% - 30%</v>
      </c>
      <c r="CG1043" s="256">
        <v>1.510263873394945E-4</v>
      </c>
      <c r="CH1043" s="232">
        <v>314836.65831000003</v>
      </c>
      <c r="CI1043" s="311">
        <f t="shared" si="454"/>
        <v>0.98921637541665319</v>
      </c>
      <c r="CJ1043" s="232" t="str">
        <f>IFERROR(VLOOKUP(CI1043,'Rangos amb etnico'!$A$2:$C$6,3,9),"N.D.")</f>
        <v>71% - 100%</v>
      </c>
      <c r="CK1043" s="311">
        <f t="shared" si="455"/>
        <v>1.2501076633628304E-2</v>
      </c>
      <c r="CL1043" s="10">
        <v>0</v>
      </c>
      <c r="CM1043" s="255">
        <f t="shared" si="456"/>
        <v>0</v>
      </c>
      <c r="CN1043" s="232">
        <f>IFERROR(VLOOKUP(CM1043,'Rangos amb etnico'!$A$2:$C$6,3,9),"N.D.")</f>
        <v>0</v>
      </c>
      <c r="CO1043" s="311">
        <f t="shared" si="457"/>
        <v>0</v>
      </c>
      <c r="CP1043">
        <v>0.91322829102093861</v>
      </c>
      <c r="CQ1043" t="s">
        <v>2864</v>
      </c>
      <c r="CR1043">
        <f t="shared" si="448"/>
        <v>2</v>
      </c>
      <c r="CS1043" t="str">
        <f t="shared" si="458"/>
        <v>No es Candidato</v>
      </c>
      <c r="CT1043">
        <v>0</v>
      </c>
      <c r="CU1043">
        <v>0</v>
      </c>
      <c r="CV1043" s="25">
        <v>39.75177001953125</v>
      </c>
      <c r="CW1043" s="25">
        <v>9.5735454559326172</v>
      </c>
      <c r="CX1043" s="25">
        <v>53.538051605224609</v>
      </c>
      <c r="CY1043" s="25">
        <v>26.706197738647461</v>
      </c>
      <c r="CZ1043" s="25">
        <v>13.9944953918457</v>
      </c>
      <c r="DA1043" s="25">
        <v>94.921554565429688</v>
      </c>
      <c r="DB1043" s="25">
        <v>39.776771545410163</v>
      </c>
      <c r="DC1043">
        <v>18316</v>
      </c>
      <c r="DD1043" s="253" t="s">
        <v>380</v>
      </c>
    </row>
    <row r="1044" spans="1:108" hidden="1">
      <c r="A1044" s="13">
        <v>18460</v>
      </c>
      <c r="B1044" s="13" t="s">
        <v>2484</v>
      </c>
      <c r="C1044" s="13" t="s">
        <v>1463</v>
      </c>
      <c r="D1044" s="13" t="s">
        <v>1464</v>
      </c>
      <c r="E1044" s="13" t="s">
        <v>2485</v>
      </c>
      <c r="F1044" s="14">
        <v>58.013266666666702</v>
      </c>
      <c r="G1044" s="13">
        <v>60.46</v>
      </c>
      <c r="H1044" s="13">
        <v>58.4</v>
      </c>
      <c r="I1044" s="13">
        <v>69.36</v>
      </c>
      <c r="J1044" s="14">
        <v>52.265357779435107</v>
      </c>
      <c r="K1044" s="14">
        <v>49.921739241750352</v>
      </c>
      <c r="L1044" s="14">
        <v>51.164375828105207</v>
      </c>
      <c r="M1044" s="14">
        <v>54.1325</v>
      </c>
      <c r="N1044" s="14">
        <f t="shared" si="432"/>
        <v>61.55831666666667</v>
      </c>
      <c r="O1044" s="14">
        <f t="shared" si="433"/>
        <v>51.870993212322659</v>
      </c>
      <c r="P1044" s="14">
        <f t="shared" si="449"/>
        <v>56.714654939494665</v>
      </c>
      <c r="Q1044" s="14">
        <v>71.467374624421936</v>
      </c>
      <c r="R1044" s="17">
        <f t="shared" si="434"/>
        <v>28.532625375578064</v>
      </c>
      <c r="S1044" s="14">
        <f t="shared" si="450"/>
        <v>0.35679362838020257</v>
      </c>
      <c r="T1044" s="13">
        <v>0</v>
      </c>
      <c r="U1044" s="13">
        <f t="shared" si="451"/>
        <v>20.235427518193479</v>
      </c>
      <c r="V1044" s="13">
        <f>IF($T1044=1,$AU1044,(VLOOKUP(U1044,'Cortes naturales'!$A$35:$C$39,3,9)))</f>
        <v>5</v>
      </c>
      <c r="W1044" s="13">
        <v>5</v>
      </c>
      <c r="X1044" s="14" t="b">
        <f t="shared" si="435"/>
        <v>1</v>
      </c>
      <c r="Y1044" s="17">
        <f>IF($T1044=1,$AU1044,VLOOKUP(U1044,'Cortes naturales'!$A$45:$C$49,3,9))</f>
        <v>5</v>
      </c>
      <c r="Z1044" s="14">
        <v>57.369947069446859</v>
      </c>
      <c r="AA1044" s="14">
        <v>0.35838361311231259</v>
      </c>
      <c r="AB1044" s="14">
        <v>20.560448914810493</v>
      </c>
      <c r="AC1044" s="13">
        <v>4</v>
      </c>
      <c r="AD1044" s="13">
        <f t="shared" si="436"/>
        <v>-1</v>
      </c>
      <c r="AE1044" s="14">
        <f t="shared" si="437"/>
        <v>-0.6552921299521941</v>
      </c>
      <c r="AF1044" s="14">
        <f t="shared" si="438"/>
        <v>-1.589984732110028E-3</v>
      </c>
      <c r="AG1044" s="13">
        <f t="shared" si="439"/>
        <v>-0.32502139661701435</v>
      </c>
      <c r="AH1044" s="13">
        <f>IF($T1044=1,$AU1044,VLOOKUP(U1044,'Cortes naturales'!$A$25:$C$29,3,9))</f>
        <v>4</v>
      </c>
      <c r="AI1044" s="13" t="b">
        <f t="shared" si="440"/>
        <v>0</v>
      </c>
      <c r="AJ1044" s="13" t="str">
        <f t="shared" si="441"/>
        <v>Cambio en corte</v>
      </c>
      <c r="AK1044" s="28">
        <v>0.6523467210059386</v>
      </c>
      <c r="AL1044" s="28">
        <v>37.425096855037914</v>
      </c>
      <c r="AM1044" s="28">
        <v>0.29752250004402198</v>
      </c>
      <c r="AN1044" s="13">
        <v>4</v>
      </c>
      <c r="AO1044" s="33">
        <f t="shared" si="442"/>
        <v>-1</v>
      </c>
      <c r="AP1044" s="13">
        <f t="shared" si="452"/>
        <v>29.752250004402196</v>
      </c>
      <c r="AQ1044" s="13">
        <f>IFERROR(VLOOKUP(U1044,'Cortes naturales'!$E$15:$G$19,3,9),U1044)</f>
        <v>4</v>
      </c>
      <c r="AR1044" s="28">
        <f t="shared" si="443"/>
        <v>-0.29555309262573604</v>
      </c>
      <c r="AS1044" s="13" t="b">
        <f t="shared" si="444"/>
        <v>0</v>
      </c>
      <c r="AT1044" s="13" t="str">
        <f t="shared" si="453"/>
        <v>Cambio en corte</v>
      </c>
      <c r="AU1044" s="13">
        <v>4</v>
      </c>
      <c r="AV1044">
        <f t="shared" si="445"/>
        <v>-1</v>
      </c>
      <c r="AW1044" s="13">
        <v>0</v>
      </c>
      <c r="AX1044" s="13">
        <v>0</v>
      </c>
      <c r="AY1044" s="13">
        <v>0</v>
      </c>
      <c r="AZ1044" s="13">
        <v>1</v>
      </c>
      <c r="BA1044">
        <v>1</v>
      </c>
      <c r="BB1044" t="s">
        <v>2841</v>
      </c>
      <c r="BC1044">
        <v>6</v>
      </c>
      <c r="BD1044" t="s">
        <v>2919</v>
      </c>
      <c r="BE1044">
        <v>1</v>
      </c>
      <c r="BF1044" s="232" t="s">
        <v>2846</v>
      </c>
      <c r="BG1044" s="232" t="s">
        <v>2846</v>
      </c>
      <c r="BH1044" s="253">
        <v>64.599999999999994</v>
      </c>
      <c r="BI1044" s="253">
        <v>47.106017191977074</v>
      </c>
      <c r="BJ1044" s="25">
        <v>0</v>
      </c>
      <c r="BK1044" t="s">
        <v>381</v>
      </c>
      <c r="BL1044">
        <v>5.4064511106239914</v>
      </c>
      <c r="BM1044" t="s">
        <v>383</v>
      </c>
      <c r="BN1044" s="322">
        <v>31151.676217</v>
      </c>
      <c r="BO1044" s="322">
        <v>2066.8642180000002</v>
      </c>
      <c r="BP1044" s="10">
        <v>10177</v>
      </c>
      <c r="BQ1044" s="254">
        <f t="shared" si="446"/>
        <v>3.0609881317677115</v>
      </c>
      <c r="BR1044" s="254">
        <f t="shared" si="447"/>
        <v>0.2030916987324359</v>
      </c>
      <c r="BS1044" s="25">
        <v>54.526295577682397</v>
      </c>
      <c r="BT1044" s="25">
        <v>88.960047181698727</v>
      </c>
      <c r="BU1044" s="25">
        <v>23.986640312038759</v>
      </c>
      <c r="BV1044" s="25">
        <v>98.109686224328982</v>
      </c>
      <c r="BW1044" s="25">
        <v>45.442145851926007</v>
      </c>
      <c r="BX1044" s="25">
        <v>66.395667323937218</v>
      </c>
      <c r="BY1044" s="25">
        <v>46.684008307734103</v>
      </c>
      <c r="BZ1044">
        <v>3</v>
      </c>
      <c r="CA1044">
        <v>0</v>
      </c>
      <c r="CB1044">
        <v>7</v>
      </c>
      <c r="CC1044">
        <v>122012.056931</v>
      </c>
      <c r="CD1044" s="10">
        <v>9548.2684819999995</v>
      </c>
      <c r="CE1044" s="255">
        <v>7.8256761849361464E-2</v>
      </c>
      <c r="CF1044" t="str">
        <f>IFERROR(VLOOKUP(CE1044,'Rangos amb etnico'!$A$2:$C$6,3,9),"N.D.")</f>
        <v>0,1% - 30%</v>
      </c>
      <c r="CG1044" s="256">
        <v>2.7779512391705642E-4</v>
      </c>
      <c r="CH1044" s="232">
        <v>8134.808207</v>
      </c>
      <c r="CI1044" s="311">
        <f t="shared" si="454"/>
        <v>6.6672166764636873E-2</v>
      </c>
      <c r="CJ1044" s="232" t="str">
        <f>IFERROR(VLOOKUP(CI1044,'Rangos amb etnico'!$A$2:$C$6,3,9),"N.D.")</f>
        <v>0,1% - 30%</v>
      </c>
      <c r="CK1044" s="311">
        <f t="shared" si="455"/>
        <v>3.2300514603812068E-4</v>
      </c>
      <c r="CL1044" s="10">
        <v>0</v>
      </c>
      <c r="CM1044" s="255">
        <f t="shared" si="456"/>
        <v>0</v>
      </c>
      <c r="CN1044" s="232">
        <f>IFERROR(VLOOKUP(CM1044,'Rangos amb etnico'!$A$2:$C$6,3,9),"N.D.")</f>
        <v>0</v>
      </c>
      <c r="CO1044" s="311">
        <f t="shared" si="457"/>
        <v>0</v>
      </c>
      <c r="CP1044">
        <v>0.96226742410195176</v>
      </c>
      <c r="CQ1044" t="s">
        <v>2864</v>
      </c>
      <c r="CR1044">
        <f t="shared" si="448"/>
        <v>2</v>
      </c>
      <c r="CS1044" t="str">
        <f t="shared" si="458"/>
        <v>No es Candidato</v>
      </c>
      <c r="CT1044">
        <v>0</v>
      </c>
      <c r="CU1044">
        <v>0</v>
      </c>
      <c r="CV1044" s="25">
        <v>43.314949035644531</v>
      </c>
      <c r="CW1044" s="25">
        <v>9.7408227920532227</v>
      </c>
      <c r="CX1044" s="25">
        <v>38.165504455566413</v>
      </c>
      <c r="CY1044" s="25">
        <v>57.097461700439453</v>
      </c>
      <c r="CZ1044" s="25">
        <v>25.938091278076168</v>
      </c>
      <c r="DA1044" s="25">
        <v>83.914054870605469</v>
      </c>
      <c r="DB1044" s="25">
        <v>45.033756256103523</v>
      </c>
      <c r="DC1044">
        <v>2901</v>
      </c>
      <c r="DD1044" s="253" t="s">
        <v>380</v>
      </c>
    </row>
    <row r="1045" spans="1:108" hidden="1">
      <c r="A1045" s="13">
        <v>85315</v>
      </c>
      <c r="B1045" s="13" t="s">
        <v>2486</v>
      </c>
      <c r="C1045" s="13" t="s">
        <v>1351</v>
      </c>
      <c r="D1045" s="13" t="s">
        <v>1352</v>
      </c>
      <c r="E1045" s="13" t="s">
        <v>2487</v>
      </c>
      <c r="F1045" s="14">
        <v>54.397766666666698</v>
      </c>
      <c r="G1045" s="13">
        <v>63.91</v>
      </c>
      <c r="H1045" s="13">
        <v>51.86</v>
      </c>
      <c r="I1045" s="13">
        <v>79.78</v>
      </c>
      <c r="J1045" s="14">
        <v>52.830933505286993</v>
      </c>
      <c r="K1045" s="14">
        <v>59.620216663645515</v>
      </c>
      <c r="L1045" s="14">
        <v>67.957552984820751</v>
      </c>
      <c r="M1045" s="14">
        <v>62.2226</v>
      </c>
      <c r="N1045" s="14">
        <f t="shared" si="432"/>
        <v>62.486941666666674</v>
      </c>
      <c r="O1045" s="14">
        <f t="shared" si="433"/>
        <v>60.657825788438316</v>
      </c>
      <c r="P1045" s="14">
        <f t="shared" si="449"/>
        <v>61.572383727552491</v>
      </c>
      <c r="Q1045" s="14">
        <v>73.038229360171997</v>
      </c>
      <c r="R1045" s="17">
        <f t="shared" si="434"/>
        <v>26.961770639828003</v>
      </c>
      <c r="S1045" s="14">
        <f t="shared" si="450"/>
        <v>0.34265593575845205</v>
      </c>
      <c r="T1045" s="13">
        <v>0</v>
      </c>
      <c r="U1045" s="13">
        <f t="shared" si="451"/>
        <v>21.098142763042986</v>
      </c>
      <c r="V1045" s="13">
        <f>IF($T1045=1,$AU1045,(VLOOKUP(U1045,'Cortes naturales'!$A$35:$C$39,3,9)))</f>
        <v>5</v>
      </c>
      <c r="W1045" s="13">
        <v>5</v>
      </c>
      <c r="X1045" s="14" t="b">
        <f t="shared" si="435"/>
        <v>1</v>
      </c>
      <c r="Y1045" s="17">
        <f>IF($T1045=1,$AU1045,VLOOKUP(U1045,'Cortes naturales'!$A$45:$C$49,3,9))</f>
        <v>4</v>
      </c>
      <c r="Z1045" s="14">
        <v>59.329268948626599</v>
      </c>
      <c r="AA1045" s="14">
        <v>0.35269149324212457</v>
      </c>
      <c r="AB1045" s="14">
        <v>20.92492845845473</v>
      </c>
      <c r="AC1045" s="13">
        <v>4</v>
      </c>
      <c r="AD1045" s="13">
        <f t="shared" si="436"/>
        <v>0</v>
      </c>
      <c r="AE1045" s="14">
        <f t="shared" si="437"/>
        <v>2.2431147789258929</v>
      </c>
      <c r="AF1045" s="14">
        <f t="shared" si="438"/>
        <v>-1.0035557483672519E-2</v>
      </c>
      <c r="AG1045" s="13">
        <f t="shared" si="439"/>
        <v>0.1732143045882566</v>
      </c>
      <c r="AH1045" s="13">
        <f>IF($T1045=1,$AU1045,VLOOKUP(U1045,'Cortes naturales'!$A$25:$C$29,3,9))</f>
        <v>4</v>
      </c>
      <c r="AI1045" s="13" t="b">
        <f t="shared" si="440"/>
        <v>1</v>
      </c>
      <c r="AJ1045" s="13">
        <f t="shared" si="441"/>
        <v>0</v>
      </c>
      <c r="AK1045" s="28">
        <v>0.35881802248113021</v>
      </c>
      <c r="AL1045" s="28">
        <v>21.288410959397318</v>
      </c>
      <c r="AM1045" s="28">
        <v>9.5669569159807732E-2</v>
      </c>
      <c r="AN1045" s="13">
        <v>5</v>
      </c>
      <c r="AO1045" s="33">
        <f t="shared" si="442"/>
        <v>1</v>
      </c>
      <c r="AP1045" s="13">
        <f t="shared" si="452"/>
        <v>9.5669569159807732</v>
      </c>
      <c r="AQ1045" s="13">
        <f>IFERROR(VLOOKUP(U1045,'Cortes naturales'!$E$15:$G$19,3,9),U1045)</f>
        <v>4</v>
      </c>
      <c r="AR1045" s="28">
        <f t="shared" si="443"/>
        <v>-1.6162086722678159E-2</v>
      </c>
      <c r="AS1045" s="13" t="b">
        <f t="shared" si="444"/>
        <v>1</v>
      </c>
      <c r="AT1045" s="13" t="str">
        <f t="shared" si="453"/>
        <v>Efecto ponderador</v>
      </c>
      <c r="AU1045" s="13">
        <v>4</v>
      </c>
      <c r="AV1045">
        <f t="shared" si="445"/>
        <v>0</v>
      </c>
      <c r="AW1045" s="13">
        <v>0</v>
      </c>
      <c r="AX1045" s="13">
        <v>0</v>
      </c>
      <c r="AY1045" s="13">
        <v>0</v>
      </c>
      <c r="AZ1045" s="13">
        <v>0</v>
      </c>
      <c r="BA1045">
        <v>1</v>
      </c>
      <c r="BB1045" t="s">
        <v>2841</v>
      </c>
      <c r="BC1045">
        <v>6</v>
      </c>
      <c r="BD1045" t="s">
        <v>2919</v>
      </c>
      <c r="BE1045">
        <v>0</v>
      </c>
      <c r="BF1045" s="232" t="s">
        <v>2846</v>
      </c>
      <c r="BG1045" s="232" t="s">
        <v>2846</v>
      </c>
      <c r="BH1045" s="253">
        <v>32.5</v>
      </c>
      <c r="BI1045" s="253">
        <v>30.567164179104477</v>
      </c>
      <c r="BJ1045" s="25">
        <v>1.5149999999999999</v>
      </c>
      <c r="BK1045" t="s">
        <v>381</v>
      </c>
      <c r="BL1045">
        <v>1.0288945229705981</v>
      </c>
      <c r="BM1045" t="s">
        <v>383</v>
      </c>
      <c r="BN1045" s="322">
        <v>9865.5432849999997</v>
      </c>
      <c r="BO1045" s="322">
        <v>625.099017</v>
      </c>
      <c r="BP1045" s="10">
        <v>2125</v>
      </c>
      <c r="BQ1045" s="254">
        <f t="shared" si="446"/>
        <v>4.6426086047058819</v>
      </c>
      <c r="BR1045" s="254">
        <f t="shared" si="447"/>
        <v>0.29416424329411767</v>
      </c>
      <c r="BS1045" s="25">
        <v>52.39888813907902</v>
      </c>
      <c r="BT1045" s="25">
        <v>90.324894705882343</v>
      </c>
      <c r="BU1045" s="25">
        <v>42.801428571428573</v>
      </c>
      <c r="BV1045" s="25">
        <v>92.409250591801609</v>
      </c>
      <c r="BW1045" s="25">
        <v>50.188553918911381</v>
      </c>
      <c r="BX1045" s="25">
        <v>69.483615502047883</v>
      </c>
      <c r="BY1045" s="25">
        <v>51.195765036383889</v>
      </c>
      <c r="BZ1045">
        <v>53</v>
      </c>
      <c r="CA1045">
        <v>0</v>
      </c>
      <c r="CB1045">
        <v>7</v>
      </c>
      <c r="CC1045">
        <v>31146.707542</v>
      </c>
      <c r="CD1045" s="10">
        <v>2131.72388</v>
      </c>
      <c r="CE1045" s="255">
        <v>6.8441387492577235E-2</v>
      </c>
      <c r="CF1045" t="str">
        <f>IFERROR(VLOOKUP(CE1045,'Rangos amb etnico'!$A$2:$C$6,3,9),"N.D.")</f>
        <v>0,1% - 30%</v>
      </c>
      <c r="CG1045" s="256">
        <v>6.2019883554584399E-5</v>
      </c>
      <c r="CH1045" s="232">
        <v>4975.0515160000004</v>
      </c>
      <c r="CI1045" s="311">
        <f t="shared" si="454"/>
        <v>0.1597296121681997</v>
      </c>
      <c r="CJ1045" s="232" t="str">
        <f>IFERROR(VLOOKUP(CI1045,'Rangos amb etnico'!$A$2:$C$6,3,9),"N.D.")</f>
        <v>0,1% - 30%</v>
      </c>
      <c r="CK1045" s="311">
        <f t="shared" si="455"/>
        <v>1.9754211784488772E-4</v>
      </c>
      <c r="CL1045" s="10">
        <v>0</v>
      </c>
      <c r="CM1045" s="255">
        <f t="shared" si="456"/>
        <v>0</v>
      </c>
      <c r="CN1045" s="232">
        <f>IFERROR(VLOOKUP(CM1045,'Rangos amb etnico'!$A$2:$C$6,3,9),"N.D.")</f>
        <v>0</v>
      </c>
      <c r="CO1045" s="311">
        <f t="shared" si="457"/>
        <v>0</v>
      </c>
      <c r="CP1045">
        <v>0.8508008024009035</v>
      </c>
      <c r="CQ1045" t="s">
        <v>2864</v>
      </c>
      <c r="CR1045">
        <f t="shared" si="448"/>
        <v>3</v>
      </c>
      <c r="CS1045" t="str">
        <f t="shared" si="458"/>
        <v>Candidato</v>
      </c>
      <c r="CT1045">
        <v>0</v>
      </c>
      <c r="CU1045">
        <v>0</v>
      </c>
      <c r="CV1045" s="25">
        <v>45.069149017333977</v>
      </c>
      <c r="CW1045" s="25">
        <v>9.0392360687255859</v>
      </c>
      <c r="CX1045" s="25">
        <v>50.325931549072273</v>
      </c>
      <c r="CY1045" s="25">
        <v>67.229301452636719</v>
      </c>
      <c r="CZ1045" s="25">
        <v>31.533658981323239</v>
      </c>
      <c r="DA1045" s="25">
        <v>56.426528930664063</v>
      </c>
      <c r="DB1045" s="25">
        <v>55.860233306884773</v>
      </c>
      <c r="DC1045">
        <v>283</v>
      </c>
      <c r="DD1045" s="253" t="s">
        <v>380</v>
      </c>
    </row>
    <row r="1046" spans="1:108" hidden="1">
      <c r="A1046" s="13">
        <v>15377</v>
      </c>
      <c r="B1046" s="13" t="s">
        <v>2488</v>
      </c>
      <c r="C1046" s="13" t="s">
        <v>498</v>
      </c>
      <c r="D1046" s="13" t="s">
        <v>499</v>
      </c>
      <c r="E1046" s="13" t="s">
        <v>2489</v>
      </c>
      <c r="F1046" s="14">
        <v>72.0649333333333</v>
      </c>
      <c r="G1046" s="13">
        <v>75.34</v>
      </c>
      <c r="H1046" s="13">
        <v>71.64</v>
      </c>
      <c r="I1046" s="13">
        <v>71</v>
      </c>
      <c r="J1046" s="14">
        <v>59.295374465304342</v>
      </c>
      <c r="K1046" s="14">
        <v>59.023186863710464</v>
      </c>
      <c r="L1046" s="14">
        <v>62.485400245161181</v>
      </c>
      <c r="M1046" s="14">
        <v>59.984900000000003</v>
      </c>
      <c r="N1046" s="14">
        <f t="shared" si="432"/>
        <v>72.511233333333323</v>
      </c>
      <c r="O1046" s="14">
        <f t="shared" si="433"/>
        <v>60.197215393543999</v>
      </c>
      <c r="P1046" s="14">
        <f t="shared" si="449"/>
        <v>66.354224363438661</v>
      </c>
      <c r="Q1046" s="14">
        <v>72.368235804047103</v>
      </c>
      <c r="R1046" s="17">
        <f t="shared" si="434"/>
        <v>27.631764195952897</v>
      </c>
      <c r="S1046" s="14">
        <f t="shared" si="450"/>
        <v>0.34868587776357607</v>
      </c>
      <c r="T1046" s="13">
        <v>0</v>
      </c>
      <c r="U1046" s="13">
        <f t="shared" si="451"/>
        <v>23.136780965486874</v>
      </c>
      <c r="V1046" s="13">
        <f>IF($T1046=1,$AU1046,(VLOOKUP(U1046,'Cortes naturales'!$A$35:$C$39,3,9)))</f>
        <v>4</v>
      </c>
      <c r="W1046" s="13">
        <v>4</v>
      </c>
      <c r="X1046" s="14" t="b">
        <f t="shared" si="435"/>
        <v>1</v>
      </c>
      <c r="Y1046" s="17">
        <f>IF($T1046=1,$AU1046,VLOOKUP(U1046,'Cortes naturales'!$A$45:$C$49,3,9))</f>
        <v>4</v>
      </c>
      <c r="Z1046" s="14">
        <v>66.021232481593643</v>
      </c>
      <c r="AA1046" s="14">
        <v>0.351257682089682</v>
      </c>
      <c r="AB1046" s="14">
        <v>23.190465090188606</v>
      </c>
      <c r="AC1046" s="13">
        <v>4</v>
      </c>
      <c r="AD1046" s="13">
        <f t="shared" si="436"/>
        <v>0</v>
      </c>
      <c r="AE1046" s="14">
        <f t="shared" si="437"/>
        <v>0.33299188184501816</v>
      </c>
      <c r="AF1046" s="14">
        <f t="shared" si="438"/>
        <v>-2.5718043261059309E-3</v>
      </c>
      <c r="AG1046" s="13">
        <f t="shared" si="439"/>
        <v>-5.3684124701732117E-2</v>
      </c>
      <c r="AH1046" s="13">
        <f>IF($T1046=1,$AU1046,VLOOKUP(U1046,'Cortes naturales'!$A$25:$C$29,3,9))</f>
        <v>4</v>
      </c>
      <c r="AI1046" s="13" t="b">
        <f t="shared" si="440"/>
        <v>1</v>
      </c>
      <c r="AJ1046" s="13">
        <f t="shared" si="441"/>
        <v>0</v>
      </c>
      <c r="AK1046" s="28">
        <v>0.35881802248113021</v>
      </c>
      <c r="AL1046" s="28">
        <v>23.689608080812391</v>
      </c>
      <c r="AM1046" s="28">
        <v>0.12570601404836518</v>
      </c>
      <c r="AN1046" s="13">
        <v>5</v>
      </c>
      <c r="AO1046" s="33">
        <f t="shared" si="442"/>
        <v>1</v>
      </c>
      <c r="AP1046" s="13">
        <f t="shared" si="452"/>
        <v>12.570601404836518</v>
      </c>
      <c r="AQ1046" s="13">
        <f>IFERROR(VLOOKUP(U1046,'Cortes naturales'!$E$15:$G$19,3,9),U1046)</f>
        <v>4</v>
      </c>
      <c r="AR1046" s="28">
        <f t="shared" si="443"/>
        <v>-1.0132144717554137E-2</v>
      </c>
      <c r="AS1046" s="13" t="b">
        <f t="shared" si="444"/>
        <v>1</v>
      </c>
      <c r="AT1046" s="13" t="str">
        <f t="shared" si="453"/>
        <v>Efecto ponderador</v>
      </c>
      <c r="AU1046" s="13">
        <v>4</v>
      </c>
      <c r="AV1046">
        <f t="shared" si="445"/>
        <v>0</v>
      </c>
      <c r="AW1046" s="13">
        <v>0</v>
      </c>
      <c r="AX1046" s="13">
        <v>0</v>
      </c>
      <c r="AY1046" s="13">
        <v>0</v>
      </c>
      <c r="AZ1046" s="13">
        <v>0</v>
      </c>
      <c r="BA1046">
        <v>1</v>
      </c>
      <c r="BB1046" t="s">
        <v>2841</v>
      </c>
      <c r="BC1046">
        <v>6</v>
      </c>
      <c r="BD1046" t="s">
        <v>2919</v>
      </c>
      <c r="BE1046">
        <v>1</v>
      </c>
      <c r="BF1046" s="232" t="s">
        <v>2846</v>
      </c>
      <c r="BG1046" s="232" t="s">
        <v>2846</v>
      </c>
      <c r="BH1046" s="253">
        <v>57.4</v>
      </c>
      <c r="BI1046" s="253">
        <v>37.008130081300813</v>
      </c>
      <c r="BJ1046" s="25">
        <v>43.075842091152815</v>
      </c>
      <c r="BK1046" t="s">
        <v>376</v>
      </c>
      <c r="BL1046">
        <v>57.084536007455419</v>
      </c>
      <c r="BM1046" t="s">
        <v>384</v>
      </c>
      <c r="BN1046" s="322">
        <v>15194.185694</v>
      </c>
      <c r="BO1046" s="322">
        <v>1147.158498</v>
      </c>
      <c r="BP1046" s="10">
        <v>3741</v>
      </c>
      <c r="BQ1046" s="254">
        <f t="shared" si="446"/>
        <v>4.0615305249933176</v>
      </c>
      <c r="BR1046" s="254">
        <f t="shared" si="447"/>
        <v>0.30664488051323174</v>
      </c>
      <c r="BS1046" s="25">
        <v>66.401247401247403</v>
      </c>
      <c r="BT1046" s="25">
        <v>92.444088033502624</v>
      </c>
      <c r="BU1046" s="25">
        <v>38.242957653649668</v>
      </c>
      <c r="BV1046" s="25">
        <v>93.136070611931814</v>
      </c>
      <c r="BW1046" s="25">
        <v>48.222838981836212</v>
      </c>
      <c r="BX1046" s="25">
        <v>72.556090925082884</v>
      </c>
      <c r="BY1046" s="25">
        <v>49.810092638900677</v>
      </c>
      <c r="BZ1046">
        <v>41</v>
      </c>
      <c r="CA1046">
        <v>0</v>
      </c>
      <c r="CB1046">
        <v>7</v>
      </c>
      <c r="CC1046">
        <v>57998.715089999998</v>
      </c>
      <c r="CD1046" s="10">
        <v>3045.2230009999998</v>
      </c>
      <c r="CE1046" s="255">
        <v>5.2505008020859584E-2</v>
      </c>
      <c r="CF1046" t="str">
        <f>IFERROR(VLOOKUP(CE1046,'Rangos amb etnico'!$A$2:$C$6,3,9),"N.D.")</f>
        <v>0,1% - 30%</v>
      </c>
      <c r="CG1046" s="256">
        <v>8.8597016570345891E-5</v>
      </c>
      <c r="CH1046" s="232">
        <v>0</v>
      </c>
      <c r="CI1046" s="311">
        <f t="shared" si="454"/>
        <v>0</v>
      </c>
      <c r="CJ1046" s="232">
        <f>IFERROR(VLOOKUP(CI1046,'Rangos amb etnico'!$A$2:$C$6,3,9),"N.D.")</f>
        <v>0</v>
      </c>
      <c r="CK1046" s="311">
        <f t="shared" si="455"/>
        <v>0</v>
      </c>
      <c r="CL1046" s="10">
        <v>0</v>
      </c>
      <c r="CM1046" s="255">
        <f t="shared" si="456"/>
        <v>0</v>
      </c>
      <c r="CN1046" s="232">
        <f>IFERROR(VLOOKUP(CM1046,'Rangos amb etnico'!$A$2:$C$6,3,9),"N.D.")</f>
        <v>0</v>
      </c>
      <c r="CO1046" s="311">
        <f t="shared" si="457"/>
        <v>0</v>
      </c>
      <c r="CP1046">
        <v>0.89814602776996666</v>
      </c>
      <c r="CQ1046" t="s">
        <v>2864</v>
      </c>
      <c r="CR1046">
        <f t="shared" si="448"/>
        <v>2</v>
      </c>
      <c r="CS1046" t="str">
        <f t="shared" si="458"/>
        <v>No es Candidato</v>
      </c>
      <c r="CT1046">
        <v>0</v>
      </c>
      <c r="CU1046">
        <v>0</v>
      </c>
      <c r="CV1046" s="25">
        <v>46.773212432861328</v>
      </c>
      <c r="CW1046" s="25">
        <v>18.252408981323239</v>
      </c>
      <c r="CX1046" s="25">
        <v>55.695686340332031</v>
      </c>
      <c r="CY1046" s="25">
        <v>50.6268310546875</v>
      </c>
      <c r="CZ1046" s="25">
        <v>34.635238647460938</v>
      </c>
      <c r="DA1046" s="25">
        <v>71.906585693359375</v>
      </c>
      <c r="DB1046" s="25">
        <v>49.52252197265625</v>
      </c>
      <c r="DC1046">
        <v>27</v>
      </c>
      <c r="DD1046" s="253" t="s">
        <v>380</v>
      </c>
    </row>
    <row r="1047" spans="1:108" hidden="1">
      <c r="A1047" s="13">
        <v>50686</v>
      </c>
      <c r="B1047" s="13" t="s">
        <v>2490</v>
      </c>
      <c r="C1047" s="13" t="s">
        <v>605</v>
      </c>
      <c r="D1047" s="13" t="s">
        <v>606</v>
      </c>
      <c r="E1047" s="13" t="s">
        <v>2491</v>
      </c>
      <c r="F1047" s="14">
        <v>43.696366666666698</v>
      </c>
      <c r="G1047" s="13">
        <v>38</v>
      </c>
      <c r="H1047" s="13">
        <v>24.41</v>
      </c>
      <c r="I1047" s="13">
        <v>24.79</v>
      </c>
      <c r="J1047" s="14">
        <v>49.365173147054392</v>
      </c>
      <c r="K1047" s="14">
        <v>68.211370918876725</v>
      </c>
      <c r="L1047" s="14">
        <v>46.996274388913648</v>
      </c>
      <c r="M1047" s="14">
        <v>46.848399999999998</v>
      </c>
      <c r="N1047" s="14">
        <f t="shared" si="432"/>
        <v>32.724091666666673</v>
      </c>
      <c r="O1047" s="14">
        <f t="shared" si="433"/>
        <v>52.855304613711191</v>
      </c>
      <c r="P1047" s="14">
        <f t="shared" si="449"/>
        <v>42.789698140188932</v>
      </c>
      <c r="Q1047" s="14">
        <v>72.885346033466135</v>
      </c>
      <c r="R1047" s="17">
        <f t="shared" si="434"/>
        <v>27.114653966533865</v>
      </c>
      <c r="S1047" s="14">
        <f t="shared" si="450"/>
        <v>0.34403188569880477</v>
      </c>
      <c r="T1047" s="13">
        <v>0</v>
      </c>
      <c r="U1047" s="13">
        <f t="shared" si="451"/>
        <v>14.721020539651837</v>
      </c>
      <c r="V1047" s="13">
        <f>IF($T1047=1,$AU1047,(VLOOKUP(U1047,'Cortes naturales'!$A$35:$C$39,3,9)))</f>
        <v>5</v>
      </c>
      <c r="W1047" s="13">
        <v>5</v>
      </c>
      <c r="X1047" s="14" t="b">
        <f t="shared" si="435"/>
        <v>1</v>
      </c>
      <c r="Y1047" s="17">
        <f>IF($T1047=1,$AU1047,VLOOKUP(U1047,'Cortes naturales'!$A$45:$C$49,3,9))</f>
        <v>5</v>
      </c>
      <c r="Z1047" s="14">
        <v>44.964692211126298</v>
      </c>
      <c r="AA1047" s="14">
        <v>0.34820870110280178</v>
      </c>
      <c r="AB1047" s="14">
        <v>15.657097070323557</v>
      </c>
      <c r="AC1047" s="13">
        <v>5</v>
      </c>
      <c r="AD1047" s="13">
        <f t="shared" si="436"/>
        <v>0</v>
      </c>
      <c r="AE1047" s="14">
        <f t="shared" si="437"/>
        <v>-2.1749940709373661</v>
      </c>
      <c r="AF1047" s="14">
        <f t="shared" si="438"/>
        <v>-4.1768154039970029E-3</v>
      </c>
      <c r="AG1047" s="13">
        <f t="shared" si="439"/>
        <v>-0.93607653067171981</v>
      </c>
      <c r="AH1047" s="13">
        <f>IF($T1047=1,$AU1047,VLOOKUP(U1047,'Cortes naturales'!$A$25:$C$29,3,9))</f>
        <v>5</v>
      </c>
      <c r="AI1047" s="13" t="b">
        <f t="shared" si="440"/>
        <v>1</v>
      </c>
      <c r="AJ1047" s="13">
        <f t="shared" si="441"/>
        <v>0</v>
      </c>
      <c r="AK1047" s="28">
        <v>0.35881802248113021</v>
      </c>
      <c r="AL1047" s="28">
        <v>16.134141940669018</v>
      </c>
      <c r="AM1047" s="28">
        <v>3.1195096847182482E-2</v>
      </c>
      <c r="AN1047" s="13">
        <v>5</v>
      </c>
      <c r="AO1047" s="33">
        <f t="shared" si="442"/>
        <v>0</v>
      </c>
      <c r="AP1047" s="13">
        <f t="shared" si="452"/>
        <v>3.1195096847182482</v>
      </c>
      <c r="AQ1047" s="13">
        <f>IFERROR(VLOOKUP(U1047,'Cortes naturales'!$E$15:$G$19,3,9),U1047)</f>
        <v>5</v>
      </c>
      <c r="AR1047" s="28">
        <f t="shared" si="443"/>
        <v>-1.4786136782325432E-2</v>
      </c>
      <c r="AS1047" s="13" t="b">
        <f t="shared" si="444"/>
        <v>1</v>
      </c>
      <c r="AT1047" s="13">
        <f t="shared" si="453"/>
        <v>0</v>
      </c>
      <c r="AU1047" s="13">
        <v>5</v>
      </c>
      <c r="AV1047">
        <f t="shared" si="445"/>
        <v>0</v>
      </c>
      <c r="AW1047" s="13">
        <v>0</v>
      </c>
      <c r="AX1047" s="13">
        <v>0</v>
      </c>
      <c r="AY1047" s="13">
        <v>0</v>
      </c>
      <c r="AZ1047" s="13">
        <v>0</v>
      </c>
      <c r="BA1047">
        <v>1</v>
      </c>
      <c r="BB1047" t="s">
        <v>2841</v>
      </c>
      <c r="BC1047">
        <v>6</v>
      </c>
      <c r="BD1047" t="s">
        <v>2919</v>
      </c>
      <c r="BE1047">
        <v>0</v>
      </c>
      <c r="BF1047" s="232" t="s">
        <v>2846</v>
      </c>
      <c r="BG1047" s="232" t="s">
        <v>2846</v>
      </c>
      <c r="BH1047" s="253">
        <v>43.2</v>
      </c>
      <c r="BI1047" s="253">
        <v>10.126582278481013</v>
      </c>
      <c r="BJ1047" s="25">
        <v>28.335454545454546</v>
      </c>
      <c r="BK1047" t="s">
        <v>379</v>
      </c>
      <c r="BL1047">
        <v>0</v>
      </c>
      <c r="BM1047" t="s">
        <v>377</v>
      </c>
      <c r="BN1047" s="322">
        <v>5961.0341449999996</v>
      </c>
      <c r="BO1047" s="322">
        <v>245.15687299999999</v>
      </c>
      <c r="BP1047" s="10">
        <v>1395</v>
      </c>
      <c r="BQ1047" s="254">
        <f t="shared" si="446"/>
        <v>4.2731427562724011</v>
      </c>
      <c r="BR1047" s="254">
        <f t="shared" si="447"/>
        <v>0.17573969390681002</v>
      </c>
      <c r="BS1047" s="25">
        <v>71.382173382173377</v>
      </c>
      <c r="BT1047" s="25">
        <v>97.777776666666668</v>
      </c>
      <c r="BU1047" s="25">
        <v>23.86869539198084</v>
      </c>
      <c r="BV1047" s="25">
        <v>98.116307984239498</v>
      </c>
      <c r="BW1047" s="25">
        <v>57.294642627009551</v>
      </c>
      <c r="BX1047" s="25">
        <v>72.786238356265088</v>
      </c>
      <c r="BY1047" s="25">
        <v>58.153763592158448</v>
      </c>
      <c r="BZ1047">
        <v>40</v>
      </c>
      <c r="CA1047">
        <v>0</v>
      </c>
      <c r="CB1047">
        <v>7</v>
      </c>
      <c r="CC1047">
        <v>24452.350766</v>
      </c>
      <c r="CD1047" s="10">
        <v>13119.409485</v>
      </c>
      <c r="CE1047" s="255">
        <v>0.53652957993887462</v>
      </c>
      <c r="CF1047" t="str">
        <f>IFERROR(VLOOKUP(CE1047,'Rangos amb etnico'!$A$2:$C$6,3,9),"N.D.")</f>
        <v>51% - 70%</v>
      </c>
      <c r="CG1047" s="256">
        <v>3.8169307770038682E-4</v>
      </c>
      <c r="CH1047" s="232">
        <v>0</v>
      </c>
      <c r="CI1047" s="311">
        <f t="shared" si="454"/>
        <v>0</v>
      </c>
      <c r="CJ1047" s="232">
        <f>IFERROR(VLOOKUP(CI1047,'Rangos amb etnico'!$A$2:$C$6,3,9),"N.D.")</f>
        <v>0</v>
      </c>
      <c r="CK1047" s="311">
        <f t="shared" si="455"/>
        <v>0</v>
      </c>
      <c r="CL1047" s="10">
        <v>0</v>
      </c>
      <c r="CM1047" s="255">
        <f t="shared" si="456"/>
        <v>0</v>
      </c>
      <c r="CN1047" s="232">
        <f>IFERROR(VLOOKUP(CM1047,'Rangos amb etnico'!$A$2:$C$6,3,9),"N.D.")</f>
        <v>0</v>
      </c>
      <c r="CO1047" s="311">
        <f t="shared" si="457"/>
        <v>0</v>
      </c>
      <c r="CP1047">
        <v>0.96276835618201262</v>
      </c>
      <c r="CQ1047" t="s">
        <v>2864</v>
      </c>
      <c r="CR1047">
        <f t="shared" si="448"/>
        <v>1</v>
      </c>
      <c r="CS1047" t="str">
        <f t="shared" si="458"/>
        <v>No es Candidato</v>
      </c>
      <c r="CT1047">
        <v>0</v>
      </c>
      <c r="CU1047">
        <v>0</v>
      </c>
      <c r="CV1047" s="25">
        <v>40.624557495117188</v>
      </c>
      <c r="CW1047" s="25">
        <v>6.6179609298706046</v>
      </c>
      <c r="CX1047" s="25">
        <v>46.155990600585938</v>
      </c>
      <c r="CY1047" s="25">
        <v>47.155624389648438</v>
      </c>
      <c r="CZ1047" s="25">
        <v>37.981597900390618</v>
      </c>
      <c r="DA1047" s="25">
        <v>45.833332061767578</v>
      </c>
      <c r="DB1047" s="25">
        <v>60.002834320068359</v>
      </c>
      <c r="DC1047">
        <v>14</v>
      </c>
      <c r="DD1047" s="253" t="s">
        <v>380</v>
      </c>
    </row>
    <row r="1048" spans="1:108" hidden="1">
      <c r="A1048" s="13">
        <v>85136</v>
      </c>
      <c r="B1048" s="13" t="s">
        <v>2492</v>
      </c>
      <c r="C1048" s="13" t="s">
        <v>1351</v>
      </c>
      <c r="D1048" s="13" t="s">
        <v>1352</v>
      </c>
      <c r="E1048" s="13" t="s">
        <v>2493</v>
      </c>
      <c r="F1048" s="14">
        <v>62.3295666666667</v>
      </c>
      <c r="G1048" s="13">
        <v>51.98</v>
      </c>
      <c r="H1048" s="13">
        <v>43.5</v>
      </c>
      <c r="I1048" s="13">
        <v>49.56</v>
      </c>
      <c r="J1048" s="14">
        <v>60.476548820500291</v>
      </c>
      <c r="K1048" s="14">
        <v>67.741532691302226</v>
      </c>
      <c r="L1048" s="14">
        <v>63.073326129320947</v>
      </c>
      <c r="M1048" s="14">
        <v>68.754000000000005</v>
      </c>
      <c r="N1048" s="14">
        <f t="shared" si="432"/>
        <v>51.842391666666671</v>
      </c>
      <c r="O1048" s="14">
        <f t="shared" si="433"/>
        <v>65.011351910280865</v>
      </c>
      <c r="P1048" s="14">
        <f t="shared" si="449"/>
        <v>58.426871788473768</v>
      </c>
      <c r="Q1048" s="14">
        <v>72.238775074225785</v>
      </c>
      <c r="R1048" s="17">
        <f t="shared" si="434"/>
        <v>27.761224925774215</v>
      </c>
      <c r="S1048" s="14">
        <f t="shared" si="450"/>
        <v>0.34985102433196791</v>
      </c>
      <c r="T1048" s="13">
        <v>0</v>
      </c>
      <c r="U1048" s="13">
        <f t="shared" si="451"/>
        <v>20.440700943710105</v>
      </c>
      <c r="V1048" s="13">
        <f>IF($T1048=1,$AU1048,(VLOOKUP(U1048,'Cortes naturales'!$A$35:$C$39,3,9)))</f>
        <v>5</v>
      </c>
      <c r="W1048" s="13">
        <v>5</v>
      </c>
      <c r="X1048" s="14" t="b">
        <f t="shared" si="435"/>
        <v>1</v>
      </c>
      <c r="Y1048" s="17">
        <f>IF($T1048=1,$AU1048,VLOOKUP(U1048,'Cortes naturales'!$A$45:$C$49,3,9))</f>
        <v>5</v>
      </c>
      <c r="Z1048" s="14">
        <v>58.558891612737057</v>
      </c>
      <c r="AA1048" s="14">
        <v>0.34805158540240089</v>
      </c>
      <c r="AB1048" s="14">
        <v>20.381515065220487</v>
      </c>
      <c r="AC1048" s="13">
        <v>4</v>
      </c>
      <c r="AD1048" s="13">
        <f t="shared" si="436"/>
        <v>-1</v>
      </c>
      <c r="AE1048" s="14">
        <f t="shared" si="437"/>
        <v>-0.1320198242632884</v>
      </c>
      <c r="AF1048" s="14">
        <f t="shared" si="438"/>
        <v>1.799438929567021E-3</v>
      </c>
      <c r="AG1048" s="13">
        <f t="shared" si="439"/>
        <v>5.9185878489618204E-2</v>
      </c>
      <c r="AH1048" s="13">
        <f>IF($T1048=1,$AU1048,VLOOKUP(U1048,'Cortes naturales'!$A$25:$C$29,3,9))</f>
        <v>4</v>
      </c>
      <c r="AI1048" s="13" t="b">
        <f t="shared" si="440"/>
        <v>0</v>
      </c>
      <c r="AJ1048" s="13" t="str">
        <f t="shared" si="441"/>
        <v>Cambio en corte</v>
      </c>
      <c r="AK1048" s="28">
        <v>0.35881802248113021</v>
      </c>
      <c r="AL1048" s="28">
        <v>21.011985687169151</v>
      </c>
      <c r="AM1048" s="28">
        <v>9.2211780383935474E-2</v>
      </c>
      <c r="AN1048" s="13">
        <v>5</v>
      </c>
      <c r="AO1048" s="33">
        <f t="shared" si="442"/>
        <v>0</v>
      </c>
      <c r="AP1048" s="13">
        <f t="shared" si="452"/>
        <v>9.221178038393548</v>
      </c>
      <c r="AQ1048" s="13">
        <f>IFERROR(VLOOKUP(U1048,'Cortes naturales'!$E$15:$G$19,3,9),U1048)</f>
        <v>4</v>
      </c>
      <c r="AR1048" s="28">
        <f t="shared" si="443"/>
        <v>-8.9669981491622974E-3</v>
      </c>
      <c r="AS1048" s="13" t="b">
        <f t="shared" si="444"/>
        <v>0</v>
      </c>
      <c r="AT1048" s="13">
        <f t="shared" si="453"/>
        <v>0</v>
      </c>
      <c r="AU1048" s="13">
        <v>4</v>
      </c>
      <c r="AV1048">
        <f t="shared" si="445"/>
        <v>-1</v>
      </c>
      <c r="AW1048" s="13">
        <v>0</v>
      </c>
      <c r="AX1048" s="13">
        <v>0</v>
      </c>
      <c r="AY1048" s="13">
        <v>0</v>
      </c>
      <c r="AZ1048" s="13">
        <v>0</v>
      </c>
      <c r="BA1048">
        <v>1</v>
      </c>
      <c r="BB1048" t="s">
        <v>2841</v>
      </c>
      <c r="BC1048">
        <v>6</v>
      </c>
      <c r="BD1048" t="s">
        <v>2919</v>
      </c>
      <c r="BE1048">
        <v>0</v>
      </c>
      <c r="BF1048" s="232" t="s">
        <v>2846</v>
      </c>
      <c r="BG1048" s="232" t="s">
        <v>2846</v>
      </c>
      <c r="BH1048" s="253">
        <v>48.1</v>
      </c>
      <c r="BI1048" s="253">
        <v>24.190800681431003</v>
      </c>
      <c r="BJ1048" s="25">
        <v>1.5149999999999999</v>
      </c>
      <c r="BK1048" t="s">
        <v>381</v>
      </c>
      <c r="BL1048">
        <v>1.4405084638840402</v>
      </c>
      <c r="BM1048" t="s">
        <v>383</v>
      </c>
      <c r="BN1048" s="322">
        <v>10536.634441</v>
      </c>
      <c r="BO1048" s="322">
        <v>564.01606200000003</v>
      </c>
      <c r="BP1048" s="10">
        <v>1518</v>
      </c>
      <c r="BQ1048" s="254">
        <f t="shared" si="446"/>
        <v>6.9411294077733858</v>
      </c>
      <c r="BR1048" s="254">
        <f t="shared" si="447"/>
        <v>0.37155208300395259</v>
      </c>
      <c r="BS1048" s="25">
        <v>55.096061612248661</v>
      </c>
      <c r="BT1048" s="25">
        <v>66.523936113306988</v>
      </c>
      <c r="BU1048" s="25">
        <v>32.482345679012333</v>
      </c>
      <c r="BV1048" s="25">
        <v>98.287584588833241</v>
      </c>
      <c r="BW1048" s="25">
        <v>58.040964374550207</v>
      </c>
      <c r="BX1048" s="25">
        <v>63.097481998350297</v>
      </c>
      <c r="BY1048" s="25">
        <v>64.342200666718028</v>
      </c>
      <c r="BZ1048">
        <v>53</v>
      </c>
      <c r="CA1048">
        <v>0</v>
      </c>
      <c r="CB1048">
        <v>7</v>
      </c>
      <c r="CC1048">
        <v>19941.924371000001</v>
      </c>
      <c r="CD1048" s="10">
        <v>8294.0287950000002</v>
      </c>
      <c r="CE1048" s="255">
        <v>0.41590914902181481</v>
      </c>
      <c r="CF1048" t="str">
        <f>IFERROR(VLOOKUP(CE1048,'Rangos amb etnico'!$A$2:$C$6,3,9),"N.D.")</f>
        <v>31% - 50%</v>
      </c>
      <c r="CG1048" s="256">
        <v>2.4130456335849182E-4</v>
      </c>
      <c r="CH1048" s="232">
        <v>9.8595670000000002</v>
      </c>
      <c r="CI1048" s="311">
        <f t="shared" si="454"/>
        <v>4.9441402026065284E-4</v>
      </c>
      <c r="CJ1048" s="232">
        <f>IFERROR(VLOOKUP(CI1048,'Rangos amb etnico'!$A$2:$C$6,3,9),"N.D.")</f>
        <v>0</v>
      </c>
      <c r="CK1048" s="311">
        <f t="shared" si="455"/>
        <v>3.9148936246182304E-7</v>
      </c>
      <c r="CL1048" s="10">
        <v>0</v>
      </c>
      <c r="CM1048" s="255">
        <f t="shared" si="456"/>
        <v>0</v>
      </c>
      <c r="CN1048" s="232">
        <f>IFERROR(VLOOKUP(CM1048,'Rangos amb etnico'!$A$2:$C$6,3,9),"N.D.")</f>
        <v>0</v>
      </c>
      <c r="CO1048" s="311">
        <f t="shared" si="457"/>
        <v>0</v>
      </c>
      <c r="CP1048">
        <v>0.95362062988976937</v>
      </c>
      <c r="CQ1048" t="s">
        <v>2864</v>
      </c>
      <c r="CR1048">
        <f t="shared" si="448"/>
        <v>3</v>
      </c>
      <c r="CS1048" t="str">
        <f t="shared" si="458"/>
        <v>Candidato</v>
      </c>
      <c r="CT1048">
        <v>0</v>
      </c>
      <c r="CU1048">
        <v>0</v>
      </c>
      <c r="CV1048" s="25">
        <v>52.263973236083977</v>
      </c>
      <c r="CW1048" s="25">
        <v>8.8287773132324219</v>
      </c>
      <c r="CX1048" s="25">
        <v>55.277408599853523</v>
      </c>
      <c r="CY1048" s="25">
        <v>66.113197326660156</v>
      </c>
      <c r="CZ1048" s="25">
        <v>25.26548004150391</v>
      </c>
      <c r="DA1048" s="25">
        <v>99.431251525878906</v>
      </c>
      <c r="DB1048" s="25">
        <v>58.667728424072273</v>
      </c>
      <c r="DC1048">
        <v>77</v>
      </c>
      <c r="DD1048" s="253" t="s">
        <v>380</v>
      </c>
    </row>
    <row r="1049" spans="1:108" hidden="1">
      <c r="A1049" s="13">
        <v>50450</v>
      </c>
      <c r="B1049" s="13" t="s">
        <v>2494</v>
      </c>
      <c r="C1049" s="13" t="s">
        <v>605</v>
      </c>
      <c r="D1049" s="13" t="s">
        <v>606</v>
      </c>
      <c r="E1049" s="13" t="s">
        <v>2495</v>
      </c>
      <c r="F1049" s="14">
        <v>53.388566666666698</v>
      </c>
      <c r="G1049" s="13">
        <v>65.64</v>
      </c>
      <c r="H1049" s="13">
        <v>63.17</v>
      </c>
      <c r="I1049" s="13">
        <v>73.930000000000007</v>
      </c>
      <c r="J1049" s="14">
        <v>51.940411155945512</v>
      </c>
      <c r="K1049" s="14">
        <v>59.951489588691196</v>
      </c>
      <c r="L1049" s="14">
        <v>57.746924551312532</v>
      </c>
      <c r="M1049" s="14">
        <v>55.135100000000001</v>
      </c>
      <c r="N1049" s="14">
        <f t="shared" si="432"/>
        <v>64.032141666666675</v>
      </c>
      <c r="O1049" s="14">
        <f t="shared" si="433"/>
        <v>56.193481323987307</v>
      </c>
      <c r="P1049" s="14">
        <f t="shared" si="449"/>
        <v>60.112811495326994</v>
      </c>
      <c r="Q1049" s="14">
        <v>73.844143357942386</v>
      </c>
      <c r="R1049" s="17">
        <f t="shared" si="434"/>
        <v>26.155856642057614</v>
      </c>
      <c r="S1049" s="14">
        <f t="shared" si="450"/>
        <v>0.33540270977851849</v>
      </c>
      <c r="T1049" s="13">
        <v>0</v>
      </c>
      <c r="U1049" s="13">
        <f t="shared" si="451"/>
        <v>20.161999867937951</v>
      </c>
      <c r="V1049" s="13">
        <f>IF($T1049=1,$AU1049,(VLOOKUP(U1049,'Cortes naturales'!$A$35:$C$39,3,9)))</f>
        <v>5</v>
      </c>
      <c r="W1049" s="13">
        <v>5</v>
      </c>
      <c r="X1049" s="14" t="b">
        <f t="shared" si="435"/>
        <v>1</v>
      </c>
      <c r="Y1049" s="17">
        <f>IF($T1049=1,$AU1049,VLOOKUP(U1049,'Cortes naturales'!$A$45:$C$49,3,9))</f>
        <v>5</v>
      </c>
      <c r="Z1049" s="14">
        <v>56.34854343272481</v>
      </c>
      <c r="AA1049" s="14">
        <v>0.34474753467404629</v>
      </c>
      <c r="AB1049" s="14">
        <v>19.426021430905301</v>
      </c>
      <c r="AC1049" s="13">
        <v>5</v>
      </c>
      <c r="AD1049" s="13">
        <f t="shared" si="436"/>
        <v>0</v>
      </c>
      <c r="AE1049" s="14">
        <f t="shared" si="437"/>
        <v>3.7642680626021843</v>
      </c>
      <c r="AF1049" s="14">
        <f t="shared" si="438"/>
        <v>-9.3448248955277924E-3</v>
      </c>
      <c r="AG1049" s="13">
        <f t="shared" si="439"/>
        <v>0.73597843703264942</v>
      </c>
      <c r="AH1049" s="13">
        <f>IF($T1049=1,$AU1049,VLOOKUP(U1049,'Cortes naturales'!$A$25:$C$29,3,9))</f>
        <v>4</v>
      </c>
      <c r="AI1049" s="13" t="b">
        <f t="shared" si="440"/>
        <v>0</v>
      </c>
      <c r="AJ1049" s="13">
        <f t="shared" si="441"/>
        <v>0</v>
      </c>
      <c r="AK1049" s="28">
        <v>0.35881802248113021</v>
      </c>
      <c r="AL1049" s="28">
        <v>20.218872924222392</v>
      </c>
      <c r="AM1049" s="28">
        <v>8.2290775739126104E-2</v>
      </c>
      <c r="AN1049" s="13">
        <v>5</v>
      </c>
      <c r="AO1049" s="33">
        <f t="shared" si="442"/>
        <v>0</v>
      </c>
      <c r="AP1049" s="13">
        <f t="shared" si="452"/>
        <v>8.2290775739126101</v>
      </c>
      <c r="AQ1049" s="13">
        <f>IFERROR(VLOOKUP(U1049,'Cortes naturales'!$E$15:$G$19,3,9),U1049)</f>
        <v>4</v>
      </c>
      <c r="AR1049" s="28">
        <f t="shared" si="443"/>
        <v>-2.3415312702611712E-2</v>
      </c>
      <c r="AS1049" s="13" t="b">
        <f t="shared" si="444"/>
        <v>0</v>
      </c>
      <c r="AT1049" s="13">
        <f t="shared" si="453"/>
        <v>0</v>
      </c>
      <c r="AU1049" s="13">
        <v>4</v>
      </c>
      <c r="AV1049">
        <f t="shared" si="445"/>
        <v>-1</v>
      </c>
      <c r="AW1049" s="13">
        <v>0</v>
      </c>
      <c r="AX1049" s="13">
        <v>0</v>
      </c>
      <c r="AY1049" s="13">
        <v>0</v>
      </c>
      <c r="AZ1049" s="13">
        <v>1</v>
      </c>
      <c r="BA1049">
        <v>1</v>
      </c>
      <c r="BB1049" t="s">
        <v>2841</v>
      </c>
      <c r="BC1049">
        <v>6</v>
      </c>
      <c r="BD1049" t="s">
        <v>2919</v>
      </c>
      <c r="BE1049">
        <v>0</v>
      </c>
      <c r="BF1049" s="232" t="s">
        <v>2846</v>
      </c>
      <c r="BG1049" s="232" t="s">
        <v>2846</v>
      </c>
      <c r="BH1049" s="253">
        <v>53</v>
      </c>
      <c r="BI1049" s="253">
        <v>46.259367458402131</v>
      </c>
      <c r="BJ1049" s="25">
        <v>3.8041666666666658</v>
      </c>
      <c r="BK1049" t="s">
        <v>381</v>
      </c>
      <c r="BL1049">
        <v>11.872555493914799</v>
      </c>
      <c r="BM1049" t="s">
        <v>376</v>
      </c>
      <c r="BN1049" s="322">
        <v>31950.333018000001</v>
      </c>
      <c r="BO1049" s="322">
        <v>2210.661384</v>
      </c>
      <c r="BP1049" s="10">
        <v>8692</v>
      </c>
      <c r="BQ1049" s="254">
        <f t="shared" si="446"/>
        <v>3.67583214657156</v>
      </c>
      <c r="BR1049" s="254">
        <f t="shared" si="447"/>
        <v>0.25433287896916706</v>
      </c>
      <c r="BS1049" s="25">
        <v>69.193419506312395</v>
      </c>
      <c r="BT1049" s="25">
        <v>97.722647898450688</v>
      </c>
      <c r="BU1049" s="25">
        <v>42.757911235257602</v>
      </c>
      <c r="BV1049" s="25">
        <v>84.145813011825226</v>
      </c>
      <c r="BW1049" s="25">
        <v>55.016598786530153</v>
      </c>
      <c r="BX1049" s="25">
        <v>73.454947912961472</v>
      </c>
      <c r="BY1049" s="25">
        <v>56.761087861602157</v>
      </c>
      <c r="BZ1049">
        <v>7</v>
      </c>
      <c r="CA1049">
        <v>0</v>
      </c>
      <c r="CB1049">
        <v>7</v>
      </c>
      <c r="CC1049">
        <v>125629.517322</v>
      </c>
      <c r="CD1049" s="10">
        <v>7602.2976170000002</v>
      </c>
      <c r="CE1049" s="255">
        <v>6.051362593007989E-2</v>
      </c>
      <c r="CF1049" t="str">
        <f>IFERROR(VLOOKUP(CE1049,'Rangos amb etnico'!$A$2:$C$6,3,9),"N.D.")</f>
        <v>0,1% - 30%</v>
      </c>
      <c r="CG1049" s="256">
        <v>2.2117949579550353E-4</v>
      </c>
      <c r="CH1049" s="232">
        <v>3704.6076950000001</v>
      </c>
      <c r="CI1049" s="311">
        <f t="shared" si="454"/>
        <v>2.9488354122262129E-2</v>
      </c>
      <c r="CJ1049" s="232" t="str">
        <f>IFERROR(VLOOKUP(CI1049,'Rangos amb etnico'!$A$2:$C$6,3,9),"N.D.")</f>
        <v>0,1% - 30%</v>
      </c>
      <c r="CK1049" s="311">
        <f t="shared" si="455"/>
        <v>1.4709718030078944E-4</v>
      </c>
      <c r="CL1049" s="10">
        <v>987.33526672400001</v>
      </c>
      <c r="CM1049" s="255">
        <f t="shared" si="456"/>
        <v>7.8591026039952772E-3</v>
      </c>
      <c r="CN1049" s="232" t="str">
        <f>IFERROR(VLOOKUP(CM1049,'Rangos amb etnico'!$A$2:$C$6,3,9),"N.D.")</f>
        <v>0,1% - 30%</v>
      </c>
      <c r="CO1049" s="311">
        <f t="shared" si="457"/>
        <v>6.1916480393513207E-4</v>
      </c>
      <c r="CP1049">
        <v>0.97575331567770196</v>
      </c>
      <c r="CQ1049" t="s">
        <v>2864</v>
      </c>
      <c r="CR1049">
        <f t="shared" si="448"/>
        <v>2</v>
      </c>
      <c r="CS1049" t="str">
        <f t="shared" si="458"/>
        <v>No es Candidato</v>
      </c>
      <c r="CT1049">
        <v>0</v>
      </c>
      <c r="CU1049">
        <v>0</v>
      </c>
      <c r="CV1049" s="25">
        <v>38.340114593505859</v>
      </c>
      <c r="CW1049" s="25">
        <v>22.91549110412598</v>
      </c>
      <c r="CX1049" s="25">
        <v>58.100940704345703</v>
      </c>
      <c r="CY1049" s="25">
        <v>57.239284515380859</v>
      </c>
      <c r="CZ1049" s="25">
        <v>29.842439651489261</v>
      </c>
      <c r="DA1049" s="25">
        <v>25.297613143920898</v>
      </c>
      <c r="DB1049" s="25">
        <v>36.644908905029297</v>
      </c>
      <c r="DC1049">
        <v>859</v>
      </c>
      <c r="DD1049" s="253" t="s">
        <v>380</v>
      </c>
    </row>
    <row r="1050" spans="1:108" hidden="1">
      <c r="A1050" s="13">
        <v>15180</v>
      </c>
      <c r="B1050" s="13" t="s">
        <v>2496</v>
      </c>
      <c r="C1050" s="13" t="s">
        <v>498</v>
      </c>
      <c r="D1050" s="13" t="s">
        <v>499</v>
      </c>
      <c r="E1050" s="13" t="s">
        <v>2497</v>
      </c>
      <c r="F1050" s="14">
        <v>50.535833333333301</v>
      </c>
      <c r="G1050" s="13">
        <v>37.54</v>
      </c>
      <c r="H1050" s="13">
        <v>23.32</v>
      </c>
      <c r="I1050" s="13">
        <v>48.35</v>
      </c>
      <c r="J1050" s="14">
        <v>47.426337328466879</v>
      </c>
      <c r="K1050" s="14">
        <v>58.848786043547307</v>
      </c>
      <c r="L1050" s="14">
        <v>44.365703206952674</v>
      </c>
      <c r="M1050" s="14">
        <v>45.3902</v>
      </c>
      <c r="N1050" s="14">
        <f t="shared" si="432"/>
        <v>39.93645833333332</v>
      </c>
      <c r="O1050" s="14">
        <f t="shared" si="433"/>
        <v>49.007756644741711</v>
      </c>
      <c r="P1050" s="14">
        <f t="shared" si="449"/>
        <v>44.472107489037512</v>
      </c>
      <c r="Q1050" s="14">
        <v>73.335299936875529</v>
      </c>
      <c r="R1050" s="17">
        <f t="shared" si="434"/>
        <v>26.664700063124471</v>
      </c>
      <c r="S1050" s="14">
        <f t="shared" si="450"/>
        <v>0.33998230056812023</v>
      </c>
      <c r="T1050" s="13">
        <v>0</v>
      </c>
      <c r="U1050" s="13">
        <f t="shared" si="451"/>
        <v>15.119729415235701</v>
      </c>
      <c r="V1050" s="13">
        <f>IF($T1050=1,$AU1050,(VLOOKUP(U1050,'Cortes naturales'!$A$35:$C$39,3,9)))</f>
        <v>5</v>
      </c>
      <c r="W1050" s="13">
        <v>5</v>
      </c>
      <c r="X1050" s="14" t="b">
        <f t="shared" si="435"/>
        <v>1</v>
      </c>
      <c r="Y1050" s="17">
        <f>IF($T1050=1,$AU1050,VLOOKUP(U1050,'Cortes naturales'!$A$45:$C$49,3,9))</f>
        <v>5</v>
      </c>
      <c r="Z1050" s="14">
        <v>46.219408903818902</v>
      </c>
      <c r="AA1050" s="14">
        <v>0.34529176547007145</v>
      </c>
      <c r="AB1050" s="14">
        <v>15.959181299382768</v>
      </c>
      <c r="AC1050" s="13">
        <v>5</v>
      </c>
      <c r="AD1050" s="13">
        <f t="shared" si="436"/>
        <v>0</v>
      </c>
      <c r="AE1050" s="14">
        <f t="shared" si="437"/>
        <v>-1.7473014147813899</v>
      </c>
      <c r="AF1050" s="14">
        <f t="shared" si="438"/>
        <v>-5.3094649019512219E-3</v>
      </c>
      <c r="AG1050" s="13">
        <f t="shared" si="439"/>
        <v>-0.83945188414706706</v>
      </c>
      <c r="AH1050" s="13">
        <f>IF($T1050=1,$AU1050,VLOOKUP(U1050,'Cortes naturales'!$A$25:$C$29,3,9))</f>
        <v>5</v>
      </c>
      <c r="AI1050" s="13" t="b">
        <f t="shared" si="440"/>
        <v>1</v>
      </c>
      <c r="AJ1050" s="13">
        <f t="shared" si="441"/>
        <v>0</v>
      </c>
      <c r="AK1050" s="28">
        <v>0.35881802248113021</v>
      </c>
      <c r="AL1050" s="28">
        <v>16.58435690311504</v>
      </c>
      <c r="AM1050" s="28">
        <v>3.6826811456079155E-2</v>
      </c>
      <c r="AN1050" s="13">
        <v>5</v>
      </c>
      <c r="AO1050" s="33">
        <f t="shared" si="442"/>
        <v>0</v>
      </c>
      <c r="AP1050" s="13">
        <f t="shared" si="452"/>
        <v>3.6826811456079156</v>
      </c>
      <c r="AQ1050" s="13">
        <f>IFERROR(VLOOKUP(U1050,'Cortes naturales'!$E$15:$G$19,3,9),U1050)</f>
        <v>5</v>
      </c>
      <c r="AR1050" s="28">
        <f t="shared" si="443"/>
        <v>-1.8835721913009973E-2</v>
      </c>
      <c r="AS1050" s="13" t="b">
        <f t="shared" si="444"/>
        <v>1</v>
      </c>
      <c r="AT1050" s="13">
        <f t="shared" si="453"/>
        <v>0</v>
      </c>
      <c r="AU1050" s="13">
        <v>4</v>
      </c>
      <c r="AV1050">
        <f t="shared" si="445"/>
        <v>-1</v>
      </c>
      <c r="AW1050" s="13">
        <v>0</v>
      </c>
      <c r="AX1050" s="13">
        <v>0</v>
      </c>
      <c r="AY1050" s="13">
        <v>0</v>
      </c>
      <c r="AZ1050" s="13">
        <v>0</v>
      </c>
      <c r="BA1050">
        <v>0</v>
      </c>
      <c r="BB1050" t="s">
        <v>2841</v>
      </c>
      <c r="BC1050">
        <v>6</v>
      </c>
      <c r="BD1050" t="s">
        <v>2919</v>
      </c>
      <c r="BE1050">
        <v>1</v>
      </c>
      <c r="BF1050" s="232" t="s">
        <v>2846</v>
      </c>
      <c r="BG1050" s="232" t="s">
        <v>2846</v>
      </c>
      <c r="BH1050" s="253">
        <v>60.1</v>
      </c>
      <c r="BI1050" s="253">
        <v>28.826317256760525</v>
      </c>
      <c r="BJ1050" s="25">
        <v>30.125769308700836</v>
      </c>
      <c r="BK1050" t="s">
        <v>379</v>
      </c>
      <c r="BL1050">
        <v>0</v>
      </c>
      <c r="BM1050" t="s">
        <v>377</v>
      </c>
      <c r="BN1050" s="322">
        <v>14902.253273</v>
      </c>
      <c r="BO1050" s="322">
        <v>594.09657100000004</v>
      </c>
      <c r="BP1050" s="10">
        <v>4078</v>
      </c>
      <c r="BQ1050" s="254">
        <f t="shared" si="446"/>
        <v>3.6543043827856794</v>
      </c>
      <c r="BR1050" s="254">
        <f t="shared" si="447"/>
        <v>0.14568331804806278</v>
      </c>
      <c r="BS1050" s="25">
        <v>61.630932298695463</v>
      </c>
      <c r="BT1050" s="25">
        <v>82.71538335785516</v>
      </c>
      <c r="BU1050" s="25">
        <v>38.241388888888871</v>
      </c>
      <c r="BV1050" s="25">
        <v>93.229058925499842</v>
      </c>
      <c r="BW1050" s="25">
        <v>50.798005862385693</v>
      </c>
      <c r="BX1050" s="25">
        <v>68.954190867734837</v>
      </c>
      <c r="BY1050" s="25">
        <v>51.465893510698713</v>
      </c>
      <c r="BZ1050">
        <v>44</v>
      </c>
      <c r="CA1050">
        <v>0</v>
      </c>
      <c r="CB1050">
        <v>7</v>
      </c>
      <c r="CC1050">
        <v>65728.074588999996</v>
      </c>
      <c r="CD1050" s="10">
        <v>62220.440874</v>
      </c>
      <c r="CE1050" s="255">
        <v>0.94663416299757208</v>
      </c>
      <c r="CF1050" t="str">
        <f>IFERROR(VLOOKUP(CE1050,'Rangos amb etnico'!$A$2:$C$6,3,9),"N.D.")</f>
        <v>71% - 100%</v>
      </c>
      <c r="CG1050" s="256">
        <v>1.810227175257043E-3</v>
      </c>
      <c r="CH1050" s="232">
        <v>6700.8073530000001</v>
      </c>
      <c r="CI1050" s="311">
        <f t="shared" si="454"/>
        <v>0.10194741584780002</v>
      </c>
      <c r="CJ1050" s="232" t="str">
        <f>IFERROR(VLOOKUP(CI1050,'Rangos amb etnico'!$A$2:$C$6,3,9),"N.D.")</f>
        <v>0,1% - 30%</v>
      </c>
      <c r="CK1050" s="311">
        <f t="shared" si="455"/>
        <v>2.6606592344323698E-4</v>
      </c>
      <c r="CL1050" s="10">
        <v>0</v>
      </c>
      <c r="CM1050" s="255">
        <f t="shared" si="456"/>
        <v>0</v>
      </c>
      <c r="CN1050" s="232">
        <f>IFERROR(VLOOKUP(CM1050,'Rangos amb etnico'!$A$2:$C$6,3,9),"N.D.")</f>
        <v>0</v>
      </c>
      <c r="CO1050" s="311">
        <f t="shared" si="457"/>
        <v>0</v>
      </c>
      <c r="CP1050">
        <v>0.9401371626297268</v>
      </c>
      <c r="CQ1050" t="s">
        <v>2864</v>
      </c>
      <c r="CR1050">
        <f t="shared" si="448"/>
        <v>1</v>
      </c>
      <c r="CS1050" t="str">
        <f t="shared" si="458"/>
        <v>No es Candidato</v>
      </c>
      <c r="CT1050">
        <v>0</v>
      </c>
      <c r="CU1050">
        <v>0</v>
      </c>
      <c r="CV1050" s="25">
        <v>49.161060333251953</v>
      </c>
      <c r="CW1050" s="25">
        <v>8.5028018951416016</v>
      </c>
      <c r="CX1050" s="25">
        <v>47.562740325927727</v>
      </c>
      <c r="CY1050" s="25">
        <v>47.697162628173828</v>
      </c>
      <c r="CZ1050" s="25">
        <v>33.076377868652337</v>
      </c>
      <c r="DA1050" s="25">
        <v>92.340904235839844</v>
      </c>
      <c r="DB1050" s="25">
        <v>65.786376953125</v>
      </c>
      <c r="DC1050">
        <v>28</v>
      </c>
      <c r="DD1050" s="253" t="s">
        <v>380</v>
      </c>
    </row>
    <row r="1051" spans="1:108">
      <c r="A1051" s="13">
        <v>5873</v>
      </c>
      <c r="B1051" s="13" t="s">
        <v>2498</v>
      </c>
      <c r="C1051" s="13" t="s">
        <v>435</v>
      </c>
      <c r="D1051" s="13" t="s">
        <v>436</v>
      </c>
      <c r="E1051" s="13" t="s">
        <v>2499</v>
      </c>
      <c r="F1051" s="14">
        <v>34.722666666666697</v>
      </c>
      <c r="G1051" s="13">
        <v>39.380000000000003</v>
      </c>
      <c r="H1051" s="13">
        <v>44.04</v>
      </c>
      <c r="I1051" s="13">
        <v>44.37</v>
      </c>
      <c r="J1051" s="14">
        <v>49.206115814080036</v>
      </c>
      <c r="K1051" s="14">
        <v>48.968216223950961</v>
      </c>
      <c r="L1051" s="14">
        <v>64.582181697613251</v>
      </c>
      <c r="M1051" s="14">
        <v>46.5503</v>
      </c>
      <c r="N1051" s="14">
        <f t="shared" si="432"/>
        <v>40.628166666666672</v>
      </c>
      <c r="O1051" s="14">
        <f t="shared" si="433"/>
        <v>52.326703433911064</v>
      </c>
      <c r="P1051" s="14">
        <f t="shared" si="449"/>
        <v>46.477435050288868</v>
      </c>
      <c r="Q1051" s="14">
        <v>71.931715271586114</v>
      </c>
      <c r="R1051" s="17">
        <f t="shared" si="434"/>
        <v>28.068284728413886</v>
      </c>
      <c r="S1051" s="14">
        <f t="shared" si="450"/>
        <v>0.35261456255572499</v>
      </c>
      <c r="T1051" s="13">
        <v>0</v>
      </c>
      <c r="U1051" s="13">
        <f t="shared" si="451"/>
        <v>16.38862042896973</v>
      </c>
      <c r="V1051" s="13">
        <f>IF($T1051=1,$AU1051,(VLOOKUP(U1051,'Cortes naturales'!$A$35:$C$39,3,9)))</f>
        <v>5</v>
      </c>
      <c r="W1051" s="13">
        <v>5</v>
      </c>
      <c r="X1051" s="14" t="b">
        <f t="shared" si="435"/>
        <v>1</v>
      </c>
      <c r="Y1051" s="17">
        <f>IF($T1051=1,$AU1051,VLOOKUP(U1051,'Cortes naturales'!$A$45:$C$49,3,9))</f>
        <v>5</v>
      </c>
      <c r="Z1051" s="14">
        <v>45.172273274778732</v>
      </c>
      <c r="AA1051" s="14">
        <v>0.3448267610064798</v>
      </c>
      <c r="AB1051" s="14">
        <v>15.57660868064152</v>
      </c>
      <c r="AC1051" s="13">
        <v>5</v>
      </c>
      <c r="AD1051" s="13">
        <f t="shared" si="436"/>
        <v>0</v>
      </c>
      <c r="AE1051" s="14">
        <f t="shared" si="437"/>
        <v>1.3051617755101361</v>
      </c>
      <c r="AF1051" s="14">
        <f t="shared" si="438"/>
        <v>7.787801549245188E-3</v>
      </c>
      <c r="AG1051" s="13">
        <f t="shared" si="439"/>
        <v>0.8120117483282101</v>
      </c>
      <c r="AH1051" s="13">
        <f>IF($T1051=1,$AU1051,VLOOKUP(U1051,'Cortes naturales'!$A$25:$C$29,3,9))</f>
        <v>5</v>
      </c>
      <c r="AI1051" s="13" t="b">
        <f t="shared" si="440"/>
        <v>1</v>
      </c>
      <c r="AJ1051" s="13">
        <f t="shared" si="441"/>
        <v>0</v>
      </c>
      <c r="AK1051" s="28">
        <v>0.35881802248113021</v>
      </c>
      <c r="AL1051" s="28">
        <v>16.208625767433311</v>
      </c>
      <c r="AM1051" s="28">
        <v>3.2126811006649783E-2</v>
      </c>
      <c r="AN1051" s="13">
        <v>5</v>
      </c>
      <c r="AO1051" s="33">
        <f t="shared" si="442"/>
        <v>0</v>
      </c>
      <c r="AP1051" s="13">
        <f t="shared" si="452"/>
        <v>3.2126811006649785</v>
      </c>
      <c r="AQ1051" s="13">
        <f>IFERROR(VLOOKUP(U1051,'Cortes naturales'!$E$15:$G$19,3,9),U1051)</f>
        <v>5</v>
      </c>
      <c r="AR1051" s="28">
        <f t="shared" si="443"/>
        <v>-6.2034599254052192E-3</v>
      </c>
      <c r="AS1051" s="13" t="b">
        <f t="shared" si="444"/>
        <v>1</v>
      </c>
      <c r="AT1051" s="13">
        <f t="shared" si="453"/>
        <v>0</v>
      </c>
      <c r="AU1051" s="13">
        <v>4</v>
      </c>
      <c r="AV1051">
        <f t="shared" si="445"/>
        <v>-1</v>
      </c>
      <c r="AW1051" s="13">
        <v>0</v>
      </c>
      <c r="AX1051" s="13">
        <v>0</v>
      </c>
      <c r="AY1051" s="13">
        <v>0</v>
      </c>
      <c r="AZ1051" s="13">
        <v>1</v>
      </c>
      <c r="BA1051">
        <v>1</v>
      </c>
      <c r="BB1051" t="s">
        <v>2841</v>
      </c>
      <c r="BC1051">
        <v>6</v>
      </c>
      <c r="BD1051" t="s">
        <v>2919</v>
      </c>
      <c r="BE1051">
        <v>1</v>
      </c>
      <c r="BF1051" s="232" t="s">
        <v>2846</v>
      </c>
      <c r="BG1051" s="232" t="s">
        <v>2846</v>
      </c>
      <c r="BH1051" s="253">
        <v>76.099999999999994</v>
      </c>
      <c r="BI1051" s="253">
        <v>78.254984001968992</v>
      </c>
      <c r="BJ1051" s="25">
        <v>35.234999999999999</v>
      </c>
      <c r="BK1051" t="s">
        <v>376</v>
      </c>
      <c r="BL1051">
        <v>1.3558140368558456</v>
      </c>
      <c r="BM1051" t="s">
        <v>383</v>
      </c>
      <c r="BN1051" s="322">
        <v>33548.277657999999</v>
      </c>
      <c r="BO1051" s="322">
        <v>3088.6433809999999</v>
      </c>
      <c r="BP1051" s="10">
        <v>11150</v>
      </c>
      <c r="BQ1051" s="254">
        <f t="shared" si="446"/>
        <v>3.0088141397309416</v>
      </c>
      <c r="BR1051" s="254">
        <f t="shared" si="447"/>
        <v>0.27700837497757846</v>
      </c>
      <c r="BS1051" s="25">
        <v>47.550787207872077</v>
      </c>
      <c r="BT1051" s="25">
        <v>78.951070589827495</v>
      </c>
      <c r="BU1051" s="25">
        <v>54.109999999999992</v>
      </c>
      <c r="BV1051" s="25">
        <v>96.55202085066729</v>
      </c>
      <c r="BW1051" s="25">
        <v>28.44681680015665</v>
      </c>
      <c r="BX1051" s="25">
        <v>69.290969662091712</v>
      </c>
      <c r="BY1051" s="25">
        <v>29.562105097309441</v>
      </c>
      <c r="BZ1051">
        <v>51</v>
      </c>
      <c r="CA1051">
        <v>0</v>
      </c>
      <c r="CB1051">
        <v>7</v>
      </c>
      <c r="CC1051">
        <v>166272.99152400001</v>
      </c>
      <c r="CD1051" s="10">
        <v>17351.282945999999</v>
      </c>
      <c r="CE1051" s="255">
        <v>0.10435418757408654</v>
      </c>
      <c r="CF1051" t="str">
        <f>IFERROR(VLOOKUP(CE1051,'Rangos amb etnico'!$A$2:$C$6,3,9),"N.D.")</f>
        <v>0,1% - 30%</v>
      </c>
      <c r="CG1051" s="256">
        <v>5.0481422942710863E-4</v>
      </c>
      <c r="CH1051" s="232">
        <v>162859.329597</v>
      </c>
      <c r="CI1051" s="311">
        <f t="shared" si="454"/>
        <v>0.97946953443423623</v>
      </c>
      <c r="CJ1051" s="232" t="str">
        <f>IFERROR(VLOOKUP(CI1051,'Rangos amb etnico'!$A$2:$C$6,3,9),"N.D.")</f>
        <v>71% - 100%</v>
      </c>
      <c r="CK1051" s="311">
        <f t="shared" si="455"/>
        <v>6.4665816576822731E-3</v>
      </c>
      <c r="CL1051" s="10">
        <v>0</v>
      </c>
      <c r="CM1051" s="255">
        <f t="shared" si="456"/>
        <v>0</v>
      </c>
      <c r="CN1051" s="232">
        <f>IFERROR(VLOOKUP(CM1051,'Rangos amb etnico'!$A$2:$C$6,3,9),"N.D.")</f>
        <v>0</v>
      </c>
      <c r="CO1051" s="311">
        <f t="shared" si="457"/>
        <v>0</v>
      </c>
      <c r="CP1051">
        <v>0.90226009567184218</v>
      </c>
      <c r="CQ1051" t="s">
        <v>2864</v>
      </c>
      <c r="CR1051">
        <f t="shared" si="448"/>
        <v>1</v>
      </c>
      <c r="CS1051" t="str">
        <f t="shared" si="458"/>
        <v>No es Candidato</v>
      </c>
      <c r="CT1051">
        <v>0</v>
      </c>
      <c r="CU1051">
        <v>0</v>
      </c>
      <c r="CV1051" s="25">
        <v>40.372859954833977</v>
      </c>
      <c r="CW1051" s="25">
        <v>9.9667816162109375</v>
      </c>
      <c r="CX1051" s="25">
        <v>50.053535461425781</v>
      </c>
      <c r="CY1051" s="25">
        <v>9.5496501922607422</v>
      </c>
      <c r="CZ1051" s="25">
        <v>16.42283821105957</v>
      </c>
      <c r="DA1051" s="25">
        <v>94.83526611328125</v>
      </c>
      <c r="DB1051" s="25">
        <v>61.409084320068359</v>
      </c>
      <c r="DC1051">
        <v>9058</v>
      </c>
      <c r="DD1051" s="253" t="s">
        <v>380</v>
      </c>
    </row>
    <row r="1052" spans="1:108" hidden="1">
      <c r="A1052" s="13">
        <v>50689</v>
      </c>
      <c r="B1052" s="13" t="s">
        <v>2500</v>
      </c>
      <c r="C1052" s="13" t="s">
        <v>605</v>
      </c>
      <c r="D1052" s="13" t="s">
        <v>606</v>
      </c>
      <c r="E1052" s="13" t="s">
        <v>1833</v>
      </c>
      <c r="F1052" s="14">
        <v>57.349600000000002</v>
      </c>
      <c r="G1052" s="13">
        <v>46.98</v>
      </c>
      <c r="H1052" s="13">
        <v>48.65</v>
      </c>
      <c r="I1052" s="13">
        <v>61.65</v>
      </c>
      <c r="J1052" s="14">
        <v>55.320275079321597</v>
      </c>
      <c r="K1052" s="14">
        <v>59.68796582806597</v>
      </c>
      <c r="L1052" s="14">
        <v>56.972721334108385</v>
      </c>
      <c r="M1052" s="14">
        <v>53.333599999999997</v>
      </c>
      <c r="N1052" s="14">
        <f t="shared" si="432"/>
        <v>53.657400000000003</v>
      </c>
      <c r="O1052" s="14">
        <f t="shared" si="433"/>
        <v>56.328640560373984</v>
      </c>
      <c r="P1052" s="14">
        <f t="shared" si="449"/>
        <v>54.993020280186997</v>
      </c>
      <c r="Q1052" s="14">
        <v>74.226281725595328</v>
      </c>
      <c r="R1052" s="17">
        <f t="shared" si="434"/>
        <v>25.773718274404672</v>
      </c>
      <c r="S1052" s="14">
        <f t="shared" si="450"/>
        <v>0.33196346446964209</v>
      </c>
      <c r="T1052" s="13">
        <v>0</v>
      </c>
      <c r="U1052" s="13">
        <f t="shared" si="451"/>
        <v>18.255673533860161</v>
      </c>
      <c r="V1052" s="13">
        <f>IF($T1052=1,$AU1052,(VLOOKUP(U1052,'Cortes naturales'!$A$35:$C$39,3,9)))</f>
        <v>5</v>
      </c>
      <c r="W1052" s="13">
        <v>5</v>
      </c>
      <c r="X1052" s="14" t="b">
        <f t="shared" si="435"/>
        <v>1</v>
      </c>
      <c r="Y1052" s="17">
        <f>IF($T1052=1,$AU1052,VLOOKUP(U1052,'Cortes naturales'!$A$45:$C$49,3,9))</f>
        <v>5</v>
      </c>
      <c r="Z1052" s="14">
        <v>54.257402206742867</v>
      </c>
      <c r="AA1052" s="14">
        <v>0.34347650452099893</v>
      </c>
      <c r="AB1052" s="14">
        <v>18.636142854361974</v>
      </c>
      <c r="AC1052" s="13">
        <v>5</v>
      </c>
      <c r="AD1052" s="13">
        <f t="shared" si="436"/>
        <v>0</v>
      </c>
      <c r="AE1052" s="14">
        <f t="shared" si="437"/>
        <v>0.73561807344412955</v>
      </c>
      <c r="AF1052" s="14">
        <f t="shared" si="438"/>
        <v>-1.1513040051356838E-2</v>
      </c>
      <c r="AG1052" s="13">
        <f t="shared" si="439"/>
        <v>-0.38046932050181326</v>
      </c>
      <c r="AH1052" s="13">
        <f>IF($T1052=1,$AU1052,VLOOKUP(U1052,'Cortes naturales'!$A$25:$C$29,3,9))</f>
        <v>5</v>
      </c>
      <c r="AI1052" s="13" t="b">
        <f t="shared" si="440"/>
        <v>1</v>
      </c>
      <c r="AJ1052" s="13">
        <f t="shared" si="441"/>
        <v>0</v>
      </c>
      <c r="AK1052" s="28">
        <v>0.35881802248113021</v>
      </c>
      <c r="AL1052" s="28">
        <v>19.468533764786784</v>
      </c>
      <c r="AM1052" s="28">
        <v>7.2904823786613199E-2</v>
      </c>
      <c r="AN1052" s="13">
        <v>5</v>
      </c>
      <c r="AO1052" s="33">
        <f t="shared" si="442"/>
        <v>0</v>
      </c>
      <c r="AP1052" s="13">
        <f t="shared" si="452"/>
        <v>7.29048237866132</v>
      </c>
      <c r="AQ1052" s="13">
        <f>IFERROR(VLOOKUP(U1052,'Cortes naturales'!$E$15:$G$19,3,9),U1052)</f>
        <v>5</v>
      </c>
      <c r="AR1052" s="28">
        <f t="shared" si="443"/>
        <v>-2.6854558011488117E-2</v>
      </c>
      <c r="AS1052" s="13" t="b">
        <f t="shared" si="444"/>
        <v>1</v>
      </c>
      <c r="AT1052" s="13">
        <f t="shared" si="453"/>
        <v>0</v>
      </c>
      <c r="AU1052" s="13">
        <v>4</v>
      </c>
      <c r="AV1052">
        <f t="shared" si="445"/>
        <v>-1</v>
      </c>
      <c r="AW1052" s="13">
        <v>0</v>
      </c>
      <c r="AX1052" s="13">
        <v>0</v>
      </c>
      <c r="AY1052" s="13">
        <v>0</v>
      </c>
      <c r="AZ1052" s="13">
        <v>0</v>
      </c>
      <c r="BA1052">
        <v>1</v>
      </c>
      <c r="BB1052" t="s">
        <v>2841</v>
      </c>
      <c r="BC1052">
        <v>6</v>
      </c>
      <c r="BD1052" t="s">
        <v>2919</v>
      </c>
      <c r="BE1052">
        <v>1</v>
      </c>
      <c r="BF1052" s="232" t="s">
        <v>2846</v>
      </c>
      <c r="BG1052" s="232" t="s">
        <v>2845</v>
      </c>
      <c r="BH1052" s="253">
        <v>25.5</v>
      </c>
      <c r="BI1052" s="253">
        <v>16.469450711358718</v>
      </c>
      <c r="BJ1052" s="25">
        <v>10.605</v>
      </c>
      <c r="BK1052" t="s">
        <v>377</v>
      </c>
      <c r="BL1052">
        <v>6.8718131099924014</v>
      </c>
      <c r="BM1052" t="s">
        <v>379</v>
      </c>
      <c r="BN1052" s="322">
        <v>49874.834322000002</v>
      </c>
      <c r="BO1052" s="322">
        <v>14527.02008</v>
      </c>
      <c r="BP1052" s="10">
        <v>28332</v>
      </c>
      <c r="BQ1052" s="254">
        <f t="shared" si="446"/>
        <v>1.7603711111817029</v>
      </c>
      <c r="BR1052" s="254">
        <f t="shared" si="447"/>
        <v>0.51274248482281515</v>
      </c>
      <c r="BS1052" s="25">
        <v>58.30437827687205</v>
      </c>
      <c r="BT1052" s="25">
        <v>90.671309431502664</v>
      </c>
      <c r="BU1052" s="25">
        <v>45.667641603179838</v>
      </c>
      <c r="BV1052" s="25">
        <v>91.382460014168146</v>
      </c>
      <c r="BW1052" s="25">
        <v>60.928192446050112</v>
      </c>
      <c r="BX1052" s="25">
        <v>71.506447331430678</v>
      </c>
      <c r="BY1052" s="25">
        <v>62.781782807880951</v>
      </c>
      <c r="BZ1052">
        <v>63</v>
      </c>
      <c r="CA1052">
        <v>0</v>
      </c>
      <c r="CB1052">
        <v>6</v>
      </c>
      <c r="CC1052">
        <v>592203.56377100002</v>
      </c>
      <c r="CD1052" s="10">
        <v>78691.669259000002</v>
      </c>
      <c r="CE1052" s="255">
        <v>0.13287942537513905</v>
      </c>
      <c r="CF1052" t="str">
        <f>IFERROR(VLOOKUP(CE1052,'Rangos amb etnico'!$A$2:$C$6,3,9),"N.D.")</f>
        <v>0,1% - 30%</v>
      </c>
      <c r="CG1052" s="256">
        <v>2.2894372999935852E-3</v>
      </c>
      <c r="CH1052" s="232">
        <v>0</v>
      </c>
      <c r="CI1052" s="311">
        <f t="shared" si="454"/>
        <v>0</v>
      </c>
      <c r="CJ1052" s="232">
        <f>IFERROR(VLOOKUP(CI1052,'Rangos amb etnico'!$A$2:$C$6,3,9),"N.D.")</f>
        <v>0</v>
      </c>
      <c r="CK1052" s="311">
        <f t="shared" si="455"/>
        <v>0</v>
      </c>
      <c r="CL1052" s="10">
        <v>0</v>
      </c>
      <c r="CM1052" s="255">
        <f t="shared" si="456"/>
        <v>0</v>
      </c>
      <c r="CN1052" s="232">
        <f>IFERROR(VLOOKUP(CM1052,'Rangos amb etnico'!$A$2:$C$6,3,9),"N.D.")</f>
        <v>0</v>
      </c>
      <c r="CO1052" s="311">
        <f t="shared" si="457"/>
        <v>0</v>
      </c>
      <c r="CP1052">
        <v>0.96965207224752237</v>
      </c>
      <c r="CQ1052" t="s">
        <v>2864</v>
      </c>
      <c r="CR1052">
        <f t="shared" si="448"/>
        <v>3</v>
      </c>
      <c r="CS1052" t="str">
        <f t="shared" si="458"/>
        <v>Candidato</v>
      </c>
      <c r="CT1052">
        <v>0</v>
      </c>
      <c r="CU1052">
        <v>0</v>
      </c>
      <c r="CV1052" s="25">
        <v>43.817737579345703</v>
      </c>
      <c r="CW1052" s="25">
        <v>30.53026008605957</v>
      </c>
      <c r="CX1052" s="25">
        <v>49.788742065429688</v>
      </c>
      <c r="CY1052" s="25">
        <v>59.548603057861328</v>
      </c>
      <c r="CZ1052" s="25">
        <v>38.203079223632813</v>
      </c>
      <c r="DA1052" s="25">
        <v>24.728683471679691</v>
      </c>
      <c r="DB1052" s="25">
        <v>60.107048034667969</v>
      </c>
      <c r="DC1052">
        <v>367</v>
      </c>
      <c r="DD1052" s="253" t="s">
        <v>380</v>
      </c>
    </row>
    <row r="1053" spans="1:108" hidden="1">
      <c r="A1053" s="13">
        <v>27372</v>
      </c>
      <c r="B1053" s="13" t="s">
        <v>2501</v>
      </c>
      <c r="C1053" s="13" t="s">
        <v>1714</v>
      </c>
      <c r="D1053" s="13" t="s">
        <v>1715</v>
      </c>
      <c r="E1053" s="13" t="s">
        <v>2502</v>
      </c>
      <c r="F1053" s="14">
        <v>64.810166666666703</v>
      </c>
      <c r="G1053" s="13">
        <v>79.53</v>
      </c>
      <c r="H1053" s="13">
        <v>37.32</v>
      </c>
      <c r="I1053" s="13">
        <v>71.650000000000006</v>
      </c>
      <c r="J1053" s="14">
        <v>51.676004757330475</v>
      </c>
      <c r="K1053" s="14">
        <v>57.703136779040591</v>
      </c>
      <c r="L1053" s="14">
        <v>47.655409594223514</v>
      </c>
      <c r="M1053" s="14">
        <v>57.179200000000002</v>
      </c>
      <c r="N1053" s="14">
        <f t="shared" si="432"/>
        <v>63.327541666666676</v>
      </c>
      <c r="O1053" s="14">
        <f t="shared" si="433"/>
        <v>53.553437782648651</v>
      </c>
      <c r="P1053" s="14">
        <f t="shared" si="449"/>
        <v>58.440489724657667</v>
      </c>
      <c r="Q1053" s="14">
        <v>72.475696597278798</v>
      </c>
      <c r="R1053" s="17">
        <f t="shared" si="434"/>
        <v>27.524303402721202</v>
      </c>
      <c r="S1053" s="14">
        <f t="shared" si="450"/>
        <v>0.34771873062449082</v>
      </c>
      <c r="T1053" s="13">
        <v>0</v>
      </c>
      <c r="U1053" s="13">
        <f t="shared" si="451"/>
        <v>20.320852904131563</v>
      </c>
      <c r="V1053" s="13">
        <f>IF($T1053=1,$AU1053,(VLOOKUP(U1053,'Cortes naturales'!$A$35:$C$39,3,9)))</f>
        <v>5</v>
      </c>
      <c r="W1053" s="13">
        <v>5</v>
      </c>
      <c r="X1053" s="14" t="b">
        <f t="shared" si="435"/>
        <v>1</v>
      </c>
      <c r="Y1053" s="17">
        <f>IF($T1053=1,$AU1053,VLOOKUP(U1053,'Cortes naturales'!$A$45:$C$49,3,9))</f>
        <v>5</v>
      </c>
      <c r="Z1053" s="14">
        <v>55.290541560587329</v>
      </c>
      <c r="AA1053" s="14">
        <v>0.34453795864152947</v>
      </c>
      <c r="AB1053" s="14">
        <v>19.049690321469402</v>
      </c>
      <c r="AC1053" s="13">
        <v>5</v>
      </c>
      <c r="AD1053" s="13">
        <f t="shared" si="436"/>
        <v>0</v>
      </c>
      <c r="AE1053" s="14">
        <f t="shared" si="437"/>
        <v>3.149948164070338</v>
      </c>
      <c r="AF1053" s="14">
        <f t="shared" si="438"/>
        <v>3.1807719829613501E-3</v>
      </c>
      <c r="AG1053" s="13">
        <f t="shared" si="439"/>
        <v>1.2711625826621606</v>
      </c>
      <c r="AH1053" s="13">
        <f>IF($T1053=1,$AU1053,VLOOKUP(U1053,'Cortes naturales'!$A$25:$C$29,3,9))</f>
        <v>4</v>
      </c>
      <c r="AI1053" s="13" t="b">
        <f t="shared" si="440"/>
        <v>0</v>
      </c>
      <c r="AJ1053" s="13">
        <f t="shared" si="441"/>
        <v>0</v>
      </c>
      <c r="AK1053" s="28">
        <v>0.35881802248113021</v>
      </c>
      <c r="AL1053" s="28">
        <v>19.839242784680689</v>
      </c>
      <c r="AM1053" s="28">
        <v>7.7542002861345924E-2</v>
      </c>
      <c r="AN1053" s="13">
        <v>5</v>
      </c>
      <c r="AO1053" s="33">
        <f t="shared" si="442"/>
        <v>0</v>
      </c>
      <c r="AP1053" s="13">
        <f t="shared" si="452"/>
        <v>7.7542002861345924</v>
      </c>
      <c r="AQ1053" s="13">
        <f>IFERROR(VLOOKUP(U1053,'Cortes naturales'!$E$15:$G$19,3,9),U1053)</f>
        <v>4</v>
      </c>
      <c r="AR1053" s="28">
        <f t="shared" si="443"/>
        <v>-1.1099291856639382E-2</v>
      </c>
      <c r="AS1053" s="13" t="b">
        <f t="shared" si="444"/>
        <v>0</v>
      </c>
      <c r="AT1053" s="13">
        <f t="shared" si="453"/>
        <v>0</v>
      </c>
      <c r="AU1053" s="13">
        <v>4</v>
      </c>
      <c r="AV1053">
        <f t="shared" si="445"/>
        <v>-1</v>
      </c>
      <c r="AW1053" s="13">
        <v>0</v>
      </c>
      <c r="AX1053" s="13">
        <v>0</v>
      </c>
      <c r="AY1053" s="13">
        <v>0</v>
      </c>
      <c r="AZ1053" s="13">
        <v>0</v>
      </c>
      <c r="BA1053">
        <v>0</v>
      </c>
      <c r="BB1053" t="s">
        <v>2841</v>
      </c>
      <c r="BC1053">
        <v>6</v>
      </c>
      <c r="BD1053" t="s">
        <v>2919</v>
      </c>
      <c r="BE1053">
        <v>0</v>
      </c>
      <c r="BF1053" s="232" t="s">
        <v>2846</v>
      </c>
      <c r="BG1053" s="232" t="s">
        <v>2846</v>
      </c>
      <c r="BH1053" s="253">
        <v>71.8</v>
      </c>
      <c r="BI1053" s="253">
        <v>56.110029211295036</v>
      </c>
      <c r="BJ1053" s="25" t="s">
        <v>2849</v>
      </c>
      <c r="BK1053" t="s">
        <v>2849</v>
      </c>
      <c r="BL1053">
        <v>16.486616896746739</v>
      </c>
      <c r="BM1053" t="s">
        <v>376</v>
      </c>
      <c r="BN1053" s="322">
        <v>30260.108326000001</v>
      </c>
      <c r="BO1053" s="322">
        <v>4297.6405590000004</v>
      </c>
      <c r="BP1053" s="10">
        <v>8260</v>
      </c>
      <c r="BQ1053" s="254">
        <f t="shared" si="446"/>
        <v>3.6634513711864409</v>
      </c>
      <c r="BR1053" s="254">
        <f t="shared" si="447"/>
        <v>0.52029546719128339</v>
      </c>
      <c r="BS1053" s="25">
        <v>41.832383629667589</v>
      </c>
      <c r="BT1053" s="25">
        <v>73.765250322840998</v>
      </c>
      <c r="BU1053" s="25">
        <v>53.6</v>
      </c>
      <c r="BV1053" s="25">
        <v>92.815560141137553</v>
      </c>
      <c r="BW1053" s="25">
        <v>66.808914700425078</v>
      </c>
      <c r="BX1053" s="25">
        <v>65.50329852341153</v>
      </c>
      <c r="BY1053" s="25">
        <v>67.425125072160995</v>
      </c>
      <c r="BZ1053">
        <v>38</v>
      </c>
      <c r="CA1053">
        <v>0</v>
      </c>
      <c r="CB1053">
        <v>7</v>
      </c>
      <c r="CC1053">
        <v>129805.369953</v>
      </c>
      <c r="CD1053" s="10">
        <v>3637.1134699999998</v>
      </c>
      <c r="CE1053" s="255">
        <v>2.8019745803404959E-2</v>
      </c>
      <c r="CF1053" t="str">
        <f>IFERROR(VLOOKUP(CE1053,'Rangos amb etnico'!$A$2:$C$6,3,9),"N.D.")</f>
        <v>0,1% - 30%</v>
      </c>
      <c r="CG1053" s="256">
        <v>1.0581734154247519E-4</v>
      </c>
      <c r="CH1053" s="232">
        <v>117083.56761699999</v>
      </c>
      <c r="CI1053" s="311">
        <f t="shared" si="454"/>
        <v>0.90199325081384285</v>
      </c>
      <c r="CJ1053" s="232" t="str">
        <f>IFERROR(VLOOKUP(CI1053,'Rangos amb etnico'!$A$2:$C$6,3,9),"N.D.")</f>
        <v>71% - 100%</v>
      </c>
      <c r="CK1053" s="311">
        <f t="shared" si="455"/>
        <v>4.6489842039853348E-3</v>
      </c>
      <c r="CL1053" s="10">
        <v>0</v>
      </c>
      <c r="CM1053" s="255">
        <f t="shared" si="456"/>
        <v>0</v>
      </c>
      <c r="CN1053" s="232">
        <f>IFERROR(VLOOKUP(CM1053,'Rangos amb etnico'!$A$2:$C$6,3,9),"N.D.")</f>
        <v>0</v>
      </c>
      <c r="CO1053" s="311">
        <f t="shared" si="457"/>
        <v>0</v>
      </c>
      <c r="CP1053">
        <v>0.92588294982113795</v>
      </c>
      <c r="CQ1053" t="s">
        <v>2864</v>
      </c>
      <c r="CR1053">
        <f t="shared" si="448"/>
        <v>3</v>
      </c>
      <c r="CS1053" t="str">
        <f t="shared" si="458"/>
        <v>Candidato</v>
      </c>
      <c r="CT1053">
        <v>1</v>
      </c>
      <c r="CU1053" t="s">
        <v>2835</v>
      </c>
      <c r="CV1053" s="25">
        <v>35.157264709472663</v>
      </c>
      <c r="CW1053" s="25">
        <v>9.8825883865356445</v>
      </c>
      <c r="CX1053" s="25">
        <v>48.355072021484382</v>
      </c>
      <c r="CY1053" s="25">
        <v>23.705621719360352</v>
      </c>
      <c r="CZ1053" s="25">
        <v>8.3004570007324219</v>
      </c>
      <c r="DA1053" s="25">
        <v>64.380233764648438</v>
      </c>
      <c r="DB1053" s="25">
        <v>56.319618225097663</v>
      </c>
      <c r="DC1053">
        <v>6667</v>
      </c>
      <c r="DD1053" s="253" t="s">
        <v>380</v>
      </c>
    </row>
    <row r="1054" spans="1:108" hidden="1">
      <c r="A1054" s="13">
        <v>27250</v>
      </c>
      <c r="B1054" s="13" t="s">
        <v>2503</v>
      </c>
      <c r="C1054" s="13" t="s">
        <v>1714</v>
      </c>
      <c r="D1054" s="13" t="s">
        <v>1715</v>
      </c>
      <c r="E1054" s="13" t="s">
        <v>2504</v>
      </c>
      <c r="F1054" s="14">
        <v>66.567566666666707</v>
      </c>
      <c r="G1054" s="13">
        <v>76.72</v>
      </c>
      <c r="H1054" s="13">
        <v>50.82</v>
      </c>
      <c r="I1054" s="13">
        <v>61.47</v>
      </c>
      <c r="J1054" s="14">
        <v>76.873831328677127</v>
      </c>
      <c r="K1054" s="14">
        <v>70.593105517747787</v>
      </c>
      <c r="L1054" s="14">
        <v>77.639844676109206</v>
      </c>
      <c r="M1054" s="14">
        <v>67.242000000000004</v>
      </c>
      <c r="N1054" s="14">
        <f t="shared" si="432"/>
        <v>63.894391666666671</v>
      </c>
      <c r="O1054" s="14">
        <f t="shared" si="433"/>
        <v>73.087195380633531</v>
      </c>
      <c r="P1054" s="14">
        <f t="shared" si="449"/>
        <v>68.490793523650098</v>
      </c>
      <c r="Q1054" s="14">
        <v>72.862576385094073</v>
      </c>
      <c r="R1054" s="17">
        <f t="shared" si="434"/>
        <v>27.137423614905927</v>
      </c>
      <c r="S1054" s="14">
        <f t="shared" si="450"/>
        <v>0.34423681253415334</v>
      </c>
      <c r="T1054" s="13">
        <v>0</v>
      </c>
      <c r="U1054" s="13">
        <f t="shared" si="451"/>
        <v>23.577052450516142</v>
      </c>
      <c r="V1054" s="13">
        <f>IF($T1054=1,$AU1054,(VLOOKUP(U1054,'Cortes naturales'!$A$35:$C$39,3,9)))</f>
        <v>4</v>
      </c>
      <c r="W1054" s="13">
        <v>4</v>
      </c>
      <c r="X1054" s="14" t="b">
        <f t="shared" si="435"/>
        <v>1</v>
      </c>
      <c r="Y1054" s="17">
        <f>IF($T1054=1,$AU1054,VLOOKUP(U1054,'Cortes naturales'!$A$45:$C$49,3,9))</f>
        <v>4</v>
      </c>
      <c r="Z1054" s="14">
        <v>68.482064413487336</v>
      </c>
      <c r="AA1054" s="14">
        <v>0.34397257709836582</v>
      </c>
      <c r="AB1054" s="14">
        <v>23.555952181323526</v>
      </c>
      <c r="AC1054" s="13">
        <v>4</v>
      </c>
      <c r="AD1054" s="13">
        <f t="shared" si="436"/>
        <v>0</v>
      </c>
      <c r="AE1054" s="14">
        <f t="shared" si="437"/>
        <v>8.7291101627613443E-3</v>
      </c>
      <c r="AF1054" s="14">
        <f t="shared" si="438"/>
        <v>2.6423543578751874E-4</v>
      </c>
      <c r="AG1054" s="13">
        <f t="shared" si="439"/>
        <v>2.1100269192615428E-2</v>
      </c>
      <c r="AH1054" s="13">
        <f>IF($T1054=1,$AU1054,VLOOKUP(U1054,'Cortes naturales'!$A$25:$C$29,3,9))</f>
        <v>4</v>
      </c>
      <c r="AI1054" s="13" t="b">
        <f t="shared" si="440"/>
        <v>1</v>
      </c>
      <c r="AJ1054" s="13">
        <f t="shared" si="441"/>
        <v>0</v>
      </c>
      <c r="AK1054" s="28">
        <v>0.35881802248113021</v>
      </c>
      <c r="AL1054" s="28">
        <v>24.572598928272907</v>
      </c>
      <c r="AM1054" s="28">
        <v>0.13675129879001041</v>
      </c>
      <c r="AN1054" s="13">
        <v>5</v>
      </c>
      <c r="AO1054" s="33">
        <f t="shared" si="442"/>
        <v>1</v>
      </c>
      <c r="AP1054" s="13">
        <f t="shared" si="452"/>
        <v>13.675129879001041</v>
      </c>
      <c r="AQ1054" s="13">
        <f>IFERROR(VLOOKUP(U1054,'Cortes naturales'!$E$15:$G$19,3,9),U1054)</f>
        <v>4</v>
      </c>
      <c r="AR1054" s="28">
        <f t="shared" si="443"/>
        <v>-1.458120994697687E-2</v>
      </c>
      <c r="AS1054" s="13" t="b">
        <f t="shared" si="444"/>
        <v>1</v>
      </c>
      <c r="AT1054" s="13" t="str">
        <f t="shared" si="453"/>
        <v>Efecto ponderador</v>
      </c>
      <c r="AU1054" s="13">
        <v>4</v>
      </c>
      <c r="AV1054">
        <f t="shared" si="445"/>
        <v>0</v>
      </c>
      <c r="AW1054" s="13">
        <v>0</v>
      </c>
      <c r="AX1054" s="13">
        <v>0</v>
      </c>
      <c r="AY1054" s="13">
        <v>0</v>
      </c>
      <c r="AZ1054" s="13">
        <v>1</v>
      </c>
      <c r="BA1054">
        <v>1</v>
      </c>
      <c r="BB1054" t="s">
        <v>2841</v>
      </c>
      <c r="BC1054">
        <v>6</v>
      </c>
      <c r="BD1054" t="s">
        <v>2919</v>
      </c>
      <c r="BE1054">
        <v>0</v>
      </c>
      <c r="BF1054" s="232" t="s">
        <v>2846</v>
      </c>
      <c r="BG1054" s="232" t="s">
        <v>2846</v>
      </c>
      <c r="BH1054" s="253">
        <v>83.1</v>
      </c>
      <c r="BI1054" s="253">
        <v>70.22195353657483</v>
      </c>
      <c r="BJ1054" s="25" t="s">
        <v>2849</v>
      </c>
      <c r="BK1054" t="s">
        <v>2849</v>
      </c>
      <c r="BL1054">
        <v>15.356733907210918</v>
      </c>
      <c r="BM1054" t="s">
        <v>376</v>
      </c>
      <c r="BN1054" s="322">
        <v>48779.529439999998</v>
      </c>
      <c r="BO1054" s="322">
        <v>11256.546420999999</v>
      </c>
      <c r="BP1054" s="10">
        <v>26236</v>
      </c>
      <c r="BQ1054" s="254">
        <f t="shared" si="446"/>
        <v>1.8592593932001829</v>
      </c>
      <c r="BR1054" s="254">
        <f t="shared" si="447"/>
        <v>0.42904964251410271</v>
      </c>
      <c r="BS1054" s="25">
        <v>40.913380135627108</v>
      </c>
      <c r="BT1054" s="25">
        <v>61.938063526452197</v>
      </c>
      <c r="BU1054" s="25">
        <v>52.838676122931439</v>
      </c>
      <c r="BV1054" s="25">
        <v>99.100918658188149</v>
      </c>
      <c r="BW1054" s="25">
        <v>70.008728796191178</v>
      </c>
      <c r="BX1054" s="25">
        <v>63.697759610799721</v>
      </c>
      <c r="BY1054" s="25">
        <v>71.065658786259917</v>
      </c>
      <c r="BZ1054">
        <v>38</v>
      </c>
      <c r="CA1054">
        <v>0</v>
      </c>
      <c r="CB1054">
        <v>7</v>
      </c>
      <c r="CC1054">
        <v>413615.27175900002</v>
      </c>
      <c r="CD1054" s="10">
        <v>53699.522793999997</v>
      </c>
      <c r="CE1054" s="255">
        <v>0.12982964232831551</v>
      </c>
      <c r="CF1054" t="str">
        <f>IFERROR(VLOOKUP(CE1054,'Rangos amb etnico'!$A$2:$C$6,3,9),"N.D.")</f>
        <v>0,1% - 30%</v>
      </c>
      <c r="CG1054" s="256">
        <v>1.5623215473012531E-3</v>
      </c>
      <c r="CH1054" s="232">
        <v>404352.57437500003</v>
      </c>
      <c r="CI1054" s="311">
        <f t="shared" si="454"/>
        <v>0.97760552374043608</v>
      </c>
      <c r="CJ1054" s="232" t="str">
        <f>IFERROR(VLOOKUP(CI1054,'Rangos amb etnico'!$A$2:$C$6,3,9),"N.D.")</f>
        <v>71% - 100%</v>
      </c>
      <c r="CK1054" s="311">
        <f t="shared" si="455"/>
        <v>1.6055444580057688E-2</v>
      </c>
      <c r="CL1054" s="10">
        <v>0</v>
      </c>
      <c r="CM1054" s="255">
        <f t="shared" si="456"/>
        <v>0</v>
      </c>
      <c r="CN1054" s="232">
        <f>IFERROR(VLOOKUP(CM1054,'Rangos amb etnico'!$A$2:$C$6,3,9),"N.D.")</f>
        <v>0</v>
      </c>
      <c r="CO1054" s="311">
        <f t="shared" si="457"/>
        <v>0</v>
      </c>
      <c r="CP1054">
        <v>0.97749136252447655</v>
      </c>
      <c r="CQ1054" t="s">
        <v>2864</v>
      </c>
      <c r="CR1054">
        <f t="shared" si="448"/>
        <v>4</v>
      </c>
      <c r="CS1054" t="str">
        <f t="shared" si="458"/>
        <v>Candidato</v>
      </c>
      <c r="CT1054">
        <v>0</v>
      </c>
      <c r="CU1054">
        <v>0</v>
      </c>
      <c r="CV1054" s="25">
        <v>40.939434051513672</v>
      </c>
      <c r="CW1054" s="25">
        <v>8.7983989715576172</v>
      </c>
      <c r="CX1054" s="25">
        <v>51.922409057617188</v>
      </c>
      <c r="CY1054" s="25">
        <v>27.795122146606449</v>
      </c>
      <c r="CZ1054" s="25">
        <v>11.69007682800293</v>
      </c>
      <c r="DA1054" s="25">
        <v>81.339263916015625</v>
      </c>
      <c r="DB1054" s="25">
        <v>64.091331481933594</v>
      </c>
      <c r="DC1054">
        <v>21609</v>
      </c>
      <c r="DD1054" s="253" t="s">
        <v>380</v>
      </c>
    </row>
    <row r="1055" spans="1:108" hidden="1">
      <c r="A1055" s="13">
        <v>85400</v>
      </c>
      <c r="B1055" s="13" t="s">
        <v>2505</v>
      </c>
      <c r="C1055" s="13" t="s">
        <v>1351</v>
      </c>
      <c r="D1055" s="13" t="s">
        <v>1352</v>
      </c>
      <c r="E1055" s="13" t="s">
        <v>2506</v>
      </c>
      <c r="F1055" s="14">
        <v>63.589433333333297</v>
      </c>
      <c r="G1055" s="13">
        <v>55.78</v>
      </c>
      <c r="H1055" s="13">
        <v>55.36</v>
      </c>
      <c r="I1055" s="13">
        <v>59.76</v>
      </c>
      <c r="J1055" s="14">
        <v>51.627893328239651</v>
      </c>
      <c r="K1055" s="14">
        <v>55.242770036959868</v>
      </c>
      <c r="L1055" s="14">
        <v>57.030903536276426</v>
      </c>
      <c r="M1055" s="14">
        <v>49.581299999999999</v>
      </c>
      <c r="N1055" s="14">
        <f t="shared" si="432"/>
        <v>58.622358333333324</v>
      </c>
      <c r="O1055" s="14">
        <f t="shared" si="433"/>
        <v>53.370716725368986</v>
      </c>
      <c r="P1055" s="14">
        <f t="shared" si="449"/>
        <v>55.996537529351158</v>
      </c>
      <c r="Q1055" s="14">
        <v>72.993979093945271</v>
      </c>
      <c r="R1055" s="17">
        <f t="shared" si="434"/>
        <v>27.006020906054729</v>
      </c>
      <c r="S1055" s="14">
        <f t="shared" si="450"/>
        <v>0.34305418815449257</v>
      </c>
      <c r="T1055" s="13">
        <v>0</v>
      </c>
      <c r="U1055" s="13">
        <f t="shared" si="451"/>
        <v>19.209846721594136</v>
      </c>
      <c r="V1055" s="13">
        <f>IF($T1055=1,$AU1055,(VLOOKUP(U1055,'Cortes naturales'!$A$35:$C$39,3,9)))</f>
        <v>5</v>
      </c>
      <c r="W1055" s="13">
        <v>5</v>
      </c>
      <c r="X1055" s="14" t="b">
        <f t="shared" si="435"/>
        <v>1</v>
      </c>
      <c r="Y1055" s="17">
        <f>IF($T1055=1,$AU1055,VLOOKUP(U1055,'Cortes naturales'!$A$45:$C$49,3,9))</f>
        <v>5</v>
      </c>
      <c r="Z1055" s="14">
        <v>56.237733094709462</v>
      </c>
      <c r="AA1055" s="14">
        <v>0.34346309625650434</v>
      </c>
      <c r="AB1055" s="14">
        <v>19.315585935155795</v>
      </c>
      <c r="AC1055" s="13">
        <v>5</v>
      </c>
      <c r="AD1055" s="13">
        <f t="shared" si="436"/>
        <v>0</v>
      </c>
      <c r="AE1055" s="14">
        <f t="shared" si="437"/>
        <v>-0.24119556535830355</v>
      </c>
      <c r="AF1055" s="14">
        <f t="shared" si="438"/>
        <v>-4.0890810201177352E-4</v>
      </c>
      <c r="AG1055" s="13">
        <f t="shared" si="439"/>
        <v>-0.10573921356165883</v>
      </c>
      <c r="AH1055" s="13">
        <f>IF($T1055=1,$AU1055,VLOOKUP(U1055,'Cortes naturales'!$A$25:$C$29,3,9))</f>
        <v>5</v>
      </c>
      <c r="AI1055" s="13" t="b">
        <f t="shared" si="440"/>
        <v>1</v>
      </c>
      <c r="AJ1055" s="13">
        <f t="shared" si="441"/>
        <v>0</v>
      </c>
      <c r="AK1055" s="28">
        <v>0.35881802248113021</v>
      </c>
      <c r="AL1055" s="28">
        <v>20.17911217786526</v>
      </c>
      <c r="AM1055" s="28">
        <v>8.1793410713975612E-2</v>
      </c>
      <c r="AN1055" s="13">
        <v>5</v>
      </c>
      <c r="AO1055" s="33">
        <f t="shared" si="442"/>
        <v>0</v>
      </c>
      <c r="AP1055" s="13">
        <f t="shared" si="452"/>
        <v>8.1793410713975607</v>
      </c>
      <c r="AQ1055" s="13">
        <f>IFERROR(VLOOKUP(U1055,'Cortes naturales'!$E$15:$G$19,3,9),U1055)</f>
        <v>4</v>
      </c>
      <c r="AR1055" s="28">
        <f t="shared" si="443"/>
        <v>-1.5763834326637638E-2</v>
      </c>
      <c r="AS1055" s="13" t="b">
        <f t="shared" si="444"/>
        <v>0</v>
      </c>
      <c r="AT1055" s="13">
        <f t="shared" si="453"/>
        <v>0</v>
      </c>
      <c r="AU1055" s="13">
        <v>4</v>
      </c>
      <c r="AV1055">
        <f t="shared" si="445"/>
        <v>-1</v>
      </c>
      <c r="AW1055" s="13">
        <v>0</v>
      </c>
      <c r="AX1055" s="13">
        <v>0</v>
      </c>
      <c r="AY1055" s="13">
        <v>0</v>
      </c>
      <c r="AZ1055" s="13">
        <v>0</v>
      </c>
      <c r="BA1055">
        <v>1</v>
      </c>
      <c r="BB1055" t="s">
        <v>2841</v>
      </c>
      <c r="BC1055">
        <v>6</v>
      </c>
      <c r="BD1055" t="s">
        <v>2919</v>
      </c>
      <c r="BE1055">
        <v>0</v>
      </c>
      <c r="BF1055" s="232" t="s">
        <v>2846</v>
      </c>
      <c r="BG1055" s="232" t="s">
        <v>2846</v>
      </c>
      <c r="BH1055" s="253">
        <v>55</v>
      </c>
      <c r="BI1055" s="253">
        <v>37.555373256767844</v>
      </c>
      <c r="BJ1055" s="25">
        <v>6.43</v>
      </c>
      <c r="BK1055" t="s">
        <v>377</v>
      </c>
      <c r="BL1055">
        <v>0.1056332917659928</v>
      </c>
      <c r="BM1055" t="s">
        <v>377</v>
      </c>
      <c r="BN1055" s="322">
        <v>19354.65177</v>
      </c>
      <c r="BO1055" s="322">
        <v>1032.7256440000001</v>
      </c>
      <c r="BP1055" s="10">
        <v>7293</v>
      </c>
      <c r="BQ1055" s="254">
        <f t="shared" si="446"/>
        <v>2.6538669642122583</v>
      </c>
      <c r="BR1055" s="254">
        <f t="shared" si="447"/>
        <v>0.14160505196764023</v>
      </c>
      <c r="BS1055" s="25">
        <v>68.842060586370209</v>
      </c>
      <c r="BT1055" s="25">
        <v>92.747254017094008</v>
      </c>
      <c r="BU1055" s="25">
        <v>14.660252525252501</v>
      </c>
      <c r="BV1055" s="25">
        <v>92.162074313921948</v>
      </c>
      <c r="BW1055" s="25">
        <v>53.322000083025351</v>
      </c>
      <c r="BX1055" s="25">
        <v>67.102910360659678</v>
      </c>
      <c r="BY1055" s="25">
        <v>54.705781586347193</v>
      </c>
      <c r="BZ1055">
        <v>50</v>
      </c>
      <c r="CA1055">
        <v>0</v>
      </c>
      <c r="CB1055">
        <v>7</v>
      </c>
      <c r="CC1055">
        <v>108844.81875799999</v>
      </c>
      <c r="CD1055" s="10">
        <v>3818.2377430000001</v>
      </c>
      <c r="CE1055" s="255">
        <v>3.5079646294319942E-2</v>
      </c>
      <c r="CF1055" t="str">
        <f>IFERROR(VLOOKUP(CE1055,'Rangos amb etnico'!$A$2:$C$6,3,9),"N.D.")</f>
        <v>0,1% - 30%</v>
      </c>
      <c r="CG1055" s="256">
        <v>1.1108692942191893E-4</v>
      </c>
      <c r="CH1055" s="232">
        <v>3564.7396309999999</v>
      </c>
      <c r="CI1055" s="311">
        <f t="shared" si="454"/>
        <v>3.2750659807938676E-2</v>
      </c>
      <c r="CJ1055" s="232" t="str">
        <f>IFERROR(VLOOKUP(CI1055,'Rangos amb etnico'!$A$2:$C$6,3,9),"N.D.")</f>
        <v>0,1% - 30%</v>
      </c>
      <c r="CK1055" s="311">
        <f t="shared" si="455"/>
        <v>1.4154350241573328E-4</v>
      </c>
      <c r="CL1055" s="10">
        <v>0</v>
      </c>
      <c r="CM1055" s="255">
        <f t="shared" si="456"/>
        <v>0</v>
      </c>
      <c r="CN1055" s="232">
        <f>IFERROR(VLOOKUP(CM1055,'Rangos amb etnico'!$A$2:$C$6,3,9),"N.D.")</f>
        <v>0</v>
      </c>
      <c r="CO1055" s="311">
        <f t="shared" si="457"/>
        <v>0</v>
      </c>
      <c r="CP1055">
        <v>0.96934534243034931</v>
      </c>
      <c r="CQ1055" t="s">
        <v>2864</v>
      </c>
      <c r="CR1055">
        <f t="shared" si="448"/>
        <v>1</v>
      </c>
      <c r="CS1055" t="str">
        <f t="shared" si="458"/>
        <v>No es Candidato</v>
      </c>
      <c r="CT1055">
        <v>0</v>
      </c>
      <c r="CU1055">
        <v>0</v>
      </c>
      <c r="CV1055" s="25">
        <v>43.103118896484382</v>
      </c>
      <c r="CW1055" s="25">
        <v>12.15072441101074</v>
      </c>
      <c r="CX1055" s="25">
        <v>51.960285186767578</v>
      </c>
      <c r="CY1055" s="25">
        <v>53.011829376220703</v>
      </c>
      <c r="CZ1055" s="25">
        <v>20.386537551879879</v>
      </c>
      <c r="DA1055" s="25">
        <v>65.556404113769531</v>
      </c>
      <c r="DB1055" s="25">
        <v>55.552925109863281</v>
      </c>
      <c r="DC1055">
        <v>254</v>
      </c>
      <c r="DD1055" s="253" t="s">
        <v>380</v>
      </c>
    </row>
    <row r="1056" spans="1:108" hidden="1">
      <c r="A1056" s="13">
        <v>18592</v>
      </c>
      <c r="B1056" s="13" t="s">
        <v>2507</v>
      </c>
      <c r="C1056" s="13" t="s">
        <v>1463</v>
      </c>
      <c r="D1056" s="13" t="s">
        <v>1464</v>
      </c>
      <c r="E1056" s="13" t="s">
        <v>2508</v>
      </c>
      <c r="F1056" s="14">
        <v>46.259133333333303</v>
      </c>
      <c r="G1056" s="13">
        <v>50.45</v>
      </c>
      <c r="H1056" s="13">
        <v>49.02</v>
      </c>
      <c r="I1056" s="13">
        <v>64.89</v>
      </c>
      <c r="J1056" s="14">
        <v>53.607172780361878</v>
      </c>
      <c r="K1056" s="14">
        <v>44.392185330476096</v>
      </c>
      <c r="L1056" s="14">
        <v>59.727787754091658</v>
      </c>
      <c r="M1056" s="14">
        <v>59.910400000000003</v>
      </c>
      <c r="N1056" s="14">
        <f t="shared" si="432"/>
        <v>52.654783333333327</v>
      </c>
      <c r="O1056" s="14">
        <f t="shared" si="433"/>
        <v>54.409386466232412</v>
      </c>
      <c r="P1056" s="14">
        <f t="shared" si="449"/>
        <v>53.532084899782873</v>
      </c>
      <c r="Q1056" s="14">
        <v>72.978624654095086</v>
      </c>
      <c r="R1056" s="17">
        <f t="shared" si="434"/>
        <v>27.021375345904914</v>
      </c>
      <c r="S1056" s="14">
        <f t="shared" si="450"/>
        <v>0.34319237811314424</v>
      </c>
      <c r="T1056" s="13">
        <v>0</v>
      </c>
      <c r="U1056" s="13">
        <f t="shared" si="451"/>
        <v>18.371803522111222</v>
      </c>
      <c r="V1056" s="13">
        <f>IF($T1056=1,$AU1056,(VLOOKUP(U1056,'Cortes naturales'!$A$35:$C$39,3,9)))</f>
        <v>5</v>
      </c>
      <c r="W1056" s="13">
        <v>5</v>
      </c>
      <c r="X1056" s="14" t="b">
        <f t="shared" si="435"/>
        <v>1</v>
      </c>
      <c r="Y1056" s="17">
        <f>IF($T1056=1,$AU1056,VLOOKUP(U1056,'Cortes naturales'!$A$45:$C$49,3,9))</f>
        <v>5</v>
      </c>
      <c r="Z1056" s="14">
        <v>49.564289116847107</v>
      </c>
      <c r="AA1056" s="14">
        <v>0.34338661342209692</v>
      </c>
      <c r="AB1056" s="14">
        <v>17.019713386507824</v>
      </c>
      <c r="AC1056" s="13">
        <v>5</v>
      </c>
      <c r="AD1056" s="13">
        <f t="shared" si="436"/>
        <v>0</v>
      </c>
      <c r="AE1056" s="14">
        <f t="shared" si="437"/>
        <v>3.9677957829357666</v>
      </c>
      <c r="AF1056" s="14">
        <f t="shared" si="438"/>
        <v>-1.9423530895268382E-4</v>
      </c>
      <c r="AG1056" s="13">
        <f t="shared" si="439"/>
        <v>1.3520901356033974</v>
      </c>
      <c r="AH1056" s="13">
        <f>IF($T1056=1,$AU1056,VLOOKUP(U1056,'Cortes naturales'!$A$25:$C$29,3,9))</f>
        <v>5</v>
      </c>
      <c r="AI1056" s="13" t="b">
        <f t="shared" si="440"/>
        <v>1</v>
      </c>
      <c r="AJ1056" s="13">
        <f t="shared" si="441"/>
        <v>0</v>
      </c>
      <c r="AK1056" s="28">
        <v>0.35881802248113021</v>
      </c>
      <c r="AL1056" s="28">
        <v>17.784560206590083</v>
      </c>
      <c r="AM1056" s="28">
        <v>5.1840089649019767E-2</v>
      </c>
      <c r="AN1056" s="13">
        <v>5</v>
      </c>
      <c r="AO1056" s="33">
        <f t="shared" si="442"/>
        <v>0</v>
      </c>
      <c r="AP1056" s="13">
        <f t="shared" si="452"/>
        <v>5.1840089649019765</v>
      </c>
      <c r="AQ1056" s="13">
        <f>IFERROR(VLOOKUP(U1056,'Cortes naturales'!$E$15:$G$19,3,9),U1056)</f>
        <v>5</v>
      </c>
      <c r="AR1056" s="28">
        <f t="shared" si="443"/>
        <v>-1.5625644367985969E-2</v>
      </c>
      <c r="AS1056" s="13" t="b">
        <f t="shared" si="444"/>
        <v>1</v>
      </c>
      <c r="AT1056" s="13">
        <f t="shared" si="453"/>
        <v>0</v>
      </c>
      <c r="AU1056" s="13">
        <v>4</v>
      </c>
      <c r="AV1056">
        <f t="shared" si="445"/>
        <v>-1</v>
      </c>
      <c r="AW1056" s="13">
        <v>0</v>
      </c>
      <c r="AX1056" s="13">
        <v>0</v>
      </c>
      <c r="AY1056" s="13">
        <v>0</v>
      </c>
      <c r="AZ1056" s="13">
        <v>1</v>
      </c>
      <c r="BA1056">
        <v>1</v>
      </c>
      <c r="BB1056" t="s">
        <v>2841</v>
      </c>
      <c r="BC1056">
        <v>6</v>
      </c>
      <c r="BD1056" t="s">
        <v>2919</v>
      </c>
      <c r="BE1056">
        <v>1</v>
      </c>
      <c r="BF1056" s="232" t="s">
        <v>2846</v>
      </c>
      <c r="BG1056" s="232" t="s">
        <v>2846</v>
      </c>
      <c r="BH1056" s="253">
        <v>54.3</v>
      </c>
      <c r="BI1056" s="253">
        <v>32.041836043360433</v>
      </c>
      <c r="BJ1056" s="25">
        <v>7.855882352941177</v>
      </c>
      <c r="BK1056" t="s">
        <v>377</v>
      </c>
      <c r="BL1056">
        <v>24.795208547125405</v>
      </c>
      <c r="BM1056" t="s">
        <v>384</v>
      </c>
      <c r="BN1056" s="322">
        <v>71123.156766</v>
      </c>
      <c r="BO1056" s="322">
        <v>5343.760542</v>
      </c>
      <c r="BP1056" s="10">
        <v>27339</v>
      </c>
      <c r="BQ1056" s="254">
        <f t="shared" si="446"/>
        <v>2.6015273699111159</v>
      </c>
      <c r="BR1056" s="254">
        <f t="shared" si="447"/>
        <v>0.19546291166465488</v>
      </c>
      <c r="BS1056" s="25">
        <v>59.974564612437518</v>
      </c>
      <c r="BT1056" s="25">
        <v>88.730579858000382</v>
      </c>
      <c r="BU1056" s="25">
        <v>49.450289855072427</v>
      </c>
      <c r="BV1056" s="25">
        <v>93.984015233155233</v>
      </c>
      <c r="BW1056" s="25">
        <v>46.439725431884924</v>
      </c>
      <c r="BX1056" s="25">
        <v>73.034862389666401</v>
      </c>
      <c r="BY1056" s="25">
        <v>47.800743654321188</v>
      </c>
      <c r="BZ1056">
        <v>3</v>
      </c>
      <c r="CA1056">
        <v>0</v>
      </c>
      <c r="CB1056">
        <v>6</v>
      </c>
      <c r="CC1056">
        <v>414396.13218399999</v>
      </c>
      <c r="CD1056" s="10">
        <v>155631.979655</v>
      </c>
      <c r="CE1056" s="255">
        <v>0.37556330179717112</v>
      </c>
      <c r="CF1056" t="str">
        <f>IFERROR(VLOOKUP(CE1056,'Rangos amb etnico'!$A$2:$C$6,3,9),"N.D.")</f>
        <v>31% - 50%</v>
      </c>
      <c r="CG1056" s="256">
        <v>4.5279209686258943E-3</v>
      </c>
      <c r="CH1056" s="232">
        <v>1820.7662829999999</v>
      </c>
      <c r="CI1056" s="311">
        <f t="shared" si="454"/>
        <v>4.3937820399142721E-3</v>
      </c>
      <c r="CJ1056" s="232" t="str">
        <f>IFERROR(VLOOKUP(CI1056,'Rangos amb etnico'!$A$2:$C$6,3,9),"N.D.")</f>
        <v>0,1% - 30%</v>
      </c>
      <c r="CK1056" s="311">
        <f t="shared" si="455"/>
        <v>7.2296342356987202E-5</v>
      </c>
      <c r="CL1056" s="10">
        <v>0</v>
      </c>
      <c r="CM1056" s="255">
        <f t="shared" si="456"/>
        <v>0</v>
      </c>
      <c r="CN1056" s="232">
        <f>IFERROR(VLOOKUP(CM1056,'Rangos amb etnico'!$A$2:$C$6,3,9),"N.D.")</f>
        <v>0</v>
      </c>
      <c r="CO1056" s="311">
        <f t="shared" si="457"/>
        <v>0</v>
      </c>
      <c r="CP1056">
        <v>0.89026269969733951</v>
      </c>
      <c r="CQ1056" t="s">
        <v>2864</v>
      </c>
      <c r="CR1056">
        <f t="shared" si="448"/>
        <v>2</v>
      </c>
      <c r="CS1056" t="str">
        <f t="shared" si="458"/>
        <v>No es Candidato</v>
      </c>
      <c r="CT1056">
        <v>0</v>
      </c>
      <c r="CU1056">
        <v>0</v>
      </c>
      <c r="CV1056" s="25">
        <v>36.518421173095703</v>
      </c>
      <c r="CW1056" s="25">
        <v>20.466205596923832</v>
      </c>
      <c r="CX1056" s="25">
        <v>36.372714996337891</v>
      </c>
      <c r="CY1056" s="25">
        <v>52.904537200927727</v>
      </c>
      <c r="CZ1056" s="25">
        <v>26.614997863769531</v>
      </c>
      <c r="DA1056" s="25">
        <v>46.14227294921875</v>
      </c>
      <c r="DB1056" s="25">
        <v>36.609798431396477</v>
      </c>
      <c r="DC1056">
        <v>1271</v>
      </c>
      <c r="DD1056" s="253" t="s">
        <v>380</v>
      </c>
    </row>
    <row r="1057" spans="1:108" hidden="1">
      <c r="A1057" s="13">
        <v>15533</v>
      </c>
      <c r="B1057" s="13" t="s">
        <v>2509</v>
      </c>
      <c r="C1057" s="13" t="s">
        <v>498</v>
      </c>
      <c r="D1057" s="13" t="s">
        <v>499</v>
      </c>
      <c r="E1057" s="13" t="s">
        <v>2510</v>
      </c>
      <c r="F1057" s="14">
        <v>80.447199999999995</v>
      </c>
      <c r="G1057" s="13">
        <v>70.78</v>
      </c>
      <c r="H1057" s="13">
        <v>49.17</v>
      </c>
      <c r="I1057" s="13">
        <v>71.790000000000006</v>
      </c>
      <c r="J1057" s="14">
        <v>71.752604756569113</v>
      </c>
      <c r="K1057" s="14">
        <v>59.095138849561664</v>
      </c>
      <c r="L1057" s="14">
        <v>69.545746252726758</v>
      </c>
      <c r="M1057" s="14">
        <v>58.235500000000002</v>
      </c>
      <c r="N1057" s="14">
        <f t="shared" si="432"/>
        <v>68.046800000000005</v>
      </c>
      <c r="O1057" s="14">
        <f t="shared" si="433"/>
        <v>64.657247464714388</v>
      </c>
      <c r="P1057" s="14">
        <f t="shared" si="449"/>
        <v>66.352023732357196</v>
      </c>
      <c r="Q1057" s="14">
        <v>73.463662552156336</v>
      </c>
      <c r="R1057" s="17">
        <f t="shared" si="434"/>
        <v>26.536337447843664</v>
      </c>
      <c r="S1057" s="14">
        <f t="shared" si="450"/>
        <v>0.33882703703059303</v>
      </c>
      <c r="T1057" s="13">
        <v>0</v>
      </c>
      <c r="U1057" s="13">
        <f t="shared" si="451"/>
        <v>22.481859602218179</v>
      </c>
      <c r="V1057" s="13">
        <f>IF($T1057=1,$AU1057,(VLOOKUP(U1057,'Cortes naturales'!$A$35:$C$39,3,9)))</f>
        <v>4</v>
      </c>
      <c r="W1057" s="13">
        <v>4</v>
      </c>
      <c r="X1057" s="14" t="b">
        <f t="shared" si="435"/>
        <v>1</v>
      </c>
      <c r="Y1057" s="17">
        <f>IF($T1057=1,$AU1057,VLOOKUP(U1057,'Cortes naturales'!$A$45:$C$49,3,9))</f>
        <v>4</v>
      </c>
      <c r="Z1057" s="14">
        <v>67.891731905036309</v>
      </c>
      <c r="AA1057" s="14">
        <v>0.34268349353794558</v>
      </c>
      <c r="AB1057" s="14">
        <v>23.265375871559446</v>
      </c>
      <c r="AC1057" s="13">
        <v>4</v>
      </c>
      <c r="AD1057" s="13">
        <f t="shared" si="436"/>
        <v>0</v>
      </c>
      <c r="AE1057" s="14">
        <f t="shared" si="437"/>
        <v>-1.5397081726791129</v>
      </c>
      <c r="AF1057" s="14">
        <f t="shared" si="438"/>
        <v>-3.856456507352557E-3</v>
      </c>
      <c r="AG1057" s="13">
        <f t="shared" si="439"/>
        <v>-0.78351626934126628</v>
      </c>
      <c r="AH1057" s="13">
        <f>IF($T1057=1,$AU1057,VLOOKUP(U1057,'Cortes naturales'!$A$25:$C$29,3,9))</f>
        <v>4</v>
      </c>
      <c r="AI1057" s="13" t="b">
        <f t="shared" si="440"/>
        <v>1</v>
      </c>
      <c r="AJ1057" s="13">
        <f t="shared" si="441"/>
        <v>0</v>
      </c>
      <c r="AK1057" s="28">
        <v>0.35881802248113021</v>
      </c>
      <c r="AL1057" s="28">
        <v>24.360776984984184</v>
      </c>
      <c r="AM1057" s="28">
        <v>0.13410162956084304</v>
      </c>
      <c r="AN1057" s="13">
        <v>5</v>
      </c>
      <c r="AO1057" s="33">
        <f t="shared" si="442"/>
        <v>1</v>
      </c>
      <c r="AP1057" s="13">
        <f t="shared" si="452"/>
        <v>13.410162956084303</v>
      </c>
      <c r="AQ1057" s="13">
        <f>IFERROR(VLOOKUP(U1057,'Cortes naturales'!$E$15:$G$19,3,9),U1057)</f>
        <v>4</v>
      </c>
      <c r="AR1057" s="28">
        <f t="shared" si="443"/>
        <v>-1.999098545053718E-2</v>
      </c>
      <c r="AS1057" s="13" t="b">
        <f t="shared" si="444"/>
        <v>1</v>
      </c>
      <c r="AT1057" s="13" t="str">
        <f t="shared" si="453"/>
        <v>Efecto ponderador</v>
      </c>
      <c r="AU1057" s="13">
        <v>3</v>
      </c>
      <c r="AV1057">
        <f t="shared" si="445"/>
        <v>-1</v>
      </c>
      <c r="AW1057" s="13">
        <v>0</v>
      </c>
      <c r="AX1057" s="13">
        <v>0</v>
      </c>
      <c r="AY1057" s="13">
        <v>0</v>
      </c>
      <c r="AZ1057" s="13">
        <v>0</v>
      </c>
      <c r="BA1057">
        <v>1</v>
      </c>
      <c r="BB1057" t="s">
        <v>2841</v>
      </c>
      <c r="BC1057">
        <v>6</v>
      </c>
      <c r="BD1057" t="s">
        <v>2919</v>
      </c>
      <c r="BE1057">
        <v>1</v>
      </c>
      <c r="BF1057" s="232" t="s">
        <v>2846</v>
      </c>
      <c r="BG1057" s="232" t="s">
        <v>2846</v>
      </c>
      <c r="BH1057" s="253">
        <v>68.2</v>
      </c>
      <c r="BI1057" s="253">
        <v>59.340126152353228</v>
      </c>
      <c r="BJ1057" s="25">
        <v>8.1442483005366721</v>
      </c>
      <c r="BK1057" t="s">
        <v>377</v>
      </c>
      <c r="BL1057">
        <v>0</v>
      </c>
      <c r="BM1057" t="s">
        <v>377</v>
      </c>
      <c r="BN1057" s="322">
        <v>21827.195497000001</v>
      </c>
      <c r="BO1057" s="322">
        <v>1237.801252</v>
      </c>
      <c r="BP1057" s="10">
        <v>2735</v>
      </c>
      <c r="BQ1057" s="254">
        <f t="shared" si="446"/>
        <v>7.9806930519195616</v>
      </c>
      <c r="BR1057" s="254">
        <f t="shared" si="447"/>
        <v>0.45257815429616088</v>
      </c>
      <c r="BS1057" s="25">
        <v>53.249509663222348</v>
      </c>
      <c r="BT1057" s="25">
        <v>89.847653869591724</v>
      </c>
      <c r="BU1057" s="25">
        <v>40.096068139963172</v>
      </c>
      <c r="BV1057" s="25">
        <v>92.732723345887095</v>
      </c>
      <c r="BW1057" s="25">
        <v>56.641624688207727</v>
      </c>
      <c r="BX1057" s="25">
        <v>68.981488754666088</v>
      </c>
      <c r="BY1057" s="25">
        <v>59.660228071643658</v>
      </c>
      <c r="BZ1057">
        <v>41</v>
      </c>
      <c r="CA1057">
        <v>0</v>
      </c>
      <c r="CB1057">
        <v>7</v>
      </c>
      <c r="CC1057">
        <v>44276.158335</v>
      </c>
      <c r="CD1057" s="10">
        <v>9177.2101189999994</v>
      </c>
      <c r="CE1057" s="255">
        <v>0.20727205033381313</v>
      </c>
      <c r="CF1057" t="str">
        <f>IFERROR(VLOOKUP(CE1057,'Rangos amb etnico'!$A$2:$C$6,3,9),"N.D.")</f>
        <v>0,1% - 30%</v>
      </c>
      <c r="CG1057" s="256">
        <v>2.6699963737157817E-4</v>
      </c>
      <c r="CH1057" s="232">
        <v>0</v>
      </c>
      <c r="CI1057" s="311">
        <f t="shared" si="454"/>
        <v>0</v>
      </c>
      <c r="CJ1057" s="232">
        <f>IFERROR(VLOOKUP(CI1057,'Rangos amb etnico'!$A$2:$C$6,3,9),"N.D.")</f>
        <v>0</v>
      </c>
      <c r="CK1057" s="311">
        <f t="shared" si="455"/>
        <v>0</v>
      </c>
      <c r="CL1057" s="10">
        <v>0</v>
      </c>
      <c r="CM1057" s="255">
        <f t="shared" si="456"/>
        <v>0</v>
      </c>
      <c r="CN1057" s="232">
        <f>IFERROR(VLOOKUP(CM1057,'Rangos amb etnico'!$A$2:$C$6,3,9),"N.D.")</f>
        <v>0</v>
      </c>
      <c r="CO1057" s="311">
        <f t="shared" si="457"/>
        <v>0</v>
      </c>
      <c r="CP1057">
        <v>0.96498574177395413</v>
      </c>
      <c r="CQ1057" t="s">
        <v>2864</v>
      </c>
      <c r="CR1057">
        <f t="shared" si="448"/>
        <v>2</v>
      </c>
      <c r="CS1057" t="str">
        <f t="shared" si="458"/>
        <v>No es Candidato</v>
      </c>
      <c r="CT1057">
        <v>0</v>
      </c>
      <c r="CU1057">
        <v>0</v>
      </c>
      <c r="CV1057" s="25">
        <v>48.387916564941413</v>
      </c>
      <c r="CW1057" s="25">
        <v>12.8451681137085</v>
      </c>
      <c r="CX1057" s="25">
        <v>55.883415222167969</v>
      </c>
      <c r="CY1057" s="25">
        <v>43.781040191650391</v>
      </c>
      <c r="CZ1057" s="25">
        <v>34.215621948242188</v>
      </c>
      <c r="DA1057" s="25">
        <v>80.9354248046875</v>
      </c>
      <c r="DB1057" s="25">
        <v>62.666816711425781</v>
      </c>
      <c r="DC1057">
        <v>283</v>
      </c>
      <c r="DD1057" s="253" t="s">
        <v>380</v>
      </c>
    </row>
    <row r="1058" spans="1:108" hidden="1">
      <c r="A1058" s="13">
        <v>50573</v>
      </c>
      <c r="B1058" s="13" t="s">
        <v>2511</v>
      </c>
      <c r="C1058" s="13" t="s">
        <v>605</v>
      </c>
      <c r="D1058" s="13" t="s">
        <v>606</v>
      </c>
      <c r="E1058" s="13" t="s">
        <v>2512</v>
      </c>
      <c r="F1058" s="14">
        <v>74.961299999999994</v>
      </c>
      <c r="G1058" s="13">
        <v>70.91</v>
      </c>
      <c r="H1058" s="13">
        <v>69.48</v>
      </c>
      <c r="I1058" s="13">
        <v>74.14</v>
      </c>
      <c r="J1058" s="14">
        <v>60.438932830597217</v>
      </c>
      <c r="K1058" s="14">
        <v>58.800317405338106</v>
      </c>
      <c r="L1058" s="14">
        <v>63.056989343963423</v>
      </c>
      <c r="M1058" s="14">
        <v>57.559600000000003</v>
      </c>
      <c r="N1058" s="14">
        <f t="shared" si="432"/>
        <v>72.372824999999992</v>
      </c>
      <c r="O1058" s="14">
        <f t="shared" si="433"/>
        <v>59.963959894974678</v>
      </c>
      <c r="P1058" s="14">
        <f t="shared" si="449"/>
        <v>66.168392447487335</v>
      </c>
      <c r="Q1058" s="14">
        <v>74.938941839849051</v>
      </c>
      <c r="R1058" s="17">
        <f t="shared" si="434"/>
        <v>25.061058160150949</v>
      </c>
      <c r="S1058" s="14">
        <f t="shared" si="450"/>
        <v>0.32554952344135857</v>
      </c>
      <c r="T1058" s="13">
        <v>0</v>
      </c>
      <c r="U1058" s="13">
        <f t="shared" si="451"/>
        <v>21.541088628160292</v>
      </c>
      <c r="V1058" s="13">
        <f>IF($T1058=1,$AU1058,(VLOOKUP(U1058,'Cortes naturales'!$A$35:$C$39,3,9)))</f>
        <v>5</v>
      </c>
      <c r="W1058" s="13">
        <v>5</v>
      </c>
      <c r="X1058" s="14" t="b">
        <f t="shared" si="435"/>
        <v>1</v>
      </c>
      <c r="Y1058" s="17">
        <f>IF($T1058=1,$AU1058,VLOOKUP(U1058,'Cortes naturales'!$A$45:$C$49,3,9))</f>
        <v>4</v>
      </c>
      <c r="Z1058" s="14">
        <v>66.368407729611249</v>
      </c>
      <c r="AA1058" s="14">
        <v>0.33710948697020104</v>
      </c>
      <c r="AB1058" s="14">
        <v>22.373419880758373</v>
      </c>
      <c r="AC1058" s="13">
        <v>4</v>
      </c>
      <c r="AD1058" s="13">
        <f t="shared" si="436"/>
        <v>0</v>
      </c>
      <c r="AE1058" s="14">
        <f t="shared" si="437"/>
        <v>-0.20001528212391406</v>
      </c>
      <c r="AF1058" s="14">
        <f t="shared" si="438"/>
        <v>-1.1559963528842476E-2</v>
      </c>
      <c r="AG1058" s="13">
        <f t="shared" si="439"/>
        <v>-0.83233125259808105</v>
      </c>
      <c r="AH1058" s="13">
        <f>IF($T1058=1,$AU1058,VLOOKUP(U1058,'Cortes naturales'!$A$25:$C$29,3,9))</f>
        <v>4</v>
      </c>
      <c r="AI1058" s="13" t="b">
        <f t="shared" si="440"/>
        <v>1</v>
      </c>
      <c r="AJ1058" s="13">
        <f t="shared" si="441"/>
        <v>0</v>
      </c>
      <c r="AK1058" s="28">
        <v>0.35881802248113021</v>
      </c>
      <c r="AL1058" s="28">
        <v>23.814180816760466</v>
      </c>
      <c r="AM1058" s="28">
        <v>0.12726428766303455</v>
      </c>
      <c r="AN1058" s="13">
        <v>5</v>
      </c>
      <c r="AO1058" s="33">
        <f t="shared" si="442"/>
        <v>1</v>
      </c>
      <c r="AP1058" s="13">
        <f t="shared" si="452"/>
        <v>12.726428766303455</v>
      </c>
      <c r="AQ1058" s="13">
        <f>IFERROR(VLOOKUP(U1058,'Cortes naturales'!$E$15:$G$19,3,9),U1058)</f>
        <v>4</v>
      </c>
      <c r="AR1058" s="28">
        <f t="shared" si="443"/>
        <v>-3.3268499039771637E-2</v>
      </c>
      <c r="AS1058" s="13" t="b">
        <f t="shared" si="444"/>
        <v>1</v>
      </c>
      <c r="AT1058" s="13" t="str">
        <f t="shared" si="453"/>
        <v>Efecto ponderador</v>
      </c>
      <c r="AU1058" s="13">
        <v>3</v>
      </c>
      <c r="AV1058">
        <f t="shared" si="445"/>
        <v>-1</v>
      </c>
      <c r="AW1058" s="13">
        <v>0</v>
      </c>
      <c r="AX1058" s="13">
        <v>0</v>
      </c>
      <c r="AY1058" s="13">
        <v>0</v>
      </c>
      <c r="AZ1058" s="13">
        <v>0</v>
      </c>
      <c r="BA1058">
        <v>0</v>
      </c>
      <c r="BB1058" t="s">
        <v>2841</v>
      </c>
      <c r="BC1058">
        <v>5</v>
      </c>
      <c r="BD1058" t="s">
        <v>2919</v>
      </c>
      <c r="BE1058">
        <v>0</v>
      </c>
      <c r="BF1058" s="232" t="s">
        <v>2846</v>
      </c>
      <c r="BG1058" s="232" t="s">
        <v>2845</v>
      </c>
      <c r="BH1058" s="253">
        <v>32.700000000000003</v>
      </c>
      <c r="BI1058" s="253">
        <v>19.189102220315348</v>
      </c>
      <c r="BJ1058" s="25">
        <v>56.554545454545455</v>
      </c>
      <c r="BK1058" t="s">
        <v>376</v>
      </c>
      <c r="BL1058">
        <v>3.6955933032015573</v>
      </c>
      <c r="BM1058" t="s">
        <v>383</v>
      </c>
      <c r="BN1058" s="322">
        <v>117948.102115</v>
      </c>
      <c r="BO1058" s="322">
        <v>58682.688737999997</v>
      </c>
      <c r="BP1058" s="10">
        <v>32222</v>
      </c>
      <c r="BQ1058" s="254">
        <f t="shared" si="446"/>
        <v>3.6604835862143879</v>
      </c>
      <c r="BR1058" s="254">
        <f t="shared" si="447"/>
        <v>1.8211994518651853</v>
      </c>
      <c r="BS1058" s="25">
        <v>73.591576678325666</v>
      </c>
      <c r="BT1058" s="25">
        <v>98.300414774774779</v>
      </c>
      <c r="BU1058" s="25">
        <v>58.239271641423471</v>
      </c>
      <c r="BV1058" s="25">
        <v>88.278328776599764</v>
      </c>
      <c r="BW1058" s="25">
        <v>70.650528383006673</v>
      </c>
      <c r="BX1058" s="25">
        <v>79.602397967780917</v>
      </c>
      <c r="BY1058" s="25">
        <v>72.001035340828466</v>
      </c>
      <c r="BZ1058">
        <v>88</v>
      </c>
      <c r="CA1058">
        <v>0</v>
      </c>
      <c r="CB1058">
        <v>4</v>
      </c>
      <c r="CC1058">
        <v>689819.676553</v>
      </c>
      <c r="CD1058" s="10">
        <v>26172.611713999999</v>
      </c>
      <c r="CE1058" s="255">
        <v>3.7941236824068927E-2</v>
      </c>
      <c r="CF1058" t="str">
        <f>IFERROR(VLOOKUP(CE1058,'Rangos amb etnico'!$A$2:$C$6,3,9),"N.D.")</f>
        <v>0,1% - 30%</v>
      </c>
      <c r="CG1058" s="256">
        <v>7.6145993674454297E-4</v>
      </c>
      <c r="CH1058" s="232">
        <v>4106.9111899999998</v>
      </c>
      <c r="CI1058" s="311">
        <f t="shared" si="454"/>
        <v>5.9536011070633168E-3</v>
      </c>
      <c r="CJ1058" s="232" t="str">
        <f>IFERROR(VLOOKUP(CI1058,'Rangos amb etnico'!$A$2:$C$6,3,9),"N.D.")</f>
        <v>0,1% - 30%</v>
      </c>
      <c r="CK1058" s="311">
        <f t="shared" si="455"/>
        <v>1.6307126301392616E-4</v>
      </c>
      <c r="CL1058" s="10">
        <v>0</v>
      </c>
      <c r="CM1058" s="255">
        <f t="shared" si="456"/>
        <v>0</v>
      </c>
      <c r="CN1058" s="232">
        <f>IFERROR(VLOOKUP(CM1058,'Rangos amb etnico'!$A$2:$C$6,3,9),"N.D.")</f>
        <v>0</v>
      </c>
      <c r="CO1058" s="311">
        <f t="shared" si="457"/>
        <v>0</v>
      </c>
      <c r="CP1058">
        <v>0.96321526076540909</v>
      </c>
      <c r="CQ1058" t="s">
        <v>2864</v>
      </c>
      <c r="CR1058">
        <f t="shared" si="448"/>
        <v>3</v>
      </c>
      <c r="CS1058" t="str">
        <f t="shared" si="458"/>
        <v>Candidato</v>
      </c>
      <c r="CT1058">
        <v>0</v>
      </c>
      <c r="CU1058">
        <v>0</v>
      </c>
      <c r="CV1058" s="25">
        <v>34.489677429199219</v>
      </c>
      <c r="CW1058" s="25">
        <v>32.728878021240227</v>
      </c>
      <c r="CX1058" s="25">
        <v>40.647228240966797</v>
      </c>
      <c r="CY1058" s="25">
        <v>59.264640808105469</v>
      </c>
      <c r="CZ1058" s="25">
        <v>21.824872970581051</v>
      </c>
      <c r="DA1058" s="25">
        <v>5.2663936614990234</v>
      </c>
      <c r="DB1058" s="25">
        <v>47.206039428710938</v>
      </c>
      <c r="DC1058">
        <v>3175</v>
      </c>
      <c r="DD1058" s="253" t="s">
        <v>380</v>
      </c>
    </row>
    <row r="1059" spans="1:108" hidden="1">
      <c r="A1059" s="13">
        <v>50330</v>
      </c>
      <c r="B1059" s="13" t="s">
        <v>2513</v>
      </c>
      <c r="C1059" s="13" t="s">
        <v>605</v>
      </c>
      <c r="D1059" s="13" t="s">
        <v>606</v>
      </c>
      <c r="E1059" s="13" t="s">
        <v>2514</v>
      </c>
      <c r="F1059" s="14">
        <v>67.035433333333302</v>
      </c>
      <c r="G1059" s="13">
        <v>63.98</v>
      </c>
      <c r="H1059" s="13">
        <v>68.599999999999994</v>
      </c>
      <c r="I1059" s="13">
        <v>72.63</v>
      </c>
      <c r="J1059" s="14">
        <v>61.676852612400687</v>
      </c>
      <c r="K1059" s="14">
        <v>62.440531971581763</v>
      </c>
      <c r="L1059" s="14">
        <v>57.151152290527619</v>
      </c>
      <c r="M1059" s="14">
        <v>60.341200000000001</v>
      </c>
      <c r="N1059" s="14">
        <f t="shared" si="432"/>
        <v>68.061358333333317</v>
      </c>
      <c r="O1059" s="14">
        <f t="shared" si="433"/>
        <v>60.402434218627519</v>
      </c>
      <c r="P1059" s="14">
        <f t="shared" si="449"/>
        <v>64.231896275980418</v>
      </c>
      <c r="Q1059" s="14">
        <v>74.741176011382578</v>
      </c>
      <c r="R1059" s="17">
        <f t="shared" si="434"/>
        <v>25.258823988617422</v>
      </c>
      <c r="S1059" s="14">
        <f t="shared" si="450"/>
        <v>0.32732941589755682</v>
      </c>
      <c r="T1059" s="13">
        <v>0</v>
      </c>
      <c r="U1059" s="13">
        <f t="shared" si="451"/>
        <v>21.024989090009125</v>
      </c>
      <c r="V1059" s="13">
        <f>IF($T1059=1,$AU1059,(VLOOKUP(U1059,'Cortes naturales'!$A$35:$C$39,3,9)))</f>
        <v>5</v>
      </c>
      <c r="W1059" s="13">
        <v>5</v>
      </c>
      <c r="X1059" s="14" t="b">
        <f t="shared" si="435"/>
        <v>1</v>
      </c>
      <c r="Y1059" s="17">
        <f>IF($T1059=1,$AU1059,VLOOKUP(U1059,'Cortes naturales'!$A$45:$C$49,3,9))</f>
        <v>4</v>
      </c>
      <c r="Z1059" s="14">
        <v>63.478796206820597</v>
      </c>
      <c r="AA1059" s="14">
        <v>0.33669151952972826</v>
      </c>
      <c r="AB1059" s="14">
        <v>21.372772352792378</v>
      </c>
      <c r="AC1059" s="13">
        <v>4</v>
      </c>
      <c r="AD1059" s="13">
        <f t="shared" si="436"/>
        <v>0</v>
      </c>
      <c r="AE1059" s="14">
        <f t="shared" si="437"/>
        <v>0.75310006915982086</v>
      </c>
      <c r="AF1059" s="14">
        <f t="shared" si="438"/>
        <v>-9.3621036321714368E-3</v>
      </c>
      <c r="AG1059" s="13">
        <f t="shared" si="439"/>
        <v>-0.34778326278325267</v>
      </c>
      <c r="AH1059" s="13">
        <f>IF($T1059=1,$AU1059,VLOOKUP(U1059,'Cortes naturales'!$A$25:$C$29,3,9))</f>
        <v>4</v>
      </c>
      <c r="AI1059" s="13" t="b">
        <f t="shared" si="440"/>
        <v>1</v>
      </c>
      <c r="AJ1059" s="13">
        <f t="shared" si="441"/>
        <v>0</v>
      </c>
      <c r="AK1059" s="28">
        <v>0.35881802248113021</v>
      </c>
      <c r="AL1059" s="28">
        <v>22.777336124414035</v>
      </c>
      <c r="AM1059" s="28">
        <v>0.11429445349910568</v>
      </c>
      <c r="AN1059" s="13">
        <v>5</v>
      </c>
      <c r="AO1059" s="33">
        <f t="shared" si="442"/>
        <v>1</v>
      </c>
      <c r="AP1059" s="13">
        <f t="shared" si="452"/>
        <v>11.429445349910567</v>
      </c>
      <c r="AQ1059" s="13">
        <f>IFERROR(VLOOKUP(U1059,'Cortes naturales'!$E$15:$G$19,3,9),U1059)</f>
        <v>4</v>
      </c>
      <c r="AR1059" s="28">
        <f t="shared" si="443"/>
        <v>-3.1488606583573386E-2</v>
      </c>
      <c r="AS1059" s="13" t="b">
        <f t="shared" si="444"/>
        <v>1</v>
      </c>
      <c r="AT1059" s="13" t="str">
        <f t="shared" si="453"/>
        <v>Efecto ponderador</v>
      </c>
      <c r="AU1059" s="13">
        <v>4</v>
      </c>
      <c r="AV1059">
        <f t="shared" si="445"/>
        <v>0</v>
      </c>
      <c r="AW1059" s="13">
        <v>0</v>
      </c>
      <c r="AX1059" s="13">
        <v>0</v>
      </c>
      <c r="AY1059" s="13">
        <v>0</v>
      </c>
      <c r="AZ1059" s="13">
        <v>1</v>
      </c>
      <c r="BA1059">
        <v>1</v>
      </c>
      <c r="BB1059" t="s">
        <v>2841</v>
      </c>
      <c r="BC1059">
        <v>6</v>
      </c>
      <c r="BD1059" t="s">
        <v>2919</v>
      </c>
      <c r="BE1059">
        <v>1</v>
      </c>
      <c r="BF1059" s="232" t="s">
        <v>2846</v>
      </c>
      <c r="BG1059" s="232" t="s">
        <v>2846</v>
      </c>
      <c r="BH1059" s="253">
        <v>45.1</v>
      </c>
      <c r="BI1059" s="253">
        <v>29.992730293903833</v>
      </c>
      <c r="BJ1059" s="25">
        <v>5.1655555555555557</v>
      </c>
      <c r="BK1059" t="s">
        <v>377</v>
      </c>
      <c r="BL1059">
        <v>61.980135943908486</v>
      </c>
      <c r="BM1059" t="s">
        <v>384</v>
      </c>
      <c r="BN1059" s="322">
        <v>45155.217496999998</v>
      </c>
      <c r="BO1059" s="322">
        <v>5563.6091450000004</v>
      </c>
      <c r="BP1059" s="10">
        <v>11781</v>
      </c>
      <c r="BQ1059" s="254">
        <f t="shared" si="446"/>
        <v>3.8328849416008826</v>
      </c>
      <c r="BR1059" s="254">
        <f t="shared" si="447"/>
        <v>0.4722527073253544</v>
      </c>
      <c r="BS1059" s="25">
        <v>65.768297489176248</v>
      </c>
      <c r="BT1059" s="25">
        <v>95.709333235152641</v>
      </c>
      <c r="BU1059" s="25">
        <v>44.465481432065793</v>
      </c>
      <c r="BV1059" s="25">
        <v>89.511742693517462</v>
      </c>
      <c r="BW1059" s="25">
        <v>56.894969960086478</v>
      </c>
      <c r="BX1059" s="25">
        <v>73.863713712478031</v>
      </c>
      <c r="BY1059" s="25">
        <v>58.443395343627039</v>
      </c>
      <c r="BZ1059">
        <v>63</v>
      </c>
      <c r="CA1059">
        <v>0</v>
      </c>
      <c r="CB1059">
        <v>7</v>
      </c>
      <c r="CC1059">
        <v>227786.175364</v>
      </c>
      <c r="CD1059" s="10">
        <v>81985.172722000003</v>
      </c>
      <c r="CE1059" s="255">
        <v>0.35992163523966514</v>
      </c>
      <c r="CF1059" t="str">
        <f>IFERROR(VLOOKUP(CE1059,'Rangos amb etnico'!$A$2:$C$6,3,9),"N.D.")</f>
        <v>31% - 50%</v>
      </c>
      <c r="CG1059" s="256">
        <v>2.385257731137735E-3</v>
      </c>
      <c r="CH1059" s="232">
        <v>26994.010907</v>
      </c>
      <c r="CI1059" s="311">
        <f t="shared" si="454"/>
        <v>0.11850592277544432</v>
      </c>
      <c r="CJ1059" s="232" t="str">
        <f>IFERROR(VLOOKUP(CI1059,'Rangos amb etnico'!$A$2:$C$6,3,9),"N.D.")</f>
        <v>0,1% - 30%</v>
      </c>
      <c r="CK1059" s="311">
        <f t="shared" si="455"/>
        <v>1.0718389682091442E-3</v>
      </c>
      <c r="CL1059" s="10">
        <v>0</v>
      </c>
      <c r="CM1059" s="255">
        <f t="shared" si="456"/>
        <v>0</v>
      </c>
      <c r="CN1059" s="232">
        <f>IFERROR(VLOOKUP(CM1059,'Rangos amb etnico'!$A$2:$C$6,3,9),"N.D.")</f>
        <v>0</v>
      </c>
      <c r="CO1059" s="311">
        <f t="shared" si="457"/>
        <v>0</v>
      </c>
      <c r="CP1059">
        <v>0.95963473737530269</v>
      </c>
      <c r="CQ1059" t="s">
        <v>2864</v>
      </c>
      <c r="CR1059">
        <f t="shared" si="448"/>
        <v>3</v>
      </c>
      <c r="CS1059" t="str">
        <f t="shared" si="458"/>
        <v>Candidato</v>
      </c>
      <c r="CT1059">
        <v>0</v>
      </c>
      <c r="CU1059">
        <v>0</v>
      </c>
      <c r="CV1059" s="25">
        <v>37.845760345458977</v>
      </c>
      <c r="CW1059" s="25">
        <v>12.433035850524901</v>
      </c>
      <c r="CX1059" s="25">
        <v>49.552242279052727</v>
      </c>
      <c r="CY1059" s="25">
        <v>48.822956085205078</v>
      </c>
      <c r="CZ1059" s="25">
        <v>27.643594741821289</v>
      </c>
      <c r="DA1059" s="25">
        <v>49.443161010742188</v>
      </c>
      <c r="DB1059" s="25">
        <v>39.1795654296875</v>
      </c>
      <c r="DC1059">
        <v>890</v>
      </c>
      <c r="DD1059" s="253" t="s">
        <v>380</v>
      </c>
    </row>
    <row r="1060" spans="1:108" hidden="1">
      <c r="A1060" s="13">
        <v>41206</v>
      </c>
      <c r="B1060" s="13" t="s">
        <v>2515</v>
      </c>
      <c r="C1060" s="13" t="s">
        <v>676</v>
      </c>
      <c r="D1060" s="13" t="s">
        <v>677</v>
      </c>
      <c r="E1060" s="13" t="s">
        <v>2516</v>
      </c>
      <c r="F1060" s="14">
        <v>55.265099999999997</v>
      </c>
      <c r="G1060" s="13">
        <v>57.22</v>
      </c>
      <c r="H1060" s="13">
        <v>58.21</v>
      </c>
      <c r="I1060" s="13">
        <v>56.69</v>
      </c>
      <c r="J1060" s="14">
        <v>52.931562684523144</v>
      </c>
      <c r="K1060" s="14">
        <v>48.516420074162568</v>
      </c>
      <c r="L1060" s="14">
        <v>50.784672786117063</v>
      </c>
      <c r="M1060" s="14">
        <v>47.2836</v>
      </c>
      <c r="N1060" s="14">
        <f t="shared" si="432"/>
        <v>56.846274999999999</v>
      </c>
      <c r="O1060" s="14">
        <f t="shared" si="433"/>
        <v>49.879063886200697</v>
      </c>
      <c r="P1060" s="14">
        <f t="shared" si="449"/>
        <v>53.362669443100344</v>
      </c>
      <c r="Q1060" s="14">
        <v>74.000236342441397</v>
      </c>
      <c r="R1060" s="17">
        <f t="shared" si="434"/>
        <v>25.999763657558603</v>
      </c>
      <c r="S1060" s="14">
        <f t="shared" si="450"/>
        <v>0.33399787291802746</v>
      </c>
      <c r="T1060" s="13">
        <v>0</v>
      </c>
      <c r="U1060" s="13">
        <f t="shared" si="451"/>
        <v>17.823018087223335</v>
      </c>
      <c r="V1060" s="13">
        <f>IF($T1060=1,$AU1060,(VLOOKUP(U1060,'Cortes naturales'!$A$35:$C$39,3,9)))</f>
        <v>5</v>
      </c>
      <c r="W1060" s="13">
        <v>5</v>
      </c>
      <c r="X1060" s="14" t="b">
        <f t="shared" si="435"/>
        <v>1</v>
      </c>
      <c r="Y1060" s="17">
        <f>IF($T1060=1,$AU1060,VLOOKUP(U1060,'Cortes naturales'!$A$45:$C$49,3,9))</f>
        <v>5</v>
      </c>
      <c r="Z1060" s="14">
        <v>53.464434841024541</v>
      </c>
      <c r="AA1060" s="14">
        <v>0.3363944277415632</v>
      </c>
      <c r="AB1060" s="14">
        <v>17.985137962872543</v>
      </c>
      <c r="AC1060" s="13">
        <v>5</v>
      </c>
      <c r="AD1060" s="13">
        <f t="shared" si="436"/>
        <v>0</v>
      </c>
      <c r="AE1060" s="14">
        <f t="shared" si="437"/>
        <v>-0.10176539792419703</v>
      </c>
      <c r="AF1060" s="14">
        <f t="shared" si="438"/>
        <v>-2.3965548235357348E-3</v>
      </c>
      <c r="AG1060" s="13">
        <f t="shared" si="439"/>
        <v>-0.16211987564920705</v>
      </c>
      <c r="AH1060" s="13">
        <f>IF($T1060=1,$AU1060,VLOOKUP(U1060,'Cortes naturales'!$A$25:$C$29,3,9))</f>
        <v>5</v>
      </c>
      <c r="AI1060" s="13" t="b">
        <f t="shared" si="440"/>
        <v>1</v>
      </c>
      <c r="AJ1060" s="13">
        <f t="shared" si="441"/>
        <v>0</v>
      </c>
      <c r="AK1060" s="28">
        <v>0.35881802248113021</v>
      </c>
      <c r="AL1060" s="28">
        <v>19.184002782727664</v>
      </c>
      <c r="AM1060" s="28">
        <v>6.9345641124979249E-2</v>
      </c>
      <c r="AN1060" s="13">
        <v>5</v>
      </c>
      <c r="AO1060" s="33">
        <f t="shared" si="442"/>
        <v>0</v>
      </c>
      <c r="AP1060" s="13">
        <f t="shared" si="452"/>
        <v>6.9345641124979247</v>
      </c>
      <c r="AQ1060" s="13">
        <f>IFERROR(VLOOKUP(U1060,'Cortes naturales'!$E$15:$G$19,3,9),U1060)</f>
        <v>5</v>
      </c>
      <c r="AR1060" s="28">
        <f t="shared" si="443"/>
        <v>-2.4820149563102745E-2</v>
      </c>
      <c r="AS1060" s="13" t="b">
        <f t="shared" si="444"/>
        <v>1</v>
      </c>
      <c r="AT1060" s="13">
        <f t="shared" si="453"/>
        <v>0</v>
      </c>
      <c r="AU1060" s="13">
        <v>5</v>
      </c>
      <c r="AV1060">
        <f t="shared" si="445"/>
        <v>0</v>
      </c>
      <c r="AW1060" s="13">
        <v>0</v>
      </c>
      <c r="AX1060" s="13">
        <v>0</v>
      </c>
      <c r="AY1060" s="13">
        <v>0</v>
      </c>
      <c r="AZ1060" s="13">
        <v>0</v>
      </c>
      <c r="BA1060">
        <v>1</v>
      </c>
      <c r="BB1060" t="s">
        <v>2841</v>
      </c>
      <c r="BC1060">
        <v>6</v>
      </c>
      <c r="BD1060" t="s">
        <v>2919</v>
      </c>
      <c r="BE1060">
        <v>0</v>
      </c>
      <c r="BF1060" s="232" t="s">
        <v>2846</v>
      </c>
      <c r="BG1060" s="232" t="s">
        <v>2845</v>
      </c>
      <c r="BH1060" s="253">
        <v>61.7</v>
      </c>
      <c r="BI1060" s="253">
        <v>26.360373295046664</v>
      </c>
      <c r="BJ1060" s="25">
        <v>2.1062500000000002</v>
      </c>
      <c r="BK1060" t="s">
        <v>381</v>
      </c>
      <c r="BL1060">
        <v>8.3657171079285657</v>
      </c>
      <c r="BM1060" t="s">
        <v>379</v>
      </c>
      <c r="BN1060" s="322">
        <v>20476.437543</v>
      </c>
      <c r="BO1060" s="322">
        <v>1063.332917</v>
      </c>
      <c r="BP1060" s="10">
        <v>7666</v>
      </c>
      <c r="BQ1060" s="254">
        <f t="shared" si="446"/>
        <v>2.6710719466475346</v>
      </c>
      <c r="BR1060" s="254">
        <f t="shared" si="447"/>
        <v>0.13870765940516566</v>
      </c>
      <c r="BS1060" s="25">
        <v>68.313603680270347</v>
      </c>
      <c r="BT1060" s="25">
        <v>92.762126914514297</v>
      </c>
      <c r="BU1060" s="25">
        <v>36.074494741655229</v>
      </c>
      <c r="BV1060" s="25">
        <v>94.039922576894924</v>
      </c>
      <c r="BW1060" s="25">
        <v>60.227994085465603</v>
      </c>
      <c r="BX1060" s="25">
        <v>72.79753697833371</v>
      </c>
      <c r="BY1060" s="25">
        <v>62.785268296853147</v>
      </c>
      <c r="BZ1060">
        <v>23</v>
      </c>
      <c r="CA1060">
        <v>0</v>
      </c>
      <c r="CB1060">
        <v>7</v>
      </c>
      <c r="CC1060">
        <v>158362.30327800001</v>
      </c>
      <c r="CD1060" s="10">
        <v>114639.49600299999</v>
      </c>
      <c r="CE1060" s="255">
        <v>0.72390647035332634</v>
      </c>
      <c r="CF1060" t="str">
        <f>IFERROR(VLOOKUP(CE1060,'Rangos amb etnico'!$A$2:$C$6,3,9),"N.D.")</f>
        <v>71% - 100%</v>
      </c>
      <c r="CG1060" s="256">
        <v>3.3352950912490147E-3</v>
      </c>
      <c r="CH1060" s="232">
        <v>0</v>
      </c>
      <c r="CI1060" s="311">
        <f t="shared" si="454"/>
        <v>0</v>
      </c>
      <c r="CJ1060" s="232">
        <f>IFERROR(VLOOKUP(CI1060,'Rangos amb etnico'!$A$2:$C$6,3,9),"N.D.")</f>
        <v>0</v>
      </c>
      <c r="CK1060" s="311">
        <f t="shared" si="455"/>
        <v>0</v>
      </c>
      <c r="CL1060" s="10">
        <v>520.529441883</v>
      </c>
      <c r="CM1060" s="255">
        <f t="shared" si="456"/>
        <v>3.2869529623424779E-3</v>
      </c>
      <c r="CN1060" s="232" t="str">
        <f>IFERROR(VLOOKUP(CM1060,'Rangos amb etnico'!$A$2:$C$6,3,9),"N.D.")</f>
        <v>0,1% - 30%</v>
      </c>
      <c r="CO1060" s="311">
        <f t="shared" si="457"/>
        <v>3.264276286770636E-4</v>
      </c>
      <c r="CP1060">
        <v>0.91410113026835216</v>
      </c>
      <c r="CQ1060" t="s">
        <v>2864</v>
      </c>
      <c r="CR1060">
        <f t="shared" si="448"/>
        <v>2</v>
      </c>
      <c r="CS1060" t="str">
        <f t="shared" si="458"/>
        <v>No es Candidato</v>
      </c>
      <c r="CT1060">
        <v>0</v>
      </c>
      <c r="CU1060">
        <v>0</v>
      </c>
      <c r="CV1060" s="25">
        <v>46.647994995117188</v>
      </c>
      <c r="CW1060" s="25">
        <v>11.45500373840332</v>
      </c>
      <c r="CX1060" s="25">
        <v>53.320602416992188</v>
      </c>
      <c r="CY1060" s="25">
        <v>55.070701599121087</v>
      </c>
      <c r="CZ1060" s="25">
        <v>31.437637329101559</v>
      </c>
      <c r="DA1060" s="25">
        <v>65.95343017578125</v>
      </c>
      <c r="DB1060" s="25">
        <v>62.650600433349609</v>
      </c>
      <c r="DC1060">
        <v>61</v>
      </c>
      <c r="DD1060" s="253" t="s">
        <v>380</v>
      </c>
    </row>
    <row r="1061" spans="1:108" hidden="1">
      <c r="A1061" s="13">
        <v>18860</v>
      </c>
      <c r="B1061" s="13" t="s">
        <v>2517</v>
      </c>
      <c r="C1061" s="13" t="s">
        <v>1463</v>
      </c>
      <c r="D1061" s="13" t="s">
        <v>1464</v>
      </c>
      <c r="E1061" s="13" t="s">
        <v>1397</v>
      </c>
      <c r="F1061" s="14">
        <v>50.366033333333299</v>
      </c>
      <c r="G1061" s="13">
        <v>37.15</v>
      </c>
      <c r="H1061" s="13">
        <v>80.83</v>
      </c>
      <c r="I1061" s="13">
        <v>92.64</v>
      </c>
      <c r="J1061" s="14">
        <v>43.407447579620246</v>
      </c>
      <c r="K1061" s="14">
        <v>53.5236414523768</v>
      </c>
      <c r="L1061" s="14">
        <v>12.444307610582028</v>
      </c>
      <c r="M1061" s="14">
        <v>57.543100000000003</v>
      </c>
      <c r="N1061" s="14">
        <f t="shared" si="432"/>
        <v>65.246508333333324</v>
      </c>
      <c r="O1061" s="14">
        <f t="shared" si="433"/>
        <v>41.729624160644768</v>
      </c>
      <c r="P1061" s="14">
        <f t="shared" si="449"/>
        <v>53.48806624698905</v>
      </c>
      <c r="Q1061" s="14">
        <v>74.537339913961461</v>
      </c>
      <c r="R1061" s="17">
        <f t="shared" si="434"/>
        <v>25.462660086038539</v>
      </c>
      <c r="S1061" s="14">
        <f t="shared" si="450"/>
        <v>0.32916394077434685</v>
      </c>
      <c r="T1061" s="13">
        <v>0</v>
      </c>
      <c r="U1061" s="13">
        <f t="shared" si="451"/>
        <v>17.606342670258243</v>
      </c>
      <c r="V1061" s="13">
        <f>IF($T1061=1,$AU1061,(VLOOKUP(U1061,'Cortes naturales'!$A$35:$C$39,3,9)))</f>
        <v>5</v>
      </c>
      <c r="W1061" s="13">
        <v>5</v>
      </c>
      <c r="X1061" s="14" t="b">
        <f t="shared" si="435"/>
        <v>1</v>
      </c>
      <c r="Y1061" s="17">
        <f>IF($T1061=1,$AU1061,VLOOKUP(U1061,'Cortes naturales'!$A$45:$C$49,3,9))</f>
        <v>5</v>
      </c>
      <c r="Z1061" s="14">
        <v>47.445010064181851</v>
      </c>
      <c r="AA1061" s="14">
        <v>0.33067206156424239</v>
      </c>
      <c r="AB1061" s="14">
        <v>15.688739288859241</v>
      </c>
      <c r="AC1061" s="13">
        <v>5</v>
      </c>
      <c r="AD1061" s="13">
        <f t="shared" si="436"/>
        <v>0</v>
      </c>
      <c r="AE1061" s="14">
        <f t="shared" si="437"/>
        <v>6.0430561828071987</v>
      </c>
      <c r="AF1061" s="14">
        <f t="shared" si="438"/>
        <v>-1.5081207898955395E-3</v>
      </c>
      <c r="AG1061" s="13">
        <f t="shared" si="439"/>
        <v>1.9176033813990028</v>
      </c>
      <c r="AH1061" s="13">
        <f>IF($T1061=1,$AU1061,VLOOKUP(U1061,'Cortes naturales'!$A$25:$C$29,3,9))</f>
        <v>5</v>
      </c>
      <c r="AI1061" s="13" t="b">
        <f t="shared" si="440"/>
        <v>1</v>
      </c>
      <c r="AJ1061" s="13">
        <f t="shared" si="441"/>
        <v>0</v>
      </c>
      <c r="AK1061" s="28">
        <v>0.35881802248113021</v>
      </c>
      <c r="AL1061" s="28">
        <v>17.024124687827051</v>
      </c>
      <c r="AM1061" s="28">
        <v>4.232784288388669E-2</v>
      </c>
      <c r="AN1061" s="13">
        <v>5</v>
      </c>
      <c r="AO1061" s="33">
        <f t="shared" si="442"/>
        <v>0</v>
      </c>
      <c r="AP1061" s="13">
        <f t="shared" si="452"/>
        <v>4.232784288388669</v>
      </c>
      <c r="AQ1061" s="13">
        <f>IFERROR(VLOOKUP(U1061,'Cortes naturales'!$E$15:$G$19,3,9),U1061)</f>
        <v>5</v>
      </c>
      <c r="AR1061" s="28">
        <f t="shared" si="443"/>
        <v>-2.9654081706783353E-2</v>
      </c>
      <c r="AS1061" s="13" t="b">
        <f t="shared" si="444"/>
        <v>1</v>
      </c>
      <c r="AT1061" s="13">
        <f t="shared" si="453"/>
        <v>0</v>
      </c>
      <c r="AU1061" s="13">
        <v>5</v>
      </c>
      <c r="AV1061">
        <f t="shared" si="445"/>
        <v>0</v>
      </c>
      <c r="AW1061" s="13">
        <v>0</v>
      </c>
      <c r="AX1061" s="13">
        <v>0</v>
      </c>
      <c r="AY1061" s="13">
        <v>0</v>
      </c>
      <c r="AZ1061" s="13">
        <v>1</v>
      </c>
      <c r="BA1061">
        <v>1</v>
      </c>
      <c r="BB1061" t="s">
        <v>2841</v>
      </c>
      <c r="BC1061">
        <v>6</v>
      </c>
      <c r="BD1061" t="s">
        <v>2919</v>
      </c>
      <c r="BE1061">
        <v>1</v>
      </c>
      <c r="BF1061" s="232" t="s">
        <v>2846</v>
      </c>
      <c r="BG1061" s="232" t="s">
        <v>2846</v>
      </c>
      <c r="BH1061" s="253">
        <v>50</v>
      </c>
      <c r="BI1061" s="253">
        <v>27.650581190560057</v>
      </c>
      <c r="BJ1061" s="25">
        <v>3.7271428571428578</v>
      </c>
      <c r="BK1061" t="s">
        <v>381</v>
      </c>
      <c r="BL1061">
        <v>13.226651067264131</v>
      </c>
      <c r="BM1061" t="s">
        <v>376</v>
      </c>
      <c r="BN1061" s="322">
        <v>21353.858239000001</v>
      </c>
      <c r="BO1061" s="322">
        <v>2163.394315</v>
      </c>
      <c r="BP1061" s="10">
        <v>7156</v>
      </c>
      <c r="BQ1061" s="254">
        <f t="shared" si="446"/>
        <v>2.9840495023756288</v>
      </c>
      <c r="BR1061" s="254">
        <f t="shared" si="447"/>
        <v>0.30231893725544995</v>
      </c>
      <c r="BS1061" s="25">
        <v>56.835966342459848</v>
      </c>
      <c r="BT1061" s="25">
        <v>91.2333390367058</v>
      </c>
      <c r="BU1061" s="25">
        <v>35.240172482952268</v>
      </c>
      <c r="BV1061" s="25">
        <v>94.892087507292828</v>
      </c>
      <c r="BW1061" s="25">
        <v>61.367521140928467</v>
      </c>
      <c r="BX1061" s="25">
        <v>69.550391342352682</v>
      </c>
      <c r="BY1061" s="25">
        <v>63.179129529611323</v>
      </c>
      <c r="BZ1061">
        <v>81</v>
      </c>
      <c r="CA1061">
        <v>0</v>
      </c>
      <c r="CB1061">
        <v>7</v>
      </c>
      <c r="CC1061">
        <v>132992.15575100001</v>
      </c>
      <c r="CD1061" s="10">
        <v>8684.5479990000003</v>
      </c>
      <c r="CE1061" s="255">
        <v>6.5301204796318957E-2</v>
      </c>
      <c r="CF1061" t="str">
        <f>IFERROR(VLOOKUP(CE1061,'Rangos amb etnico'!$A$2:$C$6,3,9),"N.D.")</f>
        <v>0,1% - 30%</v>
      </c>
      <c r="CG1061" s="256">
        <v>2.5266623912951569E-4</v>
      </c>
      <c r="CH1061" s="232">
        <v>381.48888299999999</v>
      </c>
      <c r="CI1061" s="311">
        <f t="shared" si="454"/>
        <v>2.8685066487248926E-3</v>
      </c>
      <c r="CJ1061" s="232" t="str">
        <f>IFERROR(VLOOKUP(CI1061,'Rangos amb etnico'!$A$2:$C$6,3,9),"N.D.")</f>
        <v>0,1% - 30%</v>
      </c>
      <c r="CK1061" s="311">
        <f t="shared" si="455"/>
        <v>1.5147606339298976E-5</v>
      </c>
      <c r="CL1061" s="10">
        <v>0</v>
      </c>
      <c r="CM1061" s="255">
        <f t="shared" si="456"/>
        <v>0</v>
      </c>
      <c r="CN1061" s="232">
        <f>IFERROR(VLOOKUP(CM1061,'Rangos amb etnico'!$A$2:$C$6,3,9),"N.D.")</f>
        <v>0</v>
      </c>
      <c r="CO1061" s="311">
        <f t="shared" si="457"/>
        <v>0</v>
      </c>
      <c r="CP1061">
        <v>0.96033149107870641</v>
      </c>
      <c r="CQ1061" t="s">
        <v>2864</v>
      </c>
      <c r="CR1061">
        <f t="shared" si="448"/>
        <v>3</v>
      </c>
      <c r="CS1061" t="str">
        <f t="shared" si="458"/>
        <v>Candidato</v>
      </c>
      <c r="CT1061">
        <v>0</v>
      </c>
      <c r="CU1061">
        <v>0</v>
      </c>
      <c r="CV1061" s="25">
        <v>34.674999237060547</v>
      </c>
      <c r="CW1061" s="25">
        <v>16.044889450073239</v>
      </c>
      <c r="CX1061" s="25">
        <v>38.835411071777337</v>
      </c>
      <c r="CY1061" s="25">
        <v>35.041229248046882</v>
      </c>
      <c r="CZ1061" s="25">
        <v>17.892087936401371</v>
      </c>
      <c r="DA1061" s="25">
        <v>59.634761810302727</v>
      </c>
      <c r="DB1061" s="25">
        <v>40.601612091064453</v>
      </c>
      <c r="DC1061">
        <v>78</v>
      </c>
      <c r="DD1061" s="253" t="s">
        <v>380</v>
      </c>
    </row>
    <row r="1062" spans="1:108" hidden="1">
      <c r="A1062" s="13">
        <v>85139</v>
      </c>
      <c r="B1062" s="13" t="s">
        <v>2518</v>
      </c>
      <c r="C1062" s="13" t="s">
        <v>1351</v>
      </c>
      <c r="D1062" s="13" t="s">
        <v>1352</v>
      </c>
      <c r="E1062" s="13" t="s">
        <v>2519</v>
      </c>
      <c r="F1062" s="14">
        <v>57.548833333333299</v>
      </c>
      <c r="G1062" s="13">
        <v>52.46</v>
      </c>
      <c r="H1062" s="13">
        <v>75.48</v>
      </c>
      <c r="I1062" s="13">
        <v>73.3</v>
      </c>
      <c r="J1062" s="14">
        <v>70.737746041755457</v>
      </c>
      <c r="K1062" s="14">
        <v>65.513686738470298</v>
      </c>
      <c r="L1062" s="14">
        <v>72.760440856418725</v>
      </c>
      <c r="M1062" s="14">
        <v>52.507599999999996</v>
      </c>
      <c r="N1062" s="14">
        <f t="shared" si="432"/>
        <v>64.697208333333322</v>
      </c>
      <c r="O1062" s="14">
        <f t="shared" si="433"/>
        <v>65.379868409161105</v>
      </c>
      <c r="P1062" s="14">
        <f t="shared" si="449"/>
        <v>65.038538371247213</v>
      </c>
      <c r="Q1062" s="14">
        <v>74.282484811427338</v>
      </c>
      <c r="R1062" s="17">
        <f t="shared" si="434"/>
        <v>25.717515188572662</v>
      </c>
      <c r="S1062" s="14">
        <f t="shared" si="450"/>
        <v>0.33145763669715395</v>
      </c>
      <c r="T1062" s="13">
        <v>0</v>
      </c>
      <c r="U1062" s="13">
        <f t="shared" si="451"/>
        <v>21.557520222770766</v>
      </c>
      <c r="V1062" s="13">
        <f>IF($T1062=1,$AU1062,(VLOOKUP(U1062,'Cortes naturales'!$A$35:$C$39,3,9)))</f>
        <v>5</v>
      </c>
      <c r="W1062" s="13">
        <v>5</v>
      </c>
      <c r="X1062" s="14" t="b">
        <f t="shared" si="435"/>
        <v>1</v>
      </c>
      <c r="Y1062" s="17">
        <f>IF($T1062=1,$AU1062,VLOOKUP(U1062,'Cortes naturales'!$A$45:$C$49,3,9))</f>
        <v>4</v>
      </c>
      <c r="Z1062" s="14">
        <v>62.989744351952126</v>
      </c>
      <c r="AA1062" s="14">
        <v>0.32888025468262361</v>
      </c>
      <c r="AB1062" s="14">
        <v>20.716083164863367</v>
      </c>
      <c r="AC1062" s="13">
        <v>4</v>
      </c>
      <c r="AD1062" s="13">
        <f t="shared" si="436"/>
        <v>0</v>
      </c>
      <c r="AE1062" s="14">
        <f t="shared" si="437"/>
        <v>2.0487940192950873</v>
      </c>
      <c r="AF1062" s="14">
        <f t="shared" si="438"/>
        <v>2.5773820145303383E-3</v>
      </c>
      <c r="AG1062" s="13">
        <f t="shared" si="439"/>
        <v>0.84143705790739887</v>
      </c>
      <c r="AH1062" s="13">
        <f>IF($T1062=1,$AU1062,VLOOKUP(U1062,'Cortes naturales'!$A$25:$C$29,3,9))</f>
        <v>4</v>
      </c>
      <c r="AI1062" s="13" t="b">
        <f t="shared" si="440"/>
        <v>1</v>
      </c>
      <c r="AJ1062" s="13">
        <f t="shared" si="441"/>
        <v>0</v>
      </c>
      <c r="AK1062" s="28">
        <v>0.35881802248113021</v>
      </c>
      <c r="AL1062" s="28">
        <v>22.601855504959403</v>
      </c>
      <c r="AM1062" s="28">
        <v>0.11209937592373662</v>
      </c>
      <c r="AN1062" s="13">
        <v>5</v>
      </c>
      <c r="AO1062" s="33">
        <f t="shared" si="442"/>
        <v>1</v>
      </c>
      <c r="AP1062" s="13">
        <f t="shared" si="452"/>
        <v>11.209937592373661</v>
      </c>
      <c r="AQ1062" s="13">
        <f>IFERROR(VLOOKUP(U1062,'Cortes naturales'!$E$15:$G$19,3,9),U1062)</f>
        <v>4</v>
      </c>
      <c r="AR1062" s="28">
        <f t="shared" si="443"/>
        <v>-2.736038578397626E-2</v>
      </c>
      <c r="AS1062" s="13" t="b">
        <f t="shared" si="444"/>
        <v>1</v>
      </c>
      <c r="AT1062" s="13" t="str">
        <f t="shared" si="453"/>
        <v>Efecto ponderador</v>
      </c>
      <c r="AU1062" s="13">
        <v>5</v>
      </c>
      <c r="AV1062">
        <f t="shared" si="445"/>
        <v>1</v>
      </c>
      <c r="AW1062" s="13">
        <v>0</v>
      </c>
      <c r="AX1062" s="13">
        <v>0</v>
      </c>
      <c r="AY1062" s="13">
        <v>0</v>
      </c>
      <c r="AZ1062" s="13">
        <v>0</v>
      </c>
      <c r="BA1062">
        <v>1</v>
      </c>
      <c r="BB1062" t="s">
        <v>2841</v>
      </c>
      <c r="BC1062">
        <v>6</v>
      </c>
      <c r="BD1062" t="s">
        <v>2919</v>
      </c>
      <c r="BE1062">
        <v>0</v>
      </c>
      <c r="BF1062" s="232" t="s">
        <v>2846</v>
      </c>
      <c r="BG1062" s="232" t="s">
        <v>2846</v>
      </c>
      <c r="BH1062" s="253">
        <v>30.3</v>
      </c>
      <c r="BI1062" s="253">
        <v>15.736633201027317</v>
      </c>
      <c r="BJ1062" s="25">
        <v>6.1013043478260878</v>
      </c>
      <c r="BK1062" t="s">
        <v>377</v>
      </c>
      <c r="BL1062">
        <v>8.2165962652256219</v>
      </c>
      <c r="BM1062" t="s">
        <v>379</v>
      </c>
      <c r="BN1062" s="322">
        <v>40811.519081999999</v>
      </c>
      <c r="BO1062" s="322">
        <v>13607.297583</v>
      </c>
      <c r="BP1062" s="10">
        <v>19474</v>
      </c>
      <c r="BQ1062" s="254">
        <f t="shared" si="446"/>
        <v>2.0956926713566806</v>
      </c>
      <c r="BR1062" s="254">
        <f t="shared" si="447"/>
        <v>0.69874178817911059</v>
      </c>
      <c r="BS1062" s="25">
        <v>70.064745125275806</v>
      </c>
      <c r="BT1062" s="25">
        <v>92.699296568758328</v>
      </c>
      <c r="BU1062" s="25">
        <v>40.871488474742499</v>
      </c>
      <c r="BV1062" s="25">
        <v>92.734058805978705</v>
      </c>
      <c r="BW1062" s="25">
        <v>53.387317859596479</v>
      </c>
      <c r="BX1062" s="25">
        <v>74.092397243688836</v>
      </c>
      <c r="BY1062" s="25">
        <v>54.729872219586078</v>
      </c>
      <c r="BZ1062">
        <v>41</v>
      </c>
      <c r="CA1062">
        <v>0</v>
      </c>
      <c r="CB1062">
        <v>7</v>
      </c>
      <c r="CC1062">
        <v>374528.13260100002</v>
      </c>
      <c r="CD1062" s="10">
        <v>36675.336433999997</v>
      </c>
      <c r="CE1062" s="255">
        <v>9.7924116352219981E-2</v>
      </c>
      <c r="CF1062" t="str">
        <f>IFERROR(VLOOKUP(CE1062,'Rangos amb etnico'!$A$2:$C$6,3,9),"N.D.")</f>
        <v>0,1% - 30%</v>
      </c>
      <c r="CG1062" s="256">
        <v>1.0670237906055106E-3</v>
      </c>
      <c r="CH1062" s="232">
        <v>14.235327</v>
      </c>
      <c r="CI1062" s="311">
        <f t="shared" si="454"/>
        <v>3.8008698842298902E-5</v>
      </c>
      <c r="CJ1062" s="232">
        <f>IFERROR(VLOOKUP(CI1062,'Rangos amb etnico'!$A$2:$C$6,3,9),"N.D.")</f>
        <v>0</v>
      </c>
      <c r="CK1062" s="311">
        <f t="shared" si="455"/>
        <v>5.6523568343980784E-7</v>
      </c>
      <c r="CL1062" s="10">
        <v>0</v>
      </c>
      <c r="CM1062" s="255">
        <f t="shared" si="456"/>
        <v>0</v>
      </c>
      <c r="CN1062" s="232">
        <f>IFERROR(VLOOKUP(CM1062,'Rangos amb etnico'!$A$2:$C$6,3,9),"N.D.")</f>
        <v>0</v>
      </c>
      <c r="CO1062" s="311">
        <f t="shared" si="457"/>
        <v>0</v>
      </c>
      <c r="CP1062">
        <v>0.95657628577682807</v>
      </c>
      <c r="CQ1062" t="s">
        <v>2864</v>
      </c>
      <c r="CR1062">
        <f t="shared" si="448"/>
        <v>2</v>
      </c>
      <c r="CS1062" t="str">
        <f t="shared" si="458"/>
        <v>No es Candidato</v>
      </c>
      <c r="CT1062">
        <v>0</v>
      </c>
      <c r="CU1062">
        <v>0</v>
      </c>
      <c r="CV1062" s="25">
        <v>38.320728302001953</v>
      </c>
      <c r="CW1062" s="25">
        <v>26.586465835571289</v>
      </c>
      <c r="CX1062" s="25">
        <v>49.461334228515618</v>
      </c>
      <c r="CY1062" s="25">
        <v>49.459560394287109</v>
      </c>
      <c r="CZ1062" s="25">
        <v>34.570095062255859</v>
      </c>
      <c r="DA1062" s="25">
        <v>18.836868286132809</v>
      </c>
      <c r="DB1062" s="25">
        <v>51.010036468505859</v>
      </c>
      <c r="DC1062">
        <v>388</v>
      </c>
      <c r="DD1062" s="253" t="s">
        <v>380</v>
      </c>
    </row>
    <row r="1063" spans="1:108" hidden="1">
      <c r="A1063" s="13">
        <v>27660</v>
      </c>
      <c r="B1063" s="13" t="s">
        <v>2520</v>
      </c>
      <c r="C1063" s="13" t="s">
        <v>1714</v>
      </c>
      <c r="D1063" s="13" t="s">
        <v>1715</v>
      </c>
      <c r="E1063" s="13" t="s">
        <v>2521</v>
      </c>
      <c r="F1063" s="14">
        <v>63.932099999999998</v>
      </c>
      <c r="G1063" s="13">
        <v>53.59</v>
      </c>
      <c r="H1063" s="13">
        <v>49.76</v>
      </c>
      <c r="I1063" s="13">
        <v>57.08</v>
      </c>
      <c r="J1063" s="14">
        <v>56.396389752297431</v>
      </c>
      <c r="K1063" s="14">
        <v>59.981189909228263</v>
      </c>
      <c r="L1063" s="14">
        <v>58.05390226502125</v>
      </c>
      <c r="M1063" s="14">
        <v>58.539400000000001</v>
      </c>
      <c r="N1063" s="14">
        <f t="shared" si="432"/>
        <v>56.090525</v>
      </c>
      <c r="O1063" s="14">
        <f t="shared" si="433"/>
        <v>58.242720481636738</v>
      </c>
      <c r="P1063" s="14">
        <f t="shared" si="449"/>
        <v>57.166622740818369</v>
      </c>
      <c r="Q1063" s="14">
        <v>75.797052555484726</v>
      </c>
      <c r="R1063" s="17">
        <f t="shared" si="434"/>
        <v>24.202947444515274</v>
      </c>
      <c r="S1063" s="14">
        <f t="shared" si="450"/>
        <v>0.31782652700063752</v>
      </c>
      <c r="T1063" s="13">
        <v>0</v>
      </c>
      <c r="U1063" s="13">
        <f t="shared" si="451"/>
        <v>18.169069166069967</v>
      </c>
      <c r="V1063" s="13">
        <f>IF($T1063=1,$AU1063,(VLOOKUP(U1063,'Cortes naturales'!$A$35:$C$39,3,9)))</f>
        <v>5</v>
      </c>
      <c r="W1063" s="13">
        <v>5</v>
      </c>
      <c r="X1063" s="14" t="b">
        <f t="shared" si="435"/>
        <v>1</v>
      </c>
      <c r="Y1063" s="17">
        <f>IF($T1063=1,$AU1063,VLOOKUP(U1063,'Cortes naturales'!$A$45:$C$49,3,9))</f>
        <v>5</v>
      </c>
      <c r="Z1063" s="14">
        <v>58.144958312830738</v>
      </c>
      <c r="AA1063" s="14">
        <v>0.32765037523530532</v>
      </c>
      <c r="AB1063" s="14">
        <v>19.051217409240177</v>
      </c>
      <c r="AC1063" s="13">
        <v>5</v>
      </c>
      <c r="AD1063" s="13">
        <f t="shared" si="436"/>
        <v>0</v>
      </c>
      <c r="AE1063" s="14">
        <f t="shared" si="437"/>
        <v>-0.97833557201236943</v>
      </c>
      <c r="AF1063" s="14">
        <f t="shared" si="438"/>
        <v>-9.8238482346678091E-3</v>
      </c>
      <c r="AG1063" s="13">
        <f t="shared" si="439"/>
        <v>-0.88214824317021012</v>
      </c>
      <c r="AH1063" s="13">
        <f>IF($T1063=1,$AU1063,VLOOKUP(U1063,'Cortes naturales'!$A$25:$C$29,3,9))</f>
        <v>5</v>
      </c>
      <c r="AI1063" s="13" t="b">
        <f t="shared" si="440"/>
        <v>1</v>
      </c>
      <c r="AJ1063" s="13">
        <f t="shared" si="441"/>
        <v>0</v>
      </c>
      <c r="AK1063" s="28">
        <v>0.35881802248113021</v>
      </c>
      <c r="AL1063" s="28">
        <v>20.863458959057677</v>
      </c>
      <c r="AM1063" s="28">
        <v>9.0353867577189745E-2</v>
      </c>
      <c r="AN1063" s="13">
        <v>5</v>
      </c>
      <c r="AO1063" s="33">
        <f t="shared" si="442"/>
        <v>0</v>
      </c>
      <c r="AP1063" s="13">
        <f t="shared" si="452"/>
        <v>9.0353867577189746</v>
      </c>
      <c r="AQ1063" s="13">
        <f>IFERROR(VLOOKUP(U1063,'Cortes naturales'!$E$15:$G$19,3,9),U1063)</f>
        <v>5</v>
      </c>
      <c r="AR1063" s="28">
        <f t="shared" si="443"/>
        <v>-4.099149548049269E-2</v>
      </c>
      <c r="AS1063" s="13" t="b">
        <f t="shared" si="444"/>
        <v>1</v>
      </c>
      <c r="AT1063" s="13">
        <f t="shared" si="453"/>
        <v>0</v>
      </c>
      <c r="AU1063" s="13">
        <v>5</v>
      </c>
      <c r="AV1063">
        <f t="shared" si="445"/>
        <v>0</v>
      </c>
      <c r="AW1063" s="13">
        <v>0</v>
      </c>
      <c r="AX1063" s="13">
        <v>0</v>
      </c>
      <c r="AY1063" s="13">
        <v>0</v>
      </c>
      <c r="AZ1063" s="13">
        <v>0</v>
      </c>
      <c r="BA1063">
        <v>1</v>
      </c>
      <c r="BB1063" t="s">
        <v>2841</v>
      </c>
      <c r="BC1063">
        <v>6</v>
      </c>
      <c r="BD1063" t="s">
        <v>2919</v>
      </c>
      <c r="BE1063">
        <v>0</v>
      </c>
      <c r="BF1063" s="232" t="s">
        <v>2846</v>
      </c>
      <c r="BG1063" s="232" t="s">
        <v>2846</v>
      </c>
      <c r="BH1063" s="253">
        <v>59.1</v>
      </c>
      <c r="BI1063" s="253">
        <v>29.464096589705569</v>
      </c>
      <c r="BJ1063" s="25" t="s">
        <v>2849</v>
      </c>
      <c r="BK1063" t="s">
        <v>2849</v>
      </c>
      <c r="BL1063">
        <v>14.161189423718005</v>
      </c>
      <c r="BM1063" t="s">
        <v>376</v>
      </c>
      <c r="BN1063" s="322">
        <v>16284.651835999999</v>
      </c>
      <c r="BO1063" s="322">
        <v>985.11800400000004</v>
      </c>
      <c r="BP1063" s="10">
        <v>5164</v>
      </c>
      <c r="BQ1063" s="254">
        <f t="shared" si="446"/>
        <v>3.153495707978311</v>
      </c>
      <c r="BR1063" s="254">
        <f t="shared" si="447"/>
        <v>0.19076646088303642</v>
      </c>
      <c r="BS1063" s="25">
        <v>61.339239924310753</v>
      </c>
      <c r="BT1063" s="25">
        <v>88.994953728375933</v>
      </c>
      <c r="BU1063" s="25">
        <v>35.165169712793727</v>
      </c>
      <c r="BV1063" s="25">
        <v>83.283727186550223</v>
      </c>
      <c r="BW1063" s="25">
        <v>58.480239509935387</v>
      </c>
      <c r="BX1063" s="25">
        <v>67.195772638007654</v>
      </c>
      <c r="BY1063" s="25">
        <v>59.328642279342461</v>
      </c>
      <c r="BZ1063">
        <v>91</v>
      </c>
      <c r="CA1063">
        <v>0</v>
      </c>
      <c r="CB1063">
        <v>7</v>
      </c>
      <c r="CC1063">
        <v>158252.43638200001</v>
      </c>
      <c r="CD1063" s="10">
        <v>34002.849973999997</v>
      </c>
      <c r="CE1063" s="255">
        <v>0.21486462231723061</v>
      </c>
      <c r="CF1063" t="str">
        <f>IFERROR(VLOOKUP(CE1063,'Rangos amb etnico'!$A$2:$C$6,3,9),"N.D.")</f>
        <v>0,1% - 30%</v>
      </c>
      <c r="CG1063" s="256">
        <v>9.8927108510483215E-4</v>
      </c>
      <c r="CH1063" s="232">
        <v>83132.843896000006</v>
      </c>
      <c r="CI1063" s="311">
        <f t="shared" si="454"/>
        <v>0.52531794010000921</v>
      </c>
      <c r="CJ1063" s="232" t="str">
        <f>IFERROR(VLOOKUP(CI1063,'Rangos amb etnico'!$A$2:$C$6,3,9),"N.D.")</f>
        <v>51% - 70%</v>
      </c>
      <c r="CK1063" s="311">
        <f t="shared" si="455"/>
        <v>3.3009181900668962E-3</v>
      </c>
      <c r="CL1063" s="10">
        <v>0</v>
      </c>
      <c r="CM1063" s="255">
        <f t="shared" si="456"/>
        <v>0</v>
      </c>
      <c r="CN1063" s="232">
        <f>IFERROR(VLOOKUP(CM1063,'Rangos amb etnico'!$A$2:$C$6,3,9),"N.D.")</f>
        <v>0</v>
      </c>
      <c r="CO1063" s="311">
        <f t="shared" si="457"/>
        <v>0</v>
      </c>
      <c r="CP1063">
        <v>0.90573070337142758</v>
      </c>
      <c r="CQ1063" t="s">
        <v>2864</v>
      </c>
      <c r="CR1063">
        <f t="shared" si="448"/>
        <v>1</v>
      </c>
      <c r="CS1063" t="str">
        <f t="shared" si="458"/>
        <v>No es Candidato</v>
      </c>
      <c r="CT1063">
        <v>0</v>
      </c>
      <c r="CU1063">
        <v>0</v>
      </c>
      <c r="CV1063" s="25">
        <v>40.662132263183587</v>
      </c>
      <c r="CW1063" s="25">
        <v>12.941848754882811</v>
      </c>
      <c r="CX1063" s="25">
        <v>40.430503845214837</v>
      </c>
      <c r="CY1063" s="25">
        <v>38.666896820068359</v>
      </c>
      <c r="CZ1063" s="25">
        <v>22.035711288452148</v>
      </c>
      <c r="DA1063" s="25">
        <v>75</v>
      </c>
      <c r="DB1063" s="25">
        <v>54.8978271484375</v>
      </c>
      <c r="DC1063">
        <v>2082</v>
      </c>
      <c r="DD1063" s="253" t="s">
        <v>380</v>
      </c>
    </row>
    <row r="1064" spans="1:108" hidden="1">
      <c r="A1064" s="13">
        <v>50577</v>
      </c>
      <c r="B1064" s="13" t="s">
        <v>2522</v>
      </c>
      <c r="C1064" s="13" t="s">
        <v>605</v>
      </c>
      <c r="D1064" s="13" t="s">
        <v>606</v>
      </c>
      <c r="E1064" s="13" t="s">
        <v>2523</v>
      </c>
      <c r="F1064" s="14">
        <v>63.302233333333298</v>
      </c>
      <c r="G1064" s="13">
        <v>53.2</v>
      </c>
      <c r="H1064" s="13">
        <v>50.12</v>
      </c>
      <c r="I1064" s="13">
        <v>40.729999999999997</v>
      </c>
      <c r="J1064" s="14">
        <v>53.319654693365749</v>
      </c>
      <c r="K1064" s="14">
        <v>64.641386419557733</v>
      </c>
      <c r="L1064" s="14">
        <v>65.255603064007701</v>
      </c>
      <c r="M1064" s="14">
        <v>64.742000000000004</v>
      </c>
      <c r="N1064" s="14">
        <f t="shared" si="432"/>
        <v>51.838058333333322</v>
      </c>
      <c r="O1064" s="14">
        <f t="shared" si="433"/>
        <v>61.989661044232804</v>
      </c>
      <c r="P1064" s="14">
        <f t="shared" si="449"/>
        <v>56.913859688783063</v>
      </c>
      <c r="Q1064" s="14">
        <v>76.297560189524333</v>
      </c>
      <c r="R1064" s="17">
        <f t="shared" si="434"/>
        <v>23.702439810475667</v>
      </c>
      <c r="S1064" s="14">
        <f t="shared" si="450"/>
        <v>0.313321958294281</v>
      </c>
      <c r="T1064" s="13">
        <v>0</v>
      </c>
      <c r="U1064" s="13">
        <f t="shared" si="451"/>
        <v>17.832361971775448</v>
      </c>
      <c r="V1064" s="13">
        <f>IF($T1064=1,$AU1064,(VLOOKUP(U1064,'Cortes naturales'!$A$35:$C$39,3,9)))</f>
        <v>5</v>
      </c>
      <c r="W1064" s="13">
        <v>5</v>
      </c>
      <c r="X1064" s="14" t="b">
        <f t="shared" si="435"/>
        <v>1</v>
      </c>
      <c r="Y1064" s="17">
        <f>IF($T1064=1,$AU1064,VLOOKUP(U1064,'Cortes naturales'!$A$45:$C$49,3,9))</f>
        <v>5</v>
      </c>
      <c r="Z1064" s="14">
        <v>57.890780719745266</v>
      </c>
      <c r="AA1064" s="14">
        <v>0.32358409003723698</v>
      </c>
      <c r="AB1064" s="14">
        <v>18.732535600743994</v>
      </c>
      <c r="AC1064" s="13">
        <v>5</v>
      </c>
      <c r="AD1064" s="13">
        <f t="shared" si="436"/>
        <v>0</v>
      </c>
      <c r="AE1064" s="14">
        <f t="shared" si="437"/>
        <v>-0.97692103096220251</v>
      </c>
      <c r="AF1064" s="14">
        <f t="shared" si="438"/>
        <v>-1.0262131742955982E-2</v>
      </c>
      <c r="AG1064" s="13">
        <f t="shared" si="439"/>
        <v>-0.90017362896854536</v>
      </c>
      <c r="AH1064" s="13">
        <f>IF($T1064=1,$AU1064,VLOOKUP(U1064,'Cortes naturales'!$A$25:$C$29,3,9))</f>
        <v>5</v>
      </c>
      <c r="AI1064" s="13" t="b">
        <f t="shared" si="440"/>
        <v>1</v>
      </c>
      <c r="AJ1064" s="13">
        <f t="shared" si="441"/>
        <v>0</v>
      </c>
      <c r="AK1064" s="28">
        <v>0.35881802248113021</v>
      </c>
      <c r="AL1064" s="28">
        <v>20.772255457747736</v>
      </c>
      <c r="AM1064" s="28">
        <v>8.9213007913354597E-2</v>
      </c>
      <c r="AN1064" s="13">
        <v>5</v>
      </c>
      <c r="AO1064" s="33">
        <f t="shared" si="442"/>
        <v>0</v>
      </c>
      <c r="AP1064" s="13">
        <f t="shared" si="452"/>
        <v>8.9213007913354598</v>
      </c>
      <c r="AQ1064" s="13">
        <f>IFERROR(VLOOKUP(U1064,'Cortes naturales'!$E$15:$G$19,3,9),U1064)</f>
        <v>5</v>
      </c>
      <c r="AR1064" s="28">
        <f t="shared" si="443"/>
        <v>-4.5496064186849206E-2</v>
      </c>
      <c r="AS1064" s="13" t="b">
        <f t="shared" si="444"/>
        <v>1</v>
      </c>
      <c r="AT1064" s="13">
        <f t="shared" si="453"/>
        <v>0</v>
      </c>
      <c r="AU1064" s="13">
        <v>5</v>
      </c>
      <c r="AV1064">
        <f t="shared" si="445"/>
        <v>0</v>
      </c>
      <c r="AW1064" s="13">
        <v>0</v>
      </c>
      <c r="AX1064" s="13">
        <v>0</v>
      </c>
      <c r="AY1064" s="13">
        <v>0</v>
      </c>
      <c r="AZ1064" s="13">
        <v>1</v>
      </c>
      <c r="BA1064">
        <v>1</v>
      </c>
      <c r="BB1064" t="s">
        <v>2841</v>
      </c>
      <c r="BC1064">
        <v>6</v>
      </c>
      <c r="BD1064" t="s">
        <v>2919</v>
      </c>
      <c r="BE1064">
        <v>1</v>
      </c>
      <c r="BF1064" s="232" t="s">
        <v>2846</v>
      </c>
      <c r="BG1064" s="232" t="s">
        <v>2846</v>
      </c>
      <c r="BH1064" s="253">
        <v>43.5</v>
      </c>
      <c r="BI1064" s="253">
        <v>32.984353428439945</v>
      </c>
      <c r="BJ1064" s="25">
        <v>5.2609090909090908</v>
      </c>
      <c r="BK1064" t="s">
        <v>377</v>
      </c>
      <c r="BL1064">
        <v>14.587653971171733</v>
      </c>
      <c r="BM1064" t="s">
        <v>376</v>
      </c>
      <c r="BN1064" s="322">
        <v>26690.407330999999</v>
      </c>
      <c r="BO1064" s="322">
        <v>4177.0518039999997</v>
      </c>
      <c r="BP1064" s="10">
        <v>10704</v>
      </c>
      <c r="BQ1064" s="254">
        <f t="shared" si="446"/>
        <v>2.4934984427316889</v>
      </c>
      <c r="BR1064" s="254">
        <f t="shared" si="447"/>
        <v>0.39023279185351267</v>
      </c>
      <c r="BS1064" s="25">
        <v>53.429293666431533</v>
      </c>
      <c r="BT1064" s="25">
        <v>85.85388528649726</v>
      </c>
      <c r="BU1064" s="25">
        <v>26.494049531459169</v>
      </c>
      <c r="BV1064" s="25">
        <v>91.764665143023876</v>
      </c>
      <c r="BW1064" s="25">
        <v>65.527745302679961</v>
      </c>
      <c r="BX1064" s="25">
        <v>64.385473406852952</v>
      </c>
      <c r="BY1064" s="25">
        <v>67.007632937739331</v>
      </c>
      <c r="BZ1064">
        <v>63</v>
      </c>
      <c r="CA1064">
        <v>0</v>
      </c>
      <c r="CB1064">
        <v>7</v>
      </c>
      <c r="CC1064">
        <v>253122.57684299999</v>
      </c>
      <c r="CD1064" s="10">
        <v>8103.4580999999998</v>
      </c>
      <c r="CE1064" s="255">
        <v>3.2013968098255387E-2</v>
      </c>
      <c r="CF1064" t="str">
        <f>IFERROR(VLOOKUP(CE1064,'Rangos amb etnico'!$A$2:$C$6,3,9),"N.D.")</f>
        <v>0,1% - 30%</v>
      </c>
      <c r="CG1064" s="256">
        <v>2.3576014345321952E-4</v>
      </c>
      <c r="CH1064" s="232">
        <v>0</v>
      </c>
      <c r="CI1064" s="311">
        <f t="shared" si="454"/>
        <v>0</v>
      </c>
      <c r="CJ1064" s="232">
        <f>IFERROR(VLOOKUP(CI1064,'Rangos amb etnico'!$A$2:$C$6,3,9),"N.D.")</f>
        <v>0</v>
      </c>
      <c r="CK1064" s="311">
        <f t="shared" si="455"/>
        <v>0</v>
      </c>
      <c r="CL1064" s="10">
        <v>0.102457329248</v>
      </c>
      <c r="CM1064" s="255">
        <f t="shared" si="456"/>
        <v>4.0477357067816774E-7</v>
      </c>
      <c r="CN1064" s="232">
        <f>IFERROR(VLOOKUP(CM1064,'Rangos amb etnico'!$A$2:$C$6,3,9),"N.D.")</f>
        <v>0</v>
      </c>
      <c r="CO1064" s="311">
        <f t="shared" si="457"/>
        <v>6.4251702854739269E-8</v>
      </c>
      <c r="CP1064">
        <v>0.97239182289385107</v>
      </c>
      <c r="CQ1064" t="s">
        <v>2864</v>
      </c>
      <c r="CR1064">
        <f t="shared" si="448"/>
        <v>3</v>
      </c>
      <c r="CS1064" t="str">
        <f t="shared" si="458"/>
        <v>Candidato</v>
      </c>
      <c r="CT1064">
        <v>0</v>
      </c>
      <c r="CU1064">
        <v>0</v>
      </c>
      <c r="CV1064" s="25">
        <v>34.453907012939453</v>
      </c>
      <c r="CW1064" s="25">
        <v>11.395803451538089</v>
      </c>
      <c r="CX1064" s="25">
        <v>62.634910583496087</v>
      </c>
      <c r="CY1064" s="25">
        <v>47.805435180664063</v>
      </c>
      <c r="CZ1064" s="25">
        <v>22.11128997802734</v>
      </c>
      <c r="DA1064" s="25">
        <v>24.233283996582031</v>
      </c>
      <c r="DB1064" s="25">
        <v>38.542716979980469</v>
      </c>
      <c r="DC1064">
        <v>150</v>
      </c>
      <c r="DD1064" s="253" t="s">
        <v>380</v>
      </c>
    </row>
    <row r="1065" spans="1:108" hidden="1">
      <c r="A1065" s="13">
        <v>15332</v>
      </c>
      <c r="B1065" s="13" t="s">
        <v>2524</v>
      </c>
      <c r="C1065" s="13" t="s">
        <v>498</v>
      </c>
      <c r="D1065" s="13" t="s">
        <v>499</v>
      </c>
      <c r="E1065" s="13" t="s">
        <v>2525</v>
      </c>
      <c r="F1065" s="14">
        <v>59.6976333333333</v>
      </c>
      <c r="G1065" s="13">
        <v>55.64</v>
      </c>
      <c r="H1065" s="13">
        <v>0</v>
      </c>
      <c r="I1065" s="13">
        <v>24.83</v>
      </c>
      <c r="J1065" s="14">
        <v>48.371717863549598</v>
      </c>
      <c r="K1065" s="14">
        <v>46.76136103199444</v>
      </c>
      <c r="L1065" s="14">
        <v>46.475183325916696</v>
      </c>
      <c r="M1065" s="14">
        <v>50.826900000000002</v>
      </c>
      <c r="N1065" s="14">
        <f t="shared" si="432"/>
        <v>35.041908333333325</v>
      </c>
      <c r="O1065" s="14">
        <f t="shared" si="433"/>
        <v>48.108790555365182</v>
      </c>
      <c r="P1065" s="14">
        <f t="shared" si="449"/>
        <v>41.575349444349257</v>
      </c>
      <c r="Q1065" s="14">
        <v>75.635597041883955</v>
      </c>
      <c r="R1065" s="17">
        <f t="shared" si="434"/>
        <v>24.364402958116045</v>
      </c>
      <c r="S1065" s="14">
        <f t="shared" si="450"/>
        <v>0.31927962662304443</v>
      </c>
      <c r="T1065" s="13">
        <v>0</v>
      </c>
      <c r="U1065" s="13">
        <f t="shared" si="451"/>
        <v>13.274162047314428</v>
      </c>
      <c r="V1065" s="13">
        <f>IF($T1065=1,$AU1065,(VLOOKUP(U1065,'Cortes naturales'!$A$35:$C$39,3,9)))</f>
        <v>5</v>
      </c>
      <c r="W1065" s="13">
        <v>5</v>
      </c>
      <c r="X1065" s="14" t="b">
        <f t="shared" si="435"/>
        <v>1</v>
      </c>
      <c r="Y1065" s="17">
        <f>IF($T1065=1,$AU1065,VLOOKUP(U1065,'Cortes naturales'!$A$45:$C$49,3,9))</f>
        <v>5</v>
      </c>
      <c r="Z1065" s="14">
        <v>53.623887599085407</v>
      </c>
      <c r="AA1065" s="14">
        <v>0.32368631121409241</v>
      </c>
      <c r="AB1065" s="14">
        <v>17.35731836990707</v>
      </c>
      <c r="AC1065" s="13">
        <v>5</v>
      </c>
      <c r="AD1065" s="13">
        <f t="shared" si="436"/>
        <v>0</v>
      </c>
      <c r="AE1065" s="14">
        <f t="shared" si="437"/>
        <v>-12.04853815473615</v>
      </c>
      <c r="AF1065" s="14">
        <f t="shared" si="438"/>
        <v>-4.4066845910479824E-3</v>
      </c>
      <c r="AG1065" s="13">
        <f t="shared" si="439"/>
        <v>-4.0831563225926413</v>
      </c>
      <c r="AH1065" s="13">
        <f>IF($T1065=1,$AU1065,VLOOKUP(U1065,'Cortes naturales'!$A$25:$C$29,3,9))</f>
        <v>5</v>
      </c>
      <c r="AI1065" s="13" t="b">
        <f t="shared" si="440"/>
        <v>1</v>
      </c>
      <c r="AJ1065" s="13">
        <f t="shared" si="441"/>
        <v>0</v>
      </c>
      <c r="AK1065" s="28">
        <v>0.35881802248113021</v>
      </c>
      <c r="AL1065" s="28">
        <v>19.241217306054228</v>
      </c>
      <c r="AM1065" s="28">
        <v>7.0061334502002234E-2</v>
      </c>
      <c r="AN1065" s="13">
        <v>5</v>
      </c>
      <c r="AO1065" s="33">
        <f t="shared" si="442"/>
        <v>0</v>
      </c>
      <c r="AP1065" s="13">
        <f t="shared" si="452"/>
        <v>7.006133450200223</v>
      </c>
      <c r="AQ1065" s="13">
        <f>IFERROR(VLOOKUP(U1065,'Cortes naturales'!$E$15:$G$19,3,9),U1065)</f>
        <v>5</v>
      </c>
      <c r="AR1065" s="28">
        <f t="shared" si="443"/>
        <v>-3.9538395858085773E-2</v>
      </c>
      <c r="AS1065" s="13" t="b">
        <f t="shared" si="444"/>
        <v>1</v>
      </c>
      <c r="AT1065" s="13">
        <f t="shared" si="453"/>
        <v>0</v>
      </c>
      <c r="AU1065" s="13">
        <v>5</v>
      </c>
      <c r="AV1065">
        <f t="shared" si="445"/>
        <v>0</v>
      </c>
      <c r="AW1065" s="13">
        <v>0</v>
      </c>
      <c r="AX1065" s="13">
        <v>0</v>
      </c>
      <c r="AY1065" s="13">
        <v>0</v>
      </c>
      <c r="AZ1065" s="13">
        <v>0</v>
      </c>
      <c r="BA1065">
        <v>0</v>
      </c>
      <c r="BB1065" t="s">
        <v>2841</v>
      </c>
      <c r="BC1065">
        <v>6</v>
      </c>
      <c r="BD1065" t="s">
        <v>2919</v>
      </c>
      <c r="BE1065">
        <v>1</v>
      </c>
      <c r="BF1065" s="232" t="s">
        <v>2846</v>
      </c>
      <c r="BG1065" s="232" t="s">
        <v>2846</v>
      </c>
      <c r="BH1065" s="253">
        <v>48.1</v>
      </c>
      <c r="BI1065" s="253">
        <v>29.744897959183675</v>
      </c>
      <c r="BJ1065" s="25">
        <v>45.001674611905628</v>
      </c>
      <c r="BK1065" t="s">
        <v>376</v>
      </c>
      <c r="BL1065">
        <v>1.8944792321506077</v>
      </c>
      <c r="BM1065" t="s">
        <v>383</v>
      </c>
      <c r="BN1065" s="322">
        <v>15129.656482</v>
      </c>
      <c r="BO1065" s="322">
        <v>768.61422500000003</v>
      </c>
      <c r="BP1065" s="10">
        <v>4383</v>
      </c>
      <c r="BQ1065" s="254">
        <f t="shared" si="446"/>
        <v>3.4518951590235001</v>
      </c>
      <c r="BR1065" s="254">
        <f t="shared" si="447"/>
        <v>0.17536258840976501</v>
      </c>
      <c r="BS1065" s="25">
        <v>49.438147195222662</v>
      </c>
      <c r="BT1065" s="25">
        <v>94.520894808685966</v>
      </c>
      <c r="BU1065" s="25">
        <v>25.7260810132932</v>
      </c>
      <c r="BV1065" s="25">
        <v>96.407326597184849</v>
      </c>
      <c r="BW1065" s="25">
        <v>53.648379222358273</v>
      </c>
      <c r="BX1065" s="25">
        <v>66.52311240359667</v>
      </c>
      <c r="BY1065" s="25">
        <v>54.352622033810228</v>
      </c>
      <c r="BZ1065">
        <v>44</v>
      </c>
      <c r="CA1065">
        <v>0</v>
      </c>
      <c r="CB1065">
        <v>7</v>
      </c>
      <c r="CC1065">
        <v>94989.977100000004</v>
      </c>
      <c r="CD1065" s="10">
        <v>89756.471722000002</v>
      </c>
      <c r="CE1065" s="255">
        <v>0.94490465691458725</v>
      </c>
      <c r="CF1065" t="str">
        <f>IFERROR(VLOOKUP(CE1065,'Rangos amb etnico'!$A$2:$C$6,3,9),"N.D.")</f>
        <v>71% - 100%</v>
      </c>
      <c r="CG1065" s="256">
        <v>2.6113541142433454E-3</v>
      </c>
      <c r="CH1065" s="232">
        <v>71421.380164999995</v>
      </c>
      <c r="CI1065" s="311">
        <f t="shared" si="454"/>
        <v>0.75188332859383322</v>
      </c>
      <c r="CJ1065" s="232" t="str">
        <f>IFERROR(VLOOKUP(CI1065,'Rangos amb etnico'!$A$2:$C$6,3,9),"N.D.")</f>
        <v>71% - 100%</v>
      </c>
      <c r="CK1065" s="311">
        <f t="shared" si="455"/>
        <v>2.8358964026452011E-3</v>
      </c>
      <c r="CL1065" s="10">
        <v>0</v>
      </c>
      <c r="CM1065" s="255">
        <f t="shared" si="456"/>
        <v>0</v>
      </c>
      <c r="CN1065" s="232">
        <f>IFERROR(VLOOKUP(CM1065,'Rangos amb etnico'!$A$2:$C$6,3,9),"N.D.")</f>
        <v>0</v>
      </c>
      <c r="CO1065" s="311">
        <f t="shared" si="457"/>
        <v>0</v>
      </c>
      <c r="CP1065">
        <v>0.69582801829581364</v>
      </c>
      <c r="CQ1065" t="s">
        <v>2866</v>
      </c>
      <c r="CR1065">
        <f t="shared" si="448"/>
        <v>0</v>
      </c>
      <c r="CS1065" t="str">
        <f t="shared" si="458"/>
        <v>No es Candidato</v>
      </c>
      <c r="CT1065">
        <v>0</v>
      </c>
      <c r="CU1065">
        <v>0</v>
      </c>
      <c r="CV1065" s="25">
        <v>44.624366760253913</v>
      </c>
      <c r="CW1065" s="25">
        <v>7.5927643775939941</v>
      </c>
      <c r="CX1065" s="25">
        <v>48.082275390625</v>
      </c>
      <c r="CY1065" s="25">
        <v>39.123161315917969</v>
      </c>
      <c r="CZ1065" s="25">
        <v>33.851871490478523</v>
      </c>
      <c r="DA1065" s="25">
        <v>73.220069885253906</v>
      </c>
      <c r="DB1065" s="25">
        <v>65.876068115234375</v>
      </c>
      <c r="DC1065">
        <v>915</v>
      </c>
      <c r="DD1065" s="253" t="s">
        <v>380</v>
      </c>
    </row>
    <row r="1066" spans="1:108">
      <c r="A1066" s="13">
        <v>5475</v>
      </c>
      <c r="B1066" s="13" t="s">
        <v>2526</v>
      </c>
      <c r="C1066" s="13" t="s">
        <v>435</v>
      </c>
      <c r="D1066" s="13" t="s">
        <v>436</v>
      </c>
      <c r="E1066" s="13" t="s">
        <v>2527</v>
      </c>
      <c r="F1066" s="14">
        <v>37.798699999999997</v>
      </c>
      <c r="G1066" s="13">
        <v>43.4</v>
      </c>
      <c r="H1066" s="13">
        <v>44.89</v>
      </c>
      <c r="I1066" s="13">
        <v>46.02</v>
      </c>
      <c r="J1066" s="14">
        <v>54.285690249655687</v>
      </c>
      <c r="K1066" s="14">
        <v>50.540999238154193</v>
      </c>
      <c r="L1066" s="14">
        <v>46.691224349657119</v>
      </c>
      <c r="M1066" s="14">
        <v>44.273299999999999</v>
      </c>
      <c r="N1066" s="14">
        <f t="shared" si="432"/>
        <v>43.027175</v>
      </c>
      <c r="O1066" s="14">
        <f t="shared" si="433"/>
        <v>48.947803459366753</v>
      </c>
      <c r="P1066" s="14">
        <f t="shared" si="449"/>
        <v>45.987489229683376</v>
      </c>
      <c r="Q1066" s="14">
        <v>74.628326789294761</v>
      </c>
      <c r="R1066" s="17">
        <f t="shared" si="434"/>
        <v>25.371673210705239</v>
      </c>
      <c r="S1066" s="14">
        <f t="shared" si="450"/>
        <v>0.32834505889634713</v>
      </c>
      <c r="T1066" s="13">
        <v>0</v>
      </c>
      <c r="U1066" s="13">
        <f t="shared" si="451"/>
        <v>15.099764859615517</v>
      </c>
      <c r="V1066" s="13">
        <f>IF($T1066=1,$AU1066,(VLOOKUP(U1066,'Cortes naturales'!$A$35:$C$39,3,9)))</f>
        <v>5</v>
      </c>
      <c r="W1066" s="13">
        <v>5</v>
      </c>
      <c r="X1066" s="14" t="b">
        <f t="shared" si="435"/>
        <v>1</v>
      </c>
      <c r="Y1066" s="17">
        <f>IF($T1066=1,$AU1066,VLOOKUP(U1066,'Cortes naturales'!$A$45:$C$49,3,9))</f>
        <v>5</v>
      </c>
      <c r="Z1066" s="14">
        <v>45.889110903966667</v>
      </c>
      <c r="AA1066" s="14">
        <v>0.32302259911277653</v>
      </c>
      <c r="AB1066" s="14">
        <v>14.823219875173766</v>
      </c>
      <c r="AC1066" s="13">
        <v>5</v>
      </c>
      <c r="AD1066" s="13">
        <f t="shared" si="436"/>
        <v>0</v>
      </c>
      <c r="AE1066" s="14">
        <f t="shared" si="437"/>
        <v>9.8378325716709014E-2</v>
      </c>
      <c r="AF1066" s="14">
        <f t="shared" si="438"/>
        <v>5.3224597835705989E-3</v>
      </c>
      <c r="AG1066" s="13">
        <f t="shared" si="439"/>
        <v>0.27654498444175069</v>
      </c>
      <c r="AH1066" s="13">
        <f>IF($T1066=1,$AU1066,VLOOKUP(U1066,'Cortes naturales'!$A$25:$C$29,3,9))</f>
        <v>5</v>
      </c>
      <c r="AI1066" s="13" t="b">
        <f t="shared" si="440"/>
        <v>1</v>
      </c>
      <c r="AJ1066" s="13">
        <f t="shared" si="441"/>
        <v>0</v>
      </c>
      <c r="AK1066" s="28">
        <v>0.35881802248113021</v>
      </c>
      <c r="AL1066" s="28">
        <v>16.46584002797859</v>
      </c>
      <c r="AM1066" s="28">
        <v>3.5344290276684204E-2</v>
      </c>
      <c r="AN1066" s="13">
        <v>5</v>
      </c>
      <c r="AO1066" s="33">
        <f t="shared" si="442"/>
        <v>0</v>
      </c>
      <c r="AP1066" s="13">
        <f t="shared" si="452"/>
        <v>3.5344290276684203</v>
      </c>
      <c r="AQ1066" s="13">
        <f>IFERROR(VLOOKUP(U1066,'Cortes naturales'!$E$15:$G$19,3,9),U1066)</f>
        <v>5</v>
      </c>
      <c r="AR1066" s="28">
        <f t="shared" si="443"/>
        <v>-3.0472963584783075E-2</v>
      </c>
      <c r="AS1066" s="13" t="b">
        <f t="shared" si="444"/>
        <v>1</v>
      </c>
      <c r="AT1066" s="13">
        <f t="shared" si="453"/>
        <v>0</v>
      </c>
      <c r="AU1066" s="13">
        <v>5</v>
      </c>
      <c r="AV1066">
        <f t="shared" si="445"/>
        <v>0</v>
      </c>
      <c r="AW1066" s="13">
        <v>0</v>
      </c>
      <c r="AX1066" s="13">
        <v>0</v>
      </c>
      <c r="AY1066" s="13">
        <v>0</v>
      </c>
      <c r="AZ1066" s="13">
        <v>1</v>
      </c>
      <c r="BA1066">
        <v>1</v>
      </c>
      <c r="BB1066" t="s">
        <v>2841</v>
      </c>
      <c r="BC1066">
        <v>6</v>
      </c>
      <c r="BD1066" t="s">
        <v>2919</v>
      </c>
      <c r="BE1066">
        <v>1</v>
      </c>
      <c r="BF1066" s="232" t="s">
        <v>2846</v>
      </c>
      <c r="BG1066" s="232" t="s">
        <v>2846</v>
      </c>
      <c r="BH1066" s="253">
        <v>81.5</v>
      </c>
      <c r="BI1066" s="253">
        <v>81.732012063765623</v>
      </c>
      <c r="BJ1066" s="25" t="s">
        <v>2849</v>
      </c>
      <c r="BK1066" t="s">
        <v>2849</v>
      </c>
      <c r="BL1066">
        <v>2.1637416504949054</v>
      </c>
      <c r="BM1066" t="s">
        <v>383</v>
      </c>
      <c r="BN1066" s="322">
        <v>29932.169298000001</v>
      </c>
      <c r="BO1066" s="322">
        <v>1117.3385410000001</v>
      </c>
      <c r="BP1066" s="10">
        <v>5769</v>
      </c>
      <c r="BQ1066" s="254">
        <f t="shared" si="446"/>
        <v>5.1884502163286532</v>
      </c>
      <c r="BR1066" s="254">
        <f t="shared" si="447"/>
        <v>0.1936797609637719</v>
      </c>
      <c r="BS1066" s="25">
        <v>53.060729468081298</v>
      </c>
      <c r="BT1066" s="25">
        <v>90.170021097821689</v>
      </c>
      <c r="BU1066" s="25">
        <v>11.432803030303001</v>
      </c>
      <c r="BV1066" s="25">
        <v>97.349312774081213</v>
      </c>
      <c r="BW1066" s="25">
        <v>38.697515602990713</v>
      </c>
      <c r="BX1066" s="25">
        <v>63.003216592571803</v>
      </c>
      <c r="BY1066" s="25">
        <v>39.969094494319577</v>
      </c>
      <c r="BZ1066">
        <v>51</v>
      </c>
      <c r="CA1066">
        <v>0</v>
      </c>
      <c r="CB1066">
        <v>7</v>
      </c>
      <c r="CC1066">
        <v>126683.9875</v>
      </c>
      <c r="CD1066" s="10">
        <v>6492.9068980000002</v>
      </c>
      <c r="CE1066" s="255">
        <v>5.1252782819138844E-2</v>
      </c>
      <c r="CF1066" t="str">
        <f>IFERROR(VLOOKUP(CE1066,'Rangos amb etnico'!$A$2:$C$6,3,9),"N.D.")</f>
        <v>0,1% - 30%</v>
      </c>
      <c r="CG1066" s="256">
        <v>1.8890313774817677E-4</v>
      </c>
      <c r="CH1066" s="232">
        <v>121367.11070200001</v>
      </c>
      <c r="CI1066" s="311">
        <f t="shared" si="454"/>
        <v>0.95803039592513617</v>
      </c>
      <c r="CJ1066" s="232" t="str">
        <f>IFERROR(VLOOKUP(CI1066,'Rangos amb etnico'!$A$2:$C$6,3,9),"N.D.")</f>
        <v>71% - 100%</v>
      </c>
      <c r="CK1066" s="311">
        <f t="shared" si="455"/>
        <v>4.8190689096751895E-3</v>
      </c>
      <c r="CL1066" s="10">
        <v>0</v>
      </c>
      <c r="CM1066" s="255">
        <f t="shared" si="456"/>
        <v>0</v>
      </c>
      <c r="CN1066" s="232">
        <f>IFERROR(VLOOKUP(CM1066,'Rangos amb etnico'!$A$2:$C$6,3,9),"N.D.")</f>
        <v>0</v>
      </c>
      <c r="CO1066" s="311">
        <f t="shared" si="457"/>
        <v>0</v>
      </c>
      <c r="CP1066">
        <v>0.88235514594736864</v>
      </c>
      <c r="CQ1066" t="s">
        <v>2864</v>
      </c>
      <c r="CR1066">
        <f t="shared" si="448"/>
        <v>1</v>
      </c>
      <c r="CS1066" t="str">
        <f t="shared" si="458"/>
        <v>No es Candidato</v>
      </c>
      <c r="CT1066">
        <v>0</v>
      </c>
      <c r="CU1066">
        <v>0</v>
      </c>
      <c r="CV1066" s="25">
        <v>40.278892517089837</v>
      </c>
      <c r="CW1066" s="25">
        <v>8.2160472869873047</v>
      </c>
      <c r="CX1066" s="25">
        <v>52.217193603515618</v>
      </c>
      <c r="CY1066" s="25">
        <v>30.998577117919918</v>
      </c>
      <c r="CZ1066" s="25">
        <v>4.1341471672058114</v>
      </c>
      <c r="DA1066" s="25">
        <v>90.002273559570313</v>
      </c>
      <c r="DB1066" s="25">
        <v>56.1051025390625</v>
      </c>
      <c r="DC1066">
        <v>4862</v>
      </c>
      <c r="DD1066" s="253" t="s">
        <v>380</v>
      </c>
    </row>
    <row r="1067" spans="1:108" hidden="1">
      <c r="A1067" s="13">
        <v>19418</v>
      </c>
      <c r="B1067" s="13" t="s">
        <v>2528</v>
      </c>
      <c r="C1067" s="13" t="s">
        <v>557</v>
      </c>
      <c r="D1067" s="13" t="s">
        <v>558</v>
      </c>
      <c r="E1067" s="13" t="s">
        <v>2529</v>
      </c>
      <c r="F1067" s="14">
        <v>85.9279333333333</v>
      </c>
      <c r="G1067" s="13">
        <v>80.88</v>
      </c>
      <c r="H1067" s="13">
        <v>79.16</v>
      </c>
      <c r="I1067" s="13">
        <v>90.7</v>
      </c>
      <c r="J1067" s="14">
        <v>39.750431203786192</v>
      </c>
      <c r="K1067" s="14">
        <v>42.711950308220011</v>
      </c>
      <c r="L1067" s="14">
        <v>69.455965322378205</v>
      </c>
      <c r="M1067" s="14">
        <v>50.947600000000001</v>
      </c>
      <c r="N1067" s="14">
        <f t="shared" si="432"/>
        <v>84.16698333333332</v>
      </c>
      <c r="O1067" s="14">
        <f t="shared" si="433"/>
        <v>50.716486708596101</v>
      </c>
      <c r="P1067" s="14">
        <f t="shared" si="449"/>
        <v>67.441735020964714</v>
      </c>
      <c r="Q1067" s="14">
        <v>75.626518376639922</v>
      </c>
      <c r="R1067" s="17">
        <f t="shared" si="434"/>
        <v>24.373481623360078</v>
      </c>
      <c r="S1067" s="14">
        <f t="shared" si="450"/>
        <v>0.31936133461024074</v>
      </c>
      <c r="T1067" s="13">
        <v>0</v>
      </c>
      <c r="U1067" s="13">
        <f t="shared" si="451"/>
        <v>21.538282504725505</v>
      </c>
      <c r="V1067" s="13">
        <f>IF($T1067=1,$AU1067,(VLOOKUP(U1067,'Cortes naturales'!$A$35:$C$39,3,9)))</f>
        <v>5</v>
      </c>
      <c r="W1067" s="13">
        <v>5</v>
      </c>
      <c r="X1067" s="14" t="b">
        <f t="shared" si="435"/>
        <v>1</v>
      </c>
      <c r="Y1067" s="17">
        <f>IF($T1067=1,$AU1067,VLOOKUP(U1067,'Cortes naturales'!$A$45:$C$49,3,9))</f>
        <v>4</v>
      </c>
      <c r="Z1067" s="14">
        <v>65.845836073815406</v>
      </c>
      <c r="AA1067" s="14">
        <v>0.32231130589812917</v>
      </c>
      <c r="AB1067" s="14">
        <v>21.222857412905586</v>
      </c>
      <c r="AC1067" s="13">
        <v>4</v>
      </c>
      <c r="AD1067" s="13">
        <f t="shared" si="436"/>
        <v>0</v>
      </c>
      <c r="AE1067" s="14">
        <f t="shared" si="437"/>
        <v>1.5958989471493084</v>
      </c>
      <c r="AF1067" s="14">
        <f t="shared" si="438"/>
        <v>-2.949971287888431E-3</v>
      </c>
      <c r="AG1067" s="13">
        <f t="shared" si="439"/>
        <v>0.31542509181991818</v>
      </c>
      <c r="AH1067" s="13">
        <f>IF($T1067=1,$AU1067,VLOOKUP(U1067,'Cortes naturales'!$A$25:$C$29,3,9))</f>
        <v>4</v>
      </c>
      <c r="AI1067" s="13" t="b">
        <f t="shared" si="440"/>
        <v>1</v>
      </c>
      <c r="AJ1067" s="13">
        <f t="shared" si="441"/>
        <v>0</v>
      </c>
      <c r="AK1067" s="28">
        <v>0.35881802248113021</v>
      </c>
      <c r="AL1067" s="28">
        <v>23.62667268862311</v>
      </c>
      <c r="AM1067" s="28">
        <v>0.1249187586322338</v>
      </c>
      <c r="AN1067" s="13">
        <v>5</v>
      </c>
      <c r="AO1067" s="33">
        <f t="shared" si="442"/>
        <v>1</v>
      </c>
      <c r="AP1067" s="13">
        <f t="shared" si="452"/>
        <v>12.491875863223379</v>
      </c>
      <c r="AQ1067" s="13">
        <f>IFERROR(VLOOKUP(U1067,'Cortes naturales'!$E$15:$G$19,3,9),U1067)</f>
        <v>4</v>
      </c>
      <c r="AR1067" s="28">
        <f t="shared" si="443"/>
        <v>-3.9456687870889462E-2</v>
      </c>
      <c r="AS1067" s="13" t="b">
        <f t="shared" si="444"/>
        <v>1</v>
      </c>
      <c r="AT1067" s="13" t="str">
        <f t="shared" si="453"/>
        <v>Efecto ponderador</v>
      </c>
      <c r="AU1067" s="13">
        <v>5</v>
      </c>
      <c r="AV1067">
        <f t="shared" si="445"/>
        <v>1</v>
      </c>
      <c r="AW1067" s="13">
        <v>0</v>
      </c>
      <c r="AX1067" s="13">
        <v>0</v>
      </c>
      <c r="AY1067" s="13">
        <v>0</v>
      </c>
      <c r="AZ1067" s="13">
        <v>1</v>
      </c>
      <c r="BA1067">
        <v>1</v>
      </c>
      <c r="BB1067" t="s">
        <v>2841</v>
      </c>
      <c r="BC1067">
        <v>6</v>
      </c>
      <c r="BD1067" t="s">
        <v>2919</v>
      </c>
      <c r="BE1067">
        <v>0</v>
      </c>
      <c r="BF1067" s="232" t="s">
        <v>2846</v>
      </c>
      <c r="BG1067" s="232" t="s">
        <v>2846</v>
      </c>
      <c r="BH1067" s="253">
        <v>81.2</v>
      </c>
      <c r="BI1067" s="253">
        <v>42.773036978236419</v>
      </c>
      <c r="BJ1067" s="25" t="s">
        <v>2849</v>
      </c>
      <c r="BK1067" t="s">
        <v>2849</v>
      </c>
      <c r="BL1067">
        <v>17.928889195250338</v>
      </c>
      <c r="BM1067" t="s">
        <v>376</v>
      </c>
      <c r="BN1067" s="322">
        <v>40412.242106999998</v>
      </c>
      <c r="BO1067" s="322">
        <v>2275.5919520000002</v>
      </c>
      <c r="BP1067" s="10">
        <v>19491</v>
      </c>
      <c r="BQ1067" s="254">
        <f t="shared" si="446"/>
        <v>2.0733796165922733</v>
      </c>
      <c r="BR1067" s="254">
        <f t="shared" si="447"/>
        <v>0.11675090821404752</v>
      </c>
      <c r="BS1067" s="25">
        <v>54.911983674873873</v>
      </c>
      <c r="BT1067" s="25">
        <v>77.107323462794795</v>
      </c>
      <c r="BU1067" s="25">
        <v>56.220000000000013</v>
      </c>
      <c r="BV1067" s="25">
        <v>96.682156651315907</v>
      </c>
      <c r="BW1067" s="25">
        <v>46.054260270631559</v>
      </c>
      <c r="BX1067" s="25">
        <v>71.230365947246142</v>
      </c>
      <c r="BY1067" s="25">
        <v>46.796085919410061</v>
      </c>
      <c r="BZ1067">
        <v>38</v>
      </c>
      <c r="CA1067">
        <v>0</v>
      </c>
      <c r="CB1067">
        <v>7</v>
      </c>
      <c r="CC1067">
        <v>337042.70033600001</v>
      </c>
      <c r="CD1067" s="10">
        <v>35945.657476</v>
      </c>
      <c r="CE1067" s="255">
        <v>0.10665015868958309</v>
      </c>
      <c r="CF1067" t="str">
        <f>IFERROR(VLOOKUP(CE1067,'Rangos amb etnico'!$A$2:$C$6,3,9),"N.D.")</f>
        <v>0,1% - 30%</v>
      </c>
      <c r="CG1067" s="256">
        <v>1.0457946790718958E-3</v>
      </c>
      <c r="CH1067" s="232">
        <v>325027.34151400003</v>
      </c>
      <c r="CI1067" s="311">
        <f t="shared" si="454"/>
        <v>0.96435063328764636</v>
      </c>
      <c r="CJ1067" s="232" t="str">
        <f>IFERROR(VLOOKUP(CI1067,'Rangos amb etnico'!$A$2:$C$6,3,9),"N.D.")</f>
        <v>71% - 100%</v>
      </c>
      <c r="CK1067" s="311">
        <f t="shared" si="455"/>
        <v>1.2905713477273099E-2</v>
      </c>
      <c r="CL1067" s="10">
        <v>0</v>
      </c>
      <c r="CM1067" s="255">
        <f t="shared" si="456"/>
        <v>0</v>
      </c>
      <c r="CN1067" s="232">
        <f>IFERROR(VLOOKUP(CM1067,'Rangos amb etnico'!$A$2:$C$6,3,9),"N.D.")</f>
        <v>0</v>
      </c>
      <c r="CO1067" s="311">
        <f t="shared" si="457"/>
        <v>0</v>
      </c>
      <c r="CP1067">
        <v>0.9811144853720537</v>
      </c>
      <c r="CQ1067" t="s">
        <v>2864</v>
      </c>
      <c r="CR1067">
        <f t="shared" si="448"/>
        <v>2</v>
      </c>
      <c r="CS1067" t="str">
        <f t="shared" si="458"/>
        <v>No es Candidato</v>
      </c>
      <c r="CT1067">
        <v>0</v>
      </c>
      <c r="CU1067">
        <v>0</v>
      </c>
      <c r="CV1067" s="25">
        <v>38.558685302734382</v>
      </c>
      <c r="CW1067" s="25">
        <v>10.11875534057617</v>
      </c>
      <c r="CX1067" s="25">
        <v>45.635391235351563</v>
      </c>
      <c r="CY1067" s="25">
        <v>30.583282470703121</v>
      </c>
      <c r="CZ1067" s="25">
        <v>17.526865005493161</v>
      </c>
      <c r="DA1067" s="25">
        <v>80.020591735839844</v>
      </c>
      <c r="DB1067" s="25">
        <v>47.467235565185547</v>
      </c>
      <c r="DC1067">
        <v>18441</v>
      </c>
      <c r="DD1067" s="253" t="s">
        <v>380</v>
      </c>
    </row>
    <row r="1068" spans="1:108" hidden="1">
      <c r="A1068" s="13">
        <v>85430</v>
      </c>
      <c r="B1068" s="13" t="s">
        <v>2530</v>
      </c>
      <c r="C1068" s="13" t="s">
        <v>1351</v>
      </c>
      <c r="D1068" s="13" t="s">
        <v>1352</v>
      </c>
      <c r="E1068" s="13" t="s">
        <v>2531</v>
      </c>
      <c r="F1068" s="14">
        <v>77.393799999999999</v>
      </c>
      <c r="G1068" s="13">
        <v>53.97</v>
      </c>
      <c r="H1068" s="13">
        <v>55.4</v>
      </c>
      <c r="I1068" s="13">
        <v>73.900000000000006</v>
      </c>
      <c r="J1068" s="14">
        <v>56.256324882649842</v>
      </c>
      <c r="K1068" s="14">
        <v>64.939169503788946</v>
      </c>
      <c r="L1068" s="14">
        <v>65.066808141593938</v>
      </c>
      <c r="M1068" s="14">
        <v>59.3735</v>
      </c>
      <c r="N1068" s="14">
        <f t="shared" si="432"/>
        <v>65.165950000000009</v>
      </c>
      <c r="O1068" s="14">
        <f t="shared" si="433"/>
        <v>61.408950632008178</v>
      </c>
      <c r="P1068" s="14">
        <f t="shared" si="449"/>
        <v>63.287450316004097</v>
      </c>
      <c r="Q1068" s="14">
        <v>76.072712776323499</v>
      </c>
      <c r="R1068" s="17">
        <f t="shared" si="434"/>
        <v>23.927287223676501</v>
      </c>
      <c r="S1068" s="203">
        <f t="shared" si="450"/>
        <v>0.31534558501308851</v>
      </c>
      <c r="T1068" s="13">
        <v>0</v>
      </c>
      <c r="U1068" s="13">
        <f t="shared" si="451"/>
        <v>19.957418043887085</v>
      </c>
      <c r="V1068" s="13">
        <f>IF($T1068=1,$AU1068,(VLOOKUP(U1068,'Cortes naturales'!$A$35:$C$39,3,9)))</f>
        <v>5</v>
      </c>
      <c r="W1068" s="13">
        <v>5</v>
      </c>
      <c r="X1068" s="14" t="b">
        <f t="shared" si="435"/>
        <v>1</v>
      </c>
      <c r="Y1068" s="17">
        <f>IF($T1068=1,$AU1068,VLOOKUP(U1068,'Cortes naturales'!$A$45:$C$49,3,9))</f>
        <v>5</v>
      </c>
      <c r="Z1068" s="14">
        <v>62.903888407970186</v>
      </c>
      <c r="AA1068" s="203">
        <v>0.32202882603050703</v>
      </c>
      <c r="AB1068" s="14">
        <v>20.256865336772659</v>
      </c>
      <c r="AC1068" s="13">
        <v>4</v>
      </c>
      <c r="AD1068" s="13">
        <f t="shared" si="436"/>
        <v>-1</v>
      </c>
      <c r="AE1068" s="14">
        <f t="shared" si="437"/>
        <v>0.38356190803391144</v>
      </c>
      <c r="AF1068" s="14">
        <f t="shared" si="438"/>
        <v>-6.6832410174185175E-3</v>
      </c>
      <c r="AG1068" s="13">
        <f t="shared" si="439"/>
        <v>-0.29944729288557426</v>
      </c>
      <c r="AH1068" s="13">
        <f>IF($T1068=1,$AU1068,VLOOKUP(U1068,'Cortes naturales'!$A$25:$C$29,3,9))</f>
        <v>5</v>
      </c>
      <c r="AI1068" s="13" t="b">
        <f t="shared" si="440"/>
        <v>1</v>
      </c>
      <c r="AJ1068" s="13" t="str">
        <f t="shared" si="441"/>
        <v>Efecto ponderador</v>
      </c>
      <c r="AK1068" s="28">
        <v>0.35881802248113021</v>
      </c>
      <c r="AL1068" s="28">
        <v>22.571048844921553</v>
      </c>
      <c r="AM1068" s="28">
        <v>0.11171401707994369</v>
      </c>
      <c r="AN1068" s="13">
        <v>5</v>
      </c>
      <c r="AO1068" s="33">
        <f t="shared" si="442"/>
        <v>0</v>
      </c>
      <c r="AP1068" s="13">
        <f t="shared" si="452"/>
        <v>11.171401707994368</v>
      </c>
      <c r="AQ1068" s="13">
        <f>IFERROR(VLOOKUP(U1068,'Cortes naturales'!$E$15:$G$19,3,9),U1068)</f>
        <v>4</v>
      </c>
      <c r="AR1068" s="28">
        <f t="shared" si="443"/>
        <v>-4.3472437468041691E-2</v>
      </c>
      <c r="AS1068" s="13" t="b">
        <f t="shared" si="444"/>
        <v>0</v>
      </c>
      <c r="AT1068" s="13">
        <f t="shared" si="453"/>
        <v>0</v>
      </c>
      <c r="AU1068" s="13">
        <v>5</v>
      </c>
      <c r="AV1068">
        <f t="shared" si="445"/>
        <v>0</v>
      </c>
      <c r="AW1068" s="13">
        <v>0</v>
      </c>
      <c r="AX1068" s="13">
        <v>0</v>
      </c>
      <c r="AY1068" s="13">
        <v>0</v>
      </c>
      <c r="AZ1068" s="13">
        <v>0</v>
      </c>
      <c r="BA1068">
        <v>0</v>
      </c>
      <c r="BB1068" t="s">
        <v>2841</v>
      </c>
      <c r="BC1068">
        <v>6</v>
      </c>
      <c r="BD1068" t="s">
        <v>2919</v>
      </c>
      <c r="BE1068">
        <v>0</v>
      </c>
      <c r="BF1068" s="232" t="s">
        <v>2846</v>
      </c>
      <c r="BG1068" s="232" t="s">
        <v>2846</v>
      </c>
      <c r="BH1068" s="253">
        <v>38.700000000000003</v>
      </c>
      <c r="BI1068" s="253">
        <v>21.5660882327549</v>
      </c>
      <c r="BJ1068" s="25">
        <v>18.165000000000003</v>
      </c>
      <c r="BK1068" t="s">
        <v>379</v>
      </c>
      <c r="BL1068">
        <v>0.19814566761309627</v>
      </c>
      <c r="BM1068" t="s">
        <v>377</v>
      </c>
      <c r="BN1068" s="322">
        <v>29878.948658000001</v>
      </c>
      <c r="BO1068" s="322">
        <v>5297.582985</v>
      </c>
      <c r="BP1068" s="10">
        <v>14036</v>
      </c>
      <c r="BQ1068" s="254">
        <f t="shared" si="446"/>
        <v>2.1287367239954404</v>
      </c>
      <c r="BR1068" s="254">
        <f t="shared" si="447"/>
        <v>0.37742825484468512</v>
      </c>
      <c r="BS1068" s="25">
        <v>66.346795705164752</v>
      </c>
      <c r="BT1068" s="25">
        <v>91.629615476394022</v>
      </c>
      <c r="BU1068" s="25">
        <v>36.7213154960981</v>
      </c>
      <c r="BV1068" s="25">
        <v>92.43722961965527</v>
      </c>
      <c r="BW1068" s="25">
        <v>54.16625460883931</v>
      </c>
      <c r="BX1068" s="25">
        <v>71.783739074328039</v>
      </c>
      <c r="BY1068" s="25">
        <v>56.610356241186601</v>
      </c>
      <c r="BZ1068">
        <v>50</v>
      </c>
      <c r="CA1068">
        <v>0</v>
      </c>
      <c r="CB1068">
        <v>7</v>
      </c>
      <c r="CC1068">
        <v>295993.14314499998</v>
      </c>
      <c r="CD1068" s="10">
        <v>51865.523701999999</v>
      </c>
      <c r="CE1068" s="255">
        <v>0.17522542296391075</v>
      </c>
      <c r="CF1068" t="str">
        <f>IFERROR(VLOOKUP(CE1068,'Rangos amb etnico'!$A$2:$C$6,3,9),"N.D.")</f>
        <v>0,1% - 30%</v>
      </c>
      <c r="CG1068" s="256">
        <v>1.5089636001523693E-3</v>
      </c>
      <c r="CH1068" s="232">
        <v>0</v>
      </c>
      <c r="CI1068" s="311">
        <f t="shared" si="454"/>
        <v>0</v>
      </c>
      <c r="CJ1068" s="232">
        <f>IFERROR(VLOOKUP(CI1068,'Rangos amb etnico'!$A$2:$C$6,3,9),"N.D.")</f>
        <v>0</v>
      </c>
      <c r="CK1068" s="311">
        <f t="shared" si="455"/>
        <v>0</v>
      </c>
      <c r="CL1068" s="10">
        <v>0</v>
      </c>
      <c r="CM1068" s="255">
        <f t="shared" si="456"/>
        <v>0</v>
      </c>
      <c r="CN1068" s="232">
        <f>IFERROR(VLOOKUP(CM1068,'Rangos amb etnico'!$A$2:$C$6,3,9),"N.D.")</f>
        <v>0</v>
      </c>
      <c r="CO1068" s="311">
        <f t="shared" si="457"/>
        <v>0</v>
      </c>
      <c r="CP1068">
        <v>0.90227712875198074</v>
      </c>
      <c r="CQ1068" t="s">
        <v>2864</v>
      </c>
      <c r="CR1068">
        <f t="shared" si="448"/>
        <v>2</v>
      </c>
      <c r="CS1068" t="str">
        <f t="shared" si="458"/>
        <v>No es Candidato</v>
      </c>
      <c r="CT1068">
        <v>0</v>
      </c>
      <c r="CU1068">
        <v>0</v>
      </c>
      <c r="CV1068" s="25">
        <v>43.013027191162109</v>
      </c>
      <c r="CW1068" s="25">
        <v>14.62784004211426</v>
      </c>
      <c r="CX1068" s="25">
        <v>47.449863433837891</v>
      </c>
      <c r="CY1068" s="25">
        <v>54.770069122314453</v>
      </c>
      <c r="CZ1068" s="25">
        <v>27.152276992797852</v>
      </c>
      <c r="DA1068" s="25">
        <v>61.578334808349609</v>
      </c>
      <c r="DB1068" s="25">
        <v>52.499774932861328</v>
      </c>
      <c r="DC1068">
        <v>85</v>
      </c>
      <c r="DD1068" s="253" t="s">
        <v>380</v>
      </c>
    </row>
    <row r="1069" spans="1:108" hidden="1">
      <c r="A1069" s="13">
        <v>50711</v>
      </c>
      <c r="B1069" s="13" t="s">
        <v>2532</v>
      </c>
      <c r="C1069" s="13" t="s">
        <v>605</v>
      </c>
      <c r="D1069" s="13" t="s">
        <v>606</v>
      </c>
      <c r="E1069" s="13" t="s">
        <v>2533</v>
      </c>
      <c r="F1069" s="14">
        <v>67.378533333333294</v>
      </c>
      <c r="G1069" s="13">
        <v>57.12</v>
      </c>
      <c r="H1069" s="13">
        <v>41.73</v>
      </c>
      <c r="I1069" s="13">
        <v>64.38</v>
      </c>
      <c r="J1069" s="14">
        <v>54.249557473867242</v>
      </c>
      <c r="K1069" s="14">
        <v>57.848791532356671</v>
      </c>
      <c r="L1069" s="14">
        <v>61.658503267956227</v>
      </c>
      <c r="M1069" s="14">
        <v>56.684100000000001</v>
      </c>
      <c r="N1069" s="14">
        <f t="shared" si="432"/>
        <v>57.652133333333317</v>
      </c>
      <c r="O1069" s="14">
        <f t="shared" si="433"/>
        <v>57.610238068545037</v>
      </c>
      <c r="P1069" s="14">
        <f t="shared" si="449"/>
        <v>57.631185700939177</v>
      </c>
      <c r="Q1069" s="14">
        <v>77.266663917270208</v>
      </c>
      <c r="R1069" s="17">
        <f t="shared" si="434"/>
        <v>22.733336082729792</v>
      </c>
      <c r="S1069" s="14">
        <f t="shared" si="450"/>
        <v>0.30460002474456815</v>
      </c>
      <c r="T1069" s="13">
        <v>0</v>
      </c>
      <c r="U1069" s="13">
        <f t="shared" si="451"/>
        <v>17.554460590564876</v>
      </c>
      <c r="V1069" s="13">
        <f>IF($T1069=1,$AU1069,(VLOOKUP(U1069,'Cortes naturales'!$A$35:$C$39,3,9)))</f>
        <v>5</v>
      </c>
      <c r="W1069" s="13">
        <v>5</v>
      </c>
      <c r="X1069" s="14" t="b">
        <f t="shared" si="435"/>
        <v>1</v>
      </c>
      <c r="Y1069" s="17">
        <f>IF($T1069=1,$AU1069,VLOOKUP(U1069,'Cortes naturales'!$A$45:$C$49,3,9))</f>
        <v>5</v>
      </c>
      <c r="Z1069" s="14">
        <v>56.810497943640634</v>
      </c>
      <c r="AA1069" s="14">
        <v>0.3131287286799283</v>
      </c>
      <c r="AB1069" s="14">
        <v>17.788998996765873</v>
      </c>
      <c r="AC1069" s="13">
        <v>5</v>
      </c>
      <c r="AD1069" s="13">
        <f t="shared" si="436"/>
        <v>0</v>
      </c>
      <c r="AE1069" s="14">
        <f t="shared" si="437"/>
        <v>0.82068775729854337</v>
      </c>
      <c r="AF1069" s="14">
        <f t="shared" si="438"/>
        <v>-8.528703935360149E-3</v>
      </c>
      <c r="AG1069" s="13">
        <f t="shared" si="439"/>
        <v>-0.23453840620099697</v>
      </c>
      <c r="AH1069" s="13">
        <f>IF($T1069=1,$AU1069,VLOOKUP(U1069,'Cortes naturales'!$A$25:$C$29,3,9))</f>
        <v>5</v>
      </c>
      <c r="AI1069" s="13" t="b">
        <f t="shared" si="440"/>
        <v>1</v>
      </c>
      <c r="AJ1069" s="13">
        <f t="shared" si="441"/>
        <v>0</v>
      </c>
      <c r="AK1069" s="28">
        <v>0.35881802248113021</v>
      </c>
      <c r="AL1069" s="28">
        <v>20.384630528305447</v>
      </c>
      <c r="AM1069" s="28">
        <v>8.4364228641221006E-2</v>
      </c>
      <c r="AN1069" s="13">
        <v>5</v>
      </c>
      <c r="AO1069" s="33">
        <f t="shared" si="442"/>
        <v>0</v>
      </c>
      <c r="AP1069" s="13">
        <f t="shared" si="452"/>
        <v>8.4364228641221004</v>
      </c>
      <c r="AQ1069" s="13">
        <f>IFERROR(VLOOKUP(U1069,'Cortes naturales'!$E$15:$G$19,3,9),U1069)</f>
        <v>5</v>
      </c>
      <c r="AR1069" s="28">
        <f t="shared" si="443"/>
        <v>-5.4217997736562051E-2</v>
      </c>
      <c r="AS1069" s="13" t="b">
        <f t="shared" si="444"/>
        <v>1</v>
      </c>
      <c r="AT1069" s="13">
        <f t="shared" si="453"/>
        <v>0</v>
      </c>
      <c r="AU1069" s="13">
        <v>5</v>
      </c>
      <c r="AV1069">
        <f t="shared" si="445"/>
        <v>0</v>
      </c>
      <c r="AW1069" s="13">
        <v>0</v>
      </c>
      <c r="AX1069" s="13">
        <v>0</v>
      </c>
      <c r="AY1069" s="13">
        <v>0</v>
      </c>
      <c r="AZ1069" s="13">
        <v>1</v>
      </c>
      <c r="BA1069">
        <v>1</v>
      </c>
      <c r="BB1069" t="s">
        <v>2841</v>
      </c>
      <c r="BC1069">
        <v>6</v>
      </c>
      <c r="BD1069" t="s">
        <v>2919</v>
      </c>
      <c r="BE1069">
        <v>1</v>
      </c>
      <c r="BF1069" s="232" t="s">
        <v>2846</v>
      </c>
      <c r="BG1069" s="232" t="s">
        <v>2846</v>
      </c>
      <c r="BH1069" s="253">
        <v>48.5</v>
      </c>
      <c r="BI1069" s="253">
        <v>35.583728229429504</v>
      </c>
      <c r="BJ1069" s="25">
        <v>33.913333333333334</v>
      </c>
      <c r="BK1069" t="s">
        <v>379</v>
      </c>
      <c r="BL1069">
        <v>33.327537286669681</v>
      </c>
      <c r="BM1069" t="s">
        <v>384</v>
      </c>
      <c r="BN1069" s="322">
        <v>49998.476561000003</v>
      </c>
      <c r="BO1069" s="322">
        <v>5742.0058689999996</v>
      </c>
      <c r="BP1069" s="10">
        <v>18421</v>
      </c>
      <c r="BQ1069" s="254">
        <f t="shared" si="446"/>
        <v>2.7142107681993379</v>
      </c>
      <c r="BR1069" s="254">
        <f t="shared" si="447"/>
        <v>0.31170978063080179</v>
      </c>
      <c r="BS1069" s="25">
        <v>66.876906335221307</v>
      </c>
      <c r="BT1069" s="25">
        <v>89.500531892224444</v>
      </c>
      <c r="BU1069" s="25">
        <v>18.670505050505032</v>
      </c>
      <c r="BV1069" s="25">
        <v>92.408371882690133</v>
      </c>
      <c r="BW1069" s="25">
        <v>51.175976637962549</v>
      </c>
      <c r="BX1069" s="25">
        <v>66.864078790160221</v>
      </c>
      <c r="BY1069" s="25">
        <v>51.277433164699843</v>
      </c>
      <c r="BZ1069">
        <v>63</v>
      </c>
      <c r="CA1069">
        <v>0</v>
      </c>
      <c r="CB1069">
        <v>7</v>
      </c>
      <c r="CC1069">
        <v>481398.94598900003</v>
      </c>
      <c r="CD1069" s="10">
        <v>252549.78201200001</v>
      </c>
      <c r="CE1069" s="255">
        <v>0.52461640000717991</v>
      </c>
      <c r="CF1069" t="str">
        <f>IFERROR(VLOOKUP(CE1069,'Rangos amb etnico'!$A$2:$C$6,3,9),"N.D.")</f>
        <v>51% - 70%</v>
      </c>
      <c r="CG1069" s="256">
        <v>7.3476251868604646E-3</v>
      </c>
      <c r="CH1069" s="232">
        <v>0</v>
      </c>
      <c r="CI1069" s="311">
        <f t="shared" si="454"/>
        <v>0</v>
      </c>
      <c r="CJ1069" s="232">
        <f>IFERROR(VLOOKUP(CI1069,'Rangos amb etnico'!$A$2:$C$6,3,9),"N.D.")</f>
        <v>0</v>
      </c>
      <c r="CK1069" s="311">
        <f t="shared" si="455"/>
        <v>0</v>
      </c>
      <c r="CL1069" s="10">
        <v>494.26551551900002</v>
      </c>
      <c r="CM1069" s="255">
        <f t="shared" si="456"/>
        <v>1.0267274567948347E-3</v>
      </c>
      <c r="CN1069" s="232" t="str">
        <f>IFERROR(VLOOKUP(CM1069,'Rangos amb etnico'!$A$2:$C$6,3,9),"N.D.")</f>
        <v>0,1% - 30%</v>
      </c>
      <c r="CO1069" s="311">
        <f t="shared" si="457"/>
        <v>3.0995733802119602E-4</v>
      </c>
      <c r="CP1069">
        <v>0.98382186344835931</v>
      </c>
      <c r="CQ1069" t="s">
        <v>2864</v>
      </c>
      <c r="CR1069">
        <f t="shared" si="448"/>
        <v>2</v>
      </c>
      <c r="CS1069" t="str">
        <f t="shared" si="458"/>
        <v>No es Candidato</v>
      </c>
      <c r="CT1069">
        <v>0</v>
      </c>
      <c r="CU1069">
        <v>0</v>
      </c>
      <c r="CV1069" s="25">
        <v>34.6180419921875</v>
      </c>
      <c r="CW1069" s="25">
        <v>12.93220233917236</v>
      </c>
      <c r="CX1069" s="25">
        <v>44.249000549316413</v>
      </c>
      <c r="CY1069" s="25">
        <v>42.050830841064453</v>
      </c>
      <c r="CZ1069" s="25">
        <v>26.998378753662109</v>
      </c>
      <c r="DA1069" s="25">
        <v>41.434635162353523</v>
      </c>
      <c r="DB1069" s="25">
        <v>40.043205261230469</v>
      </c>
      <c r="DC1069">
        <v>324</v>
      </c>
      <c r="DD1069" s="253" t="s">
        <v>380</v>
      </c>
    </row>
    <row r="1070" spans="1:108" hidden="1">
      <c r="A1070" s="13">
        <v>27099</v>
      </c>
      <c r="B1070" s="13" t="s">
        <v>2534</v>
      </c>
      <c r="C1070" s="13" t="s">
        <v>1714</v>
      </c>
      <c r="D1070" s="13" t="s">
        <v>1715</v>
      </c>
      <c r="E1070" s="13" t="s">
        <v>2535</v>
      </c>
      <c r="F1070" s="14">
        <v>61.736933333333297</v>
      </c>
      <c r="G1070" s="13">
        <v>74.81</v>
      </c>
      <c r="H1070" s="13">
        <v>62.41</v>
      </c>
      <c r="I1070" s="13">
        <v>50.61</v>
      </c>
      <c r="J1070" s="14">
        <v>56.035941600256336</v>
      </c>
      <c r="K1070" s="14">
        <v>54.225272577493257</v>
      </c>
      <c r="L1070" s="14">
        <v>65.404862617002451</v>
      </c>
      <c r="M1070" s="14">
        <v>62.741300000000003</v>
      </c>
      <c r="N1070" s="14">
        <f t="shared" si="432"/>
        <v>62.39173333333332</v>
      </c>
      <c r="O1070" s="14">
        <f t="shared" si="433"/>
        <v>59.601844198688006</v>
      </c>
      <c r="P1070" s="14">
        <f t="shared" si="449"/>
        <v>60.996788766010667</v>
      </c>
      <c r="Q1070" s="14">
        <v>76.800771791199182</v>
      </c>
      <c r="R1070" s="17">
        <f t="shared" si="434"/>
        <v>23.199228208800818</v>
      </c>
      <c r="S1070" s="14">
        <f t="shared" si="450"/>
        <v>0.30879305387920736</v>
      </c>
      <c r="T1070" s="13">
        <v>0</v>
      </c>
      <c r="U1070" s="13">
        <f t="shared" si="451"/>
        <v>18.835384679881361</v>
      </c>
      <c r="V1070" s="13">
        <f>IF($T1070=1,$AU1070,(VLOOKUP(U1070,'Cortes naturales'!$A$35:$C$39,3,9)))</f>
        <v>5</v>
      </c>
      <c r="W1070" s="13">
        <v>5</v>
      </c>
      <c r="X1070" s="14" t="b">
        <f t="shared" si="435"/>
        <v>1</v>
      </c>
      <c r="Y1070" s="17">
        <f>IF($T1070=1,$AU1070,VLOOKUP(U1070,'Cortes naturales'!$A$45:$C$49,3,9))</f>
        <v>5</v>
      </c>
      <c r="Z1070" s="14">
        <v>61.068193206208214</v>
      </c>
      <c r="AA1070" s="14">
        <v>0.31219861185759634</v>
      </c>
      <c r="AB1070" s="14">
        <v>19.065405147629701</v>
      </c>
      <c r="AC1070" s="13">
        <v>5</v>
      </c>
      <c r="AD1070" s="13">
        <f t="shared" si="436"/>
        <v>0</v>
      </c>
      <c r="AE1070" s="14">
        <f t="shared" si="437"/>
        <v>-7.1404440197547103E-2</v>
      </c>
      <c r="AF1070" s="14">
        <f t="shared" si="438"/>
        <v>-3.4055579783889844E-3</v>
      </c>
      <c r="AG1070" s="13">
        <f t="shared" si="439"/>
        <v>-0.23002046774833929</v>
      </c>
      <c r="AH1070" s="13">
        <f>IF($T1070=1,$AU1070,VLOOKUP(U1070,'Cortes naturales'!$A$25:$C$29,3,9))</f>
        <v>5</v>
      </c>
      <c r="AI1070" s="13" t="b">
        <f t="shared" si="440"/>
        <v>1</v>
      </c>
      <c r="AJ1070" s="13">
        <f t="shared" si="441"/>
        <v>0</v>
      </c>
      <c r="AK1070" s="28">
        <v>0.35881802248113021</v>
      </c>
      <c r="AL1070" s="28">
        <v>21.912368322747223</v>
      </c>
      <c r="AM1070" s="28">
        <v>0.10347461806225866</v>
      </c>
      <c r="AN1070" s="13">
        <v>5</v>
      </c>
      <c r="AO1070" s="33">
        <f t="shared" si="442"/>
        <v>0</v>
      </c>
      <c r="AP1070" s="13">
        <f t="shared" si="452"/>
        <v>10.347461806225866</v>
      </c>
      <c r="AQ1070" s="13">
        <f>IFERROR(VLOOKUP(U1070,'Cortes naturales'!$E$15:$G$19,3,9),U1070)</f>
        <v>4</v>
      </c>
      <c r="AR1070" s="28">
        <f t="shared" si="443"/>
        <v>-5.0024968601922848E-2</v>
      </c>
      <c r="AS1070" s="13" t="b">
        <f t="shared" si="444"/>
        <v>0</v>
      </c>
      <c r="AT1070" s="13">
        <f t="shared" si="453"/>
        <v>0</v>
      </c>
      <c r="AU1070" s="13">
        <v>5</v>
      </c>
      <c r="AV1070">
        <f t="shared" si="445"/>
        <v>0</v>
      </c>
      <c r="AW1070" s="13">
        <v>0</v>
      </c>
      <c r="AX1070" s="13">
        <v>0</v>
      </c>
      <c r="AY1070" s="13">
        <v>0</v>
      </c>
      <c r="AZ1070" s="13">
        <v>1</v>
      </c>
      <c r="BA1070">
        <v>1</v>
      </c>
      <c r="BB1070" t="s">
        <v>2841</v>
      </c>
      <c r="BC1070">
        <v>6</v>
      </c>
      <c r="BD1070" t="s">
        <v>2919</v>
      </c>
      <c r="BE1070">
        <v>1</v>
      </c>
      <c r="BF1070" s="232" t="s">
        <v>2846</v>
      </c>
      <c r="BG1070" s="232" t="s">
        <v>2846</v>
      </c>
      <c r="BH1070" s="253">
        <v>77.099999999999994</v>
      </c>
      <c r="BI1070" s="253">
        <v>67.560771165129921</v>
      </c>
      <c r="BJ1070" s="25" t="s">
        <v>2849</v>
      </c>
      <c r="BK1070" t="s">
        <v>2849</v>
      </c>
      <c r="BL1070">
        <v>10.101700209499514</v>
      </c>
      <c r="BM1070" t="s">
        <v>379</v>
      </c>
      <c r="BN1070" s="322">
        <v>42484.748296999998</v>
      </c>
      <c r="BO1070" s="322">
        <v>1728.0124659999999</v>
      </c>
      <c r="BP1070" s="10">
        <v>13019</v>
      </c>
      <c r="BQ1070" s="254">
        <f t="shared" si="446"/>
        <v>3.2632881401797373</v>
      </c>
      <c r="BR1070" s="254">
        <f t="shared" si="447"/>
        <v>0.13273004577924571</v>
      </c>
      <c r="BS1070" s="25">
        <v>62.814541290850883</v>
      </c>
      <c r="BT1070" s="25">
        <v>92.904022026852246</v>
      </c>
      <c r="BU1070" s="25">
        <v>49.25681933842236</v>
      </c>
      <c r="BV1070" s="25">
        <v>100.0036155430037</v>
      </c>
      <c r="BW1070" s="25">
        <v>45.318337083953161</v>
      </c>
      <c r="BX1070" s="25">
        <v>76.244749549782284</v>
      </c>
      <c r="BY1070" s="25">
        <v>48.200379113555186</v>
      </c>
      <c r="BZ1070">
        <v>51</v>
      </c>
      <c r="CA1070">
        <v>0</v>
      </c>
      <c r="CB1070">
        <v>7</v>
      </c>
      <c r="CC1070">
        <v>363317.80635099998</v>
      </c>
      <c r="CD1070" s="10">
        <v>16559.616346999999</v>
      </c>
      <c r="CE1070" s="255">
        <v>4.5578873530359852E-2</v>
      </c>
      <c r="CF1070" t="str">
        <f>IFERROR(VLOOKUP(CE1070,'Rangos amb etnico'!$A$2:$C$6,3,9),"N.D.")</f>
        <v>0,1% - 30%</v>
      </c>
      <c r="CG1070" s="256">
        <v>4.8178166374414881E-4</v>
      </c>
      <c r="CH1070" s="232">
        <v>358493.54590600001</v>
      </c>
      <c r="CI1070" s="311">
        <f t="shared" si="454"/>
        <v>0.98672165151096591</v>
      </c>
      <c r="CJ1070" s="232" t="str">
        <f>IFERROR(VLOOKUP(CI1070,'Rangos amb etnico'!$A$2:$C$6,3,9),"N.D.")</f>
        <v>71% - 100%</v>
      </c>
      <c r="CK1070" s="311">
        <f t="shared" si="455"/>
        <v>1.4234540901585052E-2</v>
      </c>
      <c r="CL1070" s="10">
        <v>0</v>
      </c>
      <c r="CM1070" s="255">
        <f t="shared" si="456"/>
        <v>0</v>
      </c>
      <c r="CN1070" s="232">
        <f>IFERROR(VLOOKUP(CM1070,'Rangos amb etnico'!$A$2:$C$6,3,9),"N.D.")</f>
        <v>0</v>
      </c>
      <c r="CO1070" s="311">
        <f t="shared" si="457"/>
        <v>0</v>
      </c>
      <c r="CP1070">
        <v>0.90023377451003672</v>
      </c>
      <c r="CQ1070" t="s">
        <v>2864</v>
      </c>
      <c r="CR1070">
        <f t="shared" si="448"/>
        <v>2</v>
      </c>
      <c r="CS1070" t="str">
        <f t="shared" si="458"/>
        <v>No es Candidato</v>
      </c>
      <c r="CT1070">
        <v>0</v>
      </c>
      <c r="CU1070">
        <v>0</v>
      </c>
      <c r="CV1070" s="25">
        <v>39.322139739990227</v>
      </c>
      <c r="CW1070" s="25">
        <v>9.9371547698974609</v>
      </c>
      <c r="CX1070" s="25">
        <v>46.317180633544922</v>
      </c>
      <c r="CY1070" s="25">
        <v>43.771430969238281</v>
      </c>
      <c r="CZ1070" s="25">
        <v>3.6419775485992432</v>
      </c>
      <c r="DA1070" s="25">
        <v>89.667045593261719</v>
      </c>
      <c r="DB1070" s="25">
        <v>42.598049163818359</v>
      </c>
      <c r="DC1070">
        <v>11724</v>
      </c>
      <c r="DD1070" s="253" t="s">
        <v>380</v>
      </c>
    </row>
    <row r="1071" spans="1:108" hidden="1">
      <c r="A1071" s="13">
        <v>15550</v>
      </c>
      <c r="B1071" s="13" t="s">
        <v>2536</v>
      </c>
      <c r="C1071" s="13" t="s">
        <v>498</v>
      </c>
      <c r="D1071" s="13" t="s">
        <v>499</v>
      </c>
      <c r="E1071" s="13" t="s">
        <v>2537</v>
      </c>
      <c r="F1071" s="14">
        <v>47.566566666666702</v>
      </c>
      <c r="G1071" s="13">
        <v>34.700000000000003</v>
      </c>
      <c r="H1071" s="13">
        <v>33.46</v>
      </c>
      <c r="I1071" s="13">
        <v>44.29</v>
      </c>
      <c r="J1071" s="14">
        <v>52.92476703531139</v>
      </c>
      <c r="K1071" s="14">
        <v>51.008230942658805</v>
      </c>
      <c r="L1071" s="14">
        <v>58.392437537701419</v>
      </c>
      <c r="M1071" s="14">
        <v>58.0852</v>
      </c>
      <c r="N1071" s="14">
        <f t="shared" si="432"/>
        <v>40.004141666666676</v>
      </c>
      <c r="O1071" s="14">
        <f t="shared" si="433"/>
        <v>55.102658878917907</v>
      </c>
      <c r="P1071" s="14">
        <f t="shared" si="449"/>
        <v>47.553400272792288</v>
      </c>
      <c r="Q1071" s="14">
        <v>76.416762218262562</v>
      </c>
      <c r="R1071" s="17">
        <f t="shared" si="434"/>
        <v>23.583237781737438</v>
      </c>
      <c r="S1071" s="14">
        <f t="shared" si="450"/>
        <v>0.31224914003563697</v>
      </c>
      <c r="T1071" s="13">
        <v>0</v>
      </c>
      <c r="U1071" s="13">
        <f t="shared" si="451"/>
        <v>14.848508340949817</v>
      </c>
      <c r="V1071" s="13">
        <f>IF($T1071=1,$AU1071,(VLOOKUP(U1071,'Cortes naturales'!$A$35:$C$39,3,9)))</f>
        <v>5</v>
      </c>
      <c r="W1071" s="13">
        <v>5</v>
      </c>
      <c r="X1071" s="14" t="b">
        <f t="shared" si="435"/>
        <v>1</v>
      </c>
      <c r="Y1071" s="17">
        <f>IF($T1071=1,$AU1071,VLOOKUP(U1071,'Cortes naturales'!$A$45:$C$49,3,9))</f>
        <v>5</v>
      </c>
      <c r="Z1071" s="14">
        <v>45.392973007271294</v>
      </c>
      <c r="AA1071" s="14">
        <v>0.31093869350007663</v>
      </c>
      <c r="AB1071" s="14">
        <v>14.114431720965181</v>
      </c>
      <c r="AC1071" s="13">
        <v>5</v>
      </c>
      <c r="AD1071" s="13">
        <f t="shared" si="436"/>
        <v>0</v>
      </c>
      <c r="AE1071" s="14">
        <f t="shared" si="437"/>
        <v>2.160427265520994</v>
      </c>
      <c r="AF1071" s="14">
        <f t="shared" si="438"/>
        <v>1.310446535560339E-3</v>
      </c>
      <c r="AG1071" s="13">
        <f t="shared" si="439"/>
        <v>0.73407661998463603</v>
      </c>
      <c r="AH1071" s="13">
        <f>IF($T1071=1,$AU1071,VLOOKUP(U1071,'Cortes naturales'!$A$25:$C$29,3,9))</f>
        <v>5</v>
      </c>
      <c r="AI1071" s="13" t="b">
        <f t="shared" si="440"/>
        <v>1</v>
      </c>
      <c r="AJ1071" s="13">
        <f t="shared" si="441"/>
        <v>0</v>
      </c>
      <c r="AK1071" s="28">
        <v>0.35881802248113021</v>
      </c>
      <c r="AL1071" s="28">
        <v>16.287816809008408</v>
      </c>
      <c r="AM1071" s="28">
        <v>3.311740746152813E-2</v>
      </c>
      <c r="AN1071" s="13">
        <v>5</v>
      </c>
      <c r="AO1071" s="33">
        <f t="shared" si="442"/>
        <v>0</v>
      </c>
      <c r="AP1071" s="13">
        <f t="shared" si="452"/>
        <v>3.3117407461528128</v>
      </c>
      <c r="AQ1071" s="13">
        <f>IFERROR(VLOOKUP(U1071,'Cortes naturales'!$E$15:$G$19,3,9),U1071)</f>
        <v>5</v>
      </c>
      <c r="AR1071" s="28">
        <f t="shared" si="443"/>
        <v>-4.6568882445493232E-2</v>
      </c>
      <c r="AS1071" s="13" t="b">
        <f t="shared" si="444"/>
        <v>1</v>
      </c>
      <c r="AT1071" s="13">
        <f t="shared" si="453"/>
        <v>0</v>
      </c>
      <c r="AU1071" s="13">
        <v>5</v>
      </c>
      <c r="AV1071">
        <f t="shared" si="445"/>
        <v>0</v>
      </c>
      <c r="AW1071" s="13">
        <v>0</v>
      </c>
      <c r="AX1071" s="13">
        <v>0</v>
      </c>
      <c r="AY1071" s="13">
        <v>0</v>
      </c>
      <c r="AZ1071" s="13">
        <v>0</v>
      </c>
      <c r="BA1071">
        <v>1</v>
      </c>
      <c r="BB1071" t="s">
        <v>2841</v>
      </c>
      <c r="BC1071">
        <v>6</v>
      </c>
      <c r="BD1071" t="s">
        <v>2919</v>
      </c>
      <c r="BE1071">
        <v>1</v>
      </c>
      <c r="BF1071" s="232" t="s">
        <v>2846</v>
      </c>
      <c r="BG1071" s="232" t="s">
        <v>2846</v>
      </c>
      <c r="BH1071" s="253">
        <v>57.9</v>
      </c>
      <c r="BI1071" s="253">
        <v>34.007585335018966</v>
      </c>
      <c r="BJ1071" s="25">
        <v>14.945669333333331</v>
      </c>
      <c r="BK1071" t="s">
        <v>379</v>
      </c>
      <c r="BL1071">
        <v>0.39730391394718556</v>
      </c>
      <c r="BM1071" t="s">
        <v>383</v>
      </c>
      <c r="BN1071" s="322">
        <v>12356.838610000001</v>
      </c>
      <c r="BO1071" s="322">
        <v>706.29489000000001</v>
      </c>
      <c r="BP1071" s="10">
        <v>1951</v>
      </c>
      <c r="BQ1071" s="254">
        <f t="shared" si="446"/>
        <v>6.3335923167606358</v>
      </c>
      <c r="BR1071" s="254">
        <f t="shared" si="447"/>
        <v>0.36201685802152744</v>
      </c>
      <c r="BS1071" s="25">
        <v>60.014285714285712</v>
      </c>
      <c r="BT1071" s="25">
        <v>89.166239535281036</v>
      </c>
      <c r="BU1071" s="25">
        <v>46.974112690889932</v>
      </c>
      <c r="BV1071" s="25">
        <v>89.65025772261636</v>
      </c>
      <c r="BW1071" s="25">
        <v>40.413748911988073</v>
      </c>
      <c r="BX1071" s="25">
        <v>71.451223915768267</v>
      </c>
      <c r="BY1071" s="25">
        <v>42.617134708387503</v>
      </c>
      <c r="BZ1071">
        <v>41</v>
      </c>
      <c r="CA1071">
        <v>0</v>
      </c>
      <c r="CB1071">
        <v>7</v>
      </c>
      <c r="CC1071">
        <v>46387.513337999997</v>
      </c>
      <c r="CD1071" s="10">
        <v>3025.2151920000001</v>
      </c>
      <c r="CE1071" s="255">
        <v>6.5216153535908261E-2</v>
      </c>
      <c r="CF1071" t="str">
        <f>IFERROR(VLOOKUP(CE1071,'Rangos amb etnico'!$A$2:$C$6,3,9),"N.D.")</f>
        <v>0,1% - 30%</v>
      </c>
      <c r="CG1071" s="256">
        <v>8.8014913983794045E-5</v>
      </c>
      <c r="CH1071" s="232">
        <v>0</v>
      </c>
      <c r="CI1071" s="311">
        <f t="shared" si="454"/>
        <v>0</v>
      </c>
      <c r="CJ1071" s="232">
        <f>IFERROR(VLOOKUP(CI1071,'Rangos amb etnico'!$A$2:$C$6,3,9),"N.D.")</f>
        <v>0</v>
      </c>
      <c r="CK1071" s="311">
        <f t="shared" si="455"/>
        <v>0</v>
      </c>
      <c r="CL1071" s="10">
        <v>0</v>
      </c>
      <c r="CM1071" s="255">
        <f t="shared" si="456"/>
        <v>0</v>
      </c>
      <c r="CN1071" s="232">
        <f>IFERROR(VLOOKUP(CM1071,'Rangos amb etnico'!$A$2:$C$6,3,9),"N.D.")</f>
        <v>0</v>
      </c>
      <c r="CO1071" s="311">
        <f t="shared" si="457"/>
        <v>0</v>
      </c>
      <c r="CP1071">
        <v>0.90316873632703421</v>
      </c>
      <c r="CQ1071" t="s">
        <v>2864</v>
      </c>
      <c r="CR1071">
        <f t="shared" si="448"/>
        <v>1</v>
      </c>
      <c r="CS1071" t="str">
        <f t="shared" si="458"/>
        <v>No es Candidato</v>
      </c>
      <c r="CT1071">
        <v>0</v>
      </c>
      <c r="CU1071">
        <v>0</v>
      </c>
      <c r="CV1071" s="25">
        <v>47.590473175048828</v>
      </c>
      <c r="CW1071" s="25">
        <v>10.953957557678221</v>
      </c>
      <c r="CX1071" s="25">
        <v>53.912872314453118</v>
      </c>
      <c r="CY1071" s="25">
        <v>41.859607696533203</v>
      </c>
      <c r="CZ1071" s="25">
        <v>29.95029449462891</v>
      </c>
      <c r="DA1071" s="25">
        <v>82.189643859863281</v>
      </c>
      <c r="DB1071" s="25">
        <v>66.676467895507813</v>
      </c>
      <c r="DC1071">
        <v>16</v>
      </c>
      <c r="DD1071" s="253" t="s">
        <v>380</v>
      </c>
    </row>
    <row r="1072" spans="1:108" hidden="1">
      <c r="A1072" s="13">
        <v>50590</v>
      </c>
      <c r="B1072" s="13" t="s">
        <v>2538</v>
      </c>
      <c r="C1072" s="13" t="s">
        <v>605</v>
      </c>
      <c r="D1072" s="13" t="s">
        <v>606</v>
      </c>
      <c r="E1072" s="13" t="s">
        <v>2508</v>
      </c>
      <c r="F1072" s="14">
        <v>53.627499999999998</v>
      </c>
      <c r="G1072" s="13">
        <v>57.83</v>
      </c>
      <c r="H1072" s="13">
        <v>50.68</v>
      </c>
      <c r="I1072" s="13">
        <v>52.09</v>
      </c>
      <c r="J1072" s="14">
        <v>44.139837300860243</v>
      </c>
      <c r="K1072" s="14">
        <v>47.749013927236625</v>
      </c>
      <c r="L1072" s="14">
        <v>42.233599837468468</v>
      </c>
      <c r="M1072" s="14">
        <v>41.489800000000002</v>
      </c>
      <c r="N1072" s="14">
        <f t="shared" si="432"/>
        <v>53.556874999999998</v>
      </c>
      <c r="O1072" s="14">
        <f t="shared" si="433"/>
        <v>43.903062766391336</v>
      </c>
      <c r="P1072" s="14">
        <f t="shared" si="449"/>
        <v>48.729968883195667</v>
      </c>
      <c r="Q1072" s="14">
        <v>77.638058894802313</v>
      </c>
      <c r="R1072" s="17">
        <f t="shared" si="434"/>
        <v>22.361941105197687</v>
      </c>
      <c r="S1072" s="14">
        <f t="shared" si="450"/>
        <v>0.30125746994677916</v>
      </c>
      <c r="T1072" s="13">
        <v>0</v>
      </c>
      <c r="U1072" s="13">
        <f t="shared" si="451"/>
        <v>14.680267136336802</v>
      </c>
      <c r="V1072" s="13">
        <f>IF($T1072=1,$AU1072,(VLOOKUP(U1072,'Cortes naturales'!$A$35:$C$39,3,9)))</f>
        <v>5</v>
      </c>
      <c r="W1072" s="13">
        <v>5</v>
      </c>
      <c r="X1072" s="14" t="b">
        <f t="shared" si="435"/>
        <v>1</v>
      </c>
      <c r="Y1072" s="17">
        <f>IF($T1072=1,$AU1072,VLOOKUP(U1072,'Cortes naturales'!$A$45:$C$49,3,9))</f>
        <v>5</v>
      </c>
      <c r="Z1072" s="14">
        <v>50.654760259485307</v>
      </c>
      <c r="AA1072" s="14">
        <v>0.30676406143066837</v>
      </c>
      <c r="AB1072" s="14">
        <v>15.539059987996529</v>
      </c>
      <c r="AC1072" s="13">
        <v>5</v>
      </c>
      <c r="AD1072" s="13">
        <f t="shared" si="436"/>
        <v>0</v>
      </c>
      <c r="AE1072" s="14">
        <f t="shared" si="437"/>
        <v>-1.9247913762896403</v>
      </c>
      <c r="AF1072" s="14">
        <f t="shared" si="438"/>
        <v>-5.5065914838892116E-3</v>
      </c>
      <c r="AG1072" s="13">
        <f t="shared" si="439"/>
        <v>-0.85879285165972696</v>
      </c>
      <c r="AH1072" s="13">
        <f>IF($T1072=1,$AU1072,VLOOKUP(U1072,'Cortes naturales'!$A$25:$C$29,3,9))</f>
        <v>5</v>
      </c>
      <c r="AI1072" s="13" t="b">
        <f t="shared" si="440"/>
        <v>1</v>
      </c>
      <c r="AJ1072" s="13">
        <f t="shared" si="441"/>
        <v>0</v>
      </c>
      <c r="AK1072" s="28">
        <v>0.35881802248113021</v>
      </c>
      <c r="AL1072" s="28">
        <v>18.175840905564261</v>
      </c>
      <c r="AM1072" s="28">
        <v>5.6734598744452983E-2</v>
      </c>
      <c r="AN1072" s="13">
        <v>5</v>
      </c>
      <c r="AO1072" s="33">
        <f t="shared" si="442"/>
        <v>0</v>
      </c>
      <c r="AP1072" s="13">
        <f t="shared" si="452"/>
        <v>5.6734598744452986</v>
      </c>
      <c r="AQ1072" s="13">
        <f>IFERROR(VLOOKUP(U1072,'Cortes naturales'!$E$15:$G$19,3,9),U1072)</f>
        <v>5</v>
      </c>
      <c r="AR1072" s="28">
        <f t="shared" si="443"/>
        <v>-5.756055253435105E-2</v>
      </c>
      <c r="AS1072" s="13" t="b">
        <f t="shared" si="444"/>
        <v>1</v>
      </c>
      <c r="AT1072" s="13">
        <f t="shared" si="453"/>
        <v>0</v>
      </c>
      <c r="AU1072" s="13">
        <v>5</v>
      </c>
      <c r="AV1072">
        <f t="shared" si="445"/>
        <v>0</v>
      </c>
      <c r="AW1072" s="13">
        <v>0</v>
      </c>
      <c r="AX1072" s="13">
        <v>0</v>
      </c>
      <c r="AY1072" s="13">
        <v>0</v>
      </c>
      <c r="AZ1072" s="13">
        <v>1</v>
      </c>
      <c r="BA1072">
        <v>1</v>
      </c>
      <c r="BB1072" t="s">
        <v>2841</v>
      </c>
      <c r="BC1072">
        <v>6</v>
      </c>
      <c r="BD1072" t="s">
        <v>2919</v>
      </c>
      <c r="BE1072">
        <v>0</v>
      </c>
      <c r="BF1072" s="232" t="s">
        <v>2846</v>
      </c>
      <c r="BG1072" s="232" t="s">
        <v>2845</v>
      </c>
      <c r="BH1072" s="253">
        <v>47.1</v>
      </c>
      <c r="BI1072" s="253">
        <v>37.143116106226778</v>
      </c>
      <c r="BJ1072" s="25">
        <v>2.5209090909090914</v>
      </c>
      <c r="BK1072" t="s">
        <v>381</v>
      </c>
      <c r="BL1072">
        <v>54.340659869291599</v>
      </c>
      <c r="BM1072" t="s">
        <v>384</v>
      </c>
      <c r="BN1072" s="322">
        <v>39844.159727999999</v>
      </c>
      <c r="BO1072" s="322">
        <v>5745.4785320000001</v>
      </c>
      <c r="BP1072" s="10">
        <v>13492</v>
      </c>
      <c r="BQ1072" s="254">
        <f t="shared" si="446"/>
        <v>2.9531692653424249</v>
      </c>
      <c r="BR1072" s="254">
        <f t="shared" si="447"/>
        <v>0.42584335398754819</v>
      </c>
      <c r="BS1072" s="25">
        <v>63.511152926021339</v>
      </c>
      <c r="BT1072" s="25">
        <v>95.582567447376221</v>
      </c>
      <c r="BU1072" s="25">
        <v>29.30389558809453</v>
      </c>
      <c r="BV1072" s="25">
        <v>87.305921915799104</v>
      </c>
      <c r="BW1072" s="25">
        <v>56.679986196636307</v>
      </c>
      <c r="BX1072" s="25">
        <v>68.925884469322796</v>
      </c>
      <c r="BY1072" s="25">
        <v>58.351742432478417</v>
      </c>
      <c r="BZ1072">
        <v>63</v>
      </c>
      <c r="CA1072">
        <v>0</v>
      </c>
      <c r="CB1072">
        <v>7</v>
      </c>
      <c r="CC1072">
        <v>340572.43061400001</v>
      </c>
      <c r="CD1072" s="10">
        <v>140974.400486</v>
      </c>
      <c r="CE1072" s="255">
        <v>0.41393368286400845</v>
      </c>
      <c r="CF1072" t="str">
        <f>IFERROR(VLOOKUP(CE1072,'Rangos amb etnico'!$A$2:$C$6,3,9),"N.D.")</f>
        <v>31% - 50%</v>
      </c>
      <c r="CG1072" s="256">
        <v>4.1014767364331755E-3</v>
      </c>
      <c r="CH1072" s="232">
        <v>0</v>
      </c>
      <c r="CI1072" s="311">
        <f t="shared" si="454"/>
        <v>0</v>
      </c>
      <c r="CJ1072" s="232">
        <f>IFERROR(VLOOKUP(CI1072,'Rangos amb etnico'!$A$2:$C$6,3,9),"N.D.")</f>
        <v>0</v>
      </c>
      <c r="CK1072" s="311">
        <f t="shared" si="455"/>
        <v>0</v>
      </c>
      <c r="CL1072" s="10">
        <v>33983.682111000002</v>
      </c>
      <c r="CM1072" s="255">
        <f t="shared" si="456"/>
        <v>9.9784007912010433E-2</v>
      </c>
      <c r="CN1072" s="232" t="str">
        <f>IFERROR(VLOOKUP(CM1072,'Rangos amb etnico'!$A$2:$C$6,3,9),"N.D.")</f>
        <v>0,1% - 30%</v>
      </c>
      <c r="CO1072" s="311">
        <f t="shared" si="457"/>
        <v>2.1311403107342988E-2</v>
      </c>
      <c r="CP1072">
        <v>0.95522762864795041</v>
      </c>
      <c r="CQ1072" t="s">
        <v>2864</v>
      </c>
      <c r="CR1072">
        <f t="shared" si="448"/>
        <v>1</v>
      </c>
      <c r="CS1072" t="str">
        <f t="shared" si="458"/>
        <v>No es Candidato</v>
      </c>
      <c r="CT1072">
        <v>0</v>
      </c>
      <c r="CU1072">
        <v>0</v>
      </c>
      <c r="CV1072" s="25">
        <v>39.332973480224609</v>
      </c>
      <c r="CW1072" s="25">
        <v>14.83346748352051</v>
      </c>
      <c r="CX1072" s="25">
        <v>57.903728485107422</v>
      </c>
      <c r="CY1072" s="25">
        <v>56.613677978515618</v>
      </c>
      <c r="CZ1072" s="25">
        <v>33.022602081298828</v>
      </c>
      <c r="DA1072" s="25">
        <v>38.614341735839837</v>
      </c>
      <c r="DB1072" s="25">
        <v>35.010025024414063</v>
      </c>
      <c r="DC1072">
        <v>403</v>
      </c>
      <c r="DD1072" s="253" t="s">
        <v>380</v>
      </c>
    </row>
    <row r="1073" spans="1:108" hidden="1">
      <c r="A1073" s="13">
        <v>85250</v>
      </c>
      <c r="B1073" s="13" t="s">
        <v>2539</v>
      </c>
      <c r="C1073" s="13" t="s">
        <v>1351</v>
      </c>
      <c r="D1073" s="13" t="s">
        <v>1352</v>
      </c>
      <c r="E1073" s="13" t="s">
        <v>2540</v>
      </c>
      <c r="F1073" s="14">
        <v>64.579700000000003</v>
      </c>
      <c r="G1073" s="13">
        <v>56.16</v>
      </c>
      <c r="H1073" s="13">
        <v>52.17</v>
      </c>
      <c r="I1073" s="13">
        <v>56.32</v>
      </c>
      <c r="J1073" s="14">
        <v>73.612503691909723</v>
      </c>
      <c r="K1073" s="14">
        <v>54.514390546383559</v>
      </c>
      <c r="L1073" s="14">
        <v>54.037117904747198</v>
      </c>
      <c r="M1073" s="14">
        <v>65.953699999999998</v>
      </c>
      <c r="N1073" s="14">
        <f t="shared" si="432"/>
        <v>57.307424999999995</v>
      </c>
      <c r="O1073" s="14">
        <f t="shared" si="433"/>
        <v>62.02942803576012</v>
      </c>
      <c r="P1073" s="14">
        <f t="shared" si="449"/>
        <v>59.668426517880057</v>
      </c>
      <c r="Q1073" s="14">
        <v>78.358927216255296</v>
      </c>
      <c r="R1073" s="17">
        <f t="shared" si="434"/>
        <v>21.641072783744704</v>
      </c>
      <c r="S1073" s="14">
        <f t="shared" si="450"/>
        <v>0.29476965505370234</v>
      </c>
      <c r="T1073" s="13">
        <v>0</v>
      </c>
      <c r="U1073" s="13">
        <f t="shared" si="451"/>
        <v>17.588441502272691</v>
      </c>
      <c r="V1073" s="13">
        <f>IF($T1073=1,$AU1073,(VLOOKUP(U1073,'Cortes naturales'!$A$35:$C$39,3,9)))</f>
        <v>5</v>
      </c>
      <c r="W1073" s="13">
        <v>5</v>
      </c>
      <c r="X1073" s="14" t="b">
        <f t="shared" si="435"/>
        <v>1</v>
      </c>
      <c r="Y1073" s="17">
        <f>IF($T1073=1,$AU1073,VLOOKUP(U1073,'Cortes naturales'!$A$45:$C$49,3,9))</f>
        <v>5</v>
      </c>
      <c r="Z1073" s="14">
        <v>58.671835538260339</v>
      </c>
      <c r="AA1073" s="14">
        <v>0.30001850978738648</v>
      </c>
      <c r="AB1073" s="14">
        <v>17.602636664679491</v>
      </c>
      <c r="AC1073" s="13">
        <v>5</v>
      </c>
      <c r="AD1073" s="13">
        <f t="shared" si="436"/>
        <v>0</v>
      </c>
      <c r="AE1073" s="14">
        <f t="shared" si="437"/>
        <v>0.9965909796197181</v>
      </c>
      <c r="AF1073" s="14">
        <f t="shared" si="438"/>
        <v>-5.2488547336841385E-3</v>
      </c>
      <c r="AG1073" s="13">
        <f t="shared" si="439"/>
        <v>-1.4195162406799966E-2</v>
      </c>
      <c r="AH1073" s="13">
        <f>IF($T1073=1,$AU1073,VLOOKUP(U1073,'Cortes naturales'!$A$25:$C$29,3,9))</f>
        <v>5</v>
      </c>
      <c r="AI1073" s="13" t="b">
        <f t="shared" si="440"/>
        <v>1</v>
      </c>
      <c r="AJ1073" s="13">
        <f t="shared" si="441"/>
        <v>0</v>
      </c>
      <c r="AK1073" s="28">
        <v>0.35881802248113021</v>
      </c>
      <c r="AL1073" s="28">
        <v>21.052512003176673</v>
      </c>
      <c r="AM1073" s="28">
        <v>9.2718721878425878E-2</v>
      </c>
      <c r="AN1073" s="13">
        <v>5</v>
      </c>
      <c r="AO1073" s="33">
        <f t="shared" si="442"/>
        <v>0</v>
      </c>
      <c r="AP1073" s="13">
        <f t="shared" si="452"/>
        <v>9.2718721878425878</v>
      </c>
      <c r="AQ1073" s="13">
        <f>IFERROR(VLOOKUP(U1073,'Cortes naturales'!$E$15:$G$19,3,9),U1073)</f>
        <v>5</v>
      </c>
      <c r="AR1073" s="28">
        <f t="shared" si="443"/>
        <v>-6.4048367427427866E-2</v>
      </c>
      <c r="AS1073" s="13" t="b">
        <f t="shared" si="444"/>
        <v>1</v>
      </c>
      <c r="AT1073" s="13">
        <f t="shared" si="453"/>
        <v>0</v>
      </c>
      <c r="AU1073" s="13">
        <v>5</v>
      </c>
      <c r="AV1073">
        <f t="shared" si="445"/>
        <v>0</v>
      </c>
      <c r="AW1073" s="13">
        <v>0</v>
      </c>
      <c r="AX1073" s="13">
        <v>0</v>
      </c>
      <c r="AY1073" s="13">
        <v>0</v>
      </c>
      <c r="AZ1073" s="13">
        <v>0</v>
      </c>
      <c r="BA1073">
        <v>1</v>
      </c>
      <c r="BB1073" t="s">
        <v>2840</v>
      </c>
      <c r="BC1073">
        <v>6</v>
      </c>
      <c r="BD1073" t="s">
        <v>2919</v>
      </c>
      <c r="BE1073">
        <v>0</v>
      </c>
      <c r="BF1073" s="232" t="s">
        <v>2846</v>
      </c>
      <c r="BG1073" s="232" t="s">
        <v>2846</v>
      </c>
      <c r="BH1073" s="253">
        <v>37.799999999999997</v>
      </c>
      <c r="BI1073" s="253">
        <v>22.467310637295324</v>
      </c>
      <c r="BJ1073" s="25">
        <v>2.9773333333333332</v>
      </c>
      <c r="BK1073" t="s">
        <v>381</v>
      </c>
      <c r="BL1073">
        <v>5.7645160334260925</v>
      </c>
      <c r="BM1073" t="s">
        <v>379</v>
      </c>
      <c r="BN1073" s="322">
        <v>78414.179810999995</v>
      </c>
      <c r="BO1073" s="322">
        <v>15305.275137000001</v>
      </c>
      <c r="BP1073" s="10">
        <v>38468</v>
      </c>
      <c r="BQ1073" s="254">
        <f t="shared" si="446"/>
        <v>2.0384262194811269</v>
      </c>
      <c r="BR1073" s="254">
        <f t="shared" si="447"/>
        <v>0.39787031134969325</v>
      </c>
      <c r="BS1073" s="25">
        <v>69.369544919353856</v>
      </c>
      <c r="BT1073" s="25">
        <v>96.84919851851852</v>
      </c>
      <c r="BU1073" s="25">
        <v>43.48131608548929</v>
      </c>
      <c r="BV1073" s="25">
        <v>86.426842655004933</v>
      </c>
      <c r="BW1073" s="25">
        <v>57.551582481121798</v>
      </c>
      <c r="BX1073" s="25">
        <v>74.031725544591652</v>
      </c>
      <c r="BY1073" s="25">
        <v>58.851721447763069</v>
      </c>
      <c r="BZ1073">
        <v>50</v>
      </c>
      <c r="CA1073">
        <v>1</v>
      </c>
      <c r="CB1073">
        <v>6</v>
      </c>
      <c r="CC1073">
        <v>1207455.971383</v>
      </c>
      <c r="CD1073" s="10">
        <v>29581.724372000001</v>
      </c>
      <c r="CE1073" s="255">
        <v>2.4499215766946421E-2</v>
      </c>
      <c r="CF1073" t="str">
        <f>IFERROR(VLOOKUP(CE1073,'Rangos amb etnico'!$A$2:$C$6,3,9),"N.D.")</f>
        <v>0,1% - 30%</v>
      </c>
      <c r="CG1073" s="256">
        <v>8.6064387517920538E-4</v>
      </c>
      <c r="CH1073" s="232">
        <v>74969.491345999995</v>
      </c>
      <c r="CI1073" s="311">
        <f t="shared" si="454"/>
        <v>6.2088799196654089E-2</v>
      </c>
      <c r="CJ1073" s="232" t="str">
        <f>IFERROR(VLOOKUP(CI1073,'Rangos amb etnico'!$A$2:$C$6,3,9),"N.D.")</f>
        <v>0,1% - 30%</v>
      </c>
      <c r="CK1073" s="311">
        <f t="shared" si="455"/>
        <v>2.9767796467261389E-3</v>
      </c>
      <c r="CL1073" s="10">
        <v>0</v>
      </c>
      <c r="CM1073" s="255">
        <f t="shared" si="456"/>
        <v>0</v>
      </c>
      <c r="CN1073" s="232">
        <f>IFERROR(VLOOKUP(CM1073,'Rangos amb etnico'!$A$2:$C$6,3,9),"N.D.")</f>
        <v>0</v>
      </c>
      <c r="CO1073" s="311">
        <f t="shared" si="457"/>
        <v>0</v>
      </c>
      <c r="CP1073">
        <v>0.86392508645338317</v>
      </c>
      <c r="CQ1073" t="s">
        <v>2864</v>
      </c>
      <c r="CR1073">
        <f t="shared" si="448"/>
        <v>2</v>
      </c>
      <c r="CS1073" t="str">
        <f t="shared" si="458"/>
        <v>No es Candidato</v>
      </c>
      <c r="CT1073">
        <v>0</v>
      </c>
      <c r="CU1073">
        <v>0</v>
      </c>
      <c r="CV1073" s="25">
        <v>40.511585235595703</v>
      </c>
      <c r="CW1073" s="25">
        <v>32.490688323974609</v>
      </c>
      <c r="CX1073" s="25">
        <v>47.84576416015625</v>
      </c>
      <c r="CY1073" s="25">
        <v>58.001667022705078</v>
      </c>
      <c r="CZ1073" s="25">
        <v>27.580987930297852</v>
      </c>
      <c r="DA1073" s="25">
        <v>23.017507553100589</v>
      </c>
      <c r="DB1073" s="25">
        <v>54.132900238037109</v>
      </c>
      <c r="DC1073">
        <v>2260</v>
      </c>
      <c r="DD1073" s="253" t="s">
        <v>380</v>
      </c>
    </row>
    <row r="1074" spans="1:108" hidden="1">
      <c r="A1074" s="13">
        <v>95001</v>
      </c>
      <c r="B1074" s="13" t="s">
        <v>2541</v>
      </c>
      <c r="C1074" s="13" t="s">
        <v>2542</v>
      </c>
      <c r="D1074" s="13" t="s">
        <v>2543</v>
      </c>
      <c r="E1074" s="13" t="s">
        <v>2544</v>
      </c>
      <c r="F1074" s="14">
        <v>60.440366666666698</v>
      </c>
      <c r="G1074" s="13">
        <v>72.64</v>
      </c>
      <c r="H1074" s="13">
        <v>60.25</v>
      </c>
      <c r="I1074" s="13">
        <v>56.33</v>
      </c>
      <c r="J1074" s="14">
        <v>68.850254779196746</v>
      </c>
      <c r="K1074" s="14">
        <v>53.997224953734602</v>
      </c>
      <c r="L1074" s="14">
        <v>59.972247629069599</v>
      </c>
      <c r="M1074" s="14">
        <v>62.812399999999997</v>
      </c>
      <c r="N1074" s="14">
        <f t="shared" si="432"/>
        <v>62.415091666666669</v>
      </c>
      <c r="O1074" s="14">
        <f t="shared" si="433"/>
        <v>61.408031840500236</v>
      </c>
      <c r="P1074" s="14">
        <f t="shared" si="449"/>
        <v>61.911561753583456</v>
      </c>
      <c r="Q1074" s="14">
        <v>79.903160404472246</v>
      </c>
      <c r="R1074" s="17">
        <f t="shared" si="434"/>
        <v>20.096839595527754</v>
      </c>
      <c r="S1074" s="14">
        <f t="shared" si="450"/>
        <v>0.28087155635974981</v>
      </c>
      <c r="T1074" s="13">
        <v>0</v>
      </c>
      <c r="U1074" s="13">
        <f t="shared" si="451"/>
        <v>17.389196706391747</v>
      </c>
      <c r="V1074" s="13">
        <f>IF($T1074=1,$AU1074,(VLOOKUP(U1074,'Cortes naturales'!$A$35:$C$39,3,9)))</f>
        <v>5</v>
      </c>
      <c r="W1074" s="13">
        <v>5</v>
      </c>
      <c r="X1074" s="14" t="b">
        <f t="shared" si="435"/>
        <v>1</v>
      </c>
      <c r="Y1074" s="17">
        <f>IF($T1074=1,$AU1074,VLOOKUP(U1074,'Cortes naturales'!$A$45:$C$49,3,9))</f>
        <v>5</v>
      </c>
      <c r="Z1074" s="14">
        <v>60.309971917540032</v>
      </c>
      <c r="AA1074" s="14">
        <v>0.29285170529535426</v>
      </c>
      <c r="AB1074" s="14">
        <v>17.661878122366524</v>
      </c>
      <c r="AC1074" s="13">
        <v>5</v>
      </c>
      <c r="AD1074" s="13">
        <f t="shared" si="436"/>
        <v>0</v>
      </c>
      <c r="AE1074" s="14">
        <f t="shared" si="437"/>
        <v>1.6015898360434235</v>
      </c>
      <c r="AF1074" s="14">
        <f t="shared" si="438"/>
        <v>-1.1980148935604451E-2</v>
      </c>
      <c r="AG1074" s="13">
        <f t="shared" si="439"/>
        <v>-0.2726814159747768</v>
      </c>
      <c r="AH1074" s="13">
        <f>IF($T1074=1,$AU1074,VLOOKUP(U1074,'Cortes naturales'!$A$25:$C$29,3,9))</f>
        <v>5</v>
      </c>
      <c r="AI1074" s="13" t="b">
        <f t="shared" si="440"/>
        <v>1</v>
      </c>
      <c r="AJ1074" s="13">
        <f t="shared" si="441"/>
        <v>0</v>
      </c>
      <c r="AK1074" s="28">
        <v>0.35881802248113021</v>
      </c>
      <c r="AL1074" s="28">
        <v>21.640304859344212</v>
      </c>
      <c r="AM1074" s="28">
        <v>0.10007139091700921</v>
      </c>
      <c r="AN1074" s="13">
        <v>5</v>
      </c>
      <c r="AO1074" s="33">
        <f t="shared" si="442"/>
        <v>0</v>
      </c>
      <c r="AP1074" s="13">
        <f t="shared" si="452"/>
        <v>10.007139091700921</v>
      </c>
      <c r="AQ1074" s="13">
        <f>IFERROR(VLOOKUP(U1074,'Cortes naturales'!$E$15:$G$19,3,9),U1074)</f>
        <v>5</v>
      </c>
      <c r="AR1074" s="28">
        <f t="shared" si="443"/>
        <v>-7.7946466121380398E-2</v>
      </c>
      <c r="AS1074" s="13" t="b">
        <f t="shared" si="444"/>
        <v>1</v>
      </c>
      <c r="AT1074" s="13">
        <f t="shared" si="453"/>
        <v>0</v>
      </c>
      <c r="AU1074" s="13">
        <v>5</v>
      </c>
      <c r="AV1074">
        <f t="shared" si="445"/>
        <v>0</v>
      </c>
      <c r="AW1074" s="13">
        <v>1</v>
      </c>
      <c r="AX1074" s="13">
        <v>0</v>
      </c>
      <c r="AY1074" s="13">
        <v>0</v>
      </c>
      <c r="AZ1074" s="13">
        <v>1</v>
      </c>
      <c r="BA1074">
        <v>1</v>
      </c>
      <c r="BB1074" t="s">
        <v>2840</v>
      </c>
      <c r="BC1074">
        <v>6</v>
      </c>
      <c r="BD1074" t="s">
        <v>2920</v>
      </c>
      <c r="BE1074">
        <v>0</v>
      </c>
      <c r="BF1074" s="232" t="s">
        <v>2846</v>
      </c>
      <c r="BG1074" s="232" t="s">
        <v>2846</v>
      </c>
      <c r="BH1074" s="253">
        <v>42.1</v>
      </c>
      <c r="BI1074" s="253">
        <v>23.781936028057093</v>
      </c>
      <c r="BJ1074" s="25">
        <v>1.9081081081081079</v>
      </c>
      <c r="BK1074" t="s">
        <v>381</v>
      </c>
      <c r="BL1074">
        <v>18.980641035371065</v>
      </c>
      <c r="BM1074" t="s">
        <v>376</v>
      </c>
      <c r="BN1074" s="322">
        <v>105619.281543</v>
      </c>
      <c r="BO1074" s="322">
        <v>15603.679494</v>
      </c>
      <c r="BP1074" s="10">
        <v>54315</v>
      </c>
      <c r="BQ1074" s="254">
        <f t="shared" si="446"/>
        <v>1.9445693002485502</v>
      </c>
      <c r="BR1074" s="254">
        <f t="shared" si="447"/>
        <v>0.28728122054681027</v>
      </c>
      <c r="BS1074" s="25">
        <v>63.176503042846129</v>
      </c>
      <c r="BT1074" s="25">
        <v>97.831190657416585</v>
      </c>
      <c r="BU1074" s="25">
        <v>42.34444934846573</v>
      </c>
      <c r="BV1074" s="25">
        <v>75.249450000795974</v>
      </c>
      <c r="BW1074" s="25">
        <v>56.727928636456042</v>
      </c>
      <c r="BX1074" s="25">
        <v>69.650398262381103</v>
      </c>
      <c r="BY1074" s="25">
        <v>58.212908497492137</v>
      </c>
      <c r="BZ1074">
        <v>7</v>
      </c>
      <c r="CA1074">
        <v>1</v>
      </c>
      <c r="CB1074">
        <v>6</v>
      </c>
      <c r="CC1074">
        <v>1671222.065926</v>
      </c>
      <c r="CD1074" s="10">
        <v>270352.56542499998</v>
      </c>
      <c r="CE1074" s="255">
        <v>0.16176938477365158</v>
      </c>
      <c r="CF1074" t="str">
        <f>IFERROR(VLOOKUP(CE1074,'Rangos amb etnico'!$A$2:$C$6,3,9),"N.D.")</f>
        <v>0,1% - 30%</v>
      </c>
      <c r="CG1074" s="256">
        <v>7.8655752668782136E-3</v>
      </c>
      <c r="CH1074" s="232">
        <v>972130.02318699996</v>
      </c>
      <c r="CI1074" s="311">
        <f t="shared" si="454"/>
        <v>0.5816881209310486</v>
      </c>
      <c r="CJ1074" s="232" t="str">
        <f>IFERROR(VLOOKUP(CI1074,'Rangos amb etnico'!$A$2:$C$6,3,9),"N.D.")</f>
        <v>51% - 70%</v>
      </c>
      <c r="CK1074" s="311">
        <f t="shared" si="455"/>
        <v>3.8599926650681092E-2</v>
      </c>
      <c r="CL1074" s="10">
        <v>291228.67644800001</v>
      </c>
      <c r="CM1074" s="255">
        <f t="shared" si="456"/>
        <v>0.17426090905916469</v>
      </c>
      <c r="CN1074" s="232" t="str">
        <f>IFERROR(VLOOKUP(CM1074,'Rangos amb etnico'!$A$2:$C$6,3,9),"N.D.")</f>
        <v>0,1% - 30%</v>
      </c>
      <c r="CO1074" s="311">
        <f t="shared" si="457"/>
        <v>0.18263152591673831</v>
      </c>
      <c r="CP1074">
        <v>0.91837571265799389</v>
      </c>
      <c r="CQ1074" t="s">
        <v>2864</v>
      </c>
      <c r="CR1074">
        <f t="shared" si="448"/>
        <v>2</v>
      </c>
      <c r="CS1074" t="str">
        <f t="shared" si="458"/>
        <v>No es Candidato</v>
      </c>
      <c r="CT1074">
        <v>0</v>
      </c>
      <c r="CU1074">
        <v>0</v>
      </c>
      <c r="CV1074" s="25">
        <v>39.742717742919922</v>
      </c>
      <c r="CW1074" s="25">
        <v>34.873424530029297</v>
      </c>
      <c r="CX1074" s="25">
        <v>38.750846862792969</v>
      </c>
      <c r="CY1074" s="25">
        <v>61.343841552734382</v>
      </c>
      <c r="CZ1074" s="25">
        <v>45.459175109863281</v>
      </c>
      <c r="DA1074" s="25">
        <v>12.5</v>
      </c>
      <c r="DB1074" s="25">
        <v>45.529018402099609</v>
      </c>
      <c r="DC1074">
        <v>7425</v>
      </c>
      <c r="DD1074" s="253">
        <v>3.5670207152972013</v>
      </c>
    </row>
    <row r="1075" spans="1:108" hidden="1">
      <c r="A1075" s="13">
        <v>18753</v>
      </c>
      <c r="B1075" s="13" t="s">
        <v>2545</v>
      </c>
      <c r="C1075" s="13" t="s">
        <v>1463</v>
      </c>
      <c r="D1075" s="13" t="s">
        <v>1464</v>
      </c>
      <c r="E1075" s="13" t="s">
        <v>2546</v>
      </c>
      <c r="F1075" s="14">
        <v>76.594800000000006</v>
      </c>
      <c r="G1075" s="13">
        <v>50.86</v>
      </c>
      <c r="H1075" s="13">
        <v>45.26</v>
      </c>
      <c r="I1075" s="13">
        <v>43.42</v>
      </c>
      <c r="J1075" s="14">
        <v>43.661698879381248</v>
      </c>
      <c r="K1075" s="14">
        <v>50.457007982949875</v>
      </c>
      <c r="L1075" s="14">
        <v>56.048844728035412</v>
      </c>
      <c r="M1075" s="14">
        <v>59.839599999999997</v>
      </c>
      <c r="N1075" s="14">
        <f t="shared" si="432"/>
        <v>54.033699999999996</v>
      </c>
      <c r="O1075" s="14">
        <f t="shared" si="433"/>
        <v>52.501787897591633</v>
      </c>
      <c r="P1075" s="14">
        <f t="shared" si="449"/>
        <v>53.267743948795811</v>
      </c>
      <c r="Q1075" s="14">
        <v>80.394615740974245</v>
      </c>
      <c r="R1075" s="17">
        <f t="shared" si="434"/>
        <v>19.605384259025755</v>
      </c>
      <c r="S1075" s="14">
        <f t="shared" si="450"/>
        <v>0.27644845833123177</v>
      </c>
      <c r="T1075" s="13">
        <v>0</v>
      </c>
      <c r="U1075" s="13">
        <f t="shared" si="451"/>
        <v>14.725785693427403</v>
      </c>
      <c r="V1075" s="13">
        <f>IF($T1075=1,$AU1075,(VLOOKUP(U1075,'Cortes naturales'!$A$35:$C$39,3,9)))</f>
        <v>5</v>
      </c>
      <c r="W1075" s="13">
        <v>5</v>
      </c>
      <c r="X1075" s="14" t="b">
        <f t="shared" si="435"/>
        <v>1</v>
      </c>
      <c r="Y1075" s="17">
        <f>IF($T1075=1,$AU1075,VLOOKUP(U1075,'Cortes naturales'!$A$45:$C$49,3,9))</f>
        <v>5</v>
      </c>
      <c r="Z1075" s="14">
        <v>57.670673020408444</v>
      </c>
      <c r="AA1075" s="14">
        <v>0.28785170536957083</v>
      </c>
      <c r="AB1075" s="14">
        <v>16.600601578735468</v>
      </c>
      <c r="AC1075" s="13">
        <v>5</v>
      </c>
      <c r="AD1075" s="13">
        <f t="shared" si="436"/>
        <v>0</v>
      </c>
      <c r="AE1075" s="14">
        <f t="shared" si="437"/>
        <v>-4.4029290716126326</v>
      </c>
      <c r="AF1075" s="14">
        <f t="shared" si="438"/>
        <v>-1.1403247038339059E-2</v>
      </c>
      <c r="AG1075" s="13">
        <f t="shared" si="439"/>
        <v>-1.874815885308065</v>
      </c>
      <c r="AH1075" s="13">
        <f>IF($T1075=1,$AU1075,VLOOKUP(U1075,'Cortes naturales'!$A$25:$C$29,3,9))</f>
        <v>5</v>
      </c>
      <c r="AI1075" s="13" t="b">
        <f t="shared" si="440"/>
        <v>1</v>
      </c>
      <c r="AJ1075" s="13">
        <f t="shared" si="441"/>
        <v>0</v>
      </c>
      <c r="AK1075" s="28">
        <v>0.35881802248113021</v>
      </c>
      <c r="AL1075" s="28">
        <v>20.693276848338826</v>
      </c>
      <c r="AM1075" s="28">
        <v>8.822506876095064E-2</v>
      </c>
      <c r="AN1075" s="13">
        <v>5</v>
      </c>
      <c r="AO1075" s="33">
        <f t="shared" si="442"/>
        <v>0</v>
      </c>
      <c r="AP1075" s="13">
        <f t="shared" si="452"/>
        <v>8.8225068760950638</v>
      </c>
      <c r="AQ1075" s="13">
        <f>IFERROR(VLOOKUP(U1075,'Cortes naturales'!$E$15:$G$19,3,9),U1075)</f>
        <v>5</v>
      </c>
      <c r="AR1075" s="28">
        <f t="shared" si="443"/>
        <v>-8.2369564149898433E-2</v>
      </c>
      <c r="AS1075" s="13" t="b">
        <f t="shared" si="444"/>
        <v>1</v>
      </c>
      <c r="AT1075" s="13">
        <f t="shared" si="453"/>
        <v>0</v>
      </c>
      <c r="AU1075" s="13">
        <v>5</v>
      </c>
      <c r="AV1075">
        <f t="shared" si="445"/>
        <v>0</v>
      </c>
      <c r="AW1075" s="13">
        <v>0</v>
      </c>
      <c r="AX1075" s="13">
        <v>1</v>
      </c>
      <c r="AY1075" s="13">
        <v>0</v>
      </c>
      <c r="AZ1075" s="13">
        <v>1</v>
      </c>
      <c r="BA1075">
        <v>1</v>
      </c>
      <c r="BB1075" t="s">
        <v>2840</v>
      </c>
      <c r="BC1075">
        <v>6</v>
      </c>
      <c r="BD1075" t="s">
        <v>2919</v>
      </c>
      <c r="BE1075">
        <v>1</v>
      </c>
      <c r="BF1075" s="232" t="s">
        <v>2846</v>
      </c>
      <c r="BG1075" s="232" t="s">
        <v>2846</v>
      </c>
      <c r="BH1075" s="253">
        <v>56.3</v>
      </c>
      <c r="BI1075" s="253">
        <v>30.465264499681325</v>
      </c>
      <c r="BJ1075" s="25">
        <v>4.8386206896551718</v>
      </c>
      <c r="BK1075" t="s">
        <v>381</v>
      </c>
      <c r="BL1075">
        <v>15.812329373826273</v>
      </c>
      <c r="BM1075" t="s">
        <v>376</v>
      </c>
      <c r="BN1075" s="322">
        <v>124089.965536</v>
      </c>
      <c r="BO1075" s="322">
        <v>14563.436368999999</v>
      </c>
      <c r="BP1075" s="10">
        <v>52473</v>
      </c>
      <c r="BQ1075" s="254">
        <f t="shared" si="446"/>
        <v>2.3648345918091209</v>
      </c>
      <c r="BR1075" s="254">
        <f t="shared" si="447"/>
        <v>0.27754152362167206</v>
      </c>
      <c r="BS1075" s="25">
        <v>68.582253495405993</v>
      </c>
      <c r="BT1075" s="25">
        <v>96.251063232323233</v>
      </c>
      <c r="BU1075" s="25">
        <v>59.441968026943073</v>
      </c>
      <c r="BV1075" s="25">
        <v>90.025194255135432</v>
      </c>
      <c r="BW1075" s="25">
        <v>53.182460973976248</v>
      </c>
      <c r="BX1075" s="25">
        <v>78.57511975245194</v>
      </c>
      <c r="BY1075" s="25">
        <v>55.384300022783449</v>
      </c>
      <c r="BZ1075">
        <v>3</v>
      </c>
      <c r="CA1075">
        <v>0</v>
      </c>
      <c r="CB1075">
        <v>7</v>
      </c>
      <c r="CC1075">
        <v>2017029.528804</v>
      </c>
      <c r="CD1075" s="10">
        <v>1204071.3888310001</v>
      </c>
      <c r="CE1075" s="255">
        <v>0.59695278211665825</v>
      </c>
      <c r="CF1075" t="str">
        <f>IFERROR(VLOOKUP(CE1075,'Rangos amb etnico'!$A$2:$C$6,3,9),"N.D.")</f>
        <v>51% - 70%</v>
      </c>
      <c r="CG1075" s="256">
        <v>3.503097564713932E-2</v>
      </c>
      <c r="CH1075" s="232">
        <v>20406.044215000002</v>
      </c>
      <c r="CI1075" s="311">
        <f t="shared" si="454"/>
        <v>1.0116879264082857E-2</v>
      </c>
      <c r="CJ1075" s="232" t="str">
        <f>IFERROR(VLOOKUP(CI1075,'Rangos amb etnico'!$A$2:$C$6,3,9),"N.D.")</f>
        <v>0,1% - 30%</v>
      </c>
      <c r="CK1075" s="311">
        <f t="shared" si="455"/>
        <v>8.102535577980374E-4</v>
      </c>
      <c r="CL1075" s="10">
        <v>71887.109864099897</v>
      </c>
      <c r="CM1075" s="255">
        <f t="shared" si="456"/>
        <v>3.5640087979636789E-2</v>
      </c>
      <c r="CN1075" s="232" t="str">
        <f>IFERROR(VLOOKUP(CM1075,'Rangos amb etnico'!$A$2:$C$6,3,9),"N.D.")</f>
        <v>0,1% - 30%</v>
      </c>
      <c r="CO1075" s="311">
        <f t="shared" si="457"/>
        <v>4.5080905933962793E-2</v>
      </c>
      <c r="CP1075">
        <v>0.95399826697010992</v>
      </c>
      <c r="CQ1075" t="s">
        <v>2864</v>
      </c>
      <c r="CR1075">
        <f t="shared" si="448"/>
        <v>1</v>
      </c>
      <c r="CS1075" t="str">
        <f t="shared" si="458"/>
        <v>No es Candidato</v>
      </c>
      <c r="CT1075">
        <v>0</v>
      </c>
      <c r="CU1075">
        <v>0</v>
      </c>
      <c r="CV1075" s="25">
        <v>34.053237915039063</v>
      </c>
      <c r="CW1075" s="25">
        <v>23.119779586791989</v>
      </c>
      <c r="CX1075" s="25">
        <v>43.530445098876953</v>
      </c>
      <c r="CY1075" s="25">
        <v>43.293724060058587</v>
      </c>
      <c r="CZ1075" s="25">
        <v>17.15866851806641</v>
      </c>
      <c r="DA1075" s="25">
        <v>33.672531127929688</v>
      </c>
      <c r="DB1075" s="25">
        <v>43.544281005859382</v>
      </c>
      <c r="DC1075">
        <v>1493</v>
      </c>
      <c r="DD1075" s="253" t="s">
        <v>380</v>
      </c>
    </row>
    <row r="1076" spans="1:108" hidden="1">
      <c r="A1076" s="13">
        <v>27745</v>
      </c>
      <c r="B1076" s="13" t="s">
        <v>2547</v>
      </c>
      <c r="C1076" s="13" t="s">
        <v>1714</v>
      </c>
      <c r="D1076" s="13" t="s">
        <v>1715</v>
      </c>
      <c r="E1076" s="13" t="s">
        <v>2548</v>
      </c>
      <c r="F1076" s="14">
        <v>44.394766666666698</v>
      </c>
      <c r="G1076" s="13">
        <v>39.380000000000003</v>
      </c>
      <c r="H1076" s="13">
        <v>73.849999999999994</v>
      </c>
      <c r="I1076" s="13">
        <v>87.55</v>
      </c>
      <c r="J1076" s="14">
        <v>57.11506931173912</v>
      </c>
      <c r="K1076" s="14">
        <v>53.540584436809539</v>
      </c>
      <c r="L1076" s="14">
        <v>63.775322678773492</v>
      </c>
      <c r="M1076" s="14">
        <v>74.180300000000003</v>
      </c>
      <c r="N1076" s="14">
        <f t="shared" si="432"/>
        <v>61.293691666666675</v>
      </c>
      <c r="O1076" s="14">
        <f t="shared" si="433"/>
        <v>62.152819106830535</v>
      </c>
      <c r="P1076" s="14">
        <f t="shared" si="449"/>
        <v>61.723255386748605</v>
      </c>
      <c r="Q1076" s="14">
        <v>79.992836427574105</v>
      </c>
      <c r="R1076" s="17">
        <f t="shared" si="434"/>
        <v>20.007163572425895</v>
      </c>
      <c r="S1076" s="14">
        <f t="shared" si="450"/>
        <v>0.28006447215183305</v>
      </c>
      <c r="T1076" s="13">
        <v>0</v>
      </c>
      <c r="U1076" s="13">
        <f t="shared" si="451"/>
        <v>17.286490939382535</v>
      </c>
      <c r="V1076" s="13">
        <f>IF($T1076=1,$AU1076,(VLOOKUP(U1076,'Cortes naturales'!$A$35:$C$39,3,9)))</f>
        <v>5</v>
      </c>
      <c r="W1076" s="13">
        <v>5</v>
      </c>
      <c r="X1076" s="14" t="b">
        <f t="shared" si="435"/>
        <v>1</v>
      </c>
      <c r="Y1076" s="17">
        <f>IF($T1076=1,$AU1076,VLOOKUP(U1076,'Cortes naturales'!$A$45:$C$49,3,9))</f>
        <v>5</v>
      </c>
      <c r="Z1076" s="14">
        <v>54.350636680373384</v>
      </c>
      <c r="AA1076" s="14">
        <v>0.28649467614836099</v>
      </c>
      <c r="AB1076" s="14">
        <v>15.571168054200802</v>
      </c>
      <c r="AC1076" s="13">
        <v>5</v>
      </c>
      <c r="AD1076" s="13">
        <f t="shared" si="436"/>
        <v>0</v>
      </c>
      <c r="AE1076" s="14">
        <f t="shared" si="437"/>
        <v>7.3726187063752207</v>
      </c>
      <c r="AF1076" s="14">
        <f t="shared" si="438"/>
        <v>-6.4302039965279389E-3</v>
      </c>
      <c r="AG1076" s="13">
        <f t="shared" si="439"/>
        <v>1.7153228851817328</v>
      </c>
      <c r="AH1076" s="13">
        <f>IF($T1076=1,$AU1076,VLOOKUP(U1076,'Cortes naturales'!$A$25:$C$29,3,9))</f>
        <v>5</v>
      </c>
      <c r="AI1076" s="13" t="b">
        <f t="shared" si="440"/>
        <v>1</v>
      </c>
      <c r="AJ1076" s="13">
        <f t="shared" si="441"/>
        <v>0</v>
      </c>
      <c r="AK1076" s="28">
        <v>0.35881802248113021</v>
      </c>
      <c r="AL1076" s="28">
        <v>19.501987974241956</v>
      </c>
      <c r="AM1076" s="28">
        <v>7.3323300682836684E-2</v>
      </c>
      <c r="AN1076" s="13">
        <v>5</v>
      </c>
      <c r="AO1076" s="33">
        <f t="shared" si="442"/>
        <v>0</v>
      </c>
      <c r="AP1076" s="13">
        <f t="shared" si="452"/>
        <v>7.3323300682836683</v>
      </c>
      <c r="AQ1076" s="13">
        <f>IFERROR(VLOOKUP(U1076,'Cortes naturales'!$E$15:$G$19,3,9),U1076)</f>
        <v>5</v>
      </c>
      <c r="AR1076" s="28">
        <f t="shared" si="443"/>
        <v>-7.8753550329297151E-2</v>
      </c>
      <c r="AS1076" s="13" t="b">
        <f t="shared" si="444"/>
        <v>1</v>
      </c>
      <c r="AT1076" s="13">
        <f t="shared" si="453"/>
        <v>0</v>
      </c>
      <c r="AU1076" s="13">
        <v>5</v>
      </c>
      <c r="AV1076">
        <f t="shared" si="445"/>
        <v>0</v>
      </c>
      <c r="AW1076" s="13">
        <v>0</v>
      </c>
      <c r="AX1076" s="13">
        <v>0</v>
      </c>
      <c r="AY1076" s="13">
        <v>0</v>
      </c>
      <c r="AZ1076" s="13">
        <v>1</v>
      </c>
      <c r="BA1076">
        <v>1</v>
      </c>
      <c r="BB1076" t="s">
        <v>2841</v>
      </c>
      <c r="BC1076">
        <v>6</v>
      </c>
      <c r="BD1076" t="s">
        <v>2919</v>
      </c>
      <c r="BE1076">
        <v>0</v>
      </c>
      <c r="BF1076" s="232" t="s">
        <v>2846</v>
      </c>
      <c r="BG1076" s="232" t="s">
        <v>2846</v>
      </c>
      <c r="BH1076" s="253">
        <v>69.7</v>
      </c>
      <c r="BI1076" s="253">
        <v>49.096820809248555</v>
      </c>
      <c r="BJ1076" s="25" t="s">
        <v>2849</v>
      </c>
      <c r="BK1076" t="s">
        <v>2849</v>
      </c>
      <c r="BL1076">
        <v>100</v>
      </c>
      <c r="BM1076" t="s">
        <v>384</v>
      </c>
      <c r="BN1076" s="322">
        <v>27089.349869000001</v>
      </c>
      <c r="BO1076" s="322">
        <v>1125.9123039999999</v>
      </c>
      <c r="BP1076" s="10">
        <v>3325</v>
      </c>
      <c r="BQ1076" s="254">
        <f t="shared" si="446"/>
        <v>8.1471728929323319</v>
      </c>
      <c r="BR1076" s="254">
        <f t="shared" si="447"/>
        <v>0.33862024180451128</v>
      </c>
      <c r="BS1076" s="25">
        <v>53.446115288220547</v>
      </c>
      <c r="BT1076" s="25">
        <v>93.567250000000001</v>
      </c>
      <c r="BU1076" s="25">
        <v>51.794194880264243</v>
      </c>
      <c r="BV1076" s="25">
        <v>93.217126514489124</v>
      </c>
      <c r="BW1076" s="25">
        <v>48.525275015925267</v>
      </c>
      <c r="BX1076" s="25">
        <v>73.00617167074347</v>
      </c>
      <c r="BY1076" s="25">
        <v>50.201566151864633</v>
      </c>
      <c r="BZ1076">
        <v>27</v>
      </c>
      <c r="CA1076">
        <v>0</v>
      </c>
      <c r="CB1076">
        <v>7</v>
      </c>
      <c r="CC1076">
        <v>157745.31270000001</v>
      </c>
      <c r="CD1076" s="10">
        <v>2240.7340709999999</v>
      </c>
      <c r="CE1076" s="255">
        <v>1.420475849739781E-2</v>
      </c>
      <c r="CF1076" t="str">
        <f>IFERROR(VLOOKUP(CE1076,'Rangos amb etnico'!$A$2:$C$6,3,9),"N.D.")</f>
        <v>0,1% - 30%</v>
      </c>
      <c r="CG1076" s="256">
        <v>6.5191400942700813E-5</v>
      </c>
      <c r="CH1076" s="232">
        <v>156735.268087</v>
      </c>
      <c r="CI1076" s="311">
        <f t="shared" si="454"/>
        <v>0.99359699127846091</v>
      </c>
      <c r="CJ1076" s="232" t="str">
        <f>IFERROR(VLOOKUP(CI1076,'Rangos amb etnico'!$A$2:$C$6,3,9),"N.D.")</f>
        <v>71% - 100%</v>
      </c>
      <c r="CK1076" s="311">
        <f t="shared" si="455"/>
        <v>6.223416320276798E-3</v>
      </c>
      <c r="CL1076" s="10">
        <v>0</v>
      </c>
      <c r="CM1076" s="255">
        <f t="shared" si="456"/>
        <v>0</v>
      </c>
      <c r="CN1076" s="232">
        <f>IFERROR(VLOOKUP(CM1076,'Rangos amb etnico'!$A$2:$C$6,3,9),"N.D.")</f>
        <v>0</v>
      </c>
      <c r="CO1076" s="311">
        <f t="shared" si="457"/>
        <v>0</v>
      </c>
      <c r="CP1076">
        <v>0.94181728524685981</v>
      </c>
      <c r="CQ1076" t="s">
        <v>2864</v>
      </c>
      <c r="CR1076">
        <f t="shared" si="448"/>
        <v>3</v>
      </c>
      <c r="CS1076" t="str">
        <f t="shared" si="458"/>
        <v>Candidato</v>
      </c>
      <c r="CT1076">
        <v>0</v>
      </c>
      <c r="CU1076">
        <v>0</v>
      </c>
      <c r="CV1076" s="25">
        <v>37.599800109863281</v>
      </c>
      <c r="CW1076" s="25">
        <v>8.7843217849731445</v>
      </c>
      <c r="CX1076" s="25">
        <v>48.007396697998047</v>
      </c>
      <c r="CY1076" s="25">
        <v>31.00508880615234</v>
      </c>
      <c r="CZ1076" s="25">
        <v>23.91071701049805</v>
      </c>
      <c r="DA1076" s="25">
        <v>62.5</v>
      </c>
      <c r="DB1076" s="25">
        <v>51.391269683837891</v>
      </c>
      <c r="DC1076">
        <v>3145</v>
      </c>
      <c r="DD1076" s="253" t="s">
        <v>380</v>
      </c>
    </row>
    <row r="1077" spans="1:108" hidden="1">
      <c r="A1077" s="13">
        <v>85325</v>
      </c>
      <c r="B1077" s="13" t="s">
        <v>2549</v>
      </c>
      <c r="C1077" s="13" t="s">
        <v>1351</v>
      </c>
      <c r="D1077" s="13" t="s">
        <v>1352</v>
      </c>
      <c r="E1077" s="13" t="s">
        <v>2550</v>
      </c>
      <c r="F1077" s="14">
        <v>57.889566666666703</v>
      </c>
      <c r="G1077" s="13">
        <v>59.03</v>
      </c>
      <c r="H1077" s="13">
        <v>58.06</v>
      </c>
      <c r="I1077" s="13">
        <v>65.209999999999994</v>
      </c>
      <c r="J1077" s="14">
        <v>54.479305612012212</v>
      </c>
      <c r="K1077" s="14">
        <v>62.040470666104689</v>
      </c>
      <c r="L1077" s="14">
        <v>64.947174029387497</v>
      </c>
      <c r="M1077" s="14">
        <v>61.46</v>
      </c>
      <c r="N1077" s="14">
        <f t="shared" si="432"/>
        <v>60.04739166666667</v>
      </c>
      <c r="O1077" s="14">
        <f t="shared" si="433"/>
        <v>60.7317375768761</v>
      </c>
      <c r="P1077" s="14">
        <f t="shared" si="449"/>
        <v>60.389564621771385</v>
      </c>
      <c r="Q1077" s="14">
        <v>79.516651424492494</v>
      </c>
      <c r="R1077" s="17">
        <f t="shared" si="434"/>
        <v>20.483348575507506</v>
      </c>
      <c r="S1077" s="14">
        <f t="shared" si="450"/>
        <v>0.28435013717956759</v>
      </c>
      <c r="T1077" s="13">
        <v>0</v>
      </c>
      <c r="U1077" s="13">
        <f t="shared" si="451"/>
        <v>17.171780984415054</v>
      </c>
      <c r="V1077" s="13">
        <f>IF($T1077=1,$AU1077,(VLOOKUP(U1077,'Cortes naturales'!$A$35:$C$39,3,9)))</f>
        <v>5</v>
      </c>
      <c r="W1077" s="13">
        <v>5</v>
      </c>
      <c r="X1077" s="14" t="b">
        <f t="shared" si="435"/>
        <v>1</v>
      </c>
      <c r="Y1077" s="17">
        <f>IF($T1077=1,$AU1077,VLOOKUP(U1077,'Cortes naturales'!$A$45:$C$49,3,9))</f>
        <v>5</v>
      </c>
      <c r="Z1077" s="14">
        <v>59.665089280468742</v>
      </c>
      <c r="AA1077" s="14">
        <v>0.28481842453804662</v>
      </c>
      <c r="AB1077" s="14">
        <v>16.993716728785</v>
      </c>
      <c r="AC1077" s="13">
        <v>5</v>
      </c>
      <c r="AD1077" s="13">
        <f t="shared" si="436"/>
        <v>0</v>
      </c>
      <c r="AE1077" s="14">
        <f t="shared" si="437"/>
        <v>0.72447534130264302</v>
      </c>
      <c r="AF1077" s="14">
        <f t="shared" si="438"/>
        <v>-4.6828735847903591E-4</v>
      </c>
      <c r="AG1077" s="13">
        <f t="shared" si="439"/>
        <v>0.1780642556300549</v>
      </c>
      <c r="AH1077" s="13">
        <f>IF($T1077=1,$AU1077,VLOOKUP(U1077,'Cortes naturales'!$A$25:$C$29,3,9))</f>
        <v>5</v>
      </c>
      <c r="AI1077" s="13" t="b">
        <f t="shared" si="440"/>
        <v>1</v>
      </c>
      <c r="AJ1077" s="13">
        <f t="shared" si="441"/>
        <v>0</v>
      </c>
      <c r="AK1077" s="28">
        <v>0.35881802248113021</v>
      </c>
      <c r="AL1077" s="28">
        <v>21.408909346777875</v>
      </c>
      <c r="AM1077" s="28">
        <v>9.7176876968665685E-2</v>
      </c>
      <c r="AN1077" s="13">
        <v>5</v>
      </c>
      <c r="AO1077" s="33">
        <f t="shared" si="442"/>
        <v>0</v>
      </c>
      <c r="AP1077" s="13">
        <f t="shared" si="452"/>
        <v>9.7176876968665677</v>
      </c>
      <c r="AQ1077" s="13">
        <f>IFERROR(VLOOKUP(U1077,'Cortes naturales'!$E$15:$G$19,3,9),U1077)</f>
        <v>5</v>
      </c>
      <c r="AR1077" s="28">
        <f t="shared" si="443"/>
        <v>-7.446788530156262E-2</v>
      </c>
      <c r="AS1077" s="13" t="b">
        <f t="shared" si="444"/>
        <v>1</v>
      </c>
      <c r="AT1077" s="13">
        <f t="shared" si="453"/>
        <v>0</v>
      </c>
      <c r="AU1077" s="13">
        <v>5</v>
      </c>
      <c r="AV1077">
        <f t="shared" si="445"/>
        <v>0</v>
      </c>
      <c r="AW1077" s="13">
        <v>0</v>
      </c>
      <c r="AX1077" s="13">
        <v>0</v>
      </c>
      <c r="AY1077" s="13">
        <v>0</v>
      </c>
      <c r="AZ1077" s="13">
        <v>0</v>
      </c>
      <c r="BA1077">
        <v>0</v>
      </c>
      <c r="BB1077" t="s">
        <v>2841</v>
      </c>
      <c r="BC1077">
        <v>6</v>
      </c>
      <c r="BD1077" t="s">
        <v>2919</v>
      </c>
      <c r="BE1077">
        <v>0</v>
      </c>
      <c r="BF1077" s="232" t="s">
        <v>2846</v>
      </c>
      <c r="BG1077" s="232" t="s">
        <v>2846</v>
      </c>
      <c r="BH1077" s="253">
        <v>37</v>
      </c>
      <c r="BI1077" s="253">
        <v>18.302850995158689</v>
      </c>
      <c r="BJ1077" s="25">
        <v>6.7816421215812195</v>
      </c>
      <c r="BK1077" t="s">
        <v>377</v>
      </c>
      <c r="BL1077">
        <v>10.945950000418751</v>
      </c>
      <c r="BM1077" t="s">
        <v>379</v>
      </c>
      <c r="BN1077" s="322">
        <v>32307.367099999999</v>
      </c>
      <c r="BO1077" s="322">
        <v>4570.2310399999997</v>
      </c>
      <c r="BP1077" s="10">
        <v>8976</v>
      </c>
      <c r="BQ1077" s="254">
        <f t="shared" si="446"/>
        <v>3.599305603832442</v>
      </c>
      <c r="BR1077" s="254">
        <f t="shared" si="447"/>
        <v>0.50916121212121213</v>
      </c>
      <c r="BS1077" s="25">
        <v>63.203134778403602</v>
      </c>
      <c r="BT1077" s="25">
        <v>91.768710843731427</v>
      </c>
      <c r="BU1077" s="25">
        <v>34.688734177215167</v>
      </c>
      <c r="BV1077" s="25">
        <v>95.287120470829379</v>
      </c>
      <c r="BW1077" s="25">
        <v>59.363442336818409</v>
      </c>
      <c r="BX1077" s="25">
        <v>71.236925067544888</v>
      </c>
      <c r="BY1077" s="25">
        <v>60.888205890400783</v>
      </c>
      <c r="BZ1077">
        <v>50</v>
      </c>
      <c r="CA1077">
        <v>0</v>
      </c>
      <c r="CB1077">
        <v>7</v>
      </c>
      <c r="CC1077">
        <v>298101.21594600001</v>
      </c>
      <c r="CD1077" s="10">
        <v>62818.151831000003</v>
      </c>
      <c r="CE1077" s="255">
        <v>0.21072759341706038</v>
      </c>
      <c r="CF1077" t="str">
        <f>IFERROR(VLOOKUP(CE1077,'Rangos amb etnico'!$A$2:$C$6,3,9),"N.D.")</f>
        <v>0,1% - 30%</v>
      </c>
      <c r="CG1077" s="256">
        <v>1.8276168401663835E-3</v>
      </c>
      <c r="CH1077" s="232">
        <v>25.332249000000001</v>
      </c>
      <c r="CI1077" s="311">
        <f t="shared" si="454"/>
        <v>8.4978683899729042E-5</v>
      </c>
      <c r="CJ1077" s="232">
        <f>IFERROR(VLOOKUP(CI1077,'Rangos amb etnico'!$A$2:$C$6,3,9),"N.D.")</f>
        <v>0</v>
      </c>
      <c r="CK1077" s="311">
        <f t="shared" si="455"/>
        <v>1.0058561406128844E-6</v>
      </c>
      <c r="CL1077" s="10">
        <v>0</v>
      </c>
      <c r="CM1077" s="255">
        <f t="shared" si="456"/>
        <v>0</v>
      </c>
      <c r="CN1077" s="232">
        <f>IFERROR(VLOOKUP(CM1077,'Rangos amb etnico'!$A$2:$C$6,3,9),"N.D.")</f>
        <v>0</v>
      </c>
      <c r="CO1077" s="311">
        <f t="shared" si="457"/>
        <v>0</v>
      </c>
      <c r="CP1077">
        <v>0.95534877441484078</v>
      </c>
      <c r="CQ1077" t="s">
        <v>2864</v>
      </c>
      <c r="CR1077">
        <f t="shared" si="448"/>
        <v>4</v>
      </c>
      <c r="CS1077" t="str">
        <f t="shared" si="458"/>
        <v>Candidato</v>
      </c>
      <c r="CT1077">
        <v>0</v>
      </c>
      <c r="CU1077">
        <v>0</v>
      </c>
      <c r="CV1077" s="25">
        <v>47.253921508789063</v>
      </c>
      <c r="CW1077" s="25">
        <v>18.592996597290039</v>
      </c>
      <c r="CX1077" s="25">
        <v>49.980972290039063</v>
      </c>
      <c r="CY1077" s="25">
        <v>58.364093780517578</v>
      </c>
      <c r="CZ1077" s="25">
        <v>36.598663330078118</v>
      </c>
      <c r="DA1077" s="25">
        <v>68.023963928222656</v>
      </c>
      <c r="DB1077" s="25">
        <v>51.962856292724609</v>
      </c>
      <c r="DC1077">
        <v>79</v>
      </c>
      <c r="DD1077" s="253" t="s">
        <v>380</v>
      </c>
    </row>
    <row r="1078" spans="1:108" hidden="1">
      <c r="A1078" s="13">
        <v>50568</v>
      </c>
      <c r="B1078" s="13" t="s">
        <v>2551</v>
      </c>
      <c r="C1078" s="13" t="s">
        <v>605</v>
      </c>
      <c r="D1078" s="13" t="s">
        <v>606</v>
      </c>
      <c r="E1078" s="13" t="s">
        <v>2552</v>
      </c>
      <c r="F1078" s="14">
        <v>66.537233333333305</v>
      </c>
      <c r="G1078" s="13">
        <v>61.24</v>
      </c>
      <c r="H1078" s="13">
        <v>66.22</v>
      </c>
      <c r="I1078" s="13">
        <v>71.58</v>
      </c>
      <c r="J1078" s="14">
        <v>56.80850852195573</v>
      </c>
      <c r="K1078" s="14">
        <v>54.528737070680862</v>
      </c>
      <c r="L1078" s="14">
        <v>58.060238448272443</v>
      </c>
      <c r="M1078" s="14">
        <v>58.646599999999999</v>
      </c>
      <c r="N1078" s="14">
        <f t="shared" si="432"/>
        <v>66.394308333333328</v>
      </c>
      <c r="O1078" s="14">
        <f t="shared" si="433"/>
        <v>57.01102101022726</v>
      </c>
      <c r="P1078" s="14">
        <f t="shared" si="449"/>
        <v>61.702664671780298</v>
      </c>
      <c r="Q1078" s="14">
        <v>79.338808018963334</v>
      </c>
      <c r="R1078" s="17">
        <f t="shared" si="434"/>
        <v>20.661191981036666</v>
      </c>
      <c r="S1078" s="14">
        <f t="shared" si="450"/>
        <v>0.28595072782933001</v>
      </c>
      <c r="T1078" s="13">
        <v>0</v>
      </c>
      <c r="U1078" s="13">
        <f t="shared" si="451"/>
        <v>17.643921871904663</v>
      </c>
      <c r="V1078" s="13">
        <f>IF($T1078=1,$AU1078,(VLOOKUP(U1078,'Cortes naturales'!$A$35:$C$39,3,9)))</f>
        <v>5</v>
      </c>
      <c r="W1078" s="13">
        <v>5</v>
      </c>
      <c r="X1078" s="14" t="b">
        <f t="shared" si="435"/>
        <v>1</v>
      </c>
      <c r="Y1078" s="17">
        <f>IF($T1078=1,$AU1078,VLOOKUP(U1078,'Cortes naturales'!$A$45:$C$49,3,9))</f>
        <v>5</v>
      </c>
      <c r="Z1078" s="14">
        <v>60.869659430044642</v>
      </c>
      <c r="AA1078" s="14">
        <v>0.28017993638279121</v>
      </c>
      <c r="AB1078" s="14">
        <v>17.054457306752074</v>
      </c>
      <c r="AC1078" s="13">
        <v>5</v>
      </c>
      <c r="AD1078" s="13">
        <f t="shared" si="436"/>
        <v>0</v>
      </c>
      <c r="AE1078" s="14">
        <f t="shared" si="437"/>
        <v>0.83300524173565549</v>
      </c>
      <c r="AF1078" s="14">
        <f t="shared" si="438"/>
        <v>5.7707914465388033E-3</v>
      </c>
      <c r="AG1078" s="13">
        <f t="shared" si="439"/>
        <v>0.58946456515258916</v>
      </c>
      <c r="AH1078" s="13">
        <f>IF($T1078=1,$AU1078,VLOOKUP(U1078,'Cortes naturales'!$A$25:$C$29,3,9))</f>
        <v>5</v>
      </c>
      <c r="AI1078" s="13" t="b">
        <f t="shared" si="440"/>
        <v>1</v>
      </c>
      <c r="AJ1078" s="13">
        <f t="shared" si="441"/>
        <v>0</v>
      </c>
      <c r="AK1078" s="28">
        <v>0.35881802248113021</v>
      </c>
      <c r="AL1078" s="28">
        <v>21.841130825788497</v>
      </c>
      <c r="AM1078" s="28">
        <v>0.10258351206670484</v>
      </c>
      <c r="AN1078" s="13">
        <v>5</v>
      </c>
      <c r="AO1078" s="33">
        <f t="shared" si="442"/>
        <v>0</v>
      </c>
      <c r="AP1078" s="13">
        <f t="shared" si="452"/>
        <v>10.258351206670485</v>
      </c>
      <c r="AQ1078" s="13">
        <f>IFERROR(VLOOKUP(U1078,'Cortes naturales'!$E$15:$G$19,3,9),U1078)</f>
        <v>5</v>
      </c>
      <c r="AR1078" s="28">
        <f t="shared" si="443"/>
        <v>-7.2867294651800196E-2</v>
      </c>
      <c r="AS1078" s="13" t="b">
        <f t="shared" si="444"/>
        <v>1</v>
      </c>
      <c r="AT1078" s="13">
        <f t="shared" si="453"/>
        <v>0</v>
      </c>
      <c r="AU1078" s="13">
        <v>5</v>
      </c>
      <c r="AV1078">
        <f t="shared" si="445"/>
        <v>0</v>
      </c>
      <c r="AW1078" s="13">
        <v>0</v>
      </c>
      <c r="AX1078" s="13">
        <v>1</v>
      </c>
      <c r="AY1078" s="13">
        <v>0</v>
      </c>
      <c r="AZ1078" s="13">
        <v>0</v>
      </c>
      <c r="BA1078">
        <v>1</v>
      </c>
      <c r="BB1078" t="s">
        <v>2841</v>
      </c>
      <c r="BC1078">
        <v>2</v>
      </c>
      <c r="BD1078" t="s">
        <v>2919</v>
      </c>
      <c r="BE1078">
        <v>0</v>
      </c>
      <c r="BF1078" s="232" t="s">
        <v>2846</v>
      </c>
      <c r="BG1078" s="232" t="s">
        <v>2846</v>
      </c>
      <c r="BH1078" s="253">
        <v>51.8</v>
      </c>
      <c r="BI1078" s="253">
        <v>44.841934338052468</v>
      </c>
      <c r="BJ1078" s="25">
        <v>0.52145833333333325</v>
      </c>
      <c r="BK1078" t="s">
        <v>381</v>
      </c>
      <c r="BL1078">
        <v>18.136631502117645</v>
      </c>
      <c r="BM1078" t="s">
        <v>376</v>
      </c>
      <c r="BN1078" s="322">
        <v>531350.71285300003</v>
      </c>
      <c r="BO1078" s="322">
        <v>108252.742451</v>
      </c>
      <c r="BP1078" s="10">
        <v>53006</v>
      </c>
      <c r="BQ1078" s="254">
        <f t="shared" si="446"/>
        <v>10.024350316058561</v>
      </c>
      <c r="BR1078" s="254">
        <f t="shared" si="447"/>
        <v>2.0422733737878729</v>
      </c>
      <c r="BS1078" s="25">
        <v>76.63721257110501</v>
      </c>
      <c r="BT1078" s="25">
        <v>93.650817962529274</v>
      </c>
      <c r="BU1078" s="25">
        <v>37.818296090904127</v>
      </c>
      <c r="BV1078" s="25">
        <v>89.178373800913434</v>
      </c>
      <c r="BW1078" s="25">
        <v>65.3273482328065</v>
      </c>
      <c r="BX1078" s="25">
        <v>74.321175106362972</v>
      </c>
      <c r="BY1078" s="25">
        <v>69.13011592340311</v>
      </c>
      <c r="BZ1078">
        <v>88</v>
      </c>
      <c r="CA1078">
        <v>0</v>
      </c>
      <c r="CB1078">
        <v>6</v>
      </c>
      <c r="CC1078">
        <v>1719925.4178559999</v>
      </c>
      <c r="CD1078" s="10">
        <v>29730.070083999999</v>
      </c>
      <c r="CE1078" s="255">
        <v>1.7285674003853311E-2</v>
      </c>
      <c r="CF1078" t="str">
        <f>IFERROR(VLOOKUP(CE1078,'Rangos amb etnico'!$A$2:$C$6,3,9),"N.D.")</f>
        <v>0,1% - 30%</v>
      </c>
      <c r="CG1078" s="256">
        <v>8.6495981115495744E-4</v>
      </c>
      <c r="CH1078" s="232">
        <v>368203.21000100003</v>
      </c>
      <c r="CI1078" s="311">
        <f t="shared" si="454"/>
        <v>0.21408091663648388</v>
      </c>
      <c r="CJ1078" s="232" t="str">
        <f>IFERROR(VLOOKUP(CI1078,'Rangos amb etnico'!$A$2:$C$6,3,9),"N.D.")</f>
        <v>0,1% - 30%</v>
      </c>
      <c r="CK1078" s="311">
        <f t="shared" si="455"/>
        <v>1.4620078137274003E-2</v>
      </c>
      <c r="CL1078" s="10">
        <v>0</v>
      </c>
      <c r="CM1078" s="255">
        <f t="shared" si="456"/>
        <v>0</v>
      </c>
      <c r="CN1078" s="232">
        <f>IFERROR(VLOOKUP(CM1078,'Rangos amb etnico'!$A$2:$C$6,3,9),"N.D.")</f>
        <v>0</v>
      </c>
      <c r="CO1078" s="311">
        <f t="shared" si="457"/>
        <v>0</v>
      </c>
      <c r="CP1078">
        <v>0.92711118461867237</v>
      </c>
      <c r="CQ1078" t="s">
        <v>2864</v>
      </c>
      <c r="CR1078">
        <f t="shared" si="448"/>
        <v>3</v>
      </c>
      <c r="CS1078" t="str">
        <f t="shared" si="458"/>
        <v>Candidato</v>
      </c>
      <c r="CT1078">
        <v>0</v>
      </c>
      <c r="CU1078">
        <v>0</v>
      </c>
      <c r="CV1078" s="25">
        <v>35.636623382568359</v>
      </c>
      <c r="CW1078" s="25">
        <v>30.729242324829102</v>
      </c>
      <c r="CX1078" s="25">
        <v>50.5357666015625</v>
      </c>
      <c r="CY1078" s="25">
        <v>62.332942962646477</v>
      </c>
      <c r="CZ1078" s="25">
        <v>14.607827186584471</v>
      </c>
      <c r="DA1078" s="25">
        <v>13.46160411834717</v>
      </c>
      <c r="DB1078" s="25">
        <v>42.152351379394531</v>
      </c>
      <c r="DC1078">
        <v>13554</v>
      </c>
      <c r="DD1078" s="253" t="s">
        <v>380</v>
      </c>
    </row>
    <row r="1079" spans="1:108" hidden="1">
      <c r="A1079" s="13">
        <v>85125</v>
      </c>
      <c r="B1079" s="13" t="s">
        <v>2553</v>
      </c>
      <c r="C1079" s="13" t="s">
        <v>1351</v>
      </c>
      <c r="D1079" s="13" t="s">
        <v>1352</v>
      </c>
      <c r="E1079" s="13" t="s">
        <v>2554</v>
      </c>
      <c r="F1079" s="14">
        <v>55.985700000000001</v>
      </c>
      <c r="G1079" s="13">
        <v>72.489999999999995</v>
      </c>
      <c r="H1079" s="13">
        <v>42.49</v>
      </c>
      <c r="I1079" s="13">
        <v>35.51</v>
      </c>
      <c r="J1079" s="14">
        <v>48.876127471157659</v>
      </c>
      <c r="K1079" s="14">
        <v>56.164697898821018</v>
      </c>
      <c r="L1079" s="14">
        <v>57.729335007364952</v>
      </c>
      <c r="M1079" s="14">
        <v>50.263100000000001</v>
      </c>
      <c r="N1079" s="14">
        <f t="shared" si="432"/>
        <v>51.618924999999997</v>
      </c>
      <c r="O1079" s="14">
        <f t="shared" si="433"/>
        <v>53.258315094335913</v>
      </c>
      <c r="P1079" s="14">
        <f t="shared" si="449"/>
        <v>52.438620047167959</v>
      </c>
      <c r="Q1079" s="14">
        <v>80.820906334574033</v>
      </c>
      <c r="R1079" s="17">
        <f t="shared" si="434"/>
        <v>19.179093665425967</v>
      </c>
      <c r="S1079" s="14">
        <f t="shared" si="450"/>
        <v>0.27261184298883367</v>
      </c>
      <c r="T1079" s="13">
        <v>0</v>
      </c>
      <c r="U1079" s="13">
        <f t="shared" si="451"/>
        <v>14.295388854849657</v>
      </c>
      <c r="V1079" s="13">
        <f>IF($T1079=1,$AU1079,(VLOOKUP(U1079,'Cortes naturales'!$A$35:$C$39,3,9)))</f>
        <v>5</v>
      </c>
      <c r="W1079" s="13">
        <v>5</v>
      </c>
      <c r="X1079" s="14" t="b">
        <f t="shared" si="435"/>
        <v>1</v>
      </c>
      <c r="Y1079" s="17">
        <f>IF($T1079=1,$AU1079,VLOOKUP(U1079,'Cortes naturales'!$A$45:$C$49,3,9))</f>
        <v>5</v>
      </c>
      <c r="Z1079" s="14">
        <v>55.293865954485774</v>
      </c>
      <c r="AA1079" s="14">
        <v>0.27639302742304256</v>
      </c>
      <c r="AB1079" s="14">
        <v>15.282839009084226</v>
      </c>
      <c r="AC1079" s="13">
        <v>5</v>
      </c>
      <c r="AD1079" s="13">
        <f t="shared" si="436"/>
        <v>0</v>
      </c>
      <c r="AE1079" s="14">
        <f t="shared" si="437"/>
        <v>-2.8552459073178156</v>
      </c>
      <c r="AF1079" s="14">
        <f t="shared" si="438"/>
        <v>-3.7811844342088841E-3</v>
      </c>
      <c r="AG1079" s="13">
        <f t="shared" si="439"/>
        <v>-0.98745015423456906</v>
      </c>
      <c r="AH1079" s="13">
        <f>IF($T1079=1,$AU1079,VLOOKUP(U1079,'Cortes naturales'!$A$25:$C$29,3,9))</f>
        <v>5</v>
      </c>
      <c r="AI1079" s="13" t="b">
        <f t="shared" si="440"/>
        <v>1</v>
      </c>
      <c r="AJ1079" s="13">
        <f t="shared" si="441"/>
        <v>0</v>
      </c>
      <c r="AK1079" s="28">
        <v>0.35881802248113021</v>
      </c>
      <c r="AL1079" s="28">
        <v>19.840435637125278</v>
      </c>
      <c r="AM1079" s="28">
        <v>7.7556924188042733E-2</v>
      </c>
      <c r="AN1079" s="13">
        <v>5</v>
      </c>
      <c r="AO1079" s="33">
        <f t="shared" si="442"/>
        <v>0</v>
      </c>
      <c r="AP1079" s="13">
        <f t="shared" si="452"/>
        <v>7.7556924188042737</v>
      </c>
      <c r="AQ1079" s="13">
        <f>IFERROR(VLOOKUP(U1079,'Cortes naturales'!$E$15:$G$19,3,9),U1079)</f>
        <v>5</v>
      </c>
      <c r="AR1079" s="28">
        <f t="shared" si="443"/>
        <v>-8.6206179492296531E-2</v>
      </c>
      <c r="AS1079" s="13" t="b">
        <f t="shared" si="444"/>
        <v>1</v>
      </c>
      <c r="AT1079" s="13">
        <f t="shared" si="453"/>
        <v>0</v>
      </c>
      <c r="AU1079" s="13">
        <v>5</v>
      </c>
      <c r="AV1079">
        <f t="shared" si="445"/>
        <v>0</v>
      </c>
      <c r="AW1079" s="13">
        <v>0</v>
      </c>
      <c r="AX1079" s="13">
        <v>0</v>
      </c>
      <c r="AY1079" s="13">
        <v>0</v>
      </c>
      <c r="AZ1079" s="13">
        <v>0</v>
      </c>
      <c r="BA1079">
        <v>1</v>
      </c>
      <c r="BB1079" t="s">
        <v>2841</v>
      </c>
      <c r="BC1079">
        <v>6</v>
      </c>
      <c r="BD1079" t="s">
        <v>2919</v>
      </c>
      <c r="BE1079">
        <v>0</v>
      </c>
      <c r="BF1079" s="232" t="s">
        <v>2846</v>
      </c>
      <c r="BG1079" s="232" t="s">
        <v>2846</v>
      </c>
      <c r="BH1079" s="253">
        <v>56.1</v>
      </c>
      <c r="BI1079" s="253">
        <v>33.035958124715521</v>
      </c>
      <c r="BJ1079" s="25">
        <v>0</v>
      </c>
      <c r="BK1079" t="s">
        <v>381</v>
      </c>
      <c r="BL1079">
        <v>9.7332985976042483</v>
      </c>
      <c r="BM1079" t="s">
        <v>379</v>
      </c>
      <c r="BN1079" s="322">
        <v>33789.128149999997</v>
      </c>
      <c r="BO1079" s="322">
        <v>3233.1232329999998</v>
      </c>
      <c r="BP1079" s="10">
        <v>13104</v>
      </c>
      <c r="BQ1079" s="254">
        <f t="shared" si="446"/>
        <v>2.5785354204822952</v>
      </c>
      <c r="BR1079" s="254">
        <f t="shared" si="447"/>
        <v>0.24672796344627593</v>
      </c>
      <c r="BS1079" s="25">
        <v>64.9359568280844</v>
      </c>
      <c r="BT1079" s="25">
        <v>84.214054242657923</v>
      </c>
      <c r="BU1079" s="25">
        <v>32.36109405745767</v>
      </c>
      <c r="BV1079" s="25">
        <v>92.538629118211659</v>
      </c>
      <c r="BW1079" s="25">
        <v>46.757157947772541</v>
      </c>
      <c r="BX1079" s="25">
        <v>68.512433561602919</v>
      </c>
      <c r="BY1079" s="25">
        <v>47.682835636553193</v>
      </c>
      <c r="BZ1079">
        <v>53</v>
      </c>
      <c r="CA1079">
        <v>0</v>
      </c>
      <c r="CB1079">
        <v>7</v>
      </c>
      <c r="CC1079">
        <v>549226.014646</v>
      </c>
      <c r="CD1079" s="10">
        <v>24475.423552</v>
      </c>
      <c r="CE1079" s="255">
        <v>4.4563481880543244E-2</v>
      </c>
      <c r="CF1079" t="str">
        <f>IFERROR(VLOOKUP(CE1079,'Rangos amb etnico'!$A$2:$C$6,3,9),"N.D.")</f>
        <v>0,1% - 30%</v>
      </c>
      <c r="CG1079" s="256">
        <v>7.1208233528076469E-4</v>
      </c>
      <c r="CH1079" s="232">
        <v>30536.177433000001</v>
      </c>
      <c r="CI1079" s="311">
        <f t="shared" si="454"/>
        <v>5.5598563466957941E-2</v>
      </c>
      <c r="CJ1079" s="232" t="str">
        <f>IFERROR(VLOOKUP(CI1079,'Rangos amb etnico'!$A$2:$C$6,3,9),"N.D.")</f>
        <v>0,1% - 30%</v>
      </c>
      <c r="CK1079" s="311">
        <f t="shared" si="455"/>
        <v>1.2124861705657334E-3</v>
      </c>
      <c r="CL1079" s="10">
        <v>0</v>
      </c>
      <c r="CM1079" s="255">
        <f t="shared" si="456"/>
        <v>0</v>
      </c>
      <c r="CN1079" s="232">
        <f>IFERROR(VLOOKUP(CM1079,'Rangos amb etnico'!$A$2:$C$6,3,9),"N.D.")</f>
        <v>0</v>
      </c>
      <c r="CO1079" s="311">
        <f t="shared" si="457"/>
        <v>0</v>
      </c>
      <c r="CP1079">
        <v>0.8842784277061404</v>
      </c>
      <c r="CQ1079" t="s">
        <v>2864</v>
      </c>
      <c r="CR1079">
        <f t="shared" si="448"/>
        <v>1</v>
      </c>
      <c r="CS1079" t="str">
        <f t="shared" si="458"/>
        <v>No es Candidato</v>
      </c>
      <c r="CT1079">
        <v>0</v>
      </c>
      <c r="CU1079">
        <v>0</v>
      </c>
      <c r="CV1079" s="25">
        <v>36.393089294433587</v>
      </c>
      <c r="CW1079" s="25">
        <v>13.31561756134033</v>
      </c>
      <c r="CX1079" s="25">
        <v>46.202064514160163</v>
      </c>
      <c r="CY1079" s="25">
        <v>63.286823272705078</v>
      </c>
      <c r="CZ1079" s="25">
        <v>19.627229690551761</v>
      </c>
      <c r="DA1079" s="25">
        <v>22.839668273925781</v>
      </c>
      <c r="DB1079" s="25">
        <v>53.087123870849609</v>
      </c>
      <c r="DC1079">
        <v>1982</v>
      </c>
      <c r="DD1079" s="253" t="s">
        <v>380</v>
      </c>
    </row>
    <row r="1080" spans="1:108" hidden="1">
      <c r="A1080" s="13">
        <v>85230</v>
      </c>
      <c r="B1080" s="13" t="s">
        <v>2555</v>
      </c>
      <c r="C1080" s="13" t="s">
        <v>1351</v>
      </c>
      <c r="D1080" s="13" t="s">
        <v>1352</v>
      </c>
      <c r="E1080" s="13" t="s">
        <v>2556</v>
      </c>
      <c r="F1080" s="14">
        <v>63.799666666666702</v>
      </c>
      <c r="G1080" s="13">
        <v>58.72</v>
      </c>
      <c r="H1080" s="13">
        <v>56.1</v>
      </c>
      <c r="I1080" s="13">
        <v>60.99</v>
      </c>
      <c r="J1080" s="14">
        <v>51.480752271160938</v>
      </c>
      <c r="K1080" s="14">
        <v>74.663416314468392</v>
      </c>
      <c r="L1080" s="14">
        <v>79.145500868466058</v>
      </c>
      <c r="M1080" s="14">
        <v>63.7744</v>
      </c>
      <c r="N1080" s="14">
        <f t="shared" si="432"/>
        <v>59.902416666666674</v>
      </c>
      <c r="O1080" s="14">
        <f t="shared" si="433"/>
        <v>67.266017363523844</v>
      </c>
      <c r="P1080" s="14">
        <f t="shared" si="449"/>
        <v>63.584217015095263</v>
      </c>
      <c r="Q1080" s="14">
        <v>80.558043420596434</v>
      </c>
      <c r="R1080" s="17">
        <f t="shared" si="434"/>
        <v>19.441956579403566</v>
      </c>
      <c r="S1080" s="14">
        <f t="shared" si="450"/>
        <v>0.2749776092146321</v>
      </c>
      <c r="T1080" s="13">
        <v>0</v>
      </c>
      <c r="U1080" s="13">
        <f t="shared" si="451"/>
        <v>17.484235978595226</v>
      </c>
      <c r="V1080" s="13">
        <f>IF($T1080=1,$AU1080,(VLOOKUP(U1080,'Cortes naturales'!$A$35:$C$39,3,9)))</f>
        <v>5</v>
      </c>
      <c r="W1080" s="13">
        <v>5</v>
      </c>
      <c r="X1080" s="14" t="b">
        <f t="shared" si="435"/>
        <v>1</v>
      </c>
      <c r="Y1080" s="17">
        <f>IF($T1080=1,$AU1080,VLOOKUP(U1080,'Cortes naturales'!$A$45:$C$49,3,9))</f>
        <v>5</v>
      </c>
      <c r="Z1080" s="14">
        <v>62.491913305453423</v>
      </c>
      <c r="AA1080" s="14">
        <v>0.27373014926474648</v>
      </c>
      <c r="AB1080" s="14">
        <v>17.105920756941362</v>
      </c>
      <c r="AC1080" s="13">
        <v>5</v>
      </c>
      <c r="AD1080" s="13">
        <f t="shared" si="436"/>
        <v>0</v>
      </c>
      <c r="AE1080" s="14">
        <f t="shared" si="437"/>
        <v>1.0923037096418398</v>
      </c>
      <c r="AF1080" s="14">
        <f t="shared" si="438"/>
        <v>1.2474599498856209E-3</v>
      </c>
      <c r="AG1080" s="13">
        <f t="shared" si="439"/>
        <v>0.37831522165386389</v>
      </c>
      <c r="AH1080" s="13">
        <f>IF($T1080=1,$AU1080,VLOOKUP(U1080,'Cortes naturales'!$A$25:$C$29,3,9))</f>
        <v>5</v>
      </c>
      <c r="AI1080" s="13" t="b">
        <f t="shared" si="440"/>
        <v>1</v>
      </c>
      <c r="AJ1080" s="13">
        <f t="shared" si="441"/>
        <v>0</v>
      </c>
      <c r="AK1080" s="28">
        <v>0.35881802248113021</v>
      </c>
      <c r="AL1080" s="28">
        <v>22.423224753325027</v>
      </c>
      <c r="AM1080" s="28">
        <v>0.10986489351535127</v>
      </c>
      <c r="AN1080" s="13">
        <v>5</v>
      </c>
      <c r="AO1080" s="33">
        <f t="shared" si="442"/>
        <v>0</v>
      </c>
      <c r="AP1080" s="13">
        <f t="shared" si="452"/>
        <v>10.986489351535127</v>
      </c>
      <c r="AQ1080" s="13">
        <f>IFERROR(VLOOKUP(U1080,'Cortes naturales'!$E$15:$G$19,3,9),U1080)</f>
        <v>5</v>
      </c>
      <c r="AR1080" s="28">
        <f t="shared" si="443"/>
        <v>-8.3840413266498104E-2</v>
      </c>
      <c r="AS1080" s="13" t="b">
        <f t="shared" si="444"/>
        <v>1</v>
      </c>
      <c r="AT1080" s="13">
        <f t="shared" si="453"/>
        <v>0</v>
      </c>
      <c r="AU1080" s="13">
        <v>5</v>
      </c>
      <c r="AV1080">
        <f t="shared" si="445"/>
        <v>0</v>
      </c>
      <c r="AW1080" s="13">
        <v>0</v>
      </c>
      <c r="AX1080" s="13">
        <v>0</v>
      </c>
      <c r="AY1080" s="13">
        <v>0</v>
      </c>
      <c r="AZ1080" s="13">
        <v>0</v>
      </c>
      <c r="BA1080">
        <v>0</v>
      </c>
      <c r="BB1080" t="s">
        <v>2841</v>
      </c>
      <c r="BC1080">
        <v>6</v>
      </c>
      <c r="BD1080" t="s">
        <v>2919</v>
      </c>
      <c r="BE1080">
        <v>0</v>
      </c>
      <c r="BF1080" s="232" t="s">
        <v>2846</v>
      </c>
      <c r="BG1080" s="232" t="s">
        <v>2846</v>
      </c>
      <c r="BH1080" s="253">
        <v>45.8</v>
      </c>
      <c r="BI1080" s="253">
        <v>29.919375157470395</v>
      </c>
      <c r="BJ1080" s="25">
        <v>2.4899999999999998</v>
      </c>
      <c r="BK1080" t="s">
        <v>381</v>
      </c>
      <c r="BL1080">
        <v>1.4561543137647561</v>
      </c>
      <c r="BM1080" t="s">
        <v>383</v>
      </c>
      <c r="BN1080" s="322">
        <v>84841.619372000001</v>
      </c>
      <c r="BO1080" s="322">
        <v>16960.127428</v>
      </c>
      <c r="BP1080" s="10">
        <v>14229</v>
      </c>
      <c r="BQ1080" s="254">
        <f t="shared" si="446"/>
        <v>5.9625848177665333</v>
      </c>
      <c r="BR1080" s="254">
        <f t="shared" si="447"/>
        <v>1.1919409254339728</v>
      </c>
      <c r="BS1080" s="25">
        <v>51.844522759588187</v>
      </c>
      <c r="BT1080" s="25">
        <v>85.851714436479483</v>
      </c>
      <c r="BU1080" s="25">
        <v>38.421728427739538</v>
      </c>
      <c r="BV1080" s="25">
        <v>89.773513891970879</v>
      </c>
      <c r="BW1080" s="25">
        <v>54.288129224556371</v>
      </c>
      <c r="BX1080" s="25">
        <v>66.472869878944522</v>
      </c>
      <c r="BY1080" s="25">
        <v>54.72005127433782</v>
      </c>
      <c r="BZ1080">
        <v>50</v>
      </c>
      <c r="CA1080">
        <v>0</v>
      </c>
      <c r="CB1080">
        <v>6</v>
      </c>
      <c r="CC1080">
        <v>473987.72114699997</v>
      </c>
      <c r="CD1080" s="10">
        <v>31152.862631</v>
      </c>
      <c r="CE1080" s="255">
        <v>6.5725041474942389E-2</v>
      </c>
      <c r="CF1080" t="str">
        <f>IFERROR(VLOOKUP(CE1080,'Rangos amb etnico'!$A$2:$C$6,3,9),"N.D.")</f>
        <v>0,1% - 30%</v>
      </c>
      <c r="CG1080" s="256">
        <v>9.0635420979877747E-4</v>
      </c>
      <c r="CH1080" s="232">
        <v>37043.517763999997</v>
      </c>
      <c r="CI1080" s="311">
        <f t="shared" si="454"/>
        <v>7.8152905890385968E-2</v>
      </c>
      <c r="CJ1080" s="232" t="str">
        <f>IFERROR(VLOOKUP(CI1080,'Rangos amb etnico'!$A$2:$C$6,3,9),"N.D.")</f>
        <v>0,1% - 30%</v>
      </c>
      <c r="CK1080" s="311">
        <f t="shared" si="455"/>
        <v>1.4708701865681906E-3</v>
      </c>
      <c r="CL1080" s="10">
        <v>0</v>
      </c>
      <c r="CM1080" s="255">
        <f t="shared" si="456"/>
        <v>0</v>
      </c>
      <c r="CN1080" s="232">
        <f>IFERROR(VLOOKUP(CM1080,'Rangos amb etnico'!$A$2:$C$6,3,9),"N.D.")</f>
        <v>0</v>
      </c>
      <c r="CO1080" s="311">
        <f t="shared" si="457"/>
        <v>0</v>
      </c>
      <c r="CP1080">
        <v>0.85109911681810835</v>
      </c>
      <c r="CQ1080" t="s">
        <v>2864</v>
      </c>
      <c r="CR1080">
        <f t="shared" si="448"/>
        <v>3</v>
      </c>
      <c r="CS1080" t="str">
        <f t="shared" si="458"/>
        <v>Candidato</v>
      </c>
      <c r="CT1080">
        <v>0</v>
      </c>
      <c r="CU1080">
        <v>0</v>
      </c>
      <c r="CV1080" s="25">
        <v>43.580097198486328</v>
      </c>
      <c r="CW1080" s="25">
        <v>21.058645248413089</v>
      </c>
      <c r="CX1080" s="25">
        <v>50.967693328857422</v>
      </c>
      <c r="CY1080" s="25">
        <v>57.843326568603523</v>
      </c>
      <c r="CZ1080" s="25">
        <v>27.34991455078125</v>
      </c>
      <c r="DA1080" s="25">
        <v>58.946739196777337</v>
      </c>
      <c r="DB1080" s="25">
        <v>45.314262390136719</v>
      </c>
      <c r="DC1080">
        <v>3727</v>
      </c>
      <c r="DD1080" s="253" t="s">
        <v>380</v>
      </c>
    </row>
    <row r="1081" spans="1:108" hidden="1">
      <c r="A1081" s="13">
        <v>86573</v>
      </c>
      <c r="B1081" s="13" t="s">
        <v>2557</v>
      </c>
      <c r="C1081" s="13" t="s">
        <v>943</v>
      </c>
      <c r="D1081" s="13" t="s">
        <v>944</v>
      </c>
      <c r="E1081" s="13" t="s">
        <v>2558</v>
      </c>
      <c r="F1081" s="14">
        <v>39.407533333333298</v>
      </c>
      <c r="G1081" s="13">
        <v>45.46</v>
      </c>
      <c r="H1081" s="13">
        <v>34.409999999999997</v>
      </c>
      <c r="I1081" s="13">
        <v>38.96</v>
      </c>
      <c r="J1081" s="14">
        <v>59.762827945879344</v>
      </c>
      <c r="K1081" s="14">
        <v>42.306396974605086</v>
      </c>
      <c r="L1081" s="14">
        <v>56.449032310219501</v>
      </c>
      <c r="M1081" s="14">
        <v>40.951999999999998</v>
      </c>
      <c r="N1081" s="14">
        <f t="shared" si="432"/>
        <v>39.559383333333322</v>
      </c>
      <c r="O1081" s="14">
        <f t="shared" si="433"/>
        <v>49.867564307675984</v>
      </c>
      <c r="P1081" s="14">
        <f t="shared" si="449"/>
        <v>44.713473820504653</v>
      </c>
      <c r="Q1081" s="14">
        <v>79.704499355071917</v>
      </c>
      <c r="R1081" s="17">
        <f t="shared" si="434"/>
        <v>20.295500644928083</v>
      </c>
      <c r="S1081" s="14">
        <f t="shared" si="450"/>
        <v>0.28265950580435273</v>
      </c>
      <c r="T1081" s="13">
        <v>0</v>
      </c>
      <c r="U1081" s="13">
        <f t="shared" si="451"/>
        <v>12.638688412899709</v>
      </c>
      <c r="V1081" s="13">
        <f>IF($T1081=1,$AU1081,(VLOOKUP(U1081,'Cortes naturales'!$A$35:$C$39,3,9)))</f>
        <v>5</v>
      </c>
      <c r="W1081" s="13">
        <v>5</v>
      </c>
      <c r="X1081" s="14" t="b">
        <f t="shared" si="435"/>
        <v>1</v>
      </c>
      <c r="Y1081" s="17">
        <f>IF($T1081=1,$AU1081,VLOOKUP(U1081,'Cortes naturales'!$A$45:$C$49,3,9))</f>
        <v>5</v>
      </c>
      <c r="Z1081" s="14">
        <v>43.916427808977765</v>
      </c>
      <c r="AA1081" s="14">
        <v>0.27167898694696246</v>
      </c>
      <c r="AB1081" s="14">
        <v>11.931170617472489</v>
      </c>
      <c r="AC1081" s="13">
        <v>5</v>
      </c>
      <c r="AD1081" s="13">
        <f t="shared" si="436"/>
        <v>0</v>
      </c>
      <c r="AE1081" s="14">
        <f t="shared" si="437"/>
        <v>0.79704601152688781</v>
      </c>
      <c r="AF1081" s="14">
        <f t="shared" si="438"/>
        <v>1.0980518857390265E-2</v>
      </c>
      <c r="AG1081" s="13">
        <f t="shared" si="439"/>
        <v>0.70751779542722026</v>
      </c>
      <c r="AH1081" s="13">
        <f>IF($T1081=1,$AU1081,VLOOKUP(U1081,'Cortes naturales'!$A$25:$C$29,3,9))</f>
        <v>5</v>
      </c>
      <c r="AI1081" s="13" t="b">
        <f t="shared" si="440"/>
        <v>1</v>
      </c>
      <c r="AJ1081" s="13">
        <f t="shared" si="441"/>
        <v>0</v>
      </c>
      <c r="AK1081" s="28">
        <v>0.35881802248113021</v>
      </c>
      <c r="AL1081" s="28">
        <v>15.758005780852715</v>
      </c>
      <c r="AM1081" s="28">
        <v>2.6490029972765269E-2</v>
      </c>
      <c r="AN1081" s="13">
        <v>5</v>
      </c>
      <c r="AO1081" s="33">
        <f t="shared" si="442"/>
        <v>0</v>
      </c>
      <c r="AP1081" s="13">
        <f t="shared" si="452"/>
        <v>2.649002997276527</v>
      </c>
      <c r="AQ1081" s="13">
        <f>IFERROR(VLOOKUP(U1081,'Cortes naturales'!$E$15:$G$19,3,9),U1081)</f>
        <v>5</v>
      </c>
      <c r="AR1081" s="28">
        <f t="shared" si="443"/>
        <v>-7.6158516676777477E-2</v>
      </c>
      <c r="AS1081" s="13" t="b">
        <f t="shared" si="444"/>
        <v>1</v>
      </c>
      <c r="AT1081" s="13">
        <f t="shared" si="453"/>
        <v>0</v>
      </c>
      <c r="AU1081" s="13">
        <v>5</v>
      </c>
      <c r="AV1081">
        <f t="shared" si="445"/>
        <v>0</v>
      </c>
      <c r="AW1081" s="13">
        <v>0</v>
      </c>
      <c r="AX1081" s="13">
        <v>0</v>
      </c>
      <c r="AY1081" s="13">
        <v>0</v>
      </c>
      <c r="AZ1081" s="13">
        <v>1</v>
      </c>
      <c r="BA1081">
        <v>1</v>
      </c>
      <c r="BB1081" t="s">
        <v>2841</v>
      </c>
      <c r="BC1081">
        <v>6</v>
      </c>
      <c r="BD1081" t="s">
        <v>2919</v>
      </c>
      <c r="BE1081">
        <v>0</v>
      </c>
      <c r="BF1081" s="232" t="s">
        <v>2846</v>
      </c>
      <c r="BG1081" s="232" t="s">
        <v>2846</v>
      </c>
      <c r="BH1081" s="253">
        <v>53.6</v>
      </c>
      <c r="BI1081" s="253">
        <v>34.113640049737796</v>
      </c>
      <c r="BJ1081" s="25">
        <v>0</v>
      </c>
      <c r="BK1081" t="s">
        <v>381</v>
      </c>
      <c r="BL1081">
        <v>24.262449983936367</v>
      </c>
      <c r="BM1081" t="s">
        <v>384</v>
      </c>
      <c r="BN1081" s="322">
        <v>42913.743434999997</v>
      </c>
      <c r="BO1081" s="322">
        <v>3019.4711950000001</v>
      </c>
      <c r="BP1081" s="10">
        <v>36170</v>
      </c>
      <c r="BQ1081" s="254">
        <f t="shared" si="446"/>
        <v>1.186445768178048</v>
      </c>
      <c r="BR1081" s="254">
        <f t="shared" si="447"/>
        <v>8.3479988802875313E-2</v>
      </c>
      <c r="BS1081" s="25">
        <v>43.714188370111231</v>
      </c>
      <c r="BT1081" s="25">
        <v>83.815447454919678</v>
      </c>
      <c r="BU1081" s="25">
        <v>29.932888028396231</v>
      </c>
      <c r="BV1081" s="25">
        <v>93.034075707289631</v>
      </c>
      <c r="BW1081" s="25">
        <v>47.303381985741566</v>
      </c>
      <c r="BX1081" s="25">
        <v>62.624149890179197</v>
      </c>
      <c r="BY1081" s="25">
        <v>48.878175029301737</v>
      </c>
      <c r="BZ1081">
        <v>11</v>
      </c>
      <c r="CA1081">
        <v>0</v>
      </c>
      <c r="CB1081">
        <v>7</v>
      </c>
      <c r="CC1081">
        <v>1065121.2682670001</v>
      </c>
      <c r="CD1081" s="10">
        <v>467089.82029499998</v>
      </c>
      <c r="CE1081" s="255">
        <v>0.43853205659387123</v>
      </c>
      <c r="CF1081" t="str">
        <f>IFERROR(VLOOKUP(CE1081,'Rangos amb etnico'!$A$2:$C$6,3,9),"N.D.")</f>
        <v>31% - 50%</v>
      </c>
      <c r="CG1081" s="256">
        <v>1.3589403644635088E-2</v>
      </c>
      <c r="CH1081" s="232">
        <v>441238.06121700001</v>
      </c>
      <c r="CI1081" s="311">
        <f t="shared" si="454"/>
        <v>0.41426086809337126</v>
      </c>
      <c r="CJ1081" s="232" t="str">
        <f>IFERROR(VLOOKUP(CI1081,'Rangos amb etnico'!$A$2:$C$6,3,9),"N.D.")</f>
        <v>31% - 50%</v>
      </c>
      <c r="CK1081" s="311">
        <f t="shared" si="455"/>
        <v>1.752003990436235E-2</v>
      </c>
      <c r="CL1081" s="10">
        <v>0</v>
      </c>
      <c r="CM1081" s="255">
        <f t="shared" si="456"/>
        <v>0</v>
      </c>
      <c r="CN1081" s="232">
        <f>IFERROR(VLOOKUP(CM1081,'Rangos amb etnico'!$A$2:$C$6,3,9),"N.D.")</f>
        <v>0</v>
      </c>
      <c r="CO1081" s="311">
        <f t="shared" si="457"/>
        <v>0</v>
      </c>
      <c r="CP1081">
        <v>0.57271484096019654</v>
      </c>
      <c r="CQ1081" t="s">
        <v>2866</v>
      </c>
      <c r="CR1081">
        <f t="shared" si="448"/>
        <v>0</v>
      </c>
      <c r="CS1081" t="str">
        <f t="shared" si="458"/>
        <v>No es Candidato</v>
      </c>
      <c r="CT1081">
        <v>1</v>
      </c>
      <c r="CU1081" t="s">
        <v>2835</v>
      </c>
      <c r="CV1081" s="25">
        <v>38.807754516601563</v>
      </c>
      <c r="CW1081" s="25">
        <v>11.946202278137211</v>
      </c>
      <c r="CX1081" s="25">
        <v>30.644636154174801</v>
      </c>
      <c r="CY1081" s="25">
        <v>60.678165435791023</v>
      </c>
      <c r="CZ1081" s="25">
        <v>27.07851600646973</v>
      </c>
      <c r="DA1081" s="25">
        <v>55.100875854492188</v>
      </c>
      <c r="DB1081" s="25">
        <v>47.398128509521477</v>
      </c>
      <c r="DC1081">
        <v>13138</v>
      </c>
      <c r="DD1081" s="253" t="s">
        <v>380</v>
      </c>
    </row>
    <row r="1082" spans="1:108" hidden="1">
      <c r="A1082" s="13">
        <v>18150</v>
      </c>
      <c r="B1082" s="13" t="s">
        <v>2559</v>
      </c>
      <c r="C1082" s="13" t="s">
        <v>1463</v>
      </c>
      <c r="D1082" s="13" t="s">
        <v>1464</v>
      </c>
      <c r="E1082" s="13" t="s">
        <v>2560</v>
      </c>
      <c r="F1082" s="14">
        <v>55.155733333333302</v>
      </c>
      <c r="G1082" s="13">
        <v>47.82</v>
      </c>
      <c r="H1082" s="13">
        <v>51.79</v>
      </c>
      <c r="I1082" s="13">
        <v>61.63</v>
      </c>
      <c r="J1082" s="14">
        <v>35.065050908519183</v>
      </c>
      <c r="K1082" s="14">
        <v>52.747436786632498</v>
      </c>
      <c r="L1082" s="14">
        <v>59.11595914999937</v>
      </c>
      <c r="M1082" s="14">
        <v>60.711100000000002</v>
      </c>
      <c r="N1082" s="14">
        <f t="shared" si="432"/>
        <v>54.098933333333321</v>
      </c>
      <c r="O1082" s="14">
        <f t="shared" si="433"/>
        <v>51.909886711287754</v>
      </c>
      <c r="P1082" s="14">
        <f t="shared" si="449"/>
        <v>53.004410022310537</v>
      </c>
      <c r="Q1082" s="14">
        <v>81.099237284683284</v>
      </c>
      <c r="R1082" s="17">
        <f t="shared" si="434"/>
        <v>18.900762715316716</v>
      </c>
      <c r="S1082" s="14">
        <f t="shared" si="450"/>
        <v>0.27010686443785048</v>
      </c>
      <c r="T1082" s="13">
        <v>0</v>
      </c>
      <c r="U1082" s="13">
        <f t="shared" si="451"/>
        <v>14.316854992504476</v>
      </c>
      <c r="V1082" s="13">
        <f>IF($T1082=1,$AU1082,(VLOOKUP(U1082,'Cortes naturales'!$A$35:$C$39,3,9)))</f>
        <v>5</v>
      </c>
      <c r="W1082" s="13">
        <v>5</v>
      </c>
      <c r="X1082" s="14" t="b">
        <f t="shared" si="435"/>
        <v>1</v>
      </c>
      <c r="Y1082" s="17">
        <f>IF($T1082=1,$AU1082,VLOOKUP(U1082,'Cortes naturales'!$A$45:$C$49,3,9))</f>
        <v>5</v>
      </c>
      <c r="Z1082" s="14">
        <v>50.848483027738375</v>
      </c>
      <c r="AA1082" s="14">
        <v>0.26866367887347453</v>
      </c>
      <c r="AB1082" s="14">
        <v>13.661140515367622</v>
      </c>
      <c r="AC1082" s="13">
        <v>5</v>
      </c>
      <c r="AD1082" s="13">
        <f t="shared" si="436"/>
        <v>0</v>
      </c>
      <c r="AE1082" s="14">
        <f t="shared" si="437"/>
        <v>2.1559269945721624</v>
      </c>
      <c r="AF1082" s="14">
        <f t="shared" si="438"/>
        <v>1.4431855643759484E-3</v>
      </c>
      <c r="AG1082" s="13">
        <f t="shared" si="439"/>
        <v>0.65571447713685416</v>
      </c>
      <c r="AH1082" s="13">
        <f>IF($T1082=1,$AU1082,VLOOKUP(U1082,'Cortes naturales'!$A$25:$C$29,3,9))</f>
        <v>5</v>
      </c>
      <c r="AI1082" s="13" t="b">
        <f t="shared" si="440"/>
        <v>1</v>
      </c>
      <c r="AJ1082" s="13">
        <f t="shared" si="441"/>
        <v>0</v>
      </c>
      <c r="AK1082" s="28">
        <v>0.35881802248113021</v>
      </c>
      <c r="AL1082" s="28">
        <v>18.245352126178396</v>
      </c>
      <c r="AM1082" s="28">
        <v>5.7604110842602765E-2</v>
      </c>
      <c r="AN1082" s="13">
        <v>5</v>
      </c>
      <c r="AO1082" s="33">
        <f t="shared" si="442"/>
        <v>0</v>
      </c>
      <c r="AP1082" s="13">
        <f t="shared" si="452"/>
        <v>5.7604110842602765</v>
      </c>
      <c r="AQ1082" s="13">
        <f>IFERROR(VLOOKUP(U1082,'Cortes naturales'!$E$15:$G$19,3,9),U1082)</f>
        <v>5</v>
      </c>
      <c r="AR1082" s="28">
        <f t="shared" si="443"/>
        <v>-8.8711158043279725E-2</v>
      </c>
      <c r="AS1082" s="13" t="b">
        <f t="shared" si="444"/>
        <v>1</v>
      </c>
      <c r="AT1082" s="13">
        <f t="shared" si="453"/>
        <v>0</v>
      </c>
      <c r="AU1082" s="13">
        <v>5</v>
      </c>
      <c r="AV1082">
        <f t="shared" si="445"/>
        <v>0</v>
      </c>
      <c r="AW1082" s="13">
        <v>0</v>
      </c>
      <c r="AX1082" s="13">
        <v>0</v>
      </c>
      <c r="AY1082" s="13">
        <v>0</v>
      </c>
      <c r="AZ1082" s="13">
        <v>1</v>
      </c>
      <c r="BA1082">
        <v>1</v>
      </c>
      <c r="BB1082" t="s">
        <v>2841</v>
      </c>
      <c r="BC1082">
        <v>6</v>
      </c>
      <c r="BD1082" t="s">
        <v>2919</v>
      </c>
      <c r="BE1082">
        <v>1</v>
      </c>
      <c r="BF1082" s="232" t="s">
        <v>2846</v>
      </c>
      <c r="BG1082" s="232" t="s">
        <v>2846</v>
      </c>
      <c r="BH1082" s="253">
        <v>63.3</v>
      </c>
      <c r="BI1082" s="253">
        <v>38.14501045219496</v>
      </c>
      <c r="BJ1082" s="25">
        <v>1.3578571428571429</v>
      </c>
      <c r="BK1082" t="s">
        <v>381</v>
      </c>
      <c r="BL1082">
        <v>16.556227563323063</v>
      </c>
      <c r="BM1082" t="s">
        <v>376</v>
      </c>
      <c r="BN1082" s="322">
        <v>79895.998074000003</v>
      </c>
      <c r="BO1082" s="322">
        <v>8886.6268010000003</v>
      </c>
      <c r="BP1082" s="10">
        <v>32224</v>
      </c>
      <c r="BQ1082" s="254">
        <f t="shared" si="446"/>
        <v>2.4793941805486597</v>
      </c>
      <c r="BR1082" s="254">
        <f t="shared" si="447"/>
        <v>0.27577665097442899</v>
      </c>
      <c r="BS1082" s="25">
        <v>65.400701548476661</v>
      </c>
      <c r="BT1082" s="25">
        <v>95.424922424242425</v>
      </c>
      <c r="BU1082" s="25">
        <v>7.7441365152681341</v>
      </c>
      <c r="BV1082" s="25">
        <v>94.47757089393825</v>
      </c>
      <c r="BW1082" s="25">
        <v>52.102526347037013</v>
      </c>
      <c r="BX1082" s="25">
        <v>65.761832845481365</v>
      </c>
      <c r="BY1082" s="25">
        <v>51.599043816715863</v>
      </c>
      <c r="BZ1082">
        <v>3</v>
      </c>
      <c r="CA1082">
        <v>0</v>
      </c>
      <c r="CB1082">
        <v>7</v>
      </c>
      <c r="CC1082">
        <v>1277138.6671730001</v>
      </c>
      <c r="CD1082" s="10">
        <v>766126.13409599999</v>
      </c>
      <c r="CE1082" s="255">
        <v>0.59987701710719654</v>
      </c>
      <c r="CF1082" t="str">
        <f>IFERROR(VLOOKUP(CE1082,'Rangos amb etnico'!$A$2:$C$6,3,9),"N.D.")</f>
        <v>51% - 70%</v>
      </c>
      <c r="CG1082" s="256">
        <v>2.228949727989998E-2</v>
      </c>
      <c r="CH1082" s="232">
        <v>52012.167520000003</v>
      </c>
      <c r="CI1082" s="311">
        <f t="shared" si="454"/>
        <v>4.0725544419644828E-2</v>
      </c>
      <c r="CJ1082" s="232" t="str">
        <f>IFERROR(VLOOKUP(CI1082,'Rangos amb etnico'!$A$2:$C$6,3,9),"N.D.")</f>
        <v>0,1% - 30%</v>
      </c>
      <c r="CK1082" s="311">
        <f t="shared" si="455"/>
        <v>2.0652235846323006E-3</v>
      </c>
      <c r="CL1082" s="10">
        <v>0</v>
      </c>
      <c r="CM1082" s="255">
        <f t="shared" si="456"/>
        <v>0</v>
      </c>
      <c r="CN1082" s="232">
        <f>IFERROR(VLOOKUP(CM1082,'Rangos amb etnico'!$A$2:$C$6,3,9),"N.D.")</f>
        <v>0</v>
      </c>
      <c r="CO1082" s="311">
        <f t="shared" si="457"/>
        <v>0</v>
      </c>
      <c r="CP1082">
        <v>0.90405671873313997</v>
      </c>
      <c r="CQ1082" t="s">
        <v>2864</v>
      </c>
      <c r="CR1082">
        <f t="shared" si="448"/>
        <v>3</v>
      </c>
      <c r="CS1082" t="str">
        <f t="shared" si="458"/>
        <v>Candidato</v>
      </c>
      <c r="CT1082">
        <v>0</v>
      </c>
      <c r="CU1082">
        <v>0</v>
      </c>
      <c r="CV1082" s="25">
        <v>35.853199005126953</v>
      </c>
      <c r="CW1082" s="25">
        <v>11.20927619934082</v>
      </c>
      <c r="CX1082" s="25">
        <v>34.335536956787109</v>
      </c>
      <c r="CY1082" s="25">
        <v>56.296649932861328</v>
      </c>
      <c r="CZ1082" s="25">
        <v>14.84164428710938</v>
      </c>
      <c r="DA1082" s="25">
        <v>47.510997772216797</v>
      </c>
      <c r="DB1082" s="25">
        <v>50.925090789794922</v>
      </c>
      <c r="DC1082">
        <v>708</v>
      </c>
      <c r="DD1082" s="253" t="s">
        <v>380</v>
      </c>
    </row>
    <row r="1083" spans="1:108" hidden="1">
      <c r="A1083" s="13">
        <v>50350</v>
      </c>
      <c r="B1083" s="13" t="s">
        <v>2561</v>
      </c>
      <c r="C1083" s="13" t="s">
        <v>605</v>
      </c>
      <c r="D1083" s="13" t="s">
        <v>606</v>
      </c>
      <c r="E1083" s="13" t="s">
        <v>2562</v>
      </c>
      <c r="F1083" s="14">
        <v>56.169600000000003</v>
      </c>
      <c r="G1083" s="13">
        <v>69.099999999999994</v>
      </c>
      <c r="H1083" s="13">
        <v>50</v>
      </c>
      <c r="I1083" s="13">
        <v>54.03</v>
      </c>
      <c r="J1083" s="14">
        <v>44.017517072258755</v>
      </c>
      <c r="K1083" s="14">
        <v>72.331239977604739</v>
      </c>
      <c r="L1083" s="14">
        <v>59.153645299829201</v>
      </c>
      <c r="M1083" s="14">
        <v>57.9345</v>
      </c>
      <c r="N1083" s="14">
        <f t="shared" si="432"/>
        <v>57.3249</v>
      </c>
      <c r="O1083" s="14">
        <f t="shared" si="433"/>
        <v>58.359225587423168</v>
      </c>
      <c r="P1083" s="14">
        <f t="shared" si="449"/>
        <v>57.842062793711584</v>
      </c>
      <c r="Q1083" s="14">
        <v>79.529330769650969</v>
      </c>
      <c r="R1083" s="17">
        <f t="shared" si="434"/>
        <v>20.470669230349031</v>
      </c>
      <c r="S1083" s="14">
        <f t="shared" si="450"/>
        <v>0.28423602307314133</v>
      </c>
      <c r="T1083" s="13">
        <v>0</v>
      </c>
      <c r="U1083" s="13">
        <f t="shared" si="451"/>
        <v>16.440797894831494</v>
      </c>
      <c r="V1083" s="13">
        <f>IF($T1083=1,$AU1083,(VLOOKUP(U1083,'Cortes naturales'!$A$35:$C$39,3,9)))</f>
        <v>5</v>
      </c>
      <c r="W1083" s="13">
        <v>5</v>
      </c>
      <c r="X1083" s="14" t="b">
        <f t="shared" si="435"/>
        <v>1</v>
      </c>
      <c r="Y1083" s="17">
        <f>IF($T1083=1,$AU1083,VLOOKUP(U1083,'Cortes naturales'!$A$45:$C$49,3,9))</f>
        <v>5</v>
      </c>
      <c r="Z1083" s="14">
        <v>56.103407452968561</v>
      </c>
      <c r="AA1083" s="14">
        <v>0.26203539811148602</v>
      </c>
      <c r="AB1083" s="14">
        <v>14.701078707349529</v>
      </c>
      <c r="AC1083" s="13">
        <v>5</v>
      </c>
      <c r="AD1083" s="13">
        <f t="shared" si="436"/>
        <v>0</v>
      </c>
      <c r="AE1083" s="14">
        <f t="shared" si="437"/>
        <v>1.7386553407430227</v>
      </c>
      <c r="AF1083" s="14">
        <f t="shared" si="438"/>
        <v>2.2200624961655313E-2</v>
      </c>
      <c r="AG1083" s="13">
        <f t="shared" si="439"/>
        <v>1.7397191874819651</v>
      </c>
      <c r="AH1083" s="13">
        <f>IF($T1083=1,$AU1083,VLOOKUP(U1083,'Cortes naturales'!$A$25:$C$29,3,9))</f>
        <v>5</v>
      </c>
      <c r="AI1083" s="13" t="b">
        <f t="shared" si="440"/>
        <v>1</v>
      </c>
      <c r="AJ1083" s="13">
        <f t="shared" si="441"/>
        <v>0</v>
      </c>
      <c r="AK1083" s="28">
        <v>0.35881802248113021</v>
      </c>
      <c r="AL1083" s="28">
        <v>20.130913716727282</v>
      </c>
      <c r="AM1083" s="28">
        <v>8.1190498771106456E-2</v>
      </c>
      <c r="AN1083" s="13">
        <v>5</v>
      </c>
      <c r="AO1083" s="33">
        <f t="shared" si="442"/>
        <v>0</v>
      </c>
      <c r="AP1083" s="13">
        <f t="shared" si="452"/>
        <v>8.1190498771106459</v>
      </c>
      <c r="AQ1083" s="13">
        <f>IFERROR(VLOOKUP(U1083,'Cortes naturales'!$E$15:$G$19,3,9),U1083)</f>
        <v>5</v>
      </c>
      <c r="AR1083" s="28">
        <f t="shared" si="443"/>
        <v>-7.4581999407988875E-2</v>
      </c>
      <c r="AS1083" s="13" t="b">
        <f t="shared" si="444"/>
        <v>1</v>
      </c>
      <c r="AT1083" s="13">
        <f t="shared" si="453"/>
        <v>0</v>
      </c>
      <c r="AU1083" s="13">
        <v>5</v>
      </c>
      <c r="AV1083">
        <f t="shared" si="445"/>
        <v>0</v>
      </c>
      <c r="AW1083" s="13">
        <v>0</v>
      </c>
      <c r="AX1083" s="13">
        <v>0</v>
      </c>
      <c r="AY1083" s="13">
        <v>0</v>
      </c>
      <c r="AZ1083" s="13">
        <v>1</v>
      </c>
      <c r="BA1083">
        <v>1</v>
      </c>
      <c r="BB1083" t="s">
        <v>2841</v>
      </c>
      <c r="BC1083">
        <v>6</v>
      </c>
      <c r="BD1083" t="s">
        <v>2919</v>
      </c>
      <c r="BE1083">
        <v>1</v>
      </c>
      <c r="BF1083" s="232" t="s">
        <v>2846</v>
      </c>
      <c r="BG1083" s="232" t="s">
        <v>2846</v>
      </c>
      <c r="BH1083" s="253">
        <v>67.900000000000006</v>
      </c>
      <c r="BI1083" s="253">
        <v>41.84657984683944</v>
      </c>
      <c r="BJ1083" s="25">
        <v>13.061818181818182</v>
      </c>
      <c r="BK1083" t="s">
        <v>377</v>
      </c>
      <c r="BL1083">
        <v>10.035949557345326</v>
      </c>
      <c r="BM1083" t="s">
        <v>379</v>
      </c>
      <c r="BN1083" s="322">
        <v>49125.050395999999</v>
      </c>
      <c r="BO1083" s="322">
        <v>4919.7944850000003</v>
      </c>
      <c r="BP1083" s="10">
        <v>29571</v>
      </c>
      <c r="BQ1083" s="254">
        <f t="shared" si="446"/>
        <v>1.661257664468567</v>
      </c>
      <c r="BR1083" s="254">
        <f t="shared" si="447"/>
        <v>0.1663722730039566</v>
      </c>
      <c r="BS1083" s="25">
        <v>50.183270584750858</v>
      </c>
      <c r="BT1083" s="25">
        <v>78.653606375052149</v>
      </c>
      <c r="BU1083" s="25">
        <v>19.920986456668949</v>
      </c>
      <c r="BV1083" s="25">
        <v>94.541978859144919</v>
      </c>
      <c r="BW1083" s="25">
        <v>50.343176592897727</v>
      </c>
      <c r="BX1083" s="25">
        <v>60.824960568904217</v>
      </c>
      <c r="BY1083" s="25">
        <v>51.365038435138707</v>
      </c>
      <c r="BZ1083">
        <v>3</v>
      </c>
      <c r="CA1083">
        <v>0</v>
      </c>
      <c r="CB1083">
        <v>7</v>
      </c>
      <c r="CC1083">
        <v>810829.62718299998</v>
      </c>
      <c r="CD1083" s="10">
        <v>294981.80080999999</v>
      </c>
      <c r="CE1083" s="255">
        <v>0.36380244495361064</v>
      </c>
      <c r="CF1083" t="str">
        <f>IFERROR(VLOOKUP(CE1083,'Rangos amb etnico'!$A$2:$C$6,3,9),"N.D.")</f>
        <v>31% - 50%</v>
      </c>
      <c r="CG1083" s="256">
        <v>8.5821325682000661E-3</v>
      </c>
      <c r="CH1083" s="232">
        <v>41999.244151999999</v>
      </c>
      <c r="CI1083" s="311">
        <f t="shared" si="454"/>
        <v>5.1797865721698637E-2</v>
      </c>
      <c r="CJ1083" s="232" t="str">
        <f>IFERROR(VLOOKUP(CI1083,'Rangos amb etnico'!$A$2:$C$6,3,9),"N.D.")</f>
        <v>0,1% - 30%</v>
      </c>
      <c r="CK1083" s="311">
        <f t="shared" si="455"/>
        <v>1.667644970305991E-3</v>
      </c>
      <c r="CL1083" s="10">
        <v>151284.763351</v>
      </c>
      <c r="CM1083" s="255">
        <f t="shared" si="456"/>
        <v>0.18658021152556606</v>
      </c>
      <c r="CN1083" s="232" t="str">
        <f>IFERROR(VLOOKUP(CM1083,'Rangos amb etnico'!$A$2:$C$6,3,9),"N.D.")</f>
        <v>0,1% - 30%</v>
      </c>
      <c r="CO1083" s="311">
        <f t="shared" si="457"/>
        <v>9.4871725943097868E-2</v>
      </c>
      <c r="CP1083">
        <v>0.95350631740005265</v>
      </c>
      <c r="CQ1083" t="s">
        <v>2864</v>
      </c>
      <c r="CR1083">
        <f t="shared" si="448"/>
        <v>1</v>
      </c>
      <c r="CS1083" t="str">
        <f t="shared" si="458"/>
        <v>No es Candidato</v>
      </c>
      <c r="CT1083">
        <v>0</v>
      </c>
      <c r="CU1083">
        <v>0</v>
      </c>
      <c r="CV1083" s="25">
        <v>35.445232391357422</v>
      </c>
      <c r="CW1083" s="25">
        <v>13.95279598236084</v>
      </c>
      <c r="CX1083" s="25">
        <v>48.128105163574219</v>
      </c>
      <c r="CY1083" s="25">
        <v>40.122066497802727</v>
      </c>
      <c r="CZ1083" s="25">
        <v>10.100460052490231</v>
      </c>
      <c r="DA1083" s="25">
        <v>61.855720520019531</v>
      </c>
      <c r="DB1083" s="25">
        <v>38.512241363525391</v>
      </c>
      <c r="DC1083">
        <v>1609</v>
      </c>
      <c r="DD1083" s="253" t="s">
        <v>380</v>
      </c>
    </row>
    <row r="1084" spans="1:108" hidden="1">
      <c r="A1084" s="13">
        <v>81591</v>
      </c>
      <c r="B1084" s="13" t="s">
        <v>2563</v>
      </c>
      <c r="C1084" s="13" t="s">
        <v>1568</v>
      </c>
      <c r="D1084" s="13" t="s">
        <v>1569</v>
      </c>
      <c r="E1084" s="13" t="s">
        <v>2564</v>
      </c>
      <c r="F1084" s="14">
        <v>63.630266666666699</v>
      </c>
      <c r="G1084" s="13">
        <v>42.02</v>
      </c>
      <c r="H1084" s="13">
        <v>44.9</v>
      </c>
      <c r="I1084" s="13">
        <v>45.87</v>
      </c>
      <c r="J1084" s="14">
        <v>58.987992636363273</v>
      </c>
      <c r="K1084" s="14">
        <v>53.735871141756533</v>
      </c>
      <c r="L1084" s="14">
        <v>48.615880316573701</v>
      </c>
      <c r="M1084" s="14">
        <v>47.9375</v>
      </c>
      <c r="N1084" s="14">
        <f t="shared" si="432"/>
        <v>49.10506666666668</v>
      </c>
      <c r="O1084" s="14">
        <f t="shared" si="433"/>
        <v>52.319311023673379</v>
      </c>
      <c r="P1084" s="14">
        <f t="shared" si="449"/>
        <v>50.712188845170033</v>
      </c>
      <c r="Q1084" s="14">
        <v>83.288491346296212</v>
      </c>
      <c r="R1084" s="17">
        <f t="shared" si="434"/>
        <v>16.711508653703788</v>
      </c>
      <c r="S1084" s="14">
        <f t="shared" si="450"/>
        <v>0.25040357788333412</v>
      </c>
      <c r="T1084" s="13">
        <v>0</v>
      </c>
      <c r="U1084" s="13">
        <f t="shared" si="451"/>
        <v>12.698513529125881</v>
      </c>
      <c r="V1084" s="13">
        <f>IF($T1084=1,$AU1084,(VLOOKUP(U1084,'Cortes naturales'!$A$35:$C$39,3,9)))</f>
        <v>5</v>
      </c>
      <c r="W1084" s="13">
        <v>5</v>
      </c>
      <c r="X1084" s="14" t="b">
        <f t="shared" si="435"/>
        <v>1</v>
      </c>
      <c r="Y1084" s="17">
        <f>IF($T1084=1,$AU1084,VLOOKUP(U1084,'Cortes naturales'!$A$45:$C$49,3,9))</f>
        <v>5</v>
      </c>
      <c r="Z1084" s="14">
        <v>53.903137590554195</v>
      </c>
      <c r="AA1084" s="14">
        <v>0.25768358906915884</v>
      </c>
      <c r="AB1084" s="14">
        <v>13.889953956422696</v>
      </c>
      <c r="AC1084" s="13">
        <v>5</v>
      </c>
      <c r="AD1084" s="13">
        <f t="shared" si="436"/>
        <v>0</v>
      </c>
      <c r="AE1084" s="14">
        <f t="shared" si="437"/>
        <v>-3.1909487453841621</v>
      </c>
      <c r="AF1084" s="14">
        <f t="shared" si="438"/>
        <v>-7.2800111858247196E-3</v>
      </c>
      <c r="AG1084" s="13">
        <f t="shared" si="439"/>
        <v>-1.1914404272968149</v>
      </c>
      <c r="AH1084" s="13">
        <f>IF($T1084=1,$AU1084,VLOOKUP(U1084,'Cortes naturales'!$A$25:$C$29,3,9))</f>
        <v>5</v>
      </c>
      <c r="AI1084" s="13" t="b">
        <f t="shared" si="440"/>
        <v>1</v>
      </c>
      <c r="AJ1084" s="13">
        <f t="shared" si="441"/>
        <v>0</v>
      </c>
      <c r="AK1084" s="28">
        <v>0.35881802248113021</v>
      </c>
      <c r="AL1084" s="28">
        <v>19.34141723577093</v>
      </c>
      <c r="AM1084" s="28">
        <v>7.1314730002076554E-2</v>
      </c>
      <c r="AN1084" s="13">
        <v>5</v>
      </c>
      <c r="AO1084" s="33">
        <f t="shared" si="442"/>
        <v>0</v>
      </c>
      <c r="AP1084" s="13">
        <f t="shared" si="452"/>
        <v>7.1314730002076558</v>
      </c>
      <c r="AQ1084" s="13">
        <f>IFERROR(VLOOKUP(U1084,'Cortes naturales'!$E$15:$G$19,3,9),U1084)</f>
        <v>5</v>
      </c>
      <c r="AR1084" s="28">
        <f t="shared" si="443"/>
        <v>-0.10841444459779609</v>
      </c>
      <c r="AS1084" s="13" t="b">
        <f t="shared" si="444"/>
        <v>1</v>
      </c>
      <c r="AT1084" s="13">
        <f t="shared" si="453"/>
        <v>0</v>
      </c>
      <c r="AU1084" s="13">
        <v>5</v>
      </c>
      <c r="AV1084">
        <f t="shared" si="445"/>
        <v>0</v>
      </c>
      <c r="AW1084" s="13">
        <v>0</v>
      </c>
      <c r="AX1084" s="13">
        <v>0</v>
      </c>
      <c r="AY1084" s="13">
        <v>0</v>
      </c>
      <c r="AZ1084" s="13">
        <v>0</v>
      </c>
      <c r="BA1084">
        <v>1</v>
      </c>
      <c r="BB1084" t="s">
        <v>2841</v>
      </c>
      <c r="BC1084">
        <v>6</v>
      </c>
      <c r="BD1084" t="s">
        <v>2919</v>
      </c>
      <c r="BE1084">
        <v>0</v>
      </c>
      <c r="BF1084" s="232" t="s">
        <v>2846</v>
      </c>
      <c r="BG1084" s="232" t="s">
        <v>2846</v>
      </c>
      <c r="BH1084" s="253">
        <v>45</v>
      </c>
      <c r="BI1084" s="253">
        <v>23.088057901085644</v>
      </c>
      <c r="BJ1084" s="25">
        <v>0</v>
      </c>
      <c r="BK1084" t="s">
        <v>381</v>
      </c>
      <c r="BL1084">
        <v>100</v>
      </c>
      <c r="BM1084" t="s">
        <v>384</v>
      </c>
      <c r="BN1084" s="322">
        <v>14657.937862999999</v>
      </c>
      <c r="BO1084" s="322">
        <v>1204.9953210000001</v>
      </c>
      <c r="BP1084" s="10">
        <v>4673</v>
      </c>
      <c r="BQ1084" s="254">
        <f t="shared" si="446"/>
        <v>3.136729694628718</v>
      </c>
      <c r="BR1084" s="254">
        <f t="shared" si="447"/>
        <v>0.25786332570083459</v>
      </c>
      <c r="BS1084" s="25">
        <v>58.702529285952551</v>
      </c>
      <c r="BT1084" s="25">
        <v>93.918725454739999</v>
      </c>
      <c r="BU1084" s="25">
        <v>34.768715728715698</v>
      </c>
      <c r="BV1084" s="25">
        <v>69.542636503507921</v>
      </c>
      <c r="BW1084" s="25">
        <v>49.038267366298889</v>
      </c>
      <c r="BX1084" s="25">
        <v>64.233151743229044</v>
      </c>
      <c r="BY1084" s="25">
        <v>49.681425443210507</v>
      </c>
      <c r="BZ1084">
        <v>53</v>
      </c>
      <c r="CA1084">
        <v>0</v>
      </c>
      <c r="CB1084">
        <v>7</v>
      </c>
      <c r="CC1084">
        <v>227395.745237</v>
      </c>
      <c r="CD1084" s="10">
        <v>8082.1962620000004</v>
      </c>
      <c r="CE1084" s="255">
        <v>3.5542425182918204E-2</v>
      </c>
      <c r="CF1084" t="str">
        <f>IFERROR(VLOOKUP(CE1084,'Rangos amb etnico'!$A$2:$C$6,3,9),"N.D.")</f>
        <v>0,1% - 30%</v>
      </c>
      <c r="CG1084" s="256">
        <v>2.3514155643578817E-4</v>
      </c>
      <c r="CH1084" s="232">
        <v>379.53303099999999</v>
      </c>
      <c r="CI1084" s="311">
        <f t="shared" si="454"/>
        <v>1.6690419189876974E-3</v>
      </c>
      <c r="CJ1084" s="232" t="str">
        <f>IFERROR(VLOOKUP(CI1084,'Rangos amb etnico'!$A$2:$C$6,3,9),"N.D.")</f>
        <v>0,1% - 30%</v>
      </c>
      <c r="CK1084" s="311">
        <f t="shared" si="455"/>
        <v>1.5069946209543817E-5</v>
      </c>
      <c r="CL1084" s="10">
        <v>0</v>
      </c>
      <c r="CM1084" s="255">
        <f t="shared" si="456"/>
        <v>0</v>
      </c>
      <c r="CN1084" s="232">
        <f>IFERROR(VLOOKUP(CM1084,'Rangos amb etnico'!$A$2:$C$6,3,9),"N.D.")</f>
        <v>0</v>
      </c>
      <c r="CO1084" s="311">
        <f t="shared" si="457"/>
        <v>0</v>
      </c>
      <c r="CP1084">
        <v>0.95361556577294093</v>
      </c>
      <c r="CQ1084" t="s">
        <v>2864</v>
      </c>
      <c r="CR1084">
        <f t="shared" si="448"/>
        <v>1</v>
      </c>
      <c r="CS1084" t="str">
        <f t="shared" si="458"/>
        <v>No es Candidato</v>
      </c>
      <c r="CT1084">
        <v>0</v>
      </c>
      <c r="CU1084">
        <v>0</v>
      </c>
      <c r="CV1084" s="25">
        <v>38.064823150634773</v>
      </c>
      <c r="CW1084" s="25">
        <v>7.9678664207458496</v>
      </c>
      <c r="CX1084" s="25">
        <v>38.951938629150391</v>
      </c>
      <c r="CY1084" s="25">
        <v>65.549880981445313</v>
      </c>
      <c r="CZ1084" s="25">
        <v>44.1556396484375</v>
      </c>
      <c r="DA1084" s="25">
        <v>27.331544876098629</v>
      </c>
      <c r="DB1084" s="25">
        <v>44.432075500488281</v>
      </c>
      <c r="DC1084">
        <v>165</v>
      </c>
      <c r="DD1084" s="253" t="s">
        <v>380</v>
      </c>
    </row>
    <row r="1085" spans="1:108" hidden="1">
      <c r="A1085" s="13">
        <v>50370</v>
      </c>
      <c r="B1085" s="13" t="s">
        <v>2565</v>
      </c>
      <c r="C1085" s="13" t="s">
        <v>605</v>
      </c>
      <c r="D1085" s="13" t="s">
        <v>606</v>
      </c>
      <c r="E1085" s="13" t="s">
        <v>2566</v>
      </c>
      <c r="F1085" s="14">
        <v>64.592866666666694</v>
      </c>
      <c r="G1085" s="13">
        <v>51.31</v>
      </c>
      <c r="H1085" s="13">
        <v>35.64</v>
      </c>
      <c r="I1085" s="13">
        <v>54.69</v>
      </c>
      <c r="J1085" s="14">
        <v>44.063742542005265</v>
      </c>
      <c r="K1085" s="14">
        <v>67.458046950930239</v>
      </c>
      <c r="L1085" s="14">
        <v>55.553907489720046</v>
      </c>
      <c r="M1085" s="14">
        <v>52.549100000000003</v>
      </c>
      <c r="N1085" s="14">
        <f t="shared" si="432"/>
        <v>51.558216666666674</v>
      </c>
      <c r="O1085" s="14">
        <f t="shared" si="433"/>
        <v>54.906199245663892</v>
      </c>
      <c r="P1085" s="14">
        <f t="shared" si="449"/>
        <v>53.232207956165283</v>
      </c>
      <c r="Q1085" s="14">
        <v>85.1138033577801</v>
      </c>
      <c r="R1085" s="17">
        <f t="shared" si="434"/>
        <v>14.8861966422199</v>
      </c>
      <c r="S1085" s="14">
        <f t="shared" si="450"/>
        <v>0.23397576977997911</v>
      </c>
      <c r="T1085" s="13">
        <v>0</v>
      </c>
      <c r="U1085" s="13">
        <f t="shared" si="451"/>
        <v>12.4550468336317</v>
      </c>
      <c r="V1085" s="13">
        <f>IF($T1085=1,$AU1085,(VLOOKUP(U1085,'Cortes naturales'!$A$35:$C$39,3,9)))</f>
        <v>5</v>
      </c>
      <c r="W1085" s="13">
        <v>5</v>
      </c>
      <c r="X1085" s="14" t="b">
        <f t="shared" si="435"/>
        <v>1</v>
      </c>
      <c r="Y1085" s="17">
        <f>IF($T1085=1,$AU1085,VLOOKUP(U1085,'Cortes naturales'!$A$45:$C$49,3,9))</f>
        <v>5</v>
      </c>
      <c r="Z1085" s="14">
        <v>54.726704266402237</v>
      </c>
      <c r="AA1085" s="14">
        <v>0.23775824605382648</v>
      </c>
      <c r="AB1085" s="14">
        <v>13.011725218686259</v>
      </c>
      <c r="AC1085" s="13">
        <v>5</v>
      </c>
      <c r="AD1085" s="13">
        <f t="shared" si="436"/>
        <v>0</v>
      </c>
      <c r="AE1085" s="14">
        <f t="shared" si="437"/>
        <v>-1.4944963102369542</v>
      </c>
      <c r="AF1085" s="14">
        <f t="shared" si="438"/>
        <v>-3.7824762738473683E-3</v>
      </c>
      <c r="AG1085" s="13">
        <f t="shared" si="439"/>
        <v>-0.55667838505455869</v>
      </c>
      <c r="AH1085" s="13">
        <f>IF($T1085=1,$AU1085,VLOOKUP(U1085,'Cortes naturales'!$A$25:$C$29,3,9))</f>
        <v>5</v>
      </c>
      <c r="AI1085" s="13" t="b">
        <f t="shared" si="440"/>
        <v>1</v>
      </c>
      <c r="AJ1085" s="13">
        <f t="shared" si="441"/>
        <v>0</v>
      </c>
      <c r="AK1085" s="28">
        <v>0.35881802248113021</v>
      </c>
      <c r="AL1085" s="28">
        <v>19.636927801780082</v>
      </c>
      <c r="AM1085" s="28">
        <v>7.5011255685353009E-2</v>
      </c>
      <c r="AN1085" s="13">
        <v>5</v>
      </c>
      <c r="AO1085" s="33">
        <f t="shared" si="442"/>
        <v>0</v>
      </c>
      <c r="AP1085" s="13">
        <f t="shared" si="452"/>
        <v>7.5011255685353007</v>
      </c>
      <c r="AQ1085" s="13">
        <f>IFERROR(VLOOKUP(U1085,'Cortes naturales'!$E$15:$G$19,3,9),U1085)</f>
        <v>5</v>
      </c>
      <c r="AR1085" s="28">
        <f t="shared" si="443"/>
        <v>-0.1248422527011511</v>
      </c>
      <c r="AS1085" s="13" t="b">
        <f t="shared" si="444"/>
        <v>1</v>
      </c>
      <c r="AT1085" s="13">
        <f t="shared" si="453"/>
        <v>0</v>
      </c>
      <c r="AU1085" s="13">
        <v>5</v>
      </c>
      <c r="AV1085">
        <f t="shared" si="445"/>
        <v>0</v>
      </c>
      <c r="AW1085" s="13">
        <v>0</v>
      </c>
      <c r="AX1085" s="13">
        <v>0</v>
      </c>
      <c r="AY1085" s="13">
        <v>0</v>
      </c>
      <c r="AZ1085" s="13">
        <v>1</v>
      </c>
      <c r="BA1085">
        <v>1</v>
      </c>
      <c r="BB1085" t="s">
        <v>2841</v>
      </c>
      <c r="BC1085">
        <v>6</v>
      </c>
      <c r="BD1085" t="s">
        <v>2919</v>
      </c>
      <c r="BE1085">
        <v>1</v>
      </c>
      <c r="BF1085" s="232" t="s">
        <v>2846</v>
      </c>
      <c r="BG1085" s="232" t="s">
        <v>2846</v>
      </c>
      <c r="BH1085" s="253">
        <v>60.4</v>
      </c>
      <c r="BI1085" s="253">
        <v>53.147933565083044</v>
      </c>
      <c r="BJ1085" s="25">
        <v>10.619090909090909</v>
      </c>
      <c r="BK1085" t="s">
        <v>377</v>
      </c>
      <c r="BL1085">
        <v>29.706865419305146</v>
      </c>
      <c r="BM1085" t="s">
        <v>384</v>
      </c>
      <c r="BN1085" s="322">
        <v>33834.136821</v>
      </c>
      <c r="BO1085" s="322">
        <v>3760.618579</v>
      </c>
      <c r="BP1085" s="10">
        <v>9695</v>
      </c>
      <c r="BQ1085" s="254">
        <f t="shared" si="446"/>
        <v>3.4898542363073748</v>
      </c>
      <c r="BR1085" s="254">
        <f t="shared" si="447"/>
        <v>0.38789258164002061</v>
      </c>
      <c r="BS1085" s="25">
        <v>81.058702493343006</v>
      </c>
      <c r="BT1085" s="25">
        <v>97.843784023838182</v>
      </c>
      <c r="BU1085" s="25">
        <v>24.96894165777303</v>
      </c>
      <c r="BV1085" s="25">
        <v>92.501170930846968</v>
      </c>
      <c r="BW1085" s="25">
        <v>48.276298563977058</v>
      </c>
      <c r="BX1085" s="25">
        <v>74.093149776450304</v>
      </c>
      <c r="BY1085" s="25">
        <v>50.733499891353262</v>
      </c>
      <c r="BZ1085">
        <v>63</v>
      </c>
      <c r="CA1085">
        <v>0</v>
      </c>
      <c r="CB1085">
        <v>7</v>
      </c>
      <c r="CC1085">
        <v>645445.53817800002</v>
      </c>
      <c r="CD1085" s="10">
        <v>304709.77666899998</v>
      </c>
      <c r="CE1085" s="255">
        <v>0.47209215750278777</v>
      </c>
      <c r="CF1085" t="str">
        <f>IFERROR(VLOOKUP(CE1085,'Rangos amb etnico'!$A$2:$C$6,3,9),"N.D.")</f>
        <v>31% - 50%</v>
      </c>
      <c r="CG1085" s="256">
        <v>8.8651560571507033E-3</v>
      </c>
      <c r="CH1085" s="232">
        <v>4380.5640219999996</v>
      </c>
      <c r="CI1085" s="311">
        <f t="shared" si="454"/>
        <v>6.7868840403881355E-3</v>
      </c>
      <c r="CJ1085" s="232" t="str">
        <f>IFERROR(VLOOKUP(CI1085,'Rangos amb etnico'!$A$2:$C$6,3,9),"N.D.")</f>
        <v>0,1% - 30%</v>
      </c>
      <c r="CK1085" s="311">
        <f t="shared" si="455"/>
        <v>1.7393707210427994E-4</v>
      </c>
      <c r="CL1085" s="10">
        <v>12451.227189499899</v>
      </c>
      <c r="CM1085" s="255">
        <f t="shared" si="456"/>
        <v>1.9290902877178336E-2</v>
      </c>
      <c r="CN1085" s="232" t="str">
        <f>IFERROR(VLOOKUP(CM1085,'Rangos amb etnico'!$A$2:$C$6,3,9),"N.D.")</f>
        <v>0,1% - 30%</v>
      </c>
      <c r="CO1085" s="311">
        <f t="shared" si="457"/>
        <v>7.8082510585470331E-3</v>
      </c>
      <c r="CP1085">
        <v>0.95749300313203345</v>
      </c>
      <c r="CQ1085" t="s">
        <v>2864</v>
      </c>
      <c r="CR1085">
        <f t="shared" si="448"/>
        <v>1</v>
      </c>
      <c r="CS1085" t="str">
        <f t="shared" si="458"/>
        <v>No es Candidato</v>
      </c>
      <c r="CT1085">
        <v>0</v>
      </c>
      <c r="CU1085">
        <v>0</v>
      </c>
      <c r="CV1085" s="25">
        <v>43.5545654296875</v>
      </c>
      <c r="CW1085" s="25">
        <v>11.03754711151123</v>
      </c>
      <c r="CX1085" s="25">
        <v>58.677700042724609</v>
      </c>
      <c r="CY1085" s="25">
        <v>44.505336761474609</v>
      </c>
      <c r="CZ1085" s="25">
        <v>27.512136459350589</v>
      </c>
      <c r="DA1085" s="25">
        <v>59.541248321533203</v>
      </c>
      <c r="DB1085" s="25">
        <v>60.053417205810547</v>
      </c>
      <c r="DC1085">
        <v>556</v>
      </c>
      <c r="DD1085" s="253" t="s">
        <v>380</v>
      </c>
    </row>
    <row r="1086" spans="1:108" hidden="1">
      <c r="A1086" s="13">
        <v>19701</v>
      </c>
      <c r="B1086" s="13" t="s">
        <v>2567</v>
      </c>
      <c r="C1086" s="13" t="s">
        <v>557</v>
      </c>
      <c r="D1086" s="13" t="s">
        <v>558</v>
      </c>
      <c r="E1086" s="13" t="s">
        <v>751</v>
      </c>
      <c r="F1086" s="14">
        <v>59.042266666666698</v>
      </c>
      <c r="G1086" s="13">
        <v>59.61</v>
      </c>
      <c r="H1086" s="13">
        <v>0</v>
      </c>
      <c r="I1086" s="13">
        <v>39.4</v>
      </c>
      <c r="J1086" s="14">
        <v>46.975055584791534</v>
      </c>
      <c r="K1086" s="14">
        <v>41.543406920352901</v>
      </c>
      <c r="L1086" s="14">
        <v>61.200823659019157</v>
      </c>
      <c r="M1086" s="14">
        <v>53.667000000000002</v>
      </c>
      <c r="N1086" s="14">
        <f t="shared" si="432"/>
        <v>39.513066666666674</v>
      </c>
      <c r="O1086" s="14">
        <f t="shared" si="433"/>
        <v>50.846571541040902</v>
      </c>
      <c r="P1086" s="14">
        <f t="shared" si="449"/>
        <v>45.179819103853788</v>
      </c>
      <c r="Q1086" s="14">
        <v>85.309112322499487</v>
      </c>
      <c r="R1086" s="17">
        <f t="shared" si="434"/>
        <v>14.690887677500513</v>
      </c>
      <c r="S1086" s="14">
        <f t="shared" si="450"/>
        <v>0.23221798909750463</v>
      </c>
      <c r="T1086" s="13">
        <v>0</v>
      </c>
      <c r="U1086" s="13">
        <f t="shared" si="451"/>
        <v>10.49156674008595</v>
      </c>
      <c r="V1086" s="13">
        <f>IF($T1086=1,$AU1086,(VLOOKUP(U1086,'Cortes naturales'!$A$35:$C$39,3,9)))</f>
        <v>5</v>
      </c>
      <c r="W1086" s="13">
        <v>5</v>
      </c>
      <c r="X1086" s="14" t="b">
        <f t="shared" si="435"/>
        <v>1</v>
      </c>
      <c r="Y1086" s="17">
        <f>IF($T1086=1,$AU1086,VLOOKUP(U1086,'Cortes naturales'!$A$45:$C$49,3,9))</f>
        <v>5</v>
      </c>
      <c r="Z1086" s="14">
        <v>54.952417582603474</v>
      </c>
      <c r="AA1086" s="14">
        <v>0.2357427947056227</v>
      </c>
      <c r="AB1086" s="14">
        <v>12.954636496753341</v>
      </c>
      <c r="AC1086" s="13">
        <v>5</v>
      </c>
      <c r="AD1086" s="13">
        <f t="shared" si="436"/>
        <v>0</v>
      </c>
      <c r="AE1086" s="14">
        <f t="shared" si="437"/>
        <v>-9.7725984787496856</v>
      </c>
      <c r="AF1086" s="14">
        <f t="shared" si="438"/>
        <v>-3.5248056081180756E-3</v>
      </c>
      <c r="AG1086" s="13">
        <f t="shared" si="439"/>
        <v>-2.4630697566673909</v>
      </c>
      <c r="AH1086" s="13">
        <f>IF($T1086=1,$AU1086,VLOOKUP(U1086,'Cortes naturales'!$A$25:$C$29,3,9))</f>
        <v>5</v>
      </c>
      <c r="AI1086" s="13" t="b">
        <f t="shared" si="440"/>
        <v>1</v>
      </c>
      <c r="AJ1086" s="13">
        <f t="shared" si="441"/>
        <v>0</v>
      </c>
      <c r="AK1086" s="28">
        <v>0.35881802248113021</v>
      </c>
      <c r="AL1086" s="28">
        <v>19.717917807547067</v>
      </c>
      <c r="AM1086" s="28">
        <v>7.6024355285984876E-2</v>
      </c>
      <c r="AN1086" s="13">
        <v>5</v>
      </c>
      <c r="AO1086" s="33">
        <f t="shared" si="442"/>
        <v>0</v>
      </c>
      <c r="AP1086" s="13">
        <f t="shared" si="452"/>
        <v>7.6024355285984875</v>
      </c>
      <c r="AQ1086" s="13">
        <f>IFERROR(VLOOKUP(U1086,'Cortes naturales'!$E$15:$G$19,3,9),U1086)</f>
        <v>5</v>
      </c>
      <c r="AR1086" s="28">
        <f t="shared" si="443"/>
        <v>-0.12660003338362558</v>
      </c>
      <c r="AS1086" s="13" t="b">
        <f t="shared" si="444"/>
        <v>1</v>
      </c>
      <c r="AT1086" s="13">
        <f t="shared" si="453"/>
        <v>0</v>
      </c>
      <c r="AU1086" s="13">
        <v>5</v>
      </c>
      <c r="AV1086">
        <f t="shared" si="445"/>
        <v>0</v>
      </c>
      <c r="AW1086" s="13">
        <v>0</v>
      </c>
      <c r="AX1086" s="13">
        <v>0</v>
      </c>
      <c r="AY1086" s="13">
        <v>0</v>
      </c>
      <c r="AZ1086" s="13">
        <v>0</v>
      </c>
      <c r="BA1086">
        <v>1</v>
      </c>
      <c r="BB1086" t="s">
        <v>2841</v>
      </c>
      <c r="BC1086">
        <v>6</v>
      </c>
      <c r="BD1086" t="s">
        <v>2919</v>
      </c>
      <c r="BE1086">
        <v>0</v>
      </c>
      <c r="BF1086" s="232" t="s">
        <v>2846</v>
      </c>
      <c r="BG1086" s="232" t="s">
        <v>2846</v>
      </c>
      <c r="BH1086" s="253">
        <v>66.099999999999994</v>
      </c>
      <c r="BI1086" s="253">
        <v>35.618090452261306</v>
      </c>
      <c r="BJ1086" s="25">
        <v>0.30875000000000002</v>
      </c>
      <c r="BK1086" t="s">
        <v>381</v>
      </c>
      <c r="BL1086">
        <v>4.3805141689279106</v>
      </c>
      <c r="BM1086" t="s">
        <v>383</v>
      </c>
      <c r="BN1086" s="322">
        <v>19697.788562000002</v>
      </c>
      <c r="BO1086" s="322">
        <v>531.07977200000005</v>
      </c>
      <c r="BP1086" s="10">
        <v>5328</v>
      </c>
      <c r="BQ1086" s="254">
        <f t="shared" si="446"/>
        <v>3.6970323877627629</v>
      </c>
      <c r="BR1086" s="254">
        <f t="shared" si="447"/>
        <v>9.96771343843844E-2</v>
      </c>
      <c r="BS1086" s="25">
        <v>59.711334961334963</v>
      </c>
      <c r="BT1086" s="25">
        <v>83.988988988988993</v>
      </c>
      <c r="BU1086" s="25">
        <v>59.396025641025631</v>
      </c>
      <c r="BV1086" s="25">
        <v>93.159832062410956</v>
      </c>
      <c r="BW1086" s="25">
        <v>36.942282350398173</v>
      </c>
      <c r="BX1086" s="25">
        <v>74.064045413440141</v>
      </c>
      <c r="BY1086" s="25">
        <v>37.752412364908807</v>
      </c>
      <c r="BZ1086">
        <v>81</v>
      </c>
      <c r="CA1086">
        <v>0</v>
      </c>
      <c r="CB1086">
        <v>7</v>
      </c>
      <c r="CC1086">
        <v>362075.58326699998</v>
      </c>
      <c r="CD1086" s="10">
        <v>146179.13071900001</v>
      </c>
      <c r="CE1086" s="255">
        <v>0.40372545809366361</v>
      </c>
      <c r="CF1086" t="str">
        <f>IFERROR(VLOOKUP(CE1086,'Rangos amb etnico'!$A$2:$C$6,3,9),"N.D.")</f>
        <v>31% - 50%</v>
      </c>
      <c r="CG1086" s="256">
        <v>4.2529019590017226E-3</v>
      </c>
      <c r="CH1086" s="232">
        <v>110892.244288</v>
      </c>
      <c r="CI1086" s="311">
        <f t="shared" si="454"/>
        <v>0.30626821971098339</v>
      </c>
      <c r="CJ1086" s="232" t="str">
        <f>IFERROR(VLOOKUP(CI1086,'Rangos amb etnico'!$A$2:$C$6,3,9),"N.D.")</f>
        <v>31% - 50%</v>
      </c>
      <c r="CK1086" s="311">
        <f t="shared" si="455"/>
        <v>4.4031481319889458E-3</v>
      </c>
      <c r="CL1086" s="10">
        <v>181791.98917899901</v>
      </c>
      <c r="CM1086" s="255">
        <f t="shared" si="456"/>
        <v>0.50208298372039872</v>
      </c>
      <c r="CN1086" s="232" t="str">
        <f>IFERROR(VLOOKUP(CM1086,'Rangos amb etnico'!$A$2:$C$6,3,9),"N.D.")</f>
        <v>31% - 50%</v>
      </c>
      <c r="CO1086" s="311">
        <f t="shared" si="457"/>
        <v>0.11400301916740649</v>
      </c>
      <c r="CP1086">
        <v>0.95490190624738691</v>
      </c>
      <c r="CQ1086" t="s">
        <v>2864</v>
      </c>
      <c r="CR1086">
        <f t="shared" si="448"/>
        <v>1</v>
      </c>
      <c r="CS1086" t="str">
        <f t="shared" si="458"/>
        <v>No es Candidato</v>
      </c>
      <c r="CT1086">
        <v>0</v>
      </c>
      <c r="CU1086">
        <v>0</v>
      </c>
      <c r="CV1086" s="25">
        <v>42.770782470703118</v>
      </c>
      <c r="CW1086" s="25">
        <v>6.9272537231445313</v>
      </c>
      <c r="CX1086" s="25">
        <v>42.863864898681641</v>
      </c>
      <c r="CY1086" s="25">
        <v>55.885025024414063</v>
      </c>
      <c r="CZ1086" s="25">
        <v>24.708072662353519</v>
      </c>
      <c r="DA1086" s="25">
        <v>73.493141174316406</v>
      </c>
      <c r="DB1086" s="25">
        <v>52.747329711914063</v>
      </c>
      <c r="DC1086">
        <v>1588</v>
      </c>
      <c r="DD1086" s="253" t="s">
        <v>380</v>
      </c>
    </row>
    <row r="1087" spans="1:108" hidden="1">
      <c r="A1087" s="13">
        <v>97001</v>
      </c>
      <c r="B1087" s="13" t="s">
        <v>2568</v>
      </c>
      <c r="C1087" s="13" t="s">
        <v>2569</v>
      </c>
      <c r="D1087" s="13" t="s">
        <v>2570</v>
      </c>
      <c r="E1087" s="13" t="s">
        <v>2571</v>
      </c>
      <c r="F1087" s="14">
        <v>59.121766666666701</v>
      </c>
      <c r="G1087" s="13">
        <v>54.95</v>
      </c>
      <c r="H1087" s="13">
        <v>56.33</v>
      </c>
      <c r="I1087" s="13">
        <v>48.69</v>
      </c>
      <c r="J1087" s="14">
        <v>58.820362434844739</v>
      </c>
      <c r="K1087" s="14">
        <v>65.098843384870278</v>
      </c>
      <c r="L1087" s="14">
        <v>56.309378961082295</v>
      </c>
      <c r="M1087" s="14">
        <v>48.8889</v>
      </c>
      <c r="N1087" s="14">
        <f t="shared" si="432"/>
        <v>54.772941666666675</v>
      </c>
      <c r="O1087" s="14">
        <f t="shared" si="433"/>
        <v>57.279371195199332</v>
      </c>
      <c r="P1087" s="14">
        <f t="shared" si="449"/>
        <v>56.026156430933</v>
      </c>
      <c r="Q1087" s="14">
        <v>86.598820614131682</v>
      </c>
      <c r="R1087" s="17">
        <f t="shared" si="434"/>
        <v>13.401179385868318</v>
      </c>
      <c r="S1087" s="14">
        <f t="shared" si="450"/>
        <v>0.22061061447281488</v>
      </c>
      <c r="T1087" s="13">
        <v>0</v>
      </c>
      <c r="U1087" s="13">
        <f t="shared" si="451"/>
        <v>12.359964796778177</v>
      </c>
      <c r="V1087" s="13">
        <f>IF($T1087=1,$AU1087,(VLOOKUP(U1087,'Cortes naturales'!$A$35:$C$39,3,9)))</f>
        <v>5</v>
      </c>
      <c r="W1087" s="13">
        <v>5</v>
      </c>
      <c r="X1087" s="14" t="b">
        <f t="shared" si="435"/>
        <v>1</v>
      </c>
      <c r="Y1087" s="17">
        <f>IF($T1087=1,$AU1087,VLOOKUP(U1087,'Cortes naturales'!$A$45:$C$49,3,9))</f>
        <v>5</v>
      </c>
      <c r="Z1087" s="14">
        <v>58.105882651216199</v>
      </c>
      <c r="AA1087" s="14">
        <v>0.22436117291414609</v>
      </c>
      <c r="AB1087" s="14">
        <v>13.036703984838599</v>
      </c>
      <c r="AC1087" s="13">
        <v>5</v>
      </c>
      <c r="AD1087" s="13">
        <f t="shared" si="436"/>
        <v>0</v>
      </c>
      <c r="AE1087" s="14">
        <f t="shared" si="437"/>
        <v>-2.0797262202831988</v>
      </c>
      <c r="AF1087" s="14">
        <f t="shared" si="438"/>
        <v>-3.7505584413312087E-3</v>
      </c>
      <c r="AG1087" s="13">
        <f t="shared" si="439"/>
        <v>-0.67673918806042188</v>
      </c>
      <c r="AH1087" s="13">
        <f>IF($T1087=1,$AU1087,VLOOKUP(U1087,'Cortes naturales'!$A$25:$C$29,3,9))</f>
        <v>5</v>
      </c>
      <c r="AI1087" s="13" t="b">
        <f t="shared" si="440"/>
        <v>1</v>
      </c>
      <c r="AJ1087" s="13">
        <f t="shared" si="441"/>
        <v>0</v>
      </c>
      <c r="AK1087" s="28">
        <v>0.35881802248113021</v>
      </c>
      <c r="AL1087" s="28">
        <v>20.849437907430008</v>
      </c>
      <c r="AM1087" s="28">
        <v>9.017847900090914E-2</v>
      </c>
      <c r="AN1087" s="13">
        <v>5</v>
      </c>
      <c r="AO1087" s="33">
        <f t="shared" si="442"/>
        <v>0</v>
      </c>
      <c r="AP1087" s="13">
        <f t="shared" si="452"/>
        <v>9.0178479000909135</v>
      </c>
      <c r="AQ1087" s="13">
        <f>IFERROR(VLOOKUP(U1087,'Cortes naturales'!$E$15:$G$19,3,9),U1087)</f>
        <v>5</v>
      </c>
      <c r="AR1087" s="28">
        <f t="shared" si="443"/>
        <v>-0.13820740800831532</v>
      </c>
      <c r="AS1087" s="13" t="b">
        <f t="shared" si="444"/>
        <v>1</v>
      </c>
      <c r="AT1087" s="13">
        <f t="shared" si="453"/>
        <v>0</v>
      </c>
      <c r="AU1087" s="13">
        <v>5</v>
      </c>
      <c r="AV1087">
        <f t="shared" si="445"/>
        <v>0</v>
      </c>
      <c r="AW1087" s="13">
        <v>1</v>
      </c>
      <c r="AX1087" s="13">
        <v>0</v>
      </c>
      <c r="AY1087" s="13">
        <v>0</v>
      </c>
      <c r="AZ1087" s="13">
        <v>0</v>
      </c>
      <c r="BA1087">
        <v>0</v>
      </c>
      <c r="BB1087" t="s">
        <v>2841</v>
      </c>
      <c r="BC1087">
        <v>6</v>
      </c>
      <c r="BD1087" t="s">
        <v>2920</v>
      </c>
      <c r="BE1087">
        <v>0</v>
      </c>
      <c r="BF1087" s="232" t="s">
        <v>2846</v>
      </c>
      <c r="BG1087" s="232" t="s">
        <v>2846</v>
      </c>
      <c r="BH1087" s="253">
        <v>74.8</v>
      </c>
      <c r="BI1087" s="253">
        <v>66.74059698733943</v>
      </c>
      <c r="BJ1087" s="25" t="s">
        <v>2849</v>
      </c>
      <c r="BK1087" t="s">
        <v>2849</v>
      </c>
      <c r="BL1087">
        <v>1.7756472438400035</v>
      </c>
      <c r="BM1087" t="s">
        <v>383</v>
      </c>
      <c r="BN1087" s="322">
        <v>60421.707387000002</v>
      </c>
      <c r="BO1087" s="322">
        <v>4808.8393699999997</v>
      </c>
      <c r="BP1087" s="10">
        <v>31810</v>
      </c>
      <c r="BQ1087" s="254">
        <f t="shared" si="446"/>
        <v>1.8994563780886515</v>
      </c>
      <c r="BR1087" s="254">
        <f t="shared" si="447"/>
        <v>0.15117382489783085</v>
      </c>
      <c r="BS1087" s="25">
        <v>46.147955811972047</v>
      </c>
      <c r="BT1087" s="25">
        <v>92.567504343648736</v>
      </c>
      <c r="BU1087" s="25">
        <v>66.726666666666674</v>
      </c>
      <c r="BV1087" s="25">
        <v>89.505785454816035</v>
      </c>
      <c r="BW1087" s="25">
        <v>43.741116157953073</v>
      </c>
      <c r="BX1087" s="25">
        <v>73.736978069275878</v>
      </c>
      <c r="BY1087" s="25">
        <v>48.993769300378318</v>
      </c>
      <c r="BZ1087">
        <v>7</v>
      </c>
      <c r="CA1087">
        <v>0</v>
      </c>
      <c r="CB1087">
        <v>5</v>
      </c>
      <c r="CC1087">
        <v>1615396.329873</v>
      </c>
      <c r="CD1087" s="10">
        <v>11150.259679000001</v>
      </c>
      <c r="CE1087" s="255">
        <v>6.9024916503782185E-3</v>
      </c>
      <c r="CF1087" t="str">
        <f>IFERROR(VLOOKUP(CE1087,'Rangos amb etnico'!$A$2:$C$6,3,9),"N.D.")</f>
        <v>0,1% - 30%</v>
      </c>
      <c r="CG1087" s="256">
        <v>3.2440308680829608E-4</v>
      </c>
      <c r="CH1087" s="232">
        <v>1599606.1043</v>
      </c>
      <c r="CI1087" s="311">
        <f t="shared" si="454"/>
        <v>0.99022516934018201</v>
      </c>
      <c r="CJ1087" s="232" t="str">
        <f>IFERROR(VLOOKUP(CI1087,'Rangos amb etnico'!$A$2:$C$6,3,9),"N.D.")</f>
        <v>71% - 100%</v>
      </c>
      <c r="CK1087" s="311">
        <f t="shared" si="455"/>
        <v>6.3514835282568433E-2</v>
      </c>
      <c r="CL1087" s="10">
        <v>0</v>
      </c>
      <c r="CM1087" s="255">
        <f t="shared" si="456"/>
        <v>0</v>
      </c>
      <c r="CN1087" s="232">
        <f>IFERROR(VLOOKUP(CM1087,'Rangos amb etnico'!$A$2:$C$6,3,9),"N.D.")</f>
        <v>0</v>
      </c>
      <c r="CO1087" s="311">
        <f t="shared" si="457"/>
        <v>0</v>
      </c>
      <c r="CP1087">
        <v>0.89934674049130958</v>
      </c>
      <c r="CQ1087" t="s">
        <v>2864</v>
      </c>
      <c r="CR1087">
        <f t="shared" si="448"/>
        <v>1</v>
      </c>
      <c r="CS1087" t="str">
        <f t="shared" si="458"/>
        <v>No es Candidato</v>
      </c>
      <c r="CT1087">
        <v>1</v>
      </c>
      <c r="CU1087" t="s">
        <v>2835</v>
      </c>
      <c r="CV1087" s="25">
        <v>33.678459167480469</v>
      </c>
      <c r="CW1087" s="25">
        <v>22.967802047729489</v>
      </c>
      <c r="CX1087" s="25">
        <v>32.000972747802727</v>
      </c>
      <c r="CY1087" s="25">
        <v>29.69088172912598</v>
      </c>
      <c r="CZ1087" s="25">
        <v>15.719485282897949</v>
      </c>
      <c r="DA1087" s="25">
        <v>52.152549743652337</v>
      </c>
      <c r="DB1087" s="25">
        <v>49.539054870605469</v>
      </c>
      <c r="DC1087">
        <v>25383</v>
      </c>
      <c r="DD1087" s="253">
        <v>3.1347657939192572</v>
      </c>
    </row>
    <row r="1088" spans="1:108" hidden="1">
      <c r="A1088" s="13">
        <v>95025</v>
      </c>
      <c r="B1088" s="13" t="s">
        <v>2572</v>
      </c>
      <c r="C1088" s="13" t="s">
        <v>2542</v>
      </c>
      <c r="D1088" s="13" t="s">
        <v>2543</v>
      </c>
      <c r="E1088" s="13" t="s">
        <v>2573</v>
      </c>
      <c r="F1088" s="14">
        <v>65.640233333333299</v>
      </c>
      <c r="G1088" s="13">
        <v>61.76</v>
      </c>
      <c r="H1088" s="13">
        <v>59.27</v>
      </c>
      <c r="I1088" s="13">
        <v>72.17</v>
      </c>
      <c r="J1088" s="14">
        <v>46.725202975163157</v>
      </c>
      <c r="K1088" s="14">
        <v>50.718432390491955</v>
      </c>
      <c r="L1088" s="14">
        <v>54.236648718572468</v>
      </c>
      <c r="M1088" s="14">
        <v>47.761099999999999</v>
      </c>
      <c r="N1088" s="14">
        <f t="shared" si="432"/>
        <v>64.710058333333322</v>
      </c>
      <c r="O1088" s="14">
        <f t="shared" si="433"/>
        <v>49.860346021056898</v>
      </c>
      <c r="P1088" s="14">
        <f t="shared" si="449"/>
        <v>57.28520217719511</v>
      </c>
      <c r="Q1088" s="14">
        <v>88.723116862327814</v>
      </c>
      <c r="R1088" s="17">
        <f t="shared" si="434"/>
        <v>11.276883137672186</v>
      </c>
      <c r="S1088" s="14">
        <f t="shared" si="450"/>
        <v>0.2014919482390497</v>
      </c>
      <c r="T1088" s="13">
        <v>0</v>
      </c>
      <c r="U1088" s="13">
        <f t="shared" si="451"/>
        <v>11.542506991950894</v>
      </c>
      <c r="V1088" s="13">
        <f>IF($T1088=1,$AU1088,(VLOOKUP(U1088,'Cortes naturales'!$A$35:$C$39,3,9)))</f>
        <v>5</v>
      </c>
      <c r="W1088" s="13">
        <v>5</v>
      </c>
      <c r="X1088" s="14" t="b">
        <f t="shared" si="435"/>
        <v>1</v>
      </c>
      <c r="Y1088" s="17">
        <f>IF($T1088=1,$AU1088,VLOOKUP(U1088,'Cortes naturales'!$A$45:$C$49,3,9))</f>
        <v>5</v>
      </c>
      <c r="Z1088" s="14">
        <v>56.965843468046188</v>
      </c>
      <c r="AA1088" s="14">
        <v>0.21813304884199647</v>
      </c>
      <c r="AB1088" s="14">
        <v>12.426133115540845</v>
      </c>
      <c r="AC1088" s="13">
        <v>5</v>
      </c>
      <c r="AD1088" s="13">
        <f t="shared" si="436"/>
        <v>0</v>
      </c>
      <c r="AE1088" s="14">
        <f t="shared" si="437"/>
        <v>0.31935870914892206</v>
      </c>
      <c r="AF1088" s="14">
        <f t="shared" si="438"/>
        <v>-1.6641100602946768E-2</v>
      </c>
      <c r="AG1088" s="13">
        <f t="shared" si="439"/>
        <v>-0.8836261235899503</v>
      </c>
      <c r="AH1088" s="13">
        <f>IF($T1088=1,$AU1088,VLOOKUP(U1088,'Cortes naturales'!$A$25:$C$29,3,9))</f>
        <v>5</v>
      </c>
      <c r="AI1088" s="13" t="b">
        <f t="shared" si="440"/>
        <v>1</v>
      </c>
      <c r="AJ1088" s="13">
        <f t="shared" si="441"/>
        <v>0</v>
      </c>
      <c r="AK1088" s="28">
        <v>0.35881802248113021</v>
      </c>
      <c r="AL1088" s="28">
        <v>20.44037130217394</v>
      </c>
      <c r="AM1088" s="28">
        <v>8.5061486966001867E-2</v>
      </c>
      <c r="AN1088" s="13">
        <v>5</v>
      </c>
      <c r="AO1088" s="33">
        <f t="shared" si="442"/>
        <v>0</v>
      </c>
      <c r="AP1088" s="13">
        <f t="shared" si="452"/>
        <v>8.5061486966001869</v>
      </c>
      <c r="AQ1088" s="13">
        <f>IFERROR(VLOOKUP(U1088,'Cortes naturales'!$E$15:$G$19,3,9),U1088)</f>
        <v>5</v>
      </c>
      <c r="AR1088" s="28">
        <f t="shared" si="443"/>
        <v>-0.1573260742420805</v>
      </c>
      <c r="AS1088" s="13" t="b">
        <f t="shared" si="444"/>
        <v>1</v>
      </c>
      <c r="AT1088" s="13">
        <f t="shared" si="453"/>
        <v>0</v>
      </c>
      <c r="AU1088" s="13">
        <v>5</v>
      </c>
      <c r="AV1088">
        <f t="shared" si="445"/>
        <v>0</v>
      </c>
      <c r="AW1088" s="13">
        <v>0</v>
      </c>
      <c r="AX1088" s="13">
        <v>0</v>
      </c>
      <c r="AY1088" s="13">
        <v>0</v>
      </c>
      <c r="AZ1088" s="13">
        <v>1</v>
      </c>
      <c r="BA1088">
        <v>1</v>
      </c>
      <c r="BB1088" t="s">
        <v>2841</v>
      </c>
      <c r="BC1088">
        <v>6</v>
      </c>
      <c r="BD1088" t="s">
        <v>2919</v>
      </c>
      <c r="BE1088">
        <v>1</v>
      </c>
      <c r="BF1088" s="232" t="s">
        <v>2846</v>
      </c>
      <c r="BG1088" s="232" t="s">
        <v>2846</v>
      </c>
      <c r="BH1088" s="253">
        <v>51.5</v>
      </c>
      <c r="BI1088" s="253">
        <v>31.881030538147815</v>
      </c>
      <c r="BJ1088" s="25">
        <v>11.196291901027225</v>
      </c>
      <c r="BK1088" t="s">
        <v>377</v>
      </c>
      <c r="BL1088">
        <v>14.78577809260559</v>
      </c>
      <c r="BM1088" t="s">
        <v>376</v>
      </c>
      <c r="BN1088" s="322">
        <v>35265.310973</v>
      </c>
      <c r="BO1088" s="322">
        <v>3107.3915849999998</v>
      </c>
      <c r="BP1088" s="10">
        <v>13324</v>
      </c>
      <c r="BQ1088" s="254">
        <f t="shared" si="446"/>
        <v>2.6467510487090964</v>
      </c>
      <c r="BR1088" s="254">
        <f t="shared" si="447"/>
        <v>0.23321762120984688</v>
      </c>
      <c r="BS1088" s="25">
        <v>42.301561091993001</v>
      </c>
      <c r="BT1088" s="25">
        <v>94.807075981186827</v>
      </c>
      <c r="BU1088" s="25">
        <v>51.283036145742699</v>
      </c>
      <c r="BV1088" s="25">
        <v>93.822125375833124</v>
      </c>
      <c r="BW1088" s="25">
        <v>47.630998231531848</v>
      </c>
      <c r="BX1088" s="25">
        <v>70.553449648688911</v>
      </c>
      <c r="BY1088" s="25">
        <v>48.802665590099068</v>
      </c>
      <c r="BZ1088">
        <v>7</v>
      </c>
      <c r="CA1088">
        <v>0</v>
      </c>
      <c r="CB1088">
        <v>7</v>
      </c>
      <c r="CC1088">
        <v>1240590.945145</v>
      </c>
      <c r="CD1088" s="10">
        <v>746168.82008700003</v>
      </c>
      <c r="CE1088" s="255">
        <v>0.60146241031913061</v>
      </c>
      <c r="CF1088" t="str">
        <f>IFERROR(VLOOKUP(CE1088,'Rangos amb etnico'!$A$2:$C$6,3,9),"N.D.")</f>
        <v>51% - 70%</v>
      </c>
      <c r="CG1088" s="256">
        <v>2.1708863782985525E-2</v>
      </c>
      <c r="CH1088" s="232">
        <v>709697.52292000002</v>
      </c>
      <c r="CI1088" s="311">
        <f t="shared" si="454"/>
        <v>0.57206408421516464</v>
      </c>
      <c r="CJ1088" s="232" t="str">
        <f>IFERROR(VLOOKUP(CI1088,'Rangos amb etnico'!$A$2:$C$6,3,9),"N.D.")</f>
        <v>51% - 70%</v>
      </c>
      <c r="CK1088" s="311">
        <f t="shared" si="455"/>
        <v>2.8179638191888734E-2</v>
      </c>
      <c r="CL1088" s="10">
        <v>152951.941606999</v>
      </c>
      <c r="CM1088" s="255">
        <f t="shared" si="456"/>
        <v>0.12328958405312399</v>
      </c>
      <c r="CN1088" s="232" t="str">
        <f>IFERROR(VLOOKUP(CM1088,'Rangos amb etnico'!$A$2:$C$6,3,9),"N.D.")</f>
        <v>0,1% - 30%</v>
      </c>
      <c r="CO1088" s="311">
        <f t="shared" si="457"/>
        <v>9.5917225007894361E-2</v>
      </c>
      <c r="CP1088">
        <v>0.89078055689457925</v>
      </c>
      <c r="CQ1088" t="s">
        <v>2864</v>
      </c>
      <c r="CR1088">
        <f t="shared" si="448"/>
        <v>2</v>
      </c>
      <c r="CS1088" t="str">
        <f t="shared" si="458"/>
        <v>No es Candidato</v>
      </c>
      <c r="CT1088">
        <v>0</v>
      </c>
      <c r="CU1088">
        <v>0</v>
      </c>
      <c r="CV1088" s="25">
        <v>42.532512664794922</v>
      </c>
      <c r="CW1088" s="25">
        <v>20.630180358886719</v>
      </c>
      <c r="CX1088" s="25">
        <v>47.379417419433587</v>
      </c>
      <c r="CY1088" s="25">
        <v>48.232742309570313</v>
      </c>
      <c r="CZ1088" s="25">
        <v>35.431816101074219</v>
      </c>
      <c r="DA1088" s="25">
        <v>61.74615478515625</v>
      </c>
      <c r="DB1088" s="25">
        <v>41.774772644042969</v>
      </c>
      <c r="DC1088">
        <v>2069</v>
      </c>
      <c r="DD1088" s="253" t="s">
        <v>380</v>
      </c>
    </row>
    <row r="1089" spans="1:108" hidden="1">
      <c r="A1089" s="13">
        <v>99001</v>
      </c>
      <c r="B1089" s="13" t="s">
        <v>2574</v>
      </c>
      <c r="C1089" s="13" t="s">
        <v>2575</v>
      </c>
      <c r="D1089" s="13" t="s">
        <v>2576</v>
      </c>
      <c r="E1089" s="13" t="s">
        <v>2577</v>
      </c>
      <c r="F1089" s="14">
        <v>76.047066666666694</v>
      </c>
      <c r="G1089" s="13">
        <v>56.5</v>
      </c>
      <c r="H1089" s="13">
        <v>68.55</v>
      </c>
      <c r="I1089" s="13">
        <v>73.430000000000007</v>
      </c>
      <c r="J1089" s="14">
        <v>53.908088509066907</v>
      </c>
      <c r="K1089" s="14">
        <v>46.215426012731911</v>
      </c>
      <c r="L1089" s="14">
        <v>51.444704162146543</v>
      </c>
      <c r="M1089" s="14">
        <v>50.965299999999999</v>
      </c>
      <c r="N1089" s="14">
        <f t="shared" si="432"/>
        <v>68.631766666666678</v>
      </c>
      <c r="O1089" s="14">
        <f t="shared" si="433"/>
        <v>50.633379670986344</v>
      </c>
      <c r="P1089" s="14">
        <f t="shared" si="449"/>
        <v>59.632573168826511</v>
      </c>
      <c r="Q1089" s="14">
        <v>88.093962940608222</v>
      </c>
      <c r="R1089" s="17">
        <f t="shared" si="434"/>
        <v>11.906037059391778</v>
      </c>
      <c r="S1089" s="14">
        <f t="shared" si="450"/>
        <v>0.207154333534526</v>
      </c>
      <c r="T1089" s="13">
        <v>0</v>
      </c>
      <c r="U1089" s="13">
        <f t="shared" si="451"/>
        <v>12.353145951737114</v>
      </c>
      <c r="V1089" s="13">
        <f>IF($T1089=1,$AU1089,(VLOOKUP(U1089,'Cortes naturales'!$A$35:$C$39,3,9)))</f>
        <v>5</v>
      </c>
      <c r="W1089" s="13">
        <v>5</v>
      </c>
      <c r="X1089" s="14" t="b">
        <f t="shared" si="435"/>
        <v>1</v>
      </c>
      <c r="Y1089" s="17">
        <f>IF($T1089=1,$AU1089,VLOOKUP(U1089,'Cortes naturales'!$A$45:$C$49,3,9))</f>
        <v>5</v>
      </c>
      <c r="Z1089" s="14">
        <v>58.482538947293129</v>
      </c>
      <c r="AA1089" s="14">
        <v>0.19764499769748867</v>
      </c>
      <c r="AB1089" s="14">
        <v>11.558781275581042</v>
      </c>
      <c r="AC1089" s="13">
        <v>5</v>
      </c>
      <c r="AD1089" s="13">
        <f t="shared" si="436"/>
        <v>0</v>
      </c>
      <c r="AE1089" s="14">
        <f t="shared" si="437"/>
        <v>1.1500342215333816</v>
      </c>
      <c r="AF1089" s="14">
        <f t="shared" si="438"/>
        <v>9.509335837037336E-3</v>
      </c>
      <c r="AG1089" s="13">
        <f t="shared" si="439"/>
        <v>0.79436467615607143</v>
      </c>
      <c r="AH1089" s="13">
        <f>IF($T1089=1,$AU1089,VLOOKUP(U1089,'Cortes naturales'!$A$25:$C$29,3,9))</f>
        <v>5</v>
      </c>
      <c r="AI1089" s="13" t="b">
        <f t="shared" si="440"/>
        <v>1</v>
      </c>
      <c r="AJ1089" s="13">
        <f t="shared" si="441"/>
        <v>0</v>
      </c>
      <c r="AK1089" s="28">
        <v>0.35881802248113021</v>
      </c>
      <c r="AL1089" s="28">
        <v>20.984588974743399</v>
      </c>
      <c r="AM1089" s="28">
        <v>9.1869076390346319E-2</v>
      </c>
      <c r="AN1089" s="13">
        <v>5</v>
      </c>
      <c r="AO1089" s="33">
        <f t="shared" si="442"/>
        <v>0</v>
      </c>
      <c r="AP1089" s="13">
        <f t="shared" si="452"/>
        <v>9.1869076390346311</v>
      </c>
      <c r="AQ1089" s="13">
        <f>IFERROR(VLOOKUP(U1089,'Cortes naturales'!$E$15:$G$19,3,9),U1089)</f>
        <v>5</v>
      </c>
      <c r="AR1089" s="28">
        <f t="shared" si="443"/>
        <v>-0.1516636889466042</v>
      </c>
      <c r="AS1089" s="13" t="b">
        <f t="shared" si="444"/>
        <v>1</v>
      </c>
      <c r="AT1089" s="13">
        <f t="shared" si="453"/>
        <v>0</v>
      </c>
      <c r="AU1089" s="13">
        <v>5</v>
      </c>
      <c r="AV1089">
        <f t="shared" si="445"/>
        <v>0</v>
      </c>
      <c r="AW1089" s="13">
        <v>1</v>
      </c>
      <c r="AX1089" s="13">
        <v>0</v>
      </c>
      <c r="AY1089" s="13">
        <v>0</v>
      </c>
      <c r="AZ1089" s="13">
        <v>0</v>
      </c>
      <c r="BA1089">
        <v>0</v>
      </c>
      <c r="BB1089" t="s">
        <v>2841</v>
      </c>
      <c r="BC1089">
        <v>6</v>
      </c>
      <c r="BD1089" t="s">
        <v>2920</v>
      </c>
      <c r="BE1089">
        <v>0</v>
      </c>
      <c r="BF1089" s="232" t="s">
        <v>2846</v>
      </c>
      <c r="BG1089" s="232" t="s">
        <v>2846</v>
      </c>
      <c r="BH1089" s="253">
        <v>55.7</v>
      </c>
      <c r="BI1089" s="253">
        <v>41.984692531010822</v>
      </c>
      <c r="BJ1089" s="25">
        <v>2.4113333333333342</v>
      </c>
      <c r="BK1089" t="s">
        <v>381</v>
      </c>
      <c r="BL1089">
        <v>4.2775437398316463</v>
      </c>
      <c r="BM1089" t="s">
        <v>383</v>
      </c>
      <c r="BN1089" s="322">
        <v>68446.918565999993</v>
      </c>
      <c r="BO1089" s="322">
        <v>13132.893985000001</v>
      </c>
      <c r="BP1089" s="10">
        <v>23959</v>
      </c>
      <c r="BQ1089" s="254">
        <f t="shared" si="446"/>
        <v>2.8568353673358651</v>
      </c>
      <c r="BR1089" s="254">
        <f t="shared" si="447"/>
        <v>0.54814032242581079</v>
      </c>
      <c r="BS1089" s="25">
        <v>82.678385416666671</v>
      </c>
      <c r="BT1089" s="25">
        <v>92.386580753736197</v>
      </c>
      <c r="BU1089" s="25">
        <v>41.095975485188973</v>
      </c>
      <c r="BV1089" s="25">
        <v>90.086301378590676</v>
      </c>
      <c r="BW1089" s="25">
        <v>60.374768435027249</v>
      </c>
      <c r="BX1089" s="25">
        <v>76.561810758545633</v>
      </c>
      <c r="BY1089" s="25">
        <v>64.368227706767641</v>
      </c>
      <c r="BZ1089">
        <v>50</v>
      </c>
      <c r="CA1089">
        <v>0</v>
      </c>
      <c r="CB1089">
        <v>6</v>
      </c>
      <c r="CC1089">
        <v>1186092.978049</v>
      </c>
      <c r="CD1089" s="10">
        <v>14327.051148</v>
      </c>
      <c r="CE1089" s="255">
        <v>1.2079197342156527E-2</v>
      </c>
      <c r="CF1089" t="str">
        <f>IFERROR(VLOOKUP(CE1089,'Rangos amb etnico'!$A$2:$C$6,3,9),"N.D.")</f>
        <v>0,1% - 30%</v>
      </c>
      <c r="CG1089" s="256">
        <v>4.1682792608184076E-4</v>
      </c>
      <c r="CH1089" s="232">
        <v>162517.19386500001</v>
      </c>
      <c r="CI1089" s="311">
        <f t="shared" si="454"/>
        <v>0.13701893264078163</v>
      </c>
      <c r="CJ1089" s="232" t="str">
        <f>IFERROR(VLOOKUP(CI1089,'Rangos amb etnico'!$A$2:$C$6,3,9),"N.D.")</f>
        <v>0,1% - 30%</v>
      </c>
      <c r="CK1089" s="311">
        <f t="shared" si="455"/>
        <v>6.4529966290906432E-3</v>
      </c>
      <c r="CL1089" s="10">
        <v>0</v>
      </c>
      <c r="CM1089" s="255">
        <f t="shared" si="456"/>
        <v>0</v>
      </c>
      <c r="CN1089" s="232">
        <f>IFERROR(VLOOKUP(CM1089,'Rangos amb etnico'!$A$2:$C$6,3,9),"N.D.")</f>
        <v>0</v>
      </c>
      <c r="CO1089" s="311">
        <f t="shared" si="457"/>
        <v>0</v>
      </c>
      <c r="CP1089">
        <v>0.89196883118945403</v>
      </c>
      <c r="CQ1089" t="s">
        <v>2864</v>
      </c>
      <c r="CR1089">
        <f t="shared" si="448"/>
        <v>3</v>
      </c>
      <c r="CS1089" t="str">
        <f t="shared" si="458"/>
        <v>Candidato</v>
      </c>
      <c r="CT1089">
        <v>1</v>
      </c>
      <c r="CU1089" t="s">
        <v>2835</v>
      </c>
      <c r="CV1089" s="25">
        <v>34.556461334228523</v>
      </c>
      <c r="CW1089" s="25">
        <v>23.14878082275391</v>
      </c>
      <c r="CX1089" s="25">
        <v>31.190980911254879</v>
      </c>
      <c r="CY1089" s="25">
        <v>46.09991455078125</v>
      </c>
      <c r="CZ1089" s="25">
        <v>42.308879852294922</v>
      </c>
      <c r="DA1089" s="25">
        <v>18.497064590454102</v>
      </c>
      <c r="DB1089" s="25">
        <v>46.093154907226563</v>
      </c>
      <c r="DC1089">
        <v>5982</v>
      </c>
      <c r="DD1089" s="253">
        <v>3.1101249073036721</v>
      </c>
    </row>
    <row r="1090" spans="1:108" hidden="1">
      <c r="A1090" s="13">
        <v>99624</v>
      </c>
      <c r="B1090" s="13" t="s">
        <v>2578</v>
      </c>
      <c r="C1090" s="13" t="s">
        <v>2575</v>
      </c>
      <c r="D1090" s="13" t="s">
        <v>2576</v>
      </c>
      <c r="E1090" s="13" t="s">
        <v>2579</v>
      </c>
      <c r="F1090" s="14">
        <v>39.365966666666701</v>
      </c>
      <c r="G1090" s="14">
        <v>0</v>
      </c>
      <c r="H1090" s="13">
        <v>19.52</v>
      </c>
      <c r="I1090" s="13">
        <v>32.96</v>
      </c>
      <c r="J1090" s="14">
        <v>59.700333040836668</v>
      </c>
      <c r="K1090" s="14">
        <v>44.796275032673478</v>
      </c>
      <c r="L1090" s="14">
        <v>64.966509031804804</v>
      </c>
      <c r="M1090" s="14">
        <v>41.828299999999999</v>
      </c>
      <c r="N1090" s="14">
        <f t="shared" si="432"/>
        <v>22.961491666666674</v>
      </c>
      <c r="O1090" s="14">
        <f t="shared" si="433"/>
        <v>52.822854276328741</v>
      </c>
      <c r="P1090" s="14">
        <f t="shared" si="449"/>
        <v>37.892172971497708</v>
      </c>
      <c r="Q1090" s="14">
        <v>89.172361631650759</v>
      </c>
      <c r="R1090" s="17">
        <f t="shared" si="434"/>
        <v>10.827638368349241</v>
      </c>
      <c r="S1090" s="14">
        <f t="shared" si="450"/>
        <v>0.19744874531514317</v>
      </c>
      <c r="T1090" s="13">
        <v>0</v>
      </c>
      <c r="U1090" s="13">
        <f t="shared" si="451"/>
        <v>7.4817620104866025</v>
      </c>
      <c r="V1090" s="13">
        <f>IF($T1090=1,$AU1090,(VLOOKUP(U1090,'Cortes naturales'!$A$35:$C$39,3,9)))</f>
        <v>5</v>
      </c>
      <c r="W1090" s="13">
        <v>5</v>
      </c>
      <c r="X1090" s="14" t="b">
        <f t="shared" si="435"/>
        <v>1</v>
      </c>
      <c r="Y1090" s="17">
        <f>IF($T1090=1,$AU1090,VLOOKUP(U1090,'Cortes naturales'!$A$45:$C$49,3,9))</f>
        <v>5</v>
      </c>
      <c r="Z1090" s="14">
        <v>43.579197820645433</v>
      </c>
      <c r="AA1090" s="14">
        <v>0.19763290398623484</v>
      </c>
      <c r="AB1090" s="14">
        <v>8.6126834186847532</v>
      </c>
      <c r="AC1090" s="13">
        <v>5</v>
      </c>
      <c r="AD1090" s="13">
        <f t="shared" si="436"/>
        <v>0</v>
      </c>
      <c r="AE1090" s="14">
        <f t="shared" si="437"/>
        <v>-5.6870248491477255</v>
      </c>
      <c r="AF1090" s="14">
        <f t="shared" si="438"/>
        <v>-1.8415867109167205E-4</v>
      </c>
      <c r="AG1090" s="13">
        <f t="shared" si="439"/>
        <v>-1.1309214081981507</v>
      </c>
      <c r="AH1090" s="13">
        <f>IF($T1090=1,$AU1090,VLOOKUP(U1090,'Cortes naturales'!$A$25:$C$29,3,9))</f>
        <v>5</v>
      </c>
      <c r="AI1090" s="13" t="b">
        <f t="shared" si="440"/>
        <v>1</v>
      </c>
      <c r="AJ1090" s="13">
        <f t="shared" si="441"/>
        <v>0</v>
      </c>
      <c r="AK1090" s="28">
        <v>0.35881802248113021</v>
      </c>
      <c r="AL1090" s="28">
        <v>15.637001583317973</v>
      </c>
      <c r="AM1090" s="28">
        <v>2.4976395012052642E-2</v>
      </c>
      <c r="AN1090" s="13">
        <v>5</v>
      </c>
      <c r="AO1090" s="33">
        <f t="shared" si="442"/>
        <v>0</v>
      </c>
      <c r="AP1090" s="13">
        <f t="shared" si="452"/>
        <v>2.4976395012052643</v>
      </c>
      <c r="AQ1090" s="13">
        <f>IFERROR(VLOOKUP(U1090,'Cortes naturales'!$E$15:$G$19,3,9),U1090)</f>
        <v>5</v>
      </c>
      <c r="AR1090" s="28">
        <f t="shared" si="443"/>
        <v>-0.16136927716598704</v>
      </c>
      <c r="AS1090" s="13" t="b">
        <f t="shared" si="444"/>
        <v>1</v>
      </c>
      <c r="AT1090" s="13">
        <f t="shared" si="453"/>
        <v>0</v>
      </c>
      <c r="AU1090" s="13">
        <v>5</v>
      </c>
      <c r="AV1090">
        <f t="shared" si="445"/>
        <v>0</v>
      </c>
      <c r="AW1090" s="13">
        <v>0</v>
      </c>
      <c r="AX1090" s="13">
        <v>0</v>
      </c>
      <c r="AY1090" s="13">
        <v>0</v>
      </c>
      <c r="AZ1090" s="13">
        <v>0</v>
      </c>
      <c r="BA1090">
        <v>0</v>
      </c>
      <c r="BB1090" t="s">
        <v>2841</v>
      </c>
      <c r="BC1090">
        <v>6</v>
      </c>
      <c r="BD1090" t="s">
        <v>2919</v>
      </c>
      <c r="BE1090">
        <v>0</v>
      </c>
      <c r="BF1090" s="232" t="s">
        <v>2846</v>
      </c>
      <c r="BG1090" s="232" t="s">
        <v>2846</v>
      </c>
      <c r="BH1090" s="253">
        <v>56.8</v>
      </c>
      <c r="BI1090" s="253">
        <v>36.962513781697908</v>
      </c>
      <c r="BJ1090" s="25">
        <v>25.326428571428572</v>
      </c>
      <c r="BK1090" t="s">
        <v>379</v>
      </c>
      <c r="BL1090">
        <v>2.2331116700072702</v>
      </c>
      <c r="BM1090" t="s">
        <v>383</v>
      </c>
      <c r="BN1090" s="322">
        <v>22604.482650000002</v>
      </c>
      <c r="BO1090" s="322">
        <v>1466.839641</v>
      </c>
      <c r="BP1090" s="10">
        <v>4170</v>
      </c>
      <c r="BQ1090" s="254">
        <f t="shared" si="446"/>
        <v>5.4207392446043166</v>
      </c>
      <c r="BR1090" s="254">
        <f t="shared" si="447"/>
        <v>0.35176010575539568</v>
      </c>
      <c r="BS1090" s="25">
        <v>68.220541429746447</v>
      </c>
      <c r="BT1090" s="25">
        <v>84.491983544592884</v>
      </c>
      <c r="BU1090" s="25">
        <v>4.6472681704260337</v>
      </c>
      <c r="BV1090" s="25">
        <v>92.418777321517226</v>
      </c>
      <c r="BW1090" s="25">
        <v>49.384964567811487</v>
      </c>
      <c r="BX1090" s="25">
        <v>62.444642616570647</v>
      </c>
      <c r="BY1090" s="25">
        <v>49.552530609917</v>
      </c>
      <c r="BZ1090">
        <v>50</v>
      </c>
      <c r="CA1090">
        <v>0</v>
      </c>
      <c r="CB1090">
        <v>7</v>
      </c>
      <c r="CC1090">
        <v>367802.47904200002</v>
      </c>
      <c r="CD1090" s="10">
        <v>9900.9281219999993</v>
      </c>
      <c r="CE1090" s="255">
        <v>2.691914461204432E-2</v>
      </c>
      <c r="CF1090" t="str">
        <f>IFERROR(VLOOKUP(CE1090,'Rangos amb etnico'!$A$2:$C$6,3,9),"N.D.")</f>
        <v>0,1% - 30%</v>
      </c>
      <c r="CG1090" s="256">
        <v>2.8805532225343835E-4</v>
      </c>
      <c r="CH1090" s="232">
        <v>15753.379702</v>
      </c>
      <c r="CI1090" s="311">
        <f t="shared" si="454"/>
        <v>4.2831086247793054E-2</v>
      </c>
      <c r="CJ1090" s="232" t="str">
        <f>IFERROR(VLOOKUP(CI1090,'Rangos amb etnico'!$A$2:$C$6,3,9),"N.D.")</f>
        <v>0,1% - 30%</v>
      </c>
      <c r="CK1090" s="311">
        <f t="shared" si="455"/>
        <v>6.2551231470459132E-4</v>
      </c>
      <c r="CL1090" s="10">
        <v>0</v>
      </c>
      <c r="CM1090" s="255">
        <f t="shared" si="456"/>
        <v>0</v>
      </c>
      <c r="CN1090" s="232">
        <f>IFERROR(VLOOKUP(CM1090,'Rangos amb etnico'!$A$2:$C$6,3,9),"N.D.")</f>
        <v>0</v>
      </c>
      <c r="CO1090" s="311">
        <f t="shared" si="457"/>
        <v>0</v>
      </c>
      <c r="CP1090">
        <v>0.95287892680583353</v>
      </c>
      <c r="CQ1090" t="s">
        <v>2864</v>
      </c>
      <c r="CR1090">
        <f t="shared" si="448"/>
        <v>1</v>
      </c>
      <c r="CS1090" t="str">
        <f t="shared" si="458"/>
        <v>No es Candidato</v>
      </c>
      <c r="CT1090">
        <v>0</v>
      </c>
      <c r="CU1090">
        <v>0</v>
      </c>
      <c r="CV1090" s="25">
        <v>42.961994171142578</v>
      </c>
      <c r="CW1090" s="25">
        <v>8.3581972122192383</v>
      </c>
      <c r="CX1090" s="25">
        <v>48.741050720214837</v>
      </c>
      <c r="CY1090" s="25">
        <v>33.793804168701172</v>
      </c>
      <c r="CZ1090" s="25">
        <v>40.191490173339837</v>
      </c>
      <c r="DA1090" s="25">
        <v>78.515647888183594</v>
      </c>
      <c r="DB1090" s="25">
        <v>48.171760559082031</v>
      </c>
      <c r="DC1090">
        <v>1136</v>
      </c>
      <c r="DD1090" s="253" t="s">
        <v>380</v>
      </c>
    </row>
    <row r="1091" spans="1:108" hidden="1">
      <c r="A1091" s="13">
        <v>99773</v>
      </c>
      <c r="B1091" s="13" t="s">
        <v>2580</v>
      </c>
      <c r="C1091" s="13" t="s">
        <v>2575</v>
      </c>
      <c r="D1091" s="13" t="s">
        <v>2576</v>
      </c>
      <c r="E1091" s="13" t="s">
        <v>2581</v>
      </c>
      <c r="F1091" s="14">
        <v>60.416699999999999</v>
      </c>
      <c r="G1091" s="13">
        <v>64.19</v>
      </c>
      <c r="H1091" s="13">
        <v>60.89</v>
      </c>
      <c r="I1091" s="13">
        <v>61.21</v>
      </c>
      <c r="J1091" s="14">
        <v>51.749126803011471</v>
      </c>
      <c r="K1091" s="14">
        <v>46.254515408637424</v>
      </c>
      <c r="L1091" s="14">
        <v>56.366147310167584</v>
      </c>
      <c r="M1091" s="14">
        <v>45.789900000000003</v>
      </c>
      <c r="N1091" s="14">
        <f t="shared" ref="N1091:N1105" si="459">IFERROR(AVERAGE(F1091:I1091),"N.D.")</f>
        <v>61.676674999999996</v>
      </c>
      <c r="O1091" s="14">
        <f t="shared" ref="O1091:O1105" si="460">IFERROR(AVERAGE(J1091:M1091),"N.D.")</f>
        <v>50.039922380454115</v>
      </c>
      <c r="P1091" s="14">
        <f t="shared" si="449"/>
        <v>55.858298690227059</v>
      </c>
      <c r="Q1091" s="14">
        <v>87.281835049628469</v>
      </c>
      <c r="R1091" s="17">
        <f t="shared" ref="R1091:R1105" si="461">IFERROR(MAX($Q$3:$Q$1105)-Q1091,"N.D.")</f>
        <v>12.718164950371531</v>
      </c>
      <c r="S1091" s="14">
        <f t="shared" si="450"/>
        <v>0.2144634845533438</v>
      </c>
      <c r="T1091" s="13">
        <v>0</v>
      </c>
      <c r="U1091" s="13">
        <f t="shared" si="451"/>
        <v>11.979565378327575</v>
      </c>
      <c r="V1091" s="13">
        <f>IF($T1091=1,$AU1091,(VLOOKUP(U1091,'Cortes naturales'!$A$35:$C$39,3,9)))</f>
        <v>5</v>
      </c>
      <c r="W1091" s="13">
        <v>5</v>
      </c>
      <c r="X1091" s="14" t="b">
        <f t="shared" ref="X1091:X1105" si="462">V1091=W1091</f>
        <v>1</v>
      </c>
      <c r="Y1091" s="17">
        <f>IF($T1091=1,$AU1091,VLOOKUP(U1091,'Cortes naturales'!$A$45:$C$49,3,9))</f>
        <v>5</v>
      </c>
      <c r="Z1091" s="14">
        <v>54.397223242500907</v>
      </c>
      <c r="AA1091" s="14">
        <v>0.18385458968060381</v>
      </c>
      <c r="AB1091" s="14">
        <v>10.001179159014209</v>
      </c>
      <c r="AC1091" s="13">
        <v>5</v>
      </c>
      <c r="AD1091" s="13">
        <f t="shared" ref="AD1091:AD1105" si="463">IFERROR(AC1091-Y1091,)</f>
        <v>0</v>
      </c>
      <c r="AE1091" s="14">
        <f t="shared" ref="AE1091:AE1105" si="464">IFERROR(P1091-Z1091,"N.D.")</f>
        <v>1.4610754477261523</v>
      </c>
      <c r="AF1091" s="14">
        <f t="shared" ref="AF1091:AF1105" si="465">IFERROR(S1091-AA1091,"N.D.")</f>
        <v>3.0608894872739989E-2</v>
      </c>
      <c r="AG1091" s="13">
        <f t="shared" ref="AG1091:AG1105" si="466">IFERROR(U1091-AB1091,0)</f>
        <v>1.9783862193133661</v>
      </c>
      <c r="AH1091" s="13">
        <f>IF($T1091=1,$AU1091,VLOOKUP(U1091,'Cortes naturales'!$A$25:$C$29,3,9))</f>
        <v>5</v>
      </c>
      <c r="AI1091" s="13" t="b">
        <f t="shared" ref="AI1091:AI1105" si="467">AH1091=Y1091</f>
        <v>1</v>
      </c>
      <c r="AJ1091" s="13">
        <f t="shared" ref="AJ1091:AJ1105" si="468">IF(AD1091=0,0,IF(AI1091=TRUE,"Efecto ponderador","Cambio en corte"))</f>
        <v>0</v>
      </c>
      <c r="AK1091" s="28">
        <v>0.35881802248113021</v>
      </c>
      <c r="AL1091" s="28">
        <v>19.51870407233875</v>
      </c>
      <c r="AM1091" s="28">
        <v>7.3532401449599286E-2</v>
      </c>
      <c r="AN1091" s="13">
        <v>5</v>
      </c>
      <c r="AO1091" s="33">
        <f t="shared" ref="AO1091:AO1105" si="469">IF(AND(ISNUMBER(AN1091),ISNUMBER(Y1091)),AN1091-Y1091,IF(AN1091="SC- Centro aglomeración",Y1091,IF(OR(AN1091="Bogotá",AN1091="Ciudades grandes"),0,0)))</f>
        <v>0</v>
      </c>
      <c r="AP1091" s="13">
        <f t="shared" si="452"/>
        <v>7.3532401449599289</v>
      </c>
      <c r="AQ1091" s="13">
        <f>IFERROR(VLOOKUP(U1091,'Cortes naturales'!$E$15:$G$19,3,9),U1091)</f>
        <v>5</v>
      </c>
      <c r="AR1091" s="28">
        <f t="shared" ref="AR1091:AR1105" si="470">IFERROR(S1091-AK1091,"N.D.")</f>
        <v>-0.14435453792778641</v>
      </c>
      <c r="AS1091" s="13" t="b">
        <f t="shared" ref="AS1091:AS1105" si="471">AQ1091=Y1091</f>
        <v>1</v>
      </c>
      <c r="AT1091" s="13">
        <f t="shared" si="453"/>
        <v>0</v>
      </c>
      <c r="AU1091" s="13">
        <v>5</v>
      </c>
      <c r="AV1091">
        <f t="shared" ref="AV1091:AV1105" si="472">IF(AND(ISNUMBER(AU1091),ISNUMBER(Y1091)),AU1091-Y1091,IF(AU1091="SC- Centro aglomeración",Y1091,IF(OR(AU1091="Bogotá",AU1091="Ciudades grandes"),0,0)))</f>
        <v>0</v>
      </c>
      <c r="AW1091" s="13">
        <v>0</v>
      </c>
      <c r="AX1091" s="13">
        <v>1</v>
      </c>
      <c r="AY1091" s="13">
        <v>0</v>
      </c>
      <c r="AZ1091" s="13">
        <v>0</v>
      </c>
      <c r="BA1091">
        <v>1</v>
      </c>
      <c r="BB1091" t="s">
        <v>2841</v>
      </c>
      <c r="BC1091">
        <v>4</v>
      </c>
      <c r="BD1091" t="s">
        <v>2919</v>
      </c>
      <c r="BE1091">
        <v>0</v>
      </c>
      <c r="BF1091" s="232" t="s">
        <v>2846</v>
      </c>
      <c r="BG1091" s="232" t="s">
        <v>2846</v>
      </c>
      <c r="BH1091" s="253">
        <v>91.4</v>
      </c>
      <c r="BI1091" s="253">
        <v>87.485608449717176</v>
      </c>
      <c r="BJ1091" s="25">
        <v>17.647241379310348</v>
      </c>
      <c r="BK1091" t="s">
        <v>379</v>
      </c>
      <c r="BL1091">
        <v>1.7444045712066758</v>
      </c>
      <c r="BM1091" t="s">
        <v>383</v>
      </c>
      <c r="BN1091" s="322">
        <v>121799.42507</v>
      </c>
      <c r="BO1091" s="322">
        <v>7401.7188569999998</v>
      </c>
      <c r="BP1091" s="10">
        <v>104385</v>
      </c>
      <c r="BQ1091" s="254">
        <f t="shared" ref="BQ1091:BQ1105" si="473">BN1091/BP1091</f>
        <v>1.1668288074914979</v>
      </c>
      <c r="BR1091" s="254">
        <f t="shared" ref="BR1091:BR1105" si="474">BO1091/BP1091</f>
        <v>7.0907878114671641E-2</v>
      </c>
      <c r="BS1091" s="25">
        <v>45.309526182339653</v>
      </c>
      <c r="BT1091" s="25">
        <v>58.043961624195468</v>
      </c>
      <c r="BU1091" s="25">
        <v>23.239845226112902</v>
      </c>
      <c r="BV1091" s="25">
        <v>99.263247589674393</v>
      </c>
      <c r="BW1091" s="25">
        <v>23.911198261325129</v>
      </c>
      <c r="BX1091" s="25">
        <v>56.46414515558061</v>
      </c>
      <c r="BY1091" s="25">
        <v>24.708686471915779</v>
      </c>
      <c r="BZ1091">
        <v>34</v>
      </c>
      <c r="CA1091">
        <v>0</v>
      </c>
      <c r="CB1091">
        <v>7</v>
      </c>
      <c r="CC1091">
        <v>6518750.5245519998</v>
      </c>
      <c r="CD1091" s="10">
        <v>615935.61737700005</v>
      </c>
      <c r="CE1091" s="255">
        <v>9.4486760163187883E-2</v>
      </c>
      <c r="CF1091" t="str">
        <f>IFERROR(VLOOKUP(CE1091,'Rangos amb etnico'!$A$2:$C$6,3,9),"N.D.")</f>
        <v>0,1% - 30%</v>
      </c>
      <c r="CG1091" s="256">
        <v>1.7919888980575945E-2</v>
      </c>
      <c r="CH1091" s="232">
        <v>3653157.8841800001</v>
      </c>
      <c r="CI1091" s="311">
        <f t="shared" si="454"/>
        <v>0.56040768402178776</v>
      </c>
      <c r="CJ1091" s="232" t="str">
        <f>IFERROR(VLOOKUP(CI1091,'Rangos amb etnico'!$A$2:$C$6,3,9),"N.D.")</f>
        <v>51% - 70%</v>
      </c>
      <c r="CK1091" s="311">
        <f t="shared" si="455"/>
        <v>0.14505428595900921</v>
      </c>
      <c r="CL1091" s="10">
        <v>0</v>
      </c>
      <c r="CM1091" s="255">
        <f t="shared" si="456"/>
        <v>0</v>
      </c>
      <c r="CN1091" s="232">
        <f>IFERROR(VLOOKUP(CM1091,'Rangos amb etnico'!$A$2:$C$6,3,9),"N.D.")</f>
        <v>0</v>
      </c>
      <c r="CO1091" s="311">
        <f t="shared" si="457"/>
        <v>0</v>
      </c>
      <c r="CP1091">
        <v>0.91595182379844853</v>
      </c>
      <c r="CQ1091" t="s">
        <v>2864</v>
      </c>
      <c r="CR1091">
        <f t="shared" ref="CR1091:CR1105" si="475">IF(BY1091&gt;=60,1,0)+IF(M1091&gt;=60,1,0)+IF(I1091&gt;=60,1,0)+IF(OR(CQ1091="Crítico Bajo",CQ1091="Aceptable"),1,0)</f>
        <v>2</v>
      </c>
      <c r="CS1091" t="str">
        <f t="shared" si="458"/>
        <v>No es Candidato</v>
      </c>
      <c r="CT1091">
        <v>1</v>
      </c>
      <c r="CU1091" t="s">
        <v>2836</v>
      </c>
      <c r="CV1091" s="25">
        <v>41.706611633300781</v>
      </c>
      <c r="CW1091" s="25">
        <v>14.353322982788089</v>
      </c>
      <c r="CX1091" s="25">
        <v>47.220737457275391</v>
      </c>
      <c r="CY1091" s="25">
        <v>11.472127914428709</v>
      </c>
      <c r="CZ1091" s="25">
        <v>27.912557601928711</v>
      </c>
      <c r="DA1091" s="25">
        <v>98.297157287597656</v>
      </c>
      <c r="DB1091" s="25">
        <v>50.983768463134773</v>
      </c>
      <c r="DC1091">
        <v>62480</v>
      </c>
      <c r="DD1091" s="253" t="s">
        <v>380</v>
      </c>
    </row>
    <row r="1092" spans="1:108" hidden="1">
      <c r="A1092" s="13">
        <v>95015</v>
      </c>
      <c r="B1092" s="13" t="s">
        <v>2582</v>
      </c>
      <c r="C1092" s="13" t="s">
        <v>2542</v>
      </c>
      <c r="D1092" s="13" t="s">
        <v>2543</v>
      </c>
      <c r="E1092" s="13" t="s">
        <v>927</v>
      </c>
      <c r="F1092" s="14">
        <v>68.450366666666696</v>
      </c>
      <c r="G1092" s="13">
        <v>65.52</v>
      </c>
      <c r="H1092" s="13">
        <v>66.52</v>
      </c>
      <c r="I1092" s="13">
        <v>64.010000000000005</v>
      </c>
      <c r="J1092" s="14">
        <v>57.425513950281555</v>
      </c>
      <c r="K1092" s="14">
        <v>53.499756634122456</v>
      </c>
      <c r="L1092" s="14">
        <v>53.015028548692371</v>
      </c>
      <c r="M1092" s="14">
        <v>57.037799999999997</v>
      </c>
      <c r="N1092" s="14">
        <f t="shared" si="459"/>
        <v>66.125091666666663</v>
      </c>
      <c r="O1092" s="14">
        <f t="shared" si="460"/>
        <v>55.244524783274102</v>
      </c>
      <c r="P1092" s="14">
        <f t="shared" ref="P1092:P1105" si="476">IFERROR(AVERAGE(N1092:O1092),"N.D.")</f>
        <v>60.684808224970382</v>
      </c>
      <c r="Q1092" s="14">
        <v>92.209480666036185</v>
      </c>
      <c r="R1092" s="17">
        <f t="shared" si="461"/>
        <v>7.7905193339638146</v>
      </c>
      <c r="S1092" s="14">
        <f t="shared" ref="S1092:S1105" si="477">IFERROR((0.1+(1-0.1)*(R1092%-0)/(1-0)),"N.D.")</f>
        <v>0.17011467400567434</v>
      </c>
      <c r="T1092" s="13">
        <v>0</v>
      </c>
      <c r="U1092" s="13">
        <f t="shared" ref="U1092:U1105" si="478">$P1092*$S1092</f>
        <v>10.323376368287702</v>
      </c>
      <c r="V1092" s="13">
        <f>IF($T1092=1,$AU1092,(VLOOKUP(U1092,'Cortes naturales'!$A$35:$C$39,3,9)))</f>
        <v>5</v>
      </c>
      <c r="W1092" s="13">
        <v>5</v>
      </c>
      <c r="X1092" s="14" t="b">
        <f t="shared" si="462"/>
        <v>1</v>
      </c>
      <c r="Y1092" s="17">
        <f>IF($T1092=1,$AU1092,VLOOKUP(U1092,'Cortes naturales'!$A$45:$C$49,3,9))</f>
        <v>5</v>
      </c>
      <c r="Z1092" s="14">
        <v>60.468541798917272</v>
      </c>
      <c r="AA1092" s="14">
        <v>0.17757372535081289</v>
      </c>
      <c r="AB1092" s="14">
        <v>10.737624233765086</v>
      </c>
      <c r="AC1092" s="13">
        <v>5</v>
      </c>
      <c r="AD1092" s="13">
        <f t="shared" si="463"/>
        <v>0</v>
      </c>
      <c r="AE1092" s="14">
        <f t="shared" si="464"/>
        <v>0.21626642605311019</v>
      </c>
      <c r="AF1092" s="14">
        <f t="shared" si="465"/>
        <v>-7.4590513451385509E-3</v>
      </c>
      <c r="AG1092" s="13">
        <f t="shared" si="466"/>
        <v>-0.41424786547738357</v>
      </c>
      <c r="AH1092" s="13">
        <f>IF($T1092=1,$AU1092,VLOOKUP(U1092,'Cortes naturales'!$A$25:$C$29,3,9))</f>
        <v>5</v>
      </c>
      <c r="AI1092" s="13" t="b">
        <f t="shared" si="467"/>
        <v>1</v>
      </c>
      <c r="AJ1092" s="13">
        <f t="shared" si="468"/>
        <v>0</v>
      </c>
      <c r="AK1092" s="28">
        <v>0.35881802248113021</v>
      </c>
      <c r="AL1092" s="28">
        <v>21.697202590605059</v>
      </c>
      <c r="AM1092" s="28">
        <v>0.1007831215592204</v>
      </c>
      <c r="AN1092" s="13">
        <v>5</v>
      </c>
      <c r="AO1092" s="33">
        <f t="shared" si="469"/>
        <v>0</v>
      </c>
      <c r="AP1092" s="13">
        <f t="shared" ref="AP1092:AP1105" si="479">IFERROR(AM1092*100,"N.D")</f>
        <v>10.07831215592204</v>
      </c>
      <c r="AQ1092" s="13">
        <f>IFERROR(VLOOKUP(U1092,'Cortes naturales'!$E$15:$G$19,3,9),U1092)</f>
        <v>5</v>
      </c>
      <c r="AR1092" s="28">
        <f t="shared" si="470"/>
        <v>-0.18870334847545586</v>
      </c>
      <c r="AS1092" s="13" t="b">
        <f t="shared" si="471"/>
        <v>1</v>
      </c>
      <c r="AT1092" s="13">
        <f t="shared" ref="AT1092:AT1105" si="480">IF(AO1092=0,0,IF(AS1092=TRUE,"Efecto ponderador","Cambio en corte"))</f>
        <v>0</v>
      </c>
      <c r="AU1092" s="13">
        <v>5</v>
      </c>
      <c r="AV1092">
        <f t="shared" si="472"/>
        <v>0</v>
      </c>
      <c r="AW1092" s="13">
        <v>0</v>
      </c>
      <c r="AX1092" s="13">
        <v>0</v>
      </c>
      <c r="AY1092" s="13">
        <v>0</v>
      </c>
      <c r="AZ1092" s="13">
        <v>1</v>
      </c>
      <c r="BA1092">
        <v>1</v>
      </c>
      <c r="BB1092" t="s">
        <v>2841</v>
      </c>
      <c r="BC1092">
        <v>6</v>
      </c>
      <c r="BD1092" t="s">
        <v>2919</v>
      </c>
      <c r="BE1092">
        <v>1</v>
      </c>
      <c r="BF1092" s="232" t="s">
        <v>2846</v>
      </c>
      <c r="BG1092" s="232" t="s">
        <v>2846</v>
      </c>
      <c r="BH1092" s="253">
        <v>58</v>
      </c>
      <c r="BI1092" s="253">
        <v>40.177215189873415</v>
      </c>
      <c r="BJ1092" s="25">
        <v>20.57416666666667</v>
      </c>
      <c r="BK1092" t="s">
        <v>379</v>
      </c>
      <c r="BL1092">
        <v>31.746387362980936</v>
      </c>
      <c r="BM1092" t="s">
        <v>384</v>
      </c>
      <c r="BN1092" s="322">
        <v>37246.313199999997</v>
      </c>
      <c r="BO1092" s="322">
        <v>2628.2629769999999</v>
      </c>
      <c r="BP1092" s="10">
        <v>9862</v>
      </c>
      <c r="BQ1092" s="254">
        <f t="shared" si="473"/>
        <v>3.7767504765767588</v>
      </c>
      <c r="BR1092" s="254">
        <f t="shared" si="474"/>
        <v>0.26650405364023522</v>
      </c>
      <c r="BS1092" s="25">
        <v>56.729501789595183</v>
      </c>
      <c r="BT1092" s="25">
        <v>95.896707902386268</v>
      </c>
      <c r="BU1092" s="25">
        <v>26.023927613941002</v>
      </c>
      <c r="BV1092" s="25">
        <v>84.982363565274838</v>
      </c>
      <c r="BW1092" s="25">
        <v>61.332236946965622</v>
      </c>
      <c r="BX1092" s="25">
        <v>65.908125217799324</v>
      </c>
      <c r="BY1092" s="25">
        <v>62.501104649668711</v>
      </c>
      <c r="BZ1092">
        <v>7</v>
      </c>
      <c r="CA1092">
        <v>0</v>
      </c>
      <c r="CB1092">
        <v>7</v>
      </c>
      <c r="CC1092">
        <v>1351030.7599830001</v>
      </c>
      <c r="CD1092" s="10">
        <v>1096318.4673649999</v>
      </c>
      <c r="CE1092" s="255">
        <v>0.81146817662300652</v>
      </c>
      <c r="CF1092" t="str">
        <f>IFERROR(VLOOKUP(CE1092,'Rangos amb etnico'!$A$2:$C$6,3,9),"N.D.")</f>
        <v>71% - 100%</v>
      </c>
      <c r="CG1092" s="256">
        <v>3.1896036969252195E-2</v>
      </c>
      <c r="CH1092" s="232">
        <v>117013.61167300001</v>
      </c>
      <c r="CI1092" s="311">
        <f t="shared" ref="CI1092:CI1105" si="481">IFERROR(CH1092/CC1092,"N.D.")</f>
        <v>8.6610619934717387E-2</v>
      </c>
      <c r="CJ1092" s="232" t="str">
        <f>IFERROR(VLOOKUP(CI1092,'Rangos amb etnico'!$A$2:$C$6,3,9),"N.D.")</f>
        <v>0,1% - 30%</v>
      </c>
      <c r="CK1092" s="311">
        <f t="shared" ref="CK1092:CK1105" si="482">IFERROR(CH1092/$CH$1,"N.D.")</f>
        <v>4.646206494992945E-3</v>
      </c>
      <c r="CL1092" s="10">
        <v>26935.855300499901</v>
      </c>
      <c r="CM1092" s="255">
        <f t="shared" ref="CM1092:CM1105" si="483">IFERROR(CL1092/CC1092,"N.D.")</f>
        <v>1.9937262790995842E-2</v>
      </c>
      <c r="CN1092" s="232" t="str">
        <f>IFERROR(VLOOKUP(CM1092,'Rangos amb etnico'!$A$2:$C$6,3,9),"N.D.")</f>
        <v>0,1% - 30%</v>
      </c>
      <c r="CO1092" s="311">
        <f t="shared" ref="CO1092:CO1105" si="484">IFERROR(CL1092/$CL$1,"N.D.")</f>
        <v>1.6891661959261513E-2</v>
      </c>
      <c r="CP1092">
        <v>0.91187244892454977</v>
      </c>
      <c r="CQ1092" t="s">
        <v>2864</v>
      </c>
      <c r="CR1092">
        <f t="shared" si="475"/>
        <v>3</v>
      </c>
      <c r="CS1092" t="str">
        <f t="shared" ref="CS1092:CS1105" si="485">IF(CR1092&gt;=3,"Candidato","No es Candidato")</f>
        <v>Candidato</v>
      </c>
      <c r="CT1092">
        <v>0</v>
      </c>
      <c r="CU1092">
        <v>0</v>
      </c>
      <c r="CV1092" s="25">
        <v>31.81574630737305</v>
      </c>
      <c r="CW1092" s="25">
        <v>11.62090015411377</v>
      </c>
      <c r="CX1092" s="25">
        <v>30.564876556396481</v>
      </c>
      <c r="CY1092" s="25">
        <v>47.002960205078118</v>
      </c>
      <c r="CZ1092" s="25">
        <v>7.929511547088623</v>
      </c>
      <c r="DA1092" s="25">
        <v>39.715068817138672</v>
      </c>
      <c r="DB1092" s="25">
        <v>54.0611572265625</v>
      </c>
      <c r="DC1092">
        <v>1038</v>
      </c>
      <c r="DD1092" s="253" t="s">
        <v>380</v>
      </c>
    </row>
    <row r="1093" spans="1:108" hidden="1">
      <c r="A1093" s="13">
        <v>81220</v>
      </c>
      <c r="B1093" s="13" t="s">
        <v>2583</v>
      </c>
      <c r="C1093" s="13" t="s">
        <v>1568</v>
      </c>
      <c r="D1093" s="13" t="s">
        <v>1569</v>
      </c>
      <c r="E1093" s="13" t="s">
        <v>2584</v>
      </c>
      <c r="F1093" s="14">
        <v>40.476799999999997</v>
      </c>
      <c r="G1093" s="13">
        <v>37.950000000000003</v>
      </c>
      <c r="H1093" s="13">
        <v>52.09</v>
      </c>
      <c r="I1093" s="13">
        <v>61.92</v>
      </c>
      <c r="J1093" s="14">
        <v>22.957512306312751</v>
      </c>
      <c r="K1093" s="14">
        <v>52.029521847592733</v>
      </c>
      <c r="L1093" s="14">
        <v>63.407883003524368</v>
      </c>
      <c r="M1093" s="14">
        <v>43.332500000000003</v>
      </c>
      <c r="N1093" s="14">
        <f t="shared" si="459"/>
        <v>48.109200000000001</v>
      </c>
      <c r="O1093" s="14">
        <f t="shared" si="460"/>
        <v>45.431854289357467</v>
      </c>
      <c r="P1093" s="14">
        <f t="shared" si="476"/>
        <v>46.770527144678738</v>
      </c>
      <c r="Q1093" s="14">
        <v>91.685177562303238</v>
      </c>
      <c r="R1093" s="17">
        <f t="shared" si="461"/>
        <v>8.3148224376967619</v>
      </c>
      <c r="S1093" s="14">
        <f t="shared" si="477"/>
        <v>0.17483340193927088</v>
      </c>
      <c r="T1093" s="13">
        <v>0</v>
      </c>
      <c r="U1093" s="13">
        <f t="shared" si="478"/>
        <v>8.1770503711971969</v>
      </c>
      <c r="V1093" s="13">
        <f>IF($T1093=1,$AU1093,(VLOOKUP(U1093,'Cortes naturales'!$A$35:$C$39,3,9)))</f>
        <v>5</v>
      </c>
      <c r="W1093" s="13">
        <v>5</v>
      </c>
      <c r="X1093" s="14" t="b">
        <f t="shared" si="462"/>
        <v>1</v>
      </c>
      <c r="Y1093" s="17">
        <f>IF($T1093=1,$AU1093,VLOOKUP(U1093,'Cortes naturales'!$A$45:$C$49,3,9))</f>
        <v>5</v>
      </c>
      <c r="Z1093" s="14">
        <v>43.773077825359621</v>
      </c>
      <c r="AA1093" s="14">
        <v>0.1776256037960583</v>
      </c>
      <c r="AB1093" s="14">
        <v>7.7752193787413528</v>
      </c>
      <c r="AC1093" s="13">
        <v>5</v>
      </c>
      <c r="AD1093" s="13">
        <f t="shared" si="463"/>
        <v>0</v>
      </c>
      <c r="AE1093" s="14">
        <f t="shared" si="464"/>
        <v>2.9974493193191165</v>
      </c>
      <c r="AF1093" s="14">
        <f t="shared" si="465"/>
        <v>-2.792201856787413E-3</v>
      </c>
      <c r="AG1093" s="13">
        <f t="shared" si="466"/>
        <v>0.40183099245584408</v>
      </c>
      <c r="AH1093" s="13">
        <f>IF($T1093=1,$AU1093,VLOOKUP(U1093,'Cortes naturales'!$A$25:$C$29,3,9))</f>
        <v>5</v>
      </c>
      <c r="AI1093" s="13" t="b">
        <f t="shared" si="467"/>
        <v>1</v>
      </c>
      <c r="AJ1093" s="13">
        <f t="shared" si="468"/>
        <v>0</v>
      </c>
      <c r="AK1093" s="28">
        <v>0.35881802248113021</v>
      </c>
      <c r="AL1093" s="28">
        <v>15.706569223208151</v>
      </c>
      <c r="AM1093" s="28">
        <v>2.5846612855874185E-2</v>
      </c>
      <c r="AN1093" s="13">
        <v>5</v>
      </c>
      <c r="AO1093" s="33">
        <f t="shared" si="469"/>
        <v>0</v>
      </c>
      <c r="AP1093" s="13">
        <f t="shared" si="479"/>
        <v>2.5846612855874187</v>
      </c>
      <c r="AQ1093" s="13">
        <f>IFERROR(VLOOKUP(U1093,'Cortes naturales'!$E$15:$G$19,3,9),U1093)</f>
        <v>5</v>
      </c>
      <c r="AR1093" s="28">
        <f t="shared" si="470"/>
        <v>-0.18398462054185932</v>
      </c>
      <c r="AS1093" s="13" t="b">
        <f t="shared" si="471"/>
        <v>1</v>
      </c>
      <c r="AT1093" s="13">
        <f t="shared" si="480"/>
        <v>0</v>
      </c>
      <c r="AU1093" s="13">
        <v>5</v>
      </c>
      <c r="AV1093">
        <f t="shared" si="472"/>
        <v>0</v>
      </c>
      <c r="AW1093" s="13">
        <v>0</v>
      </c>
      <c r="AX1093" s="13">
        <v>0</v>
      </c>
      <c r="AY1093" s="13">
        <v>0</v>
      </c>
      <c r="AZ1093" s="13">
        <v>0</v>
      </c>
      <c r="BA1093">
        <v>1</v>
      </c>
      <c r="BB1093" t="s">
        <v>2841</v>
      </c>
      <c r="BC1093">
        <v>6</v>
      </c>
      <c r="BD1093" t="s">
        <v>2919</v>
      </c>
      <c r="BE1093">
        <v>0</v>
      </c>
      <c r="BF1093" s="232" t="s">
        <v>2846</v>
      </c>
      <c r="BG1093" s="232" t="s">
        <v>2846</v>
      </c>
      <c r="BH1093" s="253">
        <v>48.8</v>
      </c>
      <c r="BI1093" s="253">
        <v>29.829857299670692</v>
      </c>
      <c r="BJ1093" s="25">
        <v>0.96714285714285708</v>
      </c>
      <c r="BK1093" t="s">
        <v>381</v>
      </c>
      <c r="BL1093">
        <v>3.5209848081148678</v>
      </c>
      <c r="BM1093" t="s">
        <v>383</v>
      </c>
      <c r="BN1093" s="322">
        <v>17369.928142000001</v>
      </c>
      <c r="BO1093" s="322">
        <v>865.60091</v>
      </c>
      <c r="BP1093" s="10">
        <v>4135</v>
      </c>
      <c r="BQ1093" s="254">
        <f t="shared" si="473"/>
        <v>4.2007081359129383</v>
      </c>
      <c r="BR1093" s="254">
        <f t="shared" si="474"/>
        <v>0.20933516565900848</v>
      </c>
      <c r="BS1093" s="25">
        <v>62.497052154195011</v>
      </c>
      <c r="BT1093" s="25">
        <v>90.579105513905688</v>
      </c>
      <c r="BU1093" s="25">
        <v>27.204415357766131</v>
      </c>
      <c r="BV1093" s="25">
        <v>91.058159989897717</v>
      </c>
      <c r="BW1093" s="25">
        <v>46.125493118864028</v>
      </c>
      <c r="BX1093" s="25">
        <v>67.834683253941137</v>
      </c>
      <c r="BY1093" s="25">
        <v>48.739214873664011</v>
      </c>
      <c r="BZ1093">
        <v>53</v>
      </c>
      <c r="CA1093">
        <v>0</v>
      </c>
      <c r="CB1093">
        <v>7</v>
      </c>
      <c r="CC1093">
        <v>518913.96787300002</v>
      </c>
      <c r="CD1093" s="10">
        <v>206810.71764799999</v>
      </c>
      <c r="CE1093" s="255">
        <v>0.39854528968589115</v>
      </c>
      <c r="CF1093" t="str">
        <f>IFERROR(VLOOKUP(CE1093,'Rangos amb etnico'!$A$2:$C$6,3,9),"N.D.")</f>
        <v>31% - 50%</v>
      </c>
      <c r="CG1093" s="256">
        <v>6.0169033835512468E-3</v>
      </c>
      <c r="CH1093" s="232">
        <v>1971.412499</v>
      </c>
      <c r="CI1093" s="311">
        <f t="shared" si="481"/>
        <v>3.7991124175761003E-3</v>
      </c>
      <c r="CJ1093" s="232" t="str">
        <f>IFERROR(VLOOKUP(CI1093,'Rangos amb etnico'!$A$2:$C$6,3,9),"N.D.")</f>
        <v>0,1% - 30%</v>
      </c>
      <c r="CK1093" s="311">
        <f t="shared" si="482"/>
        <v>7.8277983443165333E-5</v>
      </c>
      <c r="CL1093" s="10">
        <v>0</v>
      </c>
      <c r="CM1093" s="255">
        <f t="shared" si="483"/>
        <v>0</v>
      </c>
      <c r="CN1093" s="232">
        <f>IFERROR(VLOOKUP(CM1093,'Rangos amb etnico'!$A$2:$C$6,3,9),"N.D.")</f>
        <v>0</v>
      </c>
      <c r="CO1093" s="311">
        <f t="shared" si="484"/>
        <v>0</v>
      </c>
      <c r="CP1093">
        <v>0.87524177595576336</v>
      </c>
      <c r="CQ1093" t="s">
        <v>2864</v>
      </c>
      <c r="CR1093">
        <f t="shared" si="475"/>
        <v>2</v>
      </c>
      <c r="CS1093" t="str">
        <f t="shared" si="485"/>
        <v>No es Candidato</v>
      </c>
      <c r="CT1093">
        <v>1</v>
      </c>
      <c r="CU1093" t="s">
        <v>2837</v>
      </c>
      <c r="CV1093" s="25">
        <v>40.125888824462891</v>
      </c>
      <c r="CW1093" s="25">
        <v>10.0478515625</v>
      </c>
      <c r="CX1093" s="25">
        <v>42.560161590576172</v>
      </c>
      <c r="CY1093" s="25">
        <v>67.763298034667969</v>
      </c>
      <c r="CZ1093" s="25">
        <v>26.330812454223629</v>
      </c>
      <c r="DA1093" s="25">
        <v>23.63767242431641</v>
      </c>
      <c r="DB1093" s="25">
        <v>70.415542602539063</v>
      </c>
      <c r="DC1093">
        <v>156</v>
      </c>
      <c r="DD1093" s="253" t="s">
        <v>380</v>
      </c>
    </row>
    <row r="1094" spans="1:108" hidden="1">
      <c r="A1094" s="13">
        <v>94343</v>
      </c>
      <c r="B1094" s="13" t="s">
        <v>2585</v>
      </c>
      <c r="C1094" s="13" t="s">
        <v>2586</v>
      </c>
      <c r="D1094" s="13" t="s">
        <v>2587</v>
      </c>
      <c r="E1094" s="13" t="s">
        <v>2588</v>
      </c>
      <c r="F1094" s="14" t="s">
        <v>380</v>
      </c>
      <c r="G1094" s="14" t="s">
        <v>380</v>
      </c>
      <c r="H1094" s="13">
        <v>33.6</v>
      </c>
      <c r="I1094" s="13">
        <v>37.94</v>
      </c>
      <c r="J1094" s="14" t="s">
        <v>380</v>
      </c>
      <c r="K1094" s="14">
        <v>37.541107949222791</v>
      </c>
      <c r="L1094" s="14">
        <v>47.317240268506097</v>
      </c>
      <c r="M1094" s="14">
        <v>40.499000000000002</v>
      </c>
      <c r="N1094" s="14">
        <f t="shared" si="459"/>
        <v>35.769999999999996</v>
      </c>
      <c r="O1094" s="14">
        <f t="shared" si="460"/>
        <v>41.785782739242961</v>
      </c>
      <c r="P1094" s="14">
        <f t="shared" si="476"/>
        <v>38.777891369621479</v>
      </c>
      <c r="Q1094" s="14">
        <v>94.201902313855726</v>
      </c>
      <c r="R1094" s="17">
        <f t="shared" si="461"/>
        <v>5.7980976861442741</v>
      </c>
      <c r="S1094" s="14">
        <f t="shared" si="477"/>
        <v>0.15218287917529846</v>
      </c>
      <c r="T1094" s="13">
        <v>0</v>
      </c>
      <c r="U1094" s="13">
        <f t="shared" si="478"/>
        <v>5.9013311569759548</v>
      </c>
      <c r="V1094" s="13">
        <f>IF($T1094=1,$AU1094,(VLOOKUP(U1094,'Cortes naturales'!$A$35:$C$39,3,9)))</f>
        <v>5</v>
      </c>
      <c r="W1094" s="13">
        <v>5</v>
      </c>
      <c r="X1094" s="14" t="b">
        <f t="shared" si="462"/>
        <v>1</v>
      </c>
      <c r="Y1094" s="17">
        <f>IF($T1094=1,$AU1094,VLOOKUP(U1094,'Cortes naturales'!$A$45:$C$49,3,9))</f>
        <v>5</v>
      </c>
      <c r="Z1094" s="14">
        <v>38.014587054432226</v>
      </c>
      <c r="AA1094" s="14">
        <v>0.17254658869228745</v>
      </c>
      <c r="AB1094" s="14">
        <v>6.5592873167882724</v>
      </c>
      <c r="AC1094" s="13">
        <v>5</v>
      </c>
      <c r="AD1094" s="13">
        <f t="shared" si="463"/>
        <v>0</v>
      </c>
      <c r="AE1094" s="14">
        <f t="shared" si="464"/>
        <v>0.76330431518925224</v>
      </c>
      <c r="AF1094" s="14">
        <f t="shared" si="465"/>
        <v>-2.0363709516988987E-2</v>
      </c>
      <c r="AG1094" s="13">
        <f t="shared" si="466"/>
        <v>-0.65795615981231759</v>
      </c>
      <c r="AH1094" s="13">
        <f>IF($T1094=1,$AU1094,VLOOKUP(U1094,'Cortes naturales'!$A$25:$C$29,3,9))</f>
        <v>5</v>
      </c>
      <c r="AI1094" s="13" t="b">
        <f t="shared" si="467"/>
        <v>1</v>
      </c>
      <c r="AJ1094" s="13">
        <f t="shared" si="468"/>
        <v>0</v>
      </c>
      <c r="AK1094" s="28">
        <v>0.35881802248113021</v>
      </c>
      <c r="AL1094" s="28">
        <v>13.640318952308144</v>
      </c>
      <c r="AM1094" s="28">
        <v>0</v>
      </c>
      <c r="AN1094" s="13">
        <v>5</v>
      </c>
      <c r="AO1094" s="33">
        <f t="shared" si="469"/>
        <v>0</v>
      </c>
      <c r="AP1094" s="13">
        <f>IFERROR(AM1094*100,"N.D")</f>
        <v>0</v>
      </c>
      <c r="AQ1094" s="13">
        <f>IFERROR(VLOOKUP(U1094,'Cortes naturales'!$E$15:$G$19,3,9),U1094)</f>
        <v>5</v>
      </c>
      <c r="AR1094" s="28">
        <f t="shared" si="470"/>
        <v>-0.20663514330583174</v>
      </c>
      <c r="AS1094" s="13" t="b">
        <f t="shared" si="471"/>
        <v>1</v>
      </c>
      <c r="AT1094" s="13">
        <f t="shared" si="480"/>
        <v>0</v>
      </c>
      <c r="AU1094" s="13">
        <v>5</v>
      </c>
      <c r="AV1094">
        <f t="shared" si="472"/>
        <v>0</v>
      </c>
      <c r="AW1094" s="13">
        <v>0</v>
      </c>
      <c r="AX1094" s="13">
        <v>0</v>
      </c>
      <c r="AY1094" s="13">
        <v>0</v>
      </c>
      <c r="AZ1094" s="13">
        <v>0</v>
      </c>
      <c r="BA1094">
        <v>0</v>
      </c>
      <c r="BB1094" t="s">
        <v>2841</v>
      </c>
      <c r="BC1094">
        <v>6</v>
      </c>
      <c r="BD1094" t="s">
        <v>2919</v>
      </c>
      <c r="BE1094">
        <v>0</v>
      </c>
      <c r="BF1094" s="232" t="s">
        <v>2846</v>
      </c>
      <c r="BG1094" s="232" t="s">
        <v>2846</v>
      </c>
      <c r="BH1094" s="253">
        <v>86.5</v>
      </c>
      <c r="BI1094" s="253">
        <v>76.260667183863461</v>
      </c>
      <c r="BJ1094" s="25" t="s">
        <v>2849</v>
      </c>
      <c r="BK1094" t="s">
        <v>2849</v>
      </c>
      <c r="BL1094">
        <v>3.9361180229749313</v>
      </c>
      <c r="BM1094" t="s">
        <v>383</v>
      </c>
      <c r="BN1094" s="322">
        <v>24421.997298999999</v>
      </c>
      <c r="BO1094" s="322">
        <v>936.66535899999997</v>
      </c>
      <c r="BP1094" s="10">
        <v>11359</v>
      </c>
      <c r="BQ1094" s="254">
        <f t="shared" si="473"/>
        <v>2.1500129676027817</v>
      </c>
      <c r="BR1094" s="254">
        <f t="shared" si="474"/>
        <v>8.2460195351703486E-2</v>
      </c>
      <c r="BS1094" s="25">
        <v>55.933728523534832</v>
      </c>
      <c r="BT1094" s="25">
        <v>86.418680978214255</v>
      </c>
      <c r="BU1094" s="25">
        <v>26.66533148319456</v>
      </c>
      <c r="BV1094" s="25">
        <v>100.2301119336158</v>
      </c>
      <c r="BW1094" s="25">
        <v>25.24106181543841</v>
      </c>
      <c r="BX1094" s="25">
        <v>67.311963229639872</v>
      </c>
      <c r="BY1094" s="25">
        <v>28.216047069849619</v>
      </c>
      <c r="BZ1094">
        <v>34</v>
      </c>
      <c r="CA1094">
        <v>0</v>
      </c>
      <c r="CB1094">
        <v>7</v>
      </c>
      <c r="CC1094">
        <v>1434308.4278220001</v>
      </c>
      <c r="CD1094" s="10">
        <v>491129.89686899999</v>
      </c>
      <c r="CE1094" s="255">
        <v>0.34241582029520778</v>
      </c>
      <c r="CF1094" t="str">
        <f>IFERROR(VLOOKUP(CE1094,'Rangos amb etnico'!$A$2:$C$6,3,9),"N.D.")</f>
        <v>31% - 50%</v>
      </c>
      <c r="CG1094" s="256">
        <v>1.428882009521347E-2</v>
      </c>
      <c r="CH1094" s="232">
        <v>894454.85800999997</v>
      </c>
      <c r="CI1094" s="311">
        <f t="shared" si="481"/>
        <v>0.6236140293536665</v>
      </c>
      <c r="CJ1094" s="232" t="str">
        <f>IFERROR(VLOOKUP(CI1094,'Rangos amb etnico'!$A$2:$C$6,3,9),"N.D.")</f>
        <v>51% - 70%</v>
      </c>
      <c r="CK1094" s="311">
        <f t="shared" si="482"/>
        <v>3.5515714038275241E-2</v>
      </c>
      <c r="CL1094" s="10">
        <v>0</v>
      </c>
      <c r="CM1094" s="255">
        <f t="shared" si="483"/>
        <v>0</v>
      </c>
      <c r="CN1094" s="232">
        <f>IFERROR(VLOOKUP(CM1094,'Rangos amb etnico'!$A$2:$C$6,3,9),"N.D.")</f>
        <v>0</v>
      </c>
      <c r="CO1094" s="311">
        <f t="shared" si="484"/>
        <v>0</v>
      </c>
      <c r="CP1094">
        <v>0.94699853793794153</v>
      </c>
      <c r="CQ1094" t="s">
        <v>2864</v>
      </c>
      <c r="CR1094">
        <f t="shared" si="475"/>
        <v>1</v>
      </c>
      <c r="CS1094" t="str">
        <f t="shared" si="485"/>
        <v>No es Candidato</v>
      </c>
      <c r="CT1094">
        <v>0</v>
      </c>
      <c r="CU1094">
        <v>0</v>
      </c>
      <c r="CV1094" s="25">
        <v>43.838603973388672</v>
      </c>
      <c r="CW1094" s="25">
        <v>8.7839632034301758</v>
      </c>
      <c r="CX1094" s="25">
        <v>38.001197814941413</v>
      </c>
      <c r="CY1094" s="25">
        <v>15.75922203063965</v>
      </c>
      <c r="CZ1094" s="25">
        <v>37.861827850341797</v>
      </c>
      <c r="DA1094" s="25">
        <v>100</v>
      </c>
      <c r="DB1094" s="25">
        <v>62.625415802001953</v>
      </c>
      <c r="DC1094">
        <v>6949</v>
      </c>
      <c r="DD1094" s="253" t="s">
        <v>380</v>
      </c>
    </row>
    <row r="1095" spans="1:108" hidden="1">
      <c r="A1095" s="13">
        <v>50325</v>
      </c>
      <c r="B1095" s="13" t="s">
        <v>2589</v>
      </c>
      <c r="C1095" s="13" t="s">
        <v>605</v>
      </c>
      <c r="D1095" s="13" t="s">
        <v>606</v>
      </c>
      <c r="E1095" s="13" t="s">
        <v>2590</v>
      </c>
      <c r="F1095" s="14">
        <v>55.433199999999999</v>
      </c>
      <c r="G1095" s="13">
        <v>43.81</v>
      </c>
      <c r="H1095" s="13">
        <v>40.42</v>
      </c>
      <c r="I1095" s="13">
        <v>44.68</v>
      </c>
      <c r="J1095" s="14">
        <v>51.474242508585519</v>
      </c>
      <c r="K1095" s="14">
        <v>48.284295413091932</v>
      </c>
      <c r="L1095" s="14">
        <v>54.322783369003602</v>
      </c>
      <c r="M1095" s="14">
        <v>49.997700000000002</v>
      </c>
      <c r="N1095" s="14">
        <f t="shared" si="459"/>
        <v>46.085800000000006</v>
      </c>
      <c r="O1095" s="14">
        <f t="shared" si="460"/>
        <v>51.019755322670264</v>
      </c>
      <c r="P1095" s="14">
        <f t="shared" si="476"/>
        <v>48.552777661335135</v>
      </c>
      <c r="Q1095" s="14">
        <v>94.051198230338002</v>
      </c>
      <c r="R1095" s="17">
        <f t="shared" si="461"/>
        <v>5.9488017696619977</v>
      </c>
      <c r="S1095" s="14">
        <f t="shared" si="477"/>
        <v>0.15353921592695799</v>
      </c>
      <c r="T1095" s="13">
        <v>0</v>
      </c>
      <c r="U1095" s="13">
        <f t="shared" si="478"/>
        <v>7.4547554131973177</v>
      </c>
      <c r="V1095" s="13">
        <f>IF($T1095=1,$AU1095,(VLOOKUP(U1095,'Cortes naturales'!$A$35:$C$39,3,9)))</f>
        <v>5</v>
      </c>
      <c r="W1095" s="13">
        <v>5</v>
      </c>
      <c r="X1095" s="14" t="b">
        <f t="shared" si="462"/>
        <v>1</v>
      </c>
      <c r="Y1095" s="17">
        <f>IF($T1095=1,$AU1095,VLOOKUP(U1095,'Cortes naturales'!$A$45:$C$49,3,9))</f>
        <v>5</v>
      </c>
      <c r="Z1095" s="14">
        <v>49.901336886953878</v>
      </c>
      <c r="AA1095" s="14">
        <v>0.15350740159998302</v>
      </c>
      <c r="AB1095" s="14">
        <v>7.6602245618816758</v>
      </c>
      <c r="AC1095" s="13">
        <v>5</v>
      </c>
      <c r="AD1095" s="13">
        <f t="shared" si="463"/>
        <v>0</v>
      </c>
      <c r="AE1095" s="14">
        <f t="shared" si="464"/>
        <v>-1.3485592256187431</v>
      </c>
      <c r="AF1095" s="14">
        <f t="shared" si="465"/>
        <v>3.1814326974966001E-5</v>
      </c>
      <c r="AG1095" s="13">
        <f t="shared" si="466"/>
        <v>-0.20546914868435806</v>
      </c>
      <c r="AH1095" s="13">
        <f>IF($T1095=1,$AU1095,VLOOKUP(U1095,'Cortes naturales'!$A$25:$C$29,3,9))</f>
        <v>5</v>
      </c>
      <c r="AI1095" s="13" t="b">
        <f t="shared" si="467"/>
        <v>1</v>
      </c>
      <c r="AJ1095" s="13">
        <f t="shared" si="468"/>
        <v>0</v>
      </c>
      <c r="AK1095" s="28">
        <v>0.35881802248113021</v>
      </c>
      <c r="AL1095" s="28">
        <v>17.90549902094147</v>
      </c>
      <c r="AM1095" s="28">
        <v>5.3352906735029001E-2</v>
      </c>
      <c r="AN1095" s="13">
        <v>5</v>
      </c>
      <c r="AO1095" s="33">
        <f t="shared" si="469"/>
        <v>0</v>
      </c>
      <c r="AP1095" s="13">
        <f t="shared" si="479"/>
        <v>5.3352906735029002</v>
      </c>
      <c r="AQ1095" s="13">
        <f>IFERROR(VLOOKUP(U1095,'Cortes naturales'!$E$15:$G$19,3,9),U1095)</f>
        <v>5</v>
      </c>
      <c r="AR1095" s="28">
        <f t="shared" si="470"/>
        <v>-0.20527880655417222</v>
      </c>
      <c r="AS1095" s="13" t="b">
        <f t="shared" si="471"/>
        <v>1</v>
      </c>
      <c r="AT1095" s="13">
        <f t="shared" si="480"/>
        <v>0</v>
      </c>
      <c r="AU1095" s="13">
        <v>5</v>
      </c>
      <c r="AV1095">
        <f t="shared" si="472"/>
        <v>0</v>
      </c>
      <c r="AW1095" s="13">
        <v>0</v>
      </c>
      <c r="AX1095" s="13">
        <v>0</v>
      </c>
      <c r="AY1095" s="13">
        <v>0</v>
      </c>
      <c r="AZ1095" s="13">
        <v>1</v>
      </c>
      <c r="BA1095">
        <v>1</v>
      </c>
      <c r="BB1095" t="s">
        <v>2841</v>
      </c>
      <c r="BC1095">
        <v>6</v>
      </c>
      <c r="BD1095" t="s">
        <v>2919</v>
      </c>
      <c r="BE1095">
        <v>0</v>
      </c>
      <c r="BF1095" s="232" t="s">
        <v>2846</v>
      </c>
      <c r="BG1095" s="232" t="s">
        <v>2846</v>
      </c>
      <c r="BH1095" s="253">
        <v>64.2</v>
      </c>
      <c r="BI1095" s="253">
        <v>52.549427679500518</v>
      </c>
      <c r="BJ1095" s="25">
        <v>26.01</v>
      </c>
      <c r="BK1095" t="s">
        <v>379</v>
      </c>
      <c r="BL1095">
        <v>43.876309032001231</v>
      </c>
      <c r="BM1095" t="s">
        <v>384</v>
      </c>
      <c r="BN1095" s="322">
        <v>32704.053543999999</v>
      </c>
      <c r="BO1095" s="322">
        <v>2473.9728479999999</v>
      </c>
      <c r="BP1095" s="10">
        <v>7280</v>
      </c>
      <c r="BQ1095" s="254">
        <f t="shared" si="473"/>
        <v>4.4923150472527471</v>
      </c>
      <c r="BR1095" s="254">
        <f t="shared" si="474"/>
        <v>0.33983143516483516</v>
      </c>
      <c r="BS1095" s="25">
        <v>65.117115884153293</v>
      </c>
      <c r="BT1095" s="25">
        <v>92.408772857142864</v>
      </c>
      <c r="BU1095" s="25">
        <v>20.49194616977223</v>
      </c>
      <c r="BV1095" s="25">
        <v>79.740531174627861</v>
      </c>
      <c r="BW1095" s="25">
        <v>35.796496204858713</v>
      </c>
      <c r="BX1095" s="25">
        <v>64.439591521424063</v>
      </c>
      <c r="BY1095" s="25">
        <v>36.892545591323767</v>
      </c>
      <c r="BZ1095">
        <v>7</v>
      </c>
      <c r="CA1095">
        <v>0</v>
      </c>
      <c r="CB1095">
        <v>7</v>
      </c>
      <c r="CC1095">
        <v>1191742.6013480001</v>
      </c>
      <c r="CD1095" s="10">
        <v>12946.714884999999</v>
      </c>
      <c r="CE1095" s="255">
        <v>1.0863683878008349E-2</v>
      </c>
      <c r="CF1095" t="str">
        <f>IFERROR(VLOOKUP(CE1095,'Rangos amb etnico'!$A$2:$C$6,3,9),"N.D.")</f>
        <v>0,1% - 30%</v>
      </c>
      <c r="CG1095" s="256">
        <v>3.7666874078555825E-4</v>
      </c>
      <c r="CH1095" s="232">
        <v>38790.738138000001</v>
      </c>
      <c r="CI1095" s="311">
        <f t="shared" si="481"/>
        <v>3.2549594261481588E-2</v>
      </c>
      <c r="CJ1095" s="232" t="str">
        <f>IFERROR(VLOOKUP(CI1095,'Rangos amb etnico'!$A$2:$C$6,3,9),"N.D.")</f>
        <v>0,1% - 30%</v>
      </c>
      <c r="CK1095" s="311">
        <f t="shared" si="482"/>
        <v>1.5402462748180668E-3</v>
      </c>
      <c r="CL1095" s="10">
        <v>60.3225347172</v>
      </c>
      <c r="CM1095" s="255">
        <f t="shared" si="483"/>
        <v>5.0617083461620122E-5</v>
      </c>
      <c r="CN1095" s="232">
        <f>IFERROR(VLOOKUP(CM1095,'Rangos amb etnico'!$A$2:$C$6,3,9),"N.D.")</f>
        <v>0</v>
      </c>
      <c r="CO1095" s="311">
        <f t="shared" si="484"/>
        <v>3.7828680530142605E-5</v>
      </c>
      <c r="CP1095">
        <v>0.96100327792572204</v>
      </c>
      <c r="CQ1095" t="s">
        <v>2864</v>
      </c>
      <c r="CR1095">
        <f t="shared" si="475"/>
        <v>1</v>
      </c>
      <c r="CS1095" t="str">
        <f t="shared" si="485"/>
        <v>No es Candidato</v>
      </c>
      <c r="CT1095">
        <v>0</v>
      </c>
      <c r="CU1095">
        <v>0</v>
      </c>
      <c r="CV1095" s="25">
        <v>29.511842727661129</v>
      </c>
      <c r="CW1095" s="25">
        <v>11.226718902587891</v>
      </c>
      <c r="CX1095" s="25">
        <v>42.761016845703118</v>
      </c>
      <c r="CY1095" s="25">
        <v>34.780330657958977</v>
      </c>
      <c r="CZ1095" s="25">
        <v>13.55855655670166</v>
      </c>
      <c r="DA1095" s="25">
        <v>35.141319274902337</v>
      </c>
      <c r="DB1095" s="25">
        <v>39.603118896484382</v>
      </c>
      <c r="DC1095">
        <v>2332</v>
      </c>
      <c r="DD1095" s="253" t="s">
        <v>380</v>
      </c>
    </row>
    <row r="1096" spans="1:108" hidden="1">
      <c r="A1096" s="13">
        <v>95200</v>
      </c>
      <c r="B1096" s="13" t="s">
        <v>2591</v>
      </c>
      <c r="C1096" s="13" t="s">
        <v>2542</v>
      </c>
      <c r="D1096" s="13" t="s">
        <v>2543</v>
      </c>
      <c r="E1096" s="13" t="s">
        <v>1883</v>
      </c>
      <c r="F1096" s="14">
        <v>50.5300333333333</v>
      </c>
      <c r="G1096" s="13">
        <v>76.87</v>
      </c>
      <c r="H1096" s="13">
        <v>59.88</v>
      </c>
      <c r="I1096" s="13">
        <v>62.5</v>
      </c>
      <c r="J1096" s="14">
        <v>35.870180651265812</v>
      </c>
      <c r="K1096" s="14">
        <v>39.060214451831484</v>
      </c>
      <c r="L1096" s="14">
        <v>46.229803745271475</v>
      </c>
      <c r="M1096" s="14">
        <v>40.946300000000001</v>
      </c>
      <c r="N1096" s="14">
        <f t="shared" si="459"/>
        <v>62.445008333333327</v>
      </c>
      <c r="O1096" s="14">
        <f t="shared" si="460"/>
        <v>40.526624712092193</v>
      </c>
      <c r="P1096" s="14">
        <f t="shared" si="476"/>
        <v>51.48581652271276</v>
      </c>
      <c r="Q1096" s="14">
        <v>96.347955607288668</v>
      </c>
      <c r="R1096" s="17">
        <f t="shared" si="461"/>
        <v>3.652044392711332</v>
      </c>
      <c r="S1096" s="14">
        <f t="shared" si="477"/>
        <v>0.13286839953440199</v>
      </c>
      <c r="T1096" s="13">
        <v>0</v>
      </c>
      <c r="U1096" s="13">
        <f t="shared" si="478"/>
        <v>6.8408380400947149</v>
      </c>
      <c r="V1096" s="13">
        <f>IF($T1096=1,$AU1096,(VLOOKUP(U1096,'Cortes naturales'!$A$35:$C$39,3,9)))</f>
        <v>5</v>
      </c>
      <c r="W1096" s="13">
        <v>5</v>
      </c>
      <c r="X1096" s="14" t="b">
        <f t="shared" si="462"/>
        <v>1</v>
      </c>
      <c r="Y1096" s="17">
        <f>IF($T1096=1,$AU1096,VLOOKUP(U1096,'Cortes naturales'!$A$45:$C$49,3,9))</f>
        <v>5</v>
      </c>
      <c r="Z1096" s="14">
        <v>51.230828337195305</v>
      </c>
      <c r="AA1096" s="14">
        <v>0.13740568253456856</v>
      </c>
      <c r="AB1096" s="14">
        <v>7.0394069344836367</v>
      </c>
      <c r="AC1096" s="13">
        <v>5</v>
      </c>
      <c r="AD1096" s="13">
        <f t="shared" si="463"/>
        <v>0</v>
      </c>
      <c r="AE1096" s="14">
        <f t="shared" si="464"/>
        <v>0.25498818551745472</v>
      </c>
      <c r="AF1096" s="14">
        <f t="shared" si="465"/>
        <v>-4.5372830001665643E-3</v>
      </c>
      <c r="AG1096" s="13">
        <f t="shared" si="466"/>
        <v>-0.19856889438892189</v>
      </c>
      <c r="AH1096" s="13">
        <f>IF($T1096=1,$AU1096,VLOOKUP(U1096,'Cortes naturales'!$A$25:$C$29,3,9))</f>
        <v>5</v>
      </c>
      <c r="AI1096" s="13" t="b">
        <f t="shared" si="467"/>
        <v>1</v>
      </c>
      <c r="AJ1096" s="13">
        <f t="shared" si="468"/>
        <v>0</v>
      </c>
      <c r="AK1096" s="28">
        <v>0.35881802248113021</v>
      </c>
      <c r="AL1096" s="28">
        <v>18.382544514022669</v>
      </c>
      <c r="AM1096" s="28">
        <v>5.9320243000126609E-2</v>
      </c>
      <c r="AN1096" s="13">
        <v>5</v>
      </c>
      <c r="AO1096" s="33">
        <f t="shared" si="469"/>
        <v>0</v>
      </c>
      <c r="AP1096" s="13">
        <f t="shared" si="479"/>
        <v>5.9320243000126611</v>
      </c>
      <c r="AQ1096" s="13">
        <f>IFERROR(VLOOKUP(U1096,'Cortes naturales'!$E$15:$G$19,3,9),U1096)</f>
        <v>5</v>
      </c>
      <c r="AR1096" s="28">
        <f t="shared" si="470"/>
        <v>-0.22594962294672821</v>
      </c>
      <c r="AS1096" s="13" t="b">
        <f t="shared" si="471"/>
        <v>1</v>
      </c>
      <c r="AT1096" s="13">
        <f t="shared" si="480"/>
        <v>0</v>
      </c>
      <c r="AU1096" s="13">
        <v>5</v>
      </c>
      <c r="AV1096">
        <f t="shared" si="472"/>
        <v>0</v>
      </c>
      <c r="AW1096" s="13">
        <v>0</v>
      </c>
      <c r="AX1096" s="13">
        <v>0</v>
      </c>
      <c r="AY1096" s="13">
        <v>0</v>
      </c>
      <c r="AZ1096" s="13">
        <v>1</v>
      </c>
      <c r="BA1096">
        <v>1</v>
      </c>
      <c r="BB1096" t="s">
        <v>2841</v>
      </c>
      <c r="BC1096">
        <v>6</v>
      </c>
      <c r="BD1096" t="s">
        <v>2919</v>
      </c>
      <c r="BE1096">
        <v>0</v>
      </c>
      <c r="BF1096" s="232" t="s">
        <v>2846</v>
      </c>
      <c r="BG1096" s="232" t="s">
        <v>2846</v>
      </c>
      <c r="BH1096" s="253">
        <v>66.7</v>
      </c>
      <c r="BI1096" s="253">
        <v>40.069599801143426</v>
      </c>
      <c r="BJ1096" s="25">
        <v>14.588461538461541</v>
      </c>
      <c r="BK1096" t="s">
        <v>379</v>
      </c>
      <c r="BL1096">
        <v>54.868442268708762</v>
      </c>
      <c r="BM1096" t="s">
        <v>384</v>
      </c>
      <c r="BN1096" s="322">
        <v>27726.830729000001</v>
      </c>
      <c r="BO1096" s="322">
        <v>1623.977981</v>
      </c>
      <c r="BP1096" s="10">
        <v>7049</v>
      </c>
      <c r="BQ1096" s="254">
        <f t="shared" si="473"/>
        <v>3.9334417263441623</v>
      </c>
      <c r="BR1096" s="254">
        <f t="shared" si="474"/>
        <v>0.23038416527166974</v>
      </c>
      <c r="BS1096" s="25">
        <v>27.76283828199653</v>
      </c>
      <c r="BT1096" s="25">
        <v>66.222395611670677</v>
      </c>
      <c r="BU1096" s="25">
        <v>49.745311324697028</v>
      </c>
      <c r="BV1096" s="25">
        <v>88.231148726137519</v>
      </c>
      <c r="BW1096" s="25">
        <v>35.452742833828957</v>
      </c>
      <c r="BX1096" s="25">
        <v>57.990423486125437</v>
      </c>
      <c r="BY1096" s="25">
        <v>35.8884664033273</v>
      </c>
      <c r="BZ1096">
        <v>7</v>
      </c>
      <c r="CA1096">
        <v>0</v>
      </c>
      <c r="CB1096">
        <v>7</v>
      </c>
      <c r="CC1096">
        <v>1277476.329557</v>
      </c>
      <c r="CD1096" s="10">
        <v>1020593.039731</v>
      </c>
      <c r="CE1096" s="255">
        <v>0.79891346408345476</v>
      </c>
      <c r="CF1096" t="str">
        <f>IFERROR(VLOOKUP(CE1096,'Rangos amb etnico'!$A$2:$C$6,3,9),"N.D.")</f>
        <v>71% - 100%</v>
      </c>
      <c r="CG1096" s="256">
        <v>2.9692898819867773E-2</v>
      </c>
      <c r="CH1096" s="232">
        <v>211499.58185700001</v>
      </c>
      <c r="CI1096" s="311">
        <f t="shared" si="481"/>
        <v>0.16556047025179974</v>
      </c>
      <c r="CJ1096" s="232" t="str">
        <f>IFERROR(VLOOKUP(CI1096,'Rangos amb etnico'!$A$2:$C$6,3,9),"N.D.")</f>
        <v>0,1% - 30%</v>
      </c>
      <c r="CK1096" s="311">
        <f t="shared" si="482"/>
        <v>8.3979181298873551E-3</v>
      </c>
      <c r="CL1096" s="10">
        <v>0</v>
      </c>
      <c r="CM1096" s="255">
        <f t="shared" si="483"/>
        <v>0</v>
      </c>
      <c r="CN1096" s="232">
        <f>IFERROR(VLOOKUP(CM1096,'Rangos amb etnico'!$A$2:$C$6,3,9),"N.D.")</f>
        <v>0</v>
      </c>
      <c r="CO1096" s="311">
        <f t="shared" si="484"/>
        <v>0</v>
      </c>
      <c r="CP1096">
        <v>0.84563998806150642</v>
      </c>
      <c r="CQ1096" t="s">
        <v>2865</v>
      </c>
      <c r="CR1096">
        <f t="shared" si="475"/>
        <v>2</v>
      </c>
      <c r="CS1096" t="str">
        <f t="shared" si="485"/>
        <v>No es Candidato</v>
      </c>
      <c r="CT1096">
        <v>0</v>
      </c>
      <c r="CU1096">
        <v>0</v>
      </c>
      <c r="CV1096" s="25">
        <v>36.508674621582031</v>
      </c>
      <c r="CW1096" s="25">
        <v>19.922687530517582</v>
      </c>
      <c r="CX1096" s="25">
        <v>34.249858856201172</v>
      </c>
      <c r="CY1096" s="25">
        <v>40.463348388671882</v>
      </c>
      <c r="CZ1096" s="25">
        <v>37.164363861083977</v>
      </c>
      <c r="DA1096" s="25">
        <v>43.900234222412109</v>
      </c>
      <c r="DB1096" s="25">
        <v>43.351547241210938</v>
      </c>
      <c r="DC1096">
        <v>3756</v>
      </c>
      <c r="DD1096" s="253" t="s">
        <v>380</v>
      </c>
    </row>
    <row r="1097" spans="1:108" hidden="1">
      <c r="A1097" s="13">
        <v>99524</v>
      </c>
      <c r="B1097" s="13" t="s">
        <v>2592</v>
      </c>
      <c r="C1097" s="13" t="s">
        <v>2575</v>
      </c>
      <c r="D1097" s="13" t="s">
        <v>2576</v>
      </c>
      <c r="E1097" s="13" t="s">
        <v>2593</v>
      </c>
      <c r="F1097" s="14">
        <v>50.487933333333302</v>
      </c>
      <c r="G1097" s="13">
        <v>43.5</v>
      </c>
      <c r="H1097" s="13">
        <v>35.6</v>
      </c>
      <c r="I1097" s="13">
        <v>44.03</v>
      </c>
      <c r="J1097" s="14">
        <v>49.258960551380866</v>
      </c>
      <c r="K1097" s="14">
        <v>49.811077651407814</v>
      </c>
      <c r="L1097" s="14">
        <v>49.539222252504132</v>
      </c>
      <c r="M1097" s="14">
        <v>46.2898</v>
      </c>
      <c r="N1097" s="14">
        <f t="shared" si="459"/>
        <v>43.404483333333324</v>
      </c>
      <c r="O1097" s="14">
        <f t="shared" si="460"/>
        <v>48.72476511382321</v>
      </c>
      <c r="P1097" s="14">
        <f t="shared" si="476"/>
        <v>46.064624223578264</v>
      </c>
      <c r="Q1097" s="14">
        <v>95.861097384120427</v>
      </c>
      <c r="R1097" s="17">
        <f t="shared" si="461"/>
        <v>4.138902615879573</v>
      </c>
      <c r="S1097" s="14">
        <f t="shared" si="477"/>
        <v>0.13725012354291616</v>
      </c>
      <c r="T1097" s="13">
        <v>0</v>
      </c>
      <c r="U1097" s="13">
        <f t="shared" si="478"/>
        <v>6.3223753656441248</v>
      </c>
      <c r="V1097" s="13">
        <f>IF($T1097=1,$AU1097,(VLOOKUP(U1097,'Cortes naturales'!$A$35:$C$39,3,9)))</f>
        <v>5</v>
      </c>
      <c r="W1097" s="13">
        <v>5</v>
      </c>
      <c r="X1097" s="14" t="b">
        <f t="shared" si="462"/>
        <v>1</v>
      </c>
      <c r="Y1097" s="17">
        <f>IF($T1097=1,$AU1097,VLOOKUP(U1097,'Cortes naturales'!$A$45:$C$49,3,9))</f>
        <v>5</v>
      </c>
      <c r="Z1097" s="14">
        <v>45.309744352755303</v>
      </c>
      <c r="AA1097" s="14">
        <v>0.13557165279940425</v>
      </c>
      <c r="AB1097" s="14">
        <v>6.1427169298215096</v>
      </c>
      <c r="AC1097" s="13">
        <v>5</v>
      </c>
      <c r="AD1097" s="13">
        <f t="shared" si="463"/>
        <v>0</v>
      </c>
      <c r="AE1097" s="14">
        <f t="shared" si="464"/>
        <v>0.75487987082296115</v>
      </c>
      <c r="AF1097" s="14">
        <f t="shared" si="465"/>
        <v>1.6784707435119062E-3</v>
      </c>
      <c r="AG1097" s="13">
        <f t="shared" si="466"/>
        <v>0.1796584358226152</v>
      </c>
      <c r="AH1097" s="13">
        <f>IF($T1097=1,$AU1097,VLOOKUP(U1097,'Cortes naturales'!$A$25:$C$29,3,9))</f>
        <v>5</v>
      </c>
      <c r="AI1097" s="13" t="b">
        <f t="shared" si="467"/>
        <v>1</v>
      </c>
      <c r="AJ1097" s="13">
        <f t="shared" si="468"/>
        <v>0</v>
      </c>
      <c r="AK1097" s="28">
        <v>0.35881802248113021</v>
      </c>
      <c r="AL1097" s="28">
        <v>16.257952867781214</v>
      </c>
      <c r="AM1097" s="28">
        <v>3.2743841036337214E-2</v>
      </c>
      <c r="AN1097" s="13">
        <v>5</v>
      </c>
      <c r="AO1097" s="33">
        <f t="shared" si="469"/>
        <v>0</v>
      </c>
      <c r="AP1097" s="13">
        <f t="shared" si="479"/>
        <v>3.2743841036337216</v>
      </c>
      <c r="AQ1097" s="13">
        <f>IFERROR(VLOOKUP(U1097,'Cortes naturales'!$E$15:$G$19,3,9),U1097)</f>
        <v>5</v>
      </c>
      <c r="AR1097" s="28">
        <f t="shared" si="470"/>
        <v>-0.22156789893821405</v>
      </c>
      <c r="AS1097" s="13" t="b">
        <f t="shared" si="471"/>
        <v>1</v>
      </c>
      <c r="AT1097" s="13">
        <f t="shared" si="480"/>
        <v>0</v>
      </c>
      <c r="AU1097" s="13">
        <v>5</v>
      </c>
      <c r="AV1097">
        <f t="shared" si="472"/>
        <v>0</v>
      </c>
      <c r="AW1097" s="13">
        <v>0</v>
      </c>
      <c r="AX1097" s="13">
        <v>0</v>
      </c>
      <c r="AY1097" s="13">
        <v>0</v>
      </c>
      <c r="AZ1097" s="13">
        <v>0</v>
      </c>
      <c r="BA1097">
        <v>0</v>
      </c>
      <c r="BB1097" t="s">
        <v>2841</v>
      </c>
      <c r="BC1097">
        <v>6</v>
      </c>
      <c r="BD1097" t="s">
        <v>2919</v>
      </c>
      <c r="BE1097">
        <v>0</v>
      </c>
      <c r="BF1097" s="232" t="s">
        <v>2846</v>
      </c>
      <c r="BG1097" s="232" t="s">
        <v>2846</v>
      </c>
      <c r="BH1097" s="253">
        <v>63.2</v>
      </c>
      <c r="BI1097" s="253">
        <v>46.575805361567923</v>
      </c>
      <c r="BJ1097" s="25">
        <v>2.3346874999999998</v>
      </c>
      <c r="BK1097" t="s">
        <v>381</v>
      </c>
      <c r="BL1097">
        <v>1.8156945359581238</v>
      </c>
      <c r="BM1097" t="s">
        <v>383</v>
      </c>
      <c r="BN1097" s="322">
        <v>28572.780159000002</v>
      </c>
      <c r="BO1097" s="322">
        <v>3252.8392410000001</v>
      </c>
      <c r="BP1097" s="10">
        <v>10603</v>
      </c>
      <c r="BQ1097" s="254">
        <f t="shared" si="473"/>
        <v>2.6947826236914083</v>
      </c>
      <c r="BR1097" s="254">
        <f t="shared" si="474"/>
        <v>0.30678480062246533</v>
      </c>
      <c r="BS1097" s="25">
        <v>69.574528223459964</v>
      </c>
      <c r="BT1097" s="25">
        <v>93.408551205446102</v>
      </c>
      <c r="BU1097" s="25">
        <v>38.30833333333333</v>
      </c>
      <c r="BV1097" s="25">
        <v>94.213000314127484</v>
      </c>
      <c r="BW1097" s="25">
        <v>50.75281860159312</v>
      </c>
      <c r="BX1097" s="25">
        <v>73.876103269091729</v>
      </c>
      <c r="BY1097" s="25">
        <v>52.85258890764154</v>
      </c>
      <c r="BZ1097">
        <v>50</v>
      </c>
      <c r="CA1097">
        <v>0</v>
      </c>
      <c r="CB1097">
        <v>7</v>
      </c>
      <c r="CC1097">
        <v>1836827.064054</v>
      </c>
      <c r="CD1097" s="10">
        <v>71754.569722</v>
      </c>
      <c r="CE1097" s="255">
        <v>3.9064412282576497E-2</v>
      </c>
      <c r="CF1097" t="str">
        <f>IFERROR(VLOOKUP(CE1097,'Rangos amb etnico'!$A$2:$C$6,3,9),"N.D.")</f>
        <v>0,1% - 30%</v>
      </c>
      <c r="CG1097" s="256">
        <v>2.0876109239193526E-3</v>
      </c>
      <c r="CH1097" s="232">
        <v>136169.55469799999</v>
      </c>
      <c r="CI1097" s="311">
        <f t="shared" si="481"/>
        <v>7.4133029375919965E-2</v>
      </c>
      <c r="CJ1097" s="232" t="str">
        <f>IFERROR(VLOOKUP(CI1097,'Rangos amb etnico'!$A$2:$C$6,3,9),"N.D.")</f>
        <v>0,1% - 30%</v>
      </c>
      <c r="CK1097" s="311">
        <f t="shared" si="482"/>
        <v>5.4068228508848664E-3</v>
      </c>
      <c r="CL1097" s="10">
        <v>0</v>
      </c>
      <c r="CM1097" s="255">
        <f t="shared" si="483"/>
        <v>0</v>
      </c>
      <c r="CN1097" s="232">
        <f>IFERROR(VLOOKUP(CM1097,'Rangos amb etnico'!$A$2:$C$6,3,9),"N.D.")</f>
        <v>0</v>
      </c>
      <c r="CO1097" s="311">
        <f t="shared" si="484"/>
        <v>0</v>
      </c>
      <c r="CP1097">
        <v>0.9304335462312483</v>
      </c>
      <c r="CQ1097" t="s">
        <v>2864</v>
      </c>
      <c r="CR1097">
        <f t="shared" si="475"/>
        <v>1</v>
      </c>
      <c r="CS1097" t="str">
        <f t="shared" si="485"/>
        <v>No es Candidato</v>
      </c>
      <c r="CT1097">
        <v>1</v>
      </c>
      <c r="CU1097" t="s">
        <v>2837</v>
      </c>
      <c r="CV1097" s="25">
        <v>44.293235778808587</v>
      </c>
      <c r="CW1097" s="25">
        <v>8.3497695922851563</v>
      </c>
      <c r="CX1097" s="25">
        <v>40.974254608154297</v>
      </c>
      <c r="CY1097" s="25">
        <v>47.927009582519531</v>
      </c>
      <c r="CZ1097" s="25">
        <v>37.902538299560547</v>
      </c>
      <c r="DA1097" s="25">
        <v>87.825263977050781</v>
      </c>
      <c r="DB1097" s="25">
        <v>42.780567169189453</v>
      </c>
      <c r="DC1097">
        <v>2242</v>
      </c>
      <c r="DD1097" s="253" t="s">
        <v>380</v>
      </c>
    </row>
    <row r="1098" spans="1:108" hidden="1">
      <c r="A1098" s="13">
        <v>97161</v>
      </c>
      <c r="B1098" s="13" t="s">
        <v>2594</v>
      </c>
      <c r="C1098" s="13" t="s">
        <v>2569</v>
      </c>
      <c r="D1098" s="13" t="s">
        <v>2570</v>
      </c>
      <c r="E1098" s="13" t="s">
        <v>2595</v>
      </c>
      <c r="F1098" s="14">
        <v>56.323500000000003</v>
      </c>
      <c r="G1098" s="13">
        <v>44.48</v>
      </c>
      <c r="H1098" s="13">
        <v>31.24</v>
      </c>
      <c r="I1098" s="13">
        <v>35.94</v>
      </c>
      <c r="J1098" s="14">
        <v>43.468489158987111</v>
      </c>
      <c r="K1098" s="14">
        <v>48.199412801429268</v>
      </c>
      <c r="L1098" s="14">
        <v>15.03987130238017</v>
      </c>
      <c r="M1098" s="14">
        <v>43.957999999999998</v>
      </c>
      <c r="N1098" s="14">
        <f t="shared" si="459"/>
        <v>41.995874999999998</v>
      </c>
      <c r="O1098" s="14">
        <f t="shared" si="460"/>
        <v>37.666443315699134</v>
      </c>
      <c r="P1098" s="14">
        <f t="shared" si="476"/>
        <v>39.831159157849569</v>
      </c>
      <c r="Q1098" s="14">
        <v>97.61622100667303</v>
      </c>
      <c r="R1098" s="17">
        <f t="shared" si="461"/>
        <v>2.3837789933269704</v>
      </c>
      <c r="S1098" s="14">
        <f t="shared" si="477"/>
        <v>0.12145401093994274</v>
      </c>
      <c r="T1098" s="13">
        <v>0</v>
      </c>
      <c r="U1098" s="13">
        <f t="shared" si="478"/>
        <v>4.8376540401080623</v>
      </c>
      <c r="V1098" s="13">
        <f>IF($T1098=1,$AU1098,(VLOOKUP(U1098,'Cortes naturales'!$A$35:$C$39,3,9)))</f>
        <v>5</v>
      </c>
      <c r="W1098" s="13">
        <v>5</v>
      </c>
      <c r="X1098" s="14" t="b">
        <f t="shared" si="462"/>
        <v>1</v>
      </c>
      <c r="Y1098" s="17">
        <f>IF($T1098=1,$AU1098,VLOOKUP(U1098,'Cortes naturales'!$A$45:$C$49,3,9))</f>
        <v>5</v>
      </c>
      <c r="Z1098" s="14">
        <v>41.861185714440055</v>
      </c>
      <c r="AA1098" s="14">
        <v>0.12733921002765966</v>
      </c>
      <c r="AB1098" s="14">
        <v>5.3305703196979479</v>
      </c>
      <c r="AC1098" s="13">
        <v>5</v>
      </c>
      <c r="AD1098" s="13">
        <f t="shared" si="463"/>
        <v>0</v>
      </c>
      <c r="AE1098" s="14">
        <f t="shared" si="464"/>
        <v>-2.0300265565904851</v>
      </c>
      <c r="AF1098" s="14">
        <f t="shared" si="465"/>
        <v>-5.8851990877169247E-3</v>
      </c>
      <c r="AG1098" s="13">
        <f t="shared" si="466"/>
        <v>-0.4929162795898856</v>
      </c>
      <c r="AH1098" s="13">
        <f>IF($T1098=1,$AU1098,VLOOKUP(U1098,'Cortes naturales'!$A$25:$C$29,3,9))</f>
        <v>5</v>
      </c>
      <c r="AI1098" s="13" t="b">
        <f t="shared" si="467"/>
        <v>1</v>
      </c>
      <c r="AJ1098" s="13">
        <f t="shared" si="468"/>
        <v>0</v>
      </c>
      <c r="AK1098" s="28">
        <v>0.35881802248113021</v>
      </c>
      <c r="AL1098" s="28">
        <v>15.020547876770719</v>
      </c>
      <c r="AM1098" s="28">
        <v>1.7265208946603057E-2</v>
      </c>
      <c r="AN1098" s="13">
        <v>5</v>
      </c>
      <c r="AO1098" s="33">
        <f t="shared" si="469"/>
        <v>0</v>
      </c>
      <c r="AP1098" s="13">
        <f t="shared" si="479"/>
        <v>1.7265208946603057</v>
      </c>
      <c r="AQ1098" s="13">
        <f>IFERROR(VLOOKUP(U1098,'Cortes naturales'!$E$15:$G$19,3,9),U1098)</f>
        <v>5</v>
      </c>
      <c r="AR1098" s="28">
        <f t="shared" si="470"/>
        <v>-0.23736401154118747</v>
      </c>
      <c r="AS1098" s="13" t="b">
        <f t="shared" si="471"/>
        <v>1</v>
      </c>
      <c r="AT1098" s="13">
        <f t="shared" si="480"/>
        <v>0</v>
      </c>
      <c r="AU1098" s="13">
        <v>5</v>
      </c>
      <c r="AV1098">
        <f t="shared" si="472"/>
        <v>0</v>
      </c>
      <c r="AW1098" s="13">
        <v>0</v>
      </c>
      <c r="AX1098" s="13">
        <v>0</v>
      </c>
      <c r="AY1098" s="13">
        <v>0</v>
      </c>
      <c r="AZ1098" s="13">
        <v>0</v>
      </c>
      <c r="BA1098">
        <v>1</v>
      </c>
      <c r="BB1098" t="s">
        <v>2841</v>
      </c>
      <c r="BC1098">
        <v>6</v>
      </c>
      <c r="BD1098" t="s">
        <v>2919</v>
      </c>
      <c r="BE1098">
        <v>1</v>
      </c>
      <c r="BF1098" s="232" t="s">
        <v>2846</v>
      </c>
      <c r="BG1098" s="232" t="s">
        <v>2846</v>
      </c>
      <c r="BH1098" s="253">
        <v>81.099999999999994</v>
      </c>
      <c r="BI1098" s="253">
        <v>44.351669941060905</v>
      </c>
      <c r="BJ1098" s="25" t="s">
        <v>2849</v>
      </c>
      <c r="BK1098" t="s">
        <v>2849</v>
      </c>
      <c r="BL1098">
        <v>0.6606437472331399</v>
      </c>
      <c r="BM1098" t="s">
        <v>383</v>
      </c>
      <c r="BN1098" s="322">
        <v>15351.986181</v>
      </c>
      <c r="BO1098" s="322">
        <v>902.67105900000001</v>
      </c>
      <c r="BP1098" s="10">
        <v>3025</v>
      </c>
      <c r="BQ1098" s="254">
        <f t="shared" si="473"/>
        <v>5.0750367540495871</v>
      </c>
      <c r="BR1098" s="254">
        <f t="shared" si="474"/>
        <v>0.29840365586776862</v>
      </c>
      <c r="BS1098" s="25">
        <v>50.045524066576696</v>
      </c>
      <c r="BT1098" s="25">
        <v>90.622589531680433</v>
      </c>
      <c r="BU1098" s="25">
        <v>53.966266456029473</v>
      </c>
      <c r="BV1098" s="25">
        <v>93.406543151579498</v>
      </c>
      <c r="BW1098" s="25">
        <v>43.857758363439793</v>
      </c>
      <c r="BX1098" s="25">
        <v>72.01023080146652</v>
      </c>
      <c r="BY1098" s="25">
        <v>44.553596597928554</v>
      </c>
      <c r="BZ1098">
        <v>7</v>
      </c>
      <c r="CA1098">
        <v>0</v>
      </c>
      <c r="CB1098">
        <v>7</v>
      </c>
      <c r="CC1098">
        <v>634902.55186999997</v>
      </c>
      <c r="CD1098" s="10">
        <v>339779.12264700001</v>
      </c>
      <c r="CE1098" s="255">
        <v>0.53516736016611854</v>
      </c>
      <c r="CF1098" t="str">
        <f>IFERROR(VLOOKUP(CE1098,'Rangos amb etnico'!$A$2:$C$6,3,9),"N.D.")</f>
        <v>51% - 70%</v>
      </c>
      <c r="CG1098" s="256">
        <v>9.8854555313447976E-3</v>
      </c>
      <c r="CH1098" s="232">
        <v>294858.85500099999</v>
      </c>
      <c r="CI1098" s="311">
        <f t="shared" si="481"/>
        <v>0.4644159235658169</v>
      </c>
      <c r="CJ1098" s="232" t="str">
        <f>IFERROR(VLOOKUP(CI1098,'Rangos amb etnico'!$A$2:$C$6,3,9),"N.D.")</f>
        <v>31% - 50%</v>
      </c>
      <c r="CK1098" s="311">
        <f t="shared" si="482"/>
        <v>1.1707827043577533E-2</v>
      </c>
      <c r="CL1098" s="10">
        <v>0</v>
      </c>
      <c r="CM1098" s="255">
        <f t="shared" si="483"/>
        <v>0</v>
      </c>
      <c r="CN1098" s="232">
        <f>IFERROR(VLOOKUP(CM1098,'Rangos amb etnico'!$A$2:$C$6,3,9),"N.D.")</f>
        <v>0</v>
      </c>
      <c r="CO1098" s="311">
        <f t="shared" si="484"/>
        <v>0</v>
      </c>
      <c r="CP1098">
        <v>0.92298506275616643</v>
      </c>
      <c r="CQ1098" t="s">
        <v>2864</v>
      </c>
      <c r="CR1098">
        <f t="shared" si="475"/>
        <v>1</v>
      </c>
      <c r="CS1098" t="str">
        <f t="shared" si="485"/>
        <v>No es Candidato</v>
      </c>
      <c r="CT1098">
        <v>0</v>
      </c>
      <c r="CU1098">
        <v>0</v>
      </c>
      <c r="CV1098" s="25">
        <v>45.9346923828125</v>
      </c>
      <c r="CW1098" s="25">
        <v>21.019926071166989</v>
      </c>
      <c r="CX1098" s="25">
        <v>36.017898559570313</v>
      </c>
      <c r="CY1098" s="25">
        <v>43.358856201171882</v>
      </c>
      <c r="CZ1098" s="25">
        <v>33.547874450683587</v>
      </c>
      <c r="DA1098" s="25">
        <v>76.770751953125</v>
      </c>
      <c r="DB1098" s="25">
        <v>64.892837524414063</v>
      </c>
      <c r="DC1098">
        <v>2091</v>
      </c>
      <c r="DD1098" s="253" t="s">
        <v>380</v>
      </c>
    </row>
    <row r="1099" spans="1:108" hidden="1">
      <c r="A1099" s="13">
        <v>97666</v>
      </c>
      <c r="B1099" s="13" t="s">
        <v>2596</v>
      </c>
      <c r="C1099" s="13" t="s">
        <v>2569</v>
      </c>
      <c r="D1099" s="13" t="s">
        <v>2570</v>
      </c>
      <c r="E1099" s="13" t="s">
        <v>2597</v>
      </c>
      <c r="F1099" s="14">
        <v>54.3243333333333</v>
      </c>
      <c r="G1099" s="13">
        <v>39.119999999999997</v>
      </c>
      <c r="H1099" s="13">
        <v>50.94</v>
      </c>
      <c r="I1099" s="13">
        <v>46.46</v>
      </c>
      <c r="J1099" s="14">
        <v>44.270879644326683</v>
      </c>
      <c r="K1099" s="14">
        <v>44.62123314833083</v>
      </c>
      <c r="L1099" s="14">
        <v>53.1202907569064</v>
      </c>
      <c r="M1099" s="14">
        <v>47.290700000000001</v>
      </c>
      <c r="N1099" s="14">
        <f t="shared" si="459"/>
        <v>47.711083333333328</v>
      </c>
      <c r="O1099" s="14">
        <f t="shared" si="460"/>
        <v>47.325775887390975</v>
      </c>
      <c r="P1099" s="14">
        <f t="shared" si="476"/>
        <v>47.518429610362148</v>
      </c>
      <c r="Q1099" s="14">
        <v>98.306726599962403</v>
      </c>
      <c r="R1099" s="17">
        <f t="shared" si="461"/>
        <v>1.6932734000375973</v>
      </c>
      <c r="S1099" s="14">
        <f t="shared" si="477"/>
        <v>0.11523946060033838</v>
      </c>
      <c r="T1099" s="13">
        <v>0</v>
      </c>
      <c r="U1099" s="13">
        <f t="shared" si="478"/>
        <v>5.4759981968732809</v>
      </c>
      <c r="V1099" s="13">
        <f>IF($T1099=1,$AU1099,(VLOOKUP(U1099,'Cortes naturales'!$A$35:$C$39,3,9)))</f>
        <v>5</v>
      </c>
      <c r="W1099" s="13">
        <v>5</v>
      </c>
      <c r="X1099" s="14" t="b">
        <f t="shared" si="462"/>
        <v>1</v>
      </c>
      <c r="Y1099" s="17">
        <f>IF($T1099=1,$AU1099,VLOOKUP(U1099,'Cortes naturales'!$A$45:$C$49,3,9))</f>
        <v>5</v>
      </c>
      <c r="Z1099" s="14">
        <v>46.251666735179711</v>
      </c>
      <c r="AA1099" s="14">
        <v>0.10269691949535961</v>
      </c>
      <c r="AB1099" s="14">
        <v>4.7499036952289533</v>
      </c>
      <c r="AC1099" s="13">
        <v>5</v>
      </c>
      <c r="AD1099" s="13">
        <f t="shared" si="463"/>
        <v>0</v>
      </c>
      <c r="AE1099" s="14">
        <f t="shared" si="464"/>
        <v>1.2667628751824367</v>
      </c>
      <c r="AF1099" s="14">
        <f t="shared" si="465"/>
        <v>1.2542541104978766E-2</v>
      </c>
      <c r="AG1099" s="13">
        <f t="shared" si="466"/>
        <v>0.72609450164432765</v>
      </c>
      <c r="AH1099" s="13">
        <f>IF($T1099=1,$AU1099,VLOOKUP(U1099,'Cortes naturales'!$A$25:$C$29,3,9))</f>
        <v>5</v>
      </c>
      <c r="AI1099" s="13" t="b">
        <f t="shared" si="467"/>
        <v>1</v>
      </c>
      <c r="AJ1099" s="13">
        <f t="shared" si="468"/>
        <v>0</v>
      </c>
      <c r="AK1099" s="28">
        <v>0.35881802248113021</v>
      </c>
      <c r="AL1099" s="28">
        <v>16.595931594373457</v>
      </c>
      <c r="AM1099" s="28">
        <v>3.6971598642847325E-2</v>
      </c>
      <c r="AN1099" s="13">
        <v>5</v>
      </c>
      <c r="AO1099" s="33">
        <f t="shared" si="469"/>
        <v>0</v>
      </c>
      <c r="AP1099" s="13">
        <f t="shared" si="479"/>
        <v>3.6971598642847328</v>
      </c>
      <c r="AQ1099" s="13">
        <f>IFERROR(VLOOKUP(U1099,'Cortes naturales'!$E$15:$G$19,3,9),U1099)</f>
        <v>5</v>
      </c>
      <c r="AR1099" s="28">
        <f t="shared" si="470"/>
        <v>-0.24357856188079183</v>
      </c>
      <c r="AS1099" s="13" t="b">
        <f t="shared" si="471"/>
        <v>1</v>
      </c>
      <c r="AT1099" s="13">
        <f t="shared" si="480"/>
        <v>0</v>
      </c>
      <c r="AU1099" s="13">
        <v>5</v>
      </c>
      <c r="AV1099">
        <f t="shared" si="472"/>
        <v>0</v>
      </c>
      <c r="AW1099" s="13">
        <v>0</v>
      </c>
      <c r="AX1099" s="13">
        <v>0</v>
      </c>
      <c r="AY1099" s="13">
        <v>0</v>
      </c>
      <c r="AZ1099" s="13">
        <v>0</v>
      </c>
      <c r="BA1099">
        <v>0</v>
      </c>
      <c r="BB1099" t="s">
        <v>2841</v>
      </c>
      <c r="BC1099">
        <v>6</v>
      </c>
      <c r="BD1099" t="s">
        <v>2919</v>
      </c>
      <c r="BE1099">
        <v>1</v>
      </c>
      <c r="BF1099" s="232" t="s">
        <v>2846</v>
      </c>
      <c r="BG1099" s="232" t="s">
        <v>2846</v>
      </c>
      <c r="BH1099" s="253">
        <v>85.6</v>
      </c>
      <c r="BI1099" s="253">
        <v>78.937381404174573</v>
      </c>
      <c r="BJ1099" s="25" t="s">
        <v>2849</v>
      </c>
      <c r="BK1099" t="s">
        <v>2849</v>
      </c>
      <c r="BL1099">
        <v>7.1221566650342654</v>
      </c>
      <c r="BM1099" t="s">
        <v>379</v>
      </c>
      <c r="BN1099" s="322">
        <v>24499.463602</v>
      </c>
      <c r="BO1099" s="322">
        <v>1280.3882020000001</v>
      </c>
      <c r="BP1099" s="10">
        <v>2831</v>
      </c>
      <c r="BQ1099" s="254">
        <f t="shared" si="473"/>
        <v>8.6539963270928997</v>
      </c>
      <c r="BR1099" s="254">
        <f t="shared" si="474"/>
        <v>0.45227417944189335</v>
      </c>
      <c r="BS1099" s="25">
        <v>30.712653963575111</v>
      </c>
      <c r="BT1099" s="25">
        <v>84.286714606146234</v>
      </c>
      <c r="BU1099" s="25">
        <v>53.628833883388332</v>
      </c>
      <c r="BV1099" s="25">
        <v>97.105325805696381</v>
      </c>
      <c r="BW1099" s="25">
        <v>34.825469146866062</v>
      </c>
      <c r="BX1099" s="25">
        <v>66.433382064701519</v>
      </c>
      <c r="BY1099" s="25">
        <v>37.008607342801639</v>
      </c>
      <c r="BZ1099">
        <v>57</v>
      </c>
      <c r="CA1099">
        <v>0</v>
      </c>
      <c r="CB1099">
        <v>7</v>
      </c>
      <c r="CC1099">
        <v>649449.659613</v>
      </c>
      <c r="CD1099" s="10">
        <v>630358.89992300002</v>
      </c>
      <c r="CE1099" s="255">
        <v>0.97060471214754973</v>
      </c>
      <c r="CF1099" t="str">
        <f>IFERROR(VLOOKUP(CE1099,'Rangos amb etnico'!$A$2:$C$6,3,9),"N.D.")</f>
        <v>71% - 100%</v>
      </c>
      <c r="CG1099" s="256">
        <v>1.8339516640785758E-2</v>
      </c>
      <c r="CH1099" s="232">
        <v>584957.55182599998</v>
      </c>
      <c r="CI1099" s="311">
        <f t="shared" si="481"/>
        <v>0.90069729526776543</v>
      </c>
      <c r="CJ1099" s="232" t="str">
        <f>IFERROR(VLOOKUP(CI1099,'Rangos amb etnico'!$A$2:$C$6,3,9),"N.D.")</f>
        <v>71% - 100%</v>
      </c>
      <c r="CK1099" s="311">
        <f t="shared" si="482"/>
        <v>2.3226644641857957E-2</v>
      </c>
      <c r="CL1099" s="10">
        <v>0</v>
      </c>
      <c r="CM1099" s="255">
        <f t="shared" si="483"/>
        <v>0</v>
      </c>
      <c r="CN1099" s="232">
        <f>IFERROR(VLOOKUP(CM1099,'Rangos amb etnico'!$A$2:$C$6,3,9),"N.D.")</f>
        <v>0</v>
      </c>
      <c r="CO1099" s="311">
        <f t="shared" si="484"/>
        <v>0</v>
      </c>
      <c r="CP1099">
        <v>0.9356764668962918</v>
      </c>
      <c r="CQ1099" t="s">
        <v>2864</v>
      </c>
      <c r="CR1099">
        <f t="shared" si="475"/>
        <v>1</v>
      </c>
      <c r="CS1099" t="str">
        <f t="shared" si="485"/>
        <v>No es Candidato</v>
      </c>
      <c r="CT1099">
        <v>1</v>
      </c>
      <c r="CU1099" t="s">
        <v>2836</v>
      </c>
      <c r="CV1099" s="25">
        <v>45.716575622558587</v>
      </c>
      <c r="CW1099" s="25">
        <v>19.894943237304691</v>
      </c>
      <c r="CX1099" s="25">
        <v>42.013500213623047</v>
      </c>
      <c r="CY1099" s="25">
        <v>37.08782958984375</v>
      </c>
      <c r="CZ1099" s="25">
        <v>33.281028747558587</v>
      </c>
      <c r="DA1099" s="25">
        <v>92.407890319824219</v>
      </c>
      <c r="DB1099" s="25">
        <v>49.614253997802727</v>
      </c>
      <c r="DC1099">
        <v>1612</v>
      </c>
      <c r="DD1099" s="253" t="s">
        <v>380</v>
      </c>
    </row>
    <row r="1100" spans="1:108" hidden="1">
      <c r="A1100" s="13">
        <v>18756</v>
      </c>
      <c r="B1100" s="13" t="s">
        <v>2598</v>
      </c>
      <c r="C1100" s="13" t="s">
        <v>1463</v>
      </c>
      <c r="D1100" s="13" t="s">
        <v>1464</v>
      </c>
      <c r="E1100" s="13" t="s">
        <v>2599</v>
      </c>
      <c r="F1100" s="14">
        <v>54.251533333333299</v>
      </c>
      <c r="G1100" s="13">
        <v>47.02</v>
      </c>
      <c r="H1100" s="13">
        <v>47.13</v>
      </c>
      <c r="I1100" s="13">
        <v>53.61</v>
      </c>
      <c r="J1100" s="14">
        <v>52.277856554950041</v>
      </c>
      <c r="K1100" s="14">
        <v>50.922027221954146</v>
      </c>
      <c r="L1100" s="14">
        <v>42.653462419491554</v>
      </c>
      <c r="M1100" s="14">
        <v>50.953000000000003</v>
      </c>
      <c r="N1100" s="14">
        <f t="shared" si="459"/>
        <v>50.50288333333333</v>
      </c>
      <c r="O1100" s="14">
        <f t="shared" si="460"/>
        <v>49.201586549098934</v>
      </c>
      <c r="P1100" s="14">
        <f t="shared" si="476"/>
        <v>49.852234941216132</v>
      </c>
      <c r="Q1100" s="14">
        <v>100</v>
      </c>
      <c r="R1100" s="17">
        <f t="shared" si="461"/>
        <v>0</v>
      </c>
      <c r="S1100" s="14">
        <f t="shared" si="477"/>
        <v>0.1</v>
      </c>
      <c r="T1100" s="13">
        <v>0</v>
      </c>
      <c r="U1100" s="13">
        <f t="shared" si="478"/>
        <v>4.9852234941216134</v>
      </c>
      <c r="V1100" s="13">
        <f>IF($T1100=1,$AU1100,(VLOOKUP(U1100,'Cortes naturales'!$A$35:$C$39,3,9)))</f>
        <v>5</v>
      </c>
      <c r="W1100" s="13">
        <v>5</v>
      </c>
      <c r="X1100" s="14" t="b">
        <f t="shared" si="462"/>
        <v>1</v>
      </c>
      <c r="Y1100" s="17">
        <f>IF($T1100=1,$AU1100,VLOOKUP(U1100,'Cortes naturales'!$A$45:$C$49,3,9))</f>
        <v>5</v>
      </c>
      <c r="Z1100" s="14">
        <v>50.494433340057384</v>
      </c>
      <c r="AA1100" s="14">
        <v>0.10000009</v>
      </c>
      <c r="AB1100" s="14">
        <v>5.049447878504739</v>
      </c>
      <c r="AC1100" s="13">
        <v>5</v>
      </c>
      <c r="AD1100" s="13">
        <f t="shared" si="463"/>
        <v>0</v>
      </c>
      <c r="AE1100" s="14">
        <f t="shared" si="464"/>
        <v>-0.64219839884125207</v>
      </c>
      <c r="AF1100" s="14">
        <f t="shared" si="465"/>
        <v>-8.9999999994261337E-8</v>
      </c>
      <c r="AG1100" s="13">
        <f t="shared" si="466"/>
        <v>-6.422438438312561E-2</v>
      </c>
      <c r="AH1100" s="13">
        <f>IF($T1100=1,$AU1100,VLOOKUP(U1100,'Cortes naturales'!$A$25:$C$29,3,9))</f>
        <v>5</v>
      </c>
      <c r="AI1100" s="13" t="b">
        <f t="shared" si="467"/>
        <v>1</v>
      </c>
      <c r="AJ1100" s="13">
        <f t="shared" si="468"/>
        <v>0</v>
      </c>
      <c r="AK1100" s="28">
        <v>0.35881802248113021</v>
      </c>
      <c r="AL1100" s="28">
        <v>18.11831271738464</v>
      </c>
      <c r="AM1100" s="28">
        <v>5.6014981750752181E-2</v>
      </c>
      <c r="AN1100" s="13">
        <v>5</v>
      </c>
      <c r="AO1100" s="33">
        <f t="shared" si="469"/>
        <v>0</v>
      </c>
      <c r="AP1100" s="13">
        <f t="shared" si="479"/>
        <v>5.6014981750752177</v>
      </c>
      <c r="AQ1100" s="13">
        <f>IFERROR(VLOOKUP(U1100,'Cortes naturales'!$E$15:$G$19,3,9),U1100)</f>
        <v>5</v>
      </c>
      <c r="AR1100" s="28">
        <f t="shared" si="470"/>
        <v>-0.25881802248113017</v>
      </c>
      <c r="AS1100" s="13" t="b">
        <f t="shared" si="471"/>
        <v>1</v>
      </c>
      <c r="AT1100" s="13">
        <f t="shared" si="480"/>
        <v>0</v>
      </c>
      <c r="AU1100" s="13">
        <v>5</v>
      </c>
      <c r="AV1100">
        <f t="shared" si="472"/>
        <v>0</v>
      </c>
      <c r="AW1100" s="13">
        <v>0</v>
      </c>
      <c r="AX1100" s="13">
        <v>0</v>
      </c>
      <c r="AY1100" s="13">
        <v>0</v>
      </c>
      <c r="AZ1100" s="13">
        <v>1</v>
      </c>
      <c r="BA1100">
        <v>1</v>
      </c>
      <c r="BB1100" t="s">
        <v>2841</v>
      </c>
      <c r="BC1100">
        <v>6</v>
      </c>
      <c r="BD1100" t="s">
        <v>2919</v>
      </c>
      <c r="BE1100">
        <v>1</v>
      </c>
      <c r="BF1100" s="232" t="s">
        <v>2846</v>
      </c>
      <c r="BG1100" s="232" t="s">
        <v>2846</v>
      </c>
      <c r="BH1100" s="253">
        <v>71.900000000000006</v>
      </c>
      <c r="BI1100" s="253">
        <v>44.716804005424009</v>
      </c>
      <c r="BJ1100" s="25">
        <v>13.752857142857144</v>
      </c>
      <c r="BK1100" t="s">
        <v>377</v>
      </c>
      <c r="BL1100">
        <v>9.4222598013576615</v>
      </c>
      <c r="BM1100" t="s">
        <v>379</v>
      </c>
      <c r="BN1100" s="322">
        <v>28105.743226999999</v>
      </c>
      <c r="BO1100" s="322">
        <v>1289.685436</v>
      </c>
      <c r="BP1100" s="10">
        <v>10830</v>
      </c>
      <c r="BQ1100" s="254">
        <f t="shared" si="473"/>
        <v>2.5951748132040628</v>
      </c>
      <c r="BR1100" s="254">
        <f t="shared" si="474"/>
        <v>0.11908452779316712</v>
      </c>
      <c r="BS1100" s="25">
        <v>58.636475429678057</v>
      </c>
      <c r="BT1100" s="25">
        <v>92.880398818097873</v>
      </c>
      <c r="BU1100" s="25">
        <v>44.894627575277333</v>
      </c>
      <c r="BV1100" s="25">
        <v>98.237538300798448</v>
      </c>
      <c r="BW1100" s="25">
        <v>46.492550037345197</v>
      </c>
      <c r="BX1100" s="25">
        <v>73.662260030962926</v>
      </c>
      <c r="BY1100" s="25">
        <v>49.370190643808122</v>
      </c>
      <c r="BZ1100">
        <v>81</v>
      </c>
      <c r="CA1100">
        <v>0</v>
      </c>
      <c r="CB1100">
        <v>7</v>
      </c>
      <c r="CC1100">
        <v>4223342.854793</v>
      </c>
      <c r="CD1100" s="10">
        <v>3413627.469724</v>
      </c>
      <c r="CE1100" s="255">
        <v>0.80827618952364522</v>
      </c>
      <c r="CF1100" t="str">
        <f>IFERROR(VLOOKUP(CE1100,'Rangos amb etnico'!$A$2:$C$6,3,9),"N.D.")</f>
        <v>71% - 100%</v>
      </c>
      <c r="CG1100" s="256">
        <v>9.9315291327042352E-2</v>
      </c>
      <c r="CH1100" s="232">
        <v>1429483.5799</v>
      </c>
      <c r="CI1100" s="311">
        <f t="shared" si="481"/>
        <v>0.33847206562396498</v>
      </c>
      <c r="CJ1100" s="232" t="str">
        <f>IFERROR(VLOOKUP(CI1100,'Rangos amb etnico'!$A$2:$C$6,3,9),"N.D.")</f>
        <v>31% - 50%</v>
      </c>
      <c r="CK1100" s="311">
        <f t="shared" si="482"/>
        <v>5.6759857237614536E-2</v>
      </c>
      <c r="CL1100" s="10">
        <v>0</v>
      </c>
      <c r="CM1100" s="255">
        <f t="shared" si="483"/>
        <v>0</v>
      </c>
      <c r="CN1100" s="232">
        <f>IFERROR(VLOOKUP(CM1100,'Rangos amb etnico'!$A$2:$C$6,3,9),"N.D.")</f>
        <v>0</v>
      </c>
      <c r="CO1100" s="311">
        <f t="shared" si="484"/>
        <v>0</v>
      </c>
      <c r="CP1100">
        <v>0.936705386436396</v>
      </c>
      <c r="CQ1100" t="s">
        <v>2864</v>
      </c>
      <c r="CR1100">
        <f t="shared" si="475"/>
        <v>1</v>
      </c>
      <c r="CS1100" t="str">
        <f t="shared" si="485"/>
        <v>No es Candidato</v>
      </c>
      <c r="CT1100">
        <v>0</v>
      </c>
      <c r="CU1100">
        <v>0</v>
      </c>
      <c r="CV1100" s="25">
        <v>38.207603454589837</v>
      </c>
      <c r="CW1100" s="25">
        <v>7.8252978324890137</v>
      </c>
      <c r="CX1100" s="25">
        <v>35.598762512207031</v>
      </c>
      <c r="CY1100" s="25">
        <v>48.646743774414063</v>
      </c>
      <c r="CZ1100" s="25">
        <v>20.901395797729489</v>
      </c>
      <c r="DA1100" s="25">
        <v>72.295997619628906</v>
      </c>
      <c r="DB1100" s="25">
        <v>43.9774169921875</v>
      </c>
      <c r="DC1100">
        <v>2814</v>
      </c>
      <c r="DD1100" s="253" t="s">
        <v>380</v>
      </c>
    </row>
    <row r="1101" spans="1:108" hidden="1">
      <c r="A1101" s="13">
        <v>27493</v>
      </c>
      <c r="B1101" s="13" t="s">
        <v>2600</v>
      </c>
      <c r="C1101" s="13" t="s">
        <v>1714</v>
      </c>
      <c r="D1101" s="13" t="s">
        <v>1715</v>
      </c>
      <c r="E1101" s="13" t="s">
        <v>2601</v>
      </c>
      <c r="F1101" s="14" t="s">
        <v>380</v>
      </c>
      <c r="G1101" s="14" t="s">
        <v>380</v>
      </c>
      <c r="H1101" s="13" t="s">
        <v>380</v>
      </c>
      <c r="I1101" s="13" t="s">
        <v>380</v>
      </c>
      <c r="J1101" s="14" t="s">
        <v>380</v>
      </c>
      <c r="K1101" s="14" t="s">
        <v>380</v>
      </c>
      <c r="L1101" s="14" t="s">
        <v>380</v>
      </c>
      <c r="M1101" s="14">
        <v>54.026200000000003</v>
      </c>
      <c r="N1101" s="14" t="str">
        <f t="shared" si="459"/>
        <v>N.D.</v>
      </c>
      <c r="O1101" s="14">
        <f t="shared" si="460"/>
        <v>54.026200000000003</v>
      </c>
      <c r="P1101" s="14">
        <f t="shared" si="476"/>
        <v>54.026200000000003</v>
      </c>
      <c r="Q1101" s="14">
        <v>63.089765813667675</v>
      </c>
      <c r="R1101" s="17">
        <f t="shared" si="461"/>
        <v>36.910234186332325</v>
      </c>
      <c r="S1101" s="14">
        <f t="shared" si="477"/>
        <v>0.4321921076769909</v>
      </c>
      <c r="T1101" s="13">
        <v>0</v>
      </c>
      <c r="U1101" s="13">
        <f t="shared" si="478"/>
        <v>23.349697247778646</v>
      </c>
      <c r="V1101" s="13">
        <f>IF($T1101=1,$AU1101,(VLOOKUP(U1101,'Cortes naturales'!$A$35:$C$39,3,9)))</f>
        <v>4</v>
      </c>
      <c r="W1101" s="13">
        <f>IFERROR(VLOOKUP(V1101,'Cortes naturales'!$A$35:$C$39,3,9),V1101)</f>
        <v>4</v>
      </c>
      <c r="X1101" s="14" t="b">
        <f t="shared" si="462"/>
        <v>1</v>
      </c>
      <c r="Y1101" s="17">
        <f>IF($T1101=1,$AU1101,VLOOKUP(U1101,'Cortes naturales'!$A$45:$C$49,3,9))</f>
        <v>4</v>
      </c>
      <c r="Z1101" s="14" t="s">
        <v>380</v>
      </c>
      <c r="AA1101" s="14">
        <v>0.42988415387001222</v>
      </c>
      <c r="AB1101" s="14" t="s">
        <v>380</v>
      </c>
      <c r="AC1101" s="13" t="s">
        <v>380</v>
      </c>
      <c r="AD1101" s="13">
        <f t="shared" si="463"/>
        <v>0</v>
      </c>
      <c r="AE1101" s="14" t="str">
        <f t="shared" si="464"/>
        <v>N.D.</v>
      </c>
      <c r="AF1101" s="14">
        <f t="shared" si="465"/>
        <v>2.3079538069786798E-3</v>
      </c>
      <c r="AG1101" s="13">
        <f t="shared" si="466"/>
        <v>0</v>
      </c>
      <c r="AH1101" s="13">
        <f>IF($T1101=1,$AU1101,VLOOKUP(U1101,'Cortes naturales'!$A$25:$C$29,3,9))</f>
        <v>4</v>
      </c>
      <c r="AI1101" s="13" t="b">
        <f t="shared" si="467"/>
        <v>1</v>
      </c>
      <c r="AJ1101" s="13">
        <f t="shared" si="468"/>
        <v>0</v>
      </c>
      <c r="AK1101" s="28">
        <v>0.6523467210059386</v>
      </c>
      <c r="AL1101" s="28" t="s">
        <v>380</v>
      </c>
      <c r="AM1101" s="28" t="s">
        <v>380</v>
      </c>
      <c r="AN1101" s="13" t="s">
        <v>380</v>
      </c>
      <c r="AO1101" s="33">
        <f t="shared" si="469"/>
        <v>0</v>
      </c>
      <c r="AP1101" s="13" t="str">
        <f t="shared" si="479"/>
        <v>N.D</v>
      </c>
      <c r="AQ1101" s="13">
        <f>IFERROR(VLOOKUP(U1101,'Cortes naturales'!$E$15:$G$19,3,9),U1101)</f>
        <v>4</v>
      </c>
      <c r="AR1101" s="28">
        <f t="shared" si="470"/>
        <v>-0.2201546133289477</v>
      </c>
      <c r="AS1101" s="13" t="b">
        <f t="shared" si="471"/>
        <v>1</v>
      </c>
      <c r="AT1101" s="13">
        <f t="shared" si="480"/>
        <v>0</v>
      </c>
      <c r="AU1101" s="13" t="s">
        <v>380</v>
      </c>
      <c r="AV1101">
        <f t="shared" si="472"/>
        <v>0</v>
      </c>
      <c r="AW1101" s="13">
        <v>0</v>
      </c>
      <c r="AX1101" s="13">
        <v>0</v>
      </c>
      <c r="AY1101" s="13">
        <v>0</v>
      </c>
      <c r="AZ1101" s="13">
        <v>0</v>
      </c>
      <c r="BA1101">
        <v>0</v>
      </c>
      <c r="BB1101" t="s">
        <v>380</v>
      </c>
      <c r="BC1101" t="s">
        <v>380</v>
      </c>
      <c r="BD1101" t="s">
        <v>380</v>
      </c>
      <c r="BE1101">
        <v>0</v>
      </c>
      <c r="BF1101" s="232" t="s">
        <v>2846</v>
      </c>
      <c r="BG1101" s="232" t="s">
        <v>2846</v>
      </c>
      <c r="BH1101" s="253" t="s">
        <v>380</v>
      </c>
      <c r="BI1101" s="253" t="s">
        <v>380</v>
      </c>
      <c r="BJ1101" s="25" t="s">
        <v>2849</v>
      </c>
      <c r="BK1101" t="s">
        <v>2849</v>
      </c>
      <c r="BL1101" s="253" t="s">
        <v>380</v>
      </c>
      <c r="BM1101" s="253" t="s">
        <v>380</v>
      </c>
      <c r="BN1101" s="322">
        <v>22856.309518999999</v>
      </c>
      <c r="BO1101" s="322">
        <v>819.86521500000003</v>
      </c>
      <c r="BP1101" s="10">
        <v>29812</v>
      </c>
      <c r="BQ1101" s="254">
        <f t="shared" si="473"/>
        <v>0.76668152150140878</v>
      </c>
      <c r="BR1101" s="254">
        <f t="shared" si="474"/>
        <v>2.7501181235743997E-2</v>
      </c>
      <c r="BS1101" s="25" t="s">
        <v>380</v>
      </c>
      <c r="BT1101" s="25" t="s">
        <v>380</v>
      </c>
      <c r="BU1101" s="25" t="s">
        <v>380</v>
      </c>
      <c r="BV1101" s="25" t="s">
        <v>380</v>
      </c>
      <c r="BW1101" s="25" t="s">
        <v>380</v>
      </c>
      <c r="BX1101" s="25" t="s">
        <v>380</v>
      </c>
      <c r="BY1101" s="25" t="s">
        <v>380</v>
      </c>
      <c r="BZ1101" t="s">
        <v>380</v>
      </c>
      <c r="CA1101" t="s">
        <v>380</v>
      </c>
      <c r="CB1101" t="s">
        <v>380</v>
      </c>
      <c r="CC1101" t="s">
        <v>380</v>
      </c>
      <c r="CD1101" s="10" t="s">
        <v>380</v>
      </c>
      <c r="CE1101" s="10" t="s">
        <v>380</v>
      </c>
      <c r="CF1101" t="str">
        <f>IFERROR(VLOOKUP(CE1101,'Rangos amb etnico'!$A$2:$C$6,3,9),"N.D.")</f>
        <v>N.D.</v>
      </c>
      <c r="CG1101" s="312" t="s">
        <v>380</v>
      </c>
      <c r="CH1101" s="232">
        <v>0</v>
      </c>
      <c r="CI1101" s="311" t="str">
        <f>IFERROR(CH1101/CC1101,"N.D.")</f>
        <v>N.D.</v>
      </c>
      <c r="CJ1101" s="232" t="str">
        <f>IFERROR(VLOOKUP(CI1101,'Rangos amb etnico'!$A$2:$C$6,3,9),"N.D.")</f>
        <v>N.D.</v>
      </c>
      <c r="CK1101" s="311">
        <f>IFERROR(CH1101/$CH$1,"N.D.")</f>
        <v>0</v>
      </c>
      <c r="CL1101" s="232" t="s">
        <v>380</v>
      </c>
      <c r="CM1101" s="312" t="s">
        <v>380</v>
      </c>
      <c r="CN1101" s="232" t="str">
        <f>IFERROR(VLOOKUP(CM1101,'Rangos amb etnico'!$A$2:$C$6,3,9),"N.D.")</f>
        <v>N.D.</v>
      </c>
      <c r="CO1101" s="311" t="str">
        <f t="shared" si="484"/>
        <v>N.D.</v>
      </c>
      <c r="CP1101">
        <v>0.86048249495318174</v>
      </c>
      <c r="CQ1101" t="s">
        <v>2864</v>
      </c>
      <c r="CR1101">
        <f t="shared" si="475"/>
        <v>3</v>
      </c>
      <c r="CS1101" t="str">
        <f t="shared" si="485"/>
        <v>Candidato</v>
      </c>
      <c r="CT1101">
        <v>0</v>
      </c>
      <c r="CU1101">
        <v>0</v>
      </c>
      <c r="CV1101" t="s">
        <v>380</v>
      </c>
      <c r="CW1101" t="s">
        <v>380</v>
      </c>
      <c r="CX1101" t="s">
        <v>380</v>
      </c>
      <c r="CY1101" t="s">
        <v>380</v>
      </c>
      <c r="CZ1101" t="s">
        <v>380</v>
      </c>
      <c r="DA1101" t="s">
        <v>380</v>
      </c>
      <c r="DB1101" t="s">
        <v>380</v>
      </c>
      <c r="DC1101" t="s">
        <v>380</v>
      </c>
      <c r="DD1101" s="253" t="s">
        <v>380</v>
      </c>
    </row>
    <row r="1102" spans="1:108" hidden="1">
      <c r="A1102" s="13">
        <v>88564</v>
      </c>
      <c r="B1102" s="13" t="s">
        <v>2602</v>
      </c>
      <c r="C1102" s="79" t="s">
        <v>2603</v>
      </c>
      <c r="D1102" s="13" t="s">
        <v>2604</v>
      </c>
      <c r="E1102" s="13" t="s">
        <v>1028</v>
      </c>
      <c r="F1102" s="14">
        <v>57.8547333333333</v>
      </c>
      <c r="G1102" s="13">
        <v>58.91</v>
      </c>
      <c r="H1102" s="13">
        <v>37.06</v>
      </c>
      <c r="I1102" s="13">
        <v>31.03</v>
      </c>
      <c r="J1102" s="14">
        <v>45.66876363703534</v>
      </c>
      <c r="K1102" s="14">
        <v>61.300066395141712</v>
      </c>
      <c r="L1102" s="14">
        <v>25.13632215892062</v>
      </c>
      <c r="M1102" s="14">
        <v>55.231299999999997</v>
      </c>
      <c r="N1102" s="14">
        <f t="shared" si="459"/>
        <v>46.213683333333329</v>
      </c>
      <c r="O1102" s="14">
        <f t="shared" si="460"/>
        <v>46.834113047774416</v>
      </c>
      <c r="P1102" s="14">
        <f t="shared" si="476"/>
        <v>46.523898190553872</v>
      </c>
      <c r="Q1102" s="14">
        <v>49.818423983427657</v>
      </c>
      <c r="R1102" s="28">
        <f t="shared" si="461"/>
        <v>50.181576016572343</v>
      </c>
      <c r="S1102" s="14">
        <f t="shared" si="477"/>
        <v>0.55163418414915111</v>
      </c>
      <c r="T1102" s="13">
        <v>0</v>
      </c>
      <c r="U1102" s="13">
        <f t="shared" si="478"/>
        <v>25.664172621784353</v>
      </c>
      <c r="V1102" s="13">
        <f>IF($T1102=1,$AU1102,(VLOOKUP(U1102,'Cortes naturales'!$A$35:$C$39,3,9)))</f>
        <v>4</v>
      </c>
      <c r="W1102" s="13">
        <v>4</v>
      </c>
      <c r="X1102" s="14" t="b">
        <f t="shared" si="462"/>
        <v>1</v>
      </c>
      <c r="Y1102" s="17">
        <f>IF($T1102=1,$AU1102,VLOOKUP(U1102,'Cortes naturales'!$A$45:$C$49,3,9))</f>
        <v>4</v>
      </c>
      <c r="Z1102" s="14">
        <v>50.005319126844341</v>
      </c>
      <c r="AA1102" s="14">
        <v>0.55839371054370079</v>
      </c>
      <c r="AB1102" s="14">
        <v>27.922655694160504</v>
      </c>
      <c r="AC1102" s="13">
        <v>3</v>
      </c>
      <c r="AD1102" s="13">
        <f t="shared" si="463"/>
        <v>-1</v>
      </c>
      <c r="AE1102" s="14">
        <f t="shared" si="464"/>
        <v>-3.4814209362904691</v>
      </c>
      <c r="AF1102" s="14">
        <f t="shared" si="465"/>
        <v>-6.7595263945496864E-3</v>
      </c>
      <c r="AG1102" s="13">
        <f t="shared" si="466"/>
        <v>-2.2584830723761513</v>
      </c>
      <c r="AH1102" s="13">
        <f>IF($T1102=1,$AU1102,VLOOKUP(U1102,'Cortes naturales'!$A$25:$C$29,3,9))</f>
        <v>4</v>
      </c>
      <c r="AI1102" s="13" t="b">
        <f t="shared" si="467"/>
        <v>1</v>
      </c>
      <c r="AJ1102" s="13" t="str">
        <f t="shared" si="468"/>
        <v>Efecto ponderador</v>
      </c>
      <c r="AK1102" s="28">
        <v>0.81759069605862034</v>
      </c>
      <c r="AL1102" s="28">
        <v>40.883883671550109</v>
      </c>
      <c r="AM1102" s="28">
        <v>0.34078827721362531</v>
      </c>
      <c r="AN1102" s="13">
        <v>4</v>
      </c>
      <c r="AO1102" s="33">
        <f t="shared" si="469"/>
        <v>0</v>
      </c>
      <c r="AP1102" s="13">
        <f t="shared" si="479"/>
        <v>34.078827721362529</v>
      </c>
      <c r="AQ1102" s="13">
        <f>IFERROR(VLOOKUP(U1102,'Cortes naturales'!$E$15:$G$19,3,9),U1102)</f>
        <v>4</v>
      </c>
      <c r="AR1102" s="28">
        <f t="shared" si="470"/>
        <v>-0.26595651190946923</v>
      </c>
      <c r="AS1102" s="13" t="b">
        <f t="shared" si="471"/>
        <v>1</v>
      </c>
      <c r="AT1102" s="13">
        <f t="shared" si="480"/>
        <v>0</v>
      </c>
      <c r="AU1102" s="13">
        <v>3</v>
      </c>
      <c r="AV1102">
        <f t="shared" si="472"/>
        <v>-1</v>
      </c>
      <c r="AW1102" s="13">
        <v>0</v>
      </c>
      <c r="AX1102" s="13">
        <v>0</v>
      </c>
      <c r="AY1102" s="13">
        <v>0</v>
      </c>
      <c r="AZ1102" s="13">
        <v>0</v>
      </c>
      <c r="BA1102">
        <v>0</v>
      </c>
      <c r="BB1102" t="s">
        <v>2839</v>
      </c>
      <c r="BC1102">
        <v>5</v>
      </c>
      <c r="BD1102" t="s">
        <v>2919</v>
      </c>
      <c r="BE1102">
        <v>0</v>
      </c>
      <c r="BF1102" s="232" t="s">
        <v>2846</v>
      </c>
      <c r="BG1102" s="232" t="s">
        <v>2846</v>
      </c>
      <c r="BH1102" s="253">
        <v>13.7</v>
      </c>
      <c r="BI1102" s="253">
        <v>8.5368536853685377</v>
      </c>
      <c r="BJ1102" s="25">
        <v>0.20333333333333334</v>
      </c>
      <c r="BK1102" t="s">
        <v>381</v>
      </c>
      <c r="BL1102">
        <v>0</v>
      </c>
      <c r="BM1102" t="s">
        <v>377</v>
      </c>
      <c r="BN1102" s="322">
        <v>81987.578221999996</v>
      </c>
      <c r="BO1102" s="322">
        <v>7685.4905410000001</v>
      </c>
      <c r="BP1102" s="10">
        <v>6285</v>
      </c>
      <c r="BQ1102" s="254">
        <f t="shared" si="473"/>
        <v>13.04496073540175</v>
      </c>
      <c r="BR1102" s="254">
        <f t="shared" si="474"/>
        <v>1.2228306350039777</v>
      </c>
      <c r="BS1102" s="25">
        <v>62.144519685658928</v>
      </c>
      <c r="BT1102" s="25">
        <v>88.994961548660839</v>
      </c>
      <c r="BU1102" s="25">
        <v>43.41</v>
      </c>
      <c r="BV1102" s="25">
        <v>90.141180741767315</v>
      </c>
      <c r="BW1102" s="25">
        <v>48.434972103531031</v>
      </c>
      <c r="BX1102" s="25">
        <v>71.172665494021771</v>
      </c>
      <c r="BY1102" s="25">
        <v>48.416287546098367</v>
      </c>
      <c r="BZ1102">
        <v>100</v>
      </c>
      <c r="CA1102">
        <v>0</v>
      </c>
      <c r="CB1102">
        <v>7</v>
      </c>
      <c r="CC1102">
        <v>2248.9786600000002</v>
      </c>
      <c r="CD1102" s="10">
        <v>876.51407400000005</v>
      </c>
      <c r="CE1102" s="255">
        <v>0.38973872433275997</v>
      </c>
      <c r="CF1102" t="str">
        <f>IFERROR(VLOOKUP(CE1102,'Rangos amb etnico'!$A$2:$C$6,3,9),"N.D.")</f>
        <v>31% - 50%</v>
      </c>
      <c r="CG1102" s="256">
        <v>2.55010985772859E-5</v>
      </c>
      <c r="CH1102" s="232">
        <v>0</v>
      </c>
      <c r="CI1102" s="311">
        <f t="shared" si="481"/>
        <v>0</v>
      </c>
      <c r="CJ1102" s="232">
        <f>IFERROR(VLOOKUP(CI1102,'Rangos amb etnico'!$A$2:$C$6,3,9),"N.D.")</f>
        <v>0</v>
      </c>
      <c r="CK1102" s="311">
        <f t="shared" si="482"/>
        <v>0</v>
      </c>
      <c r="CL1102" s="10">
        <v>0</v>
      </c>
      <c r="CM1102" s="255">
        <f t="shared" si="483"/>
        <v>0</v>
      </c>
      <c r="CN1102" s="232">
        <f>IFERROR(VLOOKUP(CM1102,'Rangos amb etnico'!$A$2:$C$6,3,9),"N.D.")</f>
        <v>0</v>
      </c>
      <c r="CO1102" s="311">
        <f t="shared" si="484"/>
        <v>0</v>
      </c>
      <c r="CP1102">
        <v>0.8312607512150334</v>
      </c>
      <c r="CQ1102" t="s">
        <v>2865</v>
      </c>
      <c r="CR1102">
        <f t="shared" si="475"/>
        <v>1</v>
      </c>
      <c r="CS1102" t="str">
        <f t="shared" si="485"/>
        <v>No es Candidato</v>
      </c>
      <c r="CT1102">
        <v>1</v>
      </c>
      <c r="CU1102" t="s">
        <v>2835</v>
      </c>
      <c r="CV1102" s="25">
        <v>49.543785095214837</v>
      </c>
      <c r="CW1102" s="25">
        <v>38.550647735595703</v>
      </c>
      <c r="CX1102" s="25">
        <v>39.634487152099609</v>
      </c>
      <c r="CY1102" s="25">
        <v>66.525032043457031</v>
      </c>
      <c r="CZ1102" s="25">
        <v>38.039554595947273</v>
      </c>
      <c r="DA1102" s="25">
        <v>61.586585998535163</v>
      </c>
      <c r="DB1102" s="25">
        <v>52.926410675048828</v>
      </c>
      <c r="DC1102">
        <v>5691</v>
      </c>
      <c r="DD1102" s="253" t="s">
        <v>380</v>
      </c>
    </row>
    <row r="1103" spans="1:108" hidden="1">
      <c r="A1103" s="13">
        <v>91001</v>
      </c>
      <c r="B1103" s="13" t="s">
        <v>2605</v>
      </c>
      <c r="C1103" s="13" t="s">
        <v>2606</v>
      </c>
      <c r="D1103" s="13" t="s">
        <v>2607</v>
      </c>
      <c r="E1103" s="13" t="s">
        <v>2608</v>
      </c>
      <c r="F1103" s="14">
        <v>50.219066666666698</v>
      </c>
      <c r="G1103" s="13">
        <v>44.8</v>
      </c>
      <c r="H1103" s="13">
        <v>37.979999999999997</v>
      </c>
      <c r="I1103" s="13">
        <v>47.67</v>
      </c>
      <c r="J1103" s="14">
        <v>56.994926873910025</v>
      </c>
      <c r="K1103" s="14">
        <v>55.390677669811353</v>
      </c>
      <c r="L1103" s="14">
        <v>60.207440992802653</v>
      </c>
      <c r="M1103" s="14">
        <v>50.196300000000001</v>
      </c>
      <c r="N1103" s="14">
        <f t="shared" si="459"/>
        <v>45.167266666666677</v>
      </c>
      <c r="O1103" s="14">
        <f t="shared" si="460"/>
        <v>55.697336384131006</v>
      </c>
      <c r="P1103" s="14">
        <f t="shared" si="476"/>
        <v>50.432301525398842</v>
      </c>
      <c r="Q1103" s="14">
        <v>76.64309165746559</v>
      </c>
      <c r="R1103" s="16">
        <f t="shared" si="461"/>
        <v>23.35690834253441</v>
      </c>
      <c r="S1103" s="14">
        <f t="shared" si="477"/>
        <v>0.31021217508280974</v>
      </c>
      <c r="T1103" s="13">
        <v>0</v>
      </c>
      <c r="U1103" s="13">
        <f t="shared" si="478"/>
        <v>15.644713950626079</v>
      </c>
      <c r="V1103" s="13">
        <f>IF($T1103=1,$AU1103,(VLOOKUP(U1103,'Cortes naturales'!$A$35:$C$39,3,9)))</f>
        <v>5</v>
      </c>
      <c r="W1103" s="13">
        <v>5</v>
      </c>
      <c r="X1103" s="14" t="b">
        <f t="shared" si="462"/>
        <v>1</v>
      </c>
      <c r="Y1103" s="17">
        <f>IF($T1103=1,$AU1103,VLOOKUP(U1103,'Cortes naturales'!$A$45:$C$49,3,9))</f>
        <v>5</v>
      </c>
      <c r="Z1103" s="14">
        <v>51.357746741222812</v>
      </c>
      <c r="AA1103" s="14">
        <v>0.31125979176155089</v>
      </c>
      <c r="AB1103" s="14">
        <v>15.985601556015482</v>
      </c>
      <c r="AC1103" s="13">
        <v>5</v>
      </c>
      <c r="AD1103" s="13">
        <f t="shared" si="463"/>
        <v>0</v>
      </c>
      <c r="AE1103" s="14">
        <f t="shared" si="464"/>
        <v>-0.9254452158239701</v>
      </c>
      <c r="AF1103" s="14">
        <f t="shared" si="465"/>
        <v>-1.0476166787411478E-3</v>
      </c>
      <c r="AG1103" s="13">
        <f t="shared" si="466"/>
        <v>-0.34088760538940299</v>
      </c>
      <c r="AH1103" s="13">
        <f>IF($T1103=1,$AU1103,VLOOKUP(U1103,'Cortes naturales'!$A$25:$C$29,3,9))</f>
        <v>5</v>
      </c>
      <c r="AI1103" s="13" t="b">
        <f t="shared" si="467"/>
        <v>1</v>
      </c>
      <c r="AJ1103" s="13">
        <f t="shared" si="468"/>
        <v>0</v>
      </c>
      <c r="AK1103" s="28">
        <v>0.35881802248113021</v>
      </c>
      <c r="AL1103" s="28">
        <v>18.428085124772277</v>
      </c>
      <c r="AM1103" s="28">
        <v>5.9889908036275634E-2</v>
      </c>
      <c r="AN1103" s="13">
        <v>5</v>
      </c>
      <c r="AO1103" s="33">
        <f t="shared" si="469"/>
        <v>0</v>
      </c>
      <c r="AP1103" s="13">
        <f t="shared" si="479"/>
        <v>5.988990803627563</v>
      </c>
      <c r="AQ1103" s="13">
        <f>IFERROR(VLOOKUP(U1103,'Cortes naturales'!$E$15:$G$19,3,9),U1103)</f>
        <v>5</v>
      </c>
      <c r="AR1103" s="28">
        <f t="shared" si="470"/>
        <v>-4.8605847398320468E-2</v>
      </c>
      <c r="AS1103" s="13" t="b">
        <f t="shared" si="471"/>
        <v>1</v>
      </c>
      <c r="AT1103" s="13">
        <f t="shared" si="480"/>
        <v>0</v>
      </c>
      <c r="AU1103" s="13">
        <v>5</v>
      </c>
      <c r="AV1103">
        <f t="shared" si="472"/>
        <v>0</v>
      </c>
      <c r="AW1103" s="13">
        <v>1</v>
      </c>
      <c r="AX1103" s="13">
        <v>0</v>
      </c>
      <c r="AY1103" s="13">
        <v>0</v>
      </c>
      <c r="AZ1103" s="13">
        <v>0</v>
      </c>
      <c r="BA1103">
        <v>0</v>
      </c>
      <c r="BB1103" t="s">
        <v>2840</v>
      </c>
      <c r="BC1103">
        <v>5</v>
      </c>
      <c r="BD1103" t="s">
        <v>2920</v>
      </c>
      <c r="BE1103">
        <v>0</v>
      </c>
      <c r="BF1103" s="232" t="s">
        <v>2846</v>
      </c>
      <c r="BG1103" s="232" t="s">
        <v>2846</v>
      </c>
      <c r="BH1103" s="253">
        <v>48.4</v>
      </c>
      <c r="BI1103" s="253">
        <v>27.357347166335387</v>
      </c>
      <c r="BJ1103" s="25">
        <v>4.9490909090909092</v>
      </c>
      <c r="BK1103" t="s">
        <v>381</v>
      </c>
      <c r="BL1103">
        <v>3.4116148539817583</v>
      </c>
      <c r="BM1103" t="s">
        <v>383</v>
      </c>
      <c r="BN1103" s="322">
        <v>76352.479344000007</v>
      </c>
      <c r="BO1103" s="322">
        <v>21015.464564000002</v>
      </c>
      <c r="BP1103" s="10">
        <v>53059</v>
      </c>
      <c r="BQ1103" s="254">
        <f t="shared" si="473"/>
        <v>1.4390109000169624</v>
      </c>
      <c r="BR1103" s="254">
        <f t="shared" si="474"/>
        <v>0.39607728309994539</v>
      </c>
      <c r="BS1103" s="25">
        <v>62.457412944693132</v>
      </c>
      <c r="BT1103" s="25">
        <v>90.265980626959234</v>
      </c>
      <c r="BU1103" s="25">
        <v>33.866666666666667</v>
      </c>
      <c r="BV1103" s="25">
        <v>91.231717843394492</v>
      </c>
      <c r="BW1103" s="25">
        <v>33.027064013654147</v>
      </c>
      <c r="BX1103" s="25">
        <v>69.455444520428387</v>
      </c>
      <c r="BY1103" s="25">
        <v>33.806637227610139</v>
      </c>
      <c r="BZ1103">
        <v>57</v>
      </c>
      <c r="CA1103">
        <v>1</v>
      </c>
      <c r="CB1103">
        <v>6</v>
      </c>
      <c r="CC1103">
        <v>601030.24725000001</v>
      </c>
      <c r="CD1103" s="10">
        <v>385653.69250100001</v>
      </c>
      <c r="CE1103" s="255">
        <v>0.64165438306233269</v>
      </c>
      <c r="CF1103" t="str">
        <f>IFERROR(VLOOKUP(CE1103,'Rangos amb etnico'!$A$2:$C$6,3,9),"N.D.")</f>
        <v>51% - 70%</v>
      </c>
      <c r="CG1103" s="256">
        <v>1.1220119700168448E-2</v>
      </c>
      <c r="CH1103" s="232">
        <v>584593.32305999997</v>
      </c>
      <c r="CI1103" s="311">
        <f t="shared" si="481"/>
        <v>0.97265208487391974</v>
      </c>
      <c r="CJ1103" s="232" t="str">
        <f>IFERROR(VLOOKUP(CI1103,'Rangos amb etnico'!$A$2:$C$6,3,9),"N.D.")</f>
        <v>71% - 100%</v>
      </c>
      <c r="CK1103" s="311">
        <f t="shared" si="482"/>
        <v>2.3212182375169005E-2</v>
      </c>
      <c r="CL1103" s="10">
        <v>0</v>
      </c>
      <c r="CM1103" s="255">
        <f t="shared" si="483"/>
        <v>0</v>
      </c>
      <c r="CN1103" s="232">
        <f>IFERROR(VLOOKUP(CM1103,'Rangos amb etnico'!$A$2:$C$6,3,9),"N.D.")</f>
        <v>0</v>
      </c>
      <c r="CO1103" s="311">
        <f t="shared" si="484"/>
        <v>0</v>
      </c>
      <c r="CP1103">
        <v>0.87980317610362069</v>
      </c>
      <c r="CQ1103" t="s">
        <v>2864</v>
      </c>
      <c r="CR1103">
        <f t="shared" si="475"/>
        <v>1</v>
      </c>
      <c r="CS1103" t="str">
        <f t="shared" si="485"/>
        <v>No es Candidato</v>
      </c>
      <c r="CT1103">
        <v>1</v>
      </c>
      <c r="CU1103" t="s">
        <v>2835</v>
      </c>
      <c r="CV1103" s="25">
        <v>44.893020629882813</v>
      </c>
      <c r="CW1103" s="25">
        <v>31.91281890869141</v>
      </c>
      <c r="CX1103" s="25">
        <v>36.214714050292969</v>
      </c>
      <c r="CY1103" s="25">
        <v>50.15313720703125</v>
      </c>
      <c r="CZ1103" s="25">
        <v>60.290828704833977</v>
      </c>
      <c r="DA1103" s="25">
        <v>39.925853729248047</v>
      </c>
      <c r="DB1103" s="25">
        <v>50.860763549804688</v>
      </c>
      <c r="DC1103">
        <v>19606</v>
      </c>
      <c r="DD1103" s="253">
        <v>3.4762996535970929</v>
      </c>
    </row>
    <row r="1104" spans="1:108" hidden="1">
      <c r="A1104" s="13">
        <v>91540</v>
      </c>
      <c r="B1104" s="13" t="s">
        <v>2609</v>
      </c>
      <c r="C1104" s="13" t="s">
        <v>2606</v>
      </c>
      <c r="D1104" s="13" t="s">
        <v>2607</v>
      </c>
      <c r="E1104" s="13" t="s">
        <v>2610</v>
      </c>
      <c r="F1104" s="14">
        <v>60.758600000000001</v>
      </c>
      <c r="G1104" s="13">
        <v>35.799999999999997</v>
      </c>
      <c r="H1104" s="13">
        <v>45.56</v>
      </c>
      <c r="I1104" s="13">
        <v>32.799999999999997</v>
      </c>
      <c r="J1104" s="14">
        <v>37.499201827671726</v>
      </c>
      <c r="K1104" s="14">
        <v>36.134049249467793</v>
      </c>
      <c r="L1104" s="14">
        <v>46.996226868925959</v>
      </c>
      <c r="M1104" s="14">
        <v>37.734099999999998</v>
      </c>
      <c r="N1104" s="14">
        <f t="shared" si="459"/>
        <v>43.729650000000007</v>
      </c>
      <c r="O1104" s="14">
        <f t="shared" si="460"/>
        <v>39.590894486516369</v>
      </c>
      <c r="P1104" s="14">
        <f t="shared" si="476"/>
        <v>41.660272243258191</v>
      </c>
      <c r="Q1104" s="14">
        <v>77.721163017988687</v>
      </c>
      <c r="R1104" s="16">
        <f t="shared" si="461"/>
        <v>22.278836982011313</v>
      </c>
      <c r="S1104" s="14">
        <f t="shared" si="477"/>
        <v>0.30050953283810183</v>
      </c>
      <c r="T1104" s="13">
        <v>0</v>
      </c>
      <c r="U1104" s="13">
        <f t="shared" si="478"/>
        <v>12.519308949729659</v>
      </c>
      <c r="V1104" s="13">
        <f>IF($T1104=1,$AU1104,(VLOOKUP(U1104,'Cortes naturales'!$A$35:$C$39,3,9)))</f>
        <v>5</v>
      </c>
      <c r="W1104" s="13">
        <v>5</v>
      </c>
      <c r="X1104" s="14" t="b">
        <f t="shared" si="462"/>
        <v>1</v>
      </c>
      <c r="Y1104" s="17">
        <f>IF($T1104=1,$AU1104,VLOOKUP(U1104,'Cortes naturales'!$A$45:$C$49,3,9))</f>
        <v>5</v>
      </c>
      <c r="Z1104" s="14">
        <v>45.720679216165031</v>
      </c>
      <c r="AA1104" s="14">
        <v>0.29650362777272499</v>
      </c>
      <c r="AB1104" s="14">
        <v>13.55634725182596</v>
      </c>
      <c r="AC1104" s="13">
        <v>5</v>
      </c>
      <c r="AD1104" s="13">
        <f t="shared" si="463"/>
        <v>0</v>
      </c>
      <c r="AE1104" s="14">
        <f t="shared" si="464"/>
        <v>-4.0604069729068399</v>
      </c>
      <c r="AF1104" s="14">
        <f t="shared" si="465"/>
        <v>4.0059050653768469E-3</v>
      </c>
      <c r="AG1104" s="13">
        <f t="shared" si="466"/>
        <v>-1.0370383020963008</v>
      </c>
      <c r="AH1104" s="13">
        <f>IF($T1104=1,$AU1104,VLOOKUP(U1104,'Cortes naturales'!$A$25:$C$29,3,9))</f>
        <v>5</v>
      </c>
      <c r="AI1104" s="13" t="b">
        <f t="shared" si="467"/>
        <v>1</v>
      </c>
      <c r="AJ1104" s="13">
        <f t="shared" si="468"/>
        <v>0</v>
      </c>
      <c r="AK1104" s="28">
        <v>0.35881802248113021</v>
      </c>
      <c r="AL1104" s="28">
        <v>16.405403702838449</v>
      </c>
      <c r="AM1104" s="28">
        <v>3.458829555507259E-2</v>
      </c>
      <c r="AN1104" s="13">
        <v>5</v>
      </c>
      <c r="AO1104" s="33">
        <f t="shared" si="469"/>
        <v>0</v>
      </c>
      <c r="AP1104" s="13">
        <f t="shared" si="479"/>
        <v>3.458829555507259</v>
      </c>
      <c r="AQ1104" s="13">
        <f>IFERROR(VLOOKUP(U1104,'Cortes naturales'!$E$15:$G$19,3,9),U1104)</f>
        <v>5</v>
      </c>
      <c r="AR1104" s="28">
        <f t="shared" si="470"/>
        <v>-5.8308489643028372E-2</v>
      </c>
      <c r="AS1104" s="13" t="b">
        <f t="shared" si="471"/>
        <v>1</v>
      </c>
      <c r="AT1104" s="13">
        <f t="shared" si="480"/>
        <v>0</v>
      </c>
      <c r="AU1104" s="13">
        <v>5</v>
      </c>
      <c r="AV1104">
        <f t="shared" si="472"/>
        <v>0</v>
      </c>
      <c r="AW1104" s="13">
        <v>0</v>
      </c>
      <c r="AX1104" s="13">
        <v>0</v>
      </c>
      <c r="AY1104" s="13">
        <v>0</v>
      </c>
      <c r="AZ1104" s="13">
        <v>0</v>
      </c>
      <c r="BA1104">
        <v>0</v>
      </c>
      <c r="BB1104" t="s">
        <v>2841</v>
      </c>
      <c r="BC1104">
        <v>6</v>
      </c>
      <c r="BD1104" t="s">
        <v>2919</v>
      </c>
      <c r="BE1104">
        <v>0</v>
      </c>
      <c r="BF1104" s="232" t="s">
        <v>2846</v>
      </c>
      <c r="BG1104" s="232" t="s">
        <v>2846</v>
      </c>
      <c r="BH1104" s="253">
        <v>70.400000000000006</v>
      </c>
      <c r="BI1104" s="253">
        <v>41.741460147354317</v>
      </c>
      <c r="BJ1104" s="25">
        <v>8.8740339418618817</v>
      </c>
      <c r="BK1104" t="s">
        <v>377</v>
      </c>
      <c r="BL1104">
        <v>0.27426215225689499</v>
      </c>
      <c r="BM1104" t="s">
        <v>383</v>
      </c>
      <c r="BN1104" s="322">
        <v>22848.380063000001</v>
      </c>
      <c r="BO1104" s="322">
        <v>1170.472964</v>
      </c>
      <c r="BP1104" s="10">
        <v>11184</v>
      </c>
      <c r="BQ1104" s="254">
        <f t="shared" si="473"/>
        <v>2.0429524376788271</v>
      </c>
      <c r="BR1104" s="254">
        <f t="shared" si="474"/>
        <v>0.10465602324749643</v>
      </c>
      <c r="BS1104" s="25">
        <v>45.917696178995577</v>
      </c>
      <c r="BT1104" s="25">
        <v>86.992390720076301</v>
      </c>
      <c r="BU1104" s="25">
        <v>47.765675340768269</v>
      </c>
      <c r="BV1104" s="25">
        <v>96.874111627418742</v>
      </c>
      <c r="BW1104" s="25">
        <v>47.128744045826153</v>
      </c>
      <c r="BX1104" s="25">
        <v>69.387468466814724</v>
      </c>
      <c r="BY1104" s="25">
        <v>49.079767824487149</v>
      </c>
      <c r="BZ1104">
        <v>57</v>
      </c>
      <c r="CA1104">
        <v>0</v>
      </c>
      <c r="CB1104">
        <v>7</v>
      </c>
      <c r="CC1104">
        <v>145558.351673</v>
      </c>
      <c r="CD1104" s="10">
        <v>7572.0835440000001</v>
      </c>
      <c r="CE1104" s="255">
        <v>5.2020948691496934E-2</v>
      </c>
      <c r="CF1104" t="str">
        <f>IFERROR(VLOOKUP(CE1104,'Rangos amb etnico'!$A$2:$C$6,3,9),"N.D.")</f>
        <v>0,1% - 30%</v>
      </c>
      <c r="CG1104" s="256">
        <v>2.2030045451499318E-4</v>
      </c>
      <c r="CH1104" s="232">
        <v>140545.48905500001</v>
      </c>
      <c r="CI1104" s="311">
        <f t="shared" si="481"/>
        <v>0.96556114739976251</v>
      </c>
      <c r="CJ1104" s="232" t="str">
        <f>IFERROR(VLOOKUP(CI1104,'Rangos amb etnico'!$A$2:$C$6,3,9),"N.D.")</f>
        <v>71% - 100%</v>
      </c>
      <c r="CK1104" s="311">
        <f t="shared" si="482"/>
        <v>5.5805760949773024E-3</v>
      </c>
      <c r="CL1104" s="10">
        <v>0</v>
      </c>
      <c r="CM1104" s="255">
        <f t="shared" si="483"/>
        <v>0</v>
      </c>
      <c r="CN1104" s="232">
        <f>IFERROR(VLOOKUP(CM1104,'Rangos amb etnico'!$A$2:$C$6,3,9),"N.D.")</f>
        <v>0</v>
      </c>
      <c r="CO1104" s="311">
        <f t="shared" si="484"/>
        <v>0</v>
      </c>
      <c r="CP1104">
        <v>0.88078795106472785</v>
      </c>
      <c r="CQ1104" t="s">
        <v>2864</v>
      </c>
      <c r="CR1104">
        <f t="shared" si="475"/>
        <v>1</v>
      </c>
      <c r="CS1104" t="str">
        <f t="shared" si="485"/>
        <v>No es Candidato</v>
      </c>
      <c r="CT1104">
        <v>1</v>
      </c>
      <c r="CU1104" t="s">
        <v>2835</v>
      </c>
      <c r="CV1104" s="25">
        <v>38.446186065673828</v>
      </c>
      <c r="CW1104" s="25">
        <v>8.7864894866943359</v>
      </c>
      <c r="CX1104" s="25">
        <v>37.248970031738281</v>
      </c>
      <c r="CY1104" s="25">
        <v>32.181217193603523</v>
      </c>
      <c r="CZ1104" s="25">
        <v>16.38211631774902</v>
      </c>
      <c r="DA1104" s="25">
        <v>75.913841247558594</v>
      </c>
      <c r="DB1104" s="25">
        <v>60.164478302001953</v>
      </c>
      <c r="DC1104">
        <v>9358</v>
      </c>
      <c r="DD1104" s="253" t="s">
        <v>380</v>
      </c>
    </row>
    <row r="1105" spans="1:108" hidden="1">
      <c r="A1105" s="13">
        <v>94001</v>
      </c>
      <c r="B1105" s="13" t="s">
        <v>2611</v>
      </c>
      <c r="C1105" s="13" t="s">
        <v>2586</v>
      </c>
      <c r="D1105" s="13" t="s">
        <v>2587</v>
      </c>
      <c r="E1105" s="13" t="s">
        <v>2612</v>
      </c>
      <c r="F1105" s="14">
        <v>65.897433333333296</v>
      </c>
      <c r="G1105" s="13">
        <v>58</v>
      </c>
      <c r="H1105" s="13">
        <v>61.64</v>
      </c>
      <c r="I1105" s="13">
        <v>62.14</v>
      </c>
      <c r="J1105" s="14">
        <v>49.650212162510009</v>
      </c>
      <c r="K1105" s="14">
        <v>53.16260981601647</v>
      </c>
      <c r="L1105" s="14">
        <v>61.513702826537234</v>
      </c>
      <c r="M1105" s="14">
        <v>53.1877</v>
      </c>
      <c r="N1105" s="14">
        <f t="shared" si="459"/>
        <v>61.919358333333321</v>
      </c>
      <c r="O1105" s="14">
        <f t="shared" si="460"/>
        <v>54.37855620126593</v>
      </c>
      <c r="P1105" s="14">
        <f t="shared" si="476"/>
        <v>58.148957267299622</v>
      </c>
      <c r="Q1105" s="14">
        <v>86.63418649063847</v>
      </c>
      <c r="R1105" s="17">
        <f t="shared" si="461"/>
        <v>13.36581350936153</v>
      </c>
      <c r="S1105" s="14">
        <f t="shared" si="477"/>
        <v>0.22029232158425377</v>
      </c>
      <c r="T1105" s="13">
        <v>0</v>
      </c>
      <c r="U1105" s="13">
        <f t="shared" si="478"/>
        <v>12.809768794116998</v>
      </c>
      <c r="V1105" s="13">
        <f>IF($T1105=1,$AU1105,(VLOOKUP(U1105,'Cortes naturales'!$A$35:$C$39,3,9)))</f>
        <v>5</v>
      </c>
      <c r="W1105" s="13">
        <v>5</v>
      </c>
      <c r="X1105" s="14" t="b">
        <f t="shared" si="462"/>
        <v>1</v>
      </c>
      <c r="Y1105" s="17">
        <f>IF($T1105=1,$AU1105,VLOOKUP(U1105,'Cortes naturales'!$A$45:$C$49,3,9))</f>
        <v>5</v>
      </c>
      <c r="Z1105" s="14">
        <v>59.317549910421889</v>
      </c>
      <c r="AA1105" s="14">
        <v>0.21512137931324304</v>
      </c>
      <c r="AB1105" s="14">
        <v>12.760473154212093</v>
      </c>
      <c r="AC1105" s="13">
        <v>5</v>
      </c>
      <c r="AD1105" s="13">
        <f t="shared" si="463"/>
        <v>0</v>
      </c>
      <c r="AE1105" s="14">
        <f t="shared" si="464"/>
        <v>-1.1685926431222668</v>
      </c>
      <c r="AF1105" s="14">
        <f t="shared" si="465"/>
        <v>5.1709422710107256E-3</v>
      </c>
      <c r="AG1105" s="13">
        <f t="shared" si="466"/>
        <v>4.9295639904904931E-2</v>
      </c>
      <c r="AH1105" s="13">
        <f>IF($T1105=1,$AU1105,VLOOKUP(U1105,'Cortes naturales'!$A$25:$C$29,3,9))</f>
        <v>5</v>
      </c>
      <c r="AI1105" s="13" t="b">
        <f t="shared" si="467"/>
        <v>1</v>
      </c>
      <c r="AJ1105" s="13">
        <f t="shared" si="468"/>
        <v>0</v>
      </c>
      <c r="AK1105" s="28">
        <v>0.35881802248113021</v>
      </c>
      <c r="AL1105" s="28">
        <v>21.284205957283323</v>
      </c>
      <c r="AM1105" s="28">
        <v>9.5616969015851691E-2</v>
      </c>
      <c r="AN1105" s="13">
        <v>5</v>
      </c>
      <c r="AO1105" s="33">
        <f t="shared" si="469"/>
        <v>0</v>
      </c>
      <c r="AP1105" s="13">
        <f t="shared" si="479"/>
        <v>9.5616969015851687</v>
      </c>
      <c r="AQ1105" s="13">
        <f>IFERROR(VLOOKUP(U1105,'Cortes naturales'!$E$15:$G$19,3,9),U1105)</f>
        <v>5</v>
      </c>
      <c r="AR1105" s="28">
        <f t="shared" si="470"/>
        <v>-0.13852570089687644</v>
      </c>
      <c r="AS1105" s="13" t="b">
        <f t="shared" si="471"/>
        <v>1</v>
      </c>
      <c r="AT1105" s="13">
        <f t="shared" si="480"/>
        <v>0</v>
      </c>
      <c r="AU1105" s="13">
        <v>5</v>
      </c>
      <c r="AV1105">
        <f t="shared" si="472"/>
        <v>0</v>
      </c>
      <c r="AW1105" s="13">
        <v>1</v>
      </c>
      <c r="AX1105" s="13">
        <v>0</v>
      </c>
      <c r="AY1105" s="13">
        <v>0</v>
      </c>
      <c r="AZ1105" s="13">
        <v>0</v>
      </c>
      <c r="BA1105">
        <v>0</v>
      </c>
      <c r="BB1105" t="s">
        <v>2840</v>
      </c>
      <c r="BC1105">
        <v>6</v>
      </c>
      <c r="BD1105" t="s">
        <v>2920</v>
      </c>
      <c r="BE1105">
        <v>0</v>
      </c>
      <c r="BF1105" s="232" t="s">
        <v>2846</v>
      </c>
      <c r="BG1105" s="232" t="s">
        <v>2846</v>
      </c>
      <c r="BH1105" s="253">
        <v>67.2</v>
      </c>
      <c r="BI1105" s="253">
        <v>50.799940745129987</v>
      </c>
      <c r="BJ1105" s="25">
        <v>32.76</v>
      </c>
      <c r="BK1105" t="s">
        <v>379</v>
      </c>
      <c r="BL1105">
        <v>1.2210277977343658</v>
      </c>
      <c r="BM1105" t="s">
        <v>383</v>
      </c>
      <c r="BN1105" s="322">
        <v>75006.030503999995</v>
      </c>
      <c r="BO1105" s="322">
        <v>9630.2499960000005</v>
      </c>
      <c r="BP1105" s="10">
        <v>38710</v>
      </c>
      <c r="BQ1105" s="254">
        <f t="shared" si="473"/>
        <v>1.9376396410229912</v>
      </c>
      <c r="BR1105" s="254">
        <f t="shared" si="474"/>
        <v>0.24877938506845779</v>
      </c>
      <c r="BS1105" s="25">
        <v>63.298581251432893</v>
      </c>
      <c r="BT1105" s="25">
        <v>95.940741111111109</v>
      </c>
      <c r="BU1105" s="25">
        <v>38.389574944071562</v>
      </c>
      <c r="BV1105" s="25">
        <v>89.397875263310084</v>
      </c>
      <c r="BW1105" s="25">
        <v>33.463765388636062</v>
      </c>
      <c r="BX1105" s="25">
        <v>71.75669314248141</v>
      </c>
      <c r="BY1105" s="25">
        <v>35.436114712287662</v>
      </c>
      <c r="BZ1105">
        <v>34</v>
      </c>
      <c r="CA1105">
        <v>1</v>
      </c>
      <c r="CB1105">
        <v>5</v>
      </c>
      <c r="CC1105">
        <v>1587886.8989530001</v>
      </c>
      <c r="CD1105" s="10">
        <v>413299.23490099999</v>
      </c>
      <c r="CE1105" s="255">
        <v>0.26028253975362842</v>
      </c>
      <c r="CF1105" t="str">
        <f>IFERROR(VLOOKUP(CE1105,'Rangos amb etnico'!$A$2:$C$6,3,9),"N.D.")</f>
        <v>0,1% - 30%</v>
      </c>
      <c r="CG1105" s="256">
        <v>1.2024432743024319E-2</v>
      </c>
      <c r="CH1105" s="232">
        <v>1533574.0993300001</v>
      </c>
      <c r="CI1105" s="311">
        <f t="shared" si="481"/>
        <v>0.96579554900363995</v>
      </c>
      <c r="CJ1105" s="232" t="str">
        <f>IFERROR(VLOOKUP(CI1105,'Rangos amb etnico'!$A$2:$C$6,3,9),"N.D.")</f>
        <v>71% - 100%</v>
      </c>
      <c r="CK1105" s="311">
        <f t="shared" si="482"/>
        <v>6.0892932360484611E-2</v>
      </c>
      <c r="CL1105" s="10">
        <v>0</v>
      </c>
      <c r="CM1105" s="255">
        <f t="shared" si="483"/>
        <v>0</v>
      </c>
      <c r="CN1105" s="232">
        <f>IFERROR(VLOOKUP(CM1105,'Rangos amb etnico'!$A$2:$C$6,3,9),"N.D.")</f>
        <v>0</v>
      </c>
      <c r="CO1105" s="311">
        <f t="shared" si="484"/>
        <v>0</v>
      </c>
      <c r="CP1105">
        <v>0.97003574770155465</v>
      </c>
      <c r="CQ1105" t="s">
        <v>2864</v>
      </c>
      <c r="CR1105">
        <f t="shared" si="475"/>
        <v>2</v>
      </c>
      <c r="CS1105" t="str">
        <f t="shared" si="485"/>
        <v>No es Candidato</v>
      </c>
      <c r="CT1105">
        <v>1</v>
      </c>
      <c r="CU1105" t="s">
        <v>2835</v>
      </c>
      <c r="CV1105" s="25">
        <v>41.519260406494141</v>
      </c>
      <c r="CW1105" s="25">
        <v>29.230224609375</v>
      </c>
      <c r="CX1105" s="25">
        <v>34.972686767578118</v>
      </c>
      <c r="CY1105" s="25">
        <v>34.749191284179688</v>
      </c>
      <c r="CZ1105" s="25">
        <v>42.362297058105469</v>
      </c>
      <c r="DA1105" s="25">
        <v>55.052707672119141</v>
      </c>
      <c r="DB1105" s="25">
        <v>52.748455047607422</v>
      </c>
      <c r="DC1105">
        <v>22732</v>
      </c>
      <c r="DD1105" s="253">
        <v>2.8676934879288192</v>
      </c>
    </row>
    <row r="1107" spans="1:108">
      <c r="E1107" s="13"/>
      <c r="F1107" s="13"/>
      <c r="G1107" s="13"/>
      <c r="H1107" s="13"/>
      <c r="I1107" s="13"/>
      <c r="J1107" s="13"/>
      <c r="K1107" s="13"/>
      <c r="L1107" s="13"/>
      <c r="M1107" s="13"/>
      <c r="Q1107" s="13"/>
    </row>
    <row r="1108" spans="1:108">
      <c r="F1108" s="123"/>
      <c r="G1108" s="123"/>
      <c r="H1108" s="123"/>
      <c r="I1108" s="123"/>
      <c r="J1108" s="123"/>
      <c r="K1108" s="123"/>
      <c r="L1108" s="123"/>
      <c r="M1108" s="123"/>
      <c r="Q1108" s="123"/>
    </row>
    <row r="1109" spans="1:108">
      <c r="F1109" s="123"/>
      <c r="G1109" s="123"/>
      <c r="H1109" s="123"/>
      <c r="I1109" s="123"/>
      <c r="J1109" s="123"/>
      <c r="K1109" s="123"/>
      <c r="L1109" s="123"/>
      <c r="M1109" s="123"/>
      <c r="Q1109" s="123"/>
    </row>
    <row r="1110" spans="1:108">
      <c r="AB1110">
        <f>Z151*AA151</f>
        <v>35.130236370213815</v>
      </c>
    </row>
    <row r="1114" spans="1:108">
      <c r="S1114" t="s">
        <v>412</v>
      </c>
      <c r="T1114" t="s">
        <v>2816</v>
      </c>
      <c r="U1114" t="s">
        <v>414</v>
      </c>
    </row>
    <row r="1115" spans="1:108">
      <c r="S1115">
        <v>57.847109399948096</v>
      </c>
      <c r="T1115">
        <v>0.60381507249081834</v>
      </c>
      <c r="U1115">
        <v>34.92895655571396</v>
      </c>
    </row>
    <row r="1119" spans="1:108">
      <c r="S1119" t="s">
        <v>417</v>
      </c>
      <c r="T1119" t="s">
        <v>419</v>
      </c>
      <c r="U1119" t="s">
        <v>421</v>
      </c>
    </row>
    <row r="1120" spans="1:108">
      <c r="S1120">
        <v>56.703531798978574</v>
      </c>
      <c r="T1120">
        <v>0.61954229755485235</v>
      </c>
      <c r="U1120">
        <v>35.130236370213801</v>
      </c>
    </row>
    <row r="1122" spans="19:21">
      <c r="S1122" t="s">
        <v>2831</v>
      </c>
      <c r="T1122" t="s">
        <v>2832</v>
      </c>
      <c r="U1122" t="s">
        <v>2833</v>
      </c>
    </row>
  </sheetData>
  <autoFilter ref="A2:DD1105" xr:uid="{FBD4C093-C633-45EF-83DE-13A16D95CC9E}">
    <filterColumn colId="3">
      <filters>
        <filter val="ANTIOQUIA"/>
      </filters>
    </filterColumn>
  </autoFilter>
  <conditionalFormatting sqref="P3:P1105">
    <cfRule type="colorScale" priority="3">
      <colorScale>
        <cfvo type="min"/>
        <cfvo type="percentile" val="50"/>
        <cfvo type="max"/>
        <color rgb="FFF8696B"/>
        <color rgb="FFFFEB84"/>
        <color rgb="FF63BE7B"/>
      </colorScale>
    </cfRule>
  </conditionalFormatting>
  <conditionalFormatting sqref="BN3:BN1105">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80D3-D838-4326-821C-A34AAC35837B}">
  <sheetPr>
    <tabColor rgb="FF7030A0"/>
  </sheetPr>
  <dimension ref="B1:J256"/>
  <sheetViews>
    <sheetView showGridLines="0" zoomScale="70" zoomScaleNormal="70" workbookViewId="0">
      <selection activeCell="E9" sqref="E9"/>
    </sheetView>
  </sheetViews>
  <sheetFormatPr baseColWidth="10" defaultColWidth="11.4140625" defaultRowHeight="14"/>
  <cols>
    <col min="1" max="1" width="3.4140625" customWidth="1"/>
    <col min="2" max="2" width="23.58203125" customWidth="1"/>
    <col min="3" max="3" width="15.4140625" customWidth="1"/>
    <col min="4" max="4" width="27.25" bestFit="1" customWidth="1"/>
    <col min="5" max="5" width="14.1640625" customWidth="1"/>
    <col min="6" max="6" width="11.4140625" customWidth="1"/>
    <col min="7" max="8" width="12.4140625" customWidth="1"/>
    <col min="9" max="9" width="22.4140625" customWidth="1"/>
    <col min="10" max="10" width="15.83203125" customWidth="1"/>
    <col min="11" max="34" width="12" bestFit="1" customWidth="1"/>
    <col min="35" max="35" width="11" bestFit="1" customWidth="1"/>
    <col min="36" max="43" width="12" bestFit="1" customWidth="1"/>
    <col min="44" max="44" width="11" bestFit="1" customWidth="1"/>
    <col min="45" max="83" width="12" bestFit="1" customWidth="1"/>
    <col min="84" max="84" width="11" bestFit="1" customWidth="1"/>
    <col min="85" max="91" width="12" bestFit="1" customWidth="1"/>
    <col min="92" max="92" width="11" bestFit="1" customWidth="1"/>
    <col min="93" max="93" width="12" bestFit="1" customWidth="1"/>
    <col min="94" max="94" width="11" bestFit="1" customWidth="1"/>
    <col min="95" max="116" width="12" bestFit="1" customWidth="1"/>
    <col min="117" max="117" width="10" bestFit="1" customWidth="1"/>
    <col min="118" max="119" width="12" bestFit="1" customWidth="1"/>
    <col min="120" max="120" width="11" bestFit="1" customWidth="1"/>
    <col min="121" max="121" width="10" bestFit="1" customWidth="1"/>
    <col min="122" max="122" width="12.4140625" bestFit="1" customWidth="1"/>
  </cols>
  <sheetData>
    <row r="1" spans="2:5">
      <c r="B1" s="72" t="s">
        <v>321</v>
      </c>
    </row>
    <row r="2" spans="2:5">
      <c r="B2" s="12"/>
    </row>
    <row r="3" spans="2:5">
      <c r="B3" s="12" t="s">
        <v>2710</v>
      </c>
      <c r="C3" s="145" t="s">
        <v>435</v>
      </c>
    </row>
    <row r="4" spans="2:5">
      <c r="B4" s="12" t="s">
        <v>399</v>
      </c>
      <c r="C4" s="13" t="str">
        <f>+_xlfn.XLOOKUP(C3,Departamentos!B:B,Departamentos!E:E)</f>
        <v>Antioquia</v>
      </c>
    </row>
    <row r="7" spans="2:5" ht="57.75" customHeight="1">
      <c r="B7" s="45" t="s">
        <v>367</v>
      </c>
      <c r="C7" s="45" t="s">
        <v>2711</v>
      </c>
      <c r="D7" s="45" t="s">
        <v>3072</v>
      </c>
      <c r="E7" s="45" t="s">
        <v>2712</v>
      </c>
    </row>
    <row r="8" spans="2:5">
      <c r="B8" s="114" t="s">
        <v>370</v>
      </c>
      <c r="C8" s="146">
        <f>+COUNTIFS(Municipios!$C:$C,Tablero_Dptos!$C$3,Municipios!$Y:$Y,Tablero_Dptos!B8)</f>
        <v>0</v>
      </c>
      <c r="D8" s="339">
        <f t="shared" ref="D8:D9" si="0">C8/$C$15</f>
        <v>0</v>
      </c>
      <c r="E8" s="341" t="str">
        <f>IFERROR(AVERAGEIFS(Municipios!$U:$U,Municipios!$C:$C,Tablero_Dptos!$C$3,Municipios!$Y:$Y,Tablero_Dptos!B8),"-")</f>
        <v>-</v>
      </c>
    </row>
    <row r="9" spans="2:5">
      <c r="B9" s="115" t="s">
        <v>371</v>
      </c>
      <c r="C9" s="147">
        <f>+COUNTIFS(Municipios!$C:$C,Tablero_Dptos!$C$3,Municipios!$Y:$Y,Tablero_Dptos!B9)</f>
        <v>1</v>
      </c>
      <c r="D9" s="339">
        <f t="shared" si="0"/>
        <v>8.0000000000000002E-3</v>
      </c>
      <c r="E9" s="342">
        <f>IFERROR(AVERAGEIFS(Municipios!$U:$U,Municipios!$C:$C,Tablero_Dptos!$C$3,Municipios!$Y:$Y,Tablero_Dptos!B9),"-")</f>
        <v>77.518871330742456</v>
      </c>
    </row>
    <row r="10" spans="2:5">
      <c r="B10" s="141">
        <v>1</v>
      </c>
      <c r="C10" s="141">
        <f>+COUNTIFS(Municipios!$C:$C,Tablero_Dptos!$C$3,Municipios!$Y:$Y,Tablero_Dptos!B10)</f>
        <v>13</v>
      </c>
      <c r="D10" s="339">
        <f>C10/$C$15</f>
        <v>0.104</v>
      </c>
      <c r="E10" s="143">
        <f>IFERROR(AVERAGEIFS(Municipios!$U:$U,Municipios!$C:$C,Tablero_Dptos!$C$3,Municipios!$Y:$Y,Tablero_Dptos!B10),"-")</f>
        <v>60.797379930000702</v>
      </c>
    </row>
    <row r="11" spans="2:5">
      <c r="B11" s="141">
        <v>2</v>
      </c>
      <c r="C11" s="141">
        <f>+COUNTIFS(Municipios!$C:$C,Tablero_Dptos!$C$3,Municipios!$Y:$Y,Tablero_Dptos!B11)</f>
        <v>11</v>
      </c>
      <c r="D11" s="339">
        <f>C11/$C$15</f>
        <v>8.7999999999999995E-2</v>
      </c>
      <c r="E11" s="143">
        <f>IFERROR(AVERAGEIFS(Municipios!$U:$U,Municipios!$C:$C,Tablero_Dptos!$C$3,Municipios!$Y:$Y,Tablero_Dptos!B11),"-")</f>
        <v>38.972830467905062</v>
      </c>
    </row>
    <row r="12" spans="2:5">
      <c r="B12" s="141">
        <v>3</v>
      </c>
      <c r="C12" s="141">
        <f>+COUNTIFS(Municipios!$C:$C,Tablero_Dptos!$C$3,Municipios!$Y:$Y,Tablero_Dptos!B12)</f>
        <v>41</v>
      </c>
      <c r="D12" s="339">
        <f>C12/$C$15</f>
        <v>0.32800000000000001</v>
      </c>
      <c r="E12" s="143">
        <f>IFERROR(AVERAGEIFS(Municipios!$U:$U,Municipios!$C:$C,Tablero_Dptos!$C$3,Municipios!$Y:$Y,Tablero_Dptos!B12),"-")</f>
        <v>32.149260927471595</v>
      </c>
    </row>
    <row r="13" spans="2:5">
      <c r="B13" s="141">
        <v>4</v>
      </c>
      <c r="C13" s="141">
        <f>+COUNTIFS(Municipios!$C:$C,Tablero_Dptos!$C$3,Municipios!$Y:$Y,Tablero_Dptos!B13)</f>
        <v>50</v>
      </c>
      <c r="D13" s="339">
        <f>C13/$C$15</f>
        <v>0.4</v>
      </c>
      <c r="E13" s="143">
        <f>IFERROR(AVERAGEIFS(Municipios!$U:$U,Municipios!$C:$C,Tablero_Dptos!$C$3,Municipios!$Y:$Y,Tablero_Dptos!B13),"-")</f>
        <v>25.616468128637734</v>
      </c>
    </row>
    <row r="14" spans="2:5">
      <c r="B14" s="142">
        <v>5</v>
      </c>
      <c r="C14" s="142">
        <f>+COUNTIFS(Municipios!$C:$C,Tablero_Dptos!$C$3,Municipios!$Y:$Y,Tablero_Dptos!B14)</f>
        <v>9</v>
      </c>
      <c r="D14" s="340">
        <f>C14/$C$15</f>
        <v>7.1999999999999995E-2</v>
      </c>
      <c r="E14" s="144">
        <f>IFERROR(AVERAGEIFS(Municipios!$U:$U,Municipios!$C:$C,Tablero_Dptos!$C$3,Municipios!$Y:$Y,Tablero_Dptos!B14),"-")</f>
        <v>18.728535548015575</v>
      </c>
    </row>
    <row r="15" spans="2:5">
      <c r="B15" s="118" t="s">
        <v>369</v>
      </c>
      <c r="C15" s="118">
        <f>+SUM(C8:C14)</f>
        <v>125</v>
      </c>
      <c r="D15" s="117">
        <f>+SUM(D8:D14)</f>
        <v>1</v>
      </c>
      <c r="E15" s="106">
        <f>+AVERAGEIF(Municipios!$C:$C,Tablero_Dptos!$C$3,Municipios!$U:$U)</f>
        <v>32.512686959664556</v>
      </c>
    </row>
    <row r="16" spans="2:5">
      <c r="B16" s="157" t="s">
        <v>2713</v>
      </c>
      <c r="C16" s="157">
        <f>+C15-COUNTIF(Municipios!C:C,Tablero_Dptos!C3)</f>
        <v>0</v>
      </c>
      <c r="D16" s="157">
        <f>100%-D15</f>
        <v>0</v>
      </c>
    </row>
    <row r="18" spans="2:8">
      <c r="B18" s="113" t="s">
        <v>367</v>
      </c>
      <c r="C18" s="113" t="s">
        <v>237</v>
      </c>
      <c r="D18" s="113" t="s">
        <v>238</v>
      </c>
      <c r="E18" s="113" t="s">
        <v>2661</v>
      </c>
      <c r="F18" s="113" t="s">
        <v>2662</v>
      </c>
    </row>
    <row r="19" spans="2:8">
      <c r="B19" s="114" t="s">
        <v>370</v>
      </c>
      <c r="C19" s="90" t="str">
        <f>IFERROR(AVERAGEIFS(Municipios!$BH:$BH,Municipios!$C:$C,Tablero_Dptos!$C$3,Municipios!$Y:$Y,Tablero_Dptos!$B19),"-")</f>
        <v>-</v>
      </c>
      <c r="D19" s="90" t="str">
        <f>IFERROR(AVERAGEIFS(Municipios!$BI:$BI,Municipios!$C:$C,Tablero_Dptos!$C$3,Municipios!$Y:$Y,Tablero_Dptos!$B19),"-")</f>
        <v>-</v>
      </c>
      <c r="E19" s="90" t="str">
        <f>IFERROR(AVERAGEIFS(Municipios!$BJ:$BJ,Municipios!$C:$C,Tablero_Dptos!$C$3,Municipios!$Y:$Y,Tablero_Dptos!$B19),"-")</f>
        <v>-</v>
      </c>
      <c r="F19" s="90" t="str">
        <f>IFERROR(AVERAGEIFS(Municipios!$BL:$BL,Municipios!$C:$C,Tablero_Dptos!$C$3,Municipios!$Y:$Y,Tablero_Dptos!$B19),"-")</f>
        <v>-</v>
      </c>
    </row>
    <row r="20" spans="2:8">
      <c r="B20" s="115" t="s">
        <v>371</v>
      </c>
      <c r="C20" s="91">
        <f>IFERROR(AVERAGEIFS(Municipios!$BH:$BH,Municipios!$C:$C,Tablero_Dptos!$C$3,Municipios!$Y:$Y,Tablero_Dptos!$B20),"-")</f>
        <v>12.8</v>
      </c>
      <c r="D20" s="91">
        <f>IFERROR(AVERAGEIFS(Municipios!$BI:$BI,Municipios!$C:$C,Tablero_Dptos!$C$3,Municipios!$Y:$Y,Tablero_Dptos!$B20),"-")</f>
        <v>5.2303986649721734</v>
      </c>
      <c r="E20" s="91">
        <f>IFERROR(AVERAGEIFS(Municipios!$BJ:$BJ,Municipios!$C:$C,Tablero_Dptos!$C$3,Municipios!$Y:$Y,Tablero_Dptos!$B20),"-")</f>
        <v>0.78047611929398752</v>
      </c>
      <c r="F20" s="91">
        <f>IFERROR(AVERAGEIFS(Municipios!$BL:$BL,Municipios!$C:$C,Tablero_Dptos!$C$3,Municipios!$Y:$Y,Tablero_Dptos!$B20),"-")</f>
        <v>2.0488425509532897</v>
      </c>
    </row>
    <row r="21" spans="2:8">
      <c r="B21" s="141">
        <v>1</v>
      </c>
      <c r="C21" s="91">
        <f>IFERROR(AVERAGEIFS(Municipios!$BH:$BH,Municipios!$C:$C,Tablero_Dptos!$C$3,Municipios!$Y:$Y,Tablero_Dptos!$B21),"-")</f>
        <v>12.353846153846156</v>
      </c>
      <c r="D21" s="91">
        <f>IFERROR(AVERAGEIFS(Municipios!$BI:$BI,Municipios!$C:$C,Tablero_Dptos!$C$3,Municipios!$Y:$Y,Tablero_Dptos!$B21),"-")</f>
        <v>4.4949640940462086</v>
      </c>
      <c r="E21" s="91">
        <f>IFERROR(AVERAGEIFS(Municipios!$BJ:$BJ,Municipios!$C:$C,Tablero_Dptos!$C$3,Municipios!$Y:$Y,Tablero_Dptos!$B21),"-")</f>
        <v>4.1918063615226755</v>
      </c>
      <c r="F21" s="91">
        <f>IFERROR(AVERAGEIFS(Municipios!$BL:$BL,Municipios!$C:$C,Tablero_Dptos!$C$3,Municipios!$Y:$Y,Tablero_Dptos!$B21),"-")</f>
        <v>2.8458844387431834</v>
      </c>
    </row>
    <row r="22" spans="2:8">
      <c r="B22" s="141">
        <v>2</v>
      </c>
      <c r="C22" s="91">
        <f>IFERROR(AVERAGEIFS(Municipios!$BH:$BH,Municipios!$C:$C,Tablero_Dptos!$C$3,Municipios!$Y:$Y,Tablero_Dptos!$B22),"-")</f>
        <v>26.154545454545453</v>
      </c>
      <c r="D22" s="91">
        <f>IFERROR(AVERAGEIFS(Municipios!$BI:$BI,Municipios!$C:$C,Tablero_Dptos!$C$3,Municipios!$Y:$Y,Tablero_Dptos!$B22),"-")</f>
        <v>10.394310501812699</v>
      </c>
      <c r="E22" s="91">
        <f>IFERROR(AVERAGEIFS(Municipios!$BJ:$BJ,Municipios!$C:$C,Tablero_Dptos!$C$3,Municipios!$Y:$Y,Tablero_Dptos!$B22),"-")</f>
        <v>29.067585056968131</v>
      </c>
      <c r="F22" s="91">
        <f>IFERROR(AVERAGEIFS(Municipios!$BL:$BL,Municipios!$C:$C,Tablero_Dptos!$C$3,Municipios!$Y:$Y,Tablero_Dptos!$B22),"-")</f>
        <v>6.4553567762647397</v>
      </c>
    </row>
    <row r="23" spans="2:8">
      <c r="B23" s="141">
        <v>3</v>
      </c>
      <c r="C23" s="91">
        <f>IFERROR(AVERAGEIFS(Municipios!$BH:$BH,Municipios!$C:$C,Tablero_Dptos!$C$3,Municipios!$Y:$Y,Tablero_Dptos!$B23),"-")</f>
        <v>36.302439024390239</v>
      </c>
      <c r="D23" s="91">
        <f>IFERROR(AVERAGEIFS(Municipios!$BI:$BI,Municipios!$C:$C,Tablero_Dptos!$C$3,Municipios!$Y:$Y,Tablero_Dptos!$B23),"-")</f>
        <v>14.658633258427772</v>
      </c>
      <c r="E23" s="91">
        <f>IFERROR(AVERAGEIFS(Municipios!$BJ:$BJ,Municipios!$C:$C,Tablero_Dptos!$C$3,Municipios!$Y:$Y,Tablero_Dptos!$B23),"-")</f>
        <v>20.687097853821701</v>
      </c>
      <c r="F23" s="91">
        <f>IFERROR(AVERAGEIFS(Municipios!$BL:$BL,Municipios!$C:$C,Tablero_Dptos!$C$3,Municipios!$Y:$Y,Tablero_Dptos!$B23),"-")</f>
        <v>7.5412728642201809</v>
      </c>
    </row>
    <row r="24" spans="2:8">
      <c r="B24" s="141">
        <v>4</v>
      </c>
      <c r="C24" s="91">
        <f>IFERROR(AVERAGEIFS(Municipios!$BH:$BH,Municipios!$C:$C,Tablero_Dptos!$C$3,Municipios!$Y:$Y,Tablero_Dptos!$B24),"-")</f>
        <v>45.992000000000004</v>
      </c>
      <c r="D24" s="91">
        <f>IFERROR(AVERAGEIFS(Municipios!$BI:$BI,Municipios!$C:$C,Tablero_Dptos!$C$3,Municipios!$Y:$Y,Tablero_Dptos!$B24),"-")</f>
        <v>24.604980737456202</v>
      </c>
      <c r="E24" s="91">
        <f>IFERROR(AVERAGEIFS(Municipios!$BJ:$BJ,Municipios!$C:$C,Tablero_Dptos!$C$3,Municipios!$Y:$Y,Tablero_Dptos!$B24),"-")</f>
        <v>30.746820014129444</v>
      </c>
      <c r="F24" s="91">
        <f>IFERROR(AVERAGEIFS(Municipios!$BL:$BL,Municipios!$C:$C,Tablero_Dptos!$C$3,Municipios!$Y:$Y,Tablero_Dptos!$B24),"-")</f>
        <v>12.720199721039277</v>
      </c>
    </row>
    <row r="25" spans="2:8">
      <c r="B25" s="142">
        <v>5</v>
      </c>
      <c r="C25" s="92">
        <f>IFERROR(AVERAGEIFS(Municipios!$BH:$BH,Municipios!$C:$C,Tablero_Dptos!$C$3,Municipios!$Y:$Y,Tablero_Dptos!$B25),"-")</f>
        <v>49.911111111111119</v>
      </c>
      <c r="D25" s="92">
        <f>IFERROR(AVERAGEIFS(Municipios!$BI:$BI,Municipios!$C:$C,Tablero_Dptos!$C$3,Municipios!$Y:$Y,Tablero_Dptos!$B25),"-")</f>
        <v>33.125313797559016</v>
      </c>
      <c r="E25" s="92">
        <f>IFERROR(AVERAGEIFS(Municipios!$BJ:$BJ,Municipios!$C:$C,Tablero_Dptos!$C$3,Municipios!$Y:$Y,Tablero_Dptos!$B25),"-")</f>
        <v>32.570461635158416</v>
      </c>
      <c r="F25" s="92">
        <f>IFERROR(AVERAGEIFS(Municipios!$BL:$BL,Municipios!$C:$C,Tablero_Dptos!$C$3,Municipios!$Y:$Y,Tablero_Dptos!$B25),"-")</f>
        <v>9.3909092328889656</v>
      </c>
    </row>
    <row r="26" spans="2:8">
      <c r="B26" s="118" t="s">
        <v>369</v>
      </c>
      <c r="C26" s="106">
        <f>IFERROR(AVERAGEIF(Municipios!$C:$C,Tablero_Dptos!$C$3,Municipios!$BH:$BH),"-")</f>
        <v>37.586400000000033</v>
      </c>
      <c r="D26" s="106">
        <f>IFERROR(AVERAGEIF(Municipios!$C:$C,Tablero_Dptos!$C$3,Municipios!$BI:$BI),"-")</f>
        <v>18.459065376431148</v>
      </c>
      <c r="E26" s="106">
        <f>IFERROR(AVERAGEIF(Municipios!$C:$C,Tablero_Dptos!$C$3,Municipios!$BJ:$BJ),"-")</f>
        <v>24.363654034194909</v>
      </c>
      <c r="F26" s="106">
        <f>IFERROR(AVERAGEIF(Municipios!$C:$C,Tablero_Dptos!$C$3,Municipios!$BL:$BL),"-")</f>
        <v>9.1181969709961468</v>
      </c>
    </row>
    <row r="28" spans="2:8" ht="28">
      <c r="B28" s="113" t="s">
        <v>367</v>
      </c>
      <c r="C28" s="149" t="s">
        <v>92</v>
      </c>
      <c r="D28" s="149" t="s">
        <v>2668</v>
      </c>
      <c r="E28" s="149" t="s">
        <v>2670</v>
      </c>
      <c r="F28" s="149" t="s">
        <v>2665</v>
      </c>
      <c r="G28" s="149" t="s">
        <v>2666</v>
      </c>
      <c r="H28" s="149" t="s">
        <v>2671</v>
      </c>
    </row>
    <row r="29" spans="2:8">
      <c r="B29" s="114" t="s">
        <v>370</v>
      </c>
      <c r="C29" s="90" t="str">
        <f>IFERROR(AVERAGEIFS(Municipios!$BY:$BY,Municipios!$C:$C,Tablero_Dptos!$C$3,Municipios!$Y:$Y,Tablero_Dptos!$B29),"-")</f>
        <v>-</v>
      </c>
      <c r="D29" s="90" t="str">
        <f>IFERROR(AVERAGEIFS(Municipios!$BX:$BX,Municipios!$C:$C,Tablero_Dptos!$C$3,Municipios!$Y:$Y,Tablero_Dptos!$B29),"-")</f>
        <v>-</v>
      </c>
      <c r="E29" s="90" t="str">
        <f>IFERROR(AVERAGEIFS(Municipios!$BS:$BS,Municipios!$C:$C,Tablero_Dptos!$C$3,Municipios!$Y:$Y,Tablero_Dptos!$B29),"-")</f>
        <v>-</v>
      </c>
      <c r="F29" s="90" t="str">
        <f>IFERROR(AVERAGEIFS(Municipios!$BT:$BT,Municipios!$C:$C,Tablero_Dptos!$C$3,Municipios!$Y:$Y,Tablero_Dptos!$B29),"-")</f>
        <v>-</v>
      </c>
      <c r="G29" s="90" t="str">
        <f>IFERROR(AVERAGEIFS(Municipios!$BU:$BU,Municipios!$C:$C,Tablero_Dptos!$C$3,Municipios!$Y:$Y,Tablero_Dptos!$B29),"-")</f>
        <v>-</v>
      </c>
      <c r="H29" s="90" t="str">
        <f>IFERROR(AVERAGEIFS(Municipios!$BV:$BV,Municipios!$C:$C,Tablero_Dptos!$C$3,Municipios!$Y:$Y,Tablero_Dptos!$B29),"-")</f>
        <v>-</v>
      </c>
    </row>
    <row r="30" spans="2:8">
      <c r="B30" s="115" t="s">
        <v>371</v>
      </c>
      <c r="C30" s="91">
        <f>IFERROR(AVERAGEIFS(Municipios!$BY:$BY,Municipios!$C:$C,Tablero_Dptos!$C$3,Municipios!$Y:$Y,Tablero_Dptos!$B30),"-")</f>
        <v>83.328871928234747</v>
      </c>
      <c r="D30" s="91">
        <f>IFERROR(AVERAGEIFS(Municipios!$BX:$BX,Municipios!$C:$C,Tablero_Dptos!$C$3,Municipios!$Y:$Y,Tablero_Dptos!$B30),"-")</f>
        <v>77.460256841681641</v>
      </c>
      <c r="E30" s="91">
        <f>IFERROR(AVERAGEIFS(Municipios!$BS:$BS,Municipios!$C:$C,Tablero_Dptos!$C$3,Municipios!$Y:$Y,Tablero_Dptos!$B30),"-")</f>
        <v>74.203797603667667</v>
      </c>
      <c r="F30" s="91">
        <f>IFERROR(AVERAGEIFS(Municipios!$BT:$BT,Municipios!$C:$C,Tablero_Dptos!$C$3,Municipios!$Y:$Y,Tablero_Dptos!$B30),"-")</f>
        <v>94.438254095994139</v>
      </c>
      <c r="G30" s="91">
        <f>IFERROR(AVERAGEIFS(Municipios!$BU:$BU,Municipios!$C:$C,Tablero_Dptos!$C$3,Municipios!$Y:$Y,Tablero_Dptos!$B30),"-")</f>
        <v>75.25</v>
      </c>
      <c r="H30" s="91">
        <f>IFERROR(AVERAGEIFS(Municipios!$BV:$BV,Municipios!$C:$C,Tablero_Dptos!$C$3,Municipios!$Y:$Y,Tablero_Dptos!$B30),"-")</f>
        <v>65.948975667064744</v>
      </c>
    </row>
    <row r="31" spans="2:8">
      <c r="B31" s="141">
        <v>1</v>
      </c>
      <c r="C31" s="91">
        <f>IFERROR(AVERAGEIFS(Municipios!$BY:$BY,Municipios!$C:$C,Tablero_Dptos!$C$3,Municipios!$Y:$Y,Tablero_Dptos!$B31),"-")</f>
        <v>74.46805508922867</v>
      </c>
      <c r="D31" s="91">
        <f>IFERROR(AVERAGEIFS(Municipios!$BX:$BX,Municipios!$C:$C,Tablero_Dptos!$C$3,Municipios!$Y:$Y,Tablero_Dptos!$B31),"-")</f>
        <v>80.690967194785927</v>
      </c>
      <c r="E31" s="91">
        <f>IFERROR(AVERAGEIFS(Municipios!$BS:$BS,Municipios!$C:$C,Tablero_Dptos!$C$3,Municipios!$Y:$Y,Tablero_Dptos!$B31),"-")</f>
        <v>75.016811648565437</v>
      </c>
      <c r="F31" s="91">
        <f>IFERROR(AVERAGEIFS(Municipios!$BT:$BT,Municipios!$C:$C,Tablero_Dptos!$C$3,Municipios!$Y:$Y,Tablero_Dptos!$B31),"-")</f>
        <v>93.300829303244711</v>
      </c>
      <c r="G31" s="91">
        <f>IFERROR(AVERAGEIFS(Municipios!$BU:$BU,Municipios!$C:$C,Tablero_Dptos!$C$3,Municipios!$Y:$Y,Tablero_Dptos!$B31),"-")</f>
        <v>70.319909502262448</v>
      </c>
      <c r="H31" s="91">
        <f>IFERROR(AVERAGEIFS(Municipios!$BV:$BV,Municipios!$C:$C,Tablero_Dptos!$C$3,Municipios!$Y:$Y,Tablero_Dptos!$B31),"-")</f>
        <v>84.126318325071068</v>
      </c>
    </row>
    <row r="32" spans="2:8">
      <c r="B32" s="141">
        <v>2</v>
      </c>
      <c r="C32" s="91">
        <f>IFERROR(AVERAGEIFS(Municipios!$BY:$BY,Municipios!$C:$C,Tablero_Dptos!$C$3,Municipios!$Y:$Y,Tablero_Dptos!$B32),"-")</f>
        <v>61.529737872800496</v>
      </c>
      <c r="D32" s="91">
        <f>IFERROR(AVERAGEIFS(Municipios!$BX:$BX,Municipios!$C:$C,Tablero_Dptos!$C$3,Municipios!$Y:$Y,Tablero_Dptos!$B32),"-")</f>
        <v>76.783549720490427</v>
      </c>
      <c r="E32" s="91">
        <f>IFERROR(AVERAGEIFS(Municipios!$BS:$BS,Municipios!$C:$C,Tablero_Dptos!$C$3,Municipios!$Y:$Y,Tablero_Dptos!$B32),"-")</f>
        <v>67.627881689619286</v>
      </c>
      <c r="F32" s="91">
        <f>IFERROR(AVERAGEIFS(Municipios!$BT:$BT,Municipios!$C:$C,Tablero_Dptos!$C$3,Municipios!$Y:$Y,Tablero_Dptos!$B32),"-")</f>
        <v>91.598168549713719</v>
      </c>
      <c r="G32" s="91">
        <f>IFERROR(AVERAGEIFS(Municipios!$BU:$BU,Municipios!$C:$C,Tablero_Dptos!$C$3,Municipios!$Y:$Y,Tablero_Dptos!$B32),"-")</f>
        <v>60.000444028573135</v>
      </c>
      <c r="H32" s="91">
        <f>IFERROR(AVERAGEIFS(Municipios!$BV:$BV,Municipios!$C:$C,Tablero_Dptos!$C$3,Municipios!$Y:$Y,Tablero_Dptos!$B32),"-")</f>
        <v>87.907704614055589</v>
      </c>
    </row>
    <row r="33" spans="2:8">
      <c r="B33" s="141">
        <v>3</v>
      </c>
      <c r="C33" s="91">
        <f>IFERROR(AVERAGEIFS(Municipios!$BY:$BY,Municipios!$C:$C,Tablero_Dptos!$C$3,Municipios!$Y:$Y,Tablero_Dptos!$B33),"-")</f>
        <v>58.47536429458507</v>
      </c>
      <c r="D33" s="91">
        <f>IFERROR(AVERAGEIFS(Municipios!$BX:$BX,Municipios!$C:$C,Tablero_Dptos!$C$3,Municipios!$Y:$Y,Tablero_Dptos!$B33),"-")</f>
        <v>73.442776068092584</v>
      </c>
      <c r="E33" s="91">
        <f>IFERROR(AVERAGEIFS(Municipios!$BS:$BS,Municipios!$C:$C,Tablero_Dptos!$C$3,Municipios!$Y:$Y,Tablero_Dptos!$B33),"-")</f>
        <v>63.995908190543624</v>
      </c>
      <c r="F33" s="91">
        <f>IFERROR(AVERAGEIFS(Municipios!$BT:$BT,Municipios!$C:$C,Tablero_Dptos!$C$3,Municipios!$Y:$Y,Tablero_Dptos!$B33),"-")</f>
        <v>89.326026625745953</v>
      </c>
      <c r="G33" s="91">
        <f>IFERROR(AVERAGEIFS(Municipios!$BU:$BU,Municipios!$C:$C,Tablero_Dptos!$C$3,Municipios!$Y:$Y,Tablero_Dptos!$B33),"-")</f>
        <v>53.708196797551288</v>
      </c>
      <c r="H33" s="91">
        <f>IFERROR(AVERAGEIFS(Municipios!$BV:$BV,Municipios!$C:$C,Tablero_Dptos!$C$3,Municipios!$Y:$Y,Tablero_Dptos!$B33),"-")</f>
        <v>86.740972658529486</v>
      </c>
    </row>
    <row r="34" spans="2:8">
      <c r="B34" s="141">
        <v>4</v>
      </c>
      <c r="C34" s="91">
        <f>IFERROR(AVERAGEIFS(Municipios!$BY:$BY,Municipios!$C:$C,Tablero_Dptos!$C$3,Municipios!$Y:$Y,Tablero_Dptos!$B34),"-")</f>
        <v>54.664903459440538</v>
      </c>
      <c r="D34" s="91">
        <f>IFERROR(AVERAGEIFS(Municipios!$BX:$BX,Municipios!$C:$C,Tablero_Dptos!$C$3,Municipios!$Y:$Y,Tablero_Dptos!$B34),"-")</f>
        <v>71.569251234750368</v>
      </c>
      <c r="E34" s="91">
        <f>IFERROR(AVERAGEIFS(Municipios!$BS:$BS,Municipios!$C:$C,Tablero_Dptos!$C$3,Municipios!$Y:$Y,Tablero_Dptos!$B34),"-")</f>
        <v>58.535244425645885</v>
      </c>
      <c r="F34" s="91">
        <f>IFERROR(AVERAGEIFS(Municipios!$BT:$BT,Municipios!$C:$C,Tablero_Dptos!$C$3,Municipios!$Y:$Y,Tablero_Dptos!$B34),"-")</f>
        <v>90.324811896534726</v>
      </c>
      <c r="G34" s="91">
        <f>IFERROR(AVERAGEIFS(Municipios!$BU:$BU,Municipios!$C:$C,Tablero_Dptos!$C$3,Municipios!$Y:$Y,Tablero_Dptos!$B34),"-")</f>
        <v>49.194749355614725</v>
      </c>
      <c r="H34" s="91">
        <f>IFERROR(AVERAGEIFS(Municipios!$BV:$BV,Municipios!$C:$C,Tablero_Dptos!$C$3,Municipios!$Y:$Y,Tablero_Dptos!$B34),"-")</f>
        <v>88.222199261206029</v>
      </c>
    </row>
    <row r="35" spans="2:8">
      <c r="B35" s="142">
        <v>5</v>
      </c>
      <c r="C35" s="92">
        <f>IFERROR(AVERAGEIFS(Municipios!$BY:$BY,Municipios!$C:$C,Tablero_Dptos!$C$3,Municipios!$Y:$Y,Tablero_Dptos!$B35),"-")</f>
        <v>45.900961131152926</v>
      </c>
      <c r="D35" s="92">
        <f>IFERROR(AVERAGEIFS(Municipios!$BX:$BX,Municipios!$C:$C,Tablero_Dptos!$C$3,Municipios!$Y:$Y,Tablero_Dptos!$B35),"-")</f>
        <v>71.773751796364706</v>
      </c>
      <c r="E35" s="92">
        <f>IFERROR(AVERAGEIFS(Municipios!$BS:$BS,Municipios!$C:$C,Tablero_Dptos!$C$3,Municipios!$Y:$Y,Tablero_Dptos!$B35),"-")</f>
        <v>56.712069702806645</v>
      </c>
      <c r="F35" s="92">
        <f>IFERROR(AVERAGEIFS(Municipios!$BT:$BT,Municipios!$C:$C,Tablero_Dptos!$C$3,Municipios!$Y:$Y,Tablero_Dptos!$B35),"-")</f>
        <v>91.410464859747492</v>
      </c>
      <c r="G35" s="92">
        <f>IFERROR(AVERAGEIFS(Municipios!$BU:$BU,Municipios!$C:$C,Tablero_Dptos!$C$3,Municipios!$Y:$Y,Tablero_Dptos!$B35),"-")</f>
        <v>47.828890569799768</v>
      </c>
      <c r="H35" s="92">
        <f>IFERROR(AVERAGEIFS(Municipios!$BV:$BV,Municipios!$C:$C,Tablero_Dptos!$C$3,Municipios!$Y:$Y,Tablero_Dptos!$B35),"-")</f>
        <v>91.143582053104922</v>
      </c>
    </row>
    <row r="36" spans="2:8">
      <c r="B36" s="118" t="s">
        <v>369</v>
      </c>
      <c r="C36" s="106">
        <f>+IFERROR(AVERAGEIF(Municipios!$C:$C,Tablero_Dptos!$C$3,Municipios!$BY:$BY),"-")</f>
        <v>58.176675711355173</v>
      </c>
      <c r="D36" s="106">
        <f>+IFERROR(AVERAGEIF(Municipios!$C:$C,Tablero_Dptos!$C$3,Municipios!$BX:$BX),"-")</f>
        <v>73.653136191967121</v>
      </c>
      <c r="E36" s="106">
        <f>+IFERROR(AVERAGEIF(Municipios!$C:$C,Tablero_Dptos!$C$3,Municipios!$BS:$BS),"-")</f>
        <v>62.834657056325355</v>
      </c>
      <c r="F36" s="106">
        <f>+IFERROR(AVERAGEIF(Municipios!$C:$C,Tablero_Dptos!$C$3,Municipios!$BT:$BT),"-")</f>
        <v>90.529846074440584</v>
      </c>
      <c r="G36" s="106">
        <f>+IFERROR(AVERAGEIF(Municipios!$C:$C,Tablero_Dptos!$C$3,Municipios!$BU:$BU),"-")</f>
        <v>53.933178075618038</v>
      </c>
      <c r="H36" s="106">
        <f>+IFERROR(AVERAGEIF(Municipios!$C:$C,Tablero_Dptos!$C$3,Municipios!$BV:$BV),"-")</f>
        <v>87.314863561484486</v>
      </c>
    </row>
    <row r="38" spans="2:8" ht="61.5" customHeight="1">
      <c r="B38" s="113" t="s">
        <v>367</v>
      </c>
      <c r="C38" s="150" t="s">
        <v>3076</v>
      </c>
      <c r="D38" s="150" t="s">
        <v>3075</v>
      </c>
      <c r="E38" s="150" t="s">
        <v>3073</v>
      </c>
      <c r="F38" s="150" t="s">
        <v>3074</v>
      </c>
    </row>
    <row r="39" spans="2:8">
      <c r="B39" s="114" t="s">
        <v>370</v>
      </c>
      <c r="C39" s="114" t="str">
        <f>+IFERROR(AVERAGEIFS(Municipios!$BO:$BO,Municipios!$C:$C,Tablero_Dptos!$C$3,Municipios!$Y:$Y,Tablero_Dptos!B39),"-")</f>
        <v>-</v>
      </c>
      <c r="D39" s="114" t="str">
        <f>+IFERROR(AVERAGEIFS(Municipios!$BN:$BN,Municipios!$C:$C,Tablero_Dptos!$C$3,Municipios!$Y:$Y,B39),"-")</f>
        <v>-</v>
      </c>
      <c r="E39" s="114" t="str">
        <f>+IFERROR(AVERAGEIFS(Municipios!$BR:$BR,Municipios!$C:$C,Tablero_Dptos!$C$3,Municipios!$Y:$Y,B39)*1000000,"-")</f>
        <v>-</v>
      </c>
      <c r="F39" s="114" t="str">
        <f>+IFERROR(AVERAGEIFS(Municipios!$BQ:$BQ,Municipios!$C:$C,Tablero_Dptos!$C$3,Municipios!$Y:$Y,B39)*1000000,"-")</f>
        <v>-</v>
      </c>
    </row>
    <row r="40" spans="2:8">
      <c r="B40" s="115" t="s">
        <v>371</v>
      </c>
      <c r="C40" s="115">
        <f>+IFERROR(AVERAGEIFS(Municipios!$BO:$BO,Municipios!$C:$C,Tablero_Dptos!$C$3,Municipios!$Y:$Y,Tablero_Dptos!B40),"-")</f>
        <v>3430336.0564140002</v>
      </c>
      <c r="D40" s="115">
        <f>+IFERROR(AVERAGEIFS(Municipios!$BN:$BN,Municipios!$C:$C,Tablero_Dptos!$C$3,Municipios!$Y:$Y,B40),"-")</f>
        <v>9550875.4344609994</v>
      </c>
      <c r="E40" s="115">
        <f>+IFERROR(AVERAGEIFS(Municipios!$BR:$BR,Municipios!$C:$C,Tablero_Dptos!$C$3,Municipios!$Y:$Y,B40)*1000000,"-")</f>
        <v>1358685.0707868948</v>
      </c>
      <c r="F40" s="115">
        <f>+IFERROR(AVERAGEIFS(Municipios!$BQ:$BQ,Municipios!$C:$C,Tablero_Dptos!$C$3,Municipios!$Y:$Y,B40)*1000000,"-")</f>
        <v>3782903.964025306</v>
      </c>
    </row>
    <row r="41" spans="2:8">
      <c r="B41" s="141">
        <v>1</v>
      </c>
      <c r="C41" s="115">
        <f>+IFERROR(AVERAGEIFS(Municipios!$BO:$BO,Municipios!$C:$C,Tablero_Dptos!$C$3,Municipios!$Y:$Y,Tablero_Dptos!B41),"-")</f>
        <v>175784.25900023078</v>
      </c>
      <c r="D41" s="115">
        <f>+IFERROR(AVERAGEIFS(Municipios!$BN:$BN,Municipios!$C:$C,Tablero_Dptos!$C$3,Municipios!$Y:$Y,B41),"-")</f>
        <v>354525.37911207689</v>
      </c>
      <c r="E41" s="115">
        <f>+IFERROR(AVERAGEIFS(Municipios!$BR:$BR,Municipios!$C:$C,Tablero_Dptos!$C$3,Municipios!$Y:$Y,B41)*1000000,"-")</f>
        <v>1220966.5505608923</v>
      </c>
      <c r="F41" s="115">
        <f>+IFERROR(AVERAGEIFS(Municipios!$BQ:$BQ,Municipios!$C:$C,Tablero_Dptos!$C$3,Municipios!$Y:$Y,B41)*1000000,"-")</f>
        <v>2308061.0524293655</v>
      </c>
    </row>
    <row r="42" spans="2:8">
      <c r="B42" s="141">
        <v>2</v>
      </c>
      <c r="C42" s="115">
        <f>+IFERROR(AVERAGEIFS(Municipios!$BO:$BO,Municipios!$C:$C,Tablero_Dptos!$C$3,Municipios!$Y:$Y,Tablero_Dptos!B42),"-")</f>
        <v>27027.004608818181</v>
      </c>
      <c r="D42" s="115">
        <f>+IFERROR(AVERAGEIFS(Municipios!$BN:$BN,Municipios!$C:$C,Tablero_Dptos!$C$3,Municipios!$Y:$Y,B42),"-")</f>
        <v>86697.216680090904</v>
      </c>
      <c r="E42" s="115">
        <f>+IFERROR(AVERAGEIFS(Municipios!$BR:$BR,Municipios!$C:$C,Tablero_Dptos!$C$3,Municipios!$Y:$Y,B42)*1000000,"-")</f>
        <v>800251.12324123282</v>
      </c>
      <c r="F42" s="115">
        <f>+IFERROR(AVERAGEIFS(Municipios!$BQ:$BQ,Municipios!$C:$C,Tablero_Dptos!$C$3,Municipios!$Y:$Y,B42)*1000000,"-")</f>
        <v>2504476.1687306338</v>
      </c>
    </row>
    <row r="43" spans="2:8">
      <c r="B43" s="141">
        <v>3</v>
      </c>
      <c r="C43" s="115">
        <f>+IFERROR(AVERAGEIFS(Municipios!$BO:$BO,Municipios!$C:$C,Tablero_Dptos!$C$3,Municipios!$Y:$Y,Tablero_Dptos!B43),"-")</f>
        <v>10340.445585219513</v>
      </c>
      <c r="D43" s="115">
        <f>+IFERROR(AVERAGEIFS(Municipios!$BN:$BN,Municipios!$C:$C,Tablero_Dptos!$C$3,Municipios!$Y:$Y,B43),"-")</f>
        <v>47092.02448285366</v>
      </c>
      <c r="E43" s="115">
        <f>+IFERROR(AVERAGEIFS(Municipios!$BR:$BR,Municipios!$C:$C,Tablero_Dptos!$C$3,Municipios!$Y:$Y,B43)*1000000,"-")</f>
        <v>506287.26712660701</v>
      </c>
      <c r="F43" s="115">
        <f>+IFERROR(AVERAGEIFS(Municipios!$BQ:$BQ,Municipios!$C:$C,Tablero_Dptos!$C$3,Municipios!$Y:$Y,B43)*1000000,"-")</f>
        <v>2447305.3973933654</v>
      </c>
    </row>
    <row r="44" spans="2:8">
      <c r="B44" s="141">
        <v>4</v>
      </c>
      <c r="C44" s="115">
        <f>+IFERROR(AVERAGEIFS(Municipios!$BO:$BO,Municipios!$C:$C,Tablero_Dptos!$C$3,Municipios!$Y:$Y,Tablero_Dptos!B44),"-")</f>
        <v>7474.8417172000009</v>
      </c>
      <c r="D44" s="115">
        <f>+IFERROR(AVERAGEIFS(Municipios!$BN:$BN,Municipios!$C:$C,Tablero_Dptos!$C$3,Municipios!$Y:$Y,B44),"-")</f>
        <v>51802.61691918</v>
      </c>
      <c r="E44" s="115">
        <f>+IFERROR(AVERAGEIFS(Municipios!$BR:$BR,Municipios!$C:$C,Tablero_Dptos!$C$3,Municipios!$Y:$Y,B44)*1000000,"-")</f>
        <v>384546.29466360278</v>
      </c>
      <c r="F44" s="115">
        <f>+IFERROR(AVERAGEIFS(Municipios!$BQ:$BQ,Municipios!$C:$C,Tablero_Dptos!$C$3,Municipios!$Y:$Y,B44)*1000000,"-")</f>
        <v>2693548.71498622</v>
      </c>
    </row>
    <row r="45" spans="2:8">
      <c r="B45" s="142">
        <v>5</v>
      </c>
      <c r="C45" s="116">
        <f>+IFERROR(AVERAGEIFS(Municipios!$BO:$BO,Municipios!$C:$C,Tablero_Dptos!$C$3,Municipios!$Y:$Y,Tablero_Dptos!B45),"-")</f>
        <v>3656.43794811111</v>
      </c>
      <c r="D45" s="116">
        <f>+IFERROR(AVERAGEIFS(Municipios!$BN:$BN,Municipios!$C:$C,Tablero_Dptos!$C$3,Municipios!$Y:$Y,B45),"-")</f>
        <v>31826.53043977778</v>
      </c>
      <c r="E45" s="116">
        <f>+IFERROR(AVERAGEIFS(Municipios!$BR:$BR,Municipios!$C:$C,Tablero_Dptos!$C$3,Municipios!$Y:$Y,B45)*1000000,"-")</f>
        <v>331507.39173728164</v>
      </c>
      <c r="F45" s="116">
        <f>+IFERROR(AVERAGEIFS(Municipios!$BQ:$BQ,Municipios!$C:$C,Tablero_Dptos!$C$3,Municipios!$Y:$Y,B45)*1000000,"-")</f>
        <v>2871967.1798464344</v>
      </c>
    </row>
    <row r="46" spans="2:8">
      <c r="B46" s="118" t="s">
        <v>369</v>
      </c>
      <c r="C46" s="118">
        <f>+IFERROR(AVERAGEIFS(Municipios!$BO:$BO,Municipios!$C:$C,Tablero_Dptos!$C$3),"-")</f>
        <v>54747.494164007949</v>
      </c>
      <c r="D46" s="118">
        <f>+IFERROR(AVERAGEIFS(Municipios!$BN:$BN,Municipios!$C:$C,Tablero_Dptos!$C$3),"-")</f>
        <v>159365.73896090404</v>
      </c>
      <c r="E46" s="118">
        <f>+IFERROR(AVERAGEIFS(Municipios!$BR:$BR,Municipios!$C:$C,Tablero_Dptos!$C$3)*1000000,"-")</f>
        <v>552021.3743579092</v>
      </c>
      <c r="F46" s="118">
        <f>+IFERROR(AVERAGEIFS(Municipios!$BQ:$BQ,Municipios!$C:$C,Tablero_Dptos!$C$3)*1000000,"-")</f>
        <v>2577612.7773016067</v>
      </c>
    </row>
    <row r="48" spans="2:8" ht="15" customHeight="1">
      <c r="B48" s="370" t="s">
        <v>367</v>
      </c>
      <c r="C48" s="343" t="s">
        <v>2672</v>
      </c>
      <c r="D48" s="343"/>
      <c r="E48" s="343"/>
      <c r="F48" s="343"/>
      <c r="G48" s="343"/>
      <c r="H48" s="371" t="s">
        <v>369</v>
      </c>
    </row>
    <row r="49" spans="2:10">
      <c r="B49" s="370"/>
      <c r="C49" s="35">
        <v>0</v>
      </c>
      <c r="D49" s="35" t="s">
        <v>2969</v>
      </c>
      <c r="E49" s="35" t="s">
        <v>2673</v>
      </c>
      <c r="F49" s="35" t="s">
        <v>2674</v>
      </c>
      <c r="G49" s="35" t="s">
        <v>2675</v>
      </c>
      <c r="H49" s="371"/>
    </row>
    <row r="50" spans="2:10">
      <c r="B50" s="114" t="s">
        <v>370</v>
      </c>
      <c r="C50" s="114">
        <f>+COUNTIFS(Municipios!$C:$C,Tablero_Dptos!$C$3,Municipios!$Y:$Y,Tablero_Dptos!$B50,Municipios!$CF:$CF,Tablero_Dptos!C$49)</f>
        <v>0</v>
      </c>
      <c r="D50" s="114">
        <f>+COUNTIFS(Municipios!$C:$C,Tablero_Dptos!$C$3,Municipios!$Y:$Y,Tablero_Dptos!$B50,Municipios!$CF:$CF,Tablero_Dptos!D$49)</f>
        <v>0</v>
      </c>
      <c r="E50" s="114">
        <f>+COUNTIFS(Municipios!$C:$C,Tablero_Dptos!$C$3,Municipios!$Y:$Y,Tablero_Dptos!$B50,Municipios!$CF:$CF,Tablero_Dptos!E$49)</f>
        <v>0</v>
      </c>
      <c r="F50" s="114">
        <f>+COUNTIFS(Municipios!$C:$C,Tablero_Dptos!$C$3,Municipios!$Y:$Y,Tablero_Dptos!$B50,Municipios!$CF:$CF,Tablero_Dptos!F$49)</f>
        <v>0</v>
      </c>
      <c r="G50" s="114">
        <f>+COUNTIFS(Municipios!$C:$C,Tablero_Dptos!$C$3,Municipios!$Y:$Y,Tablero_Dptos!$B50,Municipios!$CF:$CF,Tablero_Dptos!G$49)</f>
        <v>0</v>
      </c>
      <c r="H50" s="154">
        <f>+SUM(C50:G50)</f>
        <v>0</v>
      </c>
    </row>
    <row r="51" spans="2:10">
      <c r="B51" s="115" t="s">
        <v>371</v>
      </c>
      <c r="C51" s="115">
        <f>+COUNTIFS(Municipios!$C:$C,Tablero_Dptos!$C$3,Municipios!$Y:$Y,Tablero_Dptos!$B51,Municipios!$CF:$CF,Tablero_Dptos!C$49)</f>
        <v>0</v>
      </c>
      <c r="D51" s="115">
        <f>+COUNTIFS(Municipios!$C:$C,Tablero_Dptos!$C$3,Municipios!$Y:$Y,Tablero_Dptos!$B51,Municipios!$CF:$CF,Tablero_Dptos!D$49)</f>
        <v>0</v>
      </c>
      <c r="E51" s="115">
        <f>+COUNTIFS(Municipios!$C:$C,Tablero_Dptos!$C$3,Municipios!$Y:$Y,Tablero_Dptos!$B51,Municipios!$CF:$CF,Tablero_Dptos!E$49)</f>
        <v>1</v>
      </c>
      <c r="F51" s="115">
        <f>+COUNTIFS(Municipios!$C:$C,Tablero_Dptos!$C$3,Municipios!$Y:$Y,Tablero_Dptos!$B51,Municipios!$CF:$CF,Tablero_Dptos!F$49)</f>
        <v>0</v>
      </c>
      <c r="G51" s="115">
        <f>+COUNTIFS(Municipios!$C:$C,Tablero_Dptos!$C$3,Municipios!$Y:$Y,Tablero_Dptos!$B51,Municipios!$CF:$CF,Tablero_Dptos!G$49)</f>
        <v>0</v>
      </c>
      <c r="H51" s="154">
        <f t="shared" ref="H51:H56" si="1">+SUM(C51:G51)</f>
        <v>1</v>
      </c>
    </row>
    <row r="52" spans="2:10">
      <c r="B52" s="141">
        <v>1</v>
      </c>
      <c r="C52" s="115">
        <f>+COUNTIFS(Municipios!$C:$C,Tablero_Dptos!$C$3,Municipios!$Y:$Y,Tablero_Dptos!$B52,Municipios!$CF:$CF,Tablero_Dptos!C$49)</f>
        <v>1</v>
      </c>
      <c r="D52" s="115">
        <f>+COUNTIFS(Municipios!$C:$C,Tablero_Dptos!$C$3,Municipios!$Y:$Y,Tablero_Dptos!$B52,Municipios!$CF:$CF,Tablero_Dptos!D$49)</f>
        <v>8</v>
      </c>
      <c r="E52" s="115">
        <f>+COUNTIFS(Municipios!$C:$C,Tablero_Dptos!$C$3,Municipios!$Y:$Y,Tablero_Dptos!$B52,Municipios!$CF:$CF,Tablero_Dptos!E$49)</f>
        <v>4</v>
      </c>
      <c r="F52" s="115">
        <f>+COUNTIFS(Municipios!$C:$C,Tablero_Dptos!$C$3,Municipios!$Y:$Y,Tablero_Dptos!$B52,Municipios!$CF:$CF,Tablero_Dptos!F$49)</f>
        <v>0</v>
      </c>
      <c r="G52" s="115">
        <f>+COUNTIFS(Municipios!$C:$C,Tablero_Dptos!$C$3,Municipios!$Y:$Y,Tablero_Dptos!$B52,Municipios!$CF:$CF,Tablero_Dptos!G$49)</f>
        <v>0</v>
      </c>
      <c r="H52" s="154">
        <f t="shared" si="1"/>
        <v>13</v>
      </c>
    </row>
    <row r="53" spans="2:10">
      <c r="B53" s="141">
        <v>2</v>
      </c>
      <c r="C53" s="115">
        <f>+COUNTIFS(Municipios!$C:$C,Tablero_Dptos!$C$3,Municipios!$Y:$Y,Tablero_Dptos!$B53,Municipios!$CF:$CF,Tablero_Dptos!C$49)</f>
        <v>1</v>
      </c>
      <c r="D53" s="115">
        <f>+COUNTIFS(Municipios!$C:$C,Tablero_Dptos!$C$3,Municipios!$Y:$Y,Tablero_Dptos!$B53,Municipios!$CF:$CF,Tablero_Dptos!D$49)</f>
        <v>7</v>
      </c>
      <c r="E53" s="115">
        <f>+COUNTIFS(Municipios!$C:$C,Tablero_Dptos!$C$3,Municipios!$Y:$Y,Tablero_Dptos!$B53,Municipios!$CF:$CF,Tablero_Dptos!E$49)</f>
        <v>0</v>
      </c>
      <c r="F53" s="115">
        <f>+COUNTIFS(Municipios!$C:$C,Tablero_Dptos!$C$3,Municipios!$Y:$Y,Tablero_Dptos!$B53,Municipios!$CF:$CF,Tablero_Dptos!F$49)</f>
        <v>2</v>
      </c>
      <c r="G53" s="115">
        <f>+COUNTIFS(Municipios!$C:$C,Tablero_Dptos!$C$3,Municipios!$Y:$Y,Tablero_Dptos!$B53,Municipios!$CF:$CF,Tablero_Dptos!G$49)</f>
        <v>1</v>
      </c>
      <c r="H53" s="154">
        <f t="shared" si="1"/>
        <v>11</v>
      </c>
    </row>
    <row r="54" spans="2:10">
      <c r="B54" s="141">
        <v>3</v>
      </c>
      <c r="C54" s="115">
        <f>+COUNTIFS(Municipios!$C:$C,Tablero_Dptos!$C$3,Municipios!$Y:$Y,Tablero_Dptos!$B54,Municipios!$CF:$CF,Tablero_Dptos!C$49)</f>
        <v>0</v>
      </c>
      <c r="D54" s="115">
        <f>+COUNTIFS(Municipios!$C:$C,Tablero_Dptos!$C$3,Municipios!$Y:$Y,Tablero_Dptos!$B54,Municipios!$CF:$CF,Tablero_Dptos!D$49)</f>
        <v>25</v>
      </c>
      <c r="E54" s="115">
        <f>+COUNTIFS(Municipios!$C:$C,Tablero_Dptos!$C$3,Municipios!$Y:$Y,Tablero_Dptos!$B54,Municipios!$CF:$CF,Tablero_Dptos!E$49)</f>
        <v>11</v>
      </c>
      <c r="F54" s="115">
        <f>+COUNTIFS(Municipios!$C:$C,Tablero_Dptos!$C$3,Municipios!$Y:$Y,Tablero_Dptos!$B54,Municipios!$CF:$CF,Tablero_Dptos!F$49)</f>
        <v>3</v>
      </c>
      <c r="G54" s="115">
        <f>+COUNTIFS(Municipios!$C:$C,Tablero_Dptos!$C$3,Municipios!$Y:$Y,Tablero_Dptos!$B54,Municipios!$CF:$CF,Tablero_Dptos!G$49)</f>
        <v>2</v>
      </c>
      <c r="H54" s="154">
        <f t="shared" si="1"/>
        <v>41</v>
      </c>
    </row>
    <row r="55" spans="2:10">
      <c r="B55" s="141">
        <v>4</v>
      </c>
      <c r="C55" s="115">
        <f>+COUNTIFS(Municipios!$C:$C,Tablero_Dptos!$C$3,Municipios!$Y:$Y,Tablero_Dptos!$B55,Municipios!$CF:$CF,Tablero_Dptos!C$49)</f>
        <v>1</v>
      </c>
      <c r="D55" s="115">
        <f>+COUNTIFS(Municipios!$C:$C,Tablero_Dptos!$C$3,Municipios!$Y:$Y,Tablero_Dptos!$B55,Municipios!$CF:$CF,Tablero_Dptos!D$49)</f>
        <v>29</v>
      </c>
      <c r="E55" s="115">
        <f>+COUNTIFS(Municipios!$C:$C,Tablero_Dptos!$C$3,Municipios!$Y:$Y,Tablero_Dptos!$B55,Municipios!$CF:$CF,Tablero_Dptos!E$49)</f>
        <v>17</v>
      </c>
      <c r="F55" s="115">
        <f>+COUNTIFS(Municipios!$C:$C,Tablero_Dptos!$C$3,Municipios!$Y:$Y,Tablero_Dptos!$B55,Municipios!$CF:$CF,Tablero_Dptos!F$49)</f>
        <v>2</v>
      </c>
      <c r="G55" s="115">
        <f>+COUNTIFS(Municipios!$C:$C,Tablero_Dptos!$C$3,Municipios!$Y:$Y,Tablero_Dptos!$B55,Municipios!$CF:$CF,Tablero_Dptos!G$49)</f>
        <v>1</v>
      </c>
      <c r="H55" s="154">
        <f t="shared" si="1"/>
        <v>50</v>
      </c>
    </row>
    <row r="56" spans="2:10">
      <c r="B56" s="142">
        <v>5</v>
      </c>
      <c r="C56" s="116">
        <f>+COUNTIFS(Municipios!$C:$C,Tablero_Dptos!$C$3,Municipios!$Y:$Y,Tablero_Dptos!$B56,Municipios!$CF:$CF,Tablero_Dptos!C$49)</f>
        <v>0</v>
      </c>
      <c r="D56" s="116">
        <f>+COUNTIFS(Municipios!$C:$C,Tablero_Dptos!$C$3,Municipios!$Y:$Y,Tablero_Dptos!$B56,Municipios!$CF:$CF,Tablero_Dptos!D$49)</f>
        <v>5</v>
      </c>
      <c r="E56" s="116">
        <f>+COUNTIFS(Municipios!$C:$C,Tablero_Dptos!$C$3,Municipios!$Y:$Y,Tablero_Dptos!$B56,Municipios!$CF:$CF,Tablero_Dptos!E$49)</f>
        <v>1</v>
      </c>
      <c r="F56" s="116">
        <f>+COUNTIFS(Municipios!$C:$C,Tablero_Dptos!$C$3,Municipios!$Y:$Y,Tablero_Dptos!$B56,Municipios!$CF:$CF,Tablero_Dptos!F$49)</f>
        <v>1</v>
      </c>
      <c r="G56" s="116">
        <f>+COUNTIFS(Municipios!$C:$C,Tablero_Dptos!$C$3,Municipios!$Y:$Y,Tablero_Dptos!$B56,Municipios!$CF:$CF,Tablero_Dptos!G$49)</f>
        <v>2</v>
      </c>
      <c r="H56" s="154">
        <f t="shared" si="1"/>
        <v>9</v>
      </c>
    </row>
    <row r="57" spans="2:10">
      <c r="B57" s="118" t="s">
        <v>369</v>
      </c>
      <c r="C57" s="118">
        <f t="shared" ref="C57:G57" si="2">+SUM(C50:C56)</f>
        <v>3</v>
      </c>
      <c r="D57" s="118">
        <f t="shared" si="2"/>
        <v>74</v>
      </c>
      <c r="E57" s="118">
        <f t="shared" si="2"/>
        <v>34</v>
      </c>
      <c r="F57" s="118">
        <f t="shared" si="2"/>
        <v>8</v>
      </c>
      <c r="G57" s="118">
        <f t="shared" si="2"/>
        <v>6</v>
      </c>
      <c r="H57" s="118">
        <f>+SUM(H50:H56)</f>
        <v>125</v>
      </c>
      <c r="J57" s="344" t="b">
        <f>H57=C15</f>
        <v>1</v>
      </c>
    </row>
    <row r="59" spans="2:10">
      <c r="B59" s="370" t="s">
        <v>367</v>
      </c>
      <c r="C59" s="371" t="s">
        <v>2676</v>
      </c>
      <c r="D59" s="371"/>
      <c r="E59" s="371"/>
      <c r="F59" s="371"/>
      <c r="G59" s="371"/>
      <c r="H59" s="368" t="s">
        <v>369</v>
      </c>
    </row>
    <row r="60" spans="2:10">
      <c r="B60" s="370"/>
      <c r="C60" s="153" t="s">
        <v>2677</v>
      </c>
      <c r="D60" s="35" t="s">
        <v>2969</v>
      </c>
      <c r="E60" s="35" t="s">
        <v>2673</v>
      </c>
      <c r="F60" s="35" t="s">
        <v>2674</v>
      </c>
      <c r="G60" s="35" t="s">
        <v>2675</v>
      </c>
      <c r="H60" s="369"/>
    </row>
    <row r="61" spans="2:10">
      <c r="B61" s="114" t="s">
        <v>370</v>
      </c>
      <c r="C61" s="114">
        <f>+COUNTIFS(Municipios!$C:$C,Tablero_Dptos!$C$3,Municipios!$Y:$Y,Tablero_Dptos!$B61,Municipios!$CJ:$CJ,Tablero_Dptos!C$60)</f>
        <v>0</v>
      </c>
      <c r="D61" s="114">
        <f>+COUNTIFS(Municipios!$C:$C,Tablero_Dptos!$C$3,Municipios!$Y:$Y,Tablero_Dptos!$B61,Municipios!$CJ:$CJ,Tablero_Dptos!D$60)</f>
        <v>0</v>
      </c>
      <c r="E61" s="114">
        <f>+COUNTIFS(Municipios!$C:$C,Tablero_Dptos!$C$3,Municipios!$Y:$Y,Tablero_Dptos!$B61,Municipios!$CJ:$CJ,Tablero_Dptos!E$60)</f>
        <v>0</v>
      </c>
      <c r="F61" s="114">
        <f>+COUNTIFS(Municipios!$C:$C,Tablero_Dptos!$C$3,Municipios!$Y:$Y,Tablero_Dptos!$B61,Municipios!$CJ:$CJ,Tablero_Dptos!F$60)</f>
        <v>0</v>
      </c>
      <c r="G61" s="114">
        <f>+COUNTIFS(Municipios!$C:$C,Tablero_Dptos!$C$3,Municipios!$Y:$Y,Tablero_Dptos!$B61,Municipios!$CJ:$CJ,Tablero_Dptos!G$60)</f>
        <v>0</v>
      </c>
      <c r="H61" s="154">
        <f>+SUM(C61:G61)</f>
        <v>0</v>
      </c>
    </row>
    <row r="62" spans="2:10">
      <c r="B62" s="115" t="s">
        <v>371</v>
      </c>
      <c r="C62" s="115">
        <f>+COUNTIFS(Municipios!$C:$C,Tablero_Dptos!$C$3,Municipios!$Y:$Y,Tablero_Dptos!$B62,Municipios!$CJ:$CJ,Tablero_Dptos!C$60)</f>
        <v>1</v>
      </c>
      <c r="D62" s="115">
        <f>+COUNTIFS(Municipios!$C:$C,Tablero_Dptos!$C$3,Municipios!$Y:$Y,Tablero_Dptos!$B62,Municipios!$CJ:$CJ,Tablero_Dptos!D$60)</f>
        <v>0</v>
      </c>
      <c r="E62" s="115">
        <f>+COUNTIFS(Municipios!$C:$C,Tablero_Dptos!$C$3,Municipios!$Y:$Y,Tablero_Dptos!$B62,Municipios!$CJ:$CJ,Tablero_Dptos!E$60)</f>
        <v>0</v>
      </c>
      <c r="F62" s="115">
        <f>+COUNTIFS(Municipios!$C:$C,Tablero_Dptos!$C$3,Municipios!$Y:$Y,Tablero_Dptos!$B62,Municipios!$CJ:$CJ,Tablero_Dptos!F$60)</f>
        <v>0</v>
      </c>
      <c r="G62" s="115">
        <f>+COUNTIFS(Municipios!$C:$C,Tablero_Dptos!$C$3,Municipios!$Y:$Y,Tablero_Dptos!$B62,Municipios!$CJ:$CJ,Tablero_Dptos!G$60)</f>
        <v>0</v>
      </c>
      <c r="H62" s="155">
        <f t="shared" ref="H62:H67" si="3">+SUM(C62:G62)</f>
        <v>1</v>
      </c>
    </row>
    <row r="63" spans="2:10">
      <c r="B63" s="141">
        <v>1</v>
      </c>
      <c r="C63" s="115">
        <f>+COUNTIFS(Municipios!$C:$C,Tablero_Dptos!$C$3,Municipios!$Y:$Y,Tablero_Dptos!$B63,Municipios!$CJ:$CJ,Tablero_Dptos!C$60)</f>
        <v>13</v>
      </c>
      <c r="D63" s="115">
        <f>+COUNTIFS(Municipios!$C:$C,Tablero_Dptos!$C$3,Municipios!$Y:$Y,Tablero_Dptos!$B63,Municipios!$CJ:$CJ,Tablero_Dptos!D$60)</f>
        <v>0</v>
      </c>
      <c r="E63" s="115">
        <f>+COUNTIFS(Municipios!$C:$C,Tablero_Dptos!$C$3,Municipios!$Y:$Y,Tablero_Dptos!$B63,Municipios!$CJ:$CJ,Tablero_Dptos!E$60)</f>
        <v>0</v>
      </c>
      <c r="F63" s="115">
        <f>+COUNTIFS(Municipios!$C:$C,Tablero_Dptos!$C$3,Municipios!$Y:$Y,Tablero_Dptos!$B63,Municipios!$CJ:$CJ,Tablero_Dptos!F$60)</f>
        <v>0</v>
      </c>
      <c r="G63" s="115">
        <f>+COUNTIFS(Municipios!$C:$C,Tablero_Dptos!$C$3,Municipios!$Y:$Y,Tablero_Dptos!$B63,Municipios!$CJ:$CJ,Tablero_Dptos!G$60)</f>
        <v>0</v>
      </c>
      <c r="H63" s="155">
        <f>+SUM(C63:G63)</f>
        <v>13</v>
      </c>
    </row>
    <row r="64" spans="2:10">
      <c r="B64" s="141">
        <v>2</v>
      </c>
      <c r="C64" s="115">
        <f>+COUNTIFS(Municipios!$C:$C,Tablero_Dptos!$C$3,Municipios!$Y:$Y,Tablero_Dptos!$B64,Municipios!$CJ:$CJ,Tablero_Dptos!C$60)</f>
        <v>10</v>
      </c>
      <c r="D64" s="115">
        <f>+COUNTIFS(Municipios!$C:$C,Tablero_Dptos!$C$3,Municipios!$Y:$Y,Tablero_Dptos!$B64,Municipios!$CJ:$CJ,Tablero_Dptos!D$60)</f>
        <v>1</v>
      </c>
      <c r="E64" s="115">
        <f>+COUNTIFS(Municipios!$C:$C,Tablero_Dptos!$C$3,Municipios!$Y:$Y,Tablero_Dptos!$B64,Municipios!$CJ:$CJ,Tablero_Dptos!E$60)</f>
        <v>0</v>
      </c>
      <c r="F64" s="115">
        <f>+COUNTIFS(Municipios!$C:$C,Tablero_Dptos!$C$3,Municipios!$Y:$Y,Tablero_Dptos!$B64,Municipios!$CJ:$CJ,Tablero_Dptos!F$60)</f>
        <v>0</v>
      </c>
      <c r="G64" s="115">
        <f>+COUNTIFS(Municipios!$C:$C,Tablero_Dptos!$C$3,Municipios!$Y:$Y,Tablero_Dptos!$B64,Municipios!$CJ:$CJ,Tablero_Dptos!G$60)</f>
        <v>0</v>
      </c>
      <c r="H64" s="155">
        <f t="shared" si="3"/>
        <v>11</v>
      </c>
    </row>
    <row r="65" spans="2:10">
      <c r="B65" s="141">
        <v>3</v>
      </c>
      <c r="C65" s="115">
        <f>+COUNTIFS(Municipios!$C:$C,Tablero_Dptos!$C$3,Municipios!$Y:$Y,Tablero_Dptos!$B65,Municipios!$CJ:$CJ,Tablero_Dptos!C$60)</f>
        <v>35</v>
      </c>
      <c r="D65" s="115">
        <f>+COUNTIFS(Municipios!$C:$C,Tablero_Dptos!$C$3,Municipios!$Y:$Y,Tablero_Dptos!$B65,Municipios!$CJ:$CJ,Tablero_Dptos!D$60)</f>
        <v>6</v>
      </c>
      <c r="E65" s="115">
        <f>+COUNTIFS(Municipios!$C:$C,Tablero_Dptos!$C$3,Municipios!$Y:$Y,Tablero_Dptos!$B65,Municipios!$CJ:$CJ,Tablero_Dptos!E$60)</f>
        <v>0</v>
      </c>
      <c r="F65" s="115">
        <f>+COUNTIFS(Municipios!$C:$C,Tablero_Dptos!$C$3,Municipios!$Y:$Y,Tablero_Dptos!$B65,Municipios!$CJ:$CJ,Tablero_Dptos!F$60)</f>
        <v>0</v>
      </c>
      <c r="G65" s="115">
        <f>+COUNTIFS(Municipios!$C:$C,Tablero_Dptos!$C$3,Municipios!$Y:$Y,Tablero_Dptos!$B65,Municipios!$CJ:$CJ,Tablero_Dptos!G$60)</f>
        <v>0</v>
      </c>
      <c r="H65" s="155">
        <f t="shared" si="3"/>
        <v>41</v>
      </c>
    </row>
    <row r="66" spans="2:10">
      <c r="B66" s="141">
        <v>4</v>
      </c>
      <c r="C66" s="115">
        <f>+COUNTIFS(Municipios!$C:$C,Tablero_Dptos!$C$3,Municipios!$Y:$Y,Tablero_Dptos!$B66,Municipios!$CJ:$CJ,Tablero_Dptos!C$60)</f>
        <v>33</v>
      </c>
      <c r="D66" s="115">
        <f>+COUNTIFS(Municipios!$C:$C,Tablero_Dptos!$C$3,Municipios!$Y:$Y,Tablero_Dptos!$B66,Municipios!$CJ:$CJ,Tablero_Dptos!D$60)</f>
        <v>15</v>
      </c>
      <c r="E66" s="115">
        <f>+COUNTIFS(Municipios!$C:$C,Tablero_Dptos!$C$3,Municipios!$Y:$Y,Tablero_Dptos!$B66,Municipios!$CJ:$CJ,Tablero_Dptos!E$60)</f>
        <v>2</v>
      </c>
      <c r="F66" s="115">
        <f>+COUNTIFS(Municipios!$C:$C,Tablero_Dptos!$C$3,Municipios!$Y:$Y,Tablero_Dptos!$B66,Municipios!$CJ:$CJ,Tablero_Dptos!F$60)</f>
        <v>0</v>
      </c>
      <c r="G66" s="115">
        <f>+COUNTIFS(Municipios!$C:$C,Tablero_Dptos!$C$3,Municipios!$Y:$Y,Tablero_Dptos!$B66,Municipios!$CJ:$CJ,Tablero_Dptos!G$60)</f>
        <v>0</v>
      </c>
      <c r="H66" s="155">
        <f t="shared" si="3"/>
        <v>50</v>
      </c>
    </row>
    <row r="67" spans="2:10">
      <c r="B67" s="142">
        <v>5</v>
      </c>
      <c r="C67" s="116">
        <f>+COUNTIFS(Municipios!$C:$C,Tablero_Dptos!$C$3,Municipios!$Y:$Y,Tablero_Dptos!$B67,Municipios!$CJ:$CJ,Tablero_Dptos!C$60)</f>
        <v>4</v>
      </c>
      <c r="D67" s="116">
        <f>+COUNTIFS(Municipios!$C:$C,Tablero_Dptos!$C$3,Municipios!$Y:$Y,Tablero_Dptos!$B67,Municipios!$CJ:$CJ,Tablero_Dptos!D$60)</f>
        <v>2</v>
      </c>
      <c r="E67" s="116">
        <f>+COUNTIFS(Municipios!$C:$C,Tablero_Dptos!$C$3,Municipios!$Y:$Y,Tablero_Dptos!$B67,Municipios!$CJ:$CJ,Tablero_Dptos!E$60)</f>
        <v>1</v>
      </c>
      <c r="F67" s="116">
        <f>+COUNTIFS(Municipios!$C:$C,Tablero_Dptos!$C$3,Municipios!$Y:$Y,Tablero_Dptos!$B67,Municipios!$CJ:$CJ,Tablero_Dptos!F$60)</f>
        <v>0</v>
      </c>
      <c r="G67" s="116">
        <f>+COUNTIFS(Municipios!$C:$C,Tablero_Dptos!$C$3,Municipios!$Y:$Y,Tablero_Dptos!$B67,Municipios!$CJ:$CJ,Tablero_Dptos!G$60)</f>
        <v>2</v>
      </c>
      <c r="H67" s="156">
        <f t="shared" si="3"/>
        <v>9</v>
      </c>
    </row>
    <row r="68" spans="2:10">
      <c r="B68" s="118" t="s">
        <v>369</v>
      </c>
      <c r="C68" s="118">
        <f>+SUM(C61:C67)</f>
        <v>96</v>
      </c>
      <c r="D68" s="118">
        <f t="shared" ref="D68:H68" si="4">+SUM(D61:D67)</f>
        <v>24</v>
      </c>
      <c r="E68" s="118">
        <f t="shared" si="4"/>
        <v>3</v>
      </c>
      <c r="F68" s="118">
        <f t="shared" si="4"/>
        <v>0</v>
      </c>
      <c r="G68" s="118">
        <f t="shared" si="4"/>
        <v>2</v>
      </c>
      <c r="H68" s="118">
        <f t="shared" si="4"/>
        <v>125</v>
      </c>
      <c r="J68" s="344" t="b">
        <f>H68=C15</f>
        <v>1</v>
      </c>
    </row>
    <row r="70" spans="2:10">
      <c r="B70" s="118" t="s">
        <v>2714</v>
      </c>
      <c r="C70" s="35" t="s">
        <v>399</v>
      </c>
      <c r="D70" s="35" t="s">
        <v>400</v>
      </c>
      <c r="E70" s="35" t="s">
        <v>3048</v>
      </c>
    </row>
    <row r="71" spans="2:10">
      <c r="B71" s="40" cm="1">
        <f t="array" ref="B71:E195">_xlfn._xlws.SORT(_xlfn.CHOOSECOLS(_xlfn._xlws.FILTER(Municipios!$A$2:$DD$1105,Municipios!$C$2:$C$1105=Tablero_Dptos!$C$3,""),1,4,5,25),4,1)</f>
        <v>5360</v>
      </c>
      <c r="C71" s="40" t="str">
        <v>ANTIOQUIA</v>
      </c>
      <c r="D71" s="40" t="str">
        <v>ITAGÜÍ</v>
      </c>
      <c r="E71" s="40">
        <v>1</v>
      </c>
      <c r="I71" s="36" t="s">
        <v>3077</v>
      </c>
    </row>
    <row r="72" spans="2:10">
      <c r="B72" s="41">
        <v>5631</v>
      </c>
      <c r="C72" s="41" t="str">
        <v>ANTIOQUIA</v>
      </c>
      <c r="D72" s="41" t="str">
        <v>SABANETA</v>
      </c>
      <c r="E72" s="41">
        <v>1</v>
      </c>
      <c r="I72" s="36">
        <f>COUNTIF(C71:C1048576,C4)</f>
        <v>125</v>
      </c>
      <c r="J72" s="344" t="b">
        <f>C15=I72</f>
        <v>1</v>
      </c>
    </row>
    <row r="73" spans="2:10">
      <c r="B73" s="41">
        <v>5088</v>
      </c>
      <c r="C73" s="41" t="str">
        <v>ANTIOQUIA</v>
      </c>
      <c r="D73" s="41" t="str">
        <v>BELLO</v>
      </c>
      <c r="E73" s="41">
        <v>1</v>
      </c>
    </row>
    <row r="74" spans="2:10">
      <c r="B74" s="41">
        <v>5266</v>
      </c>
      <c r="C74" s="41" t="str">
        <v>ANTIOQUIA</v>
      </c>
      <c r="D74" s="41" t="str">
        <v>ENVIGADO</v>
      </c>
      <c r="E74" s="41">
        <v>1</v>
      </c>
    </row>
    <row r="75" spans="2:10">
      <c r="B75" s="41">
        <v>5380</v>
      </c>
      <c r="C75" s="41" t="str">
        <v>ANTIOQUIA</v>
      </c>
      <c r="D75" s="41" t="str">
        <v>LA ESTRELLA</v>
      </c>
      <c r="E75" s="41">
        <v>1</v>
      </c>
    </row>
    <row r="76" spans="2:10">
      <c r="B76" s="41">
        <v>5212</v>
      </c>
      <c r="C76" s="41" t="str">
        <v>ANTIOQUIA</v>
      </c>
      <c r="D76" s="41" t="str">
        <v>COPACABANA</v>
      </c>
      <c r="E76" s="41">
        <v>1</v>
      </c>
    </row>
    <row r="77" spans="2:10">
      <c r="B77" s="41">
        <v>5615</v>
      </c>
      <c r="C77" s="41" t="str">
        <v>ANTIOQUIA</v>
      </c>
      <c r="D77" s="41" t="str">
        <v>RIONEGRO</v>
      </c>
      <c r="E77" s="41">
        <v>1</v>
      </c>
    </row>
    <row r="78" spans="2:10">
      <c r="B78" s="41">
        <v>5129</v>
      </c>
      <c r="C78" s="41" t="str">
        <v>ANTIOQUIA</v>
      </c>
      <c r="D78" s="41" t="str">
        <v>CALDAS</v>
      </c>
      <c r="E78" s="41">
        <v>1</v>
      </c>
    </row>
    <row r="79" spans="2:10">
      <c r="B79" s="41">
        <v>5308</v>
      </c>
      <c r="C79" s="41" t="str">
        <v>ANTIOQUIA</v>
      </c>
      <c r="D79" s="41" t="str">
        <v>GIRARDOTA</v>
      </c>
      <c r="E79" s="41">
        <v>1</v>
      </c>
    </row>
    <row r="80" spans="2:10">
      <c r="B80" s="41">
        <v>5440</v>
      </c>
      <c r="C80" s="41" t="str">
        <v>ANTIOQUIA</v>
      </c>
      <c r="D80" s="41" t="str">
        <v>MARINILLA</v>
      </c>
      <c r="E80" s="41">
        <v>1</v>
      </c>
    </row>
    <row r="81" spans="2:5">
      <c r="B81" s="41">
        <v>5376</v>
      </c>
      <c r="C81" s="41" t="str">
        <v>ANTIOQUIA</v>
      </c>
      <c r="D81" s="41" t="str">
        <v>LA CEJA</v>
      </c>
      <c r="E81" s="41">
        <v>1</v>
      </c>
    </row>
    <row r="82" spans="2:5">
      <c r="B82" s="41">
        <v>5318</v>
      </c>
      <c r="C82" s="41" t="str">
        <v>ANTIOQUIA</v>
      </c>
      <c r="D82" s="41" t="str">
        <v>GUARNE</v>
      </c>
      <c r="E82" s="41">
        <v>1</v>
      </c>
    </row>
    <row r="83" spans="2:5">
      <c r="B83" s="41">
        <v>5697</v>
      </c>
      <c r="C83" s="41" t="str">
        <v>ANTIOQUIA</v>
      </c>
      <c r="D83" s="41" t="str">
        <v>EL SANTUARIO</v>
      </c>
      <c r="E83" s="41">
        <v>1</v>
      </c>
    </row>
    <row r="84" spans="2:5">
      <c r="B84" s="41">
        <v>5030</v>
      </c>
      <c r="C84" s="41" t="str">
        <v>ANTIOQUIA</v>
      </c>
      <c r="D84" s="41" t="str">
        <v>AMAGÁ</v>
      </c>
      <c r="E84" s="41">
        <v>2</v>
      </c>
    </row>
    <row r="85" spans="2:5">
      <c r="B85" s="41">
        <v>5079</v>
      </c>
      <c r="C85" s="41" t="str">
        <v>ANTIOQUIA</v>
      </c>
      <c r="D85" s="41" t="str">
        <v>BARBOSA</v>
      </c>
      <c r="E85" s="41">
        <v>2</v>
      </c>
    </row>
    <row r="86" spans="2:5">
      <c r="B86" s="41">
        <v>5190</v>
      </c>
      <c r="C86" s="41" t="str">
        <v>ANTIOQUIA</v>
      </c>
      <c r="D86" s="41" t="str">
        <v>CISNEROS</v>
      </c>
      <c r="E86" s="41">
        <v>2</v>
      </c>
    </row>
    <row r="87" spans="2:5">
      <c r="B87" s="41">
        <v>5148</v>
      </c>
      <c r="C87" s="41" t="str">
        <v>ANTIOQUIA</v>
      </c>
      <c r="D87" s="41" t="str">
        <v>EL CARMEN DE VIBORAL</v>
      </c>
      <c r="E87" s="41">
        <v>2</v>
      </c>
    </row>
    <row r="88" spans="2:5">
      <c r="B88" s="41">
        <v>5045</v>
      </c>
      <c r="C88" s="41" t="str">
        <v>ANTIOQUIA</v>
      </c>
      <c r="D88" s="41" t="str">
        <v>APARTADÓ</v>
      </c>
      <c r="E88" s="41">
        <v>2</v>
      </c>
    </row>
    <row r="89" spans="2:5">
      <c r="B89" s="41">
        <v>5607</v>
      </c>
      <c r="C89" s="41" t="str">
        <v>ANTIOQUIA</v>
      </c>
      <c r="D89" s="41" t="str">
        <v>RETIRO</v>
      </c>
      <c r="E89" s="41">
        <v>2</v>
      </c>
    </row>
    <row r="90" spans="2:5">
      <c r="B90" s="41">
        <v>5656</v>
      </c>
      <c r="C90" s="41" t="str">
        <v>ANTIOQUIA</v>
      </c>
      <c r="D90" s="41" t="str">
        <v>SAN JERÓNIMO</v>
      </c>
      <c r="E90" s="41">
        <v>2</v>
      </c>
    </row>
    <row r="91" spans="2:5">
      <c r="B91" s="41">
        <v>5237</v>
      </c>
      <c r="C91" s="41" t="str">
        <v>ANTIOQUIA</v>
      </c>
      <c r="D91" s="41" t="str">
        <v>DON MATÍAS</v>
      </c>
      <c r="E91" s="41">
        <v>2</v>
      </c>
    </row>
    <row r="92" spans="2:5">
      <c r="B92" s="41">
        <v>5306</v>
      </c>
      <c r="C92" s="41" t="str">
        <v>ANTIOQUIA</v>
      </c>
      <c r="D92" s="41" t="str">
        <v>GIRALDO</v>
      </c>
      <c r="E92" s="41">
        <v>2</v>
      </c>
    </row>
    <row r="93" spans="2:5">
      <c r="B93" s="41">
        <v>5686</v>
      </c>
      <c r="C93" s="41" t="str">
        <v>ANTIOQUIA</v>
      </c>
      <c r="D93" s="41" t="str">
        <v>SANTA ROSA DE OSOS</v>
      </c>
      <c r="E93" s="41">
        <v>2</v>
      </c>
    </row>
    <row r="94" spans="2:5">
      <c r="B94" s="41">
        <v>5315</v>
      </c>
      <c r="C94" s="41" t="str">
        <v>ANTIOQUIA</v>
      </c>
      <c r="D94" s="41" t="str">
        <v>GUADALUPE</v>
      </c>
      <c r="E94" s="41">
        <v>2</v>
      </c>
    </row>
    <row r="95" spans="2:5">
      <c r="B95" s="41">
        <v>5541</v>
      </c>
      <c r="C95" s="41" t="str">
        <v>ANTIOQUIA</v>
      </c>
      <c r="D95" s="41" t="str">
        <v>PEÑOL</v>
      </c>
      <c r="E95" s="41">
        <v>3</v>
      </c>
    </row>
    <row r="96" spans="2:5">
      <c r="B96" s="41">
        <v>5400</v>
      </c>
      <c r="C96" s="41" t="str">
        <v>ANTIOQUIA</v>
      </c>
      <c r="D96" s="41" t="str">
        <v>LA UNIÓN</v>
      </c>
      <c r="E96" s="41">
        <v>3</v>
      </c>
    </row>
    <row r="97" spans="2:5">
      <c r="B97" s="41">
        <v>5390</v>
      </c>
      <c r="C97" s="41" t="str">
        <v>ANTIOQUIA</v>
      </c>
      <c r="D97" s="41" t="str">
        <v>LA PINTADA</v>
      </c>
      <c r="E97" s="41">
        <v>3</v>
      </c>
    </row>
    <row r="98" spans="2:5">
      <c r="B98" s="41">
        <v>5679</v>
      </c>
      <c r="C98" s="41" t="str">
        <v>ANTIOQUIA</v>
      </c>
      <c r="D98" s="41" t="str">
        <v>SANTA BÁRBARA</v>
      </c>
      <c r="E98" s="41">
        <v>3</v>
      </c>
    </row>
    <row r="99" spans="2:5">
      <c r="B99" s="41">
        <v>5664</v>
      </c>
      <c r="C99" s="41" t="str">
        <v>ANTIOQUIA</v>
      </c>
      <c r="D99" s="41" t="str">
        <v>SAN PEDRO DE LOS MILAGROS</v>
      </c>
      <c r="E99" s="41">
        <v>3</v>
      </c>
    </row>
    <row r="100" spans="2:5">
      <c r="B100" s="41">
        <v>5674</v>
      </c>
      <c r="C100" s="41" t="str">
        <v>ANTIOQUIA</v>
      </c>
      <c r="D100" s="41" t="str">
        <v>SAN VICENTE</v>
      </c>
      <c r="E100" s="41">
        <v>3</v>
      </c>
    </row>
    <row r="101" spans="2:5">
      <c r="B101" s="41">
        <v>5576</v>
      </c>
      <c r="C101" s="41" t="str">
        <v>ANTIOQUIA</v>
      </c>
      <c r="D101" s="41" t="str">
        <v>PUEBLORRICO</v>
      </c>
      <c r="E101" s="41">
        <v>3</v>
      </c>
    </row>
    <row r="102" spans="2:5">
      <c r="B102" s="41">
        <v>5147</v>
      </c>
      <c r="C102" s="41" t="str">
        <v>ANTIOQUIA</v>
      </c>
      <c r="D102" s="41" t="str">
        <v>CAREPA</v>
      </c>
      <c r="E102" s="41">
        <v>3</v>
      </c>
    </row>
    <row r="103" spans="2:5">
      <c r="B103" s="41">
        <v>5321</v>
      </c>
      <c r="C103" s="41" t="str">
        <v>ANTIOQUIA</v>
      </c>
      <c r="D103" s="41" t="str">
        <v>GUATAPÉ</v>
      </c>
      <c r="E103" s="41">
        <v>3</v>
      </c>
    </row>
    <row r="104" spans="2:5">
      <c r="B104" s="41">
        <v>5861</v>
      </c>
      <c r="C104" s="41" t="str">
        <v>ANTIOQUIA</v>
      </c>
      <c r="D104" s="41" t="str">
        <v>VENECIA</v>
      </c>
      <c r="E104" s="41">
        <v>3</v>
      </c>
    </row>
    <row r="105" spans="2:5">
      <c r="B105" s="41">
        <v>5034</v>
      </c>
      <c r="C105" s="41" t="str">
        <v>ANTIOQUIA</v>
      </c>
      <c r="D105" s="41" t="str">
        <v>ANDES</v>
      </c>
      <c r="E105" s="41">
        <v>3</v>
      </c>
    </row>
    <row r="106" spans="2:5">
      <c r="B106" s="41">
        <v>5809</v>
      </c>
      <c r="C106" s="41" t="str">
        <v>ANTIOQUIA</v>
      </c>
      <c r="D106" s="41" t="str">
        <v>TITIRIBÍ</v>
      </c>
      <c r="E106" s="41">
        <v>3</v>
      </c>
    </row>
    <row r="107" spans="2:5">
      <c r="B107" s="41">
        <v>5353</v>
      </c>
      <c r="C107" s="41" t="str">
        <v>ANTIOQUIA</v>
      </c>
      <c r="D107" s="41" t="str">
        <v>HISPANIA</v>
      </c>
      <c r="E107" s="41">
        <v>3</v>
      </c>
    </row>
    <row r="108" spans="2:5">
      <c r="B108" s="41">
        <v>5036</v>
      </c>
      <c r="C108" s="41" t="str">
        <v>ANTIOQUIA</v>
      </c>
      <c r="D108" s="41" t="str">
        <v>ANGELÓPOLIS</v>
      </c>
      <c r="E108" s="41">
        <v>3</v>
      </c>
    </row>
    <row r="109" spans="2:5">
      <c r="B109" s="41">
        <v>5761</v>
      </c>
      <c r="C109" s="41" t="str">
        <v>ANTIOQUIA</v>
      </c>
      <c r="D109" s="41" t="str">
        <v>SOPETRÁN</v>
      </c>
      <c r="E109" s="41">
        <v>3</v>
      </c>
    </row>
    <row r="110" spans="2:5">
      <c r="B110" s="41">
        <v>5209</v>
      </c>
      <c r="C110" s="41" t="str">
        <v>ANTIOQUIA</v>
      </c>
      <c r="D110" s="41" t="str">
        <v>CONCORDIA</v>
      </c>
      <c r="E110" s="41">
        <v>3</v>
      </c>
    </row>
    <row r="111" spans="2:5">
      <c r="B111" s="41">
        <v>5197</v>
      </c>
      <c r="C111" s="41" t="str">
        <v>ANTIOQUIA</v>
      </c>
      <c r="D111" s="41" t="str">
        <v>COCORNÁ</v>
      </c>
      <c r="E111" s="41">
        <v>3</v>
      </c>
    </row>
    <row r="112" spans="2:5">
      <c r="B112" s="41">
        <v>5172</v>
      </c>
      <c r="C112" s="41" t="str">
        <v>ANTIOQUIA</v>
      </c>
      <c r="D112" s="41" t="str">
        <v>CHIGORODÓ</v>
      </c>
      <c r="E112" s="41">
        <v>3</v>
      </c>
    </row>
    <row r="113" spans="2:5">
      <c r="B113" s="41">
        <v>5042</v>
      </c>
      <c r="C113" s="41" t="str">
        <v>ANTIOQUIA</v>
      </c>
      <c r="D113" s="41" t="str">
        <v>SANTAFÉ DE ANTIOQUIA</v>
      </c>
      <c r="E113" s="41">
        <v>3</v>
      </c>
    </row>
    <row r="114" spans="2:5">
      <c r="B114" s="41">
        <v>5642</v>
      </c>
      <c r="C114" s="41" t="str">
        <v>ANTIOQUIA</v>
      </c>
      <c r="D114" s="41" t="str">
        <v>SALGAR</v>
      </c>
      <c r="E114" s="41">
        <v>3</v>
      </c>
    </row>
    <row r="115" spans="2:5">
      <c r="B115" s="41">
        <v>5364</v>
      </c>
      <c r="C115" s="41" t="str">
        <v>ANTIOQUIA</v>
      </c>
      <c r="D115" s="41" t="str">
        <v>JARDÍN</v>
      </c>
      <c r="E115" s="41">
        <v>3</v>
      </c>
    </row>
    <row r="116" spans="2:5">
      <c r="B116" s="41">
        <v>5240</v>
      </c>
      <c r="C116" s="41" t="str">
        <v>ANTIOQUIA</v>
      </c>
      <c r="D116" s="41" t="str">
        <v>EBÉJICO</v>
      </c>
      <c r="E116" s="41">
        <v>3</v>
      </c>
    </row>
    <row r="117" spans="2:5">
      <c r="B117" s="41">
        <v>5368</v>
      </c>
      <c r="C117" s="41" t="str">
        <v>ANTIOQUIA</v>
      </c>
      <c r="D117" s="41" t="str">
        <v>JERICÓ</v>
      </c>
      <c r="E117" s="41">
        <v>3</v>
      </c>
    </row>
    <row r="118" spans="2:5">
      <c r="B118" s="41">
        <v>5264</v>
      </c>
      <c r="C118" s="41" t="str">
        <v>ANTIOQUIA</v>
      </c>
      <c r="D118" s="41" t="str">
        <v>ENTRERRIOS</v>
      </c>
      <c r="E118" s="41">
        <v>3</v>
      </c>
    </row>
    <row r="119" spans="2:5">
      <c r="B119" s="41">
        <v>5313</v>
      </c>
      <c r="C119" s="41" t="str">
        <v>ANTIOQUIA</v>
      </c>
      <c r="D119" s="41" t="str">
        <v>GRANADA</v>
      </c>
      <c r="E119" s="41">
        <v>3</v>
      </c>
    </row>
    <row r="120" spans="2:5">
      <c r="B120" s="41">
        <v>5347</v>
      </c>
      <c r="C120" s="41" t="str">
        <v>ANTIOQUIA</v>
      </c>
      <c r="D120" s="41" t="str">
        <v>HELICONIA</v>
      </c>
      <c r="E120" s="41">
        <v>3</v>
      </c>
    </row>
    <row r="121" spans="2:5">
      <c r="B121" s="41">
        <v>5154</v>
      </c>
      <c r="C121" s="41" t="str">
        <v>ANTIOQUIA</v>
      </c>
      <c r="D121" s="41" t="str">
        <v>CAUCASIA</v>
      </c>
      <c r="E121" s="41">
        <v>3</v>
      </c>
    </row>
    <row r="122" spans="2:5">
      <c r="B122" s="41">
        <v>5887</v>
      </c>
      <c r="C122" s="41" t="str">
        <v>ANTIOQUIA</v>
      </c>
      <c r="D122" s="41" t="str">
        <v>YARUMAL</v>
      </c>
      <c r="E122" s="41">
        <v>3</v>
      </c>
    </row>
    <row r="123" spans="2:5">
      <c r="B123" s="41">
        <v>5690</v>
      </c>
      <c r="C123" s="41" t="str">
        <v>ANTIOQUIA</v>
      </c>
      <c r="D123" s="41" t="str">
        <v>SANTO DOMINGO</v>
      </c>
      <c r="E123" s="41">
        <v>3</v>
      </c>
    </row>
    <row r="124" spans="2:5">
      <c r="B124" s="41">
        <v>5670</v>
      </c>
      <c r="C124" s="41" t="str">
        <v>ANTIOQUIA</v>
      </c>
      <c r="D124" s="41" t="str">
        <v>SAN ROQUE</v>
      </c>
      <c r="E124" s="41">
        <v>3</v>
      </c>
    </row>
    <row r="125" spans="2:5">
      <c r="B125" s="41">
        <v>5091</v>
      </c>
      <c r="C125" s="41" t="str">
        <v>ANTIOQUIA</v>
      </c>
      <c r="D125" s="41" t="str">
        <v>BETANIA</v>
      </c>
      <c r="E125" s="41">
        <v>3</v>
      </c>
    </row>
    <row r="126" spans="2:5">
      <c r="B126" s="41">
        <v>5093</v>
      </c>
      <c r="C126" s="41" t="str">
        <v>ANTIOQUIA</v>
      </c>
      <c r="D126" s="41" t="str">
        <v>BETULIA</v>
      </c>
      <c r="E126" s="41">
        <v>3</v>
      </c>
    </row>
    <row r="127" spans="2:5">
      <c r="B127" s="41">
        <v>5138</v>
      </c>
      <c r="C127" s="41" t="str">
        <v>ANTIOQUIA</v>
      </c>
      <c r="D127" s="41" t="str">
        <v>CAÑASGORDAS</v>
      </c>
      <c r="E127" s="41">
        <v>3</v>
      </c>
    </row>
    <row r="128" spans="2:5">
      <c r="B128" s="41">
        <v>5591</v>
      </c>
      <c r="C128" s="41" t="str">
        <v>ANTIOQUIA</v>
      </c>
      <c r="D128" s="41" t="str">
        <v>PUERTO TRIUNFO</v>
      </c>
      <c r="E128" s="41">
        <v>3</v>
      </c>
    </row>
    <row r="129" spans="2:5">
      <c r="B129" s="41">
        <v>5501</v>
      </c>
      <c r="C129" s="41" t="str">
        <v>ANTIOQUIA</v>
      </c>
      <c r="D129" s="41" t="str">
        <v>OLAYA</v>
      </c>
      <c r="E129" s="41">
        <v>3</v>
      </c>
    </row>
    <row r="130" spans="2:5">
      <c r="B130" s="41">
        <v>5038</v>
      </c>
      <c r="C130" s="41" t="str">
        <v>ANTIOQUIA</v>
      </c>
      <c r="D130" s="41" t="str">
        <v>ANGOSTURA</v>
      </c>
      <c r="E130" s="41">
        <v>3</v>
      </c>
    </row>
    <row r="131" spans="2:5">
      <c r="B131" s="41">
        <v>5206</v>
      </c>
      <c r="C131" s="41" t="str">
        <v>ANTIOQUIA</v>
      </c>
      <c r="D131" s="41" t="str">
        <v>CONCEPCIÓN</v>
      </c>
      <c r="E131" s="41">
        <v>3</v>
      </c>
    </row>
    <row r="132" spans="2:5">
      <c r="B132" s="41">
        <v>5113</v>
      </c>
      <c r="C132" s="41" t="str">
        <v>ANTIOQUIA</v>
      </c>
      <c r="D132" s="41" t="str">
        <v>BURITICÁ</v>
      </c>
      <c r="E132" s="41">
        <v>3</v>
      </c>
    </row>
    <row r="133" spans="2:5">
      <c r="B133" s="41">
        <v>5250</v>
      </c>
      <c r="C133" s="41" t="str">
        <v>ANTIOQUIA</v>
      </c>
      <c r="D133" s="41" t="str">
        <v>EL BAGRE</v>
      </c>
      <c r="E133" s="41">
        <v>3</v>
      </c>
    </row>
    <row r="134" spans="2:5">
      <c r="B134" s="41">
        <v>5854</v>
      </c>
      <c r="C134" s="41" t="str">
        <v>ANTIOQUIA</v>
      </c>
      <c r="D134" s="41" t="str">
        <v>VALDIVIA</v>
      </c>
      <c r="E134" s="41">
        <v>3</v>
      </c>
    </row>
    <row r="135" spans="2:5">
      <c r="B135" s="41">
        <v>5858</v>
      </c>
      <c r="C135" s="41" t="str">
        <v>ANTIOQUIA</v>
      </c>
      <c r="D135" s="41" t="str">
        <v>VEGACHÍ</v>
      </c>
      <c r="E135" s="41">
        <v>3</v>
      </c>
    </row>
    <row r="136" spans="2:5">
      <c r="B136" s="41">
        <v>5282</v>
      </c>
      <c r="C136" s="41" t="str">
        <v>ANTIOQUIA</v>
      </c>
      <c r="D136" s="41" t="str">
        <v>FREDONIA</v>
      </c>
      <c r="E136" s="41">
        <v>4</v>
      </c>
    </row>
    <row r="137" spans="2:5">
      <c r="B137" s="41">
        <v>5467</v>
      </c>
      <c r="C137" s="41" t="str">
        <v>ANTIOQUIA</v>
      </c>
      <c r="D137" s="41" t="str">
        <v>MONTEBELLO</v>
      </c>
      <c r="E137" s="41">
        <v>4</v>
      </c>
    </row>
    <row r="138" spans="2:5">
      <c r="B138" s="41">
        <v>5101</v>
      </c>
      <c r="C138" s="41" t="str">
        <v>ANTIOQUIA</v>
      </c>
      <c r="D138" s="41" t="str">
        <v>CIUDAD BOLÍVAR</v>
      </c>
      <c r="E138" s="41">
        <v>4</v>
      </c>
    </row>
    <row r="139" spans="2:5">
      <c r="B139" s="41">
        <v>5659</v>
      </c>
      <c r="C139" s="41" t="str">
        <v>ANTIOQUIA</v>
      </c>
      <c r="D139" s="41" t="str">
        <v>SAN JUAN DE URABÁ</v>
      </c>
      <c r="E139" s="41">
        <v>4</v>
      </c>
    </row>
    <row r="140" spans="2:5">
      <c r="B140" s="41">
        <v>5789</v>
      </c>
      <c r="C140" s="41" t="str">
        <v>ANTIOQUIA</v>
      </c>
      <c r="D140" s="41" t="str">
        <v>TÁMESIS</v>
      </c>
      <c r="E140" s="41">
        <v>4</v>
      </c>
    </row>
    <row r="141" spans="2:5">
      <c r="B141" s="41">
        <v>5792</v>
      </c>
      <c r="C141" s="41" t="str">
        <v>ANTIOQUIA</v>
      </c>
      <c r="D141" s="41" t="str">
        <v>TARSO</v>
      </c>
      <c r="E141" s="41">
        <v>4</v>
      </c>
    </row>
    <row r="142" spans="2:5">
      <c r="B142" s="41">
        <v>5059</v>
      </c>
      <c r="C142" s="41" t="str">
        <v>ANTIOQUIA</v>
      </c>
      <c r="D142" s="41" t="str">
        <v>ARMENIA</v>
      </c>
      <c r="E142" s="41">
        <v>4</v>
      </c>
    </row>
    <row r="143" spans="2:5">
      <c r="B143" s="41">
        <v>5856</v>
      </c>
      <c r="C143" s="41" t="str">
        <v>ANTIOQUIA</v>
      </c>
      <c r="D143" s="41" t="str">
        <v>VALPARAÍSO</v>
      </c>
      <c r="E143" s="41">
        <v>4</v>
      </c>
    </row>
    <row r="144" spans="2:5">
      <c r="B144" s="41">
        <v>5411</v>
      </c>
      <c r="C144" s="41" t="str">
        <v>ANTIOQUIA</v>
      </c>
      <c r="D144" s="41" t="str">
        <v>LIBORINA</v>
      </c>
      <c r="E144" s="41">
        <v>4</v>
      </c>
    </row>
    <row r="145" spans="2:5">
      <c r="B145" s="41">
        <v>5145</v>
      </c>
      <c r="C145" s="41" t="str">
        <v>ANTIOQUIA</v>
      </c>
      <c r="D145" s="41" t="str">
        <v>CARAMANTA</v>
      </c>
      <c r="E145" s="41">
        <v>4</v>
      </c>
    </row>
    <row r="146" spans="2:5">
      <c r="B146" s="41">
        <v>5002</v>
      </c>
      <c r="C146" s="41" t="str">
        <v>ANTIOQUIA</v>
      </c>
      <c r="D146" s="41" t="str">
        <v>ABEJORRAL</v>
      </c>
      <c r="E146" s="41">
        <v>4</v>
      </c>
    </row>
    <row r="147" spans="2:5">
      <c r="B147" s="41">
        <v>5125</v>
      </c>
      <c r="C147" s="41" t="str">
        <v>ANTIOQUIA</v>
      </c>
      <c r="D147" s="41" t="str">
        <v>CAICEDO</v>
      </c>
      <c r="E147" s="41">
        <v>4</v>
      </c>
    </row>
    <row r="148" spans="2:5">
      <c r="B148" s="41">
        <v>5665</v>
      </c>
      <c r="C148" s="41" t="str">
        <v>ANTIOQUIA</v>
      </c>
      <c r="D148" s="41" t="str">
        <v>SAN PEDRO DE URABÁ</v>
      </c>
      <c r="E148" s="41">
        <v>4</v>
      </c>
    </row>
    <row r="149" spans="2:5">
      <c r="B149" s="41">
        <v>5667</v>
      </c>
      <c r="C149" s="41" t="str">
        <v>ANTIOQUIA</v>
      </c>
      <c r="D149" s="41" t="str">
        <v>SAN RAFAEL</v>
      </c>
      <c r="E149" s="41">
        <v>4</v>
      </c>
    </row>
    <row r="150" spans="2:5">
      <c r="B150" s="41">
        <v>5134</v>
      </c>
      <c r="C150" s="41" t="str">
        <v>ANTIOQUIA</v>
      </c>
      <c r="D150" s="41" t="str">
        <v>CAMPAMENTO</v>
      </c>
      <c r="E150" s="41">
        <v>4</v>
      </c>
    </row>
    <row r="151" spans="2:5">
      <c r="B151" s="41">
        <v>5021</v>
      </c>
      <c r="C151" s="41" t="str">
        <v>ANTIOQUIA</v>
      </c>
      <c r="D151" s="41" t="str">
        <v>ALEJANDRÍA</v>
      </c>
      <c r="E151" s="41">
        <v>4</v>
      </c>
    </row>
    <row r="152" spans="2:5">
      <c r="B152" s="41">
        <v>5051</v>
      </c>
      <c r="C152" s="41" t="str">
        <v>ANTIOQUIA</v>
      </c>
      <c r="D152" s="41" t="str">
        <v>ARBOLETES</v>
      </c>
      <c r="E152" s="41">
        <v>4</v>
      </c>
    </row>
    <row r="153" spans="2:5">
      <c r="B153" s="41">
        <v>5837</v>
      </c>
      <c r="C153" s="41" t="str">
        <v>ANTIOQUIA</v>
      </c>
      <c r="D153" s="41" t="str">
        <v>TURBO</v>
      </c>
      <c r="E153" s="41">
        <v>4</v>
      </c>
    </row>
    <row r="154" spans="2:5">
      <c r="B154" s="41">
        <v>5819</v>
      </c>
      <c r="C154" s="41" t="str">
        <v>ANTIOQUIA</v>
      </c>
      <c r="D154" s="41" t="str">
        <v>TOLEDO</v>
      </c>
      <c r="E154" s="41">
        <v>4</v>
      </c>
    </row>
    <row r="155" spans="2:5">
      <c r="B155" s="41">
        <v>5044</v>
      </c>
      <c r="C155" s="41" t="str">
        <v>ANTIOQUIA</v>
      </c>
      <c r="D155" s="41" t="str">
        <v>ANZÁ</v>
      </c>
      <c r="E155" s="41">
        <v>4</v>
      </c>
    </row>
    <row r="156" spans="2:5">
      <c r="B156" s="41">
        <v>5310</v>
      </c>
      <c r="C156" s="41" t="str">
        <v>ANTIOQUIA</v>
      </c>
      <c r="D156" s="41" t="str">
        <v>GÓMEZ PLATA</v>
      </c>
      <c r="E156" s="41">
        <v>4</v>
      </c>
    </row>
    <row r="157" spans="2:5">
      <c r="B157" s="41">
        <v>5647</v>
      </c>
      <c r="C157" s="41" t="str">
        <v>ANTIOQUIA</v>
      </c>
      <c r="D157" s="41" t="str">
        <v>SAN ANDRÉS DE CUERQUÍA</v>
      </c>
      <c r="E157" s="41">
        <v>4</v>
      </c>
    </row>
    <row r="158" spans="2:5">
      <c r="B158" s="41">
        <v>5579</v>
      </c>
      <c r="C158" s="41" t="str">
        <v>ANTIOQUIA</v>
      </c>
      <c r="D158" s="41" t="str">
        <v>PUERTO BERRÍO</v>
      </c>
      <c r="E158" s="41">
        <v>4</v>
      </c>
    </row>
    <row r="159" spans="2:5">
      <c r="B159" s="41">
        <v>5490</v>
      </c>
      <c r="C159" s="41" t="str">
        <v>ANTIOQUIA</v>
      </c>
      <c r="D159" s="41" t="str">
        <v>NECOCLÍ</v>
      </c>
      <c r="E159" s="41">
        <v>4</v>
      </c>
    </row>
    <row r="160" spans="2:5">
      <c r="B160" s="41">
        <v>5660</v>
      </c>
      <c r="C160" s="41" t="str">
        <v>ANTIOQUIA</v>
      </c>
      <c r="D160" s="41" t="str">
        <v>SAN LUIS</v>
      </c>
      <c r="E160" s="41">
        <v>4</v>
      </c>
    </row>
    <row r="161" spans="2:5">
      <c r="B161" s="41">
        <v>5628</v>
      </c>
      <c r="C161" s="41" t="str">
        <v>ANTIOQUIA</v>
      </c>
      <c r="D161" s="41" t="str">
        <v>SABANALARGA</v>
      </c>
      <c r="E161" s="41">
        <v>4</v>
      </c>
    </row>
    <row r="162" spans="2:5">
      <c r="B162" s="41">
        <v>5483</v>
      </c>
      <c r="C162" s="41" t="str">
        <v>ANTIOQUIA</v>
      </c>
      <c r="D162" s="41" t="str">
        <v>NARIÑO</v>
      </c>
      <c r="E162" s="41">
        <v>4</v>
      </c>
    </row>
    <row r="163" spans="2:5">
      <c r="B163" s="41">
        <v>5756</v>
      </c>
      <c r="C163" s="41" t="str">
        <v>ANTIOQUIA</v>
      </c>
      <c r="D163" s="41" t="str">
        <v>SONSON</v>
      </c>
      <c r="E163" s="41">
        <v>4</v>
      </c>
    </row>
    <row r="164" spans="2:5">
      <c r="B164" s="41">
        <v>5055</v>
      </c>
      <c r="C164" s="41" t="str">
        <v>ANTIOQUIA</v>
      </c>
      <c r="D164" s="41" t="str">
        <v>ARGELIA</v>
      </c>
      <c r="E164" s="41">
        <v>4</v>
      </c>
    </row>
    <row r="165" spans="2:5">
      <c r="B165" s="41">
        <v>5842</v>
      </c>
      <c r="C165" s="41" t="str">
        <v>ANTIOQUIA</v>
      </c>
      <c r="D165" s="41" t="str">
        <v>URAMITA</v>
      </c>
      <c r="E165" s="41">
        <v>4</v>
      </c>
    </row>
    <row r="166" spans="2:5">
      <c r="B166" s="41">
        <v>5150</v>
      </c>
      <c r="C166" s="41" t="str">
        <v>ANTIOQUIA</v>
      </c>
      <c r="D166" s="41" t="str">
        <v>CAROLINA</v>
      </c>
      <c r="E166" s="41">
        <v>4</v>
      </c>
    </row>
    <row r="167" spans="2:5">
      <c r="B167" s="41">
        <v>5736</v>
      </c>
      <c r="C167" s="41" t="str">
        <v>ANTIOQUIA</v>
      </c>
      <c r="D167" s="41" t="str">
        <v>SEGOVIA</v>
      </c>
      <c r="E167" s="41">
        <v>4</v>
      </c>
    </row>
    <row r="168" spans="2:5">
      <c r="B168" s="41">
        <v>5890</v>
      </c>
      <c r="C168" s="41" t="str">
        <v>ANTIOQUIA</v>
      </c>
      <c r="D168" s="41" t="str">
        <v>YOLOMBÓ</v>
      </c>
      <c r="E168" s="41">
        <v>4</v>
      </c>
    </row>
    <row r="169" spans="2:5">
      <c r="B169" s="41">
        <v>5086</v>
      </c>
      <c r="C169" s="41" t="str">
        <v>ANTIOQUIA</v>
      </c>
      <c r="D169" s="41" t="str">
        <v>BELMIRA</v>
      </c>
      <c r="E169" s="41">
        <v>4</v>
      </c>
    </row>
    <row r="170" spans="2:5">
      <c r="B170" s="41">
        <v>5649</v>
      </c>
      <c r="C170" s="41" t="str">
        <v>ANTIOQUIA</v>
      </c>
      <c r="D170" s="41" t="str">
        <v>SAN CARLOS</v>
      </c>
      <c r="E170" s="41">
        <v>4</v>
      </c>
    </row>
    <row r="171" spans="2:5">
      <c r="B171" s="41">
        <v>5495</v>
      </c>
      <c r="C171" s="41" t="str">
        <v>ANTIOQUIA</v>
      </c>
      <c r="D171" s="41" t="str">
        <v>NECHÍ</v>
      </c>
      <c r="E171" s="41">
        <v>4</v>
      </c>
    </row>
    <row r="172" spans="2:5">
      <c r="B172" s="41">
        <v>5031</v>
      </c>
      <c r="C172" s="41" t="str">
        <v>ANTIOQUIA</v>
      </c>
      <c r="D172" s="41" t="str">
        <v>AMALFI</v>
      </c>
      <c r="E172" s="41">
        <v>4</v>
      </c>
    </row>
    <row r="173" spans="2:5">
      <c r="B173" s="41">
        <v>5107</v>
      </c>
      <c r="C173" s="41" t="str">
        <v>ANTIOQUIA</v>
      </c>
      <c r="D173" s="41" t="str">
        <v>BRICEÑO</v>
      </c>
      <c r="E173" s="41">
        <v>4</v>
      </c>
    </row>
    <row r="174" spans="2:5">
      <c r="B174" s="41">
        <v>5585</v>
      </c>
      <c r="C174" s="41" t="str">
        <v>ANTIOQUIA</v>
      </c>
      <c r="D174" s="41" t="str">
        <v>PUERTO NARE</v>
      </c>
      <c r="E174" s="41">
        <v>4</v>
      </c>
    </row>
    <row r="175" spans="2:5">
      <c r="B175" s="41">
        <v>5652</v>
      </c>
      <c r="C175" s="41" t="str">
        <v>ANTIOQUIA</v>
      </c>
      <c r="D175" s="41" t="str">
        <v>SAN FRANCISCO</v>
      </c>
      <c r="E175" s="41">
        <v>4</v>
      </c>
    </row>
    <row r="176" spans="2:5">
      <c r="B176" s="41">
        <v>5895</v>
      </c>
      <c r="C176" s="41" t="str">
        <v>ANTIOQUIA</v>
      </c>
      <c r="D176" s="41" t="str">
        <v>ZARAGOZA</v>
      </c>
      <c r="E176" s="41">
        <v>4</v>
      </c>
    </row>
    <row r="177" spans="2:5">
      <c r="B177" s="41">
        <v>5885</v>
      </c>
      <c r="C177" s="41" t="str">
        <v>ANTIOQUIA</v>
      </c>
      <c r="D177" s="41" t="str">
        <v>YALÍ</v>
      </c>
      <c r="E177" s="41">
        <v>4</v>
      </c>
    </row>
    <row r="178" spans="2:5">
      <c r="B178" s="41">
        <v>5120</v>
      </c>
      <c r="C178" s="41" t="str">
        <v>ANTIOQUIA</v>
      </c>
      <c r="D178" s="41" t="str">
        <v>CÁCERES</v>
      </c>
      <c r="E178" s="41">
        <v>4</v>
      </c>
    </row>
    <row r="179" spans="2:5">
      <c r="B179" s="41">
        <v>5543</v>
      </c>
      <c r="C179" s="41" t="str">
        <v>ANTIOQUIA</v>
      </c>
      <c r="D179" s="41" t="str">
        <v>PEQUE</v>
      </c>
      <c r="E179" s="41">
        <v>4</v>
      </c>
    </row>
    <row r="180" spans="2:5">
      <c r="B180" s="41">
        <v>5480</v>
      </c>
      <c r="C180" s="41" t="str">
        <v>ANTIOQUIA</v>
      </c>
      <c r="D180" s="41" t="str">
        <v>MUTATÁ</v>
      </c>
      <c r="E180" s="41">
        <v>4</v>
      </c>
    </row>
    <row r="181" spans="2:5">
      <c r="B181" s="41">
        <v>5234</v>
      </c>
      <c r="C181" s="41" t="str">
        <v>ANTIOQUIA</v>
      </c>
      <c r="D181" s="41" t="str">
        <v>DABEIBA</v>
      </c>
      <c r="E181" s="41">
        <v>4</v>
      </c>
    </row>
    <row r="182" spans="2:5">
      <c r="B182" s="41">
        <v>5604</v>
      </c>
      <c r="C182" s="41" t="str">
        <v>ANTIOQUIA</v>
      </c>
      <c r="D182" s="41" t="str">
        <v>REMEDIOS</v>
      </c>
      <c r="E182" s="41">
        <v>4</v>
      </c>
    </row>
    <row r="183" spans="2:5">
      <c r="B183" s="41">
        <v>5040</v>
      </c>
      <c r="C183" s="41" t="str">
        <v>ANTIOQUIA</v>
      </c>
      <c r="D183" s="41" t="str">
        <v>ANORÍ</v>
      </c>
      <c r="E183" s="41">
        <v>4</v>
      </c>
    </row>
    <row r="184" spans="2:5">
      <c r="B184" s="41">
        <v>5893</v>
      </c>
      <c r="C184" s="41" t="str">
        <v>ANTIOQUIA</v>
      </c>
      <c r="D184" s="41" t="str">
        <v>YONDÓ</v>
      </c>
      <c r="E184" s="41">
        <v>4</v>
      </c>
    </row>
    <row r="185" spans="2:5">
      <c r="B185" s="41">
        <v>5361</v>
      </c>
      <c r="C185" s="41" t="str">
        <v>ANTIOQUIA</v>
      </c>
      <c r="D185" s="41" t="str">
        <v>ITUANGO</v>
      </c>
      <c r="E185" s="41">
        <v>4</v>
      </c>
    </row>
    <row r="186" spans="2:5">
      <c r="B186" s="41">
        <v>5658</v>
      </c>
      <c r="C186" s="41" t="str">
        <v>ANTIOQUIA</v>
      </c>
      <c r="D186" s="41" t="str">
        <v>SAN JOSÉ DE LA MONTAÑA</v>
      </c>
      <c r="E186" s="41">
        <v>5</v>
      </c>
    </row>
    <row r="187" spans="2:5">
      <c r="B187" s="41">
        <v>5425</v>
      </c>
      <c r="C187" s="41" t="str">
        <v>ANTIOQUIA</v>
      </c>
      <c r="D187" s="41" t="str">
        <v>MACEO</v>
      </c>
      <c r="E187" s="41">
        <v>5</v>
      </c>
    </row>
    <row r="188" spans="2:5">
      <c r="B188" s="41">
        <v>5790</v>
      </c>
      <c r="C188" s="41" t="str">
        <v>ANTIOQUIA</v>
      </c>
      <c r="D188" s="41" t="str">
        <v>TARAZÁ</v>
      </c>
      <c r="E188" s="41">
        <v>5</v>
      </c>
    </row>
    <row r="189" spans="2:5">
      <c r="B189" s="41">
        <v>5142</v>
      </c>
      <c r="C189" s="41" t="str">
        <v>ANTIOQUIA</v>
      </c>
      <c r="D189" s="41" t="str">
        <v>CARACOLÍ</v>
      </c>
      <c r="E189" s="41">
        <v>5</v>
      </c>
    </row>
    <row r="190" spans="2:5">
      <c r="B190" s="41">
        <v>5284</v>
      </c>
      <c r="C190" s="41" t="str">
        <v>ANTIOQUIA</v>
      </c>
      <c r="D190" s="41" t="str">
        <v>FRONTINO</v>
      </c>
      <c r="E190" s="41">
        <v>5</v>
      </c>
    </row>
    <row r="191" spans="2:5">
      <c r="B191" s="41">
        <v>5847</v>
      </c>
      <c r="C191" s="41" t="str">
        <v>ANTIOQUIA</v>
      </c>
      <c r="D191" s="41" t="str">
        <v>URRAO</v>
      </c>
      <c r="E191" s="41">
        <v>5</v>
      </c>
    </row>
    <row r="192" spans="2:5">
      <c r="B192" s="41">
        <v>5004</v>
      </c>
      <c r="C192" s="41" t="str">
        <v>ANTIOQUIA</v>
      </c>
      <c r="D192" s="41" t="str">
        <v>ABRIAQUÍ</v>
      </c>
      <c r="E192" s="41">
        <v>5</v>
      </c>
    </row>
    <row r="193" spans="2:5">
      <c r="B193" s="41">
        <v>5873</v>
      </c>
      <c r="C193" s="41" t="str">
        <v>ANTIOQUIA</v>
      </c>
      <c r="D193" s="41" t="str">
        <v>VIGÍA DEL FUERTE</v>
      </c>
      <c r="E193" s="41">
        <v>5</v>
      </c>
    </row>
    <row r="194" spans="2:5">
      <c r="B194" s="41">
        <v>5475</v>
      </c>
      <c r="C194" s="41" t="str">
        <v>ANTIOQUIA</v>
      </c>
      <c r="D194" s="41" t="str">
        <v>MURINDÓ</v>
      </c>
      <c r="E194" s="41">
        <v>5</v>
      </c>
    </row>
    <row r="195" spans="2:5">
      <c r="B195" s="41">
        <v>5001</v>
      </c>
      <c r="C195" s="41" t="str">
        <v>ANTIOQUIA</v>
      </c>
      <c r="D195" s="41" t="str">
        <v>MEDELLÍN</v>
      </c>
      <c r="E195" s="41" t="str">
        <v>Ciudades grandes</v>
      </c>
    </row>
    <row r="196" spans="2:5">
      <c r="B196" s="151"/>
      <c r="C196" s="151"/>
      <c r="D196" s="151"/>
      <c r="E196" s="151"/>
    </row>
    <row r="197" spans="2:5">
      <c r="B197" s="151"/>
      <c r="C197" s="151"/>
      <c r="D197" s="151"/>
      <c r="E197" s="151"/>
    </row>
    <row r="198" spans="2:5">
      <c r="B198" s="151"/>
      <c r="C198" s="151"/>
      <c r="D198" s="151"/>
      <c r="E198" s="151"/>
    </row>
    <row r="199" spans="2:5">
      <c r="B199" s="151"/>
      <c r="C199" s="151"/>
      <c r="D199" s="151"/>
      <c r="E199" s="151"/>
    </row>
    <row r="200" spans="2:5">
      <c r="B200" s="151"/>
      <c r="C200" s="151"/>
      <c r="D200" s="151"/>
      <c r="E200" s="151"/>
    </row>
    <row r="201" spans="2:5">
      <c r="B201" s="151"/>
      <c r="C201" s="151"/>
      <c r="D201" s="151"/>
      <c r="E201" s="151"/>
    </row>
    <row r="202" spans="2:5">
      <c r="B202" s="151"/>
      <c r="C202" s="151"/>
      <c r="D202" s="151"/>
      <c r="E202" s="151"/>
    </row>
    <row r="203" spans="2:5">
      <c r="B203" s="151"/>
      <c r="C203" s="151"/>
      <c r="D203" s="151"/>
      <c r="E203" s="151"/>
    </row>
    <row r="204" spans="2:5">
      <c r="B204" s="151"/>
      <c r="C204" s="151"/>
      <c r="D204" s="151"/>
      <c r="E204" s="151"/>
    </row>
    <row r="205" spans="2:5">
      <c r="B205" s="151"/>
      <c r="C205" s="151"/>
      <c r="D205" s="151"/>
      <c r="E205" s="151"/>
    </row>
    <row r="206" spans="2:5">
      <c r="B206" s="151"/>
      <c r="C206" s="151"/>
      <c r="D206" s="151"/>
      <c r="E206" s="151"/>
    </row>
    <row r="207" spans="2:5">
      <c r="B207" s="151"/>
      <c r="C207" s="151"/>
      <c r="D207" s="151"/>
      <c r="E207" s="151"/>
    </row>
    <row r="208" spans="2:5">
      <c r="B208" s="151"/>
      <c r="C208" s="151"/>
      <c r="D208" s="151"/>
      <c r="E208" s="151"/>
    </row>
    <row r="209" spans="2:5">
      <c r="B209" s="151"/>
      <c r="C209" s="151"/>
      <c r="D209" s="151"/>
      <c r="E209" s="151"/>
    </row>
    <row r="210" spans="2:5">
      <c r="B210" s="151"/>
      <c r="C210" s="151"/>
      <c r="D210" s="151"/>
      <c r="E210" s="151"/>
    </row>
    <row r="211" spans="2:5">
      <c r="B211" s="151"/>
      <c r="C211" s="151"/>
      <c r="D211" s="151"/>
      <c r="E211" s="151"/>
    </row>
    <row r="212" spans="2:5">
      <c r="B212" s="151"/>
      <c r="C212" s="151"/>
      <c r="D212" s="151"/>
      <c r="E212" s="151"/>
    </row>
    <row r="213" spans="2:5">
      <c r="B213" s="151"/>
      <c r="C213" s="151"/>
      <c r="D213" s="151"/>
      <c r="E213" s="151"/>
    </row>
    <row r="214" spans="2:5">
      <c r="B214" s="151"/>
      <c r="C214" s="151"/>
      <c r="D214" s="151"/>
      <c r="E214" s="151"/>
    </row>
    <row r="215" spans="2:5">
      <c r="B215" s="151"/>
      <c r="C215" s="151"/>
      <c r="D215" s="151"/>
      <c r="E215" s="151"/>
    </row>
    <row r="216" spans="2:5">
      <c r="B216" s="151"/>
      <c r="C216" s="151"/>
      <c r="D216" s="151"/>
      <c r="E216" s="151"/>
    </row>
    <row r="217" spans="2:5">
      <c r="B217" s="151"/>
      <c r="C217" s="151"/>
      <c r="D217" s="151"/>
      <c r="E217" s="151"/>
    </row>
    <row r="218" spans="2:5">
      <c r="B218" s="151"/>
      <c r="C218" s="151"/>
      <c r="D218" s="151"/>
      <c r="E218" s="151"/>
    </row>
    <row r="219" spans="2:5">
      <c r="B219" s="151"/>
      <c r="C219" s="151"/>
      <c r="D219" s="151"/>
      <c r="E219" s="151"/>
    </row>
    <row r="220" spans="2:5">
      <c r="B220" s="151"/>
      <c r="C220" s="151"/>
      <c r="D220" s="151"/>
      <c r="E220" s="151"/>
    </row>
    <row r="221" spans="2:5">
      <c r="B221" s="151"/>
      <c r="C221" s="151"/>
      <c r="D221" s="151"/>
      <c r="E221" s="151"/>
    </row>
    <row r="222" spans="2:5">
      <c r="B222" s="151"/>
      <c r="C222" s="151"/>
      <c r="D222" s="151"/>
      <c r="E222" s="151"/>
    </row>
    <row r="223" spans="2:5">
      <c r="B223" s="151"/>
      <c r="C223" s="151"/>
      <c r="D223" s="151"/>
      <c r="E223" s="151"/>
    </row>
    <row r="224" spans="2:5">
      <c r="B224" s="151"/>
      <c r="C224" s="151"/>
      <c r="D224" s="151"/>
      <c r="E224" s="151"/>
    </row>
    <row r="225" spans="2:5">
      <c r="B225" s="151"/>
      <c r="C225" s="151"/>
      <c r="D225" s="151"/>
      <c r="E225" s="151"/>
    </row>
    <row r="226" spans="2:5">
      <c r="B226" s="151"/>
      <c r="C226" s="151"/>
      <c r="D226" s="151"/>
      <c r="E226" s="151"/>
    </row>
    <row r="227" spans="2:5">
      <c r="B227" s="151"/>
      <c r="C227" s="151"/>
      <c r="D227" s="151"/>
      <c r="E227" s="151"/>
    </row>
    <row r="228" spans="2:5">
      <c r="B228" s="151"/>
      <c r="C228" s="151"/>
      <c r="D228" s="151"/>
      <c r="E228" s="151"/>
    </row>
    <row r="229" spans="2:5">
      <c r="B229" s="151"/>
      <c r="C229" s="151"/>
      <c r="D229" s="151"/>
      <c r="E229" s="151"/>
    </row>
    <row r="230" spans="2:5">
      <c r="B230" s="151"/>
      <c r="C230" s="151"/>
      <c r="D230" s="151"/>
      <c r="E230" s="151"/>
    </row>
    <row r="231" spans="2:5">
      <c r="B231" s="151"/>
      <c r="C231" s="151"/>
      <c r="D231" s="151"/>
      <c r="E231" s="151"/>
    </row>
    <row r="232" spans="2:5">
      <c r="B232" s="151"/>
      <c r="C232" s="151"/>
      <c r="D232" s="151"/>
      <c r="E232" s="151"/>
    </row>
    <row r="233" spans="2:5">
      <c r="B233" s="151"/>
      <c r="C233" s="151"/>
      <c r="D233" s="151"/>
      <c r="E233" s="151"/>
    </row>
    <row r="234" spans="2:5">
      <c r="B234" s="151"/>
      <c r="C234" s="151"/>
      <c r="D234" s="151"/>
      <c r="E234" s="151"/>
    </row>
    <row r="235" spans="2:5">
      <c r="B235" s="151"/>
      <c r="C235" s="151"/>
      <c r="D235" s="151"/>
      <c r="E235" s="151"/>
    </row>
    <row r="236" spans="2:5">
      <c r="B236" s="151"/>
      <c r="C236" s="151"/>
      <c r="D236" s="151"/>
      <c r="E236" s="151"/>
    </row>
    <row r="237" spans="2:5">
      <c r="B237" s="151"/>
      <c r="C237" s="151"/>
      <c r="D237" s="151"/>
      <c r="E237" s="151"/>
    </row>
    <row r="238" spans="2:5">
      <c r="B238" s="151"/>
      <c r="C238" s="151"/>
      <c r="D238" s="151"/>
      <c r="E238" s="151"/>
    </row>
    <row r="239" spans="2:5">
      <c r="B239" s="151"/>
      <c r="C239" s="151"/>
      <c r="D239" s="151"/>
      <c r="E239" s="151"/>
    </row>
    <row r="240" spans="2:5">
      <c r="B240" s="151"/>
      <c r="C240" s="151"/>
      <c r="D240" s="151"/>
      <c r="E240" s="151"/>
    </row>
    <row r="241" spans="2:5">
      <c r="B241" s="151"/>
      <c r="C241" s="151"/>
      <c r="D241" s="151"/>
      <c r="E241" s="151"/>
    </row>
    <row r="242" spans="2:5">
      <c r="B242" s="151"/>
      <c r="C242" s="151"/>
      <c r="D242" s="151"/>
      <c r="E242" s="151"/>
    </row>
    <row r="243" spans="2:5">
      <c r="B243" s="151"/>
      <c r="C243" s="151"/>
      <c r="D243" s="151"/>
      <c r="E243" s="151"/>
    </row>
    <row r="244" spans="2:5">
      <c r="B244" s="151"/>
      <c r="C244" s="151"/>
      <c r="D244" s="151"/>
      <c r="E244" s="151"/>
    </row>
    <row r="245" spans="2:5">
      <c r="B245" s="151"/>
      <c r="C245" s="151"/>
      <c r="D245" s="151"/>
      <c r="E245" s="151"/>
    </row>
    <row r="246" spans="2:5">
      <c r="B246" s="151"/>
      <c r="C246" s="151"/>
      <c r="D246" s="151"/>
      <c r="E246" s="151"/>
    </row>
    <row r="247" spans="2:5">
      <c r="B247" s="151"/>
      <c r="C247" s="151"/>
      <c r="D247" s="151"/>
      <c r="E247" s="151"/>
    </row>
    <row r="248" spans="2:5">
      <c r="B248" s="151"/>
      <c r="C248" s="151"/>
      <c r="D248" s="151"/>
      <c r="E248" s="151"/>
    </row>
    <row r="249" spans="2:5">
      <c r="B249" s="151"/>
      <c r="C249" s="151"/>
      <c r="D249" s="151"/>
      <c r="E249" s="151"/>
    </row>
    <row r="250" spans="2:5">
      <c r="B250" s="151"/>
      <c r="C250" s="151"/>
      <c r="D250" s="151"/>
      <c r="E250" s="151"/>
    </row>
    <row r="251" spans="2:5">
      <c r="B251" s="151"/>
      <c r="C251" s="151"/>
      <c r="D251" s="151"/>
      <c r="E251" s="151"/>
    </row>
    <row r="252" spans="2:5">
      <c r="B252" s="151"/>
      <c r="C252" s="151"/>
      <c r="D252" s="151"/>
      <c r="E252" s="151"/>
    </row>
    <row r="253" spans="2:5">
      <c r="B253" s="151"/>
      <c r="C253" s="151"/>
      <c r="D253" s="151"/>
      <c r="E253" s="151"/>
    </row>
    <row r="254" spans="2:5">
      <c r="B254" s="151"/>
      <c r="C254" s="151"/>
      <c r="D254" s="151"/>
      <c r="E254" s="151"/>
    </row>
    <row r="255" spans="2:5">
      <c r="B255" s="151"/>
      <c r="C255" s="151"/>
      <c r="D255" s="151"/>
      <c r="E255" s="151"/>
    </row>
    <row r="256" spans="2:5">
      <c r="B256" s="152"/>
      <c r="C256" s="152"/>
      <c r="D256" s="152"/>
      <c r="E256" s="152"/>
    </row>
  </sheetData>
  <dataConsolidate/>
  <mergeCells count="5">
    <mergeCell ref="H59:H60"/>
    <mergeCell ref="B48:B49"/>
    <mergeCell ref="H48:H49"/>
    <mergeCell ref="B59:B60"/>
    <mergeCell ref="C59:G59"/>
  </mergeCells>
  <conditionalFormatting sqref="C19:C25">
    <cfRule type="colorScale" priority="9">
      <colorScale>
        <cfvo type="min"/>
        <cfvo type="percentile" val="50"/>
        <cfvo type="max"/>
        <color rgb="FF63BE7B"/>
        <color rgb="FFFFEB84"/>
        <color rgb="FFF8696B"/>
      </colorScale>
    </cfRule>
  </conditionalFormatting>
  <conditionalFormatting sqref="C29:C35">
    <cfRule type="colorScale" priority="149">
      <colorScale>
        <cfvo type="min"/>
        <cfvo type="percentile" val="50"/>
        <cfvo type="max"/>
        <color rgb="FFF8696B"/>
        <color rgb="FFFFEB84"/>
        <color rgb="FF63BE7B"/>
      </colorScale>
    </cfRule>
  </conditionalFormatting>
  <conditionalFormatting sqref="C39:C45">
    <cfRule type="colorScale" priority="4">
      <colorScale>
        <cfvo type="min"/>
        <cfvo type="percentile" val="50"/>
        <cfvo type="max"/>
        <color rgb="FFF8696B"/>
        <color rgb="FFFFEB84"/>
        <color rgb="FF63BE7B"/>
      </colorScale>
    </cfRule>
  </conditionalFormatting>
  <conditionalFormatting sqref="C19:F25">
    <cfRule type="colorScale" priority="142">
      <colorScale>
        <cfvo type="min"/>
        <cfvo type="percentile" val="50"/>
        <cfvo type="max"/>
        <color rgb="FF63BE7B"/>
        <color rgb="FFFFEB84"/>
        <color rgb="FFF8696B"/>
      </colorScale>
    </cfRule>
  </conditionalFormatting>
  <conditionalFormatting sqref="C39:F45">
    <cfRule type="colorScale" priority="160">
      <colorScale>
        <cfvo type="min"/>
        <cfvo type="percentile" val="50"/>
        <cfvo type="max"/>
        <color rgb="FFF8696B"/>
        <color rgb="FFFFEB84"/>
        <color rgb="FF63BE7B"/>
      </colorScale>
    </cfRule>
  </conditionalFormatting>
  <conditionalFormatting sqref="D19:D25">
    <cfRule type="colorScale" priority="8">
      <colorScale>
        <cfvo type="min"/>
        <cfvo type="percentile" val="50"/>
        <cfvo type="max"/>
        <color rgb="FF63BE7B"/>
        <color rgb="FFFFEB84"/>
        <color rgb="FFF8696B"/>
      </colorScale>
    </cfRule>
  </conditionalFormatting>
  <conditionalFormatting sqref="D29:D35">
    <cfRule type="colorScale" priority="151">
      <colorScale>
        <cfvo type="min"/>
        <cfvo type="percentile" val="50"/>
        <cfvo type="max"/>
        <color rgb="FFF8696B"/>
        <color rgb="FFFFEB84"/>
        <color rgb="FF63BE7B"/>
      </colorScale>
    </cfRule>
  </conditionalFormatting>
  <conditionalFormatting sqref="D39:D45">
    <cfRule type="colorScale" priority="3">
      <colorScale>
        <cfvo type="min"/>
        <cfvo type="percentile" val="50"/>
        <cfvo type="max"/>
        <color rgb="FFF8696B"/>
        <color rgb="FFFFEB84"/>
        <color rgb="FF63BE7B"/>
      </colorScale>
    </cfRule>
  </conditionalFormatting>
  <conditionalFormatting sqref="E8:E14">
    <cfRule type="colorScale" priority="141">
      <colorScale>
        <cfvo type="min"/>
        <cfvo type="percentile" val="50"/>
        <cfvo type="max"/>
        <color rgb="FFF8696B"/>
        <color rgb="FFFFEB84"/>
        <color rgb="FF63BE7B"/>
      </colorScale>
    </cfRule>
  </conditionalFormatting>
  <conditionalFormatting sqref="E19:E25">
    <cfRule type="colorScale" priority="7">
      <colorScale>
        <cfvo type="min"/>
        <cfvo type="percentile" val="50"/>
        <cfvo type="max"/>
        <color rgb="FF63BE7B"/>
        <color rgb="FFFFEB84"/>
        <color rgb="FFF8696B"/>
      </colorScale>
    </cfRule>
  </conditionalFormatting>
  <conditionalFormatting sqref="E29:E35">
    <cfRule type="colorScale" priority="153">
      <colorScale>
        <cfvo type="min"/>
        <cfvo type="percentile" val="50"/>
        <cfvo type="max"/>
        <color rgb="FFF8696B"/>
        <color rgb="FFFFEB84"/>
        <color rgb="FF63BE7B"/>
      </colorScale>
    </cfRule>
  </conditionalFormatting>
  <conditionalFormatting sqref="E39:E45">
    <cfRule type="colorScale" priority="2">
      <colorScale>
        <cfvo type="min"/>
        <cfvo type="percentile" val="50"/>
        <cfvo type="max"/>
        <color rgb="FFF8696B"/>
        <color rgb="FFFFEB84"/>
        <color rgb="FF63BE7B"/>
      </colorScale>
    </cfRule>
  </conditionalFormatting>
  <conditionalFormatting sqref="F19:F25">
    <cfRule type="colorScale" priority="6">
      <colorScale>
        <cfvo type="min"/>
        <cfvo type="percentile" val="50"/>
        <cfvo type="max"/>
        <color rgb="FF63BE7B"/>
        <color rgb="FFFFEB84"/>
        <color rgb="FFF8696B"/>
      </colorScale>
    </cfRule>
  </conditionalFormatting>
  <conditionalFormatting sqref="F29:F35">
    <cfRule type="colorScale" priority="155">
      <colorScale>
        <cfvo type="min"/>
        <cfvo type="percentile" val="50"/>
        <cfvo type="max"/>
        <color rgb="FFF8696B"/>
        <color rgb="FFFFEB84"/>
        <color rgb="FF63BE7B"/>
      </colorScale>
    </cfRule>
  </conditionalFormatting>
  <conditionalFormatting sqref="F39:F45">
    <cfRule type="colorScale" priority="1">
      <colorScale>
        <cfvo type="min"/>
        <cfvo type="percentile" val="50"/>
        <cfvo type="max"/>
        <color rgb="FFF8696B"/>
        <color rgb="FFFFEB84"/>
        <color rgb="FF63BE7B"/>
      </colorScale>
    </cfRule>
  </conditionalFormatting>
  <conditionalFormatting sqref="G29:G35">
    <cfRule type="colorScale" priority="157">
      <colorScale>
        <cfvo type="min"/>
        <cfvo type="percentile" val="50"/>
        <cfvo type="max"/>
        <color rgb="FFF8696B"/>
        <color rgb="FFFFEB84"/>
        <color rgb="FF63BE7B"/>
      </colorScale>
    </cfRule>
  </conditionalFormatting>
  <conditionalFormatting sqref="H29:H35">
    <cfRule type="colorScale" priority="159">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1D80826-7696-473C-8D85-E77208BFD857}">
          <x14:formula1>
            <xm:f>Departamentos!$B$4:$B$35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485B-BC1B-4F9E-B23C-5FD11711C846}">
  <dimension ref="A1:B1104"/>
  <sheetViews>
    <sheetView topLeftCell="A1088" workbookViewId="0">
      <selection activeCell="D1102" sqref="D1102"/>
    </sheetView>
  </sheetViews>
  <sheetFormatPr baseColWidth="10" defaultRowHeight="14"/>
  <sheetData>
    <row r="1" spans="1:2">
      <c r="A1" t="s">
        <v>2887</v>
      </c>
      <c r="B1" t="s">
        <v>3071</v>
      </c>
    </row>
    <row r="2" spans="1:2">
      <c r="A2">
        <v>0.1</v>
      </c>
      <c r="B2">
        <v>0.10000009</v>
      </c>
    </row>
    <row r="3" spans="1:2">
      <c r="A3">
        <v>0.11523946060033838</v>
      </c>
      <c r="B3">
        <v>0.10269691949535961</v>
      </c>
    </row>
    <row r="4" spans="1:2">
      <c r="A4">
        <v>0.12145401093994274</v>
      </c>
      <c r="B4">
        <v>0.12733921002765966</v>
      </c>
    </row>
    <row r="5" spans="1:2">
      <c r="A5">
        <v>0.13286839953440199</v>
      </c>
      <c r="B5">
        <v>0.13740568253456856</v>
      </c>
    </row>
    <row r="6" spans="1:2">
      <c r="A6">
        <v>0.13725012354291616</v>
      </c>
      <c r="B6">
        <v>0.13557165279940425</v>
      </c>
    </row>
    <row r="7" spans="1:2">
      <c r="A7">
        <v>0.15218287917529846</v>
      </c>
      <c r="B7">
        <v>0.17254658869228745</v>
      </c>
    </row>
    <row r="8" spans="1:2">
      <c r="A8">
        <v>0.15353921592695799</v>
      </c>
      <c r="B8">
        <v>0.15350740159998302</v>
      </c>
    </row>
    <row r="9" spans="1:2">
      <c r="A9">
        <v>0.17011467400567434</v>
      </c>
      <c r="B9">
        <v>0.17757372535081289</v>
      </c>
    </row>
    <row r="10" spans="1:2">
      <c r="A10">
        <v>0.17483340193927088</v>
      </c>
      <c r="B10">
        <v>0.1776256037960583</v>
      </c>
    </row>
    <row r="11" spans="1:2">
      <c r="A11">
        <v>0.19744874531514317</v>
      </c>
      <c r="B11">
        <v>0.19763290398623484</v>
      </c>
    </row>
    <row r="12" spans="1:2">
      <c r="A12">
        <v>0.2014919482390497</v>
      </c>
      <c r="B12">
        <v>0.21813304884199647</v>
      </c>
    </row>
    <row r="13" spans="1:2">
      <c r="A13">
        <v>0.207154333534526</v>
      </c>
      <c r="B13">
        <v>0.19764499769748867</v>
      </c>
    </row>
    <row r="14" spans="1:2">
      <c r="A14">
        <v>0.2144634845533438</v>
      </c>
      <c r="B14">
        <v>0.18385458968060381</v>
      </c>
    </row>
    <row r="15" spans="1:2">
      <c r="A15">
        <v>0.22029232158425377</v>
      </c>
      <c r="B15">
        <v>0.21512137931324304</v>
      </c>
    </row>
    <row r="16" spans="1:2">
      <c r="A16">
        <v>0.22061061447281488</v>
      </c>
      <c r="B16">
        <v>0.22436117291414609</v>
      </c>
    </row>
    <row r="17" spans="1:2">
      <c r="A17">
        <v>0.23221798909750463</v>
      </c>
      <c r="B17">
        <v>0.2357427947056227</v>
      </c>
    </row>
    <row r="18" spans="1:2">
      <c r="A18">
        <v>0.23397576977997911</v>
      </c>
      <c r="B18">
        <v>0.23775824605382648</v>
      </c>
    </row>
    <row r="19" spans="1:2">
      <c r="A19">
        <v>0.25040357788333412</v>
      </c>
      <c r="B19">
        <v>0.25768358906915884</v>
      </c>
    </row>
    <row r="20" spans="1:2">
      <c r="A20">
        <v>0.27010686443785048</v>
      </c>
      <c r="B20">
        <v>0.26866367887347453</v>
      </c>
    </row>
    <row r="21" spans="1:2">
      <c r="A21">
        <v>0.27261184298883367</v>
      </c>
      <c r="B21">
        <v>0.27639302742304256</v>
      </c>
    </row>
    <row r="22" spans="1:2">
      <c r="A22">
        <v>0.2749776092146321</v>
      </c>
      <c r="B22">
        <v>0.27373014926474648</v>
      </c>
    </row>
    <row r="23" spans="1:2">
      <c r="A23">
        <v>0.27644845833123177</v>
      </c>
      <c r="B23">
        <v>0.28785170536957083</v>
      </c>
    </row>
    <row r="24" spans="1:2">
      <c r="A24">
        <v>0.28006447215183305</v>
      </c>
      <c r="B24">
        <v>0.28649467614836099</v>
      </c>
    </row>
    <row r="25" spans="1:2">
      <c r="A25">
        <v>0.28087155635974981</v>
      </c>
      <c r="B25">
        <v>0.29285170529535426</v>
      </c>
    </row>
    <row r="26" spans="1:2">
      <c r="A26">
        <v>0.28265950580435273</v>
      </c>
      <c r="B26">
        <v>0.27167898694696246</v>
      </c>
    </row>
    <row r="27" spans="1:2">
      <c r="A27">
        <v>0.28423602307314133</v>
      </c>
      <c r="B27">
        <v>0.26203539811148602</v>
      </c>
    </row>
    <row r="28" spans="1:2">
      <c r="A28">
        <v>0.28435013717956759</v>
      </c>
      <c r="B28">
        <v>0.28481842453804662</v>
      </c>
    </row>
    <row r="29" spans="1:2">
      <c r="A29">
        <v>0.28595072782933001</v>
      </c>
      <c r="B29">
        <v>0.28017993638279121</v>
      </c>
    </row>
    <row r="30" spans="1:2">
      <c r="A30">
        <v>0.29476965505370234</v>
      </c>
      <c r="B30">
        <v>0.30001850978738648</v>
      </c>
    </row>
    <row r="31" spans="1:2">
      <c r="A31">
        <v>0.30050953283810183</v>
      </c>
      <c r="B31">
        <v>0.29650362777272499</v>
      </c>
    </row>
    <row r="32" spans="1:2">
      <c r="A32">
        <v>0.30125746994677916</v>
      </c>
      <c r="B32">
        <v>0.30676406143066837</v>
      </c>
    </row>
    <row r="33" spans="1:2">
      <c r="A33">
        <v>0.30460002474456815</v>
      </c>
      <c r="B33">
        <v>0.3131287286799283</v>
      </c>
    </row>
    <row r="34" spans="1:2">
      <c r="A34">
        <v>0.30879305387920736</v>
      </c>
      <c r="B34">
        <v>0.31219861185759634</v>
      </c>
    </row>
    <row r="35" spans="1:2">
      <c r="A35">
        <v>0.31021217508280974</v>
      </c>
      <c r="B35">
        <v>0.31125979176155089</v>
      </c>
    </row>
    <row r="36" spans="1:2">
      <c r="A36">
        <v>0.31224914003563697</v>
      </c>
      <c r="B36">
        <v>0.31093869350007663</v>
      </c>
    </row>
    <row r="37" spans="1:2">
      <c r="A37">
        <v>0.313321958294281</v>
      </c>
      <c r="B37">
        <v>0.32358409003723698</v>
      </c>
    </row>
    <row r="38" spans="1:2">
      <c r="A38">
        <v>0.31428182334213139</v>
      </c>
      <c r="B38">
        <v>0.36775408577747681</v>
      </c>
    </row>
    <row r="39" spans="1:2">
      <c r="A39">
        <v>0.31534558501308851</v>
      </c>
      <c r="B39">
        <v>0.32202882603050703</v>
      </c>
    </row>
    <row r="40" spans="1:2">
      <c r="A40">
        <v>0.31782652700063752</v>
      </c>
      <c r="B40">
        <v>0.32765037523530532</v>
      </c>
    </row>
    <row r="41" spans="1:2">
      <c r="A41">
        <v>0.31927962662304443</v>
      </c>
      <c r="B41">
        <v>0.32368631121409241</v>
      </c>
    </row>
    <row r="42" spans="1:2">
      <c r="A42">
        <v>0.31936133461024074</v>
      </c>
      <c r="B42">
        <v>0.32231130589812917</v>
      </c>
    </row>
    <row r="43" spans="1:2">
      <c r="A43">
        <v>0.32554952344135857</v>
      </c>
      <c r="B43">
        <v>0.33710948697020104</v>
      </c>
    </row>
    <row r="44" spans="1:2">
      <c r="A44">
        <v>0.32732941589755682</v>
      </c>
      <c r="B44">
        <v>0.33669151952972826</v>
      </c>
    </row>
    <row r="45" spans="1:2">
      <c r="A45">
        <v>0.32834505889634713</v>
      </c>
      <c r="B45">
        <v>0.32302259911277653</v>
      </c>
    </row>
    <row r="46" spans="1:2">
      <c r="A46">
        <v>0.32916394077434685</v>
      </c>
      <c r="B46">
        <v>0.33067206156424239</v>
      </c>
    </row>
    <row r="47" spans="1:2">
      <c r="A47">
        <v>0.33145763669715395</v>
      </c>
      <c r="B47">
        <v>0.32888025468262361</v>
      </c>
    </row>
    <row r="48" spans="1:2">
      <c r="A48">
        <v>0.33196346446964209</v>
      </c>
      <c r="B48">
        <v>0.34347650452099893</v>
      </c>
    </row>
    <row r="49" spans="1:2">
      <c r="A49">
        <v>0.33399787291802746</v>
      </c>
      <c r="B49">
        <v>0.3363944277415632</v>
      </c>
    </row>
    <row r="50" spans="1:2">
      <c r="A50">
        <v>0.33540270977851849</v>
      </c>
      <c r="B50">
        <v>0.34474753467404629</v>
      </c>
    </row>
    <row r="51" spans="1:2">
      <c r="A51">
        <v>0.33882703703059303</v>
      </c>
      <c r="B51">
        <v>0.34268349353794558</v>
      </c>
    </row>
    <row r="52" spans="1:2">
      <c r="A52">
        <v>0.33998230056812023</v>
      </c>
      <c r="B52">
        <v>0.34529176547007145</v>
      </c>
    </row>
    <row r="53" spans="1:2">
      <c r="A53">
        <v>0.34265593575845205</v>
      </c>
      <c r="B53">
        <v>0.35269149324212457</v>
      </c>
    </row>
    <row r="54" spans="1:2">
      <c r="A54">
        <v>0.34305418815449257</v>
      </c>
      <c r="B54">
        <v>0.34346309625650434</v>
      </c>
    </row>
    <row r="55" spans="1:2">
      <c r="A55">
        <v>0.34319237811314424</v>
      </c>
      <c r="B55">
        <v>0.34338661342209692</v>
      </c>
    </row>
    <row r="56" spans="1:2">
      <c r="A56">
        <v>0.34403188569880477</v>
      </c>
      <c r="B56">
        <v>0.34820870110280178</v>
      </c>
    </row>
    <row r="57" spans="1:2">
      <c r="A57">
        <v>0.34423681253415334</v>
      </c>
      <c r="B57">
        <v>0.34397257709836582</v>
      </c>
    </row>
    <row r="58" spans="1:2">
      <c r="A58">
        <v>0.34771873062449082</v>
      </c>
      <c r="B58">
        <v>0.34453795864152947</v>
      </c>
    </row>
    <row r="59" spans="1:2">
      <c r="A59">
        <v>0.34868587776357607</v>
      </c>
      <c r="B59">
        <v>0.351257682089682</v>
      </c>
    </row>
    <row r="60" spans="1:2">
      <c r="A60">
        <v>0.34985102433196791</v>
      </c>
      <c r="B60">
        <v>0.34805158540240089</v>
      </c>
    </row>
    <row r="61" spans="1:2">
      <c r="A61">
        <v>0.35117646222217547</v>
      </c>
      <c r="B61">
        <v>0.35908750643910226</v>
      </c>
    </row>
    <row r="62" spans="1:2">
      <c r="A62">
        <v>0.35216967647723074</v>
      </c>
      <c r="B62">
        <v>0.36405836583114959</v>
      </c>
    </row>
    <row r="63" spans="1:2">
      <c r="A63">
        <v>0.35261456255572499</v>
      </c>
      <c r="B63">
        <v>0.3448267610064798</v>
      </c>
    </row>
    <row r="64" spans="1:2">
      <c r="A64">
        <v>0.3543321257376183</v>
      </c>
      <c r="B64">
        <v>0.3585855499355991</v>
      </c>
    </row>
    <row r="65" spans="1:2">
      <c r="A65">
        <v>0.35478011191272552</v>
      </c>
      <c r="B65">
        <v>0.36039240503571812</v>
      </c>
    </row>
    <row r="66" spans="1:2">
      <c r="A66">
        <v>0.35577505074514959</v>
      </c>
      <c r="B66">
        <v>0.36719452961385446</v>
      </c>
    </row>
    <row r="67" spans="1:2">
      <c r="A67">
        <v>0.35608774523367825</v>
      </c>
      <c r="B67">
        <v>0.36069856183443505</v>
      </c>
    </row>
    <row r="68" spans="1:2">
      <c r="A68">
        <v>0.35642074706552518</v>
      </c>
      <c r="B68">
        <v>0.36595950661020882</v>
      </c>
    </row>
    <row r="69" spans="1:2">
      <c r="A69">
        <v>0.35679362838020257</v>
      </c>
      <c r="B69">
        <v>0.35838361311231259</v>
      </c>
    </row>
    <row r="70" spans="1:2">
      <c r="A70">
        <v>0.35886587967351014</v>
      </c>
      <c r="B70">
        <v>0.37290975019514128</v>
      </c>
    </row>
    <row r="71" spans="1:2">
      <c r="A71">
        <v>0.3595911168268926</v>
      </c>
      <c r="B71">
        <v>0.37412375058660474</v>
      </c>
    </row>
    <row r="72" spans="1:2">
      <c r="A72">
        <v>0.36088086534792552</v>
      </c>
      <c r="B72">
        <v>0.37388277253011459</v>
      </c>
    </row>
    <row r="73" spans="1:2">
      <c r="A73">
        <v>0.36095725440768067</v>
      </c>
      <c r="B73">
        <v>0.37240090194794095</v>
      </c>
    </row>
    <row r="74" spans="1:2">
      <c r="A74">
        <v>0.36114757148982379</v>
      </c>
      <c r="B74">
        <v>0.36075494917323092</v>
      </c>
    </row>
    <row r="75" spans="1:2">
      <c r="A75">
        <v>0.36383346045821185</v>
      </c>
      <c r="B75">
        <v>0.4210446689078865</v>
      </c>
    </row>
    <row r="76" spans="1:2">
      <c r="A76">
        <v>0.36394733314951278</v>
      </c>
      <c r="B76">
        <v>0.36941744426714929</v>
      </c>
    </row>
    <row r="77" spans="1:2">
      <c r="A77">
        <v>0.36426148327777819</v>
      </c>
      <c r="B77">
        <v>0.37205968178921145</v>
      </c>
    </row>
    <row r="78" spans="1:2">
      <c r="A78">
        <v>0.36431478220163727</v>
      </c>
      <c r="B78">
        <v>0.36664330262474332</v>
      </c>
    </row>
    <row r="79" spans="1:2">
      <c r="A79">
        <v>0.36687582609485991</v>
      </c>
      <c r="B79">
        <v>0.37064456152898473</v>
      </c>
    </row>
    <row r="80" spans="1:2">
      <c r="A80">
        <v>0.36697443178476852</v>
      </c>
      <c r="B80">
        <v>0.37174855697353826</v>
      </c>
    </row>
    <row r="81" spans="1:2">
      <c r="A81">
        <v>0.36710812953291527</v>
      </c>
      <c r="B81">
        <v>0.36654829217145035</v>
      </c>
    </row>
    <row r="82" spans="1:2">
      <c r="A82">
        <v>0.36714857966463099</v>
      </c>
      <c r="B82">
        <v>0.36977064385961955</v>
      </c>
    </row>
    <row r="83" spans="1:2">
      <c r="A83">
        <v>0.36730565598965548</v>
      </c>
      <c r="B83">
        <v>0.36526048905816133</v>
      </c>
    </row>
    <row r="84" spans="1:2">
      <c r="A84">
        <v>0.36891391471249002</v>
      </c>
      <c r="B84">
        <v>0.36654131440319127</v>
      </c>
    </row>
    <row r="85" spans="1:2">
      <c r="A85">
        <v>0.37260704794032196</v>
      </c>
      <c r="B85">
        <v>0.37612552727651427</v>
      </c>
    </row>
    <row r="86" spans="1:2">
      <c r="A86">
        <v>0.37265292477420509</v>
      </c>
      <c r="B86">
        <v>0.37424028861499137</v>
      </c>
    </row>
    <row r="87" spans="1:2">
      <c r="A87">
        <v>0.37286627763978675</v>
      </c>
      <c r="B87">
        <v>0.37664644566164096</v>
      </c>
    </row>
    <row r="88" spans="1:2">
      <c r="A88">
        <v>0.37480001681534114</v>
      </c>
      <c r="B88">
        <v>0.37664602936217961</v>
      </c>
    </row>
    <row r="89" spans="1:2">
      <c r="A89">
        <v>0.37535617763901541</v>
      </c>
      <c r="B89">
        <v>0.37758839594991545</v>
      </c>
    </row>
    <row r="90" spans="1:2">
      <c r="A90">
        <v>0.37543897268195758</v>
      </c>
      <c r="B90">
        <v>0.38756195136974703</v>
      </c>
    </row>
    <row r="91" spans="1:2">
      <c r="A91">
        <v>0.37615748655495196</v>
      </c>
      <c r="B91">
        <v>0.38074154658472648</v>
      </c>
    </row>
    <row r="92" spans="1:2">
      <c r="A92">
        <v>0.37788139534473153</v>
      </c>
      <c r="B92">
        <v>0.37604205184105799</v>
      </c>
    </row>
    <row r="93" spans="1:2">
      <c r="A93">
        <v>0.37828588202243352</v>
      </c>
      <c r="B93">
        <v>0.38275002136189584</v>
      </c>
    </row>
    <row r="94" spans="1:2">
      <c r="A94">
        <v>0.3783493705928429</v>
      </c>
      <c r="B94">
        <v>0.38442032629358203</v>
      </c>
    </row>
    <row r="95" spans="1:2">
      <c r="A95">
        <v>0.38046331506268261</v>
      </c>
      <c r="B95">
        <v>0.38578819964225608</v>
      </c>
    </row>
    <row r="96" spans="1:2">
      <c r="A96">
        <v>0.38059553248798639</v>
      </c>
      <c r="B96">
        <v>0.38485083530506703</v>
      </c>
    </row>
    <row r="97" spans="1:2">
      <c r="A97">
        <v>0.38116241833987419</v>
      </c>
      <c r="B97">
        <v>0.38839308005216511</v>
      </c>
    </row>
    <row r="98" spans="1:2">
      <c r="A98">
        <v>0.38187438028202447</v>
      </c>
      <c r="B98">
        <v>0.38826885655469456</v>
      </c>
    </row>
    <row r="99" spans="1:2">
      <c r="A99">
        <v>0.38225829887841278</v>
      </c>
      <c r="B99">
        <v>0.38805338823663582</v>
      </c>
    </row>
    <row r="100" spans="1:2">
      <c r="A100">
        <v>0.38277827735833003</v>
      </c>
      <c r="B100">
        <v>0.37348874008888699</v>
      </c>
    </row>
    <row r="101" spans="1:2">
      <c r="A101">
        <v>0.38432115246880627</v>
      </c>
      <c r="B101">
        <v>0.40453251150210179</v>
      </c>
    </row>
    <row r="102" spans="1:2">
      <c r="A102">
        <v>0.38433845163158054</v>
      </c>
      <c r="B102">
        <v>0.38564105481906608</v>
      </c>
    </row>
    <row r="103" spans="1:2">
      <c r="A103">
        <v>0.38666875347393947</v>
      </c>
      <c r="B103">
        <v>0.38759799537974737</v>
      </c>
    </row>
    <row r="104" spans="1:2">
      <c r="A104">
        <v>0.38692605457429641</v>
      </c>
      <c r="B104">
        <v>0.39223135764484851</v>
      </c>
    </row>
    <row r="105" spans="1:2">
      <c r="A105">
        <v>0.38742793207145099</v>
      </c>
      <c r="B105">
        <v>0.38922420445222483</v>
      </c>
    </row>
    <row r="106" spans="1:2">
      <c r="A106">
        <v>0.38813757457870657</v>
      </c>
      <c r="B106">
        <v>0.38527145320775835</v>
      </c>
    </row>
    <row r="107" spans="1:2">
      <c r="A107">
        <v>0.38961805404999394</v>
      </c>
      <c r="B107">
        <v>0.39671160353227641</v>
      </c>
    </row>
    <row r="108" spans="1:2">
      <c r="A108">
        <v>0.38985049961474882</v>
      </c>
      <c r="B108">
        <v>0.39560911249637454</v>
      </c>
    </row>
    <row r="109" spans="1:2">
      <c r="A109">
        <v>0.39019032253366426</v>
      </c>
      <c r="B109">
        <v>0.38969294663436338</v>
      </c>
    </row>
    <row r="110" spans="1:2">
      <c r="A110">
        <v>0.39038983622681234</v>
      </c>
      <c r="B110">
        <v>0.39805988192215114</v>
      </c>
    </row>
    <row r="111" spans="1:2">
      <c r="A111">
        <v>0.39096116197840969</v>
      </c>
      <c r="B111">
        <v>0.3934358749675021</v>
      </c>
    </row>
    <row r="112" spans="1:2">
      <c r="A112">
        <v>0.39103707411529465</v>
      </c>
      <c r="B112">
        <v>0.39360862773081207</v>
      </c>
    </row>
    <row r="113" spans="1:2">
      <c r="A113">
        <v>0.39119091792615091</v>
      </c>
      <c r="B113">
        <v>0.39298706040218523</v>
      </c>
    </row>
    <row r="114" spans="1:2">
      <c r="A114">
        <v>0.39208040901771146</v>
      </c>
      <c r="B114">
        <v>0.40242958807851215</v>
      </c>
    </row>
    <row r="115" spans="1:2">
      <c r="A115">
        <v>0.39255646522131193</v>
      </c>
      <c r="B115">
        <v>0.40142865771271108</v>
      </c>
    </row>
    <row r="116" spans="1:2">
      <c r="A116">
        <v>0.39274991772836632</v>
      </c>
      <c r="B116">
        <v>0.39215544317744078</v>
      </c>
    </row>
    <row r="117" spans="1:2">
      <c r="A117">
        <v>0.39391744186940081</v>
      </c>
      <c r="B117">
        <v>0.40171774886671341</v>
      </c>
    </row>
    <row r="118" spans="1:2">
      <c r="A118">
        <v>0.39419069132157414</v>
      </c>
      <c r="B118">
        <v>0.40533751422719699</v>
      </c>
    </row>
    <row r="119" spans="1:2">
      <c r="A119">
        <v>0.39523383478903462</v>
      </c>
      <c r="B119">
        <v>0.41645256891740878</v>
      </c>
    </row>
    <row r="120" spans="1:2">
      <c r="A120">
        <v>0.39532225018700262</v>
      </c>
      <c r="B120">
        <v>0.40647846811935651</v>
      </c>
    </row>
    <row r="121" spans="1:2">
      <c r="A121">
        <v>0.39539455101848198</v>
      </c>
      <c r="B121">
        <v>0.40535410773314395</v>
      </c>
    </row>
    <row r="122" spans="1:2">
      <c r="A122">
        <v>0.39572765684907241</v>
      </c>
      <c r="B122">
        <v>0.39842502242359912</v>
      </c>
    </row>
    <row r="123" spans="1:2">
      <c r="A123">
        <v>0.39715445546472927</v>
      </c>
      <c r="B123">
        <v>0.40275023393455445</v>
      </c>
    </row>
    <row r="124" spans="1:2">
      <c r="A124">
        <v>0.3995297056596715</v>
      </c>
      <c r="B124">
        <v>0.40835539280798472</v>
      </c>
    </row>
    <row r="125" spans="1:2">
      <c r="A125">
        <v>0.39972880000744082</v>
      </c>
      <c r="B125">
        <v>0.4139226905212734</v>
      </c>
    </row>
    <row r="126" spans="1:2">
      <c r="A126">
        <v>0.39987824457311882</v>
      </c>
      <c r="B126">
        <v>0.40156259357577984</v>
      </c>
    </row>
    <row r="127" spans="1:2">
      <c r="A127">
        <v>0.40007631043700309</v>
      </c>
      <c r="B127">
        <v>0.40520623401733069</v>
      </c>
    </row>
    <row r="128" spans="1:2">
      <c r="A128">
        <v>0.40017279445322917</v>
      </c>
      <c r="B128">
        <v>0.41076827877878919</v>
      </c>
    </row>
    <row r="129" spans="1:2">
      <c r="A129">
        <v>0.40086051700142167</v>
      </c>
      <c r="B129">
        <v>0.41041428780234712</v>
      </c>
    </row>
    <row r="130" spans="1:2">
      <c r="A130">
        <v>0.40095691364155894</v>
      </c>
      <c r="B130">
        <v>0.40991316700065061</v>
      </c>
    </row>
    <row r="131" spans="1:2">
      <c r="A131">
        <v>0.40126350193235305</v>
      </c>
      <c r="B131">
        <v>0.40806526564186507</v>
      </c>
    </row>
    <row r="132" spans="1:2">
      <c r="A132">
        <v>0.40132374688418615</v>
      </c>
      <c r="B132">
        <v>0.40884762454159596</v>
      </c>
    </row>
    <row r="133" spans="1:2">
      <c r="A133">
        <v>0.4014314824081765</v>
      </c>
      <c r="B133">
        <v>0.41403097257856936</v>
      </c>
    </row>
    <row r="134" spans="1:2">
      <c r="A134">
        <v>0.40144752807049555</v>
      </c>
      <c r="B134">
        <v>0.40654661855730589</v>
      </c>
    </row>
    <row r="135" spans="1:2">
      <c r="A135">
        <v>0.40167787286548995</v>
      </c>
      <c r="B135">
        <v>0.41060999317403513</v>
      </c>
    </row>
    <row r="136" spans="1:2">
      <c r="A136">
        <v>0.40187124735080082</v>
      </c>
      <c r="B136">
        <v>0.4140404732878622</v>
      </c>
    </row>
    <row r="137" spans="1:2">
      <c r="A137">
        <v>0.40207578888351769</v>
      </c>
      <c r="B137">
        <v>0.40941674508234871</v>
      </c>
    </row>
    <row r="138" spans="1:2">
      <c r="A138">
        <v>0.40234527371952788</v>
      </c>
      <c r="B138">
        <v>0.41075168343640245</v>
      </c>
    </row>
    <row r="139" spans="1:2">
      <c r="A139">
        <v>0.40338381601050921</v>
      </c>
      <c r="B139">
        <v>0.40885967880856855</v>
      </c>
    </row>
    <row r="140" spans="1:2">
      <c r="A140">
        <v>0.40346277116554674</v>
      </c>
      <c r="B140">
        <v>0.41666128051020512</v>
      </c>
    </row>
    <row r="141" spans="1:2">
      <c r="A141">
        <v>0.40435042504378771</v>
      </c>
      <c r="B141">
        <v>0.41224023089362871</v>
      </c>
    </row>
    <row r="142" spans="1:2">
      <c r="A142">
        <v>0.40486160811070881</v>
      </c>
      <c r="B142">
        <v>0.41825652404026947</v>
      </c>
    </row>
    <row r="143" spans="1:2">
      <c r="A143">
        <v>0.40492714629678184</v>
      </c>
      <c r="B143">
        <v>0.4129516516379248</v>
      </c>
    </row>
    <row r="144" spans="1:2">
      <c r="A144">
        <v>0.40511757498890244</v>
      </c>
      <c r="B144">
        <v>0.41592832928891665</v>
      </c>
    </row>
    <row r="145" spans="1:2">
      <c r="A145">
        <v>0.40535729366446394</v>
      </c>
      <c r="B145">
        <v>0.42297367620595039</v>
      </c>
    </row>
    <row r="146" spans="1:2">
      <c r="A146">
        <v>0.40642889513147229</v>
      </c>
      <c r="B146">
        <v>0.42217969321306392</v>
      </c>
    </row>
    <row r="147" spans="1:2">
      <c r="A147">
        <v>0.40646572618598242</v>
      </c>
      <c r="B147">
        <v>0.4100416833687579</v>
      </c>
    </row>
    <row r="148" spans="1:2">
      <c r="A148">
        <v>0.40675688637255991</v>
      </c>
      <c r="B148">
        <v>0.40988263955148718</v>
      </c>
    </row>
    <row r="149" spans="1:2">
      <c r="A149">
        <v>0.4073879298844193</v>
      </c>
      <c r="B149">
        <v>0.41469488989730707</v>
      </c>
    </row>
    <row r="150" spans="1:2">
      <c r="A150">
        <v>0.40752439014421205</v>
      </c>
      <c r="B150">
        <v>0.4226757664194859</v>
      </c>
    </row>
    <row r="151" spans="1:2">
      <c r="A151">
        <v>0.40847099463612857</v>
      </c>
      <c r="B151">
        <v>0.41445125657579229</v>
      </c>
    </row>
    <row r="152" spans="1:2">
      <c r="A152">
        <v>0.40971646406198015</v>
      </c>
      <c r="B152">
        <v>0.42782057070592905</v>
      </c>
    </row>
    <row r="153" spans="1:2">
      <c r="A153">
        <v>0.41039152142681379</v>
      </c>
      <c r="B153">
        <v>0.41904791182543344</v>
      </c>
    </row>
    <row r="154" spans="1:2">
      <c r="A154">
        <v>0.41077472456669029</v>
      </c>
      <c r="B154">
        <v>0.4147809847832804</v>
      </c>
    </row>
    <row r="155" spans="1:2">
      <c r="A155">
        <v>0.41231539579014698</v>
      </c>
      <c r="B155">
        <v>0.41839059463355965</v>
      </c>
    </row>
    <row r="156" spans="1:2">
      <c r="A156">
        <v>0.4124737669398828</v>
      </c>
      <c r="B156">
        <v>0.40867915351620088</v>
      </c>
    </row>
    <row r="157" spans="1:2">
      <c r="A157">
        <v>0.41273288160759125</v>
      </c>
      <c r="B157">
        <v>0.41153547758589559</v>
      </c>
    </row>
    <row r="158" spans="1:2">
      <c r="A158">
        <v>0.41301231607446831</v>
      </c>
      <c r="B158">
        <v>0.4187017146373011</v>
      </c>
    </row>
    <row r="159" spans="1:2">
      <c r="A159">
        <v>0.41373147634093177</v>
      </c>
      <c r="B159">
        <v>0.4158924521834505</v>
      </c>
    </row>
    <row r="160" spans="1:2">
      <c r="A160">
        <v>0.41388007139991578</v>
      </c>
      <c r="B160">
        <v>0.4160407644058276</v>
      </c>
    </row>
    <row r="161" spans="1:2">
      <c r="A161">
        <v>0.41449217865429433</v>
      </c>
      <c r="B161">
        <v>0.41481835779534215</v>
      </c>
    </row>
    <row r="162" spans="1:2">
      <c r="A162">
        <v>0.41510733433965308</v>
      </c>
      <c r="B162">
        <v>0.42119371336770706</v>
      </c>
    </row>
    <row r="163" spans="1:2">
      <c r="A163">
        <v>0.41530741101267465</v>
      </c>
      <c r="B163">
        <v>0.41674103557729925</v>
      </c>
    </row>
    <row r="164" spans="1:2">
      <c r="A164">
        <v>0.41533164737234174</v>
      </c>
      <c r="B164">
        <v>0.42258989256095303</v>
      </c>
    </row>
    <row r="165" spans="1:2">
      <c r="A165">
        <v>0.415332526608713</v>
      </c>
      <c r="B165">
        <v>0.41636437940185544</v>
      </c>
    </row>
    <row r="166" spans="1:2">
      <c r="A166">
        <v>0.41543161164489961</v>
      </c>
      <c r="B166">
        <v>0.42484819691750841</v>
      </c>
    </row>
    <row r="167" spans="1:2">
      <c r="A167">
        <v>0.4157389477953719</v>
      </c>
      <c r="B167">
        <v>0.41470317083494057</v>
      </c>
    </row>
    <row r="168" spans="1:2">
      <c r="A168">
        <v>0.41635202863932752</v>
      </c>
      <c r="B168">
        <v>0.42147117222919883</v>
      </c>
    </row>
    <row r="169" spans="1:2">
      <c r="A169">
        <v>0.41637116985537059</v>
      </c>
      <c r="B169">
        <v>0.41991840354427212</v>
      </c>
    </row>
    <row r="170" spans="1:2">
      <c r="A170">
        <v>0.4165515021778885</v>
      </c>
      <c r="B170">
        <v>0.42907719317351478</v>
      </c>
    </row>
    <row r="171" spans="1:2">
      <c r="A171">
        <v>0.41669052477806179</v>
      </c>
      <c r="B171">
        <v>0.42493271052529358</v>
      </c>
    </row>
    <row r="172" spans="1:2">
      <c r="A172">
        <v>0.41705028930794885</v>
      </c>
      <c r="B172">
        <v>0.42227646211356229</v>
      </c>
    </row>
    <row r="173" spans="1:2">
      <c r="A173">
        <v>0.41744673892342332</v>
      </c>
      <c r="B173">
        <v>0.42412375254948809</v>
      </c>
    </row>
    <row r="174" spans="1:2">
      <c r="A174">
        <v>0.41781557836340577</v>
      </c>
      <c r="B174">
        <v>0.42597769813402964</v>
      </c>
    </row>
    <row r="175" spans="1:2">
      <c r="A175">
        <v>0.41823214250174479</v>
      </c>
      <c r="B175">
        <v>0.42647168073269037</v>
      </c>
    </row>
    <row r="176" spans="1:2">
      <c r="A176">
        <v>0.41847646060626864</v>
      </c>
      <c r="B176">
        <v>0.4296540599699884</v>
      </c>
    </row>
    <row r="177" spans="1:2">
      <c r="A177">
        <v>0.41857525196467915</v>
      </c>
      <c r="B177">
        <v>0.44278143578547235</v>
      </c>
    </row>
    <row r="178" spans="1:2">
      <c r="A178">
        <v>0.41880178172912796</v>
      </c>
      <c r="B178">
        <v>0.42717908438025476</v>
      </c>
    </row>
    <row r="179" spans="1:2">
      <c r="A179">
        <v>0.41880725726445345</v>
      </c>
      <c r="B179">
        <v>0.41846410177238491</v>
      </c>
    </row>
    <row r="180" spans="1:2">
      <c r="A180">
        <v>0.41895109857832946</v>
      </c>
      <c r="B180">
        <v>0.42666108014981519</v>
      </c>
    </row>
    <row r="181" spans="1:2">
      <c r="A181">
        <v>0.41944151433835186</v>
      </c>
      <c r="B181">
        <v>0.42262734018050407</v>
      </c>
    </row>
    <row r="182" spans="1:2">
      <c r="A182">
        <v>0.41961643927387793</v>
      </c>
      <c r="B182">
        <v>0.42803738762721655</v>
      </c>
    </row>
    <row r="183" spans="1:2">
      <c r="A183">
        <v>0.42091494168063348</v>
      </c>
      <c r="B183">
        <v>0.42933507644577529</v>
      </c>
    </row>
    <row r="184" spans="1:2">
      <c r="A184">
        <v>0.42104954435881448</v>
      </c>
      <c r="B184">
        <v>0.42993317972839762</v>
      </c>
    </row>
    <row r="185" spans="1:2">
      <c r="A185">
        <v>0.4212238323115074</v>
      </c>
      <c r="B185">
        <v>0.43039838638748618</v>
      </c>
    </row>
    <row r="186" spans="1:2">
      <c r="A186">
        <v>0.42142693448320301</v>
      </c>
      <c r="B186">
        <v>0.42616448741922819</v>
      </c>
    </row>
    <row r="187" spans="1:2">
      <c r="A187">
        <v>0.42239625374732481</v>
      </c>
      <c r="B187">
        <v>0.43416715997287236</v>
      </c>
    </row>
    <row r="188" spans="1:2">
      <c r="A188">
        <v>0.42246891512470386</v>
      </c>
      <c r="B188">
        <v>0.43702136280451021</v>
      </c>
    </row>
    <row r="189" spans="1:2">
      <c r="A189">
        <v>0.42304697842903849</v>
      </c>
      <c r="B189">
        <v>0.43173806552266192</v>
      </c>
    </row>
    <row r="190" spans="1:2">
      <c r="A190">
        <v>0.42336248856222403</v>
      </c>
      <c r="B190">
        <v>0.43338126526807397</v>
      </c>
    </row>
    <row r="191" spans="1:2">
      <c r="A191">
        <v>0.42387658079816593</v>
      </c>
      <c r="B191">
        <v>0.42666778151719564</v>
      </c>
    </row>
    <row r="192" spans="1:2">
      <c r="A192">
        <v>0.42468826805522786</v>
      </c>
      <c r="B192">
        <v>0.42393927490798577</v>
      </c>
    </row>
    <row r="193" spans="1:2">
      <c r="A193">
        <v>0.42478240826524649</v>
      </c>
      <c r="B193">
        <v>0.44067108891207141</v>
      </c>
    </row>
    <row r="194" spans="1:2">
      <c r="A194">
        <v>0.42664064222286779</v>
      </c>
      <c r="B194">
        <v>0.42815727200239462</v>
      </c>
    </row>
    <row r="195" spans="1:2">
      <c r="A195">
        <v>0.42689895133429878</v>
      </c>
      <c r="B195">
        <v>0.42748305784065155</v>
      </c>
    </row>
    <row r="196" spans="1:2">
      <c r="A196">
        <v>0.42704226625475605</v>
      </c>
      <c r="B196">
        <v>0.43729725769440242</v>
      </c>
    </row>
    <row r="197" spans="1:2">
      <c r="A197">
        <v>0.42815848752086227</v>
      </c>
      <c r="B197">
        <v>0.43406073606553919</v>
      </c>
    </row>
    <row r="198" spans="1:2">
      <c r="A198">
        <v>0.42821615399165514</v>
      </c>
      <c r="B198">
        <v>0.43122985730693897</v>
      </c>
    </row>
    <row r="199" spans="1:2">
      <c r="A199">
        <v>0.42825207253772479</v>
      </c>
      <c r="B199">
        <v>0.43613017900161721</v>
      </c>
    </row>
    <row r="200" spans="1:2">
      <c r="A200">
        <v>0.42851343908816075</v>
      </c>
      <c r="B200">
        <v>0.43836853439931467</v>
      </c>
    </row>
    <row r="201" spans="1:2">
      <c r="A201">
        <v>0.42858653778912781</v>
      </c>
      <c r="B201">
        <v>0.43852578193044967</v>
      </c>
    </row>
    <row r="202" spans="1:2">
      <c r="A202">
        <v>0.42901540385608061</v>
      </c>
      <c r="B202">
        <v>0.43018847344034428</v>
      </c>
    </row>
    <row r="203" spans="1:2">
      <c r="A203">
        <v>0.42914644062127916</v>
      </c>
      <c r="B203">
        <v>0.4447321142629963</v>
      </c>
    </row>
    <row r="204" spans="1:2">
      <c r="A204">
        <v>0.4293325397145431</v>
      </c>
      <c r="B204">
        <v>0.43822647211000876</v>
      </c>
    </row>
    <row r="205" spans="1:2">
      <c r="A205">
        <v>0.42943930920550766</v>
      </c>
      <c r="B205">
        <v>0.43616145466743017</v>
      </c>
    </row>
    <row r="206" spans="1:2">
      <c r="A206">
        <v>0.42954349543403469</v>
      </c>
      <c r="B206">
        <v>0.43762414926184945</v>
      </c>
    </row>
    <row r="207" spans="1:2">
      <c r="A207">
        <v>0.42979504683013514</v>
      </c>
      <c r="B207">
        <v>0.43589373707744405</v>
      </c>
    </row>
    <row r="208" spans="1:2">
      <c r="A208">
        <v>0.42980689889241119</v>
      </c>
      <c r="B208">
        <v>0.42958183143383399</v>
      </c>
    </row>
    <row r="209" spans="1:2">
      <c r="A209">
        <v>0.42983302963765024</v>
      </c>
      <c r="B209">
        <v>0.4344945566824342</v>
      </c>
    </row>
    <row r="210" spans="1:2">
      <c r="A210">
        <v>0.43013979233481281</v>
      </c>
      <c r="B210">
        <v>0.42790113713311673</v>
      </c>
    </row>
    <row r="211" spans="1:2">
      <c r="A211">
        <v>0.43020781924734897</v>
      </c>
      <c r="B211">
        <v>0.43399164971879001</v>
      </c>
    </row>
    <row r="212" spans="1:2">
      <c r="A212">
        <v>0.43041966175336255</v>
      </c>
      <c r="B212">
        <v>0.43932312775958215</v>
      </c>
    </row>
    <row r="213" spans="1:2">
      <c r="A213">
        <v>0.43090823542308088</v>
      </c>
      <c r="B213">
        <v>0.43552964959641305</v>
      </c>
    </row>
    <row r="214" spans="1:2">
      <c r="A214">
        <v>0.43100242602937344</v>
      </c>
      <c r="B214">
        <v>0.41795385228209481</v>
      </c>
    </row>
    <row r="215" spans="1:2">
      <c r="A215">
        <v>0.43123865047389331</v>
      </c>
      <c r="B215">
        <v>0.44011615277549998</v>
      </c>
    </row>
    <row r="216" spans="1:2">
      <c r="A216">
        <v>0.43137935547021888</v>
      </c>
      <c r="B216">
        <v>0.44451360793359429</v>
      </c>
    </row>
    <row r="217" spans="1:2">
      <c r="A217">
        <v>0.43175903652399106</v>
      </c>
      <c r="B217">
        <v>0.43136884495084094</v>
      </c>
    </row>
    <row r="218" spans="1:2">
      <c r="A218">
        <v>0.4321921076769909</v>
      </c>
      <c r="B218">
        <v>0.42988415387001222</v>
      </c>
    </row>
    <row r="219" spans="1:2">
      <c r="A219">
        <v>0.43298319390824513</v>
      </c>
      <c r="B219">
        <v>0.43978580688398528</v>
      </c>
    </row>
    <row r="220" spans="1:2">
      <c r="A220">
        <v>0.43343270415149404</v>
      </c>
      <c r="B220">
        <v>0.42425698267570588</v>
      </c>
    </row>
    <row r="221" spans="1:2">
      <c r="A221">
        <v>0.43408760126851487</v>
      </c>
      <c r="B221">
        <v>0.44091665514438239</v>
      </c>
    </row>
    <row r="222" spans="1:2">
      <c r="A222">
        <v>0.43440653533326201</v>
      </c>
      <c r="B222">
        <v>0.44507161028810305</v>
      </c>
    </row>
    <row r="223" spans="1:2">
      <c r="A223">
        <v>0.43452685945768454</v>
      </c>
      <c r="B223">
        <v>0.44154144895182612</v>
      </c>
    </row>
    <row r="224" spans="1:2">
      <c r="A224">
        <v>0.43454793112842138</v>
      </c>
      <c r="B224">
        <v>0.43996350241995918</v>
      </c>
    </row>
    <row r="225" spans="1:2">
      <c r="A225">
        <v>0.4354732183229264</v>
      </c>
      <c r="B225">
        <v>0.43534145962232462</v>
      </c>
    </row>
    <row r="226" spans="1:2">
      <c r="A226">
        <v>0.43548226305855975</v>
      </c>
      <c r="B226">
        <v>0.44879786810345013</v>
      </c>
    </row>
    <row r="227" spans="1:2">
      <c r="A227">
        <v>0.43554390949003408</v>
      </c>
      <c r="B227">
        <v>0.4565956936287513</v>
      </c>
    </row>
    <row r="228" spans="1:2">
      <c r="A228">
        <v>0.43609054669764891</v>
      </c>
      <c r="B228">
        <v>0.44173343469025872</v>
      </c>
    </row>
    <row r="229" spans="1:2">
      <c r="A229">
        <v>0.43660121758524362</v>
      </c>
      <c r="B229">
        <v>0.45966681743468452</v>
      </c>
    </row>
    <row r="230" spans="1:2">
      <c r="A230">
        <v>0.43749905324549898</v>
      </c>
      <c r="B230">
        <v>0.44152702569476343</v>
      </c>
    </row>
    <row r="231" spans="1:2">
      <c r="A231">
        <v>0.43798151612594549</v>
      </c>
      <c r="B231">
        <v>0.44396358956594661</v>
      </c>
    </row>
    <row r="232" spans="1:2">
      <c r="A232">
        <v>0.43806167377120087</v>
      </c>
      <c r="B232">
        <v>0.44595912897175061</v>
      </c>
    </row>
    <row r="233" spans="1:2">
      <c r="A233">
        <v>0.43870674808463861</v>
      </c>
      <c r="B233">
        <v>0.439330991669728</v>
      </c>
    </row>
    <row r="234" spans="1:2">
      <c r="A234">
        <v>0.43889951905872082</v>
      </c>
      <c r="B234">
        <v>0.44145596282231292</v>
      </c>
    </row>
    <row r="235" spans="1:2">
      <c r="A235">
        <v>0.43942733551300894</v>
      </c>
      <c r="B235">
        <v>0.44851028222154454</v>
      </c>
    </row>
    <row r="236" spans="1:2">
      <c r="A236">
        <v>0.44036043227144361</v>
      </c>
      <c r="B236">
        <v>0.44055387344431296</v>
      </c>
    </row>
    <row r="237" spans="1:2">
      <c r="A237">
        <v>0.44111890403886311</v>
      </c>
      <c r="B237">
        <v>0.46047527780171116</v>
      </c>
    </row>
    <row r="238" spans="1:2">
      <c r="A238">
        <v>0.44116104086438812</v>
      </c>
      <c r="B238">
        <v>0.4528497598352712</v>
      </c>
    </row>
    <row r="239" spans="1:2">
      <c r="A239">
        <v>0.44193736511725368</v>
      </c>
      <c r="B239">
        <v>0.45149775765312672</v>
      </c>
    </row>
    <row r="240" spans="1:2">
      <c r="A240">
        <v>0.44257779739835446</v>
      </c>
      <c r="B240">
        <v>0.44898024342117515</v>
      </c>
    </row>
    <row r="241" spans="1:2">
      <c r="A241">
        <v>0.44293299946210507</v>
      </c>
      <c r="B241">
        <v>0.45173226077227213</v>
      </c>
    </row>
    <row r="242" spans="1:2">
      <c r="A242">
        <v>0.44295811415300934</v>
      </c>
      <c r="B242">
        <v>0.44954839323950901</v>
      </c>
    </row>
    <row r="243" spans="1:2">
      <c r="A243">
        <v>0.44331412523066482</v>
      </c>
      <c r="B243">
        <v>0.44908644265072117</v>
      </c>
    </row>
    <row r="244" spans="1:2">
      <c r="A244">
        <v>0.44417010359710285</v>
      </c>
      <c r="B244">
        <v>0.44932205997945895</v>
      </c>
    </row>
    <row r="245" spans="1:2">
      <c r="A245">
        <v>0.4441761063619265</v>
      </c>
      <c r="B245">
        <v>0.45017391905464221</v>
      </c>
    </row>
    <row r="246" spans="1:2">
      <c r="A246">
        <v>0.4446096213820514</v>
      </c>
      <c r="B246">
        <v>0.45403582241033025</v>
      </c>
    </row>
    <row r="247" spans="1:2">
      <c r="A247">
        <v>0.44482428542290342</v>
      </c>
      <c r="B247">
        <v>0.45122054960858871</v>
      </c>
    </row>
    <row r="248" spans="1:2">
      <c r="A248">
        <v>0.44500716533569962</v>
      </c>
      <c r="B248">
        <v>0.45145939311078376</v>
      </c>
    </row>
    <row r="249" spans="1:2">
      <c r="A249">
        <v>0.44529139601257584</v>
      </c>
      <c r="B249">
        <v>0.44900195752950045</v>
      </c>
    </row>
    <row r="250" spans="1:2">
      <c r="A250">
        <v>0.44583170890179302</v>
      </c>
      <c r="B250">
        <v>0.44969725674922056</v>
      </c>
    </row>
    <row r="251" spans="1:2">
      <c r="A251">
        <v>0.44591536918180241</v>
      </c>
      <c r="B251">
        <v>0.45072142498816525</v>
      </c>
    </row>
    <row r="252" spans="1:2">
      <c r="A252">
        <v>0.44637762445132423</v>
      </c>
      <c r="B252">
        <v>0.4598640741414366</v>
      </c>
    </row>
    <row r="253" spans="1:2">
      <c r="A253">
        <v>0.44645740581787408</v>
      </c>
      <c r="B253">
        <v>0.45597001487329158</v>
      </c>
    </row>
    <row r="254" spans="1:2">
      <c r="A254">
        <v>0.44651140460562488</v>
      </c>
      <c r="B254">
        <v>0.459652597731385</v>
      </c>
    </row>
    <row r="255" spans="1:2">
      <c r="A255">
        <v>0.44662384216397377</v>
      </c>
      <c r="B255">
        <v>0.45584803144116903</v>
      </c>
    </row>
    <row r="256" spans="1:2">
      <c r="A256">
        <v>0.44688084386628413</v>
      </c>
      <c r="B256">
        <v>0.45334978469598897</v>
      </c>
    </row>
    <row r="257" spans="1:2">
      <c r="A257">
        <v>0.44700549029077452</v>
      </c>
      <c r="B257">
        <v>0.4576927820591381</v>
      </c>
    </row>
    <row r="258" spans="1:2">
      <c r="A258">
        <v>0.44701603450271554</v>
      </c>
      <c r="B258">
        <v>0.45146902421100676</v>
      </c>
    </row>
    <row r="259" spans="1:2">
      <c r="A259">
        <v>0.44707981310551959</v>
      </c>
      <c r="B259">
        <v>0.45508945654253896</v>
      </c>
    </row>
    <row r="260" spans="1:2">
      <c r="A260">
        <v>0.44742661701601327</v>
      </c>
      <c r="B260">
        <v>0.45503183484289822</v>
      </c>
    </row>
    <row r="261" spans="1:2">
      <c r="A261">
        <v>0.44748605680402953</v>
      </c>
      <c r="B261">
        <v>0.45808205386037204</v>
      </c>
    </row>
    <row r="262" spans="1:2">
      <c r="A262">
        <v>0.44783073173777532</v>
      </c>
      <c r="B262">
        <v>0.45449758816236485</v>
      </c>
    </row>
    <row r="263" spans="1:2">
      <c r="A263">
        <v>0.44813570346574605</v>
      </c>
      <c r="B263">
        <v>0.45074829502586711</v>
      </c>
    </row>
    <row r="264" spans="1:2">
      <c r="A264">
        <v>0.4487724339300927</v>
      </c>
      <c r="B264">
        <v>0.46429252728533676</v>
      </c>
    </row>
    <row r="265" spans="1:2">
      <c r="A265">
        <v>0.44888995434276835</v>
      </c>
      <c r="B265">
        <v>0.45787373029826506</v>
      </c>
    </row>
    <row r="266" spans="1:2">
      <c r="A266">
        <v>0.44909976032523169</v>
      </c>
      <c r="B266">
        <v>0.45378257870169303</v>
      </c>
    </row>
    <row r="267" spans="1:2">
      <c r="A267">
        <v>0.4492145378322393</v>
      </c>
      <c r="B267">
        <v>0.44974702341747463</v>
      </c>
    </row>
    <row r="268" spans="1:2">
      <c r="A268">
        <v>0.44964275656861252</v>
      </c>
      <c r="B268">
        <v>0.45269788576372494</v>
      </c>
    </row>
    <row r="269" spans="1:2">
      <c r="A269">
        <v>0.45010109420347233</v>
      </c>
      <c r="B269">
        <v>0.46028452172776646</v>
      </c>
    </row>
    <row r="270" spans="1:2">
      <c r="A270">
        <v>0.45028041144038622</v>
      </c>
      <c r="B270">
        <v>0.45980089440735739</v>
      </c>
    </row>
    <row r="271" spans="1:2">
      <c r="A271">
        <v>0.45104686048912679</v>
      </c>
      <c r="B271">
        <v>0.46105930729402278</v>
      </c>
    </row>
    <row r="272" spans="1:2">
      <c r="A272">
        <v>0.45112145664875891</v>
      </c>
      <c r="B272">
        <v>0.45348251135210205</v>
      </c>
    </row>
    <row r="273" spans="1:2">
      <c r="A273">
        <v>0.45174017327343297</v>
      </c>
      <c r="B273">
        <v>0.45118090998245497</v>
      </c>
    </row>
    <row r="274" spans="1:2">
      <c r="A274">
        <v>0.45185124930879994</v>
      </c>
      <c r="B274">
        <v>0.45983944467573057</v>
      </c>
    </row>
    <row r="275" spans="1:2">
      <c r="A275">
        <v>0.45204449737163788</v>
      </c>
      <c r="B275">
        <v>0.45784769427331451</v>
      </c>
    </row>
    <row r="276" spans="1:2">
      <c r="A276">
        <v>0.45216225661632126</v>
      </c>
      <c r="B276">
        <v>0.45546098450881112</v>
      </c>
    </row>
    <row r="277" spans="1:2">
      <c r="A277">
        <v>0.45277797878863613</v>
      </c>
      <c r="B277">
        <v>0.46451437838598397</v>
      </c>
    </row>
    <row r="278" spans="1:2">
      <c r="A278">
        <v>0.45305159839364628</v>
      </c>
      <c r="B278">
        <v>0.45952556886069662</v>
      </c>
    </row>
    <row r="279" spans="1:2">
      <c r="A279">
        <v>0.45310165894247845</v>
      </c>
      <c r="B279">
        <v>0.45541502770655207</v>
      </c>
    </row>
    <row r="280" spans="1:2">
      <c r="A280">
        <v>0.45314840268843004</v>
      </c>
      <c r="B280">
        <v>0.45953860678774772</v>
      </c>
    </row>
    <row r="281" spans="1:2">
      <c r="A281">
        <v>0.45327411595478351</v>
      </c>
      <c r="B281">
        <v>0.45941480073241947</v>
      </c>
    </row>
    <row r="282" spans="1:2">
      <c r="A282">
        <v>0.45342927301633484</v>
      </c>
      <c r="B282">
        <v>0.46530279549724807</v>
      </c>
    </row>
    <row r="283" spans="1:2">
      <c r="A283">
        <v>0.4534446708715526</v>
      </c>
      <c r="B283">
        <v>0.46272053680064362</v>
      </c>
    </row>
    <row r="284" spans="1:2">
      <c r="A284">
        <v>0.45358252123319509</v>
      </c>
      <c r="B284">
        <v>0.46270813198746508</v>
      </c>
    </row>
    <row r="285" spans="1:2">
      <c r="A285">
        <v>0.45371676041436304</v>
      </c>
      <c r="B285">
        <v>0.46472381126841522</v>
      </c>
    </row>
    <row r="286" spans="1:2">
      <c r="A286">
        <v>0.45390048498060875</v>
      </c>
      <c r="B286">
        <v>0.46346014693485194</v>
      </c>
    </row>
    <row r="287" spans="1:2">
      <c r="A287">
        <v>0.45392017226128956</v>
      </c>
      <c r="B287">
        <v>0.46279018272285055</v>
      </c>
    </row>
    <row r="288" spans="1:2">
      <c r="A288">
        <v>0.45401101038444802</v>
      </c>
      <c r="B288">
        <v>0.47577008314910363</v>
      </c>
    </row>
    <row r="289" spans="1:2">
      <c r="A289">
        <v>0.45446504171314794</v>
      </c>
      <c r="B289">
        <v>0.46145192150404435</v>
      </c>
    </row>
    <row r="290" spans="1:2">
      <c r="A290">
        <v>0.45454275537957445</v>
      </c>
      <c r="B290">
        <v>0.46118764210148666</v>
      </c>
    </row>
    <row r="291" spans="1:2">
      <c r="A291">
        <v>0.45457038335325928</v>
      </c>
      <c r="B291">
        <v>0.46495937283025313</v>
      </c>
    </row>
    <row r="292" spans="1:2">
      <c r="A292">
        <v>0.45463840963754631</v>
      </c>
      <c r="B292">
        <v>0.46239602839245209</v>
      </c>
    </row>
    <row r="293" spans="1:2">
      <c r="A293">
        <v>0.45474769596325282</v>
      </c>
      <c r="B293">
        <v>0.46008754846020194</v>
      </c>
    </row>
    <row r="294" spans="1:2">
      <c r="A294">
        <v>0.45484538467237245</v>
      </c>
      <c r="B294">
        <v>0.46285757779572978</v>
      </c>
    </row>
    <row r="295" spans="1:2">
      <c r="A295">
        <v>0.45484767025492367</v>
      </c>
      <c r="B295">
        <v>0.46337802001910766</v>
      </c>
    </row>
    <row r="296" spans="1:2">
      <c r="A296">
        <v>0.45527261633804639</v>
      </c>
      <c r="B296">
        <v>0.46285853351287121</v>
      </c>
    </row>
    <row r="297" spans="1:2">
      <c r="A297">
        <v>0.45536906453893189</v>
      </c>
      <c r="B297">
        <v>0.46476302545987491</v>
      </c>
    </row>
    <row r="298" spans="1:2">
      <c r="A298">
        <v>0.45602736367268359</v>
      </c>
      <c r="B298">
        <v>0.46902304539818962</v>
      </c>
    </row>
    <row r="299" spans="1:2">
      <c r="A299">
        <v>0.45612477103887017</v>
      </c>
      <c r="B299">
        <v>0.45961967365762146</v>
      </c>
    </row>
    <row r="300" spans="1:2">
      <c r="A300">
        <v>0.45618998832236579</v>
      </c>
      <c r="B300">
        <v>0.46825804096594392</v>
      </c>
    </row>
    <row r="301" spans="1:2">
      <c r="A301">
        <v>0.45624269899109682</v>
      </c>
      <c r="B301">
        <v>0.4509467424289586</v>
      </c>
    </row>
    <row r="302" spans="1:2">
      <c r="A302">
        <v>0.45656848073269274</v>
      </c>
      <c r="B302">
        <v>0.45852980511267305</v>
      </c>
    </row>
    <row r="303" spans="1:2">
      <c r="A303">
        <v>0.45666764560139605</v>
      </c>
      <c r="B303">
        <v>0.46066481010908311</v>
      </c>
    </row>
    <row r="304" spans="1:2">
      <c r="A304">
        <v>0.45671733618526444</v>
      </c>
      <c r="B304">
        <v>0.46133156431249578</v>
      </c>
    </row>
    <row r="305" spans="1:2">
      <c r="A305">
        <v>0.45675924611132146</v>
      </c>
      <c r="B305">
        <v>0.46694553918339077</v>
      </c>
    </row>
    <row r="306" spans="1:2">
      <c r="A306">
        <v>0.45687782378367081</v>
      </c>
      <c r="B306">
        <v>0.46287667986695924</v>
      </c>
    </row>
    <row r="307" spans="1:2">
      <c r="A307">
        <v>0.45698078339468096</v>
      </c>
      <c r="B307">
        <v>0.47555507736536229</v>
      </c>
    </row>
    <row r="308" spans="1:2">
      <c r="A308">
        <v>0.45706513189799614</v>
      </c>
      <c r="B308">
        <v>0.46789789929178149</v>
      </c>
    </row>
    <row r="309" spans="1:2">
      <c r="A309">
        <v>0.45710307083946677</v>
      </c>
      <c r="B309">
        <v>0.46553241402872447</v>
      </c>
    </row>
    <row r="310" spans="1:2">
      <c r="A310">
        <v>0.45711030877323044</v>
      </c>
      <c r="B310">
        <v>0.46602981586935732</v>
      </c>
    </row>
    <row r="311" spans="1:2">
      <c r="A311">
        <v>0.45738041346953384</v>
      </c>
      <c r="B311">
        <v>0.46164644527377696</v>
      </c>
    </row>
    <row r="312" spans="1:2">
      <c r="A312">
        <v>0.45745867065137136</v>
      </c>
      <c r="B312">
        <v>0.46332207907472167</v>
      </c>
    </row>
    <row r="313" spans="1:2">
      <c r="A313">
        <v>0.45760795656975095</v>
      </c>
      <c r="B313">
        <v>0.46728562618361413</v>
      </c>
    </row>
    <row r="314" spans="1:2">
      <c r="A314">
        <v>0.45775736708292414</v>
      </c>
      <c r="B314">
        <v>0.46496321217010017</v>
      </c>
    </row>
    <row r="315" spans="1:2">
      <c r="A315">
        <v>0.4582353830678132</v>
      </c>
      <c r="B315">
        <v>0.47074618212337316</v>
      </c>
    </row>
    <row r="316" spans="1:2">
      <c r="A316">
        <v>0.45864354153011644</v>
      </c>
      <c r="B316">
        <v>0.45237482636541593</v>
      </c>
    </row>
    <row r="317" spans="1:2">
      <c r="A317">
        <v>0.45886027877943758</v>
      </c>
      <c r="B317">
        <v>0.46682070560713051</v>
      </c>
    </row>
    <row r="318" spans="1:2">
      <c r="A318">
        <v>0.45895389774582862</v>
      </c>
      <c r="B318">
        <v>0.4697294097702468</v>
      </c>
    </row>
    <row r="319" spans="1:2">
      <c r="A319">
        <v>0.45896081662642896</v>
      </c>
      <c r="B319">
        <v>0.45337232306269282</v>
      </c>
    </row>
    <row r="320" spans="1:2">
      <c r="A320">
        <v>0.45900859108520342</v>
      </c>
      <c r="B320">
        <v>0.46215260654169177</v>
      </c>
    </row>
    <row r="321" spans="1:2">
      <c r="A321">
        <v>0.45922105547398484</v>
      </c>
      <c r="B321">
        <v>0.46467601355843569</v>
      </c>
    </row>
    <row r="322" spans="1:2">
      <c r="A322">
        <v>0.45960745245316514</v>
      </c>
      <c r="B322">
        <v>0.46399831052468021</v>
      </c>
    </row>
    <row r="323" spans="1:2">
      <c r="A323">
        <v>0.45971862336380931</v>
      </c>
      <c r="B323">
        <v>0.46134078295189784</v>
      </c>
    </row>
    <row r="324" spans="1:2">
      <c r="A324">
        <v>0.4599173436974705</v>
      </c>
      <c r="B324">
        <v>0.47388509205227414</v>
      </c>
    </row>
    <row r="325" spans="1:2">
      <c r="A325">
        <v>0.46004698552008838</v>
      </c>
      <c r="B325">
        <v>0.46889468580275073</v>
      </c>
    </row>
    <row r="326" spans="1:2">
      <c r="A326">
        <v>0.46025629894368669</v>
      </c>
      <c r="B326">
        <v>0.46852673085608565</v>
      </c>
    </row>
    <row r="327" spans="1:2">
      <c r="A327">
        <v>0.4605980706111733</v>
      </c>
      <c r="B327">
        <v>0.46187754136696224</v>
      </c>
    </row>
    <row r="328" spans="1:2">
      <c r="A328">
        <v>0.46079626168131915</v>
      </c>
      <c r="B328">
        <v>0.46617102714496761</v>
      </c>
    </row>
    <row r="329" spans="1:2">
      <c r="A329">
        <v>0.46107685006835286</v>
      </c>
      <c r="B329">
        <v>0.46860931281123352</v>
      </c>
    </row>
    <row r="330" spans="1:2">
      <c r="A330">
        <v>0.46122560147624503</v>
      </c>
      <c r="B330">
        <v>0.46800572863687151</v>
      </c>
    </row>
    <row r="331" spans="1:2">
      <c r="A331">
        <v>0.46159952337775922</v>
      </c>
      <c r="B331">
        <v>0.46763043181417585</v>
      </c>
    </row>
    <row r="332" spans="1:2">
      <c r="A332">
        <v>0.46184020260017389</v>
      </c>
      <c r="B332">
        <v>0.46636769955657609</v>
      </c>
    </row>
    <row r="333" spans="1:2">
      <c r="A333">
        <v>0.4619970895698059</v>
      </c>
      <c r="B333">
        <v>0.47064587903562738</v>
      </c>
    </row>
    <row r="334" spans="1:2">
      <c r="A334">
        <v>0.46233951452443123</v>
      </c>
      <c r="B334">
        <v>0.4644131956261196</v>
      </c>
    </row>
    <row r="335" spans="1:2">
      <c r="A335">
        <v>0.46278803592785001</v>
      </c>
      <c r="B335">
        <v>0.46958440592880346</v>
      </c>
    </row>
    <row r="336" spans="1:2">
      <c r="A336">
        <v>0.46279280213957341</v>
      </c>
      <c r="B336">
        <v>0.46708025555318322</v>
      </c>
    </row>
    <row r="337" spans="1:2">
      <c r="A337">
        <v>0.46317431346273152</v>
      </c>
      <c r="B337">
        <v>0.4622230107633768</v>
      </c>
    </row>
    <row r="338" spans="1:2">
      <c r="A338">
        <v>0.46331220658808248</v>
      </c>
      <c r="B338">
        <v>0.47722499384305184</v>
      </c>
    </row>
    <row r="339" spans="1:2">
      <c r="A339">
        <v>0.46334516604938036</v>
      </c>
      <c r="B339">
        <v>0.47924244648255654</v>
      </c>
    </row>
    <row r="340" spans="1:2">
      <c r="A340">
        <v>0.46349273843072725</v>
      </c>
      <c r="B340">
        <v>0.47291448272234204</v>
      </c>
    </row>
    <row r="341" spans="1:2">
      <c r="A341">
        <v>0.46382441399716579</v>
      </c>
      <c r="B341">
        <v>0.46485766720665211</v>
      </c>
    </row>
    <row r="342" spans="1:2">
      <c r="A342">
        <v>0.46411059864818649</v>
      </c>
      <c r="B342">
        <v>0.47154565254932979</v>
      </c>
    </row>
    <row r="343" spans="1:2">
      <c r="A343">
        <v>0.46429406081371116</v>
      </c>
      <c r="B343">
        <v>0.46827662830719441</v>
      </c>
    </row>
    <row r="344" spans="1:2">
      <c r="A344">
        <v>0.46451075165650746</v>
      </c>
      <c r="B344">
        <v>0.48203017069740806</v>
      </c>
    </row>
    <row r="345" spans="1:2">
      <c r="A345">
        <v>0.46466702171804752</v>
      </c>
      <c r="B345">
        <v>0.46710603620403424</v>
      </c>
    </row>
    <row r="346" spans="1:2">
      <c r="A346">
        <v>0.46492403279687533</v>
      </c>
      <c r="B346">
        <v>0.47964943240794133</v>
      </c>
    </row>
    <row r="347" spans="1:2">
      <c r="A347">
        <v>0.46533963558609814</v>
      </c>
      <c r="B347">
        <v>0.47452637462655201</v>
      </c>
    </row>
    <row r="348" spans="1:2">
      <c r="A348">
        <v>0.46557139030969064</v>
      </c>
      <c r="B348">
        <v>0.47356431681023881</v>
      </c>
    </row>
    <row r="349" spans="1:2">
      <c r="A349">
        <v>0.46574284421494572</v>
      </c>
      <c r="B349">
        <v>0.47643948512073864</v>
      </c>
    </row>
    <row r="350" spans="1:2">
      <c r="A350">
        <v>0.46605876976913152</v>
      </c>
      <c r="B350">
        <v>0.47259467338011307</v>
      </c>
    </row>
    <row r="351" spans="1:2">
      <c r="A351">
        <v>0.46657725310734954</v>
      </c>
      <c r="B351">
        <v>0.47744128926391316</v>
      </c>
    </row>
    <row r="352" spans="1:2">
      <c r="A352">
        <v>0.46669654471307764</v>
      </c>
      <c r="B352">
        <v>0.48174302193787388</v>
      </c>
    </row>
    <row r="353" spans="1:2">
      <c r="A353">
        <v>0.4671237796590465</v>
      </c>
      <c r="B353">
        <v>0.47657953200927672</v>
      </c>
    </row>
    <row r="354" spans="1:2">
      <c r="A354">
        <v>0.46723083584643954</v>
      </c>
      <c r="B354">
        <v>0.4691149179837879</v>
      </c>
    </row>
    <row r="355" spans="1:2">
      <c r="A355">
        <v>0.46734796969136871</v>
      </c>
      <c r="B355">
        <v>0.47766137293381705</v>
      </c>
    </row>
    <row r="356" spans="1:2">
      <c r="A356">
        <v>0.46737652627589821</v>
      </c>
      <c r="B356">
        <v>0.46827082796767072</v>
      </c>
    </row>
    <row r="357" spans="1:2">
      <c r="A357">
        <v>0.46750201702797067</v>
      </c>
      <c r="B357">
        <v>0.48454616822902163</v>
      </c>
    </row>
    <row r="358" spans="1:2">
      <c r="A358">
        <v>0.46752512742322216</v>
      </c>
      <c r="B358">
        <v>0.48488283504248886</v>
      </c>
    </row>
    <row r="359" spans="1:2">
      <c r="A359">
        <v>0.46757601868040022</v>
      </c>
      <c r="B359">
        <v>0.47662650344578905</v>
      </c>
    </row>
    <row r="360" spans="1:2">
      <c r="A360">
        <v>0.46844376406450849</v>
      </c>
      <c r="B360">
        <v>0.48051011265724775</v>
      </c>
    </row>
    <row r="361" spans="1:2">
      <c r="A361">
        <v>0.46854571625046237</v>
      </c>
      <c r="B361">
        <v>0.47753551485259715</v>
      </c>
    </row>
    <row r="362" spans="1:2">
      <c r="A362">
        <v>0.46870216110724117</v>
      </c>
      <c r="B362">
        <v>0.47567251404840838</v>
      </c>
    </row>
    <row r="363" spans="1:2">
      <c r="A363">
        <v>0.46883949262516</v>
      </c>
      <c r="B363">
        <v>0.47221577640859391</v>
      </c>
    </row>
    <row r="364" spans="1:2">
      <c r="A364">
        <v>0.46898085123965982</v>
      </c>
      <c r="B364">
        <v>0.48503164143495758</v>
      </c>
    </row>
    <row r="365" spans="1:2">
      <c r="A365">
        <v>0.46945855207516085</v>
      </c>
      <c r="B365">
        <v>0.4852897537314842</v>
      </c>
    </row>
    <row r="366" spans="1:2">
      <c r="A366">
        <v>0.46971465547226343</v>
      </c>
      <c r="B366">
        <v>0.47538202451690104</v>
      </c>
    </row>
    <row r="367" spans="1:2">
      <c r="A367">
        <v>0.47035037940606905</v>
      </c>
      <c r="B367">
        <v>0.46741988371289234</v>
      </c>
    </row>
    <row r="368" spans="1:2">
      <c r="A368">
        <v>0.4706534597944515</v>
      </c>
      <c r="B368">
        <v>0.47638888343549868</v>
      </c>
    </row>
    <row r="369" spans="1:2">
      <c r="A369">
        <v>0.4706777416613892</v>
      </c>
      <c r="B369">
        <v>0.48028274944271565</v>
      </c>
    </row>
    <row r="370" spans="1:2">
      <c r="A370">
        <v>0.47107399005481465</v>
      </c>
      <c r="B370">
        <v>0.48127095715421153</v>
      </c>
    </row>
    <row r="371" spans="1:2">
      <c r="A371">
        <v>0.47109836075882172</v>
      </c>
      <c r="B371">
        <v>0.48110752724865569</v>
      </c>
    </row>
    <row r="372" spans="1:2">
      <c r="A372">
        <v>0.47120450776724487</v>
      </c>
      <c r="B372">
        <v>0.49642871617204953</v>
      </c>
    </row>
    <row r="373" spans="1:2">
      <c r="A373">
        <v>0.47127027032740409</v>
      </c>
      <c r="B373">
        <v>0.47018952612865972</v>
      </c>
    </row>
    <row r="374" spans="1:2">
      <c r="A374">
        <v>0.47147874243984111</v>
      </c>
      <c r="B374">
        <v>0.49354491753632335</v>
      </c>
    </row>
    <row r="375" spans="1:2">
      <c r="A375">
        <v>0.47156514688240136</v>
      </c>
      <c r="B375">
        <v>0.48419159733928796</v>
      </c>
    </row>
    <row r="376" spans="1:2">
      <c r="A376">
        <v>0.47173386646387416</v>
      </c>
      <c r="B376">
        <v>0.47719457448268587</v>
      </c>
    </row>
    <row r="377" spans="1:2">
      <c r="A377">
        <v>0.47187663320470274</v>
      </c>
      <c r="B377">
        <v>0.4829396374931908</v>
      </c>
    </row>
    <row r="378" spans="1:2">
      <c r="A378">
        <v>0.4719976952424062</v>
      </c>
      <c r="B378">
        <v>0.48350135732458188</v>
      </c>
    </row>
    <row r="379" spans="1:2">
      <c r="A379">
        <v>0.47207282624342306</v>
      </c>
      <c r="B379">
        <v>0.47777604144347174</v>
      </c>
    </row>
    <row r="380" spans="1:2">
      <c r="A380">
        <v>0.47285197321813799</v>
      </c>
      <c r="B380">
        <v>0.48796338359315117</v>
      </c>
    </row>
    <row r="381" spans="1:2">
      <c r="A381">
        <v>0.47319767738386953</v>
      </c>
      <c r="B381">
        <v>0.47513898130963006</v>
      </c>
    </row>
    <row r="382" spans="1:2">
      <c r="A382">
        <v>0.4733958546410264</v>
      </c>
      <c r="B382">
        <v>0.48339102293940461</v>
      </c>
    </row>
    <row r="383" spans="1:2">
      <c r="A383">
        <v>0.47349793242107019</v>
      </c>
      <c r="B383">
        <v>0.47789240233173824</v>
      </c>
    </row>
    <row r="384" spans="1:2">
      <c r="A384">
        <v>0.47356364083431224</v>
      </c>
      <c r="B384">
        <v>0.47593968273107834</v>
      </c>
    </row>
    <row r="385" spans="1:2">
      <c r="A385">
        <v>0.47394719937594731</v>
      </c>
      <c r="B385">
        <v>0.48968630891513676</v>
      </c>
    </row>
    <row r="386" spans="1:2">
      <c r="A386">
        <v>0.47397834605030154</v>
      </c>
      <c r="B386">
        <v>0.48494646993903245</v>
      </c>
    </row>
    <row r="387" spans="1:2">
      <c r="A387">
        <v>0.4740190874775374</v>
      </c>
      <c r="B387">
        <v>0.48506095644698599</v>
      </c>
    </row>
    <row r="388" spans="1:2">
      <c r="A388">
        <v>0.47416112899789864</v>
      </c>
      <c r="B388">
        <v>0.48569987627641431</v>
      </c>
    </row>
    <row r="389" spans="1:2">
      <c r="A389">
        <v>0.47429249221549774</v>
      </c>
      <c r="B389">
        <v>0.47730155383383721</v>
      </c>
    </row>
    <row r="390" spans="1:2">
      <c r="A390">
        <v>0.47429445122756597</v>
      </c>
      <c r="B390">
        <v>0.47872888005706016</v>
      </c>
    </row>
    <row r="391" spans="1:2">
      <c r="A391">
        <v>0.47457285001347727</v>
      </c>
      <c r="B391">
        <v>0.48540890675512705</v>
      </c>
    </row>
    <row r="392" spans="1:2">
      <c r="A392">
        <v>0.4747224589776432</v>
      </c>
      <c r="B392">
        <v>0.48445041736211703</v>
      </c>
    </row>
    <row r="393" spans="1:2">
      <c r="A393">
        <v>0.47476513774564921</v>
      </c>
      <c r="B393">
        <v>0.4854416566225277</v>
      </c>
    </row>
    <row r="394" spans="1:2">
      <c r="A394">
        <v>0.47477165646283215</v>
      </c>
      <c r="B394">
        <v>0.48627271655644821</v>
      </c>
    </row>
    <row r="395" spans="1:2">
      <c r="A395">
        <v>0.47492107888986834</v>
      </c>
      <c r="B395">
        <v>0.48322490677549379</v>
      </c>
    </row>
    <row r="396" spans="1:2">
      <c r="A396">
        <v>0.47496352430186461</v>
      </c>
      <c r="B396">
        <v>0.48051482699908021</v>
      </c>
    </row>
    <row r="397" spans="1:2">
      <c r="A397">
        <v>0.47546806800003905</v>
      </c>
      <c r="B397">
        <v>0.48431027337168753</v>
      </c>
    </row>
    <row r="398" spans="1:2">
      <c r="A398">
        <v>0.47597394389749859</v>
      </c>
      <c r="B398">
        <v>0.4818958952909751</v>
      </c>
    </row>
    <row r="399" spans="1:2">
      <c r="A399">
        <v>0.47598522594986559</v>
      </c>
      <c r="B399">
        <v>0.48415832534548486</v>
      </c>
    </row>
    <row r="400" spans="1:2">
      <c r="A400">
        <v>0.47610083655132984</v>
      </c>
      <c r="B400">
        <v>0.48080075146942725</v>
      </c>
    </row>
    <row r="401" spans="1:2">
      <c r="A401">
        <v>0.47620598602115183</v>
      </c>
      <c r="B401">
        <v>0.49525499796097694</v>
      </c>
    </row>
    <row r="402" spans="1:2">
      <c r="A402">
        <v>0.47628024384797596</v>
      </c>
      <c r="B402">
        <v>0.49836379553671861</v>
      </c>
    </row>
    <row r="403" spans="1:2">
      <c r="A403">
        <v>0.47635274928211724</v>
      </c>
      <c r="B403">
        <v>0.4966085831860676</v>
      </c>
    </row>
    <row r="404" spans="1:2">
      <c r="A404">
        <v>0.47660647731158479</v>
      </c>
      <c r="B404">
        <v>0.48579513844631139</v>
      </c>
    </row>
    <row r="405" spans="1:2">
      <c r="A405">
        <v>0.47662823525807674</v>
      </c>
      <c r="B405">
        <v>0.49168659648669577</v>
      </c>
    </row>
    <row r="406" spans="1:2">
      <c r="A406">
        <v>0.4767716417816068</v>
      </c>
      <c r="B406">
        <v>0.48567045025622513</v>
      </c>
    </row>
    <row r="407" spans="1:2">
      <c r="A407">
        <v>0.47708179014506991</v>
      </c>
      <c r="B407">
        <v>0.48407718545021683</v>
      </c>
    </row>
    <row r="408" spans="1:2">
      <c r="A408">
        <v>0.47709006507675999</v>
      </c>
      <c r="B408">
        <v>0.48501581097616042</v>
      </c>
    </row>
    <row r="409" spans="1:2">
      <c r="A409">
        <v>0.47728844057262731</v>
      </c>
      <c r="B409">
        <v>0.48798502724769288</v>
      </c>
    </row>
    <row r="410" spans="1:2">
      <c r="A410">
        <v>0.47765556710300339</v>
      </c>
      <c r="B410">
        <v>0.48775674149247616</v>
      </c>
    </row>
    <row r="411" spans="1:2">
      <c r="A411">
        <v>0.47765691252647913</v>
      </c>
      <c r="B411">
        <v>0.48978117563923618</v>
      </c>
    </row>
    <row r="412" spans="1:2">
      <c r="A412">
        <v>0.47766406284621754</v>
      </c>
      <c r="B412">
        <v>0.4850256205400143</v>
      </c>
    </row>
    <row r="413" spans="1:2">
      <c r="A413">
        <v>0.47766672972409574</v>
      </c>
      <c r="B413">
        <v>0.48871796734868489</v>
      </c>
    </row>
    <row r="414" spans="1:2">
      <c r="A414">
        <v>0.47771633322628848</v>
      </c>
      <c r="B414">
        <v>0.48259638267689786</v>
      </c>
    </row>
    <row r="415" spans="1:2">
      <c r="A415">
        <v>0.4779002649505707</v>
      </c>
      <c r="B415">
        <v>0.48905577956999513</v>
      </c>
    </row>
    <row r="416" spans="1:2">
      <c r="A416">
        <v>0.47794827108226368</v>
      </c>
      <c r="B416">
        <v>0.48334992940472288</v>
      </c>
    </row>
    <row r="417" spans="1:2">
      <c r="A417">
        <v>0.47801190565843432</v>
      </c>
      <c r="B417">
        <v>0.48548878788085426</v>
      </c>
    </row>
    <row r="418" spans="1:2">
      <c r="A418">
        <v>0.47827696600998482</v>
      </c>
      <c r="B418">
        <v>0.48773506102493513</v>
      </c>
    </row>
    <row r="419" spans="1:2">
      <c r="A419">
        <v>0.47870697615668267</v>
      </c>
      <c r="B419">
        <v>0.48574372410876121</v>
      </c>
    </row>
    <row r="420" spans="1:2">
      <c r="A420">
        <v>0.47873336777613584</v>
      </c>
      <c r="B420">
        <v>0.49045467047483682</v>
      </c>
    </row>
    <row r="421" spans="1:2">
      <c r="A421">
        <v>0.47876440293566636</v>
      </c>
      <c r="B421">
        <v>0.48754409843332502</v>
      </c>
    </row>
    <row r="422" spans="1:2">
      <c r="A422">
        <v>0.47920496340035579</v>
      </c>
      <c r="B422">
        <v>0.49578959548473034</v>
      </c>
    </row>
    <row r="423" spans="1:2">
      <c r="A423">
        <v>0.47930529532298027</v>
      </c>
      <c r="B423">
        <v>0.48240618840204552</v>
      </c>
    </row>
    <row r="424" spans="1:2">
      <c r="A424">
        <v>0.47938902177549469</v>
      </c>
      <c r="B424">
        <v>0.48777501517972244</v>
      </c>
    </row>
    <row r="425" spans="1:2">
      <c r="A425">
        <v>0.47947506247223048</v>
      </c>
      <c r="B425">
        <v>0.49038058555327135</v>
      </c>
    </row>
    <row r="426" spans="1:2">
      <c r="A426">
        <v>0.47968959910990783</v>
      </c>
      <c r="B426">
        <v>0.4957937206658215</v>
      </c>
    </row>
    <row r="427" spans="1:2">
      <c r="A427">
        <v>0.47983980848922647</v>
      </c>
      <c r="B427">
        <v>0.48343707327043128</v>
      </c>
    </row>
    <row r="428" spans="1:2">
      <c r="A428">
        <v>0.47993845224427589</v>
      </c>
      <c r="B428">
        <v>0.48861904034560089</v>
      </c>
    </row>
    <row r="429" spans="1:2">
      <c r="A429">
        <v>0.4799725465684781</v>
      </c>
      <c r="B429">
        <v>0.48527479663290363</v>
      </c>
    </row>
    <row r="430" spans="1:2">
      <c r="A430">
        <v>0.4800624095301611</v>
      </c>
      <c r="B430">
        <v>0.48815363926327049</v>
      </c>
    </row>
    <row r="431" spans="1:2">
      <c r="A431">
        <v>0.48016127451752821</v>
      </c>
      <c r="B431">
        <v>0.49222449924916867</v>
      </c>
    </row>
    <row r="432" spans="1:2">
      <c r="A432">
        <v>0.48037616163669072</v>
      </c>
      <c r="B432">
        <v>0.48348799229298034</v>
      </c>
    </row>
    <row r="433" spans="1:2">
      <c r="A433">
        <v>0.48057714769811155</v>
      </c>
      <c r="B433">
        <v>0.48728848964055593</v>
      </c>
    </row>
    <row r="434" spans="1:2">
      <c r="A434">
        <v>0.48061251353995782</v>
      </c>
      <c r="B434">
        <v>0.4881310219662599</v>
      </c>
    </row>
    <row r="435" spans="1:2">
      <c r="A435">
        <v>0.48097182303586272</v>
      </c>
      <c r="B435">
        <v>0.48296409790510209</v>
      </c>
    </row>
    <row r="436" spans="1:2">
      <c r="A436">
        <v>0.48104505772609596</v>
      </c>
      <c r="B436">
        <v>0.4538248136696349</v>
      </c>
    </row>
    <row r="437" spans="1:2">
      <c r="A437">
        <v>0.48108869010282163</v>
      </c>
      <c r="B437">
        <v>0.49224154213801574</v>
      </c>
    </row>
    <row r="438" spans="1:2">
      <c r="A438">
        <v>0.48142493446783574</v>
      </c>
      <c r="B438">
        <v>0.49292207452434378</v>
      </c>
    </row>
    <row r="439" spans="1:2">
      <c r="A439">
        <v>0.48144908083407489</v>
      </c>
      <c r="B439">
        <v>0.49133100913083627</v>
      </c>
    </row>
    <row r="440" spans="1:2">
      <c r="A440">
        <v>0.48170023150833485</v>
      </c>
      <c r="B440">
        <v>0.49257712146712951</v>
      </c>
    </row>
    <row r="441" spans="1:2">
      <c r="A441">
        <v>0.48170935703913109</v>
      </c>
      <c r="B441">
        <v>0.49499946842021791</v>
      </c>
    </row>
    <row r="442" spans="1:2">
      <c r="A442">
        <v>0.48175662814820608</v>
      </c>
      <c r="B442">
        <v>0.48576778949206811</v>
      </c>
    </row>
    <row r="443" spans="1:2">
      <c r="A443">
        <v>0.48190580798968796</v>
      </c>
      <c r="B443">
        <v>0.48967787644089955</v>
      </c>
    </row>
    <row r="444" spans="1:2">
      <c r="A444">
        <v>0.48217890750224957</v>
      </c>
      <c r="B444">
        <v>0.48541046984656866</v>
      </c>
    </row>
    <row r="445" spans="1:2">
      <c r="A445">
        <v>0.48236829003302739</v>
      </c>
      <c r="B445">
        <v>0.48505069551668656</v>
      </c>
    </row>
    <row r="446" spans="1:2">
      <c r="A446">
        <v>0.48274269352001864</v>
      </c>
      <c r="B446">
        <v>0.49272896176606107</v>
      </c>
    </row>
    <row r="447" spans="1:2">
      <c r="A447">
        <v>0.48284314260170402</v>
      </c>
      <c r="B447">
        <v>0.48884877062473397</v>
      </c>
    </row>
    <row r="448" spans="1:2">
      <c r="A448">
        <v>0.48285360276761402</v>
      </c>
      <c r="B448">
        <v>0.49379212548255469</v>
      </c>
    </row>
    <row r="449" spans="1:2">
      <c r="A449">
        <v>0.48301639255049467</v>
      </c>
      <c r="B449">
        <v>0.49259786623869473</v>
      </c>
    </row>
    <row r="450" spans="1:2">
      <c r="A450">
        <v>0.48326619353883871</v>
      </c>
      <c r="B450">
        <v>0.49320406367890623</v>
      </c>
    </row>
    <row r="451" spans="1:2">
      <c r="A451">
        <v>0.48331589321602342</v>
      </c>
      <c r="B451">
        <v>0.50159492640632342</v>
      </c>
    </row>
    <row r="452" spans="1:2">
      <c r="A452">
        <v>0.48446499228495998</v>
      </c>
      <c r="B452">
        <v>0.48086372009669953</v>
      </c>
    </row>
    <row r="453" spans="1:2">
      <c r="A453">
        <v>0.484563506324867</v>
      </c>
      <c r="B453">
        <v>0.49697317377340933</v>
      </c>
    </row>
    <row r="454" spans="1:2">
      <c r="A454">
        <v>0.48458988600007258</v>
      </c>
      <c r="B454">
        <v>0.48553240830293398</v>
      </c>
    </row>
    <row r="455" spans="1:2">
      <c r="A455">
        <v>0.48494864449796304</v>
      </c>
      <c r="B455">
        <v>0.4877802463732509</v>
      </c>
    </row>
    <row r="456" spans="1:2">
      <c r="A456">
        <v>0.48536202611836654</v>
      </c>
      <c r="B456">
        <v>0.49699410471219141</v>
      </c>
    </row>
    <row r="457" spans="1:2">
      <c r="A457">
        <v>0.48550728193173354</v>
      </c>
      <c r="B457">
        <v>0.50406656314839349</v>
      </c>
    </row>
    <row r="458" spans="1:2">
      <c r="A458">
        <v>0.48563935696295746</v>
      </c>
      <c r="B458">
        <v>0.4968672533077314</v>
      </c>
    </row>
    <row r="459" spans="1:2">
      <c r="A459">
        <v>0.48601359132243172</v>
      </c>
      <c r="B459">
        <v>0.49269207731762621</v>
      </c>
    </row>
    <row r="460" spans="1:2">
      <c r="A460">
        <v>0.48604423980530331</v>
      </c>
      <c r="B460">
        <v>0.49423622010232815</v>
      </c>
    </row>
    <row r="461" spans="1:2">
      <c r="A461">
        <v>0.48604937934025394</v>
      </c>
      <c r="B461">
        <v>0.4951114670268818</v>
      </c>
    </row>
    <row r="462" spans="1:2">
      <c r="A462">
        <v>0.4862577027823608</v>
      </c>
      <c r="B462">
        <v>0.49811916167487247</v>
      </c>
    </row>
    <row r="463" spans="1:2">
      <c r="A463">
        <v>0.48627355623559643</v>
      </c>
      <c r="B463">
        <v>0.49092698997467554</v>
      </c>
    </row>
    <row r="464" spans="1:2">
      <c r="A464">
        <v>0.48663081450260315</v>
      </c>
      <c r="B464">
        <v>0.49710318571534862</v>
      </c>
    </row>
    <row r="465" spans="1:2">
      <c r="A465">
        <v>0.48690988718371497</v>
      </c>
      <c r="B465">
        <v>0.49198916586534336</v>
      </c>
    </row>
    <row r="466" spans="1:2">
      <c r="A466">
        <v>0.48724805903343615</v>
      </c>
      <c r="B466">
        <v>0.4961008675422629</v>
      </c>
    </row>
    <row r="467" spans="1:2">
      <c r="A467">
        <v>0.4876857071574483</v>
      </c>
      <c r="B467">
        <v>0.49421984832089794</v>
      </c>
    </row>
    <row r="468" spans="1:2">
      <c r="A468">
        <v>0.48770692603455723</v>
      </c>
      <c r="B468">
        <v>0.50702203740790319</v>
      </c>
    </row>
    <row r="469" spans="1:2">
      <c r="A469">
        <v>0.48773628313945316</v>
      </c>
      <c r="B469">
        <v>0.50054470194104173</v>
      </c>
    </row>
    <row r="470" spans="1:2">
      <c r="A470">
        <v>0.48796058221215355</v>
      </c>
      <c r="B470">
        <v>0.49949354147549141</v>
      </c>
    </row>
    <row r="471" spans="1:2">
      <c r="A471">
        <v>0.48862139895848045</v>
      </c>
      <c r="B471">
        <v>0.49688745056033268</v>
      </c>
    </row>
    <row r="472" spans="1:2">
      <c r="A472">
        <v>0.48918045777286689</v>
      </c>
      <c r="B472">
        <v>0.49388332719598804</v>
      </c>
    </row>
    <row r="473" spans="1:2">
      <c r="A473">
        <v>0.48921593529124008</v>
      </c>
      <c r="B473">
        <v>0.49206732111855411</v>
      </c>
    </row>
    <row r="474" spans="1:2">
      <c r="A474">
        <v>0.48978934611942981</v>
      </c>
      <c r="B474">
        <v>0.51110928912928577</v>
      </c>
    </row>
    <row r="475" spans="1:2">
      <c r="A475">
        <v>0.48988469108507249</v>
      </c>
      <c r="B475">
        <v>0.49658563243210718</v>
      </c>
    </row>
    <row r="476" spans="1:2">
      <c r="A476">
        <v>0.49016160631779859</v>
      </c>
      <c r="B476">
        <v>0.50323513596086933</v>
      </c>
    </row>
    <row r="477" spans="1:2">
      <c r="A477">
        <v>0.49034949167502995</v>
      </c>
      <c r="B477">
        <v>0.49294409785711979</v>
      </c>
    </row>
    <row r="478" spans="1:2">
      <c r="A478">
        <v>0.49072028300595483</v>
      </c>
      <c r="B478">
        <v>0.49438752013553844</v>
      </c>
    </row>
    <row r="479" spans="1:2">
      <c r="A479">
        <v>0.49096273987423622</v>
      </c>
      <c r="B479">
        <v>0.50093376782443344</v>
      </c>
    </row>
    <row r="480" spans="1:2">
      <c r="A480">
        <v>0.49109694019305039</v>
      </c>
      <c r="B480">
        <v>0.50090968545998926</v>
      </c>
    </row>
    <row r="481" spans="1:2">
      <c r="A481">
        <v>0.49134021762834568</v>
      </c>
      <c r="B481">
        <v>0.49901784734296206</v>
      </c>
    </row>
    <row r="482" spans="1:2">
      <c r="A482">
        <v>0.49135993187055071</v>
      </c>
      <c r="B482">
        <v>0.50505770406170392</v>
      </c>
    </row>
    <row r="483" spans="1:2">
      <c r="A483">
        <v>0.49158196502846063</v>
      </c>
      <c r="B483">
        <v>0.5014783991893067</v>
      </c>
    </row>
    <row r="484" spans="1:2">
      <c r="A484">
        <v>0.49166134553187402</v>
      </c>
      <c r="B484">
        <v>0.49597223310345562</v>
      </c>
    </row>
    <row r="485" spans="1:2">
      <c r="A485">
        <v>0.4919502224850193</v>
      </c>
      <c r="B485">
        <v>0.50074986638178887</v>
      </c>
    </row>
    <row r="486" spans="1:2">
      <c r="A486">
        <v>0.49251425808827587</v>
      </c>
      <c r="B486">
        <v>0.50928406417916083</v>
      </c>
    </row>
    <row r="487" spans="1:2">
      <c r="A487">
        <v>0.49326467071068769</v>
      </c>
      <c r="B487">
        <v>0.50302115445276208</v>
      </c>
    </row>
    <row r="488" spans="1:2">
      <c r="A488">
        <v>0.49330571254119171</v>
      </c>
      <c r="B488">
        <v>0.50510207348529435</v>
      </c>
    </row>
    <row r="489" spans="1:2">
      <c r="A489">
        <v>0.49342473351894611</v>
      </c>
      <c r="B489">
        <v>0.50328005097257311</v>
      </c>
    </row>
    <row r="490" spans="1:2">
      <c r="A490">
        <v>0.49351451762648157</v>
      </c>
      <c r="B490">
        <v>0.50953036759831827</v>
      </c>
    </row>
    <row r="491" spans="1:2">
      <c r="A491">
        <v>0.49373738454743654</v>
      </c>
      <c r="B491">
        <v>0.52103266858483899</v>
      </c>
    </row>
    <row r="492" spans="1:2">
      <c r="A492">
        <v>0.49381623184025791</v>
      </c>
      <c r="B492">
        <v>0.49757782031219389</v>
      </c>
    </row>
    <row r="493" spans="1:2">
      <c r="A493">
        <v>0.49412602300055009</v>
      </c>
      <c r="B493">
        <v>0.5005913985565299</v>
      </c>
    </row>
    <row r="494" spans="1:2">
      <c r="A494">
        <v>0.49452319291198366</v>
      </c>
      <c r="B494">
        <v>0.50212560864624201</v>
      </c>
    </row>
    <row r="495" spans="1:2">
      <c r="A495">
        <v>0.49454568690673406</v>
      </c>
      <c r="B495">
        <v>0.50036354756838153</v>
      </c>
    </row>
    <row r="496" spans="1:2">
      <c r="A496">
        <v>0.49489840438449195</v>
      </c>
      <c r="B496">
        <v>0.50660038831161147</v>
      </c>
    </row>
    <row r="497" spans="1:2">
      <c r="A497">
        <v>0.49490883369652727</v>
      </c>
      <c r="B497">
        <v>0.49979782577737453</v>
      </c>
    </row>
    <row r="498" spans="1:2">
      <c r="A498">
        <v>0.49515960777569312</v>
      </c>
      <c r="B498">
        <v>0.50034207908675876</v>
      </c>
    </row>
    <row r="499" spans="1:2">
      <c r="A499">
        <v>0.49522631921073279</v>
      </c>
      <c r="B499">
        <v>0.50648947559562729</v>
      </c>
    </row>
    <row r="500" spans="1:2">
      <c r="A500">
        <v>0.495415137165644</v>
      </c>
      <c r="B500">
        <v>0.50184517029575559</v>
      </c>
    </row>
    <row r="501" spans="1:2">
      <c r="A501">
        <v>0.49543165573864867</v>
      </c>
      <c r="B501">
        <v>0.50271732796829449</v>
      </c>
    </row>
    <row r="502" spans="1:2">
      <c r="A502">
        <v>0.49554465073286735</v>
      </c>
      <c r="B502">
        <v>0.51073456062515965</v>
      </c>
    </row>
    <row r="503" spans="1:2">
      <c r="A503">
        <v>0.49560686585734437</v>
      </c>
      <c r="B503">
        <v>0.50001400467683965</v>
      </c>
    </row>
    <row r="504" spans="1:2">
      <c r="A504">
        <v>0.49563281197912978</v>
      </c>
      <c r="B504">
        <v>0.50830180511811107</v>
      </c>
    </row>
    <row r="505" spans="1:2">
      <c r="A505">
        <v>0.49565323634262526</v>
      </c>
      <c r="B505">
        <v>0.50632723805315882</v>
      </c>
    </row>
    <row r="506" spans="1:2">
      <c r="A506">
        <v>0.49569063414213332</v>
      </c>
      <c r="B506">
        <v>0.50152387874427795</v>
      </c>
    </row>
    <row r="507" spans="1:2">
      <c r="A507">
        <v>0.49578855847453052</v>
      </c>
      <c r="B507">
        <v>0.50159300505923887</v>
      </c>
    </row>
    <row r="508" spans="1:2">
      <c r="A508">
        <v>0.49613638969576035</v>
      </c>
      <c r="B508">
        <v>0.50629232094032228</v>
      </c>
    </row>
    <row r="509" spans="1:2">
      <c r="A509">
        <v>0.49664320921477312</v>
      </c>
      <c r="B509">
        <v>0.50147126610051163</v>
      </c>
    </row>
    <row r="510" spans="1:2">
      <c r="A510">
        <v>0.49722701463875141</v>
      </c>
      <c r="B510">
        <v>0.50443425718380419</v>
      </c>
    </row>
    <row r="511" spans="1:2">
      <c r="A511">
        <v>0.49728061256935818</v>
      </c>
      <c r="B511">
        <v>0.51071403804864723</v>
      </c>
    </row>
    <row r="512" spans="1:2">
      <c r="A512">
        <v>0.49739140822689543</v>
      </c>
      <c r="B512">
        <v>0.50641675991443857</v>
      </c>
    </row>
    <row r="513" spans="1:2">
      <c r="A513">
        <v>0.49757624017169755</v>
      </c>
      <c r="B513">
        <v>0.51096474274239823</v>
      </c>
    </row>
    <row r="514" spans="1:2">
      <c r="A514">
        <v>0.49790046146564138</v>
      </c>
      <c r="B514">
        <v>0.49407003686023643</v>
      </c>
    </row>
    <row r="515" spans="1:2">
      <c r="A515">
        <v>0.49792085636303951</v>
      </c>
      <c r="B515">
        <v>0.50265718175493534</v>
      </c>
    </row>
    <row r="516" spans="1:2">
      <c r="A516">
        <v>0.49805645362567186</v>
      </c>
      <c r="B516">
        <v>0.49947962411333469</v>
      </c>
    </row>
    <row r="517" spans="1:2">
      <c r="A517">
        <v>0.49815313503489</v>
      </c>
      <c r="B517">
        <v>0.49843964434549137</v>
      </c>
    </row>
    <row r="518" spans="1:2">
      <c r="A518">
        <v>0.49862218465732033</v>
      </c>
      <c r="B518">
        <v>0.50857280039581954</v>
      </c>
    </row>
    <row r="519" spans="1:2">
      <c r="A519">
        <v>0.49885748972988897</v>
      </c>
      <c r="B519">
        <v>0.5061673747542349</v>
      </c>
    </row>
    <row r="520" spans="1:2">
      <c r="A520">
        <v>0.49912699019290308</v>
      </c>
      <c r="B520">
        <v>0.51578267515803977</v>
      </c>
    </row>
    <row r="521" spans="1:2">
      <c r="A521">
        <v>0.49967070591957008</v>
      </c>
      <c r="B521">
        <v>0.51537187015705577</v>
      </c>
    </row>
    <row r="522" spans="1:2">
      <c r="A522">
        <v>0.4996781647726305</v>
      </c>
      <c r="B522">
        <v>0.50495075530399702</v>
      </c>
    </row>
    <row r="523" spans="1:2">
      <c r="A523">
        <v>0.49970803503112393</v>
      </c>
      <c r="B523">
        <v>0.51723688947154012</v>
      </c>
    </row>
    <row r="524" spans="1:2">
      <c r="A524">
        <v>0.49974315143725245</v>
      </c>
      <c r="B524">
        <v>0.50108770350949061</v>
      </c>
    </row>
    <row r="525" spans="1:2">
      <c r="A525">
        <v>0.49986285590219459</v>
      </c>
      <c r="B525">
        <v>0.51346125283077315</v>
      </c>
    </row>
    <row r="526" spans="1:2">
      <c r="A526">
        <v>0.50017603236131336</v>
      </c>
      <c r="B526">
        <v>0.50557722268755667</v>
      </c>
    </row>
    <row r="527" spans="1:2">
      <c r="A527">
        <v>0.50018751197347167</v>
      </c>
      <c r="B527">
        <v>0.50869773178822952</v>
      </c>
    </row>
    <row r="528" spans="1:2">
      <c r="A528">
        <v>0.50072244811528566</v>
      </c>
      <c r="B528">
        <v>0.51198484133409516</v>
      </c>
    </row>
    <row r="529" spans="1:2">
      <c r="A529">
        <v>0.50074617232453822</v>
      </c>
      <c r="B529">
        <v>0.51446693006698663</v>
      </c>
    </row>
    <row r="530" spans="1:2">
      <c r="A530">
        <v>0.50109626324797418</v>
      </c>
      <c r="B530">
        <v>0.50749467215200361</v>
      </c>
    </row>
    <row r="531" spans="1:2">
      <c r="A531">
        <v>0.50127141460588387</v>
      </c>
      <c r="B531">
        <v>0.51048051156042873</v>
      </c>
    </row>
    <row r="532" spans="1:2">
      <c r="A532">
        <v>0.50171916317224485</v>
      </c>
      <c r="B532">
        <v>0.51098702579664268</v>
      </c>
    </row>
    <row r="533" spans="1:2">
      <c r="A533">
        <v>0.50175040726772624</v>
      </c>
      <c r="B533">
        <v>0.51178869230439639</v>
      </c>
    </row>
    <row r="534" spans="1:2">
      <c r="A534">
        <v>0.50176383673652902</v>
      </c>
      <c r="B534">
        <v>0.51270558274749667</v>
      </c>
    </row>
    <row r="535" spans="1:2">
      <c r="A535">
        <v>0.50208944565579705</v>
      </c>
      <c r="B535">
        <v>0.51323100440037683</v>
      </c>
    </row>
    <row r="536" spans="1:2">
      <c r="A536">
        <v>0.50232409698477598</v>
      </c>
      <c r="B536">
        <v>0.51218695225894384</v>
      </c>
    </row>
    <row r="537" spans="1:2">
      <c r="A537">
        <v>0.50256418027246808</v>
      </c>
      <c r="B537">
        <v>0.5189683610918906</v>
      </c>
    </row>
    <row r="538" spans="1:2">
      <c r="A538">
        <v>0.50268816776883729</v>
      </c>
      <c r="B538">
        <v>0.50830327342680359</v>
      </c>
    </row>
    <row r="539" spans="1:2">
      <c r="A539">
        <v>0.50269496319001938</v>
      </c>
      <c r="B539">
        <v>0.50926387700783704</v>
      </c>
    </row>
    <row r="540" spans="1:2">
      <c r="A540">
        <v>0.50282730897089756</v>
      </c>
      <c r="B540">
        <v>0.51815283297831161</v>
      </c>
    </row>
    <row r="541" spans="1:2">
      <c r="A541">
        <v>0.50307961224418496</v>
      </c>
      <c r="B541">
        <v>0.51142491135019974</v>
      </c>
    </row>
    <row r="542" spans="1:2">
      <c r="A542">
        <v>0.50311681488462534</v>
      </c>
      <c r="B542">
        <v>0.52116428908808621</v>
      </c>
    </row>
    <row r="543" spans="1:2">
      <c r="A543">
        <v>0.50333056190857395</v>
      </c>
      <c r="B543">
        <v>0.51415857467549775</v>
      </c>
    </row>
    <row r="544" spans="1:2">
      <c r="A544">
        <v>0.50340887643887589</v>
      </c>
      <c r="B544">
        <v>0.51188799411205188</v>
      </c>
    </row>
    <row r="545" spans="1:2">
      <c r="A545">
        <v>0.50342480570378023</v>
      </c>
      <c r="B545">
        <v>0.51382975682030119</v>
      </c>
    </row>
    <row r="546" spans="1:2">
      <c r="A546">
        <v>0.50359957629116503</v>
      </c>
      <c r="B546">
        <v>0.51247363553736847</v>
      </c>
    </row>
    <row r="547" spans="1:2">
      <c r="A547">
        <v>0.50431903407308987</v>
      </c>
      <c r="B547">
        <v>0.51130035168194432</v>
      </c>
    </row>
    <row r="548" spans="1:2">
      <c r="A548">
        <v>0.50480913222511248</v>
      </c>
      <c r="B548">
        <v>0.51498337462347499</v>
      </c>
    </row>
    <row r="549" spans="1:2">
      <c r="A549">
        <v>0.50504929482694638</v>
      </c>
      <c r="B549">
        <v>0.51090356753019039</v>
      </c>
    </row>
    <row r="550" spans="1:2">
      <c r="A550">
        <v>0.50509129689698529</v>
      </c>
      <c r="B550">
        <v>0.51752165562149721</v>
      </c>
    </row>
    <row r="551" spans="1:2">
      <c r="A551">
        <v>0.50528944642891183</v>
      </c>
      <c r="B551">
        <v>0.52652477785998242</v>
      </c>
    </row>
    <row r="552" spans="1:2">
      <c r="A552">
        <v>0.50560113635912396</v>
      </c>
      <c r="B552">
        <v>0.52156473416994498</v>
      </c>
    </row>
    <row r="553" spans="1:2">
      <c r="A553">
        <v>0.50562246987147663</v>
      </c>
      <c r="B553">
        <v>0.52339962058412803</v>
      </c>
    </row>
    <row r="554" spans="1:2">
      <c r="A554">
        <v>0.50570080546673479</v>
      </c>
      <c r="B554">
        <v>0.52316122084167482</v>
      </c>
    </row>
    <row r="555" spans="1:2">
      <c r="A555">
        <v>0.50588122844506456</v>
      </c>
      <c r="B555">
        <v>0.52359551060771825</v>
      </c>
    </row>
    <row r="556" spans="1:2">
      <c r="A556">
        <v>0.50615140965020011</v>
      </c>
      <c r="B556">
        <v>0.51607157499474143</v>
      </c>
    </row>
    <row r="557" spans="1:2">
      <c r="A557">
        <v>0.50646084886626608</v>
      </c>
      <c r="B557">
        <v>0.51911678276828488</v>
      </c>
    </row>
    <row r="558" spans="1:2">
      <c r="A558">
        <v>0.50663636561443304</v>
      </c>
      <c r="B558">
        <v>0.5204031573937985</v>
      </c>
    </row>
    <row r="559" spans="1:2">
      <c r="A559">
        <v>0.50696493708326107</v>
      </c>
      <c r="B559">
        <v>0.51218436021386027</v>
      </c>
    </row>
    <row r="560" spans="1:2">
      <c r="A560">
        <v>0.5073535616694459</v>
      </c>
      <c r="B560">
        <v>0.52290475905992573</v>
      </c>
    </row>
    <row r="561" spans="1:2">
      <c r="A561">
        <v>0.50776398558168889</v>
      </c>
      <c r="B561">
        <v>0.51698503303138732</v>
      </c>
    </row>
    <row r="562" spans="1:2">
      <c r="A562">
        <v>0.50791371096374072</v>
      </c>
      <c r="B562">
        <v>0.51915716026359204</v>
      </c>
    </row>
    <row r="563" spans="1:2">
      <c r="A563">
        <v>0.50795339277279139</v>
      </c>
      <c r="B563">
        <v>0.51289768636110811</v>
      </c>
    </row>
    <row r="564" spans="1:2">
      <c r="A564">
        <v>0.50819766760691398</v>
      </c>
      <c r="B564">
        <v>0.52472676290281006</v>
      </c>
    </row>
    <row r="565" spans="1:2">
      <c r="A565">
        <v>0.50839500405523064</v>
      </c>
      <c r="B565">
        <v>0.51304088757091049</v>
      </c>
    </row>
    <row r="566" spans="1:2">
      <c r="A566">
        <v>0.50843984230385075</v>
      </c>
      <c r="B566">
        <v>0.51929733950849855</v>
      </c>
    </row>
    <row r="567" spans="1:2">
      <c r="A567">
        <v>0.50856545172626466</v>
      </c>
      <c r="B567">
        <v>0.52323845217261655</v>
      </c>
    </row>
    <row r="568" spans="1:2">
      <c r="A568">
        <v>0.50858200649345131</v>
      </c>
      <c r="B568">
        <v>0.5145862091342146</v>
      </c>
    </row>
    <row r="569" spans="1:2">
      <c r="A569">
        <v>0.50859294104559349</v>
      </c>
      <c r="B569">
        <v>0.5201086434694584</v>
      </c>
    </row>
    <row r="570" spans="1:2">
      <c r="A570">
        <v>0.50934297859861466</v>
      </c>
      <c r="B570">
        <v>0.51347445628727895</v>
      </c>
    </row>
    <row r="571" spans="1:2">
      <c r="A571">
        <v>0.50949646452675124</v>
      </c>
      <c r="B571">
        <v>0.51595095499211574</v>
      </c>
    </row>
    <row r="572" spans="1:2">
      <c r="A572">
        <v>0.50951621622592613</v>
      </c>
      <c r="B572">
        <v>0.52122451929228364</v>
      </c>
    </row>
    <row r="573" spans="1:2">
      <c r="A573">
        <v>0.50954060584934913</v>
      </c>
      <c r="B573">
        <v>0.51455114307402838</v>
      </c>
    </row>
    <row r="574" spans="1:2">
      <c r="A574">
        <v>0.51021747638652037</v>
      </c>
      <c r="B574">
        <v>0.5283049849454855</v>
      </c>
    </row>
    <row r="575" spans="1:2">
      <c r="A575">
        <v>0.51058816827450071</v>
      </c>
      <c r="B575">
        <v>0.52287279500421258</v>
      </c>
    </row>
    <row r="576" spans="1:2">
      <c r="A576">
        <v>0.51064982999082853</v>
      </c>
      <c r="B576">
        <v>0.5166131274529544</v>
      </c>
    </row>
    <row r="577" spans="1:2">
      <c r="A577">
        <v>0.51111634497039016</v>
      </c>
      <c r="B577">
        <v>0.52279991237808465</v>
      </c>
    </row>
    <row r="578" spans="1:2">
      <c r="A578">
        <v>0.51131828871239982</v>
      </c>
      <c r="B578">
        <v>0.52021796849996549</v>
      </c>
    </row>
    <row r="579" spans="1:2">
      <c r="A579">
        <v>0.51146349104780808</v>
      </c>
      <c r="B579">
        <v>0.52572643552176679</v>
      </c>
    </row>
    <row r="580" spans="1:2">
      <c r="A580">
        <v>0.51163602443652767</v>
      </c>
      <c r="B580">
        <v>0.53564731617782291</v>
      </c>
    </row>
    <row r="581" spans="1:2">
      <c r="A581">
        <v>0.51165969946881329</v>
      </c>
      <c r="B581">
        <v>0.51884650136996313</v>
      </c>
    </row>
    <row r="582" spans="1:2">
      <c r="A582">
        <v>0.51186829795737798</v>
      </c>
      <c r="B582">
        <v>0.52115245915569286</v>
      </c>
    </row>
    <row r="583" spans="1:2">
      <c r="A583">
        <v>0.51192135838038633</v>
      </c>
      <c r="B583">
        <v>0.52086604317127549</v>
      </c>
    </row>
    <row r="584" spans="1:2">
      <c r="A584">
        <v>0.51235285382602069</v>
      </c>
      <c r="B584">
        <v>0.52320957629345011</v>
      </c>
    </row>
    <row r="585" spans="1:2">
      <c r="A585">
        <v>0.5128322868889158</v>
      </c>
      <c r="B585">
        <v>0.53027642350901694</v>
      </c>
    </row>
    <row r="586" spans="1:2">
      <c r="A586">
        <v>0.51283967706302447</v>
      </c>
      <c r="B586">
        <v>0.52309053597998478</v>
      </c>
    </row>
    <row r="587" spans="1:2">
      <c r="A587">
        <v>0.51300221435355442</v>
      </c>
      <c r="B587">
        <v>0.52319881457089956</v>
      </c>
    </row>
    <row r="588" spans="1:2">
      <c r="A588">
        <v>0.5136930367490532</v>
      </c>
      <c r="B588">
        <v>0.51582044478464029</v>
      </c>
    </row>
    <row r="589" spans="1:2">
      <c r="A589">
        <v>0.51422623519133492</v>
      </c>
      <c r="B589">
        <v>0.52604989987539763</v>
      </c>
    </row>
    <row r="590" spans="1:2">
      <c r="A590">
        <v>0.51428699792675703</v>
      </c>
      <c r="B590">
        <v>0.51585071940784444</v>
      </c>
    </row>
    <row r="591" spans="1:2">
      <c r="A591">
        <v>0.51441188726957154</v>
      </c>
      <c r="B591">
        <v>0.51457847911455756</v>
      </c>
    </row>
    <row r="592" spans="1:2">
      <c r="A592">
        <v>0.51494327966329956</v>
      </c>
      <c r="B592">
        <v>0.5255990002342289</v>
      </c>
    </row>
    <row r="593" spans="1:2">
      <c r="A593">
        <v>0.51500839313604752</v>
      </c>
      <c r="B593">
        <v>0.52419525755831931</v>
      </c>
    </row>
    <row r="594" spans="1:2">
      <c r="A594">
        <v>0.51500940033191156</v>
      </c>
      <c r="B594">
        <v>0.52815714145382131</v>
      </c>
    </row>
    <row r="595" spans="1:2">
      <c r="A595">
        <v>0.51511256333141064</v>
      </c>
      <c r="B595">
        <v>0.52249606119558656</v>
      </c>
    </row>
    <row r="596" spans="1:2">
      <c r="A596">
        <v>0.51559696746439987</v>
      </c>
      <c r="B596">
        <v>0.53352343166493255</v>
      </c>
    </row>
    <row r="597" spans="1:2">
      <c r="A597">
        <v>0.51566163095296613</v>
      </c>
      <c r="B597">
        <v>0.5361436988997087</v>
      </c>
    </row>
    <row r="598" spans="1:2">
      <c r="A598">
        <v>0.51568500821160379</v>
      </c>
      <c r="B598">
        <v>0.53111289039838538</v>
      </c>
    </row>
    <row r="599" spans="1:2">
      <c r="A599">
        <v>0.51588414670176852</v>
      </c>
      <c r="B599">
        <v>0.52035930220250182</v>
      </c>
    </row>
    <row r="600" spans="1:2">
      <c r="A600">
        <v>0.51637908065529659</v>
      </c>
      <c r="B600">
        <v>0.52826810548152037</v>
      </c>
    </row>
    <row r="601" spans="1:2">
      <c r="A601">
        <v>0.51669201659548547</v>
      </c>
      <c r="B601">
        <v>0.533005200713493</v>
      </c>
    </row>
    <row r="602" spans="1:2">
      <c r="A602">
        <v>0.51674771954461074</v>
      </c>
      <c r="B602">
        <v>0.53549615535174444</v>
      </c>
    </row>
    <row r="603" spans="1:2">
      <c r="A603">
        <v>0.51715375097661764</v>
      </c>
      <c r="B603">
        <v>0.52433112245081481</v>
      </c>
    </row>
    <row r="604" spans="1:2">
      <c r="A604">
        <v>0.51720962428499806</v>
      </c>
      <c r="B604">
        <v>0.52268035011450986</v>
      </c>
    </row>
    <row r="605" spans="1:2">
      <c r="A605">
        <v>0.51734323944597571</v>
      </c>
      <c r="B605">
        <v>0.51896061455122955</v>
      </c>
    </row>
    <row r="606" spans="1:2">
      <c r="A606">
        <v>0.51748623945184224</v>
      </c>
      <c r="B606">
        <v>0.52911983858481193</v>
      </c>
    </row>
    <row r="607" spans="1:2">
      <c r="A607">
        <v>0.51749938352953684</v>
      </c>
      <c r="B607">
        <v>0.5344934860729138</v>
      </c>
    </row>
    <row r="608" spans="1:2">
      <c r="A608">
        <v>0.51753611228070118</v>
      </c>
      <c r="B608">
        <v>0.52509007699034538</v>
      </c>
    </row>
    <row r="609" spans="1:2">
      <c r="A609">
        <v>0.51770582667787146</v>
      </c>
      <c r="B609">
        <v>0.52283807345572331</v>
      </c>
    </row>
    <row r="610" spans="1:2">
      <c r="A610">
        <v>0.51795751794420331</v>
      </c>
      <c r="B610">
        <v>0.52018415513214022</v>
      </c>
    </row>
    <row r="611" spans="1:2">
      <c r="A611">
        <v>0.51830091815675206</v>
      </c>
      <c r="B611">
        <v>0.53039958337446047</v>
      </c>
    </row>
    <row r="612" spans="1:2">
      <c r="A612">
        <v>0.51881361429382711</v>
      </c>
      <c r="B612">
        <v>0.52974695125354321</v>
      </c>
    </row>
    <row r="613" spans="1:2">
      <c r="A613">
        <v>0.51907874883615679</v>
      </c>
      <c r="B613">
        <v>0.53137520009911887</v>
      </c>
    </row>
    <row r="614" spans="1:2">
      <c r="A614">
        <v>0.51917441131778619</v>
      </c>
      <c r="B614">
        <v>0.53502832690909929</v>
      </c>
    </row>
    <row r="615" spans="1:2">
      <c r="A615">
        <v>0.51955125913833089</v>
      </c>
      <c r="B615">
        <v>0.52680833229118018</v>
      </c>
    </row>
    <row r="616" spans="1:2">
      <c r="A616">
        <v>0.51964351386142638</v>
      </c>
      <c r="B616">
        <v>0.53089353583116849</v>
      </c>
    </row>
    <row r="617" spans="1:2">
      <c r="A617">
        <v>0.5200143154683361</v>
      </c>
      <c r="B617">
        <v>0.52438554331456244</v>
      </c>
    </row>
    <row r="618" spans="1:2">
      <c r="A618">
        <v>0.52002013986814122</v>
      </c>
      <c r="B618">
        <v>0.53112893153589602</v>
      </c>
    </row>
    <row r="619" spans="1:2">
      <c r="A619">
        <v>0.52003015893371096</v>
      </c>
      <c r="B619">
        <v>0.53101842258176202</v>
      </c>
    </row>
    <row r="620" spans="1:2">
      <c r="A620">
        <v>0.52008038262076295</v>
      </c>
      <c r="B620">
        <v>0.53144649824603685</v>
      </c>
    </row>
    <row r="621" spans="1:2">
      <c r="A621">
        <v>0.5201606080343788</v>
      </c>
      <c r="B621">
        <v>0.52845430452120512</v>
      </c>
    </row>
    <row r="622" spans="1:2">
      <c r="A622">
        <v>0.52027625988297055</v>
      </c>
      <c r="B622">
        <v>0.52748828915248591</v>
      </c>
    </row>
    <row r="623" spans="1:2">
      <c r="A623">
        <v>0.52028931926861866</v>
      </c>
      <c r="B623">
        <v>0.5271712003929081</v>
      </c>
    </row>
    <row r="624" spans="1:2">
      <c r="A624">
        <v>0.52061814303279186</v>
      </c>
      <c r="B624">
        <v>0.53990519412429427</v>
      </c>
    </row>
    <row r="625" spans="1:2">
      <c r="A625">
        <v>0.52074609602544086</v>
      </c>
      <c r="B625">
        <v>0.52981285785253474</v>
      </c>
    </row>
    <row r="626" spans="1:2">
      <c r="A626">
        <v>0.52111262011480974</v>
      </c>
      <c r="B626">
        <v>0.52937703488421328</v>
      </c>
    </row>
    <row r="627" spans="1:2">
      <c r="A627">
        <v>0.52130884156601354</v>
      </c>
      <c r="B627">
        <v>0.53464303958225845</v>
      </c>
    </row>
    <row r="628" spans="1:2">
      <c r="A628">
        <v>0.52139286282085073</v>
      </c>
      <c r="B628">
        <v>0.53306746746560585</v>
      </c>
    </row>
    <row r="629" spans="1:2">
      <c r="A629">
        <v>0.5214372917039316</v>
      </c>
      <c r="B629">
        <v>0.53334770647579743</v>
      </c>
    </row>
    <row r="630" spans="1:2">
      <c r="A630">
        <v>0.52153308879114524</v>
      </c>
      <c r="B630">
        <v>0.52746597389824534</v>
      </c>
    </row>
    <row r="631" spans="1:2">
      <c r="A631">
        <v>0.52177556762864019</v>
      </c>
      <c r="B631">
        <v>0.53469614881301264</v>
      </c>
    </row>
    <row r="632" spans="1:2">
      <c r="A632">
        <v>0.52193335994911616</v>
      </c>
      <c r="B632">
        <v>0.52617343938891226</v>
      </c>
    </row>
    <row r="633" spans="1:2">
      <c r="A633">
        <v>0.52254064061466987</v>
      </c>
      <c r="B633">
        <v>0.53393534078450355</v>
      </c>
    </row>
    <row r="634" spans="1:2">
      <c r="A634">
        <v>0.52275933001901209</v>
      </c>
      <c r="B634">
        <v>0.52969587520410177</v>
      </c>
    </row>
    <row r="635" spans="1:2">
      <c r="A635">
        <v>0.52319289497612542</v>
      </c>
      <c r="B635">
        <v>0.52703400273864087</v>
      </c>
    </row>
    <row r="636" spans="1:2">
      <c r="A636">
        <v>0.52344124433959982</v>
      </c>
      <c r="B636">
        <v>0.5355506323546676</v>
      </c>
    </row>
    <row r="637" spans="1:2">
      <c r="A637">
        <v>0.52350055339940182</v>
      </c>
      <c r="B637">
        <v>0.53205977471068744</v>
      </c>
    </row>
    <row r="638" spans="1:2">
      <c r="A638">
        <v>0.52351629966195168</v>
      </c>
      <c r="B638">
        <v>0.53332668516794579</v>
      </c>
    </row>
    <row r="639" spans="1:2">
      <c r="A639">
        <v>0.52354376097786792</v>
      </c>
      <c r="B639">
        <v>0.52968735231893782</v>
      </c>
    </row>
    <row r="640" spans="1:2">
      <c r="A640">
        <v>0.52426028353857124</v>
      </c>
      <c r="B640">
        <v>0.52696248989294336</v>
      </c>
    </row>
    <row r="641" spans="1:2">
      <c r="A641">
        <v>0.52453662053261652</v>
      </c>
      <c r="B641">
        <v>0.53341866205196842</v>
      </c>
    </row>
    <row r="642" spans="1:2">
      <c r="A642">
        <v>0.52454487451404563</v>
      </c>
      <c r="B642">
        <v>0.5320677347084698</v>
      </c>
    </row>
    <row r="643" spans="1:2">
      <c r="A643">
        <v>0.52470756061109802</v>
      </c>
      <c r="B643">
        <v>0.54626147788943058</v>
      </c>
    </row>
    <row r="644" spans="1:2">
      <c r="A644">
        <v>0.52486580338158073</v>
      </c>
      <c r="B644">
        <v>0.53400207781563092</v>
      </c>
    </row>
    <row r="645" spans="1:2">
      <c r="A645">
        <v>0.52491537250873588</v>
      </c>
      <c r="B645">
        <v>0.54100248266301254</v>
      </c>
    </row>
    <row r="646" spans="1:2">
      <c r="A646">
        <v>0.52504390549656121</v>
      </c>
      <c r="B646">
        <v>0.54471890554309832</v>
      </c>
    </row>
    <row r="647" spans="1:2">
      <c r="A647">
        <v>0.52509599945066265</v>
      </c>
      <c r="B647">
        <v>0.53560621628182936</v>
      </c>
    </row>
    <row r="648" spans="1:2">
      <c r="A648">
        <v>0.52529602459023017</v>
      </c>
      <c r="B648">
        <v>0.54110673054449909</v>
      </c>
    </row>
    <row r="649" spans="1:2">
      <c r="A649">
        <v>0.52540680193025902</v>
      </c>
      <c r="B649">
        <v>0.5322824518960817</v>
      </c>
    </row>
    <row r="650" spans="1:2">
      <c r="A650">
        <v>0.52557235514866596</v>
      </c>
      <c r="B650">
        <v>0.54539057791284196</v>
      </c>
    </row>
    <row r="651" spans="1:2">
      <c r="A651">
        <v>0.5257801247881041</v>
      </c>
      <c r="B651">
        <v>0.52823793518512618</v>
      </c>
    </row>
    <row r="652" spans="1:2">
      <c r="A652">
        <v>0.525921858748856</v>
      </c>
      <c r="B652">
        <v>0.54544159061682984</v>
      </c>
    </row>
    <row r="653" spans="1:2">
      <c r="A653">
        <v>0.52646519980954576</v>
      </c>
      <c r="B653">
        <v>0.53231101177060069</v>
      </c>
    </row>
    <row r="654" spans="1:2">
      <c r="A654">
        <v>0.52653716206439904</v>
      </c>
      <c r="B654">
        <v>0.53623898446927232</v>
      </c>
    </row>
    <row r="655" spans="1:2">
      <c r="A655">
        <v>0.52672993946176516</v>
      </c>
      <c r="B655">
        <v>0.53673201212719535</v>
      </c>
    </row>
    <row r="656" spans="1:2">
      <c r="A656">
        <v>0.52700462757274114</v>
      </c>
      <c r="B656">
        <v>0.53465875713310984</v>
      </c>
    </row>
    <row r="657" spans="1:2">
      <c r="A657">
        <v>0.5270856409969964</v>
      </c>
      <c r="B657">
        <v>0.54429995790892916</v>
      </c>
    </row>
    <row r="658" spans="1:2">
      <c r="A658">
        <v>0.52818355634922531</v>
      </c>
      <c r="B658">
        <v>0.53646076460732106</v>
      </c>
    </row>
    <row r="659" spans="1:2">
      <c r="A659">
        <v>0.52850775647557413</v>
      </c>
      <c r="B659">
        <v>0.53459216702991152</v>
      </c>
    </row>
    <row r="660" spans="1:2">
      <c r="A660">
        <v>0.52851101862775807</v>
      </c>
      <c r="B660">
        <v>0.53821202143596847</v>
      </c>
    </row>
    <row r="661" spans="1:2">
      <c r="A661">
        <v>0.52896587377569049</v>
      </c>
      <c r="B661">
        <v>0.54989744690030984</v>
      </c>
    </row>
    <row r="662" spans="1:2">
      <c r="A662">
        <v>0.52906103172120711</v>
      </c>
      <c r="B662">
        <v>0.54095688569376754</v>
      </c>
    </row>
    <row r="663" spans="1:2">
      <c r="A663">
        <v>0.52917332313713261</v>
      </c>
      <c r="B663">
        <v>0.54068311234290689</v>
      </c>
    </row>
    <row r="664" spans="1:2">
      <c r="A664">
        <v>0.52926990308255573</v>
      </c>
      <c r="B664">
        <v>0.53903656570103775</v>
      </c>
    </row>
    <row r="665" spans="1:2">
      <c r="A665">
        <v>0.52929128019419014</v>
      </c>
      <c r="B665">
        <v>0.54014273909455457</v>
      </c>
    </row>
    <row r="666" spans="1:2">
      <c r="A666">
        <v>0.5296800590376074</v>
      </c>
      <c r="B666">
        <v>0.55010478153202724</v>
      </c>
    </row>
    <row r="667" spans="1:2">
      <c r="A667">
        <v>0.52979590325220138</v>
      </c>
      <c r="B667">
        <v>0.53623754669843648</v>
      </c>
    </row>
    <row r="668" spans="1:2">
      <c r="A668">
        <v>0.52986943048455792</v>
      </c>
      <c r="B668">
        <v>0.5432451025404692</v>
      </c>
    </row>
    <row r="669" spans="1:2">
      <c r="A669">
        <v>0.53025004434879608</v>
      </c>
      <c r="B669">
        <v>0.54013370715918474</v>
      </c>
    </row>
    <row r="670" spans="1:2">
      <c r="A670">
        <v>0.53050679879693108</v>
      </c>
      <c r="B670">
        <v>0.53886008268911523</v>
      </c>
    </row>
    <row r="671" spans="1:2">
      <c r="A671">
        <v>0.5305485046221825</v>
      </c>
      <c r="B671">
        <v>0.54238553879013041</v>
      </c>
    </row>
    <row r="672" spans="1:2">
      <c r="A672">
        <v>0.53073211485623095</v>
      </c>
      <c r="B672">
        <v>0.54747558822869247</v>
      </c>
    </row>
    <row r="673" spans="1:2">
      <c r="A673">
        <v>0.53088121759791473</v>
      </c>
      <c r="B673">
        <v>0.54089463783744063</v>
      </c>
    </row>
    <row r="674" spans="1:2">
      <c r="A674">
        <v>0.53109750381958032</v>
      </c>
      <c r="B674">
        <v>0.53584226894924303</v>
      </c>
    </row>
    <row r="675" spans="1:2">
      <c r="A675">
        <v>0.53120075477352968</v>
      </c>
      <c r="B675">
        <v>0.5351969144071389</v>
      </c>
    </row>
    <row r="676" spans="1:2">
      <c r="A676">
        <v>0.53158783464854065</v>
      </c>
      <c r="B676">
        <v>0.53861492009232581</v>
      </c>
    </row>
    <row r="677" spans="1:2">
      <c r="A677">
        <v>0.5316263899602558</v>
      </c>
      <c r="B677">
        <v>0.54250464391858844</v>
      </c>
    </row>
    <row r="678" spans="1:2">
      <c r="A678">
        <v>0.53223340565754873</v>
      </c>
      <c r="B678">
        <v>0.53608491877168385</v>
      </c>
    </row>
    <row r="679" spans="1:2">
      <c r="A679">
        <v>0.53248799353722165</v>
      </c>
      <c r="B679">
        <v>0.55106271577592214</v>
      </c>
    </row>
    <row r="680" spans="1:2">
      <c r="A680">
        <v>0.53260582908865706</v>
      </c>
      <c r="B680">
        <v>0.54955477419975085</v>
      </c>
    </row>
    <row r="681" spans="1:2">
      <c r="A681">
        <v>0.53318999185284377</v>
      </c>
      <c r="B681">
        <v>0.54569577191325069</v>
      </c>
    </row>
    <row r="682" spans="1:2">
      <c r="A682">
        <v>0.53322252941606485</v>
      </c>
      <c r="B682">
        <v>0.53719776502022687</v>
      </c>
    </row>
    <row r="683" spans="1:2">
      <c r="A683">
        <v>0.53356996072281337</v>
      </c>
      <c r="B683">
        <v>0.54551805884911164</v>
      </c>
    </row>
    <row r="684" spans="1:2">
      <c r="A684">
        <v>0.53358746015695591</v>
      </c>
      <c r="B684">
        <v>0.54400888077468457</v>
      </c>
    </row>
    <row r="685" spans="1:2">
      <c r="A685">
        <v>0.53376818078544885</v>
      </c>
      <c r="B685">
        <v>0.5441471585988028</v>
      </c>
    </row>
    <row r="686" spans="1:2">
      <c r="A686">
        <v>0.5337737483110957</v>
      </c>
      <c r="B686">
        <v>0.54285227519015766</v>
      </c>
    </row>
    <row r="687" spans="1:2">
      <c r="A687">
        <v>0.53382714546625598</v>
      </c>
      <c r="B687">
        <v>0.53833163818961616</v>
      </c>
    </row>
    <row r="688" spans="1:2">
      <c r="A688">
        <v>0.5338890248341901</v>
      </c>
      <c r="B688">
        <v>0.53712151329168467</v>
      </c>
    </row>
    <row r="689" spans="1:2">
      <c r="A689">
        <v>0.53391484388297883</v>
      </c>
      <c r="B689">
        <v>0.54605232888271282</v>
      </c>
    </row>
    <row r="690" spans="1:2">
      <c r="A690">
        <v>0.53402270069215219</v>
      </c>
      <c r="B690">
        <v>0.5514542967715842</v>
      </c>
    </row>
    <row r="691" spans="1:2">
      <c r="A691">
        <v>0.53420089781942171</v>
      </c>
      <c r="B691">
        <v>0.5481231747581542</v>
      </c>
    </row>
    <row r="692" spans="1:2">
      <c r="A692">
        <v>0.53468536993870441</v>
      </c>
      <c r="B692">
        <v>0.54007054976485369</v>
      </c>
    </row>
    <row r="693" spans="1:2">
      <c r="A693">
        <v>0.53514086883424461</v>
      </c>
      <c r="B693">
        <v>0.54628241260198407</v>
      </c>
    </row>
    <row r="694" spans="1:2">
      <c r="A694">
        <v>0.53514552057843601</v>
      </c>
      <c r="B694">
        <v>0.55383695827736257</v>
      </c>
    </row>
    <row r="695" spans="1:2">
      <c r="A695">
        <v>0.53594106287650889</v>
      </c>
      <c r="B695">
        <v>0.54975078411948264</v>
      </c>
    </row>
    <row r="696" spans="1:2">
      <c r="A696">
        <v>0.53608912503768447</v>
      </c>
      <c r="B696">
        <v>0.5385345842048942</v>
      </c>
    </row>
    <row r="697" spans="1:2">
      <c r="A697">
        <v>0.53610874189453595</v>
      </c>
      <c r="B697">
        <v>0.5392073407299115</v>
      </c>
    </row>
    <row r="698" spans="1:2">
      <c r="A698">
        <v>0.53658829526386087</v>
      </c>
      <c r="B698">
        <v>0.54870788421215289</v>
      </c>
    </row>
    <row r="699" spans="1:2">
      <c r="A699">
        <v>0.53691578361911707</v>
      </c>
      <c r="B699">
        <v>0.54606313919682725</v>
      </c>
    </row>
    <row r="700" spans="1:2">
      <c r="A700">
        <v>0.53713101266611085</v>
      </c>
      <c r="B700">
        <v>0.54708537276870217</v>
      </c>
    </row>
    <row r="701" spans="1:2">
      <c r="A701">
        <v>0.53752829890546006</v>
      </c>
      <c r="B701">
        <v>0.54673438834160759</v>
      </c>
    </row>
    <row r="702" spans="1:2">
      <c r="A702">
        <v>0.53763785334157077</v>
      </c>
      <c r="B702">
        <v>0.55065523597384702</v>
      </c>
    </row>
    <row r="703" spans="1:2">
      <c r="A703">
        <v>0.53775766970205641</v>
      </c>
      <c r="B703">
        <v>0.54035234509272201</v>
      </c>
    </row>
    <row r="704" spans="1:2">
      <c r="A704">
        <v>0.53810834424193177</v>
      </c>
      <c r="B704">
        <v>0.54481045931705374</v>
      </c>
    </row>
    <row r="705" spans="1:2">
      <c r="A705">
        <v>0.53829484187592835</v>
      </c>
      <c r="B705">
        <v>0.55146421662638556</v>
      </c>
    </row>
    <row r="706" spans="1:2">
      <c r="A706">
        <v>0.53847746504711869</v>
      </c>
      <c r="B706">
        <v>0.54950829315609429</v>
      </c>
    </row>
    <row r="707" spans="1:2">
      <c r="A707">
        <v>0.53850217840224635</v>
      </c>
      <c r="B707">
        <v>0.54711281479786744</v>
      </c>
    </row>
    <row r="708" spans="1:2">
      <c r="A708">
        <v>0.53901055498366968</v>
      </c>
      <c r="B708">
        <v>0.54676064074739783</v>
      </c>
    </row>
    <row r="709" spans="1:2">
      <c r="A709">
        <v>0.53911990759670991</v>
      </c>
      <c r="B709">
        <v>0.55082734986738013</v>
      </c>
    </row>
    <row r="710" spans="1:2">
      <c r="A710">
        <v>0.53914067702756807</v>
      </c>
      <c r="B710">
        <v>0.54950153342396879</v>
      </c>
    </row>
    <row r="711" spans="1:2">
      <c r="A711">
        <v>0.53944177051592634</v>
      </c>
      <c r="B711">
        <v>0.53967901123080897</v>
      </c>
    </row>
    <row r="712" spans="1:2">
      <c r="A712">
        <v>0.539838511981515</v>
      </c>
      <c r="B712">
        <v>0.55335105798541318</v>
      </c>
    </row>
    <row r="713" spans="1:2">
      <c r="A713">
        <v>0.54000375706079096</v>
      </c>
      <c r="B713">
        <v>0.54723984400379821</v>
      </c>
    </row>
    <row r="714" spans="1:2">
      <c r="A714">
        <v>0.54056754091617887</v>
      </c>
      <c r="B714">
        <v>0.55872465315511144</v>
      </c>
    </row>
    <row r="715" spans="1:2">
      <c r="A715">
        <v>0.54070576732228892</v>
      </c>
      <c r="B715">
        <v>0.55950105955802498</v>
      </c>
    </row>
    <row r="716" spans="1:2">
      <c r="A716">
        <v>0.54071197397034665</v>
      </c>
      <c r="B716">
        <v>0.54389160761262101</v>
      </c>
    </row>
    <row r="717" spans="1:2">
      <c r="A717">
        <v>0.54078228041358178</v>
      </c>
      <c r="B717">
        <v>0.55423307373741382</v>
      </c>
    </row>
    <row r="718" spans="1:2">
      <c r="A718">
        <v>0.5410844960381902</v>
      </c>
      <c r="B718">
        <v>0.54973089416339493</v>
      </c>
    </row>
    <row r="719" spans="1:2">
      <c r="A719">
        <v>0.54124269877747211</v>
      </c>
      <c r="B719">
        <v>0.55229427480442506</v>
      </c>
    </row>
    <row r="720" spans="1:2">
      <c r="A720">
        <v>0.54164456106835912</v>
      </c>
      <c r="B720">
        <v>0.55837199331989085</v>
      </c>
    </row>
    <row r="721" spans="1:2">
      <c r="A721">
        <v>0.54190118831879097</v>
      </c>
      <c r="B721">
        <v>0.5583733996075384</v>
      </c>
    </row>
    <row r="722" spans="1:2">
      <c r="A722">
        <v>0.5419692405282629</v>
      </c>
      <c r="B722">
        <v>0.55806764118684238</v>
      </c>
    </row>
    <row r="723" spans="1:2">
      <c r="A723">
        <v>0.54209447252676368</v>
      </c>
      <c r="B723">
        <v>0.55992443492351296</v>
      </c>
    </row>
    <row r="724" spans="1:2">
      <c r="A724">
        <v>0.54219273398257362</v>
      </c>
      <c r="B724">
        <v>0.55178215011876242</v>
      </c>
    </row>
    <row r="725" spans="1:2">
      <c r="A725">
        <v>0.54225755841725432</v>
      </c>
      <c r="B725">
        <v>0.55503229711095603</v>
      </c>
    </row>
    <row r="726" spans="1:2">
      <c r="A726">
        <v>0.54230551893393686</v>
      </c>
      <c r="B726">
        <v>0.55797357231402622</v>
      </c>
    </row>
    <row r="727" spans="1:2">
      <c r="A727">
        <v>0.54243944899857521</v>
      </c>
      <c r="B727">
        <v>0.54623367116299903</v>
      </c>
    </row>
    <row r="728" spans="1:2">
      <c r="A728">
        <v>0.54257573973589945</v>
      </c>
      <c r="B728">
        <v>0.56123500893444078</v>
      </c>
    </row>
    <row r="729" spans="1:2">
      <c r="A729">
        <v>0.54285753294257855</v>
      </c>
      <c r="B729">
        <v>0.56418109968447983</v>
      </c>
    </row>
    <row r="730" spans="1:2">
      <c r="A730">
        <v>0.54300384251536926</v>
      </c>
      <c r="B730">
        <v>0.55567436836261153</v>
      </c>
    </row>
    <row r="731" spans="1:2">
      <c r="A731">
        <v>0.54318077633059281</v>
      </c>
      <c r="B731">
        <v>0.5547502876672451</v>
      </c>
    </row>
    <row r="732" spans="1:2">
      <c r="A732">
        <v>0.54321199921617735</v>
      </c>
      <c r="B732">
        <v>0.5593118028465377</v>
      </c>
    </row>
    <row r="733" spans="1:2">
      <c r="A733">
        <v>0.54323157917340492</v>
      </c>
      <c r="B733">
        <v>0.55364852056980129</v>
      </c>
    </row>
    <row r="734" spans="1:2">
      <c r="A734">
        <v>0.54334298143928683</v>
      </c>
      <c r="B734">
        <v>0.55279613143895212</v>
      </c>
    </row>
    <row r="735" spans="1:2">
      <c r="A735">
        <v>0.54341057468349441</v>
      </c>
      <c r="B735">
        <v>0.54585045457186732</v>
      </c>
    </row>
    <row r="736" spans="1:2">
      <c r="A736">
        <v>0.54364663369878785</v>
      </c>
      <c r="B736">
        <v>0.56255896171742947</v>
      </c>
    </row>
    <row r="737" spans="1:2">
      <c r="A737">
        <v>0.54401063633808266</v>
      </c>
      <c r="B737">
        <v>0.54505026161004833</v>
      </c>
    </row>
    <row r="738" spans="1:2">
      <c r="A738">
        <v>0.54436517373513993</v>
      </c>
      <c r="B738">
        <v>0.56366841249493882</v>
      </c>
    </row>
    <row r="739" spans="1:2">
      <c r="A739">
        <v>0.54442832557860898</v>
      </c>
      <c r="B739">
        <v>0.55537932835313408</v>
      </c>
    </row>
    <row r="740" spans="1:2">
      <c r="A740">
        <v>0.54467330704526529</v>
      </c>
      <c r="B740">
        <v>0.55593838663986528</v>
      </c>
    </row>
    <row r="741" spans="1:2">
      <c r="A741">
        <v>0.54476791479171705</v>
      </c>
      <c r="B741">
        <v>0.55410803453862445</v>
      </c>
    </row>
    <row r="742" spans="1:2">
      <c r="A742">
        <v>0.54486683946639725</v>
      </c>
      <c r="B742">
        <v>0.55718110270755072</v>
      </c>
    </row>
    <row r="743" spans="1:2">
      <c r="A743">
        <v>0.54489815626611326</v>
      </c>
      <c r="B743">
        <v>0.56094902930280355</v>
      </c>
    </row>
    <row r="744" spans="1:2">
      <c r="A744">
        <v>0.54590290904048311</v>
      </c>
      <c r="B744">
        <v>0.56410968733408717</v>
      </c>
    </row>
    <row r="745" spans="1:2">
      <c r="A745">
        <v>0.54625589794184071</v>
      </c>
      <c r="B745">
        <v>0.56520476864041069</v>
      </c>
    </row>
    <row r="746" spans="1:2">
      <c r="A746">
        <v>0.54668119897704692</v>
      </c>
      <c r="B746">
        <v>0.55656797111240008</v>
      </c>
    </row>
    <row r="747" spans="1:2">
      <c r="A747">
        <v>0.54678642590712145</v>
      </c>
      <c r="B747">
        <v>0.5562973713987831</v>
      </c>
    </row>
    <row r="748" spans="1:2">
      <c r="A748">
        <v>0.54685971351514795</v>
      </c>
      <c r="B748">
        <v>0.5635346625321801</v>
      </c>
    </row>
    <row r="749" spans="1:2">
      <c r="A749">
        <v>0.54709960718213546</v>
      </c>
      <c r="B749">
        <v>0.55249571950008214</v>
      </c>
    </row>
    <row r="750" spans="1:2">
      <c r="A750">
        <v>0.54747294349224318</v>
      </c>
      <c r="B750">
        <v>0.56572825753247002</v>
      </c>
    </row>
    <row r="751" spans="1:2">
      <c r="A751">
        <v>0.5476148289419559</v>
      </c>
      <c r="B751">
        <v>0.56349077324581887</v>
      </c>
    </row>
    <row r="752" spans="1:2">
      <c r="A752">
        <v>0.54810647390809797</v>
      </c>
      <c r="B752">
        <v>0.55383865827803824</v>
      </c>
    </row>
    <row r="753" spans="1:2">
      <c r="A753">
        <v>0.54810686863045244</v>
      </c>
      <c r="B753">
        <v>0.55974761965284459</v>
      </c>
    </row>
    <row r="754" spans="1:2">
      <c r="A754">
        <v>0.54820967656260811</v>
      </c>
      <c r="B754">
        <v>0.55246514693788218</v>
      </c>
    </row>
    <row r="755" spans="1:2">
      <c r="A755">
        <v>0.54823403004134053</v>
      </c>
      <c r="B755">
        <v>0.55514557703959422</v>
      </c>
    </row>
    <row r="756" spans="1:2">
      <c r="A756">
        <v>0.54846420669895057</v>
      </c>
      <c r="B756">
        <v>0.55415546324886189</v>
      </c>
    </row>
    <row r="757" spans="1:2">
      <c r="A757">
        <v>0.54862994887356742</v>
      </c>
      <c r="B757">
        <v>0.55874964433085239</v>
      </c>
    </row>
    <row r="758" spans="1:2">
      <c r="A758">
        <v>0.54875632902951355</v>
      </c>
      <c r="B758">
        <v>0.5525713491412978</v>
      </c>
    </row>
    <row r="759" spans="1:2">
      <c r="A759">
        <v>0.54895923668312874</v>
      </c>
      <c r="B759">
        <v>0.55904813218074068</v>
      </c>
    </row>
    <row r="760" spans="1:2">
      <c r="A760">
        <v>0.54918083162487841</v>
      </c>
      <c r="B760">
        <v>0.56412482941031228</v>
      </c>
    </row>
    <row r="761" spans="1:2">
      <c r="A761">
        <v>0.54964171757744507</v>
      </c>
      <c r="B761">
        <v>0.56092947290845019</v>
      </c>
    </row>
    <row r="762" spans="1:2">
      <c r="A762">
        <v>0.5497195781831925</v>
      </c>
      <c r="B762">
        <v>0.57817916315731344</v>
      </c>
    </row>
    <row r="763" spans="1:2">
      <c r="A763">
        <v>0.54994175552476443</v>
      </c>
      <c r="B763">
        <v>0.55256135115698835</v>
      </c>
    </row>
    <row r="764" spans="1:2">
      <c r="A764">
        <v>0.55020951120366735</v>
      </c>
      <c r="B764">
        <v>0.55848386774120518</v>
      </c>
    </row>
    <row r="765" spans="1:2">
      <c r="A765">
        <v>0.55038424777589579</v>
      </c>
      <c r="B765">
        <v>0.56458562435552162</v>
      </c>
    </row>
    <row r="766" spans="1:2">
      <c r="A766">
        <v>0.55040617681570081</v>
      </c>
      <c r="B766">
        <v>0.56643824868271342</v>
      </c>
    </row>
    <row r="767" spans="1:2">
      <c r="A767">
        <v>0.55052015331512205</v>
      </c>
      <c r="B767">
        <v>0.56804643321686854</v>
      </c>
    </row>
    <row r="768" spans="1:2">
      <c r="A768">
        <v>0.55060080398635214</v>
      </c>
      <c r="B768">
        <v>0.55772521135643804</v>
      </c>
    </row>
    <row r="769" spans="1:2">
      <c r="A769">
        <v>0.55118339412191364</v>
      </c>
      <c r="B769">
        <v>0.5708996998680268</v>
      </c>
    </row>
    <row r="770" spans="1:2">
      <c r="A770">
        <v>0.55142983991713157</v>
      </c>
      <c r="B770">
        <v>0.56481460364514735</v>
      </c>
    </row>
    <row r="771" spans="1:2">
      <c r="A771">
        <v>0.55144256854630536</v>
      </c>
      <c r="B771">
        <v>0.56247474038468559</v>
      </c>
    </row>
    <row r="772" spans="1:2">
      <c r="A772">
        <v>0.55163418414915111</v>
      </c>
      <c r="B772">
        <v>0.55839371054370079</v>
      </c>
    </row>
    <row r="773" spans="1:2">
      <c r="A773">
        <v>0.55222157902918123</v>
      </c>
      <c r="B773">
        <v>0.55355494025549112</v>
      </c>
    </row>
    <row r="774" spans="1:2">
      <c r="A774">
        <v>0.55237269106209952</v>
      </c>
      <c r="B774">
        <v>0.55326236774485593</v>
      </c>
    </row>
    <row r="775" spans="1:2">
      <c r="A775">
        <v>0.55313191976201403</v>
      </c>
      <c r="B775">
        <v>0.57327443937997835</v>
      </c>
    </row>
    <row r="776" spans="1:2">
      <c r="A776">
        <v>0.55335455937784395</v>
      </c>
      <c r="B776">
        <v>0.55270149270556912</v>
      </c>
    </row>
    <row r="777" spans="1:2">
      <c r="A777">
        <v>0.55354709481823483</v>
      </c>
      <c r="B777">
        <v>0.56187221997857406</v>
      </c>
    </row>
    <row r="778" spans="1:2">
      <c r="A778">
        <v>0.55355128083089045</v>
      </c>
      <c r="B778">
        <v>0.55788659724414691</v>
      </c>
    </row>
    <row r="779" spans="1:2">
      <c r="A779">
        <v>0.55362597104632172</v>
      </c>
      <c r="B779">
        <v>0.56244355739616791</v>
      </c>
    </row>
    <row r="780" spans="1:2">
      <c r="A780">
        <v>0.55366488092393107</v>
      </c>
      <c r="B780">
        <v>0.56092747343900429</v>
      </c>
    </row>
    <row r="781" spans="1:2">
      <c r="A781">
        <v>0.55383799248080856</v>
      </c>
      <c r="B781">
        <v>0.56154624328548808</v>
      </c>
    </row>
    <row r="782" spans="1:2">
      <c r="A782">
        <v>0.55441378062748137</v>
      </c>
      <c r="B782">
        <v>0.56338810166478692</v>
      </c>
    </row>
    <row r="783" spans="1:2">
      <c r="A783">
        <v>0.55447836670620021</v>
      </c>
      <c r="B783">
        <v>0.56345743015386174</v>
      </c>
    </row>
    <row r="784" spans="1:2">
      <c r="A784">
        <v>0.55493612675491699</v>
      </c>
      <c r="B784">
        <v>0.56951742324544263</v>
      </c>
    </row>
    <row r="785" spans="1:2">
      <c r="A785">
        <v>0.55517041403361944</v>
      </c>
      <c r="B785">
        <v>0.56986573780907201</v>
      </c>
    </row>
    <row r="786" spans="1:2">
      <c r="A786">
        <v>0.55539315894828478</v>
      </c>
      <c r="B786">
        <v>0.56666071292094111</v>
      </c>
    </row>
    <row r="787" spans="1:2">
      <c r="A787">
        <v>0.55540754140794801</v>
      </c>
      <c r="B787">
        <v>0.56189359817711326</v>
      </c>
    </row>
    <row r="788" spans="1:2">
      <c r="A788">
        <v>0.55595365209779546</v>
      </c>
      <c r="B788">
        <v>0.56653810625912937</v>
      </c>
    </row>
    <row r="789" spans="1:2">
      <c r="A789">
        <v>0.55652805139997019</v>
      </c>
      <c r="B789">
        <v>0.56300537157961228</v>
      </c>
    </row>
    <row r="790" spans="1:2">
      <c r="A790">
        <v>0.55656668397515996</v>
      </c>
      <c r="B790">
        <v>0.56615399229462138</v>
      </c>
    </row>
    <row r="791" spans="1:2">
      <c r="A791">
        <v>0.55680355738296849</v>
      </c>
      <c r="B791">
        <v>0.5688400643200564</v>
      </c>
    </row>
    <row r="792" spans="1:2">
      <c r="A792">
        <v>0.5568558908162472</v>
      </c>
      <c r="B792">
        <v>0.56839026701988149</v>
      </c>
    </row>
    <row r="793" spans="1:2">
      <c r="A793">
        <v>0.55709301440784142</v>
      </c>
      <c r="B793">
        <v>0.56756906825438813</v>
      </c>
    </row>
    <row r="794" spans="1:2">
      <c r="A794">
        <v>0.55715338804745773</v>
      </c>
      <c r="B794">
        <v>0.56690946831920286</v>
      </c>
    </row>
    <row r="795" spans="1:2">
      <c r="A795">
        <v>0.55742786504848452</v>
      </c>
      <c r="B795">
        <v>0.56942683677489792</v>
      </c>
    </row>
    <row r="796" spans="1:2">
      <c r="A796">
        <v>0.55806848961860844</v>
      </c>
      <c r="B796">
        <v>0.57313192109897226</v>
      </c>
    </row>
    <row r="797" spans="1:2">
      <c r="A797">
        <v>0.55825293373628548</v>
      </c>
      <c r="B797">
        <v>0.56598408294582636</v>
      </c>
    </row>
    <row r="798" spans="1:2">
      <c r="A798">
        <v>0.5583303395498288</v>
      </c>
      <c r="B798">
        <v>0.56476637851104838</v>
      </c>
    </row>
    <row r="799" spans="1:2">
      <c r="A799">
        <v>0.55882124634348596</v>
      </c>
      <c r="B799">
        <v>0.57149044341308319</v>
      </c>
    </row>
    <row r="800" spans="1:2">
      <c r="A800">
        <v>0.55942559732257735</v>
      </c>
      <c r="B800">
        <v>0.57361141976575258</v>
      </c>
    </row>
    <row r="801" spans="1:2">
      <c r="A801">
        <v>0.55967056406948723</v>
      </c>
      <c r="B801">
        <v>0.57440032165863308</v>
      </c>
    </row>
    <row r="802" spans="1:2">
      <c r="A802">
        <v>0.55985165357443845</v>
      </c>
      <c r="B802">
        <v>0.57217104677758257</v>
      </c>
    </row>
    <row r="803" spans="1:2">
      <c r="A803">
        <v>0.55992761501513832</v>
      </c>
      <c r="B803">
        <v>0.56460608701002202</v>
      </c>
    </row>
    <row r="804" spans="1:2">
      <c r="A804">
        <v>0.55998977325997523</v>
      </c>
      <c r="B804">
        <v>0.57046285027599131</v>
      </c>
    </row>
    <row r="805" spans="1:2">
      <c r="A805">
        <v>0.56014216874873757</v>
      </c>
      <c r="B805">
        <v>0.57122729324977051</v>
      </c>
    </row>
    <row r="806" spans="1:2">
      <c r="A806">
        <v>0.56017679606391668</v>
      </c>
      <c r="B806">
        <v>0.57360517609746298</v>
      </c>
    </row>
    <row r="807" spans="1:2">
      <c r="A807">
        <v>0.5603907426833562</v>
      </c>
      <c r="B807">
        <v>0.57080472313285036</v>
      </c>
    </row>
    <row r="808" spans="1:2">
      <c r="A808">
        <v>0.5605328191136002</v>
      </c>
      <c r="B808">
        <v>0.56762880764236978</v>
      </c>
    </row>
    <row r="809" spans="1:2">
      <c r="A809">
        <v>0.56133465970797092</v>
      </c>
      <c r="B809">
        <v>0.57765082970477699</v>
      </c>
    </row>
    <row r="810" spans="1:2">
      <c r="A810">
        <v>0.5615281681565869</v>
      </c>
      <c r="B810">
        <v>0.57337650073463231</v>
      </c>
    </row>
    <row r="811" spans="1:2">
      <c r="A811">
        <v>0.56189408640326866</v>
      </c>
      <c r="B811">
        <v>0.56788636349790156</v>
      </c>
    </row>
    <row r="812" spans="1:2">
      <c r="A812">
        <v>0.56200903298542726</v>
      </c>
      <c r="B812">
        <v>0.57478605538548855</v>
      </c>
    </row>
    <row r="813" spans="1:2">
      <c r="A813">
        <v>0.56222011933985216</v>
      </c>
      <c r="B813">
        <v>0.57570148140037647</v>
      </c>
    </row>
    <row r="814" spans="1:2">
      <c r="A814">
        <v>0.56304942626940158</v>
      </c>
      <c r="B814">
        <v>0.57706100852995523</v>
      </c>
    </row>
    <row r="815" spans="1:2">
      <c r="A815">
        <v>0.56313353735728111</v>
      </c>
      <c r="B815">
        <v>0.57073413985608756</v>
      </c>
    </row>
    <row r="816" spans="1:2">
      <c r="A816">
        <v>0.56388230332269962</v>
      </c>
      <c r="B816">
        <v>0.57669098953838527</v>
      </c>
    </row>
    <row r="817" spans="1:2">
      <c r="A817">
        <v>0.56404513311287729</v>
      </c>
      <c r="B817">
        <v>0.56949279508545148</v>
      </c>
    </row>
    <row r="818" spans="1:2">
      <c r="A818">
        <v>0.56415825499870287</v>
      </c>
      <c r="B818">
        <v>0.57545565985231961</v>
      </c>
    </row>
    <row r="819" spans="1:2">
      <c r="A819">
        <v>0.56419303192671821</v>
      </c>
      <c r="B819">
        <v>0.57870508854856539</v>
      </c>
    </row>
    <row r="820" spans="1:2">
      <c r="A820">
        <v>0.56511686448020793</v>
      </c>
      <c r="B820">
        <v>0.57636326021435047</v>
      </c>
    </row>
    <row r="821" spans="1:2">
      <c r="A821">
        <v>0.56520795227798737</v>
      </c>
      <c r="B821">
        <v>0.57791061388500009</v>
      </c>
    </row>
    <row r="822" spans="1:2">
      <c r="A822">
        <v>0.56521757310980125</v>
      </c>
      <c r="B822">
        <v>0.57124544915183162</v>
      </c>
    </row>
    <row r="823" spans="1:2">
      <c r="A823">
        <v>0.56539608482277259</v>
      </c>
      <c r="B823">
        <v>0.57602907549416049</v>
      </c>
    </row>
    <row r="824" spans="1:2">
      <c r="A824">
        <v>0.56546158658810053</v>
      </c>
      <c r="B824">
        <v>0.57541637404786339</v>
      </c>
    </row>
    <row r="825" spans="1:2">
      <c r="A825">
        <v>0.56583189472706485</v>
      </c>
      <c r="B825">
        <v>0.57683440829434285</v>
      </c>
    </row>
    <row r="826" spans="1:2">
      <c r="A826">
        <v>0.56601078637745517</v>
      </c>
      <c r="B826">
        <v>0.5856089919740175</v>
      </c>
    </row>
    <row r="827" spans="1:2">
      <c r="A827">
        <v>0.56650823023946884</v>
      </c>
      <c r="B827">
        <v>0.58043699123519155</v>
      </c>
    </row>
    <row r="828" spans="1:2">
      <c r="A828">
        <v>0.56650873985984584</v>
      </c>
      <c r="B828">
        <v>0.58795062850146085</v>
      </c>
    </row>
    <row r="829" spans="1:2">
      <c r="A829">
        <v>0.56658075670376618</v>
      </c>
      <c r="B829">
        <v>0.5811888622937551</v>
      </c>
    </row>
    <row r="830" spans="1:2">
      <c r="A830">
        <v>0.56675993678502035</v>
      </c>
      <c r="B830">
        <v>0.58043183198219162</v>
      </c>
    </row>
    <row r="831" spans="1:2">
      <c r="A831">
        <v>0.56713007663268045</v>
      </c>
      <c r="B831">
        <v>0.58069403138297859</v>
      </c>
    </row>
    <row r="832" spans="1:2">
      <c r="A832">
        <v>0.56717423988659965</v>
      </c>
      <c r="B832">
        <v>0.58181333790833323</v>
      </c>
    </row>
    <row r="833" spans="1:2">
      <c r="A833">
        <v>0.56731253993217645</v>
      </c>
      <c r="B833">
        <v>0.58202285176672219</v>
      </c>
    </row>
    <row r="834" spans="1:2">
      <c r="A834">
        <v>0.56775043821287363</v>
      </c>
      <c r="B834">
        <v>0.57228721629564039</v>
      </c>
    </row>
    <row r="835" spans="1:2">
      <c r="A835">
        <v>0.56784802038215176</v>
      </c>
      <c r="B835">
        <v>0.57781573017522436</v>
      </c>
    </row>
    <row r="836" spans="1:2">
      <c r="A836">
        <v>0.56794740565597757</v>
      </c>
      <c r="B836">
        <v>0.57948211485263912</v>
      </c>
    </row>
    <row r="837" spans="1:2">
      <c r="A837">
        <v>0.56850913056454999</v>
      </c>
      <c r="B837">
        <v>0.58125285832152962</v>
      </c>
    </row>
    <row r="838" spans="1:2">
      <c r="A838">
        <v>0.56857378904421008</v>
      </c>
      <c r="B838">
        <v>0.58081626532655473</v>
      </c>
    </row>
    <row r="839" spans="1:2">
      <c r="A839">
        <v>0.56890311678179761</v>
      </c>
      <c r="B839">
        <v>0.5787610963585581</v>
      </c>
    </row>
    <row r="840" spans="1:2">
      <c r="A840">
        <v>0.56936894532796956</v>
      </c>
      <c r="B840">
        <v>0.58220446167761986</v>
      </c>
    </row>
    <row r="841" spans="1:2">
      <c r="A841">
        <v>0.5701283762509316</v>
      </c>
      <c r="B841">
        <v>0.58382932159272916</v>
      </c>
    </row>
    <row r="842" spans="1:2">
      <c r="A842">
        <v>0.5701431575070619</v>
      </c>
      <c r="B842">
        <v>0.58671141275280914</v>
      </c>
    </row>
    <row r="843" spans="1:2">
      <c r="A843">
        <v>0.57015994521474134</v>
      </c>
      <c r="B843">
        <v>0.58916849535409432</v>
      </c>
    </row>
    <row r="844" spans="1:2">
      <c r="A844">
        <v>0.57177630172465999</v>
      </c>
      <c r="B844">
        <v>0.5805376446416074</v>
      </c>
    </row>
    <row r="845" spans="1:2">
      <c r="A845">
        <v>0.57203994993008556</v>
      </c>
      <c r="B845">
        <v>0.57735066702897664</v>
      </c>
    </row>
    <row r="846" spans="1:2">
      <c r="A846">
        <v>0.57231852132433692</v>
      </c>
      <c r="B846">
        <v>0.58342756345730384</v>
      </c>
    </row>
    <row r="847" spans="1:2">
      <c r="A847">
        <v>0.57239781524689903</v>
      </c>
      <c r="B847">
        <v>0.59008876575333058</v>
      </c>
    </row>
    <row r="848" spans="1:2">
      <c r="A848">
        <v>0.57261299550843225</v>
      </c>
      <c r="B848">
        <v>0.57625857681360881</v>
      </c>
    </row>
    <row r="849" spans="1:2">
      <c r="A849">
        <v>0.572676178884445</v>
      </c>
      <c r="B849">
        <v>0.59091697758572514</v>
      </c>
    </row>
    <row r="850" spans="1:2">
      <c r="A850">
        <v>0.57270447197916907</v>
      </c>
      <c r="B850">
        <v>0.59029606195428819</v>
      </c>
    </row>
    <row r="851" spans="1:2">
      <c r="A851">
        <v>0.57276154296553061</v>
      </c>
      <c r="B851">
        <v>0.58724664179688069</v>
      </c>
    </row>
    <row r="852" spans="1:2">
      <c r="A852">
        <v>0.57289624186619781</v>
      </c>
      <c r="B852">
        <v>0.58718046622004882</v>
      </c>
    </row>
    <row r="853" spans="1:2">
      <c r="A853">
        <v>0.57353250802836742</v>
      </c>
      <c r="B853">
        <v>0.58212045507910326</v>
      </c>
    </row>
    <row r="854" spans="1:2">
      <c r="A854">
        <v>0.57474876831122523</v>
      </c>
      <c r="B854">
        <v>0.58933935829106565</v>
      </c>
    </row>
    <row r="855" spans="1:2">
      <c r="A855">
        <v>0.57495367664451547</v>
      </c>
      <c r="B855">
        <v>0.58936349742039773</v>
      </c>
    </row>
    <row r="856" spans="1:2">
      <c r="A856">
        <v>0.57506979901087618</v>
      </c>
      <c r="B856">
        <v>0.59327167144001913</v>
      </c>
    </row>
    <row r="857" spans="1:2">
      <c r="A857">
        <v>0.57548554009368491</v>
      </c>
      <c r="B857">
        <v>0.58131378019388347</v>
      </c>
    </row>
    <row r="858" spans="1:2">
      <c r="A858">
        <v>0.57601494468839587</v>
      </c>
      <c r="B858">
        <v>0.58734672224297768</v>
      </c>
    </row>
    <row r="859" spans="1:2">
      <c r="A859">
        <v>0.57640339026570342</v>
      </c>
      <c r="B859">
        <v>0.57970486305417912</v>
      </c>
    </row>
    <row r="860" spans="1:2">
      <c r="A860">
        <v>0.57640592613702146</v>
      </c>
      <c r="B860">
        <v>0.58570249661549445</v>
      </c>
    </row>
    <row r="861" spans="1:2">
      <c r="A861">
        <v>0.57652404409118441</v>
      </c>
      <c r="B861">
        <v>0.59037961504695091</v>
      </c>
    </row>
    <row r="862" spans="1:2">
      <c r="A862">
        <v>0.57686552299903027</v>
      </c>
      <c r="B862">
        <v>0.59205410206531128</v>
      </c>
    </row>
    <row r="863" spans="1:2">
      <c r="A863">
        <v>0.57713086795066904</v>
      </c>
      <c r="B863">
        <v>0.58999232278709279</v>
      </c>
    </row>
    <row r="864" spans="1:2">
      <c r="A864">
        <v>0.57878833040304123</v>
      </c>
      <c r="B864">
        <v>0.58473182884368824</v>
      </c>
    </row>
    <row r="865" spans="1:2">
      <c r="A865">
        <v>0.57899566867546637</v>
      </c>
      <c r="B865">
        <v>0.59112407696440195</v>
      </c>
    </row>
    <row r="866" spans="1:2">
      <c r="A866">
        <v>0.57901800828502004</v>
      </c>
      <c r="B866">
        <v>0.58558901504229732</v>
      </c>
    </row>
    <row r="867" spans="1:2">
      <c r="A867">
        <v>0.57923441180692359</v>
      </c>
      <c r="B867">
        <v>0.59711093625322886</v>
      </c>
    </row>
    <row r="868" spans="1:2">
      <c r="A868">
        <v>0.58005399699273841</v>
      </c>
      <c r="B868">
        <v>0.58856707487895343</v>
      </c>
    </row>
    <row r="869" spans="1:2">
      <c r="A869">
        <v>0.58015662131113332</v>
      </c>
      <c r="B869">
        <v>0.59685285421996559</v>
      </c>
    </row>
    <row r="870" spans="1:2">
      <c r="A870">
        <v>0.5804469323335727</v>
      </c>
      <c r="B870">
        <v>0.58614966431306137</v>
      </c>
    </row>
    <row r="871" spans="1:2">
      <c r="A871">
        <v>0.58057089793085281</v>
      </c>
      <c r="B871">
        <v>0.59219649670381269</v>
      </c>
    </row>
    <row r="872" spans="1:2">
      <c r="A872">
        <v>0.58059475685334772</v>
      </c>
      <c r="B872">
        <v>0.59833607679188616</v>
      </c>
    </row>
    <row r="873" spans="1:2">
      <c r="A873">
        <v>0.58074404520493816</v>
      </c>
      <c r="B873">
        <v>0.59279810220466655</v>
      </c>
    </row>
    <row r="874" spans="1:2">
      <c r="A874">
        <v>0.58110237082984695</v>
      </c>
      <c r="B874">
        <v>0.59118426856449779</v>
      </c>
    </row>
    <row r="875" spans="1:2">
      <c r="A875">
        <v>0.58111437898765772</v>
      </c>
      <c r="B875">
        <v>0.59313234512624757</v>
      </c>
    </row>
    <row r="876" spans="1:2">
      <c r="A876">
        <v>0.58134081710487373</v>
      </c>
      <c r="B876">
        <v>0.58473532327488698</v>
      </c>
    </row>
    <row r="877" spans="1:2">
      <c r="A877">
        <v>0.58177899503290176</v>
      </c>
      <c r="B877">
        <v>0.59897806468074144</v>
      </c>
    </row>
    <row r="878" spans="1:2">
      <c r="A878">
        <v>0.58242978377774446</v>
      </c>
      <c r="B878">
        <v>0.59563244477931609</v>
      </c>
    </row>
    <row r="879" spans="1:2">
      <c r="A879">
        <v>0.58276223728371523</v>
      </c>
      <c r="B879">
        <v>0.59015309389851489</v>
      </c>
    </row>
    <row r="880" spans="1:2">
      <c r="A880">
        <v>0.58276532762266886</v>
      </c>
      <c r="B880">
        <v>0.59132162508866959</v>
      </c>
    </row>
    <row r="881" spans="1:2">
      <c r="A881">
        <v>0.58326197392248313</v>
      </c>
      <c r="B881">
        <v>0.59477658752933593</v>
      </c>
    </row>
    <row r="882" spans="1:2">
      <c r="A882">
        <v>0.58326240802567131</v>
      </c>
      <c r="B882">
        <v>0.58871727540804508</v>
      </c>
    </row>
    <row r="883" spans="1:2">
      <c r="A883">
        <v>0.58356986839370473</v>
      </c>
      <c r="B883">
        <v>0.60113888069199239</v>
      </c>
    </row>
    <row r="884" spans="1:2">
      <c r="A884">
        <v>0.5837633442657868</v>
      </c>
      <c r="B884">
        <v>0.59387587710054279</v>
      </c>
    </row>
    <row r="885" spans="1:2">
      <c r="A885">
        <v>0.58390626124774003</v>
      </c>
      <c r="B885">
        <v>0.58332986959424837</v>
      </c>
    </row>
    <row r="886" spans="1:2">
      <c r="A886">
        <v>0.58415518069702721</v>
      </c>
      <c r="B886">
        <v>0.60231763420998086</v>
      </c>
    </row>
    <row r="887" spans="1:2">
      <c r="A887">
        <v>0.58419254051332437</v>
      </c>
      <c r="B887">
        <v>0.59693922453208759</v>
      </c>
    </row>
    <row r="888" spans="1:2">
      <c r="A888">
        <v>0.58441122742731233</v>
      </c>
      <c r="B888">
        <v>0.58986346014947</v>
      </c>
    </row>
    <row r="889" spans="1:2">
      <c r="A889">
        <v>0.58473356854712055</v>
      </c>
      <c r="B889">
        <v>0.59082741308817699</v>
      </c>
    </row>
    <row r="890" spans="1:2">
      <c r="A890">
        <v>0.58502957048157445</v>
      </c>
      <c r="B890">
        <v>0.60123168973654084</v>
      </c>
    </row>
    <row r="891" spans="1:2">
      <c r="A891">
        <v>0.58539994427918163</v>
      </c>
      <c r="B891">
        <v>0.59766035482171442</v>
      </c>
    </row>
    <row r="892" spans="1:2">
      <c r="A892">
        <v>0.58635837588403461</v>
      </c>
      <c r="B892">
        <v>0.59834134906959713</v>
      </c>
    </row>
    <row r="893" spans="1:2">
      <c r="A893">
        <v>0.58702810726430132</v>
      </c>
      <c r="B893">
        <v>0.60478347272845601</v>
      </c>
    </row>
    <row r="894" spans="1:2">
      <c r="A894">
        <v>0.58702895711608938</v>
      </c>
      <c r="B894">
        <v>0.60042021744560747</v>
      </c>
    </row>
    <row r="895" spans="1:2">
      <c r="A895">
        <v>0.58711725965148853</v>
      </c>
      <c r="B895">
        <v>0.59532065097468978</v>
      </c>
    </row>
    <row r="896" spans="1:2">
      <c r="A896">
        <v>0.5875922246295312</v>
      </c>
      <c r="B896">
        <v>0.59906231385782516</v>
      </c>
    </row>
    <row r="897" spans="1:2">
      <c r="A897">
        <v>0.5876583172878953</v>
      </c>
      <c r="B897">
        <v>0.58588012798637867</v>
      </c>
    </row>
    <row r="898" spans="1:2">
      <c r="A898">
        <v>0.58779825466151037</v>
      </c>
      <c r="B898">
        <v>0.60198020174055877</v>
      </c>
    </row>
    <row r="899" spans="1:2">
      <c r="A899">
        <v>0.58807247429132392</v>
      </c>
      <c r="B899">
        <v>0.59615144601506043</v>
      </c>
    </row>
    <row r="900" spans="1:2">
      <c r="A900">
        <v>0.58899289409869793</v>
      </c>
      <c r="B900">
        <v>0.59489214570892002</v>
      </c>
    </row>
    <row r="901" spans="1:2">
      <c r="A901">
        <v>0.58903298472329768</v>
      </c>
      <c r="B901">
        <v>0.60244994290057019</v>
      </c>
    </row>
    <row r="902" spans="1:2">
      <c r="A902">
        <v>0.58946063412392546</v>
      </c>
      <c r="B902">
        <v>0.60435089938210773</v>
      </c>
    </row>
    <row r="903" spans="1:2">
      <c r="A903">
        <v>0.5895702711422024</v>
      </c>
      <c r="B903">
        <v>0.60500779153741646</v>
      </c>
    </row>
    <row r="904" spans="1:2">
      <c r="A904">
        <v>0.58986324788251976</v>
      </c>
      <c r="B904">
        <v>0.60236660867408531</v>
      </c>
    </row>
    <row r="905" spans="1:2">
      <c r="A905">
        <v>0.59017472974769813</v>
      </c>
      <c r="B905">
        <v>0.59825743576471058</v>
      </c>
    </row>
    <row r="906" spans="1:2">
      <c r="A906">
        <v>0.59117176259623916</v>
      </c>
      <c r="B906">
        <v>0.59724487204384835</v>
      </c>
    </row>
    <row r="907" spans="1:2">
      <c r="A907">
        <v>0.59258245154545464</v>
      </c>
      <c r="B907">
        <v>0.6059029758716209</v>
      </c>
    </row>
    <row r="908" spans="1:2">
      <c r="A908">
        <v>0.59273912359994141</v>
      </c>
      <c r="B908">
        <v>0.6089048804126086</v>
      </c>
    </row>
    <row r="909" spans="1:2">
      <c r="A909">
        <v>0.59366534109996461</v>
      </c>
      <c r="B909">
        <v>0.60283141605280033</v>
      </c>
    </row>
    <row r="910" spans="1:2">
      <c r="A910">
        <v>0.59408846611837063</v>
      </c>
      <c r="B910">
        <v>0.60200669562123921</v>
      </c>
    </row>
    <row r="911" spans="1:2">
      <c r="A911">
        <v>0.59416294534076253</v>
      </c>
      <c r="B911">
        <v>0.6115274823795791</v>
      </c>
    </row>
    <row r="912" spans="1:2">
      <c r="A912">
        <v>0.59424467063811204</v>
      </c>
      <c r="B912">
        <v>0.61342781861500784</v>
      </c>
    </row>
    <row r="913" spans="1:2">
      <c r="A913">
        <v>0.59436249888450143</v>
      </c>
      <c r="B913">
        <v>0.61178518812061522</v>
      </c>
    </row>
    <row r="914" spans="1:2">
      <c r="A914">
        <v>0.59456315452914466</v>
      </c>
      <c r="B914">
        <v>0.61350364702164895</v>
      </c>
    </row>
    <row r="915" spans="1:2">
      <c r="A915">
        <v>0.59497973539246651</v>
      </c>
      <c r="B915">
        <v>0.6088687188811237</v>
      </c>
    </row>
    <row r="916" spans="1:2">
      <c r="A916">
        <v>0.59513455594803821</v>
      </c>
      <c r="B916">
        <v>0.60855788210853601</v>
      </c>
    </row>
    <row r="917" spans="1:2">
      <c r="A917">
        <v>0.5951524188974906</v>
      </c>
      <c r="B917">
        <v>0.617247643789402</v>
      </c>
    </row>
    <row r="918" spans="1:2">
      <c r="A918">
        <v>0.59518498689670141</v>
      </c>
      <c r="B918">
        <v>0.60538556716224923</v>
      </c>
    </row>
    <row r="919" spans="1:2">
      <c r="A919">
        <v>0.59561113899707829</v>
      </c>
      <c r="B919">
        <v>0.60559759406617542</v>
      </c>
    </row>
    <row r="920" spans="1:2">
      <c r="A920">
        <v>0.59603408279851522</v>
      </c>
      <c r="B920">
        <v>0.60987671083582728</v>
      </c>
    </row>
    <row r="921" spans="1:2">
      <c r="A921">
        <v>0.59722834040266182</v>
      </c>
      <c r="B921">
        <v>0.6024423675112851</v>
      </c>
    </row>
    <row r="922" spans="1:2">
      <c r="A922">
        <v>0.59771483149930127</v>
      </c>
      <c r="B922">
        <v>0.60805464709293799</v>
      </c>
    </row>
    <row r="923" spans="1:2">
      <c r="A923">
        <v>0.59790878921160961</v>
      </c>
      <c r="B923">
        <v>0.61248841873075521</v>
      </c>
    </row>
    <row r="924" spans="1:2">
      <c r="A924">
        <v>0.5982487667102182</v>
      </c>
      <c r="B924">
        <v>0.60187420825966553</v>
      </c>
    </row>
    <row r="925" spans="1:2">
      <c r="A925">
        <v>0.59869142461395453</v>
      </c>
      <c r="B925">
        <v>0.61997514447075341</v>
      </c>
    </row>
    <row r="926" spans="1:2">
      <c r="A926">
        <v>0.59878225230405913</v>
      </c>
      <c r="B926">
        <v>0.62096014522263321</v>
      </c>
    </row>
    <row r="927" spans="1:2">
      <c r="A927">
        <v>0.60055067103139548</v>
      </c>
      <c r="B927">
        <v>0.60817202992566577</v>
      </c>
    </row>
    <row r="928" spans="1:2">
      <c r="A928">
        <v>0.60072721221077963</v>
      </c>
      <c r="B928">
        <v>0.61109817922978293</v>
      </c>
    </row>
    <row r="929" spans="1:2">
      <c r="A929">
        <v>0.60126645669154732</v>
      </c>
      <c r="B929">
        <v>0.61009033754915376</v>
      </c>
    </row>
    <row r="930" spans="1:2">
      <c r="A930">
        <v>0.60134839090811654</v>
      </c>
      <c r="B930">
        <v>0.61760718763733913</v>
      </c>
    </row>
    <row r="931" spans="1:2">
      <c r="A931">
        <v>0.60140518443648239</v>
      </c>
      <c r="B931">
        <v>0.61286338516836081</v>
      </c>
    </row>
    <row r="932" spans="1:2">
      <c r="A932">
        <v>0.60144499112706207</v>
      </c>
      <c r="B932">
        <v>0.61131641790971558</v>
      </c>
    </row>
    <row r="933" spans="1:2">
      <c r="A933">
        <v>0.6017364222735071</v>
      </c>
      <c r="B933">
        <v>0.61852418730314651</v>
      </c>
    </row>
    <row r="934" spans="1:2">
      <c r="A934">
        <v>0.60213389391995842</v>
      </c>
      <c r="B934">
        <v>0.61195983423665512</v>
      </c>
    </row>
    <row r="935" spans="1:2">
      <c r="A935">
        <v>0.6022920625401702</v>
      </c>
      <c r="B935">
        <v>0.61328058132033381</v>
      </c>
    </row>
    <row r="936" spans="1:2">
      <c r="A936">
        <v>0.60258194786712682</v>
      </c>
      <c r="B936">
        <v>0.62163235660553551</v>
      </c>
    </row>
    <row r="937" spans="1:2">
      <c r="A937">
        <v>0.6027846099435803</v>
      </c>
      <c r="B937">
        <v>0.61908861303491902</v>
      </c>
    </row>
    <row r="938" spans="1:2">
      <c r="A938">
        <v>0.60301812023841272</v>
      </c>
      <c r="B938">
        <v>0.6085320169305064</v>
      </c>
    </row>
    <row r="939" spans="1:2">
      <c r="A939">
        <v>0.60313892374553479</v>
      </c>
      <c r="B939">
        <v>0.61721402273159842</v>
      </c>
    </row>
    <row r="940" spans="1:2">
      <c r="A940">
        <v>0.60345412756881023</v>
      </c>
      <c r="B940">
        <v>0.61235492266999969</v>
      </c>
    </row>
    <row r="941" spans="1:2">
      <c r="A941">
        <v>0.60352250116994632</v>
      </c>
      <c r="B941">
        <v>0.61507212226826036</v>
      </c>
    </row>
    <row r="942" spans="1:2">
      <c r="A942">
        <v>0.60381507249081834</v>
      </c>
      <c r="B942">
        <v>0.61954229755485235</v>
      </c>
    </row>
    <row r="943" spans="1:2">
      <c r="A943">
        <v>0.60398871246724439</v>
      </c>
      <c r="B943">
        <v>0.61341816590724985</v>
      </c>
    </row>
    <row r="944" spans="1:2">
      <c r="A944">
        <v>0.60529091935881163</v>
      </c>
      <c r="B944">
        <v>0.61376286625813292</v>
      </c>
    </row>
    <row r="945" spans="1:2">
      <c r="A945">
        <v>0.6061326592797488</v>
      </c>
      <c r="B945">
        <v>0.61356848730994029</v>
      </c>
    </row>
    <row r="946" spans="1:2">
      <c r="A946">
        <v>0.60638363168339982</v>
      </c>
      <c r="B946">
        <v>0.61988149886217858</v>
      </c>
    </row>
    <row r="947" spans="1:2">
      <c r="A947">
        <v>0.60641193233131951</v>
      </c>
      <c r="B947">
        <v>0.61233810953925061</v>
      </c>
    </row>
    <row r="948" spans="1:2">
      <c r="A948">
        <v>0.60729175903884358</v>
      </c>
      <c r="B948">
        <v>0.61738880359642956</v>
      </c>
    </row>
    <row r="949" spans="1:2">
      <c r="A949">
        <v>0.60748837167750769</v>
      </c>
      <c r="B949">
        <v>0.61601795461040387</v>
      </c>
    </row>
    <row r="950" spans="1:2">
      <c r="A950">
        <v>0.60791646901829888</v>
      </c>
      <c r="B950">
        <v>0.62301123133579983</v>
      </c>
    </row>
    <row r="951" spans="1:2">
      <c r="A951">
        <v>0.60793066180964661</v>
      </c>
      <c r="B951">
        <v>0.62495230124971857</v>
      </c>
    </row>
    <row r="952" spans="1:2">
      <c r="A952">
        <v>0.60846178874637236</v>
      </c>
      <c r="B952">
        <v>0.62229754565310891</v>
      </c>
    </row>
    <row r="953" spans="1:2">
      <c r="A953">
        <v>0.61013066582524456</v>
      </c>
      <c r="B953">
        <v>0.61750258646463918</v>
      </c>
    </row>
    <row r="954" spans="1:2">
      <c r="A954">
        <v>0.61015321458766836</v>
      </c>
      <c r="B954">
        <v>0.62033980182155524</v>
      </c>
    </row>
    <row r="955" spans="1:2">
      <c r="A955">
        <v>0.61043619118949788</v>
      </c>
      <c r="B955">
        <v>0.62160727860301412</v>
      </c>
    </row>
    <row r="956" spans="1:2">
      <c r="A956">
        <v>0.61075173706520247</v>
      </c>
      <c r="B956">
        <v>0.61833418848972621</v>
      </c>
    </row>
    <row r="957" spans="1:2">
      <c r="A957">
        <v>0.61087683541991344</v>
      </c>
      <c r="B957">
        <v>0.62100968225783237</v>
      </c>
    </row>
    <row r="958" spans="1:2">
      <c r="A958">
        <v>0.61098832935144942</v>
      </c>
      <c r="B958">
        <v>0.61961534211661229</v>
      </c>
    </row>
    <row r="959" spans="1:2">
      <c r="A959">
        <v>0.61169801815331004</v>
      </c>
      <c r="B959">
        <v>0.62633428211940556</v>
      </c>
    </row>
    <row r="960" spans="1:2">
      <c r="A960">
        <v>0.6118784402821198</v>
      </c>
      <c r="B960">
        <v>0.62189339935799626</v>
      </c>
    </row>
    <row r="961" spans="1:2">
      <c r="A961">
        <v>0.6120529946463551</v>
      </c>
      <c r="B961">
        <v>0.62512371084772866</v>
      </c>
    </row>
    <row r="962" spans="1:2">
      <c r="A962">
        <v>0.61208414623010932</v>
      </c>
      <c r="B962">
        <v>0.6285064114019252</v>
      </c>
    </row>
    <row r="963" spans="1:2">
      <c r="A963">
        <v>0.61241357470421864</v>
      </c>
      <c r="B963">
        <v>0.61995977543508096</v>
      </c>
    </row>
    <row r="964" spans="1:2">
      <c r="A964">
        <v>0.61340034729275827</v>
      </c>
      <c r="B964">
        <v>0.62753054980226219</v>
      </c>
    </row>
    <row r="965" spans="1:2">
      <c r="A965">
        <v>0.61404476590892509</v>
      </c>
      <c r="B965">
        <v>0.6187746070181126</v>
      </c>
    </row>
    <row r="966" spans="1:2">
      <c r="A966">
        <v>0.61529228512578327</v>
      </c>
      <c r="B966">
        <v>0.62928232836852582</v>
      </c>
    </row>
    <row r="967" spans="1:2">
      <c r="A967">
        <v>0.61566897655169583</v>
      </c>
      <c r="B967">
        <v>0.62589275222992125</v>
      </c>
    </row>
    <row r="968" spans="1:2">
      <c r="A968">
        <v>0.61583934170827892</v>
      </c>
      <c r="B968">
        <v>0.6286663923718856</v>
      </c>
    </row>
    <row r="969" spans="1:2">
      <c r="A969">
        <v>0.61660061502717867</v>
      </c>
      <c r="B969">
        <v>0.61134027694085646</v>
      </c>
    </row>
    <row r="970" spans="1:2">
      <c r="A970">
        <v>0.61673027710247319</v>
      </c>
      <c r="B970">
        <v>0.63196758789053031</v>
      </c>
    </row>
    <row r="971" spans="1:2">
      <c r="A971">
        <v>0.61717179103934428</v>
      </c>
      <c r="B971">
        <v>0.62652635668939682</v>
      </c>
    </row>
    <row r="972" spans="1:2">
      <c r="A972">
        <v>0.6176205352066495</v>
      </c>
      <c r="B972">
        <v>0.63741287989595097</v>
      </c>
    </row>
    <row r="973" spans="1:2">
      <c r="A973">
        <v>0.6179000934695843</v>
      </c>
      <c r="B973">
        <v>0.63369297959349113</v>
      </c>
    </row>
    <row r="974" spans="1:2">
      <c r="A974">
        <v>0.6179429792800436</v>
      </c>
      <c r="B974">
        <v>0.63221032991342685</v>
      </c>
    </row>
    <row r="975" spans="1:2">
      <c r="A975">
        <v>0.61943050221429652</v>
      </c>
      <c r="B975">
        <v>0.63296112864089715</v>
      </c>
    </row>
    <row r="976" spans="1:2">
      <c r="A976">
        <v>0.62118533095020301</v>
      </c>
      <c r="B976">
        <v>0.64210242194506473</v>
      </c>
    </row>
    <row r="977" spans="1:2">
      <c r="A977">
        <v>0.62176198567187069</v>
      </c>
      <c r="B977">
        <v>0.63142083751129807</v>
      </c>
    </row>
    <row r="978" spans="1:2">
      <c r="A978">
        <v>0.62312999601081498</v>
      </c>
      <c r="B978">
        <v>0.62957121409749717</v>
      </c>
    </row>
    <row r="979" spans="1:2">
      <c r="A979">
        <v>0.62427017224779491</v>
      </c>
      <c r="B979">
        <v>0.63014417915940513</v>
      </c>
    </row>
    <row r="980" spans="1:2">
      <c r="A980">
        <v>0.62544072124882011</v>
      </c>
      <c r="B980">
        <v>0.64288002278309597</v>
      </c>
    </row>
    <row r="981" spans="1:2">
      <c r="A981">
        <v>0.62634136086123127</v>
      </c>
      <c r="B981">
        <v>0.64263895392595105</v>
      </c>
    </row>
    <row r="982" spans="1:2">
      <c r="A982">
        <v>0.62653063858571711</v>
      </c>
      <c r="B982">
        <v>0.63436542326345779</v>
      </c>
    </row>
    <row r="983" spans="1:2">
      <c r="A983">
        <v>0.62706374931502373</v>
      </c>
      <c r="B983">
        <v>0.64375773182912666</v>
      </c>
    </row>
    <row r="984" spans="1:2">
      <c r="A984">
        <v>0.62746866280498037</v>
      </c>
      <c r="B984">
        <v>0.6437538107314984</v>
      </c>
    </row>
    <row r="985" spans="1:2">
      <c r="A985">
        <v>0.62833105439971382</v>
      </c>
      <c r="B985">
        <v>0.63802572889353104</v>
      </c>
    </row>
    <row r="986" spans="1:2">
      <c r="A986">
        <v>0.62855617206512715</v>
      </c>
      <c r="B986">
        <v>0.64469083115412085</v>
      </c>
    </row>
    <row r="987" spans="1:2">
      <c r="A987">
        <v>0.62924036951704054</v>
      </c>
      <c r="B987">
        <v>0.63492564135925422</v>
      </c>
    </row>
    <row r="988" spans="1:2">
      <c r="A988">
        <v>0.6302986338024229</v>
      </c>
      <c r="B988">
        <v>0.64359449949716041</v>
      </c>
    </row>
    <row r="989" spans="1:2">
      <c r="A989">
        <v>0.63046333714041602</v>
      </c>
      <c r="B989">
        <v>0.63496340551524411</v>
      </c>
    </row>
    <row r="990" spans="1:2">
      <c r="A990">
        <v>0.63163600890655613</v>
      </c>
      <c r="B990">
        <v>0.64559131124355529</v>
      </c>
    </row>
    <row r="991" spans="1:2">
      <c r="A991">
        <v>0.63184766232040512</v>
      </c>
      <c r="B991">
        <v>0.6492333592771955</v>
      </c>
    </row>
    <row r="992" spans="1:2">
      <c r="A992">
        <v>0.6333029257948013</v>
      </c>
      <c r="B992">
        <v>0.64764393347892868</v>
      </c>
    </row>
    <row r="993" spans="1:2">
      <c r="A993">
        <v>0.63341551141847185</v>
      </c>
      <c r="B993">
        <v>0.63960974749583799</v>
      </c>
    </row>
    <row r="994" spans="1:2">
      <c r="A994">
        <v>0.636755981394724</v>
      </c>
      <c r="B994">
        <v>0.65068589971018842</v>
      </c>
    </row>
    <row r="995" spans="1:2">
      <c r="A995">
        <v>0.63776766840272581</v>
      </c>
      <c r="B995">
        <v>0.65042337141088225</v>
      </c>
    </row>
    <row r="996" spans="1:2">
      <c r="A996">
        <v>0.63820029634582953</v>
      </c>
      <c r="B996">
        <v>0.65004871505332651</v>
      </c>
    </row>
    <row r="997" spans="1:2">
      <c r="A997">
        <v>0.63932739668247029</v>
      </c>
      <c r="B997">
        <v>0.65443254707805243</v>
      </c>
    </row>
    <row r="998" spans="1:2">
      <c r="A998">
        <v>0.63959235914043377</v>
      </c>
      <c r="B998">
        <v>0.64961845188517797</v>
      </c>
    </row>
    <row r="999" spans="1:2">
      <c r="A999">
        <v>0.64022762658884425</v>
      </c>
      <c r="B999">
        <v>0.65696932435706334</v>
      </c>
    </row>
    <row r="1000" spans="1:2">
      <c r="A1000">
        <v>0.64058994530495772</v>
      </c>
      <c r="B1000">
        <v>0.6504480954132501</v>
      </c>
    </row>
    <row r="1001" spans="1:2">
      <c r="A1001">
        <v>0.64086043191767961</v>
      </c>
      <c r="B1001">
        <v>0.65000949574372724</v>
      </c>
    </row>
    <row r="1002" spans="1:2">
      <c r="A1002">
        <v>0.64133230747229963</v>
      </c>
      <c r="B1002">
        <v>0.65129775725430994</v>
      </c>
    </row>
    <row r="1003" spans="1:2">
      <c r="A1003">
        <v>0.64304188086912817</v>
      </c>
      <c r="B1003">
        <v>0.66184702189856082</v>
      </c>
    </row>
    <row r="1004" spans="1:2">
      <c r="A1004">
        <v>0.64324522882468216</v>
      </c>
      <c r="B1004">
        <v>0.66096487974988793</v>
      </c>
    </row>
    <row r="1005" spans="1:2">
      <c r="A1005">
        <v>0.64338320864888077</v>
      </c>
      <c r="B1005">
        <v>0.65946556055414496</v>
      </c>
    </row>
    <row r="1006" spans="1:2">
      <c r="A1006">
        <v>0.64537970553856472</v>
      </c>
      <c r="B1006">
        <v>0.6535289541477961</v>
      </c>
    </row>
    <row r="1007" spans="1:2">
      <c r="A1007">
        <v>0.64637239229125787</v>
      </c>
      <c r="B1007">
        <v>0.65677547610748022</v>
      </c>
    </row>
    <row r="1008" spans="1:2">
      <c r="A1008">
        <v>0.64711980238647626</v>
      </c>
      <c r="B1008">
        <v>0.66518201150507783</v>
      </c>
    </row>
    <row r="1009" spans="1:2">
      <c r="A1009">
        <v>0.64714054977108626</v>
      </c>
      <c r="B1009">
        <v>0.66481655836500586</v>
      </c>
    </row>
    <row r="1010" spans="1:2">
      <c r="A1010">
        <v>0.64803533885258358</v>
      </c>
      <c r="B1010">
        <v>0.65967249209331358</v>
      </c>
    </row>
    <row r="1011" spans="1:2">
      <c r="A1011">
        <v>0.64856762273418045</v>
      </c>
      <c r="B1011">
        <v>0.65760493973404277</v>
      </c>
    </row>
    <row r="1012" spans="1:2">
      <c r="A1012">
        <v>0.64958444752749589</v>
      </c>
      <c r="B1012">
        <v>0.67142988940920634</v>
      </c>
    </row>
    <row r="1013" spans="1:2">
      <c r="A1013">
        <v>0.65199745398893416</v>
      </c>
      <c r="B1013">
        <v>0.6635472480182143</v>
      </c>
    </row>
    <row r="1014" spans="1:2">
      <c r="A1014">
        <v>0.65267554862359289</v>
      </c>
      <c r="B1014">
        <v>0.66536812316915028</v>
      </c>
    </row>
    <row r="1015" spans="1:2">
      <c r="A1015">
        <v>0.65316384189746057</v>
      </c>
      <c r="B1015">
        <v>0.66114712439250667</v>
      </c>
    </row>
    <row r="1016" spans="1:2">
      <c r="A1016">
        <v>0.65535140763641941</v>
      </c>
      <c r="B1016">
        <v>0.67241982239212728</v>
      </c>
    </row>
    <row r="1017" spans="1:2">
      <c r="A1017">
        <v>0.65622700864226258</v>
      </c>
      <c r="B1017">
        <v>0.66350900768695154</v>
      </c>
    </row>
    <row r="1018" spans="1:2">
      <c r="A1018">
        <v>0.65624034362017902</v>
      </c>
      <c r="B1018">
        <v>0.66735072507972348</v>
      </c>
    </row>
    <row r="1019" spans="1:2">
      <c r="A1019">
        <v>0.65633914957117423</v>
      </c>
      <c r="B1019">
        <v>0.67252282852683465</v>
      </c>
    </row>
    <row r="1020" spans="1:2">
      <c r="A1020">
        <v>0.65648245962465213</v>
      </c>
      <c r="B1020">
        <v>0.68137052017752509</v>
      </c>
    </row>
    <row r="1021" spans="1:2">
      <c r="A1021">
        <v>0.65760363259981325</v>
      </c>
      <c r="B1021">
        <v>0.6773455176313411</v>
      </c>
    </row>
    <row r="1022" spans="1:2">
      <c r="A1022">
        <v>0.65911631804541149</v>
      </c>
      <c r="B1022">
        <v>0.67248314773841367</v>
      </c>
    </row>
    <row r="1023" spans="1:2">
      <c r="A1023">
        <v>0.65947921502391738</v>
      </c>
      <c r="B1023">
        <v>0.6675055663164583</v>
      </c>
    </row>
    <row r="1024" spans="1:2">
      <c r="A1024">
        <v>0.66087128410825369</v>
      </c>
      <c r="B1024">
        <v>0.68000344591221129</v>
      </c>
    </row>
    <row r="1025" spans="1:2">
      <c r="A1025">
        <v>0.66204393991833754</v>
      </c>
      <c r="B1025">
        <v>0.67461945681206648</v>
      </c>
    </row>
    <row r="1026" spans="1:2">
      <c r="A1026">
        <v>0.66245633119265412</v>
      </c>
      <c r="B1026">
        <v>0.67086329213643647</v>
      </c>
    </row>
    <row r="1027" spans="1:2">
      <c r="A1027">
        <v>0.66251214803959835</v>
      </c>
      <c r="B1027">
        <v>0.67933522069960195</v>
      </c>
    </row>
    <row r="1028" spans="1:2">
      <c r="A1028">
        <v>0.66258451272796948</v>
      </c>
      <c r="B1028">
        <v>0.67729332086929561</v>
      </c>
    </row>
    <row r="1029" spans="1:2">
      <c r="A1029">
        <v>0.66340435865693892</v>
      </c>
      <c r="B1029">
        <v>0.67385793920374626</v>
      </c>
    </row>
    <row r="1030" spans="1:2">
      <c r="A1030">
        <v>0.66463539166919094</v>
      </c>
      <c r="B1030">
        <v>0.6825801092261099</v>
      </c>
    </row>
    <row r="1031" spans="1:2">
      <c r="A1031">
        <v>0.66856585682055236</v>
      </c>
      <c r="B1031">
        <v>0.67695790808124801</v>
      </c>
    </row>
    <row r="1032" spans="1:2">
      <c r="A1032">
        <v>0.67018885250435578</v>
      </c>
      <c r="B1032">
        <v>0.69174802936323976</v>
      </c>
    </row>
    <row r="1033" spans="1:2">
      <c r="A1033">
        <v>0.67262289138837672</v>
      </c>
      <c r="B1033">
        <v>0.69204025513578582</v>
      </c>
    </row>
    <row r="1034" spans="1:2">
      <c r="A1034">
        <v>0.67298744630494178</v>
      </c>
      <c r="B1034">
        <v>0.68636407296534685</v>
      </c>
    </row>
    <row r="1035" spans="1:2">
      <c r="A1035">
        <v>0.67411307672875675</v>
      </c>
      <c r="B1035">
        <v>0.68712223690897456</v>
      </c>
    </row>
    <row r="1036" spans="1:2">
      <c r="A1036">
        <v>0.67473715260387646</v>
      </c>
      <c r="B1036">
        <v>0.6846170667771122</v>
      </c>
    </row>
    <row r="1037" spans="1:2">
      <c r="A1037">
        <v>0.67496525048158995</v>
      </c>
      <c r="B1037">
        <v>0.69054861513903099</v>
      </c>
    </row>
    <row r="1038" spans="1:2">
      <c r="A1038">
        <v>0.67686584242377823</v>
      </c>
      <c r="B1038">
        <v>0.69744594558984163</v>
      </c>
    </row>
    <row r="1039" spans="1:2">
      <c r="A1039">
        <v>0.67735011142735158</v>
      </c>
      <c r="B1039">
        <v>0.69131680902049697</v>
      </c>
    </row>
    <row r="1040" spans="1:2">
      <c r="A1040">
        <v>0.67780189907767219</v>
      </c>
      <c r="B1040">
        <v>0.69017296255623761</v>
      </c>
    </row>
    <row r="1041" spans="1:2">
      <c r="A1041">
        <v>0.67830941986816151</v>
      </c>
      <c r="B1041">
        <v>0.68838457737772252</v>
      </c>
    </row>
    <row r="1042" spans="1:2">
      <c r="A1042">
        <v>0.68208742095450092</v>
      </c>
      <c r="B1042">
        <v>0.69885203505422633</v>
      </c>
    </row>
    <row r="1043" spans="1:2">
      <c r="A1043">
        <v>0.68334581731975264</v>
      </c>
      <c r="B1043">
        <v>0.69380658504102766</v>
      </c>
    </row>
    <row r="1044" spans="1:2">
      <c r="A1044">
        <v>0.6845120165627212</v>
      </c>
      <c r="B1044">
        <v>0.68398789635570878</v>
      </c>
    </row>
    <row r="1045" spans="1:2">
      <c r="A1045">
        <v>0.68551923888548205</v>
      </c>
      <c r="B1045">
        <v>0.68537528464614106</v>
      </c>
    </row>
    <row r="1046" spans="1:2">
      <c r="A1046">
        <v>0.68678499788464942</v>
      </c>
      <c r="B1046">
        <v>0.6995236100284099</v>
      </c>
    </row>
    <row r="1047" spans="1:2">
      <c r="A1047">
        <v>0.68680308110207244</v>
      </c>
      <c r="B1047">
        <v>0.69574890858589433</v>
      </c>
    </row>
    <row r="1048" spans="1:2">
      <c r="A1048">
        <v>0.68756497591962273</v>
      </c>
      <c r="B1048">
        <v>0.71174428710173321</v>
      </c>
    </row>
    <row r="1049" spans="1:2">
      <c r="A1049">
        <v>0.69525000560731853</v>
      </c>
      <c r="B1049">
        <v>0.71249993095999942</v>
      </c>
    </row>
    <row r="1050" spans="1:2">
      <c r="A1050">
        <v>0.69585450508233082</v>
      </c>
      <c r="B1050">
        <v>0.71067159157675286</v>
      </c>
    </row>
    <row r="1051" spans="1:2">
      <c r="A1051">
        <v>0.69756261403371367</v>
      </c>
      <c r="B1051">
        <v>0.71270638751351012</v>
      </c>
    </row>
    <row r="1052" spans="1:2">
      <c r="A1052">
        <v>0.69809894132839656</v>
      </c>
      <c r="B1052">
        <v>0.71546542315012485</v>
      </c>
    </row>
    <row r="1053" spans="1:2">
      <c r="A1053">
        <v>0.69988532848582008</v>
      </c>
      <c r="B1053">
        <v>0.71028877294261672</v>
      </c>
    </row>
    <row r="1054" spans="1:2">
      <c r="A1054">
        <v>0.70080122317140259</v>
      </c>
      <c r="B1054">
        <v>0.71428180629008131</v>
      </c>
    </row>
    <row r="1055" spans="1:2">
      <c r="A1055">
        <v>0.70287859537929076</v>
      </c>
      <c r="B1055">
        <v>0.71153277088723677</v>
      </c>
    </row>
    <row r="1056" spans="1:2">
      <c r="A1056">
        <v>0.70427856285545942</v>
      </c>
      <c r="B1056">
        <v>0.71875284931814332</v>
      </c>
    </row>
    <row r="1057" spans="1:2">
      <c r="A1057">
        <v>0.70730883755662599</v>
      </c>
      <c r="B1057">
        <v>0.7226756778572595</v>
      </c>
    </row>
    <row r="1058" spans="1:2">
      <c r="A1058">
        <v>0.70893831840402521</v>
      </c>
      <c r="B1058">
        <v>0.72105870541715467</v>
      </c>
    </row>
    <row r="1059" spans="1:2">
      <c r="A1059">
        <v>0.71251920332818419</v>
      </c>
      <c r="B1059">
        <v>0.73316122450241539</v>
      </c>
    </row>
    <row r="1060" spans="1:2">
      <c r="A1060">
        <v>0.71463126152516954</v>
      </c>
      <c r="B1060">
        <v>0.72338211908898609</v>
      </c>
    </row>
    <row r="1061" spans="1:2">
      <c r="A1061">
        <v>0.71781700345332955</v>
      </c>
      <c r="B1061">
        <v>0.72890654816153055</v>
      </c>
    </row>
    <row r="1062" spans="1:2">
      <c r="A1062">
        <v>0.71802346180781984</v>
      </c>
      <c r="B1062">
        <v>0.72822544838751968</v>
      </c>
    </row>
    <row r="1063" spans="1:2">
      <c r="A1063">
        <v>0.71843952572005754</v>
      </c>
      <c r="B1063">
        <v>0.73221904303571284</v>
      </c>
    </row>
    <row r="1064" spans="1:2">
      <c r="A1064">
        <v>0.71853339142101702</v>
      </c>
      <c r="B1064">
        <v>0.73207385357244303</v>
      </c>
    </row>
    <row r="1065" spans="1:2">
      <c r="A1065">
        <v>0.72443928767285171</v>
      </c>
      <c r="B1065">
        <v>0.75064402781319994</v>
      </c>
    </row>
    <row r="1066" spans="1:2">
      <c r="A1066">
        <v>0.72548761957380481</v>
      </c>
      <c r="B1066">
        <v>0.74668014836528707</v>
      </c>
    </row>
    <row r="1067" spans="1:2">
      <c r="A1067">
        <v>0.72564932619572653</v>
      </c>
      <c r="B1067">
        <v>0.72983209999751075</v>
      </c>
    </row>
    <row r="1068" spans="1:2">
      <c r="A1068">
        <v>0.73032761498061471</v>
      </c>
      <c r="B1068">
        <v>0.7418534573753427</v>
      </c>
    </row>
    <row r="1069" spans="1:2">
      <c r="A1069">
        <v>0.73124625296301482</v>
      </c>
      <c r="B1069">
        <v>0.74606280491418353</v>
      </c>
    </row>
    <row r="1070" spans="1:2">
      <c r="A1070">
        <v>0.73268715328849954</v>
      </c>
      <c r="B1070">
        <v>0.75362056923747223</v>
      </c>
    </row>
    <row r="1071" spans="1:2">
      <c r="A1071">
        <v>0.73536020175476335</v>
      </c>
      <c r="B1071">
        <v>0.7570125590671497</v>
      </c>
    </row>
    <row r="1072" spans="1:2">
      <c r="A1072">
        <v>0.74019959107755851</v>
      </c>
      <c r="B1072">
        <v>0.75908853849944635</v>
      </c>
    </row>
    <row r="1073" spans="1:2">
      <c r="A1073">
        <v>0.74194518481163019</v>
      </c>
      <c r="B1073">
        <v>0.75539426433446022</v>
      </c>
    </row>
    <row r="1074" spans="1:2">
      <c r="A1074">
        <v>0.74273018644433397</v>
      </c>
      <c r="B1074">
        <v>0.76219626340210545</v>
      </c>
    </row>
    <row r="1075" spans="1:2">
      <c r="A1075">
        <v>0.74319254696542114</v>
      </c>
      <c r="B1075">
        <v>0.74970558521753705</v>
      </c>
    </row>
    <row r="1076" spans="1:2">
      <c r="A1076">
        <v>0.74864851297853929</v>
      </c>
      <c r="B1076">
        <v>0.76393197604738472</v>
      </c>
    </row>
    <row r="1077" spans="1:2">
      <c r="A1077">
        <v>0.74942188440726598</v>
      </c>
      <c r="B1077">
        <v>0.76057697521486645</v>
      </c>
    </row>
    <row r="1078" spans="1:2">
      <c r="A1078">
        <v>0.75287194497025967</v>
      </c>
      <c r="B1078">
        <v>0.76764318130196851</v>
      </c>
    </row>
    <row r="1079" spans="1:2">
      <c r="A1079">
        <v>0.75339489187071929</v>
      </c>
      <c r="B1079">
        <v>0.77084810431192508</v>
      </c>
    </row>
    <row r="1080" spans="1:2">
      <c r="A1080">
        <v>0.75636585364740605</v>
      </c>
      <c r="B1080">
        <v>0.76055113403382135</v>
      </c>
    </row>
    <row r="1081" spans="1:2">
      <c r="A1081">
        <v>0.75783579247017108</v>
      </c>
      <c r="B1081">
        <v>0.75947855736480507</v>
      </c>
    </row>
    <row r="1082" spans="1:2">
      <c r="A1082">
        <v>0.75971770004304917</v>
      </c>
      <c r="B1082">
        <v>0.77465180859232785</v>
      </c>
    </row>
    <row r="1083" spans="1:2">
      <c r="A1083">
        <v>0.77836303719130917</v>
      </c>
      <c r="B1083">
        <v>0.78621566390722597</v>
      </c>
    </row>
    <row r="1084" spans="1:2">
      <c r="A1084">
        <v>0.77963498364507244</v>
      </c>
      <c r="B1084">
        <v>0.79649550187646823</v>
      </c>
    </row>
    <row r="1085" spans="1:2">
      <c r="A1085">
        <v>0.78756065021902921</v>
      </c>
      <c r="B1085">
        <v>0.80122074977989099</v>
      </c>
    </row>
    <row r="1086" spans="1:2">
      <c r="A1086">
        <v>0.7875781330241185</v>
      </c>
      <c r="B1086">
        <v>0.80223917997900296</v>
      </c>
    </row>
    <row r="1087" spans="1:2">
      <c r="A1087">
        <v>0.79077094420368776</v>
      </c>
      <c r="B1087">
        <v>0.80810208247355519</v>
      </c>
    </row>
    <row r="1088" spans="1:2">
      <c r="A1088">
        <v>0.7926717679327383</v>
      </c>
      <c r="B1088">
        <v>0.79700193971093336</v>
      </c>
    </row>
    <row r="1089" spans="1:2">
      <c r="A1089">
        <v>0.80726104220843486</v>
      </c>
      <c r="B1089">
        <v>0.829570972197338</v>
      </c>
    </row>
    <row r="1090" spans="1:2">
      <c r="A1090">
        <v>0.80901773584015957</v>
      </c>
      <c r="B1090">
        <v>0.81140164783166435</v>
      </c>
    </row>
    <row r="1091" spans="1:2">
      <c r="A1091">
        <v>0.82418030565187061</v>
      </c>
      <c r="B1091">
        <v>0.84823970786551717</v>
      </c>
    </row>
    <row r="1092" spans="1:2">
      <c r="A1092">
        <v>0.83570540446534436</v>
      </c>
      <c r="B1092">
        <v>0.85723305570627906</v>
      </c>
    </row>
    <row r="1093" spans="1:2">
      <c r="A1093">
        <v>0.84156507739397057</v>
      </c>
      <c r="B1093">
        <v>0.86121840663019522</v>
      </c>
    </row>
    <row r="1094" spans="1:2">
      <c r="A1094">
        <v>0.84843426162595181</v>
      </c>
      <c r="B1094">
        <v>0.86433660379131771</v>
      </c>
    </row>
    <row r="1095" spans="1:2">
      <c r="A1095">
        <v>0.84906815720018769</v>
      </c>
      <c r="B1095">
        <v>0.87226918873504766</v>
      </c>
    </row>
    <row r="1096" spans="1:2">
      <c r="A1096">
        <v>0.8533455242200163</v>
      </c>
      <c r="B1096">
        <v>0.8741856996976346</v>
      </c>
    </row>
    <row r="1097" spans="1:2">
      <c r="A1097">
        <v>0.85335421282829016</v>
      </c>
      <c r="B1097">
        <v>0.8471553857948052</v>
      </c>
    </row>
    <row r="1098" spans="1:2">
      <c r="A1098">
        <v>0.89045235908596698</v>
      </c>
      <c r="B1098">
        <v>0.88826716938097572</v>
      </c>
    </row>
    <row r="1099" spans="1:2">
      <c r="A1099">
        <v>0.89582538647508025</v>
      </c>
      <c r="B1099">
        <v>0.8994213779447251</v>
      </c>
    </row>
    <row r="1100" spans="1:2">
      <c r="A1100">
        <v>0.90190773321954876</v>
      </c>
      <c r="B1100">
        <v>0.92558063018985015</v>
      </c>
    </row>
    <row r="1101" spans="1:2">
      <c r="A1101">
        <v>0.9315956886096336</v>
      </c>
      <c r="B1101">
        <v>0.95083954979535357</v>
      </c>
    </row>
    <row r="1102" spans="1:2">
      <c r="A1102">
        <v>0.93695369159720587</v>
      </c>
      <c r="B1102">
        <v>0.9247507566981269</v>
      </c>
    </row>
    <row r="1103" spans="1:2">
      <c r="A1103">
        <v>0.94542567245537434</v>
      </c>
      <c r="B1103">
        <v>0.95136035971376331</v>
      </c>
    </row>
    <row r="1104" spans="1:2">
      <c r="A1104">
        <v>1</v>
      </c>
      <c r="B1104">
        <v>1</v>
      </c>
    </row>
  </sheetData>
  <sortState ref="A2:B1104">
    <sortCondition ref="A2:A1104"/>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D286-3455-4BAE-945E-9337A1D9FFAB}">
  <dimension ref="A1:CL35"/>
  <sheetViews>
    <sheetView showGridLines="0" zoomScaleNormal="100" workbookViewId="0">
      <pane xSplit="5" ySplit="2" topLeftCell="R3" activePane="bottomRight" state="frozen"/>
      <selection pane="topRight" activeCell="F1" sqref="F1"/>
      <selection pane="bottomLeft" activeCell="A3" sqref="A3"/>
      <selection pane="bottomRight" activeCell="C5" sqref="C5"/>
    </sheetView>
  </sheetViews>
  <sheetFormatPr baseColWidth="10" defaultColWidth="11.4140625" defaultRowHeight="14" outlineLevelCol="1"/>
  <cols>
    <col min="5" max="5" width="25.4140625" bestFit="1" customWidth="1"/>
    <col min="6" max="7" width="11.4140625" customWidth="1" outlineLevel="1"/>
    <col min="8" max="9" width="11.58203125" customWidth="1" outlineLevel="1"/>
    <col min="10" max="10" width="12" customWidth="1" outlineLevel="1"/>
    <col min="11" max="11" width="13.58203125" customWidth="1" outlineLevel="1"/>
    <col min="12" max="13" width="10.83203125" customWidth="1" outlineLevel="1"/>
    <col min="14" max="17" width="23.58203125" customWidth="1" outlineLevel="1"/>
    <col min="18" max="20" width="11.4140625" customWidth="1" outlineLevel="1"/>
    <col min="21" max="22" width="11.4140625" style="216" customWidth="1" outlineLevel="1"/>
    <col min="23" max="23" width="11.4140625" customWidth="1" outlineLevel="1"/>
    <col min="24" max="24" width="12" customWidth="1" outlineLevel="1"/>
    <col min="25" max="25" width="20.1640625" customWidth="1"/>
    <col min="26" max="27" width="12" customWidth="1"/>
    <col min="28" max="28" width="21.4140625" customWidth="1"/>
    <col min="29" max="32" width="25" customWidth="1"/>
    <col min="33" max="37" width="12" customWidth="1"/>
    <col min="38" max="38" width="15.58203125" customWidth="1"/>
    <col min="39" max="41" width="18" customWidth="1"/>
    <col min="42" max="42" width="15.58203125" customWidth="1"/>
    <col min="43" max="43" width="18.58203125" customWidth="1"/>
    <col min="44" max="45" width="17.83203125" customWidth="1" outlineLevel="1"/>
    <col min="46" max="47" width="17.4140625" customWidth="1" outlineLevel="1"/>
    <col min="48" max="48" width="14.83203125" customWidth="1" outlineLevel="1"/>
    <col min="49" max="51" width="15.4140625" customWidth="1" outlineLevel="1"/>
    <col min="52" max="52" width="16.75" customWidth="1" outlineLevel="1"/>
    <col min="53" max="53" width="11.4140625" customWidth="1" outlineLevel="1"/>
    <col min="54" max="54" width="16.83203125" style="68" customWidth="1" outlineLevel="1"/>
    <col min="55" max="55" width="14.83203125" style="68" customWidth="1" outlineLevel="1"/>
    <col min="56" max="56" width="17" customWidth="1" outlineLevel="1"/>
    <col min="57" max="57" width="17.4140625" customWidth="1" outlineLevel="1"/>
    <col min="58" max="58" width="20" customWidth="1" outlineLevel="1"/>
    <col min="59" max="71" width="15.4140625" customWidth="1" outlineLevel="1"/>
    <col min="72" max="72" width="19.4140625" customWidth="1" outlineLevel="1"/>
    <col min="73" max="73" width="16.25" customWidth="1" outlineLevel="1"/>
    <col min="74" max="74" width="11.4140625" outlineLevel="1"/>
    <col min="75" max="75" width="20" bestFit="1" customWidth="1" outlineLevel="1"/>
    <col min="76" max="76" width="13.83203125" customWidth="1" outlineLevel="1"/>
    <col min="77" max="77" width="19" customWidth="1" outlineLevel="1"/>
    <col min="78" max="78" width="12.4140625" bestFit="1" customWidth="1"/>
    <col min="79" max="79" width="17.1640625" customWidth="1"/>
    <col min="80" max="80" width="12" bestFit="1" customWidth="1"/>
    <col min="87" max="87" width="12" bestFit="1" customWidth="1"/>
  </cols>
  <sheetData>
    <row r="1" spans="1:90">
      <c r="A1" s="72" t="s">
        <v>2897</v>
      </c>
      <c r="Y1" s="105"/>
      <c r="Z1" s="12" t="s">
        <v>2872</v>
      </c>
      <c r="AC1" s="105"/>
      <c r="AH1" s="12" t="s">
        <v>2870</v>
      </c>
      <c r="AK1" s="105"/>
      <c r="AR1" s="271">
        <v>2024</v>
      </c>
      <c r="AV1" s="105"/>
    </row>
    <row r="2" spans="1:90">
      <c r="F2" s="267"/>
      <c r="G2" s="267"/>
      <c r="H2" s="267"/>
      <c r="I2" s="267"/>
      <c r="J2" s="268"/>
      <c r="K2" s="268"/>
      <c r="L2" s="268"/>
      <c r="M2" s="268"/>
      <c r="N2" s="268"/>
      <c r="O2" s="268"/>
      <c r="P2" s="268"/>
      <c r="Q2" s="268"/>
      <c r="R2" s="268"/>
      <c r="S2" s="268"/>
      <c r="T2" s="268"/>
      <c r="U2" s="269"/>
      <c r="V2" s="270"/>
      <c r="W2" s="267"/>
      <c r="X2" s="268"/>
      <c r="Y2" s="268"/>
      <c r="Z2" s="268"/>
      <c r="AA2" s="268"/>
      <c r="AB2" s="268"/>
      <c r="AC2" s="268"/>
      <c r="AD2" s="268"/>
      <c r="AE2" s="268"/>
      <c r="AF2" s="268"/>
      <c r="AG2" s="268"/>
      <c r="AH2" s="268"/>
      <c r="AI2" s="268"/>
      <c r="AJ2" s="268"/>
      <c r="AK2" s="268"/>
      <c r="AL2" s="268"/>
      <c r="AM2" s="268"/>
      <c r="AN2" s="268"/>
      <c r="AO2" s="268"/>
      <c r="AP2" s="268"/>
      <c r="AQ2" s="268"/>
      <c r="AR2" s="292"/>
      <c r="AS2" s="292"/>
      <c r="AT2" s="267"/>
      <c r="AU2" s="267"/>
      <c r="AV2" s="267"/>
      <c r="AW2" s="46" t="s">
        <v>2715</v>
      </c>
      <c r="AX2" s="74"/>
      <c r="AY2" s="74"/>
      <c r="AZ2" s="74"/>
      <c r="BA2" s="74"/>
      <c r="BB2" s="287"/>
      <c r="BC2" s="287"/>
      <c r="BD2" s="74"/>
      <c r="BE2" s="74"/>
      <c r="BF2" s="74"/>
      <c r="BG2" s="74"/>
      <c r="BH2" s="74"/>
      <c r="BI2" s="74"/>
      <c r="BJ2" s="74"/>
      <c r="BK2" s="74"/>
      <c r="BL2" s="74"/>
      <c r="BM2" s="74"/>
      <c r="BN2" s="74"/>
      <c r="BO2" s="74"/>
      <c r="BP2" s="74"/>
      <c r="BQ2" s="74"/>
      <c r="BR2" s="74"/>
      <c r="BS2" s="74"/>
      <c r="BT2" s="74"/>
      <c r="BU2" s="74"/>
      <c r="BV2" s="74"/>
      <c r="BW2" s="74"/>
      <c r="BX2" s="74"/>
      <c r="BY2" s="74"/>
      <c r="BZ2" s="74"/>
      <c r="CI2" s="10">
        <f>SUM(CI4:CI35)</f>
        <v>1571856.2805360944</v>
      </c>
    </row>
    <row r="3" spans="1:90" s="33" customFormat="1" ht="42.75" customHeight="1">
      <c r="A3" s="15" t="s">
        <v>2716</v>
      </c>
      <c r="B3" s="15" t="s">
        <v>2717</v>
      </c>
      <c r="C3" s="15" t="s">
        <v>2718</v>
      </c>
      <c r="D3" s="15" t="s">
        <v>2719</v>
      </c>
      <c r="E3" s="15" t="s">
        <v>399</v>
      </c>
      <c r="F3" s="15" t="s">
        <v>401</v>
      </c>
      <c r="G3" s="15" t="s">
        <v>402</v>
      </c>
      <c r="H3" s="15" t="s">
        <v>403</v>
      </c>
      <c r="I3" s="15" t="s">
        <v>404</v>
      </c>
      <c r="J3" s="15" t="s">
        <v>405</v>
      </c>
      <c r="K3" s="15" t="s">
        <v>406</v>
      </c>
      <c r="L3" s="15" t="s">
        <v>407</v>
      </c>
      <c r="M3" s="15" t="s">
        <v>408</v>
      </c>
      <c r="N3" s="15" t="s">
        <v>2720</v>
      </c>
      <c r="O3" s="15" t="s">
        <v>2721</v>
      </c>
      <c r="P3" s="15" t="s">
        <v>2722</v>
      </c>
      <c r="Q3" s="15" t="s">
        <v>2868</v>
      </c>
      <c r="R3" s="15" t="s">
        <v>410</v>
      </c>
      <c r="S3" s="57" t="s">
        <v>411</v>
      </c>
      <c r="T3" s="57" t="s">
        <v>412</v>
      </c>
      <c r="U3" s="71" t="s">
        <v>409</v>
      </c>
      <c r="V3" s="71" t="s">
        <v>413</v>
      </c>
      <c r="W3" s="262" t="s">
        <v>2887</v>
      </c>
      <c r="X3" s="262" t="s">
        <v>412</v>
      </c>
      <c r="Y3" s="70" t="s">
        <v>2878</v>
      </c>
      <c r="Z3" s="57" t="s">
        <v>417</v>
      </c>
      <c r="AA3" s="70" t="s">
        <v>2888</v>
      </c>
      <c r="AB3" s="57" t="s">
        <v>2891</v>
      </c>
      <c r="AC3" s="57" t="s">
        <v>2875</v>
      </c>
      <c r="AD3" s="57" t="s">
        <v>2624</v>
      </c>
      <c r="AE3" s="57" t="s">
        <v>2908</v>
      </c>
      <c r="AF3" s="57" t="s">
        <v>2910</v>
      </c>
      <c r="AG3" s="70" t="s">
        <v>3070</v>
      </c>
      <c r="AH3" s="70" t="s">
        <v>2889</v>
      </c>
      <c r="AI3" s="70" t="s">
        <v>2890</v>
      </c>
      <c r="AJ3" s="70" t="s">
        <v>2892</v>
      </c>
      <c r="AK3" s="70" t="s">
        <v>2874</v>
      </c>
      <c r="AL3" s="57" t="s">
        <v>2901</v>
      </c>
      <c r="AM3" s="57" t="s">
        <v>2909</v>
      </c>
      <c r="AN3" s="70" t="s">
        <v>2924</v>
      </c>
      <c r="AO3" s="70" t="s">
        <v>2925</v>
      </c>
      <c r="AP3" s="70" t="s">
        <v>2926</v>
      </c>
      <c r="AQ3" s="70" t="s">
        <v>2923</v>
      </c>
      <c r="AR3" s="57" t="s">
        <v>2893</v>
      </c>
      <c r="AS3" s="57" t="s">
        <v>2894</v>
      </c>
      <c r="AT3" s="57" t="s">
        <v>2895</v>
      </c>
      <c r="AU3" s="57" t="s">
        <v>2896</v>
      </c>
      <c r="AV3" s="57" t="s">
        <v>428</v>
      </c>
      <c r="AW3" s="71" t="s">
        <v>2842</v>
      </c>
      <c r="AX3" s="262" t="s">
        <v>2725</v>
      </c>
      <c r="AY3" s="53" t="s">
        <v>2724</v>
      </c>
      <c r="AZ3" s="172" t="s">
        <v>2726</v>
      </c>
      <c r="BA3" s="71" t="s">
        <v>2902</v>
      </c>
      <c r="BB3" s="262" t="s">
        <v>2851</v>
      </c>
      <c r="BC3" s="262" t="s">
        <v>2852</v>
      </c>
      <c r="BD3" s="262" t="s">
        <v>2853</v>
      </c>
      <c r="BE3" s="262" t="s">
        <v>2854</v>
      </c>
      <c r="BF3" s="262" t="s">
        <v>2855</v>
      </c>
      <c r="BG3" s="262" t="s">
        <v>2903</v>
      </c>
      <c r="BH3" s="262" t="s">
        <v>2904</v>
      </c>
      <c r="BI3" s="262" t="s">
        <v>2946</v>
      </c>
      <c r="BJ3" s="262" t="s">
        <v>2947</v>
      </c>
      <c r="BK3" s="262" t="s">
        <v>2948</v>
      </c>
      <c r="BL3" s="262" t="s">
        <v>2949</v>
      </c>
      <c r="BM3" s="262" t="s">
        <v>2950</v>
      </c>
      <c r="BN3" s="262" t="s">
        <v>2951</v>
      </c>
      <c r="BO3" s="262" t="s">
        <v>2952</v>
      </c>
      <c r="BP3" s="262" t="s">
        <v>2953</v>
      </c>
      <c r="BQ3" s="262" t="s">
        <v>2954</v>
      </c>
      <c r="BR3" s="262" t="s">
        <v>2955</v>
      </c>
      <c r="BS3" s="262" t="s">
        <v>2912</v>
      </c>
      <c r="BT3" s="172" t="s">
        <v>2856</v>
      </c>
      <c r="BU3" s="71" t="s">
        <v>2857</v>
      </c>
      <c r="BV3" s="71" t="s">
        <v>2858</v>
      </c>
      <c r="BW3" s="172" t="s">
        <v>2859</v>
      </c>
      <c r="BX3" s="71" t="s">
        <v>2860</v>
      </c>
      <c r="BY3" s="71" t="s">
        <v>2732</v>
      </c>
      <c r="BZ3" s="291" t="s">
        <v>2733</v>
      </c>
      <c r="CA3" s="262" t="s">
        <v>2956</v>
      </c>
      <c r="CB3" s="33" t="s">
        <v>2934</v>
      </c>
      <c r="CC3" s="301" t="s">
        <v>2942</v>
      </c>
      <c r="CD3" s="301" t="s">
        <v>2936</v>
      </c>
      <c r="CE3" s="301" t="s">
        <v>2937</v>
      </c>
      <c r="CF3" s="301" t="s">
        <v>2941</v>
      </c>
      <c r="CG3" s="301" t="s">
        <v>2939</v>
      </c>
      <c r="CH3" s="301" t="s">
        <v>2940</v>
      </c>
      <c r="CI3" s="301" t="s">
        <v>2962</v>
      </c>
      <c r="CJ3" s="301" t="s">
        <v>2963</v>
      </c>
      <c r="CK3" s="301" t="s">
        <v>2965</v>
      </c>
      <c r="CL3" s="301" t="s">
        <v>2967</v>
      </c>
    </row>
    <row r="4" spans="1:90">
      <c r="A4" s="13" t="s">
        <v>2734</v>
      </c>
      <c r="B4" s="13" t="s">
        <v>435</v>
      </c>
      <c r="C4" s="13">
        <v>5</v>
      </c>
      <c r="D4" s="13" t="s">
        <v>2735</v>
      </c>
      <c r="E4" s="13" t="s">
        <v>2681</v>
      </c>
      <c r="F4" s="16">
        <v>95.363966666666698</v>
      </c>
      <c r="G4" s="13">
        <v>88.81</v>
      </c>
      <c r="H4" s="13">
        <v>93.36</v>
      </c>
      <c r="I4" s="13">
        <v>93.45</v>
      </c>
      <c r="J4" s="14">
        <v>67.021451072467954</v>
      </c>
      <c r="K4" s="14">
        <v>63.706604590308586</v>
      </c>
      <c r="L4" s="14">
        <v>68.843584130551861</v>
      </c>
      <c r="M4" s="14">
        <v>51.715600000000002</v>
      </c>
      <c r="N4" s="13" t="s">
        <v>2736</v>
      </c>
      <c r="O4" s="13" t="s">
        <v>2736</v>
      </c>
      <c r="P4" s="13" t="s">
        <v>2736</v>
      </c>
      <c r="Q4" s="13" t="s">
        <v>2740</v>
      </c>
      <c r="R4" s="16">
        <f>AVERAGE(F4:I4)</f>
        <v>92.745991666666669</v>
      </c>
      <c r="S4" s="14">
        <f>AVERAGE(J4:M4)</f>
        <v>62.821809948332103</v>
      </c>
      <c r="T4" s="14">
        <f>+AVERAGE(R4:S4)</f>
        <v>77.783900807499379</v>
      </c>
      <c r="U4" s="260">
        <v>49.914086602523156</v>
      </c>
      <c r="V4" s="261">
        <f>+MAX($U$4:$U$35)-U4</f>
        <v>44.259836137732549</v>
      </c>
      <c r="W4" s="300">
        <f>0.1+((V4-MIN($V$4:$V$35))*(1 - 0.1))/(MAX($V$4:$V$35)-MIN($V$4:$V$35))</f>
        <v>0.78450202092561949</v>
      </c>
      <c r="X4" s="14">
        <f>T4*$W4</f>
        <v>61.021627378961192</v>
      </c>
      <c r="Y4" s="17">
        <f>+VLOOKUP(X4,'Cortes naturales'!$A$93:$C$95,3,9)</f>
        <v>1</v>
      </c>
      <c r="Z4" s="17">
        <v>79.485233917667728</v>
      </c>
      <c r="AA4" s="14">
        <v>0.7818751863897242</v>
      </c>
      <c r="AB4" s="14">
        <f>Z4*AA4</f>
        <v>62.147532084607285</v>
      </c>
      <c r="AC4" s="17">
        <f>VLOOKUP(AB4,'Cortes naturales'!$A$87:$C$89,3,9)</f>
        <v>1</v>
      </c>
      <c r="AD4" s="17" t="b">
        <f>Y4=AC4</f>
        <v>1</v>
      </c>
      <c r="AE4" s="17">
        <f>Y4-AC4</f>
        <v>0</v>
      </c>
      <c r="AF4" s="14">
        <f>Z4-T4</f>
        <v>1.7013331101683491</v>
      </c>
      <c r="AG4" s="17">
        <v>79.485233917667728</v>
      </c>
      <c r="AH4" s="14">
        <v>0.64656438100216296</v>
      </c>
      <c r="AI4" s="14">
        <v>51.392321066788959</v>
      </c>
      <c r="AJ4" s="14">
        <v>0.95185047953775692</v>
      </c>
      <c r="AK4" s="17">
        <v>1</v>
      </c>
      <c r="AL4" s="17" t="b">
        <f>Y4=AK4</f>
        <v>1</v>
      </c>
      <c r="AM4" s="17">
        <f>Y4-AK4</f>
        <v>0</v>
      </c>
      <c r="AN4" s="14">
        <f>T4-AG4</f>
        <v>-1.7013331101683491</v>
      </c>
      <c r="AO4" s="17">
        <f>+VLOOKUP(X4,'Cortes naturales'!$F$75:$I$77,3,9)</f>
        <v>2</v>
      </c>
      <c r="AP4" s="17" t="b">
        <f>AK4=AO4</f>
        <v>0</v>
      </c>
      <c r="AQ4" s="17">
        <f>IF(AM4=0,0,IF(AP4=TRUE,"Efecto ponderador","Cambio en corte"))</f>
        <v>0</v>
      </c>
      <c r="AR4" s="14">
        <v>81.354762921589497</v>
      </c>
      <c r="AS4" s="14">
        <v>0.72715328273217206</v>
      </c>
      <c r="AT4" s="14">
        <v>59.157382924331394</v>
      </c>
      <c r="AU4" s="14">
        <v>0.91720845034433773</v>
      </c>
      <c r="AV4" s="13">
        <v>1</v>
      </c>
      <c r="AW4" s="104" t="str">
        <f>VLOOKUP(C4,'[1]HIST-CATEG-DEPTOS'!$B$9:$BB$40,51,FALSE)</f>
        <v>ESP</v>
      </c>
      <c r="AX4" s="104">
        <v>1</v>
      </c>
      <c r="AY4" s="13">
        <v>15.3</v>
      </c>
      <c r="AZ4" s="286">
        <v>10.733471443609803</v>
      </c>
      <c r="BA4" s="285">
        <v>24.363654034194909</v>
      </c>
      <c r="BB4" s="286">
        <v>9.1181969709961503</v>
      </c>
      <c r="BC4" s="285" t="s">
        <v>379</v>
      </c>
      <c r="BD4" s="288">
        <v>6362170.0811090004</v>
      </c>
      <c r="BE4" s="288">
        <v>2105396.8552489998</v>
      </c>
      <c r="BF4" s="288">
        <v>6903721</v>
      </c>
      <c r="BG4" s="289">
        <f t="shared" ref="BG4:BG35" si="0">IFERROR(BD4/$BF4,"N.D.")</f>
        <v>0.92155666214046028</v>
      </c>
      <c r="BH4" s="289">
        <f t="shared" ref="BH4:BH35" si="1">IFERROR(BE4/$BF4,"N.D.")</f>
        <v>0.30496551863103966</v>
      </c>
      <c r="BI4" s="260">
        <v>66.026799432532457</v>
      </c>
      <c r="BJ4" s="260">
        <v>96.49909000000001</v>
      </c>
      <c r="BK4" s="260">
        <v>86.272033700842897</v>
      </c>
      <c r="BL4" s="260">
        <v>47.96498402805738</v>
      </c>
      <c r="BM4" s="260">
        <v>86.53206295180749</v>
      </c>
      <c r="BN4" s="260">
        <v>68.348167284008511</v>
      </c>
      <c r="BO4" s="260">
        <v>58.634585812372649</v>
      </c>
      <c r="BP4" s="260">
        <v>88.423622883594305</v>
      </c>
      <c r="BQ4" s="260">
        <v>72.89681760137448</v>
      </c>
      <c r="BR4" s="260">
        <v>88.197324017233655</v>
      </c>
      <c r="BS4" s="288">
        <f>VLOOKUP(E4,[2]Departamentos!$A$42:$B$75,2,FALSE)</f>
        <v>6278580.5906779962</v>
      </c>
      <c r="BT4" s="289">
        <v>1696213.1640920003</v>
      </c>
      <c r="BU4" s="290">
        <f>BT4/BS4</f>
        <v>0.2701586990235374</v>
      </c>
      <c r="BV4" s="260" t="str">
        <f>IFERROR(VLOOKUP(BU4,'Rangos amb etnico'!$A$2:$C$6,3,9),"N.D.")</f>
        <v>0,1% - 30%</v>
      </c>
      <c r="BW4" s="289">
        <v>614407.86072600004</v>
      </c>
      <c r="BX4" s="290">
        <f>BW4/BS4</f>
        <v>9.7857764482346621E-2</v>
      </c>
      <c r="BY4" s="104" t="str">
        <f>IFERROR(VLOOKUP(BX4,'Rangos amb etnico'!$A$2:$C$6,3,9),"N.D.")</f>
        <v>0,1% - 30%</v>
      </c>
      <c r="BZ4" s="68">
        <v>0</v>
      </c>
      <c r="CA4" s="25">
        <v>6.81715740727393</v>
      </c>
      <c r="CB4">
        <v>59.235162255258089</v>
      </c>
      <c r="CC4">
        <v>60.324134826660163</v>
      </c>
      <c r="CD4">
        <v>58.894645690917969</v>
      </c>
      <c r="CE4">
        <v>71.392951965332031</v>
      </c>
      <c r="CF4">
        <v>62.503341674804688</v>
      </c>
      <c r="CG4">
        <v>43.76861572265625</v>
      </c>
      <c r="CH4">
        <v>58.527286529541023</v>
      </c>
      <c r="CI4" s="10">
        <v>252638.896393</v>
      </c>
      <c r="CJ4" s="325">
        <f>CI4/BS4</f>
        <v>4.0238218295405942E-2</v>
      </c>
      <c r="CK4" s="232" t="str">
        <f>VLOOKUP(CJ4,'Rangos amb etnico'!$A$2:$C$6,3,9)</f>
        <v>0,1% - 30%</v>
      </c>
      <c r="CL4">
        <f>CI4/$CI$2</f>
        <v>0.16072646050492315</v>
      </c>
    </row>
    <row r="5" spans="1:90">
      <c r="A5" s="13" t="s">
        <v>2737</v>
      </c>
      <c r="B5" s="13" t="s">
        <v>442</v>
      </c>
      <c r="C5" s="13">
        <v>8</v>
      </c>
      <c r="D5" s="13" t="s">
        <v>2735</v>
      </c>
      <c r="E5" s="13" t="s">
        <v>2685</v>
      </c>
      <c r="F5" s="16">
        <v>77.991200000000006</v>
      </c>
      <c r="G5" s="13">
        <v>86.61</v>
      </c>
      <c r="H5" s="13">
        <v>82.46</v>
      </c>
      <c r="I5" s="13">
        <v>82.21</v>
      </c>
      <c r="J5" s="14">
        <v>75.965847648560668</v>
      </c>
      <c r="K5" s="14">
        <v>74.95498647627592</v>
      </c>
      <c r="L5" s="14">
        <v>67.899974692601404</v>
      </c>
      <c r="M5" s="14">
        <v>61.848999999999997</v>
      </c>
      <c r="N5" s="13" t="s">
        <v>2738</v>
      </c>
      <c r="O5" s="13" t="s">
        <v>2738</v>
      </c>
      <c r="P5" s="13" t="s">
        <v>2736</v>
      </c>
      <c r="Q5" s="13" t="s">
        <v>2736</v>
      </c>
      <c r="R5" s="16">
        <f t="shared" ref="R5:R35" si="2">AVERAGE(F5:I5)</f>
        <v>82.317799999999991</v>
      </c>
      <c r="S5" s="14">
        <f t="shared" ref="S5:S35" si="3">AVERAGE(J5:M5)</f>
        <v>70.167452204359492</v>
      </c>
      <c r="T5" s="14">
        <f t="shared" ref="T5:T34" si="4">+AVERAGE(R5:S5)</f>
        <v>76.242626102179742</v>
      </c>
      <c r="U5" s="260">
        <v>35.980007592870358</v>
      </c>
      <c r="V5" s="261">
        <f t="shared" ref="V5:V35" si="5">+MAX($U$4:$U$35)-U5</f>
        <v>58.193915147385347</v>
      </c>
      <c r="W5" s="300">
        <f t="shared" ref="W5:W35" si="6">0.1+((V5-MIN($V$4:$V$35))*(1 - 0.1))/(MAX($V$4:$V$35)-MIN($V$4:$V$35))</f>
        <v>1</v>
      </c>
      <c r="X5" s="14">
        <f t="shared" ref="X5:X35" si="7">T5*$W5</f>
        <v>76.242626102179742</v>
      </c>
      <c r="Y5" s="17">
        <f>+VLOOKUP(X5,'Cortes naturales'!$A$93:$C$95,3,9)</f>
        <v>1</v>
      </c>
      <c r="Z5" s="17">
        <v>75.360277272327238</v>
      </c>
      <c r="AA5" s="14">
        <v>1</v>
      </c>
      <c r="AB5" s="14">
        <f t="shared" ref="AB5:AB35" si="8">Z5*AA5</f>
        <v>75.360277272327238</v>
      </c>
      <c r="AC5" s="17">
        <f>VLOOKUP(AB5,'Cortes naturales'!$A$87:$C$89,3,9)</f>
        <v>1</v>
      </c>
      <c r="AD5" s="17" t="b">
        <f t="shared" ref="AD5:AD35" si="9">Y5=AC5</f>
        <v>1</v>
      </c>
      <c r="AE5" s="17">
        <f t="shared" ref="AE5:AE35" si="10">Y5-AC5</f>
        <v>0</v>
      </c>
      <c r="AF5" s="14">
        <f t="shared" ref="AF5:AF35" si="11">Z5-T5</f>
        <v>-0.88234882985250351</v>
      </c>
      <c r="AG5" s="17">
        <v>75.360277272327238</v>
      </c>
      <c r="AH5" s="14">
        <v>0.64656438100216296</v>
      </c>
      <c r="AI5" s="14">
        <v>48.72527102673363</v>
      </c>
      <c r="AJ5" s="14">
        <v>0.89922093056621732</v>
      </c>
      <c r="AK5" s="17">
        <v>1</v>
      </c>
      <c r="AL5" s="17" t="b">
        <f t="shared" ref="AL5:AL35" si="12">Y5=AK5</f>
        <v>1</v>
      </c>
      <c r="AM5" s="17">
        <f t="shared" ref="AM5:AM35" si="13">Y5-AK5</f>
        <v>0</v>
      </c>
      <c r="AN5" s="14">
        <f t="shared" ref="AN5:AN35" si="14">T5-AG5</f>
        <v>0.88234882985250351</v>
      </c>
      <c r="AO5" s="17">
        <f>+VLOOKUP(X5,'Cortes naturales'!$F$75:$I$77,3,9)</f>
        <v>1</v>
      </c>
      <c r="AP5" s="17" t="b">
        <f>AK5=AO5</f>
        <v>1</v>
      </c>
      <c r="AQ5" s="17">
        <f t="shared" ref="AQ5:AQ35" si="15">IF(AM5=0,0,IF(AP5=TRUE,"Efecto ponderador","Cambio en corte"))</f>
        <v>0</v>
      </c>
      <c r="AR5" s="14">
        <v>74.523390885432605</v>
      </c>
      <c r="AS5" s="14">
        <v>0.72715328273217206</v>
      </c>
      <c r="AT5" s="14">
        <v>54.189928322675151</v>
      </c>
      <c r="AU5" s="14">
        <v>0.81348101382942273</v>
      </c>
      <c r="AV5" s="13">
        <v>1</v>
      </c>
      <c r="AW5" s="104">
        <f>VLOOKUP(C5,'[1]HIST-CATEG-DEPTOS'!$B$9:$BB$40,51,FALSE)</f>
        <v>1</v>
      </c>
      <c r="AX5" s="104">
        <v>1</v>
      </c>
      <c r="AY5" s="13">
        <v>21.1</v>
      </c>
      <c r="AZ5" s="286">
        <v>11.369719838009548</v>
      </c>
      <c r="BA5" s="285">
        <v>1.6026193527126744</v>
      </c>
      <c r="BB5" s="286">
        <v>1.4862765499106234</v>
      </c>
      <c r="BC5" s="285" t="s">
        <v>383</v>
      </c>
      <c r="BD5" s="288">
        <v>1792448.22015</v>
      </c>
      <c r="BE5" s="288">
        <v>648804.75106299995</v>
      </c>
      <c r="BF5" s="288">
        <v>2827124</v>
      </c>
      <c r="BG5" s="289">
        <f t="shared" si="0"/>
        <v>0.6340182532319063</v>
      </c>
      <c r="BH5" s="289">
        <f t="shared" si="1"/>
        <v>0.22949285247587298</v>
      </c>
      <c r="BI5" s="260">
        <v>65.745110462835058</v>
      </c>
      <c r="BJ5" s="260">
        <v>76.191504492580862</v>
      </c>
      <c r="BK5" s="260">
        <v>76.935817568216052</v>
      </c>
      <c r="BL5" s="260">
        <v>60.628006282474139</v>
      </c>
      <c r="BM5" s="260">
        <v>84.583552094418479</v>
      </c>
      <c r="BN5" s="260">
        <v>58.961559081991822</v>
      </c>
      <c r="BO5" s="260">
        <v>54.009010315950853</v>
      </c>
      <c r="BP5" s="260">
        <v>79.139463799510764</v>
      </c>
      <c r="BQ5" s="260">
        <v>68.150651471209599</v>
      </c>
      <c r="BR5" s="260">
        <v>78.116687631063215</v>
      </c>
      <c r="BS5" s="288">
        <f>VLOOKUP(E5,[2]Departamentos!$A$42:$B$75,2,FALSE)</f>
        <v>331338.44614199997</v>
      </c>
      <c r="BT5" s="289">
        <v>27913.532516000007</v>
      </c>
      <c r="BU5" s="290">
        <f t="shared" ref="BU5:BU35" si="16">BT5/BS5</f>
        <v>8.4244774009826953E-2</v>
      </c>
      <c r="BV5" s="260" t="str">
        <f>IFERROR(VLOOKUP(BU5,'Rangos amb etnico'!$A$2:$C$6,3,9),"N.D.")</f>
        <v>0,1% - 30%</v>
      </c>
      <c r="BW5" s="289">
        <v>333.97880749900003</v>
      </c>
      <c r="BX5" s="290">
        <f t="shared" ref="BX5:BX35" si="17">BW5/BS5</f>
        <v>1.0079687744894792E-3</v>
      </c>
      <c r="BY5" s="104" t="str">
        <f>IFERROR(VLOOKUP(BX5,'Rangos amb etnico'!$A$2:$C$6,3,9),"N.D.")</f>
        <v>0,1% - 30%</v>
      </c>
      <c r="BZ5" s="68">
        <v>0</v>
      </c>
      <c r="CA5" s="25">
        <v>6.1462458725939326</v>
      </c>
      <c r="CB5">
        <v>61.93217888374231</v>
      </c>
      <c r="CC5">
        <v>64.05657958984375</v>
      </c>
      <c r="CD5">
        <v>63.697589874267578</v>
      </c>
      <c r="CE5">
        <v>78.154220581054688</v>
      </c>
      <c r="CF5">
        <v>52.604454040527337</v>
      </c>
      <c r="CG5">
        <v>46.142864227294922</v>
      </c>
      <c r="CH5">
        <v>66.937370300292969</v>
      </c>
      <c r="CI5" s="10">
        <v>0</v>
      </c>
      <c r="CJ5" s="325">
        <f t="shared" ref="CJ5:CJ35" si="18">CI5/BS5</f>
        <v>0</v>
      </c>
      <c r="CK5" s="232">
        <f>VLOOKUP(CJ5,'Rangos amb etnico'!$A$2:$C$6,3,9)</f>
        <v>0</v>
      </c>
      <c r="CL5">
        <f t="shared" ref="CL5:CL35" si="19">CI5/$CI$2</f>
        <v>0</v>
      </c>
    </row>
    <row r="6" spans="1:90">
      <c r="A6" s="13" t="s">
        <v>2739</v>
      </c>
      <c r="B6" s="13" t="s">
        <v>480</v>
      </c>
      <c r="C6" s="13">
        <v>13</v>
      </c>
      <c r="D6" s="13" t="s">
        <v>2735</v>
      </c>
      <c r="E6" s="13" t="s">
        <v>2688</v>
      </c>
      <c r="F6" s="16">
        <v>81.516400000000004</v>
      </c>
      <c r="G6" s="13">
        <v>77.53</v>
      </c>
      <c r="H6" s="13">
        <v>67.78</v>
      </c>
      <c r="I6" s="13">
        <v>83.28</v>
      </c>
      <c r="J6" s="14">
        <v>56.849877568087607</v>
      </c>
      <c r="K6" s="14">
        <v>41.829241910614492</v>
      </c>
      <c r="L6" s="14">
        <v>42.085960409147482</v>
      </c>
      <c r="M6" s="14">
        <v>45.639800000000001</v>
      </c>
      <c r="N6" s="13" t="s">
        <v>2740</v>
      </c>
      <c r="O6" s="13" t="s">
        <v>2740</v>
      </c>
      <c r="P6" s="13" t="s">
        <v>2740</v>
      </c>
      <c r="Q6" s="13" t="s">
        <v>2740</v>
      </c>
      <c r="R6" s="16">
        <f t="shared" si="2"/>
        <v>77.526600000000002</v>
      </c>
      <c r="S6" s="14">
        <f t="shared" si="3"/>
        <v>46.601219971962394</v>
      </c>
      <c r="T6" s="14">
        <f t="shared" si="4"/>
        <v>62.063909985981198</v>
      </c>
      <c r="U6" s="260">
        <v>53.544525574518147</v>
      </c>
      <c r="V6" s="261">
        <f t="shared" si="5"/>
        <v>40.629397165737558</v>
      </c>
      <c r="W6" s="300">
        <f t="shared" si="6"/>
        <v>0.72835534190393336</v>
      </c>
      <c r="X6" s="14">
        <f t="shared" si="7"/>
        <v>45.204580377734281</v>
      </c>
      <c r="Y6" s="17">
        <f>+VLOOKUP(X6,'Cortes naturales'!$A$93:$C$95,3,9)</f>
        <v>2</v>
      </c>
      <c r="Z6" s="17">
        <v>61.234985457919691</v>
      </c>
      <c r="AA6" s="14">
        <v>0.73152863868753981</v>
      </c>
      <c r="AB6" s="14">
        <f t="shared" si="8"/>
        <v>44.795145552083291</v>
      </c>
      <c r="AC6" s="17">
        <f>VLOOKUP(AB6,'Cortes naturales'!$A$87:$C$89,3,9)</f>
        <v>2</v>
      </c>
      <c r="AD6" s="17" t="b">
        <f t="shared" si="9"/>
        <v>1</v>
      </c>
      <c r="AE6" s="17">
        <f t="shared" si="10"/>
        <v>0</v>
      </c>
      <c r="AF6" s="14">
        <f t="shared" si="11"/>
        <v>-0.82892452806150629</v>
      </c>
      <c r="AG6" s="17">
        <v>61.234985457919691</v>
      </c>
      <c r="AH6" s="14">
        <v>0.64656438100216296</v>
      </c>
      <c r="AI6" s="14">
        <v>39.592360468276297</v>
      </c>
      <c r="AJ6" s="14">
        <v>0.71899897887045927</v>
      </c>
      <c r="AK6" s="17">
        <v>2</v>
      </c>
      <c r="AL6" s="17" t="b">
        <f t="shared" si="12"/>
        <v>1</v>
      </c>
      <c r="AM6" s="17">
        <f t="shared" si="13"/>
        <v>0</v>
      </c>
      <c r="AN6" s="14">
        <f t="shared" si="14"/>
        <v>0.82892452806150629</v>
      </c>
      <c r="AO6" s="17">
        <f>+VLOOKUP(X6,'Cortes naturales'!$F$75:$I$77,3,9)</f>
        <v>2</v>
      </c>
      <c r="AP6" s="17" t="b">
        <f t="shared" ref="AP6:AP35" si="20">AK6=AO6</f>
        <v>1</v>
      </c>
      <c r="AQ6" s="17">
        <f t="shared" si="15"/>
        <v>0</v>
      </c>
      <c r="AR6" s="14">
        <v>73.477413551232303</v>
      </c>
      <c r="AS6" s="14">
        <v>0.72715328273217206</v>
      </c>
      <c r="AT6" s="14">
        <v>53.429342470447956</v>
      </c>
      <c r="AU6" s="14">
        <v>0.79759891182194098</v>
      </c>
      <c r="AV6" s="13">
        <v>2</v>
      </c>
      <c r="AW6" s="104">
        <f>VLOOKUP(C6,'[1]HIST-CATEG-DEPTOS'!$B$9:$BB$40,51,FALSE)</f>
        <v>1</v>
      </c>
      <c r="AX6" s="104">
        <v>1</v>
      </c>
      <c r="AY6" s="13">
        <v>31.9</v>
      </c>
      <c r="AZ6" s="286">
        <v>26.729485735420205</v>
      </c>
      <c r="BA6" s="285">
        <v>19.371138324781008</v>
      </c>
      <c r="BB6" s="286">
        <v>10.428660483789907</v>
      </c>
      <c r="BC6" s="285" t="s">
        <v>379</v>
      </c>
      <c r="BD6" s="288">
        <v>2022516.7571640001</v>
      </c>
      <c r="BE6" s="288">
        <v>436822.223987</v>
      </c>
      <c r="BF6" s="288">
        <v>2264523</v>
      </c>
      <c r="BG6" s="289">
        <f t="shared" si="0"/>
        <v>0.89313147058519615</v>
      </c>
      <c r="BH6" s="289">
        <f t="shared" si="1"/>
        <v>0.19289811761108189</v>
      </c>
      <c r="BI6" s="260">
        <v>59.143807766978433</v>
      </c>
      <c r="BJ6" s="260">
        <v>93.140311598301182</v>
      </c>
      <c r="BK6" s="260">
        <v>35.885794859023413</v>
      </c>
      <c r="BL6" s="260">
        <v>55.943264264921623</v>
      </c>
      <c r="BM6" s="260">
        <v>80.902434858647922</v>
      </c>
      <c r="BN6" s="260">
        <v>48.437275555149768</v>
      </c>
      <c r="BO6" s="260">
        <v>58.229633481733522</v>
      </c>
      <c r="BP6" s="260">
        <v>68.629510474111825</v>
      </c>
      <c r="BQ6" s="260">
        <v>61.668931769250833</v>
      </c>
      <c r="BR6" s="260">
        <v>66.702351410063343</v>
      </c>
      <c r="BS6" s="288">
        <f>VLOOKUP(E6,[2]Departamentos!$A$42:$B$75,2,FALSE)</f>
        <v>2666277.6536619994</v>
      </c>
      <c r="BT6" s="289">
        <v>771404.99378500006</v>
      </c>
      <c r="BU6" s="290">
        <f t="shared" si="16"/>
        <v>0.28931907850088823</v>
      </c>
      <c r="BV6" s="260" t="str">
        <f>IFERROR(VLOOKUP(BU6,'Rangos amb etnico'!$A$2:$C$6,3,9),"N.D.")</f>
        <v>0,1% - 30%</v>
      </c>
      <c r="BW6" s="289">
        <v>4324.6538231300001</v>
      </c>
      <c r="BX6" s="290">
        <f t="shared" si="17"/>
        <v>1.6219817981785595E-3</v>
      </c>
      <c r="BY6" s="104" t="str">
        <f>IFERROR(VLOOKUP(BX6,'Rangos amb etnico'!$A$2:$C$6,3,9),"N.D.")</f>
        <v>0,1% - 30%</v>
      </c>
      <c r="BZ6" s="68">
        <v>0</v>
      </c>
      <c r="CA6" s="25">
        <v>5.4766183605298444</v>
      </c>
      <c r="CB6">
        <v>50.88821396152278</v>
      </c>
      <c r="CC6">
        <v>51.018474578857422</v>
      </c>
      <c r="CD6">
        <v>53.956047058105469</v>
      </c>
      <c r="CE6">
        <v>63.60333251953125</v>
      </c>
      <c r="CF6">
        <v>34.949687957763672</v>
      </c>
      <c r="CG6">
        <v>46.053131103515618</v>
      </c>
      <c r="CH6">
        <v>55.748607635498047</v>
      </c>
      <c r="CI6" s="10">
        <v>86085.310002800004</v>
      </c>
      <c r="CJ6" s="325">
        <f t="shared" si="18"/>
        <v>3.2286701231046259E-2</v>
      </c>
      <c r="CK6" s="232" t="str">
        <f>VLOOKUP(CJ6,'Rangos amb etnico'!$A$2:$C$6,3,9)</f>
        <v>0,1% - 30%</v>
      </c>
      <c r="CL6">
        <f t="shared" si="19"/>
        <v>5.4766654603714729E-2</v>
      </c>
    </row>
    <row r="7" spans="1:90">
      <c r="A7" s="13" t="s">
        <v>2741</v>
      </c>
      <c r="B7" s="13" t="s">
        <v>498</v>
      </c>
      <c r="C7" s="13">
        <v>15</v>
      </c>
      <c r="D7" s="13" t="s">
        <v>2735</v>
      </c>
      <c r="E7" s="13" t="s">
        <v>2690</v>
      </c>
      <c r="F7" s="16">
        <v>85.624766666666702</v>
      </c>
      <c r="G7" s="13">
        <v>87.79</v>
      </c>
      <c r="H7" s="13">
        <v>88.26</v>
      </c>
      <c r="I7" s="13">
        <v>91.29</v>
      </c>
      <c r="J7" s="14">
        <v>57.508622733549423</v>
      </c>
      <c r="K7" s="14">
        <v>44.625743579637593</v>
      </c>
      <c r="L7" s="14">
        <v>57.261420293666461</v>
      </c>
      <c r="M7" s="14">
        <v>50.830500000000001</v>
      </c>
      <c r="N7" s="13" t="s">
        <v>2740</v>
      </c>
      <c r="O7" s="13" t="s">
        <v>2740</v>
      </c>
      <c r="P7" s="13" t="s">
        <v>2740</v>
      </c>
      <c r="Q7" s="13" t="s">
        <v>2740</v>
      </c>
      <c r="R7" s="16">
        <f t="shared" si="2"/>
        <v>88.24119166666668</v>
      </c>
      <c r="S7" s="14">
        <f t="shared" si="3"/>
        <v>52.556571651713369</v>
      </c>
      <c r="T7" s="14">
        <f t="shared" si="4"/>
        <v>70.398881659190025</v>
      </c>
      <c r="U7" s="260">
        <v>56.786829509015774</v>
      </c>
      <c r="V7" s="261">
        <f t="shared" si="5"/>
        <v>37.38709323123993</v>
      </c>
      <c r="W7" s="300">
        <f t="shared" si="6"/>
        <v>0.67821137867930092</v>
      </c>
      <c r="X7" s="14">
        <f t="shared" si="7"/>
        <v>47.745322587560217</v>
      </c>
      <c r="Y7" s="17">
        <f>+VLOOKUP(X7,'Cortes naturales'!$A$93:$C$95,3,9)</f>
        <v>2</v>
      </c>
      <c r="Z7" s="17">
        <v>68.065575324387225</v>
      </c>
      <c r="AA7" s="14">
        <v>0.68713433061283224</v>
      </c>
      <c r="AB7" s="14">
        <f t="shared" si="8"/>
        <v>46.770193538300127</v>
      </c>
      <c r="AC7" s="17">
        <f>VLOOKUP(AB7,'Cortes naturales'!$A$87:$C$89,3,9)</f>
        <v>2</v>
      </c>
      <c r="AD7" s="17" t="b">
        <f t="shared" si="9"/>
        <v>1</v>
      </c>
      <c r="AE7" s="17">
        <f t="shared" si="10"/>
        <v>0</v>
      </c>
      <c r="AF7" s="14">
        <f t="shared" si="11"/>
        <v>-2.3333063348027991</v>
      </c>
      <c r="AG7" s="17">
        <v>68.065575324387225</v>
      </c>
      <c r="AH7" s="14">
        <v>0.64656438100216296</v>
      </c>
      <c r="AI7" s="14">
        <v>44.008776577168526</v>
      </c>
      <c r="AJ7" s="14">
        <v>0.80614919517341921</v>
      </c>
      <c r="AK7" s="17">
        <v>1</v>
      </c>
      <c r="AL7" s="17" t="b">
        <f t="shared" si="12"/>
        <v>0</v>
      </c>
      <c r="AM7" s="17">
        <f t="shared" si="13"/>
        <v>1</v>
      </c>
      <c r="AN7" s="14">
        <f t="shared" si="14"/>
        <v>2.3333063348027991</v>
      </c>
      <c r="AO7" s="17">
        <f>+VLOOKUP(X7,'Cortes naturales'!$F$75:$I$77,3,9)</f>
        <v>2</v>
      </c>
      <c r="AP7" s="17" t="b">
        <f t="shared" si="20"/>
        <v>0</v>
      </c>
      <c r="AQ7" s="17" t="str">
        <f t="shared" si="15"/>
        <v>Cambio en corte</v>
      </c>
      <c r="AR7" s="14">
        <v>78.516910590146551</v>
      </c>
      <c r="AS7" s="14">
        <v>0.72715328273217206</v>
      </c>
      <c r="AT7" s="14">
        <v>57.093829285613509</v>
      </c>
      <c r="AU7" s="14">
        <v>0.8741185489320803</v>
      </c>
      <c r="AV7" s="13">
        <v>1</v>
      </c>
      <c r="AW7" s="104">
        <f>VLOOKUP(C7,'[1]HIST-CATEG-DEPTOS'!$B$9:$BB$40,51,FALSE)</f>
        <v>1</v>
      </c>
      <c r="AX7" s="104">
        <v>1</v>
      </c>
      <c r="AY7" s="13">
        <v>16.5</v>
      </c>
      <c r="AZ7" s="286">
        <v>10.151535362697757</v>
      </c>
      <c r="BA7" s="285">
        <v>30.426239284856589</v>
      </c>
      <c r="BB7" s="286">
        <v>1.4748828932181708</v>
      </c>
      <c r="BC7" s="285" t="s">
        <v>383</v>
      </c>
      <c r="BD7" s="288">
        <v>1718143.27141</v>
      </c>
      <c r="BE7" s="288">
        <v>414084.73140799999</v>
      </c>
      <c r="BF7" s="288">
        <v>1311983</v>
      </c>
      <c r="BG7" s="289">
        <f t="shared" si="0"/>
        <v>1.3095773888914719</v>
      </c>
      <c r="BH7" s="289">
        <f t="shared" si="1"/>
        <v>0.31561745190905677</v>
      </c>
      <c r="BI7" s="260">
        <v>71.7120716882241</v>
      </c>
      <c r="BJ7" s="260">
        <v>96.442497413028377</v>
      </c>
      <c r="BK7" s="260">
        <v>61.07728925435341</v>
      </c>
      <c r="BL7" s="260">
        <v>61.215804004819667</v>
      </c>
      <c r="BM7" s="260">
        <v>72.030840812694237</v>
      </c>
      <c r="BN7" s="260">
        <v>60.000401898264123</v>
      </c>
      <c r="BO7" s="260">
        <v>65.237909960751594</v>
      </c>
      <c r="BP7" s="260">
        <v>77.232573505215356</v>
      </c>
      <c r="BQ7" s="260">
        <v>69.673830718876502</v>
      </c>
      <c r="BR7" s="260">
        <v>77.271979208832931</v>
      </c>
      <c r="BS7" s="288">
        <f>VLOOKUP(E7,[2]Departamentos!$A$42:$B$75,2,FALSE)</f>
        <v>2305746.1612489992</v>
      </c>
      <c r="BT7" s="289">
        <v>854738.67097900016</v>
      </c>
      <c r="BU7" s="290">
        <f t="shared" si="16"/>
        <v>0.37069937937834274</v>
      </c>
      <c r="BV7" s="260" t="str">
        <f>IFERROR(VLOOKUP(BU7,'Rangos amb etnico'!$A$2:$C$6,3,9),"N.D.")</f>
        <v>31% - 50%</v>
      </c>
      <c r="BW7" s="289">
        <v>171532.504148999</v>
      </c>
      <c r="BX7" s="290">
        <f t="shared" si="17"/>
        <v>7.4393490069211088E-2</v>
      </c>
      <c r="BY7" s="104" t="str">
        <f>IFERROR(VLOOKUP(BX7,'Rangos amb etnico'!$A$2:$C$6,3,9),"N.D.")</f>
        <v>0,1% - 30%</v>
      </c>
      <c r="BZ7" s="68">
        <v>1</v>
      </c>
      <c r="CA7" s="25">
        <v>5.8146957510753152</v>
      </c>
      <c r="CB7">
        <v>53.924714416973863</v>
      </c>
      <c r="CC7">
        <v>35.675750732421882</v>
      </c>
      <c r="CD7">
        <v>48.878688812255859</v>
      </c>
      <c r="CE7">
        <v>71.09027099609375</v>
      </c>
      <c r="CF7">
        <v>60.472602844238281</v>
      </c>
      <c r="CG7">
        <v>49.209571838378913</v>
      </c>
      <c r="CH7">
        <v>58.221405029296882</v>
      </c>
      <c r="CI7" s="10">
        <v>14826.4959459</v>
      </c>
      <c r="CJ7" s="325">
        <f t="shared" si="18"/>
        <v>6.43023772307557E-3</v>
      </c>
      <c r="CK7" s="232" t="str">
        <f>VLOOKUP(CJ7,'Rangos amb etnico'!$A$2:$C$6,3,9)</f>
        <v>0,1% - 30%</v>
      </c>
      <c r="CL7">
        <f t="shared" si="19"/>
        <v>9.4324755573984807E-3</v>
      </c>
    </row>
    <row r="8" spans="1:90">
      <c r="A8" s="13" t="s">
        <v>2742</v>
      </c>
      <c r="B8" s="13" t="s">
        <v>506</v>
      </c>
      <c r="C8" s="13">
        <v>17</v>
      </c>
      <c r="D8" s="13" t="s">
        <v>2735</v>
      </c>
      <c r="E8" s="13" t="s">
        <v>2692</v>
      </c>
      <c r="F8" s="16">
        <v>98.290117938882503</v>
      </c>
      <c r="G8" s="13">
        <v>86.53</v>
      </c>
      <c r="H8" s="13">
        <v>82.72</v>
      </c>
      <c r="I8" s="13">
        <v>82.98</v>
      </c>
      <c r="J8" s="14">
        <v>63.593460729914398</v>
      </c>
      <c r="K8" s="14">
        <v>60.504718834772305</v>
      </c>
      <c r="L8" s="14">
        <v>61.555646180142674</v>
      </c>
      <c r="M8" s="14">
        <v>57.887900000000002</v>
      </c>
      <c r="N8" s="13" t="s">
        <v>2736</v>
      </c>
      <c r="O8" s="13" t="s">
        <v>2736</v>
      </c>
      <c r="P8" s="13" t="s">
        <v>2736</v>
      </c>
      <c r="Q8" s="13" t="s">
        <v>2740</v>
      </c>
      <c r="R8" s="16">
        <f t="shared" si="2"/>
        <v>87.630029484720637</v>
      </c>
      <c r="S8" s="14">
        <f t="shared" si="3"/>
        <v>60.885431436207341</v>
      </c>
      <c r="T8" s="14">
        <f t="shared" si="4"/>
        <v>74.257730460463989</v>
      </c>
      <c r="U8" s="260">
        <v>49.268163900380841</v>
      </c>
      <c r="V8" s="261">
        <f t="shared" si="5"/>
        <v>44.905758839874863</v>
      </c>
      <c r="W8" s="300">
        <f t="shared" si="6"/>
        <v>0.79449156073327432</v>
      </c>
      <c r="X8" s="14">
        <f t="shared" si="7"/>
        <v>58.997140170044837</v>
      </c>
      <c r="Y8" s="17">
        <f>+VLOOKUP(X8,'Cortes naturales'!$A$93:$C$95,3,9)</f>
        <v>1</v>
      </c>
      <c r="Z8" s="17">
        <v>77.172484669667028</v>
      </c>
      <c r="AA8" s="14">
        <v>0.80458975075006789</v>
      </c>
      <c r="AB8" s="14">
        <f t="shared" si="8"/>
        <v>62.092190205130827</v>
      </c>
      <c r="AC8" s="17">
        <f>VLOOKUP(AB8,'Cortes naturales'!$A$87:$C$89,3,9)</f>
        <v>1</v>
      </c>
      <c r="AD8" s="17" t="b">
        <f t="shared" si="9"/>
        <v>1</v>
      </c>
      <c r="AE8" s="17">
        <f t="shared" si="10"/>
        <v>0</v>
      </c>
      <c r="AF8" s="14">
        <f t="shared" si="11"/>
        <v>2.9147542092030392</v>
      </c>
      <c r="AG8" s="17">
        <v>77.172484669667028</v>
      </c>
      <c r="AH8" s="14">
        <v>0.64656438100216296</v>
      </c>
      <c r="AI8" s="14">
        <v>49.896979780842173</v>
      </c>
      <c r="AJ8" s="14">
        <v>0.92234254520733516</v>
      </c>
      <c r="AK8" s="17">
        <v>1</v>
      </c>
      <c r="AL8" s="17" t="b">
        <f t="shared" si="12"/>
        <v>1</v>
      </c>
      <c r="AM8" s="17">
        <f t="shared" si="13"/>
        <v>0</v>
      </c>
      <c r="AN8" s="14">
        <f t="shared" si="14"/>
        <v>-2.9147542092030392</v>
      </c>
      <c r="AO8" s="17">
        <f>+VLOOKUP(X8,'Cortes naturales'!$F$75:$I$77,3,9)</f>
        <v>2</v>
      </c>
      <c r="AP8" s="17" t="b">
        <f t="shared" si="20"/>
        <v>0</v>
      </c>
      <c r="AQ8" s="17">
        <f t="shared" si="15"/>
        <v>0</v>
      </c>
      <c r="AR8" s="14">
        <v>85.013761330910697</v>
      </c>
      <c r="AS8" s="14">
        <v>0.72715328273217206</v>
      </c>
      <c r="AT8" s="14">
        <v>61.818035629181104</v>
      </c>
      <c r="AU8" s="14">
        <v>0.97276661980169266</v>
      </c>
      <c r="AV8" s="13">
        <v>1</v>
      </c>
      <c r="AW8" s="104">
        <f>VLOOKUP(C8,'[1]HIST-CATEG-DEPTOS'!$B$9:$BB$40,51,FALSE)</f>
        <v>2</v>
      </c>
      <c r="AX8" s="104">
        <v>1</v>
      </c>
      <c r="AY8" s="13">
        <v>13.8</v>
      </c>
      <c r="AZ8" s="286">
        <v>8.9481232728163143</v>
      </c>
      <c r="BA8" s="285">
        <v>28.889653185520888</v>
      </c>
      <c r="BB8" s="286">
        <v>2.6574572435421633</v>
      </c>
      <c r="BC8" s="285" t="s">
        <v>383</v>
      </c>
      <c r="BD8" s="288">
        <v>1108493.1248659999</v>
      </c>
      <c r="BE8" s="288">
        <v>255588.44729000001</v>
      </c>
      <c r="BF8" s="288">
        <v>1046110</v>
      </c>
      <c r="BG8" s="289">
        <f t="shared" si="0"/>
        <v>1.0596334275229182</v>
      </c>
      <c r="BH8" s="289">
        <f t="shared" si="1"/>
        <v>0.24432272637676727</v>
      </c>
      <c r="BI8" s="260">
        <v>61.808282817941922</v>
      </c>
      <c r="BJ8" s="260">
        <v>92.313871838024212</v>
      </c>
      <c r="BK8" s="260">
        <v>75.337284699353745</v>
      </c>
      <c r="BL8" s="260">
        <v>81.596324239385751</v>
      </c>
      <c r="BM8" s="260">
        <v>74.898076400691949</v>
      </c>
      <c r="BN8" s="260">
        <v>68.486671259932976</v>
      </c>
      <c r="BO8" s="260">
        <v>55.899232145936843</v>
      </c>
      <c r="BP8" s="260">
        <v>76.300977934483285</v>
      </c>
      <c r="BQ8" s="260">
        <v>72.905677628752485</v>
      </c>
      <c r="BR8" s="260">
        <v>74.990669382879474</v>
      </c>
      <c r="BS8" s="288">
        <f>VLOOKUP(E8,[2]Departamentos!$A$42:$B$75,2,FALSE)</f>
        <v>742220.83486000006</v>
      </c>
      <c r="BT8" s="289">
        <v>145792.751365</v>
      </c>
      <c r="BU8" s="290">
        <f t="shared" si="16"/>
        <v>0.1964277267863275</v>
      </c>
      <c r="BV8" s="260" t="str">
        <f>IFERROR(VLOOKUP(BU8,'Rangos amb etnico'!$A$2:$C$6,3,9),"N.D.")</f>
        <v>0,1% - 30%</v>
      </c>
      <c r="BW8" s="289">
        <v>6366.6459646499898</v>
      </c>
      <c r="BX8" s="290">
        <f t="shared" si="17"/>
        <v>8.5778324531281657E-3</v>
      </c>
      <c r="BY8" s="104" t="str">
        <f>IFERROR(VLOOKUP(BX8,'Rangos amb etnico'!$A$2:$C$6,3,9),"N.D.")</f>
        <v>0,1% - 30%</v>
      </c>
      <c r="BZ8" s="68">
        <v>0</v>
      </c>
      <c r="CA8" s="25">
        <v>6.1229616811747745</v>
      </c>
      <c r="CB8">
        <v>61.283131267294308</v>
      </c>
      <c r="CC8">
        <v>44.407669067382813</v>
      </c>
      <c r="CD8">
        <v>60.715511322021477</v>
      </c>
      <c r="CE8">
        <v>66.475242614746094</v>
      </c>
      <c r="CF8">
        <v>70.684341430664063</v>
      </c>
      <c r="CG8">
        <v>66.716087341308594</v>
      </c>
      <c r="CH8">
        <v>58.699928283691413</v>
      </c>
      <c r="CI8" s="10">
        <v>0</v>
      </c>
      <c r="CJ8" s="325">
        <f t="shared" si="18"/>
        <v>0</v>
      </c>
      <c r="CK8" s="232">
        <f>VLOOKUP(CJ8,'Rangos amb etnico'!$A$2:$C$6,3,9)</f>
        <v>0</v>
      </c>
      <c r="CL8">
        <f t="shared" si="19"/>
        <v>0</v>
      </c>
    </row>
    <row r="9" spans="1:90">
      <c r="A9" s="13" t="s">
        <v>2743</v>
      </c>
      <c r="B9" s="13" t="s">
        <v>1463</v>
      </c>
      <c r="C9" s="13">
        <v>18</v>
      </c>
      <c r="D9" s="13" t="s">
        <v>2735</v>
      </c>
      <c r="E9" s="13" t="s">
        <v>2693</v>
      </c>
      <c r="F9" s="16">
        <v>70.503</v>
      </c>
      <c r="G9" s="13">
        <v>62.04</v>
      </c>
      <c r="H9" s="13">
        <v>60.5</v>
      </c>
      <c r="I9" s="13">
        <v>63.18</v>
      </c>
      <c r="J9" s="14">
        <v>48.242112877432511</v>
      </c>
      <c r="K9" s="14">
        <v>49.601751666582217</v>
      </c>
      <c r="L9" s="14">
        <v>48.971250622754766</v>
      </c>
      <c r="M9" s="14">
        <v>47.389299999999999</v>
      </c>
      <c r="N9" s="13" t="s">
        <v>2740</v>
      </c>
      <c r="O9" s="13" t="s">
        <v>2740</v>
      </c>
      <c r="P9" s="13" t="s">
        <v>2740</v>
      </c>
      <c r="Q9" s="13" t="s">
        <v>2740</v>
      </c>
      <c r="R9" s="16">
        <f t="shared" si="2"/>
        <v>64.055750000000003</v>
      </c>
      <c r="S9" s="14">
        <f t="shared" si="3"/>
        <v>48.55110379169237</v>
      </c>
      <c r="T9" s="14">
        <f t="shared" si="4"/>
        <v>56.303426895846187</v>
      </c>
      <c r="U9" s="260">
        <v>71.49542385764704</v>
      </c>
      <c r="V9" s="261">
        <f t="shared" si="5"/>
        <v>22.678498882608665</v>
      </c>
      <c r="W9" s="300">
        <f t="shared" si="6"/>
        <v>0.45073510594113808</v>
      </c>
      <c r="X9" s="14">
        <f t="shared" si="7"/>
        <v>25.377931086748355</v>
      </c>
      <c r="Y9" s="17">
        <f>+VLOOKUP(X9,'Cortes naturales'!$A$93:$C$95,3,9)</f>
        <v>3</v>
      </c>
      <c r="Z9" s="17">
        <v>57.2730424221959</v>
      </c>
      <c r="AA9" s="14">
        <v>0.44957717179734658</v>
      </c>
      <c r="AB9" s="14">
        <f t="shared" si="8"/>
        <v>25.748652432400284</v>
      </c>
      <c r="AC9" s="17">
        <f>VLOOKUP(AB9,'Cortes naturales'!$A$87:$C$89,3,9)</f>
        <v>3</v>
      </c>
      <c r="AD9" s="17" t="b">
        <f t="shared" si="9"/>
        <v>1</v>
      </c>
      <c r="AE9" s="17">
        <f t="shared" si="10"/>
        <v>0</v>
      </c>
      <c r="AF9" s="14">
        <f t="shared" si="11"/>
        <v>0.96961552634971326</v>
      </c>
      <c r="AG9" s="17">
        <v>57.2730424221959</v>
      </c>
      <c r="AH9" s="14">
        <v>0.41874070230311966</v>
      </c>
      <c r="AI9" s="14">
        <v>23.982554006906678</v>
      </c>
      <c r="AJ9" s="14">
        <v>0.41096686051625536</v>
      </c>
      <c r="AK9" s="17">
        <v>3</v>
      </c>
      <c r="AL9" s="17" t="b">
        <f t="shared" si="12"/>
        <v>1</v>
      </c>
      <c r="AM9" s="17">
        <f t="shared" si="13"/>
        <v>0</v>
      </c>
      <c r="AN9" s="14">
        <f t="shared" si="14"/>
        <v>-0.96961552634971326</v>
      </c>
      <c r="AO9" s="17">
        <f>+VLOOKUP(X9,'Cortes naturales'!$F$75:$I$77,3,9)</f>
        <v>3</v>
      </c>
      <c r="AP9" s="17" t="b">
        <f t="shared" si="20"/>
        <v>1</v>
      </c>
      <c r="AQ9" s="17">
        <f t="shared" si="15"/>
        <v>0</v>
      </c>
      <c r="AR9" s="14">
        <v>69.971915996889237</v>
      </c>
      <c r="AS9" s="14">
        <v>0.25608842515294467</v>
      </c>
      <c r="AT9" s="14">
        <v>17.918997772577502</v>
      </c>
      <c r="AU9" s="14">
        <v>5.609298561921483E-2</v>
      </c>
      <c r="AV9" s="13">
        <v>3</v>
      </c>
      <c r="AW9" s="104">
        <f>VLOOKUP(C9,'[1]HIST-CATEG-DEPTOS'!$B$9:$BB$40,51,FALSE)</f>
        <v>4</v>
      </c>
      <c r="AX9" s="104">
        <v>1</v>
      </c>
      <c r="AY9" s="13">
        <v>26.9</v>
      </c>
      <c r="AZ9" s="286">
        <v>23.621613242158567</v>
      </c>
      <c r="BA9" s="285">
        <v>7.9030158151622709</v>
      </c>
      <c r="BB9" s="286">
        <v>16.862097134500846</v>
      </c>
      <c r="BC9" s="285" t="s">
        <v>376</v>
      </c>
      <c r="BD9" s="288">
        <v>512439.10240999999</v>
      </c>
      <c r="BE9" s="288">
        <v>76704.725252000004</v>
      </c>
      <c r="BF9" s="288">
        <v>428162</v>
      </c>
      <c r="BG9" s="289">
        <f t="shared" si="0"/>
        <v>1.196834614958824</v>
      </c>
      <c r="BH9" s="289">
        <f t="shared" si="1"/>
        <v>0.17914883911229862</v>
      </c>
      <c r="BI9" s="260">
        <v>55.421408413086191</v>
      </c>
      <c r="BJ9" s="260">
        <v>96.047091633135835</v>
      </c>
      <c r="BK9" s="260">
        <v>52.628743338962998</v>
      </c>
      <c r="BL9" s="260">
        <v>70.490099766865413</v>
      </c>
      <c r="BM9" s="260">
        <v>63.765157849659772</v>
      </c>
      <c r="BN9" s="260">
        <v>44.828028127687297</v>
      </c>
      <c r="BO9" s="260">
        <v>71.830230708853477</v>
      </c>
      <c r="BP9" s="260">
        <v>62.562470560559248</v>
      </c>
      <c r="BQ9" s="260">
        <v>65.001537119750139</v>
      </c>
      <c r="BR9" s="260">
        <v>64.30947042281646</v>
      </c>
      <c r="BS9" s="288">
        <f>VLOOKUP(E9,[2]Departamentos!$A$42:$B$75,2,FALSE)</f>
        <v>9270907.4851400014</v>
      </c>
      <c r="BT9" s="289">
        <v>5856934.4000860006</v>
      </c>
      <c r="BU9" s="290">
        <f t="shared" si="16"/>
        <v>0.63175416316837019</v>
      </c>
      <c r="BV9" s="260" t="str">
        <f>IFERROR(VLOOKUP(BU9,'Rangos amb etnico'!$A$2:$C$6,3,9),"N.D.")</f>
        <v>51% - 70%</v>
      </c>
      <c r="BW9" s="289">
        <v>1519450.7419700001</v>
      </c>
      <c r="BX9" s="290">
        <f t="shared" si="17"/>
        <v>0.16389449947650456</v>
      </c>
      <c r="BY9" s="104" t="str">
        <f>IFERROR(VLOOKUP(BX9,'Rangos amb etnico'!$A$2:$C$6,3,9),"N.D.")</f>
        <v>0,1% - 30%</v>
      </c>
      <c r="BZ9" s="68">
        <v>0</v>
      </c>
      <c r="CA9" s="25">
        <v>4.2314975270829791</v>
      </c>
      <c r="CB9">
        <v>42.414743662283577</v>
      </c>
      <c r="CC9">
        <v>31.888082504272461</v>
      </c>
      <c r="CD9">
        <v>41.916141510009773</v>
      </c>
      <c r="CE9">
        <v>63.409542083740227</v>
      </c>
      <c r="CF9">
        <v>31.7132682800293</v>
      </c>
      <c r="CG9">
        <v>40.234901428222663</v>
      </c>
      <c r="CH9">
        <v>45.326526641845703</v>
      </c>
      <c r="CI9" s="10">
        <v>71887.109877299896</v>
      </c>
      <c r="CJ9" s="325">
        <f t="shared" si="18"/>
        <v>7.7540532027231546E-3</v>
      </c>
      <c r="CK9" s="232" t="str">
        <f>VLOOKUP(CJ9,'Rangos amb etnico'!$A$2:$C$6,3,9)</f>
        <v>0,1% - 30%</v>
      </c>
      <c r="CL9">
        <f t="shared" si="19"/>
        <v>4.5733894865236796E-2</v>
      </c>
    </row>
    <row r="10" spans="1:90">
      <c r="A10" s="13" t="s">
        <v>2744</v>
      </c>
      <c r="B10" s="13" t="s">
        <v>557</v>
      </c>
      <c r="C10" s="13">
        <v>19</v>
      </c>
      <c r="D10" s="13" t="s">
        <v>2735</v>
      </c>
      <c r="E10" s="13" t="s">
        <v>2695</v>
      </c>
      <c r="F10" s="16">
        <v>60.338500000000003</v>
      </c>
      <c r="G10" s="13">
        <v>79.98</v>
      </c>
      <c r="H10" s="13">
        <v>85.95</v>
      </c>
      <c r="I10" s="13">
        <v>86.36</v>
      </c>
      <c r="J10" s="14">
        <v>51.612100493011042</v>
      </c>
      <c r="K10" s="14">
        <v>47.400745099247189</v>
      </c>
      <c r="L10" s="14">
        <v>49.134093336695301</v>
      </c>
      <c r="M10" s="14">
        <v>52.242400000000004</v>
      </c>
      <c r="N10" s="13" t="s">
        <v>2740</v>
      </c>
      <c r="O10" s="13" t="s">
        <v>2740</v>
      </c>
      <c r="P10" s="13" t="s">
        <v>2740</v>
      </c>
      <c r="Q10" s="13" t="s">
        <v>2740</v>
      </c>
      <c r="R10" s="16">
        <f t="shared" si="2"/>
        <v>78.157125000000008</v>
      </c>
      <c r="S10" s="14">
        <f t="shared" si="3"/>
        <v>50.097334732238387</v>
      </c>
      <c r="T10" s="14">
        <f t="shared" si="4"/>
        <v>64.127229866119194</v>
      </c>
      <c r="U10" s="260">
        <v>53.414055898344422</v>
      </c>
      <c r="V10" s="261">
        <f t="shared" si="5"/>
        <v>40.759866841911283</v>
      </c>
      <c r="W10" s="300">
        <f t="shared" si="6"/>
        <v>0.73037312517661668</v>
      </c>
      <c r="X10" s="14">
        <f t="shared" si="7"/>
        <v>46.836805286236746</v>
      </c>
      <c r="Y10" s="17">
        <f>+VLOOKUP(X10,'Cortes naturales'!$A$93:$C$95,3,9)</f>
        <v>2</v>
      </c>
      <c r="Z10" s="17">
        <v>60.970982190687103</v>
      </c>
      <c r="AA10" s="14">
        <v>0.7342161463735537</v>
      </c>
      <c r="AB10" s="14">
        <f t="shared" si="8"/>
        <v>44.765879584656858</v>
      </c>
      <c r="AC10" s="17">
        <f>VLOOKUP(AB10,'Cortes naturales'!$A$87:$C$89,3,9)</f>
        <v>2</v>
      </c>
      <c r="AD10" s="17" t="b">
        <f t="shared" si="9"/>
        <v>1</v>
      </c>
      <c r="AE10" s="17">
        <f t="shared" si="10"/>
        <v>0</v>
      </c>
      <c r="AF10" s="14">
        <f t="shared" si="11"/>
        <v>-3.1562476754320912</v>
      </c>
      <c r="AG10" s="17">
        <v>60.970982190687103</v>
      </c>
      <c r="AH10" s="14">
        <v>0.64656438100216296</v>
      </c>
      <c r="AI10" s="14">
        <v>39.42166535921551</v>
      </c>
      <c r="AJ10" s="14">
        <v>0.71563061064841782</v>
      </c>
      <c r="AK10" s="17">
        <v>2</v>
      </c>
      <c r="AL10" s="17" t="b">
        <f t="shared" si="12"/>
        <v>1</v>
      </c>
      <c r="AM10" s="17">
        <f t="shared" si="13"/>
        <v>0</v>
      </c>
      <c r="AN10" s="14">
        <f t="shared" si="14"/>
        <v>3.1562476754320912</v>
      </c>
      <c r="AO10" s="17">
        <f>+VLOOKUP(X10,'Cortes naturales'!$F$75:$I$77,3,9)</f>
        <v>2</v>
      </c>
      <c r="AP10" s="17" t="b">
        <f t="shared" si="20"/>
        <v>1</v>
      </c>
      <c r="AQ10" s="17">
        <f t="shared" si="15"/>
        <v>0</v>
      </c>
      <c r="AR10" s="14">
        <v>65.013178428194465</v>
      </c>
      <c r="AS10" s="14">
        <v>0.72715328273217206</v>
      </c>
      <c r="AT10" s="14">
        <v>47.274546114914038</v>
      </c>
      <c r="AU10" s="14">
        <v>0.66907811003786166</v>
      </c>
      <c r="AV10" s="13">
        <v>2</v>
      </c>
      <c r="AW10" s="104">
        <f>VLOOKUP(C10,'[1]HIST-CATEG-DEPTOS'!$B$9:$BB$40,51,FALSE)</f>
        <v>3</v>
      </c>
      <c r="AX10" s="104">
        <v>1</v>
      </c>
      <c r="AY10" s="13">
        <v>27.7</v>
      </c>
      <c r="AZ10" s="286">
        <v>18.807900065882443</v>
      </c>
      <c r="BA10" s="285">
        <v>4.6006373061979797</v>
      </c>
      <c r="BB10" s="286">
        <v>22.062427167975702</v>
      </c>
      <c r="BC10" s="285" t="s">
        <v>376</v>
      </c>
      <c r="BD10" s="288">
        <v>1853197.0564049999</v>
      </c>
      <c r="BE10" s="288">
        <v>164768.36675799999</v>
      </c>
      <c r="BF10" s="288">
        <v>1574506</v>
      </c>
      <c r="BG10" s="289">
        <f t="shared" si="0"/>
        <v>1.1770022193659471</v>
      </c>
      <c r="BH10" s="289">
        <f t="shared" si="1"/>
        <v>0.10464765885807993</v>
      </c>
      <c r="BI10" s="260">
        <v>55.336895969057771</v>
      </c>
      <c r="BJ10" s="260">
        <v>91.000661971423071</v>
      </c>
      <c r="BK10" s="260">
        <v>51.496688239649963</v>
      </c>
      <c r="BL10" s="260">
        <v>54.110382264357419</v>
      </c>
      <c r="BM10" s="260">
        <v>54.50530806524047</v>
      </c>
      <c r="BN10" s="260">
        <v>47.517303045538448</v>
      </c>
      <c r="BO10" s="260">
        <v>70.294315553730456</v>
      </c>
      <c r="BP10" s="260">
        <v>66.897698483277253</v>
      </c>
      <c r="BQ10" s="260">
        <v>60.60879358699966</v>
      </c>
      <c r="BR10" s="260">
        <v>65.302582711946954</v>
      </c>
      <c r="BS10" s="288">
        <f>VLOOKUP(E10,[2]Departamentos!$A$42:$B$75,2,FALSE)</f>
        <v>3091866.855335</v>
      </c>
      <c r="BT10" s="289">
        <v>905037.10834999999</v>
      </c>
      <c r="BU10" s="290">
        <f t="shared" si="16"/>
        <v>0.29271542103708742</v>
      </c>
      <c r="BV10" s="260" t="str">
        <f>IFERROR(VLOOKUP(BU10,'Rangos amb etnico'!$A$2:$C$6,3,9),"N.D.")</f>
        <v>0,1% - 30%</v>
      </c>
      <c r="BW10" s="289">
        <v>1057374.8233399901</v>
      </c>
      <c r="BX10" s="290">
        <f t="shared" si="17"/>
        <v>0.34198588516691636</v>
      </c>
      <c r="BY10" s="104" t="str">
        <f>IFERROR(VLOOKUP(BX10,'Rangos amb etnico'!$A$2:$C$6,3,9),"N.D.")</f>
        <v>31% - 50%</v>
      </c>
      <c r="BZ10" s="68">
        <v>0</v>
      </c>
      <c r="CA10" s="25">
        <v>4.8937865024259244</v>
      </c>
      <c r="CB10">
        <v>48.62803927592411</v>
      </c>
      <c r="CC10">
        <v>33.529483795166023</v>
      </c>
      <c r="CD10">
        <v>50.502407073974609</v>
      </c>
      <c r="CE10">
        <v>65.934043884277344</v>
      </c>
      <c r="CF10">
        <v>46.091697692871087</v>
      </c>
      <c r="CG10">
        <v>40.868244171142578</v>
      </c>
      <c r="CH10">
        <v>54.842357635498047</v>
      </c>
      <c r="CI10" s="10">
        <v>181791.98918</v>
      </c>
      <c r="CJ10" s="325">
        <f t="shared" si="18"/>
        <v>5.8796836243552621E-2</v>
      </c>
      <c r="CK10" s="232" t="str">
        <f>VLOOKUP(CJ10,'Rangos amb etnico'!$A$2:$C$6,3,9)</f>
        <v>0,1% - 30%</v>
      </c>
      <c r="CL10">
        <f t="shared" si="19"/>
        <v>0.11565433267092227</v>
      </c>
    </row>
    <row r="11" spans="1:90">
      <c r="A11" s="13" t="s">
        <v>2745</v>
      </c>
      <c r="B11" s="13" t="s">
        <v>893</v>
      </c>
      <c r="C11" s="13">
        <v>20</v>
      </c>
      <c r="D11" s="13" t="s">
        <v>2735</v>
      </c>
      <c r="E11" s="13" t="s">
        <v>2696</v>
      </c>
      <c r="F11" s="16">
        <v>81.887366666666694</v>
      </c>
      <c r="G11" s="13">
        <v>70.540000000000006</v>
      </c>
      <c r="H11" s="13">
        <v>78.95</v>
      </c>
      <c r="I11" s="13">
        <v>78.290000000000006</v>
      </c>
      <c r="J11" s="14">
        <v>68.377552000934728</v>
      </c>
      <c r="K11" s="14">
        <v>62.088111579544844</v>
      </c>
      <c r="L11" s="14">
        <v>73.040468377285023</v>
      </c>
      <c r="M11" s="14">
        <v>68.747900000000001</v>
      </c>
      <c r="N11" s="13" t="s">
        <v>2736</v>
      </c>
      <c r="O11" s="13" t="s">
        <v>2736</v>
      </c>
      <c r="P11" s="13" t="s">
        <v>2738</v>
      </c>
      <c r="Q11" s="13" t="s">
        <v>2736</v>
      </c>
      <c r="R11" s="16">
        <f t="shared" si="2"/>
        <v>77.416841666666684</v>
      </c>
      <c r="S11" s="14">
        <f t="shared" si="3"/>
        <v>68.063507989441149</v>
      </c>
      <c r="T11" s="14">
        <f t="shared" si="4"/>
        <v>72.74017482805391</v>
      </c>
      <c r="U11" s="260">
        <v>54.98733542083923</v>
      </c>
      <c r="V11" s="261">
        <f t="shared" si="5"/>
        <v>39.186587319416475</v>
      </c>
      <c r="W11" s="300">
        <f t="shared" si="6"/>
        <v>0.70604151650826696</v>
      </c>
      <c r="X11" s="14">
        <f t="shared" si="7"/>
        <v>51.357583346675646</v>
      </c>
      <c r="Y11" s="17">
        <f>+VLOOKUP(X11,'Cortes naturales'!$A$93:$C$95,3,9)</f>
        <v>2</v>
      </c>
      <c r="Z11" s="17">
        <v>72.229695757680801</v>
      </c>
      <c r="AA11" s="14">
        <v>0.70568878853846773</v>
      </c>
      <c r="AB11" s="14">
        <f t="shared" si="8"/>
        <v>50.971686495739867</v>
      </c>
      <c r="AC11" s="17">
        <f>VLOOKUP(AB11,'Cortes naturales'!$A$87:$C$89,3,9)</f>
        <v>2</v>
      </c>
      <c r="AD11" s="17" t="b">
        <f t="shared" si="9"/>
        <v>1</v>
      </c>
      <c r="AE11" s="17">
        <f t="shared" si="10"/>
        <v>0</v>
      </c>
      <c r="AF11" s="14">
        <f t="shared" si="11"/>
        <v>-0.51047907037310836</v>
      </c>
      <c r="AG11" s="17">
        <v>72.229695757680801</v>
      </c>
      <c r="AH11" s="14">
        <v>0.64656438100216296</v>
      </c>
      <c r="AI11" s="14">
        <v>46.701148527539445</v>
      </c>
      <c r="AJ11" s="14">
        <v>0.85927842757758743</v>
      </c>
      <c r="AK11" s="17">
        <v>1</v>
      </c>
      <c r="AL11" s="17" t="b">
        <f t="shared" si="12"/>
        <v>0</v>
      </c>
      <c r="AM11" s="17">
        <f t="shared" si="13"/>
        <v>1</v>
      </c>
      <c r="AN11" s="14">
        <f t="shared" si="14"/>
        <v>0.51047907037310836</v>
      </c>
      <c r="AO11" s="17">
        <f>+VLOOKUP(X11,'Cortes naturales'!$F$75:$I$77,3,9)</f>
        <v>2</v>
      </c>
      <c r="AP11" s="17" t="b">
        <f t="shared" si="20"/>
        <v>0</v>
      </c>
      <c r="AQ11" s="17" t="str">
        <f t="shared" si="15"/>
        <v>Cambio en corte</v>
      </c>
      <c r="AR11" s="14">
        <v>72.987182179238005</v>
      </c>
      <c r="AS11" s="14">
        <v>0.72715328273217206</v>
      </c>
      <c r="AT11" s="14">
        <v>53.072869119004004</v>
      </c>
      <c r="AU11" s="14">
        <v>0.79015524702854101</v>
      </c>
      <c r="AV11" s="13">
        <v>2</v>
      </c>
      <c r="AW11" s="104">
        <f>VLOOKUP(C11,'[1]HIST-CATEG-DEPTOS'!$B$9:$BB$40,51,FALSE)</f>
        <v>2</v>
      </c>
      <c r="AX11" s="104">
        <v>1</v>
      </c>
      <c r="AY11" s="13">
        <v>31.7</v>
      </c>
      <c r="AZ11" s="286">
        <v>23.043061203402029</v>
      </c>
      <c r="BA11" s="285">
        <v>23.098226152616427</v>
      </c>
      <c r="BB11" s="286">
        <v>5.5173055861677982</v>
      </c>
      <c r="BC11" s="285" t="s">
        <v>383</v>
      </c>
      <c r="BD11" s="288">
        <v>1194410.662451</v>
      </c>
      <c r="BE11" s="288">
        <v>197634.028747</v>
      </c>
      <c r="BF11" s="288">
        <v>1395486</v>
      </c>
      <c r="BG11" s="289">
        <f t="shared" si="0"/>
        <v>0.8559101721199639</v>
      </c>
      <c r="BH11" s="289">
        <f t="shared" si="1"/>
        <v>0.14162379898257668</v>
      </c>
      <c r="BI11" s="260">
        <v>55.783676669269703</v>
      </c>
      <c r="BJ11" s="260">
        <v>89.257808527646844</v>
      </c>
      <c r="BK11" s="260">
        <v>49.493100027380542</v>
      </c>
      <c r="BL11" s="260">
        <v>68.198108517290052</v>
      </c>
      <c r="BM11" s="260">
        <v>75.129394358871821</v>
      </c>
      <c r="BN11" s="260">
        <v>45.783668051852757</v>
      </c>
      <c r="BO11" s="260">
        <v>66.179982282914182</v>
      </c>
      <c r="BP11" s="260">
        <v>55.991380940450703</v>
      </c>
      <c r="BQ11" s="260">
        <v>64.260819776460849</v>
      </c>
      <c r="BR11" s="260">
        <v>55.66132930795019</v>
      </c>
      <c r="BS11" s="288">
        <f>VLOOKUP(E11,[2]Departamentos!$A$42:$B$75,2,FALSE)</f>
        <v>2249999.4542729999</v>
      </c>
      <c r="BT11" s="289">
        <v>749357.715019</v>
      </c>
      <c r="BU11" s="290">
        <f t="shared" si="16"/>
        <v>0.33304795412100485</v>
      </c>
      <c r="BV11" s="260" t="str">
        <f>IFERROR(VLOOKUP(BU11,'Rangos amb etnico'!$A$2:$C$6,3,9),"N.D.")</f>
        <v>31% - 50%</v>
      </c>
      <c r="BW11" s="289">
        <v>179364.855459999</v>
      </c>
      <c r="BX11" s="290">
        <f t="shared" si="17"/>
        <v>7.9717732872941427E-2</v>
      </c>
      <c r="BY11" s="104" t="str">
        <f>IFERROR(VLOOKUP(BX11,'Rangos amb etnico'!$A$2:$C$6,3,9),"N.D.")</f>
        <v>0,1% - 30%</v>
      </c>
      <c r="BZ11" s="68">
        <v>1</v>
      </c>
      <c r="CA11" s="25">
        <v>4.7785204056421815</v>
      </c>
      <c r="CB11">
        <v>46.419156273860153</v>
      </c>
      <c r="CC11">
        <v>41.477886199951172</v>
      </c>
      <c r="CD11">
        <v>48.324672698974609</v>
      </c>
      <c r="CE11">
        <v>62.726875305175781</v>
      </c>
      <c r="CF11">
        <v>30.1594352722168</v>
      </c>
      <c r="CG11">
        <v>39.209362030029297</v>
      </c>
      <c r="CH11">
        <v>56.616706848144531</v>
      </c>
      <c r="CI11" s="10">
        <v>0</v>
      </c>
      <c r="CJ11" s="325">
        <f t="shared" si="18"/>
        <v>0</v>
      </c>
      <c r="CK11" s="232">
        <f>VLOOKUP(CJ11,'Rangos amb etnico'!$A$2:$C$6,3,9)</f>
        <v>0</v>
      </c>
      <c r="CL11">
        <f t="shared" si="19"/>
        <v>0</v>
      </c>
    </row>
    <row r="12" spans="1:90">
      <c r="A12" s="13" t="s">
        <v>2746</v>
      </c>
      <c r="B12" s="13" t="s">
        <v>567</v>
      </c>
      <c r="C12" s="13">
        <v>23</v>
      </c>
      <c r="D12" s="13" t="s">
        <v>2735</v>
      </c>
      <c r="E12" s="13" t="s">
        <v>2698</v>
      </c>
      <c r="F12" s="16">
        <v>74.360866666666695</v>
      </c>
      <c r="G12" s="13">
        <v>78.540000000000006</v>
      </c>
      <c r="H12" s="13">
        <v>84.18</v>
      </c>
      <c r="I12" s="13">
        <v>88.4</v>
      </c>
      <c r="J12" s="14">
        <v>45.369880949041338</v>
      </c>
      <c r="K12" s="14">
        <v>43.063566456892623</v>
      </c>
      <c r="L12" s="14">
        <v>54.743139869469104</v>
      </c>
      <c r="M12" s="14">
        <v>42.071399999999997</v>
      </c>
      <c r="N12" s="13" t="s">
        <v>2740</v>
      </c>
      <c r="O12" s="13" t="s">
        <v>2740</v>
      </c>
      <c r="P12" s="13" t="s">
        <v>2740</v>
      </c>
      <c r="Q12" s="13" t="s">
        <v>2740</v>
      </c>
      <c r="R12" s="16">
        <f t="shared" si="2"/>
        <v>81.370216666666678</v>
      </c>
      <c r="S12" s="14">
        <f t="shared" si="3"/>
        <v>46.311996818850758</v>
      </c>
      <c r="T12" s="14">
        <f t="shared" si="4"/>
        <v>63.841106742758718</v>
      </c>
      <c r="U12" s="260">
        <v>48.700865827592992</v>
      </c>
      <c r="V12" s="261">
        <f t="shared" si="5"/>
        <v>45.473056912662713</v>
      </c>
      <c r="W12" s="300">
        <f t="shared" si="6"/>
        <v>0.80326512862634292</v>
      </c>
      <c r="X12" s="14">
        <f t="shared" si="7"/>
        <v>51.281334819370173</v>
      </c>
      <c r="Y12" s="17">
        <f>+VLOOKUP(X12,'Cortes naturales'!$A$93:$C$95,3,9)</f>
        <v>2</v>
      </c>
      <c r="Z12" s="17">
        <v>61.761903301266869</v>
      </c>
      <c r="AA12" s="14">
        <v>0.80472800261449118</v>
      </c>
      <c r="AB12" s="14">
        <f t="shared" si="8"/>
        <v>49.701533081297839</v>
      </c>
      <c r="AC12" s="17">
        <f>VLOOKUP(AB12,'Cortes naturales'!$A$87:$C$89,3,9)</f>
        <v>2</v>
      </c>
      <c r="AD12" s="17" t="b">
        <f t="shared" si="9"/>
        <v>1</v>
      </c>
      <c r="AE12" s="17">
        <f t="shared" si="10"/>
        <v>0</v>
      </c>
      <c r="AF12" s="14">
        <f t="shared" si="11"/>
        <v>-2.079203441491849</v>
      </c>
      <c r="AG12" s="17">
        <v>61.761903301266869</v>
      </c>
      <c r="AH12" s="14">
        <v>0.64656438100216296</v>
      </c>
      <c r="AI12" s="14">
        <v>39.933046777499058</v>
      </c>
      <c r="AJ12" s="14">
        <v>0.72572182490854875</v>
      </c>
      <c r="AK12" s="17">
        <v>2</v>
      </c>
      <c r="AL12" s="17" t="b">
        <f t="shared" si="12"/>
        <v>1</v>
      </c>
      <c r="AM12" s="17">
        <f t="shared" si="13"/>
        <v>0</v>
      </c>
      <c r="AN12" s="14">
        <f t="shared" si="14"/>
        <v>2.079203441491849</v>
      </c>
      <c r="AO12" s="17">
        <f>+VLOOKUP(X12,'Cortes naturales'!$F$75:$I$77,3,9)</f>
        <v>2</v>
      </c>
      <c r="AP12" s="17" t="b">
        <f t="shared" si="20"/>
        <v>1</v>
      </c>
      <c r="AQ12" s="17">
        <f t="shared" si="15"/>
        <v>0</v>
      </c>
      <c r="AR12" s="14">
        <v>72.275093077780085</v>
      </c>
      <c r="AS12" s="14">
        <v>0.72715328273217206</v>
      </c>
      <c r="AT12" s="14">
        <v>52.555071191281073</v>
      </c>
      <c r="AU12" s="14">
        <v>0.77934289825387326</v>
      </c>
      <c r="AV12" s="13">
        <v>2</v>
      </c>
      <c r="AW12" s="104">
        <f>VLOOKUP(C12,'[1]HIST-CATEG-DEPTOS'!$B$9:$BB$40,51,FALSE)</f>
        <v>1</v>
      </c>
      <c r="AX12" s="104">
        <v>1</v>
      </c>
      <c r="AY12" s="13">
        <v>34.4</v>
      </c>
      <c r="AZ12" s="286">
        <v>35.083723510427667</v>
      </c>
      <c r="BA12" s="285">
        <v>13.120787039070558</v>
      </c>
      <c r="BB12" s="286">
        <v>4.391743970789947</v>
      </c>
      <c r="BC12" s="285" t="s">
        <v>383</v>
      </c>
      <c r="BD12" s="288">
        <v>1688939.070971</v>
      </c>
      <c r="BE12" s="288">
        <v>306864.25913199998</v>
      </c>
      <c r="BF12" s="288">
        <v>1914778</v>
      </c>
      <c r="BG12" s="289">
        <f t="shared" si="0"/>
        <v>0.8820547713473833</v>
      </c>
      <c r="BH12" s="289">
        <f t="shared" si="1"/>
        <v>0.16026101152822936</v>
      </c>
      <c r="BI12" s="260">
        <v>50.6075336412148</v>
      </c>
      <c r="BJ12" s="260">
        <v>79.192621618356739</v>
      </c>
      <c r="BK12" s="260">
        <v>44.072788028993408</v>
      </c>
      <c r="BL12" s="260">
        <v>90.522787424442868</v>
      </c>
      <c r="BM12" s="260">
        <v>76.25754564602768</v>
      </c>
      <c r="BN12" s="260">
        <v>41.765583359919987</v>
      </c>
      <c r="BO12" s="260">
        <v>59.680098997569573</v>
      </c>
      <c r="BP12" s="260">
        <v>65.295095581288805</v>
      </c>
      <c r="BQ12" s="260">
        <v>63.156994102360727</v>
      </c>
      <c r="BR12" s="260">
        <v>64.100459070082735</v>
      </c>
      <c r="BS12" s="288">
        <f>VLOOKUP(E12,[2]Departamentos!$A$42:$B$75,2,FALSE)</f>
        <v>2508375.1621310003</v>
      </c>
      <c r="BT12" s="289">
        <v>843693.11465600017</v>
      </c>
      <c r="BU12" s="290">
        <f t="shared" si="16"/>
        <v>0.33635045004162667</v>
      </c>
      <c r="BV12" s="260" t="str">
        <f>IFERROR(VLOOKUP(BU12,'Rangos amb etnico'!$A$2:$C$6,3,9),"N.D.")</f>
        <v>31% - 50%</v>
      </c>
      <c r="BW12" s="289">
        <v>124417.13249699899</v>
      </c>
      <c r="BX12" s="290">
        <f t="shared" si="17"/>
        <v>4.9600687479021244E-2</v>
      </c>
      <c r="BY12" s="104" t="str">
        <f>IFERROR(VLOOKUP(BX12,'Rangos amb etnico'!$A$2:$C$6,3,9),"N.D.")</f>
        <v>0,1% - 30%</v>
      </c>
      <c r="BZ12" s="68">
        <v>0</v>
      </c>
      <c r="CA12" s="25">
        <v>4.5853938078420606</v>
      </c>
      <c r="CB12">
        <v>53.682158735523053</v>
      </c>
      <c r="CC12">
        <v>41.716350555419922</v>
      </c>
      <c r="CD12">
        <v>53.049182891845703</v>
      </c>
      <c r="CE12">
        <v>60.280719757080078</v>
      </c>
      <c r="CF12">
        <v>32.609458923339837</v>
      </c>
      <c r="CG12">
        <v>79.604179382324219</v>
      </c>
      <c r="CH12">
        <v>54.833061218261719</v>
      </c>
      <c r="CI12" s="10">
        <v>80285.697830799894</v>
      </c>
      <c r="CJ12" s="325">
        <f t="shared" si="18"/>
        <v>3.2007053427603252E-2</v>
      </c>
      <c r="CK12" s="232" t="str">
        <f>VLOOKUP(CJ12,'Rangos amb etnico'!$A$2:$C$6,3,9)</f>
        <v>0,1% - 30%</v>
      </c>
      <c r="CL12">
        <f t="shared" si="19"/>
        <v>5.1076996558119044E-2</v>
      </c>
    </row>
    <row r="13" spans="1:90">
      <c r="A13" s="13" t="s">
        <v>2747</v>
      </c>
      <c r="B13" s="13" t="s">
        <v>461</v>
      </c>
      <c r="C13" s="13">
        <v>25</v>
      </c>
      <c r="D13" s="13" t="s">
        <v>2735</v>
      </c>
      <c r="E13" s="13" t="s">
        <v>2700</v>
      </c>
      <c r="F13" s="16">
        <v>98.731403170950003</v>
      </c>
      <c r="G13" s="13">
        <v>88.78</v>
      </c>
      <c r="H13" s="13">
        <v>92.66</v>
      </c>
      <c r="I13" s="13">
        <v>94.69</v>
      </c>
      <c r="J13" s="14">
        <v>71.648254076249856</v>
      </c>
      <c r="K13" s="14">
        <v>71.937321253336677</v>
      </c>
      <c r="L13" s="14">
        <v>70.577998418508969</v>
      </c>
      <c r="M13" s="14">
        <v>50.212299999999999</v>
      </c>
      <c r="N13" s="13" t="s">
        <v>2738</v>
      </c>
      <c r="O13" s="13" t="s">
        <v>2738</v>
      </c>
      <c r="P13" s="13" t="s">
        <v>2738</v>
      </c>
      <c r="Q13" s="13" t="s">
        <v>2740</v>
      </c>
      <c r="R13" s="16">
        <f t="shared" si="2"/>
        <v>93.71535079273751</v>
      </c>
      <c r="S13" s="14">
        <f t="shared" si="3"/>
        <v>66.093968437023875</v>
      </c>
      <c r="T13" s="14">
        <f t="shared" si="4"/>
        <v>79.9046596148807</v>
      </c>
      <c r="U13" s="260">
        <v>49.940495652724891</v>
      </c>
      <c r="V13" s="261">
        <f t="shared" si="5"/>
        <v>44.233427087530814</v>
      </c>
      <c r="W13" s="300">
        <f t="shared" si="6"/>
        <v>0.78409359084970243</v>
      </c>
      <c r="X13" s="14">
        <f t="shared" si="7"/>
        <v>62.652731483055007</v>
      </c>
      <c r="Y13" s="17">
        <f>+VLOOKUP(X13,'Cortes naturales'!$A$93:$C$95,3,9)</f>
        <v>1</v>
      </c>
      <c r="Z13" s="17">
        <v>83.259058475960856</v>
      </c>
      <c r="AA13" s="14">
        <v>0.80015717774324191</v>
      </c>
      <c r="AB13" s="14">
        <f t="shared" si="8"/>
        <v>66.620333251684386</v>
      </c>
      <c r="AC13" s="17">
        <f>VLOOKUP(AB13,'Cortes naturales'!$A$87:$C$89,3,9)</f>
        <v>1</v>
      </c>
      <c r="AD13" s="17" t="b">
        <f t="shared" si="9"/>
        <v>1</v>
      </c>
      <c r="AE13" s="17">
        <f t="shared" si="10"/>
        <v>0</v>
      </c>
      <c r="AF13" s="14">
        <f t="shared" si="11"/>
        <v>3.3543988610801563</v>
      </c>
      <c r="AG13" s="17">
        <v>83.259058475960856</v>
      </c>
      <c r="AH13" s="14">
        <v>0.64656438100216296</v>
      </c>
      <c r="AI13" s="14">
        <v>53.83234160633252</v>
      </c>
      <c r="AJ13" s="14">
        <v>1</v>
      </c>
      <c r="AK13" s="17">
        <v>1</v>
      </c>
      <c r="AL13" s="17" t="b">
        <f t="shared" si="12"/>
        <v>1</v>
      </c>
      <c r="AM13" s="17">
        <f t="shared" si="13"/>
        <v>0</v>
      </c>
      <c r="AN13" s="14">
        <f t="shared" si="14"/>
        <v>-3.3543988610801563</v>
      </c>
      <c r="AO13" s="17">
        <f>+VLOOKUP(X13,'Cortes naturales'!$F$75:$I$77,3,9)</f>
        <v>2</v>
      </c>
      <c r="AP13" s="17" t="b">
        <f t="shared" si="20"/>
        <v>0</v>
      </c>
      <c r="AQ13" s="17">
        <f t="shared" si="15"/>
        <v>0</v>
      </c>
      <c r="AR13" s="14">
        <v>86.807321050377936</v>
      </c>
      <c r="AS13" s="14">
        <v>0.72715328273217206</v>
      </c>
      <c r="AT13" s="14">
        <v>63.122228466967897</v>
      </c>
      <c r="AU13" s="14">
        <v>1</v>
      </c>
      <c r="AV13" s="13">
        <v>1</v>
      </c>
      <c r="AW13" s="104" t="str">
        <f>VLOOKUP(C13,'[1]HIST-CATEG-DEPTOS'!$B$9:$BB$40,51,FALSE)</f>
        <v>ESP</v>
      </c>
      <c r="AX13" s="104">
        <v>1</v>
      </c>
      <c r="AY13" s="13">
        <v>10.5</v>
      </c>
      <c r="AZ13" s="286">
        <v>6.3600545652137015</v>
      </c>
      <c r="BA13" s="285">
        <v>8.1500265889499648</v>
      </c>
      <c r="BB13" s="286">
        <v>1.2974244127045342</v>
      </c>
      <c r="BC13" s="285" t="s">
        <v>383</v>
      </c>
      <c r="BD13" s="288">
        <v>4381426.5535509996</v>
      </c>
      <c r="BE13" s="288">
        <v>2125447.5530949999</v>
      </c>
      <c r="BF13" s="288">
        <v>3553293</v>
      </c>
      <c r="BG13" s="289">
        <f t="shared" si="0"/>
        <v>1.2330608687634259</v>
      </c>
      <c r="BH13" s="289">
        <f t="shared" si="1"/>
        <v>0.59816276144269553</v>
      </c>
      <c r="BI13" s="260">
        <v>59.373920510774383</v>
      </c>
      <c r="BJ13" s="260">
        <v>88.252322932690916</v>
      </c>
      <c r="BK13" s="260">
        <v>73.016115809558798</v>
      </c>
      <c r="BL13" s="260">
        <v>51.470197805170073</v>
      </c>
      <c r="BM13" s="260">
        <v>88.625246525545919</v>
      </c>
      <c r="BN13" s="260">
        <v>70.020100780589487</v>
      </c>
      <c r="BO13" s="260">
        <v>59.431575060384631</v>
      </c>
      <c r="BP13" s="260">
        <v>94.731491837213881</v>
      </c>
      <c r="BQ13" s="260">
        <v>70.027068489244883</v>
      </c>
      <c r="BR13" s="260">
        <v>94.300438064049573</v>
      </c>
      <c r="BS13" s="288">
        <f>VLOOKUP(E13,[2]Departamentos!$A$42:$B$75,2,FALSE)</f>
        <v>2396365.3732999996</v>
      </c>
      <c r="BT13" s="289">
        <v>927592.75233899953</v>
      </c>
      <c r="BU13" s="290">
        <f t="shared" si="16"/>
        <v>0.38708318968139033</v>
      </c>
      <c r="BV13" s="260" t="str">
        <f>IFERROR(VLOOKUP(BU13,'Rangos amb etnico'!$A$2:$C$6,3,9),"N.D.")</f>
        <v>31% - 50%</v>
      </c>
      <c r="BW13" s="289">
        <v>778.70840338100004</v>
      </c>
      <c r="BX13" s="290">
        <f t="shared" si="17"/>
        <v>3.2495395404109521E-4</v>
      </c>
      <c r="BY13" s="104" t="s">
        <v>2969</v>
      </c>
      <c r="BZ13" s="68">
        <v>0</v>
      </c>
      <c r="CA13" s="25">
        <v>6.1068767122106395</v>
      </c>
      <c r="CB13">
        <v>57.082770908104713</v>
      </c>
      <c r="CC13">
        <v>54.350341796875</v>
      </c>
      <c r="CD13">
        <v>56.091911315917969</v>
      </c>
      <c r="CE13">
        <v>72.175262451171875</v>
      </c>
      <c r="CF13">
        <v>58.370098114013672</v>
      </c>
      <c r="CG13">
        <v>46.360439300537109</v>
      </c>
      <c r="CH13">
        <v>55.148571014404297</v>
      </c>
      <c r="CI13" s="10">
        <v>50025.313532799897</v>
      </c>
      <c r="CJ13" s="325">
        <f t="shared" si="18"/>
        <v>2.087549506856326E-2</v>
      </c>
      <c r="CK13" s="232" t="str">
        <f>VLOOKUP(CJ13,'Rangos amb etnico'!$A$2:$C$6,3,9)</f>
        <v>0,1% - 30%</v>
      </c>
      <c r="CL13">
        <f t="shared" si="19"/>
        <v>3.1825628177493653E-2</v>
      </c>
    </row>
    <row r="14" spans="1:90">
      <c r="A14" s="13" t="s">
        <v>2748</v>
      </c>
      <c r="B14" s="13" t="s">
        <v>1714</v>
      </c>
      <c r="C14" s="13">
        <v>27</v>
      </c>
      <c r="D14" s="13" t="s">
        <v>2735</v>
      </c>
      <c r="E14" s="13" t="s">
        <v>2694</v>
      </c>
      <c r="F14" s="16">
        <v>63.8205666666667</v>
      </c>
      <c r="G14" s="13">
        <v>60.52</v>
      </c>
      <c r="H14" s="13">
        <v>62.76</v>
      </c>
      <c r="I14" s="13">
        <v>68.38</v>
      </c>
      <c r="J14" s="14">
        <v>52.128463550265096</v>
      </c>
      <c r="K14" s="14">
        <v>51.491295448780598</v>
      </c>
      <c r="L14" s="14">
        <v>49.309712977695945</v>
      </c>
      <c r="M14" s="14">
        <v>52.447200000000002</v>
      </c>
      <c r="N14" s="13" t="s">
        <v>2740</v>
      </c>
      <c r="O14" s="13" t="s">
        <v>2740</v>
      </c>
      <c r="P14" s="13" t="s">
        <v>2740</v>
      </c>
      <c r="Q14" s="13" t="s">
        <v>2740</v>
      </c>
      <c r="R14" s="16">
        <f t="shared" si="2"/>
        <v>63.870141666666676</v>
      </c>
      <c r="S14" s="14">
        <f t="shared" si="3"/>
        <v>51.344167994185412</v>
      </c>
      <c r="T14" s="14">
        <f t="shared" si="4"/>
        <v>57.60715483042604</v>
      </c>
      <c r="U14" s="260">
        <v>67.018305477324063</v>
      </c>
      <c r="V14" s="261">
        <f t="shared" si="5"/>
        <v>27.155617262931642</v>
      </c>
      <c r="W14" s="300">
        <f t="shared" si="6"/>
        <v>0.51997613452781366</v>
      </c>
      <c r="X14" s="14">
        <f t="shared" si="7"/>
        <v>29.954345689870202</v>
      </c>
      <c r="Y14" s="17">
        <f>+VLOOKUP(X14,'Cortes naturales'!$A$93:$C$95,3,9)</f>
        <v>3</v>
      </c>
      <c r="Z14" s="17">
        <v>56.113841496899362</v>
      </c>
      <c r="AA14" s="14">
        <v>0.52543638124725089</v>
      </c>
      <c r="AB14" s="14">
        <f t="shared" si="8"/>
        <v>29.484253814012622</v>
      </c>
      <c r="AC14" s="17">
        <f>VLOOKUP(AB14,'Cortes naturales'!$A$87:$C$89,3,9)</f>
        <v>3</v>
      </c>
      <c r="AD14" s="17" t="b">
        <f t="shared" si="9"/>
        <v>1</v>
      </c>
      <c r="AE14" s="17">
        <f t="shared" si="10"/>
        <v>0</v>
      </c>
      <c r="AF14" s="14">
        <f t="shared" si="11"/>
        <v>-1.4933133335266788</v>
      </c>
      <c r="AG14" s="17">
        <v>56.113841496899362</v>
      </c>
      <c r="AH14" s="14">
        <v>0.41874070230311966</v>
      </c>
      <c r="AI14" s="14">
        <v>23.497149397337576</v>
      </c>
      <c r="AJ14" s="14">
        <v>0.40138825295859665</v>
      </c>
      <c r="AK14" s="17">
        <v>3</v>
      </c>
      <c r="AL14" s="17" t="b">
        <f t="shared" si="12"/>
        <v>1</v>
      </c>
      <c r="AM14" s="17">
        <f t="shared" si="13"/>
        <v>0</v>
      </c>
      <c r="AN14" s="14">
        <f t="shared" si="14"/>
        <v>1.4933133335266788</v>
      </c>
      <c r="AO14" s="17">
        <f>+VLOOKUP(X14,'Cortes naturales'!$F$75:$I$77,3,9)</f>
        <v>3</v>
      </c>
      <c r="AP14" s="17" t="b">
        <f t="shared" si="20"/>
        <v>1</v>
      </c>
      <c r="AQ14" s="17">
        <f t="shared" si="15"/>
        <v>0</v>
      </c>
      <c r="AR14" s="14">
        <v>59.166222578555306</v>
      </c>
      <c r="AS14" s="14">
        <v>0.52712719552414433</v>
      </c>
      <c r="AT14" s="14">
        <v>31.188124977591166</v>
      </c>
      <c r="AU14" s="14">
        <v>0.33317101856338666</v>
      </c>
      <c r="AV14" s="13">
        <v>3</v>
      </c>
      <c r="AW14" s="104">
        <f>VLOOKUP(C14,'[1]HIST-CATEG-DEPTOS'!$B$9:$BB$40,51,FALSE)</f>
        <v>3</v>
      </c>
      <c r="AX14" s="104">
        <v>1</v>
      </c>
      <c r="AY14" s="13">
        <v>46.3</v>
      </c>
      <c r="AZ14" s="286">
        <v>65.794889063493841</v>
      </c>
      <c r="BA14" s="285">
        <v>63.306562499999998</v>
      </c>
      <c r="BB14" s="286">
        <v>16.248187848261566</v>
      </c>
      <c r="BC14" s="285" t="s">
        <v>376</v>
      </c>
      <c r="BD14" s="288">
        <v>884464.58065999998</v>
      </c>
      <c r="BE14" s="288">
        <v>108414.430756</v>
      </c>
      <c r="BF14" s="288">
        <v>605478</v>
      </c>
      <c r="BG14" s="289">
        <f t="shared" si="0"/>
        <v>1.46077079705621</v>
      </c>
      <c r="BH14" s="289">
        <f t="shared" si="1"/>
        <v>0.17905593721984944</v>
      </c>
      <c r="BI14" s="260">
        <v>49.742116636853737</v>
      </c>
      <c r="BJ14" s="260">
        <v>65.070139482922102</v>
      </c>
      <c r="BK14" s="260">
        <v>45.637615848481303</v>
      </c>
      <c r="BL14" s="260">
        <v>75.97094750489417</v>
      </c>
      <c r="BM14" s="260">
        <v>71.742873953293099</v>
      </c>
      <c r="BN14" s="260">
        <v>30.611495495040359</v>
      </c>
      <c r="BO14" s="260">
        <v>53.497376226383267</v>
      </c>
      <c r="BP14" s="260">
        <v>65.047112419303105</v>
      </c>
      <c r="BQ14" s="260">
        <v>56.038937878266857</v>
      </c>
      <c r="BR14" s="260">
        <v>63.672534842257377</v>
      </c>
      <c r="BS14" s="288">
        <f>VLOOKUP(E14,[2]Departamentos!$A$42:$B$75,2,FALSE)</f>
        <v>4842831.5768200001</v>
      </c>
      <c r="BT14" s="289">
        <v>657479.8835019999</v>
      </c>
      <c r="BU14" s="290">
        <f t="shared" si="16"/>
        <v>0.13576352451507881</v>
      </c>
      <c r="BV14" s="260" t="str">
        <f>IFERROR(VLOOKUP(BU14,'Rangos amb etnico'!$A$2:$C$6,3,9),"N.D.")</f>
        <v>0,1% - 30%</v>
      </c>
      <c r="BW14" s="289">
        <v>4351489.6447700001</v>
      </c>
      <c r="BX14" s="290">
        <f t="shared" si="17"/>
        <v>0.89854242827650943</v>
      </c>
      <c r="BY14" s="104" t="str">
        <f>IFERROR(VLOOKUP(BX14,'Rangos amb etnico'!$A$2:$C$6,3,9),"N.D.")</f>
        <v>71% - 100%</v>
      </c>
      <c r="BZ14" s="68">
        <v>1</v>
      </c>
      <c r="CA14" s="25">
        <v>3.7120777618936995</v>
      </c>
      <c r="CB14">
        <v>37.803936643072028</v>
      </c>
      <c r="CC14">
        <v>23.374692916870121</v>
      </c>
      <c r="CD14">
        <v>44.375160217285163</v>
      </c>
      <c r="CE14">
        <v>40.919631958007813</v>
      </c>
      <c r="CF14">
        <v>12.586740493774411</v>
      </c>
      <c r="CG14">
        <v>60.104591369628913</v>
      </c>
      <c r="CH14">
        <v>45.462802886962891</v>
      </c>
      <c r="CI14" s="10">
        <v>0</v>
      </c>
      <c r="CJ14" s="325">
        <f t="shared" si="18"/>
        <v>0</v>
      </c>
      <c r="CK14" s="232">
        <f>VLOOKUP(CJ14,'Rangos amb etnico'!$A$2:$C$6,3,9)</f>
        <v>0</v>
      </c>
      <c r="CL14">
        <f t="shared" si="19"/>
        <v>0</v>
      </c>
    </row>
    <row r="15" spans="1:90">
      <c r="A15" s="13" t="s">
        <v>2749</v>
      </c>
      <c r="B15" s="13" t="s">
        <v>676</v>
      </c>
      <c r="C15" s="13">
        <v>41</v>
      </c>
      <c r="D15" s="13" t="s">
        <v>2735</v>
      </c>
      <c r="E15" s="13" t="s">
        <v>2703</v>
      </c>
      <c r="F15" s="16">
        <v>87.400566666666705</v>
      </c>
      <c r="G15" s="13">
        <v>79.48</v>
      </c>
      <c r="H15" s="13">
        <v>80.97</v>
      </c>
      <c r="I15" s="13">
        <v>83.19</v>
      </c>
      <c r="J15" s="14">
        <v>54.065159520126599</v>
      </c>
      <c r="K15" s="14">
        <v>66.233994741658975</v>
      </c>
      <c r="L15" s="14">
        <v>59.115468161383646</v>
      </c>
      <c r="M15" s="14">
        <v>60.742800000000003</v>
      </c>
      <c r="N15" s="13" t="s">
        <v>2740</v>
      </c>
      <c r="O15" s="13" t="s">
        <v>2736</v>
      </c>
      <c r="P15" s="13" t="s">
        <v>2740</v>
      </c>
      <c r="Q15" s="13" t="s">
        <v>2736</v>
      </c>
      <c r="R15" s="16">
        <f t="shared" si="2"/>
        <v>82.760141666666669</v>
      </c>
      <c r="S15" s="14">
        <f t="shared" si="3"/>
        <v>60.039355605792309</v>
      </c>
      <c r="T15" s="14">
        <f t="shared" si="4"/>
        <v>71.399748636229489</v>
      </c>
      <c r="U15" s="260">
        <v>56.257915181422</v>
      </c>
      <c r="V15" s="261">
        <f t="shared" si="5"/>
        <v>37.916007558833705</v>
      </c>
      <c r="W15" s="300">
        <f t="shared" si="6"/>
        <v>0.68639132143841575</v>
      </c>
      <c r="X15" s="14">
        <f t="shared" si="7"/>
        <v>49.00816781679228</v>
      </c>
      <c r="Y15" s="17">
        <f>+VLOOKUP(X15,'Cortes naturales'!$A$93:$C$95,3,9)</f>
        <v>2</v>
      </c>
      <c r="Z15" s="17">
        <v>69.923623527225303</v>
      </c>
      <c r="AA15" s="14">
        <v>0.68993111264285523</v>
      </c>
      <c r="AB15" s="14">
        <f t="shared" si="8"/>
        <v>48.242483380158681</v>
      </c>
      <c r="AC15" s="17">
        <f>VLOOKUP(AB15,'Cortes naturales'!$A$87:$C$89,3,9)</f>
        <v>2</v>
      </c>
      <c r="AD15" s="17" t="b">
        <f t="shared" si="9"/>
        <v>1</v>
      </c>
      <c r="AE15" s="17">
        <f t="shared" si="10"/>
        <v>0</v>
      </c>
      <c r="AF15" s="14">
        <f t="shared" si="11"/>
        <v>-1.4761251090041867</v>
      </c>
      <c r="AG15" s="17">
        <v>69.923623527225303</v>
      </c>
      <c r="AH15" s="14">
        <v>0.64656438100216296</v>
      </c>
      <c r="AI15" s="14">
        <v>45.210124363308708</v>
      </c>
      <c r="AJ15" s="14">
        <v>0.82985568406299537</v>
      </c>
      <c r="AK15" s="17">
        <v>1</v>
      </c>
      <c r="AL15" s="17" t="b">
        <f t="shared" si="12"/>
        <v>0</v>
      </c>
      <c r="AM15" s="17">
        <f t="shared" si="13"/>
        <v>1</v>
      </c>
      <c r="AN15" s="14">
        <f t="shared" si="14"/>
        <v>1.4761251090041867</v>
      </c>
      <c r="AO15" s="17">
        <f>+VLOOKUP(X15,'Cortes naturales'!$F$75:$I$77,3,9)</f>
        <v>2</v>
      </c>
      <c r="AP15" s="17" t="b">
        <f t="shared" si="20"/>
        <v>0</v>
      </c>
      <c r="AQ15" s="17" t="str">
        <f t="shared" si="15"/>
        <v>Cambio en corte</v>
      </c>
      <c r="AR15" s="14">
        <v>77.03404391703873</v>
      </c>
      <c r="AS15" s="14">
        <v>0.72715328273217206</v>
      </c>
      <c r="AT15" s="14">
        <v>56.015557916409023</v>
      </c>
      <c r="AU15" s="14">
        <v>0.85160272665205039</v>
      </c>
      <c r="AV15" s="13">
        <v>1</v>
      </c>
      <c r="AW15" s="104">
        <f>VLOOKUP(C15,'[1]HIST-CATEG-DEPTOS'!$B$9:$BB$40,51,FALSE)</f>
        <v>2</v>
      </c>
      <c r="AX15" s="104">
        <v>1</v>
      </c>
      <c r="AY15" s="13">
        <v>18</v>
      </c>
      <c r="AZ15" s="286">
        <v>12.862652642001729</v>
      </c>
      <c r="BA15" s="285">
        <v>5.1973451984400052</v>
      </c>
      <c r="BB15" s="286">
        <v>6.5850063314711509</v>
      </c>
      <c r="BC15" s="285" t="s">
        <v>379</v>
      </c>
      <c r="BD15" s="288">
        <v>1261111.410192</v>
      </c>
      <c r="BE15" s="288">
        <v>249601.39709400001</v>
      </c>
      <c r="BF15" s="288">
        <v>1192273</v>
      </c>
      <c r="BG15" s="289">
        <f t="shared" si="0"/>
        <v>1.0577371207701591</v>
      </c>
      <c r="BH15" s="289">
        <f t="shared" si="1"/>
        <v>0.20934919862648907</v>
      </c>
      <c r="BI15" s="260">
        <v>63.10380937828721</v>
      </c>
      <c r="BJ15" s="260">
        <v>98.420010000000005</v>
      </c>
      <c r="BK15" s="260">
        <v>65.656465586534182</v>
      </c>
      <c r="BL15" s="260">
        <v>47.467796344783743</v>
      </c>
      <c r="BM15" s="260">
        <v>59.926540454508228</v>
      </c>
      <c r="BN15" s="260">
        <v>52.134264931640537</v>
      </c>
      <c r="BO15" s="260">
        <v>70.438613430241759</v>
      </c>
      <c r="BP15" s="260">
        <v>67.785321826780375</v>
      </c>
      <c r="BQ15" s="260">
        <v>65.306785732285093</v>
      </c>
      <c r="BR15" s="260">
        <v>67.705826980022877</v>
      </c>
      <c r="BS15" s="288">
        <f>VLOOKUP(E15,[2]Departamentos!$A$42:$B$75,2,FALSE)</f>
        <v>1813706.6736250001</v>
      </c>
      <c r="BT15" s="289">
        <v>867524.21754799993</v>
      </c>
      <c r="BU15" s="290">
        <f t="shared" si="16"/>
        <v>0.47831561198046751</v>
      </c>
      <c r="BV15" s="260" t="str">
        <f>IFERROR(VLOOKUP(BU15,'Rangos amb etnico'!$A$2:$C$6,3,9),"N.D.")</f>
        <v>31% - 50%</v>
      </c>
      <c r="BW15" s="289">
        <v>13727.9214981</v>
      </c>
      <c r="BX15" s="290">
        <f t="shared" si="17"/>
        <v>7.5689865939912015E-3</v>
      </c>
      <c r="BY15" s="104" t="str">
        <f>IFERROR(VLOOKUP(BX15,'Rangos amb etnico'!$A$2:$C$6,3,9),"N.D.")</f>
        <v>0,1% - 30%</v>
      </c>
      <c r="BZ15" s="68">
        <v>0</v>
      </c>
      <c r="CA15" s="25">
        <v>5.202729144852638</v>
      </c>
      <c r="CB15">
        <v>50.502935519334088</v>
      </c>
      <c r="CC15">
        <v>39.219772338867188</v>
      </c>
      <c r="CD15">
        <v>50.611835479736328</v>
      </c>
      <c r="CE15">
        <v>71.947586059570313</v>
      </c>
      <c r="CF15">
        <v>57.661399841308587</v>
      </c>
      <c r="CG15">
        <v>27.544439315795898</v>
      </c>
      <c r="CH15">
        <v>56.032585144042969</v>
      </c>
      <c r="CI15" s="10">
        <v>525.17433891600001</v>
      </c>
      <c r="CJ15" s="325">
        <f t="shared" si="18"/>
        <v>2.8955858549406456E-4</v>
      </c>
      <c r="CK15" t="s">
        <v>2969</v>
      </c>
      <c r="CL15">
        <f t="shared" si="19"/>
        <v>3.3411091422231361E-4</v>
      </c>
    </row>
    <row r="16" spans="1:90">
      <c r="A16" s="13" t="s">
        <v>2750</v>
      </c>
      <c r="B16" s="13" t="s">
        <v>933</v>
      </c>
      <c r="C16" s="13">
        <v>44</v>
      </c>
      <c r="D16" s="13" t="s">
        <v>2735</v>
      </c>
      <c r="E16" s="13" t="s">
        <v>2705</v>
      </c>
      <c r="F16" s="16">
        <v>65.954666666666697</v>
      </c>
      <c r="G16" s="13">
        <v>63.04</v>
      </c>
      <c r="H16" s="13">
        <v>75.23</v>
      </c>
      <c r="I16" s="13">
        <v>76.959999999999994</v>
      </c>
      <c r="J16" s="14">
        <v>50.112734745348355</v>
      </c>
      <c r="K16" s="14">
        <v>50.417031254064376</v>
      </c>
      <c r="L16" s="14">
        <v>51.289648405266874</v>
      </c>
      <c r="M16" s="14">
        <v>57.419899999999998</v>
      </c>
      <c r="N16" s="13" t="s">
        <v>2740</v>
      </c>
      <c r="O16" s="13" t="s">
        <v>2740</v>
      </c>
      <c r="P16" s="13" t="s">
        <v>2740</v>
      </c>
      <c r="Q16" s="13" t="s">
        <v>2740</v>
      </c>
      <c r="R16" s="16">
        <f t="shared" si="2"/>
        <v>70.296166666666664</v>
      </c>
      <c r="S16" s="14">
        <f t="shared" si="3"/>
        <v>52.309828601169897</v>
      </c>
      <c r="T16" s="14">
        <f t="shared" si="4"/>
        <v>61.302997633918281</v>
      </c>
      <c r="U16" s="260">
        <v>53.361281545869772</v>
      </c>
      <c r="V16" s="261">
        <f t="shared" si="5"/>
        <v>40.812641194385932</v>
      </c>
      <c r="W16" s="300">
        <f t="shared" si="6"/>
        <v>0.73118930874335031</v>
      </c>
      <c r="X16" s="14">
        <f t="shared" si="7"/>
        <v>44.82409646383995</v>
      </c>
      <c r="Y16" s="17">
        <f>+VLOOKUP(X16,'Cortes naturales'!$A$93:$C$95,3,9)</f>
        <v>2</v>
      </c>
      <c r="Z16" s="17">
        <v>58.542577716609848</v>
      </c>
      <c r="AA16" s="14">
        <v>0.74415289013006625</v>
      </c>
      <c r="AB16" s="14">
        <f t="shared" si="8"/>
        <v>43.564628403479233</v>
      </c>
      <c r="AC16" s="17">
        <f>VLOOKUP(AB16,'Cortes naturales'!$A$87:$C$89,3,9)</f>
        <v>2</v>
      </c>
      <c r="AD16" s="17" t="b">
        <f t="shared" si="9"/>
        <v>1</v>
      </c>
      <c r="AE16" s="17">
        <f t="shared" si="10"/>
        <v>0</v>
      </c>
      <c r="AF16" s="14">
        <f t="shared" si="11"/>
        <v>-2.7604199173084325</v>
      </c>
      <c r="AG16" s="17">
        <v>58.542577716609848</v>
      </c>
      <c r="AH16" s="14">
        <v>0.64656438100216296</v>
      </c>
      <c r="AI16" s="14">
        <v>37.851545523610866</v>
      </c>
      <c r="AJ16" s="14">
        <v>0.68464705295805439</v>
      </c>
      <c r="AK16" s="17">
        <v>2</v>
      </c>
      <c r="AL16" s="17" t="b">
        <f t="shared" si="12"/>
        <v>1</v>
      </c>
      <c r="AM16" s="17">
        <f t="shared" si="13"/>
        <v>0</v>
      </c>
      <c r="AN16" s="14">
        <f t="shared" si="14"/>
        <v>2.7604199173084325</v>
      </c>
      <c r="AO16" s="17">
        <f>+VLOOKUP(X16,'Cortes naturales'!$F$75:$I$77,3,9)</f>
        <v>2</v>
      </c>
      <c r="AP16" s="17" t="b">
        <f t="shared" si="20"/>
        <v>1</v>
      </c>
      <c r="AQ16" s="17">
        <f t="shared" si="15"/>
        <v>0</v>
      </c>
      <c r="AR16" s="14">
        <v>63.871163017930371</v>
      </c>
      <c r="AS16" s="14">
        <v>0.72715328273217206</v>
      </c>
      <c r="AT16" s="14">
        <v>46.444125860409777</v>
      </c>
      <c r="AU16" s="14">
        <v>0.65173776752097767</v>
      </c>
      <c r="AV16" s="13">
        <v>2</v>
      </c>
      <c r="AW16" s="104">
        <f>VLOOKUP(C16,'[1]HIST-CATEG-DEPTOS'!$B$9:$BB$40,51,FALSE)</f>
        <v>4</v>
      </c>
      <c r="AX16" s="104">
        <v>1</v>
      </c>
      <c r="AY16" s="13">
        <v>53.3</v>
      </c>
      <c r="AZ16" s="286">
        <v>53.325594467117966</v>
      </c>
      <c r="BA16" s="285">
        <v>20.931810383755749</v>
      </c>
      <c r="BB16" s="286">
        <v>3.9137467154277052</v>
      </c>
      <c r="BC16" s="285" t="s">
        <v>383</v>
      </c>
      <c r="BD16" s="288">
        <v>787928.97170700005</v>
      </c>
      <c r="BE16" s="288">
        <v>178577.22758599999</v>
      </c>
      <c r="BF16" s="288">
        <v>1057252</v>
      </c>
      <c r="BG16" s="289">
        <f t="shared" si="0"/>
        <v>0.74526127328867675</v>
      </c>
      <c r="BH16" s="289">
        <f t="shared" si="1"/>
        <v>0.16890696597027008</v>
      </c>
      <c r="BI16" s="260">
        <v>61.09744028834276</v>
      </c>
      <c r="BJ16" s="260">
        <v>89.770428721258824</v>
      </c>
      <c r="BK16" s="260">
        <v>38.097917877242082</v>
      </c>
      <c r="BL16" s="260">
        <v>84.988466210174991</v>
      </c>
      <c r="BM16" s="260">
        <v>53.51588317909588</v>
      </c>
      <c r="BN16" s="260">
        <v>34.947187192262533</v>
      </c>
      <c r="BO16" s="260">
        <v>64.88761475818049</v>
      </c>
      <c r="BP16" s="260">
        <v>67.223952976148539</v>
      </c>
      <c r="BQ16" s="260">
        <v>61.04356260379393</v>
      </c>
      <c r="BR16" s="260">
        <v>65.93762062797164</v>
      </c>
      <c r="BS16" s="288">
        <f>VLOOKUP(E16,[2]Departamentos!$A$42:$B$75,2,FALSE)</f>
        <v>2057274.6967249999</v>
      </c>
      <c r="BT16" s="289">
        <v>472996.57846400008</v>
      </c>
      <c r="BU16" s="290">
        <f t="shared" si="16"/>
        <v>0.22991415741270185</v>
      </c>
      <c r="BV16" s="260" t="str">
        <f>IFERROR(VLOOKUP(BU16,'Rangos amb etnico'!$A$2:$C$6,3,9),"N.D.")</f>
        <v>0,1% - 30%</v>
      </c>
      <c r="BW16" s="289">
        <v>1288962.43284999</v>
      </c>
      <c r="BX16" s="290">
        <f t="shared" si="17"/>
        <v>0.62653880636450965</v>
      </c>
      <c r="BY16" s="104" t="str">
        <f>IFERROR(VLOOKUP(BX16,'Rangos amb etnico'!$A$2:$C$6,3,9),"N.D.")</f>
        <v>51% - 70%</v>
      </c>
      <c r="BZ16" s="68">
        <v>1</v>
      </c>
      <c r="CA16" s="25">
        <v>4.226998929423381</v>
      </c>
      <c r="CB16">
        <v>44.676202297787391</v>
      </c>
      <c r="CC16">
        <v>39.633220672607422</v>
      </c>
      <c r="CD16">
        <v>45.285957336425781</v>
      </c>
      <c r="CE16">
        <v>40.772792816162109</v>
      </c>
      <c r="CF16">
        <v>25.138580322265621</v>
      </c>
      <c r="CG16">
        <v>62.99981689453125</v>
      </c>
      <c r="CH16">
        <v>54.226848602294922</v>
      </c>
      <c r="CI16" s="10">
        <v>0</v>
      </c>
      <c r="CJ16" s="325">
        <f t="shared" si="18"/>
        <v>0</v>
      </c>
      <c r="CK16" s="232">
        <f>VLOOKUP(CJ16,'Rangos amb etnico'!$A$2:$C$6,3,9)</f>
        <v>0</v>
      </c>
      <c r="CL16">
        <f t="shared" si="19"/>
        <v>0</v>
      </c>
    </row>
    <row r="17" spans="1:90">
      <c r="A17" s="13" t="s">
        <v>2751</v>
      </c>
      <c r="B17" s="13" t="s">
        <v>638</v>
      </c>
      <c r="C17" s="13">
        <v>47</v>
      </c>
      <c r="D17" s="13" t="s">
        <v>2735</v>
      </c>
      <c r="E17" s="13" t="s">
        <v>2702</v>
      </c>
      <c r="F17" s="16">
        <v>69.451999999999998</v>
      </c>
      <c r="G17" s="13">
        <v>69.56</v>
      </c>
      <c r="H17" s="13">
        <v>69.209999999999994</v>
      </c>
      <c r="I17" s="13">
        <v>58.98</v>
      </c>
      <c r="J17" s="14">
        <v>58.026375816822082</v>
      </c>
      <c r="K17" s="14">
        <v>53.44153511269154</v>
      </c>
      <c r="L17" s="14">
        <v>47.286319359308919</v>
      </c>
      <c r="M17" s="14">
        <v>50.458199999999998</v>
      </c>
      <c r="N17" s="13" t="s">
        <v>2740</v>
      </c>
      <c r="O17" s="13" t="s">
        <v>2740</v>
      </c>
      <c r="P17" s="13" t="s">
        <v>2740</v>
      </c>
      <c r="Q17" s="13" t="s">
        <v>2740</v>
      </c>
      <c r="R17" s="16">
        <f t="shared" si="2"/>
        <v>66.8005</v>
      </c>
      <c r="S17" s="14">
        <f t="shared" si="3"/>
        <v>52.30310757220564</v>
      </c>
      <c r="T17" s="14">
        <f t="shared" si="4"/>
        <v>59.551803786102823</v>
      </c>
      <c r="U17" s="260">
        <v>54.143566635761673</v>
      </c>
      <c r="V17" s="261">
        <f t="shared" si="5"/>
        <v>40.030356104494032</v>
      </c>
      <c r="W17" s="300">
        <f t="shared" si="6"/>
        <v>0.71909085172908038</v>
      </c>
      <c r="X17" s="14">
        <f t="shared" si="7"/>
        <v>42.823157306551757</v>
      </c>
      <c r="Y17" s="17">
        <f>+VLOOKUP(X17,'Cortes naturales'!$A$93:$C$95,3,9)</f>
        <v>2</v>
      </c>
      <c r="Z17" s="17">
        <v>59.981182489476311</v>
      </c>
      <c r="AA17" s="14">
        <v>0.72025451289917009</v>
      </c>
      <c r="AB17" s="14">
        <f t="shared" si="8"/>
        <v>43.20171737707399</v>
      </c>
      <c r="AC17" s="17">
        <f>VLOOKUP(AB17,'Cortes naturales'!$A$87:$C$89,3,9)</f>
        <v>2</v>
      </c>
      <c r="AD17" s="17" t="b">
        <f t="shared" si="9"/>
        <v>1</v>
      </c>
      <c r="AE17" s="17">
        <f t="shared" si="10"/>
        <v>0</v>
      </c>
      <c r="AF17" s="14">
        <f t="shared" si="11"/>
        <v>0.42937870337348727</v>
      </c>
      <c r="AG17" s="17">
        <v>59.981182489476311</v>
      </c>
      <c r="AH17" s="14">
        <v>0.64656438100216296</v>
      </c>
      <c r="AI17" s="14">
        <v>38.781696128086026</v>
      </c>
      <c r="AJ17" s="14">
        <v>0.70300194171301644</v>
      </c>
      <c r="AK17" s="17">
        <v>2</v>
      </c>
      <c r="AL17" s="17" t="b">
        <f t="shared" si="12"/>
        <v>1</v>
      </c>
      <c r="AM17" s="17">
        <f t="shared" si="13"/>
        <v>0</v>
      </c>
      <c r="AN17" s="14">
        <f t="shared" si="14"/>
        <v>-0.42937870337348727</v>
      </c>
      <c r="AO17" s="17">
        <f>+VLOOKUP(X17,'Cortes naturales'!$F$75:$I$77,3,9)</f>
        <v>2</v>
      </c>
      <c r="AP17" s="17" t="b">
        <f t="shared" si="20"/>
        <v>1</v>
      </c>
      <c r="AQ17" s="17">
        <f t="shared" si="15"/>
        <v>0</v>
      </c>
      <c r="AR17" s="14">
        <v>68.45988038600953</v>
      </c>
      <c r="AS17" s="14">
        <v>0.72715328273217206</v>
      </c>
      <c r="AT17" s="14">
        <v>49.780826758138666</v>
      </c>
      <c r="AU17" s="14">
        <v>0.72141277379542557</v>
      </c>
      <c r="AV17" s="13">
        <v>2</v>
      </c>
      <c r="AW17" s="104">
        <f>VLOOKUP(C17,'[1]HIST-CATEG-DEPTOS'!$B$9:$BB$40,51,FALSE)</f>
        <v>2</v>
      </c>
      <c r="AX17" s="104">
        <v>1</v>
      </c>
      <c r="AY17" s="13">
        <v>36.4</v>
      </c>
      <c r="AZ17" s="286">
        <v>26.712874303275893</v>
      </c>
      <c r="BA17" s="285">
        <v>15.55034550447478</v>
      </c>
      <c r="BB17" s="286">
        <v>2.9771461764383158</v>
      </c>
      <c r="BC17" s="285" t="s">
        <v>383</v>
      </c>
      <c r="BD17" s="288">
        <v>1728010.500585</v>
      </c>
      <c r="BE17" s="288">
        <v>361342.20928299997</v>
      </c>
      <c r="BF17" s="288">
        <v>1513782</v>
      </c>
      <c r="BG17" s="289">
        <f t="shared" si="0"/>
        <v>1.1415187263324573</v>
      </c>
      <c r="BH17" s="289">
        <f t="shared" si="1"/>
        <v>0.23870161574321797</v>
      </c>
      <c r="BI17" s="260">
        <v>55.644950622093361</v>
      </c>
      <c r="BJ17" s="260">
        <v>94.673533678862199</v>
      </c>
      <c r="BK17" s="260">
        <v>36.988559252344928</v>
      </c>
      <c r="BL17" s="260">
        <v>62.430311251025117</v>
      </c>
      <c r="BM17" s="260">
        <v>78.57662209863193</v>
      </c>
      <c r="BN17" s="260">
        <v>45.261259590984338</v>
      </c>
      <c r="BO17" s="260">
        <v>74.982738531503543</v>
      </c>
      <c r="BP17" s="260">
        <v>57.711975705904571</v>
      </c>
      <c r="BQ17" s="260">
        <v>64.079710717920776</v>
      </c>
      <c r="BR17" s="260">
        <v>57.480265146739121</v>
      </c>
      <c r="BS17" s="288">
        <f>VLOOKUP(E17,[2]Departamentos!$A$42:$B$75,2,FALSE)</f>
        <v>2310948.4170260001</v>
      </c>
      <c r="BT17" s="289">
        <v>1057101.326749</v>
      </c>
      <c r="BU17" s="290">
        <f t="shared" si="16"/>
        <v>0.45743181412478351</v>
      </c>
      <c r="BV17" s="260" t="str">
        <f>IFERROR(VLOOKUP(BU17,'Rangos amb etnico'!$A$2:$C$6,3,9),"N.D.")</f>
        <v>31% - 50%</v>
      </c>
      <c r="BW17" s="289">
        <v>300931.601522999</v>
      </c>
      <c r="BX17" s="290">
        <f t="shared" si="17"/>
        <v>0.13021995614695422</v>
      </c>
      <c r="BY17" s="104" t="str">
        <f>IFERROR(VLOOKUP(BX17,'Rangos amb etnico'!$A$2:$C$6,3,9),"N.D.")</f>
        <v>0,1% - 30%</v>
      </c>
      <c r="BZ17" s="68">
        <v>0</v>
      </c>
      <c r="CA17" s="25">
        <v>4.9423184101411106</v>
      </c>
      <c r="CB17">
        <v>49.965293682093083</v>
      </c>
      <c r="CC17">
        <v>42.923713684082031</v>
      </c>
      <c r="CD17">
        <v>48.823734283447273</v>
      </c>
      <c r="CE17">
        <v>59.713348388671882</v>
      </c>
      <c r="CF17">
        <v>40.877185821533203</v>
      </c>
      <c r="CG17">
        <v>52.602638244628913</v>
      </c>
      <c r="CH17">
        <v>54.851146697998047</v>
      </c>
      <c r="CI17" s="10">
        <v>1221.99381736999</v>
      </c>
      <c r="CJ17" s="325">
        <f t="shared" si="18"/>
        <v>5.2878454939405144E-4</v>
      </c>
      <c r="CK17" t="s">
        <v>2969</v>
      </c>
      <c r="CL17">
        <f t="shared" si="19"/>
        <v>7.774208319816739E-4</v>
      </c>
    </row>
    <row r="18" spans="1:90">
      <c r="A18" s="13" t="s">
        <v>2752</v>
      </c>
      <c r="B18" s="13" t="s">
        <v>605</v>
      </c>
      <c r="C18" s="13">
        <v>50</v>
      </c>
      <c r="D18" s="13" t="s">
        <v>2735</v>
      </c>
      <c r="E18" s="13" t="s">
        <v>2691</v>
      </c>
      <c r="F18" s="16">
        <v>98.388377777777805</v>
      </c>
      <c r="G18" s="13">
        <v>84.17</v>
      </c>
      <c r="H18" s="13">
        <v>83.84</v>
      </c>
      <c r="I18" s="13">
        <v>87.57</v>
      </c>
      <c r="J18" s="14">
        <v>63.346520051345749</v>
      </c>
      <c r="K18" s="14">
        <v>68.178979803432441</v>
      </c>
      <c r="L18" s="14">
        <v>57.850808436658269</v>
      </c>
      <c r="M18" s="14">
        <v>49.866199999999999</v>
      </c>
      <c r="N18" s="13" t="s">
        <v>2736</v>
      </c>
      <c r="O18" s="13" t="s">
        <v>2736</v>
      </c>
      <c r="P18" s="13" t="s">
        <v>2740</v>
      </c>
      <c r="Q18" s="13" t="s">
        <v>2740</v>
      </c>
      <c r="R18" s="16">
        <f t="shared" si="2"/>
        <v>88.492094444444447</v>
      </c>
      <c r="S18" s="14">
        <f t="shared" si="3"/>
        <v>59.810627072859113</v>
      </c>
      <c r="T18" s="14">
        <f t="shared" si="4"/>
        <v>74.151360758651776</v>
      </c>
      <c r="U18" s="260">
        <v>68.035080701370447</v>
      </c>
      <c r="V18" s="261">
        <f t="shared" si="5"/>
        <v>26.138842038885258</v>
      </c>
      <c r="W18" s="300">
        <f t="shared" si="6"/>
        <v>0.5042511622635466</v>
      </c>
      <c r="X18" s="14">
        <f t="shared" si="7"/>
        <v>37.390909845973702</v>
      </c>
      <c r="Y18" s="17">
        <f>+VLOOKUP(X18,'Cortes naturales'!$A$93:$C$95,3,9)</f>
        <v>2</v>
      </c>
      <c r="Z18" s="17">
        <v>77.84333062164086</v>
      </c>
      <c r="AA18" s="14">
        <v>0.51150093473356884</v>
      </c>
      <c r="AB18" s="14">
        <f t="shared" si="8"/>
        <v>39.816936375743545</v>
      </c>
      <c r="AC18" s="17">
        <f>VLOOKUP(AB18,'Cortes naturales'!$A$87:$C$89,3,9)</f>
        <v>2</v>
      </c>
      <c r="AD18" s="17" t="b">
        <f t="shared" si="9"/>
        <v>1</v>
      </c>
      <c r="AE18" s="17">
        <f t="shared" si="10"/>
        <v>0</v>
      </c>
      <c r="AF18" s="14">
        <f t="shared" si="11"/>
        <v>3.6919698629890831</v>
      </c>
      <c r="AG18" s="17">
        <v>77.84333062164086</v>
      </c>
      <c r="AH18" s="14">
        <v>0.41874070230311966</v>
      </c>
      <c r="AI18" s="14">
        <v>32.596170934119833</v>
      </c>
      <c r="AJ18" s="14">
        <v>0.58094146432362992</v>
      </c>
      <c r="AK18" s="17">
        <v>2</v>
      </c>
      <c r="AL18" s="17" t="b">
        <f t="shared" si="12"/>
        <v>1</v>
      </c>
      <c r="AM18" s="17">
        <f t="shared" si="13"/>
        <v>0</v>
      </c>
      <c r="AN18" s="14">
        <f t="shared" si="14"/>
        <v>-3.6919698629890831</v>
      </c>
      <c r="AO18" s="17">
        <f>+VLOOKUP(X18,'Cortes naturales'!$F$75:$I$77,3,9)</f>
        <v>3</v>
      </c>
      <c r="AP18" s="17" t="b">
        <f t="shared" si="20"/>
        <v>0</v>
      </c>
      <c r="AQ18" s="17">
        <f t="shared" si="15"/>
        <v>0</v>
      </c>
      <c r="AR18" s="14">
        <v>85.753667223365156</v>
      </c>
      <c r="AS18" s="14">
        <v>0.52712719552414433</v>
      </c>
      <c r="AT18" s="14">
        <v>45.20309010936321</v>
      </c>
      <c r="AU18" s="14">
        <v>0.62582319609510062</v>
      </c>
      <c r="AV18" s="13">
        <v>2</v>
      </c>
      <c r="AW18" s="104">
        <f>VLOOKUP(C18,'[1]HIST-CATEG-DEPTOS'!$B$9:$BB$40,51,FALSE)</f>
        <v>1</v>
      </c>
      <c r="AX18" s="104">
        <v>1</v>
      </c>
      <c r="AY18" s="13">
        <v>15.6</v>
      </c>
      <c r="AZ18" s="286">
        <v>13.446883114001022</v>
      </c>
      <c r="BA18" s="285">
        <v>15.359879514900955</v>
      </c>
      <c r="BB18" s="286">
        <v>13.42975675825439</v>
      </c>
      <c r="BC18" s="285" t="s">
        <v>376</v>
      </c>
      <c r="BD18" s="288">
        <v>1168811.3508339999</v>
      </c>
      <c r="BE18" s="288">
        <v>440063.11970799998</v>
      </c>
      <c r="BF18" s="288">
        <v>1145766</v>
      </c>
      <c r="BG18" s="289">
        <f t="shared" si="0"/>
        <v>1.0201134881241021</v>
      </c>
      <c r="BH18" s="289">
        <f t="shared" si="1"/>
        <v>0.38407765609033606</v>
      </c>
      <c r="BI18" s="260">
        <v>61.542416297189249</v>
      </c>
      <c r="BJ18" s="260">
        <v>94.355140123786057</v>
      </c>
      <c r="BK18" s="260">
        <v>57.781309465745338</v>
      </c>
      <c r="BL18" s="260">
        <v>52.760922498440287</v>
      </c>
      <c r="BM18" s="260">
        <v>66.696929168802058</v>
      </c>
      <c r="BN18" s="260">
        <v>62.353759601818183</v>
      </c>
      <c r="BO18" s="260">
        <v>63.969529545123073</v>
      </c>
      <c r="BP18" s="260">
        <v>77.209139667977936</v>
      </c>
      <c r="BQ18" s="260">
        <v>65.637143814414898</v>
      </c>
      <c r="BR18" s="260">
        <v>79.118195964301506</v>
      </c>
      <c r="BS18" s="288">
        <f>VLOOKUP(E18,[2]Departamentos!$A$42:$B$75,2,FALSE)</f>
        <v>8266211.4632329997</v>
      </c>
      <c r="BT18" s="289">
        <v>1476476.4749740001</v>
      </c>
      <c r="BU18" s="290">
        <f t="shared" si="16"/>
        <v>0.17861586066859886</v>
      </c>
      <c r="BV18" s="260" t="str">
        <f>IFERROR(VLOOKUP(BU18,'Rangos amb etnico'!$A$2:$C$6,3,9),"N.D.")</f>
        <v>0,1% - 30%</v>
      </c>
      <c r="BW18" s="289">
        <v>488368.06411500002</v>
      </c>
      <c r="BX18" s="290">
        <f t="shared" si="17"/>
        <v>5.9080035187485308E-2</v>
      </c>
      <c r="BY18" s="104" t="str">
        <f>IFERROR(VLOOKUP(BX18,'Rangos amb etnico'!$A$2:$C$6,3,9),"N.D.")</f>
        <v>0,1% - 30%</v>
      </c>
      <c r="BZ18" s="68">
        <v>0</v>
      </c>
      <c r="CA18" s="25">
        <v>5.0666377770817705</v>
      </c>
      <c r="CB18">
        <v>46.682613915331558</v>
      </c>
      <c r="CC18">
        <v>43.546764373779297</v>
      </c>
      <c r="CD18">
        <v>51.880565643310547</v>
      </c>
      <c r="CE18">
        <v>61.646564483642578</v>
      </c>
      <c r="CF18">
        <v>38.248069763183587</v>
      </c>
      <c r="CG18">
        <v>24.77870941162109</v>
      </c>
      <c r="CH18">
        <v>59.995010375976563</v>
      </c>
      <c r="CI18" s="10">
        <v>199261.69847699901</v>
      </c>
      <c r="CJ18" s="325">
        <f t="shared" si="18"/>
        <v>2.4105565090282086E-2</v>
      </c>
      <c r="CK18" s="232" t="str">
        <f>VLOOKUP(CJ18,'Rangos amb etnico'!$A$2:$C$6,3,9)</f>
        <v>0,1% - 30%</v>
      </c>
      <c r="CL18">
        <f t="shared" si="19"/>
        <v>0.12676839539619944</v>
      </c>
    </row>
    <row r="19" spans="1:90">
      <c r="A19" s="13" t="s">
        <v>2753</v>
      </c>
      <c r="B19" s="13" t="s">
        <v>672</v>
      </c>
      <c r="C19" s="13">
        <v>52</v>
      </c>
      <c r="D19" s="13" t="s">
        <v>2735</v>
      </c>
      <c r="E19" s="13" t="s">
        <v>2706</v>
      </c>
      <c r="F19" s="16">
        <v>72.581233333333302</v>
      </c>
      <c r="G19" s="13">
        <v>77.06</v>
      </c>
      <c r="H19" s="13">
        <v>65.88</v>
      </c>
      <c r="I19" s="13">
        <v>67.86</v>
      </c>
      <c r="J19" s="14">
        <v>52.548688707040263</v>
      </c>
      <c r="K19" s="14">
        <v>46.585275202102721</v>
      </c>
      <c r="L19" s="14">
        <v>54.568742123437204</v>
      </c>
      <c r="M19" s="14">
        <v>48.960599999999999</v>
      </c>
      <c r="N19" s="13" t="s">
        <v>2740</v>
      </c>
      <c r="O19" s="13" t="s">
        <v>2740</v>
      </c>
      <c r="P19" s="13" t="s">
        <v>2740</v>
      </c>
      <c r="Q19" s="13" t="s">
        <v>2740</v>
      </c>
      <c r="R19" s="16">
        <f t="shared" si="2"/>
        <v>70.845308333333321</v>
      </c>
      <c r="S19" s="14">
        <f t="shared" si="3"/>
        <v>50.665826508145045</v>
      </c>
      <c r="T19" s="14">
        <f t="shared" si="4"/>
        <v>60.755567420739183</v>
      </c>
      <c r="U19" s="260">
        <v>54.83415566594018</v>
      </c>
      <c r="V19" s="261">
        <f t="shared" si="5"/>
        <v>39.339767074315525</v>
      </c>
      <c r="W19" s="300">
        <f t="shared" si="6"/>
        <v>0.70841052328603726</v>
      </c>
      <c r="X19" s="14">
        <f t="shared" si="7"/>
        <v>43.039883309065964</v>
      </c>
      <c r="Y19" s="17">
        <f>+VLOOKUP(X19,'Cortes naturales'!$A$93:$C$95,3,9)</f>
        <v>2</v>
      </c>
      <c r="Z19" s="17">
        <v>60.329193427951367</v>
      </c>
      <c r="AA19" s="14">
        <v>0.71314268973397088</v>
      </c>
      <c r="AB19" s="14">
        <f t="shared" si="8"/>
        <v>43.023323270690234</v>
      </c>
      <c r="AC19" s="17">
        <f>VLOOKUP(AB19,'Cortes naturales'!$A$87:$C$89,3,9)</f>
        <v>2</v>
      </c>
      <c r="AD19" s="17" t="b">
        <f t="shared" si="9"/>
        <v>1</v>
      </c>
      <c r="AE19" s="17">
        <f t="shared" si="10"/>
        <v>0</v>
      </c>
      <c r="AF19" s="14">
        <f t="shared" si="11"/>
        <v>-0.42637399278781629</v>
      </c>
      <c r="AG19" s="17">
        <v>60.329193427951367</v>
      </c>
      <c r="AH19" s="14">
        <v>0.64656438100216296</v>
      </c>
      <c r="AI19" s="14">
        <v>39.006707605103131</v>
      </c>
      <c r="AJ19" s="14">
        <v>0.7074421480724683</v>
      </c>
      <c r="AK19" s="17">
        <v>2</v>
      </c>
      <c r="AL19" s="17" t="b">
        <f t="shared" si="12"/>
        <v>1</v>
      </c>
      <c r="AM19" s="17">
        <f t="shared" si="13"/>
        <v>0</v>
      </c>
      <c r="AN19" s="14">
        <f t="shared" si="14"/>
        <v>0.42637399278781629</v>
      </c>
      <c r="AO19" s="17">
        <f>+VLOOKUP(X19,'Cortes naturales'!$F$75:$I$77,3,9)</f>
        <v>2</v>
      </c>
      <c r="AP19" s="17" t="b">
        <f t="shared" si="20"/>
        <v>1</v>
      </c>
      <c r="AQ19" s="17">
        <f t="shared" si="15"/>
        <v>0</v>
      </c>
      <c r="AR19" s="14">
        <v>70.2300210049155</v>
      </c>
      <c r="AS19" s="14">
        <v>0.72715328273217206</v>
      </c>
      <c r="AT19" s="14">
        <v>51.067990320073704</v>
      </c>
      <c r="AU19" s="14">
        <v>0.74829055877013106</v>
      </c>
      <c r="AV19" s="13">
        <v>2</v>
      </c>
      <c r="AW19" s="104">
        <f>VLOOKUP(C19,'[1]HIST-CATEG-DEPTOS'!$B$9:$BB$40,51,FALSE)</f>
        <v>1</v>
      </c>
      <c r="AX19" s="104">
        <v>1</v>
      </c>
      <c r="AY19" s="13">
        <v>33.1</v>
      </c>
      <c r="AZ19" s="286">
        <v>21.980164135484518</v>
      </c>
      <c r="BA19" s="285">
        <v>42.609276452609322</v>
      </c>
      <c r="BB19" s="286">
        <v>18.042076551213217</v>
      </c>
      <c r="BC19" s="285" t="s">
        <v>376</v>
      </c>
      <c r="BD19" s="288">
        <v>1735087.2208159999</v>
      </c>
      <c r="BE19" s="288">
        <v>278240.79785899998</v>
      </c>
      <c r="BF19" s="288">
        <v>1709890</v>
      </c>
      <c r="BG19" s="289">
        <f t="shared" si="0"/>
        <v>1.0147361647918871</v>
      </c>
      <c r="BH19" s="289">
        <f t="shared" si="1"/>
        <v>0.16272438452707483</v>
      </c>
      <c r="BI19" s="260">
        <v>54.066412593090433</v>
      </c>
      <c r="BJ19" s="260">
        <v>87.487326505711778</v>
      </c>
      <c r="BK19" s="260">
        <v>57.433860369999252</v>
      </c>
      <c r="BL19" s="260">
        <v>56.698362598356908</v>
      </c>
      <c r="BM19" s="260">
        <v>66.18471388458309</v>
      </c>
      <c r="BN19" s="260">
        <v>50.279126228993938</v>
      </c>
      <c r="BO19" s="260">
        <v>71.98554308407131</v>
      </c>
      <c r="BP19" s="260">
        <v>57.4670894557362</v>
      </c>
      <c r="BQ19" s="260">
        <v>63.447906466400973</v>
      </c>
      <c r="BR19" s="260">
        <v>56.402724961708067</v>
      </c>
      <c r="BS19" s="288">
        <f>VLOOKUP(E19,[2]Departamentos!$A$42:$B$75,2,FALSE)</f>
        <v>3150584.6970140012</v>
      </c>
      <c r="BT19" s="289">
        <v>1171215.1936710004</v>
      </c>
      <c r="BU19" s="290">
        <f t="shared" si="16"/>
        <v>0.37174534453272484</v>
      </c>
      <c r="BV19" s="260" t="str">
        <f>IFERROR(VLOOKUP(BU19,'Rangos amb etnico'!$A$2:$C$6,3,9),"N.D.")</f>
        <v>31% - 50%</v>
      </c>
      <c r="BW19" s="289">
        <v>1662419.12363</v>
      </c>
      <c r="BX19" s="290">
        <f t="shared" si="17"/>
        <v>0.52765416057710646</v>
      </c>
      <c r="BY19" s="104" t="str">
        <f>IFERROR(VLOOKUP(BX19,'Rangos amb etnico'!$A$2:$C$6,3,9),"N.D.")</f>
        <v>51% - 70%</v>
      </c>
      <c r="BZ19" s="68">
        <v>1</v>
      </c>
      <c r="CA19" s="25">
        <v>4.7855290329649955</v>
      </c>
      <c r="CB19">
        <v>47.03355868221783</v>
      </c>
      <c r="CC19">
        <v>34.289081573486328</v>
      </c>
      <c r="CD19">
        <v>42.384078979492188</v>
      </c>
      <c r="CE19">
        <v>55.747722625732422</v>
      </c>
      <c r="CF19">
        <v>45.755008697509773</v>
      </c>
      <c r="CG19">
        <v>53.128009796142578</v>
      </c>
      <c r="CH19">
        <v>50.897453308105469</v>
      </c>
      <c r="CI19" s="10">
        <v>0</v>
      </c>
      <c r="CJ19" s="325">
        <f t="shared" si="18"/>
        <v>0</v>
      </c>
      <c r="CK19" s="232">
        <f>VLOOKUP(CJ19,'Rangos amb etnico'!$A$2:$C$6,3,9)</f>
        <v>0</v>
      </c>
      <c r="CL19">
        <f t="shared" si="19"/>
        <v>0</v>
      </c>
    </row>
    <row r="20" spans="1:90">
      <c r="A20" s="13" t="s">
        <v>2755</v>
      </c>
      <c r="B20" s="13" t="s">
        <v>517</v>
      </c>
      <c r="C20" s="13">
        <v>54</v>
      </c>
      <c r="D20" s="13" t="s">
        <v>2735</v>
      </c>
      <c r="E20" s="13" t="s">
        <v>2756</v>
      </c>
      <c r="F20" s="16">
        <v>80.771466666666697</v>
      </c>
      <c r="G20" s="13">
        <v>76.510000000000005</v>
      </c>
      <c r="H20" s="13">
        <v>76.16</v>
      </c>
      <c r="I20" s="13">
        <v>80.510000000000005</v>
      </c>
      <c r="J20" s="14">
        <v>57.772156887655584</v>
      </c>
      <c r="K20" s="14">
        <v>54.812290357739414</v>
      </c>
      <c r="L20" s="14">
        <v>58.138669449431433</v>
      </c>
      <c r="M20" s="14">
        <v>49.748800000000003</v>
      </c>
      <c r="N20" s="13" t="s">
        <v>2740</v>
      </c>
      <c r="O20" s="13" t="s">
        <v>2740</v>
      </c>
      <c r="P20" s="13" t="s">
        <v>2740</v>
      </c>
      <c r="Q20" s="13" t="s">
        <v>2740</v>
      </c>
      <c r="R20" s="16">
        <f t="shared" si="2"/>
        <v>78.487866666666676</v>
      </c>
      <c r="S20" s="14">
        <f t="shared" si="3"/>
        <v>55.117979173706615</v>
      </c>
      <c r="T20" s="14">
        <f t="shared" si="4"/>
        <v>66.802922920186646</v>
      </c>
      <c r="U20" s="260">
        <v>56.280076931478142</v>
      </c>
      <c r="V20" s="261">
        <f t="shared" si="5"/>
        <v>37.893845808777563</v>
      </c>
      <c r="W20" s="300">
        <f t="shared" si="6"/>
        <v>0.68604857812925679</v>
      </c>
      <c r="X20" s="14">
        <f t="shared" si="7"/>
        <v>45.830050284272389</v>
      </c>
      <c r="Y20" s="17">
        <f>+VLOOKUP(X20,'Cortes naturales'!$A$93:$C$95,3,9)</f>
        <v>2</v>
      </c>
      <c r="Z20" s="17">
        <v>68.403649010947959</v>
      </c>
      <c r="AA20" s="14">
        <v>0.68931496040880802</v>
      </c>
      <c r="AB20" s="14">
        <f t="shared" si="8"/>
        <v>47.15165860979959</v>
      </c>
      <c r="AC20" s="17">
        <f>VLOOKUP(AB20,'Cortes naturales'!$A$87:$C$89,3,9)</f>
        <v>2</v>
      </c>
      <c r="AD20" s="17" t="b">
        <f t="shared" si="9"/>
        <v>1</v>
      </c>
      <c r="AE20" s="17">
        <f t="shared" si="10"/>
        <v>0</v>
      </c>
      <c r="AF20" s="14">
        <f t="shared" si="11"/>
        <v>1.600726090761313</v>
      </c>
      <c r="AG20" s="17">
        <v>68.403649010947959</v>
      </c>
      <c r="AH20" s="14">
        <v>0.64656438100216296</v>
      </c>
      <c r="AI20" s="14">
        <v>44.227362981052785</v>
      </c>
      <c r="AJ20" s="14">
        <v>0.81046261399757469</v>
      </c>
      <c r="AK20" s="17">
        <v>1</v>
      </c>
      <c r="AL20" s="17" t="b">
        <f t="shared" si="12"/>
        <v>0</v>
      </c>
      <c r="AM20" s="17">
        <f t="shared" si="13"/>
        <v>1</v>
      </c>
      <c r="AN20" s="14">
        <f t="shared" si="14"/>
        <v>-1.600726090761313</v>
      </c>
      <c r="AO20" s="17">
        <f>+VLOOKUP(X20,'Cortes naturales'!$F$75:$I$77,3,9)</f>
        <v>2</v>
      </c>
      <c r="AP20" s="17" t="b">
        <f t="shared" si="20"/>
        <v>0</v>
      </c>
      <c r="AQ20" s="17" t="str">
        <f t="shared" si="15"/>
        <v>Cambio en corte</v>
      </c>
      <c r="AR20" s="14">
        <v>76.873015843772464</v>
      </c>
      <c r="AS20" s="14">
        <v>0.72715328273217206</v>
      </c>
      <c r="AT20" s="14">
        <v>55.89846582432142</v>
      </c>
      <c r="AU20" s="14">
        <v>0.84915767913327367</v>
      </c>
      <c r="AV20" s="13">
        <v>1</v>
      </c>
      <c r="AW20" s="104">
        <f>VLOOKUP(C20,'[1]HIST-CATEG-DEPTOS'!$B$9:$BB$40,51,FALSE)</f>
        <v>2</v>
      </c>
      <c r="AX20" s="104">
        <v>1</v>
      </c>
      <c r="AY20" s="13">
        <v>29.5</v>
      </c>
      <c r="AZ20" s="286">
        <v>18.428801346745974</v>
      </c>
      <c r="BA20" s="285">
        <v>25.397404630228198</v>
      </c>
      <c r="BB20" s="286">
        <v>14.290364434475908</v>
      </c>
      <c r="BC20" s="285" t="s">
        <v>376</v>
      </c>
      <c r="BD20" s="288">
        <v>1494513.9546360001</v>
      </c>
      <c r="BE20" s="288">
        <v>411675.92043200001</v>
      </c>
      <c r="BF20" s="288">
        <v>1709570</v>
      </c>
      <c r="BG20" s="289">
        <f t="shared" si="0"/>
        <v>0.87420459801938499</v>
      </c>
      <c r="BH20" s="289">
        <f t="shared" si="1"/>
        <v>0.24080670603251111</v>
      </c>
      <c r="BI20" s="260">
        <v>65.145871278610727</v>
      </c>
      <c r="BJ20" s="260">
        <v>96.283239999999992</v>
      </c>
      <c r="BK20" s="260">
        <v>56.757837199383587</v>
      </c>
      <c r="BL20" s="260">
        <v>72.915033066591434</v>
      </c>
      <c r="BM20" s="260">
        <v>74.451360393667542</v>
      </c>
      <c r="BN20" s="260">
        <v>49.915449249885462</v>
      </c>
      <c r="BO20" s="260">
        <v>67.15291729135609</v>
      </c>
      <c r="BP20" s="260">
        <v>65.885905569099663</v>
      </c>
      <c r="BQ20" s="260">
        <v>68.945958354213545</v>
      </c>
      <c r="BR20" s="260">
        <v>67.302319622967531</v>
      </c>
      <c r="BS20" s="288">
        <f>VLOOKUP(E20,[2]Departamentos!$A$42:$B$75,2,FALSE)</f>
        <v>2195155.8718989994</v>
      </c>
      <c r="BT20" s="289">
        <v>861560.96399899991</v>
      </c>
      <c r="BU20" s="290">
        <f t="shared" si="16"/>
        <v>0.39248281865910289</v>
      </c>
      <c r="BV20" s="260" t="str">
        <f>IFERROR(VLOOKUP(BU20,'Rangos amb etnico'!$A$2:$C$6,3,9),"N.D.")</f>
        <v>31% - 50%</v>
      </c>
      <c r="BW20" s="289">
        <v>169907.11807600001</v>
      </c>
      <c r="BX20" s="290">
        <f t="shared" si="17"/>
        <v>7.7400935510340635E-2</v>
      </c>
      <c r="BY20" s="104" t="str">
        <f>IFERROR(VLOOKUP(BX20,'Rangos amb etnico'!$A$2:$C$6,3,9),"N.D.")</f>
        <v>0,1% - 30%</v>
      </c>
      <c r="BZ20" s="68">
        <v>1</v>
      </c>
      <c r="CA20" s="25">
        <v>5.2808333407462227</v>
      </c>
      <c r="CB20">
        <v>50.25950328429586</v>
      </c>
      <c r="CC20">
        <v>48.264511108398438</v>
      </c>
      <c r="CD20">
        <v>49.17010498046875</v>
      </c>
      <c r="CE20">
        <v>70.3182373046875</v>
      </c>
      <c r="CF20">
        <v>49.503219604492188</v>
      </c>
      <c r="CG20">
        <v>37.117778778076172</v>
      </c>
      <c r="CH20">
        <v>47.18316650390625</v>
      </c>
      <c r="CI20" s="10">
        <v>59017.8289</v>
      </c>
      <c r="CJ20" s="325">
        <f t="shared" si="18"/>
        <v>2.6885484377446273E-2</v>
      </c>
      <c r="CK20" s="232" t="str">
        <f>VLOOKUP(CJ20,'Rangos amb etnico'!$A$2:$C$6,3,9)</f>
        <v>0,1% - 30%</v>
      </c>
      <c r="CL20">
        <f t="shared" si="19"/>
        <v>3.7546580836176374E-2</v>
      </c>
    </row>
    <row r="21" spans="1:90">
      <c r="A21" s="13" t="s">
        <v>2757</v>
      </c>
      <c r="B21" s="13" t="s">
        <v>473</v>
      </c>
      <c r="C21" s="13">
        <v>63</v>
      </c>
      <c r="D21" s="13" t="s">
        <v>2735</v>
      </c>
      <c r="E21" s="13" t="s">
        <v>2707</v>
      </c>
      <c r="F21" s="16">
        <v>96.138866666666701</v>
      </c>
      <c r="G21" s="13">
        <v>90.61</v>
      </c>
      <c r="H21" s="13">
        <v>87.31</v>
      </c>
      <c r="I21" s="13">
        <v>87.66</v>
      </c>
      <c r="J21" s="14">
        <v>61.468330179307671</v>
      </c>
      <c r="K21" s="14">
        <v>40.171050290088061</v>
      </c>
      <c r="L21" s="14">
        <v>49.997613010596091</v>
      </c>
      <c r="M21" s="14">
        <v>51.264899999999997</v>
      </c>
      <c r="N21" s="13" t="s">
        <v>2736</v>
      </c>
      <c r="O21" s="13" t="s">
        <v>2740</v>
      </c>
      <c r="P21" s="13" t="s">
        <v>2740</v>
      </c>
      <c r="Q21" s="13" t="s">
        <v>2740</v>
      </c>
      <c r="R21" s="16">
        <f t="shared" si="2"/>
        <v>90.429716666666678</v>
      </c>
      <c r="S21" s="14">
        <f t="shared" si="3"/>
        <v>50.725473369997957</v>
      </c>
      <c r="T21" s="14">
        <f t="shared" si="4"/>
        <v>70.577595018332318</v>
      </c>
      <c r="U21" s="260">
        <v>44.365968057708926</v>
      </c>
      <c r="V21" s="261">
        <f t="shared" si="5"/>
        <v>49.807954682546779</v>
      </c>
      <c r="W21" s="300">
        <f t="shared" si="6"/>
        <v>0.87030663946153464</v>
      </c>
      <c r="X21" s="14">
        <f t="shared" si="7"/>
        <v>61.424149541681949</v>
      </c>
      <c r="Y21" s="17">
        <f>+VLOOKUP(X21,'Cortes naturales'!$A$93:$C$95,3,9)</f>
        <v>1</v>
      </c>
      <c r="Z21" s="17">
        <v>70.961820389378175</v>
      </c>
      <c r="AA21" s="14">
        <v>0.87997602159359856</v>
      </c>
      <c r="AB21" s="14">
        <f t="shared" si="8"/>
        <v>62.444700391284513</v>
      </c>
      <c r="AC21" s="17">
        <f>VLOOKUP(AB21,'Cortes naturales'!$A$87:$C$89,3,9)</f>
        <v>1</v>
      </c>
      <c r="AD21" s="17" t="b">
        <f t="shared" si="9"/>
        <v>1</v>
      </c>
      <c r="AE21" s="17">
        <f t="shared" si="10"/>
        <v>0</v>
      </c>
      <c r="AF21" s="14">
        <f t="shared" si="11"/>
        <v>0.38422537104585786</v>
      </c>
      <c r="AG21" s="17">
        <v>70.961820389378175</v>
      </c>
      <c r="AH21" s="14">
        <v>0.64656438100216296</v>
      </c>
      <c r="AI21" s="14">
        <v>45.881385474844969</v>
      </c>
      <c r="AJ21" s="14">
        <v>0.84310184330699478</v>
      </c>
      <c r="AK21" s="17">
        <v>1</v>
      </c>
      <c r="AL21" s="17" t="b">
        <f t="shared" si="12"/>
        <v>1</v>
      </c>
      <c r="AM21" s="17">
        <f t="shared" si="13"/>
        <v>0</v>
      </c>
      <c r="AN21" s="14">
        <f t="shared" si="14"/>
        <v>-0.38422537104585786</v>
      </c>
      <c r="AO21" s="17">
        <f>+VLOOKUP(X21,'Cortes naturales'!$F$75:$I$77,3,9)</f>
        <v>2</v>
      </c>
      <c r="AP21" s="17" t="b">
        <f t="shared" si="20"/>
        <v>0</v>
      </c>
      <c r="AQ21" s="17">
        <f t="shared" si="15"/>
        <v>0</v>
      </c>
      <c r="AR21" s="14">
        <v>79.194365051210269</v>
      </c>
      <c r="AS21" s="14">
        <v>0.72715328273217206</v>
      </c>
      <c r="AT21" s="14">
        <v>57.586442520877547</v>
      </c>
      <c r="AU21" s="14">
        <v>0.88440500591755955</v>
      </c>
      <c r="AV21" s="13">
        <v>1</v>
      </c>
      <c r="AW21" s="104">
        <f>VLOOKUP(C21,'[1]HIST-CATEG-DEPTOS'!$B$9:$BB$40,51,FALSE)</f>
        <v>3</v>
      </c>
      <c r="AX21" s="104">
        <v>1</v>
      </c>
      <c r="AY21" s="13">
        <v>14.2</v>
      </c>
      <c r="AZ21" s="286">
        <v>6.7589510513022857</v>
      </c>
      <c r="BA21" s="285">
        <v>0.24012535056209552</v>
      </c>
      <c r="BB21" s="286">
        <v>3.4994811329420941</v>
      </c>
      <c r="BC21" s="285" t="s">
        <v>383</v>
      </c>
      <c r="BD21" s="288">
        <v>570595.63944099995</v>
      </c>
      <c r="BE21" s="288">
        <v>182889.382514</v>
      </c>
      <c r="BF21" s="288">
        <v>566048</v>
      </c>
      <c r="BG21" s="289">
        <f t="shared" si="0"/>
        <v>1.0080340173289191</v>
      </c>
      <c r="BH21" s="289">
        <f t="shared" si="1"/>
        <v>0.32309871691799991</v>
      </c>
      <c r="BI21" s="260">
        <v>72.031111047626041</v>
      </c>
      <c r="BJ21" s="260">
        <v>96.141300000000001</v>
      </c>
      <c r="BK21" s="260">
        <v>83.307639438206436</v>
      </c>
      <c r="BL21" s="260">
        <v>62.721210969890201</v>
      </c>
      <c r="BM21" s="260">
        <v>80.272504714197723</v>
      </c>
      <c r="BN21" s="260">
        <v>61.429142319116117</v>
      </c>
      <c r="BO21" s="260">
        <v>49.104696829611562</v>
      </c>
      <c r="BP21" s="260">
        <v>78.634586124906789</v>
      </c>
      <c r="BQ21" s="260">
        <v>72.143943616949727</v>
      </c>
      <c r="BR21" s="260">
        <v>79.075035811425323</v>
      </c>
      <c r="BS21" s="288">
        <f>VLOOKUP(E21,[2]Departamentos!$A$42:$B$75,2,FALSE)</f>
        <v>193297.88121299999</v>
      </c>
      <c r="BT21" s="289">
        <v>132586.78964800001</v>
      </c>
      <c r="BU21" s="290">
        <f t="shared" si="16"/>
        <v>0.68591951870335899</v>
      </c>
      <c r="BV21" s="260" t="str">
        <f>IFERROR(VLOOKUP(BU21,'Rangos amb etnico'!$A$2:$C$6,3,9),"N.D.")</f>
        <v>51% - 70%</v>
      </c>
      <c r="BW21" s="289">
        <v>565.27597871</v>
      </c>
      <c r="BX21" s="290">
        <f t="shared" si="17"/>
        <v>2.9243775211747285E-3</v>
      </c>
      <c r="BY21" s="104" t="str">
        <f>IFERROR(VLOOKUP(BX21,'Rangos amb etnico'!$A$2:$C$6,3,9),"N.D.")</f>
        <v>0,1% - 30%</v>
      </c>
      <c r="BZ21" s="68">
        <v>0</v>
      </c>
      <c r="CA21" s="25">
        <v>5.8485396041554258</v>
      </c>
      <c r="CB21">
        <v>58.915853171032097</v>
      </c>
      <c r="CC21">
        <v>47.539226531982422</v>
      </c>
      <c r="CD21">
        <v>56.647663116455078</v>
      </c>
      <c r="CE21">
        <v>84.266586303710938</v>
      </c>
      <c r="CF21">
        <v>76.380889892578125</v>
      </c>
      <c r="CG21">
        <v>32.373199462890618</v>
      </c>
      <c r="CH21">
        <v>56.287548065185547</v>
      </c>
      <c r="CI21" s="10">
        <v>0</v>
      </c>
      <c r="CJ21" s="325">
        <f t="shared" si="18"/>
        <v>0</v>
      </c>
      <c r="CK21" s="232">
        <f>VLOOKUP(CJ21,'Rangos amb etnico'!$A$2:$C$6,3,9)</f>
        <v>0</v>
      </c>
      <c r="CL21">
        <f t="shared" si="19"/>
        <v>0</v>
      </c>
    </row>
    <row r="22" spans="1:90">
      <c r="A22" s="13" t="s">
        <v>2758</v>
      </c>
      <c r="B22" s="13" t="s">
        <v>467</v>
      </c>
      <c r="C22" s="13">
        <v>66</v>
      </c>
      <c r="D22" s="13" t="s">
        <v>2735</v>
      </c>
      <c r="E22" s="13" t="s">
        <v>2708</v>
      </c>
      <c r="F22" s="16">
        <v>87.048666666666705</v>
      </c>
      <c r="G22" s="13">
        <v>86.31</v>
      </c>
      <c r="H22" s="13">
        <v>88.73</v>
      </c>
      <c r="I22" s="13">
        <v>90.94</v>
      </c>
      <c r="J22" s="14">
        <v>57.255454440138315</v>
      </c>
      <c r="K22" s="14">
        <v>51.656281202566419</v>
      </c>
      <c r="L22" s="14">
        <v>46.727185051941774</v>
      </c>
      <c r="M22" s="14">
        <v>54.741999999999997</v>
      </c>
      <c r="N22" s="13" t="s">
        <v>2740</v>
      </c>
      <c r="O22" s="13" t="s">
        <v>2740</v>
      </c>
      <c r="P22" s="13" t="s">
        <v>2740</v>
      </c>
      <c r="Q22" s="13" t="s">
        <v>2740</v>
      </c>
      <c r="R22" s="16">
        <f t="shared" si="2"/>
        <v>88.257166666666677</v>
      </c>
      <c r="S22" s="14">
        <f t="shared" si="3"/>
        <v>52.595230173661626</v>
      </c>
      <c r="T22" s="14">
        <f t="shared" si="4"/>
        <v>70.426198420164155</v>
      </c>
      <c r="U22" s="260">
        <v>43.93813723840136</v>
      </c>
      <c r="V22" s="261">
        <f t="shared" si="5"/>
        <v>50.235785501854345</v>
      </c>
      <c r="W22" s="300">
        <f t="shared" si="6"/>
        <v>0.87692327174004026</v>
      </c>
      <c r="X22" s="14">
        <f t="shared" si="7"/>
        <v>61.758372334823605</v>
      </c>
      <c r="Y22" s="17">
        <f>+VLOOKUP(X22,'Cortes naturales'!$A$93:$C$95,3,9)</f>
        <v>1</v>
      </c>
      <c r="Z22" s="17">
        <v>71.14114568778129</v>
      </c>
      <c r="AA22" s="14">
        <v>0.88513196772273595</v>
      </c>
      <c r="AB22" s="14">
        <f t="shared" si="8"/>
        <v>62.969302268675683</v>
      </c>
      <c r="AC22" s="17">
        <f>VLOOKUP(AB22,'Cortes naturales'!$A$87:$C$89,3,9)</f>
        <v>1</v>
      </c>
      <c r="AD22" s="17" t="b">
        <f t="shared" si="9"/>
        <v>1</v>
      </c>
      <c r="AE22" s="17">
        <f t="shared" si="10"/>
        <v>0</v>
      </c>
      <c r="AF22" s="14">
        <f t="shared" si="11"/>
        <v>0.71494726761713423</v>
      </c>
      <c r="AG22" s="17">
        <v>71.14114568778129</v>
      </c>
      <c r="AH22" s="14">
        <v>0.64656438100216296</v>
      </c>
      <c r="AI22" s="14">
        <v>45.997330825405001</v>
      </c>
      <c r="AJ22" s="14">
        <v>0.84538982119030248</v>
      </c>
      <c r="AK22" s="17">
        <v>1</v>
      </c>
      <c r="AL22" s="17" t="b">
        <f t="shared" si="12"/>
        <v>1</v>
      </c>
      <c r="AM22" s="17">
        <f t="shared" si="13"/>
        <v>0</v>
      </c>
      <c r="AN22" s="14">
        <f t="shared" si="14"/>
        <v>-0.71494726761713423</v>
      </c>
      <c r="AO22" s="17">
        <f>+VLOOKUP(X22,'Cortes naturales'!$F$75:$I$77,3,9)</f>
        <v>2</v>
      </c>
      <c r="AP22" s="17" t="b">
        <f t="shared" si="20"/>
        <v>0</v>
      </c>
      <c r="AQ22" s="17">
        <f t="shared" si="15"/>
        <v>0</v>
      </c>
      <c r="AR22" s="14">
        <v>78.645088701223841</v>
      </c>
      <c r="AS22" s="14">
        <v>0.72715328273217206</v>
      </c>
      <c r="AT22" s="14">
        <v>57.187034419857767</v>
      </c>
      <c r="AU22" s="14">
        <v>0.87606480318510593</v>
      </c>
      <c r="AV22" s="13">
        <v>1</v>
      </c>
      <c r="AW22" s="104">
        <f>VLOOKUP(C22,'[1]HIST-CATEG-DEPTOS'!$B$9:$BB$40,51,FALSE)</f>
        <v>2</v>
      </c>
      <c r="AX22" s="104">
        <v>1</v>
      </c>
      <c r="AY22" s="13">
        <v>11.6</v>
      </c>
      <c r="AZ22" s="286">
        <v>8.1914562269394793</v>
      </c>
      <c r="BA22" s="285">
        <v>27.541063163710195</v>
      </c>
      <c r="BB22" s="286">
        <v>2.3920652424842985</v>
      </c>
      <c r="BC22" s="285" t="s">
        <v>383</v>
      </c>
      <c r="BD22" s="288">
        <v>778410.57756100001</v>
      </c>
      <c r="BE22" s="288">
        <v>284209.30659400002</v>
      </c>
      <c r="BF22" s="288">
        <v>973879</v>
      </c>
      <c r="BG22" s="289">
        <f t="shared" si="0"/>
        <v>0.79928880031400207</v>
      </c>
      <c r="BH22" s="289">
        <f t="shared" si="1"/>
        <v>0.29183225697853638</v>
      </c>
      <c r="BI22" s="260">
        <v>68.500177440859176</v>
      </c>
      <c r="BJ22" s="260">
        <v>91.066729004834428</v>
      </c>
      <c r="BK22" s="260">
        <v>77.389061395517572</v>
      </c>
      <c r="BL22" s="260">
        <v>59.500084508129717</v>
      </c>
      <c r="BM22" s="260">
        <v>85.274707329527871</v>
      </c>
      <c r="BN22" s="260">
        <v>67.398999392952888</v>
      </c>
      <c r="BO22" s="260">
        <v>52.098530133639677</v>
      </c>
      <c r="BP22" s="260">
        <v>84.22790756021223</v>
      </c>
      <c r="BQ22" s="260">
        <v>71.604041315065899</v>
      </c>
      <c r="BR22" s="260">
        <v>82.679473725305314</v>
      </c>
      <c r="BS22" s="288">
        <f>VLOOKUP(E22,[2]Departamentos!$A$42:$B$75,2,FALSE)</f>
        <v>355650.75270700001</v>
      </c>
      <c r="BT22" s="289">
        <v>174965.94791799999</v>
      </c>
      <c r="BU22" s="290">
        <f t="shared" si="16"/>
        <v>0.49196001016802082</v>
      </c>
      <c r="BV22" s="260" t="str">
        <f>IFERROR(VLOOKUP(BU22,'Rangos amb etnico'!$A$2:$C$6,3,9),"N.D.")</f>
        <v>31% - 50%</v>
      </c>
      <c r="BW22" s="289">
        <v>40526.646991499903</v>
      </c>
      <c r="BX22" s="290">
        <f t="shared" si="17"/>
        <v>0.11395068528053265</v>
      </c>
      <c r="BY22" s="104" t="str">
        <f>IFERROR(VLOOKUP(BX22,'Rangos amb etnico'!$A$2:$C$6,3,9),"N.D.")</f>
        <v>0,1% - 30%</v>
      </c>
      <c r="BZ22" s="68">
        <v>0</v>
      </c>
      <c r="CA22" s="25">
        <v>6.2251357259720832</v>
      </c>
      <c r="CB22">
        <v>59.400215815289847</v>
      </c>
      <c r="CC22">
        <v>52.771778106689453</v>
      </c>
      <c r="CD22">
        <v>62.263195037841797</v>
      </c>
      <c r="CE22">
        <v>66.235969543457031</v>
      </c>
      <c r="CF22">
        <v>75.354949951171875</v>
      </c>
      <c r="CG22">
        <v>40.521770477294922</v>
      </c>
      <c r="CH22">
        <v>59.253631591796882</v>
      </c>
      <c r="CI22" s="10">
        <v>0</v>
      </c>
      <c r="CJ22" s="325">
        <f t="shared" si="18"/>
        <v>0</v>
      </c>
      <c r="CK22" s="232">
        <f>VLOOKUP(CJ22,'Rangos amb etnico'!$A$2:$C$6,3,9)</f>
        <v>0</v>
      </c>
      <c r="CL22">
        <f t="shared" si="19"/>
        <v>0</v>
      </c>
    </row>
    <row r="23" spans="1:90">
      <c r="A23" s="13" t="s">
        <v>2759</v>
      </c>
      <c r="B23" s="13" t="s">
        <v>431</v>
      </c>
      <c r="C23" s="13">
        <v>68</v>
      </c>
      <c r="D23" s="13" t="s">
        <v>2735</v>
      </c>
      <c r="E23" s="13" t="s">
        <v>2701</v>
      </c>
      <c r="F23" s="16">
        <v>79.400333333333293</v>
      </c>
      <c r="G23" s="13">
        <v>83.12</v>
      </c>
      <c r="H23" s="13">
        <v>84.37</v>
      </c>
      <c r="I23" s="13">
        <v>82.21</v>
      </c>
      <c r="J23" s="14">
        <v>56.797822593655219</v>
      </c>
      <c r="K23" s="14">
        <v>51.349174625630468</v>
      </c>
      <c r="L23" s="14">
        <v>54.728703106808155</v>
      </c>
      <c r="M23" s="14">
        <v>46.548699999999997</v>
      </c>
      <c r="N23" s="13" t="s">
        <v>2740</v>
      </c>
      <c r="O23" s="13" t="s">
        <v>2740</v>
      </c>
      <c r="P23" s="13" t="s">
        <v>2740</v>
      </c>
      <c r="Q23" s="13" t="s">
        <v>2740</v>
      </c>
      <c r="R23" s="16">
        <f t="shared" si="2"/>
        <v>82.275083333333328</v>
      </c>
      <c r="S23" s="14">
        <f t="shared" si="3"/>
        <v>52.356100081523458</v>
      </c>
      <c r="T23" s="14">
        <f t="shared" si="4"/>
        <v>67.315591707428396</v>
      </c>
      <c r="U23" s="260">
        <v>56.166131520417451</v>
      </c>
      <c r="V23" s="261">
        <f t="shared" si="5"/>
        <v>38.007791219838253</v>
      </c>
      <c r="W23" s="300">
        <f t="shared" si="6"/>
        <v>0.68781080481042955</v>
      </c>
      <c r="X23" s="14">
        <f t="shared" si="7"/>
        <v>46.3003913085766</v>
      </c>
      <c r="Y23" s="17">
        <f>+VLOOKUP(X23,'Cortes naturales'!$A$93:$C$95,3,9)</f>
        <v>2</v>
      </c>
      <c r="Z23" s="17">
        <v>66.628010296784907</v>
      </c>
      <c r="AA23" s="14">
        <v>0.68662229298270261</v>
      </c>
      <c r="AB23" s="14">
        <f t="shared" si="8"/>
        <v>45.748277206853572</v>
      </c>
      <c r="AC23" s="17">
        <f>VLOOKUP(AB23,'Cortes naturales'!$A$87:$C$89,3,9)</f>
        <v>2</v>
      </c>
      <c r="AD23" s="17" t="b">
        <f t="shared" si="9"/>
        <v>1</v>
      </c>
      <c r="AE23" s="17">
        <f t="shared" si="10"/>
        <v>0</v>
      </c>
      <c r="AF23" s="14">
        <f t="shared" si="11"/>
        <v>-0.68758141064348877</v>
      </c>
      <c r="AG23" s="17">
        <v>66.628010296784907</v>
      </c>
      <c r="AH23" s="14">
        <v>0.64656438100216296</v>
      </c>
      <c r="AI23" s="14">
        <v>43.079298234946471</v>
      </c>
      <c r="AJ23" s="14">
        <v>0.78780757233347198</v>
      </c>
      <c r="AK23" s="17">
        <v>1</v>
      </c>
      <c r="AL23" s="17" t="b">
        <f t="shared" si="12"/>
        <v>0</v>
      </c>
      <c r="AM23" s="17">
        <f t="shared" si="13"/>
        <v>1</v>
      </c>
      <c r="AN23" s="14">
        <f t="shared" si="14"/>
        <v>0.68758141064348877</v>
      </c>
      <c r="AO23" s="17">
        <f>+VLOOKUP(X23,'Cortes naturales'!$F$75:$I$77,3,9)</f>
        <v>2</v>
      </c>
      <c r="AP23" s="17" t="b">
        <f t="shared" si="20"/>
        <v>0</v>
      </c>
      <c r="AQ23" s="17" t="str">
        <f t="shared" si="15"/>
        <v>Cambio en corte</v>
      </c>
      <c r="AR23" s="14">
        <v>72.884611919090659</v>
      </c>
      <c r="AS23" s="14">
        <v>0.72715328273217206</v>
      </c>
      <c r="AT23" s="14">
        <v>52.998284817627166</v>
      </c>
      <c r="AU23" s="14">
        <v>0.78859782194739447</v>
      </c>
      <c r="AV23" s="13">
        <v>2</v>
      </c>
      <c r="AW23" s="104">
        <f>VLOOKUP(C23,'[1]HIST-CATEG-DEPTOS'!$B$9:$BB$40,51,FALSE)</f>
        <v>1</v>
      </c>
      <c r="AX23" s="104">
        <v>1</v>
      </c>
      <c r="AY23" s="13">
        <v>12.6</v>
      </c>
      <c r="AZ23" s="286">
        <v>9.5834448193274291</v>
      </c>
      <c r="BA23" s="285">
        <v>16.498504104107582</v>
      </c>
      <c r="BB23" s="286">
        <v>1.0287200452261982</v>
      </c>
      <c r="BC23" s="285" t="s">
        <v>383</v>
      </c>
      <c r="BD23" s="288">
        <v>2168607.0863290001</v>
      </c>
      <c r="BE23" s="288">
        <v>790653.72198300005</v>
      </c>
      <c r="BF23" s="288">
        <v>2376736</v>
      </c>
      <c r="BG23" s="289">
        <f t="shared" si="0"/>
        <v>0.91243078168084302</v>
      </c>
      <c r="BH23" s="289">
        <f t="shared" si="1"/>
        <v>0.33266367067398317</v>
      </c>
      <c r="BI23" s="260">
        <v>70.925219693003157</v>
      </c>
      <c r="BJ23" s="260">
        <v>95.108172024377097</v>
      </c>
      <c r="BK23" s="260">
        <v>78.73532724216075</v>
      </c>
      <c r="BL23" s="260">
        <v>53.191362076365287</v>
      </c>
      <c r="BM23" s="260">
        <v>72.039567059926583</v>
      </c>
      <c r="BN23" s="260">
        <v>60.749202778340162</v>
      </c>
      <c r="BO23" s="260">
        <v>59.404229024078198</v>
      </c>
      <c r="BP23" s="260">
        <v>73.599591546786854</v>
      </c>
      <c r="BQ23" s="260">
        <v>70.021868556893025</v>
      </c>
      <c r="BR23" s="260">
        <v>72.859892929934801</v>
      </c>
      <c r="BS23" s="288">
        <f>VLOOKUP(E23,[2]Departamentos!$A$42:$B$75,2,FALSE)</f>
        <v>3043699.8027260001</v>
      </c>
      <c r="BT23" s="289">
        <v>1236649.7522200004</v>
      </c>
      <c r="BU23" s="290">
        <f t="shared" si="16"/>
        <v>0.40629820033908448</v>
      </c>
      <c r="BV23" s="260" t="str">
        <f>IFERROR(VLOOKUP(BU23,'Rangos amb etnico'!$A$2:$C$6,3,9),"N.D.")</f>
        <v>31% - 50%</v>
      </c>
      <c r="BW23" s="289">
        <v>0</v>
      </c>
      <c r="BX23" s="290">
        <f t="shared" si="17"/>
        <v>0</v>
      </c>
      <c r="BY23" s="104">
        <f>IFERROR(VLOOKUP(BX23,'Rangos amb etnico'!$A$2:$C$6,3,9),"N.D.")</f>
        <v>0</v>
      </c>
      <c r="BZ23" s="68">
        <v>0</v>
      </c>
      <c r="CA23" s="25">
        <v>6.2769735113876211</v>
      </c>
      <c r="CB23">
        <v>60.000536305648701</v>
      </c>
      <c r="CC23">
        <v>50.701206207275391</v>
      </c>
      <c r="CD23">
        <v>60.098339080810547</v>
      </c>
      <c r="CE23">
        <v>77.294021606445313</v>
      </c>
      <c r="CF23">
        <v>63.801864624023438</v>
      </c>
      <c r="CG23">
        <v>49.081199645996087</v>
      </c>
      <c r="CH23">
        <v>59.026584625244141</v>
      </c>
      <c r="CI23" s="10">
        <v>1196.4720648099899</v>
      </c>
      <c r="CJ23" s="325">
        <f t="shared" si="18"/>
        <v>3.9309792106908994E-4</v>
      </c>
      <c r="CK23" t="s">
        <v>2969</v>
      </c>
      <c r="CL23">
        <f t="shared" si="19"/>
        <v>7.6118413599615057E-4</v>
      </c>
    </row>
    <row r="24" spans="1:90">
      <c r="A24" s="13" t="s">
        <v>2760</v>
      </c>
      <c r="B24" s="13" t="s">
        <v>494</v>
      </c>
      <c r="C24" s="13">
        <v>70</v>
      </c>
      <c r="D24" s="13" t="s">
        <v>2735</v>
      </c>
      <c r="E24" s="13" t="s">
        <v>2704</v>
      </c>
      <c r="F24" s="16">
        <v>77.5439333333333</v>
      </c>
      <c r="G24" s="13">
        <v>74.709999999999994</v>
      </c>
      <c r="H24" s="13">
        <v>80.59</v>
      </c>
      <c r="I24" s="13">
        <v>83.18</v>
      </c>
      <c r="J24" s="14">
        <v>70.327337918984554</v>
      </c>
      <c r="K24" s="14">
        <v>68.205988113636295</v>
      </c>
      <c r="L24" s="14">
        <v>67.505629872697114</v>
      </c>
      <c r="M24" s="14">
        <v>60.5259</v>
      </c>
      <c r="N24" s="13" t="s">
        <v>2738</v>
      </c>
      <c r="O24" s="13" t="s">
        <v>2736</v>
      </c>
      <c r="P24" s="13" t="s">
        <v>2736</v>
      </c>
      <c r="Q24" s="13" t="s">
        <v>2736</v>
      </c>
      <c r="R24" s="16">
        <f t="shared" si="2"/>
        <v>79.005983333333319</v>
      </c>
      <c r="S24" s="14">
        <f t="shared" si="3"/>
        <v>66.641213976329482</v>
      </c>
      <c r="T24" s="14">
        <f t="shared" si="4"/>
        <v>72.8235986548314</v>
      </c>
      <c r="U24" s="260">
        <v>48.357774727928962</v>
      </c>
      <c r="V24" s="261">
        <f t="shared" si="5"/>
        <v>45.816148012326742</v>
      </c>
      <c r="W24" s="300">
        <f t="shared" si="6"/>
        <v>0.8085712158506787</v>
      </c>
      <c r="X24" s="14">
        <f t="shared" si="7"/>
        <v>58.883065706958874</v>
      </c>
      <c r="Y24" s="17">
        <f>+VLOOKUP(X24,'Cortes naturales'!$A$93:$C$95,3,9)</f>
        <v>1</v>
      </c>
      <c r="Z24" s="17">
        <v>71.682732209444268</v>
      </c>
      <c r="AA24" s="14">
        <v>0.8096141276340173</v>
      </c>
      <c r="AB24" s="14">
        <f t="shared" si="8"/>
        <v>58.035352704172091</v>
      </c>
      <c r="AC24" s="17">
        <f>VLOOKUP(AB24,'Cortes naturales'!$A$87:$C$89,3,9)</f>
        <v>1</v>
      </c>
      <c r="AD24" s="17" t="b">
        <f t="shared" si="9"/>
        <v>1</v>
      </c>
      <c r="AE24" s="17">
        <f t="shared" si="10"/>
        <v>0</v>
      </c>
      <c r="AF24" s="14">
        <f t="shared" si="11"/>
        <v>-1.1408664453871324</v>
      </c>
      <c r="AG24" s="17">
        <v>71.682732209444268</v>
      </c>
      <c r="AH24" s="14">
        <v>0.64656438100216296</v>
      </c>
      <c r="AI24" s="14">
        <v>46.347501379543139</v>
      </c>
      <c r="AJ24" s="14">
        <v>0.85229982214664823</v>
      </c>
      <c r="AK24" s="17">
        <v>1</v>
      </c>
      <c r="AL24" s="17" t="b">
        <f t="shared" si="12"/>
        <v>1</v>
      </c>
      <c r="AM24" s="17">
        <f t="shared" si="13"/>
        <v>0</v>
      </c>
      <c r="AN24" s="14">
        <f t="shared" si="14"/>
        <v>1.1408664453871324</v>
      </c>
      <c r="AO24" s="17">
        <f>+VLOOKUP(X24,'Cortes naturales'!$F$75:$I$77,3,9)</f>
        <v>2</v>
      </c>
      <c r="AP24" s="17" t="b">
        <f t="shared" si="20"/>
        <v>0</v>
      </c>
      <c r="AQ24" s="17">
        <f t="shared" si="15"/>
        <v>0</v>
      </c>
      <c r="AR24" s="14">
        <v>72.947256192564922</v>
      </c>
      <c r="AS24" s="14">
        <v>0.72715328273217206</v>
      </c>
      <c r="AT24" s="14">
        <v>53.043836806728351</v>
      </c>
      <c r="AU24" s="14">
        <v>0.78954901152767687</v>
      </c>
      <c r="AV24" s="13">
        <v>2</v>
      </c>
      <c r="AW24" s="104">
        <f>VLOOKUP(C24,'[1]HIST-CATEG-DEPTOS'!$B$9:$BB$40,51,FALSE)</f>
        <v>3</v>
      </c>
      <c r="AX24" s="104">
        <v>1</v>
      </c>
      <c r="AY24" s="13">
        <v>41.7</v>
      </c>
      <c r="AZ24" s="286">
        <v>29.128324371457637</v>
      </c>
      <c r="BA24" s="285">
        <v>18.198450374507644</v>
      </c>
      <c r="BB24" s="286">
        <v>10.316758390882219</v>
      </c>
      <c r="BC24" s="285" t="s">
        <v>379</v>
      </c>
      <c r="BD24" s="288">
        <v>1121664.691475</v>
      </c>
      <c r="BE24" s="288">
        <v>189688.68285000001</v>
      </c>
      <c r="BF24" s="288">
        <v>1006044</v>
      </c>
      <c r="BG24" s="289">
        <f t="shared" si="0"/>
        <v>1.1149260782580086</v>
      </c>
      <c r="BH24" s="289">
        <f t="shared" si="1"/>
        <v>0.18854909213712323</v>
      </c>
      <c r="BI24" s="260">
        <v>56.380056104205387</v>
      </c>
      <c r="BJ24" s="260">
        <v>98.526052521884125</v>
      </c>
      <c r="BK24" s="260">
        <v>40.467211385484482</v>
      </c>
      <c r="BL24" s="260">
        <v>81.835202619467751</v>
      </c>
      <c r="BM24" s="260">
        <v>88.970588235294116</v>
      </c>
      <c r="BN24" s="260">
        <v>37.439414439857281</v>
      </c>
      <c r="BO24" s="260">
        <v>67.61125530292523</v>
      </c>
      <c r="BP24" s="260">
        <v>65.9199570218247</v>
      </c>
      <c r="BQ24" s="260">
        <v>67.318540087016913</v>
      </c>
      <c r="BR24" s="260">
        <v>67.091685209589116</v>
      </c>
      <c r="BS24" s="288">
        <f>VLOOKUP(E24,[2]Departamentos!$A$42:$B$75,2,FALSE)</f>
        <v>1058483.8713810001</v>
      </c>
      <c r="BT24" s="289">
        <v>84094.964202000017</v>
      </c>
      <c r="BU24" s="290">
        <f t="shared" si="16"/>
        <v>7.9448507885416922E-2</v>
      </c>
      <c r="BV24" s="260" t="str">
        <f>IFERROR(VLOOKUP(BU24,'Rangos amb etnico'!$A$2:$C$6,3,9),"N.D.")</f>
        <v>0,1% - 30%</v>
      </c>
      <c r="BW24" s="289">
        <v>3775.5975521700002</v>
      </c>
      <c r="BX24" s="290">
        <f t="shared" si="17"/>
        <v>3.5669863795316894E-3</v>
      </c>
      <c r="BY24" s="104" t="str">
        <f>IFERROR(VLOOKUP(BX24,'Rangos amb etnico'!$A$2:$C$6,3,9),"N.D.")</f>
        <v>0,1% - 30%</v>
      </c>
      <c r="BZ24" s="68">
        <v>0</v>
      </c>
      <c r="CA24" s="25">
        <v>4.388117506431878</v>
      </c>
      <c r="CB24">
        <v>48.632333162484272</v>
      </c>
      <c r="CC24">
        <v>36.284656524658203</v>
      </c>
      <c r="CD24">
        <v>52.509658813476563</v>
      </c>
      <c r="CE24">
        <v>59.534847259521477</v>
      </c>
      <c r="CF24">
        <v>30.974758148193359</v>
      </c>
      <c r="CG24">
        <v>57.81097412109375</v>
      </c>
      <c r="CH24">
        <v>54.679103851318359</v>
      </c>
      <c r="CI24" s="10">
        <v>0</v>
      </c>
      <c r="CJ24" s="325">
        <f t="shared" si="18"/>
        <v>0</v>
      </c>
      <c r="CK24" s="232">
        <f>VLOOKUP(CJ24,'Rangos amb etnico'!$A$2:$C$6,3,9)</f>
        <v>0</v>
      </c>
      <c r="CL24">
        <f t="shared" si="19"/>
        <v>0</v>
      </c>
    </row>
    <row r="25" spans="1:90">
      <c r="A25" s="13" t="s">
        <v>2761</v>
      </c>
      <c r="B25" s="13" t="s">
        <v>595</v>
      </c>
      <c r="C25" s="13">
        <v>73</v>
      </c>
      <c r="D25" s="13" t="s">
        <v>2735</v>
      </c>
      <c r="E25" s="13" t="s">
        <v>2699</v>
      </c>
      <c r="F25" s="16">
        <v>81.288033333333303</v>
      </c>
      <c r="G25" s="13">
        <v>68.900000000000006</v>
      </c>
      <c r="H25" s="13">
        <v>75.36</v>
      </c>
      <c r="I25" s="13">
        <v>80.58</v>
      </c>
      <c r="J25" s="14">
        <v>69.457535515616172</v>
      </c>
      <c r="K25" s="14">
        <v>58.088143128065255</v>
      </c>
      <c r="L25" s="14">
        <v>53.32915750967652</v>
      </c>
      <c r="M25" s="14">
        <v>51.0184</v>
      </c>
      <c r="N25" s="13" t="s">
        <v>2736</v>
      </c>
      <c r="O25" s="13" t="s">
        <v>2740</v>
      </c>
      <c r="P25" s="13" t="s">
        <v>2740</v>
      </c>
      <c r="Q25" s="13" t="s">
        <v>2740</v>
      </c>
      <c r="R25" s="16">
        <f t="shared" si="2"/>
        <v>76.532008333333323</v>
      </c>
      <c r="S25" s="14">
        <f t="shared" si="3"/>
        <v>57.97330903833948</v>
      </c>
      <c r="T25" s="14">
        <f t="shared" si="4"/>
        <v>67.252658685836394</v>
      </c>
      <c r="U25" s="260">
        <v>55.904584701982373</v>
      </c>
      <c r="V25" s="261">
        <f t="shared" si="5"/>
        <v>38.269338038273332</v>
      </c>
      <c r="W25" s="300">
        <f t="shared" si="6"/>
        <v>0.69185576614350719</v>
      </c>
      <c r="X25" s="14">
        <f t="shared" si="7"/>
        <v>46.529139700277135</v>
      </c>
      <c r="Y25" s="17">
        <f>+VLOOKUP(X25,'Cortes naturales'!$A$93:$C$95,3,9)</f>
        <v>2</v>
      </c>
      <c r="Z25" s="17">
        <v>67.874393829484802</v>
      </c>
      <c r="AA25" s="14">
        <v>0.69601718751051678</v>
      </c>
      <c r="AB25" s="14">
        <f t="shared" si="8"/>
        <v>47.241744697179186</v>
      </c>
      <c r="AC25" s="17">
        <f>VLOOKUP(AB25,'Cortes naturales'!$A$87:$C$89,3,9)</f>
        <v>2</v>
      </c>
      <c r="AD25" s="17" t="b">
        <f t="shared" si="9"/>
        <v>1</v>
      </c>
      <c r="AE25" s="17">
        <f t="shared" si="10"/>
        <v>0</v>
      </c>
      <c r="AF25" s="14">
        <f t="shared" si="11"/>
        <v>0.62173514364840798</v>
      </c>
      <c r="AG25" s="17">
        <v>67.874393829484802</v>
      </c>
      <c r="AH25" s="14">
        <v>0.64656438100216296</v>
      </c>
      <c r="AI25" s="14">
        <v>43.885165432257871</v>
      </c>
      <c r="AJ25" s="14">
        <v>0.80370994630039527</v>
      </c>
      <c r="AK25" s="17">
        <v>1</v>
      </c>
      <c r="AL25" s="17" t="b">
        <f t="shared" si="12"/>
        <v>0</v>
      </c>
      <c r="AM25" s="17">
        <f t="shared" si="13"/>
        <v>1</v>
      </c>
      <c r="AN25" s="14">
        <f t="shared" si="14"/>
        <v>-0.62173514364840798</v>
      </c>
      <c r="AO25" s="17">
        <f>+VLOOKUP(X25,'Cortes naturales'!$F$75:$I$77,3,9)</f>
        <v>2</v>
      </c>
      <c r="AP25" s="17" t="b">
        <f t="shared" si="20"/>
        <v>0</v>
      </c>
      <c r="AQ25" s="17" t="str">
        <f t="shared" si="15"/>
        <v>Cambio en corte</v>
      </c>
      <c r="AR25" s="14">
        <v>72.967269751188681</v>
      </c>
      <c r="AS25" s="14">
        <v>0.72715328273217206</v>
      </c>
      <c r="AT25" s="14">
        <v>53.058389731580768</v>
      </c>
      <c r="AU25" s="14">
        <v>0.78985289706056783</v>
      </c>
      <c r="AV25" s="13">
        <v>2</v>
      </c>
      <c r="AW25" s="104">
        <f>VLOOKUP(C25,'[1]HIST-CATEG-DEPTOS'!$B$9:$BB$40,51,FALSE)</f>
        <v>2</v>
      </c>
      <c r="AX25" s="104">
        <v>1</v>
      </c>
      <c r="AY25" s="13">
        <v>22.2</v>
      </c>
      <c r="AZ25" s="286">
        <v>12.22299794661191</v>
      </c>
      <c r="BA25" s="285">
        <v>24.093392927330754</v>
      </c>
      <c r="BB25" s="286">
        <v>4.5370533356327103</v>
      </c>
      <c r="BC25" s="285" t="s">
        <v>383</v>
      </c>
      <c r="BD25" s="288">
        <v>1533876.164749</v>
      </c>
      <c r="BE25" s="288">
        <v>339427.799467</v>
      </c>
      <c r="BF25" s="288">
        <v>1380948</v>
      </c>
      <c r="BG25" s="289">
        <f t="shared" si="0"/>
        <v>1.1107414361359009</v>
      </c>
      <c r="BH25" s="289">
        <f t="shared" si="1"/>
        <v>0.24579332419975264</v>
      </c>
      <c r="BI25" s="260">
        <v>66.431046150870088</v>
      </c>
      <c r="BJ25" s="260">
        <v>95.858060995129108</v>
      </c>
      <c r="BK25" s="260">
        <v>70.587618977959693</v>
      </c>
      <c r="BL25" s="260">
        <v>50.091492037671571</v>
      </c>
      <c r="BM25" s="260">
        <v>73.103005091539927</v>
      </c>
      <c r="BN25" s="260">
        <v>52.052695990101753</v>
      </c>
      <c r="BO25" s="260">
        <v>60.445867691291497</v>
      </c>
      <c r="BP25" s="260">
        <v>68.412159596092664</v>
      </c>
      <c r="BQ25" s="260">
        <v>66.938540990651944</v>
      </c>
      <c r="BR25" s="260">
        <v>68.109683093788391</v>
      </c>
      <c r="BS25" s="288">
        <f>VLOOKUP(E25,[2]Departamentos!$A$42:$B$75,2,FALSE)</f>
        <v>2412813.0425779996</v>
      </c>
      <c r="BT25" s="289">
        <v>1056930.564431</v>
      </c>
      <c r="BU25" s="290">
        <f t="shared" si="16"/>
        <v>0.43804909281396692</v>
      </c>
      <c r="BV25" s="260" t="str">
        <f>IFERROR(VLOOKUP(BU25,'Rangos amb etnico'!$A$2:$C$6,3,9),"N.D.")</f>
        <v>31% - 50%</v>
      </c>
      <c r="BW25" s="289">
        <v>30919.705066800001</v>
      </c>
      <c r="BX25" s="290">
        <f t="shared" si="17"/>
        <v>1.2814795229125363E-2</v>
      </c>
      <c r="BY25" s="104" t="str">
        <f>IFERROR(VLOOKUP(BX25,'Rangos amb etnico'!$A$2:$C$6,3,9),"N.D.")</f>
        <v>0,1% - 30%</v>
      </c>
      <c r="BZ25" s="68">
        <v>0</v>
      </c>
      <c r="CA25" s="25">
        <v>5.5775906107050091</v>
      </c>
      <c r="CB25">
        <v>49.50765097912506</v>
      </c>
      <c r="CC25">
        <v>43.207115173339837</v>
      </c>
      <c r="CD25">
        <v>48.673137664794922</v>
      </c>
      <c r="CE25">
        <v>64.520401000976563</v>
      </c>
      <c r="CF25">
        <v>57.963108062744141</v>
      </c>
      <c r="CG25">
        <v>31.533988952636719</v>
      </c>
      <c r="CH25">
        <v>51.148159027099609</v>
      </c>
      <c r="CI25" s="10">
        <v>23732.395315599901</v>
      </c>
      <c r="CJ25" s="325">
        <f t="shared" si="18"/>
        <v>9.8359860033924267E-3</v>
      </c>
      <c r="CK25" s="232" t="str">
        <f>VLOOKUP(CJ25,'Rangos amb etnico'!$A$2:$C$6,3,9)</f>
        <v>0,1% - 30%</v>
      </c>
      <c r="CL25">
        <f t="shared" si="19"/>
        <v>1.5098323943144327E-2</v>
      </c>
    </row>
    <row r="26" spans="1:90">
      <c r="A26" s="13" t="s">
        <v>2762</v>
      </c>
      <c r="B26" s="13" t="s">
        <v>454</v>
      </c>
      <c r="C26" s="13">
        <v>76</v>
      </c>
      <c r="D26" s="13" t="s">
        <v>2735</v>
      </c>
      <c r="E26" s="13" t="s">
        <v>2709</v>
      </c>
      <c r="F26" s="16">
        <v>81.437433333333303</v>
      </c>
      <c r="G26" s="13">
        <v>82.38</v>
      </c>
      <c r="H26" s="13">
        <v>84.06</v>
      </c>
      <c r="I26" s="13">
        <v>94.89</v>
      </c>
      <c r="J26" s="14">
        <v>69.686723042599894</v>
      </c>
      <c r="K26" s="14">
        <v>63.477218735238715</v>
      </c>
      <c r="L26" s="14">
        <v>72.901944189514623</v>
      </c>
      <c r="M26" s="14">
        <v>51.3399</v>
      </c>
      <c r="N26" s="13" t="s">
        <v>2736</v>
      </c>
      <c r="O26" s="13" t="s">
        <v>2736</v>
      </c>
      <c r="P26" s="13" t="s">
        <v>2738</v>
      </c>
      <c r="Q26" s="13" t="s">
        <v>2740</v>
      </c>
      <c r="R26" s="16">
        <f t="shared" si="2"/>
        <v>85.691858333333329</v>
      </c>
      <c r="S26" s="14">
        <f t="shared" si="3"/>
        <v>64.351446491838303</v>
      </c>
      <c r="T26" s="14">
        <f t="shared" si="4"/>
        <v>75.021652412585809</v>
      </c>
      <c r="U26" s="260">
        <v>45.276951499264833</v>
      </c>
      <c r="V26" s="261">
        <f t="shared" si="5"/>
        <v>48.896971240990872</v>
      </c>
      <c r="W26" s="300">
        <f t="shared" si="6"/>
        <v>0.85621779365482387</v>
      </c>
      <c r="X26" s="14">
        <f t="shared" si="7"/>
        <v>64.234873705043313</v>
      </c>
      <c r="Y26" s="17">
        <f>+VLOOKUP(X26,'Cortes naturales'!$A$93:$C$95,3,9)</f>
        <v>1</v>
      </c>
      <c r="Z26" s="17">
        <v>74.275985054801836</v>
      </c>
      <c r="AA26" s="14">
        <v>0.86424812892937752</v>
      </c>
      <c r="AB26" s="14">
        <f t="shared" si="8"/>
        <v>64.1928811079989</v>
      </c>
      <c r="AC26" s="17">
        <f>VLOOKUP(AB26,'Cortes naturales'!$A$87:$C$89,3,9)</f>
        <v>1</v>
      </c>
      <c r="AD26" s="17" t="b">
        <f t="shared" si="9"/>
        <v>1</v>
      </c>
      <c r="AE26" s="17">
        <f t="shared" si="10"/>
        <v>0</v>
      </c>
      <c r="AF26" s="14">
        <f t="shared" si="11"/>
        <v>-0.74566735778397231</v>
      </c>
      <c r="AG26" s="17">
        <v>74.275985054801836</v>
      </c>
      <c r="AH26" s="14">
        <v>0.64656438100216296</v>
      </c>
      <c r="AI26" s="14">
        <v>48.024206300283858</v>
      </c>
      <c r="AJ26" s="14">
        <v>0.88538664931960753</v>
      </c>
      <c r="AK26" s="17">
        <v>1</v>
      </c>
      <c r="AL26" s="17" t="b">
        <f t="shared" si="12"/>
        <v>1</v>
      </c>
      <c r="AM26" s="17">
        <f t="shared" si="13"/>
        <v>0</v>
      </c>
      <c r="AN26" s="14">
        <f t="shared" si="14"/>
        <v>0.74566735778397231</v>
      </c>
      <c r="AO26" s="17">
        <f>+VLOOKUP(X26,'Cortes naturales'!$F$75:$I$77,3,9)</f>
        <v>2</v>
      </c>
      <c r="AP26" s="17" t="b">
        <f t="shared" si="20"/>
        <v>0</v>
      </c>
      <c r="AQ26" s="17">
        <f t="shared" si="15"/>
        <v>0</v>
      </c>
      <c r="AR26" s="14">
        <v>82.531631030687549</v>
      </c>
      <c r="AS26" s="14">
        <v>0.72715328273217206</v>
      </c>
      <c r="AT26" s="14">
        <v>60.013146433204845</v>
      </c>
      <c r="AU26" s="14">
        <v>0.93507799564604122</v>
      </c>
      <c r="AV26" s="13">
        <v>1</v>
      </c>
      <c r="AW26" s="104" t="str">
        <f>VLOOKUP(C26,'[1]HIST-CATEG-DEPTOS'!$B$9:$BB$40,51,FALSE)</f>
        <v>ESP</v>
      </c>
      <c r="AX26" s="104">
        <v>1</v>
      </c>
      <c r="AY26" s="13">
        <v>14.1</v>
      </c>
      <c r="AZ26" s="286">
        <v>6.2504435535423282</v>
      </c>
      <c r="BA26" s="285">
        <v>13.150888199173954</v>
      </c>
      <c r="BB26" s="286">
        <v>7.9774130758010102</v>
      </c>
      <c r="BC26" s="285" t="s">
        <v>379</v>
      </c>
      <c r="BD26" s="288">
        <v>3135605.3948599999</v>
      </c>
      <c r="BE26" s="288">
        <v>1352480.663919</v>
      </c>
      <c r="BF26" s="288">
        <v>4647367</v>
      </c>
      <c r="BG26" s="289">
        <f t="shared" si="0"/>
        <v>0.67470578391162128</v>
      </c>
      <c r="BH26" s="289">
        <f t="shared" si="1"/>
        <v>0.29102084339777767</v>
      </c>
      <c r="BI26" s="260">
        <v>57.812639625448732</v>
      </c>
      <c r="BJ26" s="260">
        <v>89.126383016949134</v>
      </c>
      <c r="BK26" s="260">
        <v>77.40816128393277</v>
      </c>
      <c r="BL26" s="260">
        <v>35.649427882681053</v>
      </c>
      <c r="BM26" s="260">
        <v>87.55249782163429</v>
      </c>
      <c r="BN26" s="260">
        <v>61.526548188049368</v>
      </c>
      <c r="BO26" s="260">
        <v>57.08978016550806</v>
      </c>
      <c r="BP26" s="260">
        <v>90.271132965238849</v>
      </c>
      <c r="BQ26" s="260">
        <v>66.595062569171915</v>
      </c>
      <c r="BR26" s="260">
        <v>90.130909497594686</v>
      </c>
      <c r="BS26" s="288">
        <f>VLOOKUP(E26,[2]Departamentos!$A$42:$B$75,2,FALSE)</f>
        <v>2067233.9433990002</v>
      </c>
      <c r="BT26" s="289">
        <v>1145894.7073599999</v>
      </c>
      <c r="BU26" s="290">
        <f t="shared" si="16"/>
        <v>0.55431302829513807</v>
      </c>
      <c r="BV26" s="260" t="str">
        <f>IFERROR(VLOOKUP(BU26,'Rangos amb etnico'!$A$2:$C$6,3,9),"N.D.")</f>
        <v>51% - 70%</v>
      </c>
      <c r="BW26" s="289">
        <v>483987.85105900001</v>
      </c>
      <c r="BX26" s="290">
        <f t="shared" si="17"/>
        <v>0.23412340562830278</v>
      </c>
      <c r="BY26" s="104" t="str">
        <f>IFERROR(VLOOKUP(BX26,'Rangos amb etnico'!$A$2:$C$6,3,9),"N.D.")</f>
        <v>0,1% - 30%</v>
      </c>
      <c r="BZ26" s="68">
        <v>0</v>
      </c>
      <c r="CA26" s="25">
        <v>6.2950191940403366</v>
      </c>
      <c r="CB26">
        <v>56.709611776846849</v>
      </c>
      <c r="CC26">
        <v>64.155952453613281</v>
      </c>
      <c r="CD26">
        <v>53.321914672851563</v>
      </c>
      <c r="CE26">
        <v>73.209587097167969</v>
      </c>
      <c r="CF26">
        <v>65.666236877441406</v>
      </c>
      <c r="CG26">
        <v>22.104034423828121</v>
      </c>
      <c r="CH26">
        <v>61.799945831298828</v>
      </c>
      <c r="CI26" s="10">
        <v>41838.639107900002</v>
      </c>
      <c r="CJ26" s="325">
        <f t="shared" si="18"/>
        <v>2.0238947430936537E-2</v>
      </c>
      <c r="CK26" s="232" t="str">
        <f>VLOOKUP(CJ26,'Rangos amb etnico'!$A$2:$C$6,3,9)</f>
        <v>0,1% - 30%</v>
      </c>
      <c r="CL26">
        <f t="shared" si="19"/>
        <v>2.6617343853873581E-2</v>
      </c>
    </row>
    <row r="27" spans="1:90">
      <c r="A27" s="13" t="s">
        <v>2763</v>
      </c>
      <c r="B27" s="13" t="s">
        <v>1568</v>
      </c>
      <c r="C27" s="13">
        <v>81</v>
      </c>
      <c r="D27" s="13" t="s">
        <v>2735</v>
      </c>
      <c r="E27" s="13" t="s">
        <v>2683</v>
      </c>
      <c r="F27" s="16">
        <v>69.947966666666701</v>
      </c>
      <c r="G27" s="13">
        <v>67.75</v>
      </c>
      <c r="H27" s="13">
        <v>60.86</v>
      </c>
      <c r="I27" s="13">
        <v>56.53</v>
      </c>
      <c r="J27" s="14">
        <v>40.293189955343266</v>
      </c>
      <c r="K27" s="14">
        <v>57.300690480227615</v>
      </c>
      <c r="L27" s="14">
        <v>51.186608356161841</v>
      </c>
      <c r="M27" s="14">
        <v>59.189100000000003</v>
      </c>
      <c r="N27" s="13" t="s">
        <v>2740</v>
      </c>
      <c r="O27" s="13" t="s">
        <v>2740</v>
      </c>
      <c r="P27" s="13" t="s">
        <v>2740</v>
      </c>
      <c r="Q27" s="13" t="s">
        <v>2740</v>
      </c>
      <c r="R27" s="16">
        <f t="shared" si="2"/>
        <v>63.771991666666672</v>
      </c>
      <c r="S27" s="14">
        <f t="shared" si="3"/>
        <v>51.99239719793318</v>
      </c>
      <c r="T27" s="14">
        <f t="shared" si="4"/>
        <v>57.882194432299926</v>
      </c>
      <c r="U27" s="260">
        <v>71.526983536742861</v>
      </c>
      <c r="V27" s="261">
        <f t="shared" si="5"/>
        <v>22.646939203512844</v>
      </c>
      <c r="W27" s="300">
        <f t="shared" si="6"/>
        <v>0.45024701863657535</v>
      </c>
      <c r="X27" s="14">
        <f t="shared" si="7"/>
        <v>26.061285475285622</v>
      </c>
      <c r="Y27" s="17">
        <f>+VLOOKUP(X27,'Cortes naturales'!$A$93:$C$95,3,9)</f>
        <v>3</v>
      </c>
      <c r="Z27" s="17">
        <v>57.354888019282242</v>
      </c>
      <c r="AA27" s="14">
        <v>0.46442406722491048</v>
      </c>
      <c r="AB27" s="14">
        <f t="shared" si="8"/>
        <v>26.63699036914435</v>
      </c>
      <c r="AC27" s="17">
        <f>VLOOKUP(AB27,'Cortes naturales'!$A$87:$C$89,3,9)</f>
        <v>3</v>
      </c>
      <c r="AD27" s="17" t="b">
        <f t="shared" si="9"/>
        <v>1</v>
      </c>
      <c r="AE27" s="17">
        <f t="shared" si="10"/>
        <v>0</v>
      </c>
      <c r="AF27" s="14">
        <f t="shared" si="11"/>
        <v>-0.52730641301768344</v>
      </c>
      <c r="AG27" s="17">
        <v>57.354888019282242</v>
      </c>
      <c r="AH27" s="14">
        <v>0.41874070230311966</v>
      </c>
      <c r="AI27" s="14">
        <v>24.016826089711031</v>
      </c>
      <c r="AJ27" s="14">
        <v>0.41164315988567812</v>
      </c>
      <c r="AK27" s="17">
        <v>3</v>
      </c>
      <c r="AL27" s="17" t="b">
        <f t="shared" si="12"/>
        <v>1</v>
      </c>
      <c r="AM27" s="17">
        <f t="shared" si="13"/>
        <v>0</v>
      </c>
      <c r="AN27" s="14">
        <f t="shared" si="14"/>
        <v>0.52730641301768344</v>
      </c>
      <c r="AO27" s="17">
        <f>+VLOOKUP(X27,'Cortes naturales'!$F$75:$I$77,3,9)</f>
        <v>3</v>
      </c>
      <c r="AP27" s="17" t="b">
        <f t="shared" si="20"/>
        <v>1</v>
      </c>
      <c r="AQ27" s="17">
        <f t="shared" si="15"/>
        <v>0</v>
      </c>
      <c r="AR27" s="14">
        <v>67.888987103219606</v>
      </c>
      <c r="AS27" s="14">
        <v>0.52712719552414433</v>
      </c>
      <c r="AT27" s="14">
        <v>35.786131378694954</v>
      </c>
      <c r="AU27" s="14">
        <v>0.42918385719237895</v>
      </c>
      <c r="AV27" s="13">
        <v>3</v>
      </c>
      <c r="AW27" s="104">
        <f>VLOOKUP(C27,'[1]HIST-CATEG-DEPTOS'!$B$9:$BB$40,51,FALSE)</f>
        <v>4</v>
      </c>
      <c r="AX27" s="104">
        <v>1</v>
      </c>
      <c r="AY27" s="13">
        <v>27.6</v>
      </c>
      <c r="AZ27" s="286">
        <v>32.451657050171917</v>
      </c>
      <c r="BA27" s="285">
        <v>13.719560571452037</v>
      </c>
      <c r="BB27" s="286">
        <v>39.461059181623675</v>
      </c>
      <c r="BC27" s="285" t="s">
        <v>384</v>
      </c>
      <c r="BD27" s="288">
        <v>470889.45357200003</v>
      </c>
      <c r="BE27" s="288">
        <v>46530.751636000001</v>
      </c>
      <c r="BF27" s="288">
        <v>317398</v>
      </c>
      <c r="BG27" s="289">
        <f t="shared" si="0"/>
        <v>1.4835930080592821</v>
      </c>
      <c r="BH27" s="289">
        <f t="shared" si="1"/>
        <v>0.14660064536008419</v>
      </c>
      <c r="BI27" s="260">
        <v>51.495867067159807</v>
      </c>
      <c r="BJ27" s="260">
        <v>95.314120000000003</v>
      </c>
      <c r="BK27" s="260">
        <v>55.499046731543878</v>
      </c>
      <c r="BL27" s="260">
        <v>67.083657499218589</v>
      </c>
      <c r="BM27" s="260">
        <v>75.270259214214164</v>
      </c>
      <c r="BN27" s="260">
        <v>23.807630710565931</v>
      </c>
      <c r="BO27" s="260">
        <v>51.884183355746899</v>
      </c>
      <c r="BP27" s="260">
        <v>49.505324945049978</v>
      </c>
      <c r="BQ27" s="260">
        <v>60.05068065406418</v>
      </c>
      <c r="BR27" s="260">
        <v>51.344131311285039</v>
      </c>
      <c r="BS27" s="288">
        <f>VLOOKUP(E27,[2]Departamentos!$A$42:$B$75,2,FALSE)</f>
        <v>2371365.2615670003</v>
      </c>
      <c r="BT27" s="289">
        <v>588967.04762900004</v>
      </c>
      <c r="BU27" s="290">
        <f t="shared" si="16"/>
        <v>0.24836622901349667</v>
      </c>
      <c r="BV27" s="260" t="str">
        <f>IFERROR(VLOOKUP(BU27,'Rangos amb etnico'!$A$2:$C$6,3,9),"N.D.")</f>
        <v>0,1% - 30%</v>
      </c>
      <c r="BW27" s="289">
        <v>131713.91281199901</v>
      </c>
      <c r="BX27" s="290">
        <f t="shared" si="17"/>
        <v>5.5543494267501554E-2</v>
      </c>
      <c r="BY27" s="104" t="str">
        <f>IFERROR(VLOOKUP(BX27,'Rangos amb etnico'!$A$2:$C$6,3,9),"N.D.")</f>
        <v>0,1% - 30%</v>
      </c>
      <c r="BZ27" s="68">
        <v>1</v>
      </c>
      <c r="CA27" s="25">
        <v>4.0977941255002088</v>
      </c>
      <c r="CB27">
        <v>42.571219265452299</v>
      </c>
      <c r="CC27">
        <v>31.28890228271484</v>
      </c>
      <c r="CD27">
        <v>43.584926605224609</v>
      </c>
      <c r="CE27">
        <v>50.981941223144531</v>
      </c>
      <c r="CF27">
        <v>32.523956298828118</v>
      </c>
      <c r="CG27">
        <v>41.167270660400391</v>
      </c>
      <c r="CH27">
        <v>55.880317687988281</v>
      </c>
      <c r="CI27" s="10">
        <v>0</v>
      </c>
      <c r="CJ27" s="325">
        <f t="shared" si="18"/>
        <v>0</v>
      </c>
      <c r="CK27" s="232">
        <f>VLOOKUP(CJ27,'Rangos amb etnico'!$A$2:$C$6,3,9)</f>
        <v>0</v>
      </c>
      <c r="CL27">
        <f t="shared" si="19"/>
        <v>0</v>
      </c>
    </row>
    <row r="28" spans="1:90">
      <c r="A28" s="13" t="s">
        <v>2764</v>
      </c>
      <c r="B28" s="13" t="s">
        <v>1351</v>
      </c>
      <c r="C28" s="13">
        <v>85</v>
      </c>
      <c r="D28" s="13" t="s">
        <v>2735</v>
      </c>
      <c r="E28" s="13" t="s">
        <v>2689</v>
      </c>
      <c r="F28" s="16">
        <v>80.039299999999997</v>
      </c>
      <c r="G28" s="13">
        <v>84.81</v>
      </c>
      <c r="H28" s="13">
        <v>82.43</v>
      </c>
      <c r="I28" s="13">
        <v>89.82</v>
      </c>
      <c r="J28" s="14">
        <v>46.880264994213825</v>
      </c>
      <c r="K28" s="14">
        <v>49.3250610886939</v>
      </c>
      <c r="L28" s="14">
        <v>55.796764264571728</v>
      </c>
      <c r="M28" s="14">
        <v>70.904300000000006</v>
      </c>
      <c r="N28" s="13" t="s">
        <v>2740</v>
      </c>
      <c r="O28" s="13" t="s">
        <v>2740</v>
      </c>
      <c r="P28" s="13" t="s">
        <v>2740</v>
      </c>
      <c r="Q28" s="13" t="s">
        <v>2738</v>
      </c>
      <c r="R28" s="16">
        <f t="shared" si="2"/>
        <v>84.274824999999993</v>
      </c>
      <c r="S28" s="14">
        <f t="shared" si="3"/>
        <v>55.726597586869865</v>
      </c>
      <c r="T28" s="14">
        <f t="shared" si="4"/>
        <v>70.000711293434932</v>
      </c>
      <c r="U28" s="260">
        <v>70.010410773220386</v>
      </c>
      <c r="V28" s="261">
        <f>+MAX($U$4:$U$35)-U28</f>
        <v>24.163511967035319</v>
      </c>
      <c r="W28" s="300">
        <f t="shared" si="6"/>
        <v>0.47370162696999585</v>
      </c>
      <c r="X28" s="14">
        <f t="shared" si="7"/>
        <v>33.159450828757087</v>
      </c>
      <c r="Y28" s="17">
        <f>+VLOOKUP(X28,'Cortes naturales'!$A$93:$C$95,3,9)</f>
        <v>2</v>
      </c>
      <c r="Z28" s="17">
        <v>65.889530902819416</v>
      </c>
      <c r="AA28" s="14">
        <v>0.4747577696919435</v>
      </c>
      <c r="AB28" s="14">
        <f t="shared" si="8"/>
        <v>31.281566737470936</v>
      </c>
      <c r="AC28" s="17">
        <f>VLOOKUP(AB28,'Cortes naturales'!$A$87:$C$89,3,9)</f>
        <v>2</v>
      </c>
      <c r="AD28" s="17" t="b">
        <f t="shared" si="9"/>
        <v>1</v>
      </c>
      <c r="AE28" s="17">
        <f t="shared" si="10"/>
        <v>0</v>
      </c>
      <c r="AF28" s="14">
        <f t="shared" si="11"/>
        <v>-4.111180390615516</v>
      </c>
      <c r="AG28" s="17">
        <v>65.889530902819416</v>
      </c>
      <c r="AH28" s="14">
        <v>0.41874070230311966</v>
      </c>
      <c r="AI28" s="14">
        <v>27.590628444669708</v>
      </c>
      <c r="AJ28" s="14">
        <v>0.48216587345688627</v>
      </c>
      <c r="AK28" s="17">
        <v>2</v>
      </c>
      <c r="AL28" s="17" t="b">
        <f t="shared" si="12"/>
        <v>1</v>
      </c>
      <c r="AM28" s="17">
        <f t="shared" si="13"/>
        <v>0</v>
      </c>
      <c r="AN28" s="14">
        <f t="shared" si="14"/>
        <v>4.111180390615516</v>
      </c>
      <c r="AO28" s="17">
        <f>+VLOOKUP(X28,'Cortes naturales'!$F$75:$I$77,3,9)</f>
        <v>3</v>
      </c>
      <c r="AP28" s="17" t="b">
        <f t="shared" si="20"/>
        <v>0</v>
      </c>
      <c r="AQ28" s="17">
        <f t="shared" si="15"/>
        <v>0</v>
      </c>
      <c r="AR28" s="14">
        <v>73.061685621236109</v>
      </c>
      <c r="AS28" s="14">
        <v>0.52712719552414433</v>
      </c>
      <c r="AT28" s="14">
        <v>38.512801441788888</v>
      </c>
      <c r="AU28" s="14">
        <v>0.48612056191281955</v>
      </c>
      <c r="AV28" s="13">
        <v>2</v>
      </c>
      <c r="AW28" s="104">
        <f>VLOOKUP(C28,'[1]HIST-CATEG-DEPTOS'!$B$9:$BB$40,51,FALSE)</f>
        <v>3</v>
      </c>
      <c r="AX28" s="104">
        <v>1</v>
      </c>
      <c r="AY28" s="13">
        <v>19</v>
      </c>
      <c r="AZ28" s="286">
        <v>16.083421420716018</v>
      </c>
      <c r="BA28" s="285">
        <v>4.0243434562983103</v>
      </c>
      <c r="BB28" s="286">
        <v>3.4467806222737161</v>
      </c>
      <c r="BC28" s="285" t="s">
        <v>383</v>
      </c>
      <c r="BD28" s="288">
        <v>660627.00222100003</v>
      </c>
      <c r="BE28" s="288">
        <v>156752.284017</v>
      </c>
      <c r="BF28" s="288">
        <v>475144</v>
      </c>
      <c r="BG28" s="289">
        <f t="shared" si="0"/>
        <v>1.3903721865813312</v>
      </c>
      <c r="BH28" s="289">
        <f t="shared" si="1"/>
        <v>0.32990479521366156</v>
      </c>
      <c r="BI28" s="260">
        <v>60.446972241091451</v>
      </c>
      <c r="BJ28" s="260">
        <v>94.499770165609789</v>
      </c>
      <c r="BK28" s="260">
        <v>60.622627879555807</v>
      </c>
      <c r="BL28" s="260">
        <v>58.524815343962082</v>
      </c>
      <c r="BM28" s="260">
        <v>63.894524247211727</v>
      </c>
      <c r="BN28" s="260">
        <v>64.338586066824362</v>
      </c>
      <c r="BO28" s="260">
        <v>53.318239892234523</v>
      </c>
      <c r="BP28" s="260">
        <v>75.901672440130369</v>
      </c>
      <c r="BQ28" s="260">
        <v>65.09221940521283</v>
      </c>
      <c r="BR28" s="260">
        <v>76.716904411958041</v>
      </c>
      <c r="BS28" s="288">
        <f>VLOOKUP(E28,[2]Departamentos!$A$42:$B$75,2,FALSE)</f>
        <v>4426704.4033630006</v>
      </c>
      <c r="BT28" s="289">
        <v>385074.42325899994</v>
      </c>
      <c r="BU28" s="290">
        <f t="shared" si="16"/>
        <v>8.698896248108548E-2</v>
      </c>
      <c r="BV28" s="260" t="str">
        <f>IFERROR(VLOOKUP(BU28,'Rangos amb etnico'!$A$2:$C$6,3,9),"N.D.")</f>
        <v>0,1% - 30%</v>
      </c>
      <c r="BW28" s="289">
        <v>151138.404832</v>
      </c>
      <c r="BX28" s="290">
        <f t="shared" si="17"/>
        <v>3.4142420875714903E-2</v>
      </c>
      <c r="BY28" s="104" t="str">
        <f>IFERROR(VLOOKUP(BX28,'Rangos amb etnico'!$A$2:$C$6,3,9),"N.D.")</f>
        <v>0,1% - 30%</v>
      </c>
      <c r="BZ28" s="68">
        <v>0</v>
      </c>
      <c r="CA28" s="25">
        <v>5.0075913401418495</v>
      </c>
      <c r="CB28">
        <v>48.457024421960242</v>
      </c>
      <c r="CC28">
        <v>41.006702423095703</v>
      </c>
      <c r="CD28">
        <v>47.339202880859382</v>
      </c>
      <c r="CE28">
        <v>70.75238037109375</v>
      </c>
      <c r="CF28">
        <v>39.932804107666023</v>
      </c>
      <c r="CG28">
        <v>32.703788757324219</v>
      </c>
      <c r="CH28">
        <v>59.00726318359375</v>
      </c>
      <c r="CI28" s="10">
        <v>0</v>
      </c>
      <c r="CJ28" s="325">
        <f t="shared" si="18"/>
        <v>0</v>
      </c>
      <c r="CK28" s="232">
        <f>VLOOKUP(CJ28,'Rangos amb etnico'!$A$2:$C$6,3,9)</f>
        <v>0</v>
      </c>
      <c r="CL28">
        <f t="shared" si="19"/>
        <v>0</v>
      </c>
    </row>
    <row r="29" spans="1:90">
      <c r="A29" s="13" t="s">
        <v>2765</v>
      </c>
      <c r="B29" s="13" t="s">
        <v>943</v>
      </c>
      <c r="C29" s="13">
        <v>86</v>
      </c>
      <c r="D29" s="13" t="s">
        <v>2735</v>
      </c>
      <c r="E29" s="13" t="s">
        <v>2697</v>
      </c>
      <c r="F29" s="16">
        <v>57.580966666666697</v>
      </c>
      <c r="G29" s="13">
        <v>63.93</v>
      </c>
      <c r="H29" s="13">
        <v>68.3</v>
      </c>
      <c r="I29" s="13">
        <v>74.17</v>
      </c>
      <c r="J29" s="14">
        <v>53.809124642813828</v>
      </c>
      <c r="K29" s="14">
        <v>52.085488236309267</v>
      </c>
      <c r="L29" s="14">
        <v>61.018549629217262</v>
      </c>
      <c r="M29" s="14">
        <v>56.38</v>
      </c>
      <c r="N29" s="13" t="s">
        <v>2740</v>
      </c>
      <c r="O29" s="13" t="s">
        <v>2740</v>
      </c>
      <c r="P29" s="13" t="s">
        <v>2736</v>
      </c>
      <c r="Q29" s="13" t="s">
        <v>2740</v>
      </c>
      <c r="R29" s="16">
        <f t="shared" si="2"/>
        <v>65.995241666666672</v>
      </c>
      <c r="S29" s="14">
        <f t="shared" si="3"/>
        <v>55.823290627085086</v>
      </c>
      <c r="T29" s="14">
        <f t="shared" si="4"/>
        <v>60.909266146875879</v>
      </c>
      <c r="U29" s="260">
        <v>62.06887199610987</v>
      </c>
      <c r="V29" s="261">
        <f t="shared" si="5"/>
        <v>32.105050744145835</v>
      </c>
      <c r="W29" s="300">
        <f>0.1+((V29-MIN($V$4:$V$35))*(1 - 0.1))/(MAX($V$4:$V$35)-MIN($V$4:$V$35))</f>
        <v>0.59652176858269834</v>
      </c>
      <c r="X29" s="14">
        <f>T29*$W29</f>
        <v>36.333703165008679</v>
      </c>
      <c r="Y29" s="17">
        <f>+VLOOKUP(X29,'Cortes naturales'!$A$93:$C$95,3,9)</f>
        <v>2</v>
      </c>
      <c r="Z29" s="17">
        <v>58.409860182318404</v>
      </c>
      <c r="AA29" s="302">
        <v>0.59907630115672017</v>
      </c>
      <c r="AB29" s="14">
        <f t="shared" si="8"/>
        <v>34.991962989104501</v>
      </c>
      <c r="AC29" s="17">
        <f>VLOOKUP(AB29,'Cortes naturales'!$A$87:$C$89,3,9)</f>
        <v>2</v>
      </c>
      <c r="AD29" s="17" t="b">
        <f t="shared" si="9"/>
        <v>1</v>
      </c>
      <c r="AE29" s="17">
        <f t="shared" si="10"/>
        <v>0</v>
      </c>
      <c r="AF29" s="14">
        <f t="shared" si="11"/>
        <v>-2.4994059645574751</v>
      </c>
      <c r="AG29" s="17">
        <v>58.409860182318404</v>
      </c>
      <c r="AH29" s="302">
        <v>0.41874070230311966</v>
      </c>
      <c r="AI29" s="14">
        <v>24.458585874171032</v>
      </c>
      <c r="AJ29" s="14">
        <v>0.42036051346387049</v>
      </c>
      <c r="AK29" s="17">
        <v>3</v>
      </c>
      <c r="AL29" s="17" t="b">
        <f t="shared" si="12"/>
        <v>0</v>
      </c>
      <c r="AM29" s="17">
        <f t="shared" si="13"/>
        <v>-1</v>
      </c>
      <c r="AN29" s="14">
        <f>T29-AG29</f>
        <v>2.4994059645574751</v>
      </c>
      <c r="AO29" s="17">
        <f>+VLOOKUP(X29,'Cortes naturales'!$F$75:$I$77,3,9)</f>
        <v>3</v>
      </c>
      <c r="AP29" s="17" t="b">
        <f>AK29=AO29</f>
        <v>1</v>
      </c>
      <c r="AQ29" s="17" t="str">
        <f>IF(AM29=0,0,IF(AP29=TRUE,"Efecto ponderador","Cambio en corte"))</f>
        <v>Efecto ponderador</v>
      </c>
      <c r="AR29" s="14">
        <v>60.288444961089425</v>
      </c>
      <c r="AS29" s="14">
        <v>0.52712719552414433</v>
      </c>
      <c r="AT29" s="14">
        <v>31.779678914850798</v>
      </c>
      <c r="AU29" s="14">
        <v>0.34552349652096837</v>
      </c>
      <c r="AV29" s="13">
        <v>3</v>
      </c>
      <c r="AW29" s="104">
        <f>VLOOKUP(C29,'[1]HIST-CATEG-DEPTOS'!$B$9:$BB$40,51,FALSE)</f>
        <v>4</v>
      </c>
      <c r="AX29" s="104">
        <v>1</v>
      </c>
      <c r="AY29" s="13">
        <v>24.1</v>
      </c>
      <c r="AZ29" s="286">
        <v>18.960130028795181</v>
      </c>
      <c r="BA29" s="285">
        <v>12.463083845909965</v>
      </c>
      <c r="BB29" s="286">
        <v>20.637716550543157</v>
      </c>
      <c r="BC29" s="285" t="s">
        <v>376</v>
      </c>
      <c r="BD29" s="288">
        <v>670136.59288899996</v>
      </c>
      <c r="BE29" s="288">
        <v>56749.077141000002</v>
      </c>
      <c r="BF29" s="288">
        <v>388716</v>
      </c>
      <c r="BG29" s="289">
        <f t="shared" si="0"/>
        <v>1.723974811659412</v>
      </c>
      <c r="BH29" s="289">
        <f t="shared" si="1"/>
        <v>0.14599110183527306</v>
      </c>
      <c r="BI29" s="260">
        <v>50.155658723242773</v>
      </c>
      <c r="BJ29" s="260">
        <v>93.338437500432448</v>
      </c>
      <c r="BK29" s="260">
        <v>47.950826109636161</v>
      </c>
      <c r="BL29" s="260">
        <v>67.954920996885321</v>
      </c>
      <c r="BM29" s="260">
        <v>36.274509803921568</v>
      </c>
      <c r="BN29" s="260">
        <v>31.04244972020064</v>
      </c>
      <c r="BO29" s="260">
        <v>52.123490965398759</v>
      </c>
      <c r="BP29" s="260">
        <v>59.8692318304861</v>
      </c>
      <c r="BQ29" s="260">
        <v>54.120041974245382</v>
      </c>
      <c r="BR29" s="260">
        <v>60.290764145692179</v>
      </c>
      <c r="BS29" s="288">
        <f>VLOOKUP(E29,[2]Departamentos!$A$42:$B$75,2,FALSE)</f>
        <v>2570043.8747439999</v>
      </c>
      <c r="BT29" s="289">
        <v>594434.28480299993</v>
      </c>
      <c r="BU29" s="290">
        <f t="shared" si="16"/>
        <v>0.23129343846793707</v>
      </c>
      <c r="BV29" s="260" t="str">
        <f>IFERROR(VLOOKUP(BU29,'Rangos amb etnico'!$A$2:$C$6,3,9),"N.D.")</f>
        <v>0,1% - 30%</v>
      </c>
      <c r="BW29" s="289">
        <v>777449.24578500004</v>
      </c>
      <c r="BX29" s="290">
        <f t="shared" si="17"/>
        <v>0.30250426983953382</v>
      </c>
      <c r="BY29" s="104" t="str">
        <f>IFERROR(VLOOKUP(BX29,'Rangos amb etnico'!$A$2:$C$6,3,9),"N.D.")</f>
        <v>0,1% - 30%</v>
      </c>
      <c r="BZ29" s="68">
        <v>1</v>
      </c>
      <c r="CA29" s="25">
        <v>3.8178277083613947</v>
      </c>
      <c r="CB29">
        <v>41.26287909067166</v>
      </c>
      <c r="CC29">
        <v>30.263006210327148</v>
      </c>
      <c r="CD29">
        <v>32.480220794677727</v>
      </c>
      <c r="CE29">
        <v>58.728569030761719</v>
      </c>
      <c r="CF29">
        <v>24.988712310791019</v>
      </c>
      <c r="CG29">
        <v>49.325977325439453</v>
      </c>
      <c r="CH29">
        <v>51.790794372558587</v>
      </c>
      <c r="CI29" s="10">
        <v>36405.244474899897</v>
      </c>
      <c r="CJ29" s="325">
        <f t="shared" si="18"/>
        <v>1.4165222949170934E-2</v>
      </c>
      <c r="CK29" s="232" t="str">
        <f>VLOOKUP(CJ29,'Rangos amb etnico'!$A$2:$C$6,3,9)</f>
        <v>0,1% - 30%</v>
      </c>
      <c r="CL29">
        <f t="shared" si="19"/>
        <v>2.3160669919824725E-2</v>
      </c>
    </row>
    <row r="30" spans="1:90">
      <c r="A30" s="13" t="s">
        <v>2766</v>
      </c>
      <c r="B30" s="13" t="s">
        <v>2603</v>
      </c>
      <c r="C30" s="13">
        <v>88</v>
      </c>
      <c r="D30" s="13" t="s">
        <v>2735</v>
      </c>
      <c r="E30" s="13" t="s">
        <v>2767</v>
      </c>
      <c r="F30" s="16">
        <v>76.121533333333304</v>
      </c>
      <c r="G30" s="13">
        <v>71.38</v>
      </c>
      <c r="H30" s="13">
        <v>65.72</v>
      </c>
      <c r="I30" s="13">
        <v>62.72</v>
      </c>
      <c r="J30" s="14">
        <v>45.630413474656187</v>
      </c>
      <c r="K30" s="14">
        <v>60.385471887348842</v>
      </c>
      <c r="L30" s="14">
        <v>61.035211188085682</v>
      </c>
      <c r="M30" s="14">
        <v>38.127099999999999</v>
      </c>
      <c r="N30" s="13" t="s">
        <v>2740</v>
      </c>
      <c r="O30" s="13" t="s">
        <v>2736</v>
      </c>
      <c r="P30" s="13" t="s">
        <v>2736</v>
      </c>
      <c r="Q30" s="13" t="s">
        <v>2754</v>
      </c>
      <c r="R30" s="16">
        <f t="shared" si="2"/>
        <v>68.985383333333317</v>
      </c>
      <c r="S30" s="14">
        <f t="shared" si="3"/>
        <v>51.294549137522679</v>
      </c>
      <c r="T30" s="14">
        <f t="shared" si="4"/>
        <v>60.139966235427998</v>
      </c>
      <c r="U30" s="260">
        <v>49.818423983427657</v>
      </c>
      <c r="V30" s="261">
        <f t="shared" si="5"/>
        <v>44.355498756828048</v>
      </c>
      <c r="W30" s="300">
        <f>0.1+((V30-MIN($V$4:$V$35))*(1 - 0.1))/(MAX($V$4:$V$35)-MIN($V$4:$V$35))</f>
        <v>0.78598149445765286</v>
      </c>
      <c r="X30" s="14">
        <f t="shared" si="7"/>
        <v>47.26890053835448</v>
      </c>
      <c r="Y30" s="17">
        <f>+VLOOKUP(X30,'Cortes naturales'!$A$93:$C$95,3,9)</f>
        <v>2</v>
      </c>
      <c r="Z30" s="17">
        <v>62.099988644528111</v>
      </c>
      <c r="AA30" s="14">
        <v>0.78470518988133942</v>
      </c>
      <c r="AB30" s="14">
        <f t="shared" si="8"/>
        <v>48.730183380933454</v>
      </c>
      <c r="AC30" s="17">
        <f>VLOOKUP(AB30,'Cortes naturales'!$A$87:$C$89,3,9)</f>
        <v>2</v>
      </c>
      <c r="AD30" s="17" t="b">
        <f t="shared" si="9"/>
        <v>1</v>
      </c>
      <c r="AE30" s="17">
        <f t="shared" si="10"/>
        <v>0</v>
      </c>
      <c r="AF30" s="14">
        <f t="shared" si="11"/>
        <v>1.9600224091001124</v>
      </c>
      <c r="AG30" s="17">
        <v>62.099988644528111</v>
      </c>
      <c r="AH30" s="14">
        <v>0.64656438100216296</v>
      </c>
      <c r="AI30" s="14">
        <v>40.15164071819067</v>
      </c>
      <c r="AJ30" s="14">
        <v>0.73003539245836213</v>
      </c>
      <c r="AK30" s="17">
        <v>2</v>
      </c>
      <c r="AL30" s="17" t="b">
        <f t="shared" si="12"/>
        <v>1</v>
      </c>
      <c r="AM30" s="17">
        <f t="shared" si="13"/>
        <v>0</v>
      </c>
      <c r="AN30" s="14">
        <f t="shared" si="14"/>
        <v>-1.9600224091001124</v>
      </c>
      <c r="AO30" s="17">
        <f>+VLOOKUP(X30,'Cortes naturales'!$F$75:$I$77,3,9)</f>
        <v>2</v>
      </c>
      <c r="AP30" s="17" t="b">
        <f t="shared" si="20"/>
        <v>1</v>
      </c>
      <c r="AQ30" s="17">
        <f t="shared" si="15"/>
        <v>0</v>
      </c>
      <c r="AR30" s="14">
        <v>65.502279437860267</v>
      </c>
      <c r="AS30" s="14">
        <v>0.52712719552414433</v>
      </c>
      <c r="AT30" s="14">
        <v>34.52803286051811</v>
      </c>
      <c r="AU30" s="14">
        <v>0.40291299119791446</v>
      </c>
      <c r="AV30" s="13">
        <v>3</v>
      </c>
      <c r="AW30" s="104">
        <f>VLOOKUP(C30,'[1]HIST-CATEG-DEPTOS'!$B$9:$BB$40,51,FALSE)</f>
        <v>3</v>
      </c>
      <c r="AX30" s="104">
        <v>0</v>
      </c>
      <c r="AY30" s="13">
        <v>8.5</v>
      </c>
      <c r="AZ30" s="286">
        <v>14.886900531003052</v>
      </c>
      <c r="BA30" s="285">
        <v>1.4242155055922279</v>
      </c>
      <c r="BB30" s="286">
        <v>3.0968529027713911</v>
      </c>
      <c r="BC30" s="285" t="s">
        <v>383</v>
      </c>
      <c r="BD30" s="288">
        <v>553561.25647799997</v>
      </c>
      <c r="BE30" s="288">
        <v>64177.966451</v>
      </c>
      <c r="BF30" s="288">
        <v>62249</v>
      </c>
      <c r="BG30" s="289">
        <f>IFERROR(BD30/$BF30,"N.D.")</f>
        <v>8.8926931593760532</v>
      </c>
      <c r="BH30" s="289">
        <f t="shared" si="1"/>
        <v>1.0309879106652315</v>
      </c>
      <c r="BI30" s="260">
        <v>59.143417529625353</v>
      </c>
      <c r="BJ30" s="260">
        <v>96.611347483530963</v>
      </c>
      <c r="BK30" s="260">
        <v>25.354085323398451</v>
      </c>
      <c r="BL30" s="260">
        <v>34.031845770580418</v>
      </c>
      <c r="BM30" s="260">
        <v>95.952633340465866</v>
      </c>
      <c r="BN30" s="260">
        <v>68.436146768599272</v>
      </c>
      <c r="BO30" s="260">
        <v>50.753574397613619</v>
      </c>
      <c r="BP30" s="260">
        <v>63.635651167716887</v>
      </c>
      <c r="BQ30" s="260">
        <v>61.46900723054484</v>
      </c>
      <c r="BR30" s="260">
        <v>60.996212177993193</v>
      </c>
      <c r="BS30" s="288">
        <f>VLOOKUP(E30,[2]Departamentos!$A$42:$B$75,2,FALSE)</f>
        <v>4988.876741</v>
      </c>
      <c r="BT30" s="289">
        <v>1055.7103610000001</v>
      </c>
      <c r="BU30" s="290">
        <f t="shared" si="16"/>
        <v>0.21161283707891074</v>
      </c>
      <c r="BV30" s="260" t="str">
        <f>IFERROR(VLOOKUP(BU30,'Rangos amb etnico'!$A$2:$C$6,3,9),"N.D.")</f>
        <v>0,1% - 30%</v>
      </c>
      <c r="BW30" s="289">
        <v>0</v>
      </c>
      <c r="BX30" s="290">
        <f t="shared" si="17"/>
        <v>0</v>
      </c>
      <c r="BY30" s="104">
        <f>IFERROR(VLOOKUP(BX30,'Rangos amb etnico'!$A$2:$C$6,3,9),"N.D.")</f>
        <v>0</v>
      </c>
      <c r="BZ30" s="68">
        <v>1</v>
      </c>
      <c r="CA30" s="25">
        <v>5.3547346037817123</v>
      </c>
      <c r="CB30">
        <v>42.934468266368448</v>
      </c>
      <c r="CC30">
        <v>41.780818939208977</v>
      </c>
      <c r="CD30">
        <v>5.754544734954834</v>
      </c>
      <c r="CE30">
        <v>66.880630493164063</v>
      </c>
      <c r="CF30">
        <v>56.486381530761719</v>
      </c>
      <c r="CG30">
        <v>20.990911483764648</v>
      </c>
      <c r="CH30">
        <v>65.713531494140625</v>
      </c>
      <c r="CI30" s="10">
        <v>0</v>
      </c>
      <c r="CJ30" s="325">
        <f t="shared" si="18"/>
        <v>0</v>
      </c>
      <c r="CK30" s="232">
        <f>VLOOKUP(CJ30,'Rangos amb etnico'!$A$2:$C$6,3,9)</f>
        <v>0</v>
      </c>
      <c r="CL30">
        <f t="shared" si="19"/>
        <v>0</v>
      </c>
    </row>
    <row r="31" spans="1:90">
      <c r="A31" s="13" t="s">
        <v>2768</v>
      </c>
      <c r="B31" s="13" t="s">
        <v>2606</v>
      </c>
      <c r="C31" s="13">
        <v>91</v>
      </c>
      <c r="D31" s="13" t="s">
        <v>2735</v>
      </c>
      <c r="E31" s="13" t="s">
        <v>2680</v>
      </c>
      <c r="F31" s="16">
        <v>57.740733333333303</v>
      </c>
      <c r="G31" s="13">
        <v>53.44</v>
      </c>
      <c r="H31" s="13">
        <v>53.47</v>
      </c>
      <c r="I31" s="13">
        <v>64.55</v>
      </c>
      <c r="J31" s="14">
        <v>40.962653269645386</v>
      </c>
      <c r="K31" s="14">
        <v>42.011141900483068</v>
      </c>
      <c r="L31" s="14">
        <v>51.952856310515187</v>
      </c>
      <c r="M31" s="14">
        <v>47.482100000000003</v>
      </c>
      <c r="N31" s="13" t="s">
        <v>2740</v>
      </c>
      <c r="O31" s="13" t="s">
        <v>2740</v>
      </c>
      <c r="P31" s="13" t="s">
        <v>2740</v>
      </c>
      <c r="Q31" s="13" t="s">
        <v>2740</v>
      </c>
      <c r="R31" s="16">
        <f t="shared" si="2"/>
        <v>57.300183333333322</v>
      </c>
      <c r="S31" s="14">
        <f t="shared" si="3"/>
        <v>45.602187870160911</v>
      </c>
      <c r="T31" s="14">
        <f t="shared" si="4"/>
        <v>51.451185601747113</v>
      </c>
      <c r="U31" s="260">
        <v>77.182127337727138</v>
      </c>
      <c r="V31" s="261">
        <f t="shared" si="5"/>
        <v>16.991795402528567</v>
      </c>
      <c r="W31" s="300">
        <f t="shared" si="6"/>
        <v>0.36278719731340858</v>
      </c>
      <c r="X31" s="14">
        <f t="shared" si="7"/>
        <v>18.665831422909836</v>
      </c>
      <c r="Y31" s="17">
        <f>+VLOOKUP(X31,'Cortes naturales'!$A$93:$C$95,3,9)</f>
        <v>3</v>
      </c>
      <c r="Z31" s="17">
        <v>49.940316565448477</v>
      </c>
      <c r="AA31" s="14">
        <v>0.35645805342614156</v>
      </c>
      <c r="AB31" s="14">
        <f t="shared" si="8"/>
        <v>17.801628030405055</v>
      </c>
      <c r="AC31" s="17">
        <f>VLOOKUP(AB31,'Cortes naturales'!$A$87:$C$89,3,9)</f>
        <v>3</v>
      </c>
      <c r="AD31" s="17" t="b">
        <f t="shared" si="9"/>
        <v>1</v>
      </c>
      <c r="AE31" s="17">
        <f t="shared" si="10"/>
        <v>0</v>
      </c>
      <c r="AF31" s="14">
        <f t="shared" si="11"/>
        <v>-1.5108690362986366</v>
      </c>
      <c r="AG31" s="17">
        <v>49.940316565448477</v>
      </c>
      <c r="AH31" s="14">
        <v>0.41874070230311966</v>
      </c>
      <c r="AI31" s="14">
        <v>20.912043231856014</v>
      </c>
      <c r="AJ31" s="14">
        <v>0.35037572245128812</v>
      </c>
      <c r="AK31" s="17">
        <v>3</v>
      </c>
      <c r="AL31" s="17" t="b">
        <f t="shared" si="12"/>
        <v>1</v>
      </c>
      <c r="AM31" s="17">
        <f t="shared" si="13"/>
        <v>0</v>
      </c>
      <c r="AN31" s="14">
        <f t="shared" si="14"/>
        <v>1.5108690362986366</v>
      </c>
      <c r="AO31" s="17">
        <f>+VLOOKUP(X31,'Cortes naturales'!$F$75:$I$77,3,9)</f>
        <v>3</v>
      </c>
      <c r="AP31" s="17" t="b">
        <f t="shared" si="20"/>
        <v>1</v>
      </c>
      <c r="AQ31" s="17">
        <f t="shared" si="15"/>
        <v>0</v>
      </c>
      <c r="AR31" s="14">
        <v>59.482317416207806</v>
      </c>
      <c r="AS31" s="14">
        <v>0.25608842515294467</v>
      </c>
      <c r="AT31" s="14">
        <v>15.23273299156423</v>
      </c>
      <c r="AU31" s="14">
        <v>0</v>
      </c>
      <c r="AV31" s="13">
        <v>3</v>
      </c>
      <c r="AW31" s="104">
        <f>VLOOKUP(C31,'[1]HIST-CATEG-DEPTOS'!$B$9:$BB$40,51,FALSE)</f>
        <v>4</v>
      </c>
      <c r="AX31" s="104">
        <v>1</v>
      </c>
      <c r="AY31" s="13">
        <v>35.4</v>
      </c>
      <c r="AZ31" s="286">
        <v>35.24389851763722</v>
      </c>
      <c r="BA31" s="285">
        <v>6.9115624254763954</v>
      </c>
      <c r="BB31" s="286">
        <v>6.1455656337783573</v>
      </c>
      <c r="BC31" s="285" t="s">
        <v>379</v>
      </c>
      <c r="BD31" s="288">
        <v>443840.16529600002</v>
      </c>
      <c r="BE31" s="288">
        <v>21279.93273</v>
      </c>
      <c r="BF31" s="288">
        <v>86318</v>
      </c>
      <c r="BG31" s="289">
        <f t="shared" si="0"/>
        <v>5.1419190122106633</v>
      </c>
      <c r="BH31" s="289">
        <f t="shared" si="1"/>
        <v>0.24652949245811998</v>
      </c>
      <c r="BI31" s="260">
        <v>41.49550217446393</v>
      </c>
      <c r="BJ31" s="260">
        <v>71.453211400013018</v>
      </c>
      <c r="BK31" s="260">
        <v>48.418540328479509</v>
      </c>
      <c r="BL31" s="260">
        <v>83.919285367135032</v>
      </c>
      <c r="BM31" s="260">
        <v>81.233351484178627</v>
      </c>
      <c r="BN31" s="260">
        <v>69.75756971489605</v>
      </c>
      <c r="BO31" s="260">
        <v>56.385476452802557</v>
      </c>
      <c r="BP31" s="260">
        <v>57.228758252680556</v>
      </c>
      <c r="BQ31" s="260">
        <v>64.666133845995532</v>
      </c>
      <c r="BR31" s="260">
        <v>59.652527958212993</v>
      </c>
      <c r="BS31" s="288">
        <f>VLOOKUP(E31,[2]Departamentos!$A$42:$B$75,2,FALSE)</f>
        <v>10798250.430805</v>
      </c>
      <c r="BT31" s="289">
        <v>2785158.3329450004</v>
      </c>
      <c r="BU31" s="290">
        <f t="shared" si="16"/>
        <v>0.25792681423645863</v>
      </c>
      <c r="BV31" s="260" t="str">
        <f>IFERROR(VLOOKUP(BU31,'Rangos amb etnico'!$A$2:$C$6,3,9),"N.D.")</f>
        <v>0,1% - 30%</v>
      </c>
      <c r="BW31" s="289">
        <v>9223984.25416</v>
      </c>
      <c r="BX31" s="290">
        <f t="shared" si="17"/>
        <v>0.85421099587077831</v>
      </c>
      <c r="BY31" s="104" t="str">
        <f>IFERROR(VLOOKUP(BX31,'Rangos amb etnico'!$A$2:$C$6,3,9),"N.D.")</f>
        <v>71% - 100%</v>
      </c>
      <c r="BZ31" s="68">
        <v>1</v>
      </c>
      <c r="CA31" s="25">
        <v>3.4287699991545511</v>
      </c>
      <c r="CB31">
        <v>43.27223590412887</v>
      </c>
      <c r="CC31">
        <v>23.762838363647461</v>
      </c>
      <c r="CD31">
        <v>33.626609802246087</v>
      </c>
      <c r="CE31">
        <v>45.640483856201172</v>
      </c>
      <c r="CF31">
        <v>43.741928100585938</v>
      </c>
      <c r="CG31">
        <v>56.600200653076172</v>
      </c>
      <c r="CH31">
        <v>56.261356353759773</v>
      </c>
      <c r="CI31" s="10">
        <v>0</v>
      </c>
      <c r="CJ31" s="325">
        <f t="shared" si="18"/>
        <v>0</v>
      </c>
      <c r="CK31" s="232">
        <f>VLOOKUP(CJ31,'Rangos amb etnico'!$A$2:$C$6,3,9)</f>
        <v>0</v>
      </c>
      <c r="CL31">
        <f t="shared" si="19"/>
        <v>0</v>
      </c>
    </row>
    <row r="32" spans="1:90">
      <c r="A32" s="13" t="s">
        <v>2769</v>
      </c>
      <c r="B32" s="13" t="s">
        <v>2586</v>
      </c>
      <c r="C32" s="13">
        <v>94</v>
      </c>
      <c r="D32" s="13" t="s">
        <v>2735</v>
      </c>
      <c r="E32" s="13" t="s">
        <v>2682</v>
      </c>
      <c r="F32" s="16">
        <v>62.271533333333302</v>
      </c>
      <c r="G32" s="13">
        <v>54.07</v>
      </c>
      <c r="H32" s="13">
        <v>64.849999999999994</v>
      </c>
      <c r="I32" s="13">
        <v>56.67</v>
      </c>
      <c r="J32" s="14">
        <v>56.60552922786259</v>
      </c>
      <c r="K32" s="14">
        <v>49.734335628775931</v>
      </c>
      <c r="L32" s="14">
        <v>60.192762500214521</v>
      </c>
      <c r="M32" s="14">
        <v>55.457000000000001</v>
      </c>
      <c r="N32" s="13" t="s">
        <v>2740</v>
      </c>
      <c r="O32" s="13" t="s">
        <v>2740</v>
      </c>
      <c r="P32" s="13" t="s">
        <v>2736</v>
      </c>
      <c r="Q32" s="13" t="s">
        <v>2740</v>
      </c>
      <c r="R32" s="16">
        <f t="shared" si="2"/>
        <v>59.465383333333321</v>
      </c>
      <c r="S32" s="14">
        <f t="shared" si="3"/>
        <v>55.497406839213255</v>
      </c>
      <c r="T32" s="14">
        <f t="shared" si="4"/>
        <v>57.481395086273288</v>
      </c>
      <c r="U32" s="260">
        <v>90.418044402247091</v>
      </c>
      <c r="V32" s="261">
        <f t="shared" si="5"/>
        <v>3.755878338008614</v>
      </c>
      <c r="W32" s="300">
        <f t="shared" si="6"/>
        <v>0.15808666585925057</v>
      </c>
      <c r="X32" s="14">
        <f t="shared" si="7"/>
        <v>9.0870420981272524</v>
      </c>
      <c r="Y32" s="17">
        <f>+VLOOKUP(X32,'Cortes naturales'!$A$93:$C$95,3,9)</f>
        <v>3</v>
      </c>
      <c r="Z32" s="17">
        <v>57.445621463747599</v>
      </c>
      <c r="AA32" s="14">
        <v>0.17128948263889171</v>
      </c>
      <c r="AB32" s="14">
        <f t="shared" si="8"/>
        <v>9.839830780394939</v>
      </c>
      <c r="AC32" s="17">
        <f>VLOOKUP(AB32,'Cortes naturales'!$A$87:$C$89,3,9)</f>
        <v>3</v>
      </c>
      <c r="AD32" s="17" t="b">
        <f t="shared" si="9"/>
        <v>1</v>
      </c>
      <c r="AE32" s="17">
        <f t="shared" si="10"/>
        <v>0</v>
      </c>
      <c r="AF32" s="14">
        <f t="shared" si="11"/>
        <v>-3.5773622525688609E-2</v>
      </c>
      <c r="AG32" s="17">
        <v>57.445621463747599</v>
      </c>
      <c r="AH32" s="14">
        <v>5.9241957156137996E-2</v>
      </c>
      <c r="AI32" s="14">
        <v>3.4031910455630565</v>
      </c>
      <c r="AJ32" s="14">
        <v>4.8692716031306761E-3</v>
      </c>
      <c r="AK32" s="17">
        <v>3</v>
      </c>
      <c r="AL32" s="17" t="b">
        <f t="shared" si="12"/>
        <v>1</v>
      </c>
      <c r="AM32" s="17">
        <f t="shared" si="13"/>
        <v>0</v>
      </c>
      <c r="AN32" s="14">
        <f t="shared" si="14"/>
        <v>3.5773622525688609E-2</v>
      </c>
      <c r="AO32" s="17">
        <f>+VLOOKUP(X32,'Cortes naturales'!$F$75:$I$77,3,9)</f>
        <v>3</v>
      </c>
      <c r="AP32" s="17" t="b">
        <f t="shared" si="20"/>
        <v>1</v>
      </c>
      <c r="AQ32" s="17">
        <f t="shared" si="15"/>
        <v>0</v>
      </c>
      <c r="AR32" s="14">
        <v>64.151557238208369</v>
      </c>
      <c r="AS32" s="14">
        <v>0.25608842515294467</v>
      </c>
      <c r="AT32" s="14">
        <v>16.428471264241768</v>
      </c>
      <c r="AU32" s="14">
        <v>2.496869638753401E-2</v>
      </c>
      <c r="AV32" s="13">
        <v>3</v>
      </c>
      <c r="AW32" s="104">
        <f>VLOOKUP(C32,'[1]HIST-CATEG-DEPTOS'!$B$9:$BB$40,51,FALSE)</f>
        <v>4</v>
      </c>
      <c r="AX32" s="104">
        <v>1</v>
      </c>
      <c r="AY32" s="13">
        <v>60.6</v>
      </c>
      <c r="AZ32" s="286">
        <v>59.680166036932576</v>
      </c>
      <c r="BA32" s="285">
        <v>32.76</v>
      </c>
      <c r="BB32" s="286">
        <v>1.0482778980092631</v>
      </c>
      <c r="BC32" s="285" t="s">
        <v>383</v>
      </c>
      <c r="BD32" s="288">
        <v>279469.08718999999</v>
      </c>
      <c r="BE32" s="288">
        <v>37811.921450000002</v>
      </c>
      <c r="BF32" s="288">
        <v>57934</v>
      </c>
      <c r="BG32" s="289">
        <f t="shared" si="0"/>
        <v>4.8239218281147513</v>
      </c>
      <c r="BH32" s="289">
        <f t="shared" si="1"/>
        <v>0.65267237632478337</v>
      </c>
      <c r="BI32" s="260">
        <v>44.309353087491488</v>
      </c>
      <c r="BJ32" s="260">
        <v>79.778880804591338</v>
      </c>
      <c r="BK32" s="260">
        <v>27.292878721270458</v>
      </c>
      <c r="BL32" s="260">
        <v>85.971847733191382</v>
      </c>
      <c r="BM32" s="260">
        <v>70.577571912947619</v>
      </c>
      <c r="BN32" s="260">
        <v>55.729138820560287</v>
      </c>
      <c r="BO32" s="260">
        <v>56.789303784813271</v>
      </c>
      <c r="BP32" s="260">
        <v>55.941822424615907</v>
      </c>
      <c r="BQ32" s="260">
        <v>60.064139266409413</v>
      </c>
      <c r="BR32" s="260">
        <v>58.654066127401933</v>
      </c>
      <c r="BS32" s="288">
        <f>VLOOKUP(E32,[2]Departamentos!$A$42:$B$75,2,FALSE)</f>
        <v>7091805.6026100004</v>
      </c>
      <c r="BT32" s="289">
        <v>1812216.115489</v>
      </c>
      <c r="BU32" s="290">
        <f t="shared" si="16"/>
        <v>0.25553663157687928</v>
      </c>
      <c r="BV32" s="260" t="str">
        <f>IFERROR(VLOOKUP(BU32,'Rangos amb etnico'!$A$2:$C$6,3,9),"N.D.")</f>
        <v>0,1% - 30%</v>
      </c>
      <c r="BW32" s="289">
        <v>6477811.8178099897</v>
      </c>
      <c r="BX32" s="290">
        <f t="shared" si="17"/>
        <v>0.91342207905782946</v>
      </c>
      <c r="BY32" s="104" t="str">
        <f>IFERROR(VLOOKUP(BX32,'Rangos amb etnico'!$A$2:$C$6,3,9),"N.D.")</f>
        <v>71% - 100%</v>
      </c>
      <c r="BZ32" s="68">
        <v>1</v>
      </c>
      <c r="CA32" s="25">
        <v>2.9322559206837537</v>
      </c>
      <c r="CB32">
        <v>42.162024295060412</v>
      </c>
      <c r="CC32">
        <v>22.48044395446777</v>
      </c>
      <c r="CD32">
        <v>33.579627990722663</v>
      </c>
      <c r="CE32">
        <v>29.352077484130859</v>
      </c>
      <c r="CF32">
        <v>40.665515899658203</v>
      </c>
      <c r="CG32">
        <v>70.125175476074219</v>
      </c>
      <c r="CH32">
        <v>56.769302368164063</v>
      </c>
      <c r="CI32" s="10">
        <v>0</v>
      </c>
      <c r="CJ32" s="325">
        <f t="shared" si="18"/>
        <v>0</v>
      </c>
      <c r="CK32" s="232">
        <f>VLOOKUP(CJ32,'Rangos amb etnico'!$A$2:$C$6,3,9)</f>
        <v>0</v>
      </c>
      <c r="CL32">
        <f t="shared" si="19"/>
        <v>0</v>
      </c>
    </row>
    <row r="33" spans="1:90">
      <c r="A33" s="13" t="s">
        <v>2770</v>
      </c>
      <c r="B33" s="13" t="s">
        <v>2542</v>
      </c>
      <c r="C33" s="13">
        <v>95</v>
      </c>
      <c r="D33" s="13" t="s">
        <v>2735</v>
      </c>
      <c r="E33" s="13" t="s">
        <v>2684</v>
      </c>
      <c r="F33" s="16">
        <v>63.892200000000003</v>
      </c>
      <c r="G33" s="13">
        <v>68.66</v>
      </c>
      <c r="H33" s="13">
        <v>67.28</v>
      </c>
      <c r="I33" s="13">
        <v>61.24</v>
      </c>
      <c r="J33" s="14">
        <v>63.933533767117517</v>
      </c>
      <c r="K33" s="14">
        <v>65.529454179559906</v>
      </c>
      <c r="L33" s="14">
        <v>54.703989321379105</v>
      </c>
      <c r="M33" s="14">
        <v>58.566400000000002</v>
      </c>
      <c r="N33" s="13" t="s">
        <v>2736</v>
      </c>
      <c r="O33" s="13" t="s">
        <v>2736</v>
      </c>
      <c r="P33" s="13" t="s">
        <v>2740</v>
      </c>
      <c r="Q33" s="13" t="s">
        <v>2740</v>
      </c>
      <c r="R33" s="16">
        <f t="shared" si="2"/>
        <v>65.268050000000002</v>
      </c>
      <c r="S33" s="14">
        <f t="shared" si="3"/>
        <v>60.683344317014132</v>
      </c>
      <c r="T33" s="14">
        <f t="shared" si="4"/>
        <v>62.975697158507067</v>
      </c>
      <c r="U33" s="260">
        <v>89.295928385031232</v>
      </c>
      <c r="V33" s="261">
        <f t="shared" si="5"/>
        <v>4.8779943552244731</v>
      </c>
      <c r="W33" s="300">
        <f t="shared" si="6"/>
        <v>0.17544078979018957</v>
      </c>
      <c r="X33" s="14">
        <f t="shared" si="7"/>
        <v>11.048506047076277</v>
      </c>
      <c r="Y33" s="17">
        <f>+VLOOKUP(X33,'Cortes naturales'!$A$93:$C$95,3,9)</f>
        <v>3</v>
      </c>
      <c r="Z33" s="17">
        <v>63.508100196266838</v>
      </c>
      <c r="AA33" s="14">
        <v>0.19258650669586241</v>
      </c>
      <c r="AB33" s="14">
        <f t="shared" si="8"/>
        <v>12.230803163689844</v>
      </c>
      <c r="AC33" s="17">
        <f>VLOOKUP(AB33,'Cortes naturales'!$A$87:$C$89,3,9)</f>
        <v>3</v>
      </c>
      <c r="AD33" s="17" t="b">
        <f t="shared" si="9"/>
        <v>1</v>
      </c>
      <c r="AE33" s="17">
        <f t="shared" si="10"/>
        <v>0</v>
      </c>
      <c r="AF33" s="14">
        <f t="shared" si="11"/>
        <v>0.53240303775977083</v>
      </c>
      <c r="AG33" s="17">
        <v>63.508100196266838</v>
      </c>
      <c r="AH33" s="14">
        <v>5.9241957156137996E-2</v>
      </c>
      <c r="AI33" s="14">
        <v>3.7623441508949589</v>
      </c>
      <c r="AJ33" s="14">
        <v>1.1956527433153924E-2</v>
      </c>
      <c r="AK33" s="17">
        <v>3</v>
      </c>
      <c r="AL33" s="17" t="b">
        <f t="shared" si="12"/>
        <v>1</v>
      </c>
      <c r="AM33" s="17">
        <f t="shared" si="13"/>
        <v>0</v>
      </c>
      <c r="AN33" s="14">
        <f t="shared" si="14"/>
        <v>-0.53240303775977083</v>
      </c>
      <c r="AO33" s="17">
        <f>+VLOOKUP(X33,'Cortes naturales'!$F$75:$I$77,3,9)</f>
        <v>3</v>
      </c>
      <c r="AP33" s="17" t="b">
        <f t="shared" si="20"/>
        <v>1</v>
      </c>
      <c r="AQ33" s="17">
        <f t="shared" si="15"/>
        <v>0</v>
      </c>
      <c r="AR33" s="14">
        <v>65.490459514120587</v>
      </c>
      <c r="AS33" s="14">
        <v>0.25608842515294467</v>
      </c>
      <c r="AT33" s="14">
        <v>16.771348639513821</v>
      </c>
      <c r="AU33" s="14">
        <v>3.2128458081999073E-2</v>
      </c>
      <c r="AV33" s="13">
        <v>3</v>
      </c>
      <c r="AW33" s="104">
        <f>VLOOKUP(C33,'[1]HIST-CATEG-DEPTOS'!$B$9:$BB$40,51,FALSE)</f>
        <v>4</v>
      </c>
      <c r="AX33" s="104">
        <v>1</v>
      </c>
      <c r="AY33" s="13">
        <v>31.4</v>
      </c>
      <c r="AZ33" s="286">
        <v>27.906664478493742</v>
      </c>
      <c r="BA33" s="285">
        <v>12.066757053565887</v>
      </c>
      <c r="BB33" s="286">
        <v>30.095312189916591</v>
      </c>
      <c r="BC33" s="285" t="s">
        <v>384</v>
      </c>
      <c r="BD33" s="288">
        <v>264537.82666999998</v>
      </c>
      <c r="BE33" s="288">
        <v>39890.196194999997</v>
      </c>
      <c r="BF33" s="288">
        <v>100497</v>
      </c>
      <c r="BG33" s="289">
        <f t="shared" si="0"/>
        <v>2.6322957567887597</v>
      </c>
      <c r="BH33" s="289">
        <f t="shared" si="1"/>
        <v>0.39692922370817035</v>
      </c>
      <c r="BI33" s="260">
        <v>46.590860960903221</v>
      </c>
      <c r="BJ33" s="260">
        <v>98.506223333333324</v>
      </c>
      <c r="BK33" s="260">
        <v>38.243936714329699</v>
      </c>
      <c r="BL33" s="260">
        <v>48.745273087035123</v>
      </c>
      <c r="BM33" s="260">
        <v>34.201841155894613</v>
      </c>
      <c r="BN33" s="260">
        <v>51.146516692820441</v>
      </c>
      <c r="BO33" s="260">
        <v>65.66234070376251</v>
      </c>
      <c r="BP33" s="260">
        <v>69.59571188132935</v>
      </c>
      <c r="BQ33" s="260">
        <v>54.728141806868408</v>
      </c>
      <c r="BR33" s="260">
        <v>68.348939980862468</v>
      </c>
      <c r="BS33" s="288">
        <f>VLOOKUP(E33,[2]Departamentos!$A$42:$B$75,2,FALSE)</f>
        <v>5540320.1006109994</v>
      </c>
      <c r="BT33" s="289">
        <v>3133432.892608</v>
      </c>
      <c r="BU33" s="290">
        <f t="shared" si="16"/>
        <v>0.56556892665144698</v>
      </c>
      <c r="BV33" s="260" t="str">
        <f>IFERROR(VLOOKUP(BU33,'Rangos amb etnico'!$A$2:$C$6,3,9),"N.D.")</f>
        <v>51% - 70%</v>
      </c>
      <c r="BW33" s="289">
        <v>2010340.73964</v>
      </c>
      <c r="BX33" s="290">
        <f t="shared" si="17"/>
        <v>0.36285642402111296</v>
      </c>
      <c r="BY33" s="104" t="str">
        <f>IFERROR(VLOOKUP(BX33,'Rangos amb etnico'!$A$2:$C$6,3,9),"N.D.")</f>
        <v>31% - 50%</v>
      </c>
      <c r="BZ33" s="68">
        <v>0</v>
      </c>
      <c r="CA33" s="25">
        <v>3.6857551022702366</v>
      </c>
      <c r="CB33">
        <v>38.988118938589217</v>
      </c>
      <c r="CC33">
        <v>28.670217514038089</v>
      </c>
      <c r="CD33">
        <v>38.780529022216797</v>
      </c>
      <c r="CE33">
        <v>55.864143371582031</v>
      </c>
      <c r="CF33">
        <v>38.809947967529297</v>
      </c>
      <c r="CG33">
        <v>26.052822113037109</v>
      </c>
      <c r="CH33">
        <v>45.751056671142578</v>
      </c>
      <c r="CI33" s="10">
        <v>471116.02127700002</v>
      </c>
      <c r="CJ33" s="325">
        <f t="shared" si="18"/>
        <v>8.5034079750201483E-2</v>
      </c>
      <c r="CK33" s="232" t="str">
        <f>VLOOKUP(CJ33,'Rangos amb etnico'!$A$2:$C$6,3,9)</f>
        <v>0,1% - 30%</v>
      </c>
      <c r="CL33">
        <f t="shared" si="19"/>
        <v>0.29971952723077333</v>
      </c>
    </row>
    <row r="34" spans="1:90">
      <c r="A34" s="13" t="s">
        <v>2771</v>
      </c>
      <c r="B34" s="13" t="s">
        <v>2569</v>
      </c>
      <c r="C34" s="13">
        <v>97</v>
      </c>
      <c r="D34" s="13" t="s">
        <v>2735</v>
      </c>
      <c r="E34" s="13" t="s">
        <v>2686</v>
      </c>
      <c r="F34" s="16">
        <v>61.591799999999999</v>
      </c>
      <c r="G34" s="13">
        <v>74.36</v>
      </c>
      <c r="H34" s="13">
        <v>71.25</v>
      </c>
      <c r="I34" s="13">
        <v>75.58</v>
      </c>
      <c r="J34" s="14">
        <v>59.076647655798382</v>
      </c>
      <c r="K34" s="14">
        <v>49.364132354043178</v>
      </c>
      <c r="L34" s="14">
        <v>49.247659183115147</v>
      </c>
      <c r="M34" s="14">
        <v>52.785299999999999</v>
      </c>
      <c r="N34" s="13" t="s">
        <v>2740</v>
      </c>
      <c r="O34" s="13" t="s">
        <v>2740</v>
      </c>
      <c r="P34" s="13" t="s">
        <v>2740</v>
      </c>
      <c r="Q34" s="13" t="s">
        <v>2740</v>
      </c>
      <c r="R34" s="16">
        <f t="shared" si="2"/>
        <v>70.695449999999994</v>
      </c>
      <c r="S34" s="14">
        <f t="shared" si="3"/>
        <v>52.618434798239178</v>
      </c>
      <c r="T34" s="14">
        <f t="shared" si="4"/>
        <v>61.656942399119586</v>
      </c>
      <c r="U34" s="260">
        <v>94.173922740255705</v>
      </c>
      <c r="V34" s="261">
        <f>+MAX($U$4:$U$35)-U34</f>
        <v>0</v>
      </c>
      <c r="W34" s="300">
        <f t="shared" si="6"/>
        <v>0.1</v>
      </c>
      <c r="X34" s="14">
        <f t="shared" si="7"/>
        <v>6.165694239911959</v>
      </c>
      <c r="Y34" s="17">
        <f>+VLOOKUP(X34,'Cortes naturales'!$A$93:$C$95,3,9)</f>
        <v>3</v>
      </c>
      <c r="Z34" s="17">
        <v>59.466139983169398</v>
      </c>
      <c r="AA34" s="14">
        <v>0.1</v>
      </c>
      <c r="AB34" s="14">
        <f t="shared" si="8"/>
        <v>5.9466139983169404</v>
      </c>
      <c r="AC34" s="17">
        <f>VLOOKUP(AB34,'Cortes naturales'!$A$87:$C$89,3,9)</f>
        <v>3</v>
      </c>
      <c r="AD34" s="17" t="b">
        <f t="shared" si="9"/>
        <v>1</v>
      </c>
      <c r="AE34" s="17">
        <f t="shared" si="10"/>
        <v>0</v>
      </c>
      <c r="AF34" s="14">
        <f t="shared" si="11"/>
        <v>-2.1908024159501878</v>
      </c>
      <c r="AG34" s="17">
        <v>59.466139983169398</v>
      </c>
      <c r="AH34" s="14">
        <v>5.9241957156137996E-2</v>
      </c>
      <c r="AI34" s="14">
        <v>3.5228905171238263</v>
      </c>
      <c r="AJ34" s="14">
        <v>7.231330471829011E-3</v>
      </c>
      <c r="AK34" s="17">
        <v>3</v>
      </c>
      <c r="AL34" s="17" t="b">
        <f t="shared" si="12"/>
        <v>1</v>
      </c>
      <c r="AM34" s="17">
        <f t="shared" si="13"/>
        <v>0</v>
      </c>
      <c r="AN34" s="14">
        <f t="shared" si="14"/>
        <v>2.1908024159501878</v>
      </c>
      <c r="AO34" s="17">
        <f>+VLOOKUP(X34,'Cortes naturales'!$F$75:$I$77,3,9)</f>
        <v>3</v>
      </c>
      <c r="AP34" s="17" t="b">
        <f t="shared" si="20"/>
        <v>1</v>
      </c>
      <c r="AQ34" s="17">
        <f t="shared" si="15"/>
        <v>0</v>
      </c>
      <c r="AR34" s="14">
        <v>62.160579817124699</v>
      </c>
      <c r="AS34" s="14">
        <v>0.25608842515294467</v>
      </c>
      <c r="AT34" s="14">
        <v>15.918604991961381</v>
      </c>
      <c r="AU34" s="14">
        <v>1.4321971730719498E-2</v>
      </c>
      <c r="AV34" s="13">
        <v>3</v>
      </c>
      <c r="AW34" s="104">
        <f>VLOOKUP(C34,'[1]HIST-CATEG-DEPTOS'!$B$9:$BB$40,51,FALSE)</f>
        <v>4</v>
      </c>
      <c r="AX34" s="104">
        <v>1</v>
      </c>
      <c r="AY34" s="13">
        <v>68.5</v>
      </c>
      <c r="AZ34" s="286">
        <v>68.936228981804376</v>
      </c>
      <c r="BA34" s="285" t="s">
        <v>380</v>
      </c>
      <c r="BB34" s="286">
        <v>1.6061757157799956</v>
      </c>
      <c r="BC34" s="285" t="s">
        <v>383</v>
      </c>
      <c r="BD34" s="288">
        <v>219720.16740199999</v>
      </c>
      <c r="BE34" s="288">
        <v>14204.409813</v>
      </c>
      <c r="BF34" s="288">
        <v>47961</v>
      </c>
      <c r="BG34" s="289">
        <f t="shared" si="0"/>
        <v>4.5812257334500943</v>
      </c>
      <c r="BH34" s="289">
        <f t="shared" si="1"/>
        <v>0.29616583918183526</v>
      </c>
      <c r="BI34" s="260">
        <v>30.457160437441569</v>
      </c>
      <c r="BJ34" s="260">
        <v>76.664963999773946</v>
      </c>
      <c r="BK34" s="260">
        <v>48.575358212558569</v>
      </c>
      <c r="BL34" s="260">
        <v>82.289632677680586</v>
      </c>
      <c r="BM34" s="260">
        <v>70.715909904938258</v>
      </c>
      <c r="BN34" s="260">
        <v>71.689851285517449</v>
      </c>
      <c r="BO34" s="260">
        <v>33.83979260419067</v>
      </c>
      <c r="BP34" s="260">
        <v>68.053699297103918</v>
      </c>
      <c r="BQ34" s="260">
        <v>59.176095588871583</v>
      </c>
      <c r="BR34" s="260">
        <v>68.171294606922444</v>
      </c>
      <c r="BS34" s="288">
        <f>VLOOKUP(E34,[2]Departamentos!$A$42:$B$75,2,FALSE)</f>
        <v>5306061.7560860002</v>
      </c>
      <c r="BT34" s="289">
        <v>1163090.2287760002</v>
      </c>
      <c r="BU34" s="290">
        <f t="shared" si="16"/>
        <v>0.2192002811580448</v>
      </c>
      <c r="BV34" s="260" t="str">
        <f>IFERROR(VLOOKUP(BU34,'Rangos amb etnico'!$A$2:$C$6,3,9),"N.D.")</f>
        <v>0,1% - 30%</v>
      </c>
      <c r="BW34" s="289">
        <v>4753112.4025900001</v>
      </c>
      <c r="BX34" s="290">
        <f t="shared" si="17"/>
        <v>0.89578912215603734</v>
      </c>
      <c r="BY34" s="104" t="str">
        <f>IFERROR(VLOOKUP(BX34,'Rangos amb etnico'!$A$2:$C$6,3,9),"N.D.")</f>
        <v>71% - 100%</v>
      </c>
      <c r="BZ34" s="68">
        <v>1</v>
      </c>
      <c r="CA34" s="25">
        <v>3.292849012337371</v>
      </c>
      <c r="CB34">
        <v>35.942464738528898</v>
      </c>
      <c r="CC34">
        <v>20.924442291259769</v>
      </c>
      <c r="CD34">
        <v>30.786111831665039</v>
      </c>
      <c r="CE34">
        <v>30.478450775146481</v>
      </c>
      <c r="CF34">
        <v>17.724811553955082</v>
      </c>
      <c r="CG34">
        <v>63.134456634521477</v>
      </c>
      <c r="CH34">
        <v>52.606517791748047</v>
      </c>
      <c r="CI34" s="10">
        <v>0</v>
      </c>
      <c r="CJ34" s="325">
        <f t="shared" si="18"/>
        <v>0</v>
      </c>
      <c r="CK34" s="232">
        <f>VLOOKUP(CJ34,'Rangos amb etnico'!$A$2:$C$6,3,9)</f>
        <v>0</v>
      </c>
      <c r="CL34">
        <f t="shared" si="19"/>
        <v>0</v>
      </c>
    </row>
    <row r="35" spans="1:90">
      <c r="A35" s="13" t="s">
        <v>2772</v>
      </c>
      <c r="B35" s="13" t="s">
        <v>2575</v>
      </c>
      <c r="C35" s="13">
        <v>99</v>
      </c>
      <c r="D35" s="13" t="s">
        <v>2735</v>
      </c>
      <c r="E35" s="13" t="s">
        <v>2687</v>
      </c>
      <c r="F35" s="16">
        <v>63.367699999999999</v>
      </c>
      <c r="G35" s="13">
        <v>46.92</v>
      </c>
      <c r="H35" s="13">
        <v>63.46</v>
      </c>
      <c r="I35" s="13">
        <v>64.95</v>
      </c>
      <c r="J35" s="14">
        <v>53.010389526023644</v>
      </c>
      <c r="K35" s="14">
        <v>41.649701610927316</v>
      </c>
      <c r="L35" s="14">
        <v>49.265135076260194</v>
      </c>
      <c r="M35" s="14">
        <v>58.223700000000001</v>
      </c>
      <c r="N35" s="13" t="s">
        <v>2740</v>
      </c>
      <c r="O35" s="13" t="s">
        <v>2740</v>
      </c>
      <c r="P35" s="13" t="s">
        <v>2740</v>
      </c>
      <c r="Q35" s="13" t="s">
        <v>2740</v>
      </c>
      <c r="R35" s="16">
        <f t="shared" si="2"/>
        <v>59.674424999999999</v>
      </c>
      <c r="S35" s="14">
        <f t="shared" si="3"/>
        <v>50.537231553302789</v>
      </c>
      <c r="T35" s="14">
        <f>+AVERAGE(R35:S35)</f>
        <v>55.105828276651394</v>
      </c>
      <c r="U35" s="260">
        <v>90.10231425150198</v>
      </c>
      <c r="V35" s="261">
        <f t="shared" si="5"/>
        <v>4.0716084887537249</v>
      </c>
      <c r="W35" s="300">
        <f t="shared" si="6"/>
        <v>0.16296960138525748</v>
      </c>
      <c r="X35" s="14">
        <f t="shared" si="7"/>
        <v>8.9805748682503275</v>
      </c>
      <c r="Y35" s="17">
        <f>+VLOOKUP(X35,'Cortes naturales'!$A$93:$C$95,3,9)</f>
        <v>3</v>
      </c>
      <c r="Z35" s="17">
        <v>53.280418986960086</v>
      </c>
      <c r="AA35" s="14">
        <v>0.14578440708494797</v>
      </c>
      <c r="AB35" s="14">
        <f t="shared" si="8"/>
        <v>7.76745429125158</v>
      </c>
      <c r="AC35" s="17">
        <f>VLOOKUP(AB35,'Cortes naturales'!$A$87:$C$89,3,9)</f>
        <v>3</v>
      </c>
      <c r="AD35" s="17" t="b">
        <f t="shared" si="9"/>
        <v>1</v>
      </c>
      <c r="AE35" s="17">
        <f t="shared" si="10"/>
        <v>0</v>
      </c>
      <c r="AF35" s="14">
        <f t="shared" si="11"/>
        <v>-1.8254092896913079</v>
      </c>
      <c r="AG35" s="17">
        <v>53.280418986960086</v>
      </c>
      <c r="AH35" s="14">
        <v>5.9241957156137996E-2</v>
      </c>
      <c r="AI35" s="14">
        <v>3.1564362988865708</v>
      </c>
      <c r="AJ35" s="14">
        <v>0</v>
      </c>
      <c r="AK35" s="17">
        <v>3</v>
      </c>
      <c r="AL35" s="17" t="b">
        <f t="shared" si="12"/>
        <v>1</v>
      </c>
      <c r="AM35" s="17">
        <f t="shared" si="13"/>
        <v>0</v>
      </c>
      <c r="AN35" s="14">
        <f t="shared" si="14"/>
        <v>1.8254092896913079</v>
      </c>
      <c r="AO35" s="17">
        <f>+VLOOKUP(X35,'Cortes naturales'!$F$75:$I$77,3,9)</f>
        <v>3</v>
      </c>
      <c r="AP35" s="17" t="b">
        <f t="shared" si="20"/>
        <v>1</v>
      </c>
      <c r="AQ35" s="17">
        <f t="shared" si="15"/>
        <v>0</v>
      </c>
      <c r="AR35" s="14">
        <v>62.067327388764511</v>
      </c>
      <c r="AS35" s="14">
        <v>0.25608842515294467</v>
      </c>
      <c r="AT35" s="14">
        <v>15.894724124440932</v>
      </c>
      <c r="AU35" s="14">
        <v>1.3823305639473791E-2</v>
      </c>
      <c r="AV35" s="13">
        <v>3</v>
      </c>
      <c r="AW35" s="104">
        <f>VLOOKUP(C35,'[1]HIST-CATEG-DEPTOS'!$B$9:$BB$40,51,FALSE)</f>
        <v>4</v>
      </c>
      <c r="AX35" s="104">
        <v>1</v>
      </c>
      <c r="AY35" s="13">
        <v>63.5</v>
      </c>
      <c r="AZ35" s="286">
        <v>67.759960787059725</v>
      </c>
      <c r="BA35" s="285">
        <v>11.929922696018064</v>
      </c>
      <c r="BB35" s="286">
        <v>2.5176886292509288</v>
      </c>
      <c r="BC35" s="285" t="s">
        <v>383</v>
      </c>
      <c r="BD35" s="288">
        <v>284467.94299100002</v>
      </c>
      <c r="BE35" s="288">
        <v>31602.745857000002</v>
      </c>
      <c r="BF35" s="288">
        <v>125477</v>
      </c>
      <c r="BG35" s="289">
        <f t="shared" si="0"/>
        <v>2.267092319636268</v>
      </c>
      <c r="BH35" s="289">
        <f t="shared" si="1"/>
        <v>0.25186086579213723</v>
      </c>
      <c r="BI35" s="259">
        <v>41.202682641884678</v>
      </c>
      <c r="BJ35" s="259">
        <v>62.637265921581069</v>
      </c>
      <c r="BK35" s="259">
        <v>13.975144821936251</v>
      </c>
      <c r="BL35" s="259">
        <v>95.837335690668681</v>
      </c>
      <c r="BM35" s="259">
        <v>69.396119967070632</v>
      </c>
      <c r="BN35" s="259">
        <v>41.088917567555541</v>
      </c>
      <c r="BO35" s="259">
        <v>60.133013182103802</v>
      </c>
      <c r="BP35" s="259">
        <v>58.129376695111347</v>
      </c>
      <c r="BQ35" s="259">
        <v>54.895782827542952</v>
      </c>
      <c r="BR35" s="260">
        <v>57.882947212698838</v>
      </c>
      <c r="BS35" s="288">
        <f>VLOOKUP(E35,[2]Departamentos!$A$42:$B$75,2,FALSE)</f>
        <v>9909473.0456969999</v>
      </c>
      <c r="BT35" s="289">
        <v>711918.16636899998</v>
      </c>
      <c r="BU35" s="290">
        <f t="shared" si="16"/>
        <v>7.1842182029864532E-2</v>
      </c>
      <c r="BV35" s="260" t="str">
        <f>IFERROR(VLOOKUP(BU35,'Rangos amb etnico'!$A$2:$C$6,3,9),"N.D.")</f>
        <v>0,1% - 30%</v>
      </c>
      <c r="BW35" s="289">
        <v>3967598.0124400002</v>
      </c>
      <c r="BX35" s="290">
        <f t="shared" si="17"/>
        <v>0.40038435890017926</v>
      </c>
      <c r="BY35" s="104" t="str">
        <f>IFERROR(VLOOKUP(BX35,'Rangos amb etnico'!$A$2:$C$6,3,9),"N.D.")</f>
        <v>31% - 50%</v>
      </c>
      <c r="BZ35" s="68">
        <v>1</v>
      </c>
      <c r="CA35" s="25">
        <v>2.5247911757992232</v>
      </c>
      <c r="CB35">
        <v>40.737827362464309</v>
      </c>
      <c r="CC35">
        <v>15.206295967102051</v>
      </c>
      <c r="CD35">
        <v>44.118740081787109</v>
      </c>
      <c r="CE35">
        <v>20.620304107666019</v>
      </c>
      <c r="CF35">
        <v>31.420515060424801</v>
      </c>
      <c r="CG35">
        <v>83.585746765136719</v>
      </c>
      <c r="CH35">
        <v>49.475360870361328</v>
      </c>
      <c r="CI35" s="10">
        <v>0</v>
      </c>
      <c r="CJ35" s="325">
        <f t="shared" si="18"/>
        <v>0</v>
      </c>
      <c r="CK35" s="232">
        <f>VLOOKUP(CJ35,'Rangos amb etnico'!$A$2:$C$6,3,9)</f>
        <v>0</v>
      </c>
      <c r="CL35">
        <f t="shared" si="19"/>
        <v>0</v>
      </c>
    </row>
  </sheetData>
  <autoFilter ref="A3:CL35" xr:uid="{3ACCD286-3455-4BAE-945E-9337A1D9FFAB}"/>
  <conditionalFormatting sqref="V4:V35">
    <cfRule type="colorScale" priority="8">
      <colorScale>
        <cfvo type="min"/>
        <cfvo type="percentile" val="50"/>
        <cfvo type="max"/>
        <color rgb="FFF8696B"/>
        <color rgb="FFFFEB84"/>
        <color rgb="FF63BE7B"/>
      </colorScale>
    </cfRule>
  </conditionalFormatting>
  <conditionalFormatting sqref="W4:W35">
    <cfRule type="colorScale" priority="7">
      <colorScale>
        <cfvo type="min"/>
        <cfvo type="percentile" val="50"/>
        <cfvo type="max"/>
        <color rgb="FFF8696B"/>
        <color rgb="FFFFEB84"/>
        <color rgb="FF63BE7B"/>
      </colorScale>
    </cfRule>
  </conditionalFormatting>
  <conditionalFormatting sqref="BA4:BA35">
    <cfRule type="colorScale" priority="5">
      <colorScale>
        <cfvo type="min"/>
        <cfvo type="percentile" val="50"/>
        <cfvo type="max"/>
        <color rgb="FF63BE7B"/>
        <color rgb="FFFFEB84"/>
        <color rgb="FFF8696B"/>
      </colorScale>
    </cfRule>
  </conditionalFormatting>
  <conditionalFormatting sqref="BD4:BD35">
    <cfRule type="colorScale" priority="3">
      <colorScale>
        <cfvo type="min"/>
        <cfvo type="percentile" val="50"/>
        <cfvo type="max"/>
        <color rgb="FFF8696B"/>
        <color rgb="FFFFEB84"/>
        <color rgb="FF63BE7B"/>
      </colorScale>
    </cfRule>
  </conditionalFormatting>
  <conditionalFormatting sqref="BE4:BE35">
    <cfRule type="colorScale" priority="4">
      <colorScale>
        <cfvo type="min"/>
        <cfvo type="percentile" val="50"/>
        <cfvo type="max"/>
        <color rgb="FFF8696B"/>
        <color rgb="FFFFEB84"/>
        <color rgb="FF63BE7B"/>
      </colorScale>
    </cfRule>
  </conditionalFormatting>
  <conditionalFormatting sqref="BG4:BG35">
    <cfRule type="colorScale" priority="2">
      <colorScale>
        <cfvo type="min"/>
        <cfvo type="percentile" val="50"/>
        <cfvo type="max"/>
        <color rgb="FFF8696B"/>
        <color rgb="FFFFEB84"/>
        <color rgb="FF63BE7B"/>
      </colorScale>
    </cfRule>
  </conditionalFormatting>
  <conditionalFormatting sqref="BH4:BH35">
    <cfRule type="colorScale" priority="1">
      <colorScale>
        <cfvo type="min"/>
        <cfvo type="percentile" val="50"/>
        <cfvo type="max"/>
        <color rgb="FFF8696B"/>
        <color rgb="FFFFEB84"/>
        <color rgb="FF63BE7B"/>
      </colorScale>
    </cfRule>
  </conditionalFormatting>
  <conditionalFormatting sqref="CA4:CA35">
    <cfRule type="colorScale" priority="9">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2619-60A1-4B4B-99EF-09DA9FC904E0}">
  <dimension ref="B1:BT80"/>
  <sheetViews>
    <sheetView showGridLines="0" topLeftCell="E1" zoomScaleNormal="100" workbookViewId="0">
      <selection activeCell="AB36" sqref="AB36"/>
    </sheetView>
  </sheetViews>
  <sheetFormatPr baseColWidth="10" defaultColWidth="11.4140625" defaultRowHeight="14"/>
  <cols>
    <col min="1" max="1" width="1.75" customWidth="1"/>
    <col min="2" max="2" width="6.83203125" customWidth="1"/>
    <col min="3" max="3" width="34.25" customWidth="1"/>
    <col min="4" max="4" width="16.25" customWidth="1"/>
    <col min="5" max="5" width="15.83203125" customWidth="1"/>
    <col min="6" max="6" width="11.75" customWidth="1"/>
    <col min="7" max="7" width="12.83203125" customWidth="1"/>
    <col min="8" max="13" width="11.4140625" customWidth="1"/>
    <col min="14" max="14" width="3.58203125" customWidth="1"/>
    <col min="15" max="24" width="11.4140625" customWidth="1"/>
    <col min="25" max="25" width="3.58203125" customWidth="1"/>
    <col min="26" max="26" width="24.58203125" customWidth="1"/>
    <col min="27" max="36" width="11.4140625" customWidth="1"/>
    <col min="37" max="37" width="3.58203125" customWidth="1"/>
    <col min="38" max="38" width="24.58203125" customWidth="1"/>
    <col min="39" max="48" width="11.4140625" customWidth="1"/>
    <col min="50" max="50" width="24.58203125" customWidth="1"/>
    <col min="51" max="59" width="11.4140625" customWidth="1"/>
    <col min="62" max="62" width="24.58203125" customWidth="1"/>
    <col min="63" max="71" width="11.4140625" customWidth="1"/>
    <col min="72" max="72" width="11.4140625" bestFit="1" customWidth="1"/>
    <col min="74" max="74" width="27" customWidth="1"/>
  </cols>
  <sheetData>
    <row r="1" spans="3:72">
      <c r="C1" s="171" t="s">
        <v>2613</v>
      </c>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c r="AY1" s="170"/>
      <c r="AZ1" s="170"/>
      <c r="BA1" s="170"/>
      <c r="BB1" s="170"/>
      <c r="BC1" s="170"/>
      <c r="BD1" s="170"/>
      <c r="BE1" s="170"/>
      <c r="BF1" s="170"/>
      <c r="BG1" s="170"/>
      <c r="BH1" s="170"/>
      <c r="BI1" s="170"/>
      <c r="BJ1" s="170"/>
      <c r="BK1" s="170"/>
      <c r="BL1" s="170"/>
      <c r="BM1" s="170"/>
      <c r="BN1" s="170"/>
      <c r="BO1" s="170"/>
      <c r="BP1" s="170"/>
      <c r="BQ1" s="170"/>
      <c r="BR1" s="170"/>
      <c r="BS1" s="170"/>
      <c r="BT1" s="170"/>
    </row>
    <row r="2" spans="3:72">
      <c r="P2" t="s">
        <v>2800</v>
      </c>
      <c r="Q2" t="s">
        <v>2801</v>
      </c>
      <c r="R2" t="s">
        <v>2614</v>
      </c>
      <c r="S2" t="s">
        <v>2615</v>
      </c>
      <c r="T2">
        <v>2024</v>
      </c>
    </row>
    <row r="3" spans="3:72">
      <c r="C3" s="12" t="s">
        <v>2616</v>
      </c>
    </row>
    <row r="4" spans="3:72" ht="23.15" customHeight="1">
      <c r="C4" s="34" t="s">
        <v>2617</v>
      </c>
      <c r="D4" s="169" t="s">
        <v>370</v>
      </c>
      <c r="E4" s="169" t="s">
        <v>371</v>
      </c>
      <c r="F4" s="220" t="s">
        <v>476</v>
      </c>
      <c r="G4" s="45">
        <v>1</v>
      </c>
      <c r="H4" s="45">
        <v>2</v>
      </c>
      <c r="I4" s="45">
        <v>3</v>
      </c>
      <c r="J4" s="45">
        <v>4</v>
      </c>
      <c r="K4" s="34">
        <v>5</v>
      </c>
      <c r="L4" s="34" t="s">
        <v>369</v>
      </c>
      <c r="M4" s="169" t="s">
        <v>2618</v>
      </c>
    </row>
    <row r="5" spans="3:72">
      <c r="C5" s="86" t="s">
        <v>2980</v>
      </c>
      <c r="D5" s="235">
        <f>+COUNTIF(Municipios!$V$3:$V$1105,D$4)</f>
        <v>1</v>
      </c>
      <c r="E5" s="235">
        <f>+COUNTIF(Municipios!$V$3:$V$1105,E$4)</f>
        <v>5</v>
      </c>
      <c r="F5" s="235">
        <f>+COUNTIF(Municipios!$V$3:$V$1105,F$4)</f>
        <v>0</v>
      </c>
      <c r="G5" s="235">
        <f>+COUNTIF(Municipios!$V$3:$V$1105,G$4)</f>
        <v>20</v>
      </c>
      <c r="H5" s="235">
        <f>+COUNTIF(Municipios!$V$3:$V$1105,H$4)</f>
        <v>115</v>
      </c>
      <c r="I5" s="235">
        <f>+COUNTIF(Municipios!$V$3:$V$1105,I$4)</f>
        <v>356</v>
      </c>
      <c r="J5" s="235">
        <f>+COUNTIF(Municipios!$V$3:$V$1105,J$4)</f>
        <v>461</v>
      </c>
      <c r="K5" s="235">
        <f>+COUNTIF(Municipios!$V$3:$V$1105,K$4)</f>
        <v>145</v>
      </c>
      <c r="L5" s="162">
        <f t="shared" ref="L5" si="0">+SUM(D5:K5)</f>
        <v>1103</v>
      </c>
      <c r="M5" s="162">
        <f>J5+K5+I5</f>
        <v>962</v>
      </c>
    </row>
    <row r="6" spans="3:72">
      <c r="C6" s="86" t="s">
        <v>2978</v>
      </c>
      <c r="D6" s="318">
        <f>+COUNTIF(Municipios!$AH$3:$AH$1105,D$4)</f>
        <v>1</v>
      </c>
      <c r="E6" s="318">
        <f>+COUNTIF(Municipios!$AH$3:$AH$1105,E$4)</f>
        <v>5</v>
      </c>
      <c r="F6" s="318">
        <f>+COUNTIF(Municipios!$AH$3:$AH$1105,F$4)</f>
        <v>0</v>
      </c>
      <c r="G6" s="318">
        <f>+COUNTIF(Municipios!$AH$3:$AH$1105,G$4)</f>
        <v>50</v>
      </c>
      <c r="H6" s="318">
        <f>+COUNTIF(Municipios!$AH$3:$AH$1105,H$4)</f>
        <v>177</v>
      </c>
      <c r="I6" s="318">
        <f>+COUNTIF(Municipios!$AH$3:$AH$1105,I$4)</f>
        <v>375</v>
      </c>
      <c r="J6" s="318">
        <f>+COUNTIF(Municipios!$AH$3:$AH$1105,J$4)</f>
        <v>398</v>
      </c>
      <c r="K6" s="318">
        <f>+COUNTIF(Municipios!$AH$3:$AH$1105,K$4)</f>
        <v>97</v>
      </c>
      <c r="L6" s="162">
        <f t="shared" ref="L6" si="1">+SUM(D6:K6)</f>
        <v>1103</v>
      </c>
      <c r="M6" s="162">
        <f>J6+K6+I6</f>
        <v>870</v>
      </c>
    </row>
    <row r="7" spans="3:72">
      <c r="C7" s="86" t="s">
        <v>2979</v>
      </c>
      <c r="D7" s="233">
        <f>+COUNTIF(Municipios!$Y$3:$Y$1105,D$4)</f>
        <v>1</v>
      </c>
      <c r="E7" s="233">
        <f>+COUNTIF(Municipios!$Y$3:$Y$1105,E$4)</f>
        <v>5</v>
      </c>
      <c r="F7" s="233">
        <f>+COUNTIF(Municipios!$Y$3:$Y$1105,F$4)</f>
        <v>0</v>
      </c>
      <c r="G7" s="233">
        <f>+COUNTIF(Municipios!$Y$3:$Y$1105,G$4)</f>
        <v>49</v>
      </c>
      <c r="H7" s="233">
        <f>+COUNTIF(Municipios!$Y$3:$Y$1105,H$4)</f>
        <v>153</v>
      </c>
      <c r="I7" s="233">
        <f>+COUNTIF(Municipios!$Y$3:$Y$1105,I$4)</f>
        <v>368</v>
      </c>
      <c r="J7" s="233">
        <f>+COUNTIF(Municipios!$Y$3:$Y$1105,J$4)</f>
        <v>409</v>
      </c>
      <c r="K7" s="233">
        <f>+COUNTIF(Municipios!$Y$3:$Y$1105,K$4)</f>
        <v>118</v>
      </c>
      <c r="L7" s="162">
        <f t="shared" ref="L7" si="2">+SUM(D7:K7)</f>
        <v>1103</v>
      </c>
      <c r="M7" s="162">
        <f t="shared" ref="M7:M10" si="3">J7+K7+I7</f>
        <v>895</v>
      </c>
    </row>
    <row r="8" spans="3:72">
      <c r="C8" s="87" t="s">
        <v>2619</v>
      </c>
      <c r="D8" s="234">
        <f>+COUNTIF(Municipios!$AC$3:$AC$1105,D$4)</f>
        <v>1</v>
      </c>
      <c r="E8" s="234">
        <f>+COUNTIF(Municipios!$AC$3:$AC$1105,E$4)</f>
        <v>5</v>
      </c>
      <c r="F8" s="234">
        <f>+COUNTIF(Municipios!$AC$3:$AC$1105,F$4)</f>
        <v>0</v>
      </c>
      <c r="G8" s="234">
        <f>+COUNTIF(Municipios!$AC$3:$AC$1105,G$4)</f>
        <v>49</v>
      </c>
      <c r="H8" s="234">
        <f>+COUNTIF(Municipios!$AC$3:$AC$1105,H$4)</f>
        <v>197</v>
      </c>
      <c r="I8" s="234">
        <f>+COUNTIF(Municipios!$AC$3:$AC$1105,I$4)</f>
        <v>393</v>
      </c>
      <c r="J8" s="234">
        <f>+COUNTIF(Municipios!$AC$3:$AC$1105,J$4)</f>
        <v>374</v>
      </c>
      <c r="K8" s="234">
        <f>+COUNTIF(Municipios!$AC$3:$AC$1105,K$4)</f>
        <v>83</v>
      </c>
      <c r="L8" s="183">
        <f>+SUM(D8:K8)</f>
        <v>1102</v>
      </c>
      <c r="M8" s="162">
        <f t="shared" si="3"/>
        <v>850</v>
      </c>
    </row>
    <row r="9" spans="3:72">
      <c r="C9" s="87" t="s">
        <v>2620</v>
      </c>
      <c r="D9" s="82">
        <f>+COUNTIF(Municipios!$AN$3:$AN$1105,D$4)</f>
        <v>1</v>
      </c>
      <c r="E9" s="82">
        <f>+COUNTIF(Municipios!$AN$3:$AN$1105,E$4)</f>
        <v>5</v>
      </c>
      <c r="F9" s="82">
        <f>+COUNTIF(Municipios!$AN$3:$AN$1105,F$4)</f>
        <v>12</v>
      </c>
      <c r="G9" s="82">
        <f>+COUNTIF(Municipios!$AN$3:$AN$1105,G$4)</f>
        <v>77</v>
      </c>
      <c r="H9" s="82">
        <f>+COUNTIF(Municipios!$AN$3:$AN$1105,H$4)</f>
        <v>236</v>
      </c>
      <c r="I9" s="82">
        <f>+COUNTIF(Municipios!$AN$3:$AN$1105,I$4)</f>
        <v>366</v>
      </c>
      <c r="J9" s="82">
        <f>+COUNTIF(Municipios!$AN$3:$AN$1105,J$4)</f>
        <v>338</v>
      </c>
      <c r="K9" s="82">
        <f>+COUNTIF(Municipios!$AN$3:$AN$1105,K$4)</f>
        <v>67</v>
      </c>
      <c r="L9" s="162">
        <f>+SUM(D9:K9)</f>
        <v>1102</v>
      </c>
      <c r="M9" s="162">
        <f t="shared" si="3"/>
        <v>771</v>
      </c>
    </row>
    <row r="10" spans="3:72">
      <c r="C10" s="88" t="s">
        <v>428</v>
      </c>
      <c r="D10" s="83">
        <f>+COUNTIF(Municipios!$AU:$AU,D$4)</f>
        <v>1</v>
      </c>
      <c r="E10" s="83">
        <f>+COUNTIF(Municipios!$AU:$AU,E$4)</f>
        <v>5</v>
      </c>
      <c r="F10" s="83">
        <f>+COUNTIF(Municipios!$AU:$AU,F$4)</f>
        <v>12</v>
      </c>
      <c r="G10" s="83">
        <f>+COUNTIF(Municipios!$AU:$AU,G$4)</f>
        <v>85</v>
      </c>
      <c r="H10" s="83">
        <f>+COUNTIF(Municipios!$AU:$AU,H$4)</f>
        <v>235</v>
      </c>
      <c r="I10" s="83">
        <f>+COUNTIF(Municipios!$AU:$AU,I$4)</f>
        <v>393</v>
      </c>
      <c r="J10" s="83">
        <f>+COUNTIF(Municipios!$AU:$AU,J$4)</f>
        <v>318</v>
      </c>
      <c r="K10" s="83">
        <f>+COUNTIF(Municipios!$AU:$AU,K$4)</f>
        <v>53</v>
      </c>
      <c r="L10" s="162">
        <f>+SUM(D10:K10)</f>
        <v>1102</v>
      </c>
      <c r="M10" s="162">
        <f t="shared" si="3"/>
        <v>764</v>
      </c>
    </row>
    <row r="11" spans="3:72">
      <c r="F11" s="17"/>
      <c r="G11" s="17"/>
      <c r="H11" s="17"/>
      <c r="I11" s="17"/>
      <c r="J11" s="17"/>
      <c r="K11" s="17"/>
      <c r="L11" s="17"/>
      <c r="M11" s="17"/>
    </row>
    <row r="12" spans="3:72">
      <c r="C12" s="12" t="s">
        <v>2621</v>
      </c>
    </row>
    <row r="13" spans="3:72" ht="23">
      <c r="C13" s="163" t="s">
        <v>2617</v>
      </c>
      <c r="D13" s="169" t="s">
        <v>370</v>
      </c>
      <c r="E13" s="169" t="s">
        <v>371</v>
      </c>
      <c r="F13" s="169" t="s">
        <v>476</v>
      </c>
      <c r="G13" s="45">
        <v>1</v>
      </c>
      <c r="H13" s="45">
        <v>2</v>
      </c>
      <c r="I13" s="45">
        <v>3</v>
      </c>
      <c r="J13" s="45">
        <v>4</v>
      </c>
      <c r="K13" s="34">
        <v>5</v>
      </c>
      <c r="L13" s="34" t="s">
        <v>369</v>
      </c>
    </row>
    <row r="14" spans="3:72">
      <c r="C14" s="86" t="s">
        <v>2797</v>
      </c>
      <c r="D14" s="209">
        <f t="shared" ref="D14:L15" si="4">+D5/$L5</f>
        <v>9.0661831368993653E-4</v>
      </c>
      <c r="E14" s="209">
        <f t="shared" si="4"/>
        <v>4.5330915684496827E-3</v>
      </c>
      <c r="F14" s="209">
        <f t="shared" si="4"/>
        <v>0</v>
      </c>
      <c r="G14" s="209">
        <f t="shared" si="4"/>
        <v>1.8132366273798731E-2</v>
      </c>
      <c r="H14" s="209">
        <f t="shared" si="4"/>
        <v>0.1042611060743427</v>
      </c>
      <c r="I14" s="209">
        <f t="shared" si="4"/>
        <v>0.32275611967361739</v>
      </c>
      <c r="J14" s="209">
        <f t="shared" si="4"/>
        <v>0.41795104261106075</v>
      </c>
      <c r="K14" s="209">
        <f t="shared" si="4"/>
        <v>0.13145965548504079</v>
      </c>
      <c r="L14" s="225">
        <f t="shared" si="4"/>
        <v>1</v>
      </c>
    </row>
    <row r="15" spans="3:72">
      <c r="C15" s="86" t="s">
        <v>2809</v>
      </c>
      <c r="D15" s="209">
        <f t="shared" si="4"/>
        <v>9.0661831368993653E-4</v>
      </c>
      <c r="E15" s="209">
        <f t="shared" si="4"/>
        <v>4.5330915684496827E-3</v>
      </c>
      <c r="F15" s="209">
        <f t="shared" si="4"/>
        <v>0</v>
      </c>
      <c r="G15" s="209">
        <f t="shared" si="4"/>
        <v>4.5330915684496827E-2</v>
      </c>
      <c r="H15" s="209">
        <f t="shared" si="4"/>
        <v>0.16047144152311876</v>
      </c>
      <c r="I15" s="209">
        <f t="shared" si="4"/>
        <v>0.33998186763372618</v>
      </c>
      <c r="J15" s="209">
        <f t="shared" si="4"/>
        <v>0.36083408884859475</v>
      </c>
      <c r="K15" s="209">
        <f t="shared" si="4"/>
        <v>8.794197642792384E-2</v>
      </c>
      <c r="L15" s="225">
        <f t="shared" si="4"/>
        <v>1</v>
      </c>
    </row>
    <row r="16" spans="3:72">
      <c r="C16" s="86" t="s">
        <v>2798</v>
      </c>
      <c r="D16" s="209">
        <f>+D7/$L7</f>
        <v>9.0661831368993653E-4</v>
      </c>
      <c r="E16" s="209">
        <f t="shared" ref="E16:L16" si="5">+E7/$L7</f>
        <v>4.5330915684496827E-3</v>
      </c>
      <c r="F16" s="209">
        <f t="shared" si="5"/>
        <v>0</v>
      </c>
      <c r="G16" s="209">
        <f t="shared" si="5"/>
        <v>4.4424297370806894E-2</v>
      </c>
      <c r="H16" s="209">
        <f t="shared" si="5"/>
        <v>0.13871260199456029</v>
      </c>
      <c r="I16" s="209">
        <f t="shared" si="5"/>
        <v>0.33363553943789664</v>
      </c>
      <c r="J16" s="209">
        <f t="shared" si="5"/>
        <v>0.37080689029918407</v>
      </c>
      <c r="K16" s="209">
        <f t="shared" si="5"/>
        <v>0.10698096101541252</v>
      </c>
      <c r="L16" s="225">
        <f t="shared" si="5"/>
        <v>1</v>
      </c>
    </row>
    <row r="17" spans="3:12">
      <c r="C17" s="87" t="s">
        <v>2619</v>
      </c>
      <c r="D17" s="181">
        <f t="shared" ref="D17:L17" si="6">+D8/$L8</f>
        <v>9.0744101633393826E-4</v>
      </c>
      <c r="E17" s="181">
        <f t="shared" si="6"/>
        <v>4.5372050816696917E-3</v>
      </c>
      <c r="F17" s="181">
        <f t="shared" si="6"/>
        <v>0</v>
      </c>
      <c r="G17" s="181">
        <f t="shared" si="6"/>
        <v>4.4464609800362979E-2</v>
      </c>
      <c r="H17" s="181">
        <f t="shared" si="6"/>
        <v>0.17876588021778583</v>
      </c>
      <c r="I17" s="181">
        <f t="shared" si="6"/>
        <v>0.35662431941923772</v>
      </c>
      <c r="J17" s="181">
        <f t="shared" si="6"/>
        <v>0.33938294010889292</v>
      </c>
      <c r="K17" s="181">
        <f t="shared" si="6"/>
        <v>7.5317604355716883E-2</v>
      </c>
      <c r="L17" s="226">
        <f t="shared" si="6"/>
        <v>1</v>
      </c>
    </row>
    <row r="18" spans="3:12">
      <c r="C18" s="87" t="s">
        <v>2620</v>
      </c>
      <c r="D18" s="181">
        <f t="shared" ref="D18:L18" si="7">+D9/$L9</f>
        <v>9.0744101633393826E-4</v>
      </c>
      <c r="E18" s="181">
        <f t="shared" si="7"/>
        <v>4.5372050816696917E-3</v>
      </c>
      <c r="F18" s="181">
        <f t="shared" si="7"/>
        <v>1.0889292196007259E-2</v>
      </c>
      <c r="G18" s="181">
        <f t="shared" si="7"/>
        <v>6.9872958257713252E-2</v>
      </c>
      <c r="H18" s="181">
        <f t="shared" si="7"/>
        <v>0.21415607985480944</v>
      </c>
      <c r="I18" s="181">
        <f t="shared" si="7"/>
        <v>0.33212341197822143</v>
      </c>
      <c r="J18" s="181">
        <f t="shared" si="7"/>
        <v>0.30671506352087113</v>
      </c>
      <c r="K18" s="181">
        <f t="shared" si="7"/>
        <v>6.0798548094373864E-2</v>
      </c>
      <c r="L18" s="226">
        <f t="shared" si="7"/>
        <v>1</v>
      </c>
    </row>
    <row r="19" spans="3:12">
      <c r="C19" s="88" t="s">
        <v>428</v>
      </c>
      <c r="D19" s="182">
        <f t="shared" ref="D19:L19" si="8">+D10/$L10</f>
        <v>9.0744101633393826E-4</v>
      </c>
      <c r="E19" s="182">
        <f t="shared" si="8"/>
        <v>4.5372050816696917E-3</v>
      </c>
      <c r="F19" s="182">
        <f t="shared" si="8"/>
        <v>1.0889292196007259E-2</v>
      </c>
      <c r="G19" s="182">
        <f t="shared" si="8"/>
        <v>7.7132486388384755E-2</v>
      </c>
      <c r="H19" s="182">
        <f t="shared" si="8"/>
        <v>0.2132486388384755</v>
      </c>
      <c r="I19" s="182">
        <f t="shared" si="8"/>
        <v>0.35662431941923772</v>
      </c>
      <c r="J19" s="182">
        <f t="shared" si="8"/>
        <v>0.28856624319419238</v>
      </c>
      <c r="K19" s="182">
        <f t="shared" si="8"/>
        <v>4.8094373865698731E-2</v>
      </c>
      <c r="L19" s="227">
        <f t="shared" si="8"/>
        <v>1</v>
      </c>
    </row>
    <row r="20" spans="3:12">
      <c r="C20" s="12"/>
      <c r="D20" s="12"/>
      <c r="E20" s="12"/>
      <c r="F20" s="12"/>
      <c r="G20" s="12"/>
      <c r="H20" s="12"/>
      <c r="I20" s="12"/>
      <c r="J20" s="12"/>
      <c r="K20" s="12"/>
      <c r="L20" s="12"/>
    </row>
    <row r="21" spans="3:12">
      <c r="C21" s="12"/>
      <c r="D21" s="12"/>
      <c r="E21" s="12"/>
      <c r="F21" s="12"/>
      <c r="G21" s="12"/>
      <c r="H21" s="12"/>
      <c r="I21" s="12"/>
      <c r="J21" s="12"/>
      <c r="K21" s="12"/>
      <c r="L21" s="12"/>
    </row>
    <row r="22" spans="3:12">
      <c r="C22" s="12" t="s">
        <v>393</v>
      </c>
    </row>
    <row r="23" spans="3:12" ht="23">
      <c r="C23" s="163" t="s">
        <v>2617</v>
      </c>
      <c r="D23" s="169" t="s">
        <v>370</v>
      </c>
      <c r="E23" s="169" t="s">
        <v>371</v>
      </c>
      <c r="F23" s="169" t="s">
        <v>476</v>
      </c>
      <c r="G23" s="45">
        <v>1</v>
      </c>
      <c r="H23" s="45">
        <v>2</v>
      </c>
      <c r="I23" s="45">
        <v>3</v>
      </c>
      <c r="J23" s="45">
        <v>4</v>
      </c>
      <c r="K23" s="34">
        <v>5</v>
      </c>
      <c r="L23" s="34" t="s">
        <v>369</v>
      </c>
    </row>
    <row r="24" spans="3:12">
      <c r="C24" s="86" t="s">
        <v>2797</v>
      </c>
      <c r="D24" s="8" cm="1">
        <f t="array" ref="D24">IFERROR(_xlfn.VAR.P(IF(Municipios!$W$3:$W$1105=Comparativos_Mun!D$23,Municipios!$U$3:$U$1105)),0)</f>
        <v>0</v>
      </c>
      <c r="E24" s="8" cm="1">
        <f t="array" ref="E24">IFERROR(_xlfn.VAR.P(IF(Municipios!$W$3:$W$1105=Comparativos_Mun!E$23,Municipios!$U$3:$U$1105)),0)</f>
        <v>45.750073339291845</v>
      </c>
      <c r="F24" s="8" cm="1">
        <f t="array" ref="F24">IFERROR(_xlfn.VAR.P(IF(Municipios!$W$3:$W$1105=Comparativos_Mun!F$23,Municipios!$U$3:$U$1105)),0)</f>
        <v>0</v>
      </c>
      <c r="G24" s="8" cm="1">
        <f t="array" ref="G24">IFERROR(_xlfn.VAR.P(IF(Municipios!$W$3:$W$1105=Comparativos_Mun!G$23,Municipios!$U$3:$U$1105)),0)</f>
        <v>65.208141175658682</v>
      </c>
      <c r="H24" s="8" cm="1">
        <f t="array" ref="H24">IFERROR(_xlfn.VAR.P(IF(Municipios!$W$3:$W$1105=Comparativos_Mun!H$23,Municipios!$U$3:$U$1105)),0)</f>
        <v>15.564827994922231</v>
      </c>
      <c r="I24" s="8" cm="1">
        <f t="array" ref="I24">IFERROR(_xlfn.VAR.P(IF(Municipios!$W$3:$W$1105=Comparativos_Mun!I$23,Municipios!$U$3:$U$1105)),0)</f>
        <v>5.4647734386741753</v>
      </c>
      <c r="J24" s="8" cm="1">
        <f t="array" ref="J24">IFERROR(_xlfn.VAR.P(IF(Municipios!$W$3:$W$1105=Comparativos_Mun!J$23,Municipios!$U$3:$U$1105)),0)</f>
        <v>4.4986829018358225</v>
      </c>
      <c r="K24" s="8" cm="1">
        <f t="array" ref="K24">IFERROR(_xlfn.VAR.P(IF(Municipios!$W$3:$W$1105=Comparativos_Mun!K$23,Municipios!$U$3:$U$1105)),0)</f>
        <v>15.980461396118327</v>
      </c>
      <c r="L24" s="129"/>
    </row>
    <row r="25" spans="3:12">
      <c r="C25" s="86" t="s">
        <v>2809</v>
      </c>
      <c r="D25" s="244" cm="1">
        <f t="array" ref="D25">IFERROR(_xlfn.VAR.P(IF(Municipios!$AH$3:$AH$1105=Comparativos_Mun!D$23,Municipios!$U$3:$U$1105)),0)</f>
        <v>0</v>
      </c>
      <c r="E25" s="244" cm="1">
        <f t="array" ref="E25">IFERROR(_xlfn.VAR.P(IF(Municipios!$AH$3:$AH$1105=Comparativos_Mun!E$23,Municipios!$U$3:$U$1105)),0)</f>
        <v>45.750073339291845</v>
      </c>
      <c r="F25" s="244" cm="1">
        <f t="array" ref="F25">IFERROR(_xlfn.VAR.P(IF(Municipios!$AH$3:$AH$1105=Comparativos_Mun!F$23,Municipios!$U$3:$U$1105)),0)</f>
        <v>0</v>
      </c>
      <c r="G25" s="243" cm="1">
        <f t="array" ref="G25">IFERROR(_xlfn.VAR.P(IF(Municipios!$AH$3:$AH$1105=Comparativos_Mun!G$23,Municipios!$U$3:$U$1105)),0)</f>
        <v>62.169393583326787</v>
      </c>
      <c r="H25" s="243" cm="1">
        <f t="array" ref="H25">IFERROR(_xlfn.VAR.P(IF(Municipios!$AH$3:$AH$1105=Comparativos_Mun!H$23,Municipios!$U$3:$U$1105)),0)</f>
        <v>9.7749554654027211</v>
      </c>
      <c r="I25" s="243" cm="1">
        <f t="array" ref="I25">IFERROR(_xlfn.VAR.P(IF(Municipios!$AH$3:$AH$1105=Comparativos_Mun!I$23,Municipios!$U$3:$U$1105)),0)</f>
        <v>4.0083180792244448</v>
      </c>
      <c r="J25" s="243" cm="1">
        <f t="array" ref="J25">IFERROR(_xlfn.VAR.P(IF(Municipios!$AH$3:$AH$1105=Comparativos_Mun!J$23,Municipios!$U$3:$U$1105)),0)</f>
        <v>4.2620032410050648</v>
      </c>
      <c r="K25" s="243" cm="1">
        <f t="array" ref="K25">IFERROR(_xlfn.VAR.P(IF(Municipios!$AH$3:$AH$1105=Comparativos_Mun!K$23,Municipios!$U$3:$U$1105)),0)</f>
        <v>15.22635700937721</v>
      </c>
      <c r="L25" s="129"/>
    </row>
    <row r="26" spans="3:12">
      <c r="C26" s="86" t="s">
        <v>2798</v>
      </c>
      <c r="D26" s="8" cm="1">
        <f t="array" ref="D26">IFERROR(_xlfn.VAR.P(IF(Municipios!$Y$3:$Y$1105=Comparativos_Mun!D$23,Municipios!$U$3:$U$1105)),0)</f>
        <v>0</v>
      </c>
      <c r="E26" s="8" cm="1">
        <f t="array" ref="E26">IFERROR(_xlfn.VAR.P(IF(Municipios!$Y$3:$Y$1105=Comparativos_Mun!E$23,Municipios!$U$3:$U$1105)),0)</f>
        <v>45.750073339291845</v>
      </c>
      <c r="F26" s="8" cm="1">
        <f t="array" ref="F26">IFERROR(_xlfn.VAR.P(IF(Municipios!$Y$3:$Y$1105=Comparativos_Mun!F$23,Municipios!$U$3:$U$1105)),0)</f>
        <v>0</v>
      </c>
      <c r="G26" s="8" cm="1">
        <f t="array" ref="G26">IFERROR(_xlfn.VAR.P(IF(Municipios!$Y$3:$Y$1105=Comparativos_Mun!G$23,Municipios!$U$3:$U$1105)),0)</f>
        <v>62.297391599785463</v>
      </c>
      <c r="H26" s="8" cm="1">
        <f t="array" ref="H26">IFERROR(_xlfn.VAR.P(IF(Municipios!$Y$3:$Y$1105=Comparativos_Mun!H$23,Municipios!$U$3:$U$1105)),0)</f>
        <v>9.0426844849377854</v>
      </c>
      <c r="I26" s="8" cm="1">
        <f t="array" ref="I26">IFERROR(_xlfn.VAR.P(IF(Municipios!$Y$3:$Y$1105=Comparativos_Mun!I$23,Municipios!$U$3:$U$1105)),0)</f>
        <v>4.1767777585183223</v>
      </c>
      <c r="J26" s="8" cm="1">
        <f t="array" ref="J26">IFERROR(_xlfn.VAR.P(IF(Municipios!$Y$3:$Y$1105=Comparativos_Mun!J$23,Municipios!$U$3:$U$1105)),0)</f>
        <v>3.9667313202958803</v>
      </c>
      <c r="K26" s="8" cm="1">
        <f t="array" ref="K26">IFERROR(_xlfn.VAR.P(IF(Municipios!$Y$3:$Y$1105=Comparativos_Mun!K$23,Municipios!$U$3:$U$1105)),0)</f>
        <v>15.570129712863915</v>
      </c>
      <c r="L26" s="129"/>
    </row>
    <row r="27" spans="3:12">
      <c r="C27" s="87" t="s">
        <v>2619</v>
      </c>
      <c r="D27" s="8" cm="1">
        <f t="array" ref="D27">IFERROR(_xlfn.VAR.P(IF(Municipios!$AC$3:$AC$1105=Comparativos_Mun!D$23,Municipios!$AB$3:$AB$1105)),0)</f>
        <v>0</v>
      </c>
      <c r="E27" s="8" cm="1">
        <f t="array" ref="E27">IFERROR(_xlfn.VAR.P(IF(Municipios!$AC$3:$AC$1105=Comparativos_Mun!E$23,Municipios!$AB$3:$AB$1105)),0)</f>
        <v>0</v>
      </c>
      <c r="F27" s="8" cm="1">
        <f t="array" ref="F27">IFERROR(_xlfn.VAR.P(IF(Municipios!$AC$3:$AC$1105=Comparativos_Mun!F$23,Municipios!$AB$3:$AB$1105)),0)</f>
        <v>0</v>
      </c>
      <c r="G27" s="8" cm="1">
        <f t="array" ref="G27">IFERROR(_xlfn.VAR.P(IF(Municipios!$AC$3:$AC$1105=Comparativos_Mun!G$23,Municipios!$AB$3:$AB$1105)),0)</f>
        <v>57.781569389174102</v>
      </c>
      <c r="H27" s="8" cm="1">
        <f t="array" ref="H27">IFERROR(_xlfn.VAR.P(IF(Municipios!$AC$3:$AC$1105=Comparativos_Mun!H$23,Municipios!$AB$3:$AB$1105)),0)</f>
        <v>10.402270323416737</v>
      </c>
      <c r="I27" s="8" cm="1">
        <f t="array" ref="I27">IFERROR(_xlfn.VAR.P(IF(Municipios!$AC$3:$AC$1105=Comparativos_Mun!I$23,Municipios!$AB$3:$AB$1105)),0)</f>
        <v>4.1073424325331054</v>
      </c>
      <c r="J27" s="8" cm="1">
        <f t="array" ref="J27">IFERROR(_xlfn.VAR.P(IF(Municipios!$AC$3:$AC$1105=Comparativos_Mun!J$23,Municipios!$AB$3:$AB$1105)),0)</f>
        <v>4.0320940551629727</v>
      </c>
      <c r="K27" s="8" cm="1">
        <f t="array" ref="K27">IFERROR(_xlfn.VAR.P(IF(Municipios!$AC$3:$AC$1105=Comparativos_Mun!K$23,Municipios!$AB$3:$AB$1105)),0)</f>
        <v>16.428709193140151</v>
      </c>
      <c r="L27" s="129"/>
    </row>
    <row r="28" spans="3:12">
      <c r="C28" s="87" t="s">
        <v>2620</v>
      </c>
      <c r="D28" s="8" cm="1">
        <f t="array" ref="D28">IFERROR(_xlfn.VAR.P(IF(Municipios!$AN$3:$AN$1105=Comparativos_Mun!D$23,Municipios!$AM$3:$AM$1105)),0)</f>
        <v>0</v>
      </c>
      <c r="E28" s="8" cm="1">
        <f t="array" ref="E28">IFERROR(_xlfn.VAR.P(IF(Municipios!$AN$3:$AN$1105=Comparativos_Mun!E$23,Municipios!$AM$3:$AM$1105)),0)</f>
        <v>0</v>
      </c>
      <c r="F28" s="8" cm="1">
        <f t="array" ref="F28">IFERROR(_xlfn.VAR.P(IF(Municipios!$AN$3:$AN$1105=Comparativos_Mun!F$23,Municipios!$AM$3:$AM$1105)),0)</f>
        <v>0</v>
      </c>
      <c r="G28" s="8" cm="1">
        <f t="array" ref="G28">IFERROR(_xlfn.VAR.P(IF(Municipios!$AN$3:$AN$1105=Comparativos_Mun!G$23,Municipios!$AM$3:$AM$1105)),0)</f>
        <v>7.1358746380030683E-3</v>
      </c>
      <c r="H28" s="8" cm="1">
        <f t="array" ref="H28">IFERROR(_xlfn.VAR.P(IF(Municipios!$AN$3:$AN$1105=Comparativos_Mun!H$23,Municipios!$AM$3:$AM$1105)),0)</f>
        <v>1.9329068867216274E-3</v>
      </c>
      <c r="I28" s="8" cm="1">
        <f t="array" ref="I28">IFERROR(_xlfn.VAR.P(IF(Municipios!$AN$3:$AN$1105=Comparativos_Mun!I$23,Municipios!$AM$3:$AM$1105)),0)</f>
        <v>1.2763292933270335E-3</v>
      </c>
      <c r="J28" s="8" cm="1">
        <f t="array" ref="J28">IFERROR(_xlfn.VAR.P(IF(Municipios!$AN$3:$AN$1105=Comparativos_Mun!J$23,Municipios!$AM$3:$AM$1105)),0)</f>
        <v>1.5231261762405543E-3</v>
      </c>
      <c r="K28" s="8" cm="1">
        <f t="array" ref="K28">IFERROR(_xlfn.VAR.P(IF(Municipios!$AN$3:$AN$1105=Comparativos_Mun!K$23,Municipios!$AM$3:$AM$1105)),0)</f>
        <v>1.8234056876466258E-3</v>
      </c>
      <c r="L28" s="129"/>
    </row>
    <row r="29" spans="3:12">
      <c r="C29" s="88" t="s">
        <v>428</v>
      </c>
      <c r="D29" s="8"/>
      <c r="E29" s="8"/>
      <c r="F29" s="8"/>
      <c r="G29" s="8"/>
      <c r="H29" s="8"/>
      <c r="I29" s="8"/>
      <c r="J29" s="8"/>
      <c r="K29" s="8"/>
      <c r="L29" s="129"/>
    </row>
    <row r="30" spans="3:12">
      <c r="C30" s="12"/>
      <c r="D30" s="12"/>
      <c r="E30" s="12"/>
      <c r="F30" s="12"/>
      <c r="G30" s="12"/>
      <c r="H30" s="12"/>
      <c r="I30" s="12"/>
      <c r="J30" s="12"/>
      <c r="K30" s="12"/>
      <c r="L30" s="12"/>
    </row>
    <row r="31" spans="3:12">
      <c r="D31" s="12"/>
      <c r="E31" s="12"/>
      <c r="F31" s="12"/>
      <c r="G31" s="12"/>
      <c r="H31" s="12"/>
      <c r="I31" s="12"/>
      <c r="J31" s="12"/>
      <c r="K31" s="12"/>
      <c r="L31" s="12"/>
    </row>
    <row r="32" spans="3:12" ht="42">
      <c r="C32" s="45" t="s">
        <v>2977</v>
      </c>
      <c r="D32" s="45" t="s">
        <v>2975</v>
      </c>
      <c r="E32" s="45" t="s">
        <v>2974</v>
      </c>
      <c r="F32" s="45" t="s">
        <v>2976</v>
      </c>
      <c r="G32" s="12"/>
      <c r="H32" s="12"/>
      <c r="I32" s="12"/>
      <c r="J32" s="12"/>
      <c r="K32" s="12"/>
      <c r="L32" s="12"/>
    </row>
    <row r="33" spans="2:12">
      <c r="C33" s="45" t="s">
        <v>370</v>
      </c>
      <c r="D33" s="36">
        <f>+COUNTIF(Municipios!$Y$3:$Y$1105,C33)</f>
        <v>1</v>
      </c>
      <c r="E33" s="36">
        <f>+COUNTIF(Municipios!$AC$3:$AC$1105,C33)</f>
        <v>1</v>
      </c>
      <c r="F33" s="5">
        <f>D33-E33</f>
        <v>0</v>
      </c>
      <c r="G33" s="12"/>
      <c r="H33" s="45" t="s">
        <v>370</v>
      </c>
      <c r="I33" s="12"/>
      <c r="J33" s="12"/>
      <c r="K33" s="12"/>
      <c r="L33" s="12"/>
    </row>
    <row r="34" spans="2:12" ht="28">
      <c r="C34" s="45" t="s">
        <v>371</v>
      </c>
      <c r="D34" s="36">
        <f>+COUNTIF(Municipios!$Y$3:$Y$1105,C34)</f>
        <v>5</v>
      </c>
      <c r="E34" s="36">
        <f>+COUNTIF(Municipios!$AC$3:$AC$1105,C34)</f>
        <v>5</v>
      </c>
      <c r="F34" s="5">
        <f t="shared" ref="F34:F40" si="9">D34-E34</f>
        <v>0</v>
      </c>
      <c r="G34" s="12"/>
      <c r="H34" s="45" t="s">
        <v>371</v>
      </c>
      <c r="I34" s="12"/>
      <c r="J34" s="12"/>
      <c r="K34" s="12"/>
      <c r="L34" s="12"/>
    </row>
    <row r="35" spans="2:12">
      <c r="C35" s="45">
        <v>1</v>
      </c>
      <c r="D35" s="36">
        <f>+COUNTIF(Municipios!$Y$3:$Y$1105,C35)</f>
        <v>49</v>
      </c>
      <c r="E35" s="36">
        <f>+COUNTIF(Municipios!$AC$3:$AC$1105,C35)</f>
        <v>49</v>
      </c>
      <c r="F35" s="5">
        <f t="shared" si="9"/>
        <v>0</v>
      </c>
      <c r="G35" s="12"/>
      <c r="H35" s="45" t="s">
        <v>3056</v>
      </c>
      <c r="I35" s="12"/>
      <c r="J35" s="12"/>
      <c r="K35" s="12"/>
      <c r="L35" s="12"/>
    </row>
    <row r="36" spans="2:12">
      <c r="C36" s="45">
        <v>2</v>
      </c>
      <c r="D36" s="36">
        <f>+COUNTIF(Municipios!$Y$3:$Y$1105,C36)</f>
        <v>153</v>
      </c>
      <c r="E36" s="36">
        <f>+COUNTIF(Municipios!$AC$3:$AC$1105,C36)</f>
        <v>197</v>
      </c>
      <c r="F36" s="319">
        <f t="shared" si="9"/>
        <v>-44</v>
      </c>
      <c r="G36" s="12"/>
      <c r="H36" s="45" t="s">
        <v>3057</v>
      </c>
      <c r="I36" s="12"/>
      <c r="J36" s="12"/>
      <c r="K36" s="12"/>
      <c r="L36" s="12"/>
    </row>
    <row r="37" spans="2:12">
      <c r="C37" s="45">
        <v>3</v>
      </c>
      <c r="D37" s="36">
        <f>+COUNTIF(Municipios!$Y$3:$Y$1105,C37)</f>
        <v>368</v>
      </c>
      <c r="E37" s="36">
        <f>+COUNTIF(Municipios!$AC$3:$AC$1105,C37)</f>
        <v>393</v>
      </c>
      <c r="F37" s="319">
        <f t="shared" si="9"/>
        <v>-25</v>
      </c>
      <c r="G37" s="12"/>
      <c r="H37" s="45" t="s">
        <v>3058</v>
      </c>
      <c r="I37" s="12"/>
      <c r="J37" s="12"/>
      <c r="K37" s="12"/>
      <c r="L37" s="12"/>
    </row>
    <row r="38" spans="2:12">
      <c r="C38" s="45">
        <v>4</v>
      </c>
      <c r="D38" s="36">
        <f>+COUNTIF(Municipios!$Y$3:$Y$1105,C38)</f>
        <v>409</v>
      </c>
      <c r="E38" s="36">
        <f>+COUNTIF(Municipios!$AC$3:$AC$1105,C38)</f>
        <v>374</v>
      </c>
      <c r="F38" s="320">
        <f t="shared" si="9"/>
        <v>35</v>
      </c>
      <c r="G38" s="12"/>
      <c r="H38" s="45" t="s">
        <v>3059</v>
      </c>
      <c r="I38" s="12"/>
      <c r="J38" s="12"/>
      <c r="K38" s="12"/>
      <c r="L38" s="12"/>
    </row>
    <row r="39" spans="2:12">
      <c r="C39" s="34">
        <v>5</v>
      </c>
      <c r="D39" s="36">
        <f>+COUNTIF(Municipios!$Y$3:$Y$1105,C39)</f>
        <v>118</v>
      </c>
      <c r="E39" s="36">
        <f>+COUNTIF(Municipios!$AC$3:$AC$1105,C39)</f>
        <v>83</v>
      </c>
      <c r="F39" s="320">
        <f t="shared" si="9"/>
        <v>35</v>
      </c>
      <c r="G39" s="12"/>
      <c r="H39" s="34" t="s">
        <v>3060</v>
      </c>
      <c r="I39" s="12"/>
      <c r="J39" s="12"/>
      <c r="K39" s="12"/>
      <c r="L39" s="12"/>
    </row>
    <row r="40" spans="2:12">
      <c r="C40" s="34" t="s">
        <v>2981</v>
      </c>
      <c r="D40" s="36">
        <v>0</v>
      </c>
      <c r="E40" s="36">
        <v>1</v>
      </c>
      <c r="F40" s="5">
        <f t="shared" si="9"/>
        <v>-1</v>
      </c>
      <c r="G40" s="12"/>
      <c r="H40" s="12"/>
      <c r="I40" s="12"/>
      <c r="J40" s="12"/>
      <c r="K40" s="12"/>
      <c r="L40" s="12"/>
    </row>
    <row r="41" spans="2:12">
      <c r="C41" s="34" t="s">
        <v>369</v>
      </c>
      <c r="D41" s="35">
        <f>SUM(D33:D40)</f>
        <v>1103</v>
      </c>
      <c r="E41" s="35">
        <f>SUM(E33:E40)</f>
        <v>1103</v>
      </c>
      <c r="F41" s="35" t="s">
        <v>345</v>
      </c>
      <c r="G41" s="12"/>
      <c r="H41" s="12"/>
      <c r="I41" s="12"/>
      <c r="J41" s="12"/>
      <c r="K41" s="12"/>
      <c r="L41" s="12"/>
    </row>
    <row r="42" spans="2:12">
      <c r="C42" s="12"/>
      <c r="D42" s="12"/>
      <c r="E42" s="12"/>
      <c r="F42" s="12"/>
      <c r="G42" s="12"/>
      <c r="H42" s="12"/>
      <c r="I42" s="12"/>
      <c r="J42" s="12"/>
      <c r="K42" s="12"/>
      <c r="L42" s="12"/>
    </row>
    <row r="43" spans="2:12">
      <c r="C43" s="12" t="s">
        <v>2622</v>
      </c>
      <c r="D43" s="12"/>
      <c r="E43" s="12"/>
      <c r="F43" s="12"/>
      <c r="G43" s="12"/>
      <c r="H43" s="12"/>
      <c r="I43" s="12"/>
      <c r="J43" s="12"/>
      <c r="K43" s="12"/>
      <c r="L43" s="12"/>
    </row>
    <row r="44" spans="2:12">
      <c r="D44" s="321"/>
      <c r="E44" s="12"/>
      <c r="F44" s="12"/>
      <c r="G44" s="12"/>
      <c r="H44" s="12"/>
      <c r="I44" s="12"/>
      <c r="J44" s="12"/>
      <c r="K44" s="12"/>
      <c r="L44" s="12"/>
    </row>
    <row r="45" spans="2:12">
      <c r="D45" s="372" t="s">
        <v>101</v>
      </c>
      <c r="E45" s="372"/>
      <c r="F45" s="372"/>
      <c r="G45" s="372" t="s">
        <v>118</v>
      </c>
      <c r="H45" s="372"/>
      <c r="I45" s="372"/>
    </row>
    <row r="46" spans="2:12">
      <c r="B46" s="370" t="s">
        <v>2623</v>
      </c>
      <c r="C46" s="370"/>
      <c r="D46" s="34" t="s">
        <v>2624</v>
      </c>
      <c r="E46" s="34" t="s">
        <v>2625</v>
      </c>
      <c r="F46" s="34" t="s">
        <v>2626</v>
      </c>
      <c r="G46" s="34" t="s">
        <v>2624</v>
      </c>
      <c r="H46" s="34" t="s">
        <v>2625</v>
      </c>
      <c r="I46" s="34" t="s">
        <v>2626</v>
      </c>
    </row>
    <row r="47" spans="2:12">
      <c r="B47" s="373" t="s">
        <v>2627</v>
      </c>
      <c r="C47" s="35">
        <v>-2</v>
      </c>
      <c r="D47" s="36">
        <f>COUNTIF(Municipios!AD:AD,Comparativos_Mun!C47)</f>
        <v>0</v>
      </c>
      <c r="E47" s="36">
        <f>COUNTIF(Municipios!AO:AO,Comparativos_Mun!C47)</f>
        <v>3</v>
      </c>
      <c r="F47" s="36">
        <f>COUNTIF(Municipios!AV:AV,Comparativos_Mun!C47)</f>
        <v>16</v>
      </c>
      <c r="G47" s="207">
        <f>D47/$D$52</f>
        <v>0</v>
      </c>
      <c r="H47" s="207">
        <f>E47/$E$52</f>
        <v>2.7198549410698096E-3</v>
      </c>
      <c r="I47" s="207">
        <f>F47/$F$52</f>
        <v>1.4505893019038985E-2</v>
      </c>
    </row>
    <row r="48" spans="2:12">
      <c r="B48" s="373"/>
      <c r="C48" s="35">
        <v>-1</v>
      </c>
      <c r="D48" s="36">
        <f>COUNTIF(Municipios!AD:AD,Comparativos_Mun!C48)</f>
        <v>166</v>
      </c>
      <c r="E48" s="36">
        <f>COUNTIF(Municipios!AO:AO,Comparativos_Mun!C48)</f>
        <v>350</v>
      </c>
      <c r="F48" s="36">
        <f>COUNTIF(Municipios!AV:AV,Comparativos_Mun!C48)</f>
        <v>410</v>
      </c>
      <c r="G48" s="207">
        <f>D48/$D$52</f>
        <v>0.15049864007252947</v>
      </c>
      <c r="H48" s="207">
        <f t="shared" ref="H48:H51" si="10">E48/$E$52</f>
        <v>0.31731640979147779</v>
      </c>
      <c r="I48" s="207">
        <f t="shared" ref="I48:I51" si="11">F48/$F$52</f>
        <v>0.371713508612874</v>
      </c>
    </row>
    <row r="49" spans="2:9">
      <c r="B49" s="36" t="s">
        <v>2834</v>
      </c>
      <c r="C49" s="35">
        <v>0</v>
      </c>
      <c r="D49" s="36">
        <f>COUNTIF(Municipios!AD:AD,Comparativos_Mun!C49)</f>
        <v>919</v>
      </c>
      <c r="E49" s="101">
        <f>COUNTIF(Municipios!AO:AO,Comparativos_Mun!C49)</f>
        <v>712</v>
      </c>
      <c r="F49" s="101">
        <f>COUNTIF(Municipios!AV:AV,Comparativos_Mun!C49)</f>
        <v>616</v>
      </c>
      <c r="G49" s="207">
        <f>D49/$D$52</f>
        <v>0.83318223028105165</v>
      </c>
      <c r="H49" s="207">
        <f t="shared" si="10"/>
        <v>0.64551223934723478</v>
      </c>
      <c r="I49" s="207">
        <f t="shared" si="11"/>
        <v>0.55847688123300088</v>
      </c>
    </row>
    <row r="50" spans="2:9">
      <c r="B50" s="374" t="s">
        <v>2628</v>
      </c>
      <c r="C50" s="35">
        <v>1</v>
      </c>
      <c r="D50" s="36">
        <f>COUNTIF(Municipios!AD:AD,Comparativos_Mun!C50)</f>
        <v>18</v>
      </c>
      <c r="E50" s="36">
        <f>COUNTIF(Municipios!AO:AO,Comparativos_Mun!C50)</f>
        <v>33</v>
      </c>
      <c r="F50" s="36">
        <f>COUNTIF(Municipios!AV:AV,Comparativos_Mun!C50)</f>
        <v>56</v>
      </c>
      <c r="G50" s="207">
        <f>D50/$D$52</f>
        <v>1.6319129646418858E-2</v>
      </c>
      <c r="H50" s="207">
        <f t="shared" si="10"/>
        <v>2.9918404351767906E-2</v>
      </c>
      <c r="I50" s="207">
        <f t="shared" si="11"/>
        <v>5.0770625566636446E-2</v>
      </c>
    </row>
    <row r="51" spans="2:9">
      <c r="B51" s="374"/>
      <c r="C51" s="35">
        <v>2</v>
      </c>
      <c r="D51" s="36">
        <f>COUNTIF(Municipios!AD:AD,Comparativos_Mun!C51)</f>
        <v>0</v>
      </c>
      <c r="E51" s="36">
        <f>COUNTIF(Municipios!AO:AO,Comparativos_Mun!C51)</f>
        <v>5</v>
      </c>
      <c r="F51" s="36">
        <f>COUNTIF(Municipios!AV:AV,Comparativos_Mun!C51)</f>
        <v>5</v>
      </c>
      <c r="G51" s="207">
        <f>D51/$D$52</f>
        <v>0</v>
      </c>
      <c r="H51" s="207">
        <f t="shared" si="10"/>
        <v>4.5330915684496827E-3</v>
      </c>
      <c r="I51" s="207">
        <f t="shared" si="11"/>
        <v>4.5330915684496827E-3</v>
      </c>
    </row>
    <row r="52" spans="2:9">
      <c r="B52" s="375" t="s">
        <v>2629</v>
      </c>
      <c r="C52" s="375"/>
      <c r="D52" s="5">
        <f t="shared" ref="D52:I52" si="12">SUM(D47:D51)</f>
        <v>1103</v>
      </c>
      <c r="E52" s="5">
        <f t="shared" si="12"/>
        <v>1103</v>
      </c>
      <c r="F52" s="5">
        <f t="shared" si="12"/>
        <v>1103</v>
      </c>
      <c r="G52" s="208">
        <f t="shared" si="12"/>
        <v>1</v>
      </c>
      <c r="H52" s="208">
        <f t="shared" si="12"/>
        <v>1</v>
      </c>
      <c r="I52" s="208">
        <f t="shared" si="12"/>
        <v>1</v>
      </c>
    </row>
    <row r="54" spans="2:9">
      <c r="C54" s="45" t="s">
        <v>2623</v>
      </c>
      <c r="D54" s="34" t="s">
        <v>2624</v>
      </c>
      <c r="E54" s="34" t="s">
        <v>2625</v>
      </c>
      <c r="F54" s="34" t="s">
        <v>2626</v>
      </c>
    </row>
    <row r="55" spans="2:9">
      <c r="C55" s="86" t="s">
        <v>2627</v>
      </c>
      <c r="D55" s="18">
        <f>+SUM(D47:D48)</f>
        <v>166</v>
      </c>
      <c r="E55" s="18">
        <f>+SUM(E47:E48)</f>
        <v>353</v>
      </c>
      <c r="F55" s="18">
        <f>+SUM(F47:F48)</f>
        <v>426</v>
      </c>
    </row>
    <row r="56" spans="2:9">
      <c r="C56" s="88" t="s">
        <v>2628</v>
      </c>
      <c r="D56" s="18">
        <f>SUM(D50:D51)</f>
        <v>18</v>
      </c>
      <c r="E56" s="18">
        <f>SUM(E50:E51)</f>
        <v>38</v>
      </c>
      <c r="F56" s="18">
        <f>SUM(F50:F51)</f>
        <v>61</v>
      </c>
    </row>
    <row r="57" spans="2:9">
      <c r="C57" s="35" t="s">
        <v>2629</v>
      </c>
      <c r="D57" s="5">
        <f>SUM(D55:D56)</f>
        <v>184</v>
      </c>
      <c r="E57" s="5">
        <f>SUM(E55:E56)</f>
        <v>391</v>
      </c>
      <c r="F57" s="5">
        <f>SUM(F55:F56)</f>
        <v>487</v>
      </c>
    </row>
    <row r="58" spans="2:9">
      <c r="C58" s="35" t="s">
        <v>2630</v>
      </c>
      <c r="D58" s="117">
        <f>D57/D52</f>
        <v>0.16681776971894832</v>
      </c>
      <c r="E58" s="117">
        <f>E57/E52</f>
        <v>0.35448776065276516</v>
      </c>
      <c r="F58" s="117">
        <f>F57/F52</f>
        <v>0.44152311876699907</v>
      </c>
    </row>
    <row r="59" spans="2:9">
      <c r="H59" s="237" t="s">
        <v>2811</v>
      </c>
    </row>
    <row r="60" spans="2:9">
      <c r="B60" s="222"/>
      <c r="C60" s="34" t="s">
        <v>2631</v>
      </c>
      <c r="D60" s="34" t="s">
        <v>2624</v>
      </c>
      <c r="E60" s="34" t="s">
        <v>2625</v>
      </c>
      <c r="G60" s="236"/>
      <c r="H60" s="238" t="s">
        <v>2812</v>
      </c>
      <c r="I60" s="236"/>
    </row>
    <row r="61" spans="2:9">
      <c r="B61" s="222"/>
      <c r="C61" s="40" t="s">
        <v>2632</v>
      </c>
      <c r="D61" s="219">
        <f>+COUNTIFS(Municipios!AD3:AD1105,"&lt;0",Municipios!AE3:AE1105,"&lt;0")</f>
        <v>131</v>
      </c>
      <c r="E61" s="219">
        <f>+COUNTIFS(Municipios!AO3:AO1105,"&lt;0",Municipios!AE3:AE1105,"&lt;0")</f>
        <v>209</v>
      </c>
      <c r="G61" s="177"/>
      <c r="H61" s="238" t="s">
        <v>2813</v>
      </c>
      <c r="I61" s="177"/>
    </row>
    <row r="62" spans="2:9">
      <c r="B62" s="222"/>
      <c r="C62" s="41" t="s">
        <v>2633</v>
      </c>
      <c r="D62" s="44">
        <f>+COUNTIFS(Municipios!AD3:AD1105,"&lt;0",Municipios!AE3:AE1105,"&gt;0")</f>
        <v>35</v>
      </c>
      <c r="E62" s="44">
        <f>+COUNTIFS(Municipios!AO3:AO1105,"&lt;0",Municipios!AE3:AE1105,"&gt;0")</f>
        <v>144</v>
      </c>
      <c r="F62" s="239"/>
      <c r="H62" s="239" t="s">
        <v>2814</v>
      </c>
      <c r="I62" s="177"/>
    </row>
    <row r="63" spans="2:9">
      <c r="B63" s="222"/>
      <c r="C63" s="35" t="s">
        <v>2629</v>
      </c>
      <c r="D63" s="35">
        <f>+SUM(D61:D62)</f>
        <v>166</v>
      </c>
      <c r="E63" s="35">
        <f>+SUM(E61:E62)</f>
        <v>353</v>
      </c>
      <c r="F63" s="238"/>
      <c r="H63" s="239" t="s">
        <v>2815</v>
      </c>
      <c r="I63" s="177"/>
    </row>
    <row r="64" spans="2:9">
      <c r="B64" s="222"/>
      <c r="F64" s="240"/>
      <c r="G64" s="177"/>
      <c r="H64" s="239"/>
      <c r="I64" s="177"/>
    </row>
    <row r="65" spans="2:8">
      <c r="B65" s="222"/>
      <c r="C65" s="34" t="s">
        <v>2634</v>
      </c>
      <c r="D65" s="34" t="s">
        <v>2624</v>
      </c>
      <c r="E65" s="34" t="s">
        <v>2625</v>
      </c>
      <c r="H65" s="239"/>
    </row>
    <row r="66" spans="2:8">
      <c r="B66" s="222"/>
      <c r="C66" s="242" t="s">
        <v>2635</v>
      </c>
      <c r="D66" s="48">
        <f>+COUNTIFS(Municipios!AD3:AD1105,"&lt;0",Municipios!AE3:AE1105,"&gt;0",Municipios!AJ3:AJ1105,C66)</f>
        <v>19</v>
      </c>
      <c r="E66" s="48">
        <f>+COUNTIFS(Municipios!AO3:AO1105,"&lt;0",Municipios!AE3:AE1105,"&gt;0",Municipios!AT3:AT1105,C66)</f>
        <v>80</v>
      </c>
      <c r="H66" s="239"/>
    </row>
    <row r="67" spans="2:8">
      <c r="B67" s="222"/>
      <c r="C67" s="42" t="s">
        <v>2637</v>
      </c>
      <c r="D67" s="251">
        <f>+COUNTIFS(Municipios!AD5:AD1107,"&lt;0",Municipios!AE5:AE1107,"&gt;0",Municipios!AJ5:AJ1107,C67)</f>
        <v>16</v>
      </c>
      <c r="E67" s="251">
        <f>+COUNTIFS(Municipios!AO4:AO1106,"&lt;0",Municipios!AE4:AE1106,"&gt;0",Municipios!AT4:AT1106,C67)</f>
        <v>64</v>
      </c>
    </row>
    <row r="68" spans="2:8">
      <c r="B68" s="222"/>
      <c r="C68" s="41" t="s">
        <v>2636</v>
      </c>
      <c r="D68" s="48">
        <f>+COUNTIFS(Municipios!AD4:AD1106,"&lt;0",Municipios!AE4:AE1106,"&gt;0",Municipios!AJ4:AJ1106,C68)</f>
        <v>0</v>
      </c>
      <c r="E68" s="48">
        <f>+COUNTIFS(Municipios!AO5:AO1107,"&lt;0",Municipios!AE5:AE1107,"&gt;0",Municipios!AT5:AT1107,C68)</f>
        <v>0</v>
      </c>
      <c r="H68" s="239"/>
    </row>
    <row r="69" spans="2:8">
      <c r="B69" s="222"/>
      <c r="C69" s="35" t="s">
        <v>369</v>
      </c>
      <c r="D69" s="54">
        <f>SUM(D66:D68)</f>
        <v>35</v>
      </c>
      <c r="E69" s="54">
        <f>SUM(E66:E68)</f>
        <v>144</v>
      </c>
    </row>
    <row r="71" spans="2:8">
      <c r="B71" s="223"/>
      <c r="C71" s="34" t="s">
        <v>2638</v>
      </c>
      <c r="D71" s="34" t="s">
        <v>2624</v>
      </c>
      <c r="E71" s="34" t="s">
        <v>2625</v>
      </c>
    </row>
    <row r="72" spans="2:8">
      <c r="B72" s="223"/>
      <c r="C72" s="40" t="s">
        <v>2632</v>
      </c>
      <c r="D72" s="48">
        <f>+COUNTIFS(Municipios!AD3:AD1105,"&gt;0",Municipios!AE3:AE1105,"&lt;0")</f>
        <v>0</v>
      </c>
      <c r="E72" s="48">
        <f>+COUNTIFS(Municipios!AO3:AO1105,"&gt;0",Municipios!AE3:AE1105,"&lt;0")</f>
        <v>6</v>
      </c>
    </row>
    <row r="73" spans="2:8">
      <c r="B73" s="223"/>
      <c r="C73" s="41" t="s">
        <v>2633</v>
      </c>
      <c r="D73" s="47">
        <f>+COUNTIFS(Municipios!AD3:AD1105,"&gt;0",Municipios!AE3:AE1105,"&gt;0")</f>
        <v>18</v>
      </c>
      <c r="E73" s="47">
        <f>+COUNTIFS(Municipios!AO3:AO1105,"&gt;0",Municipios!AE3:AE1105,"&gt;0")</f>
        <v>32</v>
      </c>
    </row>
    <row r="74" spans="2:8">
      <c r="B74" s="223"/>
      <c r="C74" s="35" t="s">
        <v>2629</v>
      </c>
      <c r="D74" s="35">
        <f>+SUM(D72:D73)</f>
        <v>18</v>
      </c>
      <c r="E74" s="35">
        <f>+SUM(E72:E73)</f>
        <v>38</v>
      </c>
    </row>
    <row r="75" spans="2:8">
      <c r="B75" s="223"/>
    </row>
    <row r="76" spans="2:8">
      <c r="B76" s="223"/>
      <c r="C76" s="34" t="s">
        <v>2639</v>
      </c>
      <c r="D76" s="34" t="s">
        <v>2624</v>
      </c>
      <c r="E76" s="34" t="s">
        <v>2625</v>
      </c>
    </row>
    <row r="77" spans="2:8">
      <c r="B77" s="223"/>
      <c r="C77" s="242" t="s">
        <v>2635</v>
      </c>
      <c r="D77" s="48">
        <f>+COUNTIFS(Municipios!AD3:AD1105,"&gt;0",Municipios!AE3:AE1105,"&lt;0",Municipios!AJ3:AJ1105,C77)</f>
        <v>0</v>
      </c>
      <c r="E77" s="48">
        <f>+COUNTIFS(Municipios!AO3:AO1105,"&gt;0",Municipios!AE3:AE1105,"&lt;0",Municipios!AT3:AT1105,C77)</f>
        <v>4</v>
      </c>
    </row>
    <row r="78" spans="2:8">
      <c r="B78" s="223"/>
      <c r="C78" s="42" t="s">
        <v>2637</v>
      </c>
      <c r="D78" s="48">
        <f>+COUNTIFS(Municipios!AD5:AD1107,"&gt;0",Municipios!AE5:AE1107,"&lt;0",Municipios!AJ5:AJ1107,C78)</f>
        <v>0</v>
      </c>
      <c r="E78" s="48">
        <f>+COUNTIFS(Municipios!AO5:AO1107,"&gt;0",Municipios!AE5:AE1107,"&lt;0",Municipios!AT5:AT1107,C78)</f>
        <v>2</v>
      </c>
    </row>
    <row r="79" spans="2:8">
      <c r="B79" s="223"/>
      <c r="C79" s="41" t="s">
        <v>2636</v>
      </c>
      <c r="D79" s="48">
        <f>+COUNTIFS(Municipios!AD4:AD1106,"&gt;0",Municipios!AE4:AE1106,"&lt;0",Municipios!AJ4:AJ1106,C79)</f>
        <v>0</v>
      </c>
      <c r="E79" s="48">
        <f>+COUNTIFS(Municipios!AO4:AO1106,"&gt;0",Municipios!AE4:AE1106,"&lt;0",Municipios!AT4:AT1106,C79)</f>
        <v>0</v>
      </c>
    </row>
    <row r="80" spans="2:8">
      <c r="B80" s="223"/>
      <c r="C80" s="35" t="s">
        <v>369</v>
      </c>
      <c r="D80" s="54">
        <f>SUM(D77:D79)</f>
        <v>0</v>
      </c>
      <c r="E80" s="54">
        <f>SUM(E77:E79)</f>
        <v>6</v>
      </c>
    </row>
  </sheetData>
  <mergeCells count="6">
    <mergeCell ref="G45:I45"/>
    <mergeCell ref="B47:B48"/>
    <mergeCell ref="B50:B51"/>
    <mergeCell ref="B46:C46"/>
    <mergeCell ref="B52:C52"/>
    <mergeCell ref="D45:F45"/>
  </mergeCells>
  <phoneticPr fontId="28" type="noConversion"/>
  <pageMargins left="0.7" right="0.7" top="0.75" bottom="0.75" header="0.3" footer="0.3"/>
  <pageSetup orientation="portrait" r:id="rId1"/>
  <drawing r:id="rId2"/>
  <legacyDrawing r:id="rId3"/>
  <extLst>
    <ext xmlns:x15="http://schemas.microsoft.com/office/spreadsheetml/2010/11/main" uri="{F7C9EE02-42E1-4005-9D12-6889AFFD525C}">
      <x15:webExtensions xmlns:xm="http://schemas.microsoft.com/office/excel/2006/main">
        <x15:webExtension appRef="{15F99052-6690-470C-87AB-8F937AB2EFC7}">
          <xm:f>Comparativos_Mun!1:1048576</xm:f>
        </x15:webExtension>
        <x15:webExtension appRef="{3BD6034F-CD0A-4424-AE17-F9FEA09AB3D6}">
          <xm:f>Comparativos_Mun!XER1048438:XFD1048576</xm:f>
        </x15:webExtension>
      </x15:webExtens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EF97-6F13-460C-B8B9-097950D24076}">
  <dimension ref="A2:AK325"/>
  <sheetViews>
    <sheetView showGridLines="0" zoomScale="85" zoomScaleNormal="85" workbookViewId="0">
      <selection activeCell="H44" sqref="H44"/>
    </sheetView>
  </sheetViews>
  <sheetFormatPr baseColWidth="10" defaultColWidth="11.4140625" defaultRowHeight="14"/>
  <cols>
    <col min="1" max="1" width="59.75" bestFit="1" customWidth="1"/>
    <col min="2" max="2" width="22.83203125" bestFit="1" customWidth="1"/>
    <col min="3" max="4" width="11" customWidth="1"/>
    <col min="5" max="5" width="13.1640625" customWidth="1"/>
    <col min="6" max="6" width="10" customWidth="1"/>
    <col min="7" max="7" width="12.75" customWidth="1"/>
    <col min="8" max="8" width="17.25" bestFit="1" customWidth="1"/>
    <col min="9" max="9" width="12.58203125" bestFit="1" customWidth="1"/>
    <col min="10" max="10" width="16.58203125" customWidth="1"/>
    <col min="11" max="11" width="17.4140625" customWidth="1"/>
    <col min="12" max="12" width="17.25" customWidth="1"/>
    <col min="13" max="13" width="15.4140625" customWidth="1"/>
    <col min="14" max="14" width="18.4140625" customWidth="1"/>
    <col min="15" max="15" width="15.1640625" customWidth="1"/>
    <col min="16" max="16" width="12.25" customWidth="1"/>
    <col min="17" max="17" width="13.75" customWidth="1"/>
    <col min="18" max="19" width="9" bestFit="1" customWidth="1"/>
    <col min="20" max="20" width="10" bestFit="1" customWidth="1"/>
    <col min="21" max="21" width="21.25" customWidth="1"/>
    <col min="22" max="22" width="10" bestFit="1" customWidth="1"/>
    <col min="23" max="23" width="12" bestFit="1" customWidth="1"/>
    <col min="24" max="24" width="6.1640625" bestFit="1" customWidth="1"/>
    <col min="25" max="25" width="9" customWidth="1"/>
    <col min="26" max="26" width="21.4140625" customWidth="1"/>
    <col min="27" max="27" width="9.1640625" bestFit="1" customWidth="1"/>
    <col min="28" max="28" width="11.25" customWidth="1"/>
    <col min="29" max="29" width="23.58203125" customWidth="1"/>
    <col min="30" max="30" width="5.1640625" bestFit="1" customWidth="1"/>
    <col min="31" max="31" width="23" bestFit="1" customWidth="1"/>
    <col min="32" max="32" width="19.58203125" bestFit="1" customWidth="1"/>
    <col min="33" max="33" width="14.83203125" bestFit="1" customWidth="1"/>
    <col min="34" max="35" width="21.4140625" bestFit="1" customWidth="1"/>
    <col min="36" max="36" width="21" bestFit="1" customWidth="1"/>
    <col min="37" max="37" width="22.4140625" bestFit="1" customWidth="1"/>
    <col min="38" max="38" width="21.58203125" bestFit="1" customWidth="1"/>
    <col min="39" max="39" width="22.4140625" bestFit="1" customWidth="1"/>
    <col min="40" max="40" width="28.4140625" bestFit="1" customWidth="1"/>
    <col min="41" max="41" width="28" bestFit="1" customWidth="1"/>
    <col min="42" max="42" width="23.4140625" bestFit="1" customWidth="1"/>
    <col min="43" max="43" width="26.83203125" bestFit="1" customWidth="1"/>
    <col min="44" max="44" width="27.4140625" bestFit="1" customWidth="1"/>
    <col min="45" max="45" width="29.4140625" bestFit="1" customWidth="1"/>
    <col min="46" max="46" width="28.58203125" bestFit="1" customWidth="1"/>
  </cols>
  <sheetData>
    <row r="2" spans="1:9" ht="29.25" customHeight="1">
      <c r="A2" s="113" t="s">
        <v>367</v>
      </c>
      <c r="B2" s="45"/>
      <c r="C2" s="113" t="s">
        <v>2943</v>
      </c>
      <c r="D2" s="113" t="s">
        <v>2913</v>
      </c>
      <c r="E2" s="113" t="s">
        <v>411</v>
      </c>
      <c r="F2" s="113" t="s">
        <v>410</v>
      </c>
      <c r="G2" s="45" t="s">
        <v>2646</v>
      </c>
      <c r="H2" s="113" t="s">
        <v>303</v>
      </c>
      <c r="I2" s="113" t="s">
        <v>2723</v>
      </c>
    </row>
    <row r="3" spans="1:9">
      <c r="A3" s="114" t="s">
        <v>370</v>
      </c>
      <c r="B3" s="40" t="s">
        <v>370</v>
      </c>
      <c r="C3" s="40">
        <f>+COUNTIFS(Municipios!$Y:$Y,$A3)</f>
        <v>1</v>
      </c>
      <c r="D3" s="295">
        <f t="shared" ref="D3:D6" si="0">C3/$C$10</f>
        <v>9.0661831368993653E-4</v>
      </c>
      <c r="E3" s="90">
        <f>AVERAGEIFS(Municipios!$O:$O,Municipios!$Y:$Y,$A3)</f>
        <v>83.075975973808866</v>
      </c>
      <c r="F3" s="90">
        <f>AVERAGEIFS(Municipios!$N:$N,Municipios!$Y:$Y,$A3)</f>
        <v>96.758853407492637</v>
      </c>
      <c r="G3" s="90">
        <f>AVERAGEIFS(Municipios!$P:$P,Municipios!$Y:$Y,$A3)</f>
        <v>89.917414690650759</v>
      </c>
      <c r="H3" s="90">
        <f>AVERAGEIFS(Municipios!$R:$R,Municipios!$Y:$Y,$A3)</f>
        <v>83.705058246668472</v>
      </c>
      <c r="I3" s="90">
        <f>IFERROR(AVERAGEIFS(Municipios!$U:$U,Municipios!$Y:$Y,$A3),"N.D.")</f>
        <v>76.730623375701967</v>
      </c>
    </row>
    <row r="4" spans="1:9">
      <c r="A4" s="115" t="s">
        <v>371</v>
      </c>
      <c r="B4" s="41" t="s">
        <v>2663</v>
      </c>
      <c r="C4" s="40">
        <f>+COUNTIFS(Municipios!$Y:$Y,$A4)</f>
        <v>5</v>
      </c>
      <c r="D4" s="295">
        <f t="shared" si="0"/>
        <v>4.5330915684496827E-3</v>
      </c>
      <c r="E4" s="90">
        <f>AVERAGEIFS(Municipios!$O:$O,Municipios!$Y:$Y,$A4)</f>
        <v>67.422853820518327</v>
      </c>
      <c r="F4" s="90">
        <f>AVERAGEIFS(Municipios!$N:$N,Municipios!$Y:$Y,$A4)</f>
        <v>86.715506077867275</v>
      </c>
      <c r="G4" s="90">
        <f>AVERAGEIFS(Municipios!$P:$P,Municipios!$Y:$Y,$A4)</f>
        <v>77.069179949192815</v>
      </c>
      <c r="H4" s="90">
        <f>AVERAGEIFS(Municipios!$R:$R,Municipios!$Y:$Y,$A4)</f>
        <v>85.083057432728197</v>
      </c>
      <c r="I4" s="90">
        <f>IFERROR(AVERAGEIFS(Municipios!$U:$U,Municipios!$Y:$Y,$A4),"N.D.")</f>
        <v>66.878391873470065</v>
      </c>
    </row>
    <row r="5" spans="1:9">
      <c r="A5" s="141">
        <v>1</v>
      </c>
      <c r="B5" s="41">
        <v>1</v>
      </c>
      <c r="C5" s="40">
        <f>+COUNTIFS(Municipios!$Y:$Y,$A5)</f>
        <v>49</v>
      </c>
      <c r="D5" s="295">
        <f t="shared" si="0"/>
        <v>4.4424297370806894E-2</v>
      </c>
      <c r="E5" s="90">
        <f>AVERAGEIFS(Municipios!$O:$O,Municipios!$Y:$Y,$A5)</f>
        <v>64.368002480162957</v>
      </c>
      <c r="F5" s="90">
        <f>AVERAGEIFS(Municipios!$N:$N,Municipios!$Y:$Y,$A5)</f>
        <v>80.000165996245059</v>
      </c>
      <c r="G5" s="90">
        <f>AVERAGEIFS(Municipios!$P:$P,Municipios!$Y:$Y,$A5)</f>
        <v>72.184084238203994</v>
      </c>
      <c r="H5" s="90">
        <f>AVERAGEIFS(Municipios!$R:$R,Municipios!$Y:$Y,$A5)</f>
        <v>72.44111757599056</v>
      </c>
      <c r="I5" s="90">
        <f>IFERROR(AVERAGEIFS(Municipios!$U:$U,Municipios!$Y:$Y,$A5),"N.D.")</f>
        <v>54.342027627784475</v>
      </c>
    </row>
    <row r="6" spans="1:9">
      <c r="A6" s="141">
        <v>2</v>
      </c>
      <c r="B6" s="41">
        <v>2</v>
      </c>
      <c r="C6" s="40">
        <f>+COUNTIFS(Municipios!$Y:$Y,$A6)</f>
        <v>153</v>
      </c>
      <c r="D6" s="295">
        <f t="shared" si="0"/>
        <v>0.13871260199456029</v>
      </c>
      <c r="E6" s="90">
        <f>AVERAGEIFS(Municipios!$O:$O,Municipios!$Y:$Y,$A6)</f>
        <v>60.244369913880064</v>
      </c>
      <c r="F6" s="90">
        <f>AVERAGEIFS(Municipios!$N:$N,Municipios!$Y:$Y,$A6)</f>
        <v>70.229857178114358</v>
      </c>
      <c r="G6" s="90">
        <f>AVERAGEIFS(Municipios!$P:$P,Municipios!$Y:$Y,$A6)</f>
        <v>65.237113545997261</v>
      </c>
      <c r="H6" s="90">
        <f>AVERAGEIFS(Municipios!$R:$R,Municipios!$Y:$Y,$A6)</f>
        <v>56.61732913185574</v>
      </c>
      <c r="I6" s="90">
        <f>IFERROR(AVERAGEIFS(Municipios!$U:$U,Municipios!$Y:$Y,$A6),"N.D.")</f>
        <v>39.577827678022743</v>
      </c>
    </row>
    <row r="7" spans="1:9">
      <c r="A7" s="141">
        <v>3</v>
      </c>
      <c r="B7" s="41">
        <v>3</v>
      </c>
      <c r="C7" s="40">
        <f>+COUNTIFS(Municipios!$Y:$Y,$A7)</f>
        <v>368</v>
      </c>
      <c r="D7" s="295">
        <f>C7/$C$10</f>
        <v>0.33363553943789664</v>
      </c>
      <c r="E7" s="90">
        <f>AVERAGEIFS(Municipios!$O:$O,Municipios!$Y:$Y,$A7)</f>
        <v>56.5563338262969</v>
      </c>
      <c r="F7" s="90">
        <f>AVERAGEIFS(Municipios!$N:$N,Municipios!$Y:$Y,$A7)</f>
        <v>63.199185416666651</v>
      </c>
      <c r="G7" s="90">
        <f>AVERAGEIFS(Municipios!$P:$P,Municipios!$Y:$Y,$A7)</f>
        <v>59.877759621481779</v>
      </c>
      <c r="H7" s="90">
        <f>AVERAGEIFS(Municipios!$R:$R,Municipios!$Y:$Y,$A7)</f>
        <v>47.888035290017591</v>
      </c>
      <c r="I7" s="90">
        <f>IFERROR(AVERAGEIFS(Municipios!$U:$U,Municipios!$Y:$Y,$A7),"N.D.")</f>
        <v>31.601413400094188</v>
      </c>
    </row>
    <row r="8" spans="1:9">
      <c r="A8" s="141">
        <v>4</v>
      </c>
      <c r="B8" s="41">
        <v>4</v>
      </c>
      <c r="C8" s="40">
        <f>+COUNTIFS(Municipios!$Y:$Y,$A8)</f>
        <v>409</v>
      </c>
      <c r="D8" s="295">
        <f t="shared" ref="D8:D9" si="1">C8/$C$10</f>
        <v>0.37080689029918407</v>
      </c>
      <c r="E8" s="90">
        <f>AVERAGEIFS(Municipios!$O:$O,Municipios!$Y:$Y,$A8)</f>
        <v>53.668278506639126</v>
      </c>
      <c r="F8" s="90">
        <f>AVERAGEIFS(Municipios!$N:$N,Municipios!$Y:$Y,$A8)</f>
        <v>54.916408946078427</v>
      </c>
      <c r="G8" s="90">
        <f>AVERAGEIFS(Municipios!$P:$P,Municipios!$Y:$Y,$A8)</f>
        <v>54.291255451363618</v>
      </c>
      <c r="H8" s="90">
        <f>AVERAGEIFS(Municipios!$R:$R,Municipios!$Y:$Y,$A8)</f>
        <v>40.781334508399617</v>
      </c>
      <c r="I8" s="90">
        <f>IFERROR(AVERAGEIFS(Municipios!$U:$U,Municipios!$Y:$Y,$A8),"N.D.")</f>
        <v>25.106129025105353</v>
      </c>
    </row>
    <row r="9" spans="1:9">
      <c r="A9" s="142">
        <v>5</v>
      </c>
      <c r="B9" s="139">
        <v>5</v>
      </c>
      <c r="C9" s="40">
        <f>+COUNTIFS(Municipios!$Y:$Y,$A9)</f>
        <v>118</v>
      </c>
      <c r="D9" s="295">
        <f t="shared" si="1"/>
        <v>0.10698096101541252</v>
      </c>
      <c r="E9" s="90">
        <f>AVERAGEIFS(Municipios!$O:$O,Municipios!$Y:$Y,$A9)</f>
        <v>51.129366913160467</v>
      </c>
      <c r="F9" s="90">
        <f>AVERAGEIFS(Municipios!$N:$N,Municipios!$Y:$Y,$A9)</f>
        <v>47.203429307909609</v>
      </c>
      <c r="G9" s="90">
        <f>AVERAGEIFS(Municipios!$P:$P,Municipios!$Y:$Y,$A9)</f>
        <v>49.166398110535035</v>
      </c>
      <c r="H9" s="90">
        <f>AVERAGEIFS(Municipios!$R:$R,Municipios!$Y:$Y,$A9)</f>
        <v>27.443857153798838</v>
      </c>
      <c r="I9" s="90">
        <f>IFERROR(AVERAGEIFS(Municipios!$U:$U,Municipios!$Y:$Y,$A9),"N.D.")</f>
        <v>16.775332962376218</v>
      </c>
    </row>
    <row r="10" spans="1:9">
      <c r="A10" s="118" t="s">
        <v>369</v>
      </c>
      <c r="B10" s="35"/>
      <c r="C10" s="35">
        <f>SUM(C3:C9)</f>
        <v>1103</v>
      </c>
      <c r="D10" s="153">
        <f>SUM(D3:D9)</f>
        <v>1</v>
      </c>
      <c r="E10" s="106">
        <f>AVERAGE(Municipios!$O:$O)</f>
        <v>55.836747975044091</v>
      </c>
      <c r="F10" s="106">
        <f>AVERAGE(Municipios!$N:$N)</f>
        <v>60.280138300844705</v>
      </c>
      <c r="G10" s="106">
        <f>AVERAGE(Municipios!$P:$P)</f>
        <v>58.055608170446476</v>
      </c>
      <c r="H10" s="106">
        <f>AVERAGE(Municipios!$R:$R)</f>
        <v>45.568381150152284</v>
      </c>
      <c r="I10" s="106">
        <f>AVERAGE(Municipios!$U:$U)</f>
        <v>29.933542946815429</v>
      </c>
    </row>
    <row r="12" spans="1:9">
      <c r="A12" s="72" t="s">
        <v>2660</v>
      </c>
    </row>
    <row r="14" spans="1:9" ht="28">
      <c r="A14" s="45" t="s">
        <v>367</v>
      </c>
      <c r="B14" s="113"/>
      <c r="C14" s="113" t="s">
        <v>2943</v>
      </c>
      <c r="D14" s="45" t="s">
        <v>237</v>
      </c>
      <c r="E14" s="45" t="s">
        <v>238</v>
      </c>
      <c r="F14" s="45" t="s">
        <v>2661</v>
      </c>
      <c r="G14" s="45" t="s">
        <v>2662</v>
      </c>
    </row>
    <row r="15" spans="1:9">
      <c r="A15" s="110" t="s">
        <v>370</v>
      </c>
      <c r="B15" s="110" t="s">
        <v>370</v>
      </c>
      <c r="C15" s="40">
        <f>+COUNTIF(Municipios!$Y$3:$Y$1105,Contrastes_Mun2!A15)</f>
        <v>1</v>
      </c>
      <c r="D15" s="90">
        <f>+AVERAGEIF(Municipios!Y$3:Y$1105,Contrastes_Mun2!$A15,Municipios!$BH$3:$BH$1105)</f>
        <v>9</v>
      </c>
      <c r="E15" s="90">
        <f>+AVERAGEIF(Municipios!Y$3:Y$1105,Contrastes_Mun2!$A15,Municipios!$BI$3:$BI$1105)</f>
        <v>3.4711883561739638</v>
      </c>
      <c r="F15" s="90">
        <f>+AVERAGEIF(Municipios!Y$3:Y$1105,Contrastes_Mun2!$A15,Municipios!$BJ$3:$BJ$1105)</f>
        <v>2.3078607939310496</v>
      </c>
      <c r="G15" s="90">
        <f>+AVERAGEIF(Municipios!Y$3:Y$1105,Contrastes_Mun2!$A15,Municipios!BL3:BL1105)</f>
        <v>1.4185282205437935</v>
      </c>
    </row>
    <row r="16" spans="1:9">
      <c r="A16" s="111" t="s">
        <v>371</v>
      </c>
      <c r="B16" s="111" t="s">
        <v>2663</v>
      </c>
      <c r="C16" s="40">
        <f>+COUNTIF(Municipios!$Y$3:$Y$1105,Contrastes_Mun2!A16)</f>
        <v>5</v>
      </c>
      <c r="D16" s="90">
        <f>+AVERAGEIF(Municipios!Y$3:Y$1105,Contrastes_Mun2!$A16,Municipios!$BH$3:$BH$1105)</f>
        <v>15.239999999999998</v>
      </c>
      <c r="E16" s="90">
        <f>+AVERAGEIF(Municipios!Y$3:Y$1105,Contrastes_Mun2!$A16,Municipios!$BI$3:$BI$1105)</f>
        <v>7.2988214724703884</v>
      </c>
      <c r="F16" s="90">
        <f>+AVERAGEIF(Municipios!Y$3:Y$1105,Contrastes_Mun2!$A16,Municipios!$BJ$3:$BJ$1105)</f>
        <v>1.0567541212849296</v>
      </c>
      <c r="G16" s="90">
        <f>+AVERAGEIF(Municipios!Y$3:Y$1105,Contrastes_Mun2!$A16,Municipios!BL4:BL1106)</f>
        <v>2.0090203996498905</v>
      </c>
    </row>
    <row r="17" spans="1:10">
      <c r="A17" s="111">
        <v>1</v>
      </c>
      <c r="B17" s="111">
        <v>1</v>
      </c>
      <c r="C17" s="40">
        <f>+COUNTIF(Municipios!$Y$3:$Y$1105,Contrastes_Mun2!A17)</f>
        <v>49</v>
      </c>
      <c r="D17" s="90">
        <f>+AVERAGEIF(Municipios!Y$3:Y$1105,Contrastes_Mun2!$A17,Municipios!$BH$3:$BH$1105)</f>
        <v>14.293877551020408</v>
      </c>
      <c r="E17" s="90">
        <f>+AVERAGEIF(Municipios!Y$3:Y$1105,Contrastes_Mun2!$A17,Municipios!$BI$3:$BI$1105)</f>
        <v>5.9467009602528673</v>
      </c>
      <c r="F17" s="90">
        <f>+AVERAGEIF(Municipios!Y$3:Y$1105,Contrastes_Mun2!$A17,Municipios!$BJ$3:$BJ$1105)</f>
        <v>3.1615469800322735</v>
      </c>
      <c r="G17" s="90">
        <f>+AVERAGEIF(Municipios!Y$3:Y$1105,Contrastes_Mun2!$A17,Municipios!BL5:BL1107)</f>
        <v>3.7128050999986657</v>
      </c>
    </row>
    <row r="18" spans="1:10">
      <c r="A18" s="111">
        <v>2</v>
      </c>
      <c r="B18" s="111">
        <v>2</v>
      </c>
      <c r="C18" s="40">
        <f>+COUNTIF(Municipios!$Y$3:$Y$1105,Contrastes_Mun2!A18)</f>
        <v>153</v>
      </c>
      <c r="D18" s="90">
        <f>+AVERAGEIF(Municipios!Y$3:Y$1105,Contrastes_Mun2!$A18,Municipios!$BH$3:$BH$1105)</f>
        <v>26.743137254901967</v>
      </c>
      <c r="E18" s="90">
        <f>+AVERAGEIF(Municipios!Y$3:Y$1105,Contrastes_Mun2!$A18,Municipios!$BI$3:$BI$1105)</f>
        <v>12.645839444194069</v>
      </c>
      <c r="F18" s="90">
        <f>+AVERAGEIF(Municipios!Y$3:Y$1105,Contrastes_Mun2!$A18,Municipios!$BJ$3:$BJ$1105)</f>
        <v>11.984576826841833</v>
      </c>
      <c r="G18" s="90">
        <f>+AVERAGEIF(Municipios!Y$3:Y$1105,Contrastes_Mun2!$A18,Municipios!BL6:BL1108)</f>
        <v>4.9440448738451073</v>
      </c>
    </row>
    <row r="19" spans="1:10" ht="15" customHeight="1">
      <c r="A19" s="111">
        <v>3</v>
      </c>
      <c r="B19" s="111">
        <v>3</v>
      </c>
      <c r="C19" s="40">
        <f>+COUNTIF(Municipios!$Y$3:$Y$1105,Contrastes_Mun2!A19)</f>
        <v>368</v>
      </c>
      <c r="D19" s="90">
        <f>+AVERAGEIF(Municipios!Y$3:Y$1105,Contrastes_Mun2!$A19,Municipios!$BH$3:$BH$1105)</f>
        <v>39.168478260869563</v>
      </c>
      <c r="E19" s="90">
        <f>+AVERAGEIF(Municipios!Y$3:Y$1105,Contrastes_Mun2!$A19,Municipios!$BI$3:$BI$1105)</f>
        <v>19.098774243283518</v>
      </c>
      <c r="F19" s="90">
        <f>+AVERAGEIF(Municipios!Y$3:Y$1105,Contrastes_Mun2!$A19,Municipios!$BJ$3:$BJ$1105)</f>
        <v>18.821717234350462</v>
      </c>
      <c r="G19" s="90">
        <f>+AVERAGEIF(Municipios!Y$3:Y$1105,Contrastes_Mun2!$A19,Municipios!BL7:BL1109)</f>
        <v>5.1602855186043204</v>
      </c>
    </row>
    <row r="20" spans="1:10" ht="15" customHeight="1">
      <c r="A20" s="111">
        <v>4</v>
      </c>
      <c r="B20" s="111">
        <v>4</v>
      </c>
      <c r="C20" s="40">
        <f>+COUNTIF(Municipios!$Y$3:$Y$1105,Contrastes_Mun2!A20)</f>
        <v>409</v>
      </c>
      <c r="D20" s="90">
        <f>+AVERAGEIF(Municipios!Y$3:Y$1105,Contrastes_Mun2!$A20,Municipios!$BH$3:$BH$1105)</f>
        <v>47.355882352941137</v>
      </c>
      <c r="E20" s="90">
        <f>+AVERAGEIF(Municipios!Y$3:Y$1105,Contrastes_Mun2!$A20,Municipios!$BI$3:$BI$1105)</f>
        <v>26.151735783262374</v>
      </c>
      <c r="F20" s="90">
        <f>+AVERAGEIF(Municipios!Y$3:Y$1105,Contrastes_Mun2!$A20,Municipios!$BJ$3:$BJ$1105)</f>
        <v>25.865581903000784</v>
      </c>
      <c r="G20" s="90">
        <f>+AVERAGEIF(Municipios!Y$3:Y$1105,Contrastes_Mun2!$A20,Municipios!BL8:BL1110)</f>
        <v>9.436598986131397</v>
      </c>
    </row>
    <row r="21" spans="1:10">
      <c r="A21" s="112">
        <v>5</v>
      </c>
      <c r="B21" s="138">
        <v>5</v>
      </c>
      <c r="C21" s="40">
        <f>+COUNTIF(Municipios!$Y$3:$Y$1105,Contrastes_Mun2!A21)</f>
        <v>118</v>
      </c>
      <c r="D21" s="90">
        <f>+AVERAGEIF(Municipios!Y$3:Y$1105,Contrastes_Mun2!$A21,Municipios!$BH$3:$BH$1105)</f>
        <v>55.444067796610184</v>
      </c>
      <c r="E21" s="90">
        <f>+AVERAGEIF(Municipios!Y$3:Y$1105,Contrastes_Mun2!$A21,Municipios!$BI$3:$BI$1105)</f>
        <v>37.125504666403394</v>
      </c>
      <c r="F21" s="90">
        <f>+AVERAGEIF(Municipios!Y$3:Y$1105,Contrastes_Mun2!$A21,Municipios!$BJ$3:$BJ$1105)</f>
        <v>19.917853261034097</v>
      </c>
      <c r="G21" s="90">
        <f>+AVERAGEIF(Municipios!Y$3:Y$1105,Contrastes_Mun2!$A21,Municipios!BL9:BL1111)</f>
        <v>15.225053129063619</v>
      </c>
    </row>
    <row r="22" spans="1:10">
      <c r="A22" s="35" t="s">
        <v>369</v>
      </c>
      <c r="B22" s="58"/>
      <c r="C22" s="58">
        <f>+SUM(C15:C21)</f>
        <v>1103</v>
      </c>
      <c r="D22" s="106">
        <f>+AVERAGE(Municipios!$BH$3:$BH$1105)</f>
        <v>40.975408348457357</v>
      </c>
      <c r="E22" s="106">
        <f>+AVERAGE(Municipios!$BI$3:$BI$1105)</f>
        <v>22.091863656504163</v>
      </c>
      <c r="F22" s="106">
        <f>+AVERAGE(Municipios!$BJ$3:$BJ$1105)</f>
        <v>19.766315143853433</v>
      </c>
      <c r="G22" s="106">
        <f>+AVERAGE(Municipios!Y$3:Y$1105)</f>
        <v>3.359161349134002</v>
      </c>
    </row>
    <row r="24" spans="1:10" ht="52.5">
      <c r="A24" s="45" t="s">
        <v>367</v>
      </c>
      <c r="B24" s="45"/>
      <c r="C24" s="113" t="s">
        <v>2943</v>
      </c>
      <c r="D24" s="309" t="s">
        <v>2934</v>
      </c>
      <c r="E24" s="309" t="s">
        <v>2935</v>
      </c>
      <c r="F24" s="309" t="s">
        <v>2936</v>
      </c>
      <c r="G24" s="309" t="s">
        <v>2937</v>
      </c>
      <c r="H24" s="309" t="s">
        <v>2938</v>
      </c>
      <c r="I24" s="309" t="s">
        <v>2939</v>
      </c>
      <c r="J24" s="309" t="s">
        <v>2940</v>
      </c>
    </row>
    <row r="25" spans="1:10">
      <c r="A25" s="40" t="s">
        <v>370</v>
      </c>
      <c r="B25" s="40" t="s">
        <v>370</v>
      </c>
      <c r="C25" s="36">
        <f>+COUNTIF(Municipios!$Y$3:$Y$1105,Contrastes_Mun2!A25)</f>
        <v>1</v>
      </c>
      <c r="D25" s="64">
        <f>+AVERAGEIF(Municipios!Y$3:Y$1105,Contrastes_Mun2!$A25,Municipios!$CV$3:$CV$1105)</f>
        <v>70.72686767578125</v>
      </c>
      <c r="E25" s="64">
        <f>+AVERAGEIF(Municipios!Y$3:Y$1105,Contrastes_Mun2!$A25,Municipios!$CW$3:$CW$1105)</f>
        <v>88.027862548828125</v>
      </c>
      <c r="F25" s="64">
        <f>+AVERAGEIF(Municipios!Y$3:Y$1105,Contrastes_Mun2!$A25,Municipios!$CX$3:$CX$1105)</f>
        <v>59.419956207275391</v>
      </c>
      <c r="G25" s="64">
        <f>+AVERAGEIF(Municipios!Y$3:Y$1105,Contrastes_Mun2!$A25,Municipios!$CY$3:$CY$1105)</f>
        <v>79.996505737304688</v>
      </c>
      <c r="H25" s="64">
        <f>+AVERAGEIF(Municipios!Y$3:Y$1105,Contrastes_Mun2!$A25,Municipios!$CZ$3:$CZ$1105)</f>
        <v>87.758522033691406</v>
      </c>
      <c r="I25" s="64">
        <f>+AVERAGEIF(Municipios!Y$3:Y$1105,Contrastes_Mun2!$A25,Municipios!$DA$3:$DA$1105)</f>
        <v>29.926023483276371</v>
      </c>
      <c r="J25" s="64">
        <f>+AVERAGEIF(Municipios!Y$3:Y$1105,Contrastes_Mun2!$A25,Municipios!$DB$3:$DB$1105)</f>
        <v>79.232345581054688</v>
      </c>
    </row>
    <row r="26" spans="1:10">
      <c r="A26" s="41" t="s">
        <v>371</v>
      </c>
      <c r="B26" s="41" t="s">
        <v>2663</v>
      </c>
      <c r="C26" s="36">
        <f>+COUNTIF(Municipios!$Y$3:$Y$1105,Contrastes_Mun2!A26)</f>
        <v>5</v>
      </c>
      <c r="D26" s="64">
        <f>+AVERAGEIF(Municipios!Y$3:Y$1105,Contrastes_Mun2!$A26,Municipios!$CV$3:$CV$1105)</f>
        <v>65.213648223876959</v>
      </c>
      <c r="E26" s="64">
        <f>+AVERAGEIF(Municipios!Y$3:Y$1105,Contrastes_Mun2!$A26,Municipios!$CW$3:$CW$1105)</f>
        <v>76.508988952636713</v>
      </c>
      <c r="F26" s="64">
        <f>+AVERAGEIF(Municipios!Y$3:Y$1105,Contrastes_Mun2!$A26,Municipios!$CX$3:$CX$1105)</f>
        <v>60.869424438476564</v>
      </c>
      <c r="G26" s="64">
        <f>+AVERAGEIF(Municipios!Y$3:Y$1105,Contrastes_Mun2!$A26,Municipios!$CY$3:$CY$1105)</f>
        <v>80.260020446777347</v>
      </c>
      <c r="H26" s="64">
        <f>+AVERAGEIF(Municipios!Y$3:Y$1105,Contrastes_Mun2!$A26,Municipios!$CZ$3:$CZ$1105)</f>
        <v>75.213222503662109</v>
      </c>
      <c r="I26" s="64">
        <f>+AVERAGEIF(Municipios!Y$3:Y$1105,Contrastes_Mun2!$A26,Municipios!$DA$3:$DA$1105)</f>
        <v>28.664819717407227</v>
      </c>
      <c r="J26" s="64">
        <f>+AVERAGEIF(Municipios!Y$3:Y$1105,Contrastes_Mun2!$A26,Municipios!$DB$3:$DB$1105)</f>
        <v>69.765417480468756</v>
      </c>
    </row>
    <row r="27" spans="1:10">
      <c r="A27" s="41">
        <v>1</v>
      </c>
      <c r="B27" s="41">
        <v>1</v>
      </c>
      <c r="C27" s="36">
        <f>+COUNTIF(Municipios!$Y$3:$Y$1105,Contrastes_Mun2!A27)</f>
        <v>49</v>
      </c>
      <c r="D27" s="64">
        <f>+AVERAGEIF(Municipios!Y$3:Y$1105,Contrastes_Mun2!$A27,Municipios!$CV$3:$CV$1105)</f>
        <v>60.228835281060668</v>
      </c>
      <c r="E27" s="64">
        <f>+AVERAGEIF(Municipios!Y$3:Y$1105,Contrastes_Mun2!$A27,Municipios!$CW$3:$CW$1105)</f>
        <v>56.460756262954398</v>
      </c>
      <c r="F27" s="64">
        <f>+AVERAGEIF(Municipios!Y$3:Y$1105,Contrastes_Mun2!$A27,Municipios!$CX$3:$CX$1105)</f>
        <v>57.875276370924347</v>
      </c>
      <c r="G27" s="64">
        <f>+AVERAGEIF(Municipios!Y$3:Y$1105,Contrastes_Mun2!$A27,Municipios!$CY$3:$CY$1105)</f>
        <v>75.539151016546754</v>
      </c>
      <c r="H27" s="64">
        <f>+AVERAGEIF(Municipios!Y$3:Y$1105,Contrastes_Mun2!$A27,Municipios!$CZ$3:$CZ$1105)</f>
        <v>68.841668420908405</v>
      </c>
      <c r="I27" s="64">
        <f>+AVERAGEIF(Municipios!Y$3:Y$1105,Contrastes_Mun2!$A27,Municipios!$DA$3:$DA$1105)</f>
        <v>42.200183167749522</v>
      </c>
      <c r="J27" s="64">
        <f>+AVERAGEIF(Municipios!Y$3:Y$1105,Contrastes_Mun2!$A27,Municipios!$DB$3:$DB$1105)</f>
        <v>60.45597520166514</v>
      </c>
    </row>
    <row r="28" spans="1:10">
      <c r="A28" s="41">
        <v>2</v>
      </c>
      <c r="B28" s="41">
        <v>2</v>
      </c>
      <c r="C28" s="36">
        <f>+COUNTIF(Municipios!$Y$3:$Y$1105,Contrastes_Mun2!A28)</f>
        <v>153</v>
      </c>
      <c r="D28" s="64">
        <f>+AVERAGEIF(Municipios!Y$3:Y$1105,Contrastes_Mun2!$A28,Municipios!$CV$3:$CV$1105)</f>
        <v>52.363637288411461</v>
      </c>
      <c r="E28" s="64">
        <f>+AVERAGEIF(Municipios!Y$3:Y$1105,Contrastes_Mun2!$A28,Municipios!$CW$3:$CW$1105)</f>
        <v>39.640413695690675</v>
      </c>
      <c r="F28" s="64">
        <f>+AVERAGEIF(Municipios!Y$3:Y$1105,Contrastes_Mun2!$A28,Municipios!$CX$3:$CX$1105)</f>
        <v>53.836257959502973</v>
      </c>
      <c r="G28" s="64">
        <f>+AVERAGEIF(Municipios!Y$3:Y$1105,Contrastes_Mun2!$A28,Municipios!$CY$3:$CY$1105)</f>
        <v>67.376170413946014</v>
      </c>
      <c r="H28" s="64">
        <f>+AVERAGEIF(Municipios!Y$3:Y$1105,Contrastes_Mun2!$A28,Municipios!$CZ$3:$CZ$1105)</f>
        <v>51.920288768469121</v>
      </c>
      <c r="I28" s="64">
        <f>+AVERAGEIF(Municipios!Y$3:Y$1105,Contrastes_Mun2!$A28,Municipios!$DA$3:$DA$1105)</f>
        <v>46.774943897147587</v>
      </c>
      <c r="J28" s="64">
        <f>+AVERAGEIF(Municipios!Y$3:Y$1105,Contrastes_Mun2!$A28,Municipios!$DB$3:$DB$1105)</f>
        <v>54.633748621722454</v>
      </c>
    </row>
    <row r="29" spans="1:10">
      <c r="A29" s="41">
        <v>3</v>
      </c>
      <c r="B29" s="41">
        <v>3</v>
      </c>
      <c r="C29" s="36">
        <f>+COUNTIF(Municipios!$Y$3:$Y$1105,Contrastes_Mun2!A29)</f>
        <v>368</v>
      </c>
      <c r="D29" s="64">
        <f>+AVERAGEIF(Municipios!Y$3:Y$1105,Contrastes_Mun2!$A29,Municipios!$CV$3:$CV$1105)</f>
        <v>48.58661150932312</v>
      </c>
      <c r="E29" s="64">
        <f>+AVERAGEIF(Municipios!Y$3:Y$1105,Contrastes_Mun2!$A29,Municipios!$CW$3:$CW$1105)</f>
        <v>28.394763154828031</v>
      </c>
      <c r="F29" s="64">
        <f>+AVERAGEIF(Municipios!Y$3:Y$1105,Contrastes_Mun2!$A29,Municipios!$CX$3:$CX$1105)</f>
        <v>50.924177221629932</v>
      </c>
      <c r="G29" s="64">
        <f>+AVERAGEIF(Municipios!Y$3:Y$1105,Contrastes_Mun2!$A29,Municipios!$CY$3:$CY$1105)</f>
        <v>60.961773491424061</v>
      </c>
      <c r="H29" s="64">
        <f>+AVERAGEIF(Municipios!Y$3:Y$1105,Contrastes_Mun2!$A29,Municipios!$CZ$3:$CZ$1105)</f>
        <v>40.207957693416141</v>
      </c>
      <c r="I29" s="64">
        <f>+AVERAGEIF(Municipios!Y$3:Y$1105,Contrastes_Mun2!$A29,Municipios!$DA$3:$DA$1105)</f>
        <v>57.426245193118632</v>
      </c>
      <c r="J29" s="64">
        <f>+AVERAGEIF(Municipios!Y$3:Y$1105,Contrastes_Mun2!$A29,Municipios!$DB$3:$DB$1105)</f>
        <v>53.604752100032307</v>
      </c>
    </row>
    <row r="30" spans="1:10">
      <c r="A30" s="41">
        <v>4</v>
      </c>
      <c r="B30" s="41">
        <v>4</v>
      </c>
      <c r="C30" s="36">
        <f>+COUNTIF(Municipios!$Y$3:$Y$1105,Contrastes_Mun2!A30)</f>
        <v>409</v>
      </c>
      <c r="D30" s="64">
        <f>+AVERAGEIF(Municipios!Y$3:Y$1105,Contrastes_Mun2!$A30,Municipios!$CV$3:$CV$1105)</f>
        <v>46.003982880536249</v>
      </c>
      <c r="E30" s="64">
        <f>+AVERAGEIF(Municipios!Y$3:Y$1105,Contrastes_Mun2!$A30,Municipios!$CW$3:$CW$1105)</f>
        <v>21.803016073563519</v>
      </c>
      <c r="F30" s="64">
        <f>+AVERAGEIF(Municipios!Y$3:Y$1105,Contrastes_Mun2!$A30,Municipios!$CX$3:$CX$1105)</f>
        <v>49.03566713894115</v>
      </c>
      <c r="G30" s="64">
        <f>+AVERAGEIF(Municipios!Y$3:Y$1105,Contrastes_Mun2!$A30,Municipios!$CY$3:$CY$1105)</f>
        <v>55.321717888701194</v>
      </c>
      <c r="H30" s="64">
        <f>+AVERAGEIF(Municipios!Y$3:Y$1105,Contrastes_Mun2!$A30,Municipios!$CZ$3:$CZ$1105)</f>
        <v>31.864935867926654</v>
      </c>
      <c r="I30" s="64">
        <f>+AVERAGEIF(Municipios!Y$3:Y$1105,Contrastes_Mun2!$A30,Municipios!$DA$3:$DA$1105)</f>
        <v>64.510896350823202</v>
      </c>
      <c r="J30" s="64">
        <f>+AVERAGEIF(Municipios!Y$3:Y$1105,Contrastes_Mun2!$A30,Municipios!$DB$3:$DB$1105)</f>
        <v>53.487664774352432</v>
      </c>
    </row>
    <row r="31" spans="1:10">
      <c r="A31" s="109">
        <v>5</v>
      </c>
      <c r="B31" s="139">
        <v>5</v>
      </c>
      <c r="C31" s="36">
        <f>+COUNTIF(Municipios!$Y$3:$Y$1105,Contrastes_Mun2!A31)</f>
        <v>118</v>
      </c>
      <c r="D31" s="64">
        <f>+AVERAGEIF(Municipios!Y$3:Y$1105,Contrastes_Mun2!$A31,Municipios!$CV$3:$CV$1105)</f>
        <v>41.726282798637776</v>
      </c>
      <c r="E31" s="64">
        <f>+AVERAGEIF(Municipios!Y$3:Y$1105,Contrastes_Mun2!$A31,Municipios!$CW$3:$CW$1105)</f>
        <v>16.175132658522006</v>
      </c>
      <c r="F31" s="64">
        <f>+AVERAGEIF(Municipios!Y$3:Y$1105,Contrastes_Mun2!$A31,Municipios!$CX$3:$CX$1105)</f>
        <v>44.957690028821006</v>
      </c>
      <c r="G31" s="64">
        <f>+AVERAGEIF(Municipios!Y$3:Y$1105,Contrastes_Mun2!$A31,Municipios!$CY$3:$CY$1105)</f>
        <v>47.533152871212714</v>
      </c>
      <c r="H31" s="64">
        <f>+AVERAGEIF(Municipios!Y$3:Y$1105,Contrastes_Mun2!$A31,Municipios!$CZ$3:$CZ$1105)</f>
        <v>25.58641325720286</v>
      </c>
      <c r="I31" s="64">
        <f>+AVERAGEIF(Municipios!Y$3:Y$1105,Contrastes_Mun2!$A31,Municipios!$DA$3:$DA$1105)</f>
        <v>64.348174636646846</v>
      </c>
      <c r="J31" s="64">
        <f>+AVERAGEIF(Municipios!Y$3:Y$1105,Contrastes_Mun2!$A31,Municipios!$DB$3:$DB$1105)</f>
        <v>51.757132772671973</v>
      </c>
    </row>
    <row r="32" spans="1:10">
      <c r="A32" s="35" t="s">
        <v>369</v>
      </c>
      <c r="B32" s="35"/>
      <c r="C32" s="58">
        <f>SUM(C25:C31)</f>
        <v>1103</v>
      </c>
      <c r="D32" s="106">
        <f>+AVERAGE(Municipios!CV$3:CV$1105)</f>
        <v>48.033433723795866</v>
      </c>
      <c r="E32" s="106">
        <f>+AVERAGE(Municipios!CW$3:CW$1105)</f>
        <v>27.727497470357239</v>
      </c>
      <c r="F32" s="106">
        <f>+AVERAGE(Municipios!CX$3:CX$1105)</f>
        <v>50.352322978246448</v>
      </c>
      <c r="G32" s="106">
        <f>+AVERAGE(Municipios!CY$3:CY$1105)</f>
        <v>59.079287353314854</v>
      </c>
      <c r="H32" s="106">
        <f>+AVERAGE(Municipios!CZ$3:CZ$1105)</f>
        <v>38.654709254440512</v>
      </c>
      <c r="I32" s="106">
        <f>+AVERAGE(Municipios!DA$3:DA$1105)</f>
        <v>58.479141617859774</v>
      </c>
      <c r="J32" s="106">
        <f>+AVERAGE(Municipios!DB$3:DB$1105)</f>
        <v>53.907643761262705</v>
      </c>
    </row>
    <row r="34" spans="1:9">
      <c r="E34" s="376" t="s">
        <v>2991</v>
      </c>
      <c r="F34" s="377"/>
      <c r="G34" s="377"/>
      <c r="H34" s="377"/>
      <c r="I34" s="378"/>
    </row>
    <row r="35" spans="1:9" ht="28">
      <c r="A35" s="45" t="s">
        <v>367</v>
      </c>
      <c r="B35" s="45"/>
      <c r="C35" s="113" t="s">
        <v>2943</v>
      </c>
      <c r="D35" s="45" t="s">
        <v>2958</v>
      </c>
      <c r="E35" s="45" t="s">
        <v>2990</v>
      </c>
      <c r="F35" s="45" t="s">
        <v>2664</v>
      </c>
      <c r="G35" s="45" t="s">
        <v>2665</v>
      </c>
      <c r="H35" s="45" t="s">
        <v>2666</v>
      </c>
      <c r="I35" s="45" t="s">
        <v>2667</v>
      </c>
    </row>
    <row r="36" spans="1:9">
      <c r="A36" s="40" t="s">
        <v>370</v>
      </c>
      <c r="B36" s="40" t="s">
        <v>370</v>
      </c>
      <c r="C36" s="40">
        <f>+COUNTIF(Municipios!$Y$3:$Y$1105,Contrastes_Mun2!A36)</f>
        <v>1</v>
      </c>
      <c r="D36" s="90">
        <f>+AVERAGEIF(Municipios!Y$3:Y$1105,Contrastes_Mun2!$A36,Municipios!$BY$3:$BY$1105)</f>
        <v>58.636234756869051</v>
      </c>
      <c r="E36" s="90">
        <f>+AVERAGEIF(Municipios!Y$3:Y$1105,Contrastes_Mun2!$A36,Municipios!$BX$3:$BX$1105)</f>
        <v>67.437342224650592</v>
      </c>
      <c r="F36" s="90">
        <f>+AVERAGEIF(Municipios!Y$3:Y$1105,Contrastes_Mun2!$A36,Municipios!$BS$3:$BS$1105)</f>
        <v>66.512582015959836</v>
      </c>
      <c r="G36" s="90">
        <f>+AVERAGEIF(Municipios!Y$3:Y$1105,Contrastes_Mun2!$A36,Municipios!$BT$3:$BT$1105)</f>
        <v>95.329519373609784</v>
      </c>
      <c r="H36" s="90">
        <f>+AVERAGEIF(Municipios!Y$3:Y$1105,Contrastes_Mun2!$A36,Municipios!$BU$3:$BU$1105)</f>
        <v>58.914494822278172</v>
      </c>
      <c r="I36" s="90">
        <f>+AVERAGEIF(Municipios!Y$3:Y$1105,Contrastes_Mun2!$A36,Municipios!$BV$3:$BV$1105)</f>
        <v>48.99277268675462</v>
      </c>
    </row>
    <row r="37" spans="1:9">
      <c r="A37" s="41" t="s">
        <v>371</v>
      </c>
      <c r="B37" s="41" t="s">
        <v>2663</v>
      </c>
      <c r="C37" s="40">
        <f>+COUNTIF(Municipios!$Y$3:$Y$1105,Contrastes_Mun2!A37)</f>
        <v>5</v>
      </c>
      <c r="D37" s="90">
        <f>+AVERAGEIF(Municipios!Y$3:Y$1105,Contrastes_Mun2!$A37,Municipios!$BY$3:$BY$1105)</f>
        <v>80.385381238985488</v>
      </c>
      <c r="E37" s="90">
        <f>+AVERAGEIF(Municipios!Y$3:Y$1105,Contrastes_Mun2!$A37,Municipios!$BX$3:$BX$1105)</f>
        <v>75.173793796321661</v>
      </c>
      <c r="F37" s="90">
        <f>+AVERAGEIF(Municipios!Y$3:Y$1105,Contrastes_Mun2!$A37,Municipios!$BS$3:$BS$1105)</f>
        <v>71.975055896216602</v>
      </c>
      <c r="G37" s="90">
        <f>+AVERAGEIF(Municipios!Y$3:Y$1105,Contrastes_Mun2!$A37,Municipios!$BT$3:$BT$1105)</f>
        <v>96.253838955888355</v>
      </c>
      <c r="H37" s="90">
        <f>+AVERAGEIF(Municipios!Y$3:Y$1105,Contrastes_Mun2!$A37,Municipios!$BU$3:$BU$1105)</f>
        <v>62.79091392690674</v>
      </c>
      <c r="I37" s="90">
        <f>+AVERAGEIF(Municipios!Y$3:Y$1105,Contrastes_Mun2!$A37,Municipios!$BV$3:$BV$1105)</f>
        <v>69.675366406274989</v>
      </c>
    </row>
    <row r="38" spans="1:9">
      <c r="A38" s="41">
        <v>1</v>
      </c>
      <c r="B38" s="41">
        <v>1</v>
      </c>
      <c r="C38" s="40">
        <f>+COUNTIF(Municipios!$Y$3:$Y$1105,Contrastes_Mun2!A38)</f>
        <v>49</v>
      </c>
      <c r="D38" s="90">
        <f>+AVERAGEIF(Municipios!Y$3:Y$1105,Contrastes_Mun2!$A38,Municipios!$BY$3:$BY$1105)</f>
        <v>70.184185249490739</v>
      </c>
      <c r="E38" s="90">
        <f>+AVERAGEIF(Municipios!Y$3:Y$1105,Contrastes_Mun2!$A38,Municipios!$BX$3:$BX$1105)</f>
        <v>77.922082369025631</v>
      </c>
      <c r="F38" s="90">
        <f>+AVERAGEIF(Municipios!Y$3:Y$1105,Contrastes_Mun2!$A38,Municipios!$BS$3:$BS$1105)</f>
        <v>70.696929445253033</v>
      </c>
      <c r="G38" s="90">
        <f>+AVERAGEIF(Municipios!Y$3:Y$1105,Contrastes_Mun2!$A38,Municipios!$BT$3:$BT$1105)</f>
        <v>92.24405753478861</v>
      </c>
      <c r="H38" s="90">
        <f>+AVERAGEIF(Municipios!Y$3:Y$1105,Contrastes_Mun2!$A38,Municipios!$BU$3:$BU$1105)</f>
        <v>66.552335577196359</v>
      </c>
      <c r="I38" s="90">
        <f>+AVERAGEIF(Municipios!Y$3:Y$1105,Contrastes_Mun2!$A38,Municipios!$BV$3:$BV$1105)</f>
        <v>82.195006918864493</v>
      </c>
    </row>
    <row r="39" spans="1:9">
      <c r="A39" s="41">
        <v>2</v>
      </c>
      <c r="B39" s="41">
        <v>2</v>
      </c>
      <c r="C39" s="40">
        <f>+COUNTIF(Municipios!$Y$3:$Y$1105,Contrastes_Mun2!A39)</f>
        <v>153</v>
      </c>
      <c r="D39" s="90">
        <f>+AVERAGEIF(Municipios!Y$3:Y$1105,Contrastes_Mun2!$A39,Municipios!$BY$3:$BY$1105)</f>
        <v>60.368896810243292</v>
      </c>
      <c r="E39" s="90">
        <f>+AVERAGEIF(Municipios!Y$3:Y$1105,Contrastes_Mun2!$A39,Municipios!$BX$3:$BX$1105)</f>
        <v>73.506876115422273</v>
      </c>
      <c r="F39" s="90">
        <f>+AVERAGEIF(Municipios!Y$3:Y$1105,Contrastes_Mun2!$A39,Municipios!$BS$3:$BS$1105)</f>
        <v>64.852783836620603</v>
      </c>
      <c r="G39" s="90">
        <f>+AVERAGEIF(Municipios!Y$3:Y$1105,Contrastes_Mun2!$A39,Municipios!$BT$3:$BT$1105)</f>
        <v>89.389431782724145</v>
      </c>
      <c r="H39" s="90">
        <f>+AVERAGEIF(Municipios!Y$3:Y$1105,Contrastes_Mun2!$A39,Municipios!$BU$3:$BU$1105)</f>
        <v>53.965420822394023</v>
      </c>
      <c r="I39" s="90">
        <f>+AVERAGEIF(Municipios!Y$3:Y$1105,Contrastes_Mun2!$A39,Municipios!$BV$3:$BV$1105)</f>
        <v>85.819868019950235</v>
      </c>
    </row>
    <row r="40" spans="1:9">
      <c r="A40" s="41">
        <v>3</v>
      </c>
      <c r="B40" s="41">
        <v>3</v>
      </c>
      <c r="C40" s="40">
        <f>+COUNTIF(Municipios!$Y$3:$Y$1105,Contrastes_Mun2!A40)</f>
        <v>368</v>
      </c>
      <c r="D40" s="90">
        <f>+AVERAGEIF(Municipios!Y$3:Y$1105,Contrastes_Mun2!$A40,Municipios!$BY$3:$BY$1105)</f>
        <v>54.928004856657537</v>
      </c>
      <c r="E40" s="90">
        <f>+AVERAGEIF(Municipios!Y$3:Y$1105,Contrastes_Mun2!$A40,Municipios!$BX$3:$BX$1105)</f>
        <v>72.013200797780257</v>
      </c>
      <c r="F40" s="90">
        <f>+AVERAGEIF(Municipios!Y$3:Y$1105,Contrastes_Mun2!$A40,Municipios!$BS$3:$BS$1105)</f>
        <v>61.196905880818797</v>
      </c>
      <c r="G40" s="90">
        <f>+AVERAGEIF(Municipios!Y$3:Y$1105,Contrastes_Mun2!$A40,Municipios!$BT$3:$BT$1105)</f>
        <v>89.295216441191158</v>
      </c>
      <c r="H40" s="90">
        <f>+AVERAGEIF(Municipios!Y$3:Y$1105,Contrastes_Mun2!$A40,Municipios!$BU$3:$BU$1105)</f>
        <v>46.872827762640455</v>
      </c>
      <c r="I40" s="90">
        <f>+AVERAGEIF(Municipios!Y$3:Y$1105,Contrastes_Mun2!$A40,Municipios!$BV$3:$BV$1105)</f>
        <v>90.687853106470826</v>
      </c>
    </row>
    <row r="41" spans="1:9">
      <c r="A41" s="41">
        <v>4</v>
      </c>
      <c r="B41" s="41">
        <v>4</v>
      </c>
      <c r="C41" s="40">
        <f>+COUNTIF(Municipios!$Y$3:$Y$1105,Contrastes_Mun2!A41)</f>
        <v>409</v>
      </c>
      <c r="D41" s="90">
        <f>+AVERAGEIF(Municipios!Y$3:Y$1105,Contrastes_Mun2!$A41,Municipios!$BY$3:$BY$1105)</f>
        <v>51.941113198113577</v>
      </c>
      <c r="E41" s="90">
        <f>+AVERAGEIF(Municipios!Y$3:Y$1105,Contrastes_Mun2!$A41,Municipios!$BX$3:$BX$1105)</f>
        <v>71.071170686303233</v>
      </c>
      <c r="F41" s="90">
        <f>+AVERAGEIF(Municipios!Y$3:Y$1105,Contrastes_Mun2!$A41,Municipios!$BS$3:$BS$1105)</f>
        <v>60.049777250139037</v>
      </c>
      <c r="G41" s="90">
        <f>+AVERAGEIF(Municipios!Y$3:Y$1105,Contrastes_Mun2!$A41,Municipios!$BT$3:$BT$1105)</f>
        <v>89.445559138135692</v>
      </c>
      <c r="H41" s="90">
        <f>+AVERAGEIF(Municipios!Y$3:Y$1105,Contrastes_Mun2!$A41,Municipios!$BU$3:$BU$1105)</f>
        <v>42.324048737564823</v>
      </c>
      <c r="I41" s="90">
        <f>+AVERAGEIF(Municipios!Y$3:Y$1105,Contrastes_Mun2!$A41,Municipios!$BV$3:$BV$1105)</f>
        <v>92.465297619373445</v>
      </c>
    </row>
    <row r="42" spans="1:9">
      <c r="A42" s="109">
        <v>5</v>
      </c>
      <c r="B42" s="139">
        <v>5</v>
      </c>
      <c r="C42" s="40">
        <f>+COUNTIF(Municipios!$Y$3:$Y$1105,Contrastes_Mun2!A42)</f>
        <v>118</v>
      </c>
      <c r="D42" s="90">
        <f>+AVERAGEIF(Municipios!Y$3:Y$1105,Contrastes_Mun2!$A42,Municipios!$BY$3:$BY$1105)</f>
        <v>48.574987583530877</v>
      </c>
      <c r="E42" s="90">
        <f>+AVERAGEIF(Municipios!Y$3:Y$1105,Contrastes_Mun2!$A42,Municipios!$BX$3:$BX$1105)</f>
        <v>69.060270460670807</v>
      </c>
      <c r="F42" s="90">
        <f>+AVERAGEIF(Municipios!Y$3:Y$1105,Contrastes_Mun2!$A42,Municipios!$BS$3:$BS$1105)</f>
        <v>57.681020685236668</v>
      </c>
      <c r="G42" s="90">
        <f>+AVERAGEIF(Municipios!Y$3:Y$1105,Contrastes_Mun2!$A42,Municipios!$BT$3:$BT$1105)</f>
        <v>88.287462534680728</v>
      </c>
      <c r="H42" s="90">
        <f>+AVERAGEIF(Municipios!Y$3:Y$1105,Contrastes_Mun2!$A42,Municipios!$BU$3:$BU$1105)</f>
        <v>37.728005588096423</v>
      </c>
      <c r="I42" s="90">
        <f>+AVERAGEIF(Municipios!Y$3:Y$1105,Contrastes_Mun2!$A42,Municipios!$BV$3:$BV$1105)</f>
        <v>92.544593034669305</v>
      </c>
    </row>
    <row r="43" spans="1:9">
      <c r="A43" s="35" t="s">
        <v>369</v>
      </c>
      <c r="B43" s="35"/>
      <c r="C43" s="35">
        <f>+SUM(C36:C42)</f>
        <v>1103</v>
      </c>
      <c r="D43" s="106">
        <f>+AVERAGE(Municipios!$BY$3:$BY$1105)</f>
        <v>54.694517184284003</v>
      </c>
      <c r="E43" s="106">
        <f>+AVERAGE(Municipios!$BX$3:$BX$1105)</f>
        <v>71.828537060709735</v>
      </c>
      <c r="F43" s="106">
        <f>+AVERAGE(Municipios!$BS$3:$BS$1105)</f>
        <v>61.379441247162859</v>
      </c>
      <c r="G43" s="106">
        <f>+AVERAGE(Municipios!$BT$3:$BT$1105)</f>
        <v>89.424218651474149</v>
      </c>
      <c r="H43" s="106">
        <f>+AVERAGE(Municipios!$BU$3:$BU$1105)</f>
        <v>46.152413842594598</v>
      </c>
      <c r="I43" s="106">
        <f>+AVERAGE(Municipios!$BV$3:$BV$1105)</f>
        <v>90.358074501607476</v>
      </c>
    </row>
    <row r="45" spans="1:9">
      <c r="A45" s="379" t="s">
        <v>367</v>
      </c>
      <c r="B45" s="379"/>
      <c r="C45" s="381" t="s">
        <v>2943</v>
      </c>
      <c r="D45" s="376" t="s">
        <v>2982</v>
      </c>
      <c r="E45" s="377"/>
      <c r="F45" s="378"/>
    </row>
    <row r="46" spans="1:9" ht="28">
      <c r="A46" s="380"/>
      <c r="B46" s="380"/>
      <c r="C46" s="382"/>
      <c r="D46" s="45" t="s">
        <v>2986</v>
      </c>
      <c r="E46" s="45" t="s">
        <v>2987</v>
      </c>
      <c r="F46" s="45" t="s">
        <v>2988</v>
      </c>
    </row>
    <row r="47" spans="1:9">
      <c r="A47" s="40" t="s">
        <v>370</v>
      </c>
      <c r="B47" s="40" t="s">
        <v>370</v>
      </c>
      <c r="C47" s="40">
        <f>+COUNTIF(Municipios!$Y$3:$Y$1105,Contrastes_Mun2!A47)</f>
        <v>1</v>
      </c>
      <c r="D47" s="114">
        <f>+AVERAGEIF(Municipios!$Y$3:$Y$1105,A47,Municipios!$BN$3:$BN$1105)/1000</f>
        <v>25039.940850430998</v>
      </c>
      <c r="E47" s="114">
        <f>+AVERAGEIF(Municipios!$Y$3:$Y$1105,Contrastes_Mun2!$A47,Municipios!$BO$3:$BO$1105)/1000</f>
        <v>14031.891662421</v>
      </c>
      <c r="F47" s="107">
        <f>E47/D47</f>
        <v>0.56038038373319388</v>
      </c>
    </row>
    <row r="48" spans="1:9">
      <c r="A48" s="41" t="s">
        <v>371</v>
      </c>
      <c r="B48" s="41" t="s">
        <v>2663</v>
      </c>
      <c r="C48" s="40">
        <f>+COUNTIF(Municipios!$Y$3:$Y$1105,Contrastes_Mun2!A48)</f>
        <v>5</v>
      </c>
      <c r="D48" s="114">
        <f>+AVERAGEIF(Municipios!$Y$3:$Y$1105,A48,Municipios!$BN$3:$BN$1105)/1000</f>
        <v>5120.4368301608001</v>
      </c>
      <c r="E48" s="114">
        <f>+AVERAGEIF(Municipios!$Y$3:$Y$1105,Contrastes_Mun2!$A48,Municipios!$BO$3:$BO$1105)/1000</f>
        <v>2055.8802216570002</v>
      </c>
      <c r="F48" s="107">
        <f t="shared" ref="F48:F53" si="2">E48/D48</f>
        <v>0.40150485004468617</v>
      </c>
    </row>
    <row r="49" spans="1:7">
      <c r="A49" s="41">
        <v>1</v>
      </c>
      <c r="B49" s="41">
        <v>1</v>
      </c>
      <c r="C49" s="40">
        <f>+COUNTIF(Municipios!$Y$3:$Y$1105,Contrastes_Mun2!A49)</f>
        <v>49</v>
      </c>
      <c r="D49" s="114">
        <f>+AVERAGEIF(Municipios!$Y$3:$Y$1105,A49,Municipios!$BN$3:$BN$1105)/1000</f>
        <v>427.79106206549005</v>
      </c>
      <c r="E49" s="114">
        <f>+AVERAGEIF(Municipios!$Y$3:$Y$1105,Contrastes_Mun2!$A49,Municipios!$BO$3:$BO$1105)/1000</f>
        <v>154.18461903544895</v>
      </c>
      <c r="F49" s="107">
        <f t="shared" si="2"/>
        <v>0.36042038440682755</v>
      </c>
    </row>
    <row r="50" spans="1:7">
      <c r="A50" s="41">
        <v>2</v>
      </c>
      <c r="B50" s="41">
        <v>2</v>
      </c>
      <c r="C50" s="40">
        <f>+COUNTIF(Municipios!$Y$3:$Y$1105,Contrastes_Mun2!A50)</f>
        <v>153</v>
      </c>
      <c r="D50" s="114">
        <f>+AVERAGEIF(Municipios!$Y$3:$Y$1105,A50,Municipios!$BN$3:$BN$1105)/1000</f>
        <v>143.0284682390261</v>
      </c>
      <c r="E50" s="114">
        <f>+AVERAGEIF(Municipios!$Y$3:$Y$1105,Contrastes_Mun2!$A50,Municipios!$BO$3:$BO$1105)/1000</f>
        <v>37.990644686725489</v>
      </c>
      <c r="F50" s="107">
        <f t="shared" si="2"/>
        <v>0.26561596551000144</v>
      </c>
    </row>
    <row r="51" spans="1:7">
      <c r="A51" s="41">
        <v>3</v>
      </c>
      <c r="B51" s="41">
        <v>3</v>
      </c>
      <c r="C51" s="40">
        <f>+COUNTIF(Municipios!$Y$3:$Y$1105,Contrastes_Mun2!A51)</f>
        <v>368</v>
      </c>
      <c r="D51" s="114">
        <f>+AVERAGEIF(Municipios!$Y$3:$Y$1105,A51,Municipios!$BN$3:$BN$1105)/1000</f>
        <v>51.179978026097849</v>
      </c>
      <c r="E51" s="114">
        <f>+AVERAGEIF(Municipios!$Y$3:$Y$1105,Contrastes_Mun2!$A51,Municipios!$BO$3:$BO$1105)/1000</f>
        <v>7.2166242109320624</v>
      </c>
      <c r="F51" s="107">
        <f t="shared" si="2"/>
        <v>0.14100483214846515</v>
      </c>
    </row>
    <row r="52" spans="1:7">
      <c r="A52" s="41">
        <v>4</v>
      </c>
      <c r="B52" s="41">
        <v>4</v>
      </c>
      <c r="C52" s="40">
        <f>+COUNTIF(Municipios!$Y$3:$Y$1105,Contrastes_Mun2!A52)</f>
        <v>409</v>
      </c>
      <c r="D52" s="114">
        <f>+AVERAGEIF(Municipios!$Y$3:$Y$1105,A52,Municipios!$BN$3:$BN$1105)/1000</f>
        <v>41.937747973369191</v>
      </c>
      <c r="E52" s="114">
        <f>+AVERAGEIF(Municipios!$Y$3:$Y$1105,Contrastes_Mun2!$A52,Municipios!$BO$3:$BO$1105)/1000</f>
        <v>4.6372036726552563</v>
      </c>
      <c r="F52" s="107">
        <f t="shared" si="2"/>
        <v>0.11057350231585916</v>
      </c>
    </row>
    <row r="53" spans="1:7">
      <c r="A53" s="109">
        <v>5</v>
      </c>
      <c r="B53" s="139">
        <v>5</v>
      </c>
      <c r="C53" s="40">
        <f>+COUNTIF(Municipios!$Y$3:$Y$1105,Contrastes_Mun2!A53)</f>
        <v>118</v>
      </c>
      <c r="D53" s="114">
        <f>+AVERAGEIF(Municipios!$Y$3:$Y$1105,A53,Municipios!$BN$3:$BN$1105)/1000</f>
        <v>39.143923690754242</v>
      </c>
      <c r="E53" s="114">
        <f>+AVERAGEIF(Municipios!$Y$3:$Y$1105,Contrastes_Mun2!$A53,Municipios!$BO$3:$BO$1105)/1000</f>
        <v>4.1376403726949151</v>
      </c>
      <c r="F53" s="107">
        <f t="shared" si="2"/>
        <v>0.10570326075084348</v>
      </c>
    </row>
    <row r="54" spans="1:7">
      <c r="A54" s="35" t="s">
        <v>369</v>
      </c>
      <c r="B54" s="35"/>
      <c r="C54" s="35">
        <f>+SUM(C47:C53)</f>
        <v>1103</v>
      </c>
      <c r="D54" s="162">
        <f>+AVERAGE(Municipios!$BN$3:$BN$1105)/1000</f>
        <v>121.57116637646084</v>
      </c>
      <c r="E54" s="162">
        <f>+AVERAGE(Municipios!$BO$3:$BO$1105)/1000</f>
        <v>38.730265925864906</v>
      </c>
      <c r="F54" s="117">
        <f>+E54/D54</f>
        <v>0.31858101785362186</v>
      </c>
    </row>
    <row r="56" spans="1:7">
      <c r="A56" s="379" t="s">
        <v>367</v>
      </c>
      <c r="B56" s="379" t="s">
        <v>367</v>
      </c>
      <c r="C56" s="381" t="s">
        <v>2943</v>
      </c>
      <c r="D56" s="376" t="s">
        <v>3054</v>
      </c>
      <c r="E56" s="377"/>
      <c r="F56" s="378"/>
    </row>
    <row r="57" spans="1:7" ht="28">
      <c r="A57" s="380"/>
      <c r="B57" s="380"/>
      <c r="C57" s="382"/>
      <c r="D57" s="45" t="s">
        <v>2986</v>
      </c>
      <c r="E57" s="45" t="s">
        <v>2987</v>
      </c>
      <c r="F57" s="45" t="s">
        <v>2988</v>
      </c>
      <c r="G57" s="336" t="s">
        <v>3069</v>
      </c>
    </row>
    <row r="58" spans="1:7">
      <c r="A58" s="40" t="s">
        <v>370</v>
      </c>
      <c r="B58" s="40" t="s">
        <v>370</v>
      </c>
      <c r="C58" s="40">
        <f>+COUNTIF(Municipios!$Y$3:$Y$1105,Contrastes_Mun2!A58)</f>
        <v>1</v>
      </c>
      <c r="D58" s="334">
        <f>+AVERAGEIF(Municipios!$Y$3:$Y$1105,A58,Municipios!$BQ$3:$BQ$1105)</f>
        <v>3.1621437023980068</v>
      </c>
      <c r="E58" s="334">
        <f>+AVERAGEIF(Municipios!$Y$3:$Y$1105,Contrastes_Mun2!$A58,Municipios!$BR$3:$BR1105)</f>
        <v>1.7720033013692973</v>
      </c>
      <c r="F58" s="107">
        <f>E58/D58</f>
        <v>0.56038038373319388</v>
      </c>
      <c r="G58" s="334">
        <f>+D58-E58</f>
        <v>1.3901404010287095</v>
      </c>
    </row>
    <row r="59" spans="1:7">
      <c r="A59" s="41" t="s">
        <v>371</v>
      </c>
      <c r="B59" s="41" t="s">
        <v>2663</v>
      </c>
      <c r="C59" s="40">
        <f>+COUNTIF(Municipios!$Y$3:$Y$1105,Contrastes_Mun2!A59)</f>
        <v>5</v>
      </c>
      <c r="D59" s="334">
        <f>+AVERAGEIF(Municipios!$Y$3:$Y$1105,A59,Municipios!$BQ$3:$BQ$1105)</f>
        <v>3.3104302285125349</v>
      </c>
      <c r="E59" s="334">
        <f>+AVERAGEIF(Municipios!$Y$3:$Y$1105,Contrastes_Mun2!$A59,Municipios!$BR$3:$BR1106)</f>
        <v>1.3527392232878426</v>
      </c>
      <c r="F59" s="107">
        <f t="shared" ref="F59:F64" si="3">E59/D59</f>
        <v>0.40862943179916061</v>
      </c>
      <c r="G59" s="334">
        <f t="shared" ref="G59:G64" si="4">+D59-E59</f>
        <v>1.9576910052246923</v>
      </c>
    </row>
    <row r="60" spans="1:7">
      <c r="A60" s="41">
        <v>1</v>
      </c>
      <c r="B60" s="41">
        <v>1</v>
      </c>
      <c r="C60" s="40">
        <f>+COUNTIF(Municipios!$Y$3:$Y$1105,Contrastes_Mun2!A60)</f>
        <v>49</v>
      </c>
      <c r="D60" s="334">
        <f>+AVERAGEIF(Municipios!$Y$3:$Y$1105,A60,Municipios!$BQ$3:$BQ$1105)</f>
        <v>2.175186907083873</v>
      </c>
      <c r="E60" s="334">
        <f>+AVERAGEIF(Municipios!$Y$3:$Y$1105,Contrastes_Mun2!$A60,Municipios!$BR$3:$BR1107)</f>
        <v>0.95112940955512459</v>
      </c>
      <c r="F60" s="107">
        <f t="shared" si="3"/>
        <v>0.43726330204434705</v>
      </c>
      <c r="G60" s="334">
        <f t="shared" si="4"/>
        <v>1.2240574975287484</v>
      </c>
    </row>
    <row r="61" spans="1:7">
      <c r="A61" s="41">
        <v>2</v>
      </c>
      <c r="B61" s="41">
        <v>2</v>
      </c>
      <c r="C61" s="40">
        <f>+COUNTIF(Municipios!$Y$3:$Y$1105,Contrastes_Mun2!A61)</f>
        <v>153</v>
      </c>
      <c r="D61" s="334">
        <f>+AVERAGEIF(Municipios!$Y$3:$Y$1105,A61,Municipios!$BQ$3:$BQ$1105)</f>
        <v>2.1920231612626653</v>
      </c>
      <c r="E61" s="334">
        <f>+AVERAGEIF(Municipios!$Y$3:$Y$1105,Contrastes_Mun2!$A61,Municipios!$BR$3:$BR1108)</f>
        <v>0.60382249278006939</v>
      </c>
      <c r="F61" s="107">
        <f t="shared" si="3"/>
        <v>0.27546355506218789</v>
      </c>
      <c r="G61" s="334">
        <f t="shared" si="4"/>
        <v>1.588200668482596</v>
      </c>
    </row>
    <row r="62" spans="1:7">
      <c r="A62" s="41">
        <v>3</v>
      </c>
      <c r="B62" s="41">
        <v>3</v>
      </c>
      <c r="C62" s="40">
        <f>+COUNTIF(Municipios!$Y$3:$Y$1105,Contrastes_Mun2!A62)</f>
        <v>368</v>
      </c>
      <c r="D62" s="334">
        <f>+AVERAGEIF(Municipios!$Y$3:$Y$1105,A62,Municipios!$BQ$3:$BQ$1105)</f>
        <v>2.5048225483089754</v>
      </c>
      <c r="E62" s="334">
        <f>+AVERAGEIF(Municipios!$Y$3:$Y$1105,Contrastes_Mun2!$A62,Municipios!$BR$3:$BR1109)</f>
        <v>0.35608331047197916</v>
      </c>
      <c r="F62" s="107">
        <f t="shared" si="3"/>
        <v>0.14215909654453315</v>
      </c>
      <c r="G62" s="334">
        <f t="shared" si="4"/>
        <v>2.1487392378369963</v>
      </c>
    </row>
    <row r="63" spans="1:7">
      <c r="A63" s="41">
        <v>4</v>
      </c>
      <c r="B63" s="41">
        <v>4</v>
      </c>
      <c r="C63" s="40">
        <f>+COUNTIF(Municipios!$Y$3:$Y$1105,Contrastes_Mun2!A63)</f>
        <v>409</v>
      </c>
      <c r="D63" s="334">
        <f>+AVERAGEIF(Municipios!$Y$3:$Y$1105,A63,Municipios!$BQ$3:$BQ$1105)</f>
        <v>2.8564202979377016</v>
      </c>
      <c r="E63" s="334">
        <f>+AVERAGEIF(Municipios!$Y$3:$Y$1105,Contrastes_Mun2!$A63,Municipios!$BR$3:$BR1110)</f>
        <v>0.29965275855652379</v>
      </c>
      <c r="F63" s="107">
        <f t="shared" si="3"/>
        <v>0.10490499551934608</v>
      </c>
      <c r="G63" s="334">
        <f t="shared" si="4"/>
        <v>2.5567675393811777</v>
      </c>
    </row>
    <row r="64" spans="1:7">
      <c r="A64" s="109">
        <v>5</v>
      </c>
      <c r="B64" s="139">
        <v>5</v>
      </c>
      <c r="C64" s="40">
        <f>+COUNTIF(Municipios!$Y$3:$Y$1105,Contrastes_Mun2!A64)</f>
        <v>118</v>
      </c>
      <c r="D64" s="334">
        <f>+AVERAGEIF(Municipios!$Y$3:$Y$1105,A64,Municipios!$BQ$3:$BQ$1105)</f>
        <v>3.097612182993315</v>
      </c>
      <c r="E64" s="334">
        <f>+AVERAGEIF(Municipios!$Y$3:$Y$1105,Contrastes_Mun2!$A64,Municipios!$BR$3:$BR1111)</f>
        <v>0.26755959713043681</v>
      </c>
      <c r="F64" s="107">
        <f t="shared" si="3"/>
        <v>8.6376079807345671E-2</v>
      </c>
      <c r="G64" s="334">
        <f t="shared" si="4"/>
        <v>2.830052585862878</v>
      </c>
    </row>
    <row r="65" spans="1:11">
      <c r="A65" s="35" t="s">
        <v>369</v>
      </c>
      <c r="B65" s="35"/>
      <c r="C65" s="35">
        <f>+SUM(C58:C64)</f>
        <v>1103</v>
      </c>
      <c r="D65" s="162">
        <f>+AVERAGE(Municipios!$BQ$3:$BQ$1105)</f>
        <v>2.6448294054330859</v>
      </c>
      <c r="E65" s="148">
        <f>+AVERAGE(Municipios!$BR$3:$BR$1105)</f>
        <v>0.39228880403087718</v>
      </c>
      <c r="F65" s="117">
        <f>+E65/D65</f>
        <v>0.14832291384277038</v>
      </c>
    </row>
    <row r="66" spans="1:11">
      <c r="A66" s="331"/>
      <c r="B66" s="331"/>
      <c r="C66" s="331"/>
      <c r="D66" s="332"/>
      <c r="E66" s="332"/>
      <c r="F66" s="333"/>
    </row>
    <row r="68" spans="1:11" ht="14.5" customHeight="1">
      <c r="A68" s="370" t="s">
        <v>367</v>
      </c>
      <c r="B68" s="370" t="s">
        <v>2960</v>
      </c>
      <c r="C68" s="370"/>
      <c r="D68" s="370"/>
      <c r="E68" s="370"/>
      <c r="F68" s="370"/>
      <c r="G68" s="370"/>
      <c r="H68" s="371" t="s">
        <v>369</v>
      </c>
      <c r="J68" s="372" t="s">
        <v>2970</v>
      </c>
      <c r="K68" s="372"/>
    </row>
    <row r="69" spans="1:11">
      <c r="A69" s="370"/>
      <c r="B69" s="153">
        <v>0</v>
      </c>
      <c r="C69" s="35" t="s">
        <v>2969</v>
      </c>
      <c r="D69" s="35" t="s">
        <v>2673</v>
      </c>
      <c r="E69" s="35" t="s">
        <v>2674</v>
      </c>
      <c r="F69" s="35" t="s">
        <v>2675</v>
      </c>
      <c r="G69" s="35" t="s">
        <v>380</v>
      </c>
      <c r="H69" s="371"/>
      <c r="J69" s="35" t="s">
        <v>2972</v>
      </c>
      <c r="K69" s="35" t="s">
        <v>2971</v>
      </c>
    </row>
    <row r="70" spans="1:11">
      <c r="A70" s="114" t="s">
        <v>370</v>
      </c>
      <c r="B70" s="114">
        <f>COUNTIFS(Municipios!$Y$3:$Y$1105,Contrastes_Mun2!$A70,Municipios!$CF$3:$CF$1105,Contrastes_Mun2!B$69)</f>
        <v>0</v>
      </c>
      <c r="C70" s="114">
        <f>COUNTIFS(Municipios!$Y$3:$Y$1105,Contrastes_Mun2!$A70,Municipios!$CF$3:$CF$1105,Contrastes_Mun2!C$69)</f>
        <v>0</v>
      </c>
      <c r="D70" s="114">
        <f>COUNTIFS(Municipios!$Y$3:$Y$1105,Contrastes_Mun2!$A70,Municipios!$CF$3:$CF$1105,$D$69)</f>
        <v>0</v>
      </c>
      <c r="E70" s="114">
        <f>COUNTIFS(Municipios!$Y$3:$Y$1105,Contrastes_Mun2!$A70,Municipios!$CF$3:$CF$1105,$E$69)</f>
        <v>1</v>
      </c>
      <c r="F70" s="114">
        <f>COUNTIFS(Municipios!$Y$3:$Y$1105,Contrastes_Mun2!$A70,Municipios!$CF$3:$CF$1105,$F$69)</f>
        <v>0</v>
      </c>
      <c r="G70" s="114">
        <f>COUNTIFS(Municipios!$Y$3:$Y$1105,Contrastes_Mun2!$A70,Municipios!$CF$3:$CF$1105,$G$69)</f>
        <v>0</v>
      </c>
      <c r="H70" s="154">
        <f>+SUM(B70:G70)</f>
        <v>1</v>
      </c>
      <c r="J70" s="314">
        <f>SUMIF(Municipios!$Y$3:$Y$1105,A70,Municipios!$DC$3:$DC$1105)</f>
        <v>139835</v>
      </c>
      <c r="K70" s="314">
        <f>AVERAGEIF(Municipios!$Y$3:$Y$1105,A70,Municipios!$DC$3:$DC$1105)</f>
        <v>139835</v>
      </c>
    </row>
    <row r="71" spans="1:11">
      <c r="A71" s="115" t="s">
        <v>371</v>
      </c>
      <c r="B71" s="114">
        <f>COUNTIFS(Municipios!$Y$3:$Y$1105,Contrastes_Mun2!$A71,Municipios!$CF$3:$CF$1105,Contrastes_Mun2!B$69)</f>
        <v>0</v>
      </c>
      <c r="C71" s="114">
        <f>COUNTIFS(Municipios!$Y$3:$Y$1105,Contrastes_Mun2!$A71,Municipios!$CF$3:$CF$1105,Contrastes_Mun2!C$69)</f>
        <v>2</v>
      </c>
      <c r="D71" s="114">
        <f>COUNTIFS(Municipios!$Y$3:$Y$1105,Contrastes_Mun2!$A71,Municipios!$CF$3:$CF$1105,$D$69)</f>
        <v>1</v>
      </c>
      <c r="E71" s="114">
        <f>COUNTIFS(Municipios!$Y$3:$Y$1105,Contrastes_Mun2!$A71,Municipios!$CF$3:$CF$1105,$E$69)</f>
        <v>2</v>
      </c>
      <c r="F71" s="114">
        <f>COUNTIFS(Municipios!$Y$3:$Y$1105,Contrastes_Mun2!$A71,Municipios!$CF$3:$CF$1105,$F$69)</f>
        <v>0</v>
      </c>
      <c r="G71" s="114">
        <f>COUNTIFS(Municipios!$Y$3:$Y$1105,Contrastes_Mun2!$A71,Municipios!$CF$3:$CF$1105,$G$69)</f>
        <v>0</v>
      </c>
      <c r="H71" s="154">
        <f t="shared" ref="H71:H77" si="5">+SUM(B71:G71)</f>
        <v>5</v>
      </c>
      <c r="J71" s="314">
        <f>SUMIF(Municipios!$Y$3:$Y$1105,A71,Municipios!$DC$3:$DC$1105)</f>
        <v>934512</v>
      </c>
      <c r="K71" s="314">
        <f>AVERAGEIF(Municipios!$Y$3:$Y$1105,A71,Municipios!$DC$3:$DC$1105)</f>
        <v>186902.39999999999</v>
      </c>
    </row>
    <row r="72" spans="1:11">
      <c r="A72" s="141">
        <v>1</v>
      </c>
      <c r="B72" s="114">
        <f>COUNTIFS(Municipios!$Y$3:$Y$1105,Contrastes_Mun2!$A72,Municipios!$CF$3:$CF$1105,Contrastes_Mun2!B$69)</f>
        <v>1</v>
      </c>
      <c r="C72" s="114">
        <f>COUNTIFS(Municipios!$Y$3:$Y$1105,Contrastes_Mun2!$A72,Municipios!$CF$3:$CF$1105,Contrastes_Mun2!C$69)</f>
        <v>27</v>
      </c>
      <c r="D72" s="114">
        <f>COUNTIFS(Municipios!$Y$3:$Y$1105,Contrastes_Mun2!$A72,Municipios!$CF$3:$CF$1105,$D$69)</f>
        <v>17</v>
      </c>
      <c r="E72" s="114">
        <f>COUNTIFS(Municipios!$Y$3:$Y$1105,Contrastes_Mun2!$A72,Municipios!$CF$3:$CF$1105,$E$69)</f>
        <v>3</v>
      </c>
      <c r="F72" s="114">
        <f>COUNTIFS(Municipios!$Y$3:$Y$1105,Contrastes_Mun2!$A72,Municipios!$CF$3:$CF$1105,$F$69)</f>
        <v>1</v>
      </c>
      <c r="G72" s="114">
        <f>COUNTIFS(Municipios!$Y$3:$Y$1105,Contrastes_Mun2!$A72,Municipios!$CF$3:$CF$1105,$G$69)</f>
        <v>0</v>
      </c>
      <c r="H72" s="154">
        <f t="shared" si="5"/>
        <v>49</v>
      </c>
      <c r="J72" s="314">
        <f>SUMIF(Municipios!$Y$3:$Y$1105,A72,Municipios!$DC$3:$DC$1105)</f>
        <v>265153</v>
      </c>
      <c r="K72" s="314">
        <f>AVERAGEIF(Municipios!$Y$3:$Y$1105,A72,Municipios!$DC$3:$DC$1105)</f>
        <v>5411.2857142857147</v>
      </c>
    </row>
    <row r="73" spans="1:11">
      <c r="A73" s="141">
        <v>2</v>
      </c>
      <c r="B73" s="114">
        <f>COUNTIFS(Municipios!$Y$3:$Y$1105,Contrastes_Mun2!$A73,Municipios!$CF$3:$CF$1105,Contrastes_Mun2!B$69)</f>
        <v>3</v>
      </c>
      <c r="C73" s="114">
        <f>COUNTIFS(Municipios!$Y$3:$Y$1105,Contrastes_Mun2!$A73,Municipios!$CF$3:$CF$1105,Contrastes_Mun2!C$69)</f>
        <v>81</v>
      </c>
      <c r="D73" s="114">
        <f>COUNTIFS(Municipios!$Y$3:$Y$1105,Contrastes_Mun2!$A73,Municipios!$CF$3:$CF$1105,$D$69)</f>
        <v>40</v>
      </c>
      <c r="E73" s="114">
        <f>COUNTIFS(Municipios!$Y$3:$Y$1105,Contrastes_Mun2!$A73,Municipios!$CF$3:$CF$1105,$E$69)</f>
        <v>23</v>
      </c>
      <c r="F73" s="114">
        <f>COUNTIFS(Municipios!$Y$3:$Y$1105,Contrastes_Mun2!$A73,Municipios!$CF$3:$CF$1105,$F$69)</f>
        <v>6</v>
      </c>
      <c r="G73" s="114">
        <f>COUNTIFS(Municipios!$Y$3:$Y$1105,Contrastes_Mun2!$A73,Municipios!$CF$3:$CF$1105,$G$69)</f>
        <v>0</v>
      </c>
      <c r="H73" s="154">
        <f t="shared" si="5"/>
        <v>153</v>
      </c>
      <c r="J73" s="314">
        <f>SUMIF(Municipios!$Y$3:$Y$1105,A73,Municipios!$DC$3:$DC$1105)</f>
        <v>964011</v>
      </c>
      <c r="K73" s="314">
        <f>AVERAGEIF(Municipios!$Y$3:$Y$1105,A73,Municipios!$DC$3:$DC$1105)</f>
        <v>6300.7254901960787</v>
      </c>
    </row>
    <row r="74" spans="1:11">
      <c r="A74" s="141">
        <v>3</v>
      </c>
      <c r="B74" s="114">
        <f>COUNTIFS(Municipios!$Y$3:$Y$1105,Contrastes_Mun2!$A74,Municipios!$CF$3:$CF$1105,Contrastes_Mun2!B$69)</f>
        <v>7</v>
      </c>
      <c r="C74" s="114">
        <f>COUNTIFS(Municipios!$Y$3:$Y$1105,Contrastes_Mun2!$A74,Municipios!$CF$3:$CF$1105,Contrastes_Mun2!C$69)</f>
        <v>198</v>
      </c>
      <c r="D74" s="114">
        <f>COUNTIFS(Municipios!$Y$3:$Y$1105,Contrastes_Mun2!$A74,Municipios!$CF$3:$CF$1105,$D$69)</f>
        <v>74</v>
      </c>
      <c r="E74" s="114">
        <f>COUNTIFS(Municipios!$Y$3:$Y$1105,Contrastes_Mun2!$A74,Municipios!$CF$3:$CF$1105,$E$69)</f>
        <v>45</v>
      </c>
      <c r="F74" s="114">
        <f>COUNTIFS(Municipios!$Y$3:$Y$1105,Contrastes_Mun2!$A74,Municipios!$CF$3:$CF$1105,$F$69)</f>
        <v>44</v>
      </c>
      <c r="G74" s="114">
        <f>COUNTIFS(Municipios!$Y$3:$Y$1105,Contrastes_Mun2!$A74,Municipios!$CF$3:$CF$1105,$G$69)</f>
        <v>0</v>
      </c>
      <c r="H74" s="154">
        <f t="shared" si="5"/>
        <v>368</v>
      </c>
      <c r="J74" s="314">
        <f>SUMIF(Municipios!$Y$3:$Y$1105,A74,Municipios!$DC$3:$DC$1105)</f>
        <v>1519138</v>
      </c>
      <c r="K74" s="314">
        <f>AVERAGEIF(Municipios!$Y$3:$Y$1105,A74,Municipios!$DC$3:$DC$1105)</f>
        <v>4128.092391304348</v>
      </c>
    </row>
    <row r="75" spans="1:11">
      <c r="A75" s="141">
        <v>4</v>
      </c>
      <c r="B75" s="114">
        <f>COUNTIFS(Municipios!$Y$3:$Y$1105,Contrastes_Mun2!$A75,Municipios!$CF$3:$CF$1105,Contrastes_Mun2!B$69)</f>
        <v>12</v>
      </c>
      <c r="C75" s="114">
        <f>COUNTIFS(Municipios!$Y$3:$Y$1105,Contrastes_Mun2!$A75,Municipios!$CF$3:$CF$1105,Contrastes_Mun2!C$69)</f>
        <v>203</v>
      </c>
      <c r="D75" s="114">
        <f>COUNTIFS(Municipios!$Y$3:$Y$1105,Contrastes_Mun2!$A75,Municipios!$CF$3:$CF$1105,$D$69)</f>
        <v>79</v>
      </c>
      <c r="E75" s="114">
        <f>COUNTIFS(Municipios!$Y$3:$Y$1105,Contrastes_Mun2!$A75,Municipios!$CF$3:$CF$1105,$E$69)</f>
        <v>53</v>
      </c>
      <c r="F75" s="114">
        <f>COUNTIFS(Municipios!$Y$3:$Y$1105,Contrastes_Mun2!$A75,Municipios!$CF$3:$CF$1105,$F$69)</f>
        <v>61</v>
      </c>
      <c r="G75" s="114">
        <f>COUNTIFS(Municipios!$Y$3:$Y$1105,Contrastes_Mun2!$A75,Municipios!$CF$3:$CF$1105,$G$69)</f>
        <v>1</v>
      </c>
      <c r="H75" s="154">
        <f t="shared" si="5"/>
        <v>409</v>
      </c>
      <c r="J75" s="314">
        <f>SUMIF(Municipios!$Y$3:$Y$1105,A75,Municipios!$DC$3:$DC$1105)</f>
        <v>2125461</v>
      </c>
      <c r="K75" s="314">
        <f>AVERAGEIF(Municipios!$Y$3:$Y$1105,A75,Municipios!$DC$3:$DC$1105)</f>
        <v>5209.463235294118</v>
      </c>
    </row>
    <row r="76" spans="1:11">
      <c r="A76" s="142">
        <v>5</v>
      </c>
      <c r="B76" s="114">
        <f>COUNTIFS(Municipios!$Y$3:$Y$1105,Contrastes_Mun2!$A76,Municipios!$CF$3:$CF$1105,Contrastes_Mun2!B$69)</f>
        <v>1</v>
      </c>
      <c r="C76" s="114">
        <f>COUNTIFS(Municipios!$Y$3:$Y$1105,Contrastes_Mun2!$A76,Municipios!$CF$3:$CF$1105,Contrastes_Mun2!C$69)</f>
        <v>59</v>
      </c>
      <c r="D76" s="114">
        <f>COUNTIFS(Municipios!$Y$3:$Y$1105,Contrastes_Mun2!$A76,Municipios!$CF$3:$CF$1105,$D$69)</f>
        <v>25</v>
      </c>
      <c r="E76" s="114">
        <f>COUNTIFS(Municipios!$Y$3:$Y$1105,Contrastes_Mun2!$A76,Municipios!$CF$3:$CF$1105,$E$69)</f>
        <v>15</v>
      </c>
      <c r="F76" s="114">
        <f>COUNTIFS(Municipios!$Y$3:$Y$1105,Contrastes_Mun2!$A76,Municipios!$CF$3:$CF$1105,$F$69)</f>
        <v>18</v>
      </c>
      <c r="G76" s="114">
        <f>COUNTIFS(Municipios!$Y$3:$Y$1105,Contrastes_Mun2!$A76,Municipios!$CF$3:$CF$1105,$G$69)</f>
        <v>0</v>
      </c>
      <c r="H76" s="154">
        <f t="shared" si="5"/>
        <v>118</v>
      </c>
      <c r="J76" s="314">
        <f>SUMIF(Municipios!$Y$3:$Y$1105,A76,Municipios!$DC$3:$DC$1105)</f>
        <v>561623</v>
      </c>
      <c r="K76" s="314">
        <f>AVERAGEIF(Municipios!$Y$3:$Y$1105,A76,Municipios!$DC$3:$DC$1105)</f>
        <v>4759.5169491525421</v>
      </c>
    </row>
    <row r="77" spans="1:11">
      <c r="A77" s="118" t="s">
        <v>369</v>
      </c>
      <c r="B77" s="118">
        <f t="shared" ref="B77:G77" si="6">+SUM(B70:B76)</f>
        <v>24</v>
      </c>
      <c r="C77" s="118">
        <f t="shared" si="6"/>
        <v>570</v>
      </c>
      <c r="D77" s="118">
        <f t="shared" si="6"/>
        <v>236</v>
      </c>
      <c r="E77" s="118">
        <f t="shared" si="6"/>
        <v>142</v>
      </c>
      <c r="F77" s="118">
        <f t="shared" si="6"/>
        <v>130</v>
      </c>
      <c r="G77" s="118">
        <f t="shared" si="6"/>
        <v>1</v>
      </c>
      <c r="H77" s="154">
        <f t="shared" si="5"/>
        <v>1103</v>
      </c>
    </row>
    <row r="79" spans="1:11" ht="15" customHeight="1">
      <c r="B79" s="370" t="s">
        <v>2959</v>
      </c>
      <c r="C79" s="370"/>
      <c r="D79" s="370"/>
      <c r="E79" s="370"/>
      <c r="F79" s="370"/>
      <c r="G79" s="370"/>
    </row>
    <row r="80" spans="1:11">
      <c r="A80" s="45" t="s">
        <v>367</v>
      </c>
      <c r="B80" s="153">
        <v>0</v>
      </c>
      <c r="C80" s="35" t="s">
        <v>2969</v>
      </c>
      <c r="D80" s="35" t="s">
        <v>2673</v>
      </c>
      <c r="E80" s="35" t="s">
        <v>2674</v>
      </c>
      <c r="F80" s="35" t="s">
        <v>2675</v>
      </c>
      <c r="G80" s="35" t="s">
        <v>380</v>
      </c>
      <c r="H80" s="34" t="s">
        <v>369</v>
      </c>
    </row>
    <row r="81" spans="1:8">
      <c r="A81" s="114" t="s">
        <v>370</v>
      </c>
      <c r="B81" s="114">
        <f>COUNTIFS(Municipios!$Y$3:$Y$1105,Contrastes_Mun2!$A81,Municipios!$CJ$3:$CJ$1105,B$80)</f>
        <v>1</v>
      </c>
      <c r="C81" s="114">
        <f>COUNTIFS(Municipios!$Y$3:$Y$1105,Contrastes_Mun2!$A81,Municipios!$CJ$3:$CJ$1105,C$80)</f>
        <v>0</v>
      </c>
      <c r="D81" s="114">
        <f>COUNTIFS(Municipios!$Y$3:$Y$1105,Contrastes_Mun2!$A81,Municipios!$CJ$3:$CJ$1105,D$80)</f>
        <v>0</v>
      </c>
      <c r="E81" s="114">
        <f>COUNTIFS(Municipios!$Y$3:$Y$1105,Contrastes_Mun2!$A81,Municipios!$CJ$3:$CJ$1105,E$80)</f>
        <v>0</v>
      </c>
      <c r="F81" s="114">
        <f>COUNTIFS(Municipios!$Y$3:$Y$1105,Contrastes_Mun2!$A81,Municipios!$CJ$3:$CJ$1105,F$80)</f>
        <v>0</v>
      </c>
      <c r="G81" s="114">
        <f>COUNTIFS(Municipios!$Y$3:$Y$1105,Contrastes_Mun2!$A81,Municipios!$CJ$3:$CJ$1105,G$80)</f>
        <v>0</v>
      </c>
      <c r="H81" s="154">
        <f>+SUM(B81:G81)</f>
        <v>1</v>
      </c>
    </row>
    <row r="82" spans="1:8">
      <c r="A82" s="115" t="s">
        <v>371</v>
      </c>
      <c r="B82" s="114">
        <f>COUNTIFS(Municipios!$Y$3:$Y$1105,Contrastes_Mun2!$A82,Municipios!$CJ$3:$CJ$1105,B$80)</f>
        <v>4</v>
      </c>
      <c r="C82" s="114">
        <f>COUNTIFS(Municipios!$Y$3:$Y$1105,Contrastes_Mun2!$A82,Municipios!$CJ$3:$CJ$1105,C$80)</f>
        <v>1</v>
      </c>
      <c r="D82" s="114">
        <f>COUNTIFS(Municipios!$Y$3:$Y$1105,Contrastes_Mun2!$A82,Municipios!$CJ$3:$CJ$1105,D$80)</f>
        <v>0</v>
      </c>
      <c r="E82" s="114">
        <f>COUNTIFS(Municipios!$Y$3:$Y$1105,Contrastes_Mun2!$A82,Municipios!$CJ$3:$CJ$1105,E$80)</f>
        <v>0</v>
      </c>
      <c r="F82" s="114">
        <f>COUNTIFS(Municipios!$Y$3:$Y$1105,Contrastes_Mun2!$A82,Municipios!$CJ$3:$CJ$1105,F$80)</f>
        <v>0</v>
      </c>
      <c r="G82" s="114">
        <f>COUNTIFS(Municipios!$Y$3:$Y$1105,Contrastes_Mun2!$A82,Municipios!$CJ$3:$CJ$1105,G$80)</f>
        <v>0</v>
      </c>
      <c r="H82" s="154">
        <f t="shared" ref="H82:H87" si="7">+SUM(B82:G82)</f>
        <v>5</v>
      </c>
    </row>
    <row r="83" spans="1:8">
      <c r="A83" s="141">
        <v>1</v>
      </c>
      <c r="B83" s="114">
        <f>COUNTIFS(Municipios!$Y$3:$Y$1105,Contrastes_Mun2!$A83,Municipios!$CJ$3:$CJ$1105,B$80)</f>
        <v>46</v>
      </c>
      <c r="C83" s="114">
        <f>COUNTIFS(Municipios!$Y$3:$Y$1105,Contrastes_Mun2!$A83,Municipios!$CJ$3:$CJ$1105,C$80)</f>
        <v>3</v>
      </c>
      <c r="D83" s="114">
        <f>COUNTIFS(Municipios!$Y$3:$Y$1105,Contrastes_Mun2!$A83,Municipios!$CJ$3:$CJ$1105,D$80)</f>
        <v>0</v>
      </c>
      <c r="E83" s="114">
        <f>COUNTIFS(Municipios!$Y$3:$Y$1105,Contrastes_Mun2!$A83,Municipios!$CJ$3:$CJ$1105,E$80)</f>
        <v>0</v>
      </c>
      <c r="F83" s="114">
        <f>COUNTIFS(Municipios!$Y$3:$Y$1105,Contrastes_Mun2!$A83,Municipios!$CJ$3:$CJ$1105,F$80)</f>
        <v>0</v>
      </c>
      <c r="G83" s="114">
        <f>COUNTIFS(Municipios!$Y$3:$Y$1105,Contrastes_Mun2!$A83,Municipios!$CJ$3:$CJ$1105,G$80)</f>
        <v>0</v>
      </c>
      <c r="H83" s="154">
        <f t="shared" si="7"/>
        <v>49</v>
      </c>
    </row>
    <row r="84" spans="1:8">
      <c r="A84" s="141">
        <v>2</v>
      </c>
      <c r="B84" s="114">
        <f>COUNTIFS(Municipios!$Y$3:$Y$1105,Contrastes_Mun2!$A84,Municipios!$CJ$3:$CJ$1105,B$80)</f>
        <v>123</v>
      </c>
      <c r="C84" s="114">
        <f>COUNTIFS(Municipios!$Y$3:$Y$1105,Contrastes_Mun2!$A84,Municipios!$CJ$3:$CJ$1105,C$80)</f>
        <v>29</v>
      </c>
      <c r="D84" s="114">
        <f>COUNTIFS(Municipios!$Y$3:$Y$1105,Contrastes_Mun2!$A84,Municipios!$CJ$3:$CJ$1105,D$80)</f>
        <v>1</v>
      </c>
      <c r="E84" s="114">
        <f>COUNTIFS(Municipios!$Y$3:$Y$1105,Contrastes_Mun2!$A84,Municipios!$CJ$3:$CJ$1105,E$80)</f>
        <v>0</v>
      </c>
      <c r="F84" s="114">
        <f>COUNTIFS(Municipios!$Y$3:$Y$1105,Contrastes_Mun2!$A84,Municipios!$CJ$3:$CJ$1105,F$80)</f>
        <v>0</v>
      </c>
      <c r="G84" s="114">
        <f>COUNTIFS(Municipios!$Y$3:$Y$1105,Contrastes_Mun2!$A84,Municipios!$CJ$3:$CJ$1105,G$80)</f>
        <v>0</v>
      </c>
      <c r="H84" s="154">
        <f t="shared" si="7"/>
        <v>153</v>
      </c>
    </row>
    <row r="85" spans="1:8">
      <c r="A85" s="141">
        <v>3</v>
      </c>
      <c r="B85" s="114">
        <f>COUNTIFS(Municipios!$Y$3:$Y$1105,Contrastes_Mun2!$A85,Municipios!$CJ$3:$CJ$1105,B$80)</f>
        <v>283</v>
      </c>
      <c r="C85" s="114">
        <f>COUNTIFS(Municipios!$Y$3:$Y$1105,Contrastes_Mun2!$A85,Municipios!$CJ$3:$CJ$1105,C$80)</f>
        <v>67</v>
      </c>
      <c r="D85" s="114">
        <f>COUNTIFS(Municipios!$Y$3:$Y$1105,Contrastes_Mun2!$A85,Municipios!$CJ$3:$CJ$1105,D$80)</f>
        <v>9</v>
      </c>
      <c r="E85" s="114">
        <f>COUNTIFS(Municipios!$Y$3:$Y$1105,Contrastes_Mun2!$A85,Municipios!$CJ$3:$CJ$1105,E$80)</f>
        <v>2</v>
      </c>
      <c r="F85" s="114">
        <f>COUNTIFS(Municipios!$Y$3:$Y$1105,Contrastes_Mun2!$A85,Municipios!$CJ$3:$CJ$1105,F$80)</f>
        <v>7</v>
      </c>
      <c r="G85" s="114">
        <f>COUNTIFS(Municipios!$Y$3:$Y$1105,Contrastes_Mun2!$A85,Municipios!$CJ$3:$CJ$1105,G$80)</f>
        <v>0</v>
      </c>
      <c r="H85" s="154">
        <f t="shared" si="7"/>
        <v>368</v>
      </c>
    </row>
    <row r="86" spans="1:8">
      <c r="A86" s="141">
        <v>4</v>
      </c>
      <c r="B86" s="114">
        <f>COUNTIFS(Municipios!$Y$3:$Y$1105,Contrastes_Mun2!$A86,Municipios!$CJ$3:$CJ$1105,B$80)</f>
        <v>281</v>
      </c>
      <c r="C86" s="114">
        <f>COUNTIFS(Municipios!$Y$3:$Y$1105,Contrastes_Mun2!$A86,Municipios!$CJ$3:$CJ$1105,C$80)</f>
        <v>89</v>
      </c>
      <c r="D86" s="114">
        <f>COUNTIFS(Municipios!$Y$3:$Y$1105,Contrastes_Mun2!$A86,Municipios!$CJ$3:$CJ$1105,D$80)</f>
        <v>7</v>
      </c>
      <c r="E86" s="114">
        <f>COUNTIFS(Municipios!$Y$3:$Y$1105,Contrastes_Mun2!$A86,Municipios!$CJ$3:$CJ$1105,E$80)</f>
        <v>6</v>
      </c>
      <c r="F86" s="114">
        <f>COUNTIFS(Municipios!$Y$3:$Y$1105,Contrastes_Mun2!$A86,Municipios!$CJ$3:$CJ$1105,F$80)</f>
        <v>25</v>
      </c>
      <c r="G86" s="114">
        <f>COUNTIFS(Municipios!$Y$3:$Y$1105,Contrastes_Mun2!$A86,Municipios!$CJ$3:$CJ$1105,G$80)</f>
        <v>1</v>
      </c>
      <c r="H86" s="154">
        <f t="shared" si="7"/>
        <v>409</v>
      </c>
    </row>
    <row r="87" spans="1:8">
      <c r="A87" s="142">
        <v>5</v>
      </c>
      <c r="B87" s="114">
        <f>COUNTIFS(Municipios!$Y$3:$Y$1105,Contrastes_Mun2!$A87,Municipios!$CJ$3:$CJ$1105,B$80)</f>
        <v>50</v>
      </c>
      <c r="C87" s="114">
        <f>COUNTIFS(Municipios!$Y$3:$Y$1105,Contrastes_Mun2!$A87,Municipios!$CJ$3:$CJ$1105,C$80)</f>
        <v>35</v>
      </c>
      <c r="D87" s="114">
        <f>COUNTIFS(Municipios!$Y$3:$Y$1105,Contrastes_Mun2!$A87,Municipios!$CJ$3:$CJ$1105,D$80)</f>
        <v>7</v>
      </c>
      <c r="E87" s="114">
        <f>COUNTIFS(Municipios!$Y$3:$Y$1105,Contrastes_Mun2!$A87,Municipios!$CJ$3:$CJ$1105,E$80)</f>
        <v>7</v>
      </c>
      <c r="F87" s="114">
        <f>COUNTIFS(Municipios!$Y$3:$Y$1105,Contrastes_Mun2!$A87,Municipios!$CJ$3:$CJ$1105,F$80)</f>
        <v>19</v>
      </c>
      <c r="G87" s="114">
        <f>COUNTIFS(Municipios!$Y$3:$Y$1105,Contrastes_Mun2!$A87,Municipios!$CJ$3:$CJ$1105,G$80)</f>
        <v>0</v>
      </c>
      <c r="H87" s="154">
        <f t="shared" si="7"/>
        <v>118</v>
      </c>
    </row>
    <row r="88" spans="1:8">
      <c r="A88" s="118" t="s">
        <v>369</v>
      </c>
      <c r="B88" s="118">
        <f t="shared" ref="B88:G88" si="8">+SUM(B81:B87)</f>
        <v>788</v>
      </c>
      <c r="C88" s="118">
        <f t="shared" si="8"/>
        <v>224</v>
      </c>
      <c r="D88" s="118">
        <f t="shared" si="8"/>
        <v>24</v>
      </c>
      <c r="E88" s="118">
        <f t="shared" si="8"/>
        <v>15</v>
      </c>
      <c r="F88" s="118">
        <f t="shared" si="8"/>
        <v>51</v>
      </c>
      <c r="G88" s="118">
        <f t="shared" si="8"/>
        <v>1</v>
      </c>
      <c r="H88" s="118">
        <f>+SUM(H81:H87)</f>
        <v>1103</v>
      </c>
    </row>
    <row r="90" spans="1:8" ht="15" customHeight="1">
      <c r="A90" s="323"/>
      <c r="B90" s="383" t="s">
        <v>2961</v>
      </c>
      <c r="C90" s="384"/>
      <c r="D90" s="384"/>
      <c r="E90" s="384"/>
      <c r="F90" s="384"/>
      <c r="G90" s="380"/>
      <c r="H90" s="324"/>
    </row>
    <row r="91" spans="1:8">
      <c r="A91" s="45" t="s">
        <v>367</v>
      </c>
      <c r="B91" s="153">
        <v>0</v>
      </c>
      <c r="C91" s="35" t="s">
        <v>2969</v>
      </c>
      <c r="D91" s="35" t="s">
        <v>2673</v>
      </c>
      <c r="E91" s="35" t="s">
        <v>2674</v>
      </c>
      <c r="F91" s="35" t="s">
        <v>2675</v>
      </c>
      <c r="G91" s="35" t="s">
        <v>380</v>
      </c>
      <c r="H91" s="34" t="s">
        <v>369</v>
      </c>
    </row>
    <row r="92" spans="1:8">
      <c r="A92" s="114" t="s">
        <v>370</v>
      </c>
      <c r="B92" s="114">
        <f>COUNTIFS(Municipios!$Y$3:$Y$1105,Contrastes_Mun2!$A92,Municipios!$CN$3:$CN$1105,B$91)</f>
        <v>0</v>
      </c>
      <c r="C92" s="114">
        <f>COUNTIFS(Municipios!$Y$3:$Y$1105,Contrastes_Mun2!$A92,Municipios!$CN$3:$CN$1105,C$91)</f>
        <v>1</v>
      </c>
      <c r="D92" s="114">
        <f>COUNTIFS(Municipios!$Y$3:$Y$1105,Contrastes_Mun2!$A92,Municipios!$CN$3:$CN$1105,D$91)</f>
        <v>0</v>
      </c>
      <c r="E92" s="114">
        <f>COUNTIFS(Municipios!$Y$3:$Y$1105,Contrastes_Mun2!$A92,Municipios!$CN$3:$CN$1105,E$91)</f>
        <v>0</v>
      </c>
      <c r="F92" s="114">
        <f>COUNTIFS(Municipios!$Y$3:$Y$1105,Contrastes_Mun2!$A92,Municipios!$CN$3:$CN$1105,F$91)</f>
        <v>0</v>
      </c>
      <c r="G92" s="114">
        <f>COUNTIFS(Municipios!$Y$3:$Y$1105,Contrastes_Mun2!$A92,Municipios!$CN$3:$CN$1105,G$91)</f>
        <v>0</v>
      </c>
      <c r="H92" s="154">
        <f>+SUM(B92:G92)</f>
        <v>1</v>
      </c>
    </row>
    <row r="93" spans="1:8">
      <c r="A93" s="115" t="s">
        <v>371</v>
      </c>
      <c r="B93" s="114">
        <f>COUNTIFS(Municipios!$Y$3:$Y$1105,Contrastes_Mun2!$A93,Municipios!$CN$3:$CN$1105,B$91)</f>
        <v>5</v>
      </c>
      <c r="C93" s="114">
        <f>COUNTIFS(Municipios!$Y$3:$Y$1105,Contrastes_Mun2!$A93,Municipios!$CN$3:$CN$1105,C$91)</f>
        <v>0</v>
      </c>
      <c r="D93" s="114">
        <f>COUNTIFS(Municipios!$Y$3:$Y$1105,Contrastes_Mun2!$A93,Municipios!$CN$3:$CN$1105,D$91)</f>
        <v>0</v>
      </c>
      <c r="E93" s="114">
        <f>COUNTIFS(Municipios!$Y$3:$Y$1105,Contrastes_Mun2!$A93,Municipios!$CN$3:$CN$1105,E$91)</f>
        <v>0</v>
      </c>
      <c r="F93" s="114">
        <f>COUNTIFS(Municipios!$Y$3:$Y$1105,Contrastes_Mun2!$A93,Municipios!$CN$3:$CN$1105,F$91)</f>
        <v>0</v>
      </c>
      <c r="G93" s="114">
        <f>COUNTIFS(Municipios!$Y$3:$Y$1105,Contrastes_Mun2!$A93,Municipios!$CN$3:$CN$1105,G$91)</f>
        <v>0</v>
      </c>
      <c r="H93" s="154">
        <f t="shared" ref="H93:H98" si="9">+SUM(B93:G93)</f>
        <v>5</v>
      </c>
    </row>
    <row r="94" spans="1:8">
      <c r="A94" s="141">
        <v>1</v>
      </c>
      <c r="B94" s="114">
        <f>COUNTIFS(Municipios!$Y$3:$Y$1105,Contrastes_Mun2!$A94,Municipios!$CN$3:$CN$1105,B$91)</f>
        <v>49</v>
      </c>
      <c r="C94" s="114">
        <f>COUNTIFS(Municipios!$Y$3:$Y$1105,Contrastes_Mun2!$A94,Municipios!$CN$3:$CN$1105,C$91)</f>
        <v>0</v>
      </c>
      <c r="D94" s="114">
        <f>COUNTIFS(Municipios!$Y$3:$Y$1105,Contrastes_Mun2!$A94,Municipios!$CN$3:$CN$1105,D$91)</f>
        <v>0</v>
      </c>
      <c r="E94" s="114">
        <f>COUNTIFS(Municipios!$Y$3:$Y$1105,Contrastes_Mun2!$A94,Municipios!$CN$3:$CN$1105,E$91)</f>
        <v>0</v>
      </c>
      <c r="F94" s="114">
        <f>COUNTIFS(Municipios!$Y$3:$Y$1105,Contrastes_Mun2!$A94,Municipios!$CN$3:$CN$1105,F$91)</f>
        <v>0</v>
      </c>
      <c r="G94" s="114">
        <f>COUNTIFS(Municipios!$Y$3:$Y$1105,Contrastes_Mun2!$A94,Municipios!$CN$3:$CN$1105,G$91)</f>
        <v>0</v>
      </c>
      <c r="H94" s="154">
        <f t="shared" si="9"/>
        <v>49</v>
      </c>
    </row>
    <row r="95" spans="1:8">
      <c r="A95" s="141">
        <v>2</v>
      </c>
      <c r="B95" s="114">
        <f>COUNTIFS(Municipios!$Y$3:$Y$1105,Contrastes_Mun2!$A95,Municipios!$CN$3:$CN$1105,B$91)</f>
        <v>147</v>
      </c>
      <c r="C95" s="114">
        <f>COUNTIFS(Municipios!$Y$3:$Y$1105,Contrastes_Mun2!$A95,Municipios!$CN$3:$CN$1105,C$91)</f>
        <v>4</v>
      </c>
      <c r="D95" s="114">
        <f>COUNTIFS(Municipios!$Y$3:$Y$1105,Contrastes_Mun2!$A95,Municipios!$CN$3:$CN$1105,D$91)</f>
        <v>1</v>
      </c>
      <c r="E95" s="114">
        <f>COUNTIFS(Municipios!$Y$3:$Y$1105,Contrastes_Mun2!$A95,Municipios!$CN$3:$CN$1105,E$91)</f>
        <v>1</v>
      </c>
      <c r="F95" s="114">
        <f>COUNTIFS(Municipios!$Y$3:$Y$1105,Contrastes_Mun2!$A95,Municipios!$CN$3:$CN$1105,F$91)</f>
        <v>0</v>
      </c>
      <c r="G95" s="114">
        <f>COUNTIFS(Municipios!$Y$3:$Y$1105,Contrastes_Mun2!$A95,Municipios!$CN$3:$CN$1105,G$91)</f>
        <v>0</v>
      </c>
      <c r="H95" s="154">
        <f t="shared" si="9"/>
        <v>153</v>
      </c>
    </row>
    <row r="96" spans="1:8">
      <c r="A96" s="141">
        <v>3</v>
      </c>
      <c r="B96" s="114">
        <f>COUNTIFS(Municipios!$Y$3:$Y$1105,Contrastes_Mun2!$A96,Municipios!$CN$3:$CN$1105,B$91)</f>
        <v>363</v>
      </c>
      <c r="C96" s="114">
        <f>COUNTIFS(Municipios!$Y$3:$Y$1105,Contrastes_Mun2!$A96,Municipios!$CN$3:$CN$1105,C$91)</f>
        <v>1</v>
      </c>
      <c r="D96" s="114">
        <f>COUNTIFS(Municipios!$Y$3:$Y$1105,Contrastes_Mun2!$A96,Municipios!$CN$3:$CN$1105,D$91)</f>
        <v>2</v>
      </c>
      <c r="E96" s="114">
        <f>COUNTIFS(Municipios!$Y$3:$Y$1105,Contrastes_Mun2!$A96,Municipios!$CN$3:$CN$1105,E$91)</f>
        <v>2</v>
      </c>
      <c r="F96" s="114">
        <f>COUNTIFS(Municipios!$Y$3:$Y$1105,Contrastes_Mun2!$A96,Municipios!$CN$3:$CN$1105,F$91)</f>
        <v>0</v>
      </c>
      <c r="G96" s="114">
        <f>COUNTIFS(Municipios!$Y$3:$Y$1105,Contrastes_Mun2!$A96,Municipios!$CN$3:$CN$1105,G$91)</f>
        <v>0</v>
      </c>
      <c r="H96" s="154">
        <f t="shared" si="9"/>
        <v>368</v>
      </c>
    </row>
    <row r="97" spans="1:9">
      <c r="A97" s="141">
        <v>4</v>
      </c>
      <c r="B97" s="114">
        <f>COUNTIFS(Municipios!$Y$3:$Y$1105,Contrastes_Mun2!$A97,Municipios!$CN$3:$CN$1105,B$91)</f>
        <v>394</v>
      </c>
      <c r="C97" s="114">
        <f>COUNTIFS(Municipios!$Y$3:$Y$1105,Contrastes_Mun2!$A97,Municipios!$CN$3:$CN$1105,C$91)</f>
        <v>10</v>
      </c>
      <c r="D97" s="114">
        <f>COUNTIFS(Municipios!$Y$3:$Y$1105,Contrastes_Mun2!$A97,Municipios!$CN$3:$CN$1105,D$91)</f>
        <v>2</v>
      </c>
      <c r="E97" s="114">
        <f>COUNTIFS(Municipios!$Y$3:$Y$1105,Contrastes_Mun2!$A97,Municipios!$CN$3:$CN$1105,E$91)</f>
        <v>0</v>
      </c>
      <c r="F97" s="114">
        <f>COUNTIFS(Municipios!$Y$3:$Y$1105,Contrastes_Mun2!$A97,Municipios!$CN$3:$CN$1105,F$91)</f>
        <v>2</v>
      </c>
      <c r="G97" s="114">
        <f>COUNTIFS(Municipios!$Y$3:$Y$1105,Contrastes_Mun2!$A97,Municipios!$CN$3:$CN$1105,G$91)</f>
        <v>1</v>
      </c>
      <c r="H97" s="154">
        <f t="shared" si="9"/>
        <v>409</v>
      </c>
    </row>
    <row r="98" spans="1:9">
      <c r="A98" s="142">
        <v>5</v>
      </c>
      <c r="B98" s="114">
        <f>COUNTIFS(Municipios!$Y$3:$Y$1105,Contrastes_Mun2!$A98,Municipios!$CN$3:$CN$1105,B$91)</f>
        <v>101</v>
      </c>
      <c r="C98" s="114">
        <f>COUNTIFS(Municipios!$Y$3:$Y$1105,Contrastes_Mun2!$A98,Municipios!$CN$3:$CN$1105,C$91)</f>
        <v>14</v>
      </c>
      <c r="D98" s="114">
        <f>COUNTIFS(Municipios!$Y$3:$Y$1105,Contrastes_Mun2!$A98,Municipios!$CN$3:$CN$1105,D$91)</f>
        <v>3</v>
      </c>
      <c r="E98" s="114">
        <f>COUNTIFS(Municipios!$Y$3:$Y$1105,Contrastes_Mun2!$A98,Municipios!$CN$3:$CN$1105,E$91)</f>
        <v>0</v>
      </c>
      <c r="F98" s="114">
        <f>COUNTIFS(Municipios!$Y$3:$Y$1105,Contrastes_Mun2!$A98,Municipios!$CN$3:$CN$1105,F$91)</f>
        <v>0</v>
      </c>
      <c r="G98" s="114">
        <f>COUNTIFS(Municipios!$Y$3:$Y$1105,Contrastes_Mun2!$A98,Municipios!$CN$3:$CN$1105,G$91)</f>
        <v>0</v>
      </c>
      <c r="H98" s="154">
        <f t="shared" si="9"/>
        <v>118</v>
      </c>
    </row>
    <row r="99" spans="1:9">
      <c r="A99" s="118" t="s">
        <v>369</v>
      </c>
      <c r="B99" s="118">
        <f t="shared" ref="B99:G99" si="10">+SUM(B92:B98)</f>
        <v>1059</v>
      </c>
      <c r="C99" s="118">
        <f t="shared" si="10"/>
        <v>30</v>
      </c>
      <c r="D99" s="118">
        <f t="shared" si="10"/>
        <v>8</v>
      </c>
      <c r="E99" s="118">
        <f t="shared" si="10"/>
        <v>3</v>
      </c>
      <c r="F99" s="118">
        <f t="shared" si="10"/>
        <v>2</v>
      </c>
      <c r="G99" s="118">
        <f t="shared" si="10"/>
        <v>1</v>
      </c>
      <c r="H99" s="118">
        <f>+SUM(H92:H98)</f>
        <v>1103</v>
      </c>
    </row>
    <row r="100" spans="1:9" ht="14.5" thickBot="1"/>
    <row r="101" spans="1:9" ht="14.5" thickBot="1">
      <c r="A101" s="158" t="s">
        <v>390</v>
      </c>
      <c r="C101" s="159">
        <v>1</v>
      </c>
    </row>
    <row r="102" spans="1:9">
      <c r="A102" s="158"/>
    </row>
    <row r="103" spans="1:9" ht="28">
      <c r="A103" s="113" t="s">
        <v>367</v>
      </c>
      <c r="B103" s="45"/>
      <c r="C103" s="113" t="s">
        <v>2943</v>
      </c>
      <c r="D103" s="113" t="s">
        <v>2913</v>
      </c>
      <c r="E103" s="113" t="s">
        <v>411</v>
      </c>
      <c r="F103" s="113" t="s">
        <v>410</v>
      </c>
      <c r="G103" s="45" t="s">
        <v>2646</v>
      </c>
      <c r="H103" s="113" t="s">
        <v>303</v>
      </c>
      <c r="I103" s="113" t="s">
        <v>2723</v>
      </c>
    </row>
    <row r="104" spans="1:9">
      <c r="A104" s="114" t="s">
        <v>370</v>
      </c>
      <c r="B104" s="40" t="s">
        <v>370</v>
      </c>
      <c r="C104" s="40">
        <f>+COUNTIFS(Municipios!$Y:$Y,$A104,Municipios!$AW:$AW,C$101)</f>
        <v>1</v>
      </c>
      <c r="D104" s="295">
        <f t="shared" ref="D104:D110" si="11">C104/$C$111</f>
        <v>3.2258064516129031E-2</v>
      </c>
      <c r="E104" s="90">
        <f>AVERAGEIFS(Municipios!$O:$O,Municipios!$Y:$Y,$A104,Municipios!$AW:$AW,C$101)</f>
        <v>83.075975973808866</v>
      </c>
      <c r="F104" s="90">
        <f>AVERAGEIFS(Municipios!$N:$N,Municipios!$Y:$Y,$A104,Municipios!$AW:$AW,C$101)</f>
        <v>96.758853407492637</v>
      </c>
      <c r="G104" s="90">
        <f>AVERAGEIFS(Municipios!$P:$P,Municipios!$Y:$Y,$A104,Municipios!$AW:$AW,C$101)</f>
        <v>89.917414690650759</v>
      </c>
      <c r="H104" s="90">
        <f>AVERAGEIFS(Municipios!$R:$R,Municipios!$Y:$Y,$A104,Municipios!$AW:$AW,C$101)</f>
        <v>83.705058246668472</v>
      </c>
      <c r="I104" s="90">
        <f>IFERROR(AVERAGEIFS(Municipios!$U:$U,Municipios!$Y:$Y,$A104,Municipios!$AW:$AW,C$101),"N.D.")</f>
        <v>76.730623375701967</v>
      </c>
    </row>
    <row r="105" spans="1:9">
      <c r="A105" s="115" t="s">
        <v>371</v>
      </c>
      <c r="B105" s="41" t="s">
        <v>2663</v>
      </c>
      <c r="C105" s="40">
        <f>+COUNTIFS(Municipios!$Y:$Y,$A105,Municipios!$AW:$AW,C$101)</f>
        <v>5</v>
      </c>
      <c r="D105" s="295">
        <f t="shared" si="11"/>
        <v>0.16129032258064516</v>
      </c>
      <c r="E105" s="90">
        <f>AVERAGEIFS(Municipios!$O:$O,Municipios!$Y:$Y,$A105,Municipios!$AW:$AW,C$101)</f>
        <v>67.422853820518327</v>
      </c>
      <c r="F105" s="90">
        <f>AVERAGEIFS(Municipios!$N:$N,Municipios!$Y:$Y,$A105,Municipios!$AW:$AW,C$101)</f>
        <v>86.715506077867275</v>
      </c>
      <c r="G105" s="90">
        <f>AVERAGEIFS(Municipios!$P:$P,Municipios!$Y:$Y,$A105,Municipios!$AW:$AW,C$101)</f>
        <v>77.069179949192815</v>
      </c>
      <c r="H105" s="90">
        <f>AVERAGEIFS(Municipios!$R:$R,Municipios!$Y:$Y,$A105,Municipios!$AW:$AW,C$101)</f>
        <v>85.083057432728197</v>
      </c>
      <c r="I105" s="90">
        <f>IFERROR(AVERAGEIFS(Municipios!$U:$U,Municipios!$Y:$Y,$A105,Municipios!$AW:$AW,C$101),"N.D.")</f>
        <v>66.878391873470065</v>
      </c>
    </row>
    <row r="106" spans="1:9">
      <c r="A106" s="141">
        <v>1</v>
      </c>
      <c r="B106" s="41">
        <v>1</v>
      </c>
      <c r="C106" s="40">
        <f>+COUNTIFS(Municipios!$Y:$Y,$A106,Municipios!$AW:$AW,C$101)</f>
        <v>6</v>
      </c>
      <c r="D106" s="295">
        <f>C106/$C$111</f>
        <v>0.19354838709677419</v>
      </c>
      <c r="E106" s="90">
        <f>AVERAGEIFS(Municipios!$O:$O,Municipios!$Y:$Y,$A106,Municipios!$AW:$AW,C$101)</f>
        <v>61.960330279697907</v>
      </c>
      <c r="F106" s="90">
        <f>AVERAGEIFS(Municipios!$N:$N,Municipios!$Y:$Y,$A106,Municipios!$AW:$AW,C$101)</f>
        <v>81.632970850381454</v>
      </c>
      <c r="G106" s="90">
        <f>AVERAGEIFS(Municipios!$P:$P,Municipios!$Y:$Y,$A106,Municipios!$AW:$AW,C$101)</f>
        <v>71.796650565039684</v>
      </c>
      <c r="H106" s="90">
        <f>AVERAGEIFS(Municipios!$R:$R,Municipios!$Y:$Y,$A106,Municipios!$AW:$AW,C$101)</f>
        <v>70.520544529894934</v>
      </c>
      <c r="I106" s="90">
        <f>IFERROR(AVERAGEIFS(Municipios!$U:$U,Municipios!$Y:$Y,$A106,Municipios!$AW:$AW,C$101),"N.D.")</f>
        <v>52.733920103560052</v>
      </c>
    </row>
    <row r="107" spans="1:9">
      <c r="A107" s="141">
        <v>2</v>
      </c>
      <c r="B107" s="41">
        <v>2</v>
      </c>
      <c r="C107" s="40">
        <f>+COUNTIFS(Municipios!$Y:$Y,$A107,Municipios!$AW:$AW,C$101)</f>
        <v>9</v>
      </c>
      <c r="D107" s="295">
        <f t="shared" si="11"/>
        <v>0.29032258064516131</v>
      </c>
      <c r="E107" s="90">
        <f>AVERAGEIFS(Municipios!$O:$O,Municipios!$Y:$Y,$A107,Municipios!$AW:$AW,C$101)</f>
        <v>58.613767988271597</v>
      </c>
      <c r="F107" s="90">
        <f>AVERAGEIFS(Municipios!$N:$N,Municipios!$Y:$Y,$A107,Municipios!$AW:$AW,C$101)</f>
        <v>71.63195833333333</v>
      </c>
      <c r="G107" s="90">
        <f>AVERAGEIFS(Municipios!$P:$P,Municipios!$Y:$Y,$A107,Municipios!$AW:$AW,C$101)</f>
        <v>65.122863160802467</v>
      </c>
      <c r="H107" s="90">
        <f>AVERAGEIFS(Municipios!$R:$R,Municipios!$Y:$Y,$A107,Municipios!$AW:$AW,C$101)</f>
        <v>60.397911689381061</v>
      </c>
      <c r="I107" s="90">
        <f>IFERROR(AVERAGEIFS(Municipios!$U:$U,Municipios!$Y:$Y,$A107,Municipios!$AW:$AW,C$101),"N.D.")</f>
        <v>41.683823456150165</v>
      </c>
    </row>
    <row r="108" spans="1:9">
      <c r="A108" s="141">
        <v>3</v>
      </c>
      <c r="B108" s="41">
        <v>3</v>
      </c>
      <c r="C108" s="40">
        <f>+COUNTIFS(Municipios!$Y:$Y,$A108,Municipios!$AW:$AW,C$101)</f>
        <v>4</v>
      </c>
      <c r="D108" s="295">
        <f t="shared" si="11"/>
        <v>0.12903225806451613</v>
      </c>
      <c r="E108" s="90">
        <f>AVERAGEIFS(Municipios!$O:$O,Municipios!$Y:$Y,$A108,Municipios!$AW:$AW,C$101)</f>
        <v>51.675730212019801</v>
      </c>
      <c r="F108" s="90">
        <f>AVERAGEIFS(Municipios!$N:$N,Municipios!$Y:$Y,$A108,Municipios!$AW:$AW,C$101)</f>
        <v>65.770791666666668</v>
      </c>
      <c r="G108" s="90">
        <f>AVERAGEIFS(Municipios!$P:$P,Municipios!$Y:$Y,$A108,Municipios!$AW:$AW,C$101)</f>
        <v>58.723260939343234</v>
      </c>
      <c r="H108" s="90">
        <f>AVERAGEIFS(Municipios!$R:$R,Municipios!$Y:$Y,$A108,Municipios!$AW:$AW,C$101)</f>
        <v>45.74864334366719</v>
      </c>
      <c r="I108" s="90">
        <f>IFERROR(AVERAGEIFS(Municipios!$U:$U,Municipios!$Y:$Y,$A108,Municipios!$AW:$AW,C$101),"N.D.")</f>
        <v>29.990488591057634</v>
      </c>
    </row>
    <row r="109" spans="1:9">
      <c r="A109" s="141">
        <v>4</v>
      </c>
      <c r="B109" s="41">
        <v>4</v>
      </c>
      <c r="C109" s="40">
        <f>+COUNTIFS(Municipios!$Y:$Y,$A109,Municipios!$AW:$AW,C$101)</f>
        <v>1</v>
      </c>
      <c r="D109" s="295">
        <f t="shared" si="11"/>
        <v>3.2258064516129031E-2</v>
      </c>
      <c r="E109" s="90">
        <f>AVERAGEIFS(Municipios!$O:$O,Municipios!$Y:$Y,$A109,Municipios!$AW:$AW,C$101)</f>
        <v>56.59834735467421</v>
      </c>
      <c r="F109" s="90">
        <f>AVERAGEIFS(Municipios!$N:$N,Municipios!$Y:$Y,$A109,Municipios!$AW:$AW,C$101)</f>
        <v>60.043324999999996</v>
      </c>
      <c r="G109" s="90">
        <f>AVERAGEIFS(Municipios!$P:$P,Municipios!$Y:$Y,$A109,Municipios!$AW:$AW,C$101)</f>
        <v>58.3208361773371</v>
      </c>
      <c r="H109" s="90">
        <f>AVERAGEIFS(Municipios!$R:$R,Municipios!$Y:$Y,$A109,Municipios!$AW:$AW,C$101)</f>
        <v>32.453378779745719</v>
      </c>
      <c r="I109" s="90">
        <f>IFERROR(AVERAGEIFS(Municipios!$U:$U,Municipios!$Y:$Y,$A109,Municipios!$AW:$AW,C$101),"N.D.")</f>
        <v>22.866457302665275</v>
      </c>
    </row>
    <row r="110" spans="1:9">
      <c r="A110" s="142">
        <v>5</v>
      </c>
      <c r="B110" s="139">
        <v>5</v>
      </c>
      <c r="C110" s="40">
        <f>+COUNTIFS(Municipios!$Y:$Y,$A110,Municipios!$AW:$AW,C$101)</f>
        <v>5</v>
      </c>
      <c r="D110" s="295">
        <f t="shared" si="11"/>
        <v>0.16129032258064516</v>
      </c>
      <c r="E110" s="90">
        <f>AVERAGEIFS(Municipios!$O:$O,Municipios!$Y:$Y,$A110,Municipios!$AW:$AW,C$101)</f>
        <v>55.879335058416572</v>
      </c>
      <c r="F110" s="90">
        <f>AVERAGEIFS(Municipios!$N:$N,Municipios!$Y:$Y,$A110,Municipios!$AW:$AW,C$101)</f>
        <v>58.581285000000001</v>
      </c>
      <c r="G110" s="90">
        <f>AVERAGEIFS(Municipios!$P:$P,Municipios!$Y:$Y,$A110,Municipios!$AW:$AW,C$101)</f>
        <v>57.230310029208283</v>
      </c>
      <c r="H110" s="90">
        <f>AVERAGEIFS(Municipios!$R:$R,Municipios!$Y:$Y,$A110,Municipios!$AW:$AW,C$101)</f>
        <v>16.42535557853676</v>
      </c>
      <c r="I110" s="90">
        <f>IFERROR(AVERAGEIFS(Municipios!$U:$U,Municipios!$Y:$Y,$A110,Municipios!$AW:$AW,C$101),"N.D.")</f>
        <v>14.111358039930021</v>
      </c>
    </row>
    <row r="111" spans="1:9">
      <c r="A111" s="118" t="s">
        <v>369</v>
      </c>
      <c r="B111" s="35"/>
      <c r="C111" s="35">
        <f>SUM(C104:C110)</f>
        <v>31</v>
      </c>
      <c r="D111" s="153">
        <f>SUM(D104:D110)</f>
        <v>1</v>
      </c>
      <c r="E111" s="106">
        <f>AVERAGEIFS(Municipios!$O:$O,Municipios!$AW:$AW,C$101)</f>
        <v>60.070131682060257</v>
      </c>
      <c r="F111" s="106">
        <f>AVERAGEIFS(Municipios!$N:$N,Municipios!$AW:$AW,C$101)</f>
        <v>73.575959695670491</v>
      </c>
      <c r="G111" s="106">
        <f>AVERAGEIFS(Municipios!$P:$P,Municipios!$AW:$AW,C$101)</f>
        <v>66.823045688865378</v>
      </c>
      <c r="H111" s="106">
        <f>AVERAGEIFS(Municipios!$R:$R,Municipios!$AW:$AW,C$101)</f>
        <v>57.206437027135699</v>
      </c>
      <c r="I111" s="106">
        <f>IFERROR(AVERAGEIFS(Municipios!$U:$U,Municipios!$AW:$AW,C$101),"N.D.")</f>
        <v>42.453732785042263</v>
      </c>
    </row>
    <row r="112" spans="1:9" ht="14.5" thickBot="1">
      <c r="A112" s="313"/>
      <c r="B112" s="63"/>
    </row>
    <row r="113" spans="1:9" ht="14.5" thickBot="1">
      <c r="A113" s="158" t="s">
        <v>2862</v>
      </c>
      <c r="C113" s="159">
        <v>1</v>
      </c>
    </row>
    <row r="114" spans="1:9">
      <c r="A114" s="158"/>
    </row>
    <row r="115" spans="1:9" ht="28">
      <c r="A115" s="113" t="s">
        <v>367</v>
      </c>
      <c r="B115" s="45"/>
      <c r="C115" s="113" t="s">
        <v>2943</v>
      </c>
      <c r="D115" s="113" t="s">
        <v>2913</v>
      </c>
      <c r="E115" s="113" t="s">
        <v>411</v>
      </c>
      <c r="F115" s="113" t="s">
        <v>410</v>
      </c>
      <c r="G115" s="45" t="s">
        <v>2646</v>
      </c>
      <c r="H115" s="113" t="s">
        <v>303</v>
      </c>
      <c r="I115" s="113" t="s">
        <v>2723</v>
      </c>
    </row>
    <row r="116" spans="1:9">
      <c r="A116" s="114" t="s">
        <v>370</v>
      </c>
      <c r="B116" s="40" t="s">
        <v>370</v>
      </c>
      <c r="C116" s="40">
        <f>+COUNTIFS(Municipios!$Y:$Y,$A116,Municipios!$AY:$AY,C$113)</f>
        <v>1</v>
      </c>
      <c r="D116" s="295">
        <f>C116/$C$123</f>
        <v>8.3333333333333329E-2</v>
      </c>
      <c r="E116" s="90">
        <f>IFERROR(AVERAGEIFS(Municipios!$O:$O,Municipios!$Y:$Y,$A116,Municipios!$AY:$AY,C$113),"N.D.")</f>
        <v>83.075975973808866</v>
      </c>
      <c r="F116" s="90">
        <f>IFERROR(AVERAGEIFS(Municipios!$N:$N,Municipios!$Y:$Y,$A116,Municipios!$AY:$AY,C$113),"N.D.")</f>
        <v>96.758853407492637</v>
      </c>
      <c r="G116" s="90">
        <f>IFERROR(AVERAGEIFS(Municipios!$P:$P,Municipios!$Y:$Y,$A116,Municipios!$AY:$AY,C$113),"N.D.")</f>
        <v>89.917414690650759</v>
      </c>
      <c r="H116" s="90">
        <f>IFERROR(AVERAGEIFS(Municipios!$R:$R,Municipios!$Y:$Y,$A116,Municipios!$AY:$AY,C$113),"N.D.")</f>
        <v>83.705058246668472</v>
      </c>
      <c r="I116" s="90">
        <f>IFERROR(AVERAGEIFS(Municipios!$U:$U,Municipios!$Y:$Y,$A116,Municipios!$AY:$AY,C$113),"N.D.")</f>
        <v>76.730623375701967</v>
      </c>
    </row>
    <row r="117" spans="1:9">
      <c r="A117" s="115" t="s">
        <v>371</v>
      </c>
      <c r="B117" s="41" t="s">
        <v>2663</v>
      </c>
      <c r="C117" s="40">
        <f>+COUNTIFS(Municipios!$Y:$Y,$A117,Municipios!$AY:$AY,C$113)</f>
        <v>4</v>
      </c>
      <c r="D117" s="295">
        <f t="shared" ref="D117:D122" si="12">C117/$C$123</f>
        <v>0.33333333333333331</v>
      </c>
      <c r="E117" s="90">
        <f>IFERROR(AVERAGEIFS(Municipios!$O:$O,Municipios!$Y:$Y,$A117,Municipios!$AY:$AY,C$113),"N.D.")</f>
        <v>67.171818894119468</v>
      </c>
      <c r="F117" s="90">
        <f>IFERROR(AVERAGEIFS(Municipios!$N:$N,Municipios!$Y:$Y,$A117,Municipios!$AY:$AY,C$113),"N.D.")</f>
        <v>86.384668014000766</v>
      </c>
      <c r="G117" s="90">
        <f>IFERROR(AVERAGEIFS(Municipios!$P:$P,Municipios!$Y:$Y,$A117,Municipios!$AY:$AY,C$113),"N.D.")</f>
        <v>76.778243454060117</v>
      </c>
      <c r="H117" s="90">
        <f>IFERROR(AVERAGEIFS(Municipios!$R:$R,Municipios!$Y:$Y,$A117,Municipios!$AY:$AY,C$113),"N.D.")</f>
        <v>85.754791863299943</v>
      </c>
      <c r="I117" s="90">
        <f>IFERROR(AVERAGEIFS(Municipios!$U:$U,Municipios!$Y:$Y,$A117,Municipios!$AY:$AY,C$113),"N.D.")</f>
        <v>67.138465250636415</v>
      </c>
    </row>
    <row r="118" spans="1:9">
      <c r="A118" s="141">
        <v>1</v>
      </c>
      <c r="B118" s="41">
        <v>1</v>
      </c>
      <c r="C118" s="40">
        <f>+COUNTIFS(Municipios!$Y:$Y,$A118,Municipios!$AY:$AY,C$113)</f>
        <v>0</v>
      </c>
      <c r="D118" s="295">
        <f t="shared" si="12"/>
        <v>0</v>
      </c>
      <c r="E118" s="90" t="str">
        <f>IFERROR(AVERAGEIFS(Municipios!$O:$O,Municipios!$Y:$Y,$A118,Municipios!$AY:$AY,C$113),"N.D.")</f>
        <v>N.D.</v>
      </c>
      <c r="F118" s="90" t="str">
        <f>IFERROR(AVERAGEIFS(Municipios!$N:$N,Municipios!$Y:$Y,$A118,Municipios!$AY:$AY,C$113),"N.D.")</f>
        <v>N.D.</v>
      </c>
      <c r="G118" s="90" t="str">
        <f>IFERROR(AVERAGEIFS(Municipios!$P:$P,Municipios!$Y:$Y,$A118,Municipios!$AY:$AY,C$113),"N.D.")</f>
        <v>N.D.</v>
      </c>
      <c r="H118" s="90" t="str">
        <f>IFERROR(AVERAGEIFS(Municipios!$R:$R,Municipios!$Y:$Y,$A118,Municipios!$AY:$AY,C$113),"N.D.")</f>
        <v>N.D.</v>
      </c>
      <c r="I118" s="90" t="str">
        <f>IFERROR(AVERAGEIFS(Municipios!$U:$U,Municipios!$Y:$Y,$A118,Municipios!$AY:$AY,C$113),"N.D.")</f>
        <v>N.D.</v>
      </c>
    </row>
    <row r="119" spans="1:9">
      <c r="A119" s="141">
        <v>2</v>
      </c>
      <c r="B119" s="41">
        <v>2</v>
      </c>
      <c r="C119" s="40">
        <f>+COUNTIFS(Municipios!$Y:$Y,$A119,Municipios!$AY:$AY,C$113)</f>
        <v>2</v>
      </c>
      <c r="D119" s="295">
        <f t="shared" si="12"/>
        <v>0.16666666666666666</v>
      </c>
      <c r="E119" s="90">
        <f>IFERROR(AVERAGEIFS(Municipios!$O:$O,Municipios!$Y:$Y,$A119,Municipios!$AY:$AY,C$113),"N.D.")</f>
        <v>59.328702991164818</v>
      </c>
      <c r="F119" s="90">
        <f>IFERROR(AVERAGEIFS(Municipios!$N:$N,Municipios!$Y:$Y,$A119,Municipios!$AY:$AY,C$113),"N.D.")</f>
        <v>74.399987500000009</v>
      </c>
      <c r="G119" s="90">
        <f>IFERROR(AVERAGEIFS(Municipios!$P:$P,Municipios!$Y:$Y,$A119,Municipios!$AY:$AY,C$113),"N.D.")</f>
        <v>66.864345245582399</v>
      </c>
      <c r="H119" s="90">
        <f>IFERROR(AVERAGEIFS(Municipios!$R:$R,Municipios!$Y:$Y,$A119,Municipios!$AY:$AY,C$113),"N.D.")</f>
        <v>59.277337815854537</v>
      </c>
      <c r="I119" s="90">
        <f>IFERROR(AVERAGEIFS(Municipios!$U:$U,Municipios!$Y:$Y,$A119,Municipios!$AY:$AY,C$113),"N.D.")</f>
        <v>42.398977044415894</v>
      </c>
    </row>
    <row r="120" spans="1:9">
      <c r="A120" s="141">
        <v>3</v>
      </c>
      <c r="B120" s="41">
        <v>3</v>
      </c>
      <c r="C120" s="40">
        <f>+COUNTIFS(Municipios!$Y:$Y,$A120,Municipios!$AY:$AY,C$113)</f>
        <v>1</v>
      </c>
      <c r="D120" s="295">
        <f t="shared" si="12"/>
        <v>8.3333333333333329E-2</v>
      </c>
      <c r="E120" s="90">
        <f>IFERROR(AVERAGEIFS(Municipios!$O:$O,Municipios!$Y:$Y,$A120,Municipios!$AY:$AY,C$113),"N.D.")</f>
        <v>51.734736729429223</v>
      </c>
      <c r="F120" s="90">
        <f>IFERROR(AVERAGEIFS(Municipios!$N:$N,Municipios!$Y:$Y,$A120,Municipios!$AY:$AY,C$113),"N.D.")</f>
        <v>60.292349999999999</v>
      </c>
      <c r="G120" s="90">
        <f>IFERROR(AVERAGEIFS(Municipios!$P:$P,Municipios!$Y:$Y,$A120,Municipios!$AY:$AY,C$113),"N.D.")</f>
        <v>56.013543364714607</v>
      </c>
      <c r="H120" s="90">
        <f>IFERROR(AVERAGEIFS(Municipios!$R:$R,Municipios!$Y:$Y,$A120,Municipios!$AY:$AY,C$113),"N.D.")</f>
        <v>48.96730748025432</v>
      </c>
      <c r="I120" s="90">
        <f>IFERROR(AVERAGEIFS(Municipios!$U:$U,Municipios!$Y:$Y,$A120,Municipios!$AY:$AY,C$113),"N.D.")</f>
        <v>30.286845945458317</v>
      </c>
    </row>
    <row r="121" spans="1:9">
      <c r="A121" s="141">
        <v>4</v>
      </c>
      <c r="B121" s="41">
        <v>4</v>
      </c>
      <c r="C121" s="40">
        <f>+COUNTIFS(Municipios!$Y:$Y,$A121,Municipios!$AY:$AY,C$113)</f>
        <v>4</v>
      </c>
      <c r="D121" s="295">
        <f t="shared" si="12"/>
        <v>0.33333333333333331</v>
      </c>
      <c r="E121" s="90">
        <f>IFERROR(AVERAGEIFS(Municipios!$O:$O,Municipios!$Y:$Y,$A121,Municipios!$AY:$AY,C$113),"N.D.")</f>
        <v>42.985822183169574</v>
      </c>
      <c r="F121" s="90">
        <f>IFERROR(AVERAGEIFS(Municipios!$N:$N,Municipios!$Y:$Y,$A121,Municipios!$AY:$AY,C$113),"N.D.")</f>
        <v>50.030558333333332</v>
      </c>
      <c r="G121" s="90">
        <f>IFERROR(AVERAGEIFS(Municipios!$P:$P,Municipios!$Y:$Y,$A121,Municipios!$AY:$AY,C$113),"N.D.")</f>
        <v>46.50819025825146</v>
      </c>
      <c r="H121" s="90">
        <f>IFERROR(AVERAGEIFS(Municipios!$R:$R,Municipios!$Y:$Y,$A121,Municipios!$AY:$AY,C$113),"N.D.")</f>
        <v>46.825420970843943</v>
      </c>
      <c r="I121" s="90">
        <f>IFERROR(AVERAGEIFS(Municipios!$U:$U,Municipios!$Y:$Y,$A121,Municipios!$AY:$AY,C$113),"N.D.")</f>
        <v>24.195319991966979</v>
      </c>
    </row>
    <row r="122" spans="1:9">
      <c r="A122" s="142">
        <v>5</v>
      </c>
      <c r="B122" s="139">
        <v>5</v>
      </c>
      <c r="C122" s="40">
        <f>+COUNTIFS(Municipios!$Y:$Y,$A122,Municipios!$AY:$AY,C$113)</f>
        <v>0</v>
      </c>
      <c r="D122" s="295">
        <f t="shared" si="12"/>
        <v>0</v>
      </c>
      <c r="E122" s="90" t="str">
        <f>IFERROR(AVERAGEIFS(Municipios!$O:$O,Municipios!$Y:$Y,$A122,Municipios!$AY:$AY,C$113),"N.D.")</f>
        <v>N.D.</v>
      </c>
      <c r="F122" s="90" t="str">
        <f>IFERROR(AVERAGEIFS(Municipios!$N:$N,Municipios!$Y:$Y,$A122,Municipios!$AY:$AY,C$113),"N.D.")</f>
        <v>N.D.</v>
      </c>
      <c r="G122" s="90" t="str">
        <f>IFERROR(AVERAGEIFS(Municipios!$P:$P,Municipios!$Y:$Y,$A122,Municipios!$AY:$AY,C$113),"N.D.")</f>
        <v>N.D.</v>
      </c>
      <c r="H122" s="90" t="str">
        <f>IFERROR(AVERAGEIFS(Municipios!$R:$R,Municipios!$Y:$Y,$A122,Municipios!$AY:$AY,C$113),"N.D.")</f>
        <v>N.D.</v>
      </c>
      <c r="I122" s="90" t="str">
        <f>IFERROR(AVERAGEIFS(Municipios!$U:$U,Municipios!$Y:$Y,$A122,Municipios!$AY:$AY,C$113),"N.D.")</f>
        <v>N.D.</v>
      </c>
    </row>
    <row r="123" spans="1:9">
      <c r="A123" s="118" t="s">
        <v>369</v>
      </c>
      <c r="B123" s="35"/>
      <c r="C123" s="35">
        <f>SUM(C116:C122)</f>
        <v>12</v>
      </c>
      <c r="D123" s="153">
        <f>SUM(D116:D122)</f>
        <v>1</v>
      </c>
      <c r="E123" s="106">
        <f>AVERAGEIFS(Municipios!$O:$O,Municipios!$AY:$AY,C$113)</f>
        <v>57.841556916226985</v>
      </c>
      <c r="F123" s="106">
        <f>AVERAGEIFS(Municipios!$N:$N,Municipios!$AY:$AY,C$113)</f>
        <v>70.959340316402432</v>
      </c>
      <c r="G123" s="106">
        <f>AVERAGEIFS(Municipios!$P:$P,Municipios!$AY:$AY,C$113)</f>
        <v>64.400448616314719</v>
      </c>
      <c r="H123" s="106">
        <f>AVERAGEIFS(Municipios!$R:$R,Municipios!$AY:$AY,C$113)</f>
        <v>65.128991057933959</v>
      </c>
      <c r="I123" s="106">
        <f>IFERROR(AVERAGEIFS(Municipios!$U:$U,Municipios!$AY:$AY,C$113),"N.D.")</f>
        <v>46.429213698367136</v>
      </c>
    </row>
    <row r="124" spans="1:9" ht="14.5" thickBot="1">
      <c r="A124" s="313"/>
      <c r="B124" s="63"/>
    </row>
    <row r="125" spans="1:9" ht="14.5" thickBot="1">
      <c r="A125" s="158" t="s">
        <v>391</v>
      </c>
      <c r="C125" s="159">
        <v>1</v>
      </c>
    </row>
    <row r="126" spans="1:9">
      <c r="A126" s="158"/>
    </row>
    <row r="127" spans="1:9" ht="28">
      <c r="A127" s="113" t="s">
        <v>367</v>
      </c>
      <c r="B127" s="45"/>
      <c r="C127" s="113" t="s">
        <v>2943</v>
      </c>
      <c r="D127" s="113" t="s">
        <v>2913</v>
      </c>
      <c r="E127" s="113" t="s">
        <v>411</v>
      </c>
      <c r="F127" s="113" t="s">
        <v>410</v>
      </c>
      <c r="G127" s="45" t="s">
        <v>2646</v>
      </c>
      <c r="H127" s="113" t="s">
        <v>303</v>
      </c>
      <c r="I127" s="113" t="s">
        <v>2723</v>
      </c>
    </row>
    <row r="128" spans="1:9">
      <c r="A128" s="114" t="s">
        <v>370</v>
      </c>
      <c r="B128" s="40" t="s">
        <v>370</v>
      </c>
      <c r="C128" s="40">
        <f>+COUNTIFS(Municipios!$Y:$Y,$A128,Municipios!$AX:$AX,C$125)</f>
        <v>0</v>
      </c>
      <c r="D128" s="295">
        <f>C128/$C$135</f>
        <v>0</v>
      </c>
      <c r="E128" s="90" t="str">
        <f>IFERROR(AVERAGEIFS(Municipios!$O:$O,Municipios!$Y:$Y,$A128,Municipios!$AX:$AX,C$125),"N.D.")</f>
        <v>N.D.</v>
      </c>
      <c r="F128" s="90" t="str">
        <f>IFERROR(AVERAGEIFS(Municipios!$N:$N,Municipios!$Y:$Y,$A128,Municipios!$AX:$AX,C$125),"N.D.")</f>
        <v>N.D.</v>
      </c>
      <c r="G128" s="90" t="str">
        <f>IFERROR(AVERAGEIFS(Municipios!$P:$P,Municipios!$Y:$Y,$A128,Municipios!$AX:$AX,C$125),"N.D.")</f>
        <v>N.D.</v>
      </c>
      <c r="H128" s="90" t="str">
        <f>IFERROR(AVERAGEIFS(Municipios!$R:$R,Municipios!$Y:$Y,$A128,Municipios!$AX:$AX,C$125),"N.D.")</f>
        <v>N.D.</v>
      </c>
      <c r="I128" s="90" t="str">
        <f>IFERROR(AVERAGEIFS(Municipios!$U:$U,Municipios!$Y:$Y,$A128,Municipios!$AX:$AX,C$125),"N.D.")</f>
        <v>N.D.</v>
      </c>
    </row>
    <row r="129" spans="1:11">
      <c r="A129" s="115" t="s">
        <v>371</v>
      </c>
      <c r="B129" s="41" t="s">
        <v>2663</v>
      </c>
      <c r="C129" s="40">
        <f>+COUNTIFS(Municipios!$Y:$Y,$A129,Municipios!$AX:$AX,C$125)</f>
        <v>0</v>
      </c>
      <c r="D129" s="295">
        <f t="shared" ref="D129:D134" si="13">C129/$C$135</f>
        <v>0</v>
      </c>
      <c r="E129" s="90" t="str">
        <f>IFERROR(AVERAGEIFS(Municipios!$O:$O,Municipios!$Y:$Y,$A129,Municipios!$AX:$AX,C$125),"N.D.")</f>
        <v>N.D.</v>
      </c>
      <c r="F129" s="90" t="str">
        <f>IFERROR(AVERAGEIFS(Municipios!$N:$N,Municipios!$Y:$Y,$A129,Municipios!$AX:$AX,C$125),"N.D.")</f>
        <v>N.D.</v>
      </c>
      <c r="G129" s="90" t="str">
        <f>IFERROR(AVERAGEIFS(Municipios!$P:$P,Municipios!$Y:$Y,$A129,Municipios!$AX:$AX,C$125),"N.D.")</f>
        <v>N.D.</v>
      </c>
      <c r="H129" s="90" t="str">
        <f>IFERROR(AVERAGEIFS(Municipios!$R:$R,Municipios!$Y:$Y,$A129,Municipios!$AX:$AX,C$125),"N.D.")</f>
        <v>N.D.</v>
      </c>
      <c r="I129" s="90" t="str">
        <f>IFERROR(AVERAGEIFS(Municipios!$U:$U,Municipios!$Y:$Y,$A129,Municipios!$AX:$AX,C$125),"N.D.")</f>
        <v>N.D.</v>
      </c>
    </row>
    <row r="130" spans="1:11">
      <c r="A130" s="141">
        <v>1</v>
      </c>
      <c r="B130" s="41">
        <v>1</v>
      </c>
      <c r="C130" s="40">
        <f>+COUNTIFS(Municipios!$Y:$Y,$A130,Municipios!$AX:$AX,C$125)</f>
        <v>34</v>
      </c>
      <c r="D130" s="295">
        <f t="shared" si="13"/>
        <v>0.36956521739130432</v>
      </c>
      <c r="E130" s="90">
        <f>IFERROR(AVERAGEIFS(Municipios!$O:$O,Municipios!$Y:$Y,$A130,Municipios!$AX:$AX,C$125),"N.D.")</f>
        <v>65.254457079150129</v>
      </c>
      <c r="F130" s="90">
        <f>IFERROR(AVERAGEIFS(Municipios!$N:$N,Municipios!$Y:$Y,$A130,Municipios!$AX:$AX,C$125),"N.D.")</f>
        <v>78.971224520991768</v>
      </c>
      <c r="G130" s="90">
        <f>IFERROR(AVERAGEIFS(Municipios!$P:$P,Municipios!$Y:$Y,$A130,Municipios!$AX:$AX,C$125),"N.D.")</f>
        <v>72.112840800070941</v>
      </c>
      <c r="H130" s="90">
        <f>IFERROR(AVERAGEIFS(Municipios!$R:$R,Municipios!$Y:$Y,$A130,Municipios!$AX:$AX,C$125),"N.D.")</f>
        <v>74.815138959603672</v>
      </c>
      <c r="I130" s="90">
        <f>IFERROR(AVERAGEIFS(Municipios!$U:$U,Municipios!$Y:$Y,$A130,Municipios!$AX:$AX,C$125),"N.D.")</f>
        <v>55.908254699150781</v>
      </c>
    </row>
    <row r="131" spans="1:11">
      <c r="A131" s="141">
        <v>2</v>
      </c>
      <c r="B131" s="41">
        <v>2</v>
      </c>
      <c r="C131" s="40">
        <f>+COUNTIFS(Municipios!$Y:$Y,$A131,Municipios!$AX:$AX,C$125)</f>
        <v>30</v>
      </c>
      <c r="D131" s="295">
        <f t="shared" si="13"/>
        <v>0.32608695652173914</v>
      </c>
      <c r="E131" s="90">
        <f>IFERROR(AVERAGEIFS(Municipios!$O:$O,Municipios!$Y:$Y,$A131,Municipios!$AX:$AX,C$125),"N.D.")</f>
        <v>59.061788697445486</v>
      </c>
      <c r="F131" s="90">
        <f>IFERROR(AVERAGEIFS(Municipios!$N:$N,Municipios!$Y:$Y,$A131,Municipios!$AX:$AX,C$125),"N.D.")</f>
        <v>66.333804999999998</v>
      </c>
      <c r="G131" s="90">
        <f>IFERROR(AVERAGEIFS(Municipios!$P:$P,Municipios!$Y:$Y,$A131,Municipios!$AX:$AX,C$125),"N.D.")</f>
        <v>62.697796848722732</v>
      </c>
      <c r="H131" s="90">
        <f>IFERROR(AVERAGEIFS(Municipios!$R:$R,Municipios!$Y:$Y,$A131,Municipios!$AX:$AX,C$125),"N.D.")</f>
        <v>61.096795954795311</v>
      </c>
      <c r="I131" s="90">
        <f>IFERROR(AVERAGEIFS(Municipios!$U:$U,Municipios!$Y:$Y,$A131,Municipios!$AX:$AX,C$125),"N.D.")</f>
        <v>40.580574781072293</v>
      </c>
    </row>
    <row r="132" spans="1:11">
      <c r="A132" s="141">
        <v>3</v>
      </c>
      <c r="B132" s="41">
        <v>3</v>
      </c>
      <c r="C132" s="40">
        <f>+COUNTIFS(Municipios!$Y:$Y,$A132,Municipios!$AX:$AX,C$125)</f>
        <v>16</v>
      </c>
      <c r="D132" s="295">
        <f t="shared" si="13"/>
        <v>0.17391304347826086</v>
      </c>
      <c r="E132" s="90">
        <f>IFERROR(AVERAGEIFS(Municipios!$O:$O,Municipios!$Y:$Y,$A132,Municipios!$AX:$AX,C$125),"N.D.")</f>
        <v>55.475422689696678</v>
      </c>
      <c r="F132" s="90">
        <f>IFERROR(AVERAGEIFS(Municipios!$N:$N,Municipios!$Y:$Y,$A132,Municipios!$AX:$AX,C$125),"N.D.")</f>
        <v>59.365432812500003</v>
      </c>
      <c r="G132" s="90">
        <f>IFERROR(AVERAGEIFS(Municipios!$P:$P,Municipios!$Y:$Y,$A132,Municipios!$AX:$AX,C$125),"N.D.")</f>
        <v>57.420427751098337</v>
      </c>
      <c r="H132" s="90">
        <f>IFERROR(AVERAGEIFS(Municipios!$R:$R,Municipios!$Y:$Y,$A132,Municipios!$AX:$AX,C$125),"N.D.")</f>
        <v>51.902019563145444</v>
      </c>
      <c r="I132" s="90">
        <f>IFERROR(AVERAGEIFS(Municipios!$U:$U,Municipios!$Y:$Y,$A132,Municipios!$AX:$AX,C$125),"N.D.")</f>
        <v>32.327186226045917</v>
      </c>
    </row>
    <row r="133" spans="1:11">
      <c r="A133" s="141">
        <v>4</v>
      </c>
      <c r="B133" s="41">
        <v>4</v>
      </c>
      <c r="C133" s="40">
        <f>+COUNTIFS(Municipios!$Y:$Y,$A133,Municipios!$AX:$AX,C$125)</f>
        <v>9</v>
      </c>
      <c r="D133" s="295">
        <f t="shared" si="13"/>
        <v>9.7826086956521743E-2</v>
      </c>
      <c r="E133" s="90">
        <f>IFERROR(AVERAGEIFS(Municipios!$O:$O,Municipios!$Y:$Y,$A133,Municipios!$AX:$AX,C$125),"N.D.")</f>
        <v>52.283121281365283</v>
      </c>
      <c r="F133" s="90">
        <f>IFERROR(AVERAGEIFS(Municipios!$N:$N,Municipios!$Y:$Y,$A133,Municipios!$AX:$AX,C$125),"N.D.")</f>
        <v>57.394337962962965</v>
      </c>
      <c r="G133" s="90">
        <f>IFERROR(AVERAGEIFS(Municipios!$P:$P,Municipios!$Y:$Y,$A133,Municipios!$AX:$AX,C$125),"N.D.")</f>
        <v>54.838729622164124</v>
      </c>
      <c r="H133" s="90">
        <f>IFERROR(AVERAGEIFS(Municipios!$R:$R,Municipios!$Y:$Y,$A133,Municipios!$AX:$AX,C$125),"N.D.")</f>
        <v>40.86202216825339</v>
      </c>
      <c r="I133" s="90">
        <f>IFERROR(AVERAGEIFS(Municipios!$U:$U,Municipios!$Y:$Y,$A133,Municipios!$AX:$AX,C$125),"N.D.")</f>
        <v>25.463267254511479</v>
      </c>
    </row>
    <row r="134" spans="1:11">
      <c r="A134" s="142">
        <v>5</v>
      </c>
      <c r="B134" s="139">
        <v>5</v>
      </c>
      <c r="C134" s="40">
        <f>+COUNTIFS(Municipios!$Y:$Y,$A134,Municipios!$AX:$AX,C$125)</f>
        <v>3</v>
      </c>
      <c r="D134" s="295">
        <f t="shared" si="13"/>
        <v>3.2608695652173912E-2</v>
      </c>
      <c r="E134" s="90">
        <f>IFERROR(AVERAGEIFS(Municipios!$O:$O,Municipios!$Y:$Y,$A134,Municipios!$AX:$AX,C$125),"N.D.")</f>
        <v>53.184243762757667</v>
      </c>
      <c r="F134" s="90">
        <f>IFERROR(AVERAGEIFS(Municipios!$N:$N,Municipios!$Y:$Y,$A134,Municipios!$AX:$AX,C$125),"N.D.")</f>
        <v>60.701561111111111</v>
      </c>
      <c r="G134" s="90">
        <f>IFERROR(AVERAGEIFS(Municipios!$P:$P,Municipios!$Y:$Y,$A134,Municipios!$AX:$AX,C$125),"N.D.")</f>
        <v>56.942902436934389</v>
      </c>
      <c r="H134" s="90">
        <f>IFERROR(AVERAGEIFS(Municipios!$R:$R,Municipios!$Y:$Y,$A134,Municipios!$AX:$AX,C$125),"N.D.")</f>
        <v>17.661580396811317</v>
      </c>
      <c r="I134" s="90">
        <f>IFERROR(AVERAGEIFS(Municipios!$U:$U,Municipios!$Y:$Y,$A134,Municipios!$AX:$AX,C$125),"N.D.")</f>
        <v>14.78309098121988</v>
      </c>
    </row>
    <row r="135" spans="1:11">
      <c r="A135" s="118" t="s">
        <v>369</v>
      </c>
      <c r="B135" s="35"/>
      <c r="C135" s="35">
        <f>SUM(C128:C134)</f>
        <v>92</v>
      </c>
      <c r="D135" s="153">
        <f>SUM(D128:D134)</f>
        <v>1</v>
      </c>
      <c r="E135" s="106">
        <f>AVERAGEIFS(Municipios!$O:$O,Municipios!$AX:$AX,C$125)</f>
        <v>59.871878124675824</v>
      </c>
      <c r="F135" s="106">
        <f>AVERAGEIFS(Municipios!$N:$N,Municipios!$AX:$AX,C$125)</f>
        <v>68.734091670801305</v>
      </c>
      <c r="G135" s="106">
        <f>AVERAGEIFS(Municipios!$P:$P,Municipios!$AX:$AX,C$125)</f>
        <v>64.302984897738583</v>
      </c>
      <c r="H135" s="106">
        <f>AVERAGEIFS(Municipios!$R:$R,Municipios!$AX:$AX,C$125)</f>
        <v>61.171672358537215</v>
      </c>
      <c r="I135" s="106">
        <f>IFERROR(AVERAGEIFS(Municipios!$U:$U,Municipios!$AX:$AX,C$125),"N.D.")</f>
        <v>42.489690881024892</v>
      </c>
    </row>
    <row r="136" spans="1:11" ht="14.5" thickBot="1">
      <c r="A136" s="313"/>
      <c r="B136" s="63"/>
    </row>
    <row r="137" spans="1:11" ht="14.5" thickBot="1">
      <c r="A137" s="158" t="s">
        <v>2818</v>
      </c>
      <c r="C137" s="159">
        <v>1</v>
      </c>
    </row>
    <row r="138" spans="1:11">
      <c r="A138" s="158"/>
    </row>
    <row r="139" spans="1:11" ht="28">
      <c r="A139" s="113" t="s">
        <v>367</v>
      </c>
      <c r="B139" s="45"/>
      <c r="C139" s="113" t="s">
        <v>2943</v>
      </c>
      <c r="D139" s="113" t="s">
        <v>2913</v>
      </c>
      <c r="E139" s="113" t="s">
        <v>411</v>
      </c>
      <c r="F139" s="113" t="s">
        <v>410</v>
      </c>
      <c r="G139" s="45" t="s">
        <v>2646</v>
      </c>
      <c r="H139" s="113" t="s">
        <v>303</v>
      </c>
      <c r="I139" s="113" t="s">
        <v>2723</v>
      </c>
    </row>
    <row r="140" spans="1:11">
      <c r="A140" s="114" t="s">
        <v>370</v>
      </c>
      <c r="B140" s="40" t="s">
        <v>370</v>
      </c>
      <c r="C140" s="40">
        <f>+COUNTIFS(Municipios!$Y:$Y,$A140,Municipios!$AZ:$AZ,C$137)</f>
        <v>0</v>
      </c>
      <c r="D140" s="295">
        <f>C140/$C$147</f>
        <v>0</v>
      </c>
      <c r="E140" s="90" t="str">
        <f>IFERROR(AVERAGEIFS(Municipios!$O:$O,Municipios!$Y:$Y,$A140,Municipios!$AZ:$AZ,C$137),"N.D.")</f>
        <v>N.D.</v>
      </c>
      <c r="F140" s="90" t="str">
        <f>IFERROR(AVERAGEIFS(Municipios!$N:$N,Municipios!$Y:$Y,$A140,Municipios!$AZ:$AZ,C$137),"N.D.")</f>
        <v>N.D.</v>
      </c>
      <c r="G140" s="90" t="str">
        <f>IFERROR(AVERAGEIFS(Municipios!$P:$P,Municipios!$Y:$Y,$A140,Municipios!$AZ:$AZ,C$137),"N.D.")</f>
        <v>N.D.</v>
      </c>
      <c r="H140" s="90" t="str">
        <f>IFERROR(AVERAGEIFS(Municipios!$R:$R,Municipios!$Y:$Y,$A140,Municipios!$AZ:$AZ,C$137),"N.D.")</f>
        <v>N.D.</v>
      </c>
      <c r="I140" s="90" t="str">
        <f>IFERROR(AVERAGEIFS(Municipios!$U:$U,Municipios!$Y:$Y,$A140,Municipios!$AZ:$AZ,C$137),"N.D.")</f>
        <v>N.D.</v>
      </c>
      <c r="K140">
        <f>C140/C147</f>
        <v>0</v>
      </c>
    </row>
    <row r="141" spans="1:11">
      <c r="A141" s="115" t="s">
        <v>371</v>
      </c>
      <c r="B141" s="41" t="s">
        <v>2663</v>
      </c>
      <c r="C141" s="40">
        <f>+COUNTIFS(Municipios!$Y:$Y,$A141,Municipios!$AZ:$AZ,C$137)</f>
        <v>0</v>
      </c>
      <c r="D141" s="295">
        <f t="shared" ref="D141:D146" si="14">C141/$C$147</f>
        <v>0</v>
      </c>
      <c r="E141" s="90" t="str">
        <f>IFERROR(AVERAGEIFS(Municipios!$O:$O,Municipios!$Y:$Y,$A141,Municipios!$AZ:$AZ,C$137),"N.D.")</f>
        <v>N.D.</v>
      </c>
      <c r="F141" s="90" t="str">
        <f>IFERROR(AVERAGEIFS(Municipios!$N:$N,Municipios!$Y:$Y,$A141,Municipios!$AZ:$AZ,C$137),"N.D.")</f>
        <v>N.D.</v>
      </c>
      <c r="G141" s="90" t="str">
        <f>IFERROR(AVERAGEIFS(Municipios!$P:$P,Municipios!$Y:$Y,$A141,Municipios!$AZ:$AZ,C$137),"N.D.")</f>
        <v>N.D.</v>
      </c>
      <c r="H141" s="90" t="str">
        <f>IFERROR(AVERAGEIFS(Municipios!$R:$R,Municipios!$Y:$Y,$A141,Municipios!$AZ:$AZ,C$137),"N.D.")</f>
        <v>N.D.</v>
      </c>
      <c r="I141" s="90" t="str">
        <f>IFERROR(AVERAGEIFS(Municipios!$U:$U,Municipios!$Y:$Y,$A141,Municipios!$AZ:$AZ,C$137),"N.D.")</f>
        <v>N.D.</v>
      </c>
    </row>
    <row r="142" spans="1:11">
      <c r="A142" s="141">
        <v>1</v>
      </c>
      <c r="B142" s="41">
        <v>1</v>
      </c>
      <c r="C142" s="40">
        <f>+COUNTIFS(Municipios!$Y:$Y,$A142,Municipios!$AZ:$AZ,C$137)</f>
        <v>0</v>
      </c>
      <c r="D142" s="295">
        <f t="shared" si="14"/>
        <v>0</v>
      </c>
      <c r="E142" s="90" t="str">
        <f>IFERROR(AVERAGEIFS(Municipios!$O:$O,Municipios!$Y:$Y,$A142,Municipios!$AZ:$AZ,C$137),"N.D.")</f>
        <v>N.D.</v>
      </c>
      <c r="F142" s="90" t="str">
        <f>IFERROR(AVERAGEIFS(Municipios!$N:$N,Municipios!$Y:$Y,$A142,Municipios!$AZ:$AZ,C$137),"N.D.")</f>
        <v>N.D.</v>
      </c>
      <c r="G142" s="90" t="str">
        <f>IFERROR(AVERAGEIFS(Municipios!$P:$P,Municipios!$Y:$Y,$A142,Municipios!$AZ:$AZ,C$137),"N.D.")</f>
        <v>N.D.</v>
      </c>
      <c r="H142" s="90" t="str">
        <f>IFERROR(AVERAGEIFS(Municipios!$R:$R,Municipios!$Y:$Y,$A142,Municipios!$AZ:$AZ,C$137),"N.D.")</f>
        <v>N.D.</v>
      </c>
      <c r="I142" s="90" t="str">
        <f>IFERROR(AVERAGEIFS(Municipios!$U:$U,Municipios!$Y:$Y,$A142,Municipios!$AZ:$AZ,C$137),"N.D.")</f>
        <v>N.D.</v>
      </c>
    </row>
    <row r="143" spans="1:11">
      <c r="A143" s="141">
        <v>2</v>
      </c>
      <c r="B143" s="41">
        <v>2</v>
      </c>
      <c r="C143" s="40">
        <f>+COUNTIFS(Municipios!$Y:$Y,$A143,Municipios!$AZ:$AZ,C$137)</f>
        <v>9</v>
      </c>
      <c r="D143" s="295">
        <f t="shared" si="14"/>
        <v>5.2941176470588235E-2</v>
      </c>
      <c r="E143" s="90">
        <f>IFERROR(AVERAGEIFS(Municipios!$O:$O,Municipios!$Y:$Y,$A143,Municipios!$AZ:$AZ,C$137),"N.D.")</f>
        <v>59.301017347100924</v>
      </c>
      <c r="F143" s="90">
        <f>IFERROR(AVERAGEIFS(Municipios!$N:$N,Municipios!$Y:$Y,$A143,Municipios!$AZ:$AZ,C$137),"N.D.")</f>
        <v>72.403113888888882</v>
      </c>
      <c r="G143" s="90">
        <f>IFERROR(AVERAGEIFS(Municipios!$P:$P,Municipios!$Y:$Y,$A143,Municipios!$AZ:$AZ,C$137),"N.D.")</f>
        <v>65.852065617994896</v>
      </c>
      <c r="H143" s="90">
        <f>IFERROR(AVERAGEIFS(Municipios!$R:$R,Municipios!$Y:$Y,$A143,Municipios!$AZ:$AZ,C$137),"N.D.")</f>
        <v>54.919357604876282</v>
      </c>
      <c r="I143" s="90">
        <f>IFERROR(AVERAGEIFS(Municipios!$U:$U,Municipios!$Y:$Y,$A143,Municipios!$AZ:$AZ,C$137),"N.D.")</f>
        <v>38.942285341058522</v>
      </c>
    </row>
    <row r="144" spans="1:11">
      <c r="A144" s="141">
        <v>3</v>
      </c>
      <c r="B144" s="41">
        <v>3</v>
      </c>
      <c r="C144" s="40">
        <f>+COUNTIFS(Municipios!$Y:$Y,$A144,Municipios!$AZ:$AZ,C$137)</f>
        <v>37</v>
      </c>
      <c r="D144" s="295">
        <f t="shared" si="14"/>
        <v>0.21764705882352942</v>
      </c>
      <c r="E144" s="90">
        <f>IFERROR(AVERAGEIFS(Municipios!$O:$O,Municipios!$Y:$Y,$A144,Municipios!$AZ:$AZ,C$137),"N.D.")</f>
        <v>57.952003265174525</v>
      </c>
      <c r="F144" s="90">
        <f>IFERROR(AVERAGEIFS(Municipios!$N:$N,Municipios!$Y:$Y,$A144,Municipios!$AZ:$AZ,C$137),"N.D.")</f>
        <v>61.522682882882876</v>
      </c>
      <c r="G144" s="90">
        <f>IFERROR(AVERAGEIFS(Municipios!$P:$P,Municipios!$Y:$Y,$A144,Municipios!$AZ:$AZ,C$137),"N.D.")</f>
        <v>59.737343074028693</v>
      </c>
      <c r="H144" s="90">
        <f>IFERROR(AVERAGEIFS(Municipios!$R:$R,Municipios!$Y:$Y,$A144,Municipios!$AZ:$AZ,C$137),"N.D.")</f>
        <v>47.307385172333099</v>
      </c>
      <c r="I144" s="90">
        <f>IFERROR(AVERAGEIFS(Municipios!$U:$U,Municipios!$Y:$Y,$A144,Municipios!$AZ:$AZ,C$137),"N.D.")</f>
        <v>31.206895700539455</v>
      </c>
    </row>
    <row r="145" spans="1:9">
      <c r="A145" s="141">
        <v>4</v>
      </c>
      <c r="B145" s="41">
        <v>4</v>
      </c>
      <c r="C145" s="40">
        <f>+COUNTIFS(Municipios!$Y:$Y,$A145,Municipios!$AZ:$AZ,C$137)</f>
        <v>82</v>
      </c>
      <c r="D145" s="295">
        <f t="shared" si="14"/>
        <v>0.4823529411764706</v>
      </c>
      <c r="E145" s="90">
        <f>IFERROR(AVERAGEIFS(Municipios!$O:$O,Municipios!$Y:$Y,$A145,Municipios!$AZ:$AZ,C$137),"N.D.")</f>
        <v>55.156765470369265</v>
      </c>
      <c r="F145" s="90">
        <f>IFERROR(AVERAGEIFS(Municipios!$N:$N,Municipios!$Y:$Y,$A145,Municipios!$AZ:$AZ,C$137),"N.D.")</f>
        <v>56.331101117886178</v>
      </c>
      <c r="G145" s="90">
        <f>IFERROR(AVERAGEIFS(Municipios!$P:$P,Municipios!$Y:$Y,$A145,Municipios!$AZ:$AZ,C$137),"N.D.")</f>
        <v>55.743933294127736</v>
      </c>
      <c r="H145" s="90">
        <f>IFERROR(AVERAGEIFS(Municipios!$R:$R,Municipios!$Y:$Y,$A145,Municipios!$AZ:$AZ,C$137),"N.D.")</f>
        <v>38.523577342533201</v>
      </c>
      <c r="I145" s="90">
        <f>IFERROR(AVERAGEIFS(Municipios!$U:$U,Municipios!$Y:$Y,$A145,Municipios!$AZ:$AZ,C$137),"N.D.")</f>
        <v>24.649856816637811</v>
      </c>
    </row>
    <row r="146" spans="1:9">
      <c r="A146" s="142">
        <v>5</v>
      </c>
      <c r="B146" s="139">
        <v>5</v>
      </c>
      <c r="C146" s="40">
        <f>+COUNTIFS(Municipios!$Y:$Y,$A146,Municipios!$AZ:$AZ,C$137)</f>
        <v>42</v>
      </c>
      <c r="D146" s="295">
        <f t="shared" si="14"/>
        <v>0.24705882352941178</v>
      </c>
      <c r="E146" s="90">
        <f>IFERROR(AVERAGEIFS(Municipios!$O:$O,Municipios!$Y:$Y,$A146,Municipios!$AZ:$AZ,C$137),"N.D.")</f>
        <v>52.14337780206008</v>
      </c>
      <c r="F146" s="90">
        <f>IFERROR(AVERAGEIFS(Municipios!$N:$N,Municipios!$Y:$Y,$A146,Municipios!$AZ:$AZ,C$137),"N.D.")</f>
        <v>51.024287103174608</v>
      </c>
      <c r="G146" s="90">
        <f>IFERROR(AVERAGEIFS(Municipios!$P:$P,Municipios!$Y:$Y,$A146,Municipios!$AZ:$AZ,C$137),"N.D.")</f>
        <v>51.583832452617344</v>
      </c>
      <c r="H146" s="90">
        <f>IFERROR(AVERAGEIFS(Municipios!$R:$R,Municipios!$Y:$Y,$A146,Municipios!$AZ:$AZ,C$137),"N.D.")</f>
        <v>25.347565456918648</v>
      </c>
      <c r="I146" s="90">
        <f>IFERROR(AVERAGEIFS(Municipios!$U:$U,Municipios!$Y:$Y,$A146,Municipios!$AZ:$AZ,C$137),"N.D.")</f>
        <v>16.695406211138589</v>
      </c>
    </row>
    <row r="147" spans="1:9">
      <c r="A147" s="118" t="s">
        <v>369</v>
      </c>
      <c r="B147" s="35"/>
      <c r="C147" s="35">
        <f>SUM(C140:C146)</f>
        <v>170</v>
      </c>
      <c r="D147" s="153">
        <f>SUM(D140:D146)</f>
        <v>1</v>
      </c>
      <c r="E147" s="106">
        <f>AVERAGEIFS(Municipios!$O:$O,Municipios!$AZ:$AZ,C$137)</f>
        <v>55.240058312895073</v>
      </c>
      <c r="F147" s="106">
        <f>AVERAGEIFS(Municipios!$N:$N,Municipios!$AZ:$AZ,C$137)</f>
        <v>57.000809656862756</v>
      </c>
      <c r="G147" s="106">
        <f>AVERAGEIFS(Municipios!$P:$P,Municipios!$AZ:$AZ,C$137)</f>
        <v>56.1204339848789</v>
      </c>
      <c r="H147" s="106">
        <f>AVERAGEIFS(Municipios!$R:$R,Municipios!$AZ:$AZ,C$137)</f>
        <v>38.048109182932436</v>
      </c>
      <c r="I147" s="106">
        <f>IFERROR(AVERAGEIFS(Municipios!$U:$U,Municipios!$AZ:$AZ,C$137),"N.D.")</f>
        <v>24.868417816597695</v>
      </c>
    </row>
    <row r="148" spans="1:9" ht="14.5" thickBot="1">
      <c r="A148" s="313"/>
      <c r="B148" s="63"/>
    </row>
    <row r="149" spans="1:9" ht="14.5" thickBot="1">
      <c r="A149" s="158" t="s">
        <v>2829</v>
      </c>
      <c r="C149" s="159">
        <v>1</v>
      </c>
    </row>
    <row r="150" spans="1:9">
      <c r="A150" s="158"/>
    </row>
    <row r="151" spans="1:9" ht="28">
      <c r="A151" s="113" t="s">
        <v>367</v>
      </c>
      <c r="B151" s="45"/>
      <c r="C151" s="113" t="s">
        <v>2943</v>
      </c>
      <c r="D151" s="113" t="s">
        <v>2913</v>
      </c>
      <c r="E151" s="113" t="s">
        <v>411</v>
      </c>
      <c r="F151" s="113" t="s">
        <v>410</v>
      </c>
      <c r="G151" s="45" t="s">
        <v>2646</v>
      </c>
      <c r="H151" s="113" t="s">
        <v>303</v>
      </c>
      <c r="I151" s="113" t="s">
        <v>2723</v>
      </c>
    </row>
    <row r="152" spans="1:9">
      <c r="A152" s="114" t="s">
        <v>370</v>
      </c>
      <c r="B152" s="40" t="s">
        <v>370</v>
      </c>
      <c r="C152" s="40">
        <f>+COUNTIFS(Municipios!$Y:$Y,$A152,Municipios!$BA:$BA,C$149)</f>
        <v>0</v>
      </c>
      <c r="D152" s="295">
        <f>C152/$C$159</f>
        <v>0</v>
      </c>
      <c r="E152" s="90" t="str">
        <f>IFERROR(AVERAGEIFS(Municipios!$O:$O,Municipios!$Y:$Y,$A152,Municipios!$BA:$BA,C$149),"N.D.")</f>
        <v>N.D.</v>
      </c>
      <c r="F152" s="90" t="str">
        <f>IFERROR(AVERAGEIFS(Municipios!$N:$N,Municipios!$Y:$Y,$A152,Municipios!$BA:$BA,C$149),"N.D.")</f>
        <v>N.D.</v>
      </c>
      <c r="G152" s="90" t="str">
        <f>IFERROR(AVERAGEIFS(Municipios!$P:$P,Municipios!$Y:$Y,$A152,Municipios!$BA:$BA,C$149),"N.D.")</f>
        <v>N.D.</v>
      </c>
      <c r="H152" s="90" t="str">
        <f>IFERROR(AVERAGEIFS(Municipios!$R:$R,Municipios!$Y:$Y,$A152,Municipios!$BA:$BA,C$149),"N.D.")</f>
        <v>N.D.</v>
      </c>
      <c r="I152" s="90" t="str">
        <f>IFERROR(AVERAGEIFS(Municipios!$U:$U,Municipios!$Y:$Y,$A152,Municipios!$BA:$BA,C$149),"N.D.")</f>
        <v>N.D.</v>
      </c>
    </row>
    <row r="153" spans="1:9">
      <c r="A153" s="115" t="s">
        <v>371</v>
      </c>
      <c r="B153" s="41" t="s">
        <v>2663</v>
      </c>
      <c r="C153" s="40">
        <f>+COUNTIFS(Municipios!$Y:$Y,$A153,Municipios!$BA:$BA,C$149)</f>
        <v>0</v>
      </c>
      <c r="D153" s="295">
        <f t="shared" ref="D153:D158" si="15">C153/$C$159</f>
        <v>0</v>
      </c>
      <c r="E153" s="90" t="str">
        <f>IFERROR(AVERAGEIFS(Municipios!$O:$O,Municipios!$Y:$Y,$A153,Municipios!$BA:$BA,C$149),"N.D.")</f>
        <v>N.D.</v>
      </c>
      <c r="F153" s="90" t="str">
        <f>IFERROR(AVERAGEIFS(Municipios!$N:$N,Municipios!$Y:$Y,$A153,Municipios!$BA:$BA,C$149),"N.D.")</f>
        <v>N.D.</v>
      </c>
      <c r="G153" s="90" t="str">
        <f>IFERROR(AVERAGEIFS(Municipios!$P:$P,Municipios!$Y:$Y,$A153,Municipios!$BA:$BA,C$149),"N.D.")</f>
        <v>N.D.</v>
      </c>
      <c r="H153" s="90" t="str">
        <f>IFERROR(AVERAGEIFS(Municipios!$R:$R,Municipios!$Y:$Y,$A153,Municipios!$BA:$BA,C$149),"N.D.")</f>
        <v>N.D.</v>
      </c>
      <c r="I153" s="90" t="str">
        <f>IFERROR(AVERAGEIFS(Municipios!$U:$U,Municipios!$Y:$Y,$A153,Municipios!$BA:$BA,C$149),"N.D.")</f>
        <v>N.D.</v>
      </c>
    </row>
    <row r="154" spans="1:9">
      <c r="A154" s="141">
        <v>1</v>
      </c>
      <c r="B154" s="41">
        <v>1</v>
      </c>
      <c r="C154" s="40">
        <f>+COUNTIFS(Municipios!$Y:$Y,$A154,Municipios!$BA:$BA,C$149)</f>
        <v>0</v>
      </c>
      <c r="D154" s="295">
        <f t="shared" si="15"/>
        <v>0</v>
      </c>
      <c r="E154" s="90" t="str">
        <f>IFERROR(AVERAGEIFS(Municipios!$O:$O,Municipios!$Y:$Y,$A154,Municipios!$BA:$BA,C$149),"N.D.")</f>
        <v>N.D.</v>
      </c>
      <c r="F154" s="90" t="str">
        <f>IFERROR(AVERAGEIFS(Municipios!$N:$N,Municipios!$Y:$Y,$A154,Municipios!$BA:$BA,C$149),"N.D.")</f>
        <v>N.D.</v>
      </c>
      <c r="G154" s="90" t="str">
        <f>IFERROR(AVERAGEIFS(Municipios!$P:$P,Municipios!$Y:$Y,$A154,Municipios!$BA:$BA,C$149),"N.D.")</f>
        <v>N.D.</v>
      </c>
      <c r="H154" s="90" t="str">
        <f>IFERROR(AVERAGEIFS(Municipios!$R:$R,Municipios!$Y:$Y,$A154,Municipios!$BA:$BA,C$149),"N.D.")</f>
        <v>N.D.</v>
      </c>
      <c r="I154" s="90" t="str">
        <f>IFERROR(AVERAGEIFS(Municipios!$U:$U,Municipios!$Y:$Y,$A154,Municipios!$BA:$BA,C$149),"N.D.")</f>
        <v>N.D.</v>
      </c>
    </row>
    <row r="155" spans="1:9">
      <c r="A155" s="141">
        <v>2</v>
      </c>
      <c r="B155" s="41">
        <v>2</v>
      </c>
      <c r="C155" s="40">
        <f>+COUNTIFS(Municipios!$Y:$Y,$A155,Municipios!$BA:$BA,C$149)</f>
        <v>17</v>
      </c>
      <c r="D155" s="295">
        <f t="shared" si="15"/>
        <v>4.9418604651162788E-2</v>
      </c>
      <c r="E155" s="90">
        <f>IFERROR(AVERAGEIFS(Municipios!$O:$O,Municipios!$Y:$Y,$A155,Municipios!$BA:$BA,C$149),"N.D.")</f>
        <v>57.505559542355449</v>
      </c>
      <c r="F155" s="90">
        <f>IFERROR(AVERAGEIFS(Municipios!$N:$N,Municipios!$Y:$Y,$A155,Municipios!$BA:$BA,C$149),"N.D.")</f>
        <v>73.881832740284452</v>
      </c>
      <c r="G155" s="90">
        <f>IFERROR(AVERAGEIFS(Municipios!$P:$P,Municipios!$Y:$Y,$A155,Municipios!$BA:$BA,C$149),"N.D.")</f>
        <v>65.693696141319947</v>
      </c>
      <c r="H155" s="90">
        <f>IFERROR(AVERAGEIFS(Municipios!$R:$R,Municipios!$Y:$Y,$A155,Municipios!$BA:$BA,C$149),"N.D.")</f>
        <v>53.856330646277982</v>
      </c>
      <c r="I155" s="90">
        <f>IFERROR(AVERAGEIFS(Municipios!$U:$U,Municipios!$Y:$Y,$A155,Municipios!$BA:$BA,C$149),"N.D.")</f>
        <v>38.26620968943935</v>
      </c>
    </row>
    <row r="156" spans="1:9">
      <c r="A156" s="141">
        <v>3</v>
      </c>
      <c r="B156" s="41">
        <v>3</v>
      </c>
      <c r="C156" s="40">
        <f>+COUNTIFS(Municipios!$Y:$Y,$A156,Municipios!$BA:$BA,C$149)</f>
        <v>88</v>
      </c>
      <c r="D156" s="295">
        <f t="shared" si="15"/>
        <v>0.2558139534883721</v>
      </c>
      <c r="E156" s="90">
        <f>IFERROR(AVERAGEIFS(Municipios!$O:$O,Municipios!$Y:$Y,$A156,Municipios!$BA:$BA,C$149),"N.D.")</f>
        <v>56.692757241040937</v>
      </c>
      <c r="F156" s="90">
        <f>IFERROR(AVERAGEIFS(Municipios!$N:$N,Municipios!$Y:$Y,$A156,Municipios!$BA:$BA,C$149),"N.D.")</f>
        <v>64.639825662878792</v>
      </c>
      <c r="G156" s="90">
        <f>IFERROR(AVERAGEIFS(Municipios!$P:$P,Municipios!$Y:$Y,$A156,Municipios!$BA:$BA,C$149),"N.D.")</f>
        <v>60.666291451959857</v>
      </c>
      <c r="H156" s="90">
        <f>IFERROR(AVERAGEIFS(Municipios!$R:$R,Municipios!$Y:$Y,$A156,Municipios!$BA:$BA,C$149),"N.D.")</f>
        <v>46.506801431390208</v>
      </c>
      <c r="I156" s="90">
        <f>IFERROR(AVERAGEIFS(Municipios!$U:$U,Municipios!$Y:$Y,$A156,Municipios!$BA:$BA,C$149),"N.D.")</f>
        <v>31.28786765926159</v>
      </c>
    </row>
    <row r="157" spans="1:9">
      <c r="A157" s="141">
        <v>4</v>
      </c>
      <c r="B157" s="41">
        <v>4</v>
      </c>
      <c r="C157" s="40">
        <f>+COUNTIFS(Municipios!$Y:$Y,$A157,Municipios!$BA:$BA,C$149)</f>
        <v>165</v>
      </c>
      <c r="D157" s="295">
        <f t="shared" si="15"/>
        <v>0.47965116279069769</v>
      </c>
      <c r="E157" s="90">
        <f>IFERROR(AVERAGEIFS(Municipios!$O:$O,Municipios!$Y:$Y,$A157,Municipios!$BA:$BA,C$149),"N.D.")</f>
        <v>54.777922661130553</v>
      </c>
      <c r="F157" s="90">
        <f>IFERROR(AVERAGEIFS(Municipios!$N:$N,Municipios!$Y:$Y,$A157,Municipios!$BA:$BA,C$149),"N.D.")</f>
        <v>56.687076212121205</v>
      </c>
      <c r="G157" s="90">
        <f>IFERROR(AVERAGEIFS(Municipios!$P:$P,Municipios!$Y:$Y,$A157,Municipios!$BA:$BA,C$149),"N.D.")</f>
        <v>55.732499436625872</v>
      </c>
      <c r="H157" s="90">
        <f>IFERROR(AVERAGEIFS(Municipios!$R:$R,Municipios!$Y:$Y,$A157,Municipios!$BA:$BA,C$149),"N.D.")</f>
        <v>38.844830745799463</v>
      </c>
      <c r="I157" s="90">
        <f>IFERROR(AVERAGEIFS(Municipios!$U:$U,Municipios!$Y:$Y,$A157,Municipios!$BA:$BA,C$149),"N.D.")</f>
        <v>24.840860025406034</v>
      </c>
    </row>
    <row r="158" spans="1:9">
      <c r="A158" s="142">
        <v>5</v>
      </c>
      <c r="B158" s="139">
        <v>5</v>
      </c>
      <c r="C158" s="40">
        <f>+COUNTIFS(Municipios!$Y:$Y,$A158,Municipios!$BA:$BA,C$149)</f>
        <v>74</v>
      </c>
      <c r="D158" s="295">
        <f t="shared" si="15"/>
        <v>0.21511627906976744</v>
      </c>
      <c r="E158" s="90">
        <f>IFERROR(AVERAGEIFS(Municipios!$O:$O,Municipios!$Y:$Y,$A158,Municipios!$BA:$BA,C$149),"N.D.")</f>
        <v>52.078469898682926</v>
      </c>
      <c r="F158" s="90">
        <f>IFERROR(AVERAGEIFS(Municipios!$N:$N,Municipios!$Y:$Y,$A158,Municipios!$BA:$BA,C$149),"N.D.")</f>
        <v>49.610000000000007</v>
      </c>
      <c r="G158" s="90">
        <f>IFERROR(AVERAGEIFS(Municipios!$P:$P,Municipios!$Y:$Y,$A158,Municipios!$BA:$BA,C$149),"N.D.")</f>
        <v>50.84423494934147</v>
      </c>
      <c r="H158" s="90">
        <f>IFERROR(AVERAGEIFS(Municipios!$R:$R,Municipios!$Y:$Y,$A158,Municipios!$BA:$BA,C$149),"N.D.")</f>
        <v>25.784771059483205</v>
      </c>
      <c r="I158" s="90">
        <f>IFERROR(AVERAGEIFS(Municipios!$U:$U,Municipios!$Y:$Y,$A158,Municipios!$BA:$BA,C$149),"N.D.")</f>
        <v>16.720314877376033</v>
      </c>
    </row>
    <row r="159" spans="1:9">
      <c r="A159" s="118" t="s">
        <v>369</v>
      </c>
      <c r="B159" s="35"/>
      <c r="C159" s="35">
        <f>SUM(C152:C158)</f>
        <v>344</v>
      </c>
      <c r="D159" s="153">
        <f>SUM(D152:D158)</f>
        <v>1</v>
      </c>
      <c r="E159" s="106">
        <f>AVERAGEIFS(Municipios!$O:$O,Municipios!$BA:$BA,C$149)</f>
        <v>54.821863840176562</v>
      </c>
      <c r="F159" s="106">
        <f>AVERAGEIFS(Municipios!$N:$N,Municipios!$BA:$BA,C$149)</f>
        <v>58.048847063715584</v>
      </c>
      <c r="G159" s="106">
        <f>AVERAGEIFS(Municipios!$P:$P,Municipios!$BA:$BA,C$149)</f>
        <v>56.435355451946073</v>
      </c>
      <c r="H159" s="106">
        <f>AVERAGEIFS(Municipios!$R:$R,Municipios!$BA:$BA,C$149)</f>
        <v>38.737285693045735</v>
      </c>
      <c r="I159" s="106">
        <f>IFERROR(AVERAGEIFS(Municipios!$U:$U,Municipios!$BA:$BA,C$149),"N.D.")</f>
        <v>25.406695127480546</v>
      </c>
    </row>
    <row r="160" spans="1:9" ht="14.5" thickBot="1"/>
    <row r="161" spans="1:17" ht="14.5" thickBot="1">
      <c r="A161" s="158" t="s">
        <v>2725</v>
      </c>
      <c r="C161" s="159">
        <v>1</v>
      </c>
      <c r="E161" s="159">
        <v>0</v>
      </c>
    </row>
    <row r="163" spans="1:17" ht="28">
      <c r="A163" s="113" t="s">
        <v>367</v>
      </c>
      <c r="B163" s="45"/>
      <c r="C163" s="113" t="s">
        <v>2943</v>
      </c>
      <c r="D163" s="113" t="s">
        <v>2913</v>
      </c>
      <c r="E163" s="113" t="s">
        <v>411</v>
      </c>
      <c r="F163" s="113" t="s">
        <v>410</v>
      </c>
      <c r="G163" s="45" t="s">
        <v>2646</v>
      </c>
      <c r="H163" s="113" t="s">
        <v>303</v>
      </c>
      <c r="I163" s="113" t="s">
        <v>2723</v>
      </c>
    </row>
    <row r="164" spans="1:17">
      <c r="A164" s="114" t="s">
        <v>370</v>
      </c>
      <c r="B164" s="40" t="s">
        <v>370</v>
      </c>
      <c r="C164" s="40">
        <f>+COUNTIFS(Municipios!$Y:$Y,$A164,Municipios!$BE:$BE,C$161)</f>
        <v>1</v>
      </c>
      <c r="D164" s="295">
        <f>C164/$C$171</f>
        <v>2.2675736961451248E-3</v>
      </c>
      <c r="E164" s="90">
        <f>IFERROR(AVERAGEIFS(Municipios!$O:$O,Municipios!$Y:$Y,$A164,Municipios!$BE:$BE,C$161),"N.D.")</f>
        <v>83.075975973808866</v>
      </c>
      <c r="F164" s="90">
        <f>IFERROR(AVERAGEIFS(Municipios!$N:$N,Municipios!$Y:$Y,$A164,Municipios!$BE:$BE,C$161),"N.D.")</f>
        <v>96.758853407492637</v>
      </c>
      <c r="G164" s="90">
        <f>IFERROR(AVERAGEIFS(Municipios!$P:$P,Municipios!$Y:$Y,$A164,Municipios!$BE:$BE,C$161),"N.D.")</f>
        <v>89.917414690650759</v>
      </c>
      <c r="H164" s="90">
        <f>IFERROR(AVERAGEIFS(Municipios!$R:$R,Municipios!$Y:$Y,$A164,Municipios!$BE:$BE,C$161),"N.D.")</f>
        <v>83.705058246668472</v>
      </c>
      <c r="I164" s="90">
        <f>IFERROR(AVERAGEIFS(Municipios!$U:$U,Municipios!$Y:$Y,$A164,Municipios!$BE:$BE,C$161),"N.D.")</f>
        <v>76.730623375701967</v>
      </c>
    </row>
    <row r="165" spans="1:17">
      <c r="A165" s="115" t="s">
        <v>371</v>
      </c>
      <c r="B165" s="41" t="s">
        <v>2663</v>
      </c>
      <c r="C165" s="40">
        <f>+COUNTIFS(Municipios!$Y:$Y,$A165,Municipios!$BE:$BE,C$161)</f>
        <v>4</v>
      </c>
      <c r="D165" s="295">
        <f t="shared" ref="D165:D170" si="16">C165/$C$171</f>
        <v>9.0702947845804991E-3</v>
      </c>
      <c r="E165" s="90">
        <f>IFERROR(AVERAGEIFS(Municipios!$O:$O,Municipios!$Y:$Y,$A165,Municipios!$BE:$BE,C$161),"N.D.")</f>
        <v>69.529286349927091</v>
      </c>
      <c r="F165" s="90">
        <f>IFERROR(AVERAGEIFS(Municipios!$N:$N,Municipios!$Y:$Y,$A165,Municipios!$BE:$BE,C$161),"N.D.")</f>
        <v>87.023432597334107</v>
      </c>
      <c r="G165" s="90">
        <f>IFERROR(AVERAGEIFS(Municipios!$P:$P,Municipios!$Y:$Y,$A165,Municipios!$BE:$BE,C$161),"N.D.")</f>
        <v>78.276359473630606</v>
      </c>
      <c r="H165" s="90">
        <f>IFERROR(AVERAGEIFS(Municipios!$R:$R,Municipios!$Y:$Y,$A165,Municipios!$BE:$BE,C$161),"N.D.")</f>
        <v>87.165740007474469</v>
      </c>
      <c r="I165" s="90">
        <f>IFERROR(AVERAGEIFS(Municipios!$U:$U,Municipios!$Y:$Y,$A165,Municipios!$BE:$BE,C$161),"N.D.")</f>
        <v>69.316575284843822</v>
      </c>
    </row>
    <row r="166" spans="1:17">
      <c r="A166" s="141">
        <v>1</v>
      </c>
      <c r="B166" s="41">
        <v>1</v>
      </c>
      <c r="C166" s="40">
        <f>+COUNTIFS(Municipios!$Y:$Y,$A166,Municipios!$BE:$BE,C$161)</f>
        <v>35</v>
      </c>
      <c r="D166" s="295">
        <f t="shared" si="16"/>
        <v>7.9365079365079361E-2</v>
      </c>
      <c r="E166" s="90">
        <f>IFERROR(AVERAGEIFS(Municipios!$O:$O,Municipios!$Y:$Y,$A166,Municipios!$BE:$BE,C$161),"N.D.")</f>
        <v>64.442317112586863</v>
      </c>
      <c r="F166" s="90">
        <f>IFERROR(AVERAGEIFS(Municipios!$N:$N,Municipios!$Y:$Y,$A166,Municipios!$BE:$BE,C$161),"N.D.")</f>
        <v>79.248813823314507</v>
      </c>
      <c r="G166" s="90">
        <f>IFERROR(AVERAGEIFS(Municipios!$P:$P,Municipios!$Y:$Y,$A166,Municipios!$BE:$BE,C$161),"N.D.")</f>
        <v>71.845565467950678</v>
      </c>
      <c r="H166" s="90">
        <f>IFERROR(AVERAGEIFS(Municipios!$R:$R,Municipios!$Y:$Y,$A166,Municipios!$BE:$BE,C$161),"N.D.")</f>
        <v>73.942995831323429</v>
      </c>
      <c r="I166" s="90">
        <f>IFERROR(AVERAGEIFS(Municipios!$U:$U,Municipios!$Y:$Y,$A166,Municipios!$BE:$BE,C$161),"N.D.")</f>
        <v>55.140887242043092</v>
      </c>
    </row>
    <row r="167" spans="1:17">
      <c r="A167" s="141">
        <v>2</v>
      </c>
      <c r="B167" s="41">
        <v>2</v>
      </c>
      <c r="C167" s="40">
        <f>+COUNTIFS(Municipios!$Y:$Y,$A167,Municipios!$BE:$BE,C$161)</f>
        <v>60</v>
      </c>
      <c r="D167" s="295">
        <f t="shared" si="16"/>
        <v>0.1360544217687075</v>
      </c>
      <c r="E167" s="90">
        <f>IFERROR(AVERAGEIFS(Municipios!$O:$O,Municipios!$Y:$Y,$A167,Municipios!$BE:$BE,C$161),"N.D.")</f>
        <v>59.174169231735341</v>
      </c>
      <c r="F167" s="90">
        <f>IFERROR(AVERAGEIFS(Municipios!$N:$N,Municipios!$Y:$Y,$A167,Municipios!$BE:$BE,C$161),"N.D.")</f>
        <v>67.790116637525045</v>
      </c>
      <c r="G167" s="90">
        <f>IFERROR(AVERAGEIFS(Municipios!$P:$P,Municipios!$Y:$Y,$A167,Municipios!$BE:$BE,C$161),"N.D.")</f>
        <v>63.482142934630176</v>
      </c>
      <c r="H167" s="90">
        <f>IFERROR(AVERAGEIFS(Municipios!$R:$R,Municipios!$Y:$Y,$A167,Municipios!$BE:$BE,C$161),"N.D.")</f>
        <v>59.027788376094499</v>
      </c>
      <c r="I167" s="90">
        <f>IFERROR(AVERAGEIFS(Municipios!$U:$U,Municipios!$Y:$Y,$A167,Municipios!$BE:$BE,C$161),"N.D.")</f>
        <v>39.946127914456397</v>
      </c>
    </row>
    <row r="168" spans="1:17">
      <c r="A168" s="141">
        <v>3</v>
      </c>
      <c r="B168" s="41">
        <v>3</v>
      </c>
      <c r="C168" s="40">
        <f>+COUNTIFS(Municipios!$Y:$Y,$A168,Municipios!$BE:$BE,C$161)</f>
        <v>140</v>
      </c>
      <c r="D168" s="295">
        <f t="shared" si="16"/>
        <v>0.31746031746031744</v>
      </c>
      <c r="E168" s="90">
        <f>IFERROR(AVERAGEIFS(Municipios!$O:$O,Municipios!$Y:$Y,$A168,Municipios!$BE:$BE,C$161),"N.D.")</f>
        <v>55.651897755015241</v>
      </c>
      <c r="F168" s="90">
        <f>IFERROR(AVERAGEIFS(Municipios!$N:$N,Municipios!$Y:$Y,$A168,Municipios!$BE:$BE,C$161),"N.D.")</f>
        <v>60.763831964285743</v>
      </c>
      <c r="G168" s="90">
        <f>IFERROR(AVERAGEIFS(Municipios!$P:$P,Municipios!$Y:$Y,$A168,Municipios!$BE:$BE,C$161),"N.D.")</f>
        <v>58.207864859650478</v>
      </c>
      <c r="H168" s="90">
        <f>IFERROR(AVERAGEIFS(Municipios!$R:$R,Municipios!$Y:$Y,$A168,Municipios!$BE:$BE,C$161),"N.D.")</f>
        <v>49.902094090254849</v>
      </c>
      <c r="I168" s="90">
        <f>IFERROR(AVERAGEIFS(Municipios!$U:$U,Municipios!$Y:$Y,$A168,Municipios!$BE:$BE,C$161),"N.D.")</f>
        <v>31.794679206296177</v>
      </c>
    </row>
    <row r="169" spans="1:17">
      <c r="A169" s="141">
        <v>4</v>
      </c>
      <c r="B169" s="41">
        <v>4</v>
      </c>
      <c r="C169" s="40">
        <f>+COUNTIFS(Municipios!$Y:$Y,$A169,Municipios!$BE:$BE,C$161)</f>
        <v>152</v>
      </c>
      <c r="D169" s="295">
        <f t="shared" si="16"/>
        <v>0.34467120181405897</v>
      </c>
      <c r="E169" s="90">
        <f>IFERROR(AVERAGEIFS(Municipios!$O:$O,Municipios!$Y:$Y,$A169,Municipios!$BE:$BE,C$161),"N.D.")</f>
        <v>53.047902375472049</v>
      </c>
      <c r="F169" s="90">
        <f>IFERROR(AVERAGEIFS(Municipios!$N:$N,Municipios!$Y:$Y,$A169,Municipios!$BE:$BE,C$161),"N.D.")</f>
        <v>53.978181469298256</v>
      </c>
      <c r="G169" s="90">
        <f>IFERROR(AVERAGEIFS(Municipios!$P:$P,Municipios!$Y:$Y,$A169,Municipios!$BE:$BE,C$161),"N.D.")</f>
        <v>53.513041922385121</v>
      </c>
      <c r="H169" s="90">
        <f>IFERROR(AVERAGEIFS(Municipios!$R:$R,Municipios!$Y:$Y,$A169,Municipios!$BE:$BE,C$161),"N.D.")</f>
        <v>41.17651529833423</v>
      </c>
      <c r="I169" s="90">
        <f>IFERROR(AVERAGEIFS(Municipios!$U:$U,Municipios!$Y:$Y,$A169,Municipios!$BE:$BE,C$161),"N.D.")</f>
        <v>24.946828705731466</v>
      </c>
    </row>
    <row r="170" spans="1:17">
      <c r="A170" s="142">
        <v>5</v>
      </c>
      <c r="B170" s="139">
        <v>5</v>
      </c>
      <c r="C170" s="40">
        <f>+COUNTIFS(Municipios!$Y:$Y,$A170,Municipios!$BE:$BE,C$161)</f>
        <v>49</v>
      </c>
      <c r="D170" s="295">
        <f t="shared" si="16"/>
        <v>0.1111111111111111</v>
      </c>
      <c r="E170" s="90">
        <f>IFERROR(AVERAGEIFS(Municipios!$O:$O,Municipios!$Y:$Y,$A170,Municipios!$BE:$BE,C$161),"N.D.")</f>
        <v>51.965773698787352</v>
      </c>
      <c r="F170" s="90">
        <f>IFERROR(AVERAGEIFS(Municipios!$N:$N,Municipios!$Y:$Y,$A170,Municipios!$BE:$BE,C$161),"N.D.")</f>
        <v>45.579464625850349</v>
      </c>
      <c r="G170" s="90">
        <f>IFERROR(AVERAGEIFS(Municipios!$P:$P,Municipios!$Y:$Y,$A170,Municipios!$BE:$BE,C$161),"N.D.")</f>
        <v>48.772619162318847</v>
      </c>
      <c r="H170" s="90">
        <f>IFERROR(AVERAGEIFS(Municipios!$R:$R,Municipios!$Y:$Y,$A170,Municipios!$BE:$BE,C$161),"N.D.")</f>
        <v>27.858390674020686</v>
      </c>
      <c r="I170" s="90">
        <f>IFERROR(AVERAGEIFS(Municipios!$U:$U,Municipios!$Y:$Y,$A170,Municipios!$BE:$BE,C$161),"N.D.")</f>
        <v>16.788560105653918</v>
      </c>
    </row>
    <row r="171" spans="1:17">
      <c r="A171" s="118" t="s">
        <v>369</v>
      </c>
      <c r="B171" s="35"/>
      <c r="C171" s="35">
        <f>SUM(C164:C170)</f>
        <v>441</v>
      </c>
      <c r="D171" s="153">
        <f>SUM(D164:D170)</f>
        <v>1</v>
      </c>
      <c r="E171" s="106">
        <f>AVERAGEIFS(Municipios!$O:$O,Municipios!$BE:$BE,C$161)</f>
        <v>55.709737261298521</v>
      </c>
      <c r="F171" s="106">
        <f>AVERAGEIFS(Municipios!$N:$N,Municipios!$BE:$BE,C$161)</f>
        <v>59.480684559783064</v>
      </c>
      <c r="G171" s="106">
        <f>AVERAGEIFS(Municipios!$P:$P,Municipios!$BE:$BE,C$161)</f>
        <v>57.595210910540757</v>
      </c>
      <c r="H171" s="106">
        <f>AVERAGEIFS(Municipios!$R:$R,Municipios!$BE:$BE,C$161)</f>
        <v>48.009580081514848</v>
      </c>
      <c r="I171" s="106">
        <f>IFERROR(AVERAGEIFS(Municipios!$U:$U,Municipios!$BE:$BE,C$161),"N.D.")</f>
        <v>31.171220295201046</v>
      </c>
    </row>
    <row r="172" spans="1:17" ht="14.5" thickBot="1"/>
    <row r="173" spans="1:17" ht="14.5" thickBot="1">
      <c r="D173" s="159">
        <v>0</v>
      </c>
      <c r="E173" s="106">
        <f>AVERAGEIFS(Municipios!$O:$O,Municipios!$BE:$BE,E161)</f>
        <v>55.921357831179762</v>
      </c>
      <c r="F173" s="106">
        <f>AVERAGEIFS(Municipios!$N:$N,Municipios!$BE:$BE,E161)</f>
        <v>60.813510615229433</v>
      </c>
      <c r="G173" s="106">
        <f>AVERAGEIFS(Municipios!$P:$P,Municipios!$BE:$BE,E161)</f>
        <v>58.362307855670444</v>
      </c>
      <c r="H173" s="106">
        <f>AVERAGEIFS(Municipios!$R:$R,Municipios!$BE:$BE,E161)</f>
        <v>43.942144399803475</v>
      </c>
      <c r="I173" s="106">
        <f>IFERROR(AVERAGEIFS(Municipios!$U:$U,Municipios!$BE:$BE,E161),"N.D.")</f>
        <v>29.093651983567149</v>
      </c>
    </row>
    <row r="174" spans="1:17">
      <c r="A174" s="158" t="s">
        <v>2914</v>
      </c>
    </row>
    <row r="175" spans="1:17">
      <c r="A175" s="158"/>
      <c r="J175" t="s">
        <v>2915</v>
      </c>
    </row>
    <row r="176" spans="1:17" ht="42">
      <c r="A176" s="113" t="s">
        <v>367</v>
      </c>
      <c r="B176" s="45"/>
      <c r="C176" s="113" t="s">
        <v>2838</v>
      </c>
      <c r="D176" s="113" t="s">
        <v>2839</v>
      </c>
      <c r="E176" s="113" t="s">
        <v>2840</v>
      </c>
      <c r="F176" s="113" t="s">
        <v>2841</v>
      </c>
      <c r="G176" s="113" t="s">
        <v>380</v>
      </c>
      <c r="H176" s="113" t="s">
        <v>369</v>
      </c>
      <c r="J176" s="113" t="s">
        <v>367</v>
      </c>
      <c r="K176" s="113" t="s">
        <v>367</v>
      </c>
      <c r="L176" s="113" t="s">
        <v>2838</v>
      </c>
      <c r="M176" s="113" t="s">
        <v>2839</v>
      </c>
      <c r="N176" s="113" t="s">
        <v>2840</v>
      </c>
      <c r="O176" s="113" t="s">
        <v>2841</v>
      </c>
      <c r="P176" s="113" t="s">
        <v>380</v>
      </c>
      <c r="Q176" s="113" t="s">
        <v>369</v>
      </c>
    </row>
    <row r="177" spans="1:17">
      <c r="A177" s="114" t="s">
        <v>370</v>
      </c>
      <c r="B177" s="40" t="s">
        <v>370</v>
      </c>
      <c r="C177" s="40">
        <f>+COUNTIFS(Municipios!$Y:$Y,$A177,Municipios!$BB:$BB,C$176)</f>
        <v>1</v>
      </c>
      <c r="D177" s="40">
        <f>+COUNTIFS(Municipios!$Y:$Y,$A177,Municipios!$BB:$BB,D$176)</f>
        <v>0</v>
      </c>
      <c r="E177" s="40">
        <f>+COUNTIFS(Municipios!$Y:$Y,$A177,Municipios!$BB:$BB,E$176)</f>
        <v>0</v>
      </c>
      <c r="F177" s="40">
        <f>+COUNTIFS(Municipios!$Y:$Y,$A177,Municipios!$BB:$BB,F$176)</f>
        <v>0</v>
      </c>
      <c r="G177" s="40">
        <f>+COUNTIFS(Municipios!$Y:$Y,$A177,Municipios!$BB:$BB,G$176)</f>
        <v>0</v>
      </c>
      <c r="H177" s="40">
        <f>SUM(C177:G177)</f>
        <v>1</v>
      </c>
      <c r="J177" s="114" t="s">
        <v>370</v>
      </c>
      <c r="K177" s="40" t="s">
        <v>370</v>
      </c>
      <c r="L177" s="40">
        <f>IFERROR(AVERAGEIFS(Municipios!$U:$U,Municipios!$Y:$Y,$J177,Municipios!$BB:$BB,L$176),"N.D.")</f>
        <v>76.730623375701967</v>
      </c>
      <c r="M177" s="40" t="str">
        <f>IFERROR(AVERAGEIFS(Municipios!$U:$U,Municipios!$Y:$Y,$J177,Municipios!$BB:$BB,M$176),"N.D.")</f>
        <v>N.D.</v>
      </c>
      <c r="N177" s="40" t="str">
        <f>IFERROR(AVERAGEIFS(Municipios!$U:$U,Municipios!$Y:$Y,$J177,Municipios!$BB:$BB,N$176),"N.D.")</f>
        <v>N.D.</v>
      </c>
      <c r="O177" s="40" t="str">
        <f>IFERROR(AVERAGEIFS(Municipios!$U:$U,Municipios!$Y:$Y,$J177,Municipios!$BB:$BB,O$176),"N.D.")</f>
        <v>N.D.</v>
      </c>
      <c r="P177" s="40" t="str">
        <f>IFERROR(AVERAGEIFS(Municipios!$U:$U,Municipios!$Y:$Y,$J177,Municipios!$BB:$BB,P$176),"N.D.")</f>
        <v>N.D.</v>
      </c>
      <c r="Q177" s="40">
        <f>IFERROR(AVERAGEIFS(Municipios!$U:$U,Municipios!$Y:$Y,$J177),"N.D.")</f>
        <v>76.730623375701967</v>
      </c>
    </row>
    <row r="178" spans="1:17">
      <c r="A178" s="115" t="s">
        <v>371</v>
      </c>
      <c r="B178" s="41" t="s">
        <v>2663</v>
      </c>
      <c r="C178" s="40">
        <f>+COUNTIFS(Municipios!$Y:$Y,$A178,Municipios!$BB:$BB,C$176)</f>
        <v>5</v>
      </c>
      <c r="D178" s="40">
        <f>+COUNTIFS(Municipios!$Y:$Y,$A178,Municipios!$BB:$BB,D$176)</f>
        <v>0</v>
      </c>
      <c r="E178" s="40">
        <f>+COUNTIFS(Municipios!$Y:$Y,$A178,Municipios!$BB:$BB,E$176)</f>
        <v>0</v>
      </c>
      <c r="F178" s="40">
        <f>+COUNTIFS(Municipios!$Y:$Y,$A178,Municipios!$BB:$BB,F$176)</f>
        <v>0</v>
      </c>
      <c r="G178" s="40">
        <f>+COUNTIFS(Municipios!$Y:$Y,$A178,Municipios!$BB:$BB,G$176)</f>
        <v>0</v>
      </c>
      <c r="H178" s="40">
        <f t="shared" ref="H178:H184" si="17">SUM(C178:G178)</f>
        <v>5</v>
      </c>
      <c r="J178" s="115" t="s">
        <v>371</v>
      </c>
      <c r="K178" s="41" t="s">
        <v>2663</v>
      </c>
      <c r="L178" s="40">
        <f>IFERROR(AVERAGEIFS(Municipios!$U:$U,Municipios!$Y:$Y,$J178,Municipios!$BB:$BB,L$176),"N.D.")</f>
        <v>66.878391873470065</v>
      </c>
      <c r="M178" s="40" t="str">
        <f>IFERROR(AVERAGEIFS(Municipios!$U:$U,Municipios!$Y:$Y,$J178,Municipios!$BB:$BB,M$176),"N.D.")</f>
        <v>N.D.</v>
      </c>
      <c r="N178" s="40" t="str">
        <f>IFERROR(AVERAGEIFS(Municipios!$U:$U,Municipios!$Y:$Y,$J178,Municipios!$BB:$BB,N$176),"N.D.")</f>
        <v>N.D.</v>
      </c>
      <c r="O178" s="40" t="str">
        <f>IFERROR(AVERAGEIFS(Municipios!$U:$U,Municipios!$Y:$Y,$J178,Municipios!$BB:$BB,O$176),"N.D.")</f>
        <v>N.D.</v>
      </c>
      <c r="P178" s="40" t="str">
        <f>IFERROR(AVERAGEIFS(Municipios!$U:$U,Municipios!$Y:$Y,$J178,Municipios!$BB:$BB,P$176),"N.D.")</f>
        <v>N.D.</v>
      </c>
      <c r="Q178" s="40">
        <f>IFERROR(AVERAGEIFS(Municipios!$U:$U,Municipios!$Y:$Y,$J178),"N.D.")</f>
        <v>66.878391873470065</v>
      </c>
    </row>
    <row r="179" spans="1:17">
      <c r="A179" s="141">
        <v>1</v>
      </c>
      <c r="B179" s="41">
        <v>1</v>
      </c>
      <c r="C179" s="40">
        <f>+COUNTIFS(Municipios!$Y:$Y,$A179,Municipios!$BB:$BB,C$176)</f>
        <v>39</v>
      </c>
      <c r="D179" s="40">
        <f>+COUNTIFS(Municipios!$Y:$Y,$A179,Municipios!$BB:$BB,D$176)</f>
        <v>10</v>
      </c>
      <c r="E179" s="40">
        <f>+COUNTIFS(Municipios!$Y:$Y,$A179,Municipios!$BB:$BB,E$176)</f>
        <v>0</v>
      </c>
      <c r="F179" s="40">
        <f>+COUNTIFS(Municipios!$Y:$Y,$A179,Municipios!$BB:$BB,F$176)</f>
        <v>0</v>
      </c>
      <c r="G179" s="40">
        <f>+COUNTIFS(Municipios!$Y:$Y,$A179,Municipios!$BB:$BB,G$176)</f>
        <v>0</v>
      </c>
      <c r="H179" s="40">
        <f t="shared" si="17"/>
        <v>49</v>
      </c>
      <c r="J179" s="141">
        <v>1</v>
      </c>
      <c r="K179" s="41">
        <v>1</v>
      </c>
      <c r="L179" s="40">
        <f>IFERROR(AVERAGEIFS(Municipios!$U:$U,Municipios!$Y:$Y,$J179,Municipios!$BB:$BB,L$176),"N.D.")</f>
        <v>55.452292401941939</v>
      </c>
      <c r="M179" s="40">
        <f>IFERROR(AVERAGEIFS(Municipios!$U:$U,Municipios!$Y:$Y,$J179,Municipios!$BB:$BB,M$176),"N.D.")</f>
        <v>50.011995008570373</v>
      </c>
      <c r="N179" s="40" t="str">
        <f>IFERROR(AVERAGEIFS(Municipios!$U:$U,Municipios!$Y:$Y,$J179,Municipios!$BB:$BB,N$176),"N.D.")</f>
        <v>N.D.</v>
      </c>
      <c r="O179" s="40" t="str">
        <f>IFERROR(AVERAGEIFS(Municipios!$U:$U,Municipios!$Y:$Y,$J179,Municipios!$BB:$BB,O$176),"N.D.")</f>
        <v>N.D.</v>
      </c>
      <c r="P179" s="40" t="str">
        <f>IFERROR(AVERAGEIFS(Municipios!$U:$U,Municipios!$Y:$Y,$J179,Municipios!$BB:$BB,P$176),"N.D.")</f>
        <v>N.D.</v>
      </c>
      <c r="Q179" s="40">
        <f>IFERROR(AVERAGEIFS(Municipios!$U:$U,Municipios!$Y:$Y,$J179),"N.D.")</f>
        <v>54.342027627784475</v>
      </c>
    </row>
    <row r="180" spans="1:17">
      <c r="A180" s="141">
        <v>2</v>
      </c>
      <c r="B180" s="41">
        <v>2</v>
      </c>
      <c r="C180" s="40">
        <f>+COUNTIFS(Municipios!$Y:$Y,$A180,Municipios!$BB:$BB,C$176)</f>
        <v>49</v>
      </c>
      <c r="D180" s="40">
        <f>+COUNTIFS(Municipios!$Y:$Y,$A180,Municipios!$BB:$BB,D$176)</f>
        <v>94</v>
      </c>
      <c r="E180" s="40">
        <f>+COUNTIFS(Municipios!$Y:$Y,$A180,Municipios!$BB:$BB,E$176)</f>
        <v>10</v>
      </c>
      <c r="F180" s="40">
        <f>+COUNTIFS(Municipios!$Y:$Y,$A180,Municipios!$BB:$BB,F$176)</f>
        <v>0</v>
      </c>
      <c r="G180" s="40">
        <f>+COUNTIFS(Municipios!$Y:$Y,$A180,Municipios!$BB:$BB,G$176)</f>
        <v>0</v>
      </c>
      <c r="H180" s="40">
        <f t="shared" si="17"/>
        <v>153</v>
      </c>
      <c r="J180" s="141">
        <v>2</v>
      </c>
      <c r="K180" s="41">
        <v>2</v>
      </c>
      <c r="L180" s="40">
        <f>IFERROR(AVERAGEIFS(Municipios!$U:$U,Municipios!$Y:$Y,$J180,Municipios!$BB:$BB,L$176),"N.D.")</f>
        <v>40.960676289461624</v>
      </c>
      <c r="M180" s="40">
        <f>IFERROR(AVERAGEIFS(Municipios!$U:$U,Municipios!$Y:$Y,$J180,Municipios!$BB:$BB,M$176),"N.D.")</f>
        <v>39.146440212009679</v>
      </c>
      <c r="N180" s="40">
        <f>IFERROR(AVERAGEIFS(Municipios!$U:$U,Municipios!$Y:$Y,$J180,Municipios!$BB:$BB,N$176),"N.D.")</f>
        <v>36.856911662494731</v>
      </c>
      <c r="O180" s="40" t="str">
        <f>IFERROR(AVERAGEIFS(Municipios!$U:$U,Municipios!$Y:$Y,$J180,Municipios!$BB:$BB,O$176),"N.D.")</f>
        <v>N.D.</v>
      </c>
      <c r="P180" s="40" t="str">
        <f>IFERROR(AVERAGEIFS(Municipios!$U:$U,Municipios!$Y:$Y,$J180,Municipios!$BB:$BB,P$176),"N.D.")</f>
        <v>N.D.</v>
      </c>
      <c r="Q180" s="40">
        <f>IFERROR(AVERAGEIFS(Municipios!$U:$U,Municipios!$Y:$Y,$J180),"N.D.")</f>
        <v>39.577827678022743</v>
      </c>
    </row>
    <row r="181" spans="1:17">
      <c r="A181" s="141">
        <v>3</v>
      </c>
      <c r="B181" s="41">
        <v>3</v>
      </c>
      <c r="C181" s="40">
        <f>+COUNTIFS(Municipios!$Y:$Y,$A181,Municipios!$BB:$BB,C$176)</f>
        <v>18</v>
      </c>
      <c r="D181" s="40">
        <f>+COUNTIFS(Municipios!$Y:$Y,$A181,Municipios!$BB:$BB,D$176)</f>
        <v>190</v>
      </c>
      <c r="E181" s="40">
        <f>+COUNTIFS(Municipios!$Y:$Y,$A181,Municipios!$BB:$BB,E$176)</f>
        <v>121</v>
      </c>
      <c r="F181" s="40">
        <f>+COUNTIFS(Municipios!$Y:$Y,$A181,Municipios!$BB:$BB,F$176)</f>
        <v>39</v>
      </c>
      <c r="G181" s="40">
        <f>+COUNTIFS(Municipios!$Y:$Y,$A181,Municipios!$BB:$BB,G$176)</f>
        <v>0</v>
      </c>
      <c r="H181" s="40">
        <f t="shared" si="17"/>
        <v>368</v>
      </c>
      <c r="J181" s="141">
        <v>3</v>
      </c>
      <c r="K181" s="41">
        <v>3</v>
      </c>
      <c r="L181" s="40">
        <f>IFERROR(AVERAGEIFS(Municipios!$U:$U,Municipios!$Y:$Y,$J181,Municipios!$BB:$BB,L$176),"N.D.")</f>
        <v>31.888081539948832</v>
      </c>
      <c r="M181" s="40">
        <f>IFERROR(AVERAGEIFS(Municipios!$U:$U,Municipios!$Y:$Y,$J181,Municipios!$BB:$BB,M$176),"N.D.")</f>
        <v>32.313972956887653</v>
      </c>
      <c r="N181" s="40">
        <f>IFERROR(AVERAGEIFS(Municipios!$U:$U,Municipios!$Y:$Y,$J181,Municipios!$BB:$BB,N$176),"N.D.")</f>
        <v>30.76339047873461</v>
      </c>
      <c r="O181" s="40">
        <f>IFERROR(AVERAGEIFS(Municipios!$U:$U,Municipios!$Y:$Y,$J181,Municipios!$BB:$BB,O$176),"N.D.")</f>
        <v>30.597680866154708</v>
      </c>
      <c r="P181" s="40" t="str">
        <f>IFERROR(AVERAGEIFS(Municipios!$U:$U,Municipios!$Y:$Y,$J181,Municipios!$BB:$BB,P$176),"N.D.")</f>
        <v>N.D.</v>
      </c>
      <c r="Q181" s="40">
        <f>IFERROR(AVERAGEIFS(Municipios!$U:$U,Municipios!$Y:$Y,$J181),"N.D.")</f>
        <v>31.601413400094188</v>
      </c>
    </row>
    <row r="182" spans="1:17">
      <c r="A182" s="141">
        <v>4</v>
      </c>
      <c r="B182" s="41">
        <v>4</v>
      </c>
      <c r="C182" s="40">
        <f>+COUNTIFS(Municipios!$Y:$Y,$A182,Municipios!$BB:$BB,C$176)</f>
        <v>9</v>
      </c>
      <c r="D182" s="40">
        <f>+COUNTIFS(Municipios!$Y:$Y,$A182,Municipios!$BB:$BB,D$176)</f>
        <v>72</v>
      </c>
      <c r="E182" s="40">
        <f>+COUNTIFS(Municipios!$Y:$Y,$A182,Municipios!$BB:$BB,E$176)</f>
        <v>213</v>
      </c>
      <c r="F182" s="40">
        <f>+COUNTIFS(Municipios!$Y:$Y,$A182,Municipios!$BB:$BB,F$176)</f>
        <v>114</v>
      </c>
      <c r="G182" s="40">
        <f>+COUNTIFS(Municipios!$Y:$Y,$A182,Municipios!$BB:$BB,G$176)</f>
        <v>1</v>
      </c>
      <c r="H182" s="40">
        <f t="shared" si="17"/>
        <v>409</v>
      </c>
      <c r="J182" s="141">
        <v>4</v>
      </c>
      <c r="K182" s="41">
        <v>4</v>
      </c>
      <c r="L182" s="40">
        <f>IFERROR(AVERAGEIFS(Municipios!$U:$U,Municipios!$Y:$Y,$J182,Municipios!$BB:$BB,L$176),"N.D.")</f>
        <v>25.085254137641446</v>
      </c>
      <c r="M182" s="40">
        <f>IFERROR(AVERAGEIFS(Municipios!$U:$U,Municipios!$Y:$Y,$J182,Municipios!$BB:$BB,M$176),"N.D.")</f>
        <v>25.956239756877967</v>
      </c>
      <c r="N182" s="40">
        <f>IFERROR(AVERAGEIFS(Municipios!$U:$U,Municipios!$Y:$Y,$J182,Municipios!$BB:$BB,N$176),"N.D.")</f>
        <v>25.155671346111127</v>
      </c>
      <c r="O182" s="40">
        <f>IFERROR(AVERAGEIFS(Municipios!$U:$U,Municipios!$Y:$Y,$J182,Municipios!$BB:$BB,O$176),"N.D.")</f>
        <v>24.493706382146065</v>
      </c>
      <c r="P182" s="40">
        <f>IFERROR(AVERAGEIFS(Municipios!$U:$U,Municipios!$Y:$Y,$J182,Municipios!$BB:$BB,P$176),"N.D.")</f>
        <v>23.349697247778646</v>
      </c>
      <c r="Q182" s="40">
        <f>IFERROR(AVERAGEIFS(Municipios!$U:$U,Municipios!$Y:$Y,$J182),"N.D.")</f>
        <v>25.106129025105353</v>
      </c>
    </row>
    <row r="183" spans="1:17">
      <c r="A183" s="142">
        <v>5</v>
      </c>
      <c r="B183" s="139">
        <v>5</v>
      </c>
      <c r="C183" s="40">
        <f>+COUNTIFS(Municipios!$Y:$Y,$A183,Municipios!$BB:$BB,C$176)</f>
        <v>0</v>
      </c>
      <c r="D183" s="40">
        <f>+COUNTIFS(Municipios!$Y:$Y,$A183,Municipios!$BB:$BB,D$176)</f>
        <v>2</v>
      </c>
      <c r="E183" s="40">
        <f>+COUNTIFS(Municipios!$Y:$Y,$A183,Municipios!$BB:$BB,E$176)</f>
        <v>29</v>
      </c>
      <c r="F183" s="40">
        <f>+COUNTIFS(Municipios!$Y:$Y,$A183,Municipios!$BB:$BB,F$176)</f>
        <v>87</v>
      </c>
      <c r="G183" s="40">
        <f>+COUNTIFS(Municipios!$Y:$Y,$A183,Municipios!$BB:$BB,G$176)</f>
        <v>0</v>
      </c>
      <c r="H183" s="40">
        <f t="shared" si="17"/>
        <v>118</v>
      </c>
      <c r="J183" s="142">
        <v>5</v>
      </c>
      <c r="K183" s="139">
        <v>5</v>
      </c>
      <c r="L183" s="40" t="str">
        <f>IFERROR(AVERAGEIFS(Municipios!$U:$U,Municipios!$Y:$Y,$J183,Municipios!$BB:$BB,L$176),"N.D.")</f>
        <v>N.D.</v>
      </c>
      <c r="M183" s="40">
        <f>IFERROR(AVERAGEIFS(Municipios!$U:$U,Municipios!$Y:$Y,$J183,Municipios!$BB:$BB,M$176),"N.D.")</f>
        <v>20.591629794311228</v>
      </c>
      <c r="N183" s="40">
        <f>IFERROR(AVERAGEIFS(Municipios!$U:$U,Municipios!$Y:$Y,$J183,Municipios!$BB:$BB,N$176),"N.D.")</f>
        <v>18.284132511117345</v>
      </c>
      <c r="O183" s="40">
        <f>IFERROR(AVERAGEIFS(Municipios!$U:$U,Municipios!$Y:$Y,$J183,Municipios!$BB:$BB,O$176),"N.D.")</f>
        <v>16.184668817808827</v>
      </c>
      <c r="P183" s="40" t="str">
        <f>IFERROR(AVERAGEIFS(Municipios!$U:$U,Municipios!$Y:$Y,$J183,Municipios!$BB:$BB,P$176),"N.D.")</f>
        <v>N.D.</v>
      </c>
      <c r="Q183" s="40">
        <f>IFERROR(AVERAGEIFS(Municipios!$U:$U,Municipios!$Y:$Y,$J183),"N.D.")</f>
        <v>16.775332962376218</v>
      </c>
    </row>
    <row r="184" spans="1:17">
      <c r="A184" s="118" t="s">
        <v>369</v>
      </c>
      <c r="B184" s="35"/>
      <c r="C184" s="35">
        <f>SUM(C177:C183)</f>
        <v>121</v>
      </c>
      <c r="D184" s="35">
        <f t="shared" ref="D184:G184" si="18">SUM(D177:D183)</f>
        <v>368</v>
      </c>
      <c r="E184" s="35">
        <f t="shared" si="18"/>
        <v>373</v>
      </c>
      <c r="F184" s="35">
        <f t="shared" si="18"/>
        <v>240</v>
      </c>
      <c r="G184" s="35">
        <f t="shared" si="18"/>
        <v>1</v>
      </c>
      <c r="H184" s="35">
        <f t="shared" si="17"/>
        <v>1103</v>
      </c>
      <c r="J184" s="118" t="s">
        <v>369</v>
      </c>
      <c r="K184" s="35"/>
      <c r="L184" s="35">
        <f>IFERROR(AVERAGEIFS(Municipios!$U:$U,Municipios!$BB:$BB,L$176),"N.D.")</f>
        <v>44.467668426117847</v>
      </c>
      <c r="M184" s="35">
        <f>IFERROR(AVERAGEIFS(Municipios!$U:$U,Municipios!$BB:$BB,M$176),"N.D.")</f>
        <v>33.232534548660588</v>
      </c>
      <c r="N184" s="35">
        <f>IFERROR(AVERAGEIFS(Municipios!$U:$U,Municipios!$BB:$BB,N$176),"N.D.")</f>
        <v>26.754255238862992</v>
      </c>
      <c r="O184" s="35">
        <f>IFERROR(AVERAGEIFS(Municipios!$U:$U,Municipios!$BB:$BB,O$176),"N.D.")</f>
        <v>22.473576118725227</v>
      </c>
      <c r="P184" s="35">
        <f>IFERROR(AVERAGEIFS(Municipios!$U:$U,Municipios!$BB:$BB,P$176),"N.D.")</f>
        <v>23.349697247778646</v>
      </c>
      <c r="Q184" s="35">
        <f>IFERROR(AVERAGE(Municipios!$U:$U),"N.D.")</f>
        <v>29.933542946815429</v>
      </c>
    </row>
    <row r="186" spans="1:17">
      <c r="A186" s="158" t="s">
        <v>2916</v>
      </c>
    </row>
    <row r="187" spans="1:17">
      <c r="J187" t="s">
        <v>2915</v>
      </c>
    </row>
    <row r="188" spans="1:17" ht="42">
      <c r="A188" s="113" t="s">
        <v>367</v>
      </c>
      <c r="B188" s="45"/>
      <c r="C188" s="113" t="s">
        <v>2918</v>
      </c>
      <c r="D188" s="113" t="s">
        <v>2917</v>
      </c>
      <c r="E188" s="113" t="s">
        <v>2920</v>
      </c>
      <c r="F188" s="113" t="s">
        <v>2919</v>
      </c>
      <c r="G188" s="113" t="s">
        <v>380</v>
      </c>
      <c r="H188" s="113" t="s">
        <v>369</v>
      </c>
      <c r="J188" s="113" t="s">
        <v>367</v>
      </c>
      <c r="K188" s="113" t="s">
        <v>367</v>
      </c>
      <c r="L188" s="113" t="s">
        <v>2918</v>
      </c>
      <c r="M188" s="113" t="s">
        <v>2917</v>
      </c>
      <c r="N188" s="113" t="s">
        <v>2920</v>
      </c>
      <c r="O188" s="113" t="s">
        <v>2919</v>
      </c>
      <c r="P188" s="113" t="s">
        <v>380</v>
      </c>
      <c r="Q188" s="113" t="s">
        <v>369</v>
      </c>
    </row>
    <row r="189" spans="1:17">
      <c r="A189" s="114" t="s">
        <v>370</v>
      </c>
      <c r="B189" s="40" t="s">
        <v>370</v>
      </c>
      <c r="C189" s="40">
        <f>+COUNTIFS(Municipios!$Y:$Y,$A189,Municipios!$BD:$BD,C$188)</f>
        <v>1</v>
      </c>
      <c r="D189" s="40">
        <f>+COUNTIFS(Municipios!$Y:$Y,$A189,Municipios!$BD:$BD,D$188)</f>
        <v>0</v>
      </c>
      <c r="E189" s="40">
        <f>+COUNTIFS(Municipios!$Y:$Y,$A189,Municipios!$BD:$BD,E$188)</f>
        <v>0</v>
      </c>
      <c r="F189" s="40">
        <f>+COUNTIFS(Municipios!$Y:$Y,$A189,Municipios!$BD:$BD,F$188)</f>
        <v>0</v>
      </c>
      <c r="G189" s="40">
        <f>+COUNTIFS(Municipios!$Y:$Y,$A189,Municipios!$BD:$BD,G$188)</f>
        <v>0</v>
      </c>
      <c r="H189" s="40">
        <f>SUM(C189:G189)</f>
        <v>1</v>
      </c>
      <c r="J189" s="114" t="s">
        <v>370</v>
      </c>
      <c r="K189" s="40" t="s">
        <v>370</v>
      </c>
      <c r="L189" s="40">
        <f>IFERROR(AVERAGEIFS(Municipios!$U:$U,Municipios!$Y:$Y,$J189,Municipios!$BD:$BD,L$188),"N.D.")</f>
        <v>76.730623375701967</v>
      </c>
      <c r="M189" s="40" t="str">
        <f>IFERROR(AVERAGEIFS(Municipios!$U:$U,Municipios!$Y:$Y,$J189,Municipios!$BD:$BD,M$188),"N.D.")</f>
        <v>N.D.</v>
      </c>
      <c r="N189" s="40" t="str">
        <f>IFERROR(AVERAGEIFS(Municipios!$U:$U,Municipios!$Y:$Y,$J189,Municipios!$BD:$BD,N$188),"N.D.")</f>
        <v>N.D.</v>
      </c>
      <c r="O189" s="40" t="str">
        <f>IFERROR(AVERAGEIFS(Municipios!$U:$U,Municipios!$Y:$Y,$J189,Municipios!$BD:$BD,O$188),"N.D.")</f>
        <v>N.D.</v>
      </c>
      <c r="P189" s="40" t="str">
        <f>IFERROR(AVERAGEIFS(Municipios!$U:$U,Municipios!$Y:$Y,$J189,Municipios!$BD:$BD,P$188),"N.D.")</f>
        <v>N.D.</v>
      </c>
      <c r="Q189" s="40">
        <f>IFERROR(AVERAGEIFS(Municipios!$U:$U,Municipios!$Y:$Y,$J189),"N.D.")</f>
        <v>76.730623375701967</v>
      </c>
    </row>
    <row r="190" spans="1:17">
      <c r="A190" s="115" t="s">
        <v>371</v>
      </c>
      <c r="B190" s="41" t="s">
        <v>2663</v>
      </c>
      <c r="C190" s="40">
        <f>+COUNTIFS(Municipios!$Y:$Y,$A190,Municipios!$BD:$BD,C$188)</f>
        <v>5</v>
      </c>
      <c r="D190" s="40">
        <f>+COUNTIFS(Municipios!$Y:$Y,$A190,Municipios!$BD:$BD,D$188)</f>
        <v>0</v>
      </c>
      <c r="E190" s="40">
        <f>+COUNTIFS(Municipios!$Y:$Y,$A190,Municipios!$BD:$BD,E$188)</f>
        <v>0</v>
      </c>
      <c r="F190" s="40">
        <f>+COUNTIFS(Municipios!$Y:$Y,$A190,Municipios!$BD:$BD,F$188)</f>
        <v>0</v>
      </c>
      <c r="G190" s="40">
        <f>+COUNTIFS(Municipios!$Y:$Y,$A190,Municipios!$BD:$BD,G$188)</f>
        <v>0</v>
      </c>
      <c r="H190" s="40">
        <f t="shared" ref="H190:H196" si="19">SUM(C190:G190)</f>
        <v>5</v>
      </c>
      <c r="J190" s="115" t="s">
        <v>371</v>
      </c>
      <c r="K190" s="41" t="s">
        <v>2663</v>
      </c>
      <c r="L190" s="40">
        <f>IFERROR(AVERAGEIFS(Municipios!$U:$U,Municipios!$Y:$Y,$J190,Municipios!$BD:$BD,L$188),"N.D.")</f>
        <v>66.878391873470065</v>
      </c>
      <c r="M190" s="40" t="str">
        <f>IFERROR(AVERAGEIFS(Municipios!$U:$U,Municipios!$Y:$Y,$J190,Municipios!$BD:$BD,M$188),"N.D.")</f>
        <v>N.D.</v>
      </c>
      <c r="N190" s="40" t="str">
        <f>IFERROR(AVERAGEIFS(Municipios!$U:$U,Municipios!$Y:$Y,$J190,Municipios!$BD:$BD,N$188),"N.D.")</f>
        <v>N.D.</v>
      </c>
      <c r="O190" s="40" t="str">
        <f>IFERROR(AVERAGEIFS(Municipios!$U:$U,Municipios!$Y:$Y,$J190,Municipios!$BD:$BD,O$188),"N.D.")</f>
        <v>N.D.</v>
      </c>
      <c r="P190" s="40" t="str">
        <f>IFERROR(AVERAGEIFS(Municipios!$U:$U,Municipios!$Y:$Y,$J190,Municipios!$BD:$BD,P$188),"N.D.")</f>
        <v>N.D.</v>
      </c>
      <c r="Q190" s="40">
        <f>IFERROR(AVERAGEIFS(Municipios!$U:$U,Municipios!$Y:$Y,$J190),"N.D.")</f>
        <v>66.878391873470065</v>
      </c>
    </row>
    <row r="191" spans="1:17">
      <c r="A191" s="141">
        <v>1</v>
      </c>
      <c r="B191" s="41">
        <v>1</v>
      </c>
      <c r="C191" s="40">
        <f>+COUNTIFS(Municipios!$Y:$Y,$A191,Municipios!$BD:$BD,C$188)</f>
        <v>7</v>
      </c>
      <c r="D191" s="40">
        <f>+COUNTIFS(Municipios!$Y:$Y,$A191,Municipios!$BD:$BD,D$188)</f>
        <v>31</v>
      </c>
      <c r="E191" s="40">
        <f>+COUNTIFS(Municipios!$Y:$Y,$A191,Municipios!$BD:$BD,E$188)</f>
        <v>4</v>
      </c>
      <c r="F191" s="40">
        <f>+COUNTIFS(Municipios!$Y:$Y,$A191,Municipios!$BD:$BD,F$188)</f>
        <v>7</v>
      </c>
      <c r="G191" s="40">
        <f>+COUNTIFS(Municipios!$Y:$Y,$A191,Municipios!$BD:$BD,G$188)</f>
        <v>0</v>
      </c>
      <c r="H191" s="40">
        <f t="shared" si="19"/>
        <v>49</v>
      </c>
      <c r="J191" s="141">
        <v>1</v>
      </c>
      <c r="K191" s="41">
        <v>1</v>
      </c>
      <c r="L191" s="40">
        <f>IFERROR(AVERAGEIFS(Municipios!$U:$U,Municipios!$Y:$Y,$J191,Municipios!$BD:$BD,L$188),"N.D.")</f>
        <v>54.166559860681836</v>
      </c>
      <c r="M191" s="40">
        <f>IFERROR(AVERAGEIFS(Municipios!$U:$U,Municipios!$Y:$Y,$J191,Municipios!$BD:$BD,M$188),"N.D.")</f>
        <v>56.3347056280572</v>
      </c>
      <c r="N191" s="40">
        <f>IFERROR(AVERAGEIFS(Municipios!$U:$U,Municipios!$Y:$Y,$J191,Municipios!$BD:$BD,N$188),"N.D.")</f>
        <v>48.166735695788091</v>
      </c>
      <c r="O191" s="40">
        <f>IFERROR(AVERAGEIFS(Municipios!$U:$U,Municipios!$Y:$Y,$J191,Municipios!$BD:$BD,O$188),"N.D.")</f>
        <v>49.221516783391685</v>
      </c>
      <c r="P191" s="40" t="str">
        <f>IFERROR(AVERAGEIFS(Municipios!$U:$U,Municipios!$Y:$Y,$J191,Municipios!$BD:$BD,P$188),"N.D.")</f>
        <v>N.D.</v>
      </c>
      <c r="Q191" s="40">
        <f>IFERROR(AVERAGEIFS(Municipios!$U:$U,Municipios!$Y:$Y,$J191),"N.D.")</f>
        <v>54.342027627784475</v>
      </c>
    </row>
    <row r="192" spans="1:17">
      <c r="A192" s="141">
        <v>2</v>
      </c>
      <c r="B192" s="41">
        <v>2</v>
      </c>
      <c r="C192" s="40">
        <f>+COUNTIFS(Municipios!$Y:$Y,$A192,Municipios!$BD:$BD,C$188)</f>
        <v>5</v>
      </c>
      <c r="D192" s="40">
        <f>+COUNTIFS(Municipios!$Y:$Y,$A192,Municipios!$BD:$BD,D$188)</f>
        <v>40</v>
      </c>
      <c r="E192" s="40">
        <f>+COUNTIFS(Municipios!$Y:$Y,$A192,Municipios!$BD:$BD,E$188)</f>
        <v>13</v>
      </c>
      <c r="F192" s="40">
        <f>+COUNTIFS(Municipios!$Y:$Y,$A192,Municipios!$BD:$BD,F$188)</f>
        <v>95</v>
      </c>
      <c r="G192" s="40">
        <f>+COUNTIFS(Municipios!$Y:$Y,$A192,Municipios!$BD:$BD,G$188)</f>
        <v>0</v>
      </c>
      <c r="H192" s="40">
        <f t="shared" si="19"/>
        <v>153</v>
      </c>
      <c r="J192" s="141">
        <v>2</v>
      </c>
      <c r="K192" s="41">
        <v>2</v>
      </c>
      <c r="L192" s="40">
        <f>IFERROR(AVERAGEIFS(Municipios!$U:$U,Municipios!$Y:$Y,$J192,Municipios!$BD:$BD,L$188),"N.D.")</f>
        <v>43.123051129533486</v>
      </c>
      <c r="M192" s="40">
        <f>IFERROR(AVERAGEIFS(Municipios!$U:$U,Municipios!$Y:$Y,$J192,Municipios!$BD:$BD,M$188),"N.D.")</f>
        <v>40.736613962851486</v>
      </c>
      <c r="N192" s="40">
        <f>IFERROR(AVERAGEIFS(Municipios!$U:$U,Municipios!$Y:$Y,$J192,Municipios!$BD:$BD,N$188),"N.D.")</f>
        <v>39.915615957645187</v>
      </c>
      <c r="O192" s="40">
        <f>IFERROR(AVERAGEIFS(Municipios!$U:$U,Municipios!$Y:$Y,$J192,Municipios!$BD:$BD,O$188),"N.D.")</f>
        <v>38.857103296066953</v>
      </c>
      <c r="P192" s="40" t="str">
        <f>IFERROR(AVERAGEIFS(Municipios!$U:$U,Municipios!$Y:$Y,$J192,Municipios!$BD:$BD,P$188),"N.D.")</f>
        <v>N.D.</v>
      </c>
      <c r="Q192" s="40">
        <f>IFERROR(AVERAGEIFS(Municipios!$U:$U,Municipios!$Y:$Y,$J192),"N.D.")</f>
        <v>39.577827678022743</v>
      </c>
    </row>
    <row r="193" spans="1:23">
      <c r="A193" s="141">
        <v>3</v>
      </c>
      <c r="B193" s="41">
        <v>3</v>
      </c>
      <c r="C193" s="40">
        <f>+COUNTIFS(Municipios!$Y:$Y,$A193,Municipios!$BD:$BD,C$188)</f>
        <v>0</v>
      </c>
      <c r="D193" s="40">
        <f>+COUNTIFS(Municipios!$Y:$Y,$A193,Municipios!$BD:$BD,D$188)</f>
        <v>15</v>
      </c>
      <c r="E193" s="40">
        <f>+COUNTIFS(Municipios!$Y:$Y,$A193,Municipios!$BD:$BD,E$188)</f>
        <v>9</v>
      </c>
      <c r="F193" s="40">
        <f>+COUNTIFS(Municipios!$Y:$Y,$A193,Municipios!$BD:$BD,F$188)</f>
        <v>344</v>
      </c>
      <c r="G193" s="40">
        <f>+COUNTIFS(Municipios!$Y:$Y,$A193,Municipios!$BD:$BD,G$188)</f>
        <v>0</v>
      </c>
      <c r="H193" s="40">
        <f t="shared" si="19"/>
        <v>368</v>
      </c>
      <c r="J193" s="141">
        <v>3</v>
      </c>
      <c r="K193" s="41">
        <v>3</v>
      </c>
      <c r="L193" s="40" t="str">
        <f>IFERROR(AVERAGEIFS(Municipios!$U:$U,Municipios!$Y:$Y,$J193,Municipios!$BD:$BD,L$188),"N.D.")</f>
        <v>N.D.</v>
      </c>
      <c r="M193" s="40">
        <f>IFERROR(AVERAGEIFS(Municipios!$U:$U,Municipios!$Y:$Y,$J193,Municipios!$BD:$BD,M$188),"N.D.")</f>
        <v>32.309789746756593</v>
      </c>
      <c r="N193" s="40">
        <f>IFERROR(AVERAGEIFS(Municipios!$U:$U,Municipios!$Y:$Y,$J193,Municipios!$BD:$BD,N$188),"N.D.")</f>
        <v>30.870896328433574</v>
      </c>
      <c r="O193" s="40">
        <f>IFERROR(AVERAGEIFS(Municipios!$U:$U,Municipios!$Y:$Y,$J193,Municipios!$BD:$BD,O$188),"N.D.")</f>
        <v>31.589637261852932</v>
      </c>
      <c r="P193" s="40" t="str">
        <f>IFERROR(AVERAGEIFS(Municipios!$U:$U,Municipios!$Y:$Y,$J193,Municipios!$BD:$BD,P$188),"N.D.")</f>
        <v>N.D.</v>
      </c>
      <c r="Q193" s="40">
        <f>IFERROR(AVERAGEIFS(Municipios!$U:$U,Municipios!$Y:$Y,$J193),"N.D.")</f>
        <v>31.601413400094188</v>
      </c>
    </row>
    <row r="194" spans="1:23">
      <c r="A194" s="141">
        <v>4</v>
      </c>
      <c r="B194" s="41">
        <v>4</v>
      </c>
      <c r="C194" s="40">
        <f>+COUNTIFS(Municipios!$Y:$Y,$A194,Municipios!$BD:$BD,C$188)</f>
        <v>0</v>
      </c>
      <c r="D194" s="40">
        <f>+COUNTIFS(Municipios!$Y:$Y,$A194,Municipios!$BD:$BD,D$188)</f>
        <v>9</v>
      </c>
      <c r="E194" s="40">
        <f>+COUNTIFS(Municipios!$Y:$Y,$A194,Municipios!$BD:$BD,E$188)</f>
        <v>6</v>
      </c>
      <c r="F194" s="40">
        <f>+COUNTIFS(Municipios!$Y:$Y,$A194,Municipios!$BD:$BD,F$188)</f>
        <v>393</v>
      </c>
      <c r="G194" s="40">
        <f>+COUNTIFS(Municipios!$Y:$Y,$A194,Municipios!$BD:$BD,G$188)</f>
        <v>1</v>
      </c>
      <c r="H194" s="40">
        <f t="shared" si="19"/>
        <v>409</v>
      </c>
      <c r="J194" s="141">
        <v>4</v>
      </c>
      <c r="K194" s="41">
        <v>4</v>
      </c>
      <c r="L194" s="40" t="str">
        <f>IFERROR(AVERAGEIFS(Municipios!$U:$U,Municipios!$Y:$Y,$J194,Municipios!$BD:$BD,L$188),"N.D.")</f>
        <v>N.D.</v>
      </c>
      <c r="M194" s="40">
        <f>IFERROR(AVERAGEIFS(Municipios!$U:$U,Municipios!$Y:$Y,$J194,Municipios!$BD:$BD,M$188),"N.D.")</f>
        <v>26.582708593347334</v>
      </c>
      <c r="N194" s="40">
        <f>IFERROR(AVERAGEIFS(Municipios!$U:$U,Municipios!$Y:$Y,$J194,Municipios!$BD:$BD,N$188),"N.D.")</f>
        <v>24.555019055872659</v>
      </c>
      <c r="O194" s="40">
        <f>IFERROR(AVERAGEIFS(Municipios!$U:$U,Municipios!$Y:$Y,$J194,Municipios!$BD:$BD,O$188),"N.D.")</f>
        <v>25.085197410546947</v>
      </c>
      <c r="P194" s="40">
        <f>IFERROR(AVERAGEIFS(Municipios!$U:$U,Municipios!$Y:$Y,$J194,Municipios!$BD:$BD,P$188),"N.D.")</f>
        <v>23.349697247778646</v>
      </c>
      <c r="Q194" s="40">
        <f>IFERROR(AVERAGEIFS(Municipios!$U:$U,Municipios!$Y:$Y,$J194),"N.D.")</f>
        <v>25.106129025105353</v>
      </c>
    </row>
    <row r="195" spans="1:23">
      <c r="A195" s="142">
        <v>5</v>
      </c>
      <c r="B195" s="139">
        <v>5</v>
      </c>
      <c r="C195" s="40">
        <f>+COUNTIFS(Municipios!$Y:$Y,$A195,Municipios!$BD:$BD,C$188)</f>
        <v>0</v>
      </c>
      <c r="D195" s="40">
        <f>+COUNTIFS(Municipios!$Y:$Y,$A195,Municipios!$BD:$BD,D$188)</f>
        <v>0</v>
      </c>
      <c r="E195" s="40">
        <f>+COUNTIFS(Municipios!$Y:$Y,$A195,Municipios!$BD:$BD,E$188)</f>
        <v>5</v>
      </c>
      <c r="F195" s="40">
        <f>+COUNTIFS(Municipios!$Y:$Y,$A195,Municipios!$BD:$BD,F$188)</f>
        <v>113</v>
      </c>
      <c r="G195" s="40">
        <f>+COUNTIFS(Municipios!$Y:$Y,$A195,Municipios!$BD:$BD,G$188)</f>
        <v>0</v>
      </c>
      <c r="H195" s="40">
        <f t="shared" si="19"/>
        <v>118</v>
      </c>
      <c r="J195" s="142">
        <v>5</v>
      </c>
      <c r="K195" s="139">
        <v>5</v>
      </c>
      <c r="L195" s="40" t="str">
        <f>IFERROR(AVERAGEIFS(Municipios!$U:$U,Municipios!$Y:$Y,$J195,Municipios!$BD:$BD,L$188),"N.D.")</f>
        <v>N.D.</v>
      </c>
      <c r="M195" s="40" t="str">
        <f>IFERROR(AVERAGEIFS(Municipios!$U:$U,Municipios!$Y:$Y,$J195,Municipios!$BD:$BD,M$188),"N.D.")</f>
        <v>N.D.</v>
      </c>
      <c r="N195" s="40">
        <f>IFERROR(AVERAGEIFS(Municipios!$U:$U,Municipios!$Y:$Y,$J195,Municipios!$BD:$BD,N$188),"N.D.")</f>
        <v>14.111358039930021</v>
      </c>
      <c r="O195" s="40">
        <f>IFERROR(AVERAGEIFS(Municipios!$U:$U,Municipios!$Y:$Y,$J195,Municipios!$BD:$BD,O$188),"N.D.")</f>
        <v>16.893207958944636</v>
      </c>
      <c r="P195" s="40" t="str">
        <f>IFERROR(AVERAGEIFS(Municipios!$U:$U,Municipios!$Y:$Y,$J195,Municipios!$BD:$BD,P$188),"N.D.")</f>
        <v>N.D.</v>
      </c>
      <c r="Q195" s="40">
        <f>IFERROR(AVERAGEIFS(Municipios!$U:$U,Municipios!$Y:$Y,$J195),"N.D.")</f>
        <v>16.775332962376218</v>
      </c>
    </row>
    <row r="196" spans="1:23">
      <c r="A196" s="118" t="s">
        <v>369</v>
      </c>
      <c r="B196" s="35"/>
      <c r="C196" s="35">
        <f>SUM(C189:C195)</f>
        <v>18</v>
      </c>
      <c r="D196" s="35">
        <f t="shared" ref="D196:G196" si="20">SUM(D189:D195)</f>
        <v>95</v>
      </c>
      <c r="E196" s="35">
        <f t="shared" si="20"/>
        <v>37</v>
      </c>
      <c r="F196" s="35">
        <f t="shared" si="20"/>
        <v>952</v>
      </c>
      <c r="G196" s="35">
        <f t="shared" si="20"/>
        <v>1</v>
      </c>
      <c r="H196" s="35">
        <f t="shared" si="19"/>
        <v>1103</v>
      </c>
      <c r="J196" s="118" t="s">
        <v>369</v>
      </c>
      <c r="K196" s="35"/>
      <c r="L196" s="35">
        <f>IFERROR(AVERAGEIFS(Municipios!$U:$U,Municipios!$BD:$BD,L$188),"N.D.")</f>
        <v>55.88354207863847</v>
      </c>
      <c r="M196" s="35">
        <f>IFERROR(AVERAGEIFS(Municipios!$U:$U,Municipios!$BD:$BD,M$188),"N.D.")</f>
        <v>43.155070068687422</v>
      </c>
      <c r="N196" s="35">
        <f>IFERROR(AVERAGEIFS(Municipios!$U:$U,Municipios!$BD:$BD,N$188),"N.D.")</f>
        <v>32.62959247900887</v>
      </c>
      <c r="O196" s="35">
        <f>IFERROR(AVERAGEIFS(Municipios!$U:$U,Municipios!$BD:$BD,O$188),"N.D.")</f>
        <v>28.014942994110513</v>
      </c>
      <c r="P196" s="35">
        <f>IFERROR(AVERAGEIFS(Municipios!$U:$U,Municipios!$BD:$BD,P$188),"N.D.")</f>
        <v>23.349697247778646</v>
      </c>
      <c r="Q196" s="35">
        <f>IFERROR(AVERAGE(Municipios!$U:$U),"N.D.")</f>
        <v>29.933542946815429</v>
      </c>
    </row>
    <row r="198" spans="1:23">
      <c r="A198" s="158" t="s">
        <v>2921</v>
      </c>
    </row>
    <row r="199" spans="1:23">
      <c r="A199" s="86" t="s">
        <v>367</v>
      </c>
      <c r="B199" s="45"/>
      <c r="C199" s="85" t="s">
        <v>368</v>
      </c>
      <c r="D199" s="85">
        <v>1</v>
      </c>
      <c r="E199" s="85">
        <v>2</v>
      </c>
      <c r="F199" s="85">
        <v>3</v>
      </c>
      <c r="G199" s="85">
        <v>4</v>
      </c>
      <c r="H199" s="85">
        <v>5</v>
      </c>
      <c r="I199" s="85">
        <v>6</v>
      </c>
      <c r="J199" s="85" t="s">
        <v>380</v>
      </c>
      <c r="K199" s="85" t="s">
        <v>369</v>
      </c>
      <c r="M199" s="113" t="s">
        <v>367</v>
      </c>
      <c r="N199" s="113" t="s">
        <v>367</v>
      </c>
      <c r="O199" s="85" t="s">
        <v>368</v>
      </c>
      <c r="P199" s="85">
        <v>1</v>
      </c>
      <c r="Q199" s="85">
        <v>2</v>
      </c>
      <c r="R199" s="85">
        <v>3</v>
      </c>
      <c r="S199" s="85">
        <v>4</v>
      </c>
      <c r="T199" s="85">
        <v>5</v>
      </c>
      <c r="U199" s="85">
        <v>6</v>
      </c>
      <c r="V199" s="85" t="s">
        <v>380</v>
      </c>
      <c r="W199" s="85" t="s">
        <v>369</v>
      </c>
    </row>
    <row r="200" spans="1:23">
      <c r="A200" s="86" t="s">
        <v>370</v>
      </c>
      <c r="B200" s="40" t="s">
        <v>370</v>
      </c>
      <c r="C200" s="84">
        <f>+COUNTIFS(Municipios!$Y:$Y,$A200,Municipios!$BC:$BC,C$199)</f>
        <v>1</v>
      </c>
      <c r="D200" s="84">
        <f>+COUNTIFS(Municipios!$Y:$Y,$A200,Municipios!$BC:$BC,D$199)</f>
        <v>0</v>
      </c>
      <c r="E200" s="84">
        <f>+COUNTIFS(Municipios!$Y:$Y,$A200,Municipios!$BC:$BC,E$199)</f>
        <v>0</v>
      </c>
      <c r="F200" s="84">
        <f>+COUNTIFS(Municipios!$Y:$Y,$A200,Municipios!$BC:$BC,F$199)</f>
        <v>0</v>
      </c>
      <c r="G200" s="84">
        <f>+COUNTIFS(Municipios!$Y:$Y,$A200,Municipios!$BC:$BC,G$199)</f>
        <v>0</v>
      </c>
      <c r="H200" s="84">
        <f>+COUNTIFS(Municipios!$Y:$Y,$A200,Municipios!$BC:$BC,H$199)</f>
        <v>0</v>
      </c>
      <c r="I200" s="84">
        <f>+COUNTIFS(Municipios!$Y:$Y,$A200,Municipios!$BC:$BC,I$199)</f>
        <v>0</v>
      </c>
      <c r="J200" s="84">
        <f>+COUNTIFS(Municipios!$Y:$Y,$A200,Municipios!$BC:$BC,J$199)</f>
        <v>0</v>
      </c>
      <c r="K200" s="93">
        <f>+SUM(C200:J200)</f>
        <v>1</v>
      </c>
      <c r="M200" s="114" t="s">
        <v>370</v>
      </c>
      <c r="N200" s="40" t="s">
        <v>370</v>
      </c>
      <c r="O200" s="40">
        <f>IFERROR(AVERAGEIFS(Municipios!$U:$U,Municipios!$Y:$Y,$M200,Municipios!$BC:$BC,O$199),"N.D.")</f>
        <v>76.730623375701967</v>
      </c>
      <c r="P200" s="40" t="str">
        <f>IFERROR(AVERAGEIFS(Municipios!$U:$U,Municipios!$Y:$Y,$M200,Municipios!$BC:$BC,P$199),"N.D.")</f>
        <v>N.D.</v>
      </c>
      <c r="Q200" s="40" t="str">
        <f>IFERROR(AVERAGEIFS(Municipios!$U:$U,Municipios!$Y:$Y,$M200,Municipios!$BC:$BC,Q$199),"N.D.")</f>
        <v>N.D.</v>
      </c>
      <c r="R200" s="40" t="str">
        <f>IFERROR(AVERAGEIFS(Municipios!$U:$U,Municipios!$Y:$Y,$M200,Municipios!$BC:$BC,R$199),"N.D.")</f>
        <v>N.D.</v>
      </c>
      <c r="S200" s="40" t="str">
        <f>IFERROR(AVERAGEIFS(Municipios!$U:$U,Municipios!$Y:$Y,$M200,Municipios!$BC:$BC,S$199),"N.D.")</f>
        <v>N.D.</v>
      </c>
      <c r="T200" s="40" t="str">
        <f>IFERROR(AVERAGEIFS(Municipios!$U:$U,Municipios!$Y:$Y,$M200,Municipios!$BC:$BC,T$199),"N.D.")</f>
        <v>N.D.</v>
      </c>
      <c r="U200" s="40" t="str">
        <f>IFERROR(AVERAGEIFS(Municipios!$U:$U,Municipios!$Y:$Y,$M200,Municipios!$BC:$BC,U$199),"N.D.")</f>
        <v>N.D.</v>
      </c>
      <c r="V200" s="40" t="str">
        <f>IFERROR(AVERAGEIFS(Municipios!$U:$U,Municipios!$Y:$Y,$M200,Municipios!$BC:$BC,V$199),"N.D.")</f>
        <v>N.D.</v>
      </c>
      <c r="W200">
        <f>IFERROR(AVERAGEIFS(Municipios!$U:$U,Municipios!$Y:$Y,$J189),"N.D.")</f>
        <v>76.730623375701967</v>
      </c>
    </row>
    <row r="201" spans="1:23">
      <c r="A201" s="87" t="s">
        <v>371</v>
      </c>
      <c r="B201" s="41" t="s">
        <v>2663</v>
      </c>
      <c r="C201" s="84">
        <f>+COUNTIFS(Municipios!$Y:$Y,$A201,Municipios!$BC:$BC,C$199)</f>
        <v>5</v>
      </c>
      <c r="D201" s="84">
        <f>+COUNTIFS(Municipios!$Y:$Y,$A201,Municipios!$BC:$BC,D$199)</f>
        <v>0</v>
      </c>
      <c r="E201" s="84">
        <f>+COUNTIFS(Municipios!$Y:$Y,$A201,Municipios!$BC:$BC,E$199)</f>
        <v>0</v>
      </c>
      <c r="F201" s="84">
        <f>+COUNTIFS(Municipios!$Y:$Y,$A201,Municipios!$BC:$BC,F$199)</f>
        <v>0</v>
      </c>
      <c r="G201" s="84">
        <f>+COUNTIFS(Municipios!$Y:$Y,$A201,Municipios!$BC:$BC,G$199)</f>
        <v>0</v>
      </c>
      <c r="H201" s="84">
        <f>+COUNTIFS(Municipios!$Y:$Y,$A201,Municipios!$BC:$BC,H$199)</f>
        <v>0</v>
      </c>
      <c r="I201" s="84">
        <f>+COUNTIFS(Municipios!$Y:$Y,$A201,Municipios!$BC:$BC,I$199)</f>
        <v>0</v>
      </c>
      <c r="J201" s="84">
        <f>+COUNTIFS(Municipios!$Y:$Y,$A201,Municipios!$BC:$BC,J$199)</f>
        <v>0</v>
      </c>
      <c r="K201" s="93">
        <f t="shared" ref="K201:K206" si="21">+SUM(C201:J201)</f>
        <v>5</v>
      </c>
      <c r="M201" s="115" t="s">
        <v>371</v>
      </c>
      <c r="N201" s="41" t="s">
        <v>2663</v>
      </c>
      <c r="O201" s="40">
        <f>IFERROR(AVERAGEIFS(Municipios!$U:$U,Municipios!$Y:$Y,$M201,Municipios!$BC:$BC,O$199),"N.D.")</f>
        <v>66.878391873470065</v>
      </c>
      <c r="P201" s="40" t="str">
        <f>IFERROR(AVERAGEIFS(Municipios!$U:$U,Municipios!$Y:$Y,$M201,Municipios!$BC:$BC,P$199),"N.D.")</f>
        <v>N.D.</v>
      </c>
      <c r="Q201" s="40" t="str">
        <f>IFERROR(AVERAGEIFS(Municipios!$U:$U,Municipios!$Y:$Y,$M201,Municipios!$BC:$BC,Q$199),"N.D.")</f>
        <v>N.D.</v>
      </c>
      <c r="R201" s="40" t="str">
        <f>IFERROR(AVERAGEIFS(Municipios!$U:$U,Municipios!$Y:$Y,$M201,Municipios!$BC:$BC,R$199),"N.D.")</f>
        <v>N.D.</v>
      </c>
      <c r="S201" s="40" t="str">
        <f>IFERROR(AVERAGEIFS(Municipios!$U:$U,Municipios!$Y:$Y,$M201,Municipios!$BC:$BC,S$199),"N.D.")</f>
        <v>N.D.</v>
      </c>
      <c r="T201" s="40" t="str">
        <f>IFERROR(AVERAGEIFS(Municipios!$U:$U,Municipios!$Y:$Y,$M201,Municipios!$BC:$BC,T$199),"N.D.")</f>
        <v>N.D.</v>
      </c>
      <c r="U201" s="40" t="str">
        <f>IFERROR(AVERAGEIFS(Municipios!$U:$U,Municipios!$Y:$Y,$M201,Municipios!$BC:$BC,U$199),"N.D.")</f>
        <v>N.D.</v>
      </c>
      <c r="V201" s="40" t="str">
        <f>IFERROR(AVERAGEIFS(Municipios!$U:$U,Municipios!$Y:$Y,$M201,Municipios!$BC:$BC,V$199),"N.D.")</f>
        <v>N.D.</v>
      </c>
      <c r="W201">
        <f>IFERROR(AVERAGEIFS(Municipios!$U:$U,Municipios!$Y:$Y,$J190),"N.D.")</f>
        <v>66.878391873470065</v>
      </c>
    </row>
    <row r="202" spans="1:23">
      <c r="A202" s="87">
        <v>1</v>
      </c>
      <c r="B202" s="41">
        <v>1</v>
      </c>
      <c r="C202" s="84">
        <f>+COUNTIFS(Municipios!$Y:$Y,$A202,Municipios!$BC:$BC,C$199)</f>
        <v>0</v>
      </c>
      <c r="D202" s="84">
        <f>+COUNTIFS(Municipios!$Y:$Y,$A202,Municipios!$BC:$BC,D$199)</f>
        <v>18</v>
      </c>
      <c r="E202" s="84">
        <f>+COUNTIFS(Municipios!$Y:$Y,$A202,Municipios!$BC:$BC,E$199)</f>
        <v>14</v>
      </c>
      <c r="F202" s="84">
        <f>+COUNTIFS(Municipios!$Y:$Y,$A202,Municipios!$BC:$BC,F$199)</f>
        <v>5</v>
      </c>
      <c r="G202" s="84">
        <f>+COUNTIFS(Municipios!$Y:$Y,$A202,Municipios!$BC:$BC,G$199)</f>
        <v>3</v>
      </c>
      <c r="H202" s="84">
        <f>+COUNTIFS(Municipios!$Y:$Y,$A202,Municipios!$BC:$BC,H$199)</f>
        <v>4</v>
      </c>
      <c r="I202" s="84">
        <f>+COUNTIFS(Municipios!$Y:$Y,$A202,Municipios!$BC:$BC,I$199)</f>
        <v>5</v>
      </c>
      <c r="J202" s="84">
        <f>+COUNTIFS(Municipios!$Y:$Y,$A202,Municipios!$BC:$BC,J$199)</f>
        <v>0</v>
      </c>
      <c r="K202" s="93">
        <f t="shared" si="21"/>
        <v>49</v>
      </c>
      <c r="M202" s="141">
        <v>1</v>
      </c>
      <c r="N202" s="41">
        <v>1</v>
      </c>
      <c r="O202" s="40" t="str">
        <f>IFERROR(AVERAGEIFS(Municipios!$U:$U,Municipios!$Y:$Y,$M202,Municipios!$BC:$BC,O$199),"N.D.")</f>
        <v>N.D.</v>
      </c>
      <c r="P202" s="40">
        <f>IFERROR(AVERAGEIFS(Municipios!$U:$U,Municipios!$Y:$Y,$M202,Municipios!$BC:$BC,P$199),"N.D.")</f>
        <v>59.480241999891597</v>
      </c>
      <c r="Q202" s="40">
        <f>IFERROR(AVERAGEIFS(Municipios!$U:$U,Municipios!$Y:$Y,$M202,Municipios!$BC:$BC,Q$199),"N.D.")</f>
        <v>52.994975358475187</v>
      </c>
      <c r="R202" s="40">
        <f>IFERROR(AVERAGEIFS(Municipios!$U:$U,Municipios!$Y:$Y,$M202,Municipios!$BC:$BC,R$199),"N.D.")</f>
        <v>51.604997122228021</v>
      </c>
      <c r="S202" s="40">
        <f>IFERROR(AVERAGEIFS(Municipios!$U:$U,Municipios!$Y:$Y,$M202,Municipios!$BC:$BC,S$199),"N.D.")</f>
        <v>49.741597276934748</v>
      </c>
      <c r="T202" s="40">
        <f>IFERROR(AVERAGEIFS(Municipios!$U:$U,Municipios!$Y:$Y,$M202,Municipios!$BC:$BC,T$199),"N.D.")</f>
        <v>49.146160115188877</v>
      </c>
      <c r="U202" s="40">
        <f>IFERROR(AVERAGEIFS(Municipios!$U:$U,Municipios!$Y:$Y,$M202,Municipios!$BC:$BC,U$199),"N.D.")</f>
        <v>49.270184968407676</v>
      </c>
      <c r="V202" s="40" t="str">
        <f>IFERROR(AVERAGEIFS(Municipios!$U:$U,Municipios!$Y:$Y,$M202,Municipios!$BC:$BC,V$199),"N.D.")</f>
        <v>N.D.</v>
      </c>
      <c r="W202">
        <f>IFERROR(AVERAGEIFS(Municipios!$U:$U,Municipios!$Y:$Y,$J191),"N.D.")</f>
        <v>54.342027627784475</v>
      </c>
    </row>
    <row r="203" spans="1:23">
      <c r="A203" s="87">
        <v>2</v>
      </c>
      <c r="B203" s="41">
        <v>2</v>
      </c>
      <c r="C203" s="84">
        <f>+COUNTIFS(Municipios!$Y:$Y,$A203,Municipios!$BC:$BC,C$199)</f>
        <v>0</v>
      </c>
      <c r="D203" s="84">
        <f>+COUNTIFS(Municipios!$Y:$Y,$A203,Municipios!$BC:$BC,D$199)</f>
        <v>9</v>
      </c>
      <c r="E203" s="84">
        <f>+COUNTIFS(Municipios!$Y:$Y,$A203,Municipios!$BC:$BC,E$199)</f>
        <v>10</v>
      </c>
      <c r="F203" s="84">
        <f>+COUNTIFS(Municipios!$Y:$Y,$A203,Municipios!$BC:$BC,F$199)</f>
        <v>10</v>
      </c>
      <c r="G203" s="84">
        <f>+COUNTIFS(Municipios!$Y:$Y,$A203,Municipios!$BC:$BC,G$199)</f>
        <v>9</v>
      </c>
      <c r="H203" s="84">
        <f>+COUNTIFS(Municipios!$Y:$Y,$A203,Municipios!$BC:$BC,H$199)</f>
        <v>21</v>
      </c>
      <c r="I203" s="84">
        <f>+COUNTIFS(Municipios!$Y:$Y,$A203,Municipios!$BC:$BC,I$199)</f>
        <v>94</v>
      </c>
      <c r="J203" s="84">
        <f>+COUNTIFS(Municipios!$Y:$Y,$A203,Municipios!$BC:$BC,J$199)</f>
        <v>0</v>
      </c>
      <c r="K203" s="93">
        <f t="shared" si="21"/>
        <v>153</v>
      </c>
      <c r="M203" s="141">
        <v>2</v>
      </c>
      <c r="N203" s="41">
        <v>2</v>
      </c>
      <c r="O203" s="40" t="str">
        <f>IFERROR(AVERAGEIFS(Municipios!$U:$U,Municipios!$Y:$Y,$M203,Municipios!$BC:$BC,O$199),"N.D.")</f>
        <v>N.D.</v>
      </c>
      <c r="P203" s="40">
        <f>IFERROR(AVERAGEIFS(Municipios!$U:$U,Municipios!$Y:$Y,$M203,Municipios!$BC:$BC,P$199),"N.D.")</f>
        <v>41.541764773883671</v>
      </c>
      <c r="Q203" s="40">
        <f>IFERROR(AVERAGEIFS(Municipios!$U:$U,Municipios!$Y:$Y,$M203,Municipios!$BC:$BC,Q$199),"N.D.")</f>
        <v>42.851095750873917</v>
      </c>
      <c r="R203" s="40">
        <f>IFERROR(AVERAGEIFS(Municipios!$U:$U,Municipios!$Y:$Y,$M203,Municipios!$BC:$BC,R$199),"N.D.")</f>
        <v>39.841628644361982</v>
      </c>
      <c r="S203" s="40">
        <f>IFERROR(AVERAGEIFS(Municipios!$U:$U,Municipios!$Y:$Y,$M203,Municipios!$BC:$BC,S$199),"N.D.")</f>
        <v>41.205393549887816</v>
      </c>
      <c r="T203" s="40">
        <f>IFERROR(AVERAGEIFS(Municipios!$U:$U,Municipios!$Y:$Y,$M203,Municipios!$BC:$BC,T$199),"N.D.")</f>
        <v>39.877565375723862</v>
      </c>
      <c r="U203" s="40">
        <f>IFERROR(AVERAGEIFS(Municipios!$U:$U,Municipios!$Y:$Y,$M203,Municipios!$BC:$BC,U$199),"N.D.")</f>
        <v>38.79071375511672</v>
      </c>
      <c r="V203" s="40" t="str">
        <f>IFERROR(AVERAGEIFS(Municipios!$U:$U,Municipios!$Y:$Y,$M203,Municipios!$BC:$BC,V$199),"N.D.")</f>
        <v>N.D.</v>
      </c>
      <c r="W203">
        <f>IFERROR(AVERAGEIFS(Municipios!$U:$U,Municipios!$Y:$Y,$J192),"N.D.")</f>
        <v>39.577827678022743</v>
      </c>
    </row>
    <row r="204" spans="1:23">
      <c r="A204" s="87">
        <v>3</v>
      </c>
      <c r="B204" s="41">
        <v>3</v>
      </c>
      <c r="C204" s="84">
        <f>+COUNTIFS(Municipios!$Y:$Y,$A204,Municipios!$BC:$BC,C$199)</f>
        <v>0</v>
      </c>
      <c r="D204" s="84">
        <f>+COUNTIFS(Municipios!$Y:$Y,$A204,Municipios!$BC:$BC,D$199)</f>
        <v>0</v>
      </c>
      <c r="E204" s="84">
        <f>+COUNTIFS(Municipios!$Y:$Y,$A204,Municipios!$BC:$BC,E$199)</f>
        <v>2</v>
      </c>
      <c r="F204" s="84">
        <f>+COUNTIFS(Municipios!$Y:$Y,$A204,Municipios!$BC:$BC,F$199)</f>
        <v>2</v>
      </c>
      <c r="G204" s="84">
        <f>+COUNTIFS(Municipios!$Y:$Y,$A204,Municipios!$BC:$BC,G$199)</f>
        <v>7</v>
      </c>
      <c r="H204" s="84">
        <f>+COUNTIFS(Municipios!$Y:$Y,$A204,Municipios!$BC:$BC,H$199)</f>
        <v>13</v>
      </c>
      <c r="I204" s="84">
        <f>+COUNTIFS(Municipios!$Y:$Y,$A204,Municipios!$BC:$BC,I$199)</f>
        <v>344</v>
      </c>
      <c r="J204" s="84">
        <f>+COUNTIFS(Municipios!$Y:$Y,$A204,Municipios!$BC:$BC,J$199)</f>
        <v>0</v>
      </c>
      <c r="K204" s="93">
        <f t="shared" si="21"/>
        <v>368</v>
      </c>
      <c r="M204" s="141">
        <v>3</v>
      </c>
      <c r="N204" s="41">
        <v>3</v>
      </c>
      <c r="O204" s="40" t="str">
        <f>IFERROR(AVERAGEIFS(Municipios!$U:$U,Municipios!$Y:$Y,$M204,Municipios!$BC:$BC,O$199),"N.D.")</f>
        <v>N.D.</v>
      </c>
      <c r="P204" s="40" t="str">
        <f>IFERROR(AVERAGEIFS(Municipios!$U:$U,Municipios!$Y:$Y,$M204,Municipios!$BC:$BC,P$199),"N.D.")</f>
        <v>N.D.</v>
      </c>
      <c r="Q204" s="40">
        <f>IFERROR(AVERAGEIFS(Municipios!$U:$U,Municipios!$Y:$Y,$M204,Municipios!$BC:$BC,Q$199),"N.D.")</f>
        <v>29.079445652259039</v>
      </c>
      <c r="R204" s="40">
        <f>IFERROR(AVERAGEIFS(Municipios!$U:$U,Municipios!$Y:$Y,$M204,Municipios!$BC:$BC,R$199),"N.D.")</f>
        <v>30.474998866007432</v>
      </c>
      <c r="S204" s="40">
        <f>IFERROR(AVERAGEIFS(Municipios!$U:$U,Municipios!$Y:$Y,$M204,Municipios!$BC:$BC,S$199),"N.D.")</f>
        <v>30.749689183884065</v>
      </c>
      <c r="T204" s="40">
        <f>IFERROR(AVERAGEIFS(Municipios!$U:$U,Municipios!$Y:$Y,$M204,Municipios!$BC:$BC,T$199),"N.D.")</f>
        <v>32.732144930197578</v>
      </c>
      <c r="U204" s="40">
        <f>IFERROR(AVERAGEIFS(Municipios!$U:$U,Municipios!$Y:$Y,$M204,Municipios!$BC:$BC,U$199),"N.D.")</f>
        <v>31.597225389006887</v>
      </c>
      <c r="V204" s="40" t="str">
        <f>IFERROR(AVERAGEIFS(Municipios!$U:$U,Municipios!$Y:$Y,$M204,Municipios!$BC:$BC,V$199),"N.D.")</f>
        <v>N.D.</v>
      </c>
      <c r="W204">
        <f>IFERROR(AVERAGEIFS(Municipios!$U:$U,Municipios!$Y:$Y,$J193),"N.D.")</f>
        <v>31.601413400094188</v>
      </c>
    </row>
    <row r="205" spans="1:23">
      <c r="A205" s="87">
        <v>4</v>
      </c>
      <c r="B205" s="41">
        <v>4</v>
      </c>
      <c r="C205" s="84">
        <f>+COUNTIFS(Municipios!$Y:$Y,$A205,Municipios!$BC:$BC,C$199)</f>
        <v>0</v>
      </c>
      <c r="D205" s="84">
        <f>+COUNTIFS(Municipios!$Y:$Y,$A205,Municipios!$BC:$BC,D$199)</f>
        <v>0</v>
      </c>
      <c r="E205" s="84">
        <f>+COUNTIFS(Municipios!$Y:$Y,$A205,Municipios!$BC:$BC,E$199)</f>
        <v>2</v>
      </c>
      <c r="F205" s="84">
        <f>+COUNTIFS(Municipios!$Y:$Y,$A205,Municipios!$BC:$BC,F$199)</f>
        <v>0</v>
      </c>
      <c r="G205" s="84">
        <f>+COUNTIFS(Municipios!$Y:$Y,$A205,Municipios!$BC:$BC,G$199)</f>
        <v>3</v>
      </c>
      <c r="H205" s="84">
        <f>+COUNTIFS(Municipios!$Y:$Y,$A205,Municipios!$BC:$BC,H$199)</f>
        <v>8</v>
      </c>
      <c r="I205" s="84">
        <f>+COUNTIFS(Municipios!$Y:$Y,$A205,Municipios!$BC:$BC,I$199)</f>
        <v>395</v>
      </c>
      <c r="J205" s="84">
        <f>+COUNTIFS(Municipios!$Y:$Y,$A205,Municipios!$BC:$BC,J$199)</f>
        <v>1</v>
      </c>
      <c r="K205" s="93">
        <f t="shared" si="21"/>
        <v>409</v>
      </c>
      <c r="M205" s="141">
        <v>4</v>
      </c>
      <c r="N205" s="41">
        <v>4</v>
      </c>
      <c r="O205" s="40" t="str">
        <f>IFERROR(AVERAGEIFS(Municipios!$U:$U,Municipios!$Y:$Y,$M205,Municipios!$BC:$BC,O$199),"N.D.")</f>
        <v>N.D.</v>
      </c>
      <c r="P205" s="40" t="str">
        <f>IFERROR(AVERAGEIFS(Municipios!$U:$U,Municipios!$Y:$Y,$M205,Municipios!$BC:$BC,P$199),"N.D.")</f>
        <v>N.D.</v>
      </c>
      <c r="Q205" s="40">
        <f>IFERROR(AVERAGEIFS(Municipios!$U:$U,Municipios!$Y:$Y,$M205,Municipios!$BC:$BC,Q$199),"N.D.")</f>
        <v>25.821146166955884</v>
      </c>
      <c r="R205" s="40" t="str">
        <f>IFERROR(AVERAGEIFS(Municipios!$U:$U,Municipios!$Y:$Y,$M205,Municipios!$BC:$BC,R$199),"N.D.")</f>
        <v>N.D.</v>
      </c>
      <c r="S205" s="40">
        <f>IFERROR(AVERAGEIFS(Municipios!$U:$U,Municipios!$Y:$Y,$M205,Municipios!$BC:$BC,S$199),"N.D.")</f>
        <v>24.576520173616171</v>
      </c>
      <c r="T205" s="40">
        <f>IFERROR(AVERAGEIFS(Municipios!$U:$U,Municipios!$Y:$Y,$M205,Municipios!$BC:$BC,T$199),"N.D.")</f>
        <v>25.656348424438232</v>
      </c>
      <c r="U205" s="40">
        <f>IFERROR(AVERAGEIFS(Municipios!$U:$U,Municipios!$Y:$Y,$M205,Municipios!$BC:$BC,U$199),"N.D.")</f>
        <v>25.099834009544409</v>
      </c>
      <c r="V205" s="40">
        <f>IFERROR(AVERAGEIFS(Municipios!$U:$U,Municipios!$Y:$Y,$M205,Municipios!$BC:$BC,V$199),"N.D.")</f>
        <v>23.349697247778646</v>
      </c>
      <c r="W205">
        <f>IFERROR(AVERAGEIFS(Municipios!$U:$U,Municipios!$Y:$Y,$J194),"N.D.")</f>
        <v>25.106129025105353</v>
      </c>
    </row>
    <row r="206" spans="1:23">
      <c r="A206" s="88">
        <v>5</v>
      </c>
      <c r="B206" s="139">
        <v>5</v>
      </c>
      <c r="C206" s="84">
        <f>+COUNTIFS(Municipios!$Y:$Y,$A206,Municipios!$BC:$BC,C$199)</f>
        <v>0</v>
      </c>
      <c r="D206" s="84">
        <f>+COUNTIFS(Municipios!$Y:$Y,$A206,Municipios!$BC:$BC,D$199)</f>
        <v>0</v>
      </c>
      <c r="E206" s="84">
        <f>+COUNTIFS(Municipios!$Y:$Y,$A206,Municipios!$BC:$BC,E$199)</f>
        <v>1</v>
      </c>
      <c r="F206" s="84">
        <f>+COUNTIFS(Municipios!$Y:$Y,$A206,Municipios!$BC:$BC,F$199)</f>
        <v>0</v>
      </c>
      <c r="G206" s="84">
        <f>+COUNTIFS(Municipios!$Y:$Y,$A206,Municipios!$BC:$BC,G$199)</f>
        <v>1</v>
      </c>
      <c r="H206" s="84">
        <f>+COUNTIFS(Municipios!$Y:$Y,$A206,Municipios!$BC:$BC,H$199)</f>
        <v>2</v>
      </c>
      <c r="I206" s="84">
        <f>+COUNTIFS(Municipios!$Y:$Y,$A206,Municipios!$BC:$BC,I$199)</f>
        <v>114</v>
      </c>
      <c r="J206" s="84">
        <f>+COUNTIFS(Municipios!$Y:$Y,$A206,Municipios!$BC:$BC,J$199)</f>
        <v>0</v>
      </c>
      <c r="K206" s="93">
        <f t="shared" si="21"/>
        <v>118</v>
      </c>
      <c r="M206" s="142">
        <v>5</v>
      </c>
      <c r="N206" s="139">
        <v>5</v>
      </c>
      <c r="O206" s="40" t="str">
        <f>IFERROR(AVERAGEIFS(Municipios!$U:$U,Municipios!$Y:$Y,$M206,Municipios!$BC:$BC,O$199),"N.D.")</f>
        <v>N.D.</v>
      </c>
      <c r="P206" s="40" t="str">
        <f>IFERROR(AVERAGEIFS(Municipios!$U:$U,Municipios!$Y:$Y,$M206,Municipios!$BC:$BC,P$199),"N.D.")</f>
        <v>N.D.</v>
      </c>
      <c r="Q206" s="40">
        <f>IFERROR(AVERAGEIFS(Municipios!$U:$U,Municipios!$Y:$Y,$M206,Municipios!$BC:$BC,Q$199),"N.D.")</f>
        <v>17.643921871904663</v>
      </c>
      <c r="R206" s="40" t="str">
        <f>IFERROR(AVERAGEIFS(Municipios!$U:$U,Municipios!$Y:$Y,$M206,Municipios!$BC:$BC,R$199),"N.D.")</f>
        <v>N.D.</v>
      </c>
      <c r="S206" s="40">
        <f>IFERROR(AVERAGEIFS(Municipios!$U:$U,Municipios!$Y:$Y,$M206,Municipios!$BC:$BC,S$199),"N.D.")</f>
        <v>11.979565378327575</v>
      </c>
      <c r="T206" s="40">
        <f>IFERROR(AVERAGEIFS(Municipios!$U:$U,Municipios!$Y:$Y,$M206,Municipios!$BC:$BC,T$199),"N.D.")</f>
        <v>16.532494912085596</v>
      </c>
      <c r="U206" s="40">
        <f>IFERROR(AVERAGEIFS(Municipios!$U:$U,Municipios!$Y:$Y,$M206,Municipios!$BC:$BC,U$199),"N.D.")</f>
        <v>16.814042214789389</v>
      </c>
      <c r="V206" s="40" t="str">
        <f>IFERROR(AVERAGEIFS(Municipios!$U:$U,Municipios!$Y:$Y,$M206,Municipios!$BC:$BC,V$199),"N.D.")</f>
        <v>N.D.</v>
      </c>
      <c r="W206">
        <f>IFERROR(AVERAGEIFS(Municipios!$U:$U,Municipios!$Y:$Y,$J195),"N.D.")</f>
        <v>16.775332962376218</v>
      </c>
    </row>
    <row r="207" spans="1:23">
      <c r="A207" s="58" t="s">
        <v>372</v>
      </c>
      <c r="B207" s="35"/>
      <c r="C207" s="89">
        <f t="shared" ref="C207:J207" si="22">+SUM(C200:C206)</f>
        <v>6</v>
      </c>
      <c r="D207" s="89">
        <f t="shared" si="22"/>
        <v>27</v>
      </c>
      <c r="E207" s="89">
        <f t="shared" si="22"/>
        <v>29</v>
      </c>
      <c r="F207" s="89">
        <f t="shared" si="22"/>
        <v>17</v>
      </c>
      <c r="G207" s="89">
        <f t="shared" si="22"/>
        <v>23</v>
      </c>
      <c r="H207" s="89">
        <f t="shared" si="22"/>
        <v>48</v>
      </c>
      <c r="I207" s="89">
        <f t="shared" si="22"/>
        <v>952</v>
      </c>
      <c r="J207" s="89">
        <f t="shared" si="22"/>
        <v>1</v>
      </c>
      <c r="K207" s="93">
        <f>+SUM(C207:J207)</f>
        <v>1103</v>
      </c>
      <c r="M207" s="118" t="s">
        <v>369</v>
      </c>
      <c r="N207" s="35"/>
      <c r="O207" s="35">
        <f>IFERROR(AVERAGEIFS(Municipios!$U:$U,Municipios!$BC:$BC,O$199),"N.D.")</f>
        <v>68.52043045717538</v>
      </c>
      <c r="P207" s="35">
        <f>IFERROR(AVERAGEIFS(Municipios!$U:$U,Municipios!$BC:$BC,P$199),"N.D.")</f>
        <v>53.500749591222288</v>
      </c>
      <c r="Q207" s="35">
        <f>IFERROR(AVERAGEIFS(Municipios!$U:$U,Municipios!$BC:$BC,Q$199),"N.D.")</f>
        <v>44.754679932335407</v>
      </c>
      <c r="R207" s="35">
        <f>IFERROR(AVERAGEIFS(Municipios!$U:$U,Municipios!$BC:$BC,R$199),"N.D.")</f>
        <v>42.199486458045577</v>
      </c>
      <c r="S207" s="35">
        <f>IFERROR(AVERAGEIFS(Municipios!$U:$U,Municipios!$BC:$BC,S$199),"N.D.")</f>
        <v>35.696968868093876</v>
      </c>
      <c r="T207" s="35">
        <f>IFERROR(AVERAGEIFS(Municipios!$U:$U,Municipios!$BC:$BC,T$199),"N.D.")</f>
        <v>35.371816138816712</v>
      </c>
      <c r="U207" s="35">
        <f>IFERROR(AVERAGEIFS(Municipios!$U:$U,Municipios!$BC:$BC,U$199),"N.D.")</f>
        <v>27.93420041795947</v>
      </c>
      <c r="V207" s="35">
        <f>IFERROR(AVERAGEIFS(Municipios!$U:$U,Municipios!$BC:$BC,V$199),"N.D.")</f>
        <v>23.349697247778646</v>
      </c>
      <c r="W207">
        <f>IFERROR(AVERAGE(Municipios!$U:$U),"N.D.")</f>
        <v>29.933542946815429</v>
      </c>
    </row>
    <row r="209" spans="1:9">
      <c r="A209" s="105"/>
    </row>
    <row r="210" spans="1:9">
      <c r="A210" s="105" t="s">
        <v>2945</v>
      </c>
    </row>
    <row r="211" spans="1:9">
      <c r="A211" s="105"/>
    </row>
    <row r="213" spans="1:9">
      <c r="A213" s="210" t="s">
        <v>2678</v>
      </c>
      <c r="B213" s="216"/>
      <c r="C213" s="216"/>
      <c r="D213" s="216"/>
      <c r="E213" s="216"/>
      <c r="F213" s="216"/>
    </row>
    <row r="214" spans="1:9">
      <c r="A214" s="216"/>
      <c r="B214" s="216"/>
      <c r="C214" s="216"/>
      <c r="D214" s="216"/>
      <c r="E214" s="216"/>
      <c r="F214" s="216"/>
    </row>
    <row r="215" spans="1:9">
      <c r="A215" s="296" t="s">
        <v>2922</v>
      </c>
      <c r="B215" s="296" t="s">
        <v>2679</v>
      </c>
    </row>
    <row r="216" spans="1:9">
      <c r="A216" s="296" t="s">
        <v>2658</v>
      </c>
      <c r="B216">
        <v>1</v>
      </c>
      <c r="C216">
        <v>2</v>
      </c>
      <c r="D216">
        <v>3</v>
      </c>
      <c r="E216">
        <v>4</v>
      </c>
      <c r="F216">
        <v>5</v>
      </c>
      <c r="G216" t="s">
        <v>370</v>
      </c>
      <c r="H216" t="s">
        <v>371</v>
      </c>
      <c r="I216" t="s">
        <v>2654</v>
      </c>
    </row>
    <row r="217" spans="1:9">
      <c r="A217" s="123" t="s">
        <v>2607</v>
      </c>
      <c r="F217">
        <v>2</v>
      </c>
      <c r="I217">
        <v>2</v>
      </c>
    </row>
    <row r="218" spans="1:9">
      <c r="A218" s="123" t="s">
        <v>436</v>
      </c>
      <c r="B218">
        <v>13</v>
      </c>
      <c r="C218">
        <v>11</v>
      </c>
      <c r="D218">
        <v>41</v>
      </c>
      <c r="E218">
        <v>50</v>
      </c>
      <c r="F218">
        <v>9</v>
      </c>
      <c r="H218">
        <v>1</v>
      </c>
      <c r="I218">
        <v>125</v>
      </c>
    </row>
    <row r="219" spans="1:9">
      <c r="A219" s="123" t="s">
        <v>1569</v>
      </c>
      <c r="D219">
        <v>1</v>
      </c>
      <c r="E219">
        <v>4</v>
      </c>
      <c r="F219">
        <v>2</v>
      </c>
      <c r="I219">
        <v>7</v>
      </c>
    </row>
    <row r="220" spans="1:9">
      <c r="A220" s="123" t="s">
        <v>2604</v>
      </c>
      <c r="E220">
        <v>1</v>
      </c>
      <c r="I220">
        <v>1</v>
      </c>
    </row>
    <row r="221" spans="1:9">
      <c r="A221" s="123" t="s">
        <v>443</v>
      </c>
      <c r="B221">
        <v>4</v>
      </c>
      <c r="C221">
        <v>7</v>
      </c>
      <c r="D221">
        <v>9</v>
      </c>
      <c r="E221">
        <v>2</v>
      </c>
      <c r="H221">
        <v>1</v>
      </c>
      <c r="I221">
        <v>23</v>
      </c>
    </row>
    <row r="222" spans="1:9">
      <c r="A222" s="123" t="s">
        <v>459</v>
      </c>
      <c r="G222">
        <v>1</v>
      </c>
      <c r="I222">
        <v>1</v>
      </c>
    </row>
    <row r="223" spans="1:9">
      <c r="A223" s="123" t="s">
        <v>481</v>
      </c>
      <c r="C223">
        <v>3</v>
      </c>
      <c r="D223">
        <v>9</v>
      </c>
      <c r="E223">
        <v>25</v>
      </c>
      <c r="F223">
        <v>8</v>
      </c>
      <c r="H223">
        <v>1</v>
      </c>
      <c r="I223">
        <v>46</v>
      </c>
    </row>
    <row r="224" spans="1:9">
      <c r="A224" s="123" t="s">
        <v>499</v>
      </c>
      <c r="B224">
        <v>3</v>
      </c>
      <c r="C224">
        <v>19</v>
      </c>
      <c r="D224">
        <v>38</v>
      </c>
      <c r="E224">
        <v>54</v>
      </c>
      <c r="F224">
        <v>9</v>
      </c>
      <c r="I224">
        <v>123</v>
      </c>
    </row>
    <row r="225" spans="1:9">
      <c r="A225" s="123" t="s">
        <v>507</v>
      </c>
      <c r="B225">
        <v>1</v>
      </c>
      <c r="C225">
        <v>8</v>
      </c>
      <c r="D225">
        <v>14</v>
      </c>
      <c r="E225">
        <v>3</v>
      </c>
      <c r="F225">
        <v>1</v>
      </c>
      <c r="I225">
        <v>27</v>
      </c>
    </row>
    <row r="226" spans="1:9">
      <c r="A226" s="123" t="s">
        <v>1464</v>
      </c>
      <c r="D226">
        <v>1</v>
      </c>
      <c r="E226">
        <v>5</v>
      </c>
      <c r="F226">
        <v>10</v>
      </c>
      <c r="I226">
        <v>16</v>
      </c>
    </row>
    <row r="227" spans="1:9">
      <c r="A227" s="123" t="s">
        <v>1352</v>
      </c>
      <c r="C227">
        <v>1</v>
      </c>
      <c r="D227">
        <v>3</v>
      </c>
      <c r="E227">
        <v>6</v>
      </c>
      <c r="F227">
        <v>9</v>
      </c>
      <c r="I227">
        <v>19</v>
      </c>
    </row>
    <row r="228" spans="1:9">
      <c r="A228" s="123" t="s">
        <v>558</v>
      </c>
      <c r="C228">
        <v>8</v>
      </c>
      <c r="D228">
        <v>16</v>
      </c>
      <c r="E228">
        <v>15</v>
      </c>
      <c r="F228">
        <v>3</v>
      </c>
      <c r="I228">
        <v>42</v>
      </c>
    </row>
    <row r="229" spans="1:9">
      <c r="A229" s="123" t="s">
        <v>894</v>
      </c>
      <c r="C229">
        <v>3</v>
      </c>
      <c r="D229">
        <v>11</v>
      </c>
      <c r="E229">
        <v>11</v>
      </c>
      <c r="I229">
        <v>25</v>
      </c>
    </row>
    <row r="230" spans="1:9">
      <c r="A230" s="123" t="s">
        <v>1715</v>
      </c>
      <c r="D230">
        <v>5</v>
      </c>
      <c r="E230">
        <v>18</v>
      </c>
      <c r="F230">
        <v>8</v>
      </c>
      <c r="I230">
        <v>31</v>
      </c>
    </row>
    <row r="231" spans="1:9">
      <c r="A231" s="123" t="s">
        <v>568</v>
      </c>
      <c r="C231">
        <v>5</v>
      </c>
      <c r="D231">
        <v>15</v>
      </c>
      <c r="E231">
        <v>10</v>
      </c>
      <c r="I231">
        <v>30</v>
      </c>
    </row>
    <row r="232" spans="1:9">
      <c r="A232" s="123" t="s">
        <v>462</v>
      </c>
      <c r="B232">
        <v>14</v>
      </c>
      <c r="C232">
        <v>34</v>
      </c>
      <c r="D232">
        <v>45</v>
      </c>
      <c r="E232">
        <v>21</v>
      </c>
      <c r="F232">
        <v>2</v>
      </c>
      <c r="I232">
        <v>116</v>
      </c>
    </row>
    <row r="233" spans="1:9">
      <c r="A233" s="123" t="s">
        <v>2587</v>
      </c>
      <c r="F233">
        <v>2</v>
      </c>
      <c r="I233">
        <v>2</v>
      </c>
    </row>
    <row r="234" spans="1:9">
      <c r="A234" s="123" t="s">
        <v>2543</v>
      </c>
      <c r="F234">
        <v>4</v>
      </c>
      <c r="I234">
        <v>4</v>
      </c>
    </row>
    <row r="235" spans="1:9">
      <c r="A235" s="123" t="s">
        <v>677</v>
      </c>
      <c r="C235">
        <v>5</v>
      </c>
      <c r="D235">
        <v>20</v>
      </c>
      <c r="E235">
        <v>11</v>
      </c>
      <c r="F235">
        <v>1</v>
      </c>
      <c r="I235">
        <v>37</v>
      </c>
    </row>
    <row r="236" spans="1:9">
      <c r="A236" s="123" t="s">
        <v>934</v>
      </c>
      <c r="C236">
        <v>3</v>
      </c>
      <c r="D236">
        <v>10</v>
      </c>
      <c r="E236">
        <v>2</v>
      </c>
      <c r="I236">
        <v>15</v>
      </c>
    </row>
    <row r="237" spans="1:9">
      <c r="A237" s="123" t="s">
        <v>639</v>
      </c>
      <c r="C237">
        <v>1</v>
      </c>
      <c r="D237">
        <v>9</v>
      </c>
      <c r="E237">
        <v>15</v>
      </c>
      <c r="F237">
        <v>5</v>
      </c>
      <c r="I237">
        <v>30</v>
      </c>
    </row>
    <row r="238" spans="1:9">
      <c r="A238" s="123" t="s">
        <v>606</v>
      </c>
      <c r="C238">
        <v>3</v>
      </c>
      <c r="D238">
        <v>4</v>
      </c>
      <c r="E238">
        <v>10</v>
      </c>
      <c r="F238">
        <v>12</v>
      </c>
      <c r="I238">
        <v>29</v>
      </c>
    </row>
    <row r="239" spans="1:9">
      <c r="A239" s="123" t="s">
        <v>673</v>
      </c>
      <c r="C239">
        <v>3</v>
      </c>
      <c r="D239">
        <v>27</v>
      </c>
      <c r="E239">
        <v>27</v>
      </c>
      <c r="F239">
        <v>7</v>
      </c>
      <c r="I239">
        <v>64</v>
      </c>
    </row>
    <row r="240" spans="1:9">
      <c r="A240" s="123" t="s">
        <v>518</v>
      </c>
      <c r="B240">
        <v>3</v>
      </c>
      <c r="C240">
        <v>3</v>
      </c>
      <c r="D240">
        <v>13</v>
      </c>
      <c r="E240">
        <v>21</v>
      </c>
      <c r="I240">
        <v>40</v>
      </c>
    </row>
    <row r="241" spans="1:37">
      <c r="A241" s="123" t="s">
        <v>944</v>
      </c>
      <c r="D241">
        <v>2</v>
      </c>
      <c r="E241">
        <v>7</v>
      </c>
      <c r="F241">
        <v>4</v>
      </c>
      <c r="I241">
        <v>13</v>
      </c>
    </row>
    <row r="242" spans="1:37">
      <c r="A242" s="123" t="s">
        <v>474</v>
      </c>
      <c r="B242">
        <v>1</v>
      </c>
      <c r="C242">
        <v>6</v>
      </c>
      <c r="D242">
        <v>3</v>
      </c>
      <c r="E242">
        <v>2</v>
      </c>
      <c r="I242">
        <v>12</v>
      </c>
    </row>
    <row r="243" spans="1:37">
      <c r="A243" s="123" t="s">
        <v>468</v>
      </c>
      <c r="B243">
        <v>3</v>
      </c>
      <c r="C243">
        <v>2</v>
      </c>
      <c r="D243">
        <v>8</v>
      </c>
      <c r="E243">
        <v>1</v>
      </c>
      <c r="I243">
        <v>14</v>
      </c>
    </row>
    <row r="244" spans="1:37">
      <c r="A244" s="123" t="s">
        <v>432</v>
      </c>
      <c r="B244">
        <v>2</v>
      </c>
      <c r="C244">
        <v>10</v>
      </c>
      <c r="D244">
        <v>26</v>
      </c>
      <c r="E244">
        <v>44</v>
      </c>
      <c r="F244">
        <v>4</v>
      </c>
      <c r="H244">
        <v>1</v>
      </c>
      <c r="I244">
        <v>87</v>
      </c>
    </row>
    <row r="245" spans="1:37">
      <c r="A245" s="123" t="s">
        <v>495</v>
      </c>
      <c r="C245">
        <v>4</v>
      </c>
      <c r="D245">
        <v>5</v>
      </c>
      <c r="E245">
        <v>14</v>
      </c>
      <c r="F245">
        <v>3</v>
      </c>
      <c r="I245">
        <v>26</v>
      </c>
    </row>
    <row r="246" spans="1:37">
      <c r="A246" s="123" t="s">
        <v>596</v>
      </c>
      <c r="B246">
        <v>1</v>
      </c>
      <c r="C246">
        <v>5</v>
      </c>
      <c r="D246">
        <v>10</v>
      </c>
      <c r="E246">
        <v>25</v>
      </c>
      <c r="F246">
        <v>6</v>
      </c>
      <c r="I246">
        <v>47</v>
      </c>
    </row>
    <row r="247" spans="1:37">
      <c r="A247" s="123" t="s">
        <v>455</v>
      </c>
      <c r="B247">
        <v>4</v>
      </c>
      <c r="C247">
        <v>9</v>
      </c>
      <c r="D247">
        <v>23</v>
      </c>
      <c r="E247">
        <v>5</v>
      </c>
      <c r="H247">
        <v>1</v>
      </c>
      <c r="I247">
        <v>42</v>
      </c>
    </row>
    <row r="248" spans="1:37">
      <c r="A248" s="123" t="s">
        <v>2570</v>
      </c>
      <c r="F248">
        <v>3</v>
      </c>
      <c r="I248">
        <v>3</v>
      </c>
    </row>
    <row r="249" spans="1:37">
      <c r="A249" s="123" t="s">
        <v>2576</v>
      </c>
      <c r="F249">
        <v>4</v>
      </c>
      <c r="I249">
        <v>4</v>
      </c>
    </row>
    <row r="250" spans="1:37">
      <c r="A250" s="123" t="s">
        <v>2654</v>
      </c>
      <c r="B250">
        <v>49</v>
      </c>
      <c r="C250">
        <v>153</v>
      </c>
      <c r="D250">
        <v>368</v>
      </c>
      <c r="E250">
        <v>409</v>
      </c>
      <c r="F250">
        <v>118</v>
      </c>
      <c r="G250">
        <v>1</v>
      </c>
      <c r="H250">
        <v>5</v>
      </c>
      <c r="I250">
        <v>1103</v>
      </c>
    </row>
    <row r="251" spans="1:37">
      <c r="A251" s="216"/>
      <c r="B251" s="216"/>
      <c r="C251" s="216"/>
      <c r="D251" s="216"/>
      <c r="E251" s="216"/>
      <c r="F251" s="216"/>
    </row>
    <row r="253" spans="1:37">
      <c r="A253" t="s">
        <v>2922</v>
      </c>
      <c r="B253" t="s">
        <v>2679</v>
      </c>
    </row>
    <row r="254" spans="1:37">
      <c r="A254" s="8" t="s">
        <v>2658</v>
      </c>
      <c r="B254" s="18" t="s">
        <v>370</v>
      </c>
      <c r="C254" s="18" t="s">
        <v>2663</v>
      </c>
      <c r="D254" s="18">
        <v>1</v>
      </c>
      <c r="E254" s="18">
        <v>2</v>
      </c>
      <c r="F254" s="18">
        <v>3</v>
      </c>
      <c r="G254" s="18">
        <v>4</v>
      </c>
      <c r="H254" s="18">
        <v>5</v>
      </c>
      <c r="I254" s="18" t="s">
        <v>2654</v>
      </c>
      <c r="J254" s="297"/>
      <c r="K254" s="8" t="s">
        <v>399</v>
      </c>
      <c r="L254" s="18" t="s">
        <v>370</v>
      </c>
      <c r="M254" s="18" t="s">
        <v>2663</v>
      </c>
      <c r="N254" s="18">
        <v>1</v>
      </c>
      <c r="O254" s="18">
        <v>2</v>
      </c>
      <c r="P254" s="18">
        <v>3</v>
      </c>
      <c r="Q254" s="18">
        <v>4</v>
      </c>
      <c r="R254" s="18">
        <v>5</v>
      </c>
      <c r="S254" s="18" t="s">
        <v>369</v>
      </c>
      <c r="V254" s="33"/>
      <c r="W254" s="33"/>
      <c r="X254" s="33"/>
      <c r="Y254" s="33"/>
      <c r="Z254" s="33"/>
      <c r="AA254" s="33"/>
      <c r="AB254" s="33"/>
      <c r="AC254" s="33"/>
    </row>
    <row r="255" spans="1:37">
      <c r="A255" s="8" t="s">
        <v>2607</v>
      </c>
      <c r="B255" s="18"/>
      <c r="C255" s="18"/>
      <c r="D255" s="18"/>
      <c r="E255" s="18"/>
      <c r="F255" s="18"/>
      <c r="G255" s="18"/>
      <c r="H255" s="18">
        <v>2</v>
      </c>
      <c r="I255" s="18">
        <v>2</v>
      </c>
      <c r="J255" s="297"/>
      <c r="K255" s="8" t="s">
        <v>2607</v>
      </c>
      <c r="L255" s="126">
        <f t="shared" ref="L255:L288" si="23">B255/$I255</f>
        <v>0</v>
      </c>
      <c r="M255" s="126">
        <f t="shared" ref="M255:M288" si="24">C255/$I255</f>
        <v>0</v>
      </c>
      <c r="N255" s="126">
        <f t="shared" ref="N255:N288" si="25">D255/$I255</f>
        <v>0</v>
      </c>
      <c r="O255" s="126">
        <f t="shared" ref="O255:O288" si="26">E255/$I255</f>
        <v>0</v>
      </c>
      <c r="P255" s="126">
        <f t="shared" ref="P255:P288" si="27">F255/$I255</f>
        <v>0</v>
      </c>
      <c r="Q255" s="126">
        <f t="shared" ref="Q255:Q288" si="28">G255/$I255</f>
        <v>0</v>
      </c>
      <c r="R255" s="126">
        <f t="shared" ref="R255:R288" si="29">H255/$I255</f>
        <v>1</v>
      </c>
      <c r="S255" s="128">
        <f t="shared" ref="S255:S288" si="30">I255/$I255</f>
        <v>1</v>
      </c>
      <c r="V255" s="303"/>
      <c r="W255" s="303"/>
      <c r="X255" s="303"/>
      <c r="Y255" s="303"/>
      <c r="Z255" s="303"/>
      <c r="AA255" s="303"/>
      <c r="AB255" s="303"/>
      <c r="AC255" s="303"/>
      <c r="AK255" s="127"/>
    </row>
    <row r="256" spans="1:37">
      <c r="A256" s="8" t="s">
        <v>436</v>
      </c>
      <c r="B256" s="18"/>
      <c r="C256" s="18">
        <v>1</v>
      </c>
      <c r="D256" s="18">
        <v>13</v>
      </c>
      <c r="E256" s="18">
        <v>11</v>
      </c>
      <c r="F256" s="18">
        <v>41</v>
      </c>
      <c r="G256" s="18">
        <v>50</v>
      </c>
      <c r="H256" s="18">
        <v>9</v>
      </c>
      <c r="I256" s="18">
        <v>125</v>
      </c>
      <c r="J256" s="297"/>
      <c r="K256" s="8" t="s">
        <v>436</v>
      </c>
      <c r="L256" s="126">
        <f t="shared" si="23"/>
        <v>0</v>
      </c>
      <c r="M256" s="126">
        <f t="shared" si="24"/>
        <v>8.0000000000000002E-3</v>
      </c>
      <c r="N256" s="126">
        <f t="shared" si="25"/>
        <v>0.104</v>
      </c>
      <c r="O256" s="126">
        <f t="shared" si="26"/>
        <v>8.7999999999999995E-2</v>
      </c>
      <c r="P256" s="126">
        <f t="shared" si="27"/>
        <v>0.32800000000000001</v>
      </c>
      <c r="Q256" s="126">
        <f t="shared" si="28"/>
        <v>0.4</v>
      </c>
      <c r="R256" s="126">
        <f t="shared" si="29"/>
        <v>7.1999999999999995E-2</v>
      </c>
      <c r="S256" s="128">
        <f t="shared" si="30"/>
        <v>1</v>
      </c>
      <c r="V256" s="303"/>
      <c r="W256" s="303"/>
      <c r="X256" s="303"/>
      <c r="Y256" s="303"/>
      <c r="Z256" s="303"/>
      <c r="AA256" s="303"/>
      <c r="AB256" s="303"/>
      <c r="AC256" s="303"/>
      <c r="AK256" s="127"/>
    </row>
    <row r="257" spans="1:37">
      <c r="A257" s="8" t="s">
        <v>1569</v>
      </c>
      <c r="B257" s="18"/>
      <c r="C257" s="18"/>
      <c r="D257" s="18"/>
      <c r="E257" s="18"/>
      <c r="F257" s="18">
        <v>1</v>
      </c>
      <c r="G257" s="18">
        <v>4</v>
      </c>
      <c r="H257" s="18">
        <v>2</v>
      </c>
      <c r="I257" s="18">
        <v>7</v>
      </c>
      <c r="J257" s="297"/>
      <c r="K257" s="8" t="s">
        <v>1569</v>
      </c>
      <c r="L257" s="126">
        <f t="shared" si="23"/>
        <v>0</v>
      </c>
      <c r="M257" s="126">
        <f t="shared" si="24"/>
        <v>0</v>
      </c>
      <c r="N257" s="126">
        <f t="shared" si="25"/>
        <v>0</v>
      </c>
      <c r="O257" s="126">
        <f t="shared" si="26"/>
        <v>0</v>
      </c>
      <c r="P257" s="126">
        <f t="shared" si="27"/>
        <v>0.14285714285714285</v>
      </c>
      <c r="Q257" s="126">
        <f t="shared" si="28"/>
        <v>0.5714285714285714</v>
      </c>
      <c r="R257" s="126">
        <f t="shared" si="29"/>
        <v>0.2857142857142857</v>
      </c>
      <c r="S257" s="128">
        <f t="shared" si="30"/>
        <v>1</v>
      </c>
      <c r="V257" s="303"/>
      <c r="W257" s="303"/>
      <c r="X257" s="303"/>
      <c r="Y257" s="303"/>
      <c r="Z257" s="303"/>
      <c r="AA257" s="303"/>
      <c r="AB257" s="303"/>
      <c r="AC257" s="303"/>
      <c r="AK257" s="127"/>
    </row>
    <row r="258" spans="1:37">
      <c r="A258" s="8" t="s">
        <v>2604</v>
      </c>
      <c r="B258" s="18"/>
      <c r="C258" s="18"/>
      <c r="D258" s="18"/>
      <c r="E258" s="18"/>
      <c r="F258" s="18"/>
      <c r="G258" s="18">
        <v>1</v>
      </c>
      <c r="H258" s="18"/>
      <c r="I258" s="18">
        <v>1</v>
      </c>
      <c r="J258" s="297"/>
      <c r="K258" s="8" t="s">
        <v>2604</v>
      </c>
      <c r="L258" s="126">
        <f t="shared" si="23"/>
        <v>0</v>
      </c>
      <c r="M258" s="126">
        <f t="shared" si="24"/>
        <v>0</v>
      </c>
      <c r="N258" s="126">
        <f t="shared" si="25"/>
        <v>0</v>
      </c>
      <c r="O258" s="126">
        <f t="shared" si="26"/>
        <v>0</v>
      </c>
      <c r="P258" s="126">
        <f t="shared" si="27"/>
        <v>0</v>
      </c>
      <c r="Q258" s="126">
        <f t="shared" si="28"/>
        <v>1</v>
      </c>
      <c r="R258" s="126">
        <f t="shared" si="29"/>
        <v>0</v>
      </c>
      <c r="S258" s="128">
        <f t="shared" si="30"/>
        <v>1</v>
      </c>
      <c r="V258" s="303"/>
      <c r="W258" s="303"/>
      <c r="X258" s="303"/>
      <c r="Y258" s="303"/>
      <c r="Z258" s="303"/>
      <c r="AA258" s="303"/>
      <c r="AB258" s="303"/>
      <c r="AC258" s="303"/>
      <c r="AK258" s="127"/>
    </row>
    <row r="259" spans="1:37">
      <c r="A259" s="8" t="s">
        <v>443</v>
      </c>
      <c r="B259" s="18"/>
      <c r="C259" s="18">
        <v>1</v>
      </c>
      <c r="D259" s="18">
        <v>4</v>
      </c>
      <c r="E259" s="18">
        <v>7</v>
      </c>
      <c r="F259" s="18">
        <v>9</v>
      </c>
      <c r="G259" s="18">
        <v>2</v>
      </c>
      <c r="H259" s="18"/>
      <c r="I259" s="18">
        <v>23</v>
      </c>
      <c r="J259" s="297"/>
      <c r="K259" s="8" t="s">
        <v>443</v>
      </c>
      <c r="L259" s="126">
        <f t="shared" si="23"/>
        <v>0</v>
      </c>
      <c r="M259" s="126">
        <f t="shared" si="24"/>
        <v>4.3478260869565216E-2</v>
      </c>
      <c r="N259" s="126">
        <f t="shared" si="25"/>
        <v>0.17391304347826086</v>
      </c>
      <c r="O259" s="126">
        <f t="shared" si="26"/>
        <v>0.30434782608695654</v>
      </c>
      <c r="P259" s="126">
        <f t="shared" si="27"/>
        <v>0.39130434782608697</v>
      </c>
      <c r="Q259" s="126">
        <f t="shared" si="28"/>
        <v>8.6956521739130432E-2</v>
      </c>
      <c r="R259" s="126">
        <f t="shared" si="29"/>
        <v>0</v>
      </c>
      <c r="S259" s="128">
        <f t="shared" si="30"/>
        <v>1</v>
      </c>
      <c r="V259" s="303"/>
      <c r="W259" s="303"/>
      <c r="X259" s="303"/>
      <c r="Y259" s="303"/>
      <c r="Z259" s="303"/>
      <c r="AA259" s="303"/>
      <c r="AB259" s="303"/>
      <c r="AC259" s="303"/>
      <c r="AK259" s="127"/>
    </row>
    <row r="260" spans="1:37">
      <c r="A260" s="8" t="s">
        <v>459</v>
      </c>
      <c r="B260" s="18">
        <v>1</v>
      </c>
      <c r="C260" s="18"/>
      <c r="D260" s="18"/>
      <c r="E260" s="18"/>
      <c r="F260" s="18"/>
      <c r="G260" s="18"/>
      <c r="H260" s="18"/>
      <c r="I260" s="18">
        <v>1</v>
      </c>
      <c r="J260" s="297"/>
      <c r="K260" s="8" t="s">
        <v>459</v>
      </c>
      <c r="L260" s="126">
        <f t="shared" si="23"/>
        <v>1</v>
      </c>
      <c r="M260" s="126">
        <f t="shared" si="24"/>
        <v>0</v>
      </c>
      <c r="N260" s="126">
        <f t="shared" si="25"/>
        <v>0</v>
      </c>
      <c r="O260" s="126">
        <f t="shared" si="26"/>
        <v>0</v>
      </c>
      <c r="P260" s="126">
        <f t="shared" si="27"/>
        <v>0</v>
      </c>
      <c r="Q260" s="126">
        <f t="shared" si="28"/>
        <v>0</v>
      </c>
      <c r="R260" s="126">
        <f t="shared" si="29"/>
        <v>0</v>
      </c>
      <c r="S260" s="128">
        <f t="shared" si="30"/>
        <v>1</v>
      </c>
      <c r="V260" s="303"/>
      <c r="W260" s="303"/>
      <c r="X260" s="303"/>
      <c r="Y260" s="303"/>
      <c r="Z260" s="303"/>
      <c r="AA260" s="303"/>
      <c r="AB260" s="303"/>
      <c r="AC260" s="303"/>
      <c r="AK260" s="127"/>
    </row>
    <row r="261" spans="1:37">
      <c r="A261" s="8" t="s">
        <v>481</v>
      </c>
      <c r="B261" s="18"/>
      <c r="C261" s="18">
        <v>1</v>
      </c>
      <c r="D261" s="18"/>
      <c r="E261" s="18">
        <v>3</v>
      </c>
      <c r="F261" s="18">
        <v>9</v>
      </c>
      <c r="G261" s="18">
        <v>25</v>
      </c>
      <c r="H261" s="18">
        <v>8</v>
      </c>
      <c r="I261" s="18">
        <v>46</v>
      </c>
      <c r="J261" s="297"/>
      <c r="K261" s="8" t="s">
        <v>481</v>
      </c>
      <c r="L261" s="126">
        <f t="shared" si="23"/>
        <v>0</v>
      </c>
      <c r="M261" s="126">
        <f t="shared" si="24"/>
        <v>2.1739130434782608E-2</v>
      </c>
      <c r="N261" s="126">
        <f t="shared" si="25"/>
        <v>0</v>
      </c>
      <c r="O261" s="126">
        <f t="shared" si="26"/>
        <v>6.5217391304347824E-2</v>
      </c>
      <c r="P261" s="126">
        <f t="shared" si="27"/>
        <v>0.19565217391304349</v>
      </c>
      <c r="Q261" s="126">
        <f t="shared" si="28"/>
        <v>0.54347826086956519</v>
      </c>
      <c r="R261" s="126">
        <f t="shared" si="29"/>
        <v>0.17391304347826086</v>
      </c>
      <c r="S261" s="128">
        <f t="shared" si="30"/>
        <v>1</v>
      </c>
      <c r="V261" s="303"/>
      <c r="W261" s="303"/>
      <c r="X261" s="303"/>
      <c r="Y261" s="303"/>
      <c r="Z261" s="303"/>
      <c r="AA261" s="303"/>
      <c r="AB261" s="303"/>
      <c r="AC261" s="303"/>
      <c r="AK261" s="127"/>
    </row>
    <row r="262" spans="1:37">
      <c r="A262" s="8" t="s">
        <v>499</v>
      </c>
      <c r="B262" s="18"/>
      <c r="C262" s="18"/>
      <c r="D262" s="18">
        <v>3</v>
      </c>
      <c r="E262" s="18">
        <v>19</v>
      </c>
      <c r="F262" s="18">
        <v>38</v>
      </c>
      <c r="G262" s="18">
        <v>54</v>
      </c>
      <c r="H262" s="18">
        <v>9</v>
      </c>
      <c r="I262" s="18">
        <v>123</v>
      </c>
      <c r="J262" s="297"/>
      <c r="K262" s="8" t="s">
        <v>499</v>
      </c>
      <c r="L262" s="126">
        <f t="shared" si="23"/>
        <v>0</v>
      </c>
      <c r="M262" s="126">
        <f t="shared" si="24"/>
        <v>0</v>
      </c>
      <c r="N262" s="126">
        <f t="shared" si="25"/>
        <v>2.4390243902439025E-2</v>
      </c>
      <c r="O262" s="126">
        <f t="shared" si="26"/>
        <v>0.15447154471544716</v>
      </c>
      <c r="P262" s="126">
        <f t="shared" si="27"/>
        <v>0.30894308943089432</v>
      </c>
      <c r="Q262" s="126">
        <f t="shared" si="28"/>
        <v>0.43902439024390244</v>
      </c>
      <c r="R262" s="126">
        <f t="shared" si="29"/>
        <v>7.3170731707317069E-2</v>
      </c>
      <c r="S262" s="128">
        <f t="shared" si="30"/>
        <v>1</v>
      </c>
      <c r="V262" s="303"/>
      <c r="W262" s="303"/>
      <c r="X262" s="303"/>
      <c r="Y262" s="303"/>
      <c r="Z262" s="303"/>
      <c r="AA262" s="303"/>
      <c r="AB262" s="303"/>
      <c r="AC262" s="303"/>
      <c r="AK262" s="127"/>
    </row>
    <row r="263" spans="1:37">
      <c r="A263" s="8" t="s">
        <v>507</v>
      </c>
      <c r="B263" s="18"/>
      <c r="C263" s="18"/>
      <c r="D263" s="18">
        <v>1</v>
      </c>
      <c r="E263" s="18">
        <v>8</v>
      </c>
      <c r="F263" s="18">
        <v>14</v>
      </c>
      <c r="G263" s="18">
        <v>3</v>
      </c>
      <c r="H263" s="18">
        <v>1</v>
      </c>
      <c r="I263" s="18">
        <v>27</v>
      </c>
      <c r="J263" s="297"/>
      <c r="K263" s="8" t="s">
        <v>507</v>
      </c>
      <c r="L263" s="126">
        <f t="shared" si="23"/>
        <v>0</v>
      </c>
      <c r="M263" s="126">
        <f t="shared" si="24"/>
        <v>0</v>
      </c>
      <c r="N263" s="126">
        <f t="shared" si="25"/>
        <v>3.7037037037037035E-2</v>
      </c>
      <c r="O263" s="126">
        <f t="shared" si="26"/>
        <v>0.29629629629629628</v>
      </c>
      <c r="P263" s="126">
        <f t="shared" si="27"/>
        <v>0.51851851851851849</v>
      </c>
      <c r="Q263" s="126">
        <f t="shared" si="28"/>
        <v>0.1111111111111111</v>
      </c>
      <c r="R263" s="126">
        <f t="shared" si="29"/>
        <v>3.7037037037037035E-2</v>
      </c>
      <c r="S263" s="128">
        <f t="shared" si="30"/>
        <v>1</v>
      </c>
      <c r="V263" s="303"/>
      <c r="W263" s="303"/>
      <c r="X263" s="303"/>
      <c r="Y263" s="303"/>
      <c r="Z263" s="303"/>
      <c r="AA263" s="303"/>
      <c r="AB263" s="303"/>
      <c r="AC263" s="303"/>
      <c r="AK263" s="127"/>
    </row>
    <row r="264" spans="1:37">
      <c r="A264" s="8" t="s">
        <v>1464</v>
      </c>
      <c r="B264" s="18"/>
      <c r="C264" s="18"/>
      <c r="D264" s="18"/>
      <c r="E264" s="18"/>
      <c r="F264" s="18">
        <v>1</v>
      </c>
      <c r="G264" s="18">
        <v>5</v>
      </c>
      <c r="H264" s="18">
        <v>10</v>
      </c>
      <c r="I264" s="18">
        <v>16</v>
      </c>
      <c r="J264" s="297"/>
      <c r="K264" s="8" t="s">
        <v>1464</v>
      </c>
      <c r="L264" s="126">
        <f t="shared" si="23"/>
        <v>0</v>
      </c>
      <c r="M264" s="126">
        <f t="shared" si="24"/>
        <v>0</v>
      </c>
      <c r="N264" s="126">
        <f t="shared" si="25"/>
        <v>0</v>
      </c>
      <c r="O264" s="126">
        <f t="shared" si="26"/>
        <v>0</v>
      </c>
      <c r="P264" s="126">
        <f t="shared" si="27"/>
        <v>6.25E-2</v>
      </c>
      <c r="Q264" s="126">
        <f t="shared" si="28"/>
        <v>0.3125</v>
      </c>
      <c r="R264" s="126">
        <f t="shared" si="29"/>
        <v>0.625</v>
      </c>
      <c r="S264" s="128">
        <f t="shared" si="30"/>
        <v>1</v>
      </c>
      <c r="V264" s="303"/>
      <c r="W264" s="303"/>
      <c r="X264" s="303"/>
      <c r="Y264" s="303"/>
      <c r="Z264" s="303"/>
      <c r="AA264" s="303"/>
      <c r="AB264" s="303"/>
      <c r="AC264" s="303"/>
      <c r="AK264" s="127"/>
    </row>
    <row r="265" spans="1:37">
      <c r="A265" s="8" t="s">
        <v>1352</v>
      </c>
      <c r="B265" s="18"/>
      <c r="C265" s="18"/>
      <c r="D265" s="18"/>
      <c r="E265" s="18">
        <v>1</v>
      </c>
      <c r="F265" s="18">
        <v>3</v>
      </c>
      <c r="G265" s="18">
        <v>6</v>
      </c>
      <c r="H265" s="18">
        <v>9</v>
      </c>
      <c r="I265" s="18">
        <v>19</v>
      </c>
      <c r="J265" s="297"/>
      <c r="K265" s="8" t="s">
        <v>1352</v>
      </c>
      <c r="L265" s="126">
        <f t="shared" si="23"/>
        <v>0</v>
      </c>
      <c r="M265" s="126">
        <f t="shared" si="24"/>
        <v>0</v>
      </c>
      <c r="N265" s="126">
        <f t="shared" si="25"/>
        <v>0</v>
      </c>
      <c r="O265" s="126">
        <f t="shared" si="26"/>
        <v>5.2631578947368418E-2</v>
      </c>
      <c r="P265" s="126">
        <f t="shared" si="27"/>
        <v>0.15789473684210525</v>
      </c>
      <c r="Q265" s="126">
        <f t="shared" si="28"/>
        <v>0.31578947368421051</v>
      </c>
      <c r="R265" s="126">
        <f t="shared" si="29"/>
        <v>0.47368421052631576</v>
      </c>
      <c r="S265" s="128">
        <f t="shared" si="30"/>
        <v>1</v>
      </c>
      <c r="V265" s="303"/>
      <c r="W265" s="303"/>
      <c r="X265" s="303"/>
      <c r="Y265" s="303"/>
      <c r="Z265" s="303"/>
      <c r="AA265" s="303"/>
      <c r="AB265" s="303"/>
      <c r="AC265" s="303"/>
      <c r="AK265" s="127"/>
    </row>
    <row r="266" spans="1:37">
      <c r="A266" s="8" t="s">
        <v>558</v>
      </c>
      <c r="B266" s="18"/>
      <c r="C266" s="18"/>
      <c r="D266" s="18"/>
      <c r="E266" s="18">
        <v>8</v>
      </c>
      <c r="F266" s="18">
        <v>16</v>
      </c>
      <c r="G266" s="18">
        <v>15</v>
      </c>
      <c r="H266" s="18">
        <v>3</v>
      </c>
      <c r="I266" s="18">
        <v>42</v>
      </c>
      <c r="J266" s="297"/>
      <c r="K266" s="8" t="s">
        <v>558</v>
      </c>
      <c r="L266" s="126">
        <f t="shared" si="23"/>
        <v>0</v>
      </c>
      <c r="M266" s="126">
        <f t="shared" si="24"/>
        <v>0</v>
      </c>
      <c r="N266" s="126">
        <f t="shared" si="25"/>
        <v>0</v>
      </c>
      <c r="O266" s="126">
        <f t="shared" si="26"/>
        <v>0.19047619047619047</v>
      </c>
      <c r="P266" s="126">
        <f t="shared" si="27"/>
        <v>0.38095238095238093</v>
      </c>
      <c r="Q266" s="126">
        <f t="shared" si="28"/>
        <v>0.35714285714285715</v>
      </c>
      <c r="R266" s="126">
        <f t="shared" si="29"/>
        <v>7.1428571428571425E-2</v>
      </c>
      <c r="S266" s="128">
        <f t="shared" si="30"/>
        <v>1</v>
      </c>
      <c r="V266" s="303"/>
      <c r="W266" s="303"/>
      <c r="X266" s="303"/>
      <c r="Y266" s="303"/>
      <c r="Z266" s="303"/>
      <c r="AA266" s="303"/>
      <c r="AB266" s="303"/>
      <c r="AC266" s="303"/>
      <c r="AK266" s="127"/>
    </row>
    <row r="267" spans="1:37">
      <c r="A267" s="8" t="s">
        <v>894</v>
      </c>
      <c r="B267" s="18"/>
      <c r="C267" s="18"/>
      <c r="D267" s="18"/>
      <c r="E267" s="18">
        <v>3</v>
      </c>
      <c r="F267" s="18">
        <v>11</v>
      </c>
      <c r="G267" s="18">
        <v>11</v>
      </c>
      <c r="H267" s="18"/>
      <c r="I267" s="18">
        <v>25</v>
      </c>
      <c r="J267" s="297"/>
      <c r="K267" s="8" t="s">
        <v>894</v>
      </c>
      <c r="L267" s="126">
        <f t="shared" si="23"/>
        <v>0</v>
      </c>
      <c r="M267" s="126">
        <f t="shared" si="24"/>
        <v>0</v>
      </c>
      <c r="N267" s="126">
        <f t="shared" si="25"/>
        <v>0</v>
      </c>
      <c r="O267" s="126">
        <f t="shared" si="26"/>
        <v>0.12</v>
      </c>
      <c r="P267" s="126">
        <f t="shared" si="27"/>
        <v>0.44</v>
      </c>
      <c r="Q267" s="126">
        <f t="shared" si="28"/>
        <v>0.44</v>
      </c>
      <c r="R267" s="126">
        <f t="shared" si="29"/>
        <v>0</v>
      </c>
      <c r="S267" s="128">
        <f t="shared" si="30"/>
        <v>1</v>
      </c>
      <c r="V267" s="303"/>
      <c r="W267" s="303"/>
      <c r="X267" s="303"/>
      <c r="Y267" s="303"/>
      <c r="Z267" s="303"/>
      <c r="AA267" s="303"/>
      <c r="AB267" s="303"/>
      <c r="AC267" s="303"/>
      <c r="AK267" s="127"/>
    </row>
    <row r="268" spans="1:37">
      <c r="A268" s="8" t="s">
        <v>1715</v>
      </c>
      <c r="B268" s="18"/>
      <c r="C268" s="18"/>
      <c r="D268" s="18"/>
      <c r="E268" s="18"/>
      <c r="F268" s="18">
        <v>5</v>
      </c>
      <c r="G268" s="18">
        <v>18</v>
      </c>
      <c r="H268" s="18">
        <v>8</v>
      </c>
      <c r="I268" s="18">
        <v>31</v>
      </c>
      <c r="J268" s="297"/>
      <c r="K268" s="8" t="s">
        <v>1715</v>
      </c>
      <c r="L268" s="126">
        <f t="shared" si="23"/>
        <v>0</v>
      </c>
      <c r="M268" s="126">
        <f t="shared" si="24"/>
        <v>0</v>
      </c>
      <c r="N268" s="126">
        <f t="shared" si="25"/>
        <v>0</v>
      </c>
      <c r="O268" s="126">
        <f t="shared" si="26"/>
        <v>0</v>
      </c>
      <c r="P268" s="126">
        <f t="shared" si="27"/>
        <v>0.16129032258064516</v>
      </c>
      <c r="Q268" s="126">
        <f t="shared" si="28"/>
        <v>0.58064516129032262</v>
      </c>
      <c r="R268" s="126">
        <f t="shared" si="29"/>
        <v>0.25806451612903225</v>
      </c>
      <c r="S268" s="128">
        <f t="shared" si="30"/>
        <v>1</v>
      </c>
      <c r="V268" s="303"/>
      <c r="W268" s="303"/>
      <c r="X268" s="303"/>
      <c r="Y268" s="303"/>
      <c r="Z268" s="303"/>
      <c r="AA268" s="303"/>
      <c r="AB268" s="303"/>
      <c r="AC268" s="303"/>
      <c r="AK268" s="127"/>
    </row>
    <row r="269" spans="1:37">
      <c r="A269" s="8" t="s">
        <v>568</v>
      </c>
      <c r="B269" s="18"/>
      <c r="C269" s="18"/>
      <c r="D269" s="18"/>
      <c r="E269" s="18">
        <v>5</v>
      </c>
      <c r="F269" s="18">
        <v>15</v>
      </c>
      <c r="G269" s="18">
        <v>10</v>
      </c>
      <c r="H269" s="18"/>
      <c r="I269" s="18">
        <v>30</v>
      </c>
      <c r="J269" s="297"/>
      <c r="K269" s="8" t="s">
        <v>568</v>
      </c>
      <c r="L269" s="126">
        <f t="shared" si="23"/>
        <v>0</v>
      </c>
      <c r="M269" s="126">
        <f t="shared" si="24"/>
        <v>0</v>
      </c>
      <c r="N269" s="126">
        <f t="shared" si="25"/>
        <v>0</v>
      </c>
      <c r="O269" s="126">
        <f t="shared" si="26"/>
        <v>0.16666666666666666</v>
      </c>
      <c r="P269" s="126">
        <f t="shared" si="27"/>
        <v>0.5</v>
      </c>
      <c r="Q269" s="126">
        <f t="shared" si="28"/>
        <v>0.33333333333333331</v>
      </c>
      <c r="R269" s="126">
        <f t="shared" si="29"/>
        <v>0</v>
      </c>
      <c r="S269" s="128">
        <f t="shared" si="30"/>
        <v>1</v>
      </c>
      <c r="V269" s="303"/>
      <c r="W269" s="303"/>
      <c r="X269" s="303"/>
      <c r="Y269" s="303"/>
      <c r="Z269" s="303"/>
      <c r="AA269" s="303"/>
      <c r="AB269" s="303"/>
      <c r="AC269" s="303"/>
      <c r="AK269" s="127"/>
    </row>
    <row r="270" spans="1:37">
      <c r="A270" s="8" t="s">
        <v>462</v>
      </c>
      <c r="B270" s="18"/>
      <c r="C270" s="18"/>
      <c r="D270" s="18">
        <v>14</v>
      </c>
      <c r="E270" s="18">
        <v>34</v>
      </c>
      <c r="F270" s="18">
        <v>45</v>
      </c>
      <c r="G270" s="18">
        <v>21</v>
      </c>
      <c r="H270" s="18">
        <v>2</v>
      </c>
      <c r="I270" s="18">
        <v>116</v>
      </c>
      <c r="J270" s="297"/>
      <c r="K270" s="8" t="s">
        <v>462</v>
      </c>
      <c r="L270" s="126">
        <f t="shared" si="23"/>
        <v>0</v>
      </c>
      <c r="M270" s="126">
        <f t="shared" si="24"/>
        <v>0</v>
      </c>
      <c r="N270" s="126">
        <f t="shared" si="25"/>
        <v>0.1206896551724138</v>
      </c>
      <c r="O270" s="126">
        <f t="shared" si="26"/>
        <v>0.29310344827586204</v>
      </c>
      <c r="P270" s="126">
        <f t="shared" si="27"/>
        <v>0.38793103448275862</v>
      </c>
      <c r="Q270" s="126">
        <f t="shared" si="28"/>
        <v>0.18103448275862069</v>
      </c>
      <c r="R270" s="126">
        <f t="shared" si="29"/>
        <v>1.7241379310344827E-2</v>
      </c>
      <c r="S270" s="128">
        <f t="shared" si="30"/>
        <v>1</v>
      </c>
      <c r="V270" s="303"/>
      <c r="W270" s="303"/>
      <c r="X270" s="303"/>
      <c r="Y270" s="303"/>
      <c r="Z270" s="303"/>
      <c r="AA270" s="303"/>
      <c r="AB270" s="303"/>
      <c r="AC270" s="303"/>
      <c r="AK270" s="127"/>
    </row>
    <row r="271" spans="1:37">
      <c r="A271" s="8" t="s">
        <v>2587</v>
      </c>
      <c r="B271" s="18"/>
      <c r="C271" s="18"/>
      <c r="D271" s="18"/>
      <c r="E271" s="18"/>
      <c r="F271" s="18"/>
      <c r="G271" s="18"/>
      <c r="H271" s="18">
        <v>2</v>
      </c>
      <c r="I271" s="18">
        <v>2</v>
      </c>
      <c r="J271" s="297"/>
      <c r="K271" s="8" t="s">
        <v>2587</v>
      </c>
      <c r="L271" s="126">
        <f t="shared" si="23"/>
        <v>0</v>
      </c>
      <c r="M271" s="126">
        <f t="shared" si="24"/>
        <v>0</v>
      </c>
      <c r="N271" s="126">
        <f t="shared" si="25"/>
        <v>0</v>
      </c>
      <c r="O271" s="126">
        <f t="shared" si="26"/>
        <v>0</v>
      </c>
      <c r="P271" s="126">
        <f t="shared" si="27"/>
        <v>0</v>
      </c>
      <c r="Q271" s="126">
        <f t="shared" si="28"/>
        <v>0</v>
      </c>
      <c r="R271" s="126">
        <f t="shared" si="29"/>
        <v>1</v>
      </c>
      <c r="S271" s="128">
        <f t="shared" si="30"/>
        <v>1</v>
      </c>
      <c r="V271" s="303"/>
      <c r="W271" s="303"/>
      <c r="X271" s="303"/>
      <c r="Y271" s="303"/>
      <c r="Z271" s="303"/>
      <c r="AA271" s="303"/>
      <c r="AB271" s="303"/>
      <c r="AC271" s="303"/>
      <c r="AK271" s="127"/>
    </row>
    <row r="272" spans="1:37">
      <c r="A272" s="8" t="s">
        <v>2543</v>
      </c>
      <c r="B272" s="18"/>
      <c r="C272" s="18"/>
      <c r="D272" s="18"/>
      <c r="E272" s="18"/>
      <c r="F272" s="18"/>
      <c r="G272" s="18"/>
      <c r="H272" s="18">
        <v>4</v>
      </c>
      <c r="I272" s="18">
        <v>4</v>
      </c>
      <c r="J272" s="297"/>
      <c r="K272" s="8" t="s">
        <v>2543</v>
      </c>
      <c r="L272" s="126">
        <f t="shared" si="23"/>
        <v>0</v>
      </c>
      <c r="M272" s="126">
        <f t="shared" si="24"/>
        <v>0</v>
      </c>
      <c r="N272" s="126">
        <f t="shared" si="25"/>
        <v>0</v>
      </c>
      <c r="O272" s="126">
        <f t="shared" si="26"/>
        <v>0</v>
      </c>
      <c r="P272" s="126">
        <f t="shared" si="27"/>
        <v>0</v>
      </c>
      <c r="Q272" s="126">
        <f t="shared" si="28"/>
        <v>0</v>
      </c>
      <c r="R272" s="126">
        <f t="shared" si="29"/>
        <v>1</v>
      </c>
      <c r="S272" s="128">
        <f t="shared" si="30"/>
        <v>1</v>
      </c>
      <c r="V272" s="303"/>
      <c r="W272" s="303"/>
      <c r="X272" s="303"/>
      <c r="Y272" s="303"/>
      <c r="Z272" s="303"/>
      <c r="AA272" s="303"/>
      <c r="AB272" s="303"/>
      <c r="AC272" s="303"/>
      <c r="AK272" s="127"/>
    </row>
    <row r="273" spans="1:37">
      <c r="A273" s="8" t="s">
        <v>677</v>
      </c>
      <c r="B273" s="18"/>
      <c r="C273" s="18"/>
      <c r="D273" s="18"/>
      <c r="E273" s="18">
        <v>5</v>
      </c>
      <c r="F273" s="18">
        <v>20</v>
      </c>
      <c r="G273" s="18">
        <v>11</v>
      </c>
      <c r="H273" s="18">
        <v>1</v>
      </c>
      <c r="I273" s="18">
        <v>37</v>
      </c>
      <c r="J273" s="297"/>
      <c r="K273" s="8" t="s">
        <v>677</v>
      </c>
      <c r="L273" s="126">
        <f t="shared" si="23"/>
        <v>0</v>
      </c>
      <c r="M273" s="126">
        <f t="shared" si="24"/>
        <v>0</v>
      </c>
      <c r="N273" s="126">
        <f t="shared" si="25"/>
        <v>0</v>
      </c>
      <c r="O273" s="126">
        <f t="shared" si="26"/>
        <v>0.13513513513513514</v>
      </c>
      <c r="P273" s="126">
        <f t="shared" si="27"/>
        <v>0.54054054054054057</v>
      </c>
      <c r="Q273" s="126">
        <f t="shared" si="28"/>
        <v>0.29729729729729731</v>
      </c>
      <c r="R273" s="126">
        <f t="shared" si="29"/>
        <v>2.7027027027027029E-2</v>
      </c>
      <c r="S273" s="128">
        <f t="shared" si="30"/>
        <v>1</v>
      </c>
      <c r="V273" s="303"/>
      <c r="W273" s="303"/>
      <c r="X273" s="303"/>
      <c r="Y273" s="303"/>
      <c r="Z273" s="303"/>
      <c r="AA273" s="303"/>
      <c r="AB273" s="303"/>
      <c r="AC273" s="303"/>
      <c r="AK273" s="127"/>
    </row>
    <row r="274" spans="1:37">
      <c r="A274" s="8" t="s">
        <v>934</v>
      </c>
      <c r="B274" s="18"/>
      <c r="C274" s="18"/>
      <c r="D274" s="18"/>
      <c r="E274" s="18">
        <v>3</v>
      </c>
      <c r="F274" s="18">
        <v>10</v>
      </c>
      <c r="G274" s="18">
        <v>2</v>
      </c>
      <c r="H274" s="18"/>
      <c r="I274" s="18">
        <v>15</v>
      </c>
      <c r="J274" s="297"/>
      <c r="K274" s="8" t="s">
        <v>934</v>
      </c>
      <c r="L274" s="126">
        <f t="shared" si="23"/>
        <v>0</v>
      </c>
      <c r="M274" s="126">
        <f t="shared" si="24"/>
        <v>0</v>
      </c>
      <c r="N274" s="126">
        <f t="shared" si="25"/>
        <v>0</v>
      </c>
      <c r="O274" s="126">
        <f t="shared" si="26"/>
        <v>0.2</v>
      </c>
      <c r="P274" s="126">
        <f t="shared" si="27"/>
        <v>0.66666666666666663</v>
      </c>
      <c r="Q274" s="126">
        <f t="shared" si="28"/>
        <v>0.13333333333333333</v>
      </c>
      <c r="R274" s="126">
        <f t="shared" si="29"/>
        <v>0</v>
      </c>
      <c r="S274" s="128">
        <f t="shared" si="30"/>
        <v>1</v>
      </c>
      <c r="V274" s="303"/>
      <c r="W274" s="303"/>
      <c r="X274" s="303"/>
      <c r="Y274" s="303"/>
      <c r="Z274" s="303"/>
      <c r="AA274" s="303"/>
      <c r="AB274" s="303"/>
      <c r="AC274" s="303"/>
      <c r="AK274" s="127"/>
    </row>
    <row r="275" spans="1:37">
      <c r="A275" s="8" t="s">
        <v>639</v>
      </c>
      <c r="B275" s="18"/>
      <c r="C275" s="18"/>
      <c r="D275" s="18"/>
      <c r="E275" s="18">
        <v>1</v>
      </c>
      <c r="F275" s="18">
        <v>9</v>
      </c>
      <c r="G275" s="18">
        <v>15</v>
      </c>
      <c r="H275" s="18">
        <v>5</v>
      </c>
      <c r="I275" s="18">
        <v>30</v>
      </c>
      <c r="J275" s="297"/>
      <c r="K275" s="8" t="s">
        <v>639</v>
      </c>
      <c r="L275" s="126">
        <f t="shared" si="23"/>
        <v>0</v>
      </c>
      <c r="M275" s="126">
        <f t="shared" si="24"/>
        <v>0</v>
      </c>
      <c r="N275" s="126">
        <f t="shared" si="25"/>
        <v>0</v>
      </c>
      <c r="O275" s="126">
        <f t="shared" si="26"/>
        <v>3.3333333333333333E-2</v>
      </c>
      <c r="P275" s="126">
        <f t="shared" si="27"/>
        <v>0.3</v>
      </c>
      <c r="Q275" s="126">
        <f t="shared" si="28"/>
        <v>0.5</v>
      </c>
      <c r="R275" s="126">
        <f t="shared" si="29"/>
        <v>0.16666666666666666</v>
      </c>
      <c r="S275" s="128">
        <f t="shared" si="30"/>
        <v>1</v>
      </c>
      <c r="V275" s="303"/>
      <c r="W275" s="303"/>
      <c r="X275" s="303"/>
      <c r="Y275" s="303"/>
      <c r="Z275" s="303"/>
      <c r="AA275" s="303"/>
      <c r="AB275" s="303"/>
      <c r="AC275" s="303"/>
      <c r="AK275" s="127"/>
    </row>
    <row r="276" spans="1:37">
      <c r="A276" s="8" t="s">
        <v>606</v>
      </c>
      <c r="B276" s="18"/>
      <c r="C276" s="18"/>
      <c r="D276" s="18"/>
      <c r="E276" s="18">
        <v>3</v>
      </c>
      <c r="F276" s="18">
        <v>4</v>
      </c>
      <c r="G276" s="18">
        <v>10</v>
      </c>
      <c r="H276" s="18">
        <v>12</v>
      </c>
      <c r="I276" s="18">
        <v>29</v>
      </c>
      <c r="J276" s="297"/>
      <c r="K276" s="8" t="s">
        <v>606</v>
      </c>
      <c r="L276" s="126">
        <f t="shared" si="23"/>
        <v>0</v>
      </c>
      <c r="M276" s="126">
        <f t="shared" si="24"/>
        <v>0</v>
      </c>
      <c r="N276" s="126">
        <f t="shared" si="25"/>
        <v>0</v>
      </c>
      <c r="O276" s="126">
        <f t="shared" si="26"/>
        <v>0.10344827586206896</v>
      </c>
      <c r="P276" s="126">
        <f t="shared" si="27"/>
        <v>0.13793103448275862</v>
      </c>
      <c r="Q276" s="126">
        <f t="shared" si="28"/>
        <v>0.34482758620689657</v>
      </c>
      <c r="R276" s="126">
        <f t="shared" si="29"/>
        <v>0.41379310344827586</v>
      </c>
      <c r="S276" s="128">
        <f t="shared" si="30"/>
        <v>1</v>
      </c>
      <c r="V276" s="303"/>
      <c r="W276" s="303"/>
      <c r="X276" s="303"/>
      <c r="Y276" s="303"/>
      <c r="Z276" s="303"/>
      <c r="AA276" s="303"/>
      <c r="AB276" s="303"/>
      <c r="AC276" s="303"/>
      <c r="AK276" s="127"/>
    </row>
    <row r="277" spans="1:37">
      <c r="A277" s="8" t="s">
        <v>673</v>
      </c>
      <c r="B277" s="18"/>
      <c r="C277" s="18"/>
      <c r="D277" s="18"/>
      <c r="E277" s="18">
        <v>3</v>
      </c>
      <c r="F277" s="18">
        <v>27</v>
      </c>
      <c r="G277" s="18">
        <v>27</v>
      </c>
      <c r="H277" s="18">
        <v>7</v>
      </c>
      <c r="I277" s="18">
        <v>64</v>
      </c>
      <c r="J277" s="297"/>
      <c r="K277" s="8" t="s">
        <v>673</v>
      </c>
      <c r="L277" s="126">
        <f t="shared" si="23"/>
        <v>0</v>
      </c>
      <c r="M277" s="126">
        <f t="shared" si="24"/>
        <v>0</v>
      </c>
      <c r="N277" s="126">
        <f t="shared" si="25"/>
        <v>0</v>
      </c>
      <c r="O277" s="126">
        <f t="shared" si="26"/>
        <v>4.6875E-2</v>
      </c>
      <c r="P277" s="126">
        <f t="shared" si="27"/>
        <v>0.421875</v>
      </c>
      <c r="Q277" s="126">
        <f t="shared" si="28"/>
        <v>0.421875</v>
      </c>
      <c r="R277" s="126">
        <f t="shared" si="29"/>
        <v>0.109375</v>
      </c>
      <c r="S277" s="128">
        <f t="shared" si="30"/>
        <v>1</v>
      </c>
      <c r="V277" s="303"/>
      <c r="W277" s="303"/>
      <c r="X277" s="303"/>
      <c r="Y277" s="303"/>
      <c r="Z277" s="303"/>
      <c r="AA277" s="303"/>
      <c r="AB277" s="303"/>
      <c r="AC277" s="303"/>
      <c r="AK277" s="127"/>
    </row>
    <row r="278" spans="1:37">
      <c r="A278" s="8" t="s">
        <v>518</v>
      </c>
      <c r="B278" s="18"/>
      <c r="C278" s="18"/>
      <c r="D278" s="18">
        <v>3</v>
      </c>
      <c r="E278" s="18">
        <v>3</v>
      </c>
      <c r="F278" s="18">
        <v>13</v>
      </c>
      <c r="G278" s="18">
        <v>21</v>
      </c>
      <c r="H278" s="18"/>
      <c r="I278" s="18">
        <v>40</v>
      </c>
      <c r="J278" s="297"/>
      <c r="K278" s="8" t="s">
        <v>518</v>
      </c>
      <c r="L278" s="126">
        <f t="shared" si="23"/>
        <v>0</v>
      </c>
      <c r="M278" s="126">
        <f t="shared" si="24"/>
        <v>0</v>
      </c>
      <c r="N278" s="126">
        <f t="shared" si="25"/>
        <v>7.4999999999999997E-2</v>
      </c>
      <c r="O278" s="126">
        <f t="shared" si="26"/>
        <v>7.4999999999999997E-2</v>
      </c>
      <c r="P278" s="126">
        <f t="shared" si="27"/>
        <v>0.32500000000000001</v>
      </c>
      <c r="Q278" s="126">
        <f t="shared" si="28"/>
        <v>0.52500000000000002</v>
      </c>
      <c r="R278" s="126">
        <f t="shared" si="29"/>
        <v>0</v>
      </c>
      <c r="S278" s="128">
        <f t="shared" si="30"/>
        <v>1</v>
      </c>
      <c r="V278" s="303"/>
      <c r="W278" s="303"/>
      <c r="X278" s="303"/>
      <c r="Y278" s="303"/>
      <c r="Z278" s="303"/>
      <c r="AA278" s="303"/>
      <c r="AB278" s="303"/>
      <c r="AC278" s="303"/>
      <c r="AK278" s="127"/>
    </row>
    <row r="279" spans="1:37">
      <c r="A279" s="8" t="s">
        <v>944</v>
      </c>
      <c r="B279" s="18"/>
      <c r="C279" s="18"/>
      <c r="D279" s="18"/>
      <c r="E279" s="18"/>
      <c r="F279" s="18">
        <v>2</v>
      </c>
      <c r="G279" s="18">
        <v>7</v>
      </c>
      <c r="H279" s="18">
        <v>4</v>
      </c>
      <c r="I279" s="18">
        <v>13</v>
      </c>
      <c r="J279" s="297"/>
      <c r="K279" s="8" t="s">
        <v>944</v>
      </c>
      <c r="L279" s="126">
        <f t="shared" si="23"/>
        <v>0</v>
      </c>
      <c r="M279" s="126">
        <f t="shared" si="24"/>
        <v>0</v>
      </c>
      <c r="N279" s="126">
        <f t="shared" si="25"/>
        <v>0</v>
      </c>
      <c r="O279" s="126">
        <f t="shared" si="26"/>
        <v>0</v>
      </c>
      <c r="P279" s="126">
        <f t="shared" si="27"/>
        <v>0.15384615384615385</v>
      </c>
      <c r="Q279" s="126">
        <f t="shared" si="28"/>
        <v>0.53846153846153844</v>
      </c>
      <c r="R279" s="126">
        <f t="shared" si="29"/>
        <v>0.30769230769230771</v>
      </c>
      <c r="S279" s="128">
        <f t="shared" si="30"/>
        <v>1</v>
      </c>
      <c r="V279" s="303"/>
      <c r="W279" s="303"/>
      <c r="X279" s="303"/>
      <c r="Y279" s="303"/>
      <c r="Z279" s="303"/>
      <c r="AA279" s="303"/>
      <c r="AB279" s="303"/>
      <c r="AC279" s="303"/>
      <c r="AK279" s="127"/>
    </row>
    <row r="280" spans="1:37">
      <c r="A280" s="8" t="s">
        <v>474</v>
      </c>
      <c r="B280" s="18"/>
      <c r="C280" s="18"/>
      <c r="D280" s="18">
        <v>1</v>
      </c>
      <c r="E280" s="18">
        <v>6</v>
      </c>
      <c r="F280" s="18">
        <v>3</v>
      </c>
      <c r="G280" s="18">
        <v>2</v>
      </c>
      <c r="H280" s="18"/>
      <c r="I280" s="18">
        <v>12</v>
      </c>
      <c r="J280" s="297"/>
      <c r="K280" s="8" t="s">
        <v>474</v>
      </c>
      <c r="L280" s="126">
        <f t="shared" si="23"/>
        <v>0</v>
      </c>
      <c r="M280" s="126">
        <f t="shared" si="24"/>
        <v>0</v>
      </c>
      <c r="N280" s="126">
        <f t="shared" si="25"/>
        <v>8.3333333333333329E-2</v>
      </c>
      <c r="O280" s="126">
        <f t="shared" si="26"/>
        <v>0.5</v>
      </c>
      <c r="P280" s="126">
        <f t="shared" si="27"/>
        <v>0.25</v>
      </c>
      <c r="Q280" s="126">
        <f t="shared" si="28"/>
        <v>0.16666666666666666</v>
      </c>
      <c r="R280" s="126">
        <f t="shared" si="29"/>
        <v>0</v>
      </c>
      <c r="S280" s="128">
        <f t="shared" si="30"/>
        <v>1</v>
      </c>
      <c r="V280" s="303"/>
      <c r="W280" s="303"/>
      <c r="X280" s="303"/>
      <c r="Y280" s="303"/>
      <c r="Z280" s="303"/>
      <c r="AA280" s="303"/>
      <c r="AB280" s="303"/>
      <c r="AC280" s="303"/>
      <c r="AK280" s="127"/>
    </row>
    <row r="281" spans="1:37">
      <c r="A281" s="8" t="s">
        <v>468</v>
      </c>
      <c r="B281" s="18"/>
      <c r="C281" s="18"/>
      <c r="D281" s="18">
        <v>3</v>
      </c>
      <c r="E281" s="18">
        <v>2</v>
      </c>
      <c r="F281" s="18">
        <v>8</v>
      </c>
      <c r="G281" s="18">
        <v>1</v>
      </c>
      <c r="H281" s="18"/>
      <c r="I281" s="18">
        <v>14</v>
      </c>
      <c r="J281" s="297"/>
      <c r="K281" s="8" t="s">
        <v>468</v>
      </c>
      <c r="L281" s="126">
        <f t="shared" si="23"/>
        <v>0</v>
      </c>
      <c r="M281" s="126">
        <f t="shared" si="24"/>
        <v>0</v>
      </c>
      <c r="N281" s="126">
        <f t="shared" si="25"/>
        <v>0.21428571428571427</v>
      </c>
      <c r="O281" s="126">
        <f t="shared" si="26"/>
        <v>0.14285714285714285</v>
      </c>
      <c r="P281" s="126">
        <f t="shared" si="27"/>
        <v>0.5714285714285714</v>
      </c>
      <c r="Q281" s="126">
        <f t="shared" si="28"/>
        <v>7.1428571428571425E-2</v>
      </c>
      <c r="R281" s="126">
        <f t="shared" si="29"/>
        <v>0</v>
      </c>
      <c r="S281" s="128">
        <f t="shared" si="30"/>
        <v>1</v>
      </c>
      <c r="V281" s="303"/>
      <c r="W281" s="303"/>
      <c r="X281" s="303"/>
      <c r="Y281" s="303"/>
      <c r="Z281" s="303"/>
      <c r="AA281" s="303"/>
      <c r="AB281" s="303"/>
      <c r="AC281" s="303"/>
      <c r="AK281" s="127"/>
    </row>
    <row r="282" spans="1:37">
      <c r="A282" s="8" t="s">
        <v>432</v>
      </c>
      <c r="B282" s="18"/>
      <c r="C282" s="18">
        <v>1</v>
      </c>
      <c r="D282" s="18">
        <v>2</v>
      </c>
      <c r="E282" s="18">
        <v>10</v>
      </c>
      <c r="F282" s="18">
        <v>26</v>
      </c>
      <c r="G282" s="18">
        <v>44</v>
      </c>
      <c r="H282" s="18">
        <v>4</v>
      </c>
      <c r="I282" s="18">
        <v>87</v>
      </c>
      <c r="J282" s="297"/>
      <c r="K282" s="8" t="s">
        <v>432</v>
      </c>
      <c r="L282" s="126">
        <f t="shared" si="23"/>
        <v>0</v>
      </c>
      <c r="M282" s="126">
        <f t="shared" si="24"/>
        <v>1.1494252873563218E-2</v>
      </c>
      <c r="N282" s="126">
        <f t="shared" si="25"/>
        <v>2.2988505747126436E-2</v>
      </c>
      <c r="O282" s="126">
        <f t="shared" si="26"/>
        <v>0.11494252873563218</v>
      </c>
      <c r="P282" s="126">
        <f t="shared" si="27"/>
        <v>0.2988505747126437</v>
      </c>
      <c r="Q282" s="126">
        <f t="shared" si="28"/>
        <v>0.50574712643678166</v>
      </c>
      <c r="R282" s="126">
        <f t="shared" si="29"/>
        <v>4.5977011494252873E-2</v>
      </c>
      <c r="S282" s="128">
        <f t="shared" si="30"/>
        <v>1</v>
      </c>
      <c r="V282" s="303"/>
      <c r="W282" s="303"/>
      <c r="X282" s="303"/>
      <c r="Y282" s="303"/>
      <c r="Z282" s="303"/>
      <c r="AA282" s="303"/>
      <c r="AB282" s="303"/>
      <c r="AC282" s="303"/>
    </row>
    <row r="283" spans="1:37">
      <c r="A283" s="8" t="s">
        <v>495</v>
      </c>
      <c r="B283" s="18"/>
      <c r="C283" s="18"/>
      <c r="D283" s="18"/>
      <c r="E283" s="18">
        <v>4</v>
      </c>
      <c r="F283" s="18">
        <v>5</v>
      </c>
      <c r="G283" s="18">
        <v>14</v>
      </c>
      <c r="H283" s="18">
        <v>3</v>
      </c>
      <c r="I283" s="18">
        <v>26</v>
      </c>
      <c r="J283" s="297"/>
      <c r="K283" s="8" t="s">
        <v>495</v>
      </c>
      <c r="L283" s="126">
        <f t="shared" si="23"/>
        <v>0</v>
      </c>
      <c r="M283" s="126">
        <f t="shared" si="24"/>
        <v>0</v>
      </c>
      <c r="N283" s="126">
        <f t="shared" si="25"/>
        <v>0</v>
      </c>
      <c r="O283" s="126">
        <f t="shared" si="26"/>
        <v>0.15384615384615385</v>
      </c>
      <c r="P283" s="126">
        <f t="shared" si="27"/>
        <v>0.19230769230769232</v>
      </c>
      <c r="Q283" s="126">
        <f t="shared" si="28"/>
        <v>0.53846153846153844</v>
      </c>
      <c r="R283" s="126">
        <f t="shared" si="29"/>
        <v>0.11538461538461539</v>
      </c>
      <c r="S283" s="128">
        <f t="shared" si="30"/>
        <v>1</v>
      </c>
      <c r="V283" s="303"/>
      <c r="W283" s="303"/>
      <c r="X283" s="303"/>
      <c r="Y283" s="303"/>
      <c r="Z283" s="303"/>
      <c r="AA283" s="303"/>
      <c r="AB283" s="303"/>
      <c r="AC283" s="303"/>
      <c r="AK283" s="127"/>
    </row>
    <row r="284" spans="1:37">
      <c r="A284" s="8" t="s">
        <v>596</v>
      </c>
      <c r="B284" s="18"/>
      <c r="C284" s="18"/>
      <c r="D284" s="18">
        <v>1</v>
      </c>
      <c r="E284" s="18">
        <v>5</v>
      </c>
      <c r="F284" s="18">
        <v>10</v>
      </c>
      <c r="G284" s="18">
        <v>25</v>
      </c>
      <c r="H284" s="18">
        <v>6</v>
      </c>
      <c r="I284" s="18">
        <v>47</v>
      </c>
      <c r="J284" s="297"/>
      <c r="K284" s="8" t="s">
        <v>596</v>
      </c>
      <c r="L284" s="126">
        <f t="shared" si="23"/>
        <v>0</v>
      </c>
      <c r="M284" s="126">
        <f t="shared" si="24"/>
        <v>0</v>
      </c>
      <c r="N284" s="126">
        <f t="shared" si="25"/>
        <v>2.1276595744680851E-2</v>
      </c>
      <c r="O284" s="126">
        <f t="shared" si="26"/>
        <v>0.10638297872340426</v>
      </c>
      <c r="P284" s="126">
        <f t="shared" si="27"/>
        <v>0.21276595744680851</v>
      </c>
      <c r="Q284" s="126">
        <f t="shared" si="28"/>
        <v>0.53191489361702127</v>
      </c>
      <c r="R284" s="126">
        <f t="shared" si="29"/>
        <v>0.1276595744680851</v>
      </c>
      <c r="S284" s="128">
        <f t="shared" si="30"/>
        <v>1</v>
      </c>
      <c r="V284" s="303"/>
      <c r="W284" s="303"/>
      <c r="X284" s="303"/>
      <c r="Y284" s="303"/>
      <c r="Z284" s="303"/>
      <c r="AA284" s="303"/>
      <c r="AB284" s="303"/>
      <c r="AC284" s="303"/>
      <c r="AK284" s="127"/>
    </row>
    <row r="285" spans="1:37">
      <c r="A285" s="8" t="s">
        <v>455</v>
      </c>
      <c r="B285" s="18"/>
      <c r="C285" s="18">
        <v>1</v>
      </c>
      <c r="D285" s="18">
        <v>4</v>
      </c>
      <c r="E285" s="18">
        <v>9</v>
      </c>
      <c r="F285" s="18">
        <v>23</v>
      </c>
      <c r="G285" s="18">
        <v>5</v>
      </c>
      <c r="H285" s="18"/>
      <c r="I285" s="18">
        <v>42</v>
      </c>
      <c r="J285" s="297"/>
      <c r="K285" s="8" t="s">
        <v>455</v>
      </c>
      <c r="L285" s="126">
        <f t="shared" si="23"/>
        <v>0</v>
      </c>
      <c r="M285" s="126">
        <f t="shared" si="24"/>
        <v>2.3809523809523808E-2</v>
      </c>
      <c r="N285" s="126">
        <f t="shared" si="25"/>
        <v>9.5238095238095233E-2</v>
      </c>
      <c r="O285" s="126">
        <f t="shared" si="26"/>
        <v>0.21428571428571427</v>
      </c>
      <c r="P285" s="126">
        <f t="shared" si="27"/>
        <v>0.54761904761904767</v>
      </c>
      <c r="Q285" s="126">
        <f t="shared" si="28"/>
        <v>0.11904761904761904</v>
      </c>
      <c r="R285" s="126">
        <f t="shared" si="29"/>
        <v>0</v>
      </c>
      <c r="S285" s="128">
        <f t="shared" si="30"/>
        <v>1</v>
      </c>
      <c r="V285" s="303"/>
      <c r="W285" s="303"/>
      <c r="X285" s="303"/>
      <c r="Y285" s="303"/>
      <c r="Z285" s="303"/>
      <c r="AA285" s="303"/>
      <c r="AB285" s="303"/>
      <c r="AC285" s="303"/>
      <c r="AK285" s="127"/>
    </row>
    <row r="286" spans="1:37">
      <c r="A286" s="8" t="s">
        <v>2570</v>
      </c>
      <c r="B286" s="18"/>
      <c r="C286" s="18"/>
      <c r="D286" s="18"/>
      <c r="E286" s="18"/>
      <c r="F286" s="18"/>
      <c r="G286" s="18"/>
      <c r="H286" s="18">
        <v>3</v>
      </c>
      <c r="I286" s="18">
        <v>3</v>
      </c>
      <c r="J286" s="297"/>
      <c r="K286" s="8" t="s">
        <v>2570</v>
      </c>
      <c r="L286" s="126">
        <f t="shared" si="23"/>
        <v>0</v>
      </c>
      <c r="M286" s="126">
        <f t="shared" si="24"/>
        <v>0</v>
      </c>
      <c r="N286" s="126">
        <f t="shared" si="25"/>
        <v>0</v>
      </c>
      <c r="O286" s="126">
        <f t="shared" si="26"/>
        <v>0</v>
      </c>
      <c r="P286" s="126">
        <f t="shared" si="27"/>
        <v>0</v>
      </c>
      <c r="Q286" s="126">
        <f t="shared" si="28"/>
        <v>0</v>
      </c>
      <c r="R286" s="126">
        <f t="shared" si="29"/>
        <v>1</v>
      </c>
      <c r="S286" s="128">
        <f t="shared" si="30"/>
        <v>1</v>
      </c>
      <c r="V286" s="303"/>
      <c r="W286" s="303"/>
      <c r="X286" s="303"/>
      <c r="Y286" s="303"/>
      <c r="Z286" s="303"/>
      <c r="AA286" s="303"/>
      <c r="AB286" s="303"/>
      <c r="AC286" s="303"/>
      <c r="AK286" s="127"/>
    </row>
    <row r="287" spans="1:37">
      <c r="A287" s="8" t="s">
        <v>2576</v>
      </c>
      <c r="B287" s="18"/>
      <c r="C287" s="18"/>
      <c r="D287" s="18"/>
      <c r="E287" s="18"/>
      <c r="F287" s="18"/>
      <c r="G287" s="18"/>
      <c r="H287" s="18">
        <v>4</v>
      </c>
      <c r="I287" s="18">
        <v>4</v>
      </c>
      <c r="J287" s="297"/>
      <c r="K287" s="8" t="s">
        <v>2576</v>
      </c>
      <c r="L287" s="126">
        <f t="shared" si="23"/>
        <v>0</v>
      </c>
      <c r="M287" s="126">
        <f t="shared" si="24"/>
        <v>0</v>
      </c>
      <c r="N287" s="126">
        <f t="shared" si="25"/>
        <v>0</v>
      </c>
      <c r="O287" s="126">
        <f t="shared" si="26"/>
        <v>0</v>
      </c>
      <c r="P287" s="126">
        <f t="shared" si="27"/>
        <v>0</v>
      </c>
      <c r="Q287" s="126">
        <f t="shared" si="28"/>
        <v>0</v>
      </c>
      <c r="R287" s="126">
        <f t="shared" si="29"/>
        <v>1</v>
      </c>
      <c r="S287" s="128">
        <f t="shared" si="30"/>
        <v>1</v>
      </c>
      <c r="V287" s="303"/>
      <c r="W287" s="303"/>
      <c r="X287" s="303"/>
      <c r="Y287" s="303"/>
      <c r="Z287" s="303"/>
      <c r="AA287" s="303"/>
      <c r="AB287" s="303"/>
      <c r="AC287" s="303"/>
      <c r="AK287" s="127"/>
    </row>
    <row r="288" spans="1:37">
      <c r="A288" s="8" t="s">
        <v>2654</v>
      </c>
      <c r="B288" s="18">
        <v>1</v>
      </c>
      <c r="C288" s="18">
        <v>5</v>
      </c>
      <c r="D288" s="18">
        <v>49</v>
      </c>
      <c r="E288" s="18">
        <v>153</v>
      </c>
      <c r="F288" s="18">
        <v>368</v>
      </c>
      <c r="G288" s="18">
        <v>409</v>
      </c>
      <c r="H288" s="18">
        <v>118</v>
      </c>
      <c r="I288" s="18">
        <v>1103</v>
      </c>
      <c r="J288" s="297"/>
      <c r="K288" s="8" t="s">
        <v>2654</v>
      </c>
      <c r="L288" s="126">
        <f t="shared" si="23"/>
        <v>9.0661831368993653E-4</v>
      </c>
      <c r="M288" s="126">
        <f t="shared" si="24"/>
        <v>4.5330915684496827E-3</v>
      </c>
      <c r="N288" s="126">
        <f t="shared" si="25"/>
        <v>4.4424297370806894E-2</v>
      </c>
      <c r="O288" s="126">
        <f t="shared" si="26"/>
        <v>0.13871260199456029</v>
      </c>
      <c r="P288" s="126">
        <f t="shared" si="27"/>
        <v>0.33363553943789664</v>
      </c>
      <c r="Q288" s="126">
        <f t="shared" si="28"/>
        <v>0.37080689029918407</v>
      </c>
      <c r="R288" s="126">
        <f t="shared" si="29"/>
        <v>0.10698096101541252</v>
      </c>
      <c r="S288" s="128">
        <f t="shared" si="30"/>
        <v>1</v>
      </c>
      <c r="V288" s="303"/>
      <c r="W288" s="303"/>
      <c r="X288" s="303"/>
      <c r="Y288" s="303"/>
      <c r="Z288" s="303"/>
      <c r="AA288" s="303"/>
      <c r="AB288" s="303"/>
      <c r="AC288" s="303"/>
      <c r="AK288" s="127"/>
    </row>
    <row r="291" spans="11:21">
      <c r="K291" s="8" t="s">
        <v>399</v>
      </c>
      <c r="L291" s="18" t="s">
        <v>370</v>
      </c>
      <c r="M291" s="18" t="s">
        <v>371</v>
      </c>
      <c r="N291" s="18">
        <v>1</v>
      </c>
      <c r="O291" s="18">
        <v>2</v>
      </c>
      <c r="P291" s="18">
        <v>3</v>
      </c>
      <c r="Q291" s="18">
        <v>4</v>
      </c>
      <c r="R291" s="18">
        <v>5</v>
      </c>
      <c r="S291" s="18" t="s">
        <v>369</v>
      </c>
    </row>
    <row r="292" spans="11:21">
      <c r="K292" s="8" t="s">
        <v>2607</v>
      </c>
      <c r="L292" s="126">
        <v>0</v>
      </c>
      <c r="M292" s="126">
        <v>0</v>
      </c>
      <c r="N292" s="126">
        <v>0</v>
      </c>
      <c r="O292" s="126">
        <v>0</v>
      </c>
      <c r="P292" s="126">
        <v>0</v>
      </c>
      <c r="Q292" s="126">
        <v>0</v>
      </c>
      <c r="R292" s="304">
        <v>1</v>
      </c>
      <c r="S292" s="128">
        <v>1</v>
      </c>
    </row>
    <row r="293" spans="11:21">
      <c r="K293" s="8" t="s">
        <v>2587</v>
      </c>
      <c r="L293" s="126">
        <v>0</v>
      </c>
      <c r="M293" s="126">
        <v>0</v>
      </c>
      <c r="N293" s="126">
        <v>0</v>
      </c>
      <c r="O293" s="126">
        <v>0</v>
      </c>
      <c r="P293" s="126">
        <v>0</v>
      </c>
      <c r="Q293" s="126">
        <v>0</v>
      </c>
      <c r="R293" s="304">
        <v>1</v>
      </c>
      <c r="S293" s="128">
        <v>1</v>
      </c>
    </row>
    <row r="294" spans="11:21">
      <c r="K294" s="8" t="s">
        <v>2543</v>
      </c>
      <c r="L294" s="126">
        <v>0</v>
      </c>
      <c r="M294" s="126">
        <v>0</v>
      </c>
      <c r="N294" s="126">
        <v>0</v>
      </c>
      <c r="O294" s="126">
        <v>0</v>
      </c>
      <c r="P294" s="126">
        <v>0</v>
      </c>
      <c r="Q294" s="126">
        <v>0</v>
      </c>
      <c r="R294" s="304">
        <v>1</v>
      </c>
      <c r="S294" s="128">
        <v>1</v>
      </c>
    </row>
    <row r="295" spans="11:21">
      <c r="K295" s="8" t="s">
        <v>2570</v>
      </c>
      <c r="L295" s="126">
        <v>0</v>
      </c>
      <c r="M295" s="126">
        <v>0</v>
      </c>
      <c r="N295" s="126">
        <v>0</v>
      </c>
      <c r="O295" s="126">
        <v>0</v>
      </c>
      <c r="P295" s="126">
        <v>0</v>
      </c>
      <c r="Q295" s="126">
        <v>0</v>
      </c>
      <c r="R295" s="304">
        <v>1</v>
      </c>
      <c r="S295" s="128">
        <v>1</v>
      </c>
    </row>
    <row r="296" spans="11:21">
      <c r="K296" s="8" t="s">
        <v>2576</v>
      </c>
      <c r="L296" s="126">
        <v>0</v>
      </c>
      <c r="M296" s="126">
        <v>0</v>
      </c>
      <c r="N296" s="126">
        <v>0</v>
      </c>
      <c r="O296" s="126">
        <v>0</v>
      </c>
      <c r="P296" s="126">
        <v>0</v>
      </c>
      <c r="Q296" s="126">
        <v>0</v>
      </c>
      <c r="R296" s="304">
        <v>1</v>
      </c>
      <c r="S296" s="128">
        <v>1</v>
      </c>
    </row>
    <row r="297" spans="11:21">
      <c r="K297" s="8" t="s">
        <v>1464</v>
      </c>
      <c r="L297" s="126">
        <v>0</v>
      </c>
      <c r="M297" s="126">
        <v>0</v>
      </c>
      <c r="N297" s="126">
        <v>0</v>
      </c>
      <c r="O297" s="126">
        <v>0</v>
      </c>
      <c r="P297" s="126">
        <v>6.25E-2</v>
      </c>
      <c r="Q297" s="126">
        <v>0.3125</v>
      </c>
      <c r="R297" s="304">
        <v>0.625</v>
      </c>
      <c r="S297" s="128">
        <v>1</v>
      </c>
      <c r="U297" s="127">
        <f t="shared" ref="U297:U299" si="31">SUM(Q297:R297)</f>
        <v>0.9375</v>
      </c>
    </row>
    <row r="298" spans="11:21">
      <c r="K298" s="8" t="s">
        <v>1352</v>
      </c>
      <c r="L298" s="126">
        <v>0</v>
      </c>
      <c r="M298" s="126">
        <v>0</v>
      </c>
      <c r="N298" s="126">
        <v>0</v>
      </c>
      <c r="O298" s="126">
        <v>5.2631578947368418E-2</v>
      </c>
      <c r="P298" s="126">
        <v>0.15789473684210525</v>
      </c>
      <c r="Q298" s="126">
        <v>0.31578947368421051</v>
      </c>
      <c r="R298" s="304">
        <v>0.47368421052631576</v>
      </c>
      <c r="S298" s="128">
        <v>1</v>
      </c>
      <c r="U298" s="127">
        <f t="shared" si="31"/>
        <v>0.78947368421052633</v>
      </c>
    </row>
    <row r="299" spans="11:21">
      <c r="K299" s="8" t="s">
        <v>606</v>
      </c>
      <c r="L299" s="126">
        <v>0</v>
      </c>
      <c r="M299" s="126">
        <v>0</v>
      </c>
      <c r="N299" s="126">
        <v>0</v>
      </c>
      <c r="O299" s="126">
        <v>0.10344827586206896</v>
      </c>
      <c r="P299" s="126">
        <v>0.13793103448275862</v>
      </c>
      <c r="Q299" s="126">
        <v>0.34482758620689657</v>
      </c>
      <c r="R299" s="304">
        <v>0.41379310344827586</v>
      </c>
      <c r="S299" s="128">
        <v>1</v>
      </c>
      <c r="U299" s="127">
        <f t="shared" si="31"/>
        <v>0.75862068965517238</v>
      </c>
    </row>
    <row r="300" spans="11:21">
      <c r="K300" s="8" t="s">
        <v>2604</v>
      </c>
      <c r="L300" s="126">
        <v>0</v>
      </c>
      <c r="M300" s="126">
        <v>0</v>
      </c>
      <c r="N300" s="126">
        <v>0</v>
      </c>
      <c r="O300" s="126">
        <v>0</v>
      </c>
      <c r="P300" s="126">
        <v>0</v>
      </c>
      <c r="Q300" s="304">
        <v>1</v>
      </c>
      <c r="R300" s="126">
        <v>0</v>
      </c>
      <c r="S300" s="128">
        <v>1</v>
      </c>
      <c r="U300" s="127"/>
    </row>
    <row r="301" spans="11:21">
      <c r="K301" s="8" t="s">
        <v>1715</v>
      </c>
      <c r="L301" s="126">
        <v>0</v>
      </c>
      <c r="M301" s="126">
        <v>0</v>
      </c>
      <c r="N301" s="126">
        <v>0</v>
      </c>
      <c r="O301" s="126">
        <v>0</v>
      </c>
      <c r="P301" s="126">
        <v>0.16129032258064516</v>
      </c>
      <c r="Q301" s="304">
        <v>0.58064516129032262</v>
      </c>
      <c r="R301" s="126">
        <v>0.25806451612903225</v>
      </c>
      <c r="S301" s="128">
        <v>1</v>
      </c>
      <c r="U301" s="127">
        <f>SUM(Q301:R301)</f>
        <v>0.83870967741935487</v>
      </c>
    </row>
    <row r="302" spans="11:21">
      <c r="K302" s="8" t="s">
        <v>1569</v>
      </c>
      <c r="L302" s="126">
        <v>0</v>
      </c>
      <c r="M302" s="126">
        <v>0</v>
      </c>
      <c r="N302" s="126">
        <v>0</v>
      </c>
      <c r="O302" s="126">
        <v>0</v>
      </c>
      <c r="P302" s="126">
        <v>0.14285714285714285</v>
      </c>
      <c r="Q302" s="304">
        <v>0.5714285714285714</v>
      </c>
      <c r="R302" s="126">
        <v>0.2857142857142857</v>
      </c>
      <c r="S302" s="128">
        <v>1</v>
      </c>
      <c r="U302" s="127">
        <f t="shared" ref="U302:U314" si="32">SUM(Q302:R302)</f>
        <v>0.8571428571428571</v>
      </c>
    </row>
    <row r="303" spans="11:21">
      <c r="K303" s="8" t="s">
        <v>944</v>
      </c>
      <c r="L303" s="126">
        <v>0</v>
      </c>
      <c r="M303" s="126">
        <v>0</v>
      </c>
      <c r="N303" s="126">
        <v>0</v>
      </c>
      <c r="O303" s="126">
        <v>0</v>
      </c>
      <c r="P303" s="126">
        <v>0.15384615384615385</v>
      </c>
      <c r="Q303" s="304">
        <v>0.53846153846153844</v>
      </c>
      <c r="R303" s="126">
        <v>0.30769230769230771</v>
      </c>
      <c r="S303" s="128">
        <v>1</v>
      </c>
      <c r="U303" s="127">
        <f t="shared" si="32"/>
        <v>0.84615384615384615</v>
      </c>
    </row>
    <row r="304" spans="11:21">
      <c r="K304" s="8" t="s">
        <v>481</v>
      </c>
      <c r="L304" s="126">
        <v>0</v>
      </c>
      <c r="M304" s="126">
        <v>2.1739130434782608E-2</v>
      </c>
      <c r="N304" s="126">
        <v>0</v>
      </c>
      <c r="O304" s="126">
        <v>6.5217391304347824E-2</v>
      </c>
      <c r="P304" s="126">
        <v>0.19565217391304349</v>
      </c>
      <c r="Q304" s="304">
        <v>0.54347826086956519</v>
      </c>
      <c r="R304" s="126">
        <v>0.17391304347826086</v>
      </c>
      <c r="S304" s="128">
        <v>1</v>
      </c>
      <c r="U304" s="127">
        <f t="shared" si="32"/>
        <v>0.71739130434782605</v>
      </c>
    </row>
    <row r="305" spans="11:21">
      <c r="K305" s="8" t="s">
        <v>495</v>
      </c>
      <c r="L305" s="126">
        <v>0</v>
      </c>
      <c r="M305" s="126">
        <v>0</v>
      </c>
      <c r="N305" s="126">
        <v>0</v>
      </c>
      <c r="O305" s="126">
        <v>0.15384615384615385</v>
      </c>
      <c r="P305" s="126">
        <v>0.19230769230769232</v>
      </c>
      <c r="Q305" s="304">
        <v>0.53846153846153844</v>
      </c>
      <c r="R305" s="126">
        <v>0.11538461538461539</v>
      </c>
      <c r="S305" s="128">
        <v>1</v>
      </c>
      <c r="U305" s="127">
        <f t="shared" si="32"/>
        <v>0.65384615384615385</v>
      </c>
    </row>
    <row r="306" spans="11:21">
      <c r="K306" s="8" t="s">
        <v>596</v>
      </c>
      <c r="L306" s="126">
        <v>0</v>
      </c>
      <c r="M306" s="126">
        <v>0</v>
      </c>
      <c r="N306" s="126">
        <v>2.1276595744680851E-2</v>
      </c>
      <c r="O306" s="126">
        <v>0.10638297872340426</v>
      </c>
      <c r="P306" s="126">
        <v>0.21276595744680851</v>
      </c>
      <c r="Q306" s="304">
        <v>0.53191489361702127</v>
      </c>
      <c r="R306" s="126">
        <v>0.1276595744680851</v>
      </c>
      <c r="S306" s="128">
        <v>1</v>
      </c>
      <c r="U306" s="127">
        <f t="shared" si="32"/>
        <v>0.65957446808510634</v>
      </c>
    </row>
    <row r="307" spans="11:21">
      <c r="K307" s="8" t="s">
        <v>518</v>
      </c>
      <c r="L307" s="126">
        <v>0</v>
      </c>
      <c r="M307" s="126">
        <v>0</v>
      </c>
      <c r="N307" s="126">
        <v>7.4999999999999997E-2</v>
      </c>
      <c r="O307" s="126">
        <v>7.4999999999999997E-2</v>
      </c>
      <c r="P307" s="126">
        <v>0.32500000000000001</v>
      </c>
      <c r="Q307" s="304">
        <v>0.52500000000000002</v>
      </c>
      <c r="R307" s="126">
        <v>0</v>
      </c>
      <c r="S307" s="128">
        <v>1</v>
      </c>
      <c r="U307" s="127">
        <f t="shared" si="32"/>
        <v>0.52500000000000002</v>
      </c>
    </row>
    <row r="308" spans="11:21">
      <c r="K308" s="8" t="s">
        <v>432</v>
      </c>
      <c r="L308" s="126">
        <v>0</v>
      </c>
      <c r="M308" s="126">
        <v>1.1494252873563218E-2</v>
      </c>
      <c r="N308" s="126">
        <v>2.2988505747126436E-2</v>
      </c>
      <c r="O308" s="126">
        <v>0.11494252873563218</v>
      </c>
      <c r="P308" s="126">
        <v>0.2988505747126437</v>
      </c>
      <c r="Q308" s="304">
        <v>0.50574712643678166</v>
      </c>
      <c r="R308" s="126">
        <v>4.5977011494252873E-2</v>
      </c>
      <c r="S308" s="128">
        <v>1</v>
      </c>
      <c r="U308" s="127">
        <f t="shared" si="32"/>
        <v>0.55172413793103448</v>
      </c>
    </row>
    <row r="309" spans="11:21">
      <c r="K309" s="8" t="s">
        <v>639</v>
      </c>
      <c r="L309" s="126">
        <v>0</v>
      </c>
      <c r="M309" s="126">
        <v>0</v>
      </c>
      <c r="N309" s="126">
        <v>0</v>
      </c>
      <c r="O309" s="126">
        <v>3.3333333333333333E-2</v>
      </c>
      <c r="P309" s="126">
        <v>0.3</v>
      </c>
      <c r="Q309" s="304">
        <v>0.5</v>
      </c>
      <c r="R309" s="126">
        <v>0.16666666666666666</v>
      </c>
      <c r="S309" s="128">
        <v>1</v>
      </c>
      <c r="U309" s="127">
        <f t="shared" si="32"/>
        <v>0.66666666666666663</v>
      </c>
    </row>
    <row r="310" spans="11:21">
      <c r="K310" s="8" t="s">
        <v>894</v>
      </c>
      <c r="L310" s="126">
        <v>0</v>
      </c>
      <c r="M310" s="126">
        <v>0</v>
      </c>
      <c r="N310" s="126">
        <v>0</v>
      </c>
      <c r="O310" s="126">
        <v>0.12</v>
      </c>
      <c r="P310" s="304">
        <v>0.44</v>
      </c>
      <c r="Q310" s="304">
        <v>0.44</v>
      </c>
      <c r="R310" s="126">
        <v>0</v>
      </c>
      <c r="S310" s="128">
        <v>1</v>
      </c>
      <c r="U310" s="127">
        <f t="shared" si="32"/>
        <v>0.44</v>
      </c>
    </row>
    <row r="311" spans="11:21">
      <c r="K311" s="8" t="s">
        <v>499</v>
      </c>
      <c r="L311" s="126">
        <v>0</v>
      </c>
      <c r="M311" s="126">
        <v>0</v>
      </c>
      <c r="N311" s="126">
        <v>2.4390243902439025E-2</v>
      </c>
      <c r="O311" s="126">
        <v>0.15447154471544716</v>
      </c>
      <c r="P311" s="126">
        <v>0.30894308943089432</v>
      </c>
      <c r="Q311" s="304">
        <v>0.43902439024390244</v>
      </c>
      <c r="R311" s="126">
        <v>7.3170731707317069E-2</v>
      </c>
      <c r="S311" s="128">
        <v>1</v>
      </c>
      <c r="U311" s="127">
        <f t="shared" si="32"/>
        <v>0.51219512195121952</v>
      </c>
    </row>
    <row r="312" spans="11:21">
      <c r="K312" s="8" t="s">
        <v>673</v>
      </c>
      <c r="L312" s="126">
        <v>0</v>
      </c>
      <c r="M312" s="126">
        <v>0</v>
      </c>
      <c r="N312" s="126">
        <v>0</v>
      </c>
      <c r="O312" s="126">
        <v>4.6875E-2</v>
      </c>
      <c r="P312" s="304">
        <v>0.421875</v>
      </c>
      <c r="Q312" s="304">
        <v>0.421875</v>
      </c>
      <c r="R312" s="126">
        <v>0.109375</v>
      </c>
      <c r="S312" s="128">
        <v>1</v>
      </c>
      <c r="U312" s="127">
        <f t="shared" si="32"/>
        <v>0.53125</v>
      </c>
    </row>
    <row r="313" spans="11:21">
      <c r="K313" s="8" t="s">
        <v>436</v>
      </c>
      <c r="L313" s="126">
        <v>0</v>
      </c>
      <c r="M313" s="126">
        <v>8.0000000000000002E-3</v>
      </c>
      <c r="N313" s="126">
        <v>0.104</v>
      </c>
      <c r="O313" s="126">
        <v>8.7999999999999995E-2</v>
      </c>
      <c r="P313" s="126">
        <v>0.32800000000000001</v>
      </c>
      <c r="Q313" s="304">
        <v>0.4</v>
      </c>
      <c r="R313" s="126">
        <v>7.1999999999999995E-2</v>
      </c>
      <c r="S313" s="128">
        <v>1</v>
      </c>
      <c r="U313" s="127">
        <f t="shared" si="32"/>
        <v>0.47200000000000003</v>
      </c>
    </row>
    <row r="314" spans="11:21">
      <c r="K314" s="8" t="s">
        <v>934</v>
      </c>
      <c r="L314" s="126">
        <v>0</v>
      </c>
      <c r="M314" s="126">
        <v>0</v>
      </c>
      <c r="N314" s="126">
        <v>0</v>
      </c>
      <c r="O314" s="126">
        <v>0.2</v>
      </c>
      <c r="P314" s="304">
        <v>0.66666666666666663</v>
      </c>
      <c r="Q314" s="126">
        <v>0.13333333333333333</v>
      </c>
      <c r="R314" s="126">
        <v>0</v>
      </c>
      <c r="S314" s="128">
        <v>1</v>
      </c>
      <c r="U314" s="127">
        <f t="shared" si="32"/>
        <v>0.13333333333333333</v>
      </c>
    </row>
    <row r="315" spans="11:21">
      <c r="K315" s="8" t="s">
        <v>468</v>
      </c>
      <c r="L315" s="126">
        <v>0</v>
      </c>
      <c r="M315" s="126">
        <v>0</v>
      </c>
      <c r="N315" s="126">
        <v>0.21428571428571427</v>
      </c>
      <c r="O315" s="126">
        <v>0.14285714285714285</v>
      </c>
      <c r="P315" s="304">
        <v>0.5714285714285714</v>
      </c>
      <c r="Q315" s="126">
        <v>7.1428571428571425E-2</v>
      </c>
      <c r="R315" s="126">
        <v>0</v>
      </c>
      <c r="S315" s="128">
        <v>1</v>
      </c>
    </row>
    <row r="316" spans="11:21">
      <c r="K316" s="8" t="s">
        <v>455</v>
      </c>
      <c r="L316" s="126">
        <v>0</v>
      </c>
      <c r="M316" s="126">
        <v>2.3809523809523808E-2</v>
      </c>
      <c r="N316" s="126">
        <v>9.5238095238095233E-2</v>
      </c>
      <c r="O316" s="126">
        <v>0.21428571428571427</v>
      </c>
      <c r="P316" s="304">
        <v>0.54761904761904767</v>
      </c>
      <c r="Q316" s="126">
        <v>0.11904761904761904</v>
      </c>
      <c r="R316" s="126">
        <v>0</v>
      </c>
      <c r="S316" s="128">
        <v>1</v>
      </c>
    </row>
    <row r="317" spans="11:21">
      <c r="K317" s="8" t="s">
        <v>677</v>
      </c>
      <c r="L317" s="126">
        <v>0</v>
      </c>
      <c r="M317" s="126">
        <v>0</v>
      </c>
      <c r="N317" s="126">
        <v>0</v>
      </c>
      <c r="O317" s="126">
        <v>0.13513513513513514</v>
      </c>
      <c r="P317" s="304">
        <v>0.54054054054054057</v>
      </c>
      <c r="Q317" s="126">
        <v>0.29729729729729731</v>
      </c>
      <c r="R317" s="126">
        <v>2.7027027027027029E-2</v>
      </c>
      <c r="S317" s="128">
        <v>1</v>
      </c>
    </row>
    <row r="318" spans="11:21">
      <c r="K318" s="8" t="s">
        <v>507</v>
      </c>
      <c r="L318" s="126">
        <v>0</v>
      </c>
      <c r="M318" s="126">
        <v>0</v>
      </c>
      <c r="N318" s="126">
        <v>3.7037037037037035E-2</v>
      </c>
      <c r="O318" s="126">
        <v>0.29629629629629628</v>
      </c>
      <c r="P318" s="304">
        <v>0.51851851851851849</v>
      </c>
      <c r="Q318" s="126">
        <v>0.1111111111111111</v>
      </c>
      <c r="R318" s="126">
        <v>3.7037037037037035E-2</v>
      </c>
      <c r="S318" s="128">
        <v>1</v>
      </c>
    </row>
    <row r="319" spans="11:21">
      <c r="K319" s="8" t="s">
        <v>568</v>
      </c>
      <c r="L319" s="126">
        <v>0</v>
      </c>
      <c r="M319" s="126">
        <v>0</v>
      </c>
      <c r="N319" s="126">
        <v>0</v>
      </c>
      <c r="O319" s="126">
        <v>0.16666666666666666</v>
      </c>
      <c r="P319" s="304">
        <v>0.5</v>
      </c>
      <c r="Q319" s="126">
        <v>0.33333333333333331</v>
      </c>
      <c r="R319" s="126">
        <v>0</v>
      </c>
      <c r="S319" s="128">
        <v>1</v>
      </c>
    </row>
    <row r="320" spans="11:21">
      <c r="K320" s="8" t="s">
        <v>443</v>
      </c>
      <c r="L320" s="126">
        <v>0</v>
      </c>
      <c r="M320" s="126">
        <v>4.3478260869565216E-2</v>
      </c>
      <c r="N320" s="126">
        <v>0.17391304347826086</v>
      </c>
      <c r="O320" s="126">
        <v>0.30434782608695654</v>
      </c>
      <c r="P320" s="304">
        <v>0.39130434782608697</v>
      </c>
      <c r="Q320" s="126">
        <v>8.6956521739130432E-2</v>
      </c>
      <c r="R320" s="126">
        <v>0</v>
      </c>
      <c r="S320" s="128">
        <v>1</v>
      </c>
    </row>
    <row r="321" spans="11:19">
      <c r="K321" s="8" t="s">
        <v>462</v>
      </c>
      <c r="L321" s="126">
        <v>0</v>
      </c>
      <c r="M321" s="126">
        <v>0</v>
      </c>
      <c r="N321" s="126">
        <v>0.1206896551724138</v>
      </c>
      <c r="O321" s="126">
        <v>0.29310344827586204</v>
      </c>
      <c r="P321" s="304">
        <v>0.38793103448275862</v>
      </c>
      <c r="Q321" s="126">
        <v>0.18103448275862069</v>
      </c>
      <c r="R321" s="126">
        <v>1.7241379310344827E-2</v>
      </c>
      <c r="S321" s="128">
        <v>1</v>
      </c>
    </row>
    <row r="322" spans="11:19">
      <c r="K322" s="8" t="s">
        <v>558</v>
      </c>
      <c r="L322" s="126">
        <v>0</v>
      </c>
      <c r="M322" s="126">
        <v>0</v>
      </c>
      <c r="N322" s="126">
        <v>0</v>
      </c>
      <c r="O322" s="126">
        <v>0.19047619047619047</v>
      </c>
      <c r="P322" s="304">
        <v>0.38095238095238093</v>
      </c>
      <c r="Q322" s="126">
        <v>0.35714285714285715</v>
      </c>
      <c r="R322" s="126">
        <v>7.1428571428571425E-2</v>
      </c>
      <c r="S322" s="128">
        <v>1</v>
      </c>
    </row>
    <row r="323" spans="11:19">
      <c r="K323" s="8" t="s">
        <v>474</v>
      </c>
      <c r="L323" s="126">
        <v>0</v>
      </c>
      <c r="M323" s="126">
        <v>0</v>
      </c>
      <c r="N323" s="126">
        <v>8.3333333333333329E-2</v>
      </c>
      <c r="O323" s="304">
        <v>0.5</v>
      </c>
      <c r="P323" s="126">
        <v>0.25</v>
      </c>
      <c r="Q323" s="126">
        <v>0.16666666666666666</v>
      </c>
      <c r="R323" s="126">
        <v>0</v>
      </c>
      <c r="S323" s="128">
        <v>1</v>
      </c>
    </row>
    <row r="324" spans="11:19">
      <c r="K324" s="8" t="s">
        <v>2944</v>
      </c>
      <c r="L324" s="304">
        <v>1</v>
      </c>
      <c r="M324" s="126">
        <v>0</v>
      </c>
      <c r="N324" s="126">
        <v>0</v>
      </c>
      <c r="O324" s="126">
        <v>0</v>
      </c>
      <c r="P324" s="126">
        <v>0</v>
      </c>
      <c r="Q324" s="126">
        <v>0</v>
      </c>
      <c r="R324" s="126">
        <v>0</v>
      </c>
      <c r="S324" s="128">
        <v>1</v>
      </c>
    </row>
    <row r="325" spans="11:19">
      <c r="K325" s="129" t="s">
        <v>2654</v>
      </c>
      <c r="L325" s="305">
        <v>9.0661831368993653E-4</v>
      </c>
      <c r="M325" s="305">
        <v>4.5330915684496827E-3</v>
      </c>
      <c r="N325" s="305">
        <v>4.4424297370806894E-2</v>
      </c>
      <c r="O325" s="305">
        <v>0.13871260199456029</v>
      </c>
      <c r="P325" s="306">
        <v>0.33363553943789664</v>
      </c>
      <c r="Q325" s="306">
        <v>0.37080689029918407</v>
      </c>
      <c r="R325" s="305">
        <v>0.10698096101541252</v>
      </c>
      <c r="S325" s="307">
        <v>1</v>
      </c>
    </row>
  </sheetData>
  <autoFilter ref="A254:L254" xr:uid="{4AAFEF97-6F13-460C-B8B9-097950D24076}"/>
  <sortState ref="K315:S324">
    <sortCondition descending="1" ref="P314:P324"/>
  </sortState>
  <mergeCells count="15">
    <mergeCell ref="A56:A57"/>
    <mergeCell ref="B56:B57"/>
    <mergeCell ref="C56:C57"/>
    <mergeCell ref="D56:F56"/>
    <mergeCell ref="J68:K68"/>
    <mergeCell ref="B79:G79"/>
    <mergeCell ref="B68:G68"/>
    <mergeCell ref="B90:G90"/>
    <mergeCell ref="A68:A69"/>
    <mergeCell ref="H68:H69"/>
    <mergeCell ref="E34:I34"/>
    <mergeCell ref="D45:F45"/>
    <mergeCell ref="A45:A46"/>
    <mergeCell ref="C45:C46"/>
    <mergeCell ref="B45:B46"/>
  </mergeCells>
  <conditionalFormatting sqref="D25:D31">
    <cfRule type="colorScale" priority="20">
      <colorScale>
        <cfvo type="min"/>
        <cfvo type="percentile" val="50"/>
        <cfvo type="max"/>
        <color rgb="FFF8696B"/>
        <color rgb="FFFFEB84"/>
        <color rgb="FF63BE7B"/>
      </colorScale>
    </cfRule>
  </conditionalFormatting>
  <conditionalFormatting sqref="D36:D42">
    <cfRule type="colorScale" priority="152">
      <colorScale>
        <cfvo type="min"/>
        <cfvo type="percentile" val="50"/>
        <cfvo type="max"/>
        <color rgb="FFF8696B"/>
        <color rgb="FFFFEB84"/>
        <color rgb="FF63BE7B"/>
      </colorScale>
    </cfRule>
  </conditionalFormatting>
  <conditionalFormatting sqref="D47:D53">
    <cfRule type="colorScale" priority="153">
      <colorScale>
        <cfvo type="min"/>
        <cfvo type="percentile" val="50"/>
        <cfvo type="max"/>
        <color rgb="FFF8696B"/>
        <color rgb="FFFFEB84"/>
        <color rgb="FF63BE7B"/>
      </colorScale>
    </cfRule>
  </conditionalFormatting>
  <conditionalFormatting sqref="D58:D64">
    <cfRule type="colorScale" priority="2">
      <colorScale>
        <cfvo type="min"/>
        <cfvo type="percentile" val="50"/>
        <cfvo type="max"/>
        <color rgb="FFF8696B"/>
        <color rgb="FFFFEB84"/>
        <color rgb="FF63BE7B"/>
      </colorScale>
    </cfRule>
  </conditionalFormatting>
  <conditionalFormatting sqref="D15:E21">
    <cfRule type="colorScale" priority="135">
      <colorScale>
        <cfvo type="min"/>
        <cfvo type="percentile" val="50"/>
        <cfvo type="max"/>
        <color rgb="FF63BE7B"/>
        <color rgb="FFFFEB84"/>
        <color rgb="FFF8696B"/>
      </colorScale>
    </cfRule>
  </conditionalFormatting>
  <conditionalFormatting sqref="E3:E9">
    <cfRule type="colorScale" priority="26">
      <colorScale>
        <cfvo type="min"/>
        <cfvo type="percentile" val="50"/>
        <cfvo type="max"/>
        <color rgb="FFF8696B"/>
        <color rgb="FFFFEB84"/>
        <color rgb="FF63BE7B"/>
      </colorScale>
    </cfRule>
  </conditionalFormatting>
  <conditionalFormatting sqref="E25:E31">
    <cfRule type="colorScale" priority="19">
      <colorScale>
        <cfvo type="min"/>
        <cfvo type="percentile" val="50"/>
        <cfvo type="max"/>
        <color rgb="FFF8696B"/>
        <color rgb="FFFFEB84"/>
        <color rgb="FF63BE7B"/>
      </colorScale>
    </cfRule>
  </conditionalFormatting>
  <conditionalFormatting sqref="E36:E42">
    <cfRule type="colorScale" priority="150">
      <colorScale>
        <cfvo type="min"/>
        <cfvo type="percentile" val="50"/>
        <cfvo type="max"/>
        <color rgb="FFF8696B"/>
        <color rgb="FFFFEB84"/>
        <color rgb="FF63BE7B"/>
      </colorScale>
    </cfRule>
  </conditionalFormatting>
  <conditionalFormatting sqref="E47:E53">
    <cfRule type="colorScale" priority="155">
      <colorScale>
        <cfvo type="min"/>
        <cfvo type="percentile" val="50"/>
        <cfvo type="max"/>
        <color rgb="FFF8696B"/>
        <color rgb="FFFFEB84"/>
        <color rgb="FF63BE7B"/>
      </colorScale>
    </cfRule>
  </conditionalFormatting>
  <conditionalFormatting sqref="E58:E64">
    <cfRule type="colorScale" priority="3">
      <colorScale>
        <cfvo type="min"/>
        <cfvo type="percentile" val="50"/>
        <cfvo type="max"/>
        <color rgb="FFF8696B"/>
        <color rgb="FFFFEB84"/>
        <color rgb="FF63BE7B"/>
      </colorScale>
    </cfRule>
  </conditionalFormatting>
  <conditionalFormatting sqref="E104:E110">
    <cfRule type="colorScale" priority="67">
      <colorScale>
        <cfvo type="min"/>
        <cfvo type="percentile" val="50"/>
        <cfvo type="max"/>
        <color rgb="FFF8696B"/>
        <color rgb="FFFFEB84"/>
        <color rgb="FF63BE7B"/>
      </colorScale>
    </cfRule>
  </conditionalFormatting>
  <conditionalFormatting sqref="E116:E122">
    <cfRule type="colorScale" priority="62">
      <colorScale>
        <cfvo type="min"/>
        <cfvo type="percentile" val="50"/>
        <cfvo type="max"/>
        <color rgb="FFF8696B"/>
        <color rgb="FFFFEB84"/>
        <color rgb="FF63BE7B"/>
      </colorScale>
    </cfRule>
  </conditionalFormatting>
  <conditionalFormatting sqref="E128:E134">
    <cfRule type="colorScale" priority="57">
      <colorScale>
        <cfvo type="min"/>
        <cfvo type="percentile" val="50"/>
        <cfvo type="max"/>
        <color rgb="FFF8696B"/>
        <color rgb="FFFFEB84"/>
        <color rgb="FF63BE7B"/>
      </colorScale>
    </cfRule>
  </conditionalFormatting>
  <conditionalFormatting sqref="E140:E146">
    <cfRule type="colorScale" priority="52">
      <colorScale>
        <cfvo type="min"/>
        <cfvo type="percentile" val="50"/>
        <cfvo type="max"/>
        <color rgb="FFF8696B"/>
        <color rgb="FFFFEB84"/>
        <color rgb="FF63BE7B"/>
      </colorScale>
    </cfRule>
  </conditionalFormatting>
  <conditionalFormatting sqref="E152:E158">
    <cfRule type="colorScale" priority="47">
      <colorScale>
        <cfvo type="min"/>
        <cfvo type="percentile" val="50"/>
        <cfvo type="max"/>
        <color rgb="FFF8696B"/>
        <color rgb="FFFFEB84"/>
        <color rgb="FF63BE7B"/>
      </colorScale>
    </cfRule>
  </conditionalFormatting>
  <conditionalFormatting sqref="E164:E170">
    <cfRule type="colorScale" priority="9">
      <colorScale>
        <cfvo type="min"/>
        <cfvo type="percentile" val="50"/>
        <cfvo type="max"/>
        <color rgb="FFF8696B"/>
        <color rgb="FFFFEB84"/>
        <color rgb="FF63BE7B"/>
      </colorScale>
    </cfRule>
  </conditionalFormatting>
  <conditionalFormatting sqref="F3:F9">
    <cfRule type="colorScale" priority="25">
      <colorScale>
        <cfvo type="min"/>
        <cfvo type="percentile" val="50"/>
        <cfvo type="max"/>
        <color rgb="FFF8696B"/>
        <color rgb="FFFFEB84"/>
        <color rgb="FF63BE7B"/>
      </colorScale>
    </cfRule>
  </conditionalFormatting>
  <conditionalFormatting sqref="F15:F21">
    <cfRule type="colorScale" priority="139">
      <colorScale>
        <cfvo type="min"/>
        <cfvo type="percentile" val="50"/>
        <cfvo type="max"/>
        <color rgb="FF63BE7B"/>
        <color rgb="FFFFEB84"/>
        <color rgb="FFF8696B"/>
      </colorScale>
    </cfRule>
  </conditionalFormatting>
  <conditionalFormatting sqref="F25:F31">
    <cfRule type="colorScale" priority="18">
      <colorScale>
        <cfvo type="min"/>
        <cfvo type="percentile" val="50"/>
        <cfvo type="max"/>
        <color rgb="FFF8696B"/>
        <color rgb="FFFFEB84"/>
        <color rgb="FF63BE7B"/>
      </colorScale>
    </cfRule>
  </conditionalFormatting>
  <conditionalFormatting sqref="F36:F42">
    <cfRule type="colorScale" priority="142">
      <colorScale>
        <cfvo type="min"/>
        <cfvo type="percentile" val="50"/>
        <cfvo type="max"/>
        <color rgb="FFF8696B"/>
        <color rgb="FFFFEB84"/>
        <color rgb="FF63BE7B"/>
      </colorScale>
    </cfRule>
  </conditionalFormatting>
  <conditionalFormatting sqref="F47:F53">
    <cfRule type="colorScale" priority="157">
      <colorScale>
        <cfvo type="min"/>
        <cfvo type="percentile" val="50"/>
        <cfvo type="max"/>
        <color rgb="FFF8696B"/>
        <color rgb="FFFFEB84"/>
        <color rgb="FF63BE7B"/>
      </colorScale>
    </cfRule>
  </conditionalFormatting>
  <conditionalFormatting sqref="F58:F64">
    <cfRule type="colorScale" priority="4">
      <colorScale>
        <cfvo type="min"/>
        <cfvo type="percentile" val="50"/>
        <cfvo type="max"/>
        <color rgb="FFF8696B"/>
        <color rgb="FFFFEB84"/>
        <color rgb="FF63BE7B"/>
      </colorScale>
    </cfRule>
  </conditionalFormatting>
  <conditionalFormatting sqref="F104:F110">
    <cfRule type="colorScale" priority="66">
      <colorScale>
        <cfvo type="min"/>
        <cfvo type="percentile" val="50"/>
        <cfvo type="max"/>
        <color rgb="FFF8696B"/>
        <color rgb="FFFFEB84"/>
        <color rgb="FF63BE7B"/>
      </colorScale>
    </cfRule>
  </conditionalFormatting>
  <conditionalFormatting sqref="F116:F122">
    <cfRule type="colorScale" priority="61">
      <colorScale>
        <cfvo type="min"/>
        <cfvo type="percentile" val="50"/>
        <cfvo type="max"/>
        <color rgb="FFF8696B"/>
        <color rgb="FFFFEB84"/>
        <color rgb="FF63BE7B"/>
      </colorScale>
    </cfRule>
  </conditionalFormatting>
  <conditionalFormatting sqref="F128:F134">
    <cfRule type="colorScale" priority="56">
      <colorScale>
        <cfvo type="min"/>
        <cfvo type="percentile" val="50"/>
        <cfvo type="max"/>
        <color rgb="FFF8696B"/>
        <color rgb="FFFFEB84"/>
        <color rgb="FF63BE7B"/>
      </colorScale>
    </cfRule>
  </conditionalFormatting>
  <conditionalFormatting sqref="F140:F146">
    <cfRule type="colorScale" priority="51">
      <colorScale>
        <cfvo type="min"/>
        <cfvo type="percentile" val="50"/>
        <cfvo type="max"/>
        <color rgb="FFF8696B"/>
        <color rgb="FFFFEB84"/>
        <color rgb="FF63BE7B"/>
      </colorScale>
    </cfRule>
  </conditionalFormatting>
  <conditionalFormatting sqref="F152:F158">
    <cfRule type="colorScale" priority="46">
      <colorScale>
        <cfvo type="min"/>
        <cfvo type="percentile" val="50"/>
        <cfvo type="max"/>
        <color rgb="FFF8696B"/>
        <color rgb="FFFFEB84"/>
        <color rgb="FF63BE7B"/>
      </colorScale>
    </cfRule>
  </conditionalFormatting>
  <conditionalFormatting sqref="F164:F170">
    <cfRule type="colorScale" priority="8">
      <colorScale>
        <cfvo type="min"/>
        <cfvo type="percentile" val="50"/>
        <cfvo type="max"/>
        <color rgb="FFF8696B"/>
        <color rgb="FFFFEB84"/>
        <color rgb="FF63BE7B"/>
      </colorScale>
    </cfRule>
  </conditionalFormatting>
  <conditionalFormatting sqref="G3:G9">
    <cfRule type="colorScale" priority="24">
      <colorScale>
        <cfvo type="min"/>
        <cfvo type="percentile" val="50"/>
        <cfvo type="max"/>
        <color rgb="FFF8696B"/>
        <color rgb="FFFFEB84"/>
        <color rgb="FF63BE7B"/>
      </colorScale>
    </cfRule>
  </conditionalFormatting>
  <conditionalFormatting sqref="G15:G21">
    <cfRule type="colorScale" priority="141">
      <colorScale>
        <cfvo type="min"/>
        <cfvo type="percentile" val="50"/>
        <cfvo type="max"/>
        <color rgb="FF63BE7B"/>
        <color rgb="FFFFEB84"/>
        <color rgb="FFF8696B"/>
      </colorScale>
    </cfRule>
  </conditionalFormatting>
  <conditionalFormatting sqref="G25:G31">
    <cfRule type="colorScale" priority="17">
      <colorScale>
        <cfvo type="min"/>
        <cfvo type="percentile" val="50"/>
        <cfvo type="max"/>
        <color rgb="FFF8696B"/>
        <color rgb="FFFFEB84"/>
        <color rgb="FF63BE7B"/>
      </colorScale>
    </cfRule>
  </conditionalFormatting>
  <conditionalFormatting sqref="G36:G42">
    <cfRule type="colorScale" priority="144">
      <colorScale>
        <cfvo type="min"/>
        <cfvo type="percentile" val="50"/>
        <cfvo type="max"/>
        <color rgb="FFF8696B"/>
        <color rgb="FFFFEB84"/>
        <color rgb="FF63BE7B"/>
      </colorScale>
    </cfRule>
  </conditionalFormatting>
  <conditionalFormatting sqref="G58:G64">
    <cfRule type="colorScale" priority="1">
      <colorScale>
        <cfvo type="min"/>
        <cfvo type="percentile" val="50"/>
        <cfvo type="max"/>
        <color rgb="FFF8696B"/>
        <color rgb="FFFFEB84"/>
        <color rgb="FF63BE7B"/>
      </colorScale>
    </cfRule>
  </conditionalFormatting>
  <conditionalFormatting sqref="G104:G110">
    <cfRule type="colorScale" priority="65">
      <colorScale>
        <cfvo type="min"/>
        <cfvo type="percentile" val="50"/>
        <cfvo type="max"/>
        <color rgb="FFF8696B"/>
        <color rgb="FFFFEB84"/>
        <color rgb="FF63BE7B"/>
      </colorScale>
    </cfRule>
  </conditionalFormatting>
  <conditionalFormatting sqref="G116:G122">
    <cfRule type="colorScale" priority="60">
      <colorScale>
        <cfvo type="min"/>
        <cfvo type="percentile" val="50"/>
        <cfvo type="max"/>
        <color rgb="FFF8696B"/>
        <color rgb="FFFFEB84"/>
        <color rgb="FF63BE7B"/>
      </colorScale>
    </cfRule>
  </conditionalFormatting>
  <conditionalFormatting sqref="G128:G134">
    <cfRule type="colorScale" priority="55">
      <colorScale>
        <cfvo type="min"/>
        <cfvo type="percentile" val="50"/>
        <cfvo type="max"/>
        <color rgb="FFF8696B"/>
        <color rgb="FFFFEB84"/>
        <color rgb="FF63BE7B"/>
      </colorScale>
    </cfRule>
  </conditionalFormatting>
  <conditionalFormatting sqref="G140:G146">
    <cfRule type="colorScale" priority="50">
      <colorScale>
        <cfvo type="min"/>
        <cfvo type="percentile" val="50"/>
        <cfvo type="max"/>
        <color rgb="FFF8696B"/>
        <color rgb="FFFFEB84"/>
        <color rgb="FF63BE7B"/>
      </colorScale>
    </cfRule>
  </conditionalFormatting>
  <conditionalFormatting sqref="G152:G158">
    <cfRule type="colorScale" priority="45">
      <colorScale>
        <cfvo type="min"/>
        <cfvo type="percentile" val="50"/>
        <cfvo type="max"/>
        <color rgb="FFF8696B"/>
        <color rgb="FFFFEB84"/>
        <color rgb="FF63BE7B"/>
      </colorScale>
    </cfRule>
  </conditionalFormatting>
  <conditionalFormatting sqref="G164:G170">
    <cfRule type="colorScale" priority="7">
      <colorScale>
        <cfvo type="min"/>
        <cfvo type="percentile" val="50"/>
        <cfvo type="max"/>
        <color rgb="FFF8696B"/>
        <color rgb="FFFFEB84"/>
        <color rgb="FF63BE7B"/>
      </colorScale>
    </cfRule>
  </conditionalFormatting>
  <conditionalFormatting sqref="H3:H9">
    <cfRule type="colorScale" priority="23">
      <colorScale>
        <cfvo type="min"/>
        <cfvo type="percentile" val="50"/>
        <cfvo type="max"/>
        <color rgb="FFF8696B"/>
        <color rgb="FFFFEB84"/>
        <color rgb="FF63BE7B"/>
      </colorScale>
    </cfRule>
  </conditionalFormatting>
  <conditionalFormatting sqref="H25:H31">
    <cfRule type="colorScale" priority="16">
      <colorScale>
        <cfvo type="min"/>
        <cfvo type="percentile" val="50"/>
        <cfvo type="max"/>
        <color rgb="FFF8696B"/>
        <color rgb="FFFFEB84"/>
        <color rgb="FF63BE7B"/>
      </colorScale>
    </cfRule>
  </conditionalFormatting>
  <conditionalFormatting sqref="H36:H42">
    <cfRule type="colorScale" priority="146">
      <colorScale>
        <cfvo type="min"/>
        <cfvo type="percentile" val="50"/>
        <cfvo type="max"/>
        <color rgb="FFF8696B"/>
        <color rgb="FFFFEB84"/>
        <color rgb="FF63BE7B"/>
      </colorScale>
    </cfRule>
  </conditionalFormatting>
  <conditionalFormatting sqref="H104:H110">
    <cfRule type="colorScale" priority="64">
      <colorScale>
        <cfvo type="min"/>
        <cfvo type="percentile" val="50"/>
        <cfvo type="max"/>
        <color rgb="FFF8696B"/>
        <color rgb="FFFFEB84"/>
        <color rgb="FF63BE7B"/>
      </colorScale>
    </cfRule>
  </conditionalFormatting>
  <conditionalFormatting sqref="H116:H122">
    <cfRule type="colorScale" priority="59">
      <colorScale>
        <cfvo type="min"/>
        <cfvo type="percentile" val="50"/>
        <cfvo type="max"/>
        <color rgb="FFF8696B"/>
        <color rgb="FFFFEB84"/>
        <color rgb="FF63BE7B"/>
      </colorScale>
    </cfRule>
  </conditionalFormatting>
  <conditionalFormatting sqref="H128:H134">
    <cfRule type="colorScale" priority="54">
      <colorScale>
        <cfvo type="min"/>
        <cfvo type="percentile" val="50"/>
        <cfvo type="max"/>
        <color rgb="FFF8696B"/>
        <color rgb="FFFFEB84"/>
        <color rgb="FF63BE7B"/>
      </colorScale>
    </cfRule>
  </conditionalFormatting>
  <conditionalFormatting sqref="H140:H146">
    <cfRule type="colorScale" priority="49">
      <colorScale>
        <cfvo type="min"/>
        <cfvo type="percentile" val="50"/>
        <cfvo type="max"/>
        <color rgb="FFF8696B"/>
        <color rgb="FFFFEB84"/>
        <color rgb="FF63BE7B"/>
      </colorScale>
    </cfRule>
  </conditionalFormatting>
  <conditionalFormatting sqref="H152:H158">
    <cfRule type="colorScale" priority="44">
      <colorScale>
        <cfvo type="min"/>
        <cfvo type="percentile" val="50"/>
        <cfvo type="max"/>
        <color rgb="FFF8696B"/>
        <color rgb="FFFFEB84"/>
        <color rgb="FF63BE7B"/>
      </colorScale>
    </cfRule>
  </conditionalFormatting>
  <conditionalFormatting sqref="H164:H170">
    <cfRule type="colorScale" priority="6">
      <colorScale>
        <cfvo type="min"/>
        <cfvo type="percentile" val="50"/>
        <cfvo type="max"/>
        <color rgb="FFF8696B"/>
        <color rgb="FFFFEB84"/>
        <color rgb="FF63BE7B"/>
      </colorScale>
    </cfRule>
  </conditionalFormatting>
  <conditionalFormatting sqref="I3:I9">
    <cfRule type="colorScale" priority="22">
      <colorScale>
        <cfvo type="min"/>
        <cfvo type="percentile" val="50"/>
        <cfvo type="max"/>
        <color rgb="FFF8696B"/>
        <color rgb="FFFFEB84"/>
        <color rgb="FF63BE7B"/>
      </colorScale>
    </cfRule>
  </conditionalFormatting>
  <conditionalFormatting sqref="I25:I31">
    <cfRule type="colorScale" priority="14">
      <colorScale>
        <cfvo type="min"/>
        <cfvo type="percentile" val="50"/>
        <cfvo type="max"/>
        <color rgb="FFF8696B"/>
        <color rgb="FFFFEB84"/>
        <color rgb="FF63BE7B"/>
      </colorScale>
    </cfRule>
  </conditionalFormatting>
  <conditionalFormatting sqref="I36:I42">
    <cfRule type="colorScale" priority="148">
      <colorScale>
        <cfvo type="min"/>
        <cfvo type="percentile" val="50"/>
        <cfvo type="max"/>
        <color rgb="FFF8696B"/>
        <color rgb="FFFFEB84"/>
        <color rgb="FF63BE7B"/>
      </colorScale>
    </cfRule>
  </conditionalFormatting>
  <conditionalFormatting sqref="I104:I110">
    <cfRule type="colorScale" priority="63">
      <colorScale>
        <cfvo type="min"/>
        <cfvo type="percentile" val="50"/>
        <cfvo type="max"/>
        <color rgb="FFF8696B"/>
        <color rgb="FFFFEB84"/>
        <color rgb="FF63BE7B"/>
      </colorScale>
    </cfRule>
  </conditionalFormatting>
  <conditionalFormatting sqref="I116:I122">
    <cfRule type="colorScale" priority="58">
      <colorScale>
        <cfvo type="min"/>
        <cfvo type="percentile" val="50"/>
        <cfvo type="max"/>
        <color rgb="FFF8696B"/>
        <color rgb="FFFFEB84"/>
        <color rgb="FF63BE7B"/>
      </colorScale>
    </cfRule>
  </conditionalFormatting>
  <conditionalFormatting sqref="I128:I134">
    <cfRule type="colorScale" priority="53">
      <colorScale>
        <cfvo type="min"/>
        <cfvo type="percentile" val="50"/>
        <cfvo type="max"/>
        <color rgb="FFF8696B"/>
        <color rgb="FFFFEB84"/>
        <color rgb="FF63BE7B"/>
      </colorScale>
    </cfRule>
  </conditionalFormatting>
  <conditionalFormatting sqref="I140:I146">
    <cfRule type="colorScale" priority="48">
      <colorScale>
        <cfvo type="min"/>
        <cfvo type="percentile" val="50"/>
        <cfvo type="max"/>
        <color rgb="FFF8696B"/>
        <color rgb="FFFFEB84"/>
        <color rgb="FF63BE7B"/>
      </colorScale>
    </cfRule>
  </conditionalFormatting>
  <conditionalFormatting sqref="I152:I158">
    <cfRule type="colorScale" priority="43">
      <colorScale>
        <cfvo type="min"/>
        <cfvo type="percentile" val="50"/>
        <cfvo type="max"/>
        <color rgb="FFF8696B"/>
        <color rgb="FFFFEB84"/>
        <color rgb="FF63BE7B"/>
      </colorScale>
    </cfRule>
  </conditionalFormatting>
  <conditionalFormatting sqref="I164:I170">
    <cfRule type="colorScale" priority="5">
      <colorScale>
        <cfvo type="min"/>
        <cfvo type="percentile" val="50"/>
        <cfvo type="max"/>
        <color rgb="FFF8696B"/>
        <color rgb="FFFFEB84"/>
        <color rgb="FF63BE7B"/>
      </colorScale>
    </cfRule>
  </conditionalFormatting>
  <conditionalFormatting sqref="J25:J31">
    <cfRule type="colorScale" priority="13">
      <colorScale>
        <cfvo type="min"/>
        <cfvo type="percentile" val="50"/>
        <cfvo type="max"/>
        <color rgb="FFF8696B"/>
        <color rgb="FFFFEB84"/>
        <color rgb="FF63BE7B"/>
      </colorScale>
    </cfRule>
  </conditionalFormatting>
  <conditionalFormatting sqref="J70:J76">
    <cfRule type="colorScale" priority="12">
      <colorScale>
        <cfvo type="min"/>
        <cfvo type="percentile" val="50"/>
        <cfvo type="max"/>
        <color rgb="FFF8696B"/>
        <color rgb="FFFFEB84"/>
        <color rgb="FF63BE7B"/>
      </colorScale>
    </cfRule>
  </conditionalFormatting>
  <conditionalFormatting sqref="K70:K76">
    <cfRule type="colorScale" priority="11">
      <colorScale>
        <cfvo type="min"/>
        <cfvo type="percentile" val="50"/>
        <cfvo type="max"/>
        <color rgb="FFF8696B"/>
        <color rgb="FFFFEB84"/>
        <color rgb="FF63BE7B"/>
      </colorScale>
    </cfRule>
  </conditionalFormatting>
  <conditionalFormatting sqref="L177:L183">
    <cfRule type="colorScale" priority="42">
      <colorScale>
        <cfvo type="min"/>
        <cfvo type="percentile" val="50"/>
        <cfvo type="max"/>
        <color rgb="FFF8696B"/>
        <color rgb="FFFFEB84"/>
        <color rgb="FF63BE7B"/>
      </colorScale>
    </cfRule>
  </conditionalFormatting>
  <conditionalFormatting sqref="L189:P195">
    <cfRule type="colorScale" priority="36">
      <colorScale>
        <cfvo type="min"/>
        <cfvo type="percentile" val="50"/>
        <cfvo type="max"/>
        <color rgb="FFF8696B"/>
        <color rgb="FFFFEB84"/>
        <color rgb="FF63BE7B"/>
      </colorScale>
    </cfRule>
  </conditionalFormatting>
  <conditionalFormatting sqref="L255:R288">
    <cfRule type="cellIs" dxfId="9" priority="118" operator="greaterThan">
      <formula>0.5</formula>
    </cfRule>
  </conditionalFormatting>
  <conditionalFormatting sqref="M177:M183">
    <cfRule type="colorScale" priority="41">
      <colorScale>
        <cfvo type="min"/>
        <cfvo type="percentile" val="50"/>
        <cfvo type="max"/>
        <color rgb="FFF8696B"/>
        <color rgb="FFFFEB84"/>
        <color rgb="FF63BE7B"/>
      </colorScale>
    </cfRule>
  </conditionalFormatting>
  <conditionalFormatting sqref="N177:N183">
    <cfRule type="colorScale" priority="40">
      <colorScale>
        <cfvo type="min"/>
        <cfvo type="percentile" val="50"/>
        <cfvo type="max"/>
        <color rgb="FFF8696B"/>
        <color rgb="FFFFEB84"/>
        <color rgb="FF63BE7B"/>
      </colorScale>
    </cfRule>
  </conditionalFormatting>
  <conditionalFormatting sqref="O177:O183">
    <cfRule type="colorScale" priority="39">
      <colorScale>
        <cfvo type="min"/>
        <cfvo type="percentile" val="50"/>
        <cfvo type="max"/>
        <color rgb="FFF8696B"/>
        <color rgb="FFFFEB84"/>
        <color rgb="FF63BE7B"/>
      </colorScale>
    </cfRule>
  </conditionalFormatting>
  <conditionalFormatting sqref="O200:V206">
    <cfRule type="colorScale" priority="30">
      <colorScale>
        <cfvo type="min"/>
        <cfvo type="percentile" val="50"/>
        <cfvo type="max"/>
        <color rgb="FFF8696B"/>
        <color rgb="FFFFEB84"/>
        <color rgb="FF63BE7B"/>
      </colorScale>
    </cfRule>
  </conditionalFormatting>
  <conditionalFormatting sqref="P177:P183">
    <cfRule type="colorScale" priority="38">
      <colorScale>
        <cfvo type="min"/>
        <cfvo type="percentile" val="50"/>
        <cfvo type="max"/>
        <color rgb="FFF8696B"/>
        <color rgb="FFFFEB84"/>
        <color rgb="FF63BE7B"/>
      </colorScale>
    </cfRule>
  </conditionalFormatting>
  <conditionalFormatting sqref="Q177:Q183">
    <cfRule type="colorScale" priority="37">
      <colorScale>
        <cfvo type="min"/>
        <cfvo type="percentile" val="50"/>
        <cfvo type="max"/>
        <color rgb="FFF8696B"/>
        <color rgb="FFFFEB84"/>
        <color rgb="FF63BE7B"/>
      </colorScale>
    </cfRule>
  </conditionalFormatting>
  <conditionalFormatting sqref="Q189:Q195">
    <cfRule type="colorScale" priority="31">
      <colorScale>
        <cfvo type="min"/>
        <cfvo type="percentile" val="50"/>
        <cfvo type="max"/>
        <color rgb="FFF8696B"/>
        <color rgb="FFFFEB84"/>
        <color rgb="FF63BE7B"/>
      </colorScale>
    </cfRule>
  </conditionalFormatting>
  <conditionalFormatting sqref="U297:U314">
    <cfRule type="colorScale" priority="10">
      <colorScale>
        <cfvo type="min"/>
        <cfvo type="percentile" val="50"/>
        <cfvo type="max"/>
        <color rgb="FFF8696B"/>
        <color rgb="FFFFEB84"/>
        <color rgb="FF63BE7B"/>
      </colorScale>
    </cfRule>
  </conditionalFormatting>
  <conditionalFormatting sqref="W200:W207">
    <cfRule type="colorScale" priority="28">
      <colorScale>
        <cfvo type="min"/>
        <cfvo type="percentile" val="50"/>
        <cfvo type="max"/>
        <color rgb="FFF8696B"/>
        <color rgb="FFFFEB84"/>
        <color rgb="FF63BE7B"/>
      </colorScale>
    </cfRule>
  </conditionalFormatting>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66D5-BB11-4710-AD3B-914E24156F55}">
  <dimension ref="A1:Z2208"/>
  <sheetViews>
    <sheetView zoomScale="70" zoomScaleNormal="70" workbookViewId="0">
      <selection activeCell="B3" sqref="B3"/>
    </sheetView>
  </sheetViews>
  <sheetFormatPr baseColWidth="10" defaultColWidth="11.4140625" defaultRowHeight="14"/>
  <cols>
    <col min="3" max="3" width="16.75" customWidth="1"/>
  </cols>
  <sheetData>
    <row r="1" spans="1:26">
      <c r="B1" t="s">
        <v>2646</v>
      </c>
      <c r="C1" t="s">
        <v>396</v>
      </c>
      <c r="D1" t="s">
        <v>397</v>
      </c>
      <c r="E1" t="s">
        <v>398</v>
      </c>
      <c r="F1" t="s">
        <v>399</v>
      </c>
      <c r="G1" t="s">
        <v>400</v>
      </c>
      <c r="L1" t="s">
        <v>303</v>
      </c>
      <c r="M1" t="s">
        <v>396</v>
      </c>
      <c r="N1" t="s">
        <v>397</v>
      </c>
      <c r="O1" t="s">
        <v>398</v>
      </c>
      <c r="P1" t="s">
        <v>399</v>
      </c>
      <c r="Q1" t="s">
        <v>400</v>
      </c>
      <c r="U1" t="s">
        <v>2802</v>
      </c>
      <c r="V1" t="s">
        <v>396</v>
      </c>
      <c r="W1" t="s">
        <v>397</v>
      </c>
      <c r="X1" t="s">
        <v>398</v>
      </c>
      <c r="Y1" t="s">
        <v>399</v>
      </c>
      <c r="Z1" t="s">
        <v>400</v>
      </c>
    </row>
    <row r="2" spans="1:26">
      <c r="A2" t="s">
        <v>417</v>
      </c>
      <c r="B2" s="25">
        <f>+Municipios!Z3</f>
        <v>74.733171506470498</v>
      </c>
      <c r="C2" s="232">
        <v>68276</v>
      </c>
      <c r="D2" s="232" t="s">
        <v>430</v>
      </c>
      <c r="E2" s="232" t="s">
        <v>431</v>
      </c>
      <c r="F2" s="232" t="s">
        <v>432</v>
      </c>
      <c r="G2" s="232" t="s">
        <v>433</v>
      </c>
      <c r="K2" t="s">
        <v>2647</v>
      </c>
      <c r="L2" s="81">
        <f>+Municipios!AB3</f>
        <v>63.39164356651213</v>
      </c>
      <c r="M2" s="232">
        <v>68276</v>
      </c>
      <c r="N2" s="232" t="s">
        <v>430</v>
      </c>
      <c r="O2" s="232" t="s">
        <v>431</v>
      </c>
      <c r="P2" s="232" t="s">
        <v>432</v>
      </c>
      <c r="Q2" s="232" t="s">
        <v>433</v>
      </c>
      <c r="T2" t="s">
        <v>2803</v>
      </c>
      <c r="U2" s="25">
        <f>+Municipios!Z3</f>
        <v>74.733171506470498</v>
      </c>
      <c r="V2" s="232">
        <v>68276</v>
      </c>
      <c r="W2" s="232" t="s">
        <v>430</v>
      </c>
      <c r="X2" s="232" t="s">
        <v>431</v>
      </c>
      <c r="Y2" s="232" t="s">
        <v>432</v>
      </c>
      <c r="Z2" s="232" t="s">
        <v>433</v>
      </c>
    </row>
    <row r="3" spans="1:26">
      <c r="A3" t="s">
        <v>417</v>
      </c>
      <c r="B3" s="25">
        <f>+Municipios!Z4</f>
        <v>83.806883784421984</v>
      </c>
      <c r="C3" s="232">
        <v>5360</v>
      </c>
      <c r="D3" s="232" t="s">
        <v>434</v>
      </c>
      <c r="E3" s="232" t="s">
        <v>435</v>
      </c>
      <c r="F3" s="232" t="s">
        <v>436</v>
      </c>
      <c r="G3" s="232" t="s">
        <v>437</v>
      </c>
      <c r="K3" t="s">
        <v>2647</v>
      </c>
      <c r="L3" s="81">
        <f>+Municipios!AB4</f>
        <v>83.806883784421984</v>
      </c>
      <c r="M3" s="232">
        <v>5360</v>
      </c>
      <c r="N3" s="232" t="s">
        <v>434</v>
      </c>
      <c r="O3" s="232" t="s">
        <v>435</v>
      </c>
      <c r="P3" s="232" t="s">
        <v>436</v>
      </c>
      <c r="Q3" s="232" t="s">
        <v>437</v>
      </c>
      <c r="T3" t="s">
        <v>2803</v>
      </c>
      <c r="U3" s="25">
        <f>+Municipios!Z4</f>
        <v>83.806883784421984</v>
      </c>
      <c r="V3" s="232">
        <v>5360</v>
      </c>
      <c r="W3" s="232" t="s">
        <v>434</v>
      </c>
      <c r="X3" s="232" t="s">
        <v>435</v>
      </c>
      <c r="Y3" s="232" t="s">
        <v>436</v>
      </c>
      <c r="Z3" s="232" t="s">
        <v>437</v>
      </c>
    </row>
    <row r="4" spans="1:26">
      <c r="A4" t="s">
        <v>417</v>
      </c>
      <c r="B4" s="25">
        <f>+Municipios!Z5</f>
        <v>83.913926483900156</v>
      </c>
      <c r="C4" s="232">
        <v>5001</v>
      </c>
      <c r="D4" s="232" t="s">
        <v>438</v>
      </c>
      <c r="E4" s="232" t="s">
        <v>435</v>
      </c>
      <c r="F4" s="232" t="s">
        <v>436</v>
      </c>
      <c r="G4" s="232" t="s">
        <v>439</v>
      </c>
      <c r="K4" t="s">
        <v>2647</v>
      </c>
      <c r="L4" s="81" t="str">
        <f>+Municipios!AB5</f>
        <v>Ciudades grandes</v>
      </c>
      <c r="M4" s="232">
        <v>5001</v>
      </c>
      <c r="N4" s="232" t="s">
        <v>438</v>
      </c>
      <c r="O4" s="232" t="s">
        <v>435</v>
      </c>
      <c r="P4" s="232" t="s">
        <v>436</v>
      </c>
      <c r="Q4" s="232" t="s">
        <v>439</v>
      </c>
      <c r="T4" t="s">
        <v>2803</v>
      </c>
      <c r="U4" s="25">
        <f>+Municipios!Z5</f>
        <v>83.913926483900156</v>
      </c>
      <c r="V4" s="232">
        <v>5001</v>
      </c>
      <c r="W4" s="232" t="s">
        <v>438</v>
      </c>
      <c r="X4" s="232" t="s">
        <v>435</v>
      </c>
      <c r="Y4" s="232" t="s">
        <v>436</v>
      </c>
      <c r="Z4" s="232" t="s">
        <v>439</v>
      </c>
    </row>
    <row r="5" spans="1:26">
      <c r="A5" t="s">
        <v>417</v>
      </c>
      <c r="B5" s="25">
        <f>+Municipios!Z6</f>
        <v>76.898832860970387</v>
      </c>
      <c r="C5" s="232">
        <v>8001</v>
      </c>
      <c r="D5" s="232" t="s">
        <v>441</v>
      </c>
      <c r="E5" s="232" t="s">
        <v>442</v>
      </c>
      <c r="F5" s="232" t="s">
        <v>443</v>
      </c>
      <c r="G5" s="232" t="s">
        <v>444</v>
      </c>
      <c r="K5" t="s">
        <v>2647</v>
      </c>
      <c r="L5" s="81" t="str">
        <f>+Municipios!AB6</f>
        <v>Ciudades grandes</v>
      </c>
      <c r="M5" s="232">
        <v>8001</v>
      </c>
      <c r="N5" s="232" t="s">
        <v>441</v>
      </c>
      <c r="O5" s="232" t="s">
        <v>442</v>
      </c>
      <c r="P5" s="232" t="s">
        <v>443</v>
      </c>
      <c r="Q5" s="232" t="s">
        <v>444</v>
      </c>
      <c r="T5" t="s">
        <v>2803</v>
      </c>
      <c r="U5" s="25">
        <f>+Municipios!Z6</f>
        <v>76.898832860970387</v>
      </c>
      <c r="V5" s="232">
        <v>8001</v>
      </c>
      <c r="W5" s="232" t="s">
        <v>441</v>
      </c>
      <c r="X5" s="232" t="s">
        <v>442</v>
      </c>
      <c r="Y5" s="232" t="s">
        <v>443</v>
      </c>
      <c r="Z5" s="232" t="s">
        <v>444</v>
      </c>
    </row>
    <row r="6" spans="1:26">
      <c r="A6" t="s">
        <v>417</v>
      </c>
      <c r="B6" s="25">
        <f>+Municipios!Z7</f>
        <v>58.735796967301354</v>
      </c>
      <c r="C6" s="232">
        <v>8758</v>
      </c>
      <c r="D6" s="232" t="s">
        <v>445</v>
      </c>
      <c r="E6" s="232" t="s">
        <v>442</v>
      </c>
      <c r="F6" s="232" t="s">
        <v>443</v>
      </c>
      <c r="G6" s="232" t="s">
        <v>446</v>
      </c>
      <c r="K6" t="s">
        <v>2647</v>
      </c>
      <c r="L6" s="81">
        <f>+Municipios!AB7</f>
        <v>55.848318745260116</v>
      </c>
      <c r="M6" s="232">
        <v>8758</v>
      </c>
      <c r="N6" s="232" t="s">
        <v>445</v>
      </c>
      <c r="O6" s="232" t="s">
        <v>442</v>
      </c>
      <c r="P6" s="232" t="s">
        <v>443</v>
      </c>
      <c r="Q6" s="232" t="s">
        <v>446</v>
      </c>
      <c r="T6" t="s">
        <v>2803</v>
      </c>
      <c r="U6" s="25">
        <f>+Municipios!Z7</f>
        <v>58.735796967301354</v>
      </c>
      <c r="V6" s="232">
        <v>8758</v>
      </c>
      <c r="W6" s="232" t="s">
        <v>445</v>
      </c>
      <c r="X6" s="232" t="s">
        <v>442</v>
      </c>
      <c r="Y6" s="232" t="s">
        <v>443</v>
      </c>
      <c r="Z6" s="232" t="s">
        <v>446</v>
      </c>
    </row>
    <row r="7" spans="1:26">
      <c r="A7" t="s">
        <v>417</v>
      </c>
      <c r="B7" s="25">
        <f>+Municipios!Z8</f>
        <v>76.771487435173157</v>
      </c>
      <c r="C7" s="232">
        <v>5631</v>
      </c>
      <c r="D7" s="232" t="s">
        <v>447</v>
      </c>
      <c r="E7" s="232" t="s">
        <v>435</v>
      </c>
      <c r="F7" s="232" t="s">
        <v>436</v>
      </c>
      <c r="G7" s="232" t="s">
        <v>448</v>
      </c>
      <c r="K7" t="s">
        <v>2647</v>
      </c>
      <c r="L7" s="81">
        <f>+Municipios!AB8</f>
        <v>70.994491098517116</v>
      </c>
      <c r="M7" s="232">
        <v>5631</v>
      </c>
      <c r="N7" s="232" t="s">
        <v>447</v>
      </c>
      <c r="O7" s="232" t="s">
        <v>435</v>
      </c>
      <c r="P7" s="232" t="s">
        <v>436</v>
      </c>
      <c r="Q7" s="232" t="s">
        <v>448</v>
      </c>
      <c r="T7" t="s">
        <v>2803</v>
      </c>
      <c r="U7" s="25">
        <f>+Municipios!Z8</f>
        <v>76.771487435173157</v>
      </c>
      <c r="V7" s="232">
        <v>5631</v>
      </c>
      <c r="W7" s="232" t="s">
        <v>447</v>
      </c>
      <c r="X7" s="232" t="s">
        <v>435</v>
      </c>
      <c r="Y7" s="232" t="s">
        <v>436</v>
      </c>
      <c r="Z7" s="232" t="s">
        <v>448</v>
      </c>
    </row>
    <row r="8" spans="1:26">
      <c r="A8" t="s">
        <v>417</v>
      </c>
      <c r="B8" s="25">
        <f>+Municipios!Z9</f>
        <v>77.691728802256307</v>
      </c>
      <c r="C8" s="232">
        <v>5088</v>
      </c>
      <c r="D8" s="232" t="s">
        <v>449</v>
      </c>
      <c r="E8" s="232" t="s">
        <v>435</v>
      </c>
      <c r="F8" s="232" t="s">
        <v>436</v>
      </c>
      <c r="G8" s="232" t="s">
        <v>450</v>
      </c>
      <c r="K8" t="s">
        <v>2647</v>
      </c>
      <c r="L8" s="81">
        <f>+Municipios!AB9</f>
        <v>69.877601774233256</v>
      </c>
      <c r="M8" s="232">
        <v>5088</v>
      </c>
      <c r="N8" s="232" t="s">
        <v>449</v>
      </c>
      <c r="O8" s="232" t="s">
        <v>435</v>
      </c>
      <c r="P8" s="232" t="s">
        <v>436</v>
      </c>
      <c r="Q8" s="232" t="s">
        <v>450</v>
      </c>
      <c r="T8" t="s">
        <v>2803</v>
      </c>
      <c r="U8" s="25">
        <f>+Municipios!Z9</f>
        <v>77.691728802256307</v>
      </c>
      <c r="V8" s="232">
        <v>5088</v>
      </c>
      <c r="W8" s="232" t="s">
        <v>449</v>
      </c>
      <c r="X8" s="232" t="s">
        <v>435</v>
      </c>
      <c r="Y8" s="232" t="s">
        <v>436</v>
      </c>
      <c r="Z8" s="232" t="s">
        <v>450</v>
      </c>
    </row>
    <row r="9" spans="1:26">
      <c r="A9" t="s">
        <v>417</v>
      </c>
      <c r="B9" s="25">
        <f>+Municipios!Z10</f>
        <v>81.997720949776749</v>
      </c>
      <c r="C9" s="232">
        <v>5266</v>
      </c>
      <c r="D9" s="232" t="s">
        <v>451</v>
      </c>
      <c r="E9" s="232" t="s">
        <v>435</v>
      </c>
      <c r="F9" s="232" t="s">
        <v>436</v>
      </c>
      <c r="G9" s="232" t="s">
        <v>452</v>
      </c>
      <c r="K9" t="s">
        <v>2647</v>
      </c>
      <c r="L9" s="81">
        <f>+Municipios!AB10</f>
        <v>72.835883483749328</v>
      </c>
      <c r="M9" s="232">
        <v>5266</v>
      </c>
      <c r="N9" s="232" t="s">
        <v>451</v>
      </c>
      <c r="O9" s="232" t="s">
        <v>435</v>
      </c>
      <c r="P9" s="232" t="s">
        <v>436</v>
      </c>
      <c r="Q9" s="232" t="s">
        <v>452</v>
      </c>
      <c r="T9" t="s">
        <v>2803</v>
      </c>
      <c r="U9" s="25">
        <f>+Municipios!Z10</f>
        <v>81.997720949776749</v>
      </c>
      <c r="V9" s="232">
        <v>5266</v>
      </c>
      <c r="W9" s="232" t="s">
        <v>451</v>
      </c>
      <c r="X9" s="232" t="s">
        <v>435</v>
      </c>
      <c r="Y9" s="232" t="s">
        <v>436</v>
      </c>
      <c r="Z9" s="232" t="s">
        <v>452</v>
      </c>
    </row>
    <row r="10" spans="1:26">
      <c r="A10" t="s">
        <v>417</v>
      </c>
      <c r="B10" s="25">
        <f>+Municipios!Z11</f>
        <v>76.481529469624491</v>
      </c>
      <c r="C10" s="232">
        <v>76001</v>
      </c>
      <c r="D10" s="232" t="s">
        <v>453</v>
      </c>
      <c r="E10" s="232" t="s">
        <v>454</v>
      </c>
      <c r="F10" s="232" t="s">
        <v>455</v>
      </c>
      <c r="G10" s="232" t="s">
        <v>456</v>
      </c>
      <c r="K10" t="s">
        <v>2647</v>
      </c>
      <c r="L10" s="81" t="str">
        <f>+Municipios!AB11</f>
        <v>Ciudades grandes</v>
      </c>
      <c r="M10" s="232">
        <v>76001</v>
      </c>
      <c r="N10" s="232" t="s">
        <v>453</v>
      </c>
      <c r="O10" s="232" t="s">
        <v>454</v>
      </c>
      <c r="P10" s="232" t="s">
        <v>455</v>
      </c>
      <c r="Q10" s="232" t="s">
        <v>456</v>
      </c>
      <c r="T10" t="s">
        <v>2803</v>
      </c>
      <c r="U10" s="25">
        <f>+Municipios!Z11</f>
        <v>76.481529469624491</v>
      </c>
      <c r="V10" s="232">
        <v>76001</v>
      </c>
      <c r="W10" s="232" t="s">
        <v>453</v>
      </c>
      <c r="X10" s="232" t="s">
        <v>454</v>
      </c>
      <c r="Y10" s="232" t="s">
        <v>455</v>
      </c>
      <c r="Z10" s="232" t="s">
        <v>456</v>
      </c>
    </row>
    <row r="11" spans="1:26">
      <c r="A11" t="s">
        <v>417</v>
      </c>
      <c r="B11" s="25">
        <f>+Municipios!Z12</f>
        <v>88.891538012556566</v>
      </c>
      <c r="C11" s="232">
        <v>11001</v>
      </c>
      <c r="D11" s="232" t="s">
        <v>457</v>
      </c>
      <c r="E11" s="232" t="s">
        <v>458</v>
      </c>
      <c r="F11" s="232" t="s">
        <v>459</v>
      </c>
      <c r="G11" s="232" t="s">
        <v>459</v>
      </c>
      <c r="K11" t="s">
        <v>2647</v>
      </c>
      <c r="L11" s="81" t="str">
        <f>+Municipios!AB12</f>
        <v>Bogotá</v>
      </c>
      <c r="M11" s="232">
        <v>11001</v>
      </c>
      <c r="N11" s="232" t="s">
        <v>457</v>
      </c>
      <c r="O11" s="232" t="s">
        <v>458</v>
      </c>
      <c r="P11" s="232" t="s">
        <v>459</v>
      </c>
      <c r="Q11" s="232" t="s">
        <v>459</v>
      </c>
      <c r="T11" t="s">
        <v>2803</v>
      </c>
      <c r="U11" s="25">
        <f>+Municipios!Z12</f>
        <v>88.891538012556566</v>
      </c>
      <c r="V11" s="232">
        <v>11001</v>
      </c>
      <c r="W11" s="232" t="s">
        <v>457</v>
      </c>
      <c r="X11" s="232" t="s">
        <v>458</v>
      </c>
      <c r="Y11" s="232" t="s">
        <v>459</v>
      </c>
      <c r="Z11" s="232" t="s">
        <v>459</v>
      </c>
    </row>
    <row r="12" spans="1:26">
      <c r="A12" t="s">
        <v>417</v>
      </c>
      <c r="B12" s="25">
        <f>+Municipios!Z13</f>
        <v>66.017686825073099</v>
      </c>
      <c r="C12" s="232">
        <v>25754</v>
      </c>
      <c r="D12" s="232" t="s">
        <v>460</v>
      </c>
      <c r="E12" s="232" t="s">
        <v>461</v>
      </c>
      <c r="F12" s="232" t="s">
        <v>462</v>
      </c>
      <c r="G12" s="232" t="s">
        <v>463</v>
      </c>
      <c r="K12" t="s">
        <v>2647</v>
      </c>
      <c r="L12" s="81">
        <f>+Municipios!AB13</f>
        <v>57.061503220542505</v>
      </c>
      <c r="M12" s="232">
        <v>25754</v>
      </c>
      <c r="N12" s="232" t="s">
        <v>460</v>
      </c>
      <c r="O12" s="232" t="s">
        <v>461</v>
      </c>
      <c r="P12" s="232" t="s">
        <v>462</v>
      </c>
      <c r="Q12" s="232" t="s">
        <v>463</v>
      </c>
      <c r="T12" t="s">
        <v>2803</v>
      </c>
      <c r="U12" s="25">
        <f>+Municipios!Z13</f>
        <v>66.017686825073099</v>
      </c>
      <c r="V12" s="232">
        <v>25754</v>
      </c>
      <c r="W12" s="232" t="s">
        <v>460</v>
      </c>
      <c r="X12" s="232" t="s">
        <v>461</v>
      </c>
      <c r="Y12" s="232" t="s">
        <v>462</v>
      </c>
      <c r="Z12" s="232" t="s">
        <v>463</v>
      </c>
    </row>
    <row r="13" spans="1:26">
      <c r="A13" t="s">
        <v>417</v>
      </c>
      <c r="B13" s="25">
        <f>+Municipios!Z14</f>
        <v>75.767384686649478</v>
      </c>
      <c r="C13" s="232">
        <v>68001</v>
      </c>
      <c r="D13" s="232" t="s">
        <v>464</v>
      </c>
      <c r="E13" s="232" t="s">
        <v>431</v>
      </c>
      <c r="F13" s="232" t="s">
        <v>432</v>
      </c>
      <c r="G13" s="232" t="s">
        <v>465</v>
      </c>
      <c r="K13" t="s">
        <v>2647</v>
      </c>
      <c r="L13" s="81" t="str">
        <f>+Municipios!AB14</f>
        <v>Ciudades grandes</v>
      </c>
      <c r="M13" s="232">
        <v>68001</v>
      </c>
      <c r="N13" s="232" t="s">
        <v>464</v>
      </c>
      <c r="O13" s="232" t="s">
        <v>431</v>
      </c>
      <c r="P13" s="232" t="s">
        <v>432</v>
      </c>
      <c r="Q13" s="232" t="s">
        <v>465</v>
      </c>
      <c r="T13" t="s">
        <v>2803</v>
      </c>
      <c r="U13" s="25">
        <f>+Municipios!Z14</f>
        <v>75.767384686649478</v>
      </c>
      <c r="V13" s="232">
        <v>68001</v>
      </c>
      <c r="W13" s="232" t="s">
        <v>464</v>
      </c>
      <c r="X13" s="232" t="s">
        <v>431</v>
      </c>
      <c r="Y13" s="232" t="s">
        <v>432</v>
      </c>
      <c r="Z13" s="232" t="s">
        <v>465</v>
      </c>
    </row>
    <row r="14" spans="1:26">
      <c r="A14" t="s">
        <v>417</v>
      </c>
      <c r="B14" s="25">
        <f>+Municipios!Z15</f>
        <v>70.088424052376823</v>
      </c>
      <c r="C14" s="232">
        <v>66170</v>
      </c>
      <c r="D14" s="232" t="s">
        <v>466</v>
      </c>
      <c r="E14" s="232" t="s">
        <v>467</v>
      </c>
      <c r="F14" s="232" t="s">
        <v>468</v>
      </c>
      <c r="G14" s="232" t="s">
        <v>469</v>
      </c>
      <c r="K14" t="s">
        <v>2647</v>
      </c>
      <c r="L14" s="81">
        <f>+Municipios!AB15</f>
        <v>60.08211392005645</v>
      </c>
      <c r="M14" s="232">
        <v>66170</v>
      </c>
      <c r="N14" s="232" t="s">
        <v>466</v>
      </c>
      <c r="O14" s="232" t="s">
        <v>467</v>
      </c>
      <c r="P14" s="232" t="s">
        <v>468</v>
      </c>
      <c r="Q14" s="232" t="s">
        <v>469</v>
      </c>
      <c r="T14" t="s">
        <v>2803</v>
      </c>
      <c r="U14" s="25">
        <f>+Municipios!Z15</f>
        <v>70.088424052376823</v>
      </c>
      <c r="V14" s="232">
        <v>66170</v>
      </c>
      <c r="W14" s="232" t="s">
        <v>466</v>
      </c>
      <c r="X14" s="232" t="s">
        <v>467</v>
      </c>
      <c r="Y14" s="232" t="s">
        <v>468</v>
      </c>
      <c r="Z14" s="232" t="s">
        <v>469</v>
      </c>
    </row>
    <row r="15" spans="1:26">
      <c r="A15" t="s">
        <v>417</v>
      </c>
      <c r="B15" s="25">
        <f>+Municipios!Z16</f>
        <v>73.627079656112414</v>
      </c>
      <c r="C15" s="232">
        <v>5380</v>
      </c>
      <c r="D15" s="232" t="s">
        <v>470</v>
      </c>
      <c r="E15" s="232" t="s">
        <v>435</v>
      </c>
      <c r="F15" s="232" t="s">
        <v>436</v>
      </c>
      <c r="G15" s="232" t="s">
        <v>471</v>
      </c>
      <c r="K15" t="s">
        <v>2647</v>
      </c>
      <c r="L15" s="81">
        <f>+Municipios!AB16</f>
        <v>62.373577071018765</v>
      </c>
      <c r="M15" s="232">
        <v>5380</v>
      </c>
      <c r="N15" s="232" t="s">
        <v>470</v>
      </c>
      <c r="O15" s="232" t="s">
        <v>435</v>
      </c>
      <c r="P15" s="232" t="s">
        <v>436</v>
      </c>
      <c r="Q15" s="232" t="s">
        <v>471</v>
      </c>
      <c r="T15" t="s">
        <v>2803</v>
      </c>
      <c r="U15" s="25">
        <f>+Municipios!Z16</f>
        <v>73.627079656112414</v>
      </c>
      <c r="V15" s="232">
        <v>5380</v>
      </c>
      <c r="W15" s="232" t="s">
        <v>470</v>
      </c>
      <c r="X15" s="232" t="s">
        <v>435</v>
      </c>
      <c r="Y15" s="232" t="s">
        <v>436</v>
      </c>
      <c r="Z15" s="232" t="s">
        <v>471</v>
      </c>
    </row>
    <row r="16" spans="1:26">
      <c r="A16" t="s">
        <v>417</v>
      </c>
      <c r="B16" s="25">
        <f>+Municipios!Z17</f>
        <v>68.110528439319793</v>
      </c>
      <c r="C16" s="232">
        <v>63001</v>
      </c>
      <c r="D16" s="232" t="s">
        <v>472</v>
      </c>
      <c r="E16" s="232" t="s">
        <v>473</v>
      </c>
      <c r="F16" s="232" t="s">
        <v>474</v>
      </c>
      <c r="G16" s="232" t="s">
        <v>475</v>
      </c>
      <c r="K16" t="s">
        <v>2647</v>
      </c>
      <c r="L16" s="81">
        <f>+Municipios!AB17</f>
        <v>56.502517294280956</v>
      </c>
      <c r="M16" s="232">
        <v>63001</v>
      </c>
      <c r="N16" s="232" t="s">
        <v>472</v>
      </c>
      <c r="O16" s="232" t="s">
        <v>473</v>
      </c>
      <c r="P16" s="232" t="s">
        <v>474</v>
      </c>
      <c r="Q16" s="232" t="s">
        <v>475</v>
      </c>
      <c r="T16" t="s">
        <v>2803</v>
      </c>
      <c r="U16" s="25">
        <f>+Municipios!Z17</f>
        <v>68.110528439319793</v>
      </c>
      <c r="V16" s="232">
        <v>63001</v>
      </c>
      <c r="W16" s="232" t="s">
        <v>472</v>
      </c>
      <c r="X16" s="232" t="s">
        <v>473</v>
      </c>
      <c r="Y16" s="232" t="s">
        <v>474</v>
      </c>
      <c r="Z16" s="232" t="s">
        <v>475</v>
      </c>
    </row>
    <row r="17" spans="1:26">
      <c r="A17" t="s">
        <v>417</v>
      </c>
      <c r="B17" s="25">
        <f>+Municipios!Z18</f>
        <v>69.841272144912423</v>
      </c>
      <c r="C17" s="232">
        <v>5212</v>
      </c>
      <c r="D17" s="232" t="s">
        <v>477</v>
      </c>
      <c r="E17" s="232" t="s">
        <v>435</v>
      </c>
      <c r="F17" s="232" t="s">
        <v>436</v>
      </c>
      <c r="G17" s="232" t="s">
        <v>478</v>
      </c>
      <c r="K17" t="s">
        <v>2647</v>
      </c>
      <c r="L17" s="81">
        <f>+Municipios!AB18</f>
        <v>56.669323305041658</v>
      </c>
      <c r="M17" s="232">
        <v>5212</v>
      </c>
      <c r="N17" s="232" t="s">
        <v>477</v>
      </c>
      <c r="O17" s="232" t="s">
        <v>435</v>
      </c>
      <c r="P17" s="232" t="s">
        <v>436</v>
      </c>
      <c r="Q17" s="232" t="s">
        <v>478</v>
      </c>
      <c r="T17" t="s">
        <v>2803</v>
      </c>
      <c r="U17" s="25">
        <f>+Municipios!Z18</f>
        <v>69.841272144912423</v>
      </c>
      <c r="V17" s="232">
        <v>5212</v>
      </c>
      <c r="W17" s="232" t="s">
        <v>477</v>
      </c>
      <c r="X17" s="232" t="s">
        <v>435</v>
      </c>
      <c r="Y17" s="232" t="s">
        <v>436</v>
      </c>
      <c r="Z17" s="232" t="s">
        <v>478</v>
      </c>
    </row>
    <row r="18" spans="1:26">
      <c r="A18" t="s">
        <v>417</v>
      </c>
      <c r="B18" s="25">
        <f>+Municipios!Z19</f>
        <v>66.707502873099685</v>
      </c>
      <c r="C18" s="232">
        <v>13001</v>
      </c>
      <c r="D18" s="232" t="s">
        <v>479</v>
      </c>
      <c r="E18" s="232" t="s">
        <v>480</v>
      </c>
      <c r="F18" s="232" t="s">
        <v>481</v>
      </c>
      <c r="G18" s="232" t="s">
        <v>482</v>
      </c>
      <c r="K18" t="s">
        <v>2647</v>
      </c>
      <c r="L18" s="81" t="str">
        <f>+Municipios!AB19</f>
        <v>Ciudades grandes</v>
      </c>
      <c r="M18" s="232">
        <v>13001</v>
      </c>
      <c r="N18" s="232" t="s">
        <v>479</v>
      </c>
      <c r="O18" s="232" t="s">
        <v>480</v>
      </c>
      <c r="P18" s="232" t="s">
        <v>481</v>
      </c>
      <c r="Q18" s="232" t="s">
        <v>482</v>
      </c>
      <c r="T18" t="s">
        <v>2803</v>
      </c>
      <c r="U18" s="25">
        <f>+Municipios!Z19</f>
        <v>66.707502873099685</v>
      </c>
      <c r="V18" s="232">
        <v>13001</v>
      </c>
      <c r="W18" s="232" t="s">
        <v>479</v>
      </c>
      <c r="X18" s="232" t="s">
        <v>480</v>
      </c>
      <c r="Y18" s="232" t="s">
        <v>481</v>
      </c>
      <c r="Z18" s="232" t="s">
        <v>482</v>
      </c>
    </row>
    <row r="19" spans="1:26">
      <c r="A19" t="s">
        <v>417</v>
      </c>
      <c r="B19" s="25">
        <f>+Municipios!Z20</f>
        <v>66.375845824017063</v>
      </c>
      <c r="C19" s="232">
        <v>25175</v>
      </c>
      <c r="D19" s="232" t="s">
        <v>483</v>
      </c>
      <c r="E19" s="232" t="s">
        <v>461</v>
      </c>
      <c r="F19" s="232" t="s">
        <v>462</v>
      </c>
      <c r="G19" s="232" t="s">
        <v>484</v>
      </c>
      <c r="K19" t="s">
        <v>2647</v>
      </c>
      <c r="L19" s="81">
        <f>+Municipios!AB20</f>
        <v>53.181704958393397</v>
      </c>
      <c r="M19" s="232">
        <v>25175</v>
      </c>
      <c r="N19" s="232" t="s">
        <v>483</v>
      </c>
      <c r="O19" s="232" t="s">
        <v>461</v>
      </c>
      <c r="P19" s="232" t="s">
        <v>462</v>
      </c>
      <c r="Q19" s="232" t="s">
        <v>484</v>
      </c>
      <c r="T19" t="s">
        <v>2803</v>
      </c>
      <c r="U19" s="25">
        <f>+Municipios!Z20</f>
        <v>66.375845824017063</v>
      </c>
      <c r="V19" s="232">
        <v>25175</v>
      </c>
      <c r="W19" s="232" t="s">
        <v>483</v>
      </c>
      <c r="X19" s="232" t="s">
        <v>461</v>
      </c>
      <c r="Y19" s="232" t="s">
        <v>462</v>
      </c>
      <c r="Z19" s="232" t="s">
        <v>484</v>
      </c>
    </row>
    <row r="20" spans="1:26">
      <c r="A20" t="s">
        <v>417</v>
      </c>
      <c r="B20" s="25">
        <f>+Municipios!Z21</f>
        <v>53.445001695512886</v>
      </c>
      <c r="C20" s="232">
        <v>8433</v>
      </c>
      <c r="D20" s="232" t="s">
        <v>485</v>
      </c>
      <c r="E20" s="232" t="s">
        <v>442</v>
      </c>
      <c r="F20" s="232" t="s">
        <v>443</v>
      </c>
      <c r="G20" s="232" t="s">
        <v>486</v>
      </c>
      <c r="K20" t="s">
        <v>2647</v>
      </c>
      <c r="L20" s="81">
        <f>+Municipios!AB21</f>
        <v>42.87567433418468</v>
      </c>
      <c r="M20" s="232">
        <v>8433</v>
      </c>
      <c r="N20" s="232" t="s">
        <v>485</v>
      </c>
      <c r="O20" s="232" t="s">
        <v>442</v>
      </c>
      <c r="P20" s="232" t="s">
        <v>443</v>
      </c>
      <c r="Q20" s="232" t="s">
        <v>486</v>
      </c>
      <c r="T20" t="s">
        <v>2803</v>
      </c>
      <c r="U20" s="25">
        <f>+Municipios!Z21</f>
        <v>53.445001695512886</v>
      </c>
      <c r="V20" s="232">
        <v>8433</v>
      </c>
      <c r="W20" s="232" t="s">
        <v>485</v>
      </c>
      <c r="X20" s="232" t="s">
        <v>442</v>
      </c>
      <c r="Y20" s="232" t="s">
        <v>443</v>
      </c>
      <c r="Z20" s="232" t="s">
        <v>486</v>
      </c>
    </row>
    <row r="21" spans="1:26">
      <c r="A21" t="s">
        <v>417</v>
      </c>
      <c r="B21" s="25">
        <f>+Municipios!Z22</f>
        <v>75.611344370980234</v>
      </c>
      <c r="C21" s="232">
        <v>25126</v>
      </c>
      <c r="D21" s="232" t="s">
        <v>487</v>
      </c>
      <c r="E21" s="232" t="s">
        <v>461</v>
      </c>
      <c r="F21" s="232" t="s">
        <v>462</v>
      </c>
      <c r="G21" s="232" t="s">
        <v>488</v>
      </c>
      <c r="K21" t="s">
        <v>2647</v>
      </c>
      <c r="L21" s="81">
        <f>+Municipios!AB22</f>
        <v>60.262388127822611</v>
      </c>
      <c r="M21" s="232">
        <v>25126</v>
      </c>
      <c r="N21" s="232" t="s">
        <v>487</v>
      </c>
      <c r="O21" s="232" t="s">
        <v>461</v>
      </c>
      <c r="P21" s="232" t="s">
        <v>462</v>
      </c>
      <c r="Q21" s="232" t="s">
        <v>488</v>
      </c>
      <c r="T21" t="s">
        <v>2803</v>
      </c>
      <c r="U21" s="25">
        <f>+Municipios!Z22</f>
        <v>75.611344370980234</v>
      </c>
      <c r="V21" s="232">
        <v>25126</v>
      </c>
      <c r="W21" s="232" t="s">
        <v>487</v>
      </c>
      <c r="X21" s="232" t="s">
        <v>461</v>
      </c>
      <c r="Y21" s="232" t="s">
        <v>462</v>
      </c>
      <c r="Z21" s="232" t="s">
        <v>488</v>
      </c>
    </row>
    <row r="22" spans="1:26">
      <c r="A22" t="s">
        <v>417</v>
      </c>
      <c r="B22" s="25">
        <f>+Municipios!Z23</f>
        <v>74.595592664992409</v>
      </c>
      <c r="C22" s="232">
        <v>25286</v>
      </c>
      <c r="D22" s="232" t="s">
        <v>489</v>
      </c>
      <c r="E22" s="232" t="s">
        <v>461</v>
      </c>
      <c r="F22" s="232" t="s">
        <v>462</v>
      </c>
      <c r="G22" s="232" t="s">
        <v>490</v>
      </c>
      <c r="K22" t="s">
        <v>2647</v>
      </c>
      <c r="L22" s="81">
        <f>+Municipios!AB23</f>
        <v>59.415054017475718</v>
      </c>
      <c r="M22" s="232">
        <v>25286</v>
      </c>
      <c r="N22" s="232" t="s">
        <v>489</v>
      </c>
      <c r="O22" s="232" t="s">
        <v>461</v>
      </c>
      <c r="P22" s="232" t="s">
        <v>462</v>
      </c>
      <c r="Q22" s="232" t="s">
        <v>490</v>
      </c>
      <c r="T22" t="s">
        <v>2803</v>
      </c>
      <c r="U22" s="25">
        <f>+Municipios!Z23</f>
        <v>74.595592664992409</v>
      </c>
      <c r="V22" s="232">
        <v>25286</v>
      </c>
      <c r="W22" s="232" t="s">
        <v>489</v>
      </c>
      <c r="X22" s="232" t="s">
        <v>461</v>
      </c>
      <c r="Y22" s="232" t="s">
        <v>462</v>
      </c>
      <c r="Z22" s="232" t="s">
        <v>490</v>
      </c>
    </row>
    <row r="23" spans="1:26">
      <c r="A23" t="s">
        <v>417</v>
      </c>
      <c r="B23" s="25">
        <f>+Municipios!Z24</f>
        <v>82.360859031478341</v>
      </c>
      <c r="C23" s="232">
        <v>25473</v>
      </c>
      <c r="D23" s="232" t="s">
        <v>491</v>
      </c>
      <c r="E23" s="232" t="s">
        <v>461</v>
      </c>
      <c r="F23" s="232" t="s">
        <v>462</v>
      </c>
      <c r="G23" s="232" t="s">
        <v>492</v>
      </c>
      <c r="K23" t="s">
        <v>2647</v>
      </c>
      <c r="L23" s="81">
        <f>+Municipios!AB24</f>
        <v>64.753397463403189</v>
      </c>
      <c r="M23" s="232">
        <v>25473</v>
      </c>
      <c r="N23" s="232" t="s">
        <v>491</v>
      </c>
      <c r="O23" s="232" t="s">
        <v>461</v>
      </c>
      <c r="P23" s="232" t="s">
        <v>462</v>
      </c>
      <c r="Q23" s="232" t="s">
        <v>492</v>
      </c>
      <c r="T23" t="s">
        <v>2803</v>
      </c>
      <c r="U23" s="25">
        <f>+Municipios!Z24</f>
        <v>82.360859031478341</v>
      </c>
      <c r="V23" s="232">
        <v>25473</v>
      </c>
      <c r="W23" s="232" t="s">
        <v>491</v>
      </c>
      <c r="X23" s="232" t="s">
        <v>461</v>
      </c>
      <c r="Y23" s="232" t="s">
        <v>462</v>
      </c>
      <c r="Z23" s="232" t="s">
        <v>492</v>
      </c>
    </row>
    <row r="24" spans="1:26">
      <c r="A24" t="s">
        <v>417</v>
      </c>
      <c r="B24" s="25">
        <f>+Municipios!Z25</f>
        <v>55.469139208647299</v>
      </c>
      <c r="C24" s="232">
        <v>70001</v>
      </c>
      <c r="D24" s="232" t="s">
        <v>493</v>
      </c>
      <c r="E24" s="232" t="s">
        <v>494</v>
      </c>
      <c r="F24" s="232" t="s">
        <v>495</v>
      </c>
      <c r="G24" s="232" t="s">
        <v>496</v>
      </c>
      <c r="K24" t="s">
        <v>2647</v>
      </c>
      <c r="L24" s="81">
        <f>+Municipios!AB25</f>
        <v>42.969269009038236</v>
      </c>
      <c r="M24" s="232">
        <v>70001</v>
      </c>
      <c r="N24" s="232" t="s">
        <v>493</v>
      </c>
      <c r="O24" s="232" t="s">
        <v>494</v>
      </c>
      <c r="P24" s="232" t="s">
        <v>495</v>
      </c>
      <c r="Q24" s="232" t="s">
        <v>496</v>
      </c>
      <c r="T24" t="s">
        <v>2803</v>
      </c>
      <c r="U24" s="25">
        <f>+Municipios!Z25</f>
        <v>55.469139208647299</v>
      </c>
      <c r="V24" s="232">
        <v>70001</v>
      </c>
      <c r="W24" s="232" t="s">
        <v>493</v>
      </c>
      <c r="X24" s="232" t="s">
        <v>494</v>
      </c>
      <c r="Y24" s="232" t="s">
        <v>495</v>
      </c>
      <c r="Z24" s="232" t="s">
        <v>496</v>
      </c>
    </row>
    <row r="25" spans="1:26">
      <c r="A25" t="s">
        <v>417</v>
      </c>
      <c r="B25" s="25">
        <f>+Municipios!Z26</f>
        <v>71.822896754478222</v>
      </c>
      <c r="C25" s="232">
        <v>15001</v>
      </c>
      <c r="D25" s="232" t="s">
        <v>497</v>
      </c>
      <c r="E25" s="232" t="s">
        <v>498</v>
      </c>
      <c r="F25" s="232" t="s">
        <v>499</v>
      </c>
      <c r="G25" s="232" t="s">
        <v>500</v>
      </c>
      <c r="K25" t="s">
        <v>2647</v>
      </c>
      <c r="L25" s="81">
        <f>+Municipios!AB26</f>
        <v>55.364543809380656</v>
      </c>
      <c r="M25" s="232">
        <v>15001</v>
      </c>
      <c r="N25" s="232" t="s">
        <v>497</v>
      </c>
      <c r="O25" s="232" t="s">
        <v>498</v>
      </c>
      <c r="P25" s="232" t="s">
        <v>499</v>
      </c>
      <c r="Q25" s="232" t="s">
        <v>500</v>
      </c>
      <c r="T25" t="s">
        <v>2803</v>
      </c>
      <c r="U25" s="25">
        <f>+Municipios!Z26</f>
        <v>71.822896754478222</v>
      </c>
      <c r="V25" s="232">
        <v>15001</v>
      </c>
      <c r="W25" s="232" t="s">
        <v>497</v>
      </c>
      <c r="X25" s="232" t="s">
        <v>498</v>
      </c>
      <c r="Y25" s="232" t="s">
        <v>499</v>
      </c>
      <c r="Z25" s="232" t="s">
        <v>500</v>
      </c>
    </row>
    <row r="26" spans="1:26">
      <c r="A26" t="s">
        <v>417</v>
      </c>
      <c r="B26" s="25">
        <f>+Municipios!Z27</f>
        <v>71.121553565029899</v>
      </c>
      <c r="C26" s="232">
        <v>25430</v>
      </c>
      <c r="D26" s="232" t="s">
        <v>501</v>
      </c>
      <c r="E26" s="232" t="s">
        <v>461</v>
      </c>
      <c r="F26" s="232" t="s">
        <v>462</v>
      </c>
      <c r="G26" s="232" t="s">
        <v>502</v>
      </c>
      <c r="K26" t="s">
        <v>2647</v>
      </c>
      <c r="L26" s="81">
        <f>+Municipios!AB27</f>
        <v>54.595975637797913</v>
      </c>
      <c r="M26" s="232">
        <v>25430</v>
      </c>
      <c r="N26" s="232" t="s">
        <v>501</v>
      </c>
      <c r="O26" s="232" t="s">
        <v>461</v>
      </c>
      <c r="P26" s="232" t="s">
        <v>462</v>
      </c>
      <c r="Q26" s="232" t="s">
        <v>502</v>
      </c>
      <c r="T26" t="s">
        <v>2803</v>
      </c>
      <c r="U26" s="25">
        <f>+Municipios!Z27</f>
        <v>71.121553565029899</v>
      </c>
      <c r="V26" s="232">
        <v>25430</v>
      </c>
      <c r="W26" s="232" t="s">
        <v>501</v>
      </c>
      <c r="X26" s="232" t="s">
        <v>461</v>
      </c>
      <c r="Y26" s="232" t="s">
        <v>462</v>
      </c>
      <c r="Z26" s="232" t="s">
        <v>502</v>
      </c>
    </row>
    <row r="27" spans="1:26">
      <c r="A27" t="s">
        <v>417</v>
      </c>
      <c r="B27" s="25">
        <f>+Municipios!Z28</f>
        <v>81.733980208649399</v>
      </c>
      <c r="C27" s="232">
        <v>5615</v>
      </c>
      <c r="D27" s="232" t="s">
        <v>503</v>
      </c>
      <c r="E27" s="232" t="s">
        <v>435</v>
      </c>
      <c r="F27" s="232" t="s">
        <v>436</v>
      </c>
      <c r="G27" s="232" t="s">
        <v>504</v>
      </c>
      <c r="K27" t="s">
        <v>2647</v>
      </c>
      <c r="L27" s="81">
        <f>+Municipios!AB28</f>
        <v>62.43920101101137</v>
      </c>
      <c r="M27" s="232">
        <v>5615</v>
      </c>
      <c r="N27" s="232" t="s">
        <v>503</v>
      </c>
      <c r="O27" s="232" t="s">
        <v>435</v>
      </c>
      <c r="P27" s="232" t="s">
        <v>436</v>
      </c>
      <c r="Q27" s="232" t="s">
        <v>504</v>
      </c>
      <c r="T27" t="s">
        <v>2803</v>
      </c>
      <c r="U27" s="25">
        <f>+Municipios!Z28</f>
        <v>81.733980208649399</v>
      </c>
      <c r="V27" s="232">
        <v>5615</v>
      </c>
      <c r="W27" s="232" t="s">
        <v>503</v>
      </c>
      <c r="X27" s="232" t="s">
        <v>435</v>
      </c>
      <c r="Y27" s="232" t="s">
        <v>436</v>
      </c>
      <c r="Z27" s="232" t="s">
        <v>504</v>
      </c>
    </row>
    <row r="28" spans="1:26">
      <c r="A28" t="s">
        <v>417</v>
      </c>
      <c r="B28" s="25">
        <f>+Municipios!Z29</f>
        <v>75.188058919845304</v>
      </c>
      <c r="C28" s="232">
        <v>17001</v>
      </c>
      <c r="D28" s="232" t="s">
        <v>505</v>
      </c>
      <c r="E28" s="232" t="s">
        <v>506</v>
      </c>
      <c r="F28" s="232" t="s">
        <v>507</v>
      </c>
      <c r="G28" s="232" t="s">
        <v>508</v>
      </c>
      <c r="K28" t="s">
        <v>2647</v>
      </c>
      <c r="L28" s="81">
        <f>+Municipios!AB29</f>
        <v>57.308057561163437</v>
      </c>
      <c r="M28" s="232">
        <v>17001</v>
      </c>
      <c r="N28" s="232" t="s">
        <v>505</v>
      </c>
      <c r="O28" s="232" t="s">
        <v>506</v>
      </c>
      <c r="P28" s="232" t="s">
        <v>507</v>
      </c>
      <c r="Q28" s="232" t="s">
        <v>508</v>
      </c>
      <c r="T28" t="s">
        <v>2803</v>
      </c>
      <c r="U28" s="25">
        <f>+Municipios!Z29</f>
        <v>75.188058919845304</v>
      </c>
      <c r="V28" s="232">
        <v>17001</v>
      </c>
      <c r="W28" s="232" t="s">
        <v>505</v>
      </c>
      <c r="X28" s="232" t="s">
        <v>506</v>
      </c>
      <c r="Y28" s="232" t="s">
        <v>507</v>
      </c>
      <c r="Z28" s="232" t="s">
        <v>508</v>
      </c>
    </row>
    <row r="29" spans="1:26">
      <c r="A29" t="s">
        <v>417</v>
      </c>
      <c r="B29" s="25">
        <f>+Municipios!Z30</f>
        <v>66.536850370554149</v>
      </c>
      <c r="C29" s="232">
        <v>8634</v>
      </c>
      <c r="D29" s="232" t="s">
        <v>509</v>
      </c>
      <c r="E29" s="232" t="s">
        <v>442</v>
      </c>
      <c r="F29" s="232" t="s">
        <v>443</v>
      </c>
      <c r="G29" s="232" t="s">
        <v>510</v>
      </c>
      <c r="K29" t="s">
        <v>2647</v>
      </c>
      <c r="L29" s="81">
        <f>+Municipios!AB30</f>
        <v>50.606396395160239</v>
      </c>
      <c r="M29" s="232">
        <v>8634</v>
      </c>
      <c r="N29" s="232" t="s">
        <v>509</v>
      </c>
      <c r="O29" s="232" t="s">
        <v>442</v>
      </c>
      <c r="P29" s="232" t="s">
        <v>443</v>
      </c>
      <c r="Q29" s="232" t="s">
        <v>510</v>
      </c>
      <c r="T29" t="s">
        <v>2803</v>
      </c>
      <c r="U29" s="25">
        <f>+Municipios!Z30</f>
        <v>66.536850370554149</v>
      </c>
      <c r="V29" s="232">
        <v>8634</v>
      </c>
      <c r="W29" s="232" t="s">
        <v>509</v>
      </c>
      <c r="X29" s="232" t="s">
        <v>442</v>
      </c>
      <c r="Y29" s="232" t="s">
        <v>443</v>
      </c>
      <c r="Z29" s="232" t="s">
        <v>510</v>
      </c>
    </row>
    <row r="30" spans="1:26">
      <c r="A30" t="s">
        <v>417</v>
      </c>
      <c r="B30" s="25">
        <f>+Municipios!Z31</f>
        <v>66.251892955920994</v>
      </c>
      <c r="C30" s="232">
        <v>25269</v>
      </c>
      <c r="D30" s="232" t="s">
        <v>511</v>
      </c>
      <c r="E30" s="232" t="s">
        <v>461</v>
      </c>
      <c r="F30" s="232" t="s">
        <v>462</v>
      </c>
      <c r="G30" s="232" t="s">
        <v>512</v>
      </c>
      <c r="K30" t="s">
        <v>2647</v>
      </c>
      <c r="L30" s="81">
        <f>+Municipios!AB31</f>
        <v>50.291052596731831</v>
      </c>
      <c r="M30" s="232">
        <v>25269</v>
      </c>
      <c r="N30" s="232" t="s">
        <v>511</v>
      </c>
      <c r="O30" s="232" t="s">
        <v>461</v>
      </c>
      <c r="P30" s="232" t="s">
        <v>462</v>
      </c>
      <c r="Q30" s="232" t="s">
        <v>512</v>
      </c>
      <c r="T30" t="s">
        <v>2803</v>
      </c>
      <c r="U30" s="25">
        <f>+Municipios!Z31</f>
        <v>66.251892955920994</v>
      </c>
      <c r="V30" s="232">
        <v>25269</v>
      </c>
      <c r="W30" s="232" t="s">
        <v>511</v>
      </c>
      <c r="X30" s="232" t="s">
        <v>461</v>
      </c>
      <c r="Y30" s="232" t="s">
        <v>462</v>
      </c>
      <c r="Z30" s="232" t="s">
        <v>512</v>
      </c>
    </row>
    <row r="31" spans="1:26">
      <c r="A31" t="s">
        <v>417</v>
      </c>
      <c r="B31" s="25">
        <f>+Municipios!Z32</f>
        <v>74.424434429248777</v>
      </c>
      <c r="C31" s="232">
        <v>66001</v>
      </c>
      <c r="D31" s="232" t="s">
        <v>513</v>
      </c>
      <c r="E31" s="232" t="s">
        <v>467</v>
      </c>
      <c r="F31" s="232" t="s">
        <v>468</v>
      </c>
      <c r="G31" s="232" t="s">
        <v>514</v>
      </c>
      <c r="K31" t="s">
        <v>2647</v>
      </c>
      <c r="L31" s="81">
        <f>+Municipios!AB32</f>
        <v>56.3402315644109</v>
      </c>
      <c r="M31" s="232">
        <v>66001</v>
      </c>
      <c r="N31" s="232" t="s">
        <v>513</v>
      </c>
      <c r="O31" s="232" t="s">
        <v>467</v>
      </c>
      <c r="P31" s="232" t="s">
        <v>468</v>
      </c>
      <c r="Q31" s="232" t="s">
        <v>514</v>
      </c>
      <c r="T31" t="s">
        <v>2803</v>
      </c>
      <c r="U31" s="25">
        <f>+Municipios!Z32</f>
        <v>74.424434429248777</v>
      </c>
      <c r="V31" s="232">
        <v>66001</v>
      </c>
      <c r="W31" s="232" t="s">
        <v>513</v>
      </c>
      <c r="X31" s="232" t="s">
        <v>467</v>
      </c>
      <c r="Y31" s="232" t="s">
        <v>468</v>
      </c>
      <c r="Z31" s="232" t="s">
        <v>514</v>
      </c>
    </row>
    <row r="32" spans="1:26">
      <c r="A32" t="s">
        <v>417</v>
      </c>
      <c r="B32" s="25">
        <f>+Municipios!Z33</f>
        <v>63.999969052171096</v>
      </c>
      <c r="C32" s="232">
        <v>5129</v>
      </c>
      <c r="D32" s="232" t="s">
        <v>515</v>
      </c>
      <c r="E32" s="232" t="s">
        <v>435</v>
      </c>
      <c r="F32" s="232" t="s">
        <v>436</v>
      </c>
      <c r="G32" s="232" t="s">
        <v>507</v>
      </c>
      <c r="K32" t="s">
        <v>2647</v>
      </c>
      <c r="L32" s="81">
        <f>+Municipios!AB33</f>
        <v>48.675249040758196</v>
      </c>
      <c r="M32" s="232">
        <v>5129</v>
      </c>
      <c r="N32" s="232" t="s">
        <v>515</v>
      </c>
      <c r="O32" s="232" t="s">
        <v>435</v>
      </c>
      <c r="P32" s="232" t="s">
        <v>436</v>
      </c>
      <c r="Q32" s="232" t="s">
        <v>507</v>
      </c>
      <c r="T32" t="s">
        <v>2803</v>
      </c>
      <c r="U32" s="25">
        <f>+Municipios!Z33</f>
        <v>63.999969052171096</v>
      </c>
      <c r="V32" s="232">
        <v>5129</v>
      </c>
      <c r="W32" s="232" t="s">
        <v>515</v>
      </c>
      <c r="X32" s="232" t="s">
        <v>435</v>
      </c>
      <c r="Y32" s="232" t="s">
        <v>436</v>
      </c>
      <c r="Z32" s="232" t="s">
        <v>507</v>
      </c>
    </row>
    <row r="33" spans="1:26">
      <c r="A33" t="s">
        <v>417</v>
      </c>
      <c r="B33" s="25">
        <f>+Municipios!Z34</f>
        <v>65.088470307704213</v>
      </c>
      <c r="C33" s="232">
        <v>54874</v>
      </c>
      <c r="D33" s="232" t="s">
        <v>516</v>
      </c>
      <c r="E33" s="232" t="s">
        <v>517</v>
      </c>
      <c r="F33" s="232" t="s">
        <v>518</v>
      </c>
      <c r="G33" s="232" t="s">
        <v>519</v>
      </c>
      <c r="K33" t="s">
        <v>2647</v>
      </c>
      <c r="L33" s="81">
        <f>+Municipios!AB34</f>
        <v>49.16745714474358</v>
      </c>
      <c r="M33" s="232">
        <v>54874</v>
      </c>
      <c r="N33" s="232" t="s">
        <v>516</v>
      </c>
      <c r="O33" s="232" t="s">
        <v>517</v>
      </c>
      <c r="P33" s="232" t="s">
        <v>518</v>
      </c>
      <c r="Q33" s="232" t="s">
        <v>519</v>
      </c>
      <c r="T33" t="s">
        <v>2803</v>
      </c>
      <c r="U33" s="25">
        <f>+Municipios!Z34</f>
        <v>65.088470307704213</v>
      </c>
      <c r="V33" s="232">
        <v>54874</v>
      </c>
      <c r="W33" s="232" t="s">
        <v>516</v>
      </c>
      <c r="X33" s="232" t="s">
        <v>517</v>
      </c>
      <c r="Y33" s="232" t="s">
        <v>518</v>
      </c>
      <c r="Z33" s="232" t="s">
        <v>519</v>
      </c>
    </row>
    <row r="34" spans="1:26">
      <c r="A34" t="s">
        <v>417</v>
      </c>
      <c r="B34" s="25">
        <f>+Municipios!Z35</f>
        <v>61.981115413561255</v>
      </c>
      <c r="C34" s="232">
        <v>66400</v>
      </c>
      <c r="D34" s="232" t="s">
        <v>520</v>
      </c>
      <c r="E34" s="232" t="s">
        <v>467</v>
      </c>
      <c r="F34" s="232" t="s">
        <v>468</v>
      </c>
      <c r="G34" s="232" t="s">
        <v>521</v>
      </c>
      <c r="K34" t="s">
        <v>2647</v>
      </c>
      <c r="L34" s="81">
        <f>+Municipios!AB35</f>
        <v>46.710243479941497</v>
      </c>
      <c r="M34" s="232">
        <v>66400</v>
      </c>
      <c r="N34" s="232" t="s">
        <v>520</v>
      </c>
      <c r="O34" s="232" t="s">
        <v>467</v>
      </c>
      <c r="P34" s="232" t="s">
        <v>468</v>
      </c>
      <c r="Q34" s="232" t="s">
        <v>521</v>
      </c>
      <c r="T34" t="s">
        <v>2803</v>
      </c>
      <c r="U34" s="25">
        <f>+Municipios!Z35</f>
        <v>61.981115413561255</v>
      </c>
      <c r="V34" s="232">
        <v>66400</v>
      </c>
      <c r="W34" s="232" t="s">
        <v>520</v>
      </c>
      <c r="X34" s="232" t="s">
        <v>467</v>
      </c>
      <c r="Y34" s="232" t="s">
        <v>468</v>
      </c>
      <c r="Z34" s="232" t="s">
        <v>521</v>
      </c>
    </row>
    <row r="35" spans="1:26">
      <c r="A35" t="s">
        <v>417</v>
      </c>
      <c r="B35" s="25">
        <f>+Municipios!Z36</f>
        <v>69.300246580668642</v>
      </c>
      <c r="C35" s="232">
        <v>5308</v>
      </c>
      <c r="D35" s="232" t="s">
        <v>522</v>
      </c>
      <c r="E35" s="232" t="s">
        <v>435</v>
      </c>
      <c r="F35" s="232" t="s">
        <v>436</v>
      </c>
      <c r="G35" s="232" t="s">
        <v>523</v>
      </c>
      <c r="K35" t="s">
        <v>2647</v>
      </c>
      <c r="L35" s="81">
        <f>+Municipios!AB36</f>
        <v>52.632051298111485</v>
      </c>
      <c r="M35" s="232">
        <v>5308</v>
      </c>
      <c r="N35" s="232" t="s">
        <v>522</v>
      </c>
      <c r="O35" s="232" t="s">
        <v>435</v>
      </c>
      <c r="P35" s="232" t="s">
        <v>436</v>
      </c>
      <c r="Q35" s="232" t="s">
        <v>523</v>
      </c>
      <c r="T35" t="s">
        <v>2803</v>
      </c>
      <c r="U35" s="25">
        <f>+Municipios!Z36</f>
        <v>69.300246580668642</v>
      </c>
      <c r="V35" s="232">
        <v>5308</v>
      </c>
      <c r="W35" s="232" t="s">
        <v>522</v>
      </c>
      <c r="X35" s="232" t="s">
        <v>435</v>
      </c>
      <c r="Y35" s="232" t="s">
        <v>436</v>
      </c>
      <c r="Z35" s="232" t="s">
        <v>523</v>
      </c>
    </row>
    <row r="36" spans="1:26">
      <c r="A36" t="s">
        <v>417</v>
      </c>
      <c r="B36" s="25">
        <f>+Municipios!Z37</f>
        <v>60.533444187256933</v>
      </c>
      <c r="C36" s="232">
        <v>25307</v>
      </c>
      <c r="D36" s="232" t="s">
        <v>524</v>
      </c>
      <c r="E36" s="232" t="s">
        <v>461</v>
      </c>
      <c r="F36" s="232" t="s">
        <v>462</v>
      </c>
      <c r="G36" s="232" t="s">
        <v>525</v>
      </c>
      <c r="K36" t="s">
        <v>2647</v>
      </c>
      <c r="L36" s="81">
        <f>+Municipios!AB37</f>
        <v>45.439068362128083</v>
      </c>
      <c r="M36" s="232">
        <v>25307</v>
      </c>
      <c r="N36" s="232" t="s">
        <v>524</v>
      </c>
      <c r="O36" s="232" t="s">
        <v>461</v>
      </c>
      <c r="P36" s="232" t="s">
        <v>462</v>
      </c>
      <c r="Q36" s="232" t="s">
        <v>525</v>
      </c>
      <c r="T36" t="s">
        <v>2803</v>
      </c>
      <c r="U36" s="25">
        <f>+Municipios!Z37</f>
        <v>60.533444187256933</v>
      </c>
      <c r="V36" s="232">
        <v>25307</v>
      </c>
      <c r="W36" s="232" t="s">
        <v>524</v>
      </c>
      <c r="X36" s="232" t="s">
        <v>461</v>
      </c>
      <c r="Y36" s="232" t="s">
        <v>462</v>
      </c>
      <c r="Z36" s="232" t="s">
        <v>525</v>
      </c>
    </row>
    <row r="37" spans="1:26">
      <c r="A37" t="s">
        <v>417</v>
      </c>
      <c r="B37" s="25">
        <f>+Municipios!Z38</f>
        <v>63.018213658725287</v>
      </c>
      <c r="C37" s="232">
        <v>8573</v>
      </c>
      <c r="D37" s="232" t="s">
        <v>526</v>
      </c>
      <c r="E37" s="232" t="s">
        <v>442</v>
      </c>
      <c r="F37" s="232" t="s">
        <v>443</v>
      </c>
      <c r="G37" s="232" t="s">
        <v>527</v>
      </c>
      <c r="K37" t="s">
        <v>2647</v>
      </c>
      <c r="L37" s="81">
        <f>+Municipios!AB38</f>
        <v>47.245106750378426</v>
      </c>
      <c r="M37" s="232">
        <v>8573</v>
      </c>
      <c r="N37" s="232" t="s">
        <v>526</v>
      </c>
      <c r="O37" s="232" t="s">
        <v>442</v>
      </c>
      <c r="P37" s="232" t="s">
        <v>443</v>
      </c>
      <c r="Q37" s="232" t="s">
        <v>527</v>
      </c>
      <c r="T37" t="s">
        <v>2803</v>
      </c>
      <c r="U37" s="25">
        <f>+Municipios!Z38</f>
        <v>63.018213658725287</v>
      </c>
      <c r="V37" s="232">
        <v>8573</v>
      </c>
      <c r="W37" s="232" t="s">
        <v>526</v>
      </c>
      <c r="X37" s="232" t="s">
        <v>442</v>
      </c>
      <c r="Y37" s="232" t="s">
        <v>443</v>
      </c>
      <c r="Z37" s="232" t="s">
        <v>527</v>
      </c>
    </row>
    <row r="38" spans="1:26">
      <c r="A38" t="s">
        <v>417</v>
      </c>
      <c r="B38" s="25">
        <f>+Municipios!Z39</f>
        <v>66.804436042292437</v>
      </c>
      <c r="C38" s="232">
        <v>25290</v>
      </c>
      <c r="D38" s="232" t="s">
        <v>528</v>
      </c>
      <c r="E38" s="232" t="s">
        <v>461</v>
      </c>
      <c r="F38" s="232" t="s">
        <v>462</v>
      </c>
      <c r="G38" s="232" t="s">
        <v>529</v>
      </c>
      <c r="K38" t="s">
        <v>2647</v>
      </c>
      <c r="L38" s="81">
        <f>+Municipios!AB39</f>
        <v>49.881546215518249</v>
      </c>
      <c r="M38" s="232">
        <v>25290</v>
      </c>
      <c r="N38" s="232" t="s">
        <v>528</v>
      </c>
      <c r="O38" s="232" t="s">
        <v>461</v>
      </c>
      <c r="P38" s="232" t="s">
        <v>462</v>
      </c>
      <c r="Q38" s="232" t="s">
        <v>529</v>
      </c>
      <c r="T38" t="s">
        <v>2803</v>
      </c>
      <c r="U38" s="25">
        <f>+Municipios!Z39</f>
        <v>66.804436042292437</v>
      </c>
      <c r="V38" s="232">
        <v>25290</v>
      </c>
      <c r="W38" s="232" t="s">
        <v>528</v>
      </c>
      <c r="X38" s="232" t="s">
        <v>461</v>
      </c>
      <c r="Y38" s="232" t="s">
        <v>462</v>
      </c>
      <c r="Z38" s="232" t="s">
        <v>529</v>
      </c>
    </row>
    <row r="39" spans="1:26">
      <c r="A39" t="s">
        <v>417</v>
      </c>
      <c r="B39" s="25">
        <f>+Municipios!Z40</f>
        <v>69.272223783581396</v>
      </c>
      <c r="C39" s="232">
        <v>8296</v>
      </c>
      <c r="D39" s="232" t="s">
        <v>530</v>
      </c>
      <c r="E39" s="232" t="s">
        <v>442</v>
      </c>
      <c r="F39" s="232" t="s">
        <v>443</v>
      </c>
      <c r="G39" s="232" t="s">
        <v>531</v>
      </c>
      <c r="K39" t="s">
        <v>2647</v>
      </c>
      <c r="L39" s="81">
        <f>+Municipios!AB40</f>
        <v>51.681429578621753</v>
      </c>
      <c r="M39" s="232">
        <v>8296</v>
      </c>
      <c r="N39" s="232" t="s">
        <v>530</v>
      </c>
      <c r="O39" s="232" t="s">
        <v>442</v>
      </c>
      <c r="P39" s="232" t="s">
        <v>443</v>
      </c>
      <c r="Q39" s="232" t="s">
        <v>531</v>
      </c>
      <c r="T39" t="s">
        <v>2803</v>
      </c>
      <c r="U39" s="25">
        <f>+Municipios!Z40</f>
        <v>69.272223783581396</v>
      </c>
      <c r="V39" s="232">
        <v>8296</v>
      </c>
      <c r="W39" s="232" t="s">
        <v>530</v>
      </c>
      <c r="X39" s="232" t="s">
        <v>442</v>
      </c>
      <c r="Y39" s="232" t="s">
        <v>443</v>
      </c>
      <c r="Z39" s="232" t="s">
        <v>531</v>
      </c>
    </row>
    <row r="40" spans="1:26">
      <c r="A40" t="s">
        <v>417</v>
      </c>
      <c r="B40" s="25">
        <f>+Municipios!Z41</f>
        <v>69.979843224483204</v>
      </c>
      <c r="C40" s="232">
        <v>5440</v>
      </c>
      <c r="D40" s="232" t="s">
        <v>532</v>
      </c>
      <c r="E40" s="232" t="s">
        <v>435</v>
      </c>
      <c r="F40" s="232" t="s">
        <v>436</v>
      </c>
      <c r="G40" s="232" t="s">
        <v>533</v>
      </c>
      <c r="K40" t="s">
        <v>2647</v>
      </c>
      <c r="L40" s="81">
        <f>+Municipios!AB41</f>
        <v>51.914788642667318</v>
      </c>
      <c r="M40" s="232">
        <v>5440</v>
      </c>
      <c r="N40" s="232" t="s">
        <v>532</v>
      </c>
      <c r="O40" s="232" t="s">
        <v>435</v>
      </c>
      <c r="P40" s="232" t="s">
        <v>436</v>
      </c>
      <c r="Q40" s="232" t="s">
        <v>533</v>
      </c>
      <c r="T40" t="s">
        <v>2803</v>
      </c>
      <c r="U40" s="25">
        <f>+Municipios!Z41</f>
        <v>69.979843224483204</v>
      </c>
      <c r="V40" s="232">
        <v>5440</v>
      </c>
      <c r="W40" s="232" t="s">
        <v>532</v>
      </c>
      <c r="X40" s="232" t="s">
        <v>435</v>
      </c>
      <c r="Y40" s="232" t="s">
        <v>436</v>
      </c>
      <c r="Z40" s="232" t="s">
        <v>533</v>
      </c>
    </row>
    <row r="41" spans="1:26">
      <c r="A41" t="s">
        <v>417</v>
      </c>
      <c r="B41" s="25">
        <f>+Municipios!Z42</f>
        <v>67.543437844665476</v>
      </c>
      <c r="C41" s="232">
        <v>25899</v>
      </c>
      <c r="D41" s="232" t="s">
        <v>534</v>
      </c>
      <c r="E41" s="232" t="s">
        <v>461</v>
      </c>
      <c r="F41" s="232" t="s">
        <v>462</v>
      </c>
      <c r="G41" s="232" t="s">
        <v>535</v>
      </c>
      <c r="K41" t="s">
        <v>2647</v>
      </c>
      <c r="L41" s="81">
        <f>+Municipios!AB42</f>
        <v>49.456591421963104</v>
      </c>
      <c r="M41" s="232">
        <v>25899</v>
      </c>
      <c r="N41" s="232" t="s">
        <v>534</v>
      </c>
      <c r="O41" s="232" t="s">
        <v>461</v>
      </c>
      <c r="P41" s="232" t="s">
        <v>462</v>
      </c>
      <c r="Q41" s="232" t="s">
        <v>535</v>
      </c>
      <c r="T41" t="s">
        <v>2803</v>
      </c>
      <c r="U41" s="25">
        <f>+Municipios!Z42</f>
        <v>67.543437844665476</v>
      </c>
      <c r="V41" s="232">
        <v>25899</v>
      </c>
      <c r="W41" s="232" t="s">
        <v>534</v>
      </c>
      <c r="X41" s="232" t="s">
        <v>461</v>
      </c>
      <c r="Y41" s="232" t="s">
        <v>462</v>
      </c>
      <c r="Z41" s="232" t="s">
        <v>535</v>
      </c>
    </row>
    <row r="42" spans="1:26">
      <c r="A42" t="s">
        <v>417</v>
      </c>
      <c r="B42" s="25">
        <f>+Municipios!Z43</f>
        <v>62.443233790396476</v>
      </c>
      <c r="C42" s="232">
        <v>76147</v>
      </c>
      <c r="D42" s="232" t="s">
        <v>536</v>
      </c>
      <c r="E42" s="232" t="s">
        <v>454</v>
      </c>
      <c r="F42" s="232" t="s">
        <v>455</v>
      </c>
      <c r="G42" s="232" t="s">
        <v>537</v>
      </c>
      <c r="K42" t="s">
        <v>2647</v>
      </c>
      <c r="L42" s="81">
        <f>+Municipios!AB43</f>
        <v>45.780957747657681</v>
      </c>
      <c r="M42" s="232">
        <v>76147</v>
      </c>
      <c r="N42" s="232" t="s">
        <v>536</v>
      </c>
      <c r="O42" s="232" t="s">
        <v>454</v>
      </c>
      <c r="P42" s="232" t="s">
        <v>455</v>
      </c>
      <c r="Q42" s="232" t="s">
        <v>537</v>
      </c>
      <c r="T42" t="s">
        <v>2803</v>
      </c>
      <c r="U42" s="25">
        <f>+Municipios!Z43</f>
        <v>62.443233790396476</v>
      </c>
      <c r="V42" s="232">
        <v>76147</v>
      </c>
      <c r="W42" s="232" t="s">
        <v>536</v>
      </c>
      <c r="X42" s="232" t="s">
        <v>454</v>
      </c>
      <c r="Y42" s="232" t="s">
        <v>455</v>
      </c>
      <c r="Z42" s="232" t="s">
        <v>537</v>
      </c>
    </row>
    <row r="43" spans="1:26">
      <c r="A43" t="s">
        <v>417</v>
      </c>
      <c r="B43" s="25">
        <f>+Municipios!Z44</f>
        <v>70.224358451542045</v>
      </c>
      <c r="C43" s="232">
        <v>5376</v>
      </c>
      <c r="D43" s="232" t="s">
        <v>538</v>
      </c>
      <c r="E43" s="232" t="s">
        <v>435</v>
      </c>
      <c r="F43" s="232" t="s">
        <v>436</v>
      </c>
      <c r="G43" s="232" t="s">
        <v>539</v>
      </c>
      <c r="K43" t="s">
        <v>2647</v>
      </c>
      <c r="L43" s="81">
        <f>+Municipios!AB44</f>
        <v>51.409416706272943</v>
      </c>
      <c r="M43" s="232">
        <v>5376</v>
      </c>
      <c r="N43" s="232" t="s">
        <v>538</v>
      </c>
      <c r="O43" s="232" t="s">
        <v>435</v>
      </c>
      <c r="P43" s="232" t="s">
        <v>436</v>
      </c>
      <c r="Q43" s="232" t="s">
        <v>539</v>
      </c>
      <c r="T43" t="s">
        <v>2803</v>
      </c>
      <c r="U43" s="25">
        <f>+Municipios!Z44</f>
        <v>70.224358451542045</v>
      </c>
      <c r="V43" s="232">
        <v>5376</v>
      </c>
      <c r="W43" s="232" t="s">
        <v>538</v>
      </c>
      <c r="X43" s="232" t="s">
        <v>435</v>
      </c>
      <c r="Y43" s="232" t="s">
        <v>436</v>
      </c>
      <c r="Z43" s="232" t="s">
        <v>539</v>
      </c>
    </row>
    <row r="44" spans="1:26">
      <c r="A44" t="s">
        <v>417</v>
      </c>
      <c r="B44" s="25">
        <f>+Municipios!Z45</f>
        <v>65.442516264860259</v>
      </c>
      <c r="C44" s="232">
        <v>25214</v>
      </c>
      <c r="D44" s="232" t="s">
        <v>540</v>
      </c>
      <c r="E44" s="232" t="s">
        <v>461</v>
      </c>
      <c r="F44" s="232" t="s">
        <v>462</v>
      </c>
      <c r="G44" s="232" t="s">
        <v>541</v>
      </c>
      <c r="K44" t="s">
        <v>2647</v>
      </c>
      <c r="L44" s="81">
        <f>+Municipios!AB45</f>
        <v>47.762049074704215</v>
      </c>
      <c r="M44" s="232">
        <v>25214</v>
      </c>
      <c r="N44" s="232" t="s">
        <v>540</v>
      </c>
      <c r="O44" s="232" t="s">
        <v>461</v>
      </c>
      <c r="P44" s="232" t="s">
        <v>462</v>
      </c>
      <c r="Q44" s="232" t="s">
        <v>541</v>
      </c>
      <c r="T44" t="s">
        <v>2803</v>
      </c>
      <c r="U44" s="25">
        <f>+Municipios!Z45</f>
        <v>65.442516264860259</v>
      </c>
      <c r="V44" s="232">
        <v>25214</v>
      </c>
      <c r="W44" s="232" t="s">
        <v>540</v>
      </c>
      <c r="X44" s="232" t="s">
        <v>461</v>
      </c>
      <c r="Y44" s="232" t="s">
        <v>462</v>
      </c>
      <c r="Z44" s="232" t="s">
        <v>541</v>
      </c>
    </row>
    <row r="45" spans="1:26">
      <c r="A45" t="s">
        <v>417</v>
      </c>
      <c r="B45" s="25">
        <f>+Municipios!Z46</f>
        <v>60.455370405561766</v>
      </c>
      <c r="C45" s="232">
        <v>8078</v>
      </c>
      <c r="D45" s="232" t="s">
        <v>542</v>
      </c>
      <c r="E45" s="232" t="s">
        <v>442</v>
      </c>
      <c r="F45" s="232" t="s">
        <v>443</v>
      </c>
      <c r="G45" s="232" t="s">
        <v>543</v>
      </c>
      <c r="K45" t="s">
        <v>2647</v>
      </c>
      <c r="L45" s="81">
        <f>+Municipios!AB46</f>
        <v>44.066315360144777</v>
      </c>
      <c r="M45" s="232">
        <v>8078</v>
      </c>
      <c r="N45" s="232" t="s">
        <v>542</v>
      </c>
      <c r="O45" s="232" t="s">
        <v>442</v>
      </c>
      <c r="P45" s="232" t="s">
        <v>443</v>
      </c>
      <c r="Q45" s="232" t="s">
        <v>543</v>
      </c>
      <c r="T45" t="s">
        <v>2803</v>
      </c>
      <c r="U45" s="25">
        <f>+Municipios!Z46</f>
        <v>60.455370405561766</v>
      </c>
      <c r="V45" s="232">
        <v>8078</v>
      </c>
      <c r="W45" s="232" t="s">
        <v>542</v>
      </c>
      <c r="X45" s="232" t="s">
        <v>442</v>
      </c>
      <c r="Y45" s="232" t="s">
        <v>443</v>
      </c>
      <c r="Z45" s="232" t="s">
        <v>543</v>
      </c>
    </row>
    <row r="46" spans="1:26">
      <c r="A46" t="s">
        <v>417</v>
      </c>
      <c r="B46" s="25">
        <f>+Municipios!Z47</f>
        <v>58.355004050983496</v>
      </c>
      <c r="C46" s="232">
        <v>13836</v>
      </c>
      <c r="D46" s="232" t="s">
        <v>544</v>
      </c>
      <c r="E46" s="232" t="s">
        <v>480</v>
      </c>
      <c r="F46" s="232" t="s">
        <v>481</v>
      </c>
      <c r="G46" s="232" t="s">
        <v>545</v>
      </c>
      <c r="K46" t="s">
        <v>2647</v>
      </c>
      <c r="L46" s="81">
        <f>+Municipios!AB47</f>
        <v>42.495598990682986</v>
      </c>
      <c r="M46" s="232">
        <v>13836</v>
      </c>
      <c r="N46" s="232" t="s">
        <v>544</v>
      </c>
      <c r="O46" s="232" t="s">
        <v>480</v>
      </c>
      <c r="P46" s="232" t="s">
        <v>481</v>
      </c>
      <c r="Q46" s="232" t="s">
        <v>545</v>
      </c>
      <c r="T46" t="s">
        <v>2803</v>
      </c>
      <c r="U46" s="25">
        <f>+Municipios!Z47</f>
        <v>58.355004050983496</v>
      </c>
      <c r="V46" s="232">
        <v>13836</v>
      </c>
      <c r="W46" s="232" t="s">
        <v>544</v>
      </c>
      <c r="X46" s="232" t="s">
        <v>480</v>
      </c>
      <c r="Y46" s="232" t="s">
        <v>481</v>
      </c>
      <c r="Z46" s="232" t="s">
        <v>545</v>
      </c>
    </row>
    <row r="47" spans="1:26">
      <c r="A47" t="s">
        <v>417</v>
      </c>
      <c r="B47" s="25">
        <f>+Municipios!Z48</f>
        <v>59.237623194218784</v>
      </c>
      <c r="C47" s="232">
        <v>8685</v>
      </c>
      <c r="D47" s="232" t="s">
        <v>546</v>
      </c>
      <c r="E47" s="232" t="s">
        <v>442</v>
      </c>
      <c r="F47" s="232" t="s">
        <v>443</v>
      </c>
      <c r="G47" s="232" t="s">
        <v>547</v>
      </c>
      <c r="K47" t="s">
        <v>2647</v>
      </c>
      <c r="L47" s="81">
        <f>+Municipios!AB48</f>
        <v>42.851437396028857</v>
      </c>
      <c r="M47" s="232">
        <v>8685</v>
      </c>
      <c r="N47" s="232" t="s">
        <v>546</v>
      </c>
      <c r="O47" s="232" t="s">
        <v>442</v>
      </c>
      <c r="P47" s="232" t="s">
        <v>443</v>
      </c>
      <c r="Q47" s="232" t="s">
        <v>547</v>
      </c>
      <c r="T47" t="s">
        <v>2803</v>
      </c>
      <c r="U47" s="25">
        <f>+Municipios!Z48</f>
        <v>59.237623194218784</v>
      </c>
      <c r="V47" s="232">
        <v>8685</v>
      </c>
      <c r="W47" s="232" t="s">
        <v>546</v>
      </c>
      <c r="X47" s="232" t="s">
        <v>442</v>
      </c>
      <c r="Y47" s="232" t="s">
        <v>443</v>
      </c>
      <c r="Z47" s="232" t="s">
        <v>547</v>
      </c>
    </row>
    <row r="48" spans="1:26">
      <c r="A48" t="s">
        <v>417</v>
      </c>
      <c r="B48" s="25">
        <f>+Municipios!Z49</f>
        <v>68.36949324684295</v>
      </c>
      <c r="C48" s="232">
        <v>54405</v>
      </c>
      <c r="D48" s="232" t="s">
        <v>548</v>
      </c>
      <c r="E48" s="232" t="s">
        <v>517</v>
      </c>
      <c r="F48" s="232" t="s">
        <v>518</v>
      </c>
      <c r="G48" s="232" t="s">
        <v>549</v>
      </c>
      <c r="K48" t="s">
        <v>2647</v>
      </c>
      <c r="L48" s="81">
        <f>+Municipios!AB49</f>
        <v>49.408969876919556</v>
      </c>
      <c r="M48" s="232">
        <v>54405</v>
      </c>
      <c r="N48" s="232" t="s">
        <v>548</v>
      </c>
      <c r="O48" s="232" t="s">
        <v>517</v>
      </c>
      <c r="P48" s="232" t="s">
        <v>518</v>
      </c>
      <c r="Q48" s="232" t="s">
        <v>549</v>
      </c>
      <c r="T48" t="s">
        <v>2803</v>
      </c>
      <c r="U48" s="25">
        <f>+Municipios!Z49</f>
        <v>68.36949324684295</v>
      </c>
      <c r="V48" s="232">
        <v>54405</v>
      </c>
      <c r="W48" s="232" t="s">
        <v>548</v>
      </c>
      <c r="X48" s="232" t="s">
        <v>517</v>
      </c>
      <c r="Y48" s="232" t="s">
        <v>518</v>
      </c>
      <c r="Z48" s="232" t="s">
        <v>549</v>
      </c>
    </row>
    <row r="49" spans="1:26">
      <c r="A49" t="s">
        <v>417</v>
      </c>
      <c r="B49" s="25">
        <f>+Municipios!Z50</f>
        <v>70.32700820755241</v>
      </c>
      <c r="C49" s="232">
        <v>76892</v>
      </c>
      <c r="D49" s="232" t="s">
        <v>550</v>
      </c>
      <c r="E49" s="232" t="s">
        <v>454</v>
      </c>
      <c r="F49" s="232" t="s">
        <v>455</v>
      </c>
      <c r="G49" s="232" t="s">
        <v>551</v>
      </c>
      <c r="K49" t="s">
        <v>2647</v>
      </c>
      <c r="L49" s="81">
        <f>+Municipios!AB50</f>
        <v>50.547737533198749</v>
      </c>
      <c r="M49" s="232">
        <v>76892</v>
      </c>
      <c r="N49" s="232" t="s">
        <v>550</v>
      </c>
      <c r="O49" s="232" t="s">
        <v>454</v>
      </c>
      <c r="P49" s="232" t="s">
        <v>455</v>
      </c>
      <c r="Q49" s="232" t="s">
        <v>551</v>
      </c>
      <c r="T49" t="s">
        <v>2803</v>
      </c>
      <c r="U49" s="25">
        <f>+Municipios!Z50</f>
        <v>70.32700820755241</v>
      </c>
      <c r="V49" s="232">
        <v>76892</v>
      </c>
      <c r="W49" s="232" t="s">
        <v>550</v>
      </c>
      <c r="X49" s="232" t="s">
        <v>454</v>
      </c>
      <c r="Y49" s="232" t="s">
        <v>455</v>
      </c>
      <c r="Z49" s="232" t="s">
        <v>551</v>
      </c>
    </row>
    <row r="50" spans="1:26">
      <c r="A50" t="s">
        <v>417</v>
      </c>
      <c r="B50" s="25">
        <f>+Municipios!Z51</f>
        <v>70.411772308526466</v>
      </c>
      <c r="C50" s="232">
        <v>25817</v>
      </c>
      <c r="D50" s="232" t="s">
        <v>552</v>
      </c>
      <c r="E50" s="232" t="s">
        <v>461</v>
      </c>
      <c r="F50" s="232" t="s">
        <v>462</v>
      </c>
      <c r="G50" s="232" t="s">
        <v>553</v>
      </c>
      <c r="K50" t="s">
        <v>2647</v>
      </c>
      <c r="L50" s="81">
        <f>+Municipios!AB51</f>
        <v>50.293847908620215</v>
      </c>
      <c r="M50" s="232">
        <v>25817</v>
      </c>
      <c r="N50" s="232" t="s">
        <v>552</v>
      </c>
      <c r="O50" s="232" t="s">
        <v>461</v>
      </c>
      <c r="P50" s="232" t="s">
        <v>462</v>
      </c>
      <c r="Q50" s="232" t="s">
        <v>553</v>
      </c>
      <c r="T50" t="s">
        <v>2803</v>
      </c>
      <c r="U50" s="25">
        <f>+Municipios!Z51</f>
        <v>70.411772308526466</v>
      </c>
      <c r="V50" s="232">
        <v>25817</v>
      </c>
      <c r="W50" s="232" t="s">
        <v>552</v>
      </c>
      <c r="X50" s="232" t="s">
        <v>461</v>
      </c>
      <c r="Y50" s="232" t="s">
        <v>462</v>
      </c>
      <c r="Z50" s="232" t="s">
        <v>553</v>
      </c>
    </row>
    <row r="51" spans="1:26">
      <c r="A51" t="s">
        <v>417</v>
      </c>
      <c r="B51" s="25">
        <f>+Municipios!Z52</f>
        <v>73.593315417131009</v>
      </c>
      <c r="C51" s="232">
        <v>5318</v>
      </c>
      <c r="D51" s="232" t="s">
        <v>554</v>
      </c>
      <c r="E51" s="232" t="s">
        <v>435</v>
      </c>
      <c r="F51" s="232" t="s">
        <v>436</v>
      </c>
      <c r="G51" s="232" t="s">
        <v>555</v>
      </c>
      <c r="K51" t="s">
        <v>2647</v>
      </c>
      <c r="L51" s="81">
        <f>+Municipios!AB52</f>
        <v>53.065100742032818</v>
      </c>
      <c r="M51" s="232">
        <v>5318</v>
      </c>
      <c r="N51" s="232" t="s">
        <v>554</v>
      </c>
      <c r="O51" s="232" t="s">
        <v>435</v>
      </c>
      <c r="P51" s="232" t="s">
        <v>436</v>
      </c>
      <c r="Q51" s="232" t="s">
        <v>555</v>
      </c>
      <c r="T51" t="s">
        <v>2803</v>
      </c>
      <c r="U51" s="25">
        <f>+Municipios!Z52</f>
        <v>73.593315417131009</v>
      </c>
      <c r="V51" s="232">
        <v>5318</v>
      </c>
      <c r="W51" s="232" t="s">
        <v>554</v>
      </c>
      <c r="X51" s="232" t="s">
        <v>435</v>
      </c>
      <c r="Y51" s="232" t="s">
        <v>436</v>
      </c>
      <c r="Z51" s="232" t="s">
        <v>555</v>
      </c>
    </row>
    <row r="52" spans="1:26">
      <c r="A52" t="s">
        <v>417</v>
      </c>
      <c r="B52" s="25">
        <f>+Municipios!Z53</f>
        <v>56.217484889314761</v>
      </c>
      <c r="C52" s="232">
        <v>19001</v>
      </c>
      <c r="D52" s="232" t="s">
        <v>556</v>
      </c>
      <c r="E52" s="232" t="s">
        <v>557</v>
      </c>
      <c r="F52" s="232" t="s">
        <v>558</v>
      </c>
      <c r="G52" s="232" t="s">
        <v>559</v>
      </c>
      <c r="K52" t="s">
        <v>2647</v>
      </c>
      <c r="L52" s="81">
        <f>+Municipios!AB53</f>
        <v>40.221666614769333</v>
      </c>
      <c r="M52" s="232">
        <v>19001</v>
      </c>
      <c r="N52" s="232" t="s">
        <v>556</v>
      </c>
      <c r="O52" s="232" t="s">
        <v>557</v>
      </c>
      <c r="P52" s="232" t="s">
        <v>558</v>
      </c>
      <c r="Q52" s="232" t="s">
        <v>559</v>
      </c>
      <c r="T52" t="s">
        <v>2803</v>
      </c>
      <c r="U52" s="25">
        <f>+Municipios!Z53</f>
        <v>56.217484889314761</v>
      </c>
      <c r="V52" s="232">
        <v>19001</v>
      </c>
      <c r="W52" s="232" t="s">
        <v>556</v>
      </c>
      <c r="X52" s="232" t="s">
        <v>557</v>
      </c>
      <c r="Y52" s="232" t="s">
        <v>558</v>
      </c>
      <c r="Z52" s="232" t="s">
        <v>559</v>
      </c>
    </row>
    <row r="53" spans="1:26">
      <c r="A53" t="s">
        <v>417</v>
      </c>
      <c r="B53" s="25">
        <f>+Municipios!Z54</f>
        <v>60.617753811873584</v>
      </c>
      <c r="C53" s="232">
        <v>17174</v>
      </c>
      <c r="D53" s="232" t="s">
        <v>560</v>
      </c>
      <c r="E53" s="232" t="s">
        <v>506</v>
      </c>
      <c r="F53" s="232" t="s">
        <v>507</v>
      </c>
      <c r="G53" s="232" t="s">
        <v>561</v>
      </c>
      <c r="K53" t="s">
        <v>2647</v>
      </c>
      <c r="L53" s="81">
        <f>+Municipios!AB54</f>
        <v>43.144339972540337</v>
      </c>
      <c r="M53" s="232">
        <v>17174</v>
      </c>
      <c r="N53" s="232" t="s">
        <v>560</v>
      </c>
      <c r="O53" s="232" t="s">
        <v>506</v>
      </c>
      <c r="P53" s="232" t="s">
        <v>507</v>
      </c>
      <c r="Q53" s="232" t="s">
        <v>561</v>
      </c>
      <c r="T53" t="s">
        <v>2803</v>
      </c>
      <c r="U53" s="25">
        <f>+Municipios!Z54</f>
        <v>60.617753811873584</v>
      </c>
      <c r="V53" s="232">
        <v>17174</v>
      </c>
      <c r="W53" s="232" t="s">
        <v>560</v>
      </c>
      <c r="X53" s="232" t="s">
        <v>506</v>
      </c>
      <c r="Y53" s="232" t="s">
        <v>507</v>
      </c>
      <c r="Z53" s="232" t="s">
        <v>561</v>
      </c>
    </row>
    <row r="54" spans="1:26">
      <c r="A54" t="s">
        <v>417</v>
      </c>
      <c r="B54" s="25">
        <f>+Municipios!Z55</f>
        <v>63.580926130060725</v>
      </c>
      <c r="C54" s="232">
        <v>68077</v>
      </c>
      <c r="D54" s="232" t="s">
        <v>562</v>
      </c>
      <c r="E54" s="232" t="s">
        <v>431</v>
      </c>
      <c r="F54" s="232" t="s">
        <v>432</v>
      </c>
      <c r="G54" s="232" t="s">
        <v>563</v>
      </c>
      <c r="K54" t="s">
        <v>2647</v>
      </c>
      <c r="L54" s="81">
        <f>+Municipios!AB55</f>
        <v>45.185157966774206</v>
      </c>
      <c r="M54" s="232">
        <v>68077</v>
      </c>
      <c r="N54" s="232" t="s">
        <v>562</v>
      </c>
      <c r="O54" s="232" t="s">
        <v>431</v>
      </c>
      <c r="P54" s="232" t="s">
        <v>432</v>
      </c>
      <c r="Q54" s="232" t="s">
        <v>563</v>
      </c>
      <c r="T54" t="s">
        <v>2803</v>
      </c>
      <c r="U54" s="25">
        <f>+Municipios!Z55</f>
        <v>63.580926130060725</v>
      </c>
      <c r="V54" s="232">
        <v>68077</v>
      </c>
      <c r="W54" s="232" t="s">
        <v>562</v>
      </c>
      <c r="X54" s="232" t="s">
        <v>431</v>
      </c>
      <c r="Y54" s="232" t="s">
        <v>432</v>
      </c>
      <c r="Z54" s="232" t="s">
        <v>563</v>
      </c>
    </row>
    <row r="55" spans="1:26">
      <c r="A55" t="s">
        <v>417</v>
      </c>
      <c r="B55" s="25">
        <f>+Municipios!Z56</f>
        <v>68.809423541772418</v>
      </c>
      <c r="C55" s="232">
        <v>54001</v>
      </c>
      <c r="D55" s="232" t="s">
        <v>564</v>
      </c>
      <c r="E55" s="232" t="s">
        <v>517</v>
      </c>
      <c r="F55" s="232" t="s">
        <v>518</v>
      </c>
      <c r="G55" s="232" t="s">
        <v>565</v>
      </c>
      <c r="K55" t="s">
        <v>2647</v>
      </c>
      <c r="L55" s="81">
        <f>+Municipios!AB56</f>
        <v>49.02670952291021</v>
      </c>
      <c r="M55" s="232">
        <v>54001</v>
      </c>
      <c r="N55" s="232" t="s">
        <v>564</v>
      </c>
      <c r="O55" s="232" t="s">
        <v>517</v>
      </c>
      <c r="P55" s="232" t="s">
        <v>518</v>
      </c>
      <c r="Q55" s="232" t="s">
        <v>565</v>
      </c>
      <c r="T55" t="s">
        <v>2803</v>
      </c>
      <c r="U55" s="25">
        <f>+Municipios!Z56</f>
        <v>68.809423541772418</v>
      </c>
      <c r="V55" s="232">
        <v>54001</v>
      </c>
      <c r="W55" s="232" t="s">
        <v>564</v>
      </c>
      <c r="X55" s="232" t="s">
        <v>517</v>
      </c>
      <c r="Y55" s="232" t="s">
        <v>518</v>
      </c>
      <c r="Z55" s="232" t="s">
        <v>565</v>
      </c>
    </row>
    <row r="56" spans="1:26">
      <c r="A56" t="s">
        <v>417</v>
      </c>
      <c r="B56" s="25">
        <f>+Municipios!Z57</f>
        <v>54.442619924676563</v>
      </c>
      <c r="C56" s="232">
        <v>23815</v>
      </c>
      <c r="D56" s="232" t="s">
        <v>566</v>
      </c>
      <c r="E56" s="232" t="s">
        <v>567</v>
      </c>
      <c r="F56" s="232" t="s">
        <v>568</v>
      </c>
      <c r="G56" s="232" t="s">
        <v>569</v>
      </c>
      <c r="K56" t="s">
        <v>2647</v>
      </c>
      <c r="L56" s="81">
        <f>+Municipios!AB57</f>
        <v>38.669981702079774</v>
      </c>
      <c r="M56" s="232">
        <v>23815</v>
      </c>
      <c r="N56" s="232" t="s">
        <v>566</v>
      </c>
      <c r="O56" s="232" t="s">
        <v>567</v>
      </c>
      <c r="P56" s="232" t="s">
        <v>568</v>
      </c>
      <c r="Q56" s="232" t="s">
        <v>569</v>
      </c>
      <c r="T56" t="s">
        <v>2803</v>
      </c>
      <c r="U56" s="25">
        <f>+Municipios!Z57</f>
        <v>54.442619924676563</v>
      </c>
      <c r="V56" s="232">
        <v>23815</v>
      </c>
      <c r="W56" s="232" t="s">
        <v>566</v>
      </c>
      <c r="X56" s="232" t="s">
        <v>567</v>
      </c>
      <c r="Y56" s="232" t="s">
        <v>568</v>
      </c>
      <c r="Z56" s="232" t="s">
        <v>569</v>
      </c>
    </row>
    <row r="57" spans="1:26">
      <c r="A57" t="s">
        <v>417</v>
      </c>
      <c r="B57" s="25">
        <f>+Municipios!Z58</f>
        <v>57.201380808786979</v>
      </c>
      <c r="C57" s="232">
        <v>5030</v>
      </c>
      <c r="D57" s="232" t="s">
        <v>570</v>
      </c>
      <c r="E57" s="232" t="s">
        <v>435</v>
      </c>
      <c r="F57" s="232" t="s">
        <v>436</v>
      </c>
      <c r="G57" s="232" t="s">
        <v>571</v>
      </c>
      <c r="K57" t="s">
        <v>2647</v>
      </c>
      <c r="L57" s="81">
        <f>+Municipios!AB58</f>
        <v>40.700656985452206</v>
      </c>
      <c r="M57" s="232">
        <v>5030</v>
      </c>
      <c r="N57" s="232" t="s">
        <v>570</v>
      </c>
      <c r="O57" s="232" t="s">
        <v>435</v>
      </c>
      <c r="P57" s="232" t="s">
        <v>436</v>
      </c>
      <c r="Q57" s="232" t="s">
        <v>571</v>
      </c>
      <c r="T57" t="s">
        <v>2803</v>
      </c>
      <c r="U57" s="25">
        <f>+Municipios!Z58</f>
        <v>57.201380808786979</v>
      </c>
      <c r="V57" s="232">
        <v>5030</v>
      </c>
      <c r="W57" s="232" t="s">
        <v>570</v>
      </c>
      <c r="X57" s="232" t="s">
        <v>435</v>
      </c>
      <c r="Y57" s="232" t="s">
        <v>436</v>
      </c>
      <c r="Z57" s="232" t="s">
        <v>571</v>
      </c>
    </row>
    <row r="58" spans="1:26">
      <c r="A58" t="s">
        <v>417</v>
      </c>
      <c r="B58" s="25">
        <f>+Municipios!Z59</f>
        <v>72.933372783115374</v>
      </c>
      <c r="C58" s="232">
        <v>5697</v>
      </c>
      <c r="D58" s="232" t="s">
        <v>572</v>
      </c>
      <c r="E58" s="232" t="s">
        <v>435</v>
      </c>
      <c r="F58" s="232" t="s">
        <v>436</v>
      </c>
      <c r="G58" s="232" t="s">
        <v>573</v>
      </c>
      <c r="K58" t="s">
        <v>2647</v>
      </c>
      <c r="L58" s="81">
        <f>+Municipios!AB59</f>
        <v>51.98008064543032</v>
      </c>
      <c r="M58" s="232">
        <v>5697</v>
      </c>
      <c r="N58" s="232" t="s">
        <v>572</v>
      </c>
      <c r="O58" s="232" t="s">
        <v>435</v>
      </c>
      <c r="P58" s="232" t="s">
        <v>436</v>
      </c>
      <c r="Q58" s="232" t="s">
        <v>573</v>
      </c>
      <c r="T58" t="s">
        <v>2803</v>
      </c>
      <c r="U58" s="25">
        <f>+Municipios!Z59</f>
        <v>72.933372783115374</v>
      </c>
      <c r="V58" s="232">
        <v>5697</v>
      </c>
      <c r="W58" s="232" t="s">
        <v>572</v>
      </c>
      <c r="X58" s="232" t="s">
        <v>435</v>
      </c>
      <c r="Y58" s="232" t="s">
        <v>436</v>
      </c>
      <c r="Z58" s="232" t="s">
        <v>573</v>
      </c>
    </row>
    <row r="59" spans="1:26">
      <c r="A59" t="s">
        <v>417</v>
      </c>
      <c r="B59" s="25">
        <f>+Municipios!Z60</f>
        <v>64.825945482036616</v>
      </c>
      <c r="C59" s="232">
        <v>76520</v>
      </c>
      <c r="D59" s="232" t="s">
        <v>574</v>
      </c>
      <c r="E59" s="232" t="s">
        <v>454</v>
      </c>
      <c r="F59" s="232" t="s">
        <v>455</v>
      </c>
      <c r="G59" s="232" t="s">
        <v>575</v>
      </c>
      <c r="K59" t="s">
        <v>2647</v>
      </c>
      <c r="L59" s="81">
        <f>+Municipios!AB60</f>
        <v>45.347279407099144</v>
      </c>
      <c r="M59" s="232">
        <v>76520</v>
      </c>
      <c r="N59" s="232" t="s">
        <v>574</v>
      </c>
      <c r="O59" s="232" t="s">
        <v>454</v>
      </c>
      <c r="P59" s="232" t="s">
        <v>455</v>
      </c>
      <c r="Q59" s="232" t="s">
        <v>575</v>
      </c>
      <c r="T59" t="s">
        <v>2803</v>
      </c>
      <c r="U59" s="25">
        <f>+Municipios!Z60</f>
        <v>64.825945482036616</v>
      </c>
      <c r="V59" s="232">
        <v>76520</v>
      </c>
      <c r="W59" s="232" t="s">
        <v>574</v>
      </c>
      <c r="X59" s="232" t="s">
        <v>454</v>
      </c>
      <c r="Y59" s="232" t="s">
        <v>455</v>
      </c>
      <c r="Z59" s="232" t="s">
        <v>575</v>
      </c>
    </row>
    <row r="60" spans="1:26">
      <c r="A60" t="s">
        <v>417</v>
      </c>
      <c r="B60" s="25">
        <f>+Municipios!Z61</f>
        <v>69.366230287711204</v>
      </c>
      <c r="C60" s="232">
        <v>15759</v>
      </c>
      <c r="D60" s="232" t="s">
        <v>576</v>
      </c>
      <c r="E60" s="232" t="s">
        <v>498</v>
      </c>
      <c r="F60" s="232" t="s">
        <v>499</v>
      </c>
      <c r="G60" s="232" t="s">
        <v>577</v>
      </c>
      <c r="K60" t="s">
        <v>2647</v>
      </c>
      <c r="L60" s="81">
        <f>+Municipios!AB61</f>
        <v>48.476731200607084</v>
      </c>
      <c r="M60" s="232">
        <v>15759</v>
      </c>
      <c r="N60" s="232" t="s">
        <v>576</v>
      </c>
      <c r="O60" s="232" t="s">
        <v>498</v>
      </c>
      <c r="P60" s="232" t="s">
        <v>499</v>
      </c>
      <c r="Q60" s="232" t="s">
        <v>577</v>
      </c>
      <c r="T60" t="s">
        <v>2803</v>
      </c>
      <c r="U60" s="25">
        <f>+Municipios!Z61</f>
        <v>69.366230287711204</v>
      </c>
      <c r="V60" s="232">
        <v>15759</v>
      </c>
      <c r="W60" s="232" t="s">
        <v>576</v>
      </c>
      <c r="X60" s="232" t="s">
        <v>498</v>
      </c>
      <c r="Y60" s="232" t="s">
        <v>499</v>
      </c>
      <c r="Z60" s="232" t="s">
        <v>577</v>
      </c>
    </row>
    <row r="61" spans="1:26">
      <c r="A61" t="s">
        <v>417</v>
      </c>
      <c r="B61" s="25">
        <f>+Municipios!Z62</f>
        <v>59.309102566381789</v>
      </c>
      <c r="C61" s="232">
        <v>19573</v>
      </c>
      <c r="D61" s="232" t="s">
        <v>578</v>
      </c>
      <c r="E61" s="232" t="s">
        <v>557</v>
      </c>
      <c r="F61" s="232" t="s">
        <v>558</v>
      </c>
      <c r="G61" s="232" t="s">
        <v>579</v>
      </c>
      <c r="K61" t="s">
        <v>2647</v>
      </c>
      <c r="L61" s="81">
        <f>+Municipios!AB62</f>
        <v>41.364893121495051</v>
      </c>
      <c r="M61" s="232">
        <v>19573</v>
      </c>
      <c r="N61" s="232" t="s">
        <v>578</v>
      </c>
      <c r="O61" s="232" t="s">
        <v>557</v>
      </c>
      <c r="P61" s="232" t="s">
        <v>558</v>
      </c>
      <c r="Q61" s="232" t="s">
        <v>579</v>
      </c>
      <c r="T61" t="s">
        <v>2803</v>
      </c>
      <c r="U61" s="25">
        <f>+Municipios!Z62</f>
        <v>59.309102566381789</v>
      </c>
      <c r="V61" s="232">
        <v>19573</v>
      </c>
      <c r="W61" s="232" t="s">
        <v>578</v>
      </c>
      <c r="X61" s="232" t="s">
        <v>557</v>
      </c>
      <c r="Y61" s="232" t="s">
        <v>558</v>
      </c>
      <c r="Z61" s="232" t="s">
        <v>579</v>
      </c>
    </row>
    <row r="62" spans="1:26">
      <c r="A62" t="s">
        <v>417</v>
      </c>
      <c r="B62" s="25">
        <f>+Municipios!Z63</f>
        <v>61.545932945889767</v>
      </c>
      <c r="C62" s="232">
        <v>8520</v>
      </c>
      <c r="D62" s="232" t="s">
        <v>580</v>
      </c>
      <c r="E62" s="232" t="s">
        <v>442</v>
      </c>
      <c r="F62" s="232" t="s">
        <v>443</v>
      </c>
      <c r="G62" s="232" t="s">
        <v>581</v>
      </c>
      <c r="K62" t="s">
        <v>2647</v>
      </c>
      <c r="L62" s="81">
        <f>+Municipios!AB63</f>
        <v>42.820515675003442</v>
      </c>
      <c r="M62" s="232">
        <v>8520</v>
      </c>
      <c r="N62" s="232" t="s">
        <v>580</v>
      </c>
      <c r="O62" s="232" t="s">
        <v>442</v>
      </c>
      <c r="P62" s="232" t="s">
        <v>443</v>
      </c>
      <c r="Q62" s="232" t="s">
        <v>581</v>
      </c>
      <c r="T62" t="s">
        <v>2803</v>
      </c>
      <c r="U62" s="25">
        <f>+Municipios!Z63</f>
        <v>61.545932945889767</v>
      </c>
      <c r="V62" s="232">
        <v>8520</v>
      </c>
      <c r="W62" s="232" t="s">
        <v>580</v>
      </c>
      <c r="X62" s="232" t="s">
        <v>442</v>
      </c>
      <c r="Y62" s="232" t="s">
        <v>443</v>
      </c>
      <c r="Z62" s="232" t="s">
        <v>581</v>
      </c>
    </row>
    <row r="63" spans="1:26">
      <c r="A63" t="s">
        <v>417</v>
      </c>
      <c r="B63" s="25">
        <f>+Municipios!Z64</f>
        <v>75.173226211371741</v>
      </c>
      <c r="C63" s="232">
        <v>25843</v>
      </c>
      <c r="D63" s="232" t="s">
        <v>582</v>
      </c>
      <c r="E63" s="232" t="s">
        <v>461</v>
      </c>
      <c r="F63" s="232" t="s">
        <v>462</v>
      </c>
      <c r="G63" s="232" t="s">
        <v>583</v>
      </c>
      <c r="K63" t="s">
        <v>2647</v>
      </c>
      <c r="L63" s="81">
        <f>+Municipios!AB64</f>
        <v>52.000931092593447</v>
      </c>
      <c r="M63" s="232">
        <v>25843</v>
      </c>
      <c r="N63" s="232" t="s">
        <v>582</v>
      </c>
      <c r="O63" s="232" t="s">
        <v>461</v>
      </c>
      <c r="P63" s="232" t="s">
        <v>462</v>
      </c>
      <c r="Q63" s="232" t="s">
        <v>583</v>
      </c>
      <c r="T63" t="s">
        <v>2803</v>
      </c>
      <c r="U63" s="25">
        <f>+Municipios!Z64</f>
        <v>75.173226211371741</v>
      </c>
      <c r="V63" s="232">
        <v>25843</v>
      </c>
      <c r="W63" s="232" t="s">
        <v>582</v>
      </c>
      <c r="X63" s="232" t="s">
        <v>461</v>
      </c>
      <c r="Y63" s="232" t="s">
        <v>462</v>
      </c>
      <c r="Z63" s="232" t="s">
        <v>583</v>
      </c>
    </row>
    <row r="64" spans="1:26">
      <c r="A64" t="s">
        <v>417</v>
      </c>
      <c r="B64" s="25">
        <f>+Municipios!Z65</f>
        <v>60.256881633892164</v>
      </c>
      <c r="C64" s="232">
        <v>23162</v>
      </c>
      <c r="D64" s="232" t="s">
        <v>584</v>
      </c>
      <c r="E64" s="232" t="s">
        <v>567</v>
      </c>
      <c r="F64" s="232" t="s">
        <v>568</v>
      </c>
      <c r="G64" s="232" t="s">
        <v>585</v>
      </c>
      <c r="K64" t="s">
        <v>2647</v>
      </c>
      <c r="L64" s="81">
        <f>+Municipios!AB65</f>
        <v>41.806621271632139</v>
      </c>
      <c r="M64" s="232">
        <v>23162</v>
      </c>
      <c r="N64" s="232" t="s">
        <v>584</v>
      </c>
      <c r="O64" s="232" t="s">
        <v>567</v>
      </c>
      <c r="P64" s="232" t="s">
        <v>568</v>
      </c>
      <c r="Q64" s="232" t="s">
        <v>585</v>
      </c>
      <c r="T64" t="s">
        <v>2803</v>
      </c>
      <c r="U64" s="25">
        <f>+Municipios!Z65</f>
        <v>60.256881633892164</v>
      </c>
      <c r="V64" s="232">
        <v>23162</v>
      </c>
      <c r="W64" s="232" t="s">
        <v>584</v>
      </c>
      <c r="X64" s="232" t="s">
        <v>567</v>
      </c>
      <c r="Y64" s="232" t="s">
        <v>568</v>
      </c>
      <c r="Z64" s="232" t="s">
        <v>585</v>
      </c>
    </row>
    <row r="65" spans="1:26">
      <c r="A65" t="s">
        <v>417</v>
      </c>
      <c r="B65" s="25">
        <f>+Municipios!Z66</f>
        <v>64.377074539051989</v>
      </c>
      <c r="C65" s="232">
        <v>25295</v>
      </c>
      <c r="D65" s="232" t="s">
        <v>586</v>
      </c>
      <c r="E65" s="232" t="s">
        <v>461</v>
      </c>
      <c r="F65" s="232" t="s">
        <v>462</v>
      </c>
      <c r="G65" s="232" t="s">
        <v>587</v>
      </c>
      <c r="K65" t="s">
        <v>2647</v>
      </c>
      <c r="L65" s="81">
        <f>+Municipios!AB66</f>
        <v>44.431316255321249</v>
      </c>
      <c r="M65" s="232">
        <v>25295</v>
      </c>
      <c r="N65" s="232" t="s">
        <v>586</v>
      </c>
      <c r="O65" s="232" t="s">
        <v>461</v>
      </c>
      <c r="P65" s="232" t="s">
        <v>462</v>
      </c>
      <c r="Q65" s="232" t="s">
        <v>587</v>
      </c>
      <c r="T65" t="s">
        <v>2803</v>
      </c>
      <c r="U65" s="25">
        <f>+Municipios!Z66</f>
        <v>64.377074539051989</v>
      </c>
      <c r="V65" s="232">
        <v>25295</v>
      </c>
      <c r="W65" s="232" t="s">
        <v>586</v>
      </c>
      <c r="X65" s="232" t="s">
        <v>461</v>
      </c>
      <c r="Y65" s="232" t="s">
        <v>462</v>
      </c>
      <c r="Z65" s="232" t="s">
        <v>587</v>
      </c>
    </row>
    <row r="66" spans="1:26">
      <c r="A66" t="s">
        <v>417</v>
      </c>
      <c r="B66" s="25">
        <f>+Municipios!Z67</f>
        <v>56.563430423881911</v>
      </c>
      <c r="C66" s="232">
        <v>63401</v>
      </c>
      <c r="D66" s="232" t="s">
        <v>588</v>
      </c>
      <c r="E66" s="232" t="s">
        <v>473</v>
      </c>
      <c r="F66" s="232" t="s">
        <v>474</v>
      </c>
      <c r="G66" s="232" t="s">
        <v>589</v>
      </c>
      <c r="K66" t="s">
        <v>2647</v>
      </c>
      <c r="L66" s="81">
        <f>+Municipios!AB67</f>
        <v>39.144170821898506</v>
      </c>
      <c r="M66" s="232">
        <v>63401</v>
      </c>
      <c r="N66" s="232" t="s">
        <v>588</v>
      </c>
      <c r="O66" s="232" t="s">
        <v>473</v>
      </c>
      <c r="P66" s="232" t="s">
        <v>474</v>
      </c>
      <c r="Q66" s="232" t="s">
        <v>589</v>
      </c>
      <c r="T66" t="s">
        <v>2803</v>
      </c>
      <c r="U66" s="25">
        <f>+Municipios!Z67</f>
        <v>56.563430423881911</v>
      </c>
      <c r="V66" s="232">
        <v>63401</v>
      </c>
      <c r="W66" s="232" t="s">
        <v>588</v>
      </c>
      <c r="X66" s="232" t="s">
        <v>473</v>
      </c>
      <c r="Y66" s="232" t="s">
        <v>474</v>
      </c>
      <c r="Z66" s="232" t="s">
        <v>589</v>
      </c>
    </row>
    <row r="67" spans="1:26">
      <c r="A67" t="s">
        <v>417</v>
      </c>
      <c r="B67" s="25">
        <f>+Municipios!Z68</f>
        <v>64.893106304757765</v>
      </c>
      <c r="C67" s="232">
        <v>68547</v>
      </c>
      <c r="D67" s="232" t="s">
        <v>590</v>
      </c>
      <c r="E67" s="232" t="s">
        <v>431</v>
      </c>
      <c r="F67" s="232" t="s">
        <v>432</v>
      </c>
      <c r="G67" s="232" t="s">
        <v>591</v>
      </c>
      <c r="K67" t="s">
        <v>2647</v>
      </c>
      <c r="L67" s="81">
        <f>+Municipios!AB68</f>
        <v>44.861695178033031</v>
      </c>
      <c r="M67" s="232">
        <v>68547</v>
      </c>
      <c r="N67" s="232" t="s">
        <v>590</v>
      </c>
      <c r="O67" s="232" t="s">
        <v>431</v>
      </c>
      <c r="P67" s="232" t="s">
        <v>432</v>
      </c>
      <c r="Q67" s="232" t="s">
        <v>591</v>
      </c>
      <c r="T67" t="s">
        <v>2803</v>
      </c>
      <c r="U67" s="25">
        <f>+Municipios!Z68</f>
        <v>64.893106304757765</v>
      </c>
      <c r="V67" s="232">
        <v>68547</v>
      </c>
      <c r="W67" s="232" t="s">
        <v>590</v>
      </c>
      <c r="X67" s="232" t="s">
        <v>431</v>
      </c>
      <c r="Y67" s="232" t="s">
        <v>432</v>
      </c>
      <c r="Z67" s="232" t="s">
        <v>591</v>
      </c>
    </row>
    <row r="68" spans="1:26">
      <c r="A68" t="s">
        <v>417</v>
      </c>
      <c r="B68" s="25">
        <f>+Municipios!Z69</f>
        <v>57.253458496808591</v>
      </c>
      <c r="C68" s="232">
        <v>15238</v>
      </c>
      <c r="D68" s="232" t="s">
        <v>592</v>
      </c>
      <c r="E68" s="232" t="s">
        <v>498</v>
      </c>
      <c r="F68" s="232" t="s">
        <v>499</v>
      </c>
      <c r="G68" s="232" t="s">
        <v>593</v>
      </c>
      <c r="K68" t="s">
        <v>2647</v>
      </c>
      <c r="L68" s="81">
        <f>+Municipios!AB69</f>
        <v>39.53629647689116</v>
      </c>
      <c r="M68" s="232">
        <v>15238</v>
      </c>
      <c r="N68" s="232" t="s">
        <v>592</v>
      </c>
      <c r="O68" s="232" t="s">
        <v>498</v>
      </c>
      <c r="P68" s="232" t="s">
        <v>499</v>
      </c>
      <c r="Q68" s="232" t="s">
        <v>593</v>
      </c>
      <c r="T68" t="s">
        <v>2803</v>
      </c>
      <c r="U68" s="25">
        <f>+Municipios!Z69</f>
        <v>57.253458496808591</v>
      </c>
      <c r="V68" s="232">
        <v>15238</v>
      </c>
      <c r="W68" s="232" t="s">
        <v>592</v>
      </c>
      <c r="X68" s="232" t="s">
        <v>498</v>
      </c>
      <c r="Y68" s="232" t="s">
        <v>499</v>
      </c>
      <c r="Z68" s="232" t="s">
        <v>593</v>
      </c>
    </row>
    <row r="69" spans="1:26">
      <c r="A69" t="s">
        <v>417</v>
      </c>
      <c r="B69" s="25">
        <f>+Municipios!Z70</f>
        <v>74.065611264075159</v>
      </c>
      <c r="C69" s="232">
        <v>73001</v>
      </c>
      <c r="D69" s="232" t="s">
        <v>594</v>
      </c>
      <c r="E69" s="232" t="s">
        <v>595</v>
      </c>
      <c r="F69" s="232" t="s">
        <v>596</v>
      </c>
      <c r="G69" s="232" t="s">
        <v>597</v>
      </c>
      <c r="K69" t="s">
        <v>2647</v>
      </c>
      <c r="L69" s="81">
        <f>+Municipios!AB70</f>
        <v>50.892128489801863</v>
      </c>
      <c r="M69" s="232">
        <v>73001</v>
      </c>
      <c r="N69" s="232" t="s">
        <v>594</v>
      </c>
      <c r="O69" s="232" t="s">
        <v>595</v>
      </c>
      <c r="P69" s="232" t="s">
        <v>596</v>
      </c>
      <c r="Q69" s="232" t="s">
        <v>597</v>
      </c>
      <c r="T69" t="s">
        <v>2803</v>
      </c>
      <c r="U69" s="25">
        <f>+Municipios!Z70</f>
        <v>74.065611264075159</v>
      </c>
      <c r="V69" s="232">
        <v>73001</v>
      </c>
      <c r="W69" s="232" t="s">
        <v>594</v>
      </c>
      <c r="X69" s="232" t="s">
        <v>595</v>
      </c>
      <c r="Y69" s="232" t="s">
        <v>596</v>
      </c>
      <c r="Z69" s="232" t="s">
        <v>597</v>
      </c>
    </row>
    <row r="70" spans="1:26">
      <c r="A70" t="s">
        <v>417</v>
      </c>
      <c r="B70" s="25">
        <f>+Municipios!Z71</f>
        <v>64.84653171783836</v>
      </c>
      <c r="C70" s="232">
        <v>70221</v>
      </c>
      <c r="D70" s="232" t="s">
        <v>598</v>
      </c>
      <c r="E70" s="232" t="s">
        <v>494</v>
      </c>
      <c r="F70" s="232" t="s">
        <v>495</v>
      </c>
      <c r="G70" s="232" t="s">
        <v>599</v>
      </c>
      <c r="K70" t="s">
        <v>2647</v>
      </c>
      <c r="L70" s="81">
        <f>+Municipios!AB71</f>
        <v>44.639352330995237</v>
      </c>
      <c r="M70" s="232">
        <v>70221</v>
      </c>
      <c r="N70" s="232" t="s">
        <v>598</v>
      </c>
      <c r="O70" s="232" t="s">
        <v>494</v>
      </c>
      <c r="P70" s="232" t="s">
        <v>495</v>
      </c>
      <c r="Q70" s="232" t="s">
        <v>599</v>
      </c>
      <c r="T70" t="s">
        <v>2803</v>
      </c>
      <c r="U70" s="25">
        <f>+Municipios!Z71</f>
        <v>64.84653171783836</v>
      </c>
      <c r="V70" s="232">
        <v>70221</v>
      </c>
      <c r="W70" s="232" t="s">
        <v>598</v>
      </c>
      <c r="X70" s="232" t="s">
        <v>494</v>
      </c>
      <c r="Y70" s="232" t="s">
        <v>495</v>
      </c>
      <c r="Z70" s="232" t="s">
        <v>599</v>
      </c>
    </row>
    <row r="71" spans="1:26">
      <c r="A71" t="s">
        <v>417</v>
      </c>
      <c r="B71" s="25">
        <f>+Municipios!Z72</f>
        <v>59.673046394409845</v>
      </c>
      <c r="C71" s="232">
        <v>68307</v>
      </c>
      <c r="D71" s="232" t="s">
        <v>600</v>
      </c>
      <c r="E71" s="232" t="s">
        <v>431</v>
      </c>
      <c r="F71" s="232" t="s">
        <v>432</v>
      </c>
      <c r="G71" s="232" t="s">
        <v>601</v>
      </c>
      <c r="K71" t="s">
        <v>2647</v>
      </c>
      <c r="L71" s="81">
        <f>+Municipios!AB72</f>
        <v>40.957435169517247</v>
      </c>
      <c r="M71" s="232">
        <v>68307</v>
      </c>
      <c r="N71" s="232" t="s">
        <v>600</v>
      </c>
      <c r="O71" s="232" t="s">
        <v>431</v>
      </c>
      <c r="P71" s="232" t="s">
        <v>432</v>
      </c>
      <c r="Q71" s="232" t="s">
        <v>601</v>
      </c>
      <c r="T71" t="s">
        <v>2803</v>
      </c>
      <c r="U71" s="25">
        <f>+Municipios!Z72</f>
        <v>59.673046394409845</v>
      </c>
      <c r="V71" s="232">
        <v>68307</v>
      </c>
      <c r="W71" s="232" t="s">
        <v>600</v>
      </c>
      <c r="X71" s="232" t="s">
        <v>431</v>
      </c>
      <c r="Y71" s="232" t="s">
        <v>432</v>
      </c>
      <c r="Z71" s="232" t="s">
        <v>601</v>
      </c>
    </row>
    <row r="72" spans="1:26">
      <c r="A72" t="s">
        <v>417</v>
      </c>
      <c r="B72" s="25">
        <f>+Municipios!Z73</f>
        <v>56.099586594623723</v>
      </c>
      <c r="C72" s="232">
        <v>63130</v>
      </c>
      <c r="D72" s="232" t="s">
        <v>602</v>
      </c>
      <c r="E72" s="232" t="s">
        <v>473</v>
      </c>
      <c r="F72" s="232" t="s">
        <v>474</v>
      </c>
      <c r="G72" s="232" t="s">
        <v>603</v>
      </c>
      <c r="K72" t="s">
        <v>2647</v>
      </c>
      <c r="L72" s="81">
        <f>+Municipios!AB73</f>
        <v>38.292461945297873</v>
      </c>
      <c r="M72" s="232">
        <v>63130</v>
      </c>
      <c r="N72" s="232" t="s">
        <v>602</v>
      </c>
      <c r="O72" s="232" t="s">
        <v>473</v>
      </c>
      <c r="P72" s="232" t="s">
        <v>474</v>
      </c>
      <c r="Q72" s="232" t="s">
        <v>603</v>
      </c>
      <c r="T72" t="s">
        <v>2803</v>
      </c>
      <c r="U72" s="25">
        <f>+Municipios!Z73</f>
        <v>56.099586594623723</v>
      </c>
      <c r="V72" s="232">
        <v>63130</v>
      </c>
      <c r="W72" s="232" t="s">
        <v>602</v>
      </c>
      <c r="X72" s="232" t="s">
        <v>473</v>
      </c>
      <c r="Y72" s="232" t="s">
        <v>474</v>
      </c>
      <c r="Z72" s="232" t="s">
        <v>603</v>
      </c>
    </row>
    <row r="73" spans="1:26">
      <c r="A73" t="s">
        <v>417</v>
      </c>
      <c r="B73" s="25">
        <f>+Municipios!Z74</f>
        <v>64.299836677921107</v>
      </c>
      <c r="C73" s="232">
        <v>50001</v>
      </c>
      <c r="D73" s="232" t="s">
        <v>604</v>
      </c>
      <c r="E73" s="232" t="s">
        <v>605</v>
      </c>
      <c r="F73" s="232" t="s">
        <v>606</v>
      </c>
      <c r="G73" s="232" t="s">
        <v>607</v>
      </c>
      <c r="K73" t="s">
        <v>2647</v>
      </c>
      <c r="L73" s="81">
        <f>+Municipios!AB74</f>
        <v>43.812013164565009</v>
      </c>
      <c r="M73" s="232">
        <v>50001</v>
      </c>
      <c r="N73" s="232" t="s">
        <v>604</v>
      </c>
      <c r="O73" s="232" t="s">
        <v>605</v>
      </c>
      <c r="P73" s="232" t="s">
        <v>606</v>
      </c>
      <c r="Q73" s="232" t="s">
        <v>607</v>
      </c>
      <c r="T73" t="s">
        <v>2803</v>
      </c>
      <c r="U73" s="25">
        <f>+Municipios!Z74</f>
        <v>64.299836677921107</v>
      </c>
      <c r="V73" s="232">
        <v>50001</v>
      </c>
      <c r="W73" s="232" t="s">
        <v>604</v>
      </c>
      <c r="X73" s="232" t="s">
        <v>605</v>
      </c>
      <c r="Y73" s="232" t="s">
        <v>606</v>
      </c>
      <c r="Z73" s="232" t="s">
        <v>607</v>
      </c>
    </row>
    <row r="74" spans="1:26">
      <c r="A74" t="s">
        <v>417</v>
      </c>
      <c r="B74" s="25">
        <f>+Municipios!Z75</f>
        <v>69.346670759449381</v>
      </c>
      <c r="C74" s="232">
        <v>76130</v>
      </c>
      <c r="D74" s="232" t="s">
        <v>608</v>
      </c>
      <c r="E74" s="232" t="s">
        <v>454</v>
      </c>
      <c r="F74" s="232" t="s">
        <v>455</v>
      </c>
      <c r="G74" s="232" t="s">
        <v>609</v>
      </c>
      <c r="K74" t="s">
        <v>2647</v>
      </c>
      <c r="L74" s="81">
        <f>+Municipios!AB75</f>
        <v>47.528494211019847</v>
      </c>
      <c r="M74" s="232">
        <v>76130</v>
      </c>
      <c r="N74" s="232" t="s">
        <v>608</v>
      </c>
      <c r="O74" s="232" t="s">
        <v>454</v>
      </c>
      <c r="P74" s="232" t="s">
        <v>455</v>
      </c>
      <c r="Q74" s="232" t="s">
        <v>609</v>
      </c>
      <c r="T74" t="s">
        <v>2803</v>
      </c>
      <c r="U74" s="25">
        <f>+Municipios!Z75</f>
        <v>69.346670759449381</v>
      </c>
      <c r="V74" s="232">
        <v>76130</v>
      </c>
      <c r="W74" s="232" t="s">
        <v>608</v>
      </c>
      <c r="X74" s="232" t="s">
        <v>454</v>
      </c>
      <c r="Y74" s="232" t="s">
        <v>455</v>
      </c>
      <c r="Z74" s="232" t="s">
        <v>609</v>
      </c>
    </row>
    <row r="75" spans="1:26">
      <c r="A75" t="s">
        <v>417</v>
      </c>
      <c r="B75" s="25">
        <f>+Municipios!Z76</f>
        <v>57.624038845345723</v>
      </c>
      <c r="C75" s="232">
        <v>63190</v>
      </c>
      <c r="D75" s="232" t="s">
        <v>610</v>
      </c>
      <c r="E75" s="232" t="s">
        <v>473</v>
      </c>
      <c r="F75" s="232" t="s">
        <v>474</v>
      </c>
      <c r="G75" s="232" t="s">
        <v>611</v>
      </c>
      <c r="K75" t="s">
        <v>2647</v>
      </c>
      <c r="L75" s="81">
        <f>+Municipios!AB76</f>
        <v>39.184544982214213</v>
      </c>
      <c r="M75" s="232">
        <v>63190</v>
      </c>
      <c r="N75" s="232" t="s">
        <v>610</v>
      </c>
      <c r="O75" s="232" t="s">
        <v>473</v>
      </c>
      <c r="P75" s="232" t="s">
        <v>474</v>
      </c>
      <c r="Q75" s="232" t="s">
        <v>611</v>
      </c>
      <c r="T75" t="s">
        <v>2803</v>
      </c>
      <c r="U75" s="25">
        <f>+Municipios!Z76</f>
        <v>57.624038845345723</v>
      </c>
      <c r="V75" s="232">
        <v>63190</v>
      </c>
      <c r="W75" s="232" t="s">
        <v>610</v>
      </c>
      <c r="X75" s="232" t="s">
        <v>473</v>
      </c>
      <c r="Y75" s="232" t="s">
        <v>474</v>
      </c>
      <c r="Z75" s="232" t="s">
        <v>611</v>
      </c>
    </row>
    <row r="76" spans="1:26">
      <c r="A76" t="s">
        <v>417</v>
      </c>
      <c r="B76" s="25">
        <f>+Municipios!Z77</f>
        <v>70.358254856723306</v>
      </c>
      <c r="C76" s="232">
        <v>68679</v>
      </c>
      <c r="D76" s="232" t="s">
        <v>612</v>
      </c>
      <c r="E76" s="232" t="s">
        <v>431</v>
      </c>
      <c r="F76" s="232" t="s">
        <v>432</v>
      </c>
      <c r="G76" s="232" t="s">
        <v>613</v>
      </c>
      <c r="K76" t="s">
        <v>2647</v>
      </c>
      <c r="L76" s="81">
        <f>+Municipios!AB77</f>
        <v>48.168462063566416</v>
      </c>
      <c r="M76" s="232">
        <v>68679</v>
      </c>
      <c r="N76" s="232" t="s">
        <v>612</v>
      </c>
      <c r="O76" s="232" t="s">
        <v>431</v>
      </c>
      <c r="P76" s="232" t="s">
        <v>432</v>
      </c>
      <c r="Q76" s="232" t="s">
        <v>613</v>
      </c>
      <c r="T76" t="s">
        <v>2803</v>
      </c>
      <c r="U76" s="25">
        <f>+Municipios!Z77</f>
        <v>70.358254856723306</v>
      </c>
      <c r="V76" s="232">
        <v>68679</v>
      </c>
      <c r="W76" s="232" t="s">
        <v>612</v>
      </c>
      <c r="X76" s="232" t="s">
        <v>431</v>
      </c>
      <c r="Y76" s="232" t="s">
        <v>432</v>
      </c>
      <c r="Z76" s="232" t="s">
        <v>613</v>
      </c>
    </row>
    <row r="77" spans="1:26">
      <c r="A77" t="s">
        <v>417</v>
      </c>
      <c r="B77" s="25">
        <f>+Municipios!Z78</f>
        <v>68.508977916837196</v>
      </c>
      <c r="C77" s="232">
        <v>25740</v>
      </c>
      <c r="D77" s="232" t="s">
        <v>614</v>
      </c>
      <c r="E77" s="232" t="s">
        <v>461</v>
      </c>
      <c r="F77" s="232" t="s">
        <v>462</v>
      </c>
      <c r="G77" s="232" t="s">
        <v>615</v>
      </c>
      <c r="K77" t="s">
        <v>2647</v>
      </c>
      <c r="L77" s="81">
        <f>+Municipios!AB78</f>
        <v>46.400673162655906</v>
      </c>
      <c r="M77" s="232">
        <v>25740</v>
      </c>
      <c r="N77" s="232" t="s">
        <v>614</v>
      </c>
      <c r="O77" s="232" t="s">
        <v>461</v>
      </c>
      <c r="P77" s="232" t="s">
        <v>462</v>
      </c>
      <c r="Q77" s="232" t="s">
        <v>615</v>
      </c>
      <c r="T77" t="s">
        <v>2803</v>
      </c>
      <c r="U77" s="25">
        <f>+Municipios!Z78</f>
        <v>68.508977916837196</v>
      </c>
      <c r="V77" s="232">
        <v>25740</v>
      </c>
      <c r="W77" s="232" t="s">
        <v>614</v>
      </c>
      <c r="X77" s="232" t="s">
        <v>461</v>
      </c>
      <c r="Y77" s="232" t="s">
        <v>462</v>
      </c>
      <c r="Z77" s="232" t="s">
        <v>615</v>
      </c>
    </row>
    <row r="78" spans="1:26">
      <c r="A78" t="s">
        <v>417</v>
      </c>
      <c r="B78" s="25">
        <f>+Municipios!Z79</f>
        <v>57.603882997096079</v>
      </c>
      <c r="C78" s="232">
        <v>73268</v>
      </c>
      <c r="D78" s="232" t="s">
        <v>616</v>
      </c>
      <c r="E78" s="232" t="s">
        <v>595</v>
      </c>
      <c r="F78" s="232" t="s">
        <v>596</v>
      </c>
      <c r="G78" s="232" t="s">
        <v>617</v>
      </c>
      <c r="K78" t="s">
        <v>2647</v>
      </c>
      <c r="L78" s="81">
        <f>+Municipios!AB79</f>
        <v>39.132346568986314</v>
      </c>
      <c r="M78" s="232">
        <v>73268</v>
      </c>
      <c r="N78" s="232" t="s">
        <v>616</v>
      </c>
      <c r="O78" s="232" t="s">
        <v>595</v>
      </c>
      <c r="P78" s="232" t="s">
        <v>596</v>
      </c>
      <c r="Q78" s="232" t="s">
        <v>617</v>
      </c>
      <c r="T78" t="s">
        <v>2803</v>
      </c>
      <c r="U78" s="25">
        <f>+Municipios!Z79</f>
        <v>57.603882997096079</v>
      </c>
      <c r="V78" s="232">
        <v>73268</v>
      </c>
      <c r="W78" s="232" t="s">
        <v>616</v>
      </c>
      <c r="X78" s="232" t="s">
        <v>595</v>
      </c>
      <c r="Y78" s="232" t="s">
        <v>596</v>
      </c>
      <c r="Z78" s="232" t="s">
        <v>617</v>
      </c>
    </row>
    <row r="79" spans="1:26">
      <c r="A79" t="s">
        <v>417</v>
      </c>
      <c r="B79" s="25">
        <f>+Municipios!Z80</f>
        <v>52.66376504251636</v>
      </c>
      <c r="C79" s="232">
        <v>5079</v>
      </c>
      <c r="D79" s="232" t="s">
        <v>618</v>
      </c>
      <c r="E79" s="232" t="s">
        <v>435</v>
      </c>
      <c r="F79" s="232" t="s">
        <v>436</v>
      </c>
      <c r="G79" s="232" t="s">
        <v>563</v>
      </c>
      <c r="K79" t="s">
        <v>2647</v>
      </c>
      <c r="L79" s="81">
        <f>+Municipios!AB80</f>
        <v>36.021377865602076</v>
      </c>
      <c r="M79" s="232">
        <v>5079</v>
      </c>
      <c r="N79" s="232" t="s">
        <v>618</v>
      </c>
      <c r="O79" s="232" t="s">
        <v>435</v>
      </c>
      <c r="P79" s="232" t="s">
        <v>436</v>
      </c>
      <c r="Q79" s="232" t="s">
        <v>563</v>
      </c>
      <c r="T79" t="s">
        <v>2803</v>
      </c>
      <c r="U79" s="25">
        <f>+Municipios!Z80</f>
        <v>52.66376504251636</v>
      </c>
      <c r="V79" s="232">
        <v>5079</v>
      </c>
      <c r="W79" s="232" t="s">
        <v>618</v>
      </c>
      <c r="X79" s="232" t="s">
        <v>435</v>
      </c>
      <c r="Y79" s="232" t="s">
        <v>436</v>
      </c>
      <c r="Z79" s="232" t="s">
        <v>563</v>
      </c>
    </row>
    <row r="80" spans="1:26">
      <c r="A80" t="s">
        <v>417</v>
      </c>
      <c r="B80" s="25">
        <f>+Municipios!Z81</f>
        <v>68.274863544482642</v>
      </c>
      <c r="C80" s="232">
        <v>76834</v>
      </c>
      <c r="D80" s="232" t="s">
        <v>619</v>
      </c>
      <c r="E80" s="232" t="s">
        <v>454</v>
      </c>
      <c r="F80" s="232" t="s">
        <v>455</v>
      </c>
      <c r="G80" s="232" t="s">
        <v>620</v>
      </c>
      <c r="K80" t="s">
        <v>2647</v>
      </c>
      <c r="L80" s="81">
        <f>+Municipios!AB81</f>
        <v>46.245672788746774</v>
      </c>
      <c r="M80" s="232">
        <v>76834</v>
      </c>
      <c r="N80" s="232" t="s">
        <v>619</v>
      </c>
      <c r="O80" s="232" t="s">
        <v>454</v>
      </c>
      <c r="P80" s="232" t="s">
        <v>455</v>
      </c>
      <c r="Q80" s="232" t="s">
        <v>620</v>
      </c>
      <c r="T80" t="s">
        <v>2803</v>
      </c>
      <c r="U80" s="25">
        <f>+Municipios!Z81</f>
        <v>68.274863544482642</v>
      </c>
      <c r="V80" s="232">
        <v>76834</v>
      </c>
      <c r="W80" s="232" t="s">
        <v>619</v>
      </c>
      <c r="X80" s="232" t="s">
        <v>454</v>
      </c>
      <c r="Y80" s="232" t="s">
        <v>455</v>
      </c>
      <c r="Z80" s="232" t="s">
        <v>620</v>
      </c>
    </row>
    <row r="81" spans="1:26">
      <c r="A81" t="s">
        <v>417</v>
      </c>
      <c r="B81" s="25">
        <f>+Municipios!Z82</f>
        <v>55.319050338299462</v>
      </c>
      <c r="C81" s="232">
        <v>8770</v>
      </c>
      <c r="D81" s="232" t="s">
        <v>621</v>
      </c>
      <c r="E81" s="232" t="s">
        <v>442</v>
      </c>
      <c r="F81" s="232" t="s">
        <v>443</v>
      </c>
      <c r="G81" s="232" t="s">
        <v>622</v>
      </c>
      <c r="K81" t="s">
        <v>2647</v>
      </c>
      <c r="L81" s="81">
        <f>+Municipios!AB82</f>
        <v>37.448668594056457</v>
      </c>
      <c r="M81" s="232">
        <v>8770</v>
      </c>
      <c r="N81" s="232" t="s">
        <v>621</v>
      </c>
      <c r="O81" s="232" t="s">
        <v>442</v>
      </c>
      <c r="P81" s="232" t="s">
        <v>443</v>
      </c>
      <c r="Q81" s="232" t="s">
        <v>622</v>
      </c>
      <c r="T81" t="s">
        <v>2803</v>
      </c>
      <c r="U81" s="25">
        <f>+Municipios!Z82</f>
        <v>55.319050338299462</v>
      </c>
      <c r="V81" s="232">
        <v>8770</v>
      </c>
      <c r="W81" s="232" t="s">
        <v>621</v>
      </c>
      <c r="X81" s="232" t="s">
        <v>442</v>
      </c>
      <c r="Y81" s="232" t="s">
        <v>443</v>
      </c>
      <c r="Z81" s="232" t="s">
        <v>622</v>
      </c>
    </row>
    <row r="82" spans="1:26">
      <c r="A82" t="s">
        <v>417</v>
      </c>
      <c r="B82" s="25">
        <f>+Municipios!Z83</f>
        <v>59.359703028386491</v>
      </c>
      <c r="C82" s="232">
        <v>76364</v>
      </c>
      <c r="D82" s="232" t="s">
        <v>623</v>
      </c>
      <c r="E82" s="232" t="s">
        <v>454</v>
      </c>
      <c r="F82" s="232" t="s">
        <v>455</v>
      </c>
      <c r="G82" s="232" t="s">
        <v>624</v>
      </c>
      <c r="K82" t="s">
        <v>2647</v>
      </c>
      <c r="L82" s="81">
        <f>+Municipios!AB83</f>
        <v>40.045210613535673</v>
      </c>
      <c r="M82" s="232">
        <v>76364</v>
      </c>
      <c r="N82" s="232" t="s">
        <v>623</v>
      </c>
      <c r="O82" s="232" t="s">
        <v>454</v>
      </c>
      <c r="P82" s="232" t="s">
        <v>455</v>
      </c>
      <c r="Q82" s="232" t="s">
        <v>624</v>
      </c>
      <c r="T82" t="s">
        <v>2803</v>
      </c>
      <c r="U82" s="25">
        <f>+Municipios!Z83</f>
        <v>59.359703028386491</v>
      </c>
      <c r="V82" s="232">
        <v>76364</v>
      </c>
      <c r="W82" s="232" t="s">
        <v>623</v>
      </c>
      <c r="X82" s="232" t="s">
        <v>454</v>
      </c>
      <c r="Y82" s="232" t="s">
        <v>455</v>
      </c>
      <c r="Z82" s="232" t="s">
        <v>624</v>
      </c>
    </row>
    <row r="83" spans="1:26">
      <c r="A83" t="s">
        <v>417</v>
      </c>
      <c r="B83" s="25">
        <f>+Municipios!Z84</f>
        <v>50.670642430929725</v>
      </c>
      <c r="C83" s="232">
        <v>8558</v>
      </c>
      <c r="D83" s="232" t="s">
        <v>625</v>
      </c>
      <c r="E83" s="232" t="s">
        <v>442</v>
      </c>
      <c r="F83" s="232" t="s">
        <v>443</v>
      </c>
      <c r="G83" s="232" t="s">
        <v>626</v>
      </c>
      <c r="K83" t="s">
        <v>2647</v>
      </c>
      <c r="L83" s="81">
        <f>+Municipios!AB84</f>
        <v>34.144814686636209</v>
      </c>
      <c r="M83" s="232">
        <v>8558</v>
      </c>
      <c r="N83" s="232" t="s">
        <v>625</v>
      </c>
      <c r="O83" s="232" t="s">
        <v>442</v>
      </c>
      <c r="P83" s="232" t="s">
        <v>443</v>
      </c>
      <c r="Q83" s="232" t="s">
        <v>626</v>
      </c>
      <c r="T83" t="s">
        <v>2803</v>
      </c>
      <c r="U83" s="25">
        <f>+Municipios!Z84</f>
        <v>50.670642430929725</v>
      </c>
      <c r="V83" s="232">
        <v>8558</v>
      </c>
      <c r="W83" s="232" t="s">
        <v>625</v>
      </c>
      <c r="X83" s="232" t="s">
        <v>442</v>
      </c>
      <c r="Y83" s="232" t="s">
        <v>443</v>
      </c>
      <c r="Z83" s="232" t="s">
        <v>626</v>
      </c>
    </row>
    <row r="84" spans="1:26">
      <c r="A84" t="s">
        <v>417</v>
      </c>
      <c r="B84" s="25">
        <f>+Municipios!Z85</f>
        <v>72.233388043510587</v>
      </c>
      <c r="C84" s="232">
        <v>76400</v>
      </c>
      <c r="D84" s="232" t="s">
        <v>627</v>
      </c>
      <c r="E84" s="232" t="s">
        <v>454</v>
      </c>
      <c r="F84" s="232" t="s">
        <v>455</v>
      </c>
      <c r="G84" s="232" t="s">
        <v>628</v>
      </c>
      <c r="K84" t="s">
        <v>2647</v>
      </c>
      <c r="L84" s="81">
        <f>+Municipios!AB85</f>
        <v>48.571161958998999</v>
      </c>
      <c r="M84" s="232">
        <v>76400</v>
      </c>
      <c r="N84" s="232" t="s">
        <v>627</v>
      </c>
      <c r="O84" s="232" t="s">
        <v>454</v>
      </c>
      <c r="P84" s="232" t="s">
        <v>455</v>
      </c>
      <c r="Q84" s="232" t="s">
        <v>628</v>
      </c>
      <c r="T84" t="s">
        <v>2803</v>
      </c>
      <c r="U84" s="25">
        <f>+Municipios!Z85</f>
        <v>72.233388043510587</v>
      </c>
      <c r="V84" s="232">
        <v>76400</v>
      </c>
      <c r="W84" s="232" t="s">
        <v>627</v>
      </c>
      <c r="X84" s="232" t="s">
        <v>454</v>
      </c>
      <c r="Y84" s="232" t="s">
        <v>455</v>
      </c>
      <c r="Z84" s="232" t="s">
        <v>628</v>
      </c>
    </row>
    <row r="85" spans="1:26">
      <c r="A85" t="s">
        <v>417</v>
      </c>
      <c r="B85" s="25">
        <f>+Municipios!Z86</f>
        <v>63.632821730449606</v>
      </c>
      <c r="C85" s="232">
        <v>25785</v>
      </c>
      <c r="D85" s="232" t="s">
        <v>629</v>
      </c>
      <c r="E85" s="232" t="s">
        <v>461</v>
      </c>
      <c r="F85" s="232" t="s">
        <v>462</v>
      </c>
      <c r="G85" s="232" t="s">
        <v>630</v>
      </c>
      <c r="K85" t="s">
        <v>2647</v>
      </c>
      <c r="L85" s="81">
        <f>+Municipios!AB86</f>
        <v>42.724978457271519</v>
      </c>
      <c r="M85" s="232">
        <v>25785</v>
      </c>
      <c r="N85" s="232" t="s">
        <v>629</v>
      </c>
      <c r="O85" s="232" t="s">
        <v>461</v>
      </c>
      <c r="P85" s="232" t="s">
        <v>462</v>
      </c>
      <c r="Q85" s="232" t="s">
        <v>630</v>
      </c>
      <c r="T85" t="s">
        <v>2803</v>
      </c>
      <c r="U85" s="25">
        <f>+Municipios!Z86</f>
        <v>63.632821730449606</v>
      </c>
      <c r="V85" s="232">
        <v>25785</v>
      </c>
      <c r="W85" s="232" t="s">
        <v>629</v>
      </c>
      <c r="X85" s="232" t="s">
        <v>461</v>
      </c>
      <c r="Y85" s="232" t="s">
        <v>462</v>
      </c>
      <c r="Z85" s="232" t="s">
        <v>630</v>
      </c>
    </row>
    <row r="86" spans="1:26">
      <c r="A86" t="s">
        <v>417</v>
      </c>
      <c r="B86" s="25">
        <f>+Municipios!Z87</f>
        <v>52.970762364457329</v>
      </c>
      <c r="C86" s="232">
        <v>73275</v>
      </c>
      <c r="D86" s="232" t="s">
        <v>631</v>
      </c>
      <c r="E86" s="232" t="s">
        <v>595</v>
      </c>
      <c r="F86" s="232" t="s">
        <v>596</v>
      </c>
      <c r="G86" s="232" t="s">
        <v>632</v>
      </c>
      <c r="K86" t="s">
        <v>2647</v>
      </c>
      <c r="L86" s="81">
        <f>+Municipios!AB87</f>
        <v>35.624046934567644</v>
      </c>
      <c r="M86" s="232">
        <v>73275</v>
      </c>
      <c r="N86" s="232" t="s">
        <v>631</v>
      </c>
      <c r="O86" s="232" t="s">
        <v>595</v>
      </c>
      <c r="P86" s="232" t="s">
        <v>596</v>
      </c>
      <c r="Q86" s="232" t="s">
        <v>632</v>
      </c>
      <c r="T86" t="s">
        <v>2803</v>
      </c>
      <c r="U86" s="25">
        <f>+Municipios!Z87</f>
        <v>52.970762364457329</v>
      </c>
      <c r="V86" s="232">
        <v>73275</v>
      </c>
      <c r="W86" s="232" t="s">
        <v>631</v>
      </c>
      <c r="X86" s="232" t="s">
        <v>595</v>
      </c>
      <c r="Y86" s="232" t="s">
        <v>596</v>
      </c>
      <c r="Z86" s="232" t="s">
        <v>632</v>
      </c>
    </row>
    <row r="87" spans="1:26">
      <c r="A87" t="s">
        <v>417</v>
      </c>
      <c r="B87" s="25">
        <f>+Municipios!Z88</f>
        <v>56.460370021996255</v>
      </c>
      <c r="C87" s="232">
        <v>8638</v>
      </c>
      <c r="D87" s="232" t="s">
        <v>633</v>
      </c>
      <c r="E87" s="232" t="s">
        <v>442</v>
      </c>
      <c r="F87" s="232" t="s">
        <v>443</v>
      </c>
      <c r="G87" s="232" t="s">
        <v>634</v>
      </c>
      <c r="K87" t="s">
        <v>2647</v>
      </c>
      <c r="L87" s="81">
        <f>+Municipios!AB88</f>
        <v>37.968647354867606</v>
      </c>
      <c r="M87" s="232">
        <v>8638</v>
      </c>
      <c r="N87" s="232" t="s">
        <v>633</v>
      </c>
      <c r="O87" s="232" t="s">
        <v>442</v>
      </c>
      <c r="P87" s="232" t="s">
        <v>443</v>
      </c>
      <c r="Q87" s="232" t="s">
        <v>634</v>
      </c>
      <c r="T87" t="s">
        <v>2803</v>
      </c>
      <c r="U87" s="25">
        <f>+Municipios!Z88</f>
        <v>56.460370021996255</v>
      </c>
      <c r="V87" s="232">
        <v>8638</v>
      </c>
      <c r="W87" s="232" t="s">
        <v>633</v>
      </c>
      <c r="X87" s="232" t="s">
        <v>442</v>
      </c>
      <c r="Y87" s="232" t="s">
        <v>443</v>
      </c>
      <c r="Z87" s="232" t="s">
        <v>634</v>
      </c>
    </row>
    <row r="88" spans="1:26">
      <c r="A88" t="s">
        <v>417</v>
      </c>
      <c r="B88" s="25">
        <f>+Municipios!Z89</f>
        <v>45.84136280729782</v>
      </c>
      <c r="C88" s="232">
        <v>8675</v>
      </c>
      <c r="D88" s="232" t="s">
        <v>635</v>
      </c>
      <c r="E88" s="232" t="s">
        <v>442</v>
      </c>
      <c r="F88" s="232" t="s">
        <v>443</v>
      </c>
      <c r="G88" s="232" t="s">
        <v>636</v>
      </c>
      <c r="K88" t="s">
        <v>2647</v>
      </c>
      <c r="L88" s="81">
        <f>+Municipios!AB89</f>
        <v>30.753287568924613</v>
      </c>
      <c r="M88" s="232">
        <v>8675</v>
      </c>
      <c r="N88" s="232" t="s">
        <v>635</v>
      </c>
      <c r="O88" s="232" t="s">
        <v>442</v>
      </c>
      <c r="P88" s="232" t="s">
        <v>443</v>
      </c>
      <c r="Q88" s="232" t="s">
        <v>636</v>
      </c>
      <c r="T88" t="s">
        <v>2803</v>
      </c>
      <c r="U88" s="25">
        <f>+Municipios!Z89</f>
        <v>45.84136280729782</v>
      </c>
      <c r="V88" s="232">
        <v>8675</v>
      </c>
      <c r="W88" s="232" t="s">
        <v>635</v>
      </c>
      <c r="X88" s="232" t="s">
        <v>442</v>
      </c>
      <c r="Y88" s="232" t="s">
        <v>443</v>
      </c>
      <c r="Z88" s="232" t="s">
        <v>636</v>
      </c>
    </row>
    <row r="89" spans="1:26">
      <c r="A89" t="s">
        <v>417</v>
      </c>
      <c r="B89" s="25">
        <f>+Municipios!Z90</f>
        <v>64.167353359694943</v>
      </c>
      <c r="C89" s="232">
        <v>47001</v>
      </c>
      <c r="D89" s="232" t="s">
        <v>637</v>
      </c>
      <c r="E89" s="232" t="s">
        <v>638</v>
      </c>
      <c r="F89" s="232" t="s">
        <v>639</v>
      </c>
      <c r="G89" s="232" t="s">
        <v>640</v>
      </c>
      <c r="K89" t="s">
        <v>2647</v>
      </c>
      <c r="L89" s="81">
        <f>+Municipios!AB90</f>
        <v>42.822129791039252</v>
      </c>
      <c r="M89" s="232">
        <v>47001</v>
      </c>
      <c r="N89" s="232" t="s">
        <v>637</v>
      </c>
      <c r="O89" s="232" t="s">
        <v>638</v>
      </c>
      <c r="P89" s="232" t="s">
        <v>639</v>
      </c>
      <c r="Q89" s="232" t="s">
        <v>640</v>
      </c>
      <c r="T89" t="s">
        <v>2803</v>
      </c>
      <c r="U89" s="25">
        <f>+Municipios!Z90</f>
        <v>64.167353359694943</v>
      </c>
      <c r="V89" s="232">
        <v>47001</v>
      </c>
      <c r="W89" s="232" t="s">
        <v>637</v>
      </c>
      <c r="X89" s="232" t="s">
        <v>638</v>
      </c>
      <c r="Y89" s="232" t="s">
        <v>639</v>
      </c>
      <c r="Z89" s="232" t="s">
        <v>640</v>
      </c>
    </row>
    <row r="90" spans="1:26">
      <c r="A90" t="s">
        <v>417</v>
      </c>
      <c r="B90" s="25">
        <f>+Municipios!Z91</f>
        <v>74.547633632712348</v>
      </c>
      <c r="C90" s="232">
        <v>15176</v>
      </c>
      <c r="D90" s="232" t="s">
        <v>641</v>
      </c>
      <c r="E90" s="232" t="s">
        <v>498</v>
      </c>
      <c r="F90" s="232" t="s">
        <v>499</v>
      </c>
      <c r="G90" s="232" t="s">
        <v>642</v>
      </c>
      <c r="K90" t="s">
        <v>2647</v>
      </c>
      <c r="L90" s="81">
        <f>+Municipios!AB91</f>
        <v>49.587744892751189</v>
      </c>
      <c r="M90" s="232">
        <v>15176</v>
      </c>
      <c r="N90" s="232" t="s">
        <v>641</v>
      </c>
      <c r="O90" s="232" t="s">
        <v>498</v>
      </c>
      <c r="P90" s="232" t="s">
        <v>499</v>
      </c>
      <c r="Q90" s="232" t="s">
        <v>642</v>
      </c>
      <c r="T90" t="s">
        <v>2803</v>
      </c>
      <c r="U90" s="25">
        <f>+Municipios!Z91</f>
        <v>74.547633632712348</v>
      </c>
      <c r="V90" s="232">
        <v>15176</v>
      </c>
      <c r="W90" s="232" t="s">
        <v>641</v>
      </c>
      <c r="X90" s="232" t="s">
        <v>498</v>
      </c>
      <c r="Y90" s="232" t="s">
        <v>499</v>
      </c>
      <c r="Z90" s="232" t="s">
        <v>642</v>
      </c>
    </row>
    <row r="91" spans="1:26">
      <c r="A91" t="s">
        <v>417</v>
      </c>
      <c r="B91" s="25">
        <f>+Municipios!Z92</f>
        <v>56.098200349500743</v>
      </c>
      <c r="C91" s="232">
        <v>70670</v>
      </c>
      <c r="D91" s="232" t="s">
        <v>643</v>
      </c>
      <c r="E91" s="232" t="s">
        <v>494</v>
      </c>
      <c r="F91" s="232" t="s">
        <v>495</v>
      </c>
      <c r="G91" s="232" t="s">
        <v>644</v>
      </c>
      <c r="K91" t="s">
        <v>2647</v>
      </c>
      <c r="L91" s="81">
        <f>+Municipios!AB92</f>
        <v>37.325954279714281</v>
      </c>
      <c r="M91" s="232">
        <v>70670</v>
      </c>
      <c r="N91" s="232" t="s">
        <v>643</v>
      </c>
      <c r="O91" s="232" t="s">
        <v>494</v>
      </c>
      <c r="P91" s="232" t="s">
        <v>495</v>
      </c>
      <c r="Q91" s="232" t="s">
        <v>644</v>
      </c>
      <c r="T91" t="s">
        <v>2803</v>
      </c>
      <c r="U91" s="25">
        <f>+Municipios!Z92</f>
        <v>56.098200349500743</v>
      </c>
      <c r="V91" s="232">
        <v>70670</v>
      </c>
      <c r="W91" s="232" t="s">
        <v>643</v>
      </c>
      <c r="X91" s="232" t="s">
        <v>494</v>
      </c>
      <c r="Y91" s="232" t="s">
        <v>495</v>
      </c>
      <c r="Z91" s="232" t="s">
        <v>644</v>
      </c>
    </row>
    <row r="92" spans="1:26">
      <c r="A92" t="s">
        <v>417</v>
      </c>
      <c r="B92" s="25">
        <f>+Municipios!Z93</f>
        <v>69.327951251912452</v>
      </c>
      <c r="C92" s="232">
        <v>25260</v>
      </c>
      <c r="D92" s="232" t="s">
        <v>645</v>
      </c>
      <c r="E92" s="232" t="s">
        <v>461</v>
      </c>
      <c r="F92" s="232" t="s">
        <v>462</v>
      </c>
      <c r="G92" s="232" t="s">
        <v>646</v>
      </c>
      <c r="K92" t="s">
        <v>2647</v>
      </c>
      <c r="L92" s="81">
        <f>+Municipios!AB93</f>
        <v>46.002371263947424</v>
      </c>
      <c r="M92" s="232">
        <v>25260</v>
      </c>
      <c r="N92" s="232" t="s">
        <v>645</v>
      </c>
      <c r="O92" s="232" t="s">
        <v>461</v>
      </c>
      <c r="P92" s="232" t="s">
        <v>462</v>
      </c>
      <c r="Q92" s="232" t="s">
        <v>646</v>
      </c>
      <c r="T92" t="s">
        <v>2803</v>
      </c>
      <c r="U92" s="25">
        <f>+Municipios!Z93</f>
        <v>69.327951251912452</v>
      </c>
      <c r="V92" s="232">
        <v>25260</v>
      </c>
      <c r="W92" s="232" t="s">
        <v>645</v>
      </c>
      <c r="X92" s="232" t="s">
        <v>461</v>
      </c>
      <c r="Y92" s="232" t="s">
        <v>462</v>
      </c>
      <c r="Z92" s="232" t="s">
        <v>646</v>
      </c>
    </row>
    <row r="93" spans="1:26">
      <c r="A93" t="s">
        <v>417</v>
      </c>
      <c r="B93" s="25">
        <f>+Municipios!Z94</f>
        <v>60.665881575890687</v>
      </c>
      <c r="C93" s="232">
        <v>19845</v>
      </c>
      <c r="D93" s="232" t="s">
        <v>647</v>
      </c>
      <c r="E93" s="232" t="s">
        <v>557</v>
      </c>
      <c r="F93" s="232" t="s">
        <v>558</v>
      </c>
      <c r="G93" s="232" t="s">
        <v>648</v>
      </c>
      <c r="K93" t="s">
        <v>2647</v>
      </c>
      <c r="L93" s="81">
        <f>+Municipios!AB94</f>
        <v>40.494813637402103</v>
      </c>
      <c r="M93" s="232">
        <v>19845</v>
      </c>
      <c r="N93" s="232" t="s">
        <v>647</v>
      </c>
      <c r="O93" s="232" t="s">
        <v>557</v>
      </c>
      <c r="P93" s="232" t="s">
        <v>558</v>
      </c>
      <c r="Q93" s="232" t="s">
        <v>648</v>
      </c>
      <c r="T93" t="s">
        <v>2803</v>
      </c>
      <c r="U93" s="25">
        <f>+Municipios!Z94</f>
        <v>60.665881575890687</v>
      </c>
      <c r="V93" s="232">
        <v>19845</v>
      </c>
      <c r="W93" s="232" t="s">
        <v>647</v>
      </c>
      <c r="X93" s="232" t="s">
        <v>557</v>
      </c>
      <c r="Y93" s="232" t="s">
        <v>558</v>
      </c>
      <c r="Z93" s="232" t="s">
        <v>648</v>
      </c>
    </row>
    <row r="94" spans="1:26">
      <c r="A94" t="s">
        <v>417</v>
      </c>
      <c r="B94" s="25">
        <f>+Municipios!Z95</f>
        <v>60.402101348714105</v>
      </c>
      <c r="C94" s="232">
        <v>63470</v>
      </c>
      <c r="D94" s="232" t="s">
        <v>649</v>
      </c>
      <c r="E94" s="232" t="s">
        <v>473</v>
      </c>
      <c r="F94" s="232" t="s">
        <v>474</v>
      </c>
      <c r="G94" s="232" t="s">
        <v>650</v>
      </c>
      <c r="K94" t="s">
        <v>2647</v>
      </c>
      <c r="L94" s="81">
        <f>+Municipios!AB95</f>
        <v>40.156317136666388</v>
      </c>
      <c r="M94" s="232">
        <v>63470</v>
      </c>
      <c r="N94" s="232" t="s">
        <v>649</v>
      </c>
      <c r="O94" s="232" t="s">
        <v>473</v>
      </c>
      <c r="P94" s="232" t="s">
        <v>474</v>
      </c>
      <c r="Q94" s="232" t="s">
        <v>650</v>
      </c>
      <c r="T94" t="s">
        <v>2803</v>
      </c>
      <c r="U94" s="25">
        <f>+Municipios!Z95</f>
        <v>60.402101348714105</v>
      </c>
      <c r="V94" s="232">
        <v>63470</v>
      </c>
      <c r="W94" s="232" t="s">
        <v>649</v>
      </c>
      <c r="X94" s="232" t="s">
        <v>473</v>
      </c>
      <c r="Y94" s="232" t="s">
        <v>474</v>
      </c>
      <c r="Z94" s="232" t="s">
        <v>650</v>
      </c>
    </row>
    <row r="95" spans="1:26">
      <c r="A95" t="s">
        <v>417</v>
      </c>
      <c r="B95" s="25">
        <f>+Municipios!Z96</f>
        <v>55.570674215636174</v>
      </c>
      <c r="C95" s="232">
        <v>70215</v>
      </c>
      <c r="D95" s="232" t="s">
        <v>651</v>
      </c>
      <c r="E95" s="232" t="s">
        <v>494</v>
      </c>
      <c r="F95" s="232" t="s">
        <v>495</v>
      </c>
      <c r="G95" s="232" t="s">
        <v>652</v>
      </c>
      <c r="K95" t="s">
        <v>2647</v>
      </c>
      <c r="L95" s="81">
        <f>+Municipios!AB96</f>
        <v>36.871642905311624</v>
      </c>
      <c r="M95" s="232">
        <v>70215</v>
      </c>
      <c r="N95" s="232" t="s">
        <v>651</v>
      </c>
      <c r="O95" s="232" t="s">
        <v>494</v>
      </c>
      <c r="P95" s="232" t="s">
        <v>495</v>
      </c>
      <c r="Q95" s="232" t="s">
        <v>652</v>
      </c>
      <c r="T95" t="s">
        <v>2803</v>
      </c>
      <c r="U95" s="25">
        <f>+Municipios!Z96</f>
        <v>55.570674215636174</v>
      </c>
      <c r="V95" s="232">
        <v>70215</v>
      </c>
      <c r="W95" s="232" t="s">
        <v>651</v>
      </c>
      <c r="X95" s="232" t="s">
        <v>494</v>
      </c>
      <c r="Y95" s="232" t="s">
        <v>495</v>
      </c>
      <c r="Z95" s="232" t="s">
        <v>652</v>
      </c>
    </row>
    <row r="96" spans="1:26">
      <c r="A96" t="s">
        <v>417</v>
      </c>
      <c r="B96" s="25">
        <f>+Municipios!Z97</f>
        <v>54.612786522655242</v>
      </c>
      <c r="C96" s="232">
        <v>76318</v>
      </c>
      <c r="D96" s="232" t="s">
        <v>653</v>
      </c>
      <c r="E96" s="232" t="s">
        <v>454</v>
      </c>
      <c r="F96" s="232" t="s">
        <v>455</v>
      </c>
      <c r="G96" s="232" t="s">
        <v>654</v>
      </c>
      <c r="K96" t="s">
        <v>2647</v>
      </c>
      <c r="L96" s="81">
        <f>+Municipios!AB97</f>
        <v>36.145310117601234</v>
      </c>
      <c r="M96" s="232">
        <v>76318</v>
      </c>
      <c r="N96" s="232" t="s">
        <v>653</v>
      </c>
      <c r="O96" s="232" t="s">
        <v>454</v>
      </c>
      <c r="P96" s="232" t="s">
        <v>455</v>
      </c>
      <c r="Q96" s="232" t="s">
        <v>654</v>
      </c>
      <c r="T96" t="s">
        <v>2803</v>
      </c>
      <c r="U96" s="25">
        <f>+Municipios!Z97</f>
        <v>54.612786522655242</v>
      </c>
      <c r="V96" s="232">
        <v>76318</v>
      </c>
      <c r="W96" s="232" t="s">
        <v>653</v>
      </c>
      <c r="X96" s="232" t="s">
        <v>454</v>
      </c>
      <c r="Y96" s="232" t="s">
        <v>455</v>
      </c>
      <c r="Z96" s="232" t="s">
        <v>654</v>
      </c>
    </row>
    <row r="97" spans="1:26">
      <c r="A97" t="s">
        <v>417</v>
      </c>
      <c r="B97" s="25">
        <f>+Municipios!Z98</f>
        <v>54.692684526195634</v>
      </c>
      <c r="C97" s="232">
        <v>76020</v>
      </c>
      <c r="D97" s="232" t="s">
        <v>655</v>
      </c>
      <c r="E97" s="232" t="s">
        <v>454</v>
      </c>
      <c r="F97" s="232" t="s">
        <v>455</v>
      </c>
      <c r="G97" s="232" t="s">
        <v>656</v>
      </c>
      <c r="K97" t="s">
        <v>2647</v>
      </c>
      <c r="L97" s="81">
        <f>+Municipios!AB98</f>
        <v>36.149943651055452</v>
      </c>
      <c r="M97" s="232">
        <v>76020</v>
      </c>
      <c r="N97" s="232" t="s">
        <v>655</v>
      </c>
      <c r="O97" s="232" t="s">
        <v>454</v>
      </c>
      <c r="P97" s="232" t="s">
        <v>455</v>
      </c>
      <c r="Q97" s="232" t="s">
        <v>656</v>
      </c>
      <c r="T97" t="s">
        <v>2803</v>
      </c>
      <c r="U97" s="25">
        <f>+Municipios!Z98</f>
        <v>54.692684526195634</v>
      </c>
      <c r="V97" s="232">
        <v>76020</v>
      </c>
      <c r="W97" s="232" t="s">
        <v>655</v>
      </c>
      <c r="X97" s="232" t="s">
        <v>454</v>
      </c>
      <c r="Y97" s="232" t="s">
        <v>455</v>
      </c>
      <c r="Z97" s="232" t="s">
        <v>656</v>
      </c>
    </row>
    <row r="98" spans="1:26">
      <c r="A98" t="s">
        <v>417</v>
      </c>
      <c r="B98" s="25">
        <f>+Municipios!Z99</f>
        <v>49.700959562688951</v>
      </c>
      <c r="C98" s="232">
        <v>8137</v>
      </c>
      <c r="D98" s="232" t="s">
        <v>657</v>
      </c>
      <c r="E98" s="232" t="s">
        <v>442</v>
      </c>
      <c r="F98" s="232" t="s">
        <v>443</v>
      </c>
      <c r="G98" s="232" t="s">
        <v>658</v>
      </c>
      <c r="K98" t="s">
        <v>2647</v>
      </c>
      <c r="L98" s="81">
        <f>+Municipios!AB99</f>
        <v>32.859646494420055</v>
      </c>
      <c r="M98" s="232">
        <v>8137</v>
      </c>
      <c r="N98" s="232" t="s">
        <v>657</v>
      </c>
      <c r="O98" s="232" t="s">
        <v>442</v>
      </c>
      <c r="P98" s="232" t="s">
        <v>443</v>
      </c>
      <c r="Q98" s="232" t="s">
        <v>658</v>
      </c>
      <c r="T98" t="s">
        <v>2803</v>
      </c>
      <c r="U98" s="25">
        <f>+Municipios!Z99</f>
        <v>49.700959562688951</v>
      </c>
      <c r="V98" s="232">
        <v>8137</v>
      </c>
      <c r="W98" s="232" t="s">
        <v>657</v>
      </c>
      <c r="X98" s="232" t="s">
        <v>442</v>
      </c>
      <c r="Y98" s="232" t="s">
        <v>443</v>
      </c>
      <c r="Z98" s="232" t="s">
        <v>658</v>
      </c>
    </row>
    <row r="99" spans="1:26">
      <c r="A99" t="s">
        <v>417</v>
      </c>
      <c r="B99" s="25">
        <f>+Municipios!Z100</f>
        <v>59.97561429161501</v>
      </c>
      <c r="C99" s="232">
        <v>76036</v>
      </c>
      <c r="D99" s="232" t="s">
        <v>659</v>
      </c>
      <c r="E99" s="232" t="s">
        <v>454</v>
      </c>
      <c r="F99" s="232" t="s">
        <v>455</v>
      </c>
      <c r="G99" s="232" t="s">
        <v>660</v>
      </c>
      <c r="K99" t="s">
        <v>2647</v>
      </c>
      <c r="L99" s="81">
        <f>+Municipios!AB100</f>
        <v>39.564262944577024</v>
      </c>
      <c r="M99" s="232">
        <v>76036</v>
      </c>
      <c r="N99" s="232" t="s">
        <v>659</v>
      </c>
      <c r="O99" s="232" t="s">
        <v>454</v>
      </c>
      <c r="P99" s="232" t="s">
        <v>455</v>
      </c>
      <c r="Q99" s="232" t="s">
        <v>660</v>
      </c>
      <c r="T99" t="s">
        <v>2803</v>
      </c>
      <c r="U99" s="25">
        <f>+Municipios!Z100</f>
        <v>59.97561429161501</v>
      </c>
      <c r="V99" s="232">
        <v>76036</v>
      </c>
      <c r="W99" s="232" t="s">
        <v>659</v>
      </c>
      <c r="X99" s="232" t="s">
        <v>454</v>
      </c>
      <c r="Y99" s="232" t="s">
        <v>455</v>
      </c>
      <c r="Z99" s="232" t="s">
        <v>660</v>
      </c>
    </row>
    <row r="100" spans="1:26">
      <c r="A100" t="s">
        <v>417</v>
      </c>
      <c r="B100" s="25">
        <f>+Municipios!Z101</f>
        <v>57.241971001319953</v>
      </c>
      <c r="C100" s="232">
        <v>63594</v>
      </c>
      <c r="D100" s="232" t="s">
        <v>661</v>
      </c>
      <c r="E100" s="232" t="s">
        <v>473</v>
      </c>
      <c r="F100" s="232" t="s">
        <v>474</v>
      </c>
      <c r="G100" s="232" t="s">
        <v>662</v>
      </c>
      <c r="K100" t="s">
        <v>2647</v>
      </c>
      <c r="L100" s="81">
        <f>+Municipios!AB101</f>
        <v>37.749108493609576</v>
      </c>
      <c r="M100" s="232">
        <v>63594</v>
      </c>
      <c r="N100" s="232" t="s">
        <v>661</v>
      </c>
      <c r="O100" s="232" t="s">
        <v>473</v>
      </c>
      <c r="P100" s="232" t="s">
        <v>474</v>
      </c>
      <c r="Q100" s="232" t="s">
        <v>662</v>
      </c>
      <c r="T100" t="s">
        <v>2803</v>
      </c>
      <c r="U100" s="25">
        <f>+Municipios!Z101</f>
        <v>57.241971001319953</v>
      </c>
      <c r="V100" s="232">
        <v>63594</v>
      </c>
      <c r="W100" s="232" t="s">
        <v>661</v>
      </c>
      <c r="X100" s="232" t="s">
        <v>473</v>
      </c>
      <c r="Y100" s="232" t="s">
        <v>474</v>
      </c>
      <c r="Z100" s="232" t="s">
        <v>662</v>
      </c>
    </row>
    <row r="101" spans="1:26">
      <c r="A101" t="s">
        <v>417</v>
      </c>
      <c r="B101" s="25">
        <f>+Municipios!Z102</f>
        <v>54.672823789684543</v>
      </c>
      <c r="C101" s="232">
        <v>68432</v>
      </c>
      <c r="D101" s="232" t="s">
        <v>663</v>
      </c>
      <c r="E101" s="232" t="s">
        <v>431</v>
      </c>
      <c r="F101" s="232" t="s">
        <v>432</v>
      </c>
      <c r="G101" s="232" t="s">
        <v>664</v>
      </c>
      <c r="K101" t="s">
        <v>2647</v>
      </c>
      <c r="L101" s="81">
        <f>+Municipios!AB102</f>
        <v>35.953118993305445</v>
      </c>
      <c r="M101" s="232">
        <v>68432</v>
      </c>
      <c r="N101" s="232" t="s">
        <v>663</v>
      </c>
      <c r="O101" s="232" t="s">
        <v>431</v>
      </c>
      <c r="P101" s="232" t="s">
        <v>432</v>
      </c>
      <c r="Q101" s="232" t="s">
        <v>664</v>
      </c>
      <c r="T101" t="s">
        <v>2803</v>
      </c>
      <c r="U101" s="25">
        <f>+Municipios!Z102</f>
        <v>54.672823789684543</v>
      </c>
      <c r="V101" s="232">
        <v>68432</v>
      </c>
      <c r="W101" s="232" t="s">
        <v>663</v>
      </c>
      <c r="X101" s="232" t="s">
        <v>431</v>
      </c>
      <c r="Y101" s="232" t="s">
        <v>432</v>
      </c>
      <c r="Z101" s="232" t="s">
        <v>664</v>
      </c>
    </row>
    <row r="102" spans="1:26">
      <c r="A102" t="s">
        <v>417</v>
      </c>
      <c r="B102" s="25">
        <f>+Municipios!Z103</f>
        <v>56.021668523766778</v>
      </c>
      <c r="C102" s="232">
        <v>23670</v>
      </c>
      <c r="D102" s="232" t="s">
        <v>665</v>
      </c>
      <c r="E102" s="232" t="s">
        <v>567</v>
      </c>
      <c r="F102" s="232" t="s">
        <v>568</v>
      </c>
      <c r="G102" s="232" t="s">
        <v>666</v>
      </c>
      <c r="K102" t="s">
        <v>2647</v>
      </c>
      <c r="L102" s="81">
        <f>+Municipios!AB103</f>
        <v>36.793658017032364</v>
      </c>
      <c r="M102" s="232">
        <v>23670</v>
      </c>
      <c r="N102" s="232" t="s">
        <v>665</v>
      </c>
      <c r="O102" s="232" t="s">
        <v>567</v>
      </c>
      <c r="P102" s="232" t="s">
        <v>568</v>
      </c>
      <c r="Q102" s="232" t="s">
        <v>666</v>
      </c>
      <c r="T102" t="s">
        <v>2803</v>
      </c>
      <c r="U102" s="25">
        <f>+Municipios!Z103</f>
        <v>56.021668523766778</v>
      </c>
      <c r="V102" s="232">
        <v>23670</v>
      </c>
      <c r="W102" s="232" t="s">
        <v>665</v>
      </c>
      <c r="X102" s="232" t="s">
        <v>567</v>
      </c>
      <c r="Y102" s="232" t="s">
        <v>568</v>
      </c>
      <c r="Z102" s="232" t="s">
        <v>666</v>
      </c>
    </row>
    <row r="103" spans="1:26">
      <c r="A103" t="s">
        <v>417</v>
      </c>
      <c r="B103" s="25">
        <f>+Municipios!Z104</f>
        <v>72.420463443332096</v>
      </c>
      <c r="C103" s="232">
        <v>25386</v>
      </c>
      <c r="D103" s="232" t="s">
        <v>667</v>
      </c>
      <c r="E103" s="232" t="s">
        <v>461</v>
      </c>
      <c r="F103" s="232" t="s">
        <v>462</v>
      </c>
      <c r="G103" s="232" t="s">
        <v>668</v>
      </c>
      <c r="K103" t="s">
        <v>2647</v>
      </c>
      <c r="L103" s="81">
        <f>+Municipios!AB104</f>
        <v>47.578022937991292</v>
      </c>
      <c r="M103" s="232">
        <v>25386</v>
      </c>
      <c r="N103" s="232" t="s">
        <v>667</v>
      </c>
      <c r="O103" s="232" t="s">
        <v>461</v>
      </c>
      <c r="P103" s="232" t="s">
        <v>462</v>
      </c>
      <c r="Q103" s="232" t="s">
        <v>668</v>
      </c>
      <c r="T103" t="s">
        <v>2803</v>
      </c>
      <c r="U103" s="25">
        <f>+Municipios!Z104</f>
        <v>72.420463443332096</v>
      </c>
      <c r="V103" s="232">
        <v>25386</v>
      </c>
      <c r="W103" s="232" t="s">
        <v>667</v>
      </c>
      <c r="X103" s="232" t="s">
        <v>461</v>
      </c>
      <c r="Y103" s="232" t="s">
        <v>462</v>
      </c>
      <c r="Z103" s="232" t="s">
        <v>668</v>
      </c>
    </row>
    <row r="104" spans="1:26">
      <c r="A104" t="s">
        <v>417</v>
      </c>
      <c r="B104" s="25">
        <f>+Municipios!Z105</f>
        <v>80.526156437192952</v>
      </c>
      <c r="C104" s="232">
        <v>25758</v>
      </c>
      <c r="D104" s="232" t="s">
        <v>669</v>
      </c>
      <c r="E104" s="232" t="s">
        <v>461</v>
      </c>
      <c r="F104" s="232" t="s">
        <v>462</v>
      </c>
      <c r="G104" s="232" t="s">
        <v>670</v>
      </c>
      <c r="K104" t="s">
        <v>2647</v>
      </c>
      <c r="L104" s="81">
        <f>+Municipios!AB105</f>
        <v>52.626174797940529</v>
      </c>
      <c r="M104" s="232">
        <v>25758</v>
      </c>
      <c r="N104" s="232" t="s">
        <v>669</v>
      </c>
      <c r="O104" s="232" t="s">
        <v>461</v>
      </c>
      <c r="P104" s="232" t="s">
        <v>462</v>
      </c>
      <c r="Q104" s="232" t="s">
        <v>670</v>
      </c>
      <c r="T104" t="s">
        <v>2803</v>
      </c>
      <c r="U104" s="25">
        <f>+Municipios!Z105</f>
        <v>80.526156437192952</v>
      </c>
      <c r="V104" s="232">
        <v>25758</v>
      </c>
      <c r="W104" s="232" t="s">
        <v>669</v>
      </c>
      <c r="X104" s="232" t="s">
        <v>461</v>
      </c>
      <c r="Y104" s="232" t="s">
        <v>462</v>
      </c>
      <c r="Z104" s="232" t="s">
        <v>670</v>
      </c>
    </row>
    <row r="105" spans="1:26">
      <c r="A105" t="s">
        <v>417</v>
      </c>
      <c r="B105" s="25">
        <f>+Municipios!Z106</f>
        <v>70.439734967762121</v>
      </c>
      <c r="C105" s="232">
        <v>52001</v>
      </c>
      <c r="D105" s="232" t="s">
        <v>671</v>
      </c>
      <c r="E105" s="232" t="s">
        <v>672</v>
      </c>
      <c r="F105" s="232" t="s">
        <v>673</v>
      </c>
      <c r="G105" s="232" t="s">
        <v>674</v>
      </c>
      <c r="K105" t="s">
        <v>2647</v>
      </c>
      <c r="L105" s="81">
        <f>+Municipios!AB106</f>
        <v>46.098055170455517</v>
      </c>
      <c r="M105" s="232">
        <v>52001</v>
      </c>
      <c r="N105" s="232" t="s">
        <v>671</v>
      </c>
      <c r="O105" s="232" t="s">
        <v>672</v>
      </c>
      <c r="P105" s="232" t="s">
        <v>673</v>
      </c>
      <c r="Q105" s="232" t="s">
        <v>674</v>
      </c>
      <c r="T105" t="s">
        <v>2803</v>
      </c>
      <c r="U105" s="25">
        <f>+Municipios!Z106</f>
        <v>70.439734967762121</v>
      </c>
      <c r="V105" s="232">
        <v>52001</v>
      </c>
      <c r="W105" s="232" t="s">
        <v>671</v>
      </c>
      <c r="X105" s="232" t="s">
        <v>672</v>
      </c>
      <c r="Y105" s="232" t="s">
        <v>673</v>
      </c>
      <c r="Z105" s="232" t="s">
        <v>674</v>
      </c>
    </row>
    <row r="106" spans="1:26">
      <c r="A106" t="s">
        <v>417</v>
      </c>
      <c r="B106" s="25">
        <f>+Municipios!Z107</f>
        <v>68.033210220423044</v>
      </c>
      <c r="C106" s="232">
        <v>41001</v>
      </c>
      <c r="D106" s="232" t="s">
        <v>675</v>
      </c>
      <c r="E106" s="232" t="s">
        <v>676</v>
      </c>
      <c r="F106" s="232" t="s">
        <v>677</v>
      </c>
      <c r="G106" s="232" t="s">
        <v>678</v>
      </c>
      <c r="K106" t="s">
        <v>2647</v>
      </c>
      <c r="L106" s="81">
        <f>+Municipios!AB107</f>
        <v>44.309877235372525</v>
      </c>
      <c r="M106" s="232">
        <v>41001</v>
      </c>
      <c r="N106" s="232" t="s">
        <v>675</v>
      </c>
      <c r="O106" s="232" t="s">
        <v>676</v>
      </c>
      <c r="P106" s="232" t="s">
        <v>677</v>
      </c>
      <c r="Q106" s="232" t="s">
        <v>678</v>
      </c>
      <c r="T106" t="s">
        <v>2803</v>
      </c>
      <c r="U106" s="25">
        <f>+Municipios!Z107</f>
        <v>68.033210220423044</v>
      </c>
      <c r="V106" s="232">
        <v>41001</v>
      </c>
      <c r="W106" s="232" t="s">
        <v>675</v>
      </c>
      <c r="X106" s="232" t="s">
        <v>676</v>
      </c>
      <c r="Y106" s="232" t="s">
        <v>677</v>
      </c>
      <c r="Z106" s="232" t="s">
        <v>678</v>
      </c>
    </row>
    <row r="107" spans="1:26">
      <c r="A107" t="s">
        <v>417</v>
      </c>
      <c r="B107" s="25">
        <f>+Municipios!Z108</f>
        <v>52.494111098146931</v>
      </c>
      <c r="C107" s="232">
        <v>23300</v>
      </c>
      <c r="D107" s="232" t="s">
        <v>679</v>
      </c>
      <c r="E107" s="232" t="s">
        <v>567</v>
      </c>
      <c r="F107" s="232" t="s">
        <v>568</v>
      </c>
      <c r="G107" s="232" t="s">
        <v>680</v>
      </c>
      <c r="K107" t="s">
        <v>2647</v>
      </c>
      <c r="L107" s="81">
        <f>+Municipios!AB108</f>
        <v>34.12167068442168</v>
      </c>
      <c r="M107" s="232">
        <v>23300</v>
      </c>
      <c r="N107" s="232" t="s">
        <v>679</v>
      </c>
      <c r="O107" s="232" t="s">
        <v>567</v>
      </c>
      <c r="P107" s="232" t="s">
        <v>568</v>
      </c>
      <c r="Q107" s="232" t="s">
        <v>680</v>
      </c>
      <c r="T107" t="s">
        <v>2803</v>
      </c>
      <c r="U107" s="25">
        <f>+Municipios!Z108</f>
        <v>52.494111098146931</v>
      </c>
      <c r="V107" s="232">
        <v>23300</v>
      </c>
      <c r="W107" s="232" t="s">
        <v>679</v>
      </c>
      <c r="X107" s="232" t="s">
        <v>567</v>
      </c>
      <c r="Y107" s="232" t="s">
        <v>568</v>
      </c>
      <c r="Z107" s="232" t="s">
        <v>680</v>
      </c>
    </row>
    <row r="108" spans="1:26">
      <c r="A108" t="s">
        <v>417</v>
      </c>
      <c r="B108" s="25">
        <f>+Municipios!Z109</f>
        <v>58.678720874635815</v>
      </c>
      <c r="C108" s="232">
        <v>17777</v>
      </c>
      <c r="D108" s="232" t="s">
        <v>681</v>
      </c>
      <c r="E108" s="232" t="s">
        <v>506</v>
      </c>
      <c r="F108" s="232" t="s">
        <v>507</v>
      </c>
      <c r="G108" s="232" t="s">
        <v>682</v>
      </c>
      <c r="K108" t="s">
        <v>2647</v>
      </c>
      <c r="L108" s="81">
        <f>+Municipios!AB109</f>
        <v>38.144027105529815</v>
      </c>
      <c r="M108" s="232">
        <v>17777</v>
      </c>
      <c r="N108" s="232" t="s">
        <v>681</v>
      </c>
      <c r="O108" s="232" t="s">
        <v>506</v>
      </c>
      <c r="P108" s="232" t="s">
        <v>507</v>
      </c>
      <c r="Q108" s="232" t="s">
        <v>682</v>
      </c>
      <c r="T108" t="s">
        <v>2803</v>
      </c>
      <c r="U108" s="25">
        <f>+Municipios!Z109</f>
        <v>58.678720874635815</v>
      </c>
      <c r="V108" s="232">
        <v>17777</v>
      </c>
      <c r="W108" s="232" t="s">
        <v>681</v>
      </c>
      <c r="X108" s="232" t="s">
        <v>506</v>
      </c>
      <c r="Y108" s="232" t="s">
        <v>507</v>
      </c>
      <c r="Z108" s="232" t="s">
        <v>682</v>
      </c>
    </row>
    <row r="109" spans="1:26">
      <c r="A109" t="s">
        <v>417</v>
      </c>
      <c r="B109" s="25">
        <f>+Municipios!Z110</f>
        <v>59.995188929262056</v>
      </c>
      <c r="C109" s="232">
        <v>19698</v>
      </c>
      <c r="D109" s="232" t="s">
        <v>683</v>
      </c>
      <c r="E109" s="232" t="s">
        <v>557</v>
      </c>
      <c r="F109" s="232" t="s">
        <v>558</v>
      </c>
      <c r="G109" s="232" t="s">
        <v>684</v>
      </c>
      <c r="K109" t="s">
        <v>2647</v>
      </c>
      <c r="L109" s="81">
        <f>+Municipios!AB110</f>
        <v>39.023756372996615</v>
      </c>
      <c r="M109" s="232">
        <v>19698</v>
      </c>
      <c r="N109" s="232" t="s">
        <v>683</v>
      </c>
      <c r="O109" s="232" t="s">
        <v>557</v>
      </c>
      <c r="P109" s="232" t="s">
        <v>558</v>
      </c>
      <c r="Q109" s="232" t="s">
        <v>684</v>
      </c>
      <c r="T109" t="s">
        <v>2803</v>
      </c>
      <c r="U109" s="25">
        <f>+Municipios!Z110</f>
        <v>59.995188929262056</v>
      </c>
      <c r="V109" s="232">
        <v>19698</v>
      </c>
      <c r="W109" s="232" t="s">
        <v>683</v>
      </c>
      <c r="X109" s="232" t="s">
        <v>557</v>
      </c>
      <c r="Y109" s="232" t="s">
        <v>558</v>
      </c>
      <c r="Z109" s="232" t="s">
        <v>684</v>
      </c>
    </row>
    <row r="110" spans="1:26">
      <c r="A110" t="s">
        <v>417</v>
      </c>
      <c r="B110" s="25">
        <f>+Municipios!Z111</f>
        <v>54.122094444036492</v>
      </c>
      <c r="C110" s="232">
        <v>17442</v>
      </c>
      <c r="D110" s="232" t="s">
        <v>685</v>
      </c>
      <c r="E110" s="232" t="s">
        <v>506</v>
      </c>
      <c r="F110" s="232" t="s">
        <v>507</v>
      </c>
      <c r="G110" s="232" t="s">
        <v>686</v>
      </c>
      <c r="K110" t="s">
        <v>2647</v>
      </c>
      <c r="L110" s="81">
        <f>+Municipios!AB111</f>
        <v>35.216483717517676</v>
      </c>
      <c r="M110" s="232">
        <v>17442</v>
      </c>
      <c r="N110" s="232" t="s">
        <v>685</v>
      </c>
      <c r="O110" s="232" t="s">
        <v>506</v>
      </c>
      <c r="P110" s="232" t="s">
        <v>507</v>
      </c>
      <c r="Q110" s="232" t="s">
        <v>686</v>
      </c>
      <c r="T110" t="s">
        <v>2803</v>
      </c>
      <c r="U110" s="25">
        <f>+Municipios!Z111</f>
        <v>54.122094444036492</v>
      </c>
      <c r="V110" s="232">
        <v>17442</v>
      </c>
      <c r="W110" s="232" t="s">
        <v>685</v>
      </c>
      <c r="X110" s="232" t="s">
        <v>506</v>
      </c>
      <c r="Y110" s="232" t="s">
        <v>507</v>
      </c>
      <c r="Z110" s="232" t="s">
        <v>686</v>
      </c>
    </row>
    <row r="111" spans="1:26">
      <c r="A111" t="s">
        <v>417</v>
      </c>
      <c r="B111" s="25">
        <f>+Municipios!Z112</f>
        <v>64.219536893462177</v>
      </c>
      <c r="C111" s="232">
        <v>25245</v>
      </c>
      <c r="D111" s="232" t="s">
        <v>687</v>
      </c>
      <c r="E111" s="232" t="s">
        <v>461</v>
      </c>
      <c r="F111" s="232" t="s">
        <v>462</v>
      </c>
      <c r="G111" s="232" t="s">
        <v>688</v>
      </c>
      <c r="K111" t="s">
        <v>2647</v>
      </c>
      <c r="L111" s="81">
        <f>+Municipios!AB112</f>
        <v>41.693465668568244</v>
      </c>
      <c r="M111" s="232">
        <v>25245</v>
      </c>
      <c r="N111" s="232" t="s">
        <v>687</v>
      </c>
      <c r="O111" s="232" t="s">
        <v>461</v>
      </c>
      <c r="P111" s="232" t="s">
        <v>462</v>
      </c>
      <c r="Q111" s="232" t="s">
        <v>688</v>
      </c>
      <c r="T111" t="s">
        <v>2803</v>
      </c>
      <c r="U111" s="25">
        <f>+Municipios!Z112</f>
        <v>64.219536893462177</v>
      </c>
      <c r="V111" s="232">
        <v>25245</v>
      </c>
      <c r="W111" s="232" t="s">
        <v>687</v>
      </c>
      <c r="X111" s="232" t="s">
        <v>461</v>
      </c>
      <c r="Y111" s="232" t="s">
        <v>462</v>
      </c>
      <c r="Z111" s="232" t="s">
        <v>688</v>
      </c>
    </row>
    <row r="112" spans="1:26">
      <c r="A112" t="s">
        <v>417</v>
      </c>
      <c r="B112" s="25">
        <f>+Municipios!Z113</f>
        <v>70.433290247059944</v>
      </c>
      <c r="C112" s="232">
        <v>68755</v>
      </c>
      <c r="D112" s="232" t="s">
        <v>689</v>
      </c>
      <c r="E112" s="232" t="s">
        <v>431</v>
      </c>
      <c r="F112" s="232" t="s">
        <v>432</v>
      </c>
      <c r="G112" s="232" t="s">
        <v>690</v>
      </c>
      <c r="K112" t="s">
        <v>2647</v>
      </c>
      <c r="L112" s="81">
        <f>+Municipios!AB113</f>
        <v>45.81145810205394</v>
      </c>
      <c r="M112" s="232">
        <v>68755</v>
      </c>
      <c r="N112" s="232" t="s">
        <v>689</v>
      </c>
      <c r="O112" s="232" t="s">
        <v>431</v>
      </c>
      <c r="P112" s="232" t="s">
        <v>432</v>
      </c>
      <c r="Q112" s="232" t="s">
        <v>690</v>
      </c>
      <c r="T112" t="s">
        <v>2803</v>
      </c>
      <c r="U112" s="25">
        <f>+Municipios!Z113</f>
        <v>70.433290247059944</v>
      </c>
      <c r="V112" s="232">
        <v>68755</v>
      </c>
      <c r="W112" s="232" t="s">
        <v>689</v>
      </c>
      <c r="X112" s="232" t="s">
        <v>431</v>
      </c>
      <c r="Y112" s="232" t="s">
        <v>432</v>
      </c>
      <c r="Z112" s="232" t="s">
        <v>690</v>
      </c>
    </row>
    <row r="113" spans="1:26">
      <c r="A113" t="s">
        <v>417</v>
      </c>
      <c r="B113" s="25">
        <f>+Municipios!Z114</f>
        <v>58.995775325591765</v>
      </c>
      <c r="C113" s="232">
        <v>5190</v>
      </c>
      <c r="D113" s="232" t="s">
        <v>691</v>
      </c>
      <c r="E113" s="232" t="s">
        <v>435</v>
      </c>
      <c r="F113" s="232" t="s">
        <v>436</v>
      </c>
      <c r="G113" s="232" t="s">
        <v>692</v>
      </c>
      <c r="K113" t="s">
        <v>2647</v>
      </c>
      <c r="L113" s="81">
        <f>+Municipios!AB114</f>
        <v>38.324744234776702</v>
      </c>
      <c r="M113" s="232">
        <v>5190</v>
      </c>
      <c r="N113" s="232" t="s">
        <v>691</v>
      </c>
      <c r="O113" s="232" t="s">
        <v>435</v>
      </c>
      <c r="P113" s="232" t="s">
        <v>436</v>
      </c>
      <c r="Q113" s="232" t="s">
        <v>692</v>
      </c>
      <c r="T113" t="s">
        <v>2803</v>
      </c>
      <c r="U113" s="25">
        <f>+Municipios!Z114</f>
        <v>58.995775325591765</v>
      </c>
      <c r="V113" s="232">
        <v>5190</v>
      </c>
      <c r="W113" s="232" t="s">
        <v>691</v>
      </c>
      <c r="X113" s="232" t="s">
        <v>435</v>
      </c>
      <c r="Y113" s="232" t="s">
        <v>436</v>
      </c>
      <c r="Z113" s="232" t="s">
        <v>692</v>
      </c>
    </row>
    <row r="114" spans="1:26">
      <c r="A114" t="s">
        <v>417</v>
      </c>
      <c r="B114" s="25">
        <f>+Municipios!Z115</f>
        <v>62.277503521465633</v>
      </c>
      <c r="C114" s="232">
        <v>15322</v>
      </c>
      <c r="D114" s="232" t="s">
        <v>693</v>
      </c>
      <c r="E114" s="232" t="s">
        <v>498</v>
      </c>
      <c r="F114" s="232" t="s">
        <v>499</v>
      </c>
      <c r="G114" s="232" t="s">
        <v>694</v>
      </c>
      <c r="K114" t="s">
        <v>2647</v>
      </c>
      <c r="L114" s="81">
        <f>+Municipios!AB115</f>
        <v>40.333647347889837</v>
      </c>
      <c r="M114" s="232">
        <v>15322</v>
      </c>
      <c r="N114" s="232" t="s">
        <v>693</v>
      </c>
      <c r="O114" s="232" t="s">
        <v>498</v>
      </c>
      <c r="P114" s="232" t="s">
        <v>499</v>
      </c>
      <c r="Q114" s="232" t="s">
        <v>694</v>
      </c>
      <c r="T114" t="s">
        <v>2803</v>
      </c>
      <c r="U114" s="25">
        <f>+Municipios!Z115</f>
        <v>62.277503521465633</v>
      </c>
      <c r="V114" s="232">
        <v>15322</v>
      </c>
      <c r="W114" s="232" t="s">
        <v>693</v>
      </c>
      <c r="X114" s="232" t="s">
        <v>498</v>
      </c>
      <c r="Y114" s="232" t="s">
        <v>499</v>
      </c>
      <c r="Z114" s="232" t="s">
        <v>694</v>
      </c>
    </row>
    <row r="115" spans="1:26">
      <c r="A115" t="s">
        <v>417</v>
      </c>
      <c r="B115" s="25">
        <f>+Municipios!Z116</f>
        <v>64.520892794149972</v>
      </c>
      <c r="C115" s="232">
        <v>25797</v>
      </c>
      <c r="D115" s="232" t="s">
        <v>695</v>
      </c>
      <c r="E115" s="232" t="s">
        <v>461</v>
      </c>
      <c r="F115" s="232" t="s">
        <v>462</v>
      </c>
      <c r="G115" s="232" t="s">
        <v>696</v>
      </c>
      <c r="K115" t="s">
        <v>2647</v>
      </c>
      <c r="L115" s="81">
        <f>+Municipios!AB116</f>
        <v>41.654127781580137</v>
      </c>
      <c r="M115" s="232">
        <v>25797</v>
      </c>
      <c r="N115" s="232" t="s">
        <v>695</v>
      </c>
      <c r="O115" s="232" t="s">
        <v>461</v>
      </c>
      <c r="P115" s="232" t="s">
        <v>462</v>
      </c>
      <c r="Q115" s="232" t="s">
        <v>696</v>
      </c>
      <c r="T115" t="s">
        <v>2803</v>
      </c>
      <c r="U115" s="25">
        <f>+Municipios!Z116</f>
        <v>64.520892794149972</v>
      </c>
      <c r="V115" s="232">
        <v>25797</v>
      </c>
      <c r="W115" s="232" t="s">
        <v>695</v>
      </c>
      <c r="X115" s="232" t="s">
        <v>461</v>
      </c>
      <c r="Y115" s="232" t="s">
        <v>462</v>
      </c>
      <c r="Z115" s="232" t="s">
        <v>696</v>
      </c>
    </row>
    <row r="116" spans="1:26">
      <c r="A116" t="s">
        <v>417</v>
      </c>
      <c r="B116" s="25">
        <f>+Municipios!Z117</f>
        <v>67.904355878444733</v>
      </c>
      <c r="C116" s="232">
        <v>25799</v>
      </c>
      <c r="D116" s="232" t="s">
        <v>697</v>
      </c>
      <c r="E116" s="232" t="s">
        <v>461</v>
      </c>
      <c r="F116" s="232" t="s">
        <v>462</v>
      </c>
      <c r="G116" s="232" t="s">
        <v>698</v>
      </c>
      <c r="K116" t="s">
        <v>2647</v>
      </c>
      <c r="L116" s="81">
        <f>+Municipios!AB117</f>
        <v>43.713954121625406</v>
      </c>
      <c r="M116" s="232">
        <v>25799</v>
      </c>
      <c r="N116" s="232" t="s">
        <v>697</v>
      </c>
      <c r="O116" s="232" t="s">
        <v>461</v>
      </c>
      <c r="P116" s="232" t="s">
        <v>462</v>
      </c>
      <c r="Q116" s="232" t="s">
        <v>698</v>
      </c>
      <c r="T116" t="s">
        <v>2803</v>
      </c>
      <c r="U116" s="25">
        <f>+Municipios!Z117</f>
        <v>67.904355878444733</v>
      </c>
      <c r="V116" s="232">
        <v>25799</v>
      </c>
      <c r="W116" s="232" t="s">
        <v>697</v>
      </c>
      <c r="X116" s="232" t="s">
        <v>461</v>
      </c>
      <c r="Y116" s="232" t="s">
        <v>462</v>
      </c>
      <c r="Z116" s="232" t="s">
        <v>698</v>
      </c>
    </row>
    <row r="117" spans="1:26">
      <c r="A117" t="s">
        <v>417</v>
      </c>
      <c r="B117" s="25">
        <f>+Municipios!Z118</f>
        <v>63.500809971360873</v>
      </c>
      <c r="C117" s="232">
        <v>76111</v>
      </c>
      <c r="D117" s="232" t="s">
        <v>699</v>
      </c>
      <c r="E117" s="232" t="s">
        <v>454</v>
      </c>
      <c r="F117" s="232" t="s">
        <v>455</v>
      </c>
      <c r="G117" s="232" t="s">
        <v>700</v>
      </c>
      <c r="K117" t="s">
        <v>2647</v>
      </c>
      <c r="L117" s="81">
        <f>+Municipios!AB118</f>
        <v>40.878888403600293</v>
      </c>
      <c r="M117" s="232">
        <v>76111</v>
      </c>
      <c r="N117" s="232" t="s">
        <v>699</v>
      </c>
      <c r="O117" s="232" t="s">
        <v>454</v>
      </c>
      <c r="P117" s="232" t="s">
        <v>455</v>
      </c>
      <c r="Q117" s="232" t="s">
        <v>700</v>
      </c>
      <c r="T117" t="s">
        <v>2803</v>
      </c>
      <c r="U117" s="25">
        <f>+Municipios!Z118</f>
        <v>63.500809971360873</v>
      </c>
      <c r="V117" s="232">
        <v>76111</v>
      </c>
      <c r="W117" s="232" t="s">
        <v>699</v>
      </c>
      <c r="X117" s="232" t="s">
        <v>454</v>
      </c>
      <c r="Y117" s="232" t="s">
        <v>455</v>
      </c>
      <c r="Z117" s="232" t="s">
        <v>700</v>
      </c>
    </row>
    <row r="118" spans="1:26">
      <c r="A118" t="s">
        <v>417</v>
      </c>
      <c r="B118" s="25">
        <f>+Municipios!Z119</f>
        <v>75.081287992565223</v>
      </c>
      <c r="C118" s="232">
        <v>15491</v>
      </c>
      <c r="D118" s="232" t="s">
        <v>701</v>
      </c>
      <c r="E118" s="232" t="s">
        <v>498</v>
      </c>
      <c r="F118" s="232" t="s">
        <v>499</v>
      </c>
      <c r="G118" s="232" t="s">
        <v>702</v>
      </c>
      <c r="K118" t="s">
        <v>2647</v>
      </c>
      <c r="L118" s="81">
        <f>+Municipios!AB119</f>
        <v>48.40421796004879</v>
      </c>
      <c r="M118" s="232">
        <v>15491</v>
      </c>
      <c r="N118" s="232" t="s">
        <v>701</v>
      </c>
      <c r="O118" s="232" t="s">
        <v>498</v>
      </c>
      <c r="P118" s="232" t="s">
        <v>499</v>
      </c>
      <c r="Q118" s="232" t="s">
        <v>702</v>
      </c>
      <c r="T118" t="s">
        <v>2803</v>
      </c>
      <c r="U118" s="25">
        <f>+Municipios!Z119</f>
        <v>75.081287992565223</v>
      </c>
      <c r="V118" s="232">
        <v>15491</v>
      </c>
      <c r="W118" s="232" t="s">
        <v>701</v>
      </c>
      <c r="X118" s="232" t="s">
        <v>498</v>
      </c>
      <c r="Y118" s="232" t="s">
        <v>499</v>
      </c>
      <c r="Z118" s="232" t="s">
        <v>702</v>
      </c>
    </row>
    <row r="119" spans="1:26">
      <c r="A119" t="s">
        <v>417</v>
      </c>
      <c r="B119" s="25">
        <f>+Municipios!Z120</f>
        <v>50.225513850329264</v>
      </c>
      <c r="C119" s="232">
        <v>13222</v>
      </c>
      <c r="D119" s="232" t="s">
        <v>703</v>
      </c>
      <c r="E119" s="232" t="s">
        <v>480</v>
      </c>
      <c r="F119" s="232" t="s">
        <v>481</v>
      </c>
      <c r="G119" s="232" t="s">
        <v>704</v>
      </c>
      <c r="K119" t="s">
        <v>2647</v>
      </c>
      <c r="L119" s="81">
        <f>+Municipios!AB120</f>
        <v>32.324864448490359</v>
      </c>
      <c r="M119" s="232">
        <v>13222</v>
      </c>
      <c r="N119" s="232" t="s">
        <v>703</v>
      </c>
      <c r="O119" s="232" t="s">
        <v>480</v>
      </c>
      <c r="P119" s="232" t="s">
        <v>481</v>
      </c>
      <c r="Q119" s="232" t="s">
        <v>704</v>
      </c>
      <c r="T119" t="s">
        <v>2803</v>
      </c>
      <c r="U119" s="25">
        <f>+Municipios!Z120</f>
        <v>50.225513850329264</v>
      </c>
      <c r="V119" s="232">
        <v>13222</v>
      </c>
      <c r="W119" s="232" t="s">
        <v>703</v>
      </c>
      <c r="X119" s="232" t="s">
        <v>480</v>
      </c>
      <c r="Y119" s="232" t="s">
        <v>481</v>
      </c>
      <c r="Z119" s="232" t="s">
        <v>704</v>
      </c>
    </row>
    <row r="120" spans="1:26">
      <c r="A120" t="s">
        <v>417</v>
      </c>
      <c r="B120" s="25">
        <f>+Municipios!Z121</f>
        <v>74.610812637999857</v>
      </c>
      <c r="C120" s="232">
        <v>25123</v>
      </c>
      <c r="D120" s="232" t="s">
        <v>705</v>
      </c>
      <c r="E120" s="232" t="s">
        <v>461</v>
      </c>
      <c r="F120" s="232" t="s">
        <v>462</v>
      </c>
      <c r="G120" s="232" t="s">
        <v>706</v>
      </c>
      <c r="K120" t="s">
        <v>2647</v>
      </c>
      <c r="L120" s="81">
        <f>+Municipios!AB121</f>
        <v>47.907783498149151</v>
      </c>
      <c r="M120" s="232">
        <v>25123</v>
      </c>
      <c r="N120" s="232" t="s">
        <v>705</v>
      </c>
      <c r="O120" s="232" t="s">
        <v>461</v>
      </c>
      <c r="P120" s="232" t="s">
        <v>462</v>
      </c>
      <c r="Q120" s="232" t="s">
        <v>706</v>
      </c>
      <c r="T120" t="s">
        <v>2803</v>
      </c>
      <c r="U120" s="25">
        <f>+Municipios!Z121</f>
        <v>74.610812637999857</v>
      </c>
      <c r="V120" s="232">
        <v>25123</v>
      </c>
      <c r="W120" s="232" t="s">
        <v>705</v>
      </c>
      <c r="X120" s="232" t="s">
        <v>461</v>
      </c>
      <c r="Y120" s="232" t="s">
        <v>462</v>
      </c>
      <c r="Z120" s="232" t="s">
        <v>706</v>
      </c>
    </row>
    <row r="121" spans="1:26">
      <c r="A121" t="s">
        <v>417</v>
      </c>
      <c r="B121" s="25">
        <f>+Municipios!Z122</f>
        <v>60.979866657224399</v>
      </c>
      <c r="C121" s="232">
        <v>19548</v>
      </c>
      <c r="D121" s="232" t="s">
        <v>707</v>
      </c>
      <c r="E121" s="232" t="s">
        <v>557</v>
      </c>
      <c r="F121" s="232" t="s">
        <v>558</v>
      </c>
      <c r="G121" s="232" t="s">
        <v>708</v>
      </c>
      <c r="K121" t="s">
        <v>2647</v>
      </c>
      <c r="L121" s="81">
        <f>+Municipios!AB122</f>
        <v>39.202738065906573</v>
      </c>
      <c r="M121" s="232">
        <v>19548</v>
      </c>
      <c r="N121" s="232" t="s">
        <v>707</v>
      </c>
      <c r="O121" s="232" t="s">
        <v>557</v>
      </c>
      <c r="P121" s="232" t="s">
        <v>558</v>
      </c>
      <c r="Q121" s="232" t="s">
        <v>708</v>
      </c>
      <c r="T121" t="s">
        <v>2803</v>
      </c>
      <c r="U121" s="25">
        <f>+Municipios!Z122</f>
        <v>60.979866657224399</v>
      </c>
      <c r="V121" s="232">
        <v>19548</v>
      </c>
      <c r="W121" s="232" t="s">
        <v>707</v>
      </c>
      <c r="X121" s="232" t="s">
        <v>557</v>
      </c>
      <c r="Y121" s="232" t="s">
        <v>558</v>
      </c>
      <c r="Z121" s="232" t="s">
        <v>708</v>
      </c>
    </row>
    <row r="122" spans="1:26">
      <c r="A122" t="s">
        <v>417</v>
      </c>
      <c r="B122" s="25">
        <f>+Municipios!Z123</f>
        <v>71.496614232689751</v>
      </c>
      <c r="C122" s="232">
        <v>19300</v>
      </c>
      <c r="D122" s="232" t="s">
        <v>709</v>
      </c>
      <c r="E122" s="232" t="s">
        <v>557</v>
      </c>
      <c r="F122" s="232" t="s">
        <v>558</v>
      </c>
      <c r="G122" s="232" t="s">
        <v>710</v>
      </c>
      <c r="K122" t="s">
        <v>2647</v>
      </c>
      <c r="L122" s="81">
        <f>+Municipios!AB123</f>
        <v>45.946509379743006</v>
      </c>
      <c r="M122" s="232">
        <v>19300</v>
      </c>
      <c r="N122" s="232" t="s">
        <v>709</v>
      </c>
      <c r="O122" s="232" t="s">
        <v>557</v>
      </c>
      <c r="P122" s="232" t="s">
        <v>558</v>
      </c>
      <c r="Q122" s="232" t="s">
        <v>710</v>
      </c>
      <c r="T122" t="s">
        <v>2803</v>
      </c>
      <c r="U122" s="25">
        <f>+Municipios!Z123</f>
        <v>71.496614232689751</v>
      </c>
      <c r="V122" s="232">
        <v>19300</v>
      </c>
      <c r="W122" s="232" t="s">
        <v>709</v>
      </c>
      <c r="X122" s="232" t="s">
        <v>557</v>
      </c>
      <c r="Y122" s="232" t="s">
        <v>558</v>
      </c>
      <c r="Z122" s="232" t="s">
        <v>710</v>
      </c>
    </row>
    <row r="123" spans="1:26">
      <c r="A123" t="s">
        <v>417</v>
      </c>
      <c r="B123" s="25">
        <f>+Municipios!Z124</f>
        <v>69.855073321968831</v>
      </c>
      <c r="C123" s="232">
        <v>25875</v>
      </c>
      <c r="D123" s="232" t="s">
        <v>711</v>
      </c>
      <c r="E123" s="232" t="s">
        <v>461</v>
      </c>
      <c r="F123" s="232" t="s">
        <v>462</v>
      </c>
      <c r="G123" s="232" t="s">
        <v>712</v>
      </c>
      <c r="K123" t="s">
        <v>2647</v>
      </c>
      <c r="L123" s="81">
        <f>+Municipios!AB124</f>
        <v>44.526523461498968</v>
      </c>
      <c r="M123" s="232">
        <v>25875</v>
      </c>
      <c r="N123" s="232" t="s">
        <v>711</v>
      </c>
      <c r="O123" s="232" t="s">
        <v>461</v>
      </c>
      <c r="P123" s="232" t="s">
        <v>462</v>
      </c>
      <c r="Q123" s="232" t="s">
        <v>712</v>
      </c>
      <c r="T123" t="s">
        <v>2803</v>
      </c>
      <c r="U123" s="25">
        <f>+Municipios!Z124</f>
        <v>69.855073321968831</v>
      </c>
      <c r="V123" s="232">
        <v>25875</v>
      </c>
      <c r="W123" s="232" t="s">
        <v>711</v>
      </c>
      <c r="X123" s="232" t="s">
        <v>461</v>
      </c>
      <c r="Y123" s="232" t="s">
        <v>462</v>
      </c>
      <c r="Z123" s="232" t="s">
        <v>712</v>
      </c>
    </row>
    <row r="124" spans="1:26">
      <c r="A124" t="s">
        <v>417</v>
      </c>
      <c r="B124" s="25">
        <f>+Municipios!Z125</f>
        <v>65.137091064378836</v>
      </c>
      <c r="C124" s="232">
        <v>5148</v>
      </c>
      <c r="D124" s="232" t="s">
        <v>713</v>
      </c>
      <c r="E124" s="232" t="s">
        <v>435</v>
      </c>
      <c r="F124" s="232" t="s">
        <v>436</v>
      </c>
      <c r="G124" s="232" t="s">
        <v>714</v>
      </c>
      <c r="K124" t="s">
        <v>2647</v>
      </c>
      <c r="L124" s="81">
        <f>+Municipios!AB125</f>
        <v>41.662318368300753</v>
      </c>
      <c r="M124" s="232">
        <v>5148</v>
      </c>
      <c r="N124" s="232" t="s">
        <v>713</v>
      </c>
      <c r="O124" s="232" t="s">
        <v>435</v>
      </c>
      <c r="P124" s="232" t="s">
        <v>436</v>
      </c>
      <c r="Q124" s="232" t="s">
        <v>714</v>
      </c>
      <c r="T124" t="s">
        <v>2803</v>
      </c>
      <c r="U124" s="25">
        <f>+Municipios!Z125</f>
        <v>65.137091064378836</v>
      </c>
      <c r="V124" s="232">
        <v>5148</v>
      </c>
      <c r="W124" s="232" t="s">
        <v>713</v>
      </c>
      <c r="X124" s="232" t="s">
        <v>435</v>
      </c>
      <c r="Y124" s="232" t="s">
        <v>436</v>
      </c>
      <c r="Z124" s="232" t="s">
        <v>714</v>
      </c>
    </row>
    <row r="125" spans="1:26">
      <c r="A125" t="s">
        <v>417</v>
      </c>
      <c r="B125" s="25">
        <f>+Municipios!Z126</f>
        <v>53.430716296723332</v>
      </c>
      <c r="C125" s="232">
        <v>5541</v>
      </c>
      <c r="D125" s="232" t="s">
        <v>715</v>
      </c>
      <c r="E125" s="232" t="s">
        <v>435</v>
      </c>
      <c r="F125" s="232" t="s">
        <v>436</v>
      </c>
      <c r="G125" s="232" t="s">
        <v>716</v>
      </c>
      <c r="K125" t="s">
        <v>2647</v>
      </c>
      <c r="L125" s="81">
        <f>+Municipios!AB126</f>
        <v>34.090171710520373</v>
      </c>
      <c r="M125" s="232">
        <v>5541</v>
      </c>
      <c r="N125" s="232" t="s">
        <v>715</v>
      </c>
      <c r="O125" s="232" t="s">
        <v>435</v>
      </c>
      <c r="P125" s="232" t="s">
        <v>436</v>
      </c>
      <c r="Q125" s="232" t="s">
        <v>716</v>
      </c>
      <c r="T125" t="s">
        <v>2803</v>
      </c>
      <c r="U125" s="25">
        <f>+Municipios!Z126</f>
        <v>53.430716296723332</v>
      </c>
      <c r="V125" s="232">
        <v>5541</v>
      </c>
      <c r="W125" s="232" t="s">
        <v>715</v>
      </c>
      <c r="X125" s="232" t="s">
        <v>435</v>
      </c>
      <c r="Y125" s="232" t="s">
        <v>436</v>
      </c>
      <c r="Z125" s="232" t="s">
        <v>716</v>
      </c>
    </row>
    <row r="126" spans="1:26">
      <c r="A126" t="s">
        <v>417</v>
      </c>
      <c r="B126" s="25">
        <f>+Municipios!Z127</f>
        <v>41.283006153187863</v>
      </c>
      <c r="C126" s="232">
        <v>13620</v>
      </c>
      <c r="D126" s="232" t="s">
        <v>717</v>
      </c>
      <c r="E126" s="232" t="s">
        <v>480</v>
      </c>
      <c r="F126" s="232" t="s">
        <v>481</v>
      </c>
      <c r="G126" s="232" t="s">
        <v>718</v>
      </c>
      <c r="K126" t="s">
        <v>2647</v>
      </c>
      <c r="L126" s="81">
        <f>+Municipios!AB127</f>
        <v>26.211639159050844</v>
      </c>
      <c r="M126" s="232">
        <v>13620</v>
      </c>
      <c r="N126" s="232" t="s">
        <v>717</v>
      </c>
      <c r="O126" s="232" t="s">
        <v>480</v>
      </c>
      <c r="P126" s="232" t="s">
        <v>481</v>
      </c>
      <c r="Q126" s="232" t="s">
        <v>718</v>
      </c>
      <c r="T126" t="s">
        <v>2803</v>
      </c>
      <c r="U126" s="25">
        <f>+Municipios!Z127</f>
        <v>41.283006153187863</v>
      </c>
      <c r="V126" s="232">
        <v>13620</v>
      </c>
      <c r="W126" s="232" t="s">
        <v>717</v>
      </c>
      <c r="X126" s="232" t="s">
        <v>480</v>
      </c>
      <c r="Y126" s="232" t="s">
        <v>481</v>
      </c>
      <c r="Z126" s="232" t="s">
        <v>718</v>
      </c>
    </row>
    <row r="127" spans="1:26">
      <c r="A127" t="s">
        <v>417</v>
      </c>
      <c r="B127" s="25">
        <f>+Municipios!Z128</f>
        <v>43.624701789597431</v>
      </c>
      <c r="C127" s="232">
        <v>13873</v>
      </c>
      <c r="D127" s="232" t="s">
        <v>719</v>
      </c>
      <c r="E127" s="232" t="s">
        <v>480</v>
      </c>
      <c r="F127" s="232" t="s">
        <v>481</v>
      </c>
      <c r="G127" s="232" t="s">
        <v>720</v>
      </c>
      <c r="K127" t="s">
        <v>2647</v>
      </c>
      <c r="L127" s="81">
        <f>+Municipios!AB128</f>
        <v>27.700089212909749</v>
      </c>
      <c r="M127" s="232">
        <v>13873</v>
      </c>
      <c r="N127" s="232" t="s">
        <v>719</v>
      </c>
      <c r="O127" s="232" t="s">
        <v>480</v>
      </c>
      <c r="P127" s="232" t="s">
        <v>481</v>
      </c>
      <c r="Q127" s="232" t="s">
        <v>720</v>
      </c>
      <c r="T127" t="s">
        <v>2803</v>
      </c>
      <c r="U127" s="25">
        <f>+Municipios!Z128</f>
        <v>43.624701789597431</v>
      </c>
      <c r="V127" s="232">
        <v>13873</v>
      </c>
      <c r="W127" s="232" t="s">
        <v>719</v>
      </c>
      <c r="X127" s="232" t="s">
        <v>480</v>
      </c>
      <c r="Y127" s="232" t="s">
        <v>481</v>
      </c>
      <c r="Z127" s="232" t="s">
        <v>720</v>
      </c>
    </row>
    <row r="128" spans="1:26">
      <c r="A128" t="s">
        <v>417</v>
      </c>
      <c r="B128" s="25">
        <f>+Municipios!Z129</f>
        <v>57.806650282831171</v>
      </c>
      <c r="C128" s="232">
        <v>23672</v>
      </c>
      <c r="D128" s="232" t="s">
        <v>721</v>
      </c>
      <c r="E128" s="232" t="s">
        <v>567</v>
      </c>
      <c r="F128" s="232" t="s">
        <v>568</v>
      </c>
      <c r="G128" s="232" t="s">
        <v>722</v>
      </c>
      <c r="K128" t="s">
        <v>2647</v>
      </c>
      <c r="L128" s="81">
        <f>+Municipios!AB129</f>
        <v>36.670540174110876</v>
      </c>
      <c r="M128" s="232">
        <v>23672</v>
      </c>
      <c r="N128" s="232" t="s">
        <v>721</v>
      </c>
      <c r="O128" s="232" t="s">
        <v>567</v>
      </c>
      <c r="P128" s="232" t="s">
        <v>568</v>
      </c>
      <c r="Q128" s="232" t="s">
        <v>722</v>
      </c>
      <c r="T128" t="s">
        <v>2803</v>
      </c>
      <c r="U128" s="25">
        <f>+Municipios!Z129</f>
        <v>57.806650282831171</v>
      </c>
      <c r="V128" s="232">
        <v>23672</v>
      </c>
      <c r="W128" s="232" t="s">
        <v>721</v>
      </c>
      <c r="X128" s="232" t="s">
        <v>567</v>
      </c>
      <c r="Y128" s="232" t="s">
        <v>568</v>
      </c>
      <c r="Z128" s="232" t="s">
        <v>722</v>
      </c>
    </row>
    <row r="129" spans="1:26">
      <c r="A129" t="s">
        <v>417</v>
      </c>
      <c r="B129" s="25">
        <f>+Municipios!Z130</f>
        <v>60.220424615337258</v>
      </c>
      <c r="C129" s="232">
        <v>5045</v>
      </c>
      <c r="D129" s="232" t="s">
        <v>723</v>
      </c>
      <c r="E129" s="232" t="s">
        <v>435</v>
      </c>
      <c r="F129" s="232" t="s">
        <v>436</v>
      </c>
      <c r="G129" s="232" t="s">
        <v>724</v>
      </c>
      <c r="K129" t="s">
        <v>2647</v>
      </c>
      <c r="L129" s="81">
        <f>+Municipios!AB130</f>
        <v>38.161260306878283</v>
      </c>
      <c r="M129" s="232">
        <v>5045</v>
      </c>
      <c r="N129" s="232" t="s">
        <v>723</v>
      </c>
      <c r="O129" s="232" t="s">
        <v>435</v>
      </c>
      <c r="P129" s="232" t="s">
        <v>436</v>
      </c>
      <c r="Q129" s="232" t="s">
        <v>724</v>
      </c>
      <c r="T129" t="s">
        <v>2803</v>
      </c>
      <c r="U129" s="25">
        <f>+Municipios!Z130</f>
        <v>60.220424615337258</v>
      </c>
      <c r="V129" s="232">
        <v>5045</v>
      </c>
      <c r="W129" s="232" t="s">
        <v>723</v>
      </c>
      <c r="X129" s="232" t="s">
        <v>435</v>
      </c>
      <c r="Y129" s="232" t="s">
        <v>436</v>
      </c>
      <c r="Z129" s="232" t="s">
        <v>724</v>
      </c>
    </row>
    <row r="130" spans="1:26">
      <c r="A130" t="s">
        <v>417</v>
      </c>
      <c r="B130" s="25">
        <f>+Municipios!Z131</f>
        <v>51.900549703316635</v>
      </c>
      <c r="C130" s="232">
        <v>54498</v>
      </c>
      <c r="D130" s="232" t="s">
        <v>725</v>
      </c>
      <c r="E130" s="232" t="s">
        <v>517</v>
      </c>
      <c r="F130" s="232" t="s">
        <v>518</v>
      </c>
      <c r="G130" s="232" t="s">
        <v>726</v>
      </c>
      <c r="K130" t="s">
        <v>2647</v>
      </c>
      <c r="L130" s="81">
        <f>+Municipios!AB131</f>
        <v>32.799465206197596</v>
      </c>
      <c r="M130" s="232">
        <v>54498</v>
      </c>
      <c r="N130" s="232" t="s">
        <v>725</v>
      </c>
      <c r="O130" s="232" t="s">
        <v>517</v>
      </c>
      <c r="P130" s="232" t="s">
        <v>518</v>
      </c>
      <c r="Q130" s="232" t="s">
        <v>726</v>
      </c>
      <c r="T130" t="s">
        <v>2803</v>
      </c>
      <c r="U130" s="25">
        <f>+Municipios!Z131</f>
        <v>51.900549703316635</v>
      </c>
      <c r="V130" s="232">
        <v>54498</v>
      </c>
      <c r="W130" s="232" t="s">
        <v>725</v>
      </c>
      <c r="X130" s="232" t="s">
        <v>517</v>
      </c>
      <c r="Y130" s="232" t="s">
        <v>518</v>
      </c>
      <c r="Z130" s="232" t="s">
        <v>726</v>
      </c>
    </row>
    <row r="131" spans="1:26">
      <c r="A131" t="s">
        <v>417</v>
      </c>
      <c r="B131" s="25">
        <f>+Municipios!Z132</f>
        <v>62.017041525642071</v>
      </c>
      <c r="C131" s="232">
        <v>19455</v>
      </c>
      <c r="D131" s="232" t="s">
        <v>727</v>
      </c>
      <c r="E131" s="232" t="s">
        <v>557</v>
      </c>
      <c r="F131" s="232" t="s">
        <v>558</v>
      </c>
      <c r="G131" s="232" t="s">
        <v>728</v>
      </c>
      <c r="K131" t="s">
        <v>2647</v>
      </c>
      <c r="L131" s="81">
        <f>+Municipios!AB132</f>
        <v>39.254376599039794</v>
      </c>
      <c r="M131" s="232">
        <v>19455</v>
      </c>
      <c r="N131" s="232" t="s">
        <v>727</v>
      </c>
      <c r="O131" s="232" t="s">
        <v>557</v>
      </c>
      <c r="P131" s="232" t="s">
        <v>558</v>
      </c>
      <c r="Q131" s="232" t="s">
        <v>728</v>
      </c>
      <c r="T131" t="s">
        <v>2803</v>
      </c>
      <c r="U131" s="25">
        <f>+Municipios!Z132</f>
        <v>62.017041525642071</v>
      </c>
      <c r="V131" s="232">
        <v>19455</v>
      </c>
      <c r="W131" s="232" t="s">
        <v>727</v>
      </c>
      <c r="X131" s="232" t="s">
        <v>557</v>
      </c>
      <c r="Y131" s="232" t="s">
        <v>558</v>
      </c>
      <c r="Z131" s="232" t="s">
        <v>728</v>
      </c>
    </row>
    <row r="132" spans="1:26">
      <c r="A132" t="s">
        <v>417</v>
      </c>
      <c r="B132" s="25">
        <f>+Municipios!Z133</f>
        <v>73.4609938636019</v>
      </c>
      <c r="C132" s="232">
        <v>66594</v>
      </c>
      <c r="D132" s="232" t="s">
        <v>729</v>
      </c>
      <c r="E132" s="232" t="s">
        <v>467</v>
      </c>
      <c r="F132" s="232" t="s">
        <v>468</v>
      </c>
      <c r="G132" s="232" t="s">
        <v>730</v>
      </c>
      <c r="K132" t="s">
        <v>2647</v>
      </c>
      <c r="L132" s="81">
        <f>+Municipios!AB133</f>
        <v>46.442799166275982</v>
      </c>
      <c r="M132" s="232">
        <v>66594</v>
      </c>
      <c r="N132" s="232" t="s">
        <v>729</v>
      </c>
      <c r="O132" s="232" t="s">
        <v>467</v>
      </c>
      <c r="P132" s="232" t="s">
        <v>468</v>
      </c>
      <c r="Q132" s="232" t="s">
        <v>730</v>
      </c>
      <c r="T132" t="s">
        <v>2803</v>
      </c>
      <c r="U132" s="25">
        <f>+Municipios!Z133</f>
        <v>73.4609938636019</v>
      </c>
      <c r="V132" s="232">
        <v>66594</v>
      </c>
      <c r="W132" s="232" t="s">
        <v>729</v>
      </c>
      <c r="X132" s="232" t="s">
        <v>467</v>
      </c>
      <c r="Y132" s="232" t="s">
        <v>468</v>
      </c>
      <c r="Z132" s="232" t="s">
        <v>730</v>
      </c>
    </row>
    <row r="133" spans="1:26">
      <c r="A133" t="s">
        <v>417</v>
      </c>
      <c r="B133" s="25">
        <f>+Municipios!Z134</f>
        <v>64.963582378878144</v>
      </c>
      <c r="C133" s="232">
        <v>25200</v>
      </c>
      <c r="D133" s="232" t="s">
        <v>731</v>
      </c>
      <c r="E133" s="232" t="s">
        <v>461</v>
      </c>
      <c r="F133" s="232" t="s">
        <v>462</v>
      </c>
      <c r="G133" s="232" t="s">
        <v>732</v>
      </c>
      <c r="K133" t="s">
        <v>2647</v>
      </c>
      <c r="L133" s="81">
        <f>+Municipios!AB134</f>
        <v>40.830028032762044</v>
      </c>
      <c r="M133" s="232">
        <v>25200</v>
      </c>
      <c r="N133" s="232" t="s">
        <v>731</v>
      </c>
      <c r="O133" s="232" t="s">
        <v>461</v>
      </c>
      <c r="P133" s="232" t="s">
        <v>462</v>
      </c>
      <c r="Q133" s="232" t="s">
        <v>732</v>
      </c>
      <c r="T133" t="s">
        <v>2803</v>
      </c>
      <c r="U133" s="25">
        <f>+Municipios!Z134</f>
        <v>64.963582378878144</v>
      </c>
      <c r="V133" s="232">
        <v>25200</v>
      </c>
      <c r="W133" s="232" t="s">
        <v>731</v>
      </c>
      <c r="X133" s="232" t="s">
        <v>461</v>
      </c>
      <c r="Y133" s="232" t="s">
        <v>462</v>
      </c>
      <c r="Z133" s="232" t="s">
        <v>732</v>
      </c>
    </row>
    <row r="134" spans="1:26">
      <c r="A134" t="s">
        <v>417</v>
      </c>
      <c r="B134" s="25">
        <f>+Municipios!Z135</f>
        <v>61.73196203789955</v>
      </c>
      <c r="C134" s="232">
        <v>73449</v>
      </c>
      <c r="D134" s="232" t="s">
        <v>733</v>
      </c>
      <c r="E134" s="232" t="s">
        <v>595</v>
      </c>
      <c r="F134" s="232" t="s">
        <v>596</v>
      </c>
      <c r="G134" s="232" t="s">
        <v>734</v>
      </c>
      <c r="K134" t="s">
        <v>2647</v>
      </c>
      <c r="L134" s="81">
        <f>+Municipios!AB135</f>
        <v>38.978847171186196</v>
      </c>
      <c r="M134" s="232">
        <v>73449</v>
      </c>
      <c r="N134" s="232" t="s">
        <v>733</v>
      </c>
      <c r="O134" s="232" t="s">
        <v>595</v>
      </c>
      <c r="P134" s="232" t="s">
        <v>596</v>
      </c>
      <c r="Q134" s="232" t="s">
        <v>734</v>
      </c>
      <c r="T134" t="s">
        <v>2803</v>
      </c>
      <c r="U134" s="25">
        <f>+Municipios!Z135</f>
        <v>61.73196203789955</v>
      </c>
      <c r="V134" s="232">
        <v>73449</v>
      </c>
      <c r="W134" s="232" t="s">
        <v>733</v>
      </c>
      <c r="X134" s="232" t="s">
        <v>595</v>
      </c>
      <c r="Y134" s="232" t="s">
        <v>596</v>
      </c>
      <c r="Z134" s="232" t="s">
        <v>734</v>
      </c>
    </row>
    <row r="135" spans="1:26">
      <c r="A135" t="s">
        <v>417</v>
      </c>
      <c r="B135" s="25">
        <f>+Municipios!Z136</f>
        <v>53.374357373803974</v>
      </c>
      <c r="C135" s="232">
        <v>47980</v>
      </c>
      <c r="D135" s="232" t="s">
        <v>735</v>
      </c>
      <c r="E135" s="232" t="s">
        <v>638</v>
      </c>
      <c r="F135" s="232" t="s">
        <v>639</v>
      </c>
      <c r="G135" s="232" t="s">
        <v>736</v>
      </c>
      <c r="K135" t="s">
        <v>2647</v>
      </c>
      <c r="L135" s="81">
        <f>+Municipios!AB136</f>
        <v>33.633540615476448</v>
      </c>
      <c r="M135" s="232">
        <v>47980</v>
      </c>
      <c r="N135" s="232" t="s">
        <v>735</v>
      </c>
      <c r="O135" s="232" t="s">
        <v>638</v>
      </c>
      <c r="P135" s="232" t="s">
        <v>639</v>
      </c>
      <c r="Q135" s="232" t="s">
        <v>736</v>
      </c>
      <c r="T135" t="s">
        <v>2803</v>
      </c>
      <c r="U135" s="25">
        <f>+Municipios!Z136</f>
        <v>53.374357373803974</v>
      </c>
      <c r="V135" s="232">
        <v>47980</v>
      </c>
      <c r="W135" s="232" t="s">
        <v>735</v>
      </c>
      <c r="X135" s="232" t="s">
        <v>638</v>
      </c>
      <c r="Y135" s="232" t="s">
        <v>639</v>
      </c>
      <c r="Z135" s="232" t="s">
        <v>736</v>
      </c>
    </row>
    <row r="136" spans="1:26">
      <c r="A136" t="s">
        <v>417</v>
      </c>
      <c r="B136" s="25">
        <f>+Municipios!Z137</f>
        <v>65.09802597217211</v>
      </c>
      <c r="C136" s="232">
        <v>76622</v>
      </c>
      <c r="D136" s="232" t="s">
        <v>737</v>
      </c>
      <c r="E136" s="232" t="s">
        <v>454</v>
      </c>
      <c r="F136" s="232" t="s">
        <v>455</v>
      </c>
      <c r="G136" s="232" t="s">
        <v>738</v>
      </c>
      <c r="K136" t="s">
        <v>2647</v>
      </c>
      <c r="L136" s="81">
        <f>+Municipios!AB137</f>
        <v>40.965037355963233</v>
      </c>
      <c r="M136" s="232">
        <v>76622</v>
      </c>
      <c r="N136" s="232" t="s">
        <v>737</v>
      </c>
      <c r="O136" s="232" t="s">
        <v>454</v>
      </c>
      <c r="P136" s="232" t="s">
        <v>455</v>
      </c>
      <c r="Q136" s="232" t="s">
        <v>738</v>
      </c>
      <c r="T136" t="s">
        <v>2803</v>
      </c>
      <c r="U136" s="25">
        <f>+Municipios!Z137</f>
        <v>65.09802597217211</v>
      </c>
      <c r="V136" s="232">
        <v>76622</v>
      </c>
      <c r="W136" s="232" t="s">
        <v>737</v>
      </c>
      <c r="X136" s="232" t="s">
        <v>454</v>
      </c>
      <c r="Y136" s="232" t="s">
        <v>455</v>
      </c>
      <c r="Z136" s="232" t="s">
        <v>738</v>
      </c>
    </row>
    <row r="137" spans="1:26">
      <c r="A137" t="s">
        <v>417</v>
      </c>
      <c r="B137" s="25">
        <f>+Municipios!Z138</f>
        <v>67.013423239218184</v>
      </c>
      <c r="C137" s="232">
        <v>23001</v>
      </c>
      <c r="D137" s="232" t="s">
        <v>739</v>
      </c>
      <c r="E137" s="232" t="s">
        <v>567</v>
      </c>
      <c r="F137" s="232" t="s">
        <v>568</v>
      </c>
      <c r="G137" s="232" t="s">
        <v>740</v>
      </c>
      <c r="K137" t="s">
        <v>2647</v>
      </c>
      <c r="L137" s="81">
        <f>+Municipios!AB138</f>
        <v>42.189722229544024</v>
      </c>
      <c r="M137" s="232">
        <v>23001</v>
      </c>
      <c r="N137" s="232" t="s">
        <v>739</v>
      </c>
      <c r="O137" s="232" t="s">
        <v>567</v>
      </c>
      <c r="P137" s="232" t="s">
        <v>568</v>
      </c>
      <c r="Q137" s="232" t="s">
        <v>740</v>
      </c>
      <c r="T137" t="s">
        <v>2803</v>
      </c>
      <c r="U137" s="25">
        <f>+Municipios!Z138</f>
        <v>67.013423239218184</v>
      </c>
      <c r="V137" s="232">
        <v>23001</v>
      </c>
      <c r="W137" s="232" t="s">
        <v>739</v>
      </c>
      <c r="X137" s="232" t="s">
        <v>567</v>
      </c>
      <c r="Y137" s="232" t="s">
        <v>568</v>
      </c>
      <c r="Z137" s="232" t="s">
        <v>740</v>
      </c>
    </row>
    <row r="138" spans="1:26">
      <c r="A138" t="s">
        <v>417</v>
      </c>
      <c r="B138" s="25">
        <f>+Municipios!Z139</f>
        <v>65.98591344109326</v>
      </c>
      <c r="C138" s="232">
        <v>66682</v>
      </c>
      <c r="D138" s="232" t="s">
        <v>741</v>
      </c>
      <c r="E138" s="232" t="s">
        <v>467</v>
      </c>
      <c r="F138" s="232" t="s">
        <v>468</v>
      </c>
      <c r="G138" s="232" t="s">
        <v>742</v>
      </c>
      <c r="K138" t="s">
        <v>2647</v>
      </c>
      <c r="L138" s="81">
        <f>+Municipios!AB139</f>
        <v>41.408176540893734</v>
      </c>
      <c r="M138" s="232">
        <v>66682</v>
      </c>
      <c r="N138" s="232" t="s">
        <v>741</v>
      </c>
      <c r="O138" s="232" t="s">
        <v>467</v>
      </c>
      <c r="P138" s="232" t="s">
        <v>468</v>
      </c>
      <c r="Q138" s="232" t="s">
        <v>742</v>
      </c>
      <c r="T138" t="s">
        <v>2803</v>
      </c>
      <c r="U138" s="25">
        <f>+Municipios!Z139</f>
        <v>65.98591344109326</v>
      </c>
      <c r="V138" s="232">
        <v>66682</v>
      </c>
      <c r="W138" s="232" t="s">
        <v>741</v>
      </c>
      <c r="X138" s="232" t="s">
        <v>467</v>
      </c>
      <c r="Y138" s="232" t="s">
        <v>468</v>
      </c>
      <c r="Z138" s="232" t="s">
        <v>742</v>
      </c>
    </row>
    <row r="139" spans="1:26">
      <c r="A139" t="s">
        <v>417</v>
      </c>
      <c r="B139" s="25">
        <f>+Municipios!Z140</f>
        <v>54.143812635254264</v>
      </c>
      <c r="C139" s="232">
        <v>76122</v>
      </c>
      <c r="D139" s="232" t="s">
        <v>743</v>
      </c>
      <c r="E139" s="232" t="s">
        <v>454</v>
      </c>
      <c r="F139" s="232" t="s">
        <v>455</v>
      </c>
      <c r="G139" s="232" t="s">
        <v>744</v>
      </c>
      <c r="K139" t="s">
        <v>2647</v>
      </c>
      <c r="L139" s="81">
        <f>+Municipios!AB140</f>
        <v>34.038395358664616</v>
      </c>
      <c r="M139" s="232">
        <v>76122</v>
      </c>
      <c r="N139" s="232" t="s">
        <v>743</v>
      </c>
      <c r="O139" s="232" t="s">
        <v>454</v>
      </c>
      <c r="P139" s="232" t="s">
        <v>455</v>
      </c>
      <c r="Q139" s="232" t="s">
        <v>744</v>
      </c>
      <c r="T139" t="s">
        <v>2803</v>
      </c>
      <c r="U139" s="25">
        <f>+Municipios!Z140</f>
        <v>54.143812635254264</v>
      </c>
      <c r="V139" s="232">
        <v>76122</v>
      </c>
      <c r="W139" s="232" t="s">
        <v>743</v>
      </c>
      <c r="X139" s="232" t="s">
        <v>454</v>
      </c>
      <c r="Y139" s="232" t="s">
        <v>455</v>
      </c>
      <c r="Z139" s="232" t="s">
        <v>744</v>
      </c>
    </row>
    <row r="140" spans="1:26">
      <c r="A140" t="s">
        <v>417</v>
      </c>
      <c r="B140" s="25">
        <f>+Municipios!Z141</f>
        <v>53.84151267847345</v>
      </c>
      <c r="C140" s="232">
        <v>23586</v>
      </c>
      <c r="D140" s="232" t="s">
        <v>745</v>
      </c>
      <c r="E140" s="232" t="s">
        <v>567</v>
      </c>
      <c r="F140" s="232" t="s">
        <v>568</v>
      </c>
      <c r="G140" s="232" t="s">
        <v>746</v>
      </c>
      <c r="K140" t="s">
        <v>2647</v>
      </c>
      <c r="L140" s="81">
        <f>+Municipios!AB141</f>
        <v>33.733126777089936</v>
      </c>
      <c r="M140" s="232">
        <v>23586</v>
      </c>
      <c r="N140" s="232" t="s">
        <v>745</v>
      </c>
      <c r="O140" s="232" t="s">
        <v>567</v>
      </c>
      <c r="P140" s="232" t="s">
        <v>568</v>
      </c>
      <c r="Q140" s="232" t="s">
        <v>746</v>
      </c>
      <c r="T140" t="s">
        <v>2803</v>
      </c>
      <c r="U140" s="25">
        <f>+Municipios!Z141</f>
        <v>53.84151267847345</v>
      </c>
      <c r="V140" s="232">
        <v>23586</v>
      </c>
      <c r="W140" s="232" t="s">
        <v>745</v>
      </c>
      <c r="X140" s="232" t="s">
        <v>567</v>
      </c>
      <c r="Y140" s="232" t="s">
        <v>568</v>
      </c>
      <c r="Z140" s="232" t="s">
        <v>746</v>
      </c>
    </row>
    <row r="141" spans="1:26">
      <c r="A141" t="s">
        <v>417</v>
      </c>
      <c r="B141" s="25">
        <f>+Municipios!Z142</f>
        <v>59.907790665213611</v>
      </c>
      <c r="C141" s="232">
        <v>17042</v>
      </c>
      <c r="D141" s="232" t="s">
        <v>747</v>
      </c>
      <c r="E141" s="232" t="s">
        <v>506</v>
      </c>
      <c r="F141" s="232" t="s">
        <v>507</v>
      </c>
      <c r="G141" s="232" t="s">
        <v>748</v>
      </c>
      <c r="K141" t="s">
        <v>2647</v>
      </c>
      <c r="L141" s="81">
        <f>+Municipios!AB142</f>
        <v>37.522303059656196</v>
      </c>
      <c r="M141" s="232">
        <v>17042</v>
      </c>
      <c r="N141" s="232" t="s">
        <v>747</v>
      </c>
      <c r="O141" s="232" t="s">
        <v>506</v>
      </c>
      <c r="P141" s="232" t="s">
        <v>507</v>
      </c>
      <c r="Q141" s="232" t="s">
        <v>748</v>
      </c>
      <c r="T141" t="s">
        <v>2803</v>
      </c>
      <c r="U141" s="25">
        <f>+Municipios!Z142</f>
        <v>59.907790665213611</v>
      </c>
      <c r="V141" s="232">
        <v>17042</v>
      </c>
      <c r="W141" s="232" t="s">
        <v>747</v>
      </c>
      <c r="X141" s="232" t="s">
        <v>506</v>
      </c>
      <c r="Y141" s="232" t="s">
        <v>507</v>
      </c>
      <c r="Z141" s="232" t="s">
        <v>748</v>
      </c>
    </row>
    <row r="142" spans="1:26">
      <c r="A142" t="s">
        <v>417</v>
      </c>
      <c r="B142" s="25">
        <f>+Municipios!Z143</f>
        <v>57.042443900016096</v>
      </c>
      <c r="C142" s="232">
        <v>5400</v>
      </c>
      <c r="D142" s="232" t="s">
        <v>749</v>
      </c>
      <c r="E142" s="232" t="s">
        <v>435</v>
      </c>
      <c r="F142" s="232" t="s">
        <v>436</v>
      </c>
      <c r="G142" s="232" t="s">
        <v>628</v>
      </c>
      <c r="K142" t="s">
        <v>2647</v>
      </c>
      <c r="L142" s="81">
        <f>+Municipios!AB143</f>
        <v>35.70245220650196</v>
      </c>
      <c r="M142" s="232">
        <v>5400</v>
      </c>
      <c r="N142" s="232" t="s">
        <v>749</v>
      </c>
      <c r="O142" s="232" t="s">
        <v>435</v>
      </c>
      <c r="P142" s="232" t="s">
        <v>436</v>
      </c>
      <c r="Q142" s="232" t="s">
        <v>628</v>
      </c>
      <c r="T142" t="s">
        <v>2803</v>
      </c>
      <c r="U142" s="25">
        <f>+Municipios!Z143</f>
        <v>57.042443900016096</v>
      </c>
      <c r="V142" s="232">
        <v>5400</v>
      </c>
      <c r="W142" s="232" t="s">
        <v>749</v>
      </c>
      <c r="X142" s="232" t="s">
        <v>435</v>
      </c>
      <c r="Y142" s="232" t="s">
        <v>436</v>
      </c>
      <c r="Z142" s="232" t="s">
        <v>628</v>
      </c>
    </row>
    <row r="143" spans="1:26">
      <c r="A143" t="s">
        <v>417</v>
      </c>
      <c r="B143" s="25">
        <f>+Municipios!Z144</f>
        <v>69.306622628397434</v>
      </c>
      <c r="C143" s="232">
        <v>13683</v>
      </c>
      <c r="D143" s="232" t="s">
        <v>750</v>
      </c>
      <c r="E143" s="232" t="s">
        <v>480</v>
      </c>
      <c r="F143" s="232" t="s">
        <v>481</v>
      </c>
      <c r="G143" s="232" t="s">
        <v>751</v>
      </c>
      <c r="K143" t="s">
        <v>2647</v>
      </c>
      <c r="L143" s="81">
        <f>+Municipios!AB144</f>
        <v>43.325213123786966</v>
      </c>
      <c r="M143" s="232">
        <v>13683</v>
      </c>
      <c r="N143" s="232" t="s">
        <v>750</v>
      </c>
      <c r="O143" s="232" t="s">
        <v>480</v>
      </c>
      <c r="P143" s="232" t="s">
        <v>481</v>
      </c>
      <c r="Q143" s="232" t="s">
        <v>751</v>
      </c>
      <c r="T143" t="s">
        <v>2803</v>
      </c>
      <c r="U143" s="25">
        <f>+Municipios!Z144</f>
        <v>69.306622628397434</v>
      </c>
      <c r="V143" s="232">
        <v>13683</v>
      </c>
      <c r="W143" s="232" t="s">
        <v>750</v>
      </c>
      <c r="X143" s="232" t="s">
        <v>480</v>
      </c>
      <c r="Y143" s="232" t="s">
        <v>481</v>
      </c>
      <c r="Z143" s="232" t="s">
        <v>751</v>
      </c>
    </row>
    <row r="144" spans="1:26">
      <c r="A144" t="s">
        <v>417</v>
      </c>
      <c r="B144" s="25">
        <f>+Municipios!Z145</f>
        <v>56.710844055752972</v>
      </c>
      <c r="C144" s="232">
        <v>76248</v>
      </c>
      <c r="D144" s="232" t="s">
        <v>752</v>
      </c>
      <c r="E144" s="232" t="s">
        <v>454</v>
      </c>
      <c r="F144" s="232" t="s">
        <v>455</v>
      </c>
      <c r="G144" s="232" t="s">
        <v>753</v>
      </c>
      <c r="K144" t="s">
        <v>2647</v>
      </c>
      <c r="L144" s="81">
        <f>+Municipios!AB145</f>
        <v>35.441572498456743</v>
      </c>
      <c r="M144" s="232">
        <v>76248</v>
      </c>
      <c r="N144" s="232" t="s">
        <v>752</v>
      </c>
      <c r="O144" s="232" t="s">
        <v>454</v>
      </c>
      <c r="P144" s="232" t="s">
        <v>455</v>
      </c>
      <c r="Q144" s="232" t="s">
        <v>753</v>
      </c>
      <c r="T144" t="s">
        <v>2803</v>
      </c>
      <c r="U144" s="25">
        <f>+Municipios!Z145</f>
        <v>56.710844055752972</v>
      </c>
      <c r="V144" s="232">
        <v>76248</v>
      </c>
      <c r="W144" s="232" t="s">
        <v>752</v>
      </c>
      <c r="X144" s="232" t="s">
        <v>454</v>
      </c>
      <c r="Y144" s="232" t="s">
        <v>455</v>
      </c>
      <c r="Z144" s="232" t="s">
        <v>753</v>
      </c>
    </row>
    <row r="145" spans="1:26">
      <c r="A145" t="s">
        <v>417</v>
      </c>
      <c r="B145" s="25">
        <f>+Municipios!Z146</f>
        <v>62.02026148088985</v>
      </c>
      <c r="C145" s="232">
        <v>25743</v>
      </c>
      <c r="D145" s="232" t="s">
        <v>754</v>
      </c>
      <c r="E145" s="232" t="s">
        <v>461</v>
      </c>
      <c r="F145" s="232" t="s">
        <v>462</v>
      </c>
      <c r="G145" s="232" t="s">
        <v>755</v>
      </c>
      <c r="K145" t="s">
        <v>2647</v>
      </c>
      <c r="L145" s="81">
        <f>+Municipios!AB146</f>
        <v>38.512110575919046</v>
      </c>
      <c r="M145" s="232">
        <v>25743</v>
      </c>
      <c r="N145" s="232" t="s">
        <v>754</v>
      </c>
      <c r="O145" s="232" t="s">
        <v>461</v>
      </c>
      <c r="P145" s="232" t="s">
        <v>462</v>
      </c>
      <c r="Q145" s="232" t="s">
        <v>755</v>
      </c>
      <c r="T145" t="s">
        <v>2803</v>
      </c>
      <c r="U145" s="25">
        <f>+Municipios!Z146</f>
        <v>62.02026148088985</v>
      </c>
      <c r="V145" s="232">
        <v>25743</v>
      </c>
      <c r="W145" s="232" t="s">
        <v>754</v>
      </c>
      <c r="X145" s="232" t="s">
        <v>461</v>
      </c>
      <c r="Y145" s="232" t="s">
        <v>462</v>
      </c>
      <c r="Z145" s="232" t="s">
        <v>755</v>
      </c>
    </row>
    <row r="146" spans="1:26">
      <c r="A146" t="s">
        <v>417</v>
      </c>
      <c r="B146" s="25">
        <f>+Municipios!Z147</f>
        <v>59.827991584002859</v>
      </c>
      <c r="C146" s="232">
        <v>25151</v>
      </c>
      <c r="D146" s="232" t="s">
        <v>756</v>
      </c>
      <c r="E146" s="232" t="s">
        <v>461</v>
      </c>
      <c r="F146" s="232" t="s">
        <v>462</v>
      </c>
      <c r="G146" s="232" t="s">
        <v>757</v>
      </c>
      <c r="K146" t="s">
        <v>2647</v>
      </c>
      <c r="L146" s="81">
        <f>+Municipios!AB147</f>
        <v>37.19101539933984</v>
      </c>
      <c r="M146" s="232">
        <v>25151</v>
      </c>
      <c r="N146" s="232" t="s">
        <v>756</v>
      </c>
      <c r="O146" s="232" t="s">
        <v>461</v>
      </c>
      <c r="P146" s="232" t="s">
        <v>462</v>
      </c>
      <c r="Q146" s="232" t="s">
        <v>757</v>
      </c>
      <c r="T146" t="s">
        <v>2803</v>
      </c>
      <c r="U146" s="25">
        <f>+Municipios!Z147</f>
        <v>59.827991584002859</v>
      </c>
      <c r="V146" s="232">
        <v>25151</v>
      </c>
      <c r="W146" s="232" t="s">
        <v>756</v>
      </c>
      <c r="X146" s="232" t="s">
        <v>461</v>
      </c>
      <c r="Y146" s="232" t="s">
        <v>462</v>
      </c>
      <c r="Z146" s="232" t="s">
        <v>757</v>
      </c>
    </row>
    <row r="147" spans="1:26">
      <c r="A147" t="s">
        <v>417</v>
      </c>
      <c r="B147" s="25">
        <f>+Municipios!Z148</f>
        <v>57.316800312762318</v>
      </c>
      <c r="C147" s="232">
        <v>52019</v>
      </c>
      <c r="D147" s="232" t="s">
        <v>758</v>
      </c>
      <c r="E147" s="232" t="s">
        <v>672</v>
      </c>
      <c r="F147" s="232" t="s">
        <v>673</v>
      </c>
      <c r="G147" s="232" t="s">
        <v>759</v>
      </c>
      <c r="K147" t="s">
        <v>2647</v>
      </c>
      <c r="L147" s="81">
        <f>+Municipios!AB148</f>
        <v>35.709010339082205</v>
      </c>
      <c r="M147" s="232">
        <v>52019</v>
      </c>
      <c r="N147" s="232" t="s">
        <v>758</v>
      </c>
      <c r="O147" s="232" t="s">
        <v>672</v>
      </c>
      <c r="P147" s="232" t="s">
        <v>673</v>
      </c>
      <c r="Q147" s="232" t="s">
        <v>759</v>
      </c>
      <c r="T147" t="s">
        <v>2803</v>
      </c>
      <c r="U147" s="25">
        <f>+Municipios!Z148</f>
        <v>57.316800312762318</v>
      </c>
      <c r="V147" s="232">
        <v>52019</v>
      </c>
      <c r="W147" s="232" t="s">
        <v>758</v>
      </c>
      <c r="X147" s="232" t="s">
        <v>672</v>
      </c>
      <c r="Y147" s="232" t="s">
        <v>673</v>
      </c>
      <c r="Z147" s="232" t="s">
        <v>759</v>
      </c>
    </row>
    <row r="148" spans="1:26">
      <c r="A148" t="s">
        <v>417</v>
      </c>
      <c r="B148" s="25">
        <f>+Municipios!Z149</f>
        <v>64.549401803449442</v>
      </c>
      <c r="C148" s="232">
        <v>17873</v>
      </c>
      <c r="D148" s="232" t="s">
        <v>760</v>
      </c>
      <c r="E148" s="232" t="s">
        <v>506</v>
      </c>
      <c r="F148" s="232" t="s">
        <v>507</v>
      </c>
      <c r="G148" s="232" t="s">
        <v>761</v>
      </c>
      <c r="K148" t="s">
        <v>2647</v>
      </c>
      <c r="L148" s="81">
        <f>+Municipios!AB149</f>
        <v>40.168934315662952</v>
      </c>
      <c r="M148" s="232">
        <v>17873</v>
      </c>
      <c r="N148" s="232" t="s">
        <v>760</v>
      </c>
      <c r="O148" s="232" t="s">
        <v>506</v>
      </c>
      <c r="P148" s="232" t="s">
        <v>507</v>
      </c>
      <c r="Q148" s="232" t="s">
        <v>761</v>
      </c>
      <c r="T148" t="s">
        <v>2803</v>
      </c>
      <c r="U148" s="25">
        <f>+Municipios!Z149</f>
        <v>64.549401803449442</v>
      </c>
      <c r="V148" s="232">
        <v>17873</v>
      </c>
      <c r="W148" s="232" t="s">
        <v>760</v>
      </c>
      <c r="X148" s="232" t="s">
        <v>506</v>
      </c>
      <c r="Y148" s="232" t="s">
        <v>507</v>
      </c>
      <c r="Z148" s="232" t="s">
        <v>761</v>
      </c>
    </row>
    <row r="149" spans="1:26">
      <c r="A149" t="s">
        <v>417</v>
      </c>
      <c r="B149" s="25">
        <f>+Municipios!Z150</f>
        <v>62.816705358902723</v>
      </c>
      <c r="C149" s="232">
        <v>52323</v>
      </c>
      <c r="D149" s="232" t="s">
        <v>762</v>
      </c>
      <c r="E149" s="232" t="s">
        <v>672</v>
      </c>
      <c r="F149" s="232" t="s">
        <v>673</v>
      </c>
      <c r="G149" s="232" t="s">
        <v>763</v>
      </c>
      <c r="K149" t="s">
        <v>2647</v>
      </c>
      <c r="L149" s="81">
        <f>+Municipios!AB150</f>
        <v>39.009782235416054</v>
      </c>
      <c r="M149" s="232">
        <v>52323</v>
      </c>
      <c r="N149" s="232" t="s">
        <v>762</v>
      </c>
      <c r="O149" s="232" t="s">
        <v>672</v>
      </c>
      <c r="P149" s="232" t="s">
        <v>673</v>
      </c>
      <c r="Q149" s="232" t="s">
        <v>763</v>
      </c>
      <c r="T149" t="s">
        <v>2803</v>
      </c>
      <c r="U149" s="25">
        <f>+Municipios!Z150</f>
        <v>62.816705358902723</v>
      </c>
      <c r="V149" s="232">
        <v>52323</v>
      </c>
      <c r="W149" s="232" t="s">
        <v>762</v>
      </c>
      <c r="X149" s="232" t="s">
        <v>672</v>
      </c>
      <c r="Y149" s="232" t="s">
        <v>673</v>
      </c>
      <c r="Z149" s="232" t="s">
        <v>763</v>
      </c>
    </row>
    <row r="150" spans="1:26">
      <c r="A150" t="s">
        <v>417</v>
      </c>
      <c r="B150" s="25">
        <f>+Municipios!Z151</f>
        <v>56.703531798978574</v>
      </c>
      <c r="C150" s="232">
        <v>17524</v>
      </c>
      <c r="D150" s="232" t="s">
        <v>764</v>
      </c>
      <c r="E150" s="232" t="s">
        <v>506</v>
      </c>
      <c r="F150" s="232" t="s">
        <v>507</v>
      </c>
      <c r="G150" s="232" t="s">
        <v>765</v>
      </c>
      <c r="K150" t="s">
        <v>2647</v>
      </c>
      <c r="L150" s="81">
        <f>+Municipios!AB151</f>
        <v>35.130236370213801</v>
      </c>
      <c r="M150" s="232">
        <v>17524</v>
      </c>
      <c r="N150" s="232" t="s">
        <v>764</v>
      </c>
      <c r="O150" s="232" t="s">
        <v>506</v>
      </c>
      <c r="P150" s="232" t="s">
        <v>507</v>
      </c>
      <c r="Q150" s="232" t="s">
        <v>765</v>
      </c>
      <c r="T150" t="s">
        <v>2803</v>
      </c>
      <c r="U150" s="25">
        <f>+Municipios!Z151</f>
        <v>56.703531798978574</v>
      </c>
      <c r="V150" s="232">
        <v>17524</v>
      </c>
      <c r="W150" s="232" t="s">
        <v>764</v>
      </c>
      <c r="X150" s="232" t="s">
        <v>506</v>
      </c>
      <c r="Y150" s="232" t="s">
        <v>507</v>
      </c>
      <c r="Z150" s="232" t="s">
        <v>765</v>
      </c>
    </row>
    <row r="151" spans="1:26">
      <c r="A151" t="s">
        <v>417</v>
      </c>
      <c r="B151" s="25">
        <f>+Municipios!Z152</f>
        <v>52.998137551938029</v>
      </c>
      <c r="C151" s="232">
        <v>19513</v>
      </c>
      <c r="D151" s="232" t="s">
        <v>766</v>
      </c>
      <c r="E151" s="232" t="s">
        <v>557</v>
      </c>
      <c r="F151" s="232" t="s">
        <v>558</v>
      </c>
      <c r="G151" s="232" t="s">
        <v>767</v>
      </c>
      <c r="K151" t="s">
        <v>2647</v>
      </c>
      <c r="L151" s="81">
        <f>+Municipios!AB152</f>
        <v>32.852564942599258</v>
      </c>
      <c r="M151" s="232">
        <v>19513</v>
      </c>
      <c r="N151" s="232" t="s">
        <v>766</v>
      </c>
      <c r="O151" s="232" t="s">
        <v>557</v>
      </c>
      <c r="P151" s="232" t="s">
        <v>558</v>
      </c>
      <c r="Q151" s="232" t="s">
        <v>767</v>
      </c>
      <c r="T151" t="s">
        <v>2803</v>
      </c>
      <c r="U151" s="25">
        <f>+Municipios!Z152</f>
        <v>52.998137551938029</v>
      </c>
      <c r="V151" s="232">
        <v>19513</v>
      </c>
      <c r="W151" s="232" t="s">
        <v>766</v>
      </c>
      <c r="X151" s="232" t="s">
        <v>557</v>
      </c>
      <c r="Y151" s="232" t="s">
        <v>558</v>
      </c>
      <c r="Z151" s="232" t="s">
        <v>767</v>
      </c>
    </row>
    <row r="152" spans="1:26">
      <c r="A152" t="s">
        <v>417</v>
      </c>
      <c r="B152" s="25">
        <f>+Municipios!Z153</f>
        <v>53.742906679673595</v>
      </c>
      <c r="C152" s="232">
        <v>76845</v>
      </c>
      <c r="D152" s="232" t="s">
        <v>768</v>
      </c>
      <c r="E152" s="232" t="s">
        <v>454</v>
      </c>
      <c r="F152" s="232" t="s">
        <v>455</v>
      </c>
      <c r="G152" s="232" t="s">
        <v>769</v>
      </c>
      <c r="K152" t="s">
        <v>2647</v>
      </c>
      <c r="L152" s="81">
        <f>+Municipios!AB153</f>
        <v>33.271621556784211</v>
      </c>
      <c r="M152" s="232">
        <v>76845</v>
      </c>
      <c r="N152" s="232" t="s">
        <v>768</v>
      </c>
      <c r="O152" s="232" t="s">
        <v>454</v>
      </c>
      <c r="P152" s="232" t="s">
        <v>455</v>
      </c>
      <c r="Q152" s="232" t="s">
        <v>769</v>
      </c>
      <c r="T152" t="s">
        <v>2803</v>
      </c>
      <c r="U152" s="25">
        <f>+Municipios!Z153</f>
        <v>53.742906679673595</v>
      </c>
      <c r="V152" s="232">
        <v>76845</v>
      </c>
      <c r="W152" s="232" t="s">
        <v>768</v>
      </c>
      <c r="X152" s="232" t="s">
        <v>454</v>
      </c>
      <c r="Y152" s="232" t="s">
        <v>455</v>
      </c>
      <c r="Z152" s="232" t="s">
        <v>769</v>
      </c>
    </row>
    <row r="153" spans="1:26">
      <c r="A153" t="s">
        <v>417</v>
      </c>
      <c r="B153" s="25">
        <f>+Municipios!Z154</f>
        <v>60.231959826344109</v>
      </c>
      <c r="C153" s="232">
        <v>76563</v>
      </c>
      <c r="D153" s="232" t="s">
        <v>770</v>
      </c>
      <c r="E153" s="232" t="s">
        <v>454</v>
      </c>
      <c r="F153" s="232" t="s">
        <v>455</v>
      </c>
      <c r="G153" s="232" t="s">
        <v>771</v>
      </c>
      <c r="K153" t="s">
        <v>2647</v>
      </c>
      <c r="L153" s="81">
        <f>+Municipios!AB154</f>
        <v>37.457858246399404</v>
      </c>
      <c r="M153" s="232">
        <v>76563</v>
      </c>
      <c r="N153" s="232" t="s">
        <v>770</v>
      </c>
      <c r="O153" s="232" t="s">
        <v>454</v>
      </c>
      <c r="P153" s="232" t="s">
        <v>455</v>
      </c>
      <c r="Q153" s="232" t="s">
        <v>771</v>
      </c>
      <c r="T153" t="s">
        <v>2803</v>
      </c>
      <c r="U153" s="25">
        <f>+Municipios!Z154</f>
        <v>60.231959826344109</v>
      </c>
      <c r="V153" s="232">
        <v>76563</v>
      </c>
      <c r="W153" s="232" t="s">
        <v>770</v>
      </c>
      <c r="X153" s="232" t="s">
        <v>454</v>
      </c>
      <c r="Y153" s="232" t="s">
        <v>455</v>
      </c>
      <c r="Z153" s="232" t="s">
        <v>771</v>
      </c>
    </row>
    <row r="154" spans="1:26">
      <c r="A154" t="s">
        <v>417</v>
      </c>
      <c r="B154" s="25">
        <f>+Municipios!Z155</f>
        <v>55.576903128787727</v>
      </c>
      <c r="C154" s="232">
        <v>76275</v>
      </c>
      <c r="D154" s="232" t="s">
        <v>772</v>
      </c>
      <c r="E154" s="232" t="s">
        <v>454</v>
      </c>
      <c r="F154" s="232" t="s">
        <v>455</v>
      </c>
      <c r="G154" s="232" t="s">
        <v>773</v>
      </c>
      <c r="K154" t="s">
        <v>2647</v>
      </c>
      <c r="L154" s="81">
        <f>+Municipios!AB155</f>
        <v>34.547007507069083</v>
      </c>
      <c r="M154" s="232">
        <v>76275</v>
      </c>
      <c r="N154" s="232" t="s">
        <v>772</v>
      </c>
      <c r="O154" s="232" t="s">
        <v>454</v>
      </c>
      <c r="P154" s="232" t="s">
        <v>455</v>
      </c>
      <c r="Q154" s="232" t="s">
        <v>773</v>
      </c>
      <c r="T154" t="s">
        <v>2803</v>
      </c>
      <c r="U154" s="25">
        <f>+Municipios!Z155</f>
        <v>55.576903128787727</v>
      </c>
      <c r="V154" s="232">
        <v>76275</v>
      </c>
      <c r="W154" s="232" t="s">
        <v>772</v>
      </c>
      <c r="X154" s="232" t="s">
        <v>454</v>
      </c>
      <c r="Y154" s="232" t="s">
        <v>455</v>
      </c>
      <c r="Z154" s="232" t="s">
        <v>773</v>
      </c>
    </row>
    <row r="155" spans="1:26">
      <c r="A155" t="s">
        <v>417</v>
      </c>
      <c r="B155" s="25">
        <f>+Municipios!Z156</f>
        <v>57.963865620294122</v>
      </c>
      <c r="C155" s="232">
        <v>8560</v>
      </c>
      <c r="D155" s="232" t="s">
        <v>774</v>
      </c>
      <c r="E155" s="232" t="s">
        <v>442</v>
      </c>
      <c r="F155" s="232" t="s">
        <v>443</v>
      </c>
      <c r="G155" s="232" t="s">
        <v>775</v>
      </c>
      <c r="K155" t="s">
        <v>2647</v>
      </c>
      <c r="L155" s="81">
        <f>+Municipios!AB156</f>
        <v>35.957292911704513</v>
      </c>
      <c r="M155" s="232">
        <v>8560</v>
      </c>
      <c r="N155" s="232" t="s">
        <v>774</v>
      </c>
      <c r="O155" s="232" t="s">
        <v>442</v>
      </c>
      <c r="P155" s="232" t="s">
        <v>443</v>
      </c>
      <c r="Q155" s="232" t="s">
        <v>775</v>
      </c>
      <c r="T155" t="s">
        <v>2803</v>
      </c>
      <c r="U155" s="25">
        <f>+Municipios!Z156</f>
        <v>57.963865620294122</v>
      </c>
      <c r="V155" s="232">
        <v>8560</v>
      </c>
      <c r="W155" s="232" t="s">
        <v>774</v>
      </c>
      <c r="X155" s="232" t="s">
        <v>442</v>
      </c>
      <c r="Y155" s="232" t="s">
        <v>443</v>
      </c>
      <c r="Z155" s="232" t="s">
        <v>775</v>
      </c>
    </row>
    <row r="156" spans="1:26">
      <c r="A156" t="s">
        <v>417</v>
      </c>
      <c r="B156" s="25">
        <f>+Municipios!Z157</f>
        <v>58.712571367449712</v>
      </c>
      <c r="C156" s="232">
        <v>8421</v>
      </c>
      <c r="D156" s="232" t="s">
        <v>776</v>
      </c>
      <c r="E156" s="232" t="s">
        <v>442</v>
      </c>
      <c r="F156" s="232" t="s">
        <v>443</v>
      </c>
      <c r="G156" s="232" t="s">
        <v>777</v>
      </c>
      <c r="K156" t="s">
        <v>2647</v>
      </c>
      <c r="L156" s="81">
        <f>+Municipios!AB157</f>
        <v>36.379209994388368</v>
      </c>
      <c r="M156" s="232">
        <v>8421</v>
      </c>
      <c r="N156" s="232" t="s">
        <v>776</v>
      </c>
      <c r="O156" s="232" t="s">
        <v>442</v>
      </c>
      <c r="P156" s="232" t="s">
        <v>443</v>
      </c>
      <c r="Q156" s="232" t="s">
        <v>777</v>
      </c>
      <c r="T156" t="s">
        <v>2803</v>
      </c>
      <c r="U156" s="25">
        <f>+Municipios!Z157</f>
        <v>58.712571367449712</v>
      </c>
      <c r="V156" s="232">
        <v>8421</v>
      </c>
      <c r="W156" s="232" t="s">
        <v>776</v>
      </c>
      <c r="X156" s="232" t="s">
        <v>442</v>
      </c>
      <c r="Y156" s="232" t="s">
        <v>443</v>
      </c>
      <c r="Z156" s="232" t="s">
        <v>777</v>
      </c>
    </row>
    <row r="157" spans="1:26">
      <c r="A157" t="s">
        <v>417</v>
      </c>
      <c r="B157" s="25">
        <f>+Municipios!Z158</f>
        <v>61.756030253761494</v>
      </c>
      <c r="C157" s="232">
        <v>8849</v>
      </c>
      <c r="D157" s="232" t="s">
        <v>778</v>
      </c>
      <c r="E157" s="232" t="s">
        <v>442</v>
      </c>
      <c r="F157" s="232" t="s">
        <v>443</v>
      </c>
      <c r="G157" s="232" t="s">
        <v>779</v>
      </c>
      <c r="K157" t="s">
        <v>2647</v>
      </c>
      <c r="L157" s="81">
        <f>+Municipios!AB158</f>
        <v>38.213063351269945</v>
      </c>
      <c r="M157" s="232">
        <v>8849</v>
      </c>
      <c r="N157" s="232" t="s">
        <v>778</v>
      </c>
      <c r="O157" s="232" t="s">
        <v>442</v>
      </c>
      <c r="P157" s="232" t="s">
        <v>443</v>
      </c>
      <c r="Q157" s="232" t="s">
        <v>779</v>
      </c>
      <c r="T157" t="s">
        <v>2803</v>
      </c>
      <c r="U157" s="25">
        <f>+Municipios!Z158</f>
        <v>61.756030253761494</v>
      </c>
      <c r="V157" s="232">
        <v>8849</v>
      </c>
      <c r="W157" s="232" t="s">
        <v>778</v>
      </c>
      <c r="X157" s="232" t="s">
        <v>442</v>
      </c>
      <c r="Y157" s="232" t="s">
        <v>443</v>
      </c>
      <c r="Z157" s="232" t="s">
        <v>779</v>
      </c>
    </row>
    <row r="158" spans="1:26">
      <c r="A158" t="s">
        <v>417</v>
      </c>
      <c r="B158" s="25">
        <f>+Municipios!Z159</f>
        <v>69.311755563359895</v>
      </c>
      <c r="C158" s="232">
        <v>5607</v>
      </c>
      <c r="D158" s="232" t="s">
        <v>780</v>
      </c>
      <c r="E158" s="232" t="s">
        <v>435</v>
      </c>
      <c r="F158" s="232" t="s">
        <v>436</v>
      </c>
      <c r="G158" s="232" t="s">
        <v>781</v>
      </c>
      <c r="K158" t="s">
        <v>2647</v>
      </c>
      <c r="L158" s="81">
        <f>+Municipios!AB159</f>
        <v>42.800188332779577</v>
      </c>
      <c r="M158" s="232">
        <v>5607</v>
      </c>
      <c r="N158" s="232" t="s">
        <v>780</v>
      </c>
      <c r="O158" s="232" t="s">
        <v>435</v>
      </c>
      <c r="P158" s="232" t="s">
        <v>436</v>
      </c>
      <c r="Q158" s="232" t="s">
        <v>781</v>
      </c>
      <c r="T158" t="s">
        <v>2803</v>
      </c>
      <c r="U158" s="25">
        <f>+Municipios!Z159</f>
        <v>69.311755563359895</v>
      </c>
      <c r="V158" s="232">
        <v>5607</v>
      </c>
      <c r="W158" s="232" t="s">
        <v>780</v>
      </c>
      <c r="X158" s="232" t="s">
        <v>435</v>
      </c>
      <c r="Y158" s="232" t="s">
        <v>436</v>
      </c>
      <c r="Z158" s="232" t="s">
        <v>781</v>
      </c>
    </row>
    <row r="159" spans="1:26">
      <c r="A159" t="s">
        <v>417</v>
      </c>
      <c r="B159" s="25">
        <f>+Municipios!Z160</f>
        <v>62.922254529623885</v>
      </c>
      <c r="C159" s="232">
        <v>25645</v>
      </c>
      <c r="D159" s="232" t="s">
        <v>782</v>
      </c>
      <c r="E159" s="232" t="s">
        <v>461</v>
      </c>
      <c r="F159" s="232" t="s">
        <v>462</v>
      </c>
      <c r="G159" s="232" t="s">
        <v>783</v>
      </c>
      <c r="K159" t="s">
        <v>2647</v>
      </c>
      <c r="L159" s="81">
        <f>+Municipios!AB160</f>
        <v>39.010233842429088</v>
      </c>
      <c r="M159" s="232">
        <v>25645</v>
      </c>
      <c r="N159" s="232" t="s">
        <v>782</v>
      </c>
      <c r="O159" s="232" t="s">
        <v>461</v>
      </c>
      <c r="P159" s="232" t="s">
        <v>462</v>
      </c>
      <c r="Q159" s="232" t="s">
        <v>783</v>
      </c>
      <c r="T159" t="s">
        <v>2803</v>
      </c>
      <c r="U159" s="25">
        <f>+Municipios!Z160</f>
        <v>62.922254529623885</v>
      </c>
      <c r="V159" s="232">
        <v>25645</v>
      </c>
      <c r="W159" s="232" t="s">
        <v>782</v>
      </c>
      <c r="X159" s="232" t="s">
        <v>461</v>
      </c>
      <c r="Y159" s="232" t="s">
        <v>462</v>
      </c>
      <c r="Z159" s="232" t="s">
        <v>783</v>
      </c>
    </row>
    <row r="160" spans="1:26">
      <c r="A160" t="s">
        <v>417</v>
      </c>
      <c r="B160" s="25">
        <f>+Municipios!Z161</f>
        <v>65.328038675367907</v>
      </c>
      <c r="C160" s="232">
        <v>68081</v>
      </c>
      <c r="D160" s="232" t="s">
        <v>784</v>
      </c>
      <c r="E160" s="232" t="s">
        <v>431</v>
      </c>
      <c r="F160" s="232" t="s">
        <v>432</v>
      </c>
      <c r="G160" s="232" t="s">
        <v>785</v>
      </c>
      <c r="K160" t="s">
        <v>2647</v>
      </c>
      <c r="L160" s="81">
        <f>+Municipios!AB161</f>
        <v>40.39455977995906</v>
      </c>
      <c r="M160" s="232">
        <v>68081</v>
      </c>
      <c r="N160" s="232" t="s">
        <v>784</v>
      </c>
      <c r="O160" s="232" t="s">
        <v>431</v>
      </c>
      <c r="P160" s="232" t="s">
        <v>432</v>
      </c>
      <c r="Q160" s="232" t="s">
        <v>785</v>
      </c>
      <c r="T160" t="s">
        <v>2803</v>
      </c>
      <c r="U160" s="25">
        <f>+Municipios!Z161</f>
        <v>65.328038675367907</v>
      </c>
      <c r="V160" s="232">
        <v>68081</v>
      </c>
      <c r="W160" s="232" t="s">
        <v>784</v>
      </c>
      <c r="X160" s="232" t="s">
        <v>431</v>
      </c>
      <c r="Y160" s="232" t="s">
        <v>432</v>
      </c>
      <c r="Z160" s="232" t="s">
        <v>785</v>
      </c>
    </row>
    <row r="161" spans="1:26">
      <c r="A161" t="s">
        <v>417</v>
      </c>
      <c r="B161" s="25">
        <f>+Municipios!Z162</f>
        <v>65.538854204215198</v>
      </c>
      <c r="C161" s="232">
        <v>25001</v>
      </c>
      <c r="D161" s="232" t="s">
        <v>786</v>
      </c>
      <c r="E161" s="232" t="s">
        <v>461</v>
      </c>
      <c r="F161" s="232" t="s">
        <v>462</v>
      </c>
      <c r="G161" s="232" t="s">
        <v>787</v>
      </c>
      <c r="K161" t="s">
        <v>2647</v>
      </c>
      <c r="L161" s="81">
        <f>+Municipios!AB162</f>
        <v>40.453703334208974</v>
      </c>
      <c r="M161" s="232">
        <v>25001</v>
      </c>
      <c r="N161" s="232" t="s">
        <v>786</v>
      </c>
      <c r="O161" s="232" t="s">
        <v>461</v>
      </c>
      <c r="P161" s="232" t="s">
        <v>462</v>
      </c>
      <c r="Q161" s="232" t="s">
        <v>787</v>
      </c>
      <c r="T161" t="s">
        <v>2803</v>
      </c>
      <c r="U161" s="25">
        <f>+Municipios!Z162</f>
        <v>65.538854204215198</v>
      </c>
      <c r="V161" s="232">
        <v>25001</v>
      </c>
      <c r="W161" s="232" t="s">
        <v>786</v>
      </c>
      <c r="X161" s="232" t="s">
        <v>461</v>
      </c>
      <c r="Y161" s="232" t="s">
        <v>462</v>
      </c>
      <c r="Z161" s="232" t="s">
        <v>787</v>
      </c>
    </row>
    <row r="162" spans="1:26">
      <c r="A162" t="s">
        <v>417</v>
      </c>
      <c r="B162" s="25">
        <f>+Municipios!Z163</f>
        <v>58.819701370914586</v>
      </c>
      <c r="C162" s="232">
        <v>54553</v>
      </c>
      <c r="D162" s="232" t="s">
        <v>788</v>
      </c>
      <c r="E162" s="232" t="s">
        <v>517</v>
      </c>
      <c r="F162" s="232" t="s">
        <v>518</v>
      </c>
      <c r="G162" s="232" t="s">
        <v>789</v>
      </c>
      <c r="K162" t="s">
        <v>2647</v>
      </c>
      <c r="L162" s="81">
        <f>+Municipios!AB163</f>
        <v>36.381407987858715</v>
      </c>
      <c r="M162" s="232">
        <v>54553</v>
      </c>
      <c r="N162" s="232" t="s">
        <v>788</v>
      </c>
      <c r="O162" s="232" t="s">
        <v>517</v>
      </c>
      <c r="P162" s="232" t="s">
        <v>518</v>
      </c>
      <c r="Q162" s="232" t="s">
        <v>789</v>
      </c>
      <c r="T162" t="s">
        <v>2803</v>
      </c>
      <c r="U162" s="25">
        <f>+Municipios!Z163</f>
        <v>58.819701370914586</v>
      </c>
      <c r="V162" s="232">
        <v>54553</v>
      </c>
      <c r="W162" s="232" t="s">
        <v>788</v>
      </c>
      <c r="X162" s="232" t="s">
        <v>517</v>
      </c>
      <c r="Y162" s="232" t="s">
        <v>518</v>
      </c>
      <c r="Z162" s="232" t="s">
        <v>789</v>
      </c>
    </row>
    <row r="163" spans="1:26">
      <c r="A163" t="s">
        <v>417</v>
      </c>
      <c r="B163" s="25">
        <f>+Municipios!Z164</f>
        <v>41.851454017397749</v>
      </c>
      <c r="C163" s="232">
        <v>13052</v>
      </c>
      <c r="D163" s="232" t="s">
        <v>790</v>
      </c>
      <c r="E163" s="232" t="s">
        <v>480</v>
      </c>
      <c r="F163" s="232" t="s">
        <v>481</v>
      </c>
      <c r="G163" s="232" t="s">
        <v>791</v>
      </c>
      <c r="K163" t="s">
        <v>2647</v>
      </c>
      <c r="L163" s="81">
        <f>+Municipios!AB164</f>
        <v>25.831304291244582</v>
      </c>
      <c r="M163" s="232">
        <v>13052</v>
      </c>
      <c r="N163" s="232" t="s">
        <v>790</v>
      </c>
      <c r="O163" s="232" t="s">
        <v>480</v>
      </c>
      <c r="P163" s="232" t="s">
        <v>481</v>
      </c>
      <c r="Q163" s="232" t="s">
        <v>791</v>
      </c>
      <c r="T163" t="s">
        <v>2803</v>
      </c>
      <c r="U163" s="25">
        <f>+Municipios!Z164</f>
        <v>41.851454017397749</v>
      </c>
      <c r="V163" s="232">
        <v>13052</v>
      </c>
      <c r="W163" s="232" t="s">
        <v>790</v>
      </c>
      <c r="X163" s="232" t="s">
        <v>480</v>
      </c>
      <c r="Y163" s="232" t="s">
        <v>481</v>
      </c>
      <c r="Z163" s="232" t="s">
        <v>791</v>
      </c>
    </row>
    <row r="164" spans="1:26">
      <c r="A164" t="s">
        <v>417</v>
      </c>
      <c r="B164" s="25">
        <f>+Municipios!Z165</f>
        <v>55.462818539411778</v>
      </c>
      <c r="C164" s="232">
        <v>52399</v>
      </c>
      <c r="D164" s="232" t="s">
        <v>792</v>
      </c>
      <c r="E164" s="232" t="s">
        <v>672</v>
      </c>
      <c r="F164" s="232" t="s">
        <v>673</v>
      </c>
      <c r="G164" s="232" t="s">
        <v>628</v>
      </c>
      <c r="K164" t="s">
        <v>2647</v>
      </c>
      <c r="L164" s="81">
        <f>+Municipios!AB165</f>
        <v>34.242123182133312</v>
      </c>
      <c r="M164" s="232">
        <v>52399</v>
      </c>
      <c r="N164" s="232" t="s">
        <v>792</v>
      </c>
      <c r="O164" s="232" t="s">
        <v>672</v>
      </c>
      <c r="P164" s="232" t="s">
        <v>673</v>
      </c>
      <c r="Q164" s="232" t="s">
        <v>628</v>
      </c>
      <c r="T164" t="s">
        <v>2803</v>
      </c>
      <c r="U164" s="25">
        <f>+Municipios!Z165</f>
        <v>55.462818539411778</v>
      </c>
      <c r="V164" s="232">
        <v>52399</v>
      </c>
      <c r="W164" s="232" t="s">
        <v>792</v>
      </c>
      <c r="X164" s="232" t="s">
        <v>672</v>
      </c>
      <c r="Y164" s="232" t="s">
        <v>673</v>
      </c>
      <c r="Z164" s="232" t="s">
        <v>628</v>
      </c>
    </row>
    <row r="165" spans="1:26">
      <c r="A165" t="s">
        <v>417</v>
      </c>
      <c r="B165" s="25">
        <f>+Municipios!Z166</f>
        <v>50.521078795254553</v>
      </c>
      <c r="C165" s="232">
        <v>5390</v>
      </c>
      <c r="D165" s="232" t="s">
        <v>793</v>
      </c>
      <c r="E165" s="232" t="s">
        <v>435</v>
      </c>
      <c r="F165" s="232" t="s">
        <v>436</v>
      </c>
      <c r="G165" s="232" t="s">
        <v>794</v>
      </c>
      <c r="K165" t="s">
        <v>2647</v>
      </c>
      <c r="L165" s="81">
        <f>+Municipios!AB166</f>
        <v>31.321036664644044</v>
      </c>
      <c r="M165" s="232">
        <v>5390</v>
      </c>
      <c r="N165" s="232" t="s">
        <v>793</v>
      </c>
      <c r="O165" s="232" t="s">
        <v>435</v>
      </c>
      <c r="P165" s="232" t="s">
        <v>436</v>
      </c>
      <c r="Q165" s="232" t="s">
        <v>794</v>
      </c>
      <c r="T165" t="s">
        <v>2803</v>
      </c>
      <c r="U165" s="25">
        <f>+Municipios!Z166</f>
        <v>50.521078795254553</v>
      </c>
      <c r="V165" s="232">
        <v>5390</v>
      </c>
      <c r="W165" s="232" t="s">
        <v>793</v>
      </c>
      <c r="X165" s="232" t="s">
        <v>435</v>
      </c>
      <c r="Y165" s="232" t="s">
        <v>436</v>
      </c>
      <c r="Z165" s="232" t="s">
        <v>794</v>
      </c>
    </row>
    <row r="166" spans="1:26">
      <c r="A166" t="s">
        <v>417</v>
      </c>
      <c r="B166" s="25">
        <f>+Municipios!Z167</f>
        <v>62.604767372608194</v>
      </c>
      <c r="C166" s="232">
        <v>41551</v>
      </c>
      <c r="D166" s="232" t="s">
        <v>795</v>
      </c>
      <c r="E166" s="232" t="s">
        <v>676</v>
      </c>
      <c r="F166" s="232" t="s">
        <v>677</v>
      </c>
      <c r="G166" s="232" t="s">
        <v>796</v>
      </c>
      <c r="K166" t="s">
        <v>2647</v>
      </c>
      <c r="L166" s="81">
        <f>+Municipios!AB167</f>
        <v>38.565660745734249</v>
      </c>
      <c r="M166" s="232">
        <v>41551</v>
      </c>
      <c r="N166" s="232" t="s">
        <v>795</v>
      </c>
      <c r="O166" s="232" t="s">
        <v>676</v>
      </c>
      <c r="P166" s="232" t="s">
        <v>677</v>
      </c>
      <c r="Q166" s="232" t="s">
        <v>796</v>
      </c>
      <c r="T166" t="s">
        <v>2803</v>
      </c>
      <c r="U166" s="25">
        <f>+Municipios!Z167</f>
        <v>62.604767372608194</v>
      </c>
      <c r="V166" s="232">
        <v>41551</v>
      </c>
      <c r="W166" s="232" t="s">
        <v>795</v>
      </c>
      <c r="X166" s="232" t="s">
        <v>676</v>
      </c>
      <c r="Y166" s="232" t="s">
        <v>677</v>
      </c>
      <c r="Z166" s="232" t="s">
        <v>796</v>
      </c>
    </row>
    <row r="167" spans="1:26">
      <c r="A167" t="s">
        <v>417</v>
      </c>
      <c r="B167" s="25">
        <f>+Municipios!Z168</f>
        <v>59.337771988368615</v>
      </c>
      <c r="C167" s="232">
        <v>54518</v>
      </c>
      <c r="D167" s="232" t="s">
        <v>797</v>
      </c>
      <c r="E167" s="232" t="s">
        <v>517</v>
      </c>
      <c r="F167" s="232" t="s">
        <v>518</v>
      </c>
      <c r="G167" s="232" t="s">
        <v>798</v>
      </c>
      <c r="K167" t="s">
        <v>2647</v>
      </c>
      <c r="L167" s="81">
        <f>+Municipios!AB168</f>
        <v>36.647434478402019</v>
      </c>
      <c r="M167" s="232">
        <v>54518</v>
      </c>
      <c r="N167" s="232" t="s">
        <v>797</v>
      </c>
      <c r="O167" s="232" t="s">
        <v>517</v>
      </c>
      <c r="P167" s="232" t="s">
        <v>518</v>
      </c>
      <c r="Q167" s="232" t="s">
        <v>798</v>
      </c>
      <c r="T167" t="s">
        <v>2803</v>
      </c>
      <c r="U167" s="25">
        <f>+Municipios!Z168</f>
        <v>59.337771988368615</v>
      </c>
      <c r="V167" s="232">
        <v>54518</v>
      </c>
      <c r="W167" s="232" t="s">
        <v>797</v>
      </c>
      <c r="X167" s="232" t="s">
        <v>517</v>
      </c>
      <c r="Y167" s="232" t="s">
        <v>518</v>
      </c>
      <c r="Z167" s="232" t="s">
        <v>798</v>
      </c>
    </row>
    <row r="168" spans="1:26">
      <c r="A168" t="s">
        <v>417</v>
      </c>
      <c r="B168" s="25">
        <f>+Municipios!Z169</f>
        <v>51.916187964396357</v>
      </c>
      <c r="C168" s="232">
        <v>8372</v>
      </c>
      <c r="D168" s="232" t="s">
        <v>799</v>
      </c>
      <c r="E168" s="232" t="s">
        <v>442</v>
      </c>
      <c r="F168" s="232" t="s">
        <v>443</v>
      </c>
      <c r="G168" s="232" t="s">
        <v>800</v>
      </c>
      <c r="K168" t="s">
        <v>2647</v>
      </c>
      <c r="L168" s="81">
        <f>+Municipios!AB169</f>
        <v>31.932199911339183</v>
      </c>
      <c r="M168" s="232">
        <v>8372</v>
      </c>
      <c r="N168" s="232" t="s">
        <v>799</v>
      </c>
      <c r="O168" s="232" t="s">
        <v>442</v>
      </c>
      <c r="P168" s="232" t="s">
        <v>443</v>
      </c>
      <c r="Q168" s="232" t="s">
        <v>800</v>
      </c>
      <c r="T168" t="s">
        <v>2803</v>
      </c>
      <c r="U168" s="25">
        <f>+Municipios!Z169</f>
        <v>51.916187964396357</v>
      </c>
      <c r="V168" s="232">
        <v>8372</v>
      </c>
      <c r="W168" s="232" t="s">
        <v>799</v>
      </c>
      <c r="X168" s="232" t="s">
        <v>442</v>
      </c>
      <c r="Y168" s="232" t="s">
        <v>443</v>
      </c>
      <c r="Z168" s="232" t="s">
        <v>800</v>
      </c>
    </row>
    <row r="169" spans="1:26">
      <c r="A169" t="s">
        <v>417</v>
      </c>
      <c r="B169" s="25">
        <f>+Municipios!Z170</f>
        <v>65.766902178910996</v>
      </c>
      <c r="C169" s="232">
        <v>50313</v>
      </c>
      <c r="D169" s="232" t="s">
        <v>801</v>
      </c>
      <c r="E169" s="232" t="s">
        <v>605</v>
      </c>
      <c r="F169" s="232" t="s">
        <v>606</v>
      </c>
      <c r="G169" s="232" t="s">
        <v>802</v>
      </c>
      <c r="K169" t="s">
        <v>2647</v>
      </c>
      <c r="L169" s="81">
        <f>+Municipios!AB170</f>
        <v>40.34823434007793</v>
      </c>
      <c r="M169" s="232">
        <v>50313</v>
      </c>
      <c r="N169" s="232" t="s">
        <v>801</v>
      </c>
      <c r="O169" s="232" t="s">
        <v>605</v>
      </c>
      <c r="P169" s="232" t="s">
        <v>606</v>
      </c>
      <c r="Q169" s="232" t="s">
        <v>802</v>
      </c>
      <c r="T169" t="s">
        <v>2803</v>
      </c>
      <c r="U169" s="25">
        <f>+Municipios!Z170</f>
        <v>65.766902178910996</v>
      </c>
      <c r="V169" s="232">
        <v>50313</v>
      </c>
      <c r="W169" s="232" t="s">
        <v>801</v>
      </c>
      <c r="X169" s="232" t="s">
        <v>605</v>
      </c>
      <c r="Y169" s="232" t="s">
        <v>606</v>
      </c>
      <c r="Z169" s="232" t="s">
        <v>802</v>
      </c>
    </row>
    <row r="170" spans="1:26">
      <c r="A170" t="s">
        <v>417</v>
      </c>
      <c r="B170" s="25">
        <f>+Municipios!Z171</f>
        <v>63.761837659192537</v>
      </c>
      <c r="C170" s="232">
        <v>25019</v>
      </c>
      <c r="D170" s="232" t="s">
        <v>803</v>
      </c>
      <c r="E170" s="232" t="s">
        <v>461</v>
      </c>
      <c r="F170" s="232" t="s">
        <v>462</v>
      </c>
      <c r="G170" s="232" t="s">
        <v>759</v>
      </c>
      <c r="K170" t="s">
        <v>2647</v>
      </c>
      <c r="L170" s="81">
        <f>+Municipios!AB171</f>
        <v>39.008547847245232</v>
      </c>
      <c r="M170" s="232">
        <v>25019</v>
      </c>
      <c r="N170" s="232" t="s">
        <v>803</v>
      </c>
      <c r="O170" s="232" t="s">
        <v>461</v>
      </c>
      <c r="P170" s="232" t="s">
        <v>462</v>
      </c>
      <c r="Q170" s="232" t="s">
        <v>759</v>
      </c>
      <c r="T170" t="s">
        <v>2803</v>
      </c>
      <c r="U170" s="25">
        <f>+Municipios!Z171</f>
        <v>63.761837659192537</v>
      </c>
      <c r="V170" s="232">
        <v>25019</v>
      </c>
      <c r="W170" s="232" t="s">
        <v>803</v>
      </c>
      <c r="X170" s="232" t="s">
        <v>461</v>
      </c>
      <c r="Y170" s="232" t="s">
        <v>462</v>
      </c>
      <c r="Z170" s="232" t="s">
        <v>759</v>
      </c>
    </row>
    <row r="171" spans="1:26">
      <c r="A171" t="s">
        <v>417</v>
      </c>
      <c r="B171" s="25">
        <f>+Municipios!Z172</f>
        <v>61.073472516060981</v>
      </c>
      <c r="C171" s="232">
        <v>25486</v>
      </c>
      <c r="D171" s="232" t="s">
        <v>804</v>
      </c>
      <c r="E171" s="232" t="s">
        <v>461</v>
      </c>
      <c r="F171" s="232" t="s">
        <v>462</v>
      </c>
      <c r="G171" s="232" t="s">
        <v>805</v>
      </c>
      <c r="K171" t="s">
        <v>2647</v>
      </c>
      <c r="L171" s="81">
        <f>+Municipios!AB172</f>
        <v>37.348106887925191</v>
      </c>
      <c r="M171" s="232">
        <v>25486</v>
      </c>
      <c r="N171" s="232" t="s">
        <v>804</v>
      </c>
      <c r="O171" s="232" t="s">
        <v>461</v>
      </c>
      <c r="P171" s="232" t="s">
        <v>462</v>
      </c>
      <c r="Q171" s="232" t="s">
        <v>805</v>
      </c>
      <c r="T171" t="s">
        <v>2803</v>
      </c>
      <c r="U171" s="25">
        <f>+Municipios!Z172</f>
        <v>61.073472516060981</v>
      </c>
      <c r="V171" s="232">
        <v>25486</v>
      </c>
      <c r="W171" s="232" t="s">
        <v>804</v>
      </c>
      <c r="X171" s="232" t="s">
        <v>461</v>
      </c>
      <c r="Y171" s="232" t="s">
        <v>462</v>
      </c>
      <c r="Z171" s="232" t="s">
        <v>805</v>
      </c>
    </row>
    <row r="172" spans="1:26">
      <c r="A172" t="s">
        <v>417</v>
      </c>
      <c r="B172" s="25">
        <f>+Municipios!Z173</f>
        <v>56.086466522384178</v>
      </c>
      <c r="C172" s="232">
        <v>23660</v>
      </c>
      <c r="D172" s="232" t="s">
        <v>806</v>
      </c>
      <c r="E172" s="232" t="s">
        <v>567</v>
      </c>
      <c r="F172" s="232" t="s">
        <v>568</v>
      </c>
      <c r="G172" s="232" t="s">
        <v>807</v>
      </c>
      <c r="K172" t="s">
        <v>2647</v>
      </c>
      <c r="L172" s="81">
        <f>+Municipios!AB173</f>
        <v>34.404457426379274</v>
      </c>
      <c r="M172" s="232">
        <v>23660</v>
      </c>
      <c r="N172" s="232" t="s">
        <v>806</v>
      </c>
      <c r="O172" s="232" t="s">
        <v>567</v>
      </c>
      <c r="P172" s="232" t="s">
        <v>568</v>
      </c>
      <c r="Q172" s="232" t="s">
        <v>807</v>
      </c>
      <c r="T172" t="s">
        <v>2803</v>
      </c>
      <c r="U172" s="25">
        <f>+Municipios!Z173</f>
        <v>56.086466522384178</v>
      </c>
      <c r="V172" s="232">
        <v>23660</v>
      </c>
      <c r="W172" s="232" t="s">
        <v>806</v>
      </c>
      <c r="X172" s="232" t="s">
        <v>567</v>
      </c>
      <c r="Y172" s="232" t="s">
        <v>568</v>
      </c>
      <c r="Z172" s="232" t="s">
        <v>807</v>
      </c>
    </row>
    <row r="173" spans="1:26">
      <c r="A173" t="s">
        <v>417</v>
      </c>
      <c r="B173" s="25">
        <f>+Municipios!Z174</f>
        <v>71.131504176357694</v>
      </c>
      <c r="C173" s="232">
        <v>25312</v>
      </c>
      <c r="D173" s="232" t="s">
        <v>808</v>
      </c>
      <c r="E173" s="232" t="s">
        <v>461</v>
      </c>
      <c r="F173" s="232" t="s">
        <v>462</v>
      </c>
      <c r="G173" s="232" t="s">
        <v>802</v>
      </c>
      <c r="K173" t="s">
        <v>2647</v>
      </c>
      <c r="L173" s="81">
        <f>+Municipios!AB174</f>
        <v>43.634043441707419</v>
      </c>
      <c r="M173" s="232">
        <v>25312</v>
      </c>
      <c r="N173" s="232" t="s">
        <v>808</v>
      </c>
      <c r="O173" s="232" t="s">
        <v>461</v>
      </c>
      <c r="P173" s="232" t="s">
        <v>462</v>
      </c>
      <c r="Q173" s="232" t="s">
        <v>802</v>
      </c>
      <c r="T173" t="s">
        <v>2803</v>
      </c>
      <c r="U173" s="25">
        <f>+Municipios!Z174</f>
        <v>71.131504176357694</v>
      </c>
      <c r="V173" s="232">
        <v>25312</v>
      </c>
      <c r="W173" s="232" t="s">
        <v>808</v>
      </c>
      <c r="X173" s="232" t="s">
        <v>461</v>
      </c>
      <c r="Y173" s="232" t="s">
        <v>462</v>
      </c>
      <c r="Z173" s="232" t="s">
        <v>802</v>
      </c>
    </row>
    <row r="174" spans="1:26">
      <c r="A174" t="s">
        <v>417</v>
      </c>
      <c r="B174" s="25">
        <f>+Municipios!Z175</f>
        <v>43.138211744366224</v>
      </c>
      <c r="C174" s="232">
        <v>23464</v>
      </c>
      <c r="D174" s="232" t="s">
        <v>809</v>
      </c>
      <c r="E174" s="232" t="s">
        <v>567</v>
      </c>
      <c r="F174" s="232" t="s">
        <v>568</v>
      </c>
      <c r="G174" s="232" t="s">
        <v>810</v>
      </c>
      <c r="K174" t="s">
        <v>2647</v>
      </c>
      <c r="L174" s="81">
        <f>+Municipios!AB175</f>
        <v>26.468247325246686</v>
      </c>
      <c r="M174" s="232">
        <v>23464</v>
      </c>
      <c r="N174" s="232" t="s">
        <v>809</v>
      </c>
      <c r="O174" s="232" t="s">
        <v>567</v>
      </c>
      <c r="P174" s="232" t="s">
        <v>568</v>
      </c>
      <c r="Q174" s="232" t="s">
        <v>810</v>
      </c>
      <c r="T174" t="s">
        <v>2803</v>
      </c>
      <c r="U174" s="25">
        <f>+Municipios!Z175</f>
        <v>43.138211744366224</v>
      </c>
      <c r="V174" s="232">
        <v>23464</v>
      </c>
      <c r="W174" s="232" t="s">
        <v>809</v>
      </c>
      <c r="X174" s="232" t="s">
        <v>567</v>
      </c>
      <c r="Y174" s="232" t="s">
        <v>568</v>
      </c>
      <c r="Z174" s="232" t="s">
        <v>810</v>
      </c>
    </row>
    <row r="175" spans="1:26">
      <c r="A175" t="s">
        <v>417</v>
      </c>
      <c r="B175" s="25">
        <f>+Municipios!Z176</f>
        <v>58.156829608592631</v>
      </c>
      <c r="C175" s="232">
        <v>19807</v>
      </c>
      <c r="D175" s="232" t="s">
        <v>811</v>
      </c>
      <c r="E175" s="232" t="s">
        <v>557</v>
      </c>
      <c r="F175" s="232" t="s">
        <v>558</v>
      </c>
      <c r="G175" s="232" t="s">
        <v>812</v>
      </c>
      <c r="K175" t="s">
        <v>2647</v>
      </c>
      <c r="L175" s="81">
        <f>+Municipios!AB176</f>
        <v>35.666454270105291</v>
      </c>
      <c r="M175" s="232">
        <v>19807</v>
      </c>
      <c r="N175" s="232" t="s">
        <v>811</v>
      </c>
      <c r="O175" s="232" t="s">
        <v>557</v>
      </c>
      <c r="P175" s="232" t="s">
        <v>558</v>
      </c>
      <c r="Q175" s="232" t="s">
        <v>812</v>
      </c>
      <c r="T175" t="s">
        <v>2803</v>
      </c>
      <c r="U175" s="25">
        <f>+Municipios!Z176</f>
        <v>58.156829608592631</v>
      </c>
      <c r="V175" s="232">
        <v>19807</v>
      </c>
      <c r="W175" s="232" t="s">
        <v>811</v>
      </c>
      <c r="X175" s="232" t="s">
        <v>557</v>
      </c>
      <c r="Y175" s="232" t="s">
        <v>558</v>
      </c>
      <c r="Z175" s="232" t="s">
        <v>812</v>
      </c>
    </row>
    <row r="176" spans="1:26">
      <c r="A176" t="s">
        <v>417</v>
      </c>
      <c r="B176" s="25">
        <f>+Municipios!Z177</f>
        <v>71.404128036630226</v>
      </c>
      <c r="C176" s="232">
        <v>76895</v>
      </c>
      <c r="D176" s="232" t="s">
        <v>813</v>
      </c>
      <c r="E176" s="232" t="s">
        <v>454</v>
      </c>
      <c r="F176" s="232" t="s">
        <v>455</v>
      </c>
      <c r="G176" s="232" t="s">
        <v>814</v>
      </c>
      <c r="K176" t="s">
        <v>2647</v>
      </c>
      <c r="L176" s="81">
        <f>+Municipios!AB177</f>
        <v>43.734201472004031</v>
      </c>
      <c r="M176" s="232">
        <v>76895</v>
      </c>
      <c r="N176" s="232" t="s">
        <v>813</v>
      </c>
      <c r="O176" s="232" t="s">
        <v>454</v>
      </c>
      <c r="P176" s="232" t="s">
        <v>455</v>
      </c>
      <c r="Q176" s="232" t="s">
        <v>814</v>
      </c>
      <c r="T176" t="s">
        <v>2803</v>
      </c>
      <c r="U176" s="25">
        <f>+Municipios!Z177</f>
        <v>71.404128036630226</v>
      </c>
      <c r="V176" s="232">
        <v>76895</v>
      </c>
      <c r="W176" s="232" t="s">
        <v>813</v>
      </c>
      <c r="X176" s="232" t="s">
        <v>454</v>
      </c>
      <c r="Y176" s="232" t="s">
        <v>455</v>
      </c>
      <c r="Z176" s="232" t="s">
        <v>814</v>
      </c>
    </row>
    <row r="177" spans="1:26">
      <c r="A177" t="s">
        <v>417</v>
      </c>
      <c r="B177" s="25">
        <f>+Municipios!Z178</f>
        <v>49.564092147330371</v>
      </c>
      <c r="C177" s="232">
        <v>52838</v>
      </c>
      <c r="D177" s="232" t="s">
        <v>815</v>
      </c>
      <c r="E177" s="232" t="s">
        <v>672</v>
      </c>
      <c r="F177" s="232" t="s">
        <v>673</v>
      </c>
      <c r="G177" s="232" t="s">
        <v>816</v>
      </c>
      <c r="K177" t="s">
        <v>2647</v>
      </c>
      <c r="L177" s="81">
        <f>+Municipios!AB178</f>
        <v>30.376017296209461</v>
      </c>
      <c r="M177" s="232">
        <v>52838</v>
      </c>
      <c r="N177" s="232" t="s">
        <v>815</v>
      </c>
      <c r="O177" s="232" t="s">
        <v>672</v>
      </c>
      <c r="P177" s="232" t="s">
        <v>673</v>
      </c>
      <c r="Q177" s="232" t="s">
        <v>816</v>
      </c>
      <c r="T177" t="s">
        <v>2803</v>
      </c>
      <c r="U177" s="25">
        <f>+Municipios!Z178</f>
        <v>49.564092147330371</v>
      </c>
      <c r="V177" s="232">
        <v>52838</v>
      </c>
      <c r="W177" s="232" t="s">
        <v>815</v>
      </c>
      <c r="X177" s="232" t="s">
        <v>672</v>
      </c>
      <c r="Y177" s="232" t="s">
        <v>673</v>
      </c>
      <c r="Z177" s="232" t="s">
        <v>816</v>
      </c>
    </row>
    <row r="178" spans="1:26">
      <c r="A178" t="s">
        <v>417</v>
      </c>
      <c r="B178" s="25">
        <f>+Municipios!Z179</f>
        <v>52.839131401985128</v>
      </c>
      <c r="C178" s="232">
        <v>70418</v>
      </c>
      <c r="D178" s="232" t="s">
        <v>817</v>
      </c>
      <c r="E178" s="232" t="s">
        <v>494</v>
      </c>
      <c r="F178" s="232" t="s">
        <v>495</v>
      </c>
      <c r="G178" s="232" t="s">
        <v>818</v>
      </c>
      <c r="K178" t="s">
        <v>2647</v>
      </c>
      <c r="L178" s="81">
        <f>+Municipios!AB179</f>
        <v>32.356302223612552</v>
      </c>
      <c r="M178" s="232">
        <v>70418</v>
      </c>
      <c r="N178" s="232" t="s">
        <v>817</v>
      </c>
      <c r="O178" s="232" t="s">
        <v>494</v>
      </c>
      <c r="P178" s="232" t="s">
        <v>495</v>
      </c>
      <c r="Q178" s="232" t="s">
        <v>818</v>
      </c>
      <c r="T178" t="s">
        <v>2803</v>
      </c>
      <c r="U178" s="25">
        <f>+Municipios!Z179</f>
        <v>52.839131401985128</v>
      </c>
      <c r="V178" s="232">
        <v>70418</v>
      </c>
      <c r="W178" s="232" t="s">
        <v>817</v>
      </c>
      <c r="X178" s="232" t="s">
        <v>494</v>
      </c>
      <c r="Y178" s="232" t="s">
        <v>495</v>
      </c>
      <c r="Z178" s="232" t="s">
        <v>818</v>
      </c>
    </row>
    <row r="179" spans="1:26">
      <c r="A179" t="s">
        <v>417</v>
      </c>
      <c r="B179" s="25">
        <f>+Municipios!Z180</f>
        <v>56.430611994279928</v>
      </c>
      <c r="C179" s="232">
        <v>8141</v>
      </c>
      <c r="D179" s="232" t="s">
        <v>819</v>
      </c>
      <c r="E179" s="232" t="s">
        <v>442</v>
      </c>
      <c r="F179" s="232" t="s">
        <v>443</v>
      </c>
      <c r="G179" s="232" t="s">
        <v>609</v>
      </c>
      <c r="K179" t="s">
        <v>2647</v>
      </c>
      <c r="L179" s="81">
        <f>+Municipios!AB180</f>
        <v>34.554614268720329</v>
      </c>
      <c r="M179" s="232">
        <v>8141</v>
      </c>
      <c r="N179" s="232" t="s">
        <v>819</v>
      </c>
      <c r="O179" s="232" t="s">
        <v>442</v>
      </c>
      <c r="P179" s="232" t="s">
        <v>443</v>
      </c>
      <c r="Q179" s="232" t="s">
        <v>609</v>
      </c>
      <c r="T179" t="s">
        <v>2803</v>
      </c>
      <c r="U179" s="25">
        <f>+Municipios!Z180</f>
        <v>56.430611994279928</v>
      </c>
      <c r="V179" s="232">
        <v>8141</v>
      </c>
      <c r="W179" s="232" t="s">
        <v>819</v>
      </c>
      <c r="X179" s="232" t="s">
        <v>442</v>
      </c>
      <c r="Y179" s="232" t="s">
        <v>443</v>
      </c>
      <c r="Z179" s="232" t="s">
        <v>609</v>
      </c>
    </row>
    <row r="180" spans="1:26">
      <c r="A180" t="s">
        <v>417</v>
      </c>
      <c r="B180" s="25">
        <f>+Municipios!Z181</f>
        <v>59.268005856768148</v>
      </c>
      <c r="C180" s="232">
        <v>68327</v>
      </c>
      <c r="D180" s="232" t="s">
        <v>820</v>
      </c>
      <c r="E180" s="232" t="s">
        <v>431</v>
      </c>
      <c r="F180" s="232" t="s">
        <v>432</v>
      </c>
      <c r="G180" s="232" t="s">
        <v>821</v>
      </c>
      <c r="K180" t="s">
        <v>2647</v>
      </c>
      <c r="L180" s="81">
        <f>+Municipios!AB181</f>
        <v>36.03818638513934</v>
      </c>
      <c r="M180" s="232">
        <v>68327</v>
      </c>
      <c r="N180" s="232" t="s">
        <v>820</v>
      </c>
      <c r="O180" s="232" t="s">
        <v>431</v>
      </c>
      <c r="P180" s="232" t="s">
        <v>432</v>
      </c>
      <c r="Q180" s="232" t="s">
        <v>821</v>
      </c>
      <c r="T180" t="s">
        <v>2803</v>
      </c>
      <c r="U180" s="25">
        <f>+Municipios!Z181</f>
        <v>59.268005856768148</v>
      </c>
      <c r="V180" s="232">
        <v>68327</v>
      </c>
      <c r="W180" s="232" t="s">
        <v>820</v>
      </c>
      <c r="X180" s="232" t="s">
        <v>431</v>
      </c>
      <c r="Y180" s="232" t="s">
        <v>432</v>
      </c>
      <c r="Z180" s="232" t="s">
        <v>821</v>
      </c>
    </row>
    <row r="181" spans="1:26">
      <c r="A181" t="s">
        <v>417</v>
      </c>
      <c r="B181" s="25">
        <f>+Municipios!Z182</f>
        <v>52.232264077886455</v>
      </c>
      <c r="C181" s="232">
        <v>76869</v>
      </c>
      <c r="D181" s="232" t="s">
        <v>822</v>
      </c>
      <c r="E181" s="232" t="s">
        <v>454</v>
      </c>
      <c r="F181" s="232" t="s">
        <v>455</v>
      </c>
      <c r="G181" s="232" t="s">
        <v>823</v>
      </c>
      <c r="K181" t="s">
        <v>2647</v>
      </c>
      <c r="L181" s="81">
        <f>+Municipios!AB182</f>
        <v>31.964047666908591</v>
      </c>
      <c r="M181" s="232">
        <v>76869</v>
      </c>
      <c r="N181" s="232" t="s">
        <v>822</v>
      </c>
      <c r="O181" s="232" t="s">
        <v>454</v>
      </c>
      <c r="P181" s="232" t="s">
        <v>455</v>
      </c>
      <c r="Q181" s="232" t="s">
        <v>823</v>
      </c>
      <c r="T181" t="s">
        <v>2803</v>
      </c>
      <c r="U181" s="25">
        <f>+Municipios!Z182</f>
        <v>52.232264077886455</v>
      </c>
      <c r="V181" s="232">
        <v>76869</v>
      </c>
      <c r="W181" s="232" t="s">
        <v>822</v>
      </c>
      <c r="X181" s="232" t="s">
        <v>454</v>
      </c>
      <c r="Y181" s="232" t="s">
        <v>455</v>
      </c>
      <c r="Z181" s="232" t="s">
        <v>823</v>
      </c>
    </row>
    <row r="182" spans="1:26">
      <c r="A182" t="s">
        <v>417</v>
      </c>
      <c r="B182" s="25">
        <f>+Municipios!Z183</f>
        <v>57.679729519479039</v>
      </c>
      <c r="C182" s="232">
        <v>23417</v>
      </c>
      <c r="D182" s="232" t="s">
        <v>824</v>
      </c>
      <c r="E182" s="232" t="s">
        <v>567</v>
      </c>
      <c r="F182" s="232" t="s">
        <v>568</v>
      </c>
      <c r="G182" s="232" t="s">
        <v>825</v>
      </c>
      <c r="K182" t="s">
        <v>2647</v>
      </c>
      <c r="L182" s="81">
        <f>+Municipios!AB183</f>
        <v>35.260565635849204</v>
      </c>
      <c r="M182" s="232">
        <v>23417</v>
      </c>
      <c r="N182" s="232" t="s">
        <v>824</v>
      </c>
      <c r="O182" s="232" t="s">
        <v>567</v>
      </c>
      <c r="P182" s="232" t="s">
        <v>568</v>
      </c>
      <c r="Q182" s="232" t="s">
        <v>825</v>
      </c>
      <c r="T182" t="s">
        <v>2803</v>
      </c>
      <c r="U182" s="25">
        <f>+Municipios!Z183</f>
        <v>57.679729519479039</v>
      </c>
      <c r="V182" s="232">
        <v>23417</v>
      </c>
      <c r="W182" s="232" t="s">
        <v>824</v>
      </c>
      <c r="X182" s="232" t="s">
        <v>567</v>
      </c>
      <c r="Y182" s="232" t="s">
        <v>568</v>
      </c>
      <c r="Z182" s="232" t="s">
        <v>825</v>
      </c>
    </row>
    <row r="183" spans="1:26">
      <c r="A183" t="s">
        <v>417</v>
      </c>
      <c r="B183" s="25">
        <f>+Municipios!Z184</f>
        <v>56.406618882548436</v>
      </c>
      <c r="C183" s="232">
        <v>23500</v>
      </c>
      <c r="D183" s="232" t="s">
        <v>826</v>
      </c>
      <c r="E183" s="232" t="s">
        <v>567</v>
      </c>
      <c r="F183" s="232" t="s">
        <v>568</v>
      </c>
      <c r="G183" s="232" t="s">
        <v>827</v>
      </c>
      <c r="K183" t="s">
        <v>2647</v>
      </c>
      <c r="L183" s="81">
        <f>+Municipios!AB184</f>
        <v>34.46998209563364</v>
      </c>
      <c r="M183" s="232">
        <v>23500</v>
      </c>
      <c r="N183" s="232" t="s">
        <v>826</v>
      </c>
      <c r="O183" s="232" t="s">
        <v>567</v>
      </c>
      <c r="P183" s="232" t="s">
        <v>568</v>
      </c>
      <c r="Q183" s="232" t="s">
        <v>827</v>
      </c>
      <c r="T183" t="s">
        <v>2803</v>
      </c>
      <c r="U183" s="25">
        <f>+Municipios!Z184</f>
        <v>56.406618882548436</v>
      </c>
      <c r="V183" s="232">
        <v>23500</v>
      </c>
      <c r="W183" s="232" t="s">
        <v>826</v>
      </c>
      <c r="X183" s="232" t="s">
        <v>567</v>
      </c>
      <c r="Y183" s="232" t="s">
        <v>568</v>
      </c>
      <c r="Z183" s="232" t="s">
        <v>827</v>
      </c>
    </row>
    <row r="184" spans="1:26">
      <c r="A184" t="s">
        <v>417</v>
      </c>
      <c r="B184" s="25">
        <f>+Municipios!Z185</f>
        <v>60.934122447118796</v>
      </c>
      <c r="C184" s="232">
        <v>5679</v>
      </c>
      <c r="D184" s="232" t="s">
        <v>828</v>
      </c>
      <c r="E184" s="232" t="s">
        <v>435</v>
      </c>
      <c r="F184" s="232" t="s">
        <v>436</v>
      </c>
      <c r="G184" s="232" t="s">
        <v>829</v>
      </c>
      <c r="K184" t="s">
        <v>2647</v>
      </c>
      <c r="L184" s="81">
        <f>+Municipios!AB185</f>
        <v>37.39910164606767</v>
      </c>
      <c r="M184" s="232">
        <v>5679</v>
      </c>
      <c r="N184" s="232" t="s">
        <v>828</v>
      </c>
      <c r="O184" s="232" t="s">
        <v>435</v>
      </c>
      <c r="P184" s="232" t="s">
        <v>436</v>
      </c>
      <c r="Q184" s="232" t="s">
        <v>829</v>
      </c>
      <c r="T184" t="s">
        <v>2803</v>
      </c>
      <c r="U184" s="25">
        <f>+Municipios!Z185</f>
        <v>60.934122447118796</v>
      </c>
      <c r="V184" s="232">
        <v>5679</v>
      </c>
      <c r="W184" s="232" t="s">
        <v>828</v>
      </c>
      <c r="X184" s="232" t="s">
        <v>435</v>
      </c>
      <c r="Y184" s="232" t="s">
        <v>436</v>
      </c>
      <c r="Z184" s="232" t="s">
        <v>829</v>
      </c>
    </row>
    <row r="185" spans="1:26">
      <c r="A185" t="s">
        <v>417</v>
      </c>
      <c r="B185" s="25">
        <f>+Municipios!Z186</f>
        <v>64.052318642592013</v>
      </c>
      <c r="C185" s="232">
        <v>5656</v>
      </c>
      <c r="D185" s="232" t="s">
        <v>830</v>
      </c>
      <c r="E185" s="232" t="s">
        <v>435</v>
      </c>
      <c r="F185" s="232" t="s">
        <v>436</v>
      </c>
      <c r="G185" s="232" t="s">
        <v>831</v>
      </c>
      <c r="K185" t="s">
        <v>2647</v>
      </c>
      <c r="L185" s="81">
        <f>+Municipios!AB186</f>
        <v>39.157762217666182</v>
      </c>
      <c r="M185" s="232">
        <v>5656</v>
      </c>
      <c r="N185" s="232" t="s">
        <v>830</v>
      </c>
      <c r="O185" s="232" t="s">
        <v>435</v>
      </c>
      <c r="P185" s="232" t="s">
        <v>436</v>
      </c>
      <c r="Q185" s="232" t="s">
        <v>831</v>
      </c>
      <c r="T185" t="s">
        <v>2803</v>
      </c>
      <c r="U185" s="25">
        <f>+Municipios!Z186</f>
        <v>64.052318642592013</v>
      </c>
      <c r="V185" s="232">
        <v>5656</v>
      </c>
      <c r="W185" s="232" t="s">
        <v>830</v>
      </c>
      <c r="X185" s="232" t="s">
        <v>435</v>
      </c>
      <c r="Y185" s="232" t="s">
        <v>436</v>
      </c>
      <c r="Z185" s="232" t="s">
        <v>831</v>
      </c>
    </row>
    <row r="186" spans="1:26">
      <c r="A186" t="s">
        <v>417</v>
      </c>
      <c r="B186" s="25">
        <f>+Municipios!Z187</f>
        <v>56.545355007634868</v>
      </c>
      <c r="C186" s="232">
        <v>5664</v>
      </c>
      <c r="D186" s="232" t="s">
        <v>832</v>
      </c>
      <c r="E186" s="232" t="s">
        <v>435</v>
      </c>
      <c r="F186" s="232" t="s">
        <v>436</v>
      </c>
      <c r="G186" s="232" t="s">
        <v>833</v>
      </c>
      <c r="K186" t="s">
        <v>2647</v>
      </c>
      <c r="L186" s="81">
        <f>+Municipios!AB187</f>
        <v>34.485695125100527</v>
      </c>
      <c r="M186" s="232">
        <v>5664</v>
      </c>
      <c r="N186" s="232" t="s">
        <v>832</v>
      </c>
      <c r="O186" s="232" t="s">
        <v>435</v>
      </c>
      <c r="P186" s="232" t="s">
        <v>436</v>
      </c>
      <c r="Q186" s="232" t="s">
        <v>833</v>
      </c>
      <c r="T186" t="s">
        <v>2803</v>
      </c>
      <c r="U186" s="25">
        <f>+Municipios!Z187</f>
        <v>56.545355007634868</v>
      </c>
      <c r="V186" s="232">
        <v>5664</v>
      </c>
      <c r="W186" s="232" t="s">
        <v>832</v>
      </c>
      <c r="X186" s="232" t="s">
        <v>435</v>
      </c>
      <c r="Y186" s="232" t="s">
        <v>436</v>
      </c>
      <c r="Z186" s="232" t="s">
        <v>833</v>
      </c>
    </row>
    <row r="187" spans="1:26">
      <c r="A187" t="s">
        <v>417</v>
      </c>
      <c r="B187" s="25">
        <f>+Municipios!Z188</f>
        <v>55.729026531637899</v>
      </c>
      <c r="C187" s="232">
        <v>66088</v>
      </c>
      <c r="D187" s="232" t="s">
        <v>834</v>
      </c>
      <c r="E187" s="232" t="s">
        <v>467</v>
      </c>
      <c r="F187" s="232" t="s">
        <v>468</v>
      </c>
      <c r="G187" s="232" t="s">
        <v>835</v>
      </c>
      <c r="K187" t="s">
        <v>2647</v>
      </c>
      <c r="L187" s="81">
        <f>+Municipios!AB188</f>
        <v>33.914338358063972</v>
      </c>
      <c r="M187" s="232">
        <v>66088</v>
      </c>
      <c r="N187" s="232" t="s">
        <v>834</v>
      </c>
      <c r="O187" s="232" t="s">
        <v>467</v>
      </c>
      <c r="P187" s="232" t="s">
        <v>468</v>
      </c>
      <c r="Q187" s="232" t="s">
        <v>835</v>
      </c>
      <c r="T187" t="s">
        <v>2803</v>
      </c>
      <c r="U187" s="25">
        <f>+Municipios!Z188</f>
        <v>55.729026531637899</v>
      </c>
      <c r="V187" s="232">
        <v>66088</v>
      </c>
      <c r="W187" s="232" t="s">
        <v>834</v>
      </c>
      <c r="X187" s="232" t="s">
        <v>467</v>
      </c>
      <c r="Y187" s="232" t="s">
        <v>468</v>
      </c>
      <c r="Z187" s="232" t="s">
        <v>835</v>
      </c>
    </row>
    <row r="188" spans="1:26">
      <c r="A188" t="s">
        <v>417</v>
      </c>
      <c r="B188" s="25">
        <f>+Municipios!Z189</f>
        <v>51.744358260156034</v>
      </c>
      <c r="C188" s="232">
        <v>76606</v>
      </c>
      <c r="D188" s="232" t="s">
        <v>836</v>
      </c>
      <c r="E188" s="232" t="s">
        <v>454</v>
      </c>
      <c r="F188" s="232" t="s">
        <v>455</v>
      </c>
      <c r="G188" s="232" t="s">
        <v>837</v>
      </c>
      <c r="K188" t="s">
        <v>2647</v>
      </c>
      <c r="L188" s="81">
        <f>+Municipios!AB189</f>
        <v>31.507392278427485</v>
      </c>
      <c r="M188" s="232">
        <v>76606</v>
      </c>
      <c r="N188" s="232" t="s">
        <v>836</v>
      </c>
      <c r="O188" s="232" t="s">
        <v>454</v>
      </c>
      <c r="P188" s="232" t="s">
        <v>455</v>
      </c>
      <c r="Q188" s="232" t="s">
        <v>837</v>
      </c>
      <c r="T188" t="s">
        <v>2803</v>
      </c>
      <c r="U188" s="25">
        <f>+Municipios!Z189</f>
        <v>51.744358260156034</v>
      </c>
      <c r="V188" s="232">
        <v>76606</v>
      </c>
      <c r="W188" s="232" t="s">
        <v>836</v>
      </c>
      <c r="X188" s="232" t="s">
        <v>454</v>
      </c>
      <c r="Y188" s="232" t="s">
        <v>455</v>
      </c>
      <c r="Z188" s="232" t="s">
        <v>837</v>
      </c>
    </row>
    <row r="189" spans="1:26">
      <c r="A189" t="s">
        <v>417</v>
      </c>
      <c r="B189" s="25">
        <f>+Municipios!Z190</f>
        <v>51.879712537137394</v>
      </c>
      <c r="C189" s="232">
        <v>23686</v>
      </c>
      <c r="D189" s="232" t="s">
        <v>838</v>
      </c>
      <c r="E189" s="232" t="s">
        <v>567</v>
      </c>
      <c r="F189" s="232" t="s">
        <v>568</v>
      </c>
      <c r="G189" s="232" t="s">
        <v>839</v>
      </c>
      <c r="K189" t="s">
        <v>2647</v>
      </c>
      <c r="L189" s="81">
        <f>+Municipios!AB190</f>
        <v>31.551790085670859</v>
      </c>
      <c r="M189" s="232">
        <v>23686</v>
      </c>
      <c r="N189" s="232" t="s">
        <v>838</v>
      </c>
      <c r="O189" s="232" t="s">
        <v>567</v>
      </c>
      <c r="P189" s="232" t="s">
        <v>568</v>
      </c>
      <c r="Q189" s="232" t="s">
        <v>839</v>
      </c>
      <c r="T189" t="s">
        <v>2803</v>
      </c>
      <c r="U189" s="25">
        <f>+Municipios!Z190</f>
        <v>51.879712537137394</v>
      </c>
      <c r="V189" s="232">
        <v>23686</v>
      </c>
      <c r="W189" s="232" t="s">
        <v>838</v>
      </c>
      <c r="X189" s="232" t="s">
        <v>567</v>
      </c>
      <c r="Y189" s="232" t="s">
        <v>568</v>
      </c>
      <c r="Z189" s="232" t="s">
        <v>839</v>
      </c>
    </row>
    <row r="190" spans="1:26">
      <c r="A190" t="s">
        <v>417</v>
      </c>
      <c r="B190" s="25">
        <f>+Municipios!Z191</f>
        <v>69.220110945465379</v>
      </c>
      <c r="C190" s="232">
        <v>25035</v>
      </c>
      <c r="D190" s="232" t="s">
        <v>840</v>
      </c>
      <c r="E190" s="232" t="s">
        <v>461</v>
      </c>
      <c r="F190" s="232" t="s">
        <v>462</v>
      </c>
      <c r="G190" s="232" t="s">
        <v>841</v>
      </c>
      <c r="K190" t="s">
        <v>2647</v>
      </c>
      <c r="L190" s="81">
        <f>+Municipios!AB191</f>
        <v>42.145960272174754</v>
      </c>
      <c r="M190" s="232">
        <v>25035</v>
      </c>
      <c r="N190" s="232" t="s">
        <v>840</v>
      </c>
      <c r="O190" s="232" t="s">
        <v>461</v>
      </c>
      <c r="P190" s="232" t="s">
        <v>462</v>
      </c>
      <c r="Q190" s="232" t="s">
        <v>841</v>
      </c>
      <c r="T190" t="s">
        <v>2803</v>
      </c>
      <c r="U190" s="25">
        <f>+Municipios!Z191</f>
        <v>69.220110945465379</v>
      </c>
      <c r="V190" s="232">
        <v>25035</v>
      </c>
      <c r="W190" s="232" t="s">
        <v>840</v>
      </c>
      <c r="X190" s="232" t="s">
        <v>461</v>
      </c>
      <c r="Y190" s="232" t="s">
        <v>462</v>
      </c>
      <c r="Z190" s="232" t="s">
        <v>841</v>
      </c>
    </row>
    <row r="191" spans="1:26">
      <c r="A191" t="s">
        <v>417</v>
      </c>
      <c r="B191" s="25">
        <f>+Municipios!Z192</f>
        <v>58.038596087808635</v>
      </c>
      <c r="C191" s="232">
        <v>25745</v>
      </c>
      <c r="D191" s="232" t="s">
        <v>842</v>
      </c>
      <c r="E191" s="232" t="s">
        <v>461</v>
      </c>
      <c r="F191" s="232" t="s">
        <v>462</v>
      </c>
      <c r="G191" s="232" t="s">
        <v>843</v>
      </c>
      <c r="K191" t="s">
        <v>2647</v>
      </c>
      <c r="L191" s="81">
        <f>+Municipios!AB192</f>
        <v>35.10078369426909</v>
      </c>
      <c r="M191" s="232">
        <v>25745</v>
      </c>
      <c r="N191" s="232" t="s">
        <v>842</v>
      </c>
      <c r="O191" s="232" t="s">
        <v>461</v>
      </c>
      <c r="P191" s="232" t="s">
        <v>462</v>
      </c>
      <c r="Q191" s="232" t="s">
        <v>843</v>
      </c>
      <c r="T191" t="s">
        <v>2803</v>
      </c>
      <c r="U191" s="25">
        <f>+Municipios!Z192</f>
        <v>58.038596087808635</v>
      </c>
      <c r="V191" s="232">
        <v>25745</v>
      </c>
      <c r="W191" s="232" t="s">
        <v>842</v>
      </c>
      <c r="X191" s="232" t="s">
        <v>461</v>
      </c>
      <c r="Y191" s="232" t="s">
        <v>462</v>
      </c>
      <c r="Z191" s="232" t="s">
        <v>843</v>
      </c>
    </row>
    <row r="192" spans="1:26">
      <c r="A192" t="s">
        <v>417</v>
      </c>
      <c r="B192" s="25">
        <f>+Municipios!Z193</f>
        <v>56.750207100884026</v>
      </c>
      <c r="C192" s="232">
        <v>5674</v>
      </c>
      <c r="D192" s="232" t="s">
        <v>844</v>
      </c>
      <c r="E192" s="232" t="s">
        <v>435</v>
      </c>
      <c r="F192" s="232" t="s">
        <v>436</v>
      </c>
      <c r="G192" s="232" t="s">
        <v>845</v>
      </c>
      <c r="K192" t="s">
        <v>2647</v>
      </c>
      <c r="L192" s="81">
        <f>+Municipios!AB193</f>
        <v>34.622753006162718</v>
      </c>
      <c r="M192" s="232">
        <v>5674</v>
      </c>
      <c r="N192" s="232" t="s">
        <v>844</v>
      </c>
      <c r="O192" s="232" t="s">
        <v>435</v>
      </c>
      <c r="P192" s="232" t="s">
        <v>436</v>
      </c>
      <c r="Q192" s="232" t="s">
        <v>845</v>
      </c>
      <c r="T192" t="s">
        <v>2803</v>
      </c>
      <c r="U192" s="25">
        <f>+Municipios!Z193</f>
        <v>56.750207100884026</v>
      </c>
      <c r="V192" s="232">
        <v>5674</v>
      </c>
      <c r="W192" s="232" t="s">
        <v>844</v>
      </c>
      <c r="X192" s="232" t="s">
        <v>435</v>
      </c>
      <c r="Y192" s="232" t="s">
        <v>436</v>
      </c>
      <c r="Z192" s="232" t="s">
        <v>845</v>
      </c>
    </row>
    <row r="193" spans="1:26">
      <c r="A193" t="s">
        <v>417</v>
      </c>
      <c r="B193" s="25">
        <f>+Municipios!Z194</f>
        <v>49.813244750500616</v>
      </c>
      <c r="C193" s="232">
        <v>52683</v>
      </c>
      <c r="D193" s="232" t="s">
        <v>846</v>
      </c>
      <c r="E193" s="232" t="s">
        <v>672</v>
      </c>
      <c r="F193" s="232" t="s">
        <v>673</v>
      </c>
      <c r="G193" s="232" t="s">
        <v>847</v>
      </c>
      <c r="K193" t="s">
        <v>2647</v>
      </c>
      <c r="L193" s="81">
        <f>+Municipios!AB194</f>
        <v>30.181993232149722</v>
      </c>
      <c r="M193" s="232">
        <v>52683</v>
      </c>
      <c r="N193" s="232" t="s">
        <v>846</v>
      </c>
      <c r="O193" s="232" t="s">
        <v>672</v>
      </c>
      <c r="P193" s="232" t="s">
        <v>673</v>
      </c>
      <c r="Q193" s="232" t="s">
        <v>847</v>
      </c>
      <c r="T193" t="s">
        <v>2803</v>
      </c>
      <c r="U193" s="25">
        <f>+Municipios!Z194</f>
        <v>49.813244750500616</v>
      </c>
      <c r="V193" s="232">
        <v>52683</v>
      </c>
      <c r="W193" s="232" t="s">
        <v>846</v>
      </c>
      <c r="X193" s="232" t="s">
        <v>672</v>
      </c>
      <c r="Y193" s="232" t="s">
        <v>673</v>
      </c>
      <c r="Z193" s="232" t="s">
        <v>847</v>
      </c>
    </row>
    <row r="194" spans="1:26">
      <c r="A194" t="s">
        <v>417</v>
      </c>
      <c r="B194" s="25">
        <f>+Municipios!Z195</f>
        <v>56.023180857250523</v>
      </c>
      <c r="C194" s="232">
        <v>13430</v>
      </c>
      <c r="D194" s="232" t="s">
        <v>848</v>
      </c>
      <c r="E194" s="232" t="s">
        <v>480</v>
      </c>
      <c r="F194" s="232" t="s">
        <v>481</v>
      </c>
      <c r="G194" s="232" t="s">
        <v>849</v>
      </c>
      <c r="K194" t="s">
        <v>2647</v>
      </c>
      <c r="L194" s="81">
        <f>+Municipios!AB195</f>
        <v>33.92750353908513</v>
      </c>
      <c r="M194" s="232">
        <v>13430</v>
      </c>
      <c r="N194" s="232" t="s">
        <v>848</v>
      </c>
      <c r="O194" s="232" t="s">
        <v>480</v>
      </c>
      <c r="P194" s="232" t="s">
        <v>481</v>
      </c>
      <c r="Q194" s="232" t="s">
        <v>849</v>
      </c>
      <c r="T194" t="s">
        <v>2803</v>
      </c>
      <c r="U194" s="25">
        <f>+Municipios!Z195</f>
        <v>56.023180857250523</v>
      </c>
      <c r="V194" s="232">
        <v>13430</v>
      </c>
      <c r="W194" s="232" t="s">
        <v>848</v>
      </c>
      <c r="X194" s="232" t="s">
        <v>480</v>
      </c>
      <c r="Y194" s="232" t="s">
        <v>481</v>
      </c>
      <c r="Z194" s="232" t="s">
        <v>849</v>
      </c>
    </row>
    <row r="195" spans="1:26">
      <c r="A195" t="s">
        <v>417</v>
      </c>
      <c r="B195" s="25">
        <f>+Municipios!Z196</f>
        <v>52.480195705135884</v>
      </c>
      <c r="C195" s="232">
        <v>47189</v>
      </c>
      <c r="D195" s="232" t="s">
        <v>850</v>
      </c>
      <c r="E195" s="232" t="s">
        <v>638</v>
      </c>
      <c r="F195" s="232" t="s">
        <v>639</v>
      </c>
      <c r="G195" s="232" t="s">
        <v>851</v>
      </c>
      <c r="K195" t="s">
        <v>2647</v>
      </c>
      <c r="L195" s="81">
        <f>+Municipios!AB196</f>
        <v>31.770753041739525</v>
      </c>
      <c r="M195" s="232">
        <v>47189</v>
      </c>
      <c r="N195" s="232" t="s">
        <v>850</v>
      </c>
      <c r="O195" s="232" t="s">
        <v>638</v>
      </c>
      <c r="P195" s="232" t="s">
        <v>639</v>
      </c>
      <c r="Q195" s="232" t="s">
        <v>851</v>
      </c>
      <c r="T195" t="s">
        <v>2803</v>
      </c>
      <c r="U195" s="25">
        <f>+Municipios!Z196</f>
        <v>52.480195705135884</v>
      </c>
      <c r="V195" s="232">
        <v>47189</v>
      </c>
      <c r="W195" s="232" t="s">
        <v>850</v>
      </c>
      <c r="X195" s="232" t="s">
        <v>638</v>
      </c>
      <c r="Y195" s="232" t="s">
        <v>639</v>
      </c>
      <c r="Z195" s="232" t="s">
        <v>851</v>
      </c>
    </row>
    <row r="196" spans="1:26">
      <c r="A196" t="s">
        <v>417</v>
      </c>
      <c r="B196" s="25">
        <f>+Municipios!Z197</f>
        <v>61.996987506519993</v>
      </c>
      <c r="C196" s="232">
        <v>63272</v>
      </c>
      <c r="D196" s="232" t="s">
        <v>852</v>
      </c>
      <c r="E196" s="232" t="s">
        <v>473</v>
      </c>
      <c r="F196" s="232" t="s">
        <v>474</v>
      </c>
      <c r="G196" s="232" t="s">
        <v>853</v>
      </c>
      <c r="K196" t="s">
        <v>2647</v>
      </c>
      <c r="L196" s="81">
        <f>+Municipios!AB197</f>
        <v>37.467935158546652</v>
      </c>
      <c r="M196" s="232">
        <v>63272</v>
      </c>
      <c r="N196" s="232" t="s">
        <v>852</v>
      </c>
      <c r="O196" s="232" t="s">
        <v>473</v>
      </c>
      <c r="P196" s="232" t="s">
        <v>474</v>
      </c>
      <c r="Q196" s="232" t="s">
        <v>853</v>
      </c>
      <c r="T196" t="s">
        <v>2803</v>
      </c>
      <c r="U196" s="25">
        <f>+Municipios!Z197</f>
        <v>61.996987506519993</v>
      </c>
      <c r="V196" s="232">
        <v>63272</v>
      </c>
      <c r="W196" s="232" t="s">
        <v>852</v>
      </c>
      <c r="X196" s="232" t="s">
        <v>473</v>
      </c>
      <c r="Y196" s="232" t="s">
        <v>474</v>
      </c>
      <c r="Z196" s="232" t="s">
        <v>853</v>
      </c>
    </row>
    <row r="197" spans="1:26">
      <c r="A197" t="s">
        <v>417</v>
      </c>
      <c r="B197" s="25">
        <f>+Municipios!Z198</f>
        <v>65.872250530517277</v>
      </c>
      <c r="C197" s="232">
        <v>17614</v>
      </c>
      <c r="D197" s="232" t="s">
        <v>854</v>
      </c>
      <c r="E197" s="232" t="s">
        <v>506</v>
      </c>
      <c r="F197" s="232" t="s">
        <v>507</v>
      </c>
      <c r="G197" s="232" t="s">
        <v>855</v>
      </c>
      <c r="K197" t="s">
        <v>2647</v>
      </c>
      <c r="L197" s="81">
        <f>+Municipios!AB198</f>
        <v>39.85322481706767</v>
      </c>
      <c r="M197" s="232">
        <v>17614</v>
      </c>
      <c r="N197" s="232" t="s">
        <v>854</v>
      </c>
      <c r="O197" s="232" t="s">
        <v>506</v>
      </c>
      <c r="P197" s="232" t="s">
        <v>507</v>
      </c>
      <c r="Q197" s="232" t="s">
        <v>855</v>
      </c>
      <c r="T197" t="s">
        <v>2803</v>
      </c>
      <c r="U197" s="25">
        <f>+Municipios!Z198</f>
        <v>65.872250530517277</v>
      </c>
      <c r="V197" s="232">
        <v>17614</v>
      </c>
      <c r="W197" s="232" t="s">
        <v>854</v>
      </c>
      <c r="X197" s="232" t="s">
        <v>506</v>
      </c>
      <c r="Y197" s="232" t="s">
        <v>507</v>
      </c>
      <c r="Z197" s="232" t="s">
        <v>855</v>
      </c>
    </row>
    <row r="198" spans="1:26">
      <c r="A198" t="s">
        <v>417</v>
      </c>
      <c r="B198" s="25">
        <f>+Municipios!Z199</f>
        <v>58.881502647127263</v>
      </c>
      <c r="C198" s="232">
        <v>17616</v>
      </c>
      <c r="D198" s="232" t="s">
        <v>856</v>
      </c>
      <c r="E198" s="232" t="s">
        <v>506</v>
      </c>
      <c r="F198" s="232" t="s">
        <v>507</v>
      </c>
      <c r="G198" s="232" t="s">
        <v>468</v>
      </c>
      <c r="K198" t="s">
        <v>2647</v>
      </c>
      <c r="L198" s="81">
        <f>+Municipios!AB199</f>
        <v>35.473157907661594</v>
      </c>
      <c r="M198" s="232">
        <v>17616</v>
      </c>
      <c r="N198" s="232" t="s">
        <v>856</v>
      </c>
      <c r="O198" s="232" t="s">
        <v>506</v>
      </c>
      <c r="P198" s="232" t="s">
        <v>507</v>
      </c>
      <c r="Q198" s="232" t="s">
        <v>468</v>
      </c>
      <c r="T198" t="s">
        <v>2803</v>
      </c>
      <c r="U198" s="25">
        <f>+Municipios!Z199</f>
        <v>58.881502647127263</v>
      </c>
      <c r="V198" s="232">
        <v>17616</v>
      </c>
      <c r="W198" s="232" t="s">
        <v>856</v>
      </c>
      <c r="X198" s="232" t="s">
        <v>506</v>
      </c>
      <c r="Y198" s="232" t="s">
        <v>507</v>
      </c>
      <c r="Z198" s="232" t="s">
        <v>468</v>
      </c>
    </row>
    <row r="199" spans="1:26">
      <c r="A199" t="s">
        <v>417</v>
      </c>
      <c r="B199" s="25">
        <f>+Municipios!Z200</f>
        <v>60.428309309606846</v>
      </c>
      <c r="C199" s="232">
        <v>23675</v>
      </c>
      <c r="D199" s="232" t="s">
        <v>857</v>
      </c>
      <c r="E199" s="232" t="s">
        <v>567</v>
      </c>
      <c r="F199" s="232" t="s">
        <v>568</v>
      </c>
      <c r="G199" s="232" t="s">
        <v>858</v>
      </c>
      <c r="K199" t="s">
        <v>2647</v>
      </c>
      <c r="L199" s="81">
        <f>+Municipios!AB200</f>
        <v>36.428083270786914</v>
      </c>
      <c r="M199" s="232">
        <v>23675</v>
      </c>
      <c r="N199" s="232" t="s">
        <v>857</v>
      </c>
      <c r="O199" s="232" t="s">
        <v>567</v>
      </c>
      <c r="P199" s="232" t="s">
        <v>568</v>
      </c>
      <c r="Q199" s="232" t="s">
        <v>858</v>
      </c>
      <c r="T199" t="s">
        <v>2803</v>
      </c>
      <c r="U199" s="25">
        <f>+Municipios!Z200</f>
        <v>60.428309309606846</v>
      </c>
      <c r="V199" s="232">
        <v>23675</v>
      </c>
      <c r="W199" s="232" t="s">
        <v>857</v>
      </c>
      <c r="X199" s="232" t="s">
        <v>567</v>
      </c>
      <c r="Y199" s="232" t="s">
        <v>568</v>
      </c>
      <c r="Z199" s="232" t="s">
        <v>858</v>
      </c>
    </row>
    <row r="200" spans="1:26">
      <c r="A200" t="s">
        <v>417</v>
      </c>
      <c r="B200" s="25">
        <f>+Municipios!Z201</f>
        <v>64.388971991268775</v>
      </c>
      <c r="C200" s="232">
        <v>70820</v>
      </c>
      <c r="D200" s="232" t="s">
        <v>859</v>
      </c>
      <c r="E200" s="232" t="s">
        <v>494</v>
      </c>
      <c r="F200" s="232" t="s">
        <v>495</v>
      </c>
      <c r="G200" s="232" t="s">
        <v>860</v>
      </c>
      <c r="K200" t="s">
        <v>2647</v>
      </c>
      <c r="L200" s="81">
        <f>+Municipios!AB201</f>
        <v>38.790644728037783</v>
      </c>
      <c r="M200" s="232">
        <v>70820</v>
      </c>
      <c r="N200" s="232" t="s">
        <v>859</v>
      </c>
      <c r="O200" s="232" t="s">
        <v>494</v>
      </c>
      <c r="P200" s="232" t="s">
        <v>495</v>
      </c>
      <c r="Q200" s="232" t="s">
        <v>860</v>
      </c>
      <c r="T200" t="s">
        <v>2803</v>
      </c>
      <c r="U200" s="25">
        <f>+Municipios!Z201</f>
        <v>64.388971991268775</v>
      </c>
      <c r="V200" s="232">
        <v>70820</v>
      </c>
      <c r="W200" s="232" t="s">
        <v>859</v>
      </c>
      <c r="X200" s="232" t="s">
        <v>494</v>
      </c>
      <c r="Y200" s="232" t="s">
        <v>495</v>
      </c>
      <c r="Z200" s="232" t="s">
        <v>860</v>
      </c>
    </row>
    <row r="201" spans="1:26">
      <c r="A201" t="s">
        <v>417</v>
      </c>
      <c r="B201" s="25">
        <f>+Municipios!Z202</f>
        <v>66.696920405447045</v>
      </c>
      <c r="C201" s="232">
        <v>25612</v>
      </c>
      <c r="D201" s="232" t="s">
        <v>861</v>
      </c>
      <c r="E201" s="232" t="s">
        <v>461</v>
      </c>
      <c r="F201" s="232" t="s">
        <v>462</v>
      </c>
      <c r="G201" s="232" t="s">
        <v>862</v>
      </c>
      <c r="K201" t="s">
        <v>2647</v>
      </c>
      <c r="L201" s="81">
        <f>+Municipios!AB202</f>
        <v>40.175997753634533</v>
      </c>
      <c r="M201" s="232">
        <v>25612</v>
      </c>
      <c r="N201" s="232" t="s">
        <v>861</v>
      </c>
      <c r="O201" s="232" t="s">
        <v>461</v>
      </c>
      <c r="P201" s="232" t="s">
        <v>462</v>
      </c>
      <c r="Q201" s="232" t="s">
        <v>862</v>
      </c>
      <c r="T201" t="s">
        <v>2803</v>
      </c>
      <c r="U201" s="25">
        <f>+Municipios!Z202</f>
        <v>66.696920405447045</v>
      </c>
      <c r="V201" s="232">
        <v>25612</v>
      </c>
      <c r="W201" s="232" t="s">
        <v>861</v>
      </c>
      <c r="X201" s="232" t="s">
        <v>461</v>
      </c>
      <c r="Y201" s="232" t="s">
        <v>462</v>
      </c>
      <c r="Z201" s="232" t="s">
        <v>862</v>
      </c>
    </row>
    <row r="202" spans="1:26">
      <c r="A202" t="s">
        <v>417</v>
      </c>
      <c r="B202" s="25">
        <f>+Municipios!Z203</f>
        <v>59.318350734558813</v>
      </c>
      <c r="C202" s="232">
        <v>25040</v>
      </c>
      <c r="D202" s="232" t="s">
        <v>863</v>
      </c>
      <c r="E202" s="232" t="s">
        <v>461</v>
      </c>
      <c r="F202" s="232" t="s">
        <v>462</v>
      </c>
      <c r="G202" s="232" t="s">
        <v>864</v>
      </c>
      <c r="K202" t="s">
        <v>2647</v>
      </c>
      <c r="L202" s="81">
        <f>+Municipios!AB203</f>
        <v>35.728488679677341</v>
      </c>
      <c r="M202" s="232">
        <v>25040</v>
      </c>
      <c r="N202" s="232" t="s">
        <v>863</v>
      </c>
      <c r="O202" s="232" t="s">
        <v>461</v>
      </c>
      <c r="P202" s="232" t="s">
        <v>462</v>
      </c>
      <c r="Q202" s="232" t="s">
        <v>864</v>
      </c>
      <c r="T202" t="s">
        <v>2803</v>
      </c>
      <c r="U202" s="25">
        <f>+Municipios!Z203</f>
        <v>59.318350734558813</v>
      </c>
      <c r="V202" s="232">
        <v>25040</v>
      </c>
      <c r="W202" s="232" t="s">
        <v>863</v>
      </c>
      <c r="X202" s="232" t="s">
        <v>461</v>
      </c>
      <c r="Y202" s="232" t="s">
        <v>462</v>
      </c>
      <c r="Z202" s="232" t="s">
        <v>864</v>
      </c>
    </row>
    <row r="203" spans="1:26">
      <c r="A203" t="s">
        <v>417</v>
      </c>
      <c r="B203" s="25">
        <f>+Municipios!Z204</f>
        <v>57.068542831667955</v>
      </c>
      <c r="C203" s="232">
        <v>66440</v>
      </c>
      <c r="D203" s="232" t="s">
        <v>865</v>
      </c>
      <c r="E203" s="232" t="s">
        <v>467</v>
      </c>
      <c r="F203" s="232" t="s">
        <v>468</v>
      </c>
      <c r="G203" s="232" t="s">
        <v>866</v>
      </c>
      <c r="K203" t="s">
        <v>2647</v>
      </c>
      <c r="L203" s="81">
        <f>+Municipios!AB204</f>
        <v>34.354132926847193</v>
      </c>
      <c r="M203" s="232">
        <v>66440</v>
      </c>
      <c r="N203" s="232" t="s">
        <v>865</v>
      </c>
      <c r="O203" s="232" t="s">
        <v>467</v>
      </c>
      <c r="P203" s="232" t="s">
        <v>468</v>
      </c>
      <c r="Q203" s="232" t="s">
        <v>866</v>
      </c>
      <c r="T203" t="s">
        <v>2803</v>
      </c>
      <c r="U203" s="25">
        <f>+Municipios!Z204</f>
        <v>57.068542831667955</v>
      </c>
      <c r="V203" s="232">
        <v>66440</v>
      </c>
      <c r="W203" s="232" t="s">
        <v>865</v>
      </c>
      <c r="X203" s="232" t="s">
        <v>467</v>
      </c>
      <c r="Y203" s="232" t="s">
        <v>468</v>
      </c>
      <c r="Z203" s="232" t="s">
        <v>866</v>
      </c>
    </row>
    <row r="204" spans="1:26">
      <c r="A204" t="s">
        <v>417</v>
      </c>
      <c r="B204" s="25">
        <f>+Municipios!Z205</f>
        <v>63.125829573850453</v>
      </c>
      <c r="C204" s="232">
        <v>76670</v>
      </c>
      <c r="D204" s="232" t="s">
        <v>867</v>
      </c>
      <c r="E204" s="232" t="s">
        <v>454</v>
      </c>
      <c r="F204" s="232" t="s">
        <v>455</v>
      </c>
      <c r="G204" s="232" t="s">
        <v>868</v>
      </c>
      <c r="K204" t="s">
        <v>2647</v>
      </c>
      <c r="L204" s="81">
        <f>+Municipios!AB205</f>
        <v>37.947390532777931</v>
      </c>
      <c r="M204" s="232">
        <v>76670</v>
      </c>
      <c r="N204" s="232" t="s">
        <v>867</v>
      </c>
      <c r="O204" s="232" t="s">
        <v>454</v>
      </c>
      <c r="P204" s="232" t="s">
        <v>455</v>
      </c>
      <c r="Q204" s="232" t="s">
        <v>868</v>
      </c>
      <c r="T204" t="s">
        <v>2803</v>
      </c>
      <c r="U204" s="25">
        <f>+Municipios!Z205</f>
        <v>63.125829573850453</v>
      </c>
      <c r="V204" s="232">
        <v>76670</v>
      </c>
      <c r="W204" s="232" t="s">
        <v>867</v>
      </c>
      <c r="X204" s="232" t="s">
        <v>454</v>
      </c>
      <c r="Y204" s="232" t="s">
        <v>455</v>
      </c>
      <c r="Z204" s="232" t="s">
        <v>868</v>
      </c>
    </row>
    <row r="205" spans="1:26">
      <c r="A205" t="s">
        <v>417</v>
      </c>
      <c r="B205" s="25">
        <f>+Municipios!Z206</f>
        <v>41.852089626679899</v>
      </c>
      <c r="C205" s="232">
        <v>13760</v>
      </c>
      <c r="D205" s="232" t="s">
        <v>869</v>
      </c>
      <c r="E205" s="232" t="s">
        <v>480</v>
      </c>
      <c r="F205" s="232" t="s">
        <v>481</v>
      </c>
      <c r="G205" s="232" t="s">
        <v>870</v>
      </c>
      <c r="K205" t="s">
        <v>2647</v>
      </c>
      <c r="L205" s="81">
        <f>+Municipios!AB206</f>
        <v>25.189693308070524</v>
      </c>
      <c r="M205" s="232">
        <v>13760</v>
      </c>
      <c r="N205" s="232" t="s">
        <v>869</v>
      </c>
      <c r="O205" s="232" t="s">
        <v>480</v>
      </c>
      <c r="P205" s="232" t="s">
        <v>481</v>
      </c>
      <c r="Q205" s="232" t="s">
        <v>870</v>
      </c>
      <c r="T205" t="s">
        <v>2803</v>
      </c>
      <c r="U205" s="25">
        <f>+Municipios!Z206</f>
        <v>41.852089626679899</v>
      </c>
      <c r="V205" s="232">
        <v>13760</v>
      </c>
      <c r="W205" s="232" t="s">
        <v>869</v>
      </c>
      <c r="X205" s="232" t="s">
        <v>480</v>
      </c>
      <c r="Y205" s="232" t="s">
        <v>481</v>
      </c>
      <c r="Z205" s="232" t="s">
        <v>870</v>
      </c>
    </row>
    <row r="206" spans="1:26">
      <c r="A206" t="s">
        <v>417</v>
      </c>
      <c r="B206" s="25">
        <f>+Municipios!Z207</f>
        <v>60.135696391892466</v>
      </c>
      <c r="C206" s="232">
        <v>17877</v>
      </c>
      <c r="D206" s="232" t="s">
        <v>871</v>
      </c>
      <c r="E206" s="232" t="s">
        <v>506</v>
      </c>
      <c r="F206" s="232" t="s">
        <v>507</v>
      </c>
      <c r="G206" s="232" t="s">
        <v>872</v>
      </c>
      <c r="K206" t="s">
        <v>2647</v>
      </c>
      <c r="L206" s="81">
        <f>+Municipios!AB207</f>
        <v>36.155486355181111</v>
      </c>
      <c r="M206" s="232">
        <v>17877</v>
      </c>
      <c r="N206" s="232" t="s">
        <v>871</v>
      </c>
      <c r="O206" s="232" t="s">
        <v>506</v>
      </c>
      <c r="P206" s="232" t="s">
        <v>507</v>
      </c>
      <c r="Q206" s="232" t="s">
        <v>872</v>
      </c>
      <c r="T206" t="s">
        <v>2803</v>
      </c>
      <c r="U206" s="25">
        <f>+Municipios!Z207</f>
        <v>60.135696391892466</v>
      </c>
      <c r="V206" s="232">
        <v>17877</v>
      </c>
      <c r="W206" s="232" t="s">
        <v>871</v>
      </c>
      <c r="X206" s="232" t="s">
        <v>506</v>
      </c>
      <c r="Y206" s="232" t="s">
        <v>507</v>
      </c>
      <c r="Z206" s="232" t="s">
        <v>872</v>
      </c>
    </row>
    <row r="207" spans="1:26">
      <c r="A207" t="s">
        <v>417</v>
      </c>
      <c r="B207" s="25">
        <f>+Municipios!Z208</f>
        <v>59.068691498058421</v>
      </c>
      <c r="C207" s="232">
        <v>5237</v>
      </c>
      <c r="D207" s="232" t="s">
        <v>873</v>
      </c>
      <c r="E207" s="232" t="s">
        <v>435</v>
      </c>
      <c r="F207" s="232" t="s">
        <v>436</v>
      </c>
      <c r="G207" s="232" t="s">
        <v>874</v>
      </c>
      <c r="K207" t="s">
        <v>2647</v>
      </c>
      <c r="L207" s="81">
        <f>+Municipios!AB208</f>
        <v>35.945189974759344</v>
      </c>
      <c r="M207" s="232">
        <v>5237</v>
      </c>
      <c r="N207" s="232" t="s">
        <v>873</v>
      </c>
      <c r="O207" s="232" t="s">
        <v>435</v>
      </c>
      <c r="P207" s="232" t="s">
        <v>436</v>
      </c>
      <c r="Q207" s="232" t="s">
        <v>874</v>
      </c>
      <c r="T207" t="s">
        <v>2803</v>
      </c>
      <c r="U207" s="25">
        <f>+Municipios!Z208</f>
        <v>59.068691498058421</v>
      </c>
      <c r="V207" s="232">
        <v>5237</v>
      </c>
      <c r="W207" s="232" t="s">
        <v>873</v>
      </c>
      <c r="X207" s="232" t="s">
        <v>435</v>
      </c>
      <c r="Y207" s="232" t="s">
        <v>436</v>
      </c>
      <c r="Z207" s="232" t="s">
        <v>874</v>
      </c>
    </row>
    <row r="208" spans="1:26">
      <c r="A208" t="s">
        <v>417</v>
      </c>
      <c r="B208" s="25">
        <f>+Municipios!Z209</f>
        <v>68.492010852003972</v>
      </c>
      <c r="C208" s="232">
        <v>25402</v>
      </c>
      <c r="D208" s="232" t="s">
        <v>875</v>
      </c>
      <c r="E208" s="232" t="s">
        <v>461</v>
      </c>
      <c r="F208" s="232" t="s">
        <v>462</v>
      </c>
      <c r="G208" s="232" t="s">
        <v>876</v>
      </c>
      <c r="K208" t="s">
        <v>2647</v>
      </c>
      <c r="L208" s="81">
        <f>+Municipios!AB209</f>
        <v>40.897328725706402</v>
      </c>
      <c r="M208" s="232">
        <v>25402</v>
      </c>
      <c r="N208" s="232" t="s">
        <v>875</v>
      </c>
      <c r="O208" s="232" t="s">
        <v>461</v>
      </c>
      <c r="P208" s="232" t="s">
        <v>462</v>
      </c>
      <c r="Q208" s="232" t="s">
        <v>876</v>
      </c>
      <c r="T208" t="s">
        <v>2803</v>
      </c>
      <c r="U208" s="25">
        <f>+Municipios!Z209</f>
        <v>68.492010852003972</v>
      </c>
      <c r="V208" s="232">
        <v>25402</v>
      </c>
      <c r="W208" s="232" t="s">
        <v>875</v>
      </c>
      <c r="X208" s="232" t="s">
        <v>461</v>
      </c>
      <c r="Y208" s="232" t="s">
        <v>462</v>
      </c>
      <c r="Z208" s="232" t="s">
        <v>876</v>
      </c>
    </row>
    <row r="209" spans="1:26">
      <c r="A209" t="s">
        <v>417</v>
      </c>
      <c r="B209" s="25">
        <f>+Municipios!Z210</f>
        <v>46.039983077086369</v>
      </c>
      <c r="C209" s="232">
        <v>5282</v>
      </c>
      <c r="D209" s="232" t="s">
        <v>877</v>
      </c>
      <c r="E209" s="232" t="s">
        <v>435</v>
      </c>
      <c r="F209" s="232" t="s">
        <v>436</v>
      </c>
      <c r="G209" s="232" t="s">
        <v>878</v>
      </c>
      <c r="K209" t="s">
        <v>2647</v>
      </c>
      <c r="L209" s="81">
        <f>+Municipios!AB210</f>
        <v>27.716378078694536</v>
      </c>
      <c r="M209" s="232">
        <v>5282</v>
      </c>
      <c r="N209" s="232" t="s">
        <v>877</v>
      </c>
      <c r="O209" s="232" t="s">
        <v>435</v>
      </c>
      <c r="P209" s="232" t="s">
        <v>436</v>
      </c>
      <c r="Q209" s="232" t="s">
        <v>878</v>
      </c>
      <c r="T209" t="s">
        <v>2803</v>
      </c>
      <c r="U209" s="25">
        <f>+Municipios!Z210</f>
        <v>46.039983077086369</v>
      </c>
      <c r="V209" s="232">
        <v>5282</v>
      </c>
      <c r="W209" s="232" t="s">
        <v>877</v>
      </c>
      <c r="X209" s="232" t="s">
        <v>435</v>
      </c>
      <c r="Y209" s="232" t="s">
        <v>436</v>
      </c>
      <c r="Z209" s="232" t="s">
        <v>878</v>
      </c>
    </row>
    <row r="210" spans="1:26">
      <c r="A210" t="s">
        <v>417</v>
      </c>
      <c r="B210" s="25">
        <f>+Municipios!Z211</f>
        <v>49.119721645947976</v>
      </c>
      <c r="C210" s="232">
        <v>73520</v>
      </c>
      <c r="D210" s="232" t="s">
        <v>879</v>
      </c>
      <c r="E210" s="232" t="s">
        <v>595</v>
      </c>
      <c r="F210" s="232" t="s">
        <v>596</v>
      </c>
      <c r="G210" s="232" t="s">
        <v>880</v>
      </c>
      <c r="K210" t="s">
        <v>2647</v>
      </c>
      <c r="L210" s="81">
        <f>+Municipios!AB211</f>
        <v>29.425774105273895</v>
      </c>
      <c r="M210" s="232">
        <v>73520</v>
      </c>
      <c r="N210" s="232" t="s">
        <v>879</v>
      </c>
      <c r="O210" s="232" t="s">
        <v>595</v>
      </c>
      <c r="P210" s="232" t="s">
        <v>596</v>
      </c>
      <c r="Q210" s="232" t="s">
        <v>880</v>
      </c>
      <c r="T210" t="s">
        <v>2803</v>
      </c>
      <c r="U210" s="25">
        <f>+Municipios!Z211</f>
        <v>49.119721645947976</v>
      </c>
      <c r="V210" s="232">
        <v>73520</v>
      </c>
      <c r="W210" s="232" t="s">
        <v>879</v>
      </c>
      <c r="X210" s="232" t="s">
        <v>595</v>
      </c>
      <c r="Y210" s="232" t="s">
        <v>596</v>
      </c>
      <c r="Z210" s="232" t="s">
        <v>880</v>
      </c>
    </row>
    <row r="211" spans="1:26">
      <c r="A211" t="s">
        <v>417</v>
      </c>
      <c r="B211" s="25">
        <f>+Municipios!Z212</f>
        <v>55.364924804626071</v>
      </c>
      <c r="C211" s="232">
        <v>19142</v>
      </c>
      <c r="D211" s="232" t="s">
        <v>881</v>
      </c>
      <c r="E211" s="232" t="s">
        <v>557</v>
      </c>
      <c r="F211" s="232" t="s">
        <v>558</v>
      </c>
      <c r="G211" s="232" t="s">
        <v>882</v>
      </c>
      <c r="K211" t="s">
        <v>2647</v>
      </c>
      <c r="L211" s="81">
        <f>+Municipios!AB212</f>
        <v>33.242220190053295</v>
      </c>
      <c r="M211" s="232">
        <v>19142</v>
      </c>
      <c r="N211" s="232" t="s">
        <v>881</v>
      </c>
      <c r="O211" s="232" t="s">
        <v>557</v>
      </c>
      <c r="P211" s="232" t="s">
        <v>558</v>
      </c>
      <c r="Q211" s="232" t="s">
        <v>882</v>
      </c>
      <c r="T211" t="s">
        <v>2803</v>
      </c>
      <c r="U211" s="25">
        <f>+Municipios!Z212</f>
        <v>55.364924804626071</v>
      </c>
      <c r="V211" s="232">
        <v>19142</v>
      </c>
      <c r="W211" s="232" t="s">
        <v>881</v>
      </c>
      <c r="X211" s="232" t="s">
        <v>557</v>
      </c>
      <c r="Y211" s="232" t="s">
        <v>558</v>
      </c>
      <c r="Z211" s="232" t="s">
        <v>882</v>
      </c>
    </row>
    <row r="212" spans="1:26">
      <c r="A212" t="s">
        <v>417</v>
      </c>
      <c r="B212" s="25">
        <f>+Municipios!Z213</f>
        <v>70.90883609678265</v>
      </c>
      <c r="C212" s="232">
        <v>25099</v>
      </c>
      <c r="D212" s="232" t="s">
        <v>883</v>
      </c>
      <c r="E212" s="232" t="s">
        <v>461</v>
      </c>
      <c r="F212" s="232" t="s">
        <v>462</v>
      </c>
      <c r="G212" s="232" t="s">
        <v>884</v>
      </c>
      <c r="K212" t="s">
        <v>2647</v>
      </c>
      <c r="L212" s="81">
        <f>+Municipios!AB213</f>
        <v>42.472837414014769</v>
      </c>
      <c r="M212" s="232">
        <v>25099</v>
      </c>
      <c r="N212" s="232" t="s">
        <v>883</v>
      </c>
      <c r="O212" s="232" t="s">
        <v>461</v>
      </c>
      <c r="P212" s="232" t="s">
        <v>462</v>
      </c>
      <c r="Q212" s="232" t="s">
        <v>884</v>
      </c>
      <c r="T212" t="s">
        <v>2803</v>
      </c>
      <c r="U212" s="25">
        <f>+Municipios!Z213</f>
        <v>70.90883609678265</v>
      </c>
      <c r="V212" s="232">
        <v>25099</v>
      </c>
      <c r="W212" s="232" t="s">
        <v>883</v>
      </c>
      <c r="X212" s="232" t="s">
        <v>461</v>
      </c>
      <c r="Y212" s="232" t="s">
        <v>462</v>
      </c>
      <c r="Z212" s="232" t="s">
        <v>884</v>
      </c>
    </row>
    <row r="213" spans="1:26">
      <c r="A213" t="s">
        <v>417</v>
      </c>
      <c r="B213" s="25">
        <f>+Municipios!Z214</f>
        <v>72.1352553354983</v>
      </c>
      <c r="C213" s="232">
        <v>52480</v>
      </c>
      <c r="D213" s="232" t="s">
        <v>885</v>
      </c>
      <c r="E213" s="232" t="s">
        <v>672</v>
      </c>
      <c r="F213" s="232" t="s">
        <v>673</v>
      </c>
      <c r="G213" s="232" t="s">
        <v>673</v>
      </c>
      <c r="K213" t="s">
        <v>2647</v>
      </c>
      <c r="L213" s="81">
        <f>+Municipios!AB214</f>
        <v>43.16150599292191</v>
      </c>
      <c r="M213" s="232">
        <v>52480</v>
      </c>
      <c r="N213" s="232" t="s">
        <v>885</v>
      </c>
      <c r="O213" s="232" t="s">
        <v>672</v>
      </c>
      <c r="P213" s="232" t="s">
        <v>673</v>
      </c>
      <c r="Q213" s="232" t="s">
        <v>673</v>
      </c>
      <c r="T213" t="s">
        <v>2803</v>
      </c>
      <c r="U213" s="25">
        <f>+Municipios!Z214</f>
        <v>72.1352553354983</v>
      </c>
      <c r="V213" s="232">
        <v>52480</v>
      </c>
      <c r="W213" s="232" t="s">
        <v>885</v>
      </c>
      <c r="X213" s="232" t="s">
        <v>672</v>
      </c>
      <c r="Y213" s="232" t="s">
        <v>673</v>
      </c>
      <c r="Z213" s="232" t="s">
        <v>673</v>
      </c>
    </row>
    <row r="214" spans="1:26">
      <c r="A214" t="s">
        <v>417</v>
      </c>
      <c r="B214" s="25">
        <f>+Municipios!Z215</f>
        <v>68.153778285803526</v>
      </c>
      <c r="C214" s="232">
        <v>8832</v>
      </c>
      <c r="D214" s="232" t="s">
        <v>886</v>
      </c>
      <c r="E214" s="232" t="s">
        <v>442</v>
      </c>
      <c r="F214" s="232" t="s">
        <v>443</v>
      </c>
      <c r="G214" s="232" t="s">
        <v>887</v>
      </c>
      <c r="K214" t="s">
        <v>2647</v>
      </c>
      <c r="L214" s="81">
        <f>+Municipios!AB215</f>
        <v>40.773504634941432</v>
      </c>
      <c r="M214" s="232">
        <v>8832</v>
      </c>
      <c r="N214" s="232" t="s">
        <v>886</v>
      </c>
      <c r="O214" s="232" t="s">
        <v>442</v>
      </c>
      <c r="P214" s="232" t="s">
        <v>443</v>
      </c>
      <c r="Q214" s="232" t="s">
        <v>887</v>
      </c>
      <c r="T214" t="s">
        <v>2803</v>
      </c>
      <c r="U214" s="25">
        <f>+Municipios!Z215</f>
        <v>68.153778285803526</v>
      </c>
      <c r="V214" s="232">
        <v>8832</v>
      </c>
      <c r="W214" s="232" t="s">
        <v>886</v>
      </c>
      <c r="X214" s="232" t="s">
        <v>442</v>
      </c>
      <c r="Y214" s="232" t="s">
        <v>443</v>
      </c>
      <c r="Z214" s="232" t="s">
        <v>887</v>
      </c>
    </row>
    <row r="215" spans="1:26">
      <c r="A215" t="s">
        <v>417</v>
      </c>
      <c r="B215" s="25">
        <f>+Municipios!Z216</f>
        <v>52.406727933239004</v>
      </c>
      <c r="C215" s="232">
        <v>52210</v>
      </c>
      <c r="D215" s="232" t="s">
        <v>888</v>
      </c>
      <c r="E215" s="232" t="s">
        <v>672</v>
      </c>
      <c r="F215" s="232" t="s">
        <v>673</v>
      </c>
      <c r="G215" s="232" t="s">
        <v>889</v>
      </c>
      <c r="K215" t="s">
        <v>2647</v>
      </c>
      <c r="L215" s="81">
        <f>+Municipios!AB216</f>
        <v>31.321423611624677</v>
      </c>
      <c r="M215" s="232">
        <v>52210</v>
      </c>
      <c r="N215" s="232" t="s">
        <v>888</v>
      </c>
      <c r="O215" s="232" t="s">
        <v>672</v>
      </c>
      <c r="P215" s="232" t="s">
        <v>673</v>
      </c>
      <c r="Q215" s="232" t="s">
        <v>889</v>
      </c>
      <c r="T215" t="s">
        <v>2803</v>
      </c>
      <c r="U215" s="25">
        <f>+Municipios!Z216</f>
        <v>52.406727933239004</v>
      </c>
      <c r="V215" s="232">
        <v>52210</v>
      </c>
      <c r="W215" s="232" t="s">
        <v>888</v>
      </c>
      <c r="X215" s="232" t="s">
        <v>672</v>
      </c>
      <c r="Y215" s="232" t="s">
        <v>673</v>
      </c>
      <c r="Z215" s="232" t="s">
        <v>889</v>
      </c>
    </row>
    <row r="216" spans="1:26">
      <c r="A216" t="s">
        <v>417</v>
      </c>
      <c r="B216" s="25">
        <f>+Municipios!Z217</f>
        <v>62.499245613382463</v>
      </c>
      <c r="C216" s="232">
        <v>73443</v>
      </c>
      <c r="D216" s="232" t="s">
        <v>890</v>
      </c>
      <c r="E216" s="232" t="s">
        <v>595</v>
      </c>
      <c r="F216" s="232" t="s">
        <v>596</v>
      </c>
      <c r="G216" s="232" t="s">
        <v>891</v>
      </c>
      <c r="K216" t="s">
        <v>2647</v>
      </c>
      <c r="L216" s="81">
        <f>+Municipios!AB217</f>
        <v>37.226578461561942</v>
      </c>
      <c r="M216" s="232">
        <v>73443</v>
      </c>
      <c r="N216" s="232" t="s">
        <v>890</v>
      </c>
      <c r="O216" s="232" t="s">
        <v>595</v>
      </c>
      <c r="P216" s="232" t="s">
        <v>596</v>
      </c>
      <c r="Q216" s="232" t="s">
        <v>891</v>
      </c>
      <c r="T216" t="s">
        <v>2803</v>
      </c>
      <c r="U216" s="25">
        <f>+Municipios!Z217</f>
        <v>62.499245613382463</v>
      </c>
      <c r="V216" s="232">
        <v>73443</v>
      </c>
      <c r="W216" s="232" t="s">
        <v>890</v>
      </c>
      <c r="X216" s="232" t="s">
        <v>595</v>
      </c>
      <c r="Y216" s="232" t="s">
        <v>596</v>
      </c>
      <c r="Z216" s="232" t="s">
        <v>891</v>
      </c>
    </row>
    <row r="217" spans="1:26">
      <c r="A217" t="s">
        <v>417</v>
      </c>
      <c r="B217" s="25">
        <f>+Municipios!Z218</f>
        <v>59.12774833461549</v>
      </c>
      <c r="C217" s="232">
        <v>20001</v>
      </c>
      <c r="D217" s="232" t="s">
        <v>892</v>
      </c>
      <c r="E217" s="232" t="s">
        <v>893</v>
      </c>
      <c r="F217" s="232" t="s">
        <v>894</v>
      </c>
      <c r="G217" s="232" t="s">
        <v>895</v>
      </c>
      <c r="K217" t="s">
        <v>2647</v>
      </c>
      <c r="L217" s="81">
        <f>+Municipios!AB218</f>
        <v>35.313744488348298</v>
      </c>
      <c r="M217" s="232">
        <v>20001</v>
      </c>
      <c r="N217" s="232" t="s">
        <v>892</v>
      </c>
      <c r="O217" s="232" t="s">
        <v>893</v>
      </c>
      <c r="P217" s="232" t="s">
        <v>894</v>
      </c>
      <c r="Q217" s="232" t="s">
        <v>895</v>
      </c>
      <c r="T217" t="s">
        <v>2803</v>
      </c>
      <c r="U217" s="25">
        <f>+Municipios!Z218</f>
        <v>59.12774833461549</v>
      </c>
      <c r="V217" s="232">
        <v>20001</v>
      </c>
      <c r="W217" s="232" t="s">
        <v>892</v>
      </c>
      <c r="X217" s="232" t="s">
        <v>893</v>
      </c>
      <c r="Y217" s="232" t="s">
        <v>894</v>
      </c>
      <c r="Z217" s="232" t="s">
        <v>895</v>
      </c>
    </row>
    <row r="218" spans="1:26">
      <c r="A218" t="s">
        <v>417</v>
      </c>
      <c r="B218" s="25">
        <f>+Municipios!Z219</f>
        <v>51.783426153217107</v>
      </c>
      <c r="C218" s="232">
        <v>73283</v>
      </c>
      <c r="D218" s="232" t="s">
        <v>896</v>
      </c>
      <c r="E218" s="232" t="s">
        <v>595</v>
      </c>
      <c r="F218" s="232" t="s">
        <v>596</v>
      </c>
      <c r="G218" s="232" t="s">
        <v>897</v>
      </c>
      <c r="K218" t="s">
        <v>2647</v>
      </c>
      <c r="L218" s="81">
        <f>+Municipios!AB219</f>
        <v>30.983892047358278</v>
      </c>
      <c r="M218" s="232">
        <v>73283</v>
      </c>
      <c r="N218" s="232" t="s">
        <v>896</v>
      </c>
      <c r="O218" s="232" t="s">
        <v>595</v>
      </c>
      <c r="P218" s="232" t="s">
        <v>596</v>
      </c>
      <c r="Q218" s="232" t="s">
        <v>897</v>
      </c>
      <c r="T218" t="s">
        <v>2803</v>
      </c>
      <c r="U218" s="25">
        <f>+Municipios!Z219</f>
        <v>51.783426153217107</v>
      </c>
      <c r="V218" s="232">
        <v>73283</v>
      </c>
      <c r="W218" s="232" t="s">
        <v>896</v>
      </c>
      <c r="X218" s="232" t="s">
        <v>595</v>
      </c>
      <c r="Y218" s="232" t="s">
        <v>596</v>
      </c>
      <c r="Z218" s="232" t="s">
        <v>897</v>
      </c>
    </row>
    <row r="219" spans="1:26">
      <c r="A219" t="s">
        <v>417</v>
      </c>
      <c r="B219" s="25">
        <f>+Municipios!Z220</f>
        <v>62.879014889960644</v>
      </c>
      <c r="C219" s="232">
        <v>66318</v>
      </c>
      <c r="D219" s="232" t="s">
        <v>898</v>
      </c>
      <c r="E219" s="232" t="s">
        <v>467</v>
      </c>
      <c r="F219" s="232" t="s">
        <v>468</v>
      </c>
      <c r="G219" s="232" t="s">
        <v>899</v>
      </c>
      <c r="K219" t="s">
        <v>2647</v>
      </c>
      <c r="L219" s="81">
        <f>+Municipios!AB220</f>
        <v>37.534950387754698</v>
      </c>
      <c r="M219" s="232">
        <v>66318</v>
      </c>
      <c r="N219" s="232" t="s">
        <v>898</v>
      </c>
      <c r="O219" s="232" t="s">
        <v>467</v>
      </c>
      <c r="P219" s="232" t="s">
        <v>468</v>
      </c>
      <c r="Q219" s="232" t="s">
        <v>899</v>
      </c>
      <c r="T219" t="s">
        <v>2803</v>
      </c>
      <c r="U219" s="25">
        <f>+Municipios!Z220</f>
        <v>62.879014889960644</v>
      </c>
      <c r="V219" s="232">
        <v>66318</v>
      </c>
      <c r="W219" s="232" t="s">
        <v>898</v>
      </c>
      <c r="X219" s="232" t="s">
        <v>467</v>
      </c>
      <c r="Y219" s="232" t="s">
        <v>468</v>
      </c>
      <c r="Z219" s="232" t="s">
        <v>899</v>
      </c>
    </row>
    <row r="220" spans="1:26">
      <c r="A220" t="s">
        <v>417</v>
      </c>
      <c r="B220" s="25">
        <f>+Municipios!Z221</f>
        <v>50.856801181721977</v>
      </c>
      <c r="C220" s="232">
        <v>20011</v>
      </c>
      <c r="D220" s="232" t="s">
        <v>900</v>
      </c>
      <c r="E220" s="232" t="s">
        <v>893</v>
      </c>
      <c r="F220" s="232" t="s">
        <v>894</v>
      </c>
      <c r="G220" s="232" t="s">
        <v>901</v>
      </c>
      <c r="K220" t="s">
        <v>2647</v>
      </c>
      <c r="L220" s="81">
        <f>+Municipios!AB221</f>
        <v>30.318355564183989</v>
      </c>
      <c r="M220" s="232">
        <v>20011</v>
      </c>
      <c r="N220" s="232" t="s">
        <v>900</v>
      </c>
      <c r="O220" s="232" t="s">
        <v>893</v>
      </c>
      <c r="P220" s="232" t="s">
        <v>894</v>
      </c>
      <c r="Q220" s="232" t="s">
        <v>901</v>
      </c>
      <c r="T220" t="s">
        <v>2803</v>
      </c>
      <c r="U220" s="25">
        <f>+Municipios!Z221</f>
        <v>50.856801181721977</v>
      </c>
      <c r="V220" s="232">
        <v>20011</v>
      </c>
      <c r="W220" s="232" t="s">
        <v>900</v>
      </c>
      <c r="X220" s="232" t="s">
        <v>893</v>
      </c>
      <c r="Y220" s="232" t="s">
        <v>894</v>
      </c>
      <c r="Z220" s="232" t="s">
        <v>901</v>
      </c>
    </row>
    <row r="221" spans="1:26">
      <c r="A221" t="s">
        <v>417</v>
      </c>
      <c r="B221" s="25">
        <f>+Municipios!Z222</f>
        <v>55.203292398746207</v>
      </c>
      <c r="C221" s="232">
        <v>76306</v>
      </c>
      <c r="D221" s="232" t="s">
        <v>902</v>
      </c>
      <c r="E221" s="232" t="s">
        <v>454</v>
      </c>
      <c r="F221" s="232" t="s">
        <v>455</v>
      </c>
      <c r="G221" s="232" t="s">
        <v>903</v>
      </c>
      <c r="K221" t="s">
        <v>2647</v>
      </c>
      <c r="L221" s="81">
        <f>+Municipios!AB222</f>
        <v>32.948242630531006</v>
      </c>
      <c r="M221" s="232">
        <v>76306</v>
      </c>
      <c r="N221" s="232" t="s">
        <v>902</v>
      </c>
      <c r="O221" s="232" t="s">
        <v>454</v>
      </c>
      <c r="P221" s="232" t="s">
        <v>455</v>
      </c>
      <c r="Q221" s="232" t="s">
        <v>903</v>
      </c>
      <c r="T221" t="s">
        <v>2803</v>
      </c>
      <c r="U221" s="25">
        <f>+Municipios!Z222</f>
        <v>55.203292398746207</v>
      </c>
      <c r="V221" s="232">
        <v>76306</v>
      </c>
      <c r="W221" s="232" t="s">
        <v>902</v>
      </c>
      <c r="X221" s="232" t="s">
        <v>454</v>
      </c>
      <c r="Y221" s="232" t="s">
        <v>455</v>
      </c>
      <c r="Z221" s="232" t="s">
        <v>903</v>
      </c>
    </row>
    <row r="222" spans="1:26">
      <c r="A222" t="s">
        <v>417</v>
      </c>
      <c r="B222" s="25">
        <f>+Municipios!Z223</f>
        <v>48.388583995512278</v>
      </c>
      <c r="C222" s="232">
        <v>70473</v>
      </c>
      <c r="D222" s="232" t="s">
        <v>904</v>
      </c>
      <c r="E222" s="232" t="s">
        <v>494</v>
      </c>
      <c r="F222" s="232" t="s">
        <v>495</v>
      </c>
      <c r="G222" s="232" t="s">
        <v>905</v>
      </c>
      <c r="K222" t="s">
        <v>2647</v>
      </c>
      <c r="L222" s="81">
        <f>+Municipios!AB223</f>
        <v>28.806723323951825</v>
      </c>
      <c r="M222" s="232">
        <v>70473</v>
      </c>
      <c r="N222" s="232" t="s">
        <v>904</v>
      </c>
      <c r="O222" s="232" t="s">
        <v>494</v>
      </c>
      <c r="P222" s="232" t="s">
        <v>495</v>
      </c>
      <c r="Q222" s="232" t="s">
        <v>905</v>
      </c>
      <c r="T222" t="s">
        <v>2803</v>
      </c>
      <c r="U222" s="25">
        <f>+Municipios!Z223</f>
        <v>48.388583995512278</v>
      </c>
      <c r="V222" s="232">
        <v>70473</v>
      </c>
      <c r="W222" s="232" t="s">
        <v>904</v>
      </c>
      <c r="X222" s="232" t="s">
        <v>494</v>
      </c>
      <c r="Y222" s="232" t="s">
        <v>495</v>
      </c>
      <c r="Z222" s="232" t="s">
        <v>905</v>
      </c>
    </row>
    <row r="223" spans="1:26">
      <c r="A223" t="s">
        <v>417</v>
      </c>
      <c r="B223" s="25">
        <f>+Municipios!Z224</f>
        <v>58.840963893034484</v>
      </c>
      <c r="C223" s="232">
        <v>8436</v>
      </c>
      <c r="D223" s="232" t="s">
        <v>906</v>
      </c>
      <c r="E223" s="232" t="s">
        <v>442</v>
      </c>
      <c r="F223" s="232" t="s">
        <v>443</v>
      </c>
      <c r="G223" s="232" t="s">
        <v>907</v>
      </c>
      <c r="K223" t="s">
        <v>2647</v>
      </c>
      <c r="L223" s="81">
        <f>+Municipios!AB224</f>
        <v>35.00402726590837</v>
      </c>
      <c r="M223" s="232">
        <v>8436</v>
      </c>
      <c r="N223" s="232" t="s">
        <v>906</v>
      </c>
      <c r="O223" s="232" t="s">
        <v>442</v>
      </c>
      <c r="P223" s="232" t="s">
        <v>443</v>
      </c>
      <c r="Q223" s="232" t="s">
        <v>907</v>
      </c>
      <c r="T223" t="s">
        <v>2803</v>
      </c>
      <c r="U223" s="25">
        <f>+Municipios!Z224</f>
        <v>58.840963893034484</v>
      </c>
      <c r="V223" s="232">
        <v>8436</v>
      </c>
      <c r="W223" s="232" t="s">
        <v>906</v>
      </c>
      <c r="X223" s="232" t="s">
        <v>442</v>
      </c>
      <c r="Y223" s="232" t="s">
        <v>443</v>
      </c>
      <c r="Z223" s="232" t="s">
        <v>907</v>
      </c>
    </row>
    <row r="224" spans="1:26">
      <c r="A224" t="s">
        <v>417</v>
      </c>
      <c r="B224" s="25">
        <f>+Municipios!Z225</f>
        <v>55.752265151230041</v>
      </c>
      <c r="C224" s="232">
        <v>23189</v>
      </c>
      <c r="D224" s="232" t="s">
        <v>908</v>
      </c>
      <c r="E224" s="232" t="s">
        <v>567</v>
      </c>
      <c r="F224" s="232" t="s">
        <v>568</v>
      </c>
      <c r="G224" s="232" t="s">
        <v>909</v>
      </c>
      <c r="K224" t="s">
        <v>2647</v>
      </c>
      <c r="L224" s="81">
        <f>+Municipios!AB225</f>
        <v>33.160142013679319</v>
      </c>
      <c r="M224" s="232">
        <v>23189</v>
      </c>
      <c r="N224" s="232" t="s">
        <v>908</v>
      </c>
      <c r="O224" s="232" t="s">
        <v>567</v>
      </c>
      <c r="P224" s="232" t="s">
        <v>568</v>
      </c>
      <c r="Q224" s="232" t="s">
        <v>909</v>
      </c>
      <c r="T224" t="s">
        <v>2803</v>
      </c>
      <c r="U224" s="25">
        <f>+Municipios!Z225</f>
        <v>55.752265151230041</v>
      </c>
      <c r="V224" s="232">
        <v>23189</v>
      </c>
      <c r="W224" s="232" t="s">
        <v>908</v>
      </c>
      <c r="X224" s="232" t="s">
        <v>567</v>
      </c>
      <c r="Y224" s="232" t="s">
        <v>568</v>
      </c>
      <c r="Z224" s="232" t="s">
        <v>909</v>
      </c>
    </row>
    <row r="225" spans="1:26">
      <c r="A225" t="s">
        <v>417</v>
      </c>
      <c r="B225" s="25">
        <f>+Municipios!Z226</f>
        <v>49.496761879508846</v>
      </c>
      <c r="C225" s="232">
        <v>52224</v>
      </c>
      <c r="D225" s="232" t="s">
        <v>910</v>
      </c>
      <c r="E225" s="232" t="s">
        <v>672</v>
      </c>
      <c r="F225" s="232" t="s">
        <v>673</v>
      </c>
      <c r="G225" s="232" t="s">
        <v>911</v>
      </c>
      <c r="K225" t="s">
        <v>2647</v>
      </c>
      <c r="L225" s="81">
        <f>+Municipios!AB226</f>
        <v>29.394932874830026</v>
      </c>
      <c r="M225" s="232">
        <v>52224</v>
      </c>
      <c r="N225" s="232" t="s">
        <v>910</v>
      </c>
      <c r="O225" s="232" t="s">
        <v>672</v>
      </c>
      <c r="P225" s="232" t="s">
        <v>673</v>
      </c>
      <c r="Q225" s="232" t="s">
        <v>911</v>
      </c>
      <c r="T225" t="s">
        <v>2803</v>
      </c>
      <c r="U225" s="25">
        <f>+Municipios!Z226</f>
        <v>49.496761879508846</v>
      </c>
      <c r="V225" s="232">
        <v>52224</v>
      </c>
      <c r="W225" s="232" t="s">
        <v>910</v>
      </c>
      <c r="X225" s="232" t="s">
        <v>672</v>
      </c>
      <c r="Y225" s="232" t="s">
        <v>673</v>
      </c>
      <c r="Z225" s="232" t="s">
        <v>911</v>
      </c>
    </row>
    <row r="226" spans="1:26">
      <c r="A226" t="s">
        <v>417</v>
      </c>
      <c r="B226" s="25">
        <f>+Municipios!Z227</f>
        <v>45.842599471551011</v>
      </c>
      <c r="C226" s="232">
        <v>13838</v>
      </c>
      <c r="D226" s="232" t="s">
        <v>912</v>
      </c>
      <c r="E226" s="232" t="s">
        <v>480</v>
      </c>
      <c r="F226" s="232" t="s">
        <v>481</v>
      </c>
      <c r="G226" s="232" t="s">
        <v>913</v>
      </c>
      <c r="K226" t="s">
        <v>2647</v>
      </c>
      <c r="L226" s="81">
        <f>+Municipios!AB227</f>
        <v>27.190728531244329</v>
      </c>
      <c r="M226" s="232">
        <v>13838</v>
      </c>
      <c r="N226" s="232" t="s">
        <v>912</v>
      </c>
      <c r="O226" s="232" t="s">
        <v>480</v>
      </c>
      <c r="P226" s="232" t="s">
        <v>481</v>
      </c>
      <c r="Q226" s="232" t="s">
        <v>913</v>
      </c>
      <c r="T226" t="s">
        <v>2803</v>
      </c>
      <c r="U226" s="25">
        <f>+Municipios!Z227</f>
        <v>45.842599471551011</v>
      </c>
      <c r="V226" s="232">
        <v>13838</v>
      </c>
      <c r="W226" s="232" t="s">
        <v>912</v>
      </c>
      <c r="X226" s="232" t="s">
        <v>480</v>
      </c>
      <c r="Y226" s="232" t="s">
        <v>481</v>
      </c>
      <c r="Z226" s="232" t="s">
        <v>913</v>
      </c>
    </row>
    <row r="227" spans="1:26">
      <c r="A227" t="s">
        <v>417</v>
      </c>
      <c r="B227" s="25">
        <f>+Municipios!Z228</f>
        <v>56.292895733282727</v>
      </c>
      <c r="C227" s="232">
        <v>17444</v>
      </c>
      <c r="D227" s="232" t="s">
        <v>914</v>
      </c>
      <c r="E227" s="232" t="s">
        <v>506</v>
      </c>
      <c r="F227" s="232" t="s">
        <v>507</v>
      </c>
      <c r="G227" s="232" t="s">
        <v>915</v>
      </c>
      <c r="K227" t="s">
        <v>2647</v>
      </c>
      <c r="L227" s="81">
        <f>+Municipios!AB228</f>
        <v>33.396980341883364</v>
      </c>
      <c r="M227" s="232">
        <v>17444</v>
      </c>
      <c r="N227" s="232" t="s">
        <v>914</v>
      </c>
      <c r="O227" s="232" t="s">
        <v>506</v>
      </c>
      <c r="P227" s="232" t="s">
        <v>507</v>
      </c>
      <c r="Q227" s="232" t="s">
        <v>915</v>
      </c>
      <c r="T227" t="s">
        <v>2803</v>
      </c>
      <c r="U227" s="25">
        <f>+Municipios!Z228</f>
        <v>56.292895733282727</v>
      </c>
      <c r="V227" s="232">
        <v>17444</v>
      </c>
      <c r="W227" s="232" t="s">
        <v>914</v>
      </c>
      <c r="X227" s="232" t="s">
        <v>506</v>
      </c>
      <c r="Y227" s="232" t="s">
        <v>507</v>
      </c>
      <c r="Z227" s="232" t="s">
        <v>915</v>
      </c>
    </row>
    <row r="228" spans="1:26">
      <c r="A228" t="s">
        <v>417</v>
      </c>
      <c r="B228" s="25">
        <f>+Municipios!Z229</f>
        <v>60.554624237253307</v>
      </c>
      <c r="C228" s="232">
        <v>73411</v>
      </c>
      <c r="D228" s="232" t="s">
        <v>916</v>
      </c>
      <c r="E228" s="232" t="s">
        <v>595</v>
      </c>
      <c r="F228" s="232" t="s">
        <v>596</v>
      </c>
      <c r="G228" s="232" t="s">
        <v>917</v>
      </c>
      <c r="K228" t="s">
        <v>2647</v>
      </c>
      <c r="L228" s="81">
        <f>+Municipios!AB229</f>
        <v>35.896666327560467</v>
      </c>
      <c r="M228" s="232">
        <v>73411</v>
      </c>
      <c r="N228" s="232" t="s">
        <v>916</v>
      </c>
      <c r="O228" s="232" t="s">
        <v>595</v>
      </c>
      <c r="P228" s="232" t="s">
        <v>596</v>
      </c>
      <c r="Q228" s="232" t="s">
        <v>917</v>
      </c>
      <c r="T228" t="s">
        <v>2803</v>
      </c>
      <c r="U228" s="25">
        <f>+Municipios!Z229</f>
        <v>60.554624237253307</v>
      </c>
      <c r="V228" s="232">
        <v>73411</v>
      </c>
      <c r="W228" s="232" t="s">
        <v>916</v>
      </c>
      <c r="X228" s="232" t="s">
        <v>595</v>
      </c>
      <c r="Y228" s="232" t="s">
        <v>596</v>
      </c>
      <c r="Z228" s="232" t="s">
        <v>917</v>
      </c>
    </row>
    <row r="229" spans="1:26">
      <c r="A229" t="s">
        <v>417</v>
      </c>
      <c r="B229" s="25">
        <f>+Municipios!Z230</f>
        <v>65.841245007287938</v>
      </c>
      <c r="C229" s="232">
        <v>17380</v>
      </c>
      <c r="D229" s="232" t="s">
        <v>918</v>
      </c>
      <c r="E229" s="232" t="s">
        <v>506</v>
      </c>
      <c r="F229" s="232" t="s">
        <v>507</v>
      </c>
      <c r="G229" s="232" t="s">
        <v>919</v>
      </c>
      <c r="K229" t="s">
        <v>2647</v>
      </c>
      <c r="L229" s="81">
        <f>+Municipios!AB230</f>
        <v>38.906709500187802</v>
      </c>
      <c r="M229" s="232">
        <v>17380</v>
      </c>
      <c r="N229" s="232" t="s">
        <v>918</v>
      </c>
      <c r="O229" s="232" t="s">
        <v>506</v>
      </c>
      <c r="P229" s="232" t="s">
        <v>507</v>
      </c>
      <c r="Q229" s="232" t="s">
        <v>919</v>
      </c>
      <c r="T229" t="s">
        <v>2803</v>
      </c>
      <c r="U229" s="25">
        <f>+Municipios!Z230</f>
        <v>65.841245007287938</v>
      </c>
      <c r="V229" s="232">
        <v>17380</v>
      </c>
      <c r="W229" s="232" t="s">
        <v>918</v>
      </c>
      <c r="X229" s="232" t="s">
        <v>506</v>
      </c>
      <c r="Y229" s="232" t="s">
        <v>507</v>
      </c>
      <c r="Z229" s="232" t="s">
        <v>919</v>
      </c>
    </row>
    <row r="230" spans="1:26">
      <c r="A230" t="s">
        <v>417</v>
      </c>
      <c r="B230" s="25">
        <f>+Municipios!Z231</f>
        <v>55.728242053092927</v>
      </c>
      <c r="C230" s="232">
        <v>52022</v>
      </c>
      <c r="D230" s="232" t="s">
        <v>920</v>
      </c>
      <c r="E230" s="232" t="s">
        <v>672</v>
      </c>
      <c r="F230" s="232" t="s">
        <v>673</v>
      </c>
      <c r="G230" s="232" t="s">
        <v>921</v>
      </c>
      <c r="K230" t="s">
        <v>2647</v>
      </c>
      <c r="L230" s="81">
        <f>+Municipios!AB231</f>
        <v>33.002069711303719</v>
      </c>
      <c r="M230" s="232">
        <v>52022</v>
      </c>
      <c r="N230" s="232" t="s">
        <v>920</v>
      </c>
      <c r="O230" s="232" t="s">
        <v>672</v>
      </c>
      <c r="P230" s="232" t="s">
        <v>673</v>
      </c>
      <c r="Q230" s="232" t="s">
        <v>921</v>
      </c>
      <c r="T230" t="s">
        <v>2803</v>
      </c>
      <c r="U230" s="25">
        <f>+Municipios!Z231</f>
        <v>55.728242053092927</v>
      </c>
      <c r="V230" s="232">
        <v>52022</v>
      </c>
      <c r="W230" s="232" t="s">
        <v>920</v>
      </c>
      <c r="X230" s="232" t="s">
        <v>672</v>
      </c>
      <c r="Y230" s="232" t="s">
        <v>673</v>
      </c>
      <c r="Z230" s="232" t="s">
        <v>921</v>
      </c>
    </row>
    <row r="231" spans="1:26">
      <c r="A231" t="s">
        <v>417</v>
      </c>
      <c r="B231" s="25">
        <f>+Municipios!Z232</f>
        <v>67.510623143366104</v>
      </c>
      <c r="C231" s="232">
        <v>15407</v>
      </c>
      <c r="D231" s="232" t="s">
        <v>922</v>
      </c>
      <c r="E231" s="232" t="s">
        <v>498</v>
      </c>
      <c r="F231" s="232" t="s">
        <v>499</v>
      </c>
      <c r="G231" s="232" t="s">
        <v>923</v>
      </c>
      <c r="K231" t="s">
        <v>2647</v>
      </c>
      <c r="L231" s="81">
        <f>+Municipios!AB232</f>
        <v>39.822049764192819</v>
      </c>
      <c r="M231" s="232">
        <v>15407</v>
      </c>
      <c r="N231" s="232" t="s">
        <v>922</v>
      </c>
      <c r="O231" s="232" t="s">
        <v>498</v>
      </c>
      <c r="P231" s="232" t="s">
        <v>499</v>
      </c>
      <c r="Q231" s="232" t="s">
        <v>923</v>
      </c>
      <c r="T231" t="s">
        <v>2803</v>
      </c>
      <c r="U231" s="25">
        <f>+Municipios!Z232</f>
        <v>67.510623143366104</v>
      </c>
      <c r="V231" s="232">
        <v>15407</v>
      </c>
      <c r="W231" s="232" t="s">
        <v>922</v>
      </c>
      <c r="X231" s="232" t="s">
        <v>498</v>
      </c>
      <c r="Y231" s="232" t="s">
        <v>499</v>
      </c>
      <c r="Z231" s="232" t="s">
        <v>923</v>
      </c>
    </row>
    <row r="232" spans="1:26">
      <c r="A232" t="s">
        <v>417</v>
      </c>
      <c r="B232" s="25">
        <f>+Municipios!Z233</f>
        <v>74.114332226013886</v>
      </c>
      <c r="C232" s="232">
        <v>15806</v>
      </c>
      <c r="D232" s="232" t="s">
        <v>924</v>
      </c>
      <c r="E232" s="232" t="s">
        <v>498</v>
      </c>
      <c r="F232" s="232" t="s">
        <v>499</v>
      </c>
      <c r="G232" s="232" t="s">
        <v>925</v>
      </c>
      <c r="K232" t="s">
        <v>2647</v>
      </c>
      <c r="L232" s="81">
        <f>+Municipios!AB233</f>
        <v>43.879694416242813</v>
      </c>
      <c r="M232" s="232">
        <v>15806</v>
      </c>
      <c r="N232" s="232" t="s">
        <v>924</v>
      </c>
      <c r="O232" s="232" t="s">
        <v>498</v>
      </c>
      <c r="P232" s="232" t="s">
        <v>499</v>
      </c>
      <c r="Q232" s="232" t="s">
        <v>925</v>
      </c>
      <c r="T232" t="s">
        <v>2803</v>
      </c>
      <c r="U232" s="25">
        <f>+Municipios!Z233</f>
        <v>74.114332226013886</v>
      </c>
      <c r="V232" s="232">
        <v>15806</v>
      </c>
      <c r="W232" s="232" t="s">
        <v>924</v>
      </c>
      <c r="X232" s="232" t="s">
        <v>498</v>
      </c>
      <c r="Y232" s="232" t="s">
        <v>499</v>
      </c>
      <c r="Z232" s="232" t="s">
        <v>925</v>
      </c>
    </row>
    <row r="233" spans="1:26">
      <c r="A233" t="s">
        <v>417</v>
      </c>
      <c r="B233" s="25">
        <f>+Municipios!Z234</f>
        <v>45.978110280964387</v>
      </c>
      <c r="C233" s="232">
        <v>13140</v>
      </c>
      <c r="D233" s="232" t="s">
        <v>926</v>
      </c>
      <c r="E233" s="232" t="s">
        <v>480</v>
      </c>
      <c r="F233" s="232" t="s">
        <v>481</v>
      </c>
      <c r="G233" s="232" t="s">
        <v>927</v>
      </c>
      <c r="K233" t="s">
        <v>2647</v>
      </c>
      <c r="L233" s="81">
        <f>+Municipios!AB234</f>
        <v>27.181535496429746</v>
      </c>
      <c r="M233" s="232">
        <v>13140</v>
      </c>
      <c r="N233" s="232" t="s">
        <v>926</v>
      </c>
      <c r="O233" s="232" t="s">
        <v>480</v>
      </c>
      <c r="P233" s="232" t="s">
        <v>481</v>
      </c>
      <c r="Q233" s="232" t="s">
        <v>927</v>
      </c>
      <c r="T233" t="s">
        <v>2803</v>
      </c>
      <c r="U233" s="25">
        <f>+Municipios!Z234</f>
        <v>45.978110280964387</v>
      </c>
      <c r="V233" s="232">
        <v>13140</v>
      </c>
      <c r="W233" s="232" t="s">
        <v>926</v>
      </c>
      <c r="X233" s="232" t="s">
        <v>480</v>
      </c>
      <c r="Y233" s="232" t="s">
        <v>481</v>
      </c>
      <c r="Z233" s="232" t="s">
        <v>927</v>
      </c>
    </row>
    <row r="234" spans="1:26">
      <c r="A234" t="s">
        <v>417</v>
      </c>
      <c r="B234" s="25">
        <f>+Municipios!Z235</f>
        <v>59.245209710097939</v>
      </c>
      <c r="C234" s="232">
        <v>5576</v>
      </c>
      <c r="D234" s="232" t="s">
        <v>928</v>
      </c>
      <c r="E234" s="232" t="s">
        <v>435</v>
      </c>
      <c r="F234" s="232" t="s">
        <v>436</v>
      </c>
      <c r="G234" s="232" t="s">
        <v>929</v>
      </c>
      <c r="K234" t="s">
        <v>2647</v>
      </c>
      <c r="L234" s="81">
        <f>+Municipios!AB235</f>
        <v>35.003693990883711</v>
      </c>
      <c r="M234" s="232">
        <v>5576</v>
      </c>
      <c r="N234" s="232" t="s">
        <v>928</v>
      </c>
      <c r="O234" s="232" t="s">
        <v>435</v>
      </c>
      <c r="P234" s="232" t="s">
        <v>436</v>
      </c>
      <c r="Q234" s="232" t="s">
        <v>929</v>
      </c>
      <c r="T234" t="s">
        <v>2803</v>
      </c>
      <c r="U234" s="25">
        <f>+Municipios!Z235</f>
        <v>59.245209710097939</v>
      </c>
      <c r="V234" s="232">
        <v>5576</v>
      </c>
      <c r="W234" s="232" t="s">
        <v>928</v>
      </c>
      <c r="X234" s="232" t="s">
        <v>435</v>
      </c>
      <c r="Y234" s="232" t="s">
        <v>436</v>
      </c>
      <c r="Z234" s="232" t="s">
        <v>929</v>
      </c>
    </row>
    <row r="235" spans="1:26">
      <c r="A235" t="s">
        <v>417</v>
      </c>
      <c r="B235" s="25">
        <f>+Municipios!Z236</f>
        <v>62.259451818911877</v>
      </c>
      <c r="C235" s="232">
        <v>25718</v>
      </c>
      <c r="D235" s="232" t="s">
        <v>930</v>
      </c>
      <c r="E235" s="232" t="s">
        <v>461</v>
      </c>
      <c r="F235" s="232" t="s">
        <v>462</v>
      </c>
      <c r="G235" s="232" t="s">
        <v>931</v>
      </c>
      <c r="K235" t="s">
        <v>2647</v>
      </c>
      <c r="L235" s="81">
        <f>+Municipios!AB236</f>
        <v>36.681307549719044</v>
      </c>
      <c r="M235" s="232">
        <v>25718</v>
      </c>
      <c r="N235" s="232" t="s">
        <v>930</v>
      </c>
      <c r="O235" s="232" t="s">
        <v>461</v>
      </c>
      <c r="P235" s="232" t="s">
        <v>462</v>
      </c>
      <c r="Q235" s="232" t="s">
        <v>931</v>
      </c>
      <c r="T235" t="s">
        <v>2803</v>
      </c>
      <c r="U235" s="25">
        <f>+Municipios!Z236</f>
        <v>62.259451818911877</v>
      </c>
      <c r="V235" s="232">
        <v>25718</v>
      </c>
      <c r="W235" s="232" t="s">
        <v>930</v>
      </c>
      <c r="X235" s="232" t="s">
        <v>461</v>
      </c>
      <c r="Y235" s="232" t="s">
        <v>462</v>
      </c>
      <c r="Z235" s="232" t="s">
        <v>931</v>
      </c>
    </row>
    <row r="236" spans="1:26">
      <c r="A236" t="s">
        <v>417</v>
      </c>
      <c r="B236" s="25">
        <f>+Municipios!Z237</f>
        <v>55.146191443462101</v>
      </c>
      <c r="C236" s="232">
        <v>44430</v>
      </c>
      <c r="D236" s="232" t="s">
        <v>932</v>
      </c>
      <c r="E236" s="232" t="s">
        <v>933</v>
      </c>
      <c r="F236" s="232" t="s">
        <v>934</v>
      </c>
      <c r="G236" s="232" t="s">
        <v>935</v>
      </c>
      <c r="K236" t="s">
        <v>2647</v>
      </c>
      <c r="L236" s="81">
        <f>+Municipios!AB237</f>
        <v>32.55257964085294</v>
      </c>
      <c r="M236" s="232">
        <v>44430</v>
      </c>
      <c r="N236" s="232" t="s">
        <v>932</v>
      </c>
      <c r="O236" s="232" t="s">
        <v>933</v>
      </c>
      <c r="P236" s="232" t="s">
        <v>934</v>
      </c>
      <c r="Q236" s="232" t="s">
        <v>935</v>
      </c>
      <c r="T236" t="s">
        <v>2803</v>
      </c>
      <c r="U236" s="25">
        <f>+Municipios!Z237</f>
        <v>55.146191443462101</v>
      </c>
      <c r="V236" s="232">
        <v>44430</v>
      </c>
      <c r="W236" s="232" t="s">
        <v>932</v>
      </c>
      <c r="X236" s="232" t="s">
        <v>933</v>
      </c>
      <c r="Y236" s="232" t="s">
        <v>934</v>
      </c>
      <c r="Z236" s="232" t="s">
        <v>935</v>
      </c>
    </row>
    <row r="237" spans="1:26">
      <c r="A237" t="s">
        <v>417</v>
      </c>
      <c r="B237" s="25">
        <f>+Municipios!Z238</f>
        <v>53.583473981838146</v>
      </c>
      <c r="C237" s="232">
        <v>5147</v>
      </c>
      <c r="D237" s="232" t="s">
        <v>936</v>
      </c>
      <c r="E237" s="232" t="s">
        <v>435</v>
      </c>
      <c r="F237" s="232" t="s">
        <v>436</v>
      </c>
      <c r="G237" s="232" t="s">
        <v>937</v>
      </c>
      <c r="K237" t="s">
        <v>2647</v>
      </c>
      <c r="L237" s="81">
        <f>+Municipios!AB238</f>
        <v>31.613838277546439</v>
      </c>
      <c r="M237" s="232">
        <v>5147</v>
      </c>
      <c r="N237" s="232" t="s">
        <v>936</v>
      </c>
      <c r="O237" s="232" t="s">
        <v>435</v>
      </c>
      <c r="P237" s="232" t="s">
        <v>436</v>
      </c>
      <c r="Q237" s="232" t="s">
        <v>937</v>
      </c>
      <c r="T237" t="s">
        <v>2803</v>
      </c>
      <c r="U237" s="25">
        <f>+Municipios!Z238</f>
        <v>53.583473981838146</v>
      </c>
      <c r="V237" s="232">
        <v>5147</v>
      </c>
      <c r="W237" s="232" t="s">
        <v>936</v>
      </c>
      <c r="X237" s="232" t="s">
        <v>435</v>
      </c>
      <c r="Y237" s="232" t="s">
        <v>436</v>
      </c>
      <c r="Z237" s="232" t="s">
        <v>937</v>
      </c>
    </row>
    <row r="238" spans="1:26">
      <c r="A238" t="s">
        <v>417</v>
      </c>
      <c r="B238" s="25">
        <f>+Municipios!Z239</f>
        <v>50.106979720076602</v>
      </c>
      <c r="C238" s="232">
        <v>13673</v>
      </c>
      <c r="D238" s="232" t="s">
        <v>938</v>
      </c>
      <c r="E238" s="232" t="s">
        <v>480</v>
      </c>
      <c r="F238" s="232" t="s">
        <v>481</v>
      </c>
      <c r="G238" s="232" t="s">
        <v>939</v>
      </c>
      <c r="K238" t="s">
        <v>2647</v>
      </c>
      <c r="L238" s="81">
        <f>+Municipios!AB239</f>
        <v>29.5821393983042</v>
      </c>
      <c r="M238" s="232">
        <v>13673</v>
      </c>
      <c r="N238" s="232" t="s">
        <v>938</v>
      </c>
      <c r="O238" s="232" t="s">
        <v>480</v>
      </c>
      <c r="P238" s="232" t="s">
        <v>481</v>
      </c>
      <c r="Q238" s="232" t="s">
        <v>939</v>
      </c>
      <c r="T238" t="s">
        <v>2803</v>
      </c>
      <c r="U238" s="25">
        <f>+Municipios!Z239</f>
        <v>50.106979720076602</v>
      </c>
      <c r="V238" s="232">
        <v>13673</v>
      </c>
      <c r="W238" s="232" t="s">
        <v>938</v>
      </c>
      <c r="X238" s="232" t="s">
        <v>480</v>
      </c>
      <c r="Y238" s="232" t="s">
        <v>481</v>
      </c>
      <c r="Z238" s="232" t="s">
        <v>939</v>
      </c>
    </row>
    <row r="239" spans="1:26">
      <c r="A239" t="s">
        <v>417</v>
      </c>
      <c r="B239" s="25">
        <f>+Municipios!Z240</f>
        <v>44.4356638787431</v>
      </c>
      <c r="C239" s="232">
        <v>19137</v>
      </c>
      <c r="D239" s="232" t="s">
        <v>940</v>
      </c>
      <c r="E239" s="232" t="s">
        <v>557</v>
      </c>
      <c r="F239" s="232" t="s">
        <v>558</v>
      </c>
      <c r="G239" s="232" t="s">
        <v>941</v>
      </c>
      <c r="K239" t="s">
        <v>2647</v>
      </c>
      <c r="L239" s="81">
        <f>+Municipios!AB240</f>
        <v>26.26699079462243</v>
      </c>
      <c r="M239" s="232">
        <v>19137</v>
      </c>
      <c r="N239" s="232" t="s">
        <v>940</v>
      </c>
      <c r="O239" s="232" t="s">
        <v>557</v>
      </c>
      <c r="P239" s="232" t="s">
        <v>558</v>
      </c>
      <c r="Q239" s="232" t="s">
        <v>941</v>
      </c>
      <c r="T239" t="s">
        <v>2803</v>
      </c>
      <c r="U239" s="25">
        <f>+Municipios!Z240</f>
        <v>44.4356638787431</v>
      </c>
      <c r="V239" s="232">
        <v>19137</v>
      </c>
      <c r="W239" s="232" t="s">
        <v>940</v>
      </c>
      <c r="X239" s="232" t="s">
        <v>557</v>
      </c>
      <c r="Y239" s="232" t="s">
        <v>558</v>
      </c>
      <c r="Z239" s="232" t="s">
        <v>941</v>
      </c>
    </row>
    <row r="240" spans="1:26">
      <c r="A240" t="s">
        <v>417</v>
      </c>
      <c r="B240" s="25">
        <f>+Municipios!Z241</f>
        <v>50.220999965856009</v>
      </c>
      <c r="C240" s="232">
        <v>86749</v>
      </c>
      <c r="D240" s="232" t="s">
        <v>942</v>
      </c>
      <c r="E240" s="232" t="s">
        <v>943</v>
      </c>
      <c r="F240" s="232" t="s">
        <v>944</v>
      </c>
      <c r="G240" s="232" t="s">
        <v>945</v>
      </c>
      <c r="K240" t="s">
        <v>2647</v>
      </c>
      <c r="L240" s="81">
        <f>+Municipios!AB241</f>
        <v>29.598424183826573</v>
      </c>
      <c r="M240" s="232">
        <v>86749</v>
      </c>
      <c r="N240" s="232" t="s">
        <v>942</v>
      </c>
      <c r="O240" s="232" t="s">
        <v>943</v>
      </c>
      <c r="P240" s="232" t="s">
        <v>944</v>
      </c>
      <c r="Q240" s="232" t="s">
        <v>945</v>
      </c>
      <c r="T240" t="s">
        <v>2803</v>
      </c>
      <c r="U240" s="25">
        <f>+Municipios!Z241</f>
        <v>50.220999965856009</v>
      </c>
      <c r="V240" s="232">
        <v>86749</v>
      </c>
      <c r="W240" s="232" t="s">
        <v>942</v>
      </c>
      <c r="X240" s="232" t="s">
        <v>943</v>
      </c>
      <c r="Y240" s="232" t="s">
        <v>944</v>
      </c>
      <c r="Z240" s="232" t="s">
        <v>945</v>
      </c>
    </row>
    <row r="241" spans="1:26">
      <c r="A241" t="s">
        <v>417</v>
      </c>
      <c r="B241" s="25">
        <f>+Municipios!Z242</f>
        <v>61.993860970074167</v>
      </c>
      <c r="C241" s="232">
        <v>5321</v>
      </c>
      <c r="D241" s="232" t="s">
        <v>946</v>
      </c>
      <c r="E241" s="232" t="s">
        <v>435</v>
      </c>
      <c r="F241" s="232" t="s">
        <v>436</v>
      </c>
      <c r="G241" s="232" t="s">
        <v>947</v>
      </c>
      <c r="K241" t="s">
        <v>2647</v>
      </c>
      <c r="L241" s="81">
        <f>+Municipios!AB242</f>
        <v>36.58586885420366</v>
      </c>
      <c r="M241" s="232">
        <v>5321</v>
      </c>
      <c r="N241" s="232" t="s">
        <v>946</v>
      </c>
      <c r="O241" s="232" t="s">
        <v>435</v>
      </c>
      <c r="P241" s="232" t="s">
        <v>436</v>
      </c>
      <c r="Q241" s="232" t="s">
        <v>947</v>
      </c>
      <c r="T241" t="s">
        <v>2803</v>
      </c>
      <c r="U241" s="25">
        <f>+Municipios!Z242</f>
        <v>61.993860970074167</v>
      </c>
      <c r="V241" s="232">
        <v>5321</v>
      </c>
      <c r="W241" s="232" t="s">
        <v>946</v>
      </c>
      <c r="X241" s="232" t="s">
        <v>435</v>
      </c>
      <c r="Y241" s="232" t="s">
        <v>436</v>
      </c>
      <c r="Z241" s="232" t="s">
        <v>947</v>
      </c>
    </row>
    <row r="242" spans="1:26">
      <c r="A242" t="s">
        <v>417</v>
      </c>
      <c r="B242" s="25">
        <f>+Municipios!Z243</f>
        <v>57.655986860255545</v>
      </c>
      <c r="C242" s="232">
        <v>25772</v>
      </c>
      <c r="D242" s="232" t="s">
        <v>948</v>
      </c>
      <c r="E242" s="232" t="s">
        <v>461</v>
      </c>
      <c r="F242" s="232" t="s">
        <v>462</v>
      </c>
      <c r="G242" s="232" t="s">
        <v>949</v>
      </c>
      <c r="K242" t="s">
        <v>2647</v>
      </c>
      <c r="L242" s="81">
        <f>+Municipios!AB243</f>
        <v>33.858284663170146</v>
      </c>
      <c r="M242" s="232">
        <v>25772</v>
      </c>
      <c r="N242" s="232" t="s">
        <v>948</v>
      </c>
      <c r="O242" s="232" t="s">
        <v>461</v>
      </c>
      <c r="P242" s="232" t="s">
        <v>462</v>
      </c>
      <c r="Q242" s="232" t="s">
        <v>949</v>
      </c>
      <c r="T242" t="s">
        <v>2803</v>
      </c>
      <c r="U242" s="25">
        <f>+Municipios!Z243</f>
        <v>57.655986860255545</v>
      </c>
      <c r="V242" s="232">
        <v>25772</v>
      </c>
      <c r="W242" s="232" t="s">
        <v>948</v>
      </c>
      <c r="X242" s="232" t="s">
        <v>461</v>
      </c>
      <c r="Y242" s="232" t="s">
        <v>462</v>
      </c>
      <c r="Z242" s="232" t="s">
        <v>949</v>
      </c>
    </row>
    <row r="243" spans="1:26">
      <c r="A243" t="s">
        <v>417</v>
      </c>
      <c r="B243" s="25">
        <f>+Municipios!Z244</f>
        <v>55.136943100101121</v>
      </c>
      <c r="C243" s="232">
        <v>13188</v>
      </c>
      <c r="D243" s="232" t="s">
        <v>950</v>
      </c>
      <c r="E243" s="232" t="s">
        <v>480</v>
      </c>
      <c r="F243" s="232" t="s">
        <v>481</v>
      </c>
      <c r="G243" s="232" t="s">
        <v>951</v>
      </c>
      <c r="K243" t="s">
        <v>2647</v>
      </c>
      <c r="L243" s="81">
        <f>+Municipios!AB244</f>
        <v>32.460070916219941</v>
      </c>
      <c r="M243" s="232">
        <v>13188</v>
      </c>
      <c r="N243" s="232" t="s">
        <v>950</v>
      </c>
      <c r="O243" s="232" t="s">
        <v>480</v>
      </c>
      <c r="P243" s="232" t="s">
        <v>481</v>
      </c>
      <c r="Q243" s="232" t="s">
        <v>951</v>
      </c>
      <c r="T243" t="s">
        <v>2803</v>
      </c>
      <c r="U243" s="25">
        <f>+Municipios!Z244</f>
        <v>55.136943100101121</v>
      </c>
      <c r="V243" s="232">
        <v>13188</v>
      </c>
      <c r="W243" s="232" t="s">
        <v>950</v>
      </c>
      <c r="X243" s="232" t="s">
        <v>480</v>
      </c>
      <c r="Y243" s="232" t="s">
        <v>481</v>
      </c>
      <c r="Z243" s="232" t="s">
        <v>951</v>
      </c>
    </row>
    <row r="244" spans="1:26">
      <c r="A244" t="s">
        <v>417</v>
      </c>
      <c r="B244" s="25">
        <f>+Municipios!Z245</f>
        <v>56.469854698718059</v>
      </c>
      <c r="C244" s="232">
        <v>5861</v>
      </c>
      <c r="D244" s="232" t="s">
        <v>952</v>
      </c>
      <c r="E244" s="232" t="s">
        <v>435</v>
      </c>
      <c r="F244" s="232" t="s">
        <v>436</v>
      </c>
      <c r="G244" s="232" t="s">
        <v>953</v>
      </c>
      <c r="K244" t="s">
        <v>2647</v>
      </c>
      <c r="L244" s="81">
        <f>+Municipios!AB245</f>
        <v>33.391846248967006</v>
      </c>
      <c r="M244" s="232">
        <v>5861</v>
      </c>
      <c r="N244" s="232" t="s">
        <v>952</v>
      </c>
      <c r="O244" s="232" t="s">
        <v>435</v>
      </c>
      <c r="P244" s="232" t="s">
        <v>436</v>
      </c>
      <c r="Q244" s="232" t="s">
        <v>953</v>
      </c>
      <c r="T244" t="s">
        <v>2803</v>
      </c>
      <c r="U244" s="25">
        <f>+Municipios!Z245</f>
        <v>56.469854698718059</v>
      </c>
      <c r="V244" s="232">
        <v>5861</v>
      </c>
      <c r="W244" s="232" t="s">
        <v>952</v>
      </c>
      <c r="X244" s="232" t="s">
        <v>435</v>
      </c>
      <c r="Y244" s="232" t="s">
        <v>436</v>
      </c>
      <c r="Z244" s="232" t="s">
        <v>953</v>
      </c>
    </row>
    <row r="245" spans="1:26">
      <c r="A245" t="s">
        <v>417</v>
      </c>
      <c r="B245" s="25">
        <f>+Municipios!Z246</f>
        <v>47.135212187135693</v>
      </c>
      <c r="C245" s="232">
        <v>70717</v>
      </c>
      <c r="D245" s="232" t="s">
        <v>954</v>
      </c>
      <c r="E245" s="232" t="s">
        <v>494</v>
      </c>
      <c r="F245" s="232" t="s">
        <v>495</v>
      </c>
      <c r="G245" s="232" t="s">
        <v>868</v>
      </c>
      <c r="K245" t="s">
        <v>2647</v>
      </c>
      <c r="L245" s="81">
        <f>+Municipios!AB246</f>
        <v>27.742233960781252</v>
      </c>
      <c r="M245" s="232">
        <v>70717</v>
      </c>
      <c r="N245" s="232" t="s">
        <v>954</v>
      </c>
      <c r="O245" s="232" t="s">
        <v>494</v>
      </c>
      <c r="P245" s="232" t="s">
        <v>495</v>
      </c>
      <c r="Q245" s="232" t="s">
        <v>868</v>
      </c>
      <c r="T245" t="s">
        <v>2803</v>
      </c>
      <c r="U245" s="25">
        <f>+Municipios!Z246</f>
        <v>47.135212187135693</v>
      </c>
      <c r="V245" s="232">
        <v>70717</v>
      </c>
      <c r="W245" s="232" t="s">
        <v>954</v>
      </c>
      <c r="X245" s="232" t="s">
        <v>494</v>
      </c>
      <c r="Y245" s="232" t="s">
        <v>495</v>
      </c>
      <c r="Z245" s="232" t="s">
        <v>868</v>
      </c>
    </row>
    <row r="246" spans="1:26">
      <c r="A246" t="s">
        <v>417</v>
      </c>
      <c r="B246" s="25">
        <f>+Municipios!Z247</f>
        <v>57.909537300026741</v>
      </c>
      <c r="C246" s="232">
        <v>44874</v>
      </c>
      <c r="D246" s="232" t="s">
        <v>955</v>
      </c>
      <c r="E246" s="232" t="s">
        <v>933</v>
      </c>
      <c r="F246" s="232" t="s">
        <v>934</v>
      </c>
      <c r="G246" s="232" t="s">
        <v>720</v>
      </c>
      <c r="K246" t="s">
        <v>2647</v>
      </c>
      <c r="L246" s="81">
        <f>+Municipios!AB247</f>
        <v>34.128369551330287</v>
      </c>
      <c r="M246" s="232">
        <v>44874</v>
      </c>
      <c r="N246" s="232" t="s">
        <v>955</v>
      </c>
      <c r="O246" s="232" t="s">
        <v>933</v>
      </c>
      <c r="P246" s="232" t="s">
        <v>934</v>
      </c>
      <c r="Q246" s="232" t="s">
        <v>720</v>
      </c>
      <c r="T246" t="s">
        <v>2803</v>
      </c>
      <c r="U246" s="25">
        <f>+Municipios!Z247</f>
        <v>57.909537300026741</v>
      </c>
      <c r="V246" s="232">
        <v>44874</v>
      </c>
      <c r="W246" s="232" t="s">
        <v>955</v>
      </c>
      <c r="X246" s="232" t="s">
        <v>933</v>
      </c>
      <c r="Y246" s="232" t="s">
        <v>934</v>
      </c>
      <c r="Z246" s="232" t="s">
        <v>720</v>
      </c>
    </row>
    <row r="247" spans="1:26">
      <c r="A247" t="s">
        <v>417</v>
      </c>
      <c r="B247" s="25">
        <f>+Municipios!Z248</f>
        <v>46.827557100351441</v>
      </c>
      <c r="C247" s="232">
        <v>5467</v>
      </c>
      <c r="D247" s="232" t="s">
        <v>956</v>
      </c>
      <c r="E247" s="232" t="s">
        <v>435</v>
      </c>
      <c r="F247" s="232" t="s">
        <v>436</v>
      </c>
      <c r="G247" s="232" t="s">
        <v>957</v>
      </c>
      <c r="K247" t="s">
        <v>2647</v>
      </c>
      <c r="L247" s="81">
        <f>+Municipios!AB248</f>
        <v>27.632415372589993</v>
      </c>
      <c r="M247" s="232">
        <v>5467</v>
      </c>
      <c r="N247" s="232" t="s">
        <v>956</v>
      </c>
      <c r="O247" s="232" t="s">
        <v>435</v>
      </c>
      <c r="P247" s="232" t="s">
        <v>436</v>
      </c>
      <c r="Q247" s="232" t="s">
        <v>957</v>
      </c>
      <c r="T247" t="s">
        <v>2803</v>
      </c>
      <c r="U247" s="25">
        <f>+Municipios!Z248</f>
        <v>46.827557100351441</v>
      </c>
      <c r="V247" s="232">
        <v>5467</v>
      </c>
      <c r="W247" s="232" t="s">
        <v>956</v>
      </c>
      <c r="X247" s="232" t="s">
        <v>435</v>
      </c>
      <c r="Y247" s="232" t="s">
        <v>436</v>
      </c>
      <c r="Z247" s="232" t="s">
        <v>957</v>
      </c>
    </row>
    <row r="248" spans="1:26">
      <c r="A248" t="s">
        <v>417</v>
      </c>
      <c r="B248" s="25">
        <f>+Municipios!Z249</f>
        <v>65.349853476183185</v>
      </c>
      <c r="C248" s="232">
        <v>15367</v>
      </c>
      <c r="D248" s="232" t="s">
        <v>958</v>
      </c>
      <c r="E248" s="232" t="s">
        <v>498</v>
      </c>
      <c r="F248" s="232" t="s">
        <v>499</v>
      </c>
      <c r="G248" s="232" t="s">
        <v>959</v>
      </c>
      <c r="K248" t="s">
        <v>2647</v>
      </c>
      <c r="L248" s="81">
        <f>+Municipios!AB249</f>
        <v>38.37215743155712</v>
      </c>
      <c r="M248" s="232">
        <v>15367</v>
      </c>
      <c r="N248" s="232" t="s">
        <v>958</v>
      </c>
      <c r="O248" s="232" t="s">
        <v>498</v>
      </c>
      <c r="P248" s="232" t="s">
        <v>499</v>
      </c>
      <c r="Q248" s="232" t="s">
        <v>959</v>
      </c>
      <c r="T248" t="s">
        <v>2803</v>
      </c>
      <c r="U248" s="25">
        <f>+Municipios!Z249</f>
        <v>65.349853476183185</v>
      </c>
      <c r="V248" s="232">
        <v>15367</v>
      </c>
      <c r="W248" s="232" t="s">
        <v>958</v>
      </c>
      <c r="X248" s="232" t="s">
        <v>498</v>
      </c>
      <c r="Y248" s="232" t="s">
        <v>499</v>
      </c>
      <c r="Z248" s="232" t="s">
        <v>959</v>
      </c>
    </row>
    <row r="249" spans="1:26">
      <c r="A249" t="s">
        <v>417</v>
      </c>
      <c r="B249" s="25">
        <f>+Municipios!Z250</f>
        <v>72.90091966703045</v>
      </c>
      <c r="C249" s="232">
        <v>25898</v>
      </c>
      <c r="D249" s="232" t="s">
        <v>960</v>
      </c>
      <c r="E249" s="232" t="s">
        <v>461</v>
      </c>
      <c r="F249" s="232" t="s">
        <v>462</v>
      </c>
      <c r="G249" s="232" t="s">
        <v>961</v>
      </c>
      <c r="K249" t="s">
        <v>2647</v>
      </c>
      <c r="L249" s="81">
        <f>+Municipios!AB250</f>
        <v>42.862141536565062</v>
      </c>
      <c r="M249" s="232">
        <v>25898</v>
      </c>
      <c r="N249" s="232" t="s">
        <v>960</v>
      </c>
      <c r="O249" s="232" t="s">
        <v>461</v>
      </c>
      <c r="P249" s="232" t="s">
        <v>462</v>
      </c>
      <c r="Q249" s="232" t="s">
        <v>961</v>
      </c>
      <c r="T249" t="s">
        <v>2803</v>
      </c>
      <c r="U249" s="25">
        <f>+Municipios!Z250</f>
        <v>72.90091966703045</v>
      </c>
      <c r="V249" s="232">
        <v>25898</v>
      </c>
      <c r="W249" s="232" t="s">
        <v>960</v>
      </c>
      <c r="X249" s="232" t="s">
        <v>461</v>
      </c>
      <c r="Y249" s="232" t="s">
        <v>462</v>
      </c>
      <c r="Z249" s="232" t="s">
        <v>961</v>
      </c>
    </row>
    <row r="250" spans="1:26">
      <c r="A250" t="s">
        <v>417</v>
      </c>
      <c r="B250" s="25">
        <f>+Municipios!Z251</f>
        <v>47.008224095869039</v>
      </c>
      <c r="C250" s="232">
        <v>70523</v>
      </c>
      <c r="D250" s="232" t="s">
        <v>962</v>
      </c>
      <c r="E250" s="232" t="s">
        <v>494</v>
      </c>
      <c r="F250" s="232" t="s">
        <v>495</v>
      </c>
      <c r="G250" s="232" t="s">
        <v>963</v>
      </c>
      <c r="K250" t="s">
        <v>2647</v>
      </c>
      <c r="L250" s="81">
        <f>+Municipios!AB251</f>
        <v>27.610126341172045</v>
      </c>
      <c r="M250" s="232">
        <v>70523</v>
      </c>
      <c r="N250" s="232" t="s">
        <v>962</v>
      </c>
      <c r="O250" s="232" t="s">
        <v>494</v>
      </c>
      <c r="P250" s="232" t="s">
        <v>495</v>
      </c>
      <c r="Q250" s="232" t="s">
        <v>963</v>
      </c>
      <c r="T250" t="s">
        <v>2803</v>
      </c>
      <c r="U250" s="25">
        <f>+Municipios!Z251</f>
        <v>47.008224095869039</v>
      </c>
      <c r="V250" s="232">
        <v>70523</v>
      </c>
      <c r="W250" s="232" t="s">
        <v>962</v>
      </c>
      <c r="X250" s="232" t="s">
        <v>494</v>
      </c>
      <c r="Y250" s="232" t="s">
        <v>495</v>
      </c>
      <c r="Z250" s="232" t="s">
        <v>963</v>
      </c>
    </row>
    <row r="251" spans="1:26">
      <c r="A251" t="s">
        <v>417</v>
      </c>
      <c r="B251" s="25">
        <f>+Municipios!Z252</f>
        <v>56.743213010368308</v>
      </c>
      <c r="C251" s="232">
        <v>17088</v>
      </c>
      <c r="D251" s="232" t="s">
        <v>964</v>
      </c>
      <c r="E251" s="232" t="s">
        <v>506</v>
      </c>
      <c r="F251" s="232" t="s">
        <v>507</v>
      </c>
      <c r="G251" s="232" t="s">
        <v>965</v>
      </c>
      <c r="K251" t="s">
        <v>2647</v>
      </c>
      <c r="L251" s="81">
        <f>+Municipios!AB252</f>
        <v>33.291890669446772</v>
      </c>
      <c r="M251" s="232">
        <v>17088</v>
      </c>
      <c r="N251" s="232" t="s">
        <v>964</v>
      </c>
      <c r="O251" s="232" t="s">
        <v>506</v>
      </c>
      <c r="P251" s="232" t="s">
        <v>507</v>
      </c>
      <c r="Q251" s="232" t="s">
        <v>965</v>
      </c>
      <c r="T251" t="s">
        <v>2803</v>
      </c>
      <c r="U251" s="25">
        <f>+Municipios!Z252</f>
        <v>56.743213010368308</v>
      </c>
      <c r="V251" s="232">
        <v>17088</v>
      </c>
      <c r="W251" s="232" t="s">
        <v>964</v>
      </c>
      <c r="X251" s="232" t="s">
        <v>506</v>
      </c>
      <c r="Y251" s="232" t="s">
        <v>507</v>
      </c>
      <c r="Z251" s="232" t="s">
        <v>965</v>
      </c>
    </row>
    <row r="252" spans="1:26">
      <c r="A252" t="s">
        <v>417</v>
      </c>
      <c r="B252" s="25">
        <f>+Municipios!Z253</f>
        <v>60.044290222727994</v>
      </c>
      <c r="C252" s="232">
        <v>25377</v>
      </c>
      <c r="D252" s="232" t="s">
        <v>966</v>
      </c>
      <c r="E252" s="232" t="s">
        <v>461</v>
      </c>
      <c r="F252" s="232" t="s">
        <v>462</v>
      </c>
      <c r="G252" s="232" t="s">
        <v>967</v>
      </c>
      <c r="K252" t="s">
        <v>2647</v>
      </c>
      <c r="L252" s="81">
        <f>+Municipios!AB253</f>
        <v>35.17875644054314</v>
      </c>
      <c r="M252" s="232">
        <v>25377</v>
      </c>
      <c r="N252" s="232" t="s">
        <v>966</v>
      </c>
      <c r="O252" s="232" t="s">
        <v>461</v>
      </c>
      <c r="P252" s="232" t="s">
        <v>462</v>
      </c>
      <c r="Q252" s="232" t="s">
        <v>967</v>
      </c>
      <c r="T252" t="s">
        <v>2803</v>
      </c>
      <c r="U252" s="25">
        <f>+Municipios!Z253</f>
        <v>60.044290222727994</v>
      </c>
      <c r="V252" s="232">
        <v>25377</v>
      </c>
      <c r="W252" s="232" t="s">
        <v>966</v>
      </c>
      <c r="X252" s="232" t="s">
        <v>461</v>
      </c>
      <c r="Y252" s="232" t="s">
        <v>462</v>
      </c>
      <c r="Z252" s="232" t="s">
        <v>967</v>
      </c>
    </row>
    <row r="253" spans="1:26">
      <c r="A253" t="s">
        <v>417</v>
      </c>
      <c r="B253" s="25">
        <f>+Municipios!Z254</f>
        <v>57.619955360783209</v>
      </c>
      <c r="C253" s="232">
        <v>23182</v>
      </c>
      <c r="D253" s="232" t="s">
        <v>968</v>
      </c>
      <c r="E253" s="232" t="s">
        <v>567</v>
      </c>
      <c r="F253" s="232" t="s">
        <v>568</v>
      </c>
      <c r="G253" s="232" t="s">
        <v>969</v>
      </c>
      <c r="K253" t="s">
        <v>2647</v>
      </c>
      <c r="L253" s="81">
        <f>+Municipios!AB254</f>
        <v>33.748151709684066</v>
      </c>
      <c r="M253" s="232">
        <v>23182</v>
      </c>
      <c r="N253" s="232" t="s">
        <v>968</v>
      </c>
      <c r="O253" s="232" t="s">
        <v>567</v>
      </c>
      <c r="P253" s="232" t="s">
        <v>568</v>
      </c>
      <c r="Q253" s="232" t="s">
        <v>969</v>
      </c>
      <c r="T253" t="s">
        <v>2803</v>
      </c>
      <c r="U253" s="25">
        <f>+Municipios!Z254</f>
        <v>57.619955360783209</v>
      </c>
      <c r="V253" s="232">
        <v>23182</v>
      </c>
      <c r="W253" s="232" t="s">
        <v>968</v>
      </c>
      <c r="X253" s="232" t="s">
        <v>567</v>
      </c>
      <c r="Y253" s="232" t="s">
        <v>568</v>
      </c>
      <c r="Z253" s="232" t="s">
        <v>969</v>
      </c>
    </row>
    <row r="254" spans="1:26">
      <c r="A254" t="s">
        <v>417</v>
      </c>
      <c r="B254" s="25">
        <f>+Municipios!Z255</f>
        <v>51.949779870642416</v>
      </c>
      <c r="C254" s="232">
        <v>5034</v>
      </c>
      <c r="D254" s="232" t="s">
        <v>970</v>
      </c>
      <c r="E254" s="232" t="s">
        <v>435</v>
      </c>
      <c r="F254" s="232" t="s">
        <v>436</v>
      </c>
      <c r="G254" s="232" t="s">
        <v>971</v>
      </c>
      <c r="K254" t="s">
        <v>2647</v>
      </c>
      <c r="L254" s="81">
        <f>+Municipios!AB255</f>
        <v>30.421220426113656</v>
      </c>
      <c r="M254" s="232">
        <v>5034</v>
      </c>
      <c r="N254" s="232" t="s">
        <v>970</v>
      </c>
      <c r="O254" s="232" t="s">
        <v>435</v>
      </c>
      <c r="P254" s="232" t="s">
        <v>436</v>
      </c>
      <c r="Q254" s="232" t="s">
        <v>971</v>
      </c>
      <c r="T254" t="s">
        <v>2803</v>
      </c>
      <c r="U254" s="25">
        <f>+Municipios!Z255</f>
        <v>51.949779870642416</v>
      </c>
      <c r="V254" s="232">
        <v>5034</v>
      </c>
      <c r="W254" s="232" t="s">
        <v>970</v>
      </c>
      <c r="X254" s="232" t="s">
        <v>435</v>
      </c>
      <c r="Y254" s="232" t="s">
        <v>436</v>
      </c>
      <c r="Z254" s="232" t="s">
        <v>971</v>
      </c>
    </row>
    <row r="255" spans="1:26">
      <c r="A255" t="s">
        <v>417</v>
      </c>
      <c r="B255" s="25">
        <f>+Municipios!Z256</f>
        <v>67.044370942300944</v>
      </c>
      <c r="C255" s="232">
        <v>44378</v>
      </c>
      <c r="D255" s="232" t="s">
        <v>972</v>
      </c>
      <c r="E255" s="232" t="s">
        <v>933</v>
      </c>
      <c r="F255" s="232" t="s">
        <v>934</v>
      </c>
      <c r="G255" s="232" t="s">
        <v>973</v>
      </c>
      <c r="K255" t="s">
        <v>2647</v>
      </c>
      <c r="L255" s="81">
        <f>+Municipios!AB256</f>
        <v>39.261786485052966</v>
      </c>
      <c r="M255" s="232">
        <v>44378</v>
      </c>
      <c r="N255" s="232" t="s">
        <v>972</v>
      </c>
      <c r="O255" s="232" t="s">
        <v>933</v>
      </c>
      <c r="P255" s="232" t="s">
        <v>934</v>
      </c>
      <c r="Q255" s="232" t="s">
        <v>973</v>
      </c>
      <c r="T255" t="s">
        <v>2803</v>
      </c>
      <c r="U255" s="25">
        <f>+Municipios!Z256</f>
        <v>67.044370942300944</v>
      </c>
      <c r="V255" s="232">
        <v>44378</v>
      </c>
      <c r="W255" s="232" t="s">
        <v>972</v>
      </c>
      <c r="X255" s="232" t="s">
        <v>933</v>
      </c>
      <c r="Y255" s="232" t="s">
        <v>934</v>
      </c>
      <c r="Z255" s="232" t="s">
        <v>973</v>
      </c>
    </row>
    <row r="256" spans="1:26">
      <c r="A256" t="s">
        <v>417</v>
      </c>
      <c r="B256" s="25">
        <f>+Municipios!Z257</f>
        <v>60.021472198766723</v>
      </c>
      <c r="C256" s="232">
        <v>25658</v>
      </c>
      <c r="D256" s="232" t="s">
        <v>974</v>
      </c>
      <c r="E256" s="232" t="s">
        <v>461</v>
      </c>
      <c r="F256" s="232" t="s">
        <v>462</v>
      </c>
      <c r="G256" s="232" t="s">
        <v>975</v>
      </c>
      <c r="K256" t="s">
        <v>2647</v>
      </c>
      <c r="L256" s="81">
        <f>+Municipios!AB257</f>
        <v>35.042295394802828</v>
      </c>
      <c r="M256" s="232">
        <v>25658</v>
      </c>
      <c r="N256" s="232" t="s">
        <v>974</v>
      </c>
      <c r="O256" s="232" t="s">
        <v>461</v>
      </c>
      <c r="P256" s="232" t="s">
        <v>462</v>
      </c>
      <c r="Q256" s="232" t="s">
        <v>975</v>
      </c>
      <c r="T256" t="s">
        <v>2803</v>
      </c>
      <c r="U256" s="25">
        <f>+Municipios!Z257</f>
        <v>60.021472198766723</v>
      </c>
      <c r="V256" s="232">
        <v>25658</v>
      </c>
      <c r="W256" s="232" t="s">
        <v>974</v>
      </c>
      <c r="X256" s="232" t="s">
        <v>461</v>
      </c>
      <c r="Y256" s="232" t="s">
        <v>462</v>
      </c>
      <c r="Z256" s="232" t="s">
        <v>975</v>
      </c>
    </row>
    <row r="257" spans="1:26">
      <c r="A257" t="s">
        <v>417</v>
      </c>
      <c r="B257" s="25">
        <f>+Municipios!Z258</f>
        <v>64.5079603140682</v>
      </c>
      <c r="C257" s="232">
        <v>25781</v>
      </c>
      <c r="D257" s="232" t="s">
        <v>976</v>
      </c>
      <c r="E257" s="232" t="s">
        <v>461</v>
      </c>
      <c r="F257" s="232" t="s">
        <v>462</v>
      </c>
      <c r="G257" s="232" t="s">
        <v>977</v>
      </c>
      <c r="K257" t="s">
        <v>2647</v>
      </c>
      <c r="L257" s="81">
        <f>+Municipios!AB258</f>
        <v>37.545107023648512</v>
      </c>
      <c r="M257" s="232">
        <v>25781</v>
      </c>
      <c r="N257" s="232" t="s">
        <v>976</v>
      </c>
      <c r="O257" s="232" t="s">
        <v>461</v>
      </c>
      <c r="P257" s="232" t="s">
        <v>462</v>
      </c>
      <c r="Q257" s="232" t="s">
        <v>977</v>
      </c>
      <c r="T257" t="s">
        <v>2803</v>
      </c>
      <c r="U257" s="25">
        <f>+Municipios!Z258</f>
        <v>64.5079603140682</v>
      </c>
      <c r="V257" s="232">
        <v>25781</v>
      </c>
      <c r="W257" s="232" t="s">
        <v>976</v>
      </c>
      <c r="X257" s="232" t="s">
        <v>461</v>
      </c>
      <c r="Y257" s="232" t="s">
        <v>462</v>
      </c>
      <c r="Z257" s="232" t="s">
        <v>977</v>
      </c>
    </row>
    <row r="258" spans="1:26">
      <c r="A258" t="s">
        <v>417</v>
      </c>
      <c r="B258" s="25">
        <f>+Municipios!Z259</f>
        <v>53.36418917744885</v>
      </c>
      <c r="C258" s="232">
        <v>5101</v>
      </c>
      <c r="D258" s="232" t="s">
        <v>978</v>
      </c>
      <c r="E258" s="232" t="s">
        <v>435</v>
      </c>
      <c r="F258" s="232" t="s">
        <v>436</v>
      </c>
      <c r="G258" s="232" t="s">
        <v>979</v>
      </c>
      <c r="K258" t="s">
        <v>2647</v>
      </c>
      <c r="L258" s="81">
        <f>+Municipios!AB259</f>
        <v>31.203739932490222</v>
      </c>
      <c r="M258" s="232">
        <v>5101</v>
      </c>
      <c r="N258" s="232" t="s">
        <v>978</v>
      </c>
      <c r="O258" s="232" t="s">
        <v>435</v>
      </c>
      <c r="P258" s="232" t="s">
        <v>436</v>
      </c>
      <c r="Q258" s="232" t="s">
        <v>979</v>
      </c>
      <c r="T258" t="s">
        <v>2803</v>
      </c>
      <c r="U258" s="25">
        <f>+Municipios!Z259</f>
        <v>53.36418917744885</v>
      </c>
      <c r="V258" s="232">
        <v>5101</v>
      </c>
      <c r="W258" s="232" t="s">
        <v>978</v>
      </c>
      <c r="X258" s="232" t="s">
        <v>435</v>
      </c>
      <c r="Y258" s="232" t="s">
        <v>436</v>
      </c>
      <c r="Z258" s="232" t="s">
        <v>979</v>
      </c>
    </row>
    <row r="259" spans="1:26">
      <c r="A259" t="s">
        <v>417</v>
      </c>
      <c r="B259" s="25">
        <f>+Municipios!Z260</f>
        <v>59.713842728949345</v>
      </c>
      <c r="C259" s="232">
        <v>5809</v>
      </c>
      <c r="D259" s="232" t="s">
        <v>980</v>
      </c>
      <c r="E259" s="232" t="s">
        <v>435</v>
      </c>
      <c r="F259" s="232" t="s">
        <v>436</v>
      </c>
      <c r="G259" s="232" t="s">
        <v>981</v>
      </c>
      <c r="K259" t="s">
        <v>2647</v>
      </c>
      <c r="L259" s="81">
        <f>+Municipios!AB260</f>
        <v>35.001248870416596</v>
      </c>
      <c r="M259" s="232">
        <v>5809</v>
      </c>
      <c r="N259" s="232" t="s">
        <v>980</v>
      </c>
      <c r="O259" s="232" t="s">
        <v>435</v>
      </c>
      <c r="P259" s="232" t="s">
        <v>436</v>
      </c>
      <c r="Q259" s="232" t="s">
        <v>981</v>
      </c>
      <c r="T259" t="s">
        <v>2803</v>
      </c>
      <c r="U259" s="25">
        <f>+Municipios!Z260</f>
        <v>59.713842728949345</v>
      </c>
      <c r="V259" s="232">
        <v>5809</v>
      </c>
      <c r="W259" s="232" t="s">
        <v>980</v>
      </c>
      <c r="X259" s="232" t="s">
        <v>435</v>
      </c>
      <c r="Y259" s="232" t="s">
        <v>436</v>
      </c>
      <c r="Z259" s="232" t="s">
        <v>981</v>
      </c>
    </row>
    <row r="260" spans="1:26">
      <c r="A260" t="s">
        <v>417</v>
      </c>
      <c r="B260" s="25">
        <f>+Municipios!Z261</f>
        <v>51.230351415448993</v>
      </c>
      <c r="C260" s="232">
        <v>52051</v>
      </c>
      <c r="D260" s="232" t="s">
        <v>982</v>
      </c>
      <c r="E260" s="232" t="s">
        <v>672</v>
      </c>
      <c r="F260" s="232" t="s">
        <v>673</v>
      </c>
      <c r="G260" s="232" t="s">
        <v>983</v>
      </c>
      <c r="K260" t="s">
        <v>2647</v>
      </c>
      <c r="L260" s="81">
        <f>+Municipios!AB261</f>
        <v>29.889199101376843</v>
      </c>
      <c r="M260" s="232">
        <v>52051</v>
      </c>
      <c r="N260" s="232" t="s">
        <v>982</v>
      </c>
      <c r="O260" s="232" t="s">
        <v>672</v>
      </c>
      <c r="P260" s="232" t="s">
        <v>673</v>
      </c>
      <c r="Q260" s="232" t="s">
        <v>983</v>
      </c>
      <c r="T260" t="s">
        <v>2803</v>
      </c>
      <c r="U260" s="25">
        <f>+Municipios!Z261</f>
        <v>51.230351415448993</v>
      </c>
      <c r="V260" s="232">
        <v>52051</v>
      </c>
      <c r="W260" s="232" t="s">
        <v>982</v>
      </c>
      <c r="X260" s="232" t="s">
        <v>672</v>
      </c>
      <c r="Y260" s="232" t="s">
        <v>673</v>
      </c>
      <c r="Z260" s="232" t="s">
        <v>983</v>
      </c>
    </row>
    <row r="261" spans="1:26">
      <c r="A261" t="s">
        <v>417</v>
      </c>
      <c r="B261" s="25">
        <f>+Municipios!Z262</f>
        <v>51.201357846383267</v>
      </c>
      <c r="C261" s="232">
        <v>5353</v>
      </c>
      <c r="D261" s="232" t="s">
        <v>984</v>
      </c>
      <c r="E261" s="232" t="s">
        <v>435</v>
      </c>
      <c r="F261" s="232" t="s">
        <v>436</v>
      </c>
      <c r="G261" s="232" t="s">
        <v>985</v>
      </c>
      <c r="K261" t="s">
        <v>2647</v>
      </c>
      <c r="L261" s="81">
        <f>+Municipios!AB262</f>
        <v>29.867281395579198</v>
      </c>
      <c r="M261" s="232">
        <v>5353</v>
      </c>
      <c r="N261" s="232" t="s">
        <v>984</v>
      </c>
      <c r="O261" s="232" t="s">
        <v>435</v>
      </c>
      <c r="P261" s="232" t="s">
        <v>436</v>
      </c>
      <c r="Q261" s="232" t="s">
        <v>985</v>
      </c>
      <c r="T261" t="s">
        <v>2803</v>
      </c>
      <c r="U261" s="25">
        <f>+Municipios!Z262</f>
        <v>51.201357846383267</v>
      </c>
      <c r="V261" s="232">
        <v>5353</v>
      </c>
      <c r="W261" s="232" t="s">
        <v>984</v>
      </c>
      <c r="X261" s="232" t="s">
        <v>435</v>
      </c>
      <c r="Y261" s="232" t="s">
        <v>436</v>
      </c>
      <c r="Z261" s="232" t="s">
        <v>985</v>
      </c>
    </row>
    <row r="262" spans="1:26">
      <c r="A262" t="s">
        <v>417</v>
      </c>
      <c r="B262" s="25">
        <f>+Municipios!Z263</f>
        <v>61.902734473400272</v>
      </c>
      <c r="C262" s="232">
        <v>15686</v>
      </c>
      <c r="D262" s="232" t="s">
        <v>986</v>
      </c>
      <c r="E262" s="232" t="s">
        <v>498</v>
      </c>
      <c r="F262" s="232" t="s">
        <v>499</v>
      </c>
      <c r="G262" s="232" t="s">
        <v>987</v>
      </c>
      <c r="K262" t="s">
        <v>2647</v>
      </c>
      <c r="L262" s="81">
        <f>+Municipios!AB263</f>
        <v>35.823427434827437</v>
      </c>
      <c r="M262" s="232">
        <v>15686</v>
      </c>
      <c r="N262" s="232" t="s">
        <v>986</v>
      </c>
      <c r="O262" s="232" t="s">
        <v>498</v>
      </c>
      <c r="P262" s="232" t="s">
        <v>499</v>
      </c>
      <c r="Q262" s="232" t="s">
        <v>987</v>
      </c>
      <c r="T262" t="s">
        <v>2803</v>
      </c>
      <c r="U262" s="25">
        <f>+Municipios!Z263</f>
        <v>61.902734473400272</v>
      </c>
      <c r="V262" s="232">
        <v>15686</v>
      </c>
      <c r="W262" s="232" t="s">
        <v>986</v>
      </c>
      <c r="X262" s="232" t="s">
        <v>498</v>
      </c>
      <c r="Y262" s="232" t="s">
        <v>499</v>
      </c>
      <c r="Z262" s="232" t="s">
        <v>987</v>
      </c>
    </row>
    <row r="263" spans="1:26">
      <c r="A263" t="s">
        <v>417</v>
      </c>
      <c r="B263" s="25">
        <f>+Municipios!Z264</f>
        <v>52.472239178989824</v>
      </c>
      <c r="C263" s="232">
        <v>5036</v>
      </c>
      <c r="D263" s="232" t="s">
        <v>988</v>
      </c>
      <c r="E263" s="232" t="s">
        <v>435</v>
      </c>
      <c r="F263" s="232" t="s">
        <v>436</v>
      </c>
      <c r="G263" s="232" t="s">
        <v>989</v>
      </c>
      <c r="K263" t="s">
        <v>2647</v>
      </c>
      <c r="L263" s="81">
        <f>+Municipios!AB264</f>
        <v>30.682371739283806</v>
      </c>
      <c r="M263" s="232">
        <v>5036</v>
      </c>
      <c r="N263" s="232" t="s">
        <v>988</v>
      </c>
      <c r="O263" s="232" t="s">
        <v>435</v>
      </c>
      <c r="P263" s="232" t="s">
        <v>436</v>
      </c>
      <c r="Q263" s="232" t="s">
        <v>989</v>
      </c>
      <c r="T263" t="s">
        <v>2803</v>
      </c>
      <c r="U263" s="25">
        <f>+Municipios!Z264</f>
        <v>52.472239178989824</v>
      </c>
      <c r="V263" s="232">
        <v>5036</v>
      </c>
      <c r="W263" s="232" t="s">
        <v>988</v>
      </c>
      <c r="X263" s="232" t="s">
        <v>435</v>
      </c>
      <c r="Y263" s="232" t="s">
        <v>436</v>
      </c>
      <c r="Z263" s="232" t="s">
        <v>989</v>
      </c>
    </row>
    <row r="264" spans="1:26">
      <c r="A264" t="s">
        <v>417</v>
      </c>
      <c r="B264" s="25">
        <f>+Municipios!Z265</f>
        <v>67.607437327280849</v>
      </c>
      <c r="C264" s="232">
        <v>15646</v>
      </c>
      <c r="D264" s="232" t="s">
        <v>990</v>
      </c>
      <c r="E264" s="232" t="s">
        <v>498</v>
      </c>
      <c r="F264" s="232" t="s">
        <v>499</v>
      </c>
      <c r="G264" s="232" t="s">
        <v>991</v>
      </c>
      <c r="K264" t="s">
        <v>2647</v>
      </c>
      <c r="L264" s="81">
        <f>+Municipios!AB265</f>
        <v>39.29701619027567</v>
      </c>
      <c r="M264" s="232">
        <v>15646</v>
      </c>
      <c r="N264" s="232" t="s">
        <v>990</v>
      </c>
      <c r="O264" s="232" t="s">
        <v>498</v>
      </c>
      <c r="P264" s="232" t="s">
        <v>499</v>
      </c>
      <c r="Q264" s="232" t="s">
        <v>991</v>
      </c>
      <c r="T264" t="s">
        <v>2803</v>
      </c>
      <c r="U264" s="25">
        <f>+Municipios!Z265</f>
        <v>67.607437327280849</v>
      </c>
      <c r="V264" s="232">
        <v>15646</v>
      </c>
      <c r="W264" s="232" t="s">
        <v>990</v>
      </c>
      <c r="X264" s="232" t="s">
        <v>498</v>
      </c>
      <c r="Y264" s="232" t="s">
        <v>499</v>
      </c>
      <c r="Z264" s="232" t="s">
        <v>991</v>
      </c>
    </row>
    <row r="265" spans="1:26">
      <c r="A265" t="s">
        <v>417</v>
      </c>
      <c r="B265" s="25">
        <f>+Municipios!Z266</f>
        <v>44.196154489342241</v>
      </c>
      <c r="C265" s="232">
        <v>70702</v>
      </c>
      <c r="D265" s="232" t="s">
        <v>992</v>
      </c>
      <c r="E265" s="232" t="s">
        <v>494</v>
      </c>
      <c r="F265" s="232" t="s">
        <v>495</v>
      </c>
      <c r="G265" s="232" t="s">
        <v>993</v>
      </c>
      <c r="K265" t="s">
        <v>2647</v>
      </c>
      <c r="L265" s="81">
        <f>+Municipios!AB266</f>
        <v>25.727485564082258</v>
      </c>
      <c r="M265" s="232">
        <v>70702</v>
      </c>
      <c r="N265" s="232" t="s">
        <v>992</v>
      </c>
      <c r="O265" s="232" t="s">
        <v>494</v>
      </c>
      <c r="P265" s="232" t="s">
        <v>495</v>
      </c>
      <c r="Q265" s="232" t="s">
        <v>993</v>
      </c>
      <c r="T265" t="s">
        <v>2803</v>
      </c>
      <c r="U265" s="25">
        <f>+Municipios!Z266</f>
        <v>44.196154489342241</v>
      </c>
      <c r="V265" s="232">
        <v>70702</v>
      </c>
      <c r="W265" s="232" t="s">
        <v>992</v>
      </c>
      <c r="X265" s="232" t="s">
        <v>494</v>
      </c>
      <c r="Y265" s="232" t="s">
        <v>495</v>
      </c>
      <c r="Z265" s="232" t="s">
        <v>993</v>
      </c>
    </row>
    <row r="266" spans="1:26">
      <c r="A266" t="s">
        <v>417</v>
      </c>
      <c r="B266" s="25">
        <f>+Municipios!Z267</f>
        <v>50.358310400434391</v>
      </c>
      <c r="C266" s="232">
        <v>13442</v>
      </c>
      <c r="D266" s="232" t="s">
        <v>994</v>
      </c>
      <c r="E266" s="232" t="s">
        <v>480</v>
      </c>
      <c r="F266" s="232" t="s">
        <v>481</v>
      </c>
      <c r="G266" s="232" t="s">
        <v>995</v>
      </c>
      <c r="K266" t="s">
        <v>2647</v>
      </c>
      <c r="L266" s="81">
        <f>+Municipios!AB267</f>
        <v>29.31883299767939</v>
      </c>
      <c r="M266" s="232">
        <v>13442</v>
      </c>
      <c r="N266" s="232" t="s">
        <v>994</v>
      </c>
      <c r="O266" s="232" t="s">
        <v>480</v>
      </c>
      <c r="P266" s="232" t="s">
        <v>481</v>
      </c>
      <c r="Q266" s="232" t="s">
        <v>995</v>
      </c>
      <c r="T266" t="s">
        <v>2803</v>
      </c>
      <c r="U266" s="25">
        <f>+Municipios!Z267</f>
        <v>50.358310400434391</v>
      </c>
      <c r="V266" s="232">
        <v>13442</v>
      </c>
      <c r="W266" s="232" t="s">
        <v>994</v>
      </c>
      <c r="X266" s="232" t="s">
        <v>480</v>
      </c>
      <c r="Y266" s="232" t="s">
        <v>481</v>
      </c>
      <c r="Z266" s="232" t="s">
        <v>995</v>
      </c>
    </row>
    <row r="267" spans="1:26">
      <c r="A267" t="s">
        <v>417</v>
      </c>
      <c r="B267" s="25">
        <f>+Municipios!Z268</f>
        <v>50.902538114365058</v>
      </c>
      <c r="C267" s="232">
        <v>52083</v>
      </c>
      <c r="D267" s="232" t="s">
        <v>996</v>
      </c>
      <c r="E267" s="232" t="s">
        <v>672</v>
      </c>
      <c r="F267" s="232" t="s">
        <v>673</v>
      </c>
      <c r="G267" s="232" t="s">
        <v>997</v>
      </c>
      <c r="K267" t="s">
        <v>2647</v>
      </c>
      <c r="L267" s="81">
        <f>+Municipios!AB268</f>
        <v>29.615775608324888</v>
      </c>
      <c r="M267" s="232">
        <v>52083</v>
      </c>
      <c r="N267" s="232" t="s">
        <v>996</v>
      </c>
      <c r="O267" s="232" t="s">
        <v>672</v>
      </c>
      <c r="P267" s="232" t="s">
        <v>673</v>
      </c>
      <c r="Q267" s="232" t="s">
        <v>997</v>
      </c>
      <c r="T267" t="s">
        <v>2803</v>
      </c>
      <c r="U267" s="25">
        <f>+Municipios!Z268</f>
        <v>50.902538114365058</v>
      </c>
      <c r="V267" s="232">
        <v>52083</v>
      </c>
      <c r="W267" s="232" t="s">
        <v>996</v>
      </c>
      <c r="X267" s="232" t="s">
        <v>672</v>
      </c>
      <c r="Y267" s="232" t="s">
        <v>673</v>
      </c>
      <c r="Z267" s="232" t="s">
        <v>997</v>
      </c>
    </row>
    <row r="268" spans="1:26">
      <c r="A268" t="s">
        <v>417</v>
      </c>
      <c r="B268" s="25">
        <f>+Municipios!Z269</f>
        <v>59.819775120765989</v>
      </c>
      <c r="C268" s="232">
        <v>15764</v>
      </c>
      <c r="D268" s="232" t="s">
        <v>998</v>
      </c>
      <c r="E268" s="232" t="s">
        <v>498</v>
      </c>
      <c r="F268" s="232" t="s">
        <v>499</v>
      </c>
      <c r="G268" s="232" t="s">
        <v>999</v>
      </c>
      <c r="K268" t="s">
        <v>2647</v>
      </c>
      <c r="L268" s="81">
        <f>+Municipios!AB269</f>
        <v>34.736986371300809</v>
      </c>
      <c r="M268" s="232">
        <v>15764</v>
      </c>
      <c r="N268" s="232" t="s">
        <v>998</v>
      </c>
      <c r="O268" s="232" t="s">
        <v>498</v>
      </c>
      <c r="P268" s="232" t="s">
        <v>499</v>
      </c>
      <c r="Q268" s="232" t="s">
        <v>999</v>
      </c>
      <c r="T268" t="s">
        <v>2803</v>
      </c>
      <c r="U268" s="25">
        <f>+Municipios!Z269</f>
        <v>59.819775120765989</v>
      </c>
      <c r="V268" s="232">
        <v>15764</v>
      </c>
      <c r="W268" s="232" t="s">
        <v>998</v>
      </c>
      <c r="X268" s="232" t="s">
        <v>498</v>
      </c>
      <c r="Y268" s="232" t="s">
        <v>499</v>
      </c>
      <c r="Z268" s="232" t="s">
        <v>999</v>
      </c>
    </row>
    <row r="269" spans="1:26">
      <c r="A269" t="s">
        <v>417</v>
      </c>
      <c r="B269" s="25">
        <f>+Municipios!Z270</f>
        <v>43.864797943856331</v>
      </c>
      <c r="C269" s="232">
        <v>13647</v>
      </c>
      <c r="D269" s="232" t="s">
        <v>1000</v>
      </c>
      <c r="E269" s="232" t="s">
        <v>480</v>
      </c>
      <c r="F269" s="232" t="s">
        <v>481</v>
      </c>
      <c r="G269" s="232" t="s">
        <v>1001</v>
      </c>
      <c r="K269" t="s">
        <v>2647</v>
      </c>
      <c r="L269" s="81">
        <f>+Municipios!AB270</f>
        <v>25.499211510184011</v>
      </c>
      <c r="M269" s="232">
        <v>13647</v>
      </c>
      <c r="N269" s="232" t="s">
        <v>1000</v>
      </c>
      <c r="O269" s="232" t="s">
        <v>480</v>
      </c>
      <c r="P269" s="232" t="s">
        <v>481</v>
      </c>
      <c r="Q269" s="232" t="s">
        <v>1001</v>
      </c>
      <c r="T269" t="s">
        <v>2803</v>
      </c>
      <c r="U269" s="25">
        <f>+Municipios!Z270</f>
        <v>43.864797943856331</v>
      </c>
      <c r="V269" s="232">
        <v>13647</v>
      </c>
      <c r="W269" s="232" t="s">
        <v>1000</v>
      </c>
      <c r="X269" s="232" t="s">
        <v>480</v>
      </c>
      <c r="Y269" s="232" t="s">
        <v>481</v>
      </c>
      <c r="Z269" s="232" t="s">
        <v>1001</v>
      </c>
    </row>
    <row r="270" spans="1:26">
      <c r="A270" t="s">
        <v>417</v>
      </c>
      <c r="B270" s="25">
        <f>+Municipios!Z271</f>
        <v>60.342172161441738</v>
      </c>
      <c r="C270" s="232">
        <v>52585</v>
      </c>
      <c r="D270" s="232" t="s">
        <v>1002</v>
      </c>
      <c r="E270" s="232" t="s">
        <v>672</v>
      </c>
      <c r="F270" s="232" t="s">
        <v>673</v>
      </c>
      <c r="G270" s="232" t="s">
        <v>1003</v>
      </c>
      <c r="K270" t="s">
        <v>2647</v>
      </c>
      <c r="L270" s="81">
        <f>+Municipios!AB271</f>
        <v>35.070198386842222</v>
      </c>
      <c r="M270" s="232">
        <v>52585</v>
      </c>
      <c r="N270" s="232" t="s">
        <v>1002</v>
      </c>
      <c r="O270" s="232" t="s">
        <v>672</v>
      </c>
      <c r="P270" s="232" t="s">
        <v>673</v>
      </c>
      <c r="Q270" s="232" t="s">
        <v>1003</v>
      </c>
      <c r="T270" t="s">
        <v>2803</v>
      </c>
      <c r="U270" s="25">
        <f>+Municipios!Z271</f>
        <v>60.342172161441738</v>
      </c>
      <c r="V270" s="232">
        <v>52585</v>
      </c>
      <c r="W270" s="232" t="s">
        <v>1002</v>
      </c>
      <c r="X270" s="232" t="s">
        <v>672</v>
      </c>
      <c r="Y270" s="232" t="s">
        <v>673</v>
      </c>
      <c r="Z270" s="232" t="s">
        <v>1003</v>
      </c>
    </row>
    <row r="271" spans="1:26">
      <c r="A271" t="s">
        <v>417</v>
      </c>
      <c r="B271" s="25">
        <f>+Municipios!Z272</f>
        <v>54.866331070005032</v>
      </c>
      <c r="C271" s="232">
        <v>76823</v>
      </c>
      <c r="D271" s="232" t="s">
        <v>1004</v>
      </c>
      <c r="E271" s="232" t="s">
        <v>454</v>
      </c>
      <c r="F271" s="232" t="s">
        <v>455</v>
      </c>
      <c r="G271" s="232" t="s">
        <v>1005</v>
      </c>
      <c r="K271" t="s">
        <v>2647</v>
      </c>
      <c r="L271" s="81">
        <f>+Municipios!AB272</f>
        <v>31.846165057104461</v>
      </c>
      <c r="M271" s="232">
        <v>76823</v>
      </c>
      <c r="N271" s="232" t="s">
        <v>1004</v>
      </c>
      <c r="O271" s="232" t="s">
        <v>454</v>
      </c>
      <c r="P271" s="232" t="s">
        <v>455</v>
      </c>
      <c r="Q271" s="232" t="s">
        <v>1005</v>
      </c>
      <c r="T271" t="s">
        <v>2803</v>
      </c>
      <c r="U271" s="25">
        <f>+Municipios!Z272</f>
        <v>54.866331070005032</v>
      </c>
      <c r="V271" s="232">
        <v>76823</v>
      </c>
      <c r="W271" s="232" t="s">
        <v>1004</v>
      </c>
      <c r="X271" s="232" t="s">
        <v>454</v>
      </c>
      <c r="Y271" s="232" t="s">
        <v>455</v>
      </c>
      <c r="Z271" s="232" t="s">
        <v>1005</v>
      </c>
    </row>
    <row r="272" spans="1:26">
      <c r="A272" t="s">
        <v>417</v>
      </c>
      <c r="B272" s="25">
        <f>+Municipios!Z273</f>
        <v>58.835380833726902</v>
      </c>
      <c r="C272" s="232">
        <v>25491</v>
      </c>
      <c r="D272" s="232" t="s">
        <v>1006</v>
      </c>
      <c r="E272" s="232" t="s">
        <v>461</v>
      </c>
      <c r="F272" s="232" t="s">
        <v>462</v>
      </c>
      <c r="G272" s="232" t="s">
        <v>1007</v>
      </c>
      <c r="K272" t="s">
        <v>2647</v>
      </c>
      <c r="L272" s="81">
        <f>+Municipios!AB273</f>
        <v>34.017391254486057</v>
      </c>
      <c r="M272" s="232">
        <v>25491</v>
      </c>
      <c r="N272" s="232" t="s">
        <v>1006</v>
      </c>
      <c r="O272" s="232" t="s">
        <v>461</v>
      </c>
      <c r="P272" s="232" t="s">
        <v>462</v>
      </c>
      <c r="Q272" s="232" t="s">
        <v>1007</v>
      </c>
      <c r="T272" t="s">
        <v>2803</v>
      </c>
      <c r="U272" s="25">
        <f>+Municipios!Z273</f>
        <v>58.835380833726902</v>
      </c>
      <c r="V272" s="232">
        <v>25491</v>
      </c>
      <c r="W272" s="232" t="s">
        <v>1006</v>
      </c>
      <c r="X272" s="232" t="s">
        <v>461</v>
      </c>
      <c r="Y272" s="232" t="s">
        <v>462</v>
      </c>
      <c r="Z272" s="232" t="s">
        <v>1007</v>
      </c>
    </row>
    <row r="273" spans="1:26">
      <c r="A273" t="s">
        <v>417</v>
      </c>
      <c r="B273" s="25">
        <f>+Municipios!Z274</f>
        <v>62.059424360017672</v>
      </c>
      <c r="C273" s="232">
        <v>41298</v>
      </c>
      <c r="D273" s="232" t="s">
        <v>1008</v>
      </c>
      <c r="E273" s="232" t="s">
        <v>676</v>
      </c>
      <c r="F273" s="232" t="s">
        <v>677</v>
      </c>
      <c r="G273" s="232" t="s">
        <v>1009</v>
      </c>
      <c r="K273" t="s">
        <v>2647</v>
      </c>
      <c r="L273" s="81">
        <f>+Municipios!AB274</f>
        <v>36.045123085101281</v>
      </c>
      <c r="M273" s="232">
        <v>41298</v>
      </c>
      <c r="N273" s="232" t="s">
        <v>1008</v>
      </c>
      <c r="O273" s="232" t="s">
        <v>676</v>
      </c>
      <c r="P273" s="232" t="s">
        <v>677</v>
      </c>
      <c r="Q273" s="232" t="s">
        <v>1009</v>
      </c>
      <c r="T273" t="s">
        <v>2803</v>
      </c>
      <c r="U273" s="25">
        <f>+Municipios!Z274</f>
        <v>62.059424360017672</v>
      </c>
      <c r="V273" s="232">
        <v>41298</v>
      </c>
      <c r="W273" s="232" t="s">
        <v>1008</v>
      </c>
      <c r="X273" s="232" t="s">
        <v>676</v>
      </c>
      <c r="Y273" s="232" t="s">
        <v>677</v>
      </c>
      <c r="Z273" s="232" t="s">
        <v>1009</v>
      </c>
    </row>
    <row r="274" spans="1:26">
      <c r="A274" t="s">
        <v>417</v>
      </c>
      <c r="B274" s="25">
        <f>+Municipios!Z275</f>
        <v>59.250594195641384</v>
      </c>
      <c r="C274" s="232">
        <v>52685</v>
      </c>
      <c r="D274" s="232" t="s">
        <v>1010</v>
      </c>
      <c r="E274" s="232" t="s">
        <v>672</v>
      </c>
      <c r="F274" s="232" t="s">
        <v>673</v>
      </c>
      <c r="G274" s="232" t="s">
        <v>1011</v>
      </c>
      <c r="K274" t="s">
        <v>2647</v>
      </c>
      <c r="L274" s="81">
        <f>+Municipios!AB275</f>
        <v>34.391236623815388</v>
      </c>
      <c r="M274" s="232">
        <v>52685</v>
      </c>
      <c r="N274" s="232" t="s">
        <v>1010</v>
      </c>
      <c r="O274" s="232" t="s">
        <v>672</v>
      </c>
      <c r="P274" s="232" t="s">
        <v>673</v>
      </c>
      <c r="Q274" s="232" t="s">
        <v>1011</v>
      </c>
      <c r="T274" t="s">
        <v>2803</v>
      </c>
      <c r="U274" s="25">
        <f>+Municipios!Z275</f>
        <v>59.250594195641384</v>
      </c>
      <c r="V274" s="232">
        <v>52685</v>
      </c>
      <c r="W274" s="232" t="s">
        <v>1010</v>
      </c>
      <c r="X274" s="232" t="s">
        <v>672</v>
      </c>
      <c r="Y274" s="232" t="s">
        <v>673</v>
      </c>
      <c r="Z274" s="232" t="s">
        <v>1011</v>
      </c>
    </row>
    <row r="275" spans="1:26">
      <c r="A275" t="s">
        <v>417</v>
      </c>
      <c r="B275" s="25">
        <f>+Municipios!Z276</f>
        <v>63.156789091906042</v>
      </c>
      <c r="C275" s="232">
        <v>44279</v>
      </c>
      <c r="D275" s="232" t="s">
        <v>1012</v>
      </c>
      <c r="E275" s="232" t="s">
        <v>933</v>
      </c>
      <c r="F275" s="232" t="s">
        <v>934</v>
      </c>
      <c r="G275" s="232" t="s">
        <v>1013</v>
      </c>
      <c r="K275" t="s">
        <v>2647</v>
      </c>
      <c r="L275" s="81">
        <f>+Municipios!AB276</f>
        <v>36.598229710279803</v>
      </c>
      <c r="M275" s="232">
        <v>44279</v>
      </c>
      <c r="N275" s="232" t="s">
        <v>1012</v>
      </c>
      <c r="O275" s="232" t="s">
        <v>933</v>
      </c>
      <c r="P275" s="232" t="s">
        <v>934</v>
      </c>
      <c r="Q275" s="232" t="s">
        <v>1013</v>
      </c>
      <c r="T275" t="s">
        <v>2803</v>
      </c>
      <c r="U275" s="25">
        <f>+Municipios!Z276</f>
        <v>63.156789091906042</v>
      </c>
      <c r="V275" s="232">
        <v>44279</v>
      </c>
      <c r="W275" s="232" t="s">
        <v>1012</v>
      </c>
      <c r="X275" s="232" t="s">
        <v>933</v>
      </c>
      <c r="Y275" s="232" t="s">
        <v>934</v>
      </c>
      <c r="Z275" s="232" t="s">
        <v>1013</v>
      </c>
    </row>
    <row r="276" spans="1:26">
      <c r="A276" t="s">
        <v>417</v>
      </c>
      <c r="B276" s="25">
        <f>+Municipios!Z277</f>
        <v>69.850070539898155</v>
      </c>
      <c r="C276" s="232">
        <v>54172</v>
      </c>
      <c r="D276" s="232" t="s">
        <v>1014</v>
      </c>
      <c r="E276" s="232" t="s">
        <v>517</v>
      </c>
      <c r="F276" s="232" t="s">
        <v>518</v>
      </c>
      <c r="G276" s="232" t="s">
        <v>1015</v>
      </c>
      <c r="K276" t="s">
        <v>2647</v>
      </c>
      <c r="L276" s="81">
        <f>+Municipios!AB277</f>
        <v>40.550595429282602</v>
      </c>
      <c r="M276" s="232">
        <v>54172</v>
      </c>
      <c r="N276" s="232" t="s">
        <v>1014</v>
      </c>
      <c r="O276" s="232" t="s">
        <v>517</v>
      </c>
      <c r="P276" s="232" t="s">
        <v>518</v>
      </c>
      <c r="Q276" s="232" t="s">
        <v>1015</v>
      </c>
      <c r="T276" t="s">
        <v>2803</v>
      </c>
      <c r="U276" s="25">
        <f>+Municipios!Z277</f>
        <v>69.850070539898155</v>
      </c>
      <c r="V276" s="232">
        <v>54172</v>
      </c>
      <c r="W276" s="232" t="s">
        <v>1014</v>
      </c>
      <c r="X276" s="232" t="s">
        <v>517</v>
      </c>
      <c r="Y276" s="232" t="s">
        <v>518</v>
      </c>
      <c r="Z276" s="232" t="s">
        <v>1015</v>
      </c>
    </row>
    <row r="277" spans="1:26">
      <c r="A277" t="s">
        <v>417</v>
      </c>
      <c r="B277" s="25">
        <f>+Municipios!Z278</f>
        <v>68.980584515019117</v>
      </c>
      <c r="C277" s="232">
        <v>15104</v>
      </c>
      <c r="D277" s="232" t="s">
        <v>1016</v>
      </c>
      <c r="E277" s="232" t="s">
        <v>498</v>
      </c>
      <c r="F277" s="232" t="s">
        <v>499</v>
      </c>
      <c r="G277" s="232" t="s">
        <v>499</v>
      </c>
      <c r="K277" t="s">
        <v>2647</v>
      </c>
      <c r="L277" s="81">
        <f>+Municipios!AB278</f>
        <v>39.864611943220829</v>
      </c>
      <c r="M277" s="232">
        <v>15104</v>
      </c>
      <c r="N277" s="232" t="s">
        <v>1016</v>
      </c>
      <c r="O277" s="232" t="s">
        <v>498</v>
      </c>
      <c r="P277" s="232" t="s">
        <v>499</v>
      </c>
      <c r="Q277" s="232" t="s">
        <v>499</v>
      </c>
      <c r="T277" t="s">
        <v>2803</v>
      </c>
      <c r="U277" s="25">
        <f>+Municipios!Z278</f>
        <v>68.980584515019117</v>
      </c>
      <c r="V277" s="232">
        <v>15104</v>
      </c>
      <c r="W277" s="232" t="s">
        <v>1016</v>
      </c>
      <c r="X277" s="232" t="s">
        <v>498</v>
      </c>
      <c r="Y277" s="232" t="s">
        <v>499</v>
      </c>
      <c r="Z277" s="232" t="s">
        <v>499</v>
      </c>
    </row>
    <row r="278" spans="1:26">
      <c r="A278" t="s">
        <v>417</v>
      </c>
      <c r="B278" s="25">
        <f>+Municipios!Z279</f>
        <v>73.132755070747095</v>
      </c>
      <c r="C278" s="232">
        <v>15516</v>
      </c>
      <c r="D278" s="232" t="s">
        <v>1017</v>
      </c>
      <c r="E278" s="232" t="s">
        <v>498</v>
      </c>
      <c r="F278" s="232" t="s">
        <v>499</v>
      </c>
      <c r="G278" s="232" t="s">
        <v>1018</v>
      </c>
      <c r="K278" t="s">
        <v>2647</v>
      </c>
      <c r="L278" s="81">
        <f>+Municipios!AB279</f>
        <v>42.326393504467489</v>
      </c>
      <c r="M278" s="232">
        <v>15516</v>
      </c>
      <c r="N278" s="232" t="s">
        <v>1017</v>
      </c>
      <c r="O278" s="232" t="s">
        <v>498</v>
      </c>
      <c r="P278" s="232" t="s">
        <v>499</v>
      </c>
      <c r="Q278" s="232" t="s">
        <v>1018</v>
      </c>
      <c r="T278" t="s">
        <v>2803</v>
      </c>
      <c r="U278" s="25">
        <f>+Municipios!Z279</f>
        <v>73.132755070747095</v>
      </c>
      <c r="V278" s="232">
        <v>15516</v>
      </c>
      <c r="W278" s="232" t="s">
        <v>1017</v>
      </c>
      <c r="X278" s="232" t="s">
        <v>498</v>
      </c>
      <c r="Y278" s="232" t="s">
        <v>499</v>
      </c>
      <c r="Z278" s="232" t="s">
        <v>1018</v>
      </c>
    </row>
    <row r="279" spans="1:26">
      <c r="A279" t="s">
        <v>417</v>
      </c>
      <c r="B279" s="25">
        <f>+Municipios!Z280</f>
        <v>63.969140784772556</v>
      </c>
      <c r="C279" s="232">
        <v>68406</v>
      </c>
      <c r="D279" s="232" t="s">
        <v>1019</v>
      </c>
      <c r="E279" s="232" t="s">
        <v>431</v>
      </c>
      <c r="F279" s="232" t="s">
        <v>432</v>
      </c>
      <c r="G279" s="232" t="s">
        <v>1020</v>
      </c>
      <c r="K279" t="s">
        <v>2647</v>
      </c>
      <c r="L279" s="81">
        <f>+Municipios!AB280</f>
        <v>37.083221998330082</v>
      </c>
      <c r="M279" s="232">
        <v>68406</v>
      </c>
      <c r="N279" s="232" t="s">
        <v>1019</v>
      </c>
      <c r="O279" s="232" t="s">
        <v>431</v>
      </c>
      <c r="P279" s="232" t="s">
        <v>432</v>
      </c>
      <c r="Q279" s="232" t="s">
        <v>1020</v>
      </c>
      <c r="T279" t="s">
        <v>2803</v>
      </c>
      <c r="U279" s="25">
        <f>+Municipios!Z280</f>
        <v>63.969140784772556</v>
      </c>
      <c r="V279" s="232">
        <v>68406</v>
      </c>
      <c r="W279" s="232" t="s">
        <v>1019</v>
      </c>
      <c r="X279" s="232" t="s">
        <v>431</v>
      </c>
      <c r="Y279" s="232" t="s">
        <v>432</v>
      </c>
      <c r="Z279" s="232" t="s">
        <v>1020</v>
      </c>
    </row>
    <row r="280" spans="1:26">
      <c r="A280" t="s">
        <v>417</v>
      </c>
      <c r="B280" s="25">
        <f>+Municipios!Z281</f>
        <v>55.421279579858322</v>
      </c>
      <c r="C280" s="232">
        <v>70823</v>
      </c>
      <c r="D280" s="232" t="s">
        <v>1021</v>
      </c>
      <c r="E280" s="232" t="s">
        <v>494</v>
      </c>
      <c r="F280" s="232" t="s">
        <v>495</v>
      </c>
      <c r="G280" s="232" t="s">
        <v>1022</v>
      </c>
      <c r="K280" t="s">
        <v>2647</v>
      </c>
      <c r="L280" s="81">
        <f>+Municipios!AB281</f>
        <v>32.023287127681087</v>
      </c>
      <c r="M280" s="232">
        <v>70823</v>
      </c>
      <c r="N280" s="232" t="s">
        <v>1021</v>
      </c>
      <c r="O280" s="232" t="s">
        <v>494</v>
      </c>
      <c r="P280" s="232" t="s">
        <v>495</v>
      </c>
      <c r="Q280" s="232" t="s">
        <v>1022</v>
      </c>
      <c r="T280" t="s">
        <v>2803</v>
      </c>
      <c r="U280" s="25">
        <f>+Municipios!Z281</f>
        <v>55.421279579858322</v>
      </c>
      <c r="V280" s="232">
        <v>70823</v>
      </c>
      <c r="W280" s="232" t="s">
        <v>1021</v>
      </c>
      <c r="X280" s="232" t="s">
        <v>494</v>
      </c>
      <c r="Y280" s="232" t="s">
        <v>495</v>
      </c>
      <c r="Z280" s="232" t="s">
        <v>1022</v>
      </c>
    </row>
    <row r="281" spans="1:26">
      <c r="A281" t="s">
        <v>417</v>
      </c>
      <c r="B281" s="25">
        <f>+Municipios!Z282</f>
        <v>52.338776260470709</v>
      </c>
      <c r="C281" s="232">
        <v>41807</v>
      </c>
      <c r="D281" s="232" t="s">
        <v>1023</v>
      </c>
      <c r="E281" s="232" t="s">
        <v>676</v>
      </c>
      <c r="F281" s="232" t="s">
        <v>677</v>
      </c>
      <c r="G281" s="232" t="s">
        <v>1024</v>
      </c>
      <c r="K281" t="s">
        <v>2647</v>
      </c>
      <c r="L281" s="81">
        <f>+Municipios!AB282</f>
        <v>30.190807035058619</v>
      </c>
      <c r="M281" s="232">
        <v>41807</v>
      </c>
      <c r="N281" s="232" t="s">
        <v>1023</v>
      </c>
      <c r="O281" s="232" t="s">
        <v>676</v>
      </c>
      <c r="P281" s="232" t="s">
        <v>677</v>
      </c>
      <c r="Q281" s="232" t="s">
        <v>1024</v>
      </c>
      <c r="T281" t="s">
        <v>2803</v>
      </c>
      <c r="U281" s="25">
        <f>+Municipios!Z282</f>
        <v>52.338776260470709</v>
      </c>
      <c r="V281" s="232">
        <v>41807</v>
      </c>
      <c r="W281" s="232" t="s">
        <v>1023</v>
      </c>
      <c r="X281" s="232" t="s">
        <v>676</v>
      </c>
      <c r="Y281" s="232" t="s">
        <v>677</v>
      </c>
      <c r="Z281" s="232" t="s">
        <v>1024</v>
      </c>
    </row>
    <row r="282" spans="1:26">
      <c r="A282" t="s">
        <v>417</v>
      </c>
      <c r="B282" s="25">
        <f>+Municipios!Z283</f>
        <v>60.091173584591502</v>
      </c>
      <c r="C282" s="232">
        <v>15469</v>
      </c>
      <c r="D282" s="232" t="s">
        <v>1025</v>
      </c>
      <c r="E282" s="232" t="s">
        <v>498</v>
      </c>
      <c r="F282" s="232" t="s">
        <v>499</v>
      </c>
      <c r="G282" s="232" t="s">
        <v>1026</v>
      </c>
      <c r="K282" t="s">
        <v>2647</v>
      </c>
      <c r="L282" s="81">
        <f>+Municipios!AB283</f>
        <v>34.53956862817202</v>
      </c>
      <c r="M282" s="232">
        <v>15469</v>
      </c>
      <c r="N282" s="232" t="s">
        <v>1025</v>
      </c>
      <c r="O282" s="232" t="s">
        <v>498</v>
      </c>
      <c r="P282" s="232" t="s">
        <v>499</v>
      </c>
      <c r="Q282" s="232" t="s">
        <v>1026</v>
      </c>
      <c r="T282" t="s">
        <v>2803</v>
      </c>
      <c r="U282" s="25">
        <f>+Municipios!Z283</f>
        <v>60.091173584591502</v>
      </c>
      <c r="V282" s="232">
        <v>15469</v>
      </c>
      <c r="W282" s="232" t="s">
        <v>1025</v>
      </c>
      <c r="X282" s="232" t="s">
        <v>498</v>
      </c>
      <c r="Y282" s="232" t="s">
        <v>499</v>
      </c>
      <c r="Z282" s="232" t="s">
        <v>1026</v>
      </c>
    </row>
    <row r="283" spans="1:26">
      <c r="A283" t="s">
        <v>417</v>
      </c>
      <c r="B283" s="25">
        <f>+Municipios!Z284</f>
        <v>46.257709796522704</v>
      </c>
      <c r="C283" s="232">
        <v>52565</v>
      </c>
      <c r="D283" s="232" t="s">
        <v>1027</v>
      </c>
      <c r="E283" s="232" t="s">
        <v>672</v>
      </c>
      <c r="F283" s="232" t="s">
        <v>673</v>
      </c>
      <c r="G283" s="232" t="s">
        <v>1028</v>
      </c>
      <c r="K283" t="s">
        <v>2647</v>
      </c>
      <c r="L283" s="81">
        <f>+Municipios!AB284</f>
        <v>26.693520667467382</v>
      </c>
      <c r="M283" s="232">
        <v>52565</v>
      </c>
      <c r="N283" s="232" t="s">
        <v>1027</v>
      </c>
      <c r="O283" s="232" t="s">
        <v>672</v>
      </c>
      <c r="P283" s="232" t="s">
        <v>673</v>
      </c>
      <c r="Q283" s="232" t="s">
        <v>1028</v>
      </c>
      <c r="T283" t="s">
        <v>2803</v>
      </c>
      <c r="U283" s="25">
        <f>+Municipios!Z284</f>
        <v>46.257709796522704</v>
      </c>
      <c r="V283" s="232">
        <v>52565</v>
      </c>
      <c r="W283" s="232" t="s">
        <v>1027</v>
      </c>
      <c r="X283" s="232" t="s">
        <v>672</v>
      </c>
      <c r="Y283" s="232" t="s">
        <v>673</v>
      </c>
      <c r="Z283" s="232" t="s">
        <v>1028</v>
      </c>
    </row>
    <row r="284" spans="1:26">
      <c r="A284" t="s">
        <v>417</v>
      </c>
      <c r="B284" s="25">
        <f>+Municipios!Z285</f>
        <v>61.125279904473587</v>
      </c>
      <c r="C284" s="232">
        <v>15861</v>
      </c>
      <c r="D284" s="232" t="s">
        <v>1029</v>
      </c>
      <c r="E284" s="232" t="s">
        <v>498</v>
      </c>
      <c r="F284" s="232" t="s">
        <v>499</v>
      </c>
      <c r="G284" s="232" t="s">
        <v>1030</v>
      </c>
      <c r="K284" t="s">
        <v>2647</v>
      </c>
      <c r="L284" s="81">
        <f>+Municipios!AB285</f>
        <v>35.23036560725712</v>
      </c>
      <c r="M284" s="232">
        <v>15861</v>
      </c>
      <c r="N284" s="232" t="s">
        <v>1029</v>
      </c>
      <c r="O284" s="232" t="s">
        <v>498</v>
      </c>
      <c r="P284" s="232" t="s">
        <v>499</v>
      </c>
      <c r="Q284" s="232" t="s">
        <v>1030</v>
      </c>
      <c r="T284" t="s">
        <v>2803</v>
      </c>
      <c r="U284" s="25">
        <f>+Municipios!Z285</f>
        <v>61.125279904473587</v>
      </c>
      <c r="V284" s="232">
        <v>15861</v>
      </c>
      <c r="W284" s="232" t="s">
        <v>1029</v>
      </c>
      <c r="X284" s="232" t="s">
        <v>498</v>
      </c>
      <c r="Y284" s="232" t="s">
        <v>499</v>
      </c>
      <c r="Z284" s="232" t="s">
        <v>1030</v>
      </c>
    </row>
    <row r="285" spans="1:26">
      <c r="A285" t="s">
        <v>417</v>
      </c>
      <c r="B285" s="25">
        <f>+Municipios!Z286</f>
        <v>53.546284504881584</v>
      </c>
      <c r="C285" s="232">
        <v>52693</v>
      </c>
      <c r="D285" s="232" t="s">
        <v>1031</v>
      </c>
      <c r="E285" s="232" t="s">
        <v>672</v>
      </c>
      <c r="F285" s="232" t="s">
        <v>673</v>
      </c>
      <c r="G285" s="232" t="s">
        <v>1032</v>
      </c>
      <c r="K285" t="s">
        <v>2647</v>
      </c>
      <c r="L285" s="81">
        <f>+Municipios!AB286</f>
        <v>30.879659797224068</v>
      </c>
      <c r="M285" s="232">
        <v>52693</v>
      </c>
      <c r="N285" s="232" t="s">
        <v>1031</v>
      </c>
      <c r="O285" s="232" t="s">
        <v>672</v>
      </c>
      <c r="P285" s="232" t="s">
        <v>673</v>
      </c>
      <c r="Q285" s="232" t="s">
        <v>1032</v>
      </c>
      <c r="T285" t="s">
        <v>2803</v>
      </c>
      <c r="U285" s="25">
        <f>+Municipios!Z286</f>
        <v>53.546284504881584</v>
      </c>
      <c r="V285" s="232">
        <v>52693</v>
      </c>
      <c r="W285" s="232" t="s">
        <v>1031</v>
      </c>
      <c r="X285" s="232" t="s">
        <v>672</v>
      </c>
      <c r="Y285" s="232" t="s">
        <v>673</v>
      </c>
      <c r="Z285" s="232" t="s">
        <v>1032</v>
      </c>
    </row>
    <row r="286" spans="1:26">
      <c r="A286" t="s">
        <v>417</v>
      </c>
      <c r="B286" s="25">
        <f>+Municipios!Z287</f>
        <v>53.09914208187233</v>
      </c>
      <c r="C286" s="232">
        <v>15693</v>
      </c>
      <c r="D286" s="232" t="s">
        <v>1033</v>
      </c>
      <c r="E286" s="232" t="s">
        <v>498</v>
      </c>
      <c r="F286" s="232" t="s">
        <v>499</v>
      </c>
      <c r="G286" s="232" t="s">
        <v>1034</v>
      </c>
      <c r="K286" t="s">
        <v>2647</v>
      </c>
      <c r="L286" s="81">
        <f>+Municipios!AB287</f>
        <v>30.67276348020539</v>
      </c>
      <c r="M286" s="232">
        <v>15693</v>
      </c>
      <c r="N286" s="232" t="s">
        <v>1033</v>
      </c>
      <c r="O286" s="232" t="s">
        <v>498</v>
      </c>
      <c r="P286" s="232" t="s">
        <v>499</v>
      </c>
      <c r="Q286" s="232" t="s">
        <v>1034</v>
      </c>
      <c r="T286" t="s">
        <v>2803</v>
      </c>
      <c r="U286" s="25">
        <f>+Municipios!Z287</f>
        <v>53.09914208187233</v>
      </c>
      <c r="V286" s="232">
        <v>15693</v>
      </c>
      <c r="W286" s="232" t="s">
        <v>1033</v>
      </c>
      <c r="X286" s="232" t="s">
        <v>498</v>
      </c>
      <c r="Y286" s="232" t="s">
        <v>499</v>
      </c>
      <c r="Z286" s="232" t="s">
        <v>1034</v>
      </c>
    </row>
    <row r="287" spans="1:26">
      <c r="A287" t="s">
        <v>417</v>
      </c>
      <c r="B287" s="25">
        <f>+Municipios!Z288</f>
        <v>55.751482067257811</v>
      </c>
      <c r="C287" s="232">
        <v>5761</v>
      </c>
      <c r="D287" s="232" t="s">
        <v>1035</v>
      </c>
      <c r="E287" s="232" t="s">
        <v>435</v>
      </c>
      <c r="F287" s="232" t="s">
        <v>436</v>
      </c>
      <c r="G287" s="232" t="s">
        <v>1036</v>
      </c>
      <c r="K287" t="s">
        <v>2647</v>
      </c>
      <c r="L287" s="81">
        <f>+Municipios!AB288</f>
        <v>32.127269711327422</v>
      </c>
      <c r="M287" s="232">
        <v>5761</v>
      </c>
      <c r="N287" s="232" t="s">
        <v>1035</v>
      </c>
      <c r="O287" s="232" t="s">
        <v>435</v>
      </c>
      <c r="P287" s="232" t="s">
        <v>436</v>
      </c>
      <c r="Q287" s="232" t="s">
        <v>1036</v>
      </c>
      <c r="T287" t="s">
        <v>2803</v>
      </c>
      <c r="U287" s="25">
        <f>+Municipios!Z288</f>
        <v>55.751482067257811</v>
      </c>
      <c r="V287" s="232">
        <v>5761</v>
      </c>
      <c r="W287" s="232" t="s">
        <v>1035</v>
      </c>
      <c r="X287" s="232" t="s">
        <v>435</v>
      </c>
      <c r="Y287" s="232" t="s">
        <v>436</v>
      </c>
      <c r="Z287" s="232" t="s">
        <v>1036</v>
      </c>
    </row>
    <row r="288" spans="1:26">
      <c r="A288" t="s">
        <v>417</v>
      </c>
      <c r="B288" s="25">
        <f>+Municipios!Z289</f>
        <v>52.184216259701174</v>
      </c>
      <c r="C288" s="232">
        <v>52317</v>
      </c>
      <c r="D288" s="232" t="s">
        <v>1037</v>
      </c>
      <c r="E288" s="232" t="s">
        <v>672</v>
      </c>
      <c r="F288" s="232" t="s">
        <v>673</v>
      </c>
      <c r="G288" s="232" t="s">
        <v>1038</v>
      </c>
      <c r="K288" t="s">
        <v>2647</v>
      </c>
      <c r="L288" s="81">
        <f>+Municipios!AB289</f>
        <v>30.059625847463003</v>
      </c>
      <c r="M288" s="232">
        <v>52317</v>
      </c>
      <c r="N288" s="232" t="s">
        <v>1037</v>
      </c>
      <c r="O288" s="232" t="s">
        <v>672</v>
      </c>
      <c r="P288" s="232" t="s">
        <v>673</v>
      </c>
      <c r="Q288" s="232" t="s">
        <v>1038</v>
      </c>
      <c r="T288" t="s">
        <v>2803</v>
      </c>
      <c r="U288" s="25">
        <f>+Municipios!Z289</f>
        <v>52.184216259701174</v>
      </c>
      <c r="V288" s="232">
        <v>52317</v>
      </c>
      <c r="W288" s="232" t="s">
        <v>1037</v>
      </c>
      <c r="X288" s="232" t="s">
        <v>672</v>
      </c>
      <c r="Y288" s="232" t="s">
        <v>673</v>
      </c>
      <c r="Z288" s="232" t="s">
        <v>1038</v>
      </c>
    </row>
    <row r="289" spans="1:26">
      <c r="A289" t="s">
        <v>417</v>
      </c>
      <c r="B289" s="25">
        <f>+Municipios!Z290</f>
        <v>55.737511806217377</v>
      </c>
      <c r="C289" s="232">
        <v>52203</v>
      </c>
      <c r="D289" s="232" t="s">
        <v>1039</v>
      </c>
      <c r="E289" s="232" t="s">
        <v>672</v>
      </c>
      <c r="F289" s="232" t="s">
        <v>673</v>
      </c>
      <c r="G289" s="232" t="s">
        <v>1040</v>
      </c>
      <c r="K289" t="s">
        <v>2647</v>
      </c>
      <c r="L289" s="81">
        <f>+Municipios!AB290</f>
        <v>32.088168116410316</v>
      </c>
      <c r="M289" s="232">
        <v>52203</v>
      </c>
      <c r="N289" s="232" t="s">
        <v>1039</v>
      </c>
      <c r="O289" s="232" t="s">
        <v>672</v>
      </c>
      <c r="P289" s="232" t="s">
        <v>673</v>
      </c>
      <c r="Q289" s="232" t="s">
        <v>1040</v>
      </c>
      <c r="T289" t="s">
        <v>2803</v>
      </c>
      <c r="U289" s="25">
        <f>+Municipios!Z290</f>
        <v>55.737511806217377</v>
      </c>
      <c r="V289" s="232">
        <v>52203</v>
      </c>
      <c r="W289" s="232" t="s">
        <v>1039</v>
      </c>
      <c r="X289" s="232" t="s">
        <v>672</v>
      </c>
      <c r="Y289" s="232" t="s">
        <v>673</v>
      </c>
      <c r="Z289" s="232" t="s">
        <v>1040</v>
      </c>
    </row>
    <row r="290" spans="1:26">
      <c r="A290" t="s">
        <v>417</v>
      </c>
      <c r="B290" s="25">
        <f>+Municipios!Z291</f>
        <v>55.410035367662935</v>
      </c>
      <c r="C290" s="232">
        <v>13244</v>
      </c>
      <c r="D290" s="232" t="s">
        <v>1041</v>
      </c>
      <c r="E290" s="232" t="s">
        <v>480</v>
      </c>
      <c r="F290" s="232" t="s">
        <v>481</v>
      </c>
      <c r="G290" s="232" t="s">
        <v>1042</v>
      </c>
      <c r="K290" t="s">
        <v>2647</v>
      </c>
      <c r="L290" s="81">
        <f>+Municipios!AB291</f>
        <v>31.883841637124476</v>
      </c>
      <c r="M290" s="232">
        <v>13244</v>
      </c>
      <c r="N290" s="232" t="s">
        <v>1041</v>
      </c>
      <c r="O290" s="232" t="s">
        <v>480</v>
      </c>
      <c r="P290" s="232" t="s">
        <v>481</v>
      </c>
      <c r="Q290" s="232" t="s">
        <v>1042</v>
      </c>
      <c r="T290" t="s">
        <v>2803</v>
      </c>
      <c r="U290" s="25">
        <f>+Municipios!Z291</f>
        <v>55.410035367662935</v>
      </c>
      <c r="V290" s="232">
        <v>13244</v>
      </c>
      <c r="W290" s="232" t="s">
        <v>1041</v>
      </c>
      <c r="X290" s="232" t="s">
        <v>480</v>
      </c>
      <c r="Y290" s="232" t="s">
        <v>481</v>
      </c>
      <c r="Z290" s="232" t="s">
        <v>1042</v>
      </c>
    </row>
    <row r="291" spans="1:26">
      <c r="A291" t="s">
        <v>417</v>
      </c>
      <c r="B291" s="25">
        <f>+Municipios!Z292</f>
        <v>66.294916574896007</v>
      </c>
      <c r="C291" s="232">
        <v>25736</v>
      </c>
      <c r="D291" s="232" t="s">
        <v>1043</v>
      </c>
      <c r="E291" s="232" t="s">
        <v>461</v>
      </c>
      <c r="F291" s="232" t="s">
        <v>462</v>
      </c>
      <c r="G291" s="232" t="s">
        <v>1044</v>
      </c>
      <c r="K291" t="s">
        <v>2647</v>
      </c>
      <c r="L291" s="81">
        <f>+Municipios!AB292</f>
        <v>37.995732895666244</v>
      </c>
      <c r="M291" s="232">
        <v>25736</v>
      </c>
      <c r="N291" s="232" t="s">
        <v>1043</v>
      </c>
      <c r="O291" s="232" t="s">
        <v>461</v>
      </c>
      <c r="P291" s="232" t="s">
        <v>462</v>
      </c>
      <c r="Q291" s="232" t="s">
        <v>1044</v>
      </c>
      <c r="T291" t="s">
        <v>2803</v>
      </c>
      <c r="U291" s="25">
        <f>+Municipios!Z292</f>
        <v>66.294916574896007</v>
      </c>
      <c r="V291" s="232">
        <v>25736</v>
      </c>
      <c r="W291" s="232" t="s">
        <v>1043</v>
      </c>
      <c r="X291" s="232" t="s">
        <v>461</v>
      </c>
      <c r="Y291" s="232" t="s">
        <v>462</v>
      </c>
      <c r="Z291" s="232" t="s">
        <v>1044</v>
      </c>
    </row>
    <row r="292" spans="1:26">
      <c r="A292" t="s">
        <v>417</v>
      </c>
      <c r="B292" s="25">
        <f>+Municipios!Z293</f>
        <v>51.730089571368943</v>
      </c>
      <c r="C292" s="232">
        <v>15494</v>
      </c>
      <c r="D292" s="232" t="s">
        <v>1045</v>
      </c>
      <c r="E292" s="232" t="s">
        <v>498</v>
      </c>
      <c r="F292" s="232" t="s">
        <v>499</v>
      </c>
      <c r="G292" s="232" t="s">
        <v>1046</v>
      </c>
      <c r="K292" t="s">
        <v>2647</v>
      </c>
      <c r="L292" s="81">
        <f>+Municipios!AB293</f>
        <v>29.672970123642489</v>
      </c>
      <c r="M292" s="232">
        <v>15494</v>
      </c>
      <c r="N292" s="232" t="s">
        <v>1045</v>
      </c>
      <c r="O292" s="232" t="s">
        <v>498</v>
      </c>
      <c r="P292" s="232" t="s">
        <v>499</v>
      </c>
      <c r="Q292" s="232" t="s">
        <v>1046</v>
      </c>
      <c r="T292" t="s">
        <v>2803</v>
      </c>
      <c r="U292" s="25">
        <f>+Municipios!Z293</f>
        <v>51.730089571368943</v>
      </c>
      <c r="V292" s="232">
        <v>15494</v>
      </c>
      <c r="W292" s="232" t="s">
        <v>1045</v>
      </c>
      <c r="X292" s="232" t="s">
        <v>498</v>
      </c>
      <c r="Y292" s="232" t="s">
        <v>499</v>
      </c>
      <c r="Z292" s="232" t="s">
        <v>1046</v>
      </c>
    </row>
    <row r="293" spans="1:26">
      <c r="A293" t="s">
        <v>417</v>
      </c>
      <c r="B293" s="25">
        <f>+Municipios!Z294</f>
        <v>60.387207211013752</v>
      </c>
      <c r="C293" s="232">
        <v>76113</v>
      </c>
      <c r="D293" s="232" t="s">
        <v>1047</v>
      </c>
      <c r="E293" s="232" t="s">
        <v>454</v>
      </c>
      <c r="F293" s="232" t="s">
        <v>455</v>
      </c>
      <c r="G293" s="232" t="s">
        <v>1048</v>
      </c>
      <c r="K293" t="s">
        <v>2647</v>
      </c>
      <c r="L293" s="81">
        <f>+Municipios!AB294</f>
        <v>34.686431246072829</v>
      </c>
      <c r="M293" s="232">
        <v>76113</v>
      </c>
      <c r="N293" s="232" t="s">
        <v>1047</v>
      </c>
      <c r="O293" s="232" t="s">
        <v>454</v>
      </c>
      <c r="P293" s="232" t="s">
        <v>455</v>
      </c>
      <c r="Q293" s="232" t="s">
        <v>1048</v>
      </c>
      <c r="T293" t="s">
        <v>2803</v>
      </c>
      <c r="U293" s="25">
        <f>+Municipios!Z294</f>
        <v>60.387207211013752</v>
      </c>
      <c r="V293" s="232">
        <v>76113</v>
      </c>
      <c r="W293" s="232" t="s">
        <v>1047</v>
      </c>
      <c r="X293" s="232" t="s">
        <v>454</v>
      </c>
      <c r="Y293" s="232" t="s">
        <v>455</v>
      </c>
      <c r="Z293" s="232" t="s">
        <v>1048</v>
      </c>
    </row>
    <row r="294" spans="1:26">
      <c r="A294" t="s">
        <v>417</v>
      </c>
      <c r="B294" s="25">
        <f>+Municipios!Z295</f>
        <v>51.880361202838102</v>
      </c>
      <c r="C294" s="232">
        <v>19212</v>
      </c>
      <c r="D294" s="232" t="s">
        <v>1049</v>
      </c>
      <c r="E294" s="232" t="s">
        <v>557</v>
      </c>
      <c r="F294" s="232" t="s">
        <v>558</v>
      </c>
      <c r="G294" s="232" t="s">
        <v>1050</v>
      </c>
      <c r="K294" t="s">
        <v>2647</v>
      </c>
      <c r="L294" s="81">
        <f>+Municipios!AB295</f>
        <v>29.854847489355883</v>
      </c>
      <c r="M294" s="232">
        <v>19212</v>
      </c>
      <c r="N294" s="232" t="s">
        <v>1049</v>
      </c>
      <c r="O294" s="232" t="s">
        <v>557</v>
      </c>
      <c r="P294" s="232" t="s">
        <v>558</v>
      </c>
      <c r="Q294" s="232" t="s">
        <v>1050</v>
      </c>
      <c r="T294" t="s">
        <v>2803</v>
      </c>
      <c r="U294" s="25">
        <f>+Municipios!Z295</f>
        <v>51.880361202838102</v>
      </c>
      <c r="V294" s="232">
        <v>19212</v>
      </c>
      <c r="W294" s="232" t="s">
        <v>1049</v>
      </c>
      <c r="X294" s="232" t="s">
        <v>557</v>
      </c>
      <c r="Y294" s="232" t="s">
        <v>558</v>
      </c>
      <c r="Z294" s="232" t="s">
        <v>1050</v>
      </c>
    </row>
    <row r="295" spans="1:26">
      <c r="A295" t="s">
        <v>417</v>
      </c>
      <c r="B295" s="25">
        <f>+Municipios!Z296</f>
        <v>53.690562159437086</v>
      </c>
      <c r="C295" s="232">
        <v>25053</v>
      </c>
      <c r="D295" s="232" t="s">
        <v>1051</v>
      </c>
      <c r="E295" s="232" t="s">
        <v>461</v>
      </c>
      <c r="F295" s="232" t="s">
        <v>462</v>
      </c>
      <c r="G295" s="232" t="s">
        <v>1052</v>
      </c>
      <c r="K295" t="s">
        <v>2647</v>
      </c>
      <c r="L295" s="81">
        <f>+Municipios!AB296</f>
        <v>30.779426921947174</v>
      </c>
      <c r="M295" s="232">
        <v>25053</v>
      </c>
      <c r="N295" s="232" t="s">
        <v>1051</v>
      </c>
      <c r="O295" s="232" t="s">
        <v>461</v>
      </c>
      <c r="P295" s="232" t="s">
        <v>462</v>
      </c>
      <c r="Q295" s="232" t="s">
        <v>1052</v>
      </c>
      <c r="T295" t="s">
        <v>2803</v>
      </c>
      <c r="U295" s="25">
        <f>+Municipios!Z296</f>
        <v>53.690562159437086</v>
      </c>
      <c r="V295" s="232">
        <v>25053</v>
      </c>
      <c r="W295" s="232" t="s">
        <v>1051</v>
      </c>
      <c r="X295" s="232" t="s">
        <v>461</v>
      </c>
      <c r="Y295" s="232" t="s">
        <v>462</v>
      </c>
      <c r="Z295" s="232" t="s">
        <v>1052</v>
      </c>
    </row>
    <row r="296" spans="1:26">
      <c r="A296" t="s">
        <v>417</v>
      </c>
      <c r="B296" s="25">
        <f>+Municipios!Z297</f>
        <v>62.223456989924934</v>
      </c>
      <c r="C296" s="232">
        <v>76736</v>
      </c>
      <c r="D296" s="232" t="s">
        <v>1053</v>
      </c>
      <c r="E296" s="232" t="s">
        <v>454</v>
      </c>
      <c r="F296" s="232" t="s">
        <v>455</v>
      </c>
      <c r="G296" s="232" t="s">
        <v>1054</v>
      </c>
      <c r="K296" t="s">
        <v>2647</v>
      </c>
      <c r="L296" s="81">
        <f>+Municipios!AB297</f>
        <v>35.677468032495057</v>
      </c>
      <c r="M296" s="232">
        <v>76736</v>
      </c>
      <c r="N296" s="232" t="s">
        <v>1053</v>
      </c>
      <c r="O296" s="232" t="s">
        <v>454</v>
      </c>
      <c r="P296" s="232" t="s">
        <v>455</v>
      </c>
      <c r="Q296" s="232" t="s">
        <v>1054</v>
      </c>
      <c r="T296" t="s">
        <v>2803</v>
      </c>
      <c r="U296" s="25">
        <f>+Municipios!Z297</f>
        <v>62.223456989924934</v>
      </c>
      <c r="V296" s="232">
        <v>76736</v>
      </c>
      <c r="W296" s="232" t="s">
        <v>1053</v>
      </c>
      <c r="X296" s="232" t="s">
        <v>454</v>
      </c>
      <c r="Y296" s="232" t="s">
        <v>455</v>
      </c>
      <c r="Z296" s="232" t="s">
        <v>1054</v>
      </c>
    </row>
    <row r="297" spans="1:26">
      <c r="A297" t="s">
        <v>417</v>
      </c>
      <c r="B297" s="25">
        <f>+Municipios!Z298</f>
        <v>60.692851204414595</v>
      </c>
      <c r="C297" s="232">
        <v>68549</v>
      </c>
      <c r="D297" s="232" t="s">
        <v>1055</v>
      </c>
      <c r="E297" s="232" t="s">
        <v>431</v>
      </c>
      <c r="F297" s="232" t="s">
        <v>432</v>
      </c>
      <c r="G297" s="232" t="s">
        <v>1056</v>
      </c>
      <c r="K297" t="s">
        <v>2647</v>
      </c>
      <c r="L297" s="81">
        <f>+Municipios!AB298</f>
        <v>35.041058126759197</v>
      </c>
      <c r="M297" s="232">
        <v>68549</v>
      </c>
      <c r="N297" s="232" t="s">
        <v>1055</v>
      </c>
      <c r="O297" s="232" t="s">
        <v>431</v>
      </c>
      <c r="P297" s="232" t="s">
        <v>432</v>
      </c>
      <c r="Q297" s="232" t="s">
        <v>1056</v>
      </c>
      <c r="T297" t="s">
        <v>2803</v>
      </c>
      <c r="U297" s="25">
        <f>+Municipios!Z298</f>
        <v>60.692851204414595</v>
      </c>
      <c r="V297" s="232">
        <v>68549</v>
      </c>
      <c r="W297" s="232" t="s">
        <v>1055</v>
      </c>
      <c r="X297" s="232" t="s">
        <v>431</v>
      </c>
      <c r="Y297" s="232" t="s">
        <v>432</v>
      </c>
      <c r="Z297" s="232" t="s">
        <v>1056</v>
      </c>
    </row>
    <row r="298" spans="1:26">
      <c r="A298" t="s">
        <v>417</v>
      </c>
      <c r="B298" s="25">
        <f>+Municipios!Z299</f>
        <v>58.485243726285049</v>
      </c>
      <c r="C298" s="232">
        <v>52694</v>
      </c>
      <c r="D298" s="232" t="s">
        <v>1057</v>
      </c>
      <c r="E298" s="232" t="s">
        <v>672</v>
      </c>
      <c r="F298" s="232" t="s">
        <v>673</v>
      </c>
      <c r="G298" s="232" t="s">
        <v>1058</v>
      </c>
      <c r="K298" t="s">
        <v>2647</v>
      </c>
      <c r="L298" s="81">
        <f>+Municipios!AB299</f>
        <v>33.547438526718778</v>
      </c>
      <c r="M298" s="232">
        <v>52694</v>
      </c>
      <c r="N298" s="232" t="s">
        <v>1057</v>
      </c>
      <c r="O298" s="232" t="s">
        <v>672</v>
      </c>
      <c r="P298" s="232" t="s">
        <v>673</v>
      </c>
      <c r="Q298" s="232" t="s">
        <v>1058</v>
      </c>
      <c r="T298" t="s">
        <v>2803</v>
      </c>
      <c r="U298" s="25">
        <f>+Municipios!Z299</f>
        <v>58.485243726285049</v>
      </c>
      <c r="V298" s="232">
        <v>52694</v>
      </c>
      <c r="W298" s="232" t="s">
        <v>1057</v>
      </c>
      <c r="X298" s="232" t="s">
        <v>672</v>
      </c>
      <c r="Y298" s="232" t="s">
        <v>673</v>
      </c>
      <c r="Z298" s="232" t="s">
        <v>1058</v>
      </c>
    </row>
    <row r="299" spans="1:26">
      <c r="A299" t="s">
        <v>417</v>
      </c>
      <c r="B299" s="25">
        <f>+Municipios!Z300</f>
        <v>62.69349629260541</v>
      </c>
      <c r="C299" s="232">
        <v>41615</v>
      </c>
      <c r="D299" s="232" t="s">
        <v>1059</v>
      </c>
      <c r="E299" s="232" t="s">
        <v>676</v>
      </c>
      <c r="F299" s="232" t="s">
        <v>677</v>
      </c>
      <c r="G299" s="232" t="s">
        <v>1060</v>
      </c>
      <c r="K299" t="s">
        <v>2647</v>
      </c>
      <c r="L299" s="81">
        <f>+Municipios!AB300</f>
        <v>35.878686473136199</v>
      </c>
      <c r="M299" s="232">
        <v>41615</v>
      </c>
      <c r="N299" s="232" t="s">
        <v>1059</v>
      </c>
      <c r="O299" s="232" t="s">
        <v>676</v>
      </c>
      <c r="P299" s="232" t="s">
        <v>677</v>
      </c>
      <c r="Q299" s="232" t="s">
        <v>1060</v>
      </c>
      <c r="T299" t="s">
        <v>2803</v>
      </c>
      <c r="U299" s="25">
        <f>+Municipios!Z300</f>
        <v>62.69349629260541</v>
      </c>
      <c r="V299" s="232">
        <v>41615</v>
      </c>
      <c r="W299" s="232" t="s">
        <v>1059</v>
      </c>
      <c r="X299" s="232" t="s">
        <v>676</v>
      </c>
      <c r="Y299" s="232" t="s">
        <v>677</v>
      </c>
      <c r="Z299" s="232" t="s">
        <v>1060</v>
      </c>
    </row>
    <row r="300" spans="1:26">
      <c r="A300" t="s">
        <v>417</v>
      </c>
      <c r="B300" s="25">
        <f>+Municipios!Z301</f>
        <v>56.705319396915456</v>
      </c>
      <c r="C300" s="232">
        <v>66045</v>
      </c>
      <c r="D300" s="232" t="s">
        <v>1061</v>
      </c>
      <c r="E300" s="232" t="s">
        <v>467</v>
      </c>
      <c r="F300" s="232" t="s">
        <v>468</v>
      </c>
      <c r="G300" s="232" t="s">
        <v>1062</v>
      </c>
      <c r="K300" t="s">
        <v>2647</v>
      </c>
      <c r="L300" s="81">
        <f>+Municipios!AB301</f>
        <v>32.445141957190273</v>
      </c>
      <c r="M300" s="232">
        <v>66045</v>
      </c>
      <c r="N300" s="232" t="s">
        <v>1061</v>
      </c>
      <c r="O300" s="232" t="s">
        <v>467</v>
      </c>
      <c r="P300" s="232" t="s">
        <v>468</v>
      </c>
      <c r="Q300" s="232" t="s">
        <v>1062</v>
      </c>
      <c r="T300" t="s">
        <v>2803</v>
      </c>
      <c r="U300" s="25">
        <f>+Municipios!Z301</f>
        <v>56.705319396915456</v>
      </c>
      <c r="V300" s="232">
        <v>66045</v>
      </c>
      <c r="W300" s="232" t="s">
        <v>1061</v>
      </c>
      <c r="X300" s="232" t="s">
        <v>467</v>
      </c>
      <c r="Y300" s="232" t="s">
        <v>468</v>
      </c>
      <c r="Z300" s="232" t="s">
        <v>1062</v>
      </c>
    </row>
    <row r="301" spans="1:26">
      <c r="A301" t="s">
        <v>417</v>
      </c>
      <c r="B301" s="25">
        <f>+Municipios!Z302</f>
        <v>49.023855294888669</v>
      </c>
      <c r="C301" s="232">
        <v>63111</v>
      </c>
      <c r="D301" s="232" t="s">
        <v>1063</v>
      </c>
      <c r="E301" s="232" t="s">
        <v>473</v>
      </c>
      <c r="F301" s="232" t="s">
        <v>474</v>
      </c>
      <c r="G301" s="232" t="s">
        <v>1064</v>
      </c>
      <c r="K301" t="s">
        <v>2647</v>
      </c>
      <c r="L301" s="81">
        <f>+Municipios!AB302</f>
        <v>27.966288223039939</v>
      </c>
      <c r="M301" s="232">
        <v>63111</v>
      </c>
      <c r="N301" s="232" t="s">
        <v>1063</v>
      </c>
      <c r="O301" s="232" t="s">
        <v>473</v>
      </c>
      <c r="P301" s="232" t="s">
        <v>474</v>
      </c>
      <c r="Q301" s="232" t="s">
        <v>1064</v>
      </c>
      <c r="T301" t="s">
        <v>2803</v>
      </c>
      <c r="U301" s="25">
        <f>+Municipios!Z302</f>
        <v>49.023855294888669</v>
      </c>
      <c r="V301" s="232">
        <v>63111</v>
      </c>
      <c r="W301" s="232" t="s">
        <v>1063</v>
      </c>
      <c r="X301" s="232" t="s">
        <v>473</v>
      </c>
      <c r="Y301" s="232" t="s">
        <v>474</v>
      </c>
      <c r="Z301" s="232" t="s">
        <v>1064</v>
      </c>
    </row>
    <row r="302" spans="1:26">
      <c r="A302" t="s">
        <v>417</v>
      </c>
      <c r="B302" s="25">
        <f>+Municipios!Z303</f>
        <v>68.586326383722934</v>
      </c>
      <c r="C302" s="232">
        <v>15476</v>
      </c>
      <c r="D302" s="232" t="s">
        <v>1065</v>
      </c>
      <c r="E302" s="232" t="s">
        <v>498</v>
      </c>
      <c r="F302" s="232" t="s">
        <v>499</v>
      </c>
      <c r="G302" s="232" t="s">
        <v>1066</v>
      </c>
      <c r="K302" t="s">
        <v>2647</v>
      </c>
      <c r="L302" s="81">
        <f>+Municipios!AB303</f>
        <v>39.15591314751795</v>
      </c>
      <c r="M302" s="232">
        <v>15476</v>
      </c>
      <c r="N302" s="232" t="s">
        <v>1065</v>
      </c>
      <c r="O302" s="232" t="s">
        <v>498</v>
      </c>
      <c r="P302" s="232" t="s">
        <v>499</v>
      </c>
      <c r="Q302" s="232" t="s">
        <v>1066</v>
      </c>
      <c r="T302" t="s">
        <v>2803</v>
      </c>
      <c r="U302" s="25">
        <f>+Municipios!Z303</f>
        <v>68.586326383722934</v>
      </c>
      <c r="V302" s="232">
        <v>15476</v>
      </c>
      <c r="W302" s="232" t="s">
        <v>1065</v>
      </c>
      <c r="X302" s="232" t="s">
        <v>498</v>
      </c>
      <c r="Y302" s="232" t="s">
        <v>499</v>
      </c>
      <c r="Z302" s="232" t="s">
        <v>1066</v>
      </c>
    </row>
    <row r="303" spans="1:26">
      <c r="A303" t="s">
        <v>417</v>
      </c>
      <c r="B303" s="25">
        <f>+Municipios!Z304</f>
        <v>61.163102424707901</v>
      </c>
      <c r="C303" s="232">
        <v>17665</v>
      </c>
      <c r="D303" s="232" t="s">
        <v>1067</v>
      </c>
      <c r="E303" s="232" t="s">
        <v>506</v>
      </c>
      <c r="F303" s="232" t="s">
        <v>507</v>
      </c>
      <c r="G303" s="232" t="s">
        <v>1068</v>
      </c>
      <c r="K303" t="s">
        <v>2647</v>
      </c>
      <c r="L303" s="81">
        <f>+Municipios!AB304</f>
        <v>34.91218774548156</v>
      </c>
      <c r="M303" s="232">
        <v>17665</v>
      </c>
      <c r="N303" s="232" t="s">
        <v>1067</v>
      </c>
      <c r="O303" s="232" t="s">
        <v>506</v>
      </c>
      <c r="P303" s="232" t="s">
        <v>507</v>
      </c>
      <c r="Q303" s="232" t="s">
        <v>1068</v>
      </c>
      <c r="T303" t="s">
        <v>2803</v>
      </c>
      <c r="U303" s="25">
        <f>+Municipios!Z304</f>
        <v>61.163102424707901</v>
      </c>
      <c r="V303" s="232">
        <v>17665</v>
      </c>
      <c r="W303" s="232" t="s">
        <v>1067</v>
      </c>
      <c r="X303" s="232" t="s">
        <v>506</v>
      </c>
      <c r="Y303" s="232" t="s">
        <v>507</v>
      </c>
      <c r="Z303" s="232" t="s">
        <v>1068</v>
      </c>
    </row>
    <row r="304" spans="1:26">
      <c r="A304" t="s">
        <v>417</v>
      </c>
      <c r="B304" s="25">
        <f>+Municipios!Z305</f>
        <v>44.758483883220684</v>
      </c>
      <c r="C304" s="232">
        <v>70742</v>
      </c>
      <c r="D304" s="232" t="s">
        <v>1069</v>
      </c>
      <c r="E304" s="232" t="s">
        <v>494</v>
      </c>
      <c r="F304" s="232" t="s">
        <v>495</v>
      </c>
      <c r="G304" s="232" t="s">
        <v>1070</v>
      </c>
      <c r="K304" t="s">
        <v>2647</v>
      </c>
      <c r="L304" s="81">
        <f>+Municipios!AB305</f>
        <v>25.567267598575629</v>
      </c>
      <c r="M304" s="232">
        <v>70742</v>
      </c>
      <c r="N304" s="232" t="s">
        <v>1069</v>
      </c>
      <c r="O304" s="232" t="s">
        <v>494</v>
      </c>
      <c r="P304" s="232" t="s">
        <v>495</v>
      </c>
      <c r="Q304" s="232" t="s">
        <v>1070</v>
      </c>
      <c r="T304" t="s">
        <v>2803</v>
      </c>
      <c r="U304" s="25">
        <f>+Municipios!Z305</f>
        <v>44.758483883220684</v>
      </c>
      <c r="V304" s="232">
        <v>70742</v>
      </c>
      <c r="W304" s="232" t="s">
        <v>1069</v>
      </c>
      <c r="X304" s="232" t="s">
        <v>494</v>
      </c>
      <c r="Y304" s="232" t="s">
        <v>495</v>
      </c>
      <c r="Z304" s="232" t="s">
        <v>1070</v>
      </c>
    </row>
    <row r="305" spans="1:26">
      <c r="A305" t="s">
        <v>417</v>
      </c>
      <c r="B305" s="25">
        <f>+Municipios!Z306</f>
        <v>49.340951922797927</v>
      </c>
      <c r="C305" s="232">
        <v>52036</v>
      </c>
      <c r="D305" s="232" t="s">
        <v>1071</v>
      </c>
      <c r="E305" s="232" t="s">
        <v>672</v>
      </c>
      <c r="F305" s="232" t="s">
        <v>673</v>
      </c>
      <c r="G305" s="232" t="s">
        <v>1072</v>
      </c>
      <c r="K305" t="s">
        <v>2647</v>
      </c>
      <c r="L305" s="81">
        <f>+Municipios!AB306</f>
        <v>28.197882492783407</v>
      </c>
      <c r="M305" s="232">
        <v>52036</v>
      </c>
      <c r="N305" s="232" t="s">
        <v>1071</v>
      </c>
      <c r="O305" s="232" t="s">
        <v>672</v>
      </c>
      <c r="P305" s="232" t="s">
        <v>673</v>
      </c>
      <c r="Q305" s="232" t="s">
        <v>1072</v>
      </c>
      <c r="T305" t="s">
        <v>2803</v>
      </c>
      <c r="U305" s="25">
        <f>+Municipios!Z306</f>
        <v>49.340951922797927</v>
      </c>
      <c r="V305" s="232">
        <v>52036</v>
      </c>
      <c r="W305" s="232" t="s">
        <v>1071</v>
      </c>
      <c r="X305" s="232" t="s">
        <v>672</v>
      </c>
      <c r="Y305" s="232" t="s">
        <v>673</v>
      </c>
      <c r="Z305" s="232" t="s">
        <v>1072</v>
      </c>
    </row>
    <row r="306" spans="1:26">
      <c r="A306" t="s">
        <v>417</v>
      </c>
      <c r="B306" s="25">
        <f>+Municipios!Z307</f>
        <v>41.405705621389828</v>
      </c>
      <c r="C306" s="232">
        <v>8606</v>
      </c>
      <c r="D306" s="232" t="s">
        <v>1073</v>
      </c>
      <c r="E306" s="232" t="s">
        <v>442</v>
      </c>
      <c r="F306" s="232" t="s">
        <v>443</v>
      </c>
      <c r="G306" s="232" t="s">
        <v>1074</v>
      </c>
      <c r="K306" t="s">
        <v>2647</v>
      </c>
      <c r="L306" s="81">
        <f>+Municipios!AB307</f>
        <v>23.631649782958291</v>
      </c>
      <c r="M306" s="232">
        <v>8606</v>
      </c>
      <c r="N306" s="232" t="s">
        <v>1073</v>
      </c>
      <c r="O306" s="232" t="s">
        <v>442</v>
      </c>
      <c r="P306" s="232" t="s">
        <v>443</v>
      </c>
      <c r="Q306" s="232" t="s">
        <v>1074</v>
      </c>
      <c r="T306" t="s">
        <v>2803</v>
      </c>
      <c r="U306" s="25">
        <f>+Municipios!Z307</f>
        <v>41.405705621389828</v>
      </c>
      <c r="V306" s="232">
        <v>8606</v>
      </c>
      <c r="W306" s="232" t="s">
        <v>1073</v>
      </c>
      <c r="X306" s="232" t="s">
        <v>442</v>
      </c>
      <c r="Y306" s="232" t="s">
        <v>443</v>
      </c>
      <c r="Z306" s="232" t="s">
        <v>1074</v>
      </c>
    </row>
    <row r="307" spans="1:26">
      <c r="A307" t="s">
        <v>417</v>
      </c>
      <c r="B307" s="25">
        <f>+Municipios!Z308</f>
        <v>56.894294018872039</v>
      </c>
      <c r="C307" s="232">
        <v>5209</v>
      </c>
      <c r="D307" s="232" t="s">
        <v>1075</v>
      </c>
      <c r="E307" s="232" t="s">
        <v>435</v>
      </c>
      <c r="F307" s="232" t="s">
        <v>436</v>
      </c>
      <c r="G307" s="232" t="s">
        <v>1076</v>
      </c>
      <c r="K307" t="s">
        <v>2647</v>
      </c>
      <c r="L307" s="81">
        <f>+Municipios!AB308</f>
        <v>32.500606540986922</v>
      </c>
      <c r="M307" s="232">
        <v>5209</v>
      </c>
      <c r="N307" s="232" t="s">
        <v>1075</v>
      </c>
      <c r="O307" s="232" t="s">
        <v>435</v>
      </c>
      <c r="P307" s="232" t="s">
        <v>436</v>
      </c>
      <c r="Q307" s="232" t="s">
        <v>1076</v>
      </c>
      <c r="T307" t="s">
        <v>2803</v>
      </c>
      <c r="U307" s="25">
        <f>+Municipios!Z308</f>
        <v>56.894294018872039</v>
      </c>
      <c r="V307" s="232">
        <v>5209</v>
      </c>
      <c r="W307" s="232" t="s">
        <v>1075</v>
      </c>
      <c r="X307" s="232" t="s">
        <v>435</v>
      </c>
      <c r="Y307" s="232" t="s">
        <v>436</v>
      </c>
      <c r="Z307" s="232" t="s">
        <v>1076</v>
      </c>
    </row>
    <row r="308" spans="1:26">
      <c r="A308" t="s">
        <v>417</v>
      </c>
      <c r="B308" s="25">
        <f>+Municipios!Z309</f>
        <v>63.189956343955323</v>
      </c>
      <c r="C308" s="232">
        <v>25328</v>
      </c>
      <c r="D308" s="232" t="s">
        <v>1077</v>
      </c>
      <c r="E308" s="232" t="s">
        <v>461</v>
      </c>
      <c r="F308" s="232" t="s">
        <v>462</v>
      </c>
      <c r="G308" s="232" t="s">
        <v>1078</v>
      </c>
      <c r="K308" t="s">
        <v>2647</v>
      </c>
      <c r="L308" s="81">
        <f>+Municipios!AB309</f>
        <v>35.916556159315419</v>
      </c>
      <c r="M308" s="232">
        <v>25328</v>
      </c>
      <c r="N308" s="232" t="s">
        <v>1077</v>
      </c>
      <c r="O308" s="232" t="s">
        <v>461</v>
      </c>
      <c r="P308" s="232" t="s">
        <v>462</v>
      </c>
      <c r="Q308" s="232" t="s">
        <v>1078</v>
      </c>
      <c r="T308" t="s">
        <v>2803</v>
      </c>
      <c r="U308" s="25">
        <f>+Municipios!Z309</f>
        <v>63.189956343955323</v>
      </c>
      <c r="V308" s="232">
        <v>25328</v>
      </c>
      <c r="W308" s="232" t="s">
        <v>1077</v>
      </c>
      <c r="X308" s="232" t="s">
        <v>461</v>
      </c>
      <c r="Y308" s="232" t="s">
        <v>462</v>
      </c>
      <c r="Z308" s="232" t="s">
        <v>1078</v>
      </c>
    </row>
    <row r="309" spans="1:26">
      <c r="A309" t="s">
        <v>417</v>
      </c>
      <c r="B309" s="25">
        <f>+Municipios!Z310</f>
        <v>54.772385708099492</v>
      </c>
      <c r="C309" s="232">
        <v>66383</v>
      </c>
      <c r="D309" s="232" t="s">
        <v>1079</v>
      </c>
      <c r="E309" s="232" t="s">
        <v>467</v>
      </c>
      <c r="F309" s="232" t="s">
        <v>468</v>
      </c>
      <c r="G309" s="232" t="s">
        <v>1080</v>
      </c>
      <c r="K309" t="s">
        <v>2647</v>
      </c>
      <c r="L309" s="81">
        <f>+Municipios!AB310</f>
        <v>31.188866336377721</v>
      </c>
      <c r="M309" s="232">
        <v>66383</v>
      </c>
      <c r="N309" s="232" t="s">
        <v>1079</v>
      </c>
      <c r="O309" s="232" t="s">
        <v>467</v>
      </c>
      <c r="P309" s="232" t="s">
        <v>468</v>
      </c>
      <c r="Q309" s="232" t="s">
        <v>1080</v>
      </c>
      <c r="T309" t="s">
        <v>2803</v>
      </c>
      <c r="U309" s="25">
        <f>+Municipios!Z310</f>
        <v>54.772385708099492</v>
      </c>
      <c r="V309" s="232">
        <v>66383</v>
      </c>
      <c r="W309" s="232" t="s">
        <v>1079</v>
      </c>
      <c r="X309" s="232" t="s">
        <v>467</v>
      </c>
      <c r="Y309" s="232" t="s">
        <v>468</v>
      </c>
      <c r="Z309" s="232" t="s">
        <v>1080</v>
      </c>
    </row>
    <row r="310" spans="1:26">
      <c r="A310" t="s">
        <v>417</v>
      </c>
      <c r="B310" s="25">
        <f>+Municipios!Z311</f>
        <v>55.316653066586916</v>
      </c>
      <c r="C310" s="232">
        <v>15820</v>
      </c>
      <c r="D310" s="232" t="s">
        <v>1081</v>
      </c>
      <c r="E310" s="232" t="s">
        <v>498</v>
      </c>
      <c r="F310" s="232" t="s">
        <v>499</v>
      </c>
      <c r="G310" s="232" t="s">
        <v>1082</v>
      </c>
      <c r="K310" t="s">
        <v>2647</v>
      </c>
      <c r="L310" s="81">
        <f>+Municipios!AB311</f>
        <v>31.523065312919019</v>
      </c>
      <c r="M310" s="232">
        <v>15820</v>
      </c>
      <c r="N310" s="232" t="s">
        <v>1081</v>
      </c>
      <c r="O310" s="232" t="s">
        <v>498</v>
      </c>
      <c r="P310" s="232" t="s">
        <v>499</v>
      </c>
      <c r="Q310" s="232" t="s">
        <v>1082</v>
      </c>
      <c r="T310" t="s">
        <v>2803</v>
      </c>
      <c r="U310" s="25">
        <f>+Municipios!Z311</f>
        <v>55.316653066586916</v>
      </c>
      <c r="V310" s="232">
        <v>15820</v>
      </c>
      <c r="W310" s="232" t="s">
        <v>1081</v>
      </c>
      <c r="X310" s="232" t="s">
        <v>498</v>
      </c>
      <c r="Y310" s="232" t="s">
        <v>499</v>
      </c>
      <c r="Z310" s="232" t="s">
        <v>1082</v>
      </c>
    </row>
    <row r="311" spans="1:26">
      <c r="A311" t="s">
        <v>417</v>
      </c>
      <c r="B311" s="25">
        <f>+Municipios!Z312</f>
        <v>50.120104103127311</v>
      </c>
      <c r="C311" s="232">
        <v>47205</v>
      </c>
      <c r="D311" s="232" t="s">
        <v>1083</v>
      </c>
      <c r="E311" s="232" t="s">
        <v>638</v>
      </c>
      <c r="F311" s="232" t="s">
        <v>639</v>
      </c>
      <c r="G311" s="232" t="s">
        <v>1076</v>
      </c>
      <c r="K311" t="s">
        <v>2647</v>
      </c>
      <c r="L311" s="81">
        <f>+Municipios!AB312</f>
        <v>28.510323241750861</v>
      </c>
      <c r="M311" s="232">
        <v>47205</v>
      </c>
      <c r="N311" s="232" t="s">
        <v>1083</v>
      </c>
      <c r="O311" s="232" t="s">
        <v>638</v>
      </c>
      <c r="P311" s="232" t="s">
        <v>639</v>
      </c>
      <c r="Q311" s="232" t="s">
        <v>1076</v>
      </c>
      <c r="T311" t="s">
        <v>2803</v>
      </c>
      <c r="U311" s="25">
        <f>+Municipios!Z312</f>
        <v>50.120104103127311</v>
      </c>
      <c r="V311" s="232">
        <v>47205</v>
      </c>
      <c r="W311" s="232" t="s">
        <v>1083</v>
      </c>
      <c r="X311" s="232" t="s">
        <v>638</v>
      </c>
      <c r="Y311" s="232" t="s">
        <v>639</v>
      </c>
      <c r="Z311" s="232" t="s">
        <v>1076</v>
      </c>
    </row>
    <row r="312" spans="1:26">
      <c r="A312" t="s">
        <v>417</v>
      </c>
      <c r="B312" s="25">
        <f>+Municipios!Z313</f>
        <v>74.901953236761571</v>
      </c>
      <c r="C312" s="232">
        <v>25769</v>
      </c>
      <c r="D312" s="232" t="s">
        <v>1084</v>
      </c>
      <c r="E312" s="232" t="s">
        <v>461</v>
      </c>
      <c r="F312" s="232" t="s">
        <v>462</v>
      </c>
      <c r="G312" s="232" t="s">
        <v>1085</v>
      </c>
      <c r="K312" t="s">
        <v>2647</v>
      </c>
      <c r="L312" s="81">
        <f>+Municipios!AB313</f>
        <v>42.512031809022517</v>
      </c>
      <c r="M312" s="232">
        <v>25769</v>
      </c>
      <c r="N312" s="232" t="s">
        <v>1084</v>
      </c>
      <c r="O312" s="232" t="s">
        <v>461</v>
      </c>
      <c r="P312" s="232" t="s">
        <v>462</v>
      </c>
      <c r="Q312" s="232" t="s">
        <v>1085</v>
      </c>
      <c r="T312" t="s">
        <v>2803</v>
      </c>
      <c r="U312" s="25">
        <f>+Municipios!Z313</f>
        <v>74.901953236761571</v>
      </c>
      <c r="V312" s="232">
        <v>25769</v>
      </c>
      <c r="W312" s="232" t="s">
        <v>1084</v>
      </c>
      <c r="X312" s="232" t="s">
        <v>461</v>
      </c>
      <c r="Y312" s="232" t="s">
        <v>462</v>
      </c>
      <c r="Z312" s="232" t="s">
        <v>1085</v>
      </c>
    </row>
    <row r="313" spans="1:26">
      <c r="A313" t="s">
        <v>417</v>
      </c>
      <c r="B313" s="25">
        <f>+Municipios!Z314</f>
        <v>53.539331843871182</v>
      </c>
      <c r="C313" s="232">
        <v>19780</v>
      </c>
      <c r="D313" s="232" t="s">
        <v>1086</v>
      </c>
      <c r="E313" s="232" t="s">
        <v>557</v>
      </c>
      <c r="F313" s="232" t="s">
        <v>558</v>
      </c>
      <c r="G313" s="232" t="s">
        <v>1087</v>
      </c>
      <c r="K313" t="s">
        <v>2647</v>
      </c>
      <c r="L313" s="81">
        <f>+Municipios!AB314</f>
        <v>30.490263738773717</v>
      </c>
      <c r="M313" s="232">
        <v>19780</v>
      </c>
      <c r="N313" s="232" t="s">
        <v>1086</v>
      </c>
      <c r="O313" s="232" t="s">
        <v>557</v>
      </c>
      <c r="P313" s="232" t="s">
        <v>558</v>
      </c>
      <c r="Q313" s="232" t="s">
        <v>1087</v>
      </c>
      <c r="T313" t="s">
        <v>2803</v>
      </c>
      <c r="U313" s="25">
        <f>+Municipios!Z314</f>
        <v>53.539331843871182</v>
      </c>
      <c r="V313" s="232">
        <v>19780</v>
      </c>
      <c r="W313" s="232" t="s">
        <v>1086</v>
      </c>
      <c r="X313" s="232" t="s">
        <v>557</v>
      </c>
      <c r="Y313" s="232" t="s">
        <v>558</v>
      </c>
      <c r="Z313" s="232" t="s">
        <v>1087</v>
      </c>
    </row>
    <row r="314" spans="1:26">
      <c r="A314" t="s">
        <v>417</v>
      </c>
      <c r="B314" s="25">
        <f>+Municipios!Z315</f>
        <v>58.70219920188633</v>
      </c>
      <c r="C314" s="232">
        <v>15778</v>
      </c>
      <c r="D314" s="232" t="s">
        <v>1088</v>
      </c>
      <c r="E314" s="232" t="s">
        <v>498</v>
      </c>
      <c r="F314" s="232" t="s">
        <v>499</v>
      </c>
      <c r="G314" s="232" t="s">
        <v>1089</v>
      </c>
      <c r="K314" t="s">
        <v>2647</v>
      </c>
      <c r="L314" s="81">
        <f>+Municipios!AB315</f>
        <v>33.431925228298979</v>
      </c>
      <c r="M314" s="232">
        <v>15778</v>
      </c>
      <c r="N314" s="232" t="s">
        <v>1088</v>
      </c>
      <c r="O314" s="232" t="s">
        <v>498</v>
      </c>
      <c r="P314" s="232" t="s">
        <v>499</v>
      </c>
      <c r="Q314" s="232" t="s">
        <v>1089</v>
      </c>
      <c r="T314" t="s">
        <v>2803</v>
      </c>
      <c r="U314" s="25">
        <f>+Municipios!Z315</f>
        <v>58.70219920188633</v>
      </c>
      <c r="V314" s="232">
        <v>15778</v>
      </c>
      <c r="W314" s="232" t="s">
        <v>1088</v>
      </c>
      <c r="X314" s="232" t="s">
        <v>498</v>
      </c>
      <c r="Y314" s="232" t="s">
        <v>499</v>
      </c>
      <c r="Z314" s="232" t="s">
        <v>1089</v>
      </c>
    </row>
    <row r="315" spans="1:26">
      <c r="A315" t="s">
        <v>417</v>
      </c>
      <c r="B315" s="25">
        <f>+Municipios!Z316</f>
        <v>55.25351061480329</v>
      </c>
      <c r="C315" s="232">
        <v>70110</v>
      </c>
      <c r="D315" s="232" t="s">
        <v>1090</v>
      </c>
      <c r="E315" s="232" t="s">
        <v>494</v>
      </c>
      <c r="F315" s="232" t="s">
        <v>495</v>
      </c>
      <c r="G315" s="232" t="s">
        <v>1064</v>
      </c>
      <c r="K315" t="s">
        <v>2647</v>
      </c>
      <c r="L315" s="81">
        <f>+Municipios!AB316</f>
        <v>31.377715213533342</v>
      </c>
      <c r="M315" s="232">
        <v>70110</v>
      </c>
      <c r="N315" s="232" t="s">
        <v>1090</v>
      </c>
      <c r="O315" s="232" t="s">
        <v>494</v>
      </c>
      <c r="P315" s="232" t="s">
        <v>495</v>
      </c>
      <c r="Q315" s="232" t="s">
        <v>1064</v>
      </c>
      <c r="T315" t="s">
        <v>2803</v>
      </c>
      <c r="U315" s="25">
        <f>+Municipios!Z316</f>
        <v>55.25351061480329</v>
      </c>
      <c r="V315" s="232">
        <v>70110</v>
      </c>
      <c r="W315" s="232" t="s">
        <v>1090</v>
      </c>
      <c r="X315" s="232" t="s">
        <v>494</v>
      </c>
      <c r="Y315" s="232" t="s">
        <v>495</v>
      </c>
      <c r="Z315" s="232" t="s">
        <v>1064</v>
      </c>
    </row>
    <row r="316" spans="1:26">
      <c r="A316" t="s">
        <v>417</v>
      </c>
      <c r="B316" s="25">
        <f>+Municipios!Z317</f>
        <v>68.477301945905268</v>
      </c>
      <c r="C316" s="232">
        <v>15204</v>
      </c>
      <c r="D316" s="232" t="s">
        <v>1091</v>
      </c>
      <c r="E316" s="232" t="s">
        <v>498</v>
      </c>
      <c r="F316" s="232" t="s">
        <v>499</v>
      </c>
      <c r="G316" s="232" t="s">
        <v>1092</v>
      </c>
      <c r="K316" t="s">
        <v>2647</v>
      </c>
      <c r="L316" s="81">
        <f>+Municipios!AB317</f>
        <v>38.820430838086672</v>
      </c>
      <c r="M316" s="232">
        <v>15204</v>
      </c>
      <c r="N316" s="232" t="s">
        <v>1091</v>
      </c>
      <c r="O316" s="232" t="s">
        <v>498</v>
      </c>
      <c r="P316" s="232" t="s">
        <v>499</v>
      </c>
      <c r="Q316" s="232" t="s">
        <v>1092</v>
      </c>
      <c r="T316" t="s">
        <v>2803</v>
      </c>
      <c r="U316" s="25">
        <f>+Municipios!Z317</f>
        <v>68.477301945905268</v>
      </c>
      <c r="V316" s="232">
        <v>15204</v>
      </c>
      <c r="W316" s="232" t="s">
        <v>1091</v>
      </c>
      <c r="X316" s="232" t="s">
        <v>498</v>
      </c>
      <c r="Y316" s="232" t="s">
        <v>499</v>
      </c>
      <c r="Z316" s="232" t="s">
        <v>1092</v>
      </c>
    </row>
    <row r="317" spans="1:26">
      <c r="A317" t="s">
        <v>417</v>
      </c>
      <c r="B317" s="25">
        <f>+Municipios!Z318</f>
        <v>55.801661322753993</v>
      </c>
      <c r="C317" s="232">
        <v>52207</v>
      </c>
      <c r="D317" s="232" t="s">
        <v>1093</v>
      </c>
      <c r="E317" s="232" t="s">
        <v>672</v>
      </c>
      <c r="F317" s="232" t="s">
        <v>673</v>
      </c>
      <c r="G317" s="232" t="s">
        <v>1094</v>
      </c>
      <c r="K317" t="s">
        <v>2647</v>
      </c>
      <c r="L317" s="81">
        <f>+Municipios!AB318</f>
        <v>31.674630481098191</v>
      </c>
      <c r="M317" s="232">
        <v>52207</v>
      </c>
      <c r="N317" s="232" t="s">
        <v>1093</v>
      </c>
      <c r="O317" s="232" t="s">
        <v>672</v>
      </c>
      <c r="P317" s="232" t="s">
        <v>673</v>
      </c>
      <c r="Q317" s="232" t="s">
        <v>1094</v>
      </c>
      <c r="T317" t="s">
        <v>2803</v>
      </c>
      <c r="U317" s="25">
        <f>+Municipios!Z318</f>
        <v>55.801661322753993</v>
      </c>
      <c r="V317" s="232">
        <v>52207</v>
      </c>
      <c r="W317" s="232" t="s">
        <v>1093</v>
      </c>
      <c r="X317" s="232" t="s">
        <v>672</v>
      </c>
      <c r="Y317" s="232" t="s">
        <v>673</v>
      </c>
      <c r="Z317" s="232" t="s">
        <v>1094</v>
      </c>
    </row>
    <row r="318" spans="1:26">
      <c r="A318" t="s">
        <v>417</v>
      </c>
      <c r="B318" s="25">
        <f>+Municipios!Z319</f>
        <v>54.512887272406019</v>
      </c>
      <c r="C318" s="232">
        <v>25599</v>
      </c>
      <c r="D318" s="232" t="s">
        <v>1095</v>
      </c>
      <c r="E318" s="232" t="s">
        <v>461</v>
      </c>
      <c r="F318" s="232" t="s">
        <v>462</v>
      </c>
      <c r="G318" s="232" t="s">
        <v>1096</v>
      </c>
      <c r="K318" t="s">
        <v>2647</v>
      </c>
      <c r="L318" s="81">
        <f>+Municipios!AB319</f>
        <v>30.965851179443469</v>
      </c>
      <c r="M318" s="232">
        <v>25599</v>
      </c>
      <c r="N318" s="232" t="s">
        <v>1095</v>
      </c>
      <c r="O318" s="232" t="s">
        <v>461</v>
      </c>
      <c r="P318" s="232" t="s">
        <v>462</v>
      </c>
      <c r="Q318" s="232" t="s">
        <v>1096</v>
      </c>
      <c r="T318" t="s">
        <v>2803</v>
      </c>
      <c r="U318" s="25">
        <f>+Municipios!Z319</f>
        <v>54.512887272406019</v>
      </c>
      <c r="V318" s="232">
        <v>25599</v>
      </c>
      <c r="W318" s="232" t="s">
        <v>1095</v>
      </c>
      <c r="X318" s="232" t="s">
        <v>461</v>
      </c>
      <c r="Y318" s="232" t="s">
        <v>462</v>
      </c>
      <c r="Z318" s="232" t="s">
        <v>1096</v>
      </c>
    </row>
    <row r="319" spans="1:26">
      <c r="A319" t="s">
        <v>417</v>
      </c>
      <c r="B319" s="25">
        <f>+Municipios!Z320</f>
        <v>53.715502693393177</v>
      </c>
      <c r="C319" s="232">
        <v>47268</v>
      </c>
      <c r="D319" s="232" t="s">
        <v>1097</v>
      </c>
      <c r="E319" s="232" t="s">
        <v>638</v>
      </c>
      <c r="F319" s="232" t="s">
        <v>639</v>
      </c>
      <c r="G319" s="232" t="s">
        <v>1098</v>
      </c>
      <c r="K319" t="s">
        <v>2647</v>
      </c>
      <c r="L319" s="81">
        <f>+Municipios!AB320</f>
        <v>30.43846505114491</v>
      </c>
      <c r="M319" s="232">
        <v>47268</v>
      </c>
      <c r="N319" s="232" t="s">
        <v>1097</v>
      </c>
      <c r="O319" s="232" t="s">
        <v>638</v>
      </c>
      <c r="P319" s="232" t="s">
        <v>639</v>
      </c>
      <c r="Q319" s="232" t="s">
        <v>1098</v>
      </c>
      <c r="T319" t="s">
        <v>2803</v>
      </c>
      <c r="U319" s="25">
        <f>+Municipios!Z320</f>
        <v>53.715502693393177</v>
      </c>
      <c r="V319" s="232">
        <v>47268</v>
      </c>
      <c r="W319" s="232" t="s">
        <v>1097</v>
      </c>
      <c r="X319" s="232" t="s">
        <v>638</v>
      </c>
      <c r="Y319" s="232" t="s">
        <v>639</v>
      </c>
      <c r="Z319" s="232" t="s">
        <v>1098</v>
      </c>
    </row>
    <row r="320" spans="1:26">
      <c r="A320" t="s">
        <v>417</v>
      </c>
      <c r="B320" s="25">
        <f>+Municipios!Z321</f>
        <v>47.195549907733593</v>
      </c>
      <c r="C320" s="232">
        <v>19110</v>
      </c>
      <c r="D320" s="232" t="s">
        <v>1099</v>
      </c>
      <c r="E320" s="232" t="s">
        <v>557</v>
      </c>
      <c r="F320" s="232" t="s">
        <v>558</v>
      </c>
      <c r="G320" s="232" t="s">
        <v>1100</v>
      </c>
      <c r="K320" t="s">
        <v>2647</v>
      </c>
      <c r="L320" s="81">
        <f>+Municipios!AB321</f>
        <v>26.733364635354214</v>
      </c>
      <c r="M320" s="232">
        <v>19110</v>
      </c>
      <c r="N320" s="232" t="s">
        <v>1099</v>
      </c>
      <c r="O320" s="232" t="s">
        <v>557</v>
      </c>
      <c r="P320" s="232" t="s">
        <v>558</v>
      </c>
      <c r="Q320" s="232" t="s">
        <v>1100</v>
      </c>
      <c r="T320" t="s">
        <v>2803</v>
      </c>
      <c r="U320" s="25">
        <f>+Municipios!Z321</f>
        <v>47.195549907733593</v>
      </c>
      <c r="V320" s="232">
        <v>19110</v>
      </c>
      <c r="W320" s="232" t="s">
        <v>1099</v>
      </c>
      <c r="X320" s="232" t="s">
        <v>557</v>
      </c>
      <c r="Y320" s="232" t="s">
        <v>558</v>
      </c>
      <c r="Z320" s="232" t="s">
        <v>1100</v>
      </c>
    </row>
    <row r="321" spans="1:26">
      <c r="A321" t="s">
        <v>417</v>
      </c>
      <c r="B321" s="25">
        <f>+Municipios!Z322</f>
        <v>62.541164145557261</v>
      </c>
      <c r="C321" s="232">
        <v>73671</v>
      </c>
      <c r="D321" s="232" t="s">
        <v>1101</v>
      </c>
      <c r="E321" s="232" t="s">
        <v>595</v>
      </c>
      <c r="F321" s="232" t="s">
        <v>596</v>
      </c>
      <c r="G321" s="232" t="s">
        <v>1102</v>
      </c>
      <c r="K321" t="s">
        <v>2647</v>
      </c>
      <c r="L321" s="81">
        <f>+Municipios!AB322</f>
        <v>35.43195269826537</v>
      </c>
      <c r="M321" s="232">
        <v>73671</v>
      </c>
      <c r="N321" s="232" t="s">
        <v>1101</v>
      </c>
      <c r="O321" s="232" t="s">
        <v>595</v>
      </c>
      <c r="P321" s="232" t="s">
        <v>596</v>
      </c>
      <c r="Q321" s="232" t="s">
        <v>1102</v>
      </c>
      <c r="T321" t="s">
        <v>2803</v>
      </c>
      <c r="U321" s="25">
        <f>+Municipios!Z322</f>
        <v>62.541164145557261</v>
      </c>
      <c r="V321" s="232">
        <v>73671</v>
      </c>
      <c r="W321" s="232" t="s">
        <v>1101</v>
      </c>
      <c r="X321" s="232" t="s">
        <v>595</v>
      </c>
      <c r="Y321" s="232" t="s">
        <v>596</v>
      </c>
      <c r="Z321" s="232" t="s">
        <v>1102</v>
      </c>
    </row>
    <row r="322" spans="1:26">
      <c r="A322" t="s">
        <v>417</v>
      </c>
      <c r="B322" s="25">
        <f>+Municipios!Z323</f>
        <v>54.181413368250119</v>
      </c>
      <c r="C322" s="232">
        <v>52885</v>
      </c>
      <c r="D322" s="232" t="s">
        <v>1103</v>
      </c>
      <c r="E322" s="232" t="s">
        <v>672</v>
      </c>
      <c r="F322" s="232" t="s">
        <v>673</v>
      </c>
      <c r="G322" s="232" t="s">
        <v>1104</v>
      </c>
      <c r="K322" t="s">
        <v>2647</v>
      </c>
      <c r="L322" s="81">
        <f>+Municipios!AB323</f>
        <v>30.675023486599972</v>
      </c>
      <c r="M322" s="232">
        <v>52885</v>
      </c>
      <c r="N322" s="232" t="s">
        <v>1103</v>
      </c>
      <c r="O322" s="232" t="s">
        <v>672</v>
      </c>
      <c r="P322" s="232" t="s">
        <v>673</v>
      </c>
      <c r="Q322" s="232" t="s">
        <v>1104</v>
      </c>
      <c r="T322" t="s">
        <v>2803</v>
      </c>
      <c r="U322" s="25">
        <f>+Municipios!Z323</f>
        <v>54.181413368250119</v>
      </c>
      <c r="V322" s="232">
        <v>52885</v>
      </c>
      <c r="W322" s="232" t="s">
        <v>1103</v>
      </c>
      <c r="X322" s="232" t="s">
        <v>672</v>
      </c>
      <c r="Y322" s="232" t="s">
        <v>673</v>
      </c>
      <c r="Z322" s="232" t="s">
        <v>1104</v>
      </c>
    </row>
    <row r="323" spans="1:26">
      <c r="A323" t="s">
        <v>417</v>
      </c>
      <c r="B323" s="25">
        <f>+Municipios!Z324</f>
        <v>62.017878117056547</v>
      </c>
      <c r="C323" s="232">
        <v>25317</v>
      </c>
      <c r="D323" s="232" t="s">
        <v>1105</v>
      </c>
      <c r="E323" s="232" t="s">
        <v>461</v>
      </c>
      <c r="F323" s="232" t="s">
        <v>462</v>
      </c>
      <c r="G323" s="232" t="s">
        <v>1106</v>
      </c>
      <c r="K323" t="s">
        <v>2647</v>
      </c>
      <c r="L323" s="81">
        <f>+Municipios!AB324</f>
        <v>34.946502095245144</v>
      </c>
      <c r="M323" s="232">
        <v>25317</v>
      </c>
      <c r="N323" s="232" t="s">
        <v>1105</v>
      </c>
      <c r="O323" s="232" t="s">
        <v>461</v>
      </c>
      <c r="P323" s="232" t="s">
        <v>462</v>
      </c>
      <c r="Q323" s="232" t="s">
        <v>1106</v>
      </c>
      <c r="T323" t="s">
        <v>2803</v>
      </c>
      <c r="U323" s="25">
        <f>+Municipios!Z324</f>
        <v>62.017878117056547</v>
      </c>
      <c r="V323" s="232">
        <v>25317</v>
      </c>
      <c r="W323" s="232" t="s">
        <v>1105</v>
      </c>
      <c r="X323" s="232" t="s">
        <v>461</v>
      </c>
      <c r="Y323" s="232" t="s">
        <v>462</v>
      </c>
      <c r="Z323" s="232" t="s">
        <v>1106</v>
      </c>
    </row>
    <row r="324" spans="1:26">
      <c r="A324" t="s">
        <v>417</v>
      </c>
      <c r="B324" s="25">
        <f>+Municipios!Z325</f>
        <v>54.240106204536517</v>
      </c>
      <c r="C324" s="232">
        <v>76377</v>
      </c>
      <c r="D324" s="232" t="s">
        <v>1107</v>
      </c>
      <c r="E324" s="232" t="s">
        <v>454</v>
      </c>
      <c r="F324" s="232" t="s">
        <v>455</v>
      </c>
      <c r="G324" s="232" t="s">
        <v>1108</v>
      </c>
      <c r="K324" t="s">
        <v>2647</v>
      </c>
      <c r="L324" s="81">
        <f>+Municipios!AB325</f>
        <v>30.699036769058825</v>
      </c>
      <c r="M324" s="232">
        <v>76377</v>
      </c>
      <c r="N324" s="232" t="s">
        <v>1107</v>
      </c>
      <c r="O324" s="232" t="s">
        <v>454</v>
      </c>
      <c r="P324" s="232" t="s">
        <v>455</v>
      </c>
      <c r="Q324" s="232" t="s">
        <v>1108</v>
      </c>
      <c r="T324" t="s">
        <v>2803</v>
      </c>
      <c r="U324" s="25">
        <f>+Municipios!Z325</f>
        <v>54.240106204536517</v>
      </c>
      <c r="V324" s="232">
        <v>76377</v>
      </c>
      <c r="W324" s="232" t="s">
        <v>1107</v>
      </c>
      <c r="X324" s="232" t="s">
        <v>454</v>
      </c>
      <c r="Y324" s="232" t="s">
        <v>455</v>
      </c>
      <c r="Z324" s="232" t="s">
        <v>1108</v>
      </c>
    </row>
    <row r="325" spans="1:26">
      <c r="A325" t="s">
        <v>417</v>
      </c>
      <c r="B325" s="25">
        <f>+Municipios!Z326</f>
        <v>57.542041124270504</v>
      </c>
      <c r="C325" s="232">
        <v>15224</v>
      </c>
      <c r="D325" s="232" t="s">
        <v>1109</v>
      </c>
      <c r="E325" s="232" t="s">
        <v>498</v>
      </c>
      <c r="F325" s="232" t="s">
        <v>499</v>
      </c>
      <c r="G325" s="232" t="s">
        <v>1110</v>
      </c>
      <c r="K325" t="s">
        <v>2647</v>
      </c>
      <c r="L325" s="81">
        <f>+Municipios!AB326</f>
        <v>32.487409214837363</v>
      </c>
      <c r="M325" s="232">
        <v>15224</v>
      </c>
      <c r="N325" s="232" t="s">
        <v>1109</v>
      </c>
      <c r="O325" s="232" t="s">
        <v>498</v>
      </c>
      <c r="P325" s="232" t="s">
        <v>499</v>
      </c>
      <c r="Q325" s="232" t="s">
        <v>1110</v>
      </c>
      <c r="T325" t="s">
        <v>2803</v>
      </c>
      <c r="U325" s="25">
        <f>+Municipios!Z326</f>
        <v>57.542041124270504</v>
      </c>
      <c r="V325" s="232">
        <v>15224</v>
      </c>
      <c r="W325" s="232" t="s">
        <v>1109</v>
      </c>
      <c r="X325" s="232" t="s">
        <v>498</v>
      </c>
      <c r="Y325" s="232" t="s">
        <v>499</v>
      </c>
      <c r="Z325" s="232" t="s">
        <v>1110</v>
      </c>
    </row>
    <row r="326" spans="1:26">
      <c r="A326" t="s">
        <v>417</v>
      </c>
      <c r="B326" s="25">
        <f>+Municipios!Z327</f>
        <v>49.653076118231681</v>
      </c>
      <c r="C326" s="232">
        <v>70204</v>
      </c>
      <c r="D326" s="232" t="s">
        <v>1111</v>
      </c>
      <c r="E326" s="232" t="s">
        <v>494</v>
      </c>
      <c r="F326" s="232" t="s">
        <v>495</v>
      </c>
      <c r="G326" s="232" t="s">
        <v>1112</v>
      </c>
      <c r="K326" t="s">
        <v>2647</v>
      </c>
      <c r="L326" s="81">
        <f>+Municipios!AB327</f>
        <v>28.034429015125564</v>
      </c>
      <c r="M326" s="232">
        <v>70204</v>
      </c>
      <c r="N326" s="232" t="s">
        <v>1111</v>
      </c>
      <c r="O326" s="232" t="s">
        <v>494</v>
      </c>
      <c r="P326" s="232" t="s">
        <v>495</v>
      </c>
      <c r="Q326" s="232" t="s">
        <v>1112</v>
      </c>
      <c r="T326" t="s">
        <v>2803</v>
      </c>
      <c r="U326" s="25">
        <f>+Municipios!Z327</f>
        <v>49.653076118231681</v>
      </c>
      <c r="V326" s="232">
        <v>70204</v>
      </c>
      <c r="W326" s="232" t="s">
        <v>1111</v>
      </c>
      <c r="X326" s="232" t="s">
        <v>494</v>
      </c>
      <c r="Y326" s="232" t="s">
        <v>495</v>
      </c>
      <c r="Z326" s="232" t="s">
        <v>1112</v>
      </c>
    </row>
    <row r="327" spans="1:26">
      <c r="A327" t="s">
        <v>417</v>
      </c>
      <c r="B327" s="25">
        <f>+Municipios!Z328</f>
        <v>48.275938722498658</v>
      </c>
      <c r="C327" s="232">
        <v>73349</v>
      </c>
      <c r="D327" s="232" t="s">
        <v>1113</v>
      </c>
      <c r="E327" s="232" t="s">
        <v>595</v>
      </c>
      <c r="F327" s="232" t="s">
        <v>596</v>
      </c>
      <c r="G327" s="232" t="s">
        <v>1114</v>
      </c>
      <c r="K327" t="s">
        <v>2647</v>
      </c>
      <c r="L327" s="81">
        <f>+Municipios!AB328</f>
        <v>27.158061963663094</v>
      </c>
      <c r="M327" s="232">
        <v>73349</v>
      </c>
      <c r="N327" s="232" t="s">
        <v>1113</v>
      </c>
      <c r="O327" s="232" t="s">
        <v>595</v>
      </c>
      <c r="P327" s="232" t="s">
        <v>596</v>
      </c>
      <c r="Q327" s="232" t="s">
        <v>1114</v>
      </c>
      <c r="T327" t="s">
        <v>2803</v>
      </c>
      <c r="U327" s="25">
        <f>+Municipios!Z328</f>
        <v>48.275938722498658</v>
      </c>
      <c r="V327" s="232">
        <v>73349</v>
      </c>
      <c r="W327" s="232" t="s">
        <v>1113</v>
      </c>
      <c r="X327" s="232" t="s">
        <v>595</v>
      </c>
      <c r="Y327" s="232" t="s">
        <v>596</v>
      </c>
      <c r="Z327" s="232" t="s">
        <v>1114</v>
      </c>
    </row>
    <row r="328" spans="1:26">
      <c r="A328" t="s">
        <v>417</v>
      </c>
      <c r="B328" s="25">
        <f>+Municipios!Z329</f>
        <v>47.69428473297846</v>
      </c>
      <c r="C328" s="232">
        <v>13433</v>
      </c>
      <c r="D328" s="232" t="s">
        <v>1115</v>
      </c>
      <c r="E328" s="232" t="s">
        <v>480</v>
      </c>
      <c r="F328" s="232" t="s">
        <v>481</v>
      </c>
      <c r="G328" s="232" t="s">
        <v>1116</v>
      </c>
      <c r="K328" t="s">
        <v>2647</v>
      </c>
      <c r="L328" s="81">
        <f>+Municipios!AB329</f>
        <v>26.93612846431903</v>
      </c>
      <c r="M328" s="232">
        <v>13433</v>
      </c>
      <c r="N328" s="232" t="s">
        <v>1115</v>
      </c>
      <c r="O328" s="232" t="s">
        <v>480</v>
      </c>
      <c r="P328" s="232" t="s">
        <v>481</v>
      </c>
      <c r="Q328" s="232" t="s">
        <v>1116</v>
      </c>
      <c r="T328" t="s">
        <v>2803</v>
      </c>
      <c r="U328" s="25">
        <f>+Municipios!Z329</f>
        <v>47.69428473297846</v>
      </c>
      <c r="V328" s="232">
        <v>13433</v>
      </c>
      <c r="W328" s="232" t="s">
        <v>1115</v>
      </c>
      <c r="X328" s="232" t="s">
        <v>480</v>
      </c>
      <c r="Y328" s="232" t="s">
        <v>481</v>
      </c>
      <c r="Z328" s="232" t="s">
        <v>1116</v>
      </c>
    </row>
    <row r="329" spans="1:26">
      <c r="A329" t="s">
        <v>417</v>
      </c>
      <c r="B329" s="25">
        <f>+Municipios!Z330</f>
        <v>63.317774733968491</v>
      </c>
      <c r="C329" s="232">
        <v>52506</v>
      </c>
      <c r="D329" s="232" t="s">
        <v>1117</v>
      </c>
      <c r="E329" s="232" t="s">
        <v>672</v>
      </c>
      <c r="F329" s="232" t="s">
        <v>673</v>
      </c>
      <c r="G329" s="232" t="s">
        <v>1118</v>
      </c>
      <c r="K329" t="s">
        <v>2647</v>
      </c>
      <c r="L329" s="81">
        <f>+Municipios!AB330</f>
        <v>35.762803840059142</v>
      </c>
      <c r="M329" s="232">
        <v>52506</v>
      </c>
      <c r="N329" s="232" t="s">
        <v>1117</v>
      </c>
      <c r="O329" s="232" t="s">
        <v>672</v>
      </c>
      <c r="P329" s="232" t="s">
        <v>673</v>
      </c>
      <c r="Q329" s="232" t="s">
        <v>1118</v>
      </c>
      <c r="T329" t="s">
        <v>2803</v>
      </c>
      <c r="U329" s="25">
        <f>+Municipios!Z330</f>
        <v>63.317774733968491</v>
      </c>
      <c r="V329" s="232">
        <v>52506</v>
      </c>
      <c r="W329" s="232" t="s">
        <v>1117</v>
      </c>
      <c r="X329" s="232" t="s">
        <v>672</v>
      </c>
      <c r="Y329" s="232" t="s">
        <v>673</v>
      </c>
      <c r="Z329" s="232" t="s">
        <v>1118</v>
      </c>
    </row>
    <row r="330" spans="1:26">
      <c r="A330" t="s">
        <v>417</v>
      </c>
      <c r="B330" s="25">
        <f>+Municipios!Z331</f>
        <v>59.115893963674182</v>
      </c>
      <c r="C330" s="232">
        <v>25524</v>
      </c>
      <c r="D330" s="232" t="s">
        <v>1119</v>
      </c>
      <c r="E330" s="232" t="s">
        <v>461</v>
      </c>
      <c r="F330" s="232" t="s">
        <v>462</v>
      </c>
      <c r="G330" s="232" t="s">
        <v>1120</v>
      </c>
      <c r="K330" t="s">
        <v>2647</v>
      </c>
      <c r="L330" s="81">
        <f>+Municipios!AB331</f>
        <v>33.352070065256804</v>
      </c>
      <c r="M330" s="232">
        <v>25524</v>
      </c>
      <c r="N330" s="232" t="s">
        <v>1119</v>
      </c>
      <c r="O330" s="232" t="s">
        <v>461</v>
      </c>
      <c r="P330" s="232" t="s">
        <v>462</v>
      </c>
      <c r="Q330" s="232" t="s">
        <v>1120</v>
      </c>
      <c r="T330" t="s">
        <v>2803</v>
      </c>
      <c r="U330" s="25">
        <f>+Municipios!Z331</f>
        <v>59.115893963674182</v>
      </c>
      <c r="V330" s="232">
        <v>25524</v>
      </c>
      <c r="W330" s="232" t="s">
        <v>1119</v>
      </c>
      <c r="X330" s="232" t="s">
        <v>461</v>
      </c>
      <c r="Y330" s="232" t="s">
        <v>462</v>
      </c>
      <c r="Z330" s="232" t="s">
        <v>1120</v>
      </c>
    </row>
    <row r="331" spans="1:26">
      <c r="A331" t="s">
        <v>417</v>
      </c>
      <c r="B331" s="25">
        <f>+Municipios!Z332</f>
        <v>67.974493325312949</v>
      </c>
      <c r="C331" s="232">
        <v>76497</v>
      </c>
      <c r="D331" s="232" t="s">
        <v>1121</v>
      </c>
      <c r="E331" s="232" t="s">
        <v>454</v>
      </c>
      <c r="F331" s="232" t="s">
        <v>455</v>
      </c>
      <c r="G331" s="232" t="s">
        <v>1122</v>
      </c>
      <c r="K331" t="s">
        <v>2647</v>
      </c>
      <c r="L331" s="81">
        <f>+Municipios!AB332</f>
        <v>38.346099451394579</v>
      </c>
      <c r="M331" s="232">
        <v>76497</v>
      </c>
      <c r="N331" s="232" t="s">
        <v>1121</v>
      </c>
      <c r="O331" s="232" t="s">
        <v>454</v>
      </c>
      <c r="P331" s="232" t="s">
        <v>455</v>
      </c>
      <c r="Q331" s="232" t="s">
        <v>1122</v>
      </c>
      <c r="T331" t="s">
        <v>2803</v>
      </c>
      <c r="U331" s="25">
        <f>+Municipios!Z332</f>
        <v>67.974493325312949</v>
      </c>
      <c r="V331" s="232">
        <v>76497</v>
      </c>
      <c r="W331" s="232" t="s">
        <v>1121</v>
      </c>
      <c r="X331" s="232" t="s">
        <v>454</v>
      </c>
      <c r="Y331" s="232" t="s">
        <v>455</v>
      </c>
      <c r="Z331" s="232" t="s">
        <v>1122</v>
      </c>
    </row>
    <row r="332" spans="1:26">
      <c r="A332" t="s">
        <v>417</v>
      </c>
      <c r="B332" s="25">
        <f>+Municipios!Z333</f>
        <v>62.784008875864721</v>
      </c>
      <c r="C332" s="232">
        <v>25873</v>
      </c>
      <c r="D332" s="232" t="s">
        <v>1123</v>
      </c>
      <c r="E332" s="232" t="s">
        <v>461</v>
      </c>
      <c r="F332" s="232" t="s">
        <v>462</v>
      </c>
      <c r="G332" s="232" t="s">
        <v>1124</v>
      </c>
      <c r="K332" t="s">
        <v>2647</v>
      </c>
      <c r="L332" s="81">
        <f>+Municipios!AB333</f>
        <v>35.4170676165446</v>
      </c>
      <c r="M332" s="232">
        <v>25873</v>
      </c>
      <c r="N332" s="232" t="s">
        <v>1123</v>
      </c>
      <c r="O332" s="232" t="s">
        <v>461</v>
      </c>
      <c r="P332" s="232" t="s">
        <v>462</v>
      </c>
      <c r="Q332" s="232" t="s">
        <v>1124</v>
      </c>
      <c r="T332" t="s">
        <v>2803</v>
      </c>
      <c r="U332" s="25">
        <f>+Municipios!Z333</f>
        <v>62.784008875864721</v>
      </c>
      <c r="V332" s="232">
        <v>25873</v>
      </c>
      <c r="W332" s="232" t="s">
        <v>1123</v>
      </c>
      <c r="X332" s="232" t="s">
        <v>461</v>
      </c>
      <c r="Y332" s="232" t="s">
        <v>462</v>
      </c>
      <c r="Z332" s="232" t="s">
        <v>1124</v>
      </c>
    </row>
    <row r="333" spans="1:26">
      <c r="A333" t="s">
        <v>417</v>
      </c>
      <c r="B333" s="25">
        <f>+Municipios!Z334</f>
        <v>53.852462761279241</v>
      </c>
      <c r="C333" s="232">
        <v>25878</v>
      </c>
      <c r="D333" s="232" t="s">
        <v>1125</v>
      </c>
      <c r="E333" s="232" t="s">
        <v>461</v>
      </c>
      <c r="F333" s="232" t="s">
        <v>462</v>
      </c>
      <c r="G333" s="232" t="s">
        <v>1126</v>
      </c>
      <c r="K333" t="s">
        <v>2647</v>
      </c>
      <c r="L333" s="81">
        <f>+Municipios!AB334</f>
        <v>30.437668755705165</v>
      </c>
      <c r="M333" s="232">
        <v>25878</v>
      </c>
      <c r="N333" s="232" t="s">
        <v>1125</v>
      </c>
      <c r="O333" s="232" t="s">
        <v>461</v>
      </c>
      <c r="P333" s="232" t="s">
        <v>462</v>
      </c>
      <c r="Q333" s="232" t="s">
        <v>1126</v>
      </c>
      <c r="T333" t="s">
        <v>2803</v>
      </c>
      <c r="U333" s="25">
        <f>+Municipios!Z334</f>
        <v>53.852462761279241</v>
      </c>
      <c r="V333" s="232">
        <v>25878</v>
      </c>
      <c r="W333" s="232" t="s">
        <v>1125</v>
      </c>
      <c r="X333" s="232" t="s">
        <v>461</v>
      </c>
      <c r="Y333" s="232" t="s">
        <v>462</v>
      </c>
      <c r="Z333" s="232" t="s">
        <v>1126</v>
      </c>
    </row>
    <row r="334" spans="1:26">
      <c r="A334" t="s">
        <v>417</v>
      </c>
      <c r="B334" s="25">
        <f>+Municipios!Z335</f>
        <v>58.297837568444706</v>
      </c>
      <c r="C334" s="232">
        <v>76041</v>
      </c>
      <c r="D334" s="232" t="s">
        <v>1127</v>
      </c>
      <c r="E334" s="232" t="s">
        <v>454</v>
      </c>
      <c r="F334" s="232" t="s">
        <v>455</v>
      </c>
      <c r="G334" s="232" t="s">
        <v>1128</v>
      </c>
      <c r="K334" t="s">
        <v>2647</v>
      </c>
      <c r="L334" s="81">
        <f>+Municipios!AB335</f>
        <v>32.852852220489339</v>
      </c>
      <c r="M334" s="232">
        <v>76041</v>
      </c>
      <c r="N334" s="232" t="s">
        <v>1127</v>
      </c>
      <c r="O334" s="232" t="s">
        <v>454</v>
      </c>
      <c r="P334" s="232" t="s">
        <v>455</v>
      </c>
      <c r="Q334" s="232" t="s">
        <v>1128</v>
      </c>
      <c r="T334" t="s">
        <v>2803</v>
      </c>
      <c r="U334" s="25">
        <f>+Municipios!Z335</f>
        <v>58.297837568444706</v>
      </c>
      <c r="V334" s="232">
        <v>76041</v>
      </c>
      <c r="W334" s="232" t="s">
        <v>1127</v>
      </c>
      <c r="X334" s="232" t="s">
        <v>454</v>
      </c>
      <c r="Y334" s="232" t="s">
        <v>455</v>
      </c>
      <c r="Z334" s="232" t="s">
        <v>1128</v>
      </c>
    </row>
    <row r="335" spans="1:26">
      <c r="A335" t="s">
        <v>417</v>
      </c>
      <c r="B335" s="25">
        <f>+Municipios!Z336</f>
        <v>46.76909850146032</v>
      </c>
      <c r="C335" s="232">
        <v>70235</v>
      </c>
      <c r="D335" s="232" t="s">
        <v>1129</v>
      </c>
      <c r="E335" s="232" t="s">
        <v>494</v>
      </c>
      <c r="F335" s="232" t="s">
        <v>495</v>
      </c>
      <c r="G335" s="232" t="s">
        <v>1130</v>
      </c>
      <c r="K335" t="s">
        <v>2647</v>
      </c>
      <c r="L335" s="81">
        <f>+Municipios!AB336</f>
        <v>26.34915362131116</v>
      </c>
      <c r="M335" s="232">
        <v>70235</v>
      </c>
      <c r="N335" s="232" t="s">
        <v>1129</v>
      </c>
      <c r="O335" s="232" t="s">
        <v>494</v>
      </c>
      <c r="P335" s="232" t="s">
        <v>495</v>
      </c>
      <c r="Q335" s="232" t="s">
        <v>1130</v>
      </c>
      <c r="T335" t="s">
        <v>2803</v>
      </c>
      <c r="U335" s="25">
        <f>+Municipios!Z336</f>
        <v>46.76909850146032</v>
      </c>
      <c r="V335" s="232">
        <v>70235</v>
      </c>
      <c r="W335" s="232" t="s">
        <v>1129</v>
      </c>
      <c r="X335" s="232" t="s">
        <v>494</v>
      </c>
      <c r="Y335" s="232" t="s">
        <v>495</v>
      </c>
      <c r="Z335" s="232" t="s">
        <v>1130</v>
      </c>
    </row>
    <row r="336" spans="1:26">
      <c r="A336" t="s">
        <v>417</v>
      </c>
      <c r="B336" s="25">
        <f>+Municipios!Z337</f>
        <v>59.449390760744336</v>
      </c>
      <c r="C336" s="232">
        <v>13657</v>
      </c>
      <c r="D336" s="232" t="s">
        <v>1131</v>
      </c>
      <c r="E336" s="232" t="s">
        <v>480</v>
      </c>
      <c r="F336" s="232" t="s">
        <v>481</v>
      </c>
      <c r="G336" s="232" t="s">
        <v>1132</v>
      </c>
      <c r="K336" t="s">
        <v>2647</v>
      </c>
      <c r="L336" s="81">
        <f>+Municipios!AB337</f>
        <v>33.470326335434436</v>
      </c>
      <c r="M336" s="232">
        <v>13657</v>
      </c>
      <c r="N336" s="232" t="s">
        <v>1131</v>
      </c>
      <c r="O336" s="232" t="s">
        <v>480</v>
      </c>
      <c r="P336" s="232" t="s">
        <v>481</v>
      </c>
      <c r="Q336" s="232" t="s">
        <v>1132</v>
      </c>
      <c r="T336" t="s">
        <v>2803</v>
      </c>
      <c r="U336" s="25">
        <f>+Municipios!Z337</f>
        <v>59.449390760744336</v>
      </c>
      <c r="V336" s="232">
        <v>13657</v>
      </c>
      <c r="W336" s="232" t="s">
        <v>1131</v>
      </c>
      <c r="X336" s="232" t="s">
        <v>480</v>
      </c>
      <c r="Y336" s="232" t="s">
        <v>481</v>
      </c>
      <c r="Z336" s="232" t="s">
        <v>1132</v>
      </c>
    </row>
    <row r="337" spans="1:26">
      <c r="A337" t="s">
        <v>417</v>
      </c>
      <c r="B337" s="25">
        <f>+Municipios!Z338</f>
        <v>64.200024269380208</v>
      </c>
      <c r="C337" s="232">
        <v>15638</v>
      </c>
      <c r="D337" s="232" t="s">
        <v>1133</v>
      </c>
      <c r="E337" s="232" t="s">
        <v>498</v>
      </c>
      <c r="F337" s="232" t="s">
        <v>499</v>
      </c>
      <c r="G337" s="232" t="s">
        <v>1134</v>
      </c>
      <c r="K337" t="s">
        <v>2647</v>
      </c>
      <c r="L337" s="81">
        <f>+Municipios!AB338</f>
        <v>36.073582639780042</v>
      </c>
      <c r="M337" s="232">
        <v>15638</v>
      </c>
      <c r="N337" s="232" t="s">
        <v>1133</v>
      </c>
      <c r="O337" s="232" t="s">
        <v>498</v>
      </c>
      <c r="P337" s="232" t="s">
        <v>499</v>
      </c>
      <c r="Q337" s="232" t="s">
        <v>1134</v>
      </c>
      <c r="T337" t="s">
        <v>2803</v>
      </c>
      <c r="U337" s="25">
        <f>+Municipios!Z338</f>
        <v>64.200024269380208</v>
      </c>
      <c r="V337" s="232">
        <v>15638</v>
      </c>
      <c r="W337" s="232" t="s">
        <v>1133</v>
      </c>
      <c r="X337" s="232" t="s">
        <v>498</v>
      </c>
      <c r="Y337" s="232" t="s">
        <v>499</v>
      </c>
      <c r="Z337" s="232" t="s">
        <v>1134</v>
      </c>
    </row>
    <row r="338" spans="1:26">
      <c r="A338" t="s">
        <v>417</v>
      </c>
      <c r="B338" s="25">
        <f>+Municipios!Z339</f>
        <v>65.754624068572468</v>
      </c>
      <c r="C338" s="232">
        <v>25815</v>
      </c>
      <c r="D338" s="232" t="s">
        <v>1135</v>
      </c>
      <c r="E338" s="232" t="s">
        <v>461</v>
      </c>
      <c r="F338" s="232" t="s">
        <v>462</v>
      </c>
      <c r="G338" s="232" t="s">
        <v>1136</v>
      </c>
      <c r="K338" t="s">
        <v>2647</v>
      </c>
      <c r="L338" s="81">
        <f>+Municipios!AB339</f>
        <v>37.06380456293374</v>
      </c>
      <c r="M338" s="232">
        <v>25815</v>
      </c>
      <c r="N338" s="232" t="s">
        <v>1135</v>
      </c>
      <c r="O338" s="232" t="s">
        <v>461</v>
      </c>
      <c r="P338" s="232" t="s">
        <v>462</v>
      </c>
      <c r="Q338" s="232" t="s">
        <v>1136</v>
      </c>
      <c r="T338" t="s">
        <v>2803</v>
      </c>
      <c r="U338" s="25">
        <f>+Municipios!Z339</f>
        <v>65.754624068572468</v>
      </c>
      <c r="V338" s="232">
        <v>25815</v>
      </c>
      <c r="W338" s="232" t="s">
        <v>1135</v>
      </c>
      <c r="X338" s="232" t="s">
        <v>461</v>
      </c>
      <c r="Y338" s="232" t="s">
        <v>462</v>
      </c>
      <c r="Z338" s="232" t="s">
        <v>1136</v>
      </c>
    </row>
    <row r="339" spans="1:26">
      <c r="A339" t="s">
        <v>417</v>
      </c>
      <c r="B339" s="25">
        <f>+Municipios!Z340</f>
        <v>59.283491263537485</v>
      </c>
      <c r="C339" s="232">
        <v>47288</v>
      </c>
      <c r="D339" s="232" t="s">
        <v>1137</v>
      </c>
      <c r="E339" s="232" t="s">
        <v>638</v>
      </c>
      <c r="F339" s="232" t="s">
        <v>639</v>
      </c>
      <c r="G339" s="232" t="s">
        <v>1138</v>
      </c>
      <c r="K339" t="s">
        <v>2647</v>
      </c>
      <c r="L339" s="81">
        <f>+Municipios!AB340</f>
        <v>33.343617721128666</v>
      </c>
      <c r="M339" s="232">
        <v>47288</v>
      </c>
      <c r="N339" s="232" t="s">
        <v>1137</v>
      </c>
      <c r="O339" s="232" t="s">
        <v>638</v>
      </c>
      <c r="P339" s="232" t="s">
        <v>639</v>
      </c>
      <c r="Q339" s="232" t="s">
        <v>1138</v>
      </c>
      <c r="T339" t="s">
        <v>2803</v>
      </c>
      <c r="U339" s="25">
        <f>+Municipios!Z340</f>
        <v>59.283491263537485</v>
      </c>
      <c r="V339" s="232">
        <v>47288</v>
      </c>
      <c r="W339" s="232" t="s">
        <v>1137</v>
      </c>
      <c r="X339" s="232" t="s">
        <v>638</v>
      </c>
      <c r="Y339" s="232" t="s">
        <v>639</v>
      </c>
      <c r="Z339" s="232" t="s">
        <v>1138</v>
      </c>
    </row>
    <row r="340" spans="1:26">
      <c r="A340" t="s">
        <v>417</v>
      </c>
      <c r="B340" s="25">
        <f>+Municipios!Z341</f>
        <v>80.428583234121405</v>
      </c>
      <c r="C340" s="232">
        <v>25178</v>
      </c>
      <c r="D340" s="232" t="s">
        <v>1139</v>
      </c>
      <c r="E340" s="232" t="s">
        <v>461</v>
      </c>
      <c r="F340" s="232" t="s">
        <v>462</v>
      </c>
      <c r="G340" s="232" t="s">
        <v>1140</v>
      </c>
      <c r="K340" t="s">
        <v>2647</v>
      </c>
      <c r="L340" s="81">
        <f>+Municipios!AB341</f>
        <v>45.116335693380144</v>
      </c>
      <c r="M340" s="232">
        <v>25178</v>
      </c>
      <c r="N340" s="232" t="s">
        <v>1139</v>
      </c>
      <c r="O340" s="232" t="s">
        <v>461</v>
      </c>
      <c r="P340" s="232" t="s">
        <v>462</v>
      </c>
      <c r="Q340" s="232" t="s">
        <v>1140</v>
      </c>
      <c r="T340" t="s">
        <v>2803</v>
      </c>
      <c r="U340" s="25">
        <f>+Municipios!Z341</f>
        <v>80.428583234121405</v>
      </c>
      <c r="V340" s="232">
        <v>25178</v>
      </c>
      <c r="W340" s="232" t="s">
        <v>1139</v>
      </c>
      <c r="X340" s="232" t="s">
        <v>461</v>
      </c>
      <c r="Y340" s="232" t="s">
        <v>462</v>
      </c>
      <c r="Z340" s="232" t="s">
        <v>1140</v>
      </c>
    </row>
    <row r="341" spans="1:26">
      <c r="A341" t="s">
        <v>417</v>
      </c>
      <c r="B341" s="25">
        <f>+Municipios!Z342</f>
        <v>58.225456088847473</v>
      </c>
      <c r="C341" s="232">
        <v>76828</v>
      </c>
      <c r="D341" s="232" t="s">
        <v>1141</v>
      </c>
      <c r="E341" s="232" t="s">
        <v>454</v>
      </c>
      <c r="F341" s="232" t="s">
        <v>455</v>
      </c>
      <c r="G341" s="232" t="s">
        <v>1142</v>
      </c>
      <c r="K341" t="s">
        <v>2647</v>
      </c>
      <c r="L341" s="81">
        <f>+Municipios!AB342</f>
        <v>32.750348297354392</v>
      </c>
      <c r="M341" s="232">
        <v>76828</v>
      </c>
      <c r="N341" s="232" t="s">
        <v>1141</v>
      </c>
      <c r="O341" s="232" t="s">
        <v>454</v>
      </c>
      <c r="P341" s="232" t="s">
        <v>455</v>
      </c>
      <c r="Q341" s="232" t="s">
        <v>1142</v>
      </c>
      <c r="T341" t="s">
        <v>2803</v>
      </c>
      <c r="U341" s="25">
        <f>+Municipios!Z342</f>
        <v>58.225456088847473</v>
      </c>
      <c r="V341" s="232">
        <v>76828</v>
      </c>
      <c r="W341" s="232" t="s">
        <v>1141</v>
      </c>
      <c r="X341" s="232" t="s">
        <v>454</v>
      </c>
      <c r="Y341" s="232" t="s">
        <v>455</v>
      </c>
      <c r="Z341" s="232" t="s">
        <v>1142</v>
      </c>
    </row>
    <row r="342" spans="1:26">
      <c r="A342" t="s">
        <v>417</v>
      </c>
      <c r="B342" s="25">
        <f>+Municipios!Z343</f>
        <v>65.736584908077049</v>
      </c>
      <c r="C342" s="232">
        <v>25224</v>
      </c>
      <c r="D342" s="232" t="s">
        <v>1143</v>
      </c>
      <c r="E342" s="232" t="s">
        <v>461</v>
      </c>
      <c r="F342" s="232" t="s">
        <v>462</v>
      </c>
      <c r="G342" s="232" t="s">
        <v>1144</v>
      </c>
      <c r="K342" t="s">
        <v>2647</v>
      </c>
      <c r="L342" s="81">
        <f>+Municipios!AB343</f>
        <v>36.767247817911077</v>
      </c>
      <c r="M342" s="232">
        <v>25224</v>
      </c>
      <c r="N342" s="232" t="s">
        <v>1143</v>
      </c>
      <c r="O342" s="232" t="s">
        <v>461</v>
      </c>
      <c r="P342" s="232" t="s">
        <v>462</v>
      </c>
      <c r="Q342" s="232" t="s">
        <v>1144</v>
      </c>
      <c r="T342" t="s">
        <v>2803</v>
      </c>
      <c r="U342" s="25">
        <f>+Municipios!Z343</f>
        <v>65.736584908077049</v>
      </c>
      <c r="V342" s="232">
        <v>25224</v>
      </c>
      <c r="W342" s="232" t="s">
        <v>1143</v>
      </c>
      <c r="X342" s="232" t="s">
        <v>461</v>
      </c>
      <c r="Y342" s="232" t="s">
        <v>462</v>
      </c>
      <c r="Z342" s="232" t="s">
        <v>1144</v>
      </c>
    </row>
    <row r="343" spans="1:26">
      <c r="A343" t="s">
        <v>417</v>
      </c>
      <c r="B343" s="25">
        <f>+Municipios!Z344</f>
        <v>57.375466303052917</v>
      </c>
      <c r="C343" s="232">
        <v>20060</v>
      </c>
      <c r="D343" s="232" t="s">
        <v>1145</v>
      </c>
      <c r="E343" s="232" t="s">
        <v>893</v>
      </c>
      <c r="F343" s="232" t="s">
        <v>894</v>
      </c>
      <c r="G343" s="232" t="s">
        <v>1146</v>
      </c>
      <c r="K343" t="s">
        <v>2647</v>
      </c>
      <c r="L343" s="81">
        <f>+Municipios!AB344</f>
        <v>32.218977559232478</v>
      </c>
      <c r="M343" s="232">
        <v>20060</v>
      </c>
      <c r="N343" s="232" t="s">
        <v>1145</v>
      </c>
      <c r="O343" s="232" t="s">
        <v>893</v>
      </c>
      <c r="P343" s="232" t="s">
        <v>894</v>
      </c>
      <c r="Q343" s="232" t="s">
        <v>1146</v>
      </c>
      <c r="T343" t="s">
        <v>2803</v>
      </c>
      <c r="U343" s="25">
        <f>+Municipios!Z344</f>
        <v>57.375466303052917</v>
      </c>
      <c r="V343" s="232">
        <v>20060</v>
      </c>
      <c r="W343" s="232" t="s">
        <v>1145</v>
      </c>
      <c r="X343" s="232" t="s">
        <v>893</v>
      </c>
      <c r="Y343" s="232" t="s">
        <v>894</v>
      </c>
      <c r="Z343" s="232" t="s">
        <v>1146</v>
      </c>
    </row>
    <row r="344" spans="1:26">
      <c r="A344" t="s">
        <v>417</v>
      </c>
      <c r="B344" s="25">
        <f>+Municipios!Z345</f>
        <v>44.649743407981177</v>
      </c>
      <c r="C344" s="232">
        <v>5659</v>
      </c>
      <c r="D344" s="232" t="s">
        <v>1147</v>
      </c>
      <c r="E344" s="232" t="s">
        <v>435</v>
      </c>
      <c r="F344" s="232" t="s">
        <v>436</v>
      </c>
      <c r="G344" s="232" t="s">
        <v>1148</v>
      </c>
      <c r="K344" t="s">
        <v>2647</v>
      </c>
      <c r="L344" s="81">
        <f>+Municipios!AB345</f>
        <v>25.058999140498806</v>
      </c>
      <c r="M344" s="232">
        <v>5659</v>
      </c>
      <c r="N344" s="232" t="s">
        <v>1147</v>
      </c>
      <c r="O344" s="232" t="s">
        <v>435</v>
      </c>
      <c r="P344" s="232" t="s">
        <v>436</v>
      </c>
      <c r="Q344" s="232" t="s">
        <v>1148</v>
      </c>
      <c r="T344" t="s">
        <v>2803</v>
      </c>
      <c r="U344" s="25">
        <f>+Municipios!Z345</f>
        <v>44.649743407981177</v>
      </c>
      <c r="V344" s="232">
        <v>5659</v>
      </c>
      <c r="W344" s="232" t="s">
        <v>1147</v>
      </c>
      <c r="X344" s="232" t="s">
        <v>435</v>
      </c>
      <c r="Y344" s="232" t="s">
        <v>436</v>
      </c>
      <c r="Z344" s="232" t="s">
        <v>1148</v>
      </c>
    </row>
    <row r="345" spans="1:26">
      <c r="A345" t="s">
        <v>417</v>
      </c>
      <c r="B345" s="25">
        <f>+Municipios!Z346</f>
        <v>51.520323534143316</v>
      </c>
      <c r="C345" s="232">
        <v>5197</v>
      </c>
      <c r="D345" s="232" t="s">
        <v>1149</v>
      </c>
      <c r="E345" s="232" t="s">
        <v>435</v>
      </c>
      <c r="F345" s="232" t="s">
        <v>436</v>
      </c>
      <c r="G345" s="232" t="s">
        <v>1150</v>
      </c>
      <c r="K345" t="s">
        <v>2647</v>
      </c>
      <c r="L345" s="81">
        <f>+Municipios!AB346</f>
        <v>29.146502860480005</v>
      </c>
      <c r="M345" s="232">
        <v>5197</v>
      </c>
      <c r="N345" s="232" t="s">
        <v>1149</v>
      </c>
      <c r="O345" s="232" t="s">
        <v>435</v>
      </c>
      <c r="P345" s="232" t="s">
        <v>436</v>
      </c>
      <c r="Q345" s="232" t="s">
        <v>1150</v>
      </c>
      <c r="T345" t="s">
        <v>2803</v>
      </c>
      <c r="U345" s="25">
        <f>+Municipios!Z346</f>
        <v>51.520323534143316</v>
      </c>
      <c r="V345" s="232">
        <v>5197</v>
      </c>
      <c r="W345" s="232" t="s">
        <v>1149</v>
      </c>
      <c r="X345" s="232" t="s">
        <v>435</v>
      </c>
      <c r="Y345" s="232" t="s">
        <v>436</v>
      </c>
      <c r="Z345" s="232" t="s">
        <v>1150</v>
      </c>
    </row>
    <row r="346" spans="1:26">
      <c r="A346" t="s">
        <v>417</v>
      </c>
      <c r="B346" s="25">
        <f>+Municipios!Z347</f>
        <v>49.726410259196847</v>
      </c>
      <c r="C346" s="232">
        <v>52240</v>
      </c>
      <c r="D346" s="232" t="s">
        <v>1151</v>
      </c>
      <c r="E346" s="232" t="s">
        <v>672</v>
      </c>
      <c r="F346" s="232" t="s">
        <v>673</v>
      </c>
      <c r="G346" s="232" t="s">
        <v>1152</v>
      </c>
      <c r="K346" t="s">
        <v>2647</v>
      </c>
      <c r="L346" s="81">
        <f>+Municipios!AB347</f>
        <v>27.939888523900272</v>
      </c>
      <c r="M346" s="232">
        <v>52240</v>
      </c>
      <c r="N346" s="232" t="s">
        <v>1151</v>
      </c>
      <c r="O346" s="232" t="s">
        <v>672</v>
      </c>
      <c r="P346" s="232" t="s">
        <v>673</v>
      </c>
      <c r="Q346" s="232" t="s">
        <v>1152</v>
      </c>
      <c r="T346" t="s">
        <v>2803</v>
      </c>
      <c r="U346" s="25">
        <f>+Municipios!Z347</f>
        <v>49.726410259196847</v>
      </c>
      <c r="V346" s="232">
        <v>52240</v>
      </c>
      <c r="W346" s="232" t="s">
        <v>1151</v>
      </c>
      <c r="X346" s="232" t="s">
        <v>672</v>
      </c>
      <c r="Y346" s="232" t="s">
        <v>673</v>
      </c>
      <c r="Z346" s="232" t="s">
        <v>1152</v>
      </c>
    </row>
    <row r="347" spans="1:26">
      <c r="A347" t="s">
        <v>417</v>
      </c>
      <c r="B347" s="25">
        <f>+Municipios!Z348</f>
        <v>60.07968975849424</v>
      </c>
      <c r="C347" s="232">
        <v>68872</v>
      </c>
      <c r="D347" s="232" t="s">
        <v>1153</v>
      </c>
      <c r="E347" s="232" t="s">
        <v>431</v>
      </c>
      <c r="F347" s="232" t="s">
        <v>432</v>
      </c>
      <c r="G347" s="232" t="s">
        <v>720</v>
      </c>
      <c r="K347" t="s">
        <v>2647</v>
      </c>
      <c r="L347" s="81">
        <f>+Municipios!AB348</f>
        <v>33.852347595762453</v>
      </c>
      <c r="M347" s="232">
        <v>68872</v>
      </c>
      <c r="N347" s="232" t="s">
        <v>1153</v>
      </c>
      <c r="O347" s="232" t="s">
        <v>431</v>
      </c>
      <c r="P347" s="232" t="s">
        <v>432</v>
      </c>
      <c r="Q347" s="232" t="s">
        <v>720</v>
      </c>
      <c r="T347" t="s">
        <v>2803</v>
      </c>
      <c r="U347" s="25">
        <f>+Municipios!Z348</f>
        <v>60.07968975849424</v>
      </c>
      <c r="V347" s="232">
        <v>68872</v>
      </c>
      <c r="W347" s="232" t="s">
        <v>1153</v>
      </c>
      <c r="X347" s="232" t="s">
        <v>431</v>
      </c>
      <c r="Y347" s="232" t="s">
        <v>432</v>
      </c>
      <c r="Z347" s="232" t="s">
        <v>720</v>
      </c>
    </row>
    <row r="348" spans="1:26">
      <c r="A348" t="s">
        <v>417</v>
      </c>
      <c r="B348" s="25">
        <f>+Municipios!Z349</f>
        <v>66.997299585343086</v>
      </c>
      <c r="C348" s="232">
        <v>25867</v>
      </c>
      <c r="D348" s="232" t="s">
        <v>1154</v>
      </c>
      <c r="E348" s="232" t="s">
        <v>461</v>
      </c>
      <c r="F348" s="232" t="s">
        <v>462</v>
      </c>
      <c r="G348" s="232" t="s">
        <v>1155</v>
      </c>
      <c r="K348" t="s">
        <v>2647</v>
      </c>
      <c r="L348" s="81">
        <f>+Municipios!AB349</f>
        <v>37.409509933992744</v>
      </c>
      <c r="M348" s="232">
        <v>25867</v>
      </c>
      <c r="N348" s="232" t="s">
        <v>1154</v>
      </c>
      <c r="O348" s="232" t="s">
        <v>461</v>
      </c>
      <c r="P348" s="232" t="s">
        <v>462</v>
      </c>
      <c r="Q348" s="232" t="s">
        <v>1155</v>
      </c>
      <c r="T348" t="s">
        <v>2803</v>
      </c>
      <c r="U348" s="25">
        <f>+Municipios!Z349</f>
        <v>66.997299585343086</v>
      </c>
      <c r="V348" s="232">
        <v>25867</v>
      </c>
      <c r="W348" s="232" t="s">
        <v>1154</v>
      </c>
      <c r="X348" s="232" t="s">
        <v>461</v>
      </c>
      <c r="Y348" s="232" t="s">
        <v>462</v>
      </c>
      <c r="Z348" s="232" t="s">
        <v>1155</v>
      </c>
    </row>
    <row r="349" spans="1:26">
      <c r="A349" t="s">
        <v>417</v>
      </c>
      <c r="B349" s="25">
        <f>+Municipios!Z350</f>
        <v>50.323304402031184</v>
      </c>
      <c r="C349" s="232">
        <v>19473</v>
      </c>
      <c r="D349" s="232" t="s">
        <v>1156</v>
      </c>
      <c r="E349" s="232" t="s">
        <v>557</v>
      </c>
      <c r="F349" s="232" t="s">
        <v>558</v>
      </c>
      <c r="G349" s="232" t="s">
        <v>1157</v>
      </c>
      <c r="K349" t="s">
        <v>2647</v>
      </c>
      <c r="L349" s="81">
        <f>+Municipios!AB350</f>
        <v>28.227723993333274</v>
      </c>
      <c r="M349" s="232">
        <v>19473</v>
      </c>
      <c r="N349" s="232" t="s">
        <v>1156</v>
      </c>
      <c r="O349" s="232" t="s">
        <v>557</v>
      </c>
      <c r="P349" s="232" t="s">
        <v>558</v>
      </c>
      <c r="Q349" s="232" t="s">
        <v>1157</v>
      </c>
      <c r="T349" t="s">
        <v>2803</v>
      </c>
      <c r="U349" s="25">
        <f>+Municipios!Z350</f>
        <v>50.323304402031184</v>
      </c>
      <c r="V349" s="232">
        <v>19473</v>
      </c>
      <c r="W349" s="232" t="s">
        <v>1156</v>
      </c>
      <c r="X349" s="232" t="s">
        <v>557</v>
      </c>
      <c r="Y349" s="232" t="s">
        <v>558</v>
      </c>
      <c r="Z349" s="232" t="s">
        <v>1157</v>
      </c>
    </row>
    <row r="350" spans="1:26">
      <c r="A350" t="s">
        <v>417</v>
      </c>
      <c r="B350" s="25">
        <f>+Municipios!Z351</f>
        <v>59.399688283158291</v>
      </c>
      <c r="C350" s="232">
        <v>19130</v>
      </c>
      <c r="D350" s="232" t="s">
        <v>1158</v>
      </c>
      <c r="E350" s="232" t="s">
        <v>557</v>
      </c>
      <c r="F350" s="232" t="s">
        <v>558</v>
      </c>
      <c r="G350" s="232" t="s">
        <v>1159</v>
      </c>
      <c r="K350" t="s">
        <v>2647</v>
      </c>
      <c r="L350" s="81">
        <f>+Municipios!AB351</f>
        <v>33.319035839598222</v>
      </c>
      <c r="M350" s="232">
        <v>19130</v>
      </c>
      <c r="N350" s="232" t="s">
        <v>1158</v>
      </c>
      <c r="O350" s="232" t="s">
        <v>557</v>
      </c>
      <c r="P350" s="232" t="s">
        <v>558</v>
      </c>
      <c r="Q350" s="232" t="s">
        <v>1159</v>
      </c>
      <c r="T350" t="s">
        <v>2803</v>
      </c>
      <c r="U350" s="25">
        <f>+Municipios!Z351</f>
        <v>59.399688283158291</v>
      </c>
      <c r="V350" s="232">
        <v>19130</v>
      </c>
      <c r="W350" s="232" t="s">
        <v>1158</v>
      </c>
      <c r="X350" s="232" t="s">
        <v>557</v>
      </c>
      <c r="Y350" s="232" t="s">
        <v>558</v>
      </c>
      <c r="Z350" s="232" t="s">
        <v>1159</v>
      </c>
    </row>
    <row r="351" spans="1:26">
      <c r="A351" t="s">
        <v>417</v>
      </c>
      <c r="B351" s="25">
        <f>+Municipios!Z352</f>
        <v>55.394769262515823</v>
      </c>
      <c r="C351" s="232">
        <v>15189</v>
      </c>
      <c r="D351" s="232" t="s">
        <v>1160</v>
      </c>
      <c r="E351" s="232" t="s">
        <v>498</v>
      </c>
      <c r="F351" s="232" t="s">
        <v>499</v>
      </c>
      <c r="G351" s="232" t="s">
        <v>1161</v>
      </c>
      <c r="K351" t="s">
        <v>2647</v>
      </c>
      <c r="L351" s="81">
        <f>+Municipios!AB352</f>
        <v>30.914028216421606</v>
      </c>
      <c r="M351" s="232">
        <v>15189</v>
      </c>
      <c r="N351" s="232" t="s">
        <v>1160</v>
      </c>
      <c r="O351" s="232" t="s">
        <v>498</v>
      </c>
      <c r="P351" s="232" t="s">
        <v>499</v>
      </c>
      <c r="Q351" s="232" t="s">
        <v>1161</v>
      </c>
      <c r="T351" t="s">
        <v>2803</v>
      </c>
      <c r="U351" s="25">
        <f>+Municipios!Z352</f>
        <v>55.394769262515823</v>
      </c>
      <c r="V351" s="232">
        <v>15189</v>
      </c>
      <c r="W351" s="232" t="s">
        <v>1160</v>
      </c>
      <c r="X351" s="232" t="s">
        <v>498</v>
      </c>
      <c r="Y351" s="232" t="s">
        <v>499</v>
      </c>
      <c r="Z351" s="232" t="s">
        <v>1161</v>
      </c>
    </row>
    <row r="352" spans="1:26">
      <c r="A352" t="s">
        <v>417</v>
      </c>
      <c r="B352" s="25">
        <f>+Municipios!Z353</f>
        <v>60.383441516620877</v>
      </c>
      <c r="C352" s="232">
        <v>73319</v>
      </c>
      <c r="D352" s="232" t="s">
        <v>1162</v>
      </c>
      <c r="E352" s="232" t="s">
        <v>595</v>
      </c>
      <c r="F352" s="232" t="s">
        <v>596</v>
      </c>
      <c r="G352" s="232" t="s">
        <v>1163</v>
      </c>
      <c r="K352" t="s">
        <v>2647</v>
      </c>
      <c r="L352" s="81">
        <f>+Municipios!AB353</f>
        <v>33.799487655375287</v>
      </c>
      <c r="M352" s="232">
        <v>73319</v>
      </c>
      <c r="N352" s="232" t="s">
        <v>1162</v>
      </c>
      <c r="O352" s="232" t="s">
        <v>595</v>
      </c>
      <c r="P352" s="232" t="s">
        <v>596</v>
      </c>
      <c r="Q352" s="232" t="s">
        <v>1163</v>
      </c>
      <c r="T352" t="s">
        <v>2803</v>
      </c>
      <c r="U352" s="25">
        <f>+Municipios!Z353</f>
        <v>60.383441516620877</v>
      </c>
      <c r="V352" s="232">
        <v>73319</v>
      </c>
      <c r="W352" s="232" t="s">
        <v>1162</v>
      </c>
      <c r="X352" s="232" t="s">
        <v>595</v>
      </c>
      <c r="Y352" s="232" t="s">
        <v>596</v>
      </c>
      <c r="Z352" s="232" t="s">
        <v>1163</v>
      </c>
    </row>
    <row r="353" spans="1:26">
      <c r="A353" t="s">
        <v>417</v>
      </c>
      <c r="B353" s="25">
        <f>+Municipios!Z354</f>
        <v>54.94219856764613</v>
      </c>
      <c r="C353" s="232">
        <v>44001</v>
      </c>
      <c r="D353" s="232" t="s">
        <v>1164</v>
      </c>
      <c r="E353" s="232" t="s">
        <v>933</v>
      </c>
      <c r="F353" s="232" t="s">
        <v>934</v>
      </c>
      <c r="G353" s="232" t="s">
        <v>1165</v>
      </c>
      <c r="K353" t="s">
        <v>2647</v>
      </c>
      <c r="L353" s="81">
        <f>+Municipios!AB354</f>
        <v>30.740218313045414</v>
      </c>
      <c r="M353" s="232">
        <v>44001</v>
      </c>
      <c r="N353" s="232" t="s">
        <v>1164</v>
      </c>
      <c r="O353" s="232" t="s">
        <v>933</v>
      </c>
      <c r="P353" s="232" t="s">
        <v>934</v>
      </c>
      <c r="Q353" s="232" t="s">
        <v>1165</v>
      </c>
      <c r="T353" t="s">
        <v>2803</v>
      </c>
      <c r="U353" s="25">
        <f>+Municipios!Z354</f>
        <v>54.94219856764613</v>
      </c>
      <c r="V353" s="232">
        <v>44001</v>
      </c>
      <c r="W353" s="232" t="s">
        <v>1164</v>
      </c>
      <c r="X353" s="232" t="s">
        <v>933</v>
      </c>
      <c r="Y353" s="232" t="s">
        <v>934</v>
      </c>
      <c r="Z353" s="232" t="s">
        <v>1165</v>
      </c>
    </row>
    <row r="354" spans="1:26">
      <c r="A354" t="s">
        <v>417</v>
      </c>
      <c r="B354" s="25">
        <f>+Municipios!Z355</f>
        <v>60.418875846329712</v>
      </c>
      <c r="C354" s="232">
        <v>25183</v>
      </c>
      <c r="D354" s="232" t="s">
        <v>1166</v>
      </c>
      <c r="E354" s="232" t="s">
        <v>461</v>
      </c>
      <c r="F354" s="232" t="s">
        <v>462</v>
      </c>
      <c r="G354" s="232" t="s">
        <v>1167</v>
      </c>
      <c r="K354" t="s">
        <v>2647</v>
      </c>
      <c r="L354" s="81">
        <f>+Municipios!AB355</f>
        <v>33.757515451262307</v>
      </c>
      <c r="M354" s="232">
        <v>25183</v>
      </c>
      <c r="N354" s="232" t="s">
        <v>1166</v>
      </c>
      <c r="O354" s="232" t="s">
        <v>461</v>
      </c>
      <c r="P354" s="232" t="s">
        <v>462</v>
      </c>
      <c r="Q354" s="232" t="s">
        <v>1167</v>
      </c>
      <c r="T354" t="s">
        <v>2803</v>
      </c>
      <c r="U354" s="25">
        <f>+Municipios!Z355</f>
        <v>60.418875846329712</v>
      </c>
      <c r="V354" s="232">
        <v>25183</v>
      </c>
      <c r="W354" s="232" t="s">
        <v>1166</v>
      </c>
      <c r="X354" s="232" t="s">
        <v>461</v>
      </c>
      <c r="Y354" s="232" t="s">
        <v>462</v>
      </c>
      <c r="Z354" s="232" t="s">
        <v>1167</v>
      </c>
    </row>
    <row r="355" spans="1:26">
      <c r="A355" t="s">
        <v>417</v>
      </c>
      <c r="B355" s="25">
        <f>+Municipios!Z356</f>
        <v>56.943347607682853</v>
      </c>
      <c r="C355" s="232">
        <v>17433</v>
      </c>
      <c r="D355" s="232" t="s">
        <v>1168</v>
      </c>
      <c r="E355" s="232" t="s">
        <v>506</v>
      </c>
      <c r="F355" s="232" t="s">
        <v>507</v>
      </c>
      <c r="G355" s="232" t="s">
        <v>1169</v>
      </c>
      <c r="K355" t="s">
        <v>2647</v>
      </c>
      <c r="L355" s="81">
        <f>+Municipios!AB356</f>
        <v>31.883971731884994</v>
      </c>
      <c r="M355" s="232">
        <v>17433</v>
      </c>
      <c r="N355" s="232" t="s">
        <v>1168</v>
      </c>
      <c r="O355" s="232" t="s">
        <v>506</v>
      </c>
      <c r="P355" s="232" t="s">
        <v>507</v>
      </c>
      <c r="Q355" s="232" t="s">
        <v>1169</v>
      </c>
      <c r="T355" t="s">
        <v>2803</v>
      </c>
      <c r="U355" s="25">
        <f>+Municipios!Z356</f>
        <v>56.943347607682853</v>
      </c>
      <c r="V355" s="232">
        <v>17433</v>
      </c>
      <c r="W355" s="232" t="s">
        <v>1168</v>
      </c>
      <c r="X355" s="232" t="s">
        <v>506</v>
      </c>
      <c r="Y355" s="232" t="s">
        <v>507</v>
      </c>
      <c r="Z355" s="232" t="s">
        <v>1169</v>
      </c>
    </row>
    <row r="356" spans="1:26">
      <c r="A356" t="s">
        <v>417</v>
      </c>
      <c r="B356" s="25">
        <f>+Municipios!Z357</f>
        <v>45.611677661534884</v>
      </c>
      <c r="C356" s="232">
        <v>23678</v>
      </c>
      <c r="D356" s="232" t="s">
        <v>1170</v>
      </c>
      <c r="E356" s="232" t="s">
        <v>567</v>
      </c>
      <c r="F356" s="232" t="s">
        <v>568</v>
      </c>
      <c r="G356" s="232" t="s">
        <v>1171</v>
      </c>
      <c r="K356" t="s">
        <v>2647</v>
      </c>
      <c r="L356" s="81">
        <f>+Municipios!AB357</f>
        <v>25.485508670716101</v>
      </c>
      <c r="M356" s="232">
        <v>23678</v>
      </c>
      <c r="N356" s="232" t="s">
        <v>1170</v>
      </c>
      <c r="O356" s="232" t="s">
        <v>567</v>
      </c>
      <c r="P356" s="232" t="s">
        <v>568</v>
      </c>
      <c r="Q356" s="232" t="s">
        <v>1171</v>
      </c>
      <c r="T356" t="s">
        <v>2803</v>
      </c>
      <c r="U356" s="25">
        <f>+Municipios!Z357</f>
        <v>45.611677661534884</v>
      </c>
      <c r="V356" s="232">
        <v>23678</v>
      </c>
      <c r="W356" s="232" t="s">
        <v>1170</v>
      </c>
      <c r="X356" s="232" t="s">
        <v>567</v>
      </c>
      <c r="Y356" s="232" t="s">
        <v>568</v>
      </c>
      <c r="Z356" s="232" t="s">
        <v>1171</v>
      </c>
    </row>
    <row r="357" spans="1:26">
      <c r="A357" t="s">
        <v>417</v>
      </c>
      <c r="B357" s="25">
        <f>+Municipios!Z358</f>
        <v>64.544522417367048</v>
      </c>
      <c r="C357" s="232">
        <v>15299</v>
      </c>
      <c r="D357" s="232" t="s">
        <v>1172</v>
      </c>
      <c r="E357" s="232" t="s">
        <v>498</v>
      </c>
      <c r="F357" s="232" t="s">
        <v>499</v>
      </c>
      <c r="G357" s="232" t="s">
        <v>1173</v>
      </c>
      <c r="K357" t="s">
        <v>2647</v>
      </c>
      <c r="L357" s="81">
        <f>+Municipios!AB358</f>
        <v>36.083494699926995</v>
      </c>
      <c r="M357" s="232">
        <v>15299</v>
      </c>
      <c r="N357" s="232" t="s">
        <v>1172</v>
      </c>
      <c r="O357" s="232" t="s">
        <v>498</v>
      </c>
      <c r="P357" s="232" t="s">
        <v>499</v>
      </c>
      <c r="Q357" s="232" t="s">
        <v>1173</v>
      </c>
      <c r="T357" t="s">
        <v>2803</v>
      </c>
      <c r="U357" s="25">
        <f>+Municipios!Z358</f>
        <v>64.544522417367048</v>
      </c>
      <c r="V357" s="232">
        <v>15299</v>
      </c>
      <c r="W357" s="232" t="s">
        <v>1172</v>
      </c>
      <c r="X357" s="232" t="s">
        <v>498</v>
      </c>
      <c r="Y357" s="232" t="s">
        <v>499</v>
      </c>
      <c r="Z357" s="232" t="s">
        <v>1173</v>
      </c>
    </row>
    <row r="358" spans="1:26">
      <c r="A358" t="s">
        <v>417</v>
      </c>
      <c r="B358" s="25">
        <f>+Municipios!Z359</f>
        <v>53.193205495052609</v>
      </c>
      <c r="C358" s="232">
        <v>47245</v>
      </c>
      <c r="D358" s="232" t="s">
        <v>1174</v>
      </c>
      <c r="E358" s="232" t="s">
        <v>638</v>
      </c>
      <c r="F358" s="232" t="s">
        <v>639</v>
      </c>
      <c r="G358" s="232" t="s">
        <v>1175</v>
      </c>
      <c r="K358" t="s">
        <v>2647</v>
      </c>
      <c r="L358" s="81">
        <f>+Municipios!AB359</f>
        <v>29.707547142429711</v>
      </c>
      <c r="M358" s="232">
        <v>47245</v>
      </c>
      <c r="N358" s="232" t="s">
        <v>1174</v>
      </c>
      <c r="O358" s="232" t="s">
        <v>638</v>
      </c>
      <c r="P358" s="232" t="s">
        <v>639</v>
      </c>
      <c r="Q358" s="232" t="s">
        <v>1175</v>
      </c>
      <c r="T358" t="s">
        <v>2803</v>
      </c>
      <c r="U358" s="25">
        <f>+Municipios!Z359</f>
        <v>53.193205495052609</v>
      </c>
      <c r="V358" s="232">
        <v>47245</v>
      </c>
      <c r="W358" s="232" t="s">
        <v>1174</v>
      </c>
      <c r="X358" s="232" t="s">
        <v>638</v>
      </c>
      <c r="Y358" s="232" t="s">
        <v>639</v>
      </c>
      <c r="Z358" s="232" t="s">
        <v>1175</v>
      </c>
    </row>
    <row r="359" spans="1:26">
      <c r="A359" t="s">
        <v>417</v>
      </c>
      <c r="B359" s="25">
        <f>+Municipios!Z360</f>
        <v>62.654822935576981</v>
      </c>
      <c r="C359" s="232">
        <v>5172</v>
      </c>
      <c r="D359" s="232" t="s">
        <v>1176</v>
      </c>
      <c r="E359" s="232" t="s">
        <v>435</v>
      </c>
      <c r="F359" s="232" t="s">
        <v>436</v>
      </c>
      <c r="G359" s="232" t="s">
        <v>1177</v>
      </c>
      <c r="K359" t="s">
        <v>2647</v>
      </c>
      <c r="L359" s="81">
        <f>+Municipios!AB360</f>
        <v>34.959735376066668</v>
      </c>
      <c r="M359" s="232">
        <v>5172</v>
      </c>
      <c r="N359" s="232" t="s">
        <v>1176</v>
      </c>
      <c r="O359" s="232" t="s">
        <v>435</v>
      </c>
      <c r="P359" s="232" t="s">
        <v>436</v>
      </c>
      <c r="Q359" s="232" t="s">
        <v>1177</v>
      </c>
      <c r="T359" t="s">
        <v>2803</v>
      </c>
      <c r="U359" s="25">
        <f>+Municipios!Z360</f>
        <v>62.654822935576981</v>
      </c>
      <c r="V359" s="232">
        <v>5172</v>
      </c>
      <c r="W359" s="232" t="s">
        <v>1176</v>
      </c>
      <c r="X359" s="232" t="s">
        <v>435</v>
      </c>
      <c r="Y359" s="232" t="s">
        <v>436</v>
      </c>
      <c r="Z359" s="232" t="s">
        <v>1177</v>
      </c>
    </row>
    <row r="360" spans="1:26">
      <c r="A360" t="s">
        <v>417</v>
      </c>
      <c r="B360" s="25">
        <f>+Municipios!Z361</f>
        <v>69.276568321797527</v>
      </c>
      <c r="C360" s="232">
        <v>50006</v>
      </c>
      <c r="D360" s="232" t="s">
        <v>1178</v>
      </c>
      <c r="E360" s="232" t="s">
        <v>605</v>
      </c>
      <c r="F360" s="232" t="s">
        <v>606</v>
      </c>
      <c r="G360" s="232" t="s">
        <v>1179</v>
      </c>
      <c r="K360" t="s">
        <v>2647</v>
      </c>
      <c r="L360" s="81">
        <f>+Municipios!AB361</f>
        <v>38.49521334454414</v>
      </c>
      <c r="M360" s="232">
        <v>50006</v>
      </c>
      <c r="N360" s="232" t="s">
        <v>1178</v>
      </c>
      <c r="O360" s="232" t="s">
        <v>605</v>
      </c>
      <c r="P360" s="232" t="s">
        <v>606</v>
      </c>
      <c r="Q360" s="232" t="s">
        <v>1179</v>
      </c>
      <c r="T360" t="s">
        <v>2803</v>
      </c>
      <c r="U360" s="25">
        <f>+Municipios!Z361</f>
        <v>69.276568321797527</v>
      </c>
      <c r="V360" s="232">
        <v>50006</v>
      </c>
      <c r="W360" s="232" t="s">
        <v>1178</v>
      </c>
      <c r="X360" s="232" t="s">
        <v>605</v>
      </c>
      <c r="Y360" s="232" t="s">
        <v>606</v>
      </c>
      <c r="Z360" s="232" t="s">
        <v>1179</v>
      </c>
    </row>
    <row r="361" spans="1:26">
      <c r="A361" t="s">
        <v>417</v>
      </c>
      <c r="B361" s="25">
        <f>+Municipios!Z362</f>
        <v>57.674963961243151</v>
      </c>
      <c r="C361" s="232">
        <v>52320</v>
      </c>
      <c r="D361" s="232" t="s">
        <v>1180</v>
      </c>
      <c r="E361" s="232" t="s">
        <v>672</v>
      </c>
      <c r="F361" s="232" t="s">
        <v>673</v>
      </c>
      <c r="G361" s="232" t="s">
        <v>1181</v>
      </c>
      <c r="K361" t="s">
        <v>2647</v>
      </c>
      <c r="L361" s="81">
        <f>+Municipios!AB362</f>
        <v>32.135400018543706</v>
      </c>
      <c r="M361" s="232">
        <v>52320</v>
      </c>
      <c r="N361" s="232" t="s">
        <v>1180</v>
      </c>
      <c r="O361" s="232" t="s">
        <v>672</v>
      </c>
      <c r="P361" s="232" t="s">
        <v>673</v>
      </c>
      <c r="Q361" s="232" t="s">
        <v>1181</v>
      </c>
      <c r="T361" t="s">
        <v>2803</v>
      </c>
      <c r="U361" s="25">
        <f>+Municipios!Z362</f>
        <v>57.674963961243151</v>
      </c>
      <c r="V361" s="232">
        <v>52320</v>
      </c>
      <c r="W361" s="232" t="s">
        <v>1180</v>
      </c>
      <c r="X361" s="232" t="s">
        <v>672</v>
      </c>
      <c r="Y361" s="232" t="s">
        <v>673</v>
      </c>
      <c r="Z361" s="232" t="s">
        <v>1181</v>
      </c>
    </row>
    <row r="362" spans="1:26">
      <c r="A362" t="s">
        <v>417</v>
      </c>
      <c r="B362" s="25">
        <f>+Municipios!Z363</f>
        <v>59.326233839053536</v>
      </c>
      <c r="C362" s="232">
        <v>17388</v>
      </c>
      <c r="D362" s="232" t="s">
        <v>1182</v>
      </c>
      <c r="E362" s="232" t="s">
        <v>506</v>
      </c>
      <c r="F362" s="232" t="s">
        <v>507</v>
      </c>
      <c r="G362" s="232" t="s">
        <v>1183</v>
      </c>
      <c r="K362" t="s">
        <v>2647</v>
      </c>
      <c r="L362" s="81">
        <f>+Municipios!AB363</f>
        <v>33.126107444874286</v>
      </c>
      <c r="M362" s="232">
        <v>17388</v>
      </c>
      <c r="N362" s="232" t="s">
        <v>1182</v>
      </c>
      <c r="O362" s="232" t="s">
        <v>506</v>
      </c>
      <c r="P362" s="232" t="s">
        <v>507</v>
      </c>
      <c r="Q362" s="232" t="s">
        <v>1183</v>
      </c>
      <c r="T362" t="s">
        <v>2803</v>
      </c>
      <c r="U362" s="25">
        <f>+Municipios!Z363</f>
        <v>59.326233839053536</v>
      </c>
      <c r="V362" s="232">
        <v>17388</v>
      </c>
      <c r="W362" s="232" t="s">
        <v>1182</v>
      </c>
      <c r="X362" s="232" t="s">
        <v>506</v>
      </c>
      <c r="Y362" s="232" t="s">
        <v>507</v>
      </c>
      <c r="Z362" s="232" t="s">
        <v>1183</v>
      </c>
    </row>
    <row r="363" spans="1:26">
      <c r="A363" t="s">
        <v>417</v>
      </c>
      <c r="B363" s="25">
        <f>+Municipios!Z364</f>
        <v>53.130747265015032</v>
      </c>
      <c r="C363" s="232">
        <v>19821</v>
      </c>
      <c r="D363" s="232" t="s">
        <v>1184</v>
      </c>
      <c r="E363" s="232" t="s">
        <v>557</v>
      </c>
      <c r="F363" s="232" t="s">
        <v>558</v>
      </c>
      <c r="G363" s="232" t="s">
        <v>1185</v>
      </c>
      <c r="K363" t="s">
        <v>2647</v>
      </c>
      <c r="L363" s="81">
        <f>+Municipios!AB364</f>
        <v>29.632357247906</v>
      </c>
      <c r="M363" s="232">
        <v>19821</v>
      </c>
      <c r="N363" s="232" t="s">
        <v>1184</v>
      </c>
      <c r="O363" s="232" t="s">
        <v>557</v>
      </c>
      <c r="P363" s="232" t="s">
        <v>558</v>
      </c>
      <c r="Q363" s="232" t="s">
        <v>1185</v>
      </c>
      <c r="T363" t="s">
        <v>2803</v>
      </c>
      <c r="U363" s="25">
        <f>+Municipios!Z364</f>
        <v>53.130747265015032</v>
      </c>
      <c r="V363" s="232">
        <v>19821</v>
      </c>
      <c r="W363" s="232" t="s">
        <v>1184</v>
      </c>
      <c r="X363" s="232" t="s">
        <v>557</v>
      </c>
      <c r="Y363" s="232" t="s">
        <v>558</v>
      </c>
      <c r="Z363" s="232" t="s">
        <v>1185</v>
      </c>
    </row>
    <row r="364" spans="1:26">
      <c r="A364" t="s">
        <v>417</v>
      </c>
      <c r="B364" s="25">
        <f>+Municipios!Z365</f>
        <v>56.24514929901963</v>
      </c>
      <c r="C364" s="232">
        <v>17050</v>
      </c>
      <c r="D364" s="232" t="s">
        <v>1186</v>
      </c>
      <c r="E364" s="232" t="s">
        <v>506</v>
      </c>
      <c r="F364" s="232" t="s">
        <v>507</v>
      </c>
      <c r="G364" s="232" t="s">
        <v>1187</v>
      </c>
      <c r="K364" t="s">
        <v>2647</v>
      </c>
      <c r="L364" s="81">
        <f>+Municipios!AB365</f>
        <v>31.28902870897673</v>
      </c>
      <c r="M364" s="232">
        <v>17050</v>
      </c>
      <c r="N364" s="232" t="s">
        <v>1186</v>
      </c>
      <c r="O364" s="232" t="s">
        <v>506</v>
      </c>
      <c r="P364" s="232" t="s">
        <v>507</v>
      </c>
      <c r="Q364" s="232" t="s">
        <v>1187</v>
      </c>
      <c r="T364" t="s">
        <v>2803</v>
      </c>
      <c r="U364" s="25">
        <f>+Municipios!Z365</f>
        <v>56.24514929901963</v>
      </c>
      <c r="V364" s="232">
        <v>17050</v>
      </c>
      <c r="W364" s="232" t="s">
        <v>1186</v>
      </c>
      <c r="X364" s="232" t="s">
        <v>506</v>
      </c>
      <c r="Y364" s="232" t="s">
        <v>507</v>
      </c>
      <c r="Z364" s="232" t="s">
        <v>1187</v>
      </c>
    </row>
    <row r="365" spans="1:26">
      <c r="A365" t="s">
        <v>417</v>
      </c>
      <c r="B365" s="25">
        <f>+Municipios!Z366</f>
        <v>60.481982877393989</v>
      </c>
      <c r="C365" s="232">
        <v>52354</v>
      </c>
      <c r="D365" s="232" t="s">
        <v>1188</v>
      </c>
      <c r="E365" s="232" t="s">
        <v>672</v>
      </c>
      <c r="F365" s="232" t="s">
        <v>673</v>
      </c>
      <c r="G365" s="232" t="s">
        <v>1189</v>
      </c>
      <c r="K365" t="s">
        <v>2647</v>
      </c>
      <c r="L365" s="81">
        <f>+Municipios!AB366</f>
        <v>33.62425598163837</v>
      </c>
      <c r="M365" s="232">
        <v>52354</v>
      </c>
      <c r="N365" s="232" t="s">
        <v>1188</v>
      </c>
      <c r="O365" s="232" t="s">
        <v>672</v>
      </c>
      <c r="P365" s="232" t="s">
        <v>673</v>
      </c>
      <c r="Q365" s="232" t="s">
        <v>1189</v>
      </c>
      <c r="T365" t="s">
        <v>2803</v>
      </c>
      <c r="U365" s="25">
        <f>+Municipios!Z366</f>
        <v>60.481982877393989</v>
      </c>
      <c r="V365" s="232">
        <v>52354</v>
      </c>
      <c r="W365" s="232" t="s">
        <v>1188</v>
      </c>
      <c r="X365" s="232" t="s">
        <v>672</v>
      </c>
      <c r="Y365" s="232" t="s">
        <v>673</v>
      </c>
      <c r="Z365" s="232" t="s">
        <v>1189</v>
      </c>
    </row>
    <row r="366" spans="1:26">
      <c r="A366" t="s">
        <v>417</v>
      </c>
      <c r="B366" s="25">
        <f>+Municipios!Z367</f>
        <v>47.076566933629302</v>
      </c>
      <c r="C366" s="232">
        <v>15599</v>
      </c>
      <c r="D366" s="232" t="s">
        <v>1190</v>
      </c>
      <c r="E366" s="232" t="s">
        <v>498</v>
      </c>
      <c r="F366" s="232" t="s">
        <v>499</v>
      </c>
      <c r="G366" s="232" t="s">
        <v>1191</v>
      </c>
      <c r="K366" t="s">
        <v>2647</v>
      </c>
      <c r="L366" s="81">
        <f>+Municipios!AB367</f>
        <v>26.091390392630466</v>
      </c>
      <c r="M366" s="232">
        <v>15599</v>
      </c>
      <c r="N366" s="232" t="s">
        <v>1190</v>
      </c>
      <c r="O366" s="232" t="s">
        <v>498</v>
      </c>
      <c r="P366" s="232" t="s">
        <v>499</v>
      </c>
      <c r="Q366" s="232" t="s">
        <v>1191</v>
      </c>
      <c r="T366" t="s">
        <v>2803</v>
      </c>
      <c r="U366" s="25">
        <f>+Municipios!Z367</f>
        <v>47.076566933629302</v>
      </c>
      <c r="V366" s="232">
        <v>15599</v>
      </c>
      <c r="W366" s="232" t="s">
        <v>1190</v>
      </c>
      <c r="X366" s="232" t="s">
        <v>498</v>
      </c>
      <c r="Y366" s="232" t="s">
        <v>499</v>
      </c>
      <c r="Z366" s="232" t="s">
        <v>1191</v>
      </c>
    </row>
    <row r="367" spans="1:26">
      <c r="A367" t="s">
        <v>417</v>
      </c>
      <c r="B367" s="25">
        <f>+Municipios!Z368</f>
        <v>49.568662084250128</v>
      </c>
      <c r="C367" s="232">
        <v>20443</v>
      </c>
      <c r="D367" s="232" t="s">
        <v>1192</v>
      </c>
      <c r="E367" s="232" t="s">
        <v>893</v>
      </c>
      <c r="F367" s="232" t="s">
        <v>894</v>
      </c>
      <c r="G367" s="232" t="s">
        <v>1193</v>
      </c>
      <c r="K367" t="s">
        <v>2647</v>
      </c>
      <c r="L367" s="81">
        <f>+Municipios!AB368</f>
        <v>27.588329686987247</v>
      </c>
      <c r="M367" s="232">
        <v>20443</v>
      </c>
      <c r="N367" s="232" t="s">
        <v>1192</v>
      </c>
      <c r="O367" s="232" t="s">
        <v>893</v>
      </c>
      <c r="P367" s="232" t="s">
        <v>894</v>
      </c>
      <c r="Q367" s="232" t="s">
        <v>1193</v>
      </c>
      <c r="T367" t="s">
        <v>2803</v>
      </c>
      <c r="U367" s="25">
        <f>+Municipios!Z368</f>
        <v>49.568662084250128</v>
      </c>
      <c r="V367" s="232">
        <v>20443</v>
      </c>
      <c r="W367" s="232" t="s">
        <v>1192</v>
      </c>
      <c r="X367" s="232" t="s">
        <v>893</v>
      </c>
      <c r="Y367" s="232" t="s">
        <v>894</v>
      </c>
      <c r="Z367" s="232" t="s">
        <v>1193</v>
      </c>
    </row>
    <row r="368" spans="1:26">
      <c r="A368" t="s">
        <v>417</v>
      </c>
      <c r="B368" s="25">
        <f>+Municipios!Z369</f>
        <v>55.870509819797562</v>
      </c>
      <c r="C368" s="232">
        <v>52352</v>
      </c>
      <c r="D368" s="232" t="s">
        <v>1194</v>
      </c>
      <c r="E368" s="232" t="s">
        <v>672</v>
      </c>
      <c r="F368" s="232" t="s">
        <v>673</v>
      </c>
      <c r="G368" s="232" t="s">
        <v>1195</v>
      </c>
      <c r="K368" t="s">
        <v>2647</v>
      </c>
      <c r="L368" s="81">
        <f>+Municipios!AB369</f>
        <v>31.009937406042468</v>
      </c>
      <c r="M368" s="232">
        <v>52352</v>
      </c>
      <c r="N368" s="232" t="s">
        <v>1194</v>
      </c>
      <c r="O368" s="232" t="s">
        <v>672</v>
      </c>
      <c r="P368" s="232" t="s">
        <v>673</v>
      </c>
      <c r="Q368" s="232" t="s">
        <v>1195</v>
      </c>
      <c r="T368" t="s">
        <v>2803</v>
      </c>
      <c r="U368" s="25">
        <f>+Municipios!Z369</f>
        <v>55.870509819797562</v>
      </c>
      <c r="V368" s="232">
        <v>52352</v>
      </c>
      <c r="W368" s="232" t="s">
        <v>1194</v>
      </c>
      <c r="X368" s="232" t="s">
        <v>672</v>
      </c>
      <c r="Y368" s="232" t="s">
        <v>673</v>
      </c>
      <c r="Z368" s="232" t="s">
        <v>1195</v>
      </c>
    </row>
    <row r="369" spans="1:26">
      <c r="A369" t="s">
        <v>417</v>
      </c>
      <c r="B369" s="25">
        <f>+Municipios!Z370</f>
        <v>59.35846598532158</v>
      </c>
      <c r="C369" s="232">
        <v>66687</v>
      </c>
      <c r="D369" s="232" t="s">
        <v>1196</v>
      </c>
      <c r="E369" s="232" t="s">
        <v>467</v>
      </c>
      <c r="F369" s="232" t="s">
        <v>468</v>
      </c>
      <c r="G369" s="232" t="s">
        <v>1197</v>
      </c>
      <c r="K369" t="s">
        <v>2647</v>
      </c>
      <c r="L369" s="81">
        <f>+Municipios!AB370</f>
        <v>32.929126080843531</v>
      </c>
      <c r="M369" s="232">
        <v>66687</v>
      </c>
      <c r="N369" s="232" t="s">
        <v>1196</v>
      </c>
      <c r="O369" s="232" t="s">
        <v>467</v>
      </c>
      <c r="P369" s="232" t="s">
        <v>468</v>
      </c>
      <c r="Q369" s="232" t="s">
        <v>1197</v>
      </c>
      <c r="T369" t="s">
        <v>2803</v>
      </c>
      <c r="U369" s="25">
        <f>+Municipios!Z370</f>
        <v>59.35846598532158</v>
      </c>
      <c r="V369" s="232">
        <v>66687</v>
      </c>
      <c r="W369" s="232" t="s">
        <v>1196</v>
      </c>
      <c r="X369" s="232" t="s">
        <v>467</v>
      </c>
      <c r="Y369" s="232" t="s">
        <v>468</v>
      </c>
      <c r="Z369" s="232" t="s">
        <v>1197</v>
      </c>
    </row>
    <row r="370" spans="1:26">
      <c r="A370" t="s">
        <v>417</v>
      </c>
      <c r="B370" s="25">
        <f>+Municipios!Z371</f>
        <v>52.33188187118833</v>
      </c>
      <c r="C370" s="232">
        <v>15835</v>
      </c>
      <c r="D370" s="232" t="s">
        <v>1198</v>
      </c>
      <c r="E370" s="232" t="s">
        <v>498</v>
      </c>
      <c r="F370" s="232" t="s">
        <v>499</v>
      </c>
      <c r="G370" s="232" t="s">
        <v>1199</v>
      </c>
      <c r="K370" t="s">
        <v>2647</v>
      </c>
      <c r="L370" s="81">
        <f>+Municipios!AB371</f>
        <v>28.983330276469196</v>
      </c>
      <c r="M370" s="232">
        <v>15835</v>
      </c>
      <c r="N370" s="232" t="s">
        <v>1198</v>
      </c>
      <c r="O370" s="232" t="s">
        <v>498</v>
      </c>
      <c r="P370" s="232" t="s">
        <v>499</v>
      </c>
      <c r="Q370" s="232" t="s">
        <v>1199</v>
      </c>
      <c r="T370" t="s">
        <v>2803</v>
      </c>
      <c r="U370" s="25">
        <f>+Municipios!Z371</f>
        <v>52.33188187118833</v>
      </c>
      <c r="V370" s="232">
        <v>15835</v>
      </c>
      <c r="W370" s="232" t="s">
        <v>1198</v>
      </c>
      <c r="X370" s="232" t="s">
        <v>498</v>
      </c>
      <c r="Y370" s="232" t="s">
        <v>499</v>
      </c>
      <c r="Z370" s="232" t="s">
        <v>1199</v>
      </c>
    </row>
    <row r="371" spans="1:26">
      <c r="A371" t="s">
        <v>417</v>
      </c>
      <c r="B371" s="25">
        <f>+Municipios!Z372</f>
        <v>65.862043355095551</v>
      </c>
      <c r="C371" s="232">
        <v>76890</v>
      </c>
      <c r="D371" s="232" t="s">
        <v>1200</v>
      </c>
      <c r="E371" s="232" t="s">
        <v>454</v>
      </c>
      <c r="F371" s="232" t="s">
        <v>455</v>
      </c>
      <c r="G371" s="232" t="s">
        <v>1201</v>
      </c>
      <c r="K371" t="s">
        <v>2647</v>
      </c>
      <c r="L371" s="81">
        <f>+Municipios!AB372</f>
        <v>36.464422865252764</v>
      </c>
      <c r="M371" s="232">
        <v>76890</v>
      </c>
      <c r="N371" s="232" t="s">
        <v>1200</v>
      </c>
      <c r="O371" s="232" t="s">
        <v>454</v>
      </c>
      <c r="P371" s="232" t="s">
        <v>455</v>
      </c>
      <c r="Q371" s="232" t="s">
        <v>1201</v>
      </c>
      <c r="T371" t="s">
        <v>2803</v>
      </c>
      <c r="U371" s="25">
        <f>+Municipios!Z372</f>
        <v>65.862043355095551</v>
      </c>
      <c r="V371" s="232">
        <v>76890</v>
      </c>
      <c r="W371" s="232" t="s">
        <v>1200</v>
      </c>
      <c r="X371" s="232" t="s">
        <v>454</v>
      </c>
      <c r="Y371" s="232" t="s">
        <v>455</v>
      </c>
      <c r="Z371" s="232" t="s">
        <v>1201</v>
      </c>
    </row>
    <row r="372" spans="1:26">
      <c r="A372" t="s">
        <v>417</v>
      </c>
      <c r="B372" s="25">
        <f>+Municipios!Z373</f>
        <v>58.844757841936797</v>
      </c>
      <c r="C372" s="232">
        <v>47570</v>
      </c>
      <c r="D372" s="232" t="s">
        <v>1202</v>
      </c>
      <c r="E372" s="232" t="s">
        <v>638</v>
      </c>
      <c r="F372" s="232" t="s">
        <v>639</v>
      </c>
      <c r="G372" s="232" t="s">
        <v>1203</v>
      </c>
      <c r="K372" t="s">
        <v>2647</v>
      </c>
      <c r="L372" s="81">
        <f>+Municipios!AB373</f>
        <v>32.606353110696908</v>
      </c>
      <c r="M372" s="232">
        <v>47570</v>
      </c>
      <c r="N372" s="232" t="s">
        <v>1202</v>
      </c>
      <c r="O372" s="232" t="s">
        <v>638</v>
      </c>
      <c r="P372" s="232" t="s">
        <v>639</v>
      </c>
      <c r="Q372" s="232" t="s">
        <v>1203</v>
      </c>
      <c r="T372" t="s">
        <v>2803</v>
      </c>
      <c r="U372" s="25">
        <f>+Municipios!Z373</f>
        <v>58.844757841936797</v>
      </c>
      <c r="V372" s="232">
        <v>47570</v>
      </c>
      <c r="W372" s="232" t="s">
        <v>1202</v>
      </c>
      <c r="X372" s="232" t="s">
        <v>638</v>
      </c>
      <c r="Y372" s="232" t="s">
        <v>639</v>
      </c>
      <c r="Z372" s="232" t="s">
        <v>1203</v>
      </c>
    </row>
    <row r="373" spans="1:26">
      <c r="A373" t="s">
        <v>417</v>
      </c>
      <c r="B373" s="25">
        <f>+Municipios!Z374</f>
        <v>70.23686079914367</v>
      </c>
      <c r="C373" s="232">
        <v>68855</v>
      </c>
      <c r="D373" s="232" t="s">
        <v>1204</v>
      </c>
      <c r="E373" s="232" t="s">
        <v>431</v>
      </c>
      <c r="F373" s="232" t="s">
        <v>432</v>
      </c>
      <c r="G373" s="232" t="s">
        <v>1205</v>
      </c>
      <c r="K373" t="s">
        <v>2647</v>
      </c>
      <c r="L373" s="81">
        <f>+Municipios!AB374</f>
        <v>39.184203272345073</v>
      </c>
      <c r="M373" s="232">
        <v>68855</v>
      </c>
      <c r="N373" s="232" t="s">
        <v>1204</v>
      </c>
      <c r="O373" s="232" t="s">
        <v>431</v>
      </c>
      <c r="P373" s="232" t="s">
        <v>432</v>
      </c>
      <c r="Q373" s="232" t="s">
        <v>1205</v>
      </c>
      <c r="T373" t="s">
        <v>2803</v>
      </c>
      <c r="U373" s="25">
        <f>+Municipios!Z374</f>
        <v>70.23686079914367</v>
      </c>
      <c r="V373" s="232">
        <v>68855</v>
      </c>
      <c r="W373" s="232" t="s">
        <v>1204</v>
      </c>
      <c r="X373" s="232" t="s">
        <v>431</v>
      </c>
      <c r="Y373" s="232" t="s">
        <v>432</v>
      </c>
      <c r="Z373" s="232" t="s">
        <v>1205</v>
      </c>
    </row>
    <row r="374" spans="1:26">
      <c r="A374" t="s">
        <v>417</v>
      </c>
      <c r="B374" s="25">
        <f>+Municipios!Z375</f>
        <v>43.840580059314249</v>
      </c>
      <c r="C374" s="232">
        <v>13654</v>
      </c>
      <c r="D374" s="232" t="s">
        <v>1206</v>
      </c>
      <c r="E374" s="232" t="s">
        <v>480</v>
      </c>
      <c r="F374" s="232" t="s">
        <v>481</v>
      </c>
      <c r="G374" s="232" t="s">
        <v>1207</v>
      </c>
      <c r="K374" t="s">
        <v>2647</v>
      </c>
      <c r="L374" s="81">
        <f>+Municipios!AB375</f>
        <v>24.294496951868105</v>
      </c>
      <c r="M374" s="232">
        <v>13654</v>
      </c>
      <c r="N374" s="232" t="s">
        <v>1206</v>
      </c>
      <c r="O374" s="232" t="s">
        <v>480</v>
      </c>
      <c r="P374" s="232" t="s">
        <v>481</v>
      </c>
      <c r="Q374" s="232" t="s">
        <v>1207</v>
      </c>
      <c r="T374" t="s">
        <v>2803</v>
      </c>
      <c r="U374" s="25">
        <f>+Municipios!Z375</f>
        <v>43.840580059314249</v>
      </c>
      <c r="V374" s="232">
        <v>13654</v>
      </c>
      <c r="W374" s="232" t="s">
        <v>1206</v>
      </c>
      <c r="X374" s="232" t="s">
        <v>480</v>
      </c>
      <c r="Y374" s="232" t="s">
        <v>481</v>
      </c>
      <c r="Z374" s="232" t="s">
        <v>1207</v>
      </c>
    </row>
    <row r="375" spans="1:26">
      <c r="A375" t="s">
        <v>417</v>
      </c>
      <c r="B375" s="25">
        <f>+Municipios!Z376</f>
        <v>59.793158936237994</v>
      </c>
      <c r="C375" s="232">
        <v>5042</v>
      </c>
      <c r="D375" s="232" t="s">
        <v>1208</v>
      </c>
      <c r="E375" s="232" t="s">
        <v>435</v>
      </c>
      <c r="F375" s="232" t="s">
        <v>436</v>
      </c>
      <c r="G375" s="232" t="s">
        <v>1209</v>
      </c>
      <c r="K375" t="s">
        <v>2647</v>
      </c>
      <c r="L375" s="81">
        <f>+Municipios!AB376</f>
        <v>33.081304688007521</v>
      </c>
      <c r="M375" s="232">
        <v>5042</v>
      </c>
      <c r="N375" s="232" t="s">
        <v>1208</v>
      </c>
      <c r="O375" s="232" t="s">
        <v>435</v>
      </c>
      <c r="P375" s="232" t="s">
        <v>436</v>
      </c>
      <c r="Q375" s="232" t="s">
        <v>1209</v>
      </c>
      <c r="T375" t="s">
        <v>2803</v>
      </c>
      <c r="U375" s="25">
        <f>+Municipios!Z376</f>
        <v>59.793158936237994</v>
      </c>
      <c r="V375" s="232">
        <v>5042</v>
      </c>
      <c r="W375" s="232" t="s">
        <v>1208</v>
      </c>
      <c r="X375" s="232" t="s">
        <v>435</v>
      </c>
      <c r="Y375" s="232" t="s">
        <v>436</v>
      </c>
      <c r="Z375" s="232" t="s">
        <v>1209</v>
      </c>
    </row>
    <row r="376" spans="1:26">
      <c r="A376" t="s">
        <v>417</v>
      </c>
      <c r="B376" s="25">
        <f>+Municipios!Z377</f>
        <v>55.116790756667399</v>
      </c>
      <c r="C376" s="232">
        <v>19364</v>
      </c>
      <c r="D376" s="232" t="s">
        <v>1210</v>
      </c>
      <c r="E376" s="232" t="s">
        <v>557</v>
      </c>
      <c r="F376" s="232" t="s">
        <v>558</v>
      </c>
      <c r="G376" s="232" t="s">
        <v>1211</v>
      </c>
      <c r="K376" t="s">
        <v>2647</v>
      </c>
      <c r="L376" s="81">
        <f>+Municipios!AB377</f>
        <v>30.61072623141817</v>
      </c>
      <c r="M376" s="232">
        <v>19364</v>
      </c>
      <c r="N376" s="232" t="s">
        <v>1210</v>
      </c>
      <c r="O376" s="232" t="s">
        <v>557</v>
      </c>
      <c r="P376" s="232" t="s">
        <v>558</v>
      </c>
      <c r="Q376" s="232" t="s">
        <v>1211</v>
      </c>
      <c r="T376" t="s">
        <v>2803</v>
      </c>
      <c r="U376" s="25">
        <f>+Municipios!Z377</f>
        <v>55.116790756667399</v>
      </c>
      <c r="V376" s="232">
        <v>19364</v>
      </c>
      <c r="W376" s="232" t="s">
        <v>1210</v>
      </c>
      <c r="X376" s="232" t="s">
        <v>557</v>
      </c>
      <c r="Y376" s="232" t="s">
        <v>558</v>
      </c>
      <c r="Z376" s="232" t="s">
        <v>1211</v>
      </c>
    </row>
    <row r="377" spans="1:26">
      <c r="A377" t="s">
        <v>417</v>
      </c>
      <c r="B377" s="25">
        <f>+Municipios!Z378</f>
        <v>65.264464092510281</v>
      </c>
      <c r="C377" s="232">
        <v>5306</v>
      </c>
      <c r="D377" s="232" t="s">
        <v>1212</v>
      </c>
      <c r="E377" s="232" t="s">
        <v>435</v>
      </c>
      <c r="F377" s="232" t="s">
        <v>436</v>
      </c>
      <c r="G377" s="232" t="s">
        <v>1213</v>
      </c>
      <c r="K377" t="s">
        <v>2647</v>
      </c>
      <c r="L377" s="81">
        <f>+Municipios!AB378</f>
        <v>36.071766724559446</v>
      </c>
      <c r="M377" s="232">
        <v>5306</v>
      </c>
      <c r="N377" s="232" t="s">
        <v>1212</v>
      </c>
      <c r="O377" s="232" t="s">
        <v>435</v>
      </c>
      <c r="P377" s="232" t="s">
        <v>436</v>
      </c>
      <c r="Q377" s="232" t="s">
        <v>1213</v>
      </c>
      <c r="T377" t="s">
        <v>2803</v>
      </c>
      <c r="U377" s="25">
        <f>+Municipios!Z378</f>
        <v>65.264464092510281</v>
      </c>
      <c r="V377" s="232">
        <v>5306</v>
      </c>
      <c r="W377" s="232" t="s">
        <v>1212</v>
      </c>
      <c r="X377" s="232" t="s">
        <v>435</v>
      </c>
      <c r="Y377" s="232" t="s">
        <v>436</v>
      </c>
      <c r="Z377" s="232" t="s">
        <v>1213</v>
      </c>
    </row>
    <row r="378" spans="1:26">
      <c r="A378" t="s">
        <v>417</v>
      </c>
      <c r="B378" s="25">
        <f>+Municipios!Z379</f>
        <v>57.315446423061474</v>
      </c>
      <c r="C378" s="232">
        <v>68498</v>
      </c>
      <c r="D378" s="232" t="s">
        <v>1214</v>
      </c>
      <c r="E378" s="232" t="s">
        <v>431</v>
      </c>
      <c r="F378" s="232" t="s">
        <v>432</v>
      </c>
      <c r="G378" s="232" t="s">
        <v>1215</v>
      </c>
      <c r="K378" t="s">
        <v>2647</v>
      </c>
      <c r="L378" s="81">
        <f>+Municipios!AB379</f>
        <v>31.818416577812407</v>
      </c>
      <c r="M378" s="232">
        <v>68498</v>
      </c>
      <c r="N378" s="232" t="s">
        <v>1214</v>
      </c>
      <c r="O378" s="232" t="s">
        <v>431</v>
      </c>
      <c r="P378" s="232" t="s">
        <v>432</v>
      </c>
      <c r="Q378" s="232" t="s">
        <v>1215</v>
      </c>
      <c r="T378" t="s">
        <v>2803</v>
      </c>
      <c r="U378" s="25">
        <f>+Municipios!Z379</f>
        <v>57.315446423061474</v>
      </c>
      <c r="V378" s="232">
        <v>68498</v>
      </c>
      <c r="W378" s="232" t="s">
        <v>1214</v>
      </c>
      <c r="X378" s="232" t="s">
        <v>431</v>
      </c>
      <c r="Y378" s="232" t="s">
        <v>432</v>
      </c>
      <c r="Z378" s="232" t="s">
        <v>1215</v>
      </c>
    </row>
    <row r="379" spans="1:26">
      <c r="A379" t="s">
        <v>417</v>
      </c>
      <c r="B379" s="25">
        <f>+Municipios!Z380</f>
        <v>43.016222961274231</v>
      </c>
      <c r="C379" s="232">
        <v>13468</v>
      </c>
      <c r="D379" s="232" t="s">
        <v>1216</v>
      </c>
      <c r="E379" s="232" t="s">
        <v>480</v>
      </c>
      <c r="F379" s="232" t="s">
        <v>481</v>
      </c>
      <c r="G379" s="232" t="s">
        <v>1217</v>
      </c>
      <c r="K379" t="s">
        <v>2647</v>
      </c>
      <c r="L379" s="81">
        <f>+Municipios!AB380</f>
        <v>23.779201642107822</v>
      </c>
      <c r="M379" s="232">
        <v>13468</v>
      </c>
      <c r="N379" s="232" t="s">
        <v>1216</v>
      </c>
      <c r="O379" s="232" t="s">
        <v>480</v>
      </c>
      <c r="P379" s="232" t="s">
        <v>481</v>
      </c>
      <c r="Q379" s="232" t="s">
        <v>1217</v>
      </c>
      <c r="T379" t="s">
        <v>2803</v>
      </c>
      <c r="U379" s="25">
        <f>+Municipios!Z380</f>
        <v>43.016222961274231</v>
      </c>
      <c r="V379" s="232">
        <v>13468</v>
      </c>
      <c r="W379" s="232" t="s">
        <v>1216</v>
      </c>
      <c r="X379" s="232" t="s">
        <v>480</v>
      </c>
      <c r="Y379" s="232" t="s">
        <v>481</v>
      </c>
      <c r="Z379" s="232" t="s">
        <v>1217</v>
      </c>
    </row>
    <row r="380" spans="1:26">
      <c r="A380" t="s">
        <v>417</v>
      </c>
      <c r="B380" s="25">
        <f>+Municipios!Z381</f>
        <v>51.484559424930822</v>
      </c>
      <c r="C380" s="232">
        <v>5642</v>
      </c>
      <c r="D380" s="232" t="s">
        <v>1218</v>
      </c>
      <c r="E380" s="232" t="s">
        <v>435</v>
      </c>
      <c r="F380" s="232" t="s">
        <v>436</v>
      </c>
      <c r="G380" s="232" t="s">
        <v>1219</v>
      </c>
      <c r="K380" t="s">
        <v>2647</v>
      </c>
      <c r="L380" s="81">
        <f>+Municipios!AB381</f>
        <v>28.448892461379344</v>
      </c>
      <c r="M380" s="232">
        <v>5642</v>
      </c>
      <c r="N380" s="232" t="s">
        <v>1218</v>
      </c>
      <c r="O380" s="232" t="s">
        <v>435</v>
      </c>
      <c r="P380" s="232" t="s">
        <v>436</v>
      </c>
      <c r="Q380" s="232" t="s">
        <v>1219</v>
      </c>
      <c r="T380" t="s">
        <v>2803</v>
      </c>
      <c r="U380" s="25">
        <f>+Municipios!Z381</f>
        <v>51.484559424930822</v>
      </c>
      <c r="V380" s="232">
        <v>5642</v>
      </c>
      <c r="W380" s="232" t="s">
        <v>1218</v>
      </c>
      <c r="X380" s="232" t="s">
        <v>435</v>
      </c>
      <c r="Y380" s="232" t="s">
        <v>436</v>
      </c>
      <c r="Z380" s="232" t="s">
        <v>1219</v>
      </c>
    </row>
    <row r="381" spans="1:26">
      <c r="A381" t="s">
        <v>417</v>
      </c>
      <c r="B381" s="25">
        <f>+Municipios!Z382</f>
        <v>59.648059512996305</v>
      </c>
      <c r="C381" s="232">
        <v>5364</v>
      </c>
      <c r="D381" s="232" t="s">
        <v>1220</v>
      </c>
      <c r="E381" s="232" t="s">
        <v>435</v>
      </c>
      <c r="F381" s="232" t="s">
        <v>436</v>
      </c>
      <c r="G381" s="232" t="s">
        <v>1221</v>
      </c>
      <c r="K381" t="s">
        <v>2647</v>
      </c>
      <c r="L381" s="81">
        <f>+Municipios!AB382</f>
        <v>32.955297557416614</v>
      </c>
      <c r="M381" s="232">
        <v>5364</v>
      </c>
      <c r="N381" s="232" t="s">
        <v>1220</v>
      </c>
      <c r="O381" s="232" t="s">
        <v>435</v>
      </c>
      <c r="P381" s="232" t="s">
        <v>436</v>
      </c>
      <c r="Q381" s="232" t="s">
        <v>1221</v>
      </c>
      <c r="T381" t="s">
        <v>2803</v>
      </c>
      <c r="U381" s="25">
        <f>+Municipios!Z382</f>
        <v>59.648059512996305</v>
      </c>
      <c r="V381" s="232">
        <v>5364</v>
      </c>
      <c r="W381" s="232" t="s">
        <v>1220</v>
      </c>
      <c r="X381" s="232" t="s">
        <v>435</v>
      </c>
      <c r="Y381" s="232" t="s">
        <v>436</v>
      </c>
      <c r="Z381" s="232" t="s">
        <v>1221</v>
      </c>
    </row>
    <row r="382" spans="1:26">
      <c r="A382" t="s">
        <v>417</v>
      </c>
      <c r="B382" s="25">
        <f>+Municipios!Z383</f>
        <v>61.285951945796789</v>
      </c>
      <c r="C382" s="232">
        <v>5240</v>
      </c>
      <c r="D382" s="232" t="s">
        <v>1222</v>
      </c>
      <c r="E382" s="232" t="s">
        <v>435</v>
      </c>
      <c r="F382" s="232" t="s">
        <v>436</v>
      </c>
      <c r="G382" s="232" t="s">
        <v>1223</v>
      </c>
      <c r="K382" t="s">
        <v>2647</v>
      </c>
      <c r="L382" s="81">
        <f>+Municipios!AB383</f>
        <v>33.942529396952423</v>
      </c>
      <c r="M382" s="232">
        <v>5240</v>
      </c>
      <c r="N382" s="232" t="s">
        <v>1222</v>
      </c>
      <c r="O382" s="232" t="s">
        <v>435</v>
      </c>
      <c r="P382" s="232" t="s">
        <v>436</v>
      </c>
      <c r="Q382" s="232" t="s">
        <v>1223</v>
      </c>
      <c r="T382" t="s">
        <v>2803</v>
      </c>
      <c r="U382" s="25">
        <f>+Municipios!Z383</f>
        <v>61.285951945796789</v>
      </c>
      <c r="V382" s="232">
        <v>5240</v>
      </c>
      <c r="W382" s="232" t="s">
        <v>1222</v>
      </c>
      <c r="X382" s="232" t="s">
        <v>435</v>
      </c>
      <c r="Y382" s="232" t="s">
        <v>436</v>
      </c>
      <c r="Z382" s="232" t="s">
        <v>1223</v>
      </c>
    </row>
    <row r="383" spans="1:26">
      <c r="A383" t="s">
        <v>417</v>
      </c>
      <c r="B383" s="25">
        <f>+Municipios!Z384</f>
        <v>61.571522811767736</v>
      </c>
      <c r="C383" s="232">
        <v>25288</v>
      </c>
      <c r="D383" s="232" t="s">
        <v>1224</v>
      </c>
      <c r="E383" s="232" t="s">
        <v>461</v>
      </c>
      <c r="F383" s="232" t="s">
        <v>462</v>
      </c>
      <c r="G383" s="232" t="s">
        <v>1225</v>
      </c>
      <c r="K383" t="s">
        <v>2647</v>
      </c>
      <c r="L383" s="81">
        <f>+Municipios!AB384</f>
        <v>33.870789104961723</v>
      </c>
      <c r="M383" s="232">
        <v>25288</v>
      </c>
      <c r="N383" s="232" t="s">
        <v>1224</v>
      </c>
      <c r="O383" s="232" t="s">
        <v>461</v>
      </c>
      <c r="P383" s="232" t="s">
        <v>462</v>
      </c>
      <c r="Q383" s="232" t="s">
        <v>1225</v>
      </c>
      <c r="T383" t="s">
        <v>2803</v>
      </c>
      <c r="U383" s="25">
        <f>+Municipios!Z384</f>
        <v>61.571522811767736</v>
      </c>
      <c r="V383" s="232">
        <v>25288</v>
      </c>
      <c r="W383" s="232" t="s">
        <v>1224</v>
      </c>
      <c r="X383" s="232" t="s">
        <v>461</v>
      </c>
      <c r="Y383" s="232" t="s">
        <v>462</v>
      </c>
      <c r="Z383" s="232" t="s">
        <v>1225</v>
      </c>
    </row>
    <row r="384" spans="1:26">
      <c r="A384" t="s">
        <v>417</v>
      </c>
      <c r="B384" s="25">
        <f>+Municipios!Z385</f>
        <v>53.990617696899733</v>
      </c>
      <c r="C384" s="232">
        <v>63212</v>
      </c>
      <c r="D384" s="232" t="s">
        <v>1226</v>
      </c>
      <c r="E384" s="232" t="s">
        <v>473</v>
      </c>
      <c r="F384" s="232" t="s">
        <v>474</v>
      </c>
      <c r="G384" s="232" t="s">
        <v>568</v>
      </c>
      <c r="K384" t="s">
        <v>2647</v>
      </c>
      <c r="L384" s="81">
        <f>+Municipios!AB385</f>
        <v>29.739508863686154</v>
      </c>
      <c r="M384" s="232">
        <v>63212</v>
      </c>
      <c r="N384" s="232" t="s">
        <v>1226</v>
      </c>
      <c r="O384" s="232" t="s">
        <v>473</v>
      </c>
      <c r="P384" s="232" t="s">
        <v>474</v>
      </c>
      <c r="Q384" s="232" t="s">
        <v>568</v>
      </c>
      <c r="T384" t="s">
        <v>2803</v>
      </c>
      <c r="U384" s="25">
        <f>+Municipios!Z385</f>
        <v>53.990617696899733</v>
      </c>
      <c r="V384" s="232">
        <v>63212</v>
      </c>
      <c r="W384" s="232" t="s">
        <v>1226</v>
      </c>
      <c r="X384" s="232" t="s">
        <v>473</v>
      </c>
      <c r="Y384" s="232" t="s">
        <v>474</v>
      </c>
      <c r="Z384" s="232" t="s">
        <v>568</v>
      </c>
    </row>
    <row r="385" spans="1:26">
      <c r="A385" t="s">
        <v>417</v>
      </c>
      <c r="B385" s="25">
        <f>+Municipios!Z386</f>
        <v>58.187951587422084</v>
      </c>
      <c r="C385" s="232">
        <v>25779</v>
      </c>
      <c r="D385" s="232" t="s">
        <v>1227</v>
      </c>
      <c r="E385" s="232" t="s">
        <v>461</v>
      </c>
      <c r="F385" s="232" t="s">
        <v>462</v>
      </c>
      <c r="G385" s="232" t="s">
        <v>1228</v>
      </c>
      <c r="K385" t="s">
        <v>2647</v>
      </c>
      <c r="L385" s="81">
        <f>+Municipios!AB386</f>
        <v>31.997406018282234</v>
      </c>
      <c r="M385" s="232">
        <v>25779</v>
      </c>
      <c r="N385" s="232" t="s">
        <v>1227</v>
      </c>
      <c r="O385" s="232" t="s">
        <v>461</v>
      </c>
      <c r="P385" s="232" t="s">
        <v>462</v>
      </c>
      <c r="Q385" s="232" t="s">
        <v>1228</v>
      </c>
      <c r="T385" t="s">
        <v>2803</v>
      </c>
      <c r="U385" s="25">
        <f>+Municipios!Z386</f>
        <v>58.187951587422084</v>
      </c>
      <c r="V385" s="232">
        <v>25779</v>
      </c>
      <c r="W385" s="232" t="s">
        <v>1227</v>
      </c>
      <c r="X385" s="232" t="s">
        <v>461</v>
      </c>
      <c r="Y385" s="232" t="s">
        <v>462</v>
      </c>
      <c r="Z385" s="232" t="s">
        <v>1228</v>
      </c>
    </row>
    <row r="386" spans="1:26">
      <c r="A386" t="s">
        <v>417</v>
      </c>
      <c r="B386" s="25">
        <f>+Municipios!Z387</f>
        <v>60.118223781828064</v>
      </c>
      <c r="C386" s="232">
        <v>76616</v>
      </c>
      <c r="D386" s="232" t="s">
        <v>1229</v>
      </c>
      <c r="E386" s="232" t="s">
        <v>454</v>
      </c>
      <c r="F386" s="232" t="s">
        <v>455</v>
      </c>
      <c r="G386" s="232" t="s">
        <v>1230</v>
      </c>
      <c r="K386" t="s">
        <v>2647</v>
      </c>
      <c r="L386" s="81">
        <f>+Municipios!AB387</f>
        <v>33.20295080611487</v>
      </c>
      <c r="M386" s="232">
        <v>76616</v>
      </c>
      <c r="N386" s="232" t="s">
        <v>1229</v>
      </c>
      <c r="O386" s="232" t="s">
        <v>454</v>
      </c>
      <c r="P386" s="232" t="s">
        <v>455</v>
      </c>
      <c r="Q386" s="232" t="s">
        <v>1230</v>
      </c>
      <c r="T386" t="s">
        <v>2803</v>
      </c>
      <c r="U386" s="25">
        <f>+Municipios!Z387</f>
        <v>60.118223781828064</v>
      </c>
      <c r="V386" s="232">
        <v>76616</v>
      </c>
      <c r="W386" s="232" t="s">
        <v>1229</v>
      </c>
      <c r="X386" s="232" t="s">
        <v>454</v>
      </c>
      <c r="Y386" s="232" t="s">
        <v>455</v>
      </c>
      <c r="Z386" s="232" t="s">
        <v>1230</v>
      </c>
    </row>
    <row r="387" spans="1:26">
      <c r="A387" t="s">
        <v>417</v>
      </c>
      <c r="B387" s="25">
        <f>+Municipios!Z388</f>
        <v>60.474120131509878</v>
      </c>
      <c r="C387" s="232">
        <v>25841</v>
      </c>
      <c r="D387" s="232" t="s">
        <v>1231</v>
      </c>
      <c r="E387" s="232" t="s">
        <v>461</v>
      </c>
      <c r="F387" s="232" t="s">
        <v>462</v>
      </c>
      <c r="G387" s="232" t="s">
        <v>1232</v>
      </c>
      <c r="K387" t="s">
        <v>2647</v>
      </c>
      <c r="L387" s="81">
        <f>+Municipios!AB388</f>
        <v>33.325032873829201</v>
      </c>
      <c r="M387" s="232">
        <v>25841</v>
      </c>
      <c r="N387" s="232" t="s">
        <v>1231</v>
      </c>
      <c r="O387" s="232" t="s">
        <v>461</v>
      </c>
      <c r="P387" s="232" t="s">
        <v>462</v>
      </c>
      <c r="Q387" s="232" t="s">
        <v>1232</v>
      </c>
      <c r="T387" t="s">
        <v>2803</v>
      </c>
      <c r="U387" s="25">
        <f>+Municipios!Z388</f>
        <v>60.474120131509878</v>
      </c>
      <c r="V387" s="232">
        <v>25841</v>
      </c>
      <c r="W387" s="232" t="s">
        <v>1231</v>
      </c>
      <c r="X387" s="232" t="s">
        <v>461</v>
      </c>
      <c r="Y387" s="232" t="s">
        <v>462</v>
      </c>
      <c r="Z387" s="232" t="s">
        <v>1232</v>
      </c>
    </row>
    <row r="388" spans="1:26">
      <c r="A388" t="s">
        <v>417</v>
      </c>
      <c r="B388" s="25">
        <f>+Municipios!Z389</f>
        <v>63.613980904956968</v>
      </c>
      <c r="C388" s="232">
        <v>5368</v>
      </c>
      <c r="D388" s="232" t="s">
        <v>1233</v>
      </c>
      <c r="E388" s="232" t="s">
        <v>435</v>
      </c>
      <c r="F388" s="232" t="s">
        <v>436</v>
      </c>
      <c r="G388" s="232" t="s">
        <v>1234</v>
      </c>
      <c r="K388" t="s">
        <v>2647</v>
      </c>
      <c r="L388" s="81">
        <f>+Municipios!AB389</f>
        <v>35.14450730796068</v>
      </c>
      <c r="M388" s="232">
        <v>5368</v>
      </c>
      <c r="N388" s="232" t="s">
        <v>1233</v>
      </c>
      <c r="O388" s="232" t="s">
        <v>435</v>
      </c>
      <c r="P388" s="232" t="s">
        <v>436</v>
      </c>
      <c r="Q388" s="232" t="s">
        <v>1234</v>
      </c>
      <c r="T388" t="s">
        <v>2803</v>
      </c>
      <c r="U388" s="25">
        <f>+Municipios!Z389</f>
        <v>63.613980904956968</v>
      </c>
      <c r="V388" s="232">
        <v>5368</v>
      </c>
      <c r="W388" s="232" t="s">
        <v>1233</v>
      </c>
      <c r="X388" s="232" t="s">
        <v>435</v>
      </c>
      <c r="Y388" s="232" t="s">
        <v>436</v>
      </c>
      <c r="Z388" s="232" t="s">
        <v>1234</v>
      </c>
    </row>
    <row r="389" spans="1:26">
      <c r="A389" t="s">
        <v>417</v>
      </c>
      <c r="B389" s="25">
        <f>+Municipios!Z390</f>
        <v>57.732348798315385</v>
      </c>
      <c r="C389" s="232">
        <v>76054</v>
      </c>
      <c r="D389" s="232" t="s">
        <v>1235</v>
      </c>
      <c r="E389" s="232" t="s">
        <v>454</v>
      </c>
      <c r="F389" s="232" t="s">
        <v>455</v>
      </c>
      <c r="G389" s="232" t="s">
        <v>1236</v>
      </c>
      <c r="K389" t="s">
        <v>2647</v>
      </c>
      <c r="L389" s="81">
        <f>+Municipios!AB390</f>
        <v>31.837324504064245</v>
      </c>
      <c r="M389" s="232">
        <v>76054</v>
      </c>
      <c r="N389" s="232" t="s">
        <v>1235</v>
      </c>
      <c r="O389" s="232" t="s">
        <v>454</v>
      </c>
      <c r="P389" s="232" t="s">
        <v>455</v>
      </c>
      <c r="Q389" s="232" t="s">
        <v>1236</v>
      </c>
      <c r="T389" t="s">
        <v>2803</v>
      </c>
      <c r="U389" s="25">
        <f>+Municipios!Z390</f>
        <v>57.732348798315385</v>
      </c>
      <c r="V389" s="232">
        <v>76054</v>
      </c>
      <c r="W389" s="232" t="s">
        <v>1235</v>
      </c>
      <c r="X389" s="232" t="s">
        <v>454</v>
      </c>
      <c r="Y389" s="232" t="s">
        <v>455</v>
      </c>
      <c r="Z389" s="232" t="s">
        <v>1236</v>
      </c>
    </row>
    <row r="390" spans="1:26">
      <c r="A390" t="s">
        <v>417</v>
      </c>
      <c r="B390" s="25">
        <f>+Municipios!Z391</f>
        <v>57.436568525421919</v>
      </c>
      <c r="C390" s="232">
        <v>25407</v>
      </c>
      <c r="D390" s="232" t="s">
        <v>1237</v>
      </c>
      <c r="E390" s="232" t="s">
        <v>461</v>
      </c>
      <c r="F390" s="232" t="s">
        <v>462</v>
      </c>
      <c r="G390" s="232" t="s">
        <v>1238</v>
      </c>
      <c r="K390" t="s">
        <v>2647</v>
      </c>
      <c r="L390" s="81">
        <f>+Municipios!AB391</f>
        <v>31.564540446796759</v>
      </c>
      <c r="M390" s="232">
        <v>25407</v>
      </c>
      <c r="N390" s="232" t="s">
        <v>1237</v>
      </c>
      <c r="O390" s="232" t="s">
        <v>461</v>
      </c>
      <c r="P390" s="232" t="s">
        <v>462</v>
      </c>
      <c r="Q390" s="232" t="s">
        <v>1238</v>
      </c>
      <c r="T390" t="s">
        <v>2803</v>
      </c>
      <c r="U390" s="25">
        <f>+Municipios!Z391</f>
        <v>57.436568525421919</v>
      </c>
      <c r="V390" s="232">
        <v>25407</v>
      </c>
      <c r="W390" s="232" t="s">
        <v>1237</v>
      </c>
      <c r="X390" s="232" t="s">
        <v>461</v>
      </c>
      <c r="Y390" s="232" t="s">
        <v>462</v>
      </c>
      <c r="Z390" s="232" t="s">
        <v>1238</v>
      </c>
    </row>
    <row r="391" spans="1:26">
      <c r="A391" t="s">
        <v>417</v>
      </c>
      <c r="B391" s="25">
        <f>+Municipios!Z392</f>
        <v>59.550392193244946</v>
      </c>
      <c r="C391" s="232">
        <v>73408</v>
      </c>
      <c r="D391" s="232" t="s">
        <v>1239</v>
      </c>
      <c r="E391" s="232" t="s">
        <v>595</v>
      </c>
      <c r="F391" s="232" t="s">
        <v>596</v>
      </c>
      <c r="G391" s="232" t="s">
        <v>1240</v>
      </c>
      <c r="K391" t="s">
        <v>2647</v>
      </c>
      <c r="L391" s="81">
        <f>+Municipios!AB392</f>
        <v>32.72303182618684</v>
      </c>
      <c r="M391" s="232">
        <v>73408</v>
      </c>
      <c r="N391" s="232" t="s">
        <v>1239</v>
      </c>
      <c r="O391" s="232" t="s">
        <v>595</v>
      </c>
      <c r="P391" s="232" t="s">
        <v>596</v>
      </c>
      <c r="Q391" s="232" t="s">
        <v>1240</v>
      </c>
      <c r="T391" t="s">
        <v>2803</v>
      </c>
      <c r="U391" s="25">
        <f>+Municipios!Z392</f>
        <v>59.550392193244946</v>
      </c>
      <c r="V391" s="232">
        <v>73408</v>
      </c>
      <c r="W391" s="232" t="s">
        <v>1239</v>
      </c>
      <c r="X391" s="232" t="s">
        <v>595</v>
      </c>
      <c r="Y391" s="232" t="s">
        <v>596</v>
      </c>
      <c r="Z391" s="232" t="s">
        <v>1240</v>
      </c>
    </row>
    <row r="392" spans="1:26">
      <c r="A392" t="s">
        <v>417</v>
      </c>
      <c r="B392" s="25">
        <f>+Municipios!Z393</f>
        <v>59.128961625393785</v>
      </c>
      <c r="C392" s="232">
        <v>5264</v>
      </c>
      <c r="D392" s="232" t="s">
        <v>1241</v>
      </c>
      <c r="E392" s="232" t="s">
        <v>435</v>
      </c>
      <c r="F392" s="232" t="s">
        <v>436</v>
      </c>
      <c r="G392" s="232" t="s">
        <v>1242</v>
      </c>
      <c r="K392" t="s">
        <v>2647</v>
      </c>
      <c r="L392" s="81">
        <f>+Municipios!AB393</f>
        <v>32.6723789282373</v>
      </c>
      <c r="M392" s="232">
        <v>5264</v>
      </c>
      <c r="N392" s="232" t="s">
        <v>1241</v>
      </c>
      <c r="O392" s="232" t="s">
        <v>435</v>
      </c>
      <c r="P392" s="232" t="s">
        <v>436</v>
      </c>
      <c r="Q392" s="232" t="s">
        <v>1242</v>
      </c>
      <c r="T392" t="s">
        <v>2803</v>
      </c>
      <c r="U392" s="25">
        <f>+Municipios!Z393</f>
        <v>59.128961625393785</v>
      </c>
      <c r="V392" s="232">
        <v>5264</v>
      </c>
      <c r="W392" s="232" t="s">
        <v>1241</v>
      </c>
      <c r="X392" s="232" t="s">
        <v>435</v>
      </c>
      <c r="Y392" s="232" t="s">
        <v>436</v>
      </c>
      <c r="Z392" s="232" t="s">
        <v>1242</v>
      </c>
    </row>
    <row r="393" spans="1:26">
      <c r="A393" t="s">
        <v>417</v>
      </c>
      <c r="B393" s="25">
        <f>+Municipios!Z394</f>
        <v>66.863732878308227</v>
      </c>
      <c r="C393" s="232">
        <v>68079</v>
      </c>
      <c r="D393" s="232" t="s">
        <v>1243</v>
      </c>
      <c r="E393" s="232" t="s">
        <v>431</v>
      </c>
      <c r="F393" s="232" t="s">
        <v>432</v>
      </c>
      <c r="G393" s="232" t="s">
        <v>1244</v>
      </c>
      <c r="K393" t="s">
        <v>2647</v>
      </c>
      <c r="L393" s="81">
        <f>+Municipios!AB394</f>
        <v>37.01274965871103</v>
      </c>
      <c r="M393" s="232">
        <v>68079</v>
      </c>
      <c r="N393" s="232" t="s">
        <v>1243</v>
      </c>
      <c r="O393" s="232" t="s">
        <v>431</v>
      </c>
      <c r="P393" s="232" t="s">
        <v>432</v>
      </c>
      <c r="Q393" s="232" t="s">
        <v>1244</v>
      </c>
      <c r="T393" t="s">
        <v>2803</v>
      </c>
      <c r="U393" s="25">
        <f>+Municipios!Z394</f>
        <v>66.863732878308227</v>
      </c>
      <c r="V393" s="232">
        <v>68079</v>
      </c>
      <c r="W393" s="232" t="s">
        <v>1243</v>
      </c>
      <c r="X393" s="232" t="s">
        <v>431</v>
      </c>
      <c r="Y393" s="232" t="s">
        <v>432</v>
      </c>
      <c r="Z393" s="232" t="s">
        <v>1244</v>
      </c>
    </row>
    <row r="394" spans="1:26">
      <c r="A394" t="s">
        <v>417</v>
      </c>
      <c r="B394" s="25">
        <f>+Municipios!Z395</f>
        <v>56.913711239518385</v>
      </c>
      <c r="C394" s="232">
        <v>19290</v>
      </c>
      <c r="D394" s="232" t="s">
        <v>1245</v>
      </c>
      <c r="E394" s="232" t="s">
        <v>557</v>
      </c>
      <c r="F394" s="232" t="s">
        <v>558</v>
      </c>
      <c r="G394" s="232" t="s">
        <v>1246</v>
      </c>
      <c r="K394" t="s">
        <v>2647</v>
      </c>
      <c r="L394" s="81">
        <f>+Municipios!AB395</f>
        <v>31.339833092744385</v>
      </c>
      <c r="M394" s="232">
        <v>19290</v>
      </c>
      <c r="N394" s="232" t="s">
        <v>1245</v>
      </c>
      <c r="O394" s="232" t="s">
        <v>557</v>
      </c>
      <c r="P394" s="232" t="s">
        <v>558</v>
      </c>
      <c r="Q394" s="232" t="s">
        <v>1246</v>
      </c>
      <c r="T394" t="s">
        <v>2803</v>
      </c>
      <c r="U394" s="25">
        <f>+Municipios!Z395</f>
        <v>56.913711239518385</v>
      </c>
      <c r="V394" s="232">
        <v>19290</v>
      </c>
      <c r="W394" s="232" t="s">
        <v>1245</v>
      </c>
      <c r="X394" s="232" t="s">
        <v>557</v>
      </c>
      <c r="Y394" s="232" t="s">
        <v>558</v>
      </c>
      <c r="Z394" s="232" t="s">
        <v>1246</v>
      </c>
    </row>
    <row r="395" spans="1:26">
      <c r="A395" t="s">
        <v>417</v>
      </c>
      <c r="B395" s="25">
        <f>+Municipios!Z396</f>
        <v>59.13836274434081</v>
      </c>
      <c r="C395" s="232">
        <v>15798</v>
      </c>
      <c r="D395" s="232" t="s">
        <v>1247</v>
      </c>
      <c r="E395" s="232" t="s">
        <v>498</v>
      </c>
      <c r="F395" s="232" t="s">
        <v>499</v>
      </c>
      <c r="G395" s="232" t="s">
        <v>1248</v>
      </c>
      <c r="K395" t="s">
        <v>2647</v>
      </c>
      <c r="L395" s="81">
        <f>+Municipios!AB396</f>
        <v>32.612104239403315</v>
      </c>
      <c r="M395" s="232">
        <v>15798</v>
      </c>
      <c r="N395" s="232" t="s">
        <v>1247</v>
      </c>
      <c r="O395" s="232" t="s">
        <v>498</v>
      </c>
      <c r="P395" s="232" t="s">
        <v>499</v>
      </c>
      <c r="Q395" s="232" t="s">
        <v>1248</v>
      </c>
      <c r="T395" t="s">
        <v>2803</v>
      </c>
      <c r="U395" s="25">
        <f>+Municipios!Z396</f>
        <v>59.13836274434081</v>
      </c>
      <c r="V395" s="232">
        <v>15798</v>
      </c>
      <c r="W395" s="232" t="s">
        <v>1247</v>
      </c>
      <c r="X395" s="232" t="s">
        <v>498</v>
      </c>
      <c r="Y395" s="232" t="s">
        <v>499</v>
      </c>
      <c r="Z395" s="232" t="s">
        <v>1248</v>
      </c>
    </row>
    <row r="396" spans="1:26">
      <c r="A396" t="s">
        <v>417</v>
      </c>
      <c r="B396" s="25">
        <f>+Municipios!Z397</f>
        <v>74.789438353438385</v>
      </c>
      <c r="C396" s="232">
        <v>15804</v>
      </c>
      <c r="D396" s="232" t="s">
        <v>1249</v>
      </c>
      <c r="E396" s="232" t="s">
        <v>498</v>
      </c>
      <c r="F396" s="232" t="s">
        <v>499</v>
      </c>
      <c r="G396" s="232" t="s">
        <v>1250</v>
      </c>
      <c r="K396" t="s">
        <v>2647</v>
      </c>
      <c r="L396" s="81">
        <f>+Municipios!AB397</f>
        <v>41.115552378658464</v>
      </c>
      <c r="M396" s="232">
        <v>15804</v>
      </c>
      <c r="N396" s="232" t="s">
        <v>1249</v>
      </c>
      <c r="O396" s="232" t="s">
        <v>498</v>
      </c>
      <c r="P396" s="232" t="s">
        <v>499</v>
      </c>
      <c r="Q396" s="232" t="s">
        <v>1250</v>
      </c>
      <c r="T396" t="s">
        <v>2803</v>
      </c>
      <c r="U396" s="25">
        <f>+Municipios!Z397</f>
        <v>74.789438353438385</v>
      </c>
      <c r="V396" s="232">
        <v>15804</v>
      </c>
      <c r="W396" s="232" t="s">
        <v>1249</v>
      </c>
      <c r="X396" s="232" t="s">
        <v>498</v>
      </c>
      <c r="Y396" s="232" t="s">
        <v>499</v>
      </c>
      <c r="Z396" s="232" t="s">
        <v>1250</v>
      </c>
    </row>
    <row r="397" spans="1:26">
      <c r="A397" t="s">
        <v>417</v>
      </c>
      <c r="B397" s="25">
        <f>+Municipios!Z398</f>
        <v>49.263731491774521</v>
      </c>
      <c r="C397" s="232">
        <v>70400</v>
      </c>
      <c r="D397" s="232" t="s">
        <v>1251</v>
      </c>
      <c r="E397" s="232" t="s">
        <v>494</v>
      </c>
      <c r="F397" s="232" t="s">
        <v>495</v>
      </c>
      <c r="G397" s="232" t="s">
        <v>628</v>
      </c>
      <c r="K397" t="s">
        <v>2647</v>
      </c>
      <c r="L397" s="81">
        <f>+Municipios!AB398</f>
        <v>27.070829006545146</v>
      </c>
      <c r="M397" s="232">
        <v>70400</v>
      </c>
      <c r="N397" s="232" t="s">
        <v>1251</v>
      </c>
      <c r="O397" s="232" t="s">
        <v>494</v>
      </c>
      <c r="P397" s="232" t="s">
        <v>495</v>
      </c>
      <c r="Q397" s="232" t="s">
        <v>628</v>
      </c>
      <c r="T397" t="s">
        <v>2803</v>
      </c>
      <c r="U397" s="25">
        <f>+Municipios!Z398</f>
        <v>49.263731491774521</v>
      </c>
      <c r="V397" s="232">
        <v>70400</v>
      </c>
      <c r="W397" s="232" t="s">
        <v>1251</v>
      </c>
      <c r="X397" s="232" t="s">
        <v>494</v>
      </c>
      <c r="Y397" s="232" t="s">
        <v>495</v>
      </c>
      <c r="Z397" s="232" t="s">
        <v>628</v>
      </c>
    </row>
    <row r="398" spans="1:26">
      <c r="A398" t="s">
        <v>417</v>
      </c>
      <c r="B398" s="25">
        <f>+Municipios!Z399</f>
        <v>64.745254352436859</v>
      </c>
      <c r="C398" s="232">
        <v>25805</v>
      </c>
      <c r="D398" s="232" t="s">
        <v>1252</v>
      </c>
      <c r="E398" s="232" t="s">
        <v>461</v>
      </c>
      <c r="F398" s="232" t="s">
        <v>462</v>
      </c>
      <c r="G398" s="232" t="s">
        <v>1253</v>
      </c>
      <c r="K398" t="s">
        <v>2647</v>
      </c>
      <c r="L398" s="81">
        <f>+Municipios!AB399</f>
        <v>35.367838328889249</v>
      </c>
      <c r="M398" s="232">
        <v>25805</v>
      </c>
      <c r="N398" s="232" t="s">
        <v>1252</v>
      </c>
      <c r="O398" s="232" t="s">
        <v>461</v>
      </c>
      <c r="P398" s="232" t="s">
        <v>462</v>
      </c>
      <c r="Q398" s="232" t="s">
        <v>1253</v>
      </c>
      <c r="T398" t="s">
        <v>2803</v>
      </c>
      <c r="U398" s="25">
        <f>+Municipios!Z399</f>
        <v>64.745254352436859</v>
      </c>
      <c r="V398" s="232">
        <v>25805</v>
      </c>
      <c r="W398" s="232" t="s">
        <v>1252</v>
      </c>
      <c r="X398" s="232" t="s">
        <v>461</v>
      </c>
      <c r="Y398" s="232" t="s">
        <v>462</v>
      </c>
      <c r="Z398" s="232" t="s">
        <v>1253</v>
      </c>
    </row>
    <row r="399" spans="1:26">
      <c r="A399" t="s">
        <v>417</v>
      </c>
      <c r="B399" s="25">
        <f>+Municipios!Z400</f>
        <v>54.903875268295096</v>
      </c>
      <c r="C399" s="232">
        <v>5313</v>
      </c>
      <c r="D399" s="232" t="s">
        <v>1254</v>
      </c>
      <c r="E399" s="232" t="s">
        <v>435</v>
      </c>
      <c r="F399" s="232" t="s">
        <v>436</v>
      </c>
      <c r="G399" s="232" t="s">
        <v>802</v>
      </c>
      <c r="K399" t="s">
        <v>2647</v>
      </c>
      <c r="L399" s="81">
        <f>+Municipios!AB400</f>
        <v>30.381117467210252</v>
      </c>
      <c r="M399" s="232">
        <v>5313</v>
      </c>
      <c r="N399" s="232" t="s">
        <v>1254</v>
      </c>
      <c r="O399" s="232" t="s">
        <v>435</v>
      </c>
      <c r="P399" s="232" t="s">
        <v>436</v>
      </c>
      <c r="Q399" s="232" t="s">
        <v>802</v>
      </c>
      <c r="T399" t="s">
        <v>2803</v>
      </c>
      <c r="U399" s="25">
        <f>+Municipios!Z400</f>
        <v>54.903875268295096</v>
      </c>
      <c r="V399" s="232">
        <v>5313</v>
      </c>
      <c r="W399" s="232" t="s">
        <v>1254</v>
      </c>
      <c r="X399" s="232" t="s">
        <v>435</v>
      </c>
      <c r="Y399" s="232" t="s">
        <v>436</v>
      </c>
      <c r="Z399" s="232" t="s">
        <v>802</v>
      </c>
    </row>
    <row r="400" spans="1:26">
      <c r="A400" t="s">
        <v>417</v>
      </c>
      <c r="B400" s="25">
        <f>+Municipios!Z401</f>
        <v>56.315839333116656</v>
      </c>
      <c r="C400" s="232">
        <v>68522</v>
      </c>
      <c r="D400" s="232" t="s">
        <v>1255</v>
      </c>
      <c r="E400" s="232" t="s">
        <v>431</v>
      </c>
      <c r="F400" s="232" t="s">
        <v>432</v>
      </c>
      <c r="G400" s="232" t="s">
        <v>1256</v>
      </c>
      <c r="K400" t="s">
        <v>2647</v>
      </c>
      <c r="L400" s="81">
        <f>+Municipios!AB401</f>
        <v>31.074074912969881</v>
      </c>
      <c r="M400" s="232">
        <v>68522</v>
      </c>
      <c r="N400" s="232" t="s">
        <v>1255</v>
      </c>
      <c r="O400" s="232" t="s">
        <v>431</v>
      </c>
      <c r="P400" s="232" t="s">
        <v>432</v>
      </c>
      <c r="Q400" s="232" t="s">
        <v>1256</v>
      </c>
      <c r="T400" t="s">
        <v>2803</v>
      </c>
      <c r="U400" s="25">
        <f>+Municipios!Z401</f>
        <v>56.315839333116656</v>
      </c>
      <c r="V400" s="232">
        <v>68522</v>
      </c>
      <c r="W400" s="232" t="s">
        <v>1255</v>
      </c>
      <c r="X400" s="232" t="s">
        <v>431</v>
      </c>
      <c r="Y400" s="232" t="s">
        <v>432</v>
      </c>
      <c r="Z400" s="232" t="s">
        <v>1256</v>
      </c>
    </row>
    <row r="401" spans="1:26">
      <c r="A401" t="s">
        <v>417</v>
      </c>
      <c r="B401" s="25">
        <f>+Municipios!Z402</f>
        <v>65.369378053740917</v>
      </c>
      <c r="C401" s="232">
        <v>17486</v>
      </c>
      <c r="D401" s="232" t="s">
        <v>1257</v>
      </c>
      <c r="E401" s="232" t="s">
        <v>506</v>
      </c>
      <c r="F401" s="232" t="s">
        <v>507</v>
      </c>
      <c r="G401" s="232" t="s">
        <v>1258</v>
      </c>
      <c r="K401" t="s">
        <v>2647</v>
      </c>
      <c r="L401" s="81">
        <f>+Municipios!AB402</f>
        <v>35.86869312413252</v>
      </c>
      <c r="M401" s="232">
        <v>17486</v>
      </c>
      <c r="N401" s="232" t="s">
        <v>1257</v>
      </c>
      <c r="O401" s="232" t="s">
        <v>506</v>
      </c>
      <c r="P401" s="232" t="s">
        <v>507</v>
      </c>
      <c r="Q401" s="232" t="s">
        <v>1258</v>
      </c>
      <c r="T401" t="s">
        <v>2803</v>
      </c>
      <c r="U401" s="25">
        <f>+Municipios!Z402</f>
        <v>65.369378053740917</v>
      </c>
      <c r="V401" s="232">
        <v>17486</v>
      </c>
      <c r="W401" s="232" t="s">
        <v>1257</v>
      </c>
      <c r="X401" s="232" t="s">
        <v>506</v>
      </c>
      <c r="Y401" s="232" t="s">
        <v>507</v>
      </c>
      <c r="Z401" s="232" t="s">
        <v>1258</v>
      </c>
    </row>
    <row r="402" spans="1:26">
      <c r="A402" t="s">
        <v>417</v>
      </c>
      <c r="B402" s="25">
        <f>+Municipios!Z403</f>
        <v>43.938954422107798</v>
      </c>
      <c r="C402" s="232">
        <v>5789</v>
      </c>
      <c r="D402" s="232" t="s">
        <v>1259</v>
      </c>
      <c r="E402" s="232" t="s">
        <v>435</v>
      </c>
      <c r="F402" s="232" t="s">
        <v>436</v>
      </c>
      <c r="G402" s="232" t="s">
        <v>1260</v>
      </c>
      <c r="K402" t="s">
        <v>2647</v>
      </c>
      <c r="L402" s="81">
        <f>+Municipios!AB403</f>
        <v>24.154600703069978</v>
      </c>
      <c r="M402" s="232">
        <v>5789</v>
      </c>
      <c r="N402" s="232" t="s">
        <v>1259</v>
      </c>
      <c r="O402" s="232" t="s">
        <v>435</v>
      </c>
      <c r="P402" s="232" t="s">
        <v>436</v>
      </c>
      <c r="Q402" s="232" t="s">
        <v>1260</v>
      </c>
      <c r="T402" t="s">
        <v>2803</v>
      </c>
      <c r="U402" s="25">
        <f>+Municipios!Z403</f>
        <v>43.938954422107798</v>
      </c>
      <c r="V402" s="232">
        <v>5789</v>
      </c>
      <c r="W402" s="232" t="s">
        <v>1259</v>
      </c>
      <c r="X402" s="232" t="s">
        <v>435</v>
      </c>
      <c r="Y402" s="232" t="s">
        <v>436</v>
      </c>
      <c r="Z402" s="232" t="s">
        <v>1260</v>
      </c>
    </row>
    <row r="403" spans="1:26">
      <c r="A403" t="s">
        <v>417</v>
      </c>
      <c r="B403" s="25">
        <f>+Municipios!Z404</f>
        <v>64.321459716325933</v>
      </c>
      <c r="C403" s="232">
        <v>25489</v>
      </c>
      <c r="D403" s="232" t="s">
        <v>1261</v>
      </c>
      <c r="E403" s="232" t="s">
        <v>461</v>
      </c>
      <c r="F403" s="232" t="s">
        <v>462</v>
      </c>
      <c r="G403" s="232" t="s">
        <v>1262</v>
      </c>
      <c r="K403" t="s">
        <v>2647</v>
      </c>
      <c r="L403" s="81">
        <f>+Municipios!AB404</f>
        <v>35.08359929846916</v>
      </c>
      <c r="M403" s="232">
        <v>25489</v>
      </c>
      <c r="N403" s="232" t="s">
        <v>1261</v>
      </c>
      <c r="O403" s="232" t="s">
        <v>461</v>
      </c>
      <c r="P403" s="232" t="s">
        <v>462</v>
      </c>
      <c r="Q403" s="232" t="s">
        <v>1262</v>
      </c>
      <c r="T403" t="s">
        <v>2803</v>
      </c>
      <c r="U403" s="25">
        <f>+Municipios!Z404</f>
        <v>64.321459716325933</v>
      </c>
      <c r="V403" s="232">
        <v>25489</v>
      </c>
      <c r="W403" s="232" t="s">
        <v>1261</v>
      </c>
      <c r="X403" s="232" t="s">
        <v>461</v>
      </c>
      <c r="Y403" s="232" t="s">
        <v>462</v>
      </c>
      <c r="Z403" s="232" t="s">
        <v>1262</v>
      </c>
    </row>
    <row r="404" spans="1:26">
      <c r="A404" t="s">
        <v>417</v>
      </c>
      <c r="B404" s="25">
        <f>+Municipios!Z405</f>
        <v>38.016785475116293</v>
      </c>
      <c r="C404" s="232">
        <v>70230</v>
      </c>
      <c r="D404" s="232" t="s">
        <v>1263</v>
      </c>
      <c r="E404" s="232" t="s">
        <v>494</v>
      </c>
      <c r="F404" s="232" t="s">
        <v>495</v>
      </c>
      <c r="G404" s="232" t="s">
        <v>1264</v>
      </c>
      <c r="K404" t="s">
        <v>2647</v>
      </c>
      <c r="L404" s="81">
        <f>+Municipios!AB405</f>
        <v>20.799470510857557</v>
      </c>
      <c r="M404" s="232">
        <v>70230</v>
      </c>
      <c r="N404" s="232" t="s">
        <v>1263</v>
      </c>
      <c r="O404" s="232" t="s">
        <v>494</v>
      </c>
      <c r="P404" s="232" t="s">
        <v>495</v>
      </c>
      <c r="Q404" s="232" t="s">
        <v>1264</v>
      </c>
      <c r="T404" t="s">
        <v>2803</v>
      </c>
      <c r="U404" s="25">
        <f>+Municipios!Z405</f>
        <v>38.016785475116293</v>
      </c>
      <c r="V404" s="232">
        <v>70230</v>
      </c>
      <c r="W404" s="232" t="s">
        <v>1263</v>
      </c>
      <c r="X404" s="232" t="s">
        <v>494</v>
      </c>
      <c r="Y404" s="232" t="s">
        <v>495</v>
      </c>
      <c r="Z404" s="232" t="s">
        <v>1264</v>
      </c>
    </row>
    <row r="405" spans="1:26">
      <c r="A405" t="s">
        <v>417</v>
      </c>
      <c r="B405" s="25">
        <f>+Municipios!Z406</f>
        <v>52.718166906054236</v>
      </c>
      <c r="C405" s="232">
        <v>23168</v>
      </c>
      <c r="D405" s="232" t="s">
        <v>1265</v>
      </c>
      <c r="E405" s="232" t="s">
        <v>567</v>
      </c>
      <c r="F405" s="232" t="s">
        <v>568</v>
      </c>
      <c r="G405" s="232" t="s">
        <v>1266</v>
      </c>
      <c r="K405" t="s">
        <v>2647</v>
      </c>
      <c r="L405" s="81">
        <f>+Municipios!AB406</f>
        <v>28.849481433835319</v>
      </c>
      <c r="M405" s="232">
        <v>23168</v>
      </c>
      <c r="N405" s="232" t="s">
        <v>1265</v>
      </c>
      <c r="O405" s="232" t="s">
        <v>567</v>
      </c>
      <c r="P405" s="232" t="s">
        <v>568</v>
      </c>
      <c r="Q405" s="232" t="s">
        <v>1266</v>
      </c>
      <c r="T405" t="s">
        <v>2803</v>
      </c>
      <c r="U405" s="25">
        <f>+Municipios!Z406</f>
        <v>52.718166906054236</v>
      </c>
      <c r="V405" s="232">
        <v>23168</v>
      </c>
      <c r="W405" s="232" t="s">
        <v>1265</v>
      </c>
      <c r="X405" s="232" t="s">
        <v>567</v>
      </c>
      <c r="Y405" s="232" t="s">
        <v>568</v>
      </c>
      <c r="Z405" s="232" t="s">
        <v>1266</v>
      </c>
    </row>
    <row r="406" spans="1:26">
      <c r="A406" t="s">
        <v>417</v>
      </c>
      <c r="B406" s="25">
        <f>+Municipios!Z407</f>
        <v>59.212012979757276</v>
      </c>
      <c r="C406" s="232">
        <v>44035</v>
      </c>
      <c r="D406" s="232" t="s">
        <v>1267</v>
      </c>
      <c r="E406" s="232" t="s">
        <v>933</v>
      </c>
      <c r="F406" s="232" t="s">
        <v>934</v>
      </c>
      <c r="G406" s="232" t="s">
        <v>1268</v>
      </c>
      <c r="K406" t="s">
        <v>2647</v>
      </c>
      <c r="L406" s="81">
        <f>+Municipios!AB407</f>
        <v>32.41713163629759</v>
      </c>
      <c r="M406" s="232">
        <v>44035</v>
      </c>
      <c r="N406" s="232" t="s">
        <v>1267</v>
      </c>
      <c r="O406" s="232" t="s">
        <v>933</v>
      </c>
      <c r="P406" s="232" t="s">
        <v>934</v>
      </c>
      <c r="Q406" s="232" t="s">
        <v>1268</v>
      </c>
      <c r="T406" t="s">
        <v>2803</v>
      </c>
      <c r="U406" s="25">
        <f>+Municipios!Z407</f>
        <v>59.212012979757276</v>
      </c>
      <c r="V406" s="232">
        <v>44035</v>
      </c>
      <c r="W406" s="232" t="s">
        <v>1267</v>
      </c>
      <c r="X406" s="232" t="s">
        <v>933</v>
      </c>
      <c r="Y406" s="232" t="s">
        <v>934</v>
      </c>
      <c r="Z406" s="232" t="s">
        <v>1268</v>
      </c>
    </row>
    <row r="407" spans="1:26">
      <c r="A407" t="s">
        <v>417</v>
      </c>
      <c r="B407" s="25">
        <f>+Municipios!Z408</f>
        <v>60.945557650679731</v>
      </c>
      <c r="C407" s="232">
        <v>70508</v>
      </c>
      <c r="D407" s="232" t="s">
        <v>1269</v>
      </c>
      <c r="E407" s="232" t="s">
        <v>494</v>
      </c>
      <c r="F407" s="232" t="s">
        <v>495</v>
      </c>
      <c r="G407" s="232" t="s">
        <v>1270</v>
      </c>
      <c r="K407" t="s">
        <v>2647</v>
      </c>
      <c r="L407" s="81">
        <f>+Municipios!AB408</f>
        <v>33.322632151793123</v>
      </c>
      <c r="M407" s="232">
        <v>70508</v>
      </c>
      <c r="N407" s="232" t="s">
        <v>1269</v>
      </c>
      <c r="O407" s="232" t="s">
        <v>494</v>
      </c>
      <c r="P407" s="232" t="s">
        <v>495</v>
      </c>
      <c r="Q407" s="232" t="s">
        <v>1270</v>
      </c>
      <c r="T407" t="s">
        <v>2803</v>
      </c>
      <c r="U407" s="25">
        <f>+Municipios!Z408</f>
        <v>60.945557650679731</v>
      </c>
      <c r="V407" s="232">
        <v>70508</v>
      </c>
      <c r="W407" s="232" t="s">
        <v>1269</v>
      </c>
      <c r="X407" s="232" t="s">
        <v>494</v>
      </c>
      <c r="Y407" s="232" t="s">
        <v>495</v>
      </c>
      <c r="Z407" s="232" t="s">
        <v>1270</v>
      </c>
    </row>
    <row r="408" spans="1:26">
      <c r="A408" t="s">
        <v>417</v>
      </c>
      <c r="B408" s="25">
        <f>+Municipios!Z409</f>
        <v>57.561379225529301</v>
      </c>
      <c r="C408" s="232">
        <v>17272</v>
      </c>
      <c r="D408" s="232" t="s">
        <v>1271</v>
      </c>
      <c r="E408" s="232" t="s">
        <v>506</v>
      </c>
      <c r="F408" s="232" t="s">
        <v>507</v>
      </c>
      <c r="G408" s="232" t="s">
        <v>1272</v>
      </c>
      <c r="K408" t="s">
        <v>2647</v>
      </c>
      <c r="L408" s="81">
        <f>+Municipios!AB409</f>
        <v>31.550725924555184</v>
      </c>
      <c r="M408" s="232">
        <v>17272</v>
      </c>
      <c r="N408" s="232" t="s">
        <v>1271</v>
      </c>
      <c r="O408" s="232" t="s">
        <v>506</v>
      </c>
      <c r="P408" s="232" t="s">
        <v>507</v>
      </c>
      <c r="Q408" s="232" t="s">
        <v>1272</v>
      </c>
      <c r="T408" t="s">
        <v>2803</v>
      </c>
      <c r="U408" s="25">
        <f>+Municipios!Z409</f>
        <v>57.561379225529301</v>
      </c>
      <c r="V408" s="232">
        <v>17272</v>
      </c>
      <c r="W408" s="232" t="s">
        <v>1271</v>
      </c>
      <c r="X408" s="232" t="s">
        <v>506</v>
      </c>
      <c r="Y408" s="232" t="s">
        <v>507</v>
      </c>
      <c r="Z408" s="232" t="s">
        <v>1272</v>
      </c>
    </row>
    <row r="409" spans="1:26">
      <c r="A409" t="s">
        <v>417</v>
      </c>
      <c r="B409" s="25">
        <f>+Municipios!Z410</f>
        <v>54.29485350209815</v>
      </c>
      <c r="C409" s="232">
        <v>5347</v>
      </c>
      <c r="D409" s="232" t="s">
        <v>1273</v>
      </c>
      <c r="E409" s="232" t="s">
        <v>435</v>
      </c>
      <c r="F409" s="232" t="s">
        <v>436</v>
      </c>
      <c r="G409" s="232" t="s">
        <v>1274</v>
      </c>
      <c r="K409" t="s">
        <v>2647</v>
      </c>
      <c r="L409" s="81">
        <f>+Municipios!AB410</f>
        <v>29.70392016761744</v>
      </c>
      <c r="M409" s="232">
        <v>5347</v>
      </c>
      <c r="N409" s="232" t="s">
        <v>1273</v>
      </c>
      <c r="O409" s="232" t="s">
        <v>435</v>
      </c>
      <c r="P409" s="232" t="s">
        <v>436</v>
      </c>
      <c r="Q409" s="232" t="s">
        <v>1274</v>
      </c>
      <c r="T409" t="s">
        <v>2803</v>
      </c>
      <c r="U409" s="25">
        <f>+Municipios!Z410</f>
        <v>54.29485350209815</v>
      </c>
      <c r="V409" s="232">
        <v>5347</v>
      </c>
      <c r="W409" s="232" t="s">
        <v>1273</v>
      </c>
      <c r="X409" s="232" t="s">
        <v>435</v>
      </c>
      <c r="Y409" s="232" t="s">
        <v>436</v>
      </c>
      <c r="Z409" s="232" t="s">
        <v>1274</v>
      </c>
    </row>
    <row r="410" spans="1:26">
      <c r="A410" t="s">
        <v>417</v>
      </c>
      <c r="B410" s="25">
        <f>+Municipios!Z411</f>
        <v>58.327949945230607</v>
      </c>
      <c r="C410" s="232">
        <v>76403</v>
      </c>
      <c r="D410" s="232" t="s">
        <v>1275</v>
      </c>
      <c r="E410" s="232" t="s">
        <v>454</v>
      </c>
      <c r="F410" s="232" t="s">
        <v>455</v>
      </c>
      <c r="G410" s="232" t="s">
        <v>1276</v>
      </c>
      <c r="K410" t="s">
        <v>2647</v>
      </c>
      <c r="L410" s="81">
        <f>+Municipios!AB411</f>
        <v>31.850112906547476</v>
      </c>
      <c r="M410" s="232">
        <v>76403</v>
      </c>
      <c r="N410" s="232" t="s">
        <v>1275</v>
      </c>
      <c r="O410" s="232" t="s">
        <v>454</v>
      </c>
      <c r="P410" s="232" t="s">
        <v>455</v>
      </c>
      <c r="Q410" s="232" t="s">
        <v>1276</v>
      </c>
      <c r="T410" t="s">
        <v>2803</v>
      </c>
      <c r="U410" s="25">
        <f>+Municipios!Z411</f>
        <v>58.327949945230607</v>
      </c>
      <c r="V410" s="232">
        <v>76403</v>
      </c>
      <c r="W410" s="232" t="s">
        <v>1275</v>
      </c>
      <c r="X410" s="232" t="s">
        <v>454</v>
      </c>
      <c r="Y410" s="232" t="s">
        <v>455</v>
      </c>
      <c r="Z410" s="232" t="s">
        <v>1276</v>
      </c>
    </row>
    <row r="411" spans="1:26">
      <c r="A411" t="s">
        <v>417</v>
      </c>
      <c r="B411" s="25">
        <f>+Municipios!Z412</f>
        <v>47.139118438082839</v>
      </c>
      <c r="C411" s="232">
        <v>47675</v>
      </c>
      <c r="D411" s="232" t="s">
        <v>1277</v>
      </c>
      <c r="E411" s="232" t="s">
        <v>638</v>
      </c>
      <c r="F411" s="232" t="s">
        <v>639</v>
      </c>
      <c r="G411" s="232" t="s">
        <v>1278</v>
      </c>
      <c r="K411" t="s">
        <v>2647</v>
      </c>
      <c r="L411" s="81">
        <f>+Municipios!AB412</f>
        <v>25.748973719821407</v>
      </c>
      <c r="M411" s="232">
        <v>47675</v>
      </c>
      <c r="N411" s="232" t="s">
        <v>1277</v>
      </c>
      <c r="O411" s="232" t="s">
        <v>638</v>
      </c>
      <c r="P411" s="232" t="s">
        <v>639</v>
      </c>
      <c r="Q411" s="232" t="s">
        <v>1278</v>
      </c>
      <c r="T411" t="s">
        <v>2803</v>
      </c>
      <c r="U411" s="25">
        <f>+Municipios!Z412</f>
        <v>47.139118438082839</v>
      </c>
      <c r="V411" s="232">
        <v>47675</v>
      </c>
      <c r="W411" s="232" t="s">
        <v>1277</v>
      </c>
      <c r="X411" s="232" t="s">
        <v>638</v>
      </c>
      <c r="Y411" s="232" t="s">
        <v>639</v>
      </c>
      <c r="Z411" s="232" t="s">
        <v>1278</v>
      </c>
    </row>
    <row r="412" spans="1:26">
      <c r="A412" t="s">
        <v>417</v>
      </c>
      <c r="B412" s="25">
        <f>+Municipios!Z413</f>
        <v>50.664944724788839</v>
      </c>
      <c r="C412" s="232">
        <v>23555</v>
      </c>
      <c r="D412" s="232" t="s">
        <v>1279</v>
      </c>
      <c r="E412" s="232" t="s">
        <v>567</v>
      </c>
      <c r="F412" s="232" t="s">
        <v>568</v>
      </c>
      <c r="G412" s="232" t="s">
        <v>1280</v>
      </c>
      <c r="K412" t="s">
        <v>2647</v>
      </c>
      <c r="L412" s="81">
        <f>+Municipios!AB413</f>
        <v>27.666258763651925</v>
      </c>
      <c r="M412" s="232">
        <v>23555</v>
      </c>
      <c r="N412" s="232" t="s">
        <v>1279</v>
      </c>
      <c r="O412" s="232" t="s">
        <v>567</v>
      </c>
      <c r="P412" s="232" t="s">
        <v>568</v>
      </c>
      <c r="Q412" s="232" t="s">
        <v>1280</v>
      </c>
      <c r="T412" t="s">
        <v>2803</v>
      </c>
      <c r="U412" s="25">
        <f>+Municipios!Z413</f>
        <v>50.664944724788839</v>
      </c>
      <c r="V412" s="232">
        <v>23555</v>
      </c>
      <c r="W412" s="232" t="s">
        <v>1279</v>
      </c>
      <c r="X412" s="232" t="s">
        <v>567</v>
      </c>
      <c r="Y412" s="232" t="s">
        <v>568</v>
      </c>
      <c r="Z412" s="232" t="s">
        <v>1280</v>
      </c>
    </row>
    <row r="413" spans="1:26">
      <c r="A413" t="s">
        <v>417</v>
      </c>
      <c r="B413" s="25">
        <f>+Municipios!Z414</f>
        <v>61.362821717159242</v>
      </c>
      <c r="C413" s="232">
        <v>73148</v>
      </c>
      <c r="D413" s="232" t="s">
        <v>1281</v>
      </c>
      <c r="E413" s="232" t="s">
        <v>595</v>
      </c>
      <c r="F413" s="232" t="s">
        <v>596</v>
      </c>
      <c r="G413" s="232" t="s">
        <v>1282</v>
      </c>
      <c r="K413" t="s">
        <v>2647</v>
      </c>
      <c r="L413" s="81">
        <f>+Municipios!AB414</f>
        <v>33.521430291715177</v>
      </c>
      <c r="M413" s="232">
        <v>73148</v>
      </c>
      <c r="N413" s="232" t="s">
        <v>1281</v>
      </c>
      <c r="O413" s="232" t="s">
        <v>595</v>
      </c>
      <c r="P413" s="232" t="s">
        <v>596</v>
      </c>
      <c r="Q413" s="232" t="s">
        <v>1282</v>
      </c>
      <c r="T413" t="s">
        <v>2803</v>
      </c>
      <c r="U413" s="25">
        <f>+Municipios!Z414</f>
        <v>61.362821717159242</v>
      </c>
      <c r="V413" s="232">
        <v>73148</v>
      </c>
      <c r="W413" s="232" t="s">
        <v>1281</v>
      </c>
      <c r="X413" s="232" t="s">
        <v>595</v>
      </c>
      <c r="Y413" s="232" t="s">
        <v>596</v>
      </c>
      <c r="Z413" s="232" t="s">
        <v>1282</v>
      </c>
    </row>
    <row r="414" spans="1:26">
      <c r="A414" t="s">
        <v>417</v>
      </c>
      <c r="B414" s="25">
        <f>+Municipios!Z415</f>
        <v>58.998473065474698</v>
      </c>
      <c r="C414" s="232">
        <v>25592</v>
      </c>
      <c r="D414" s="232" t="s">
        <v>1283</v>
      </c>
      <c r="E414" s="232" t="s">
        <v>461</v>
      </c>
      <c r="F414" s="232" t="s">
        <v>462</v>
      </c>
      <c r="G414" s="232" t="s">
        <v>1284</v>
      </c>
      <c r="K414" t="s">
        <v>2647</v>
      </c>
      <c r="L414" s="81">
        <f>+Municipios!AB415</f>
        <v>32.112866406228967</v>
      </c>
      <c r="M414" s="232">
        <v>25592</v>
      </c>
      <c r="N414" s="232" t="s">
        <v>1283</v>
      </c>
      <c r="O414" s="232" t="s">
        <v>461</v>
      </c>
      <c r="P414" s="232" t="s">
        <v>462</v>
      </c>
      <c r="Q414" s="232" t="s">
        <v>1284</v>
      </c>
      <c r="T414" t="s">
        <v>2803</v>
      </c>
      <c r="U414" s="25">
        <f>+Municipios!Z415</f>
        <v>58.998473065474698</v>
      </c>
      <c r="V414" s="232">
        <v>25592</v>
      </c>
      <c r="W414" s="232" t="s">
        <v>1283</v>
      </c>
      <c r="X414" s="232" t="s">
        <v>461</v>
      </c>
      <c r="Y414" s="232" t="s">
        <v>462</v>
      </c>
      <c r="Z414" s="232" t="s">
        <v>1284</v>
      </c>
    </row>
    <row r="415" spans="1:26">
      <c r="A415" t="s">
        <v>417</v>
      </c>
      <c r="B415" s="25">
        <f>+Municipios!Z416</f>
        <v>70.104179508025226</v>
      </c>
      <c r="C415" s="232">
        <v>25513</v>
      </c>
      <c r="D415" s="232" t="s">
        <v>1285</v>
      </c>
      <c r="E415" s="232" t="s">
        <v>461</v>
      </c>
      <c r="F415" s="232" t="s">
        <v>462</v>
      </c>
      <c r="G415" s="232" t="s">
        <v>1286</v>
      </c>
      <c r="K415" t="s">
        <v>2647</v>
      </c>
      <c r="L415" s="81">
        <f>+Municipios!AB416</f>
        <v>38.187071935608401</v>
      </c>
      <c r="M415" s="232">
        <v>25513</v>
      </c>
      <c r="N415" s="232" t="s">
        <v>1285</v>
      </c>
      <c r="O415" s="232" t="s">
        <v>461</v>
      </c>
      <c r="P415" s="232" t="s">
        <v>462</v>
      </c>
      <c r="Q415" s="232" t="s">
        <v>1286</v>
      </c>
      <c r="T415" t="s">
        <v>2803</v>
      </c>
      <c r="U415" s="25">
        <f>+Municipios!Z416</f>
        <v>70.104179508025226</v>
      </c>
      <c r="V415" s="232">
        <v>25513</v>
      </c>
      <c r="W415" s="232" t="s">
        <v>1285</v>
      </c>
      <c r="X415" s="232" t="s">
        <v>461</v>
      </c>
      <c r="Y415" s="232" t="s">
        <v>462</v>
      </c>
      <c r="Z415" s="232" t="s">
        <v>1286</v>
      </c>
    </row>
    <row r="416" spans="1:26">
      <c r="A416" t="s">
        <v>417</v>
      </c>
      <c r="B416" s="25">
        <f>+Municipios!Z417</f>
        <v>54.910586925070348</v>
      </c>
      <c r="C416" s="232">
        <v>15664</v>
      </c>
      <c r="D416" s="232" t="s">
        <v>1287</v>
      </c>
      <c r="E416" s="232" t="s">
        <v>498</v>
      </c>
      <c r="F416" s="232" t="s">
        <v>499</v>
      </c>
      <c r="G416" s="232" t="s">
        <v>1288</v>
      </c>
      <c r="K416" t="s">
        <v>2647</v>
      </c>
      <c r="L416" s="81">
        <f>+Municipios!AB417</f>
        <v>29.712488163304336</v>
      </c>
      <c r="M416" s="232">
        <v>15664</v>
      </c>
      <c r="N416" s="232" t="s">
        <v>1287</v>
      </c>
      <c r="O416" s="232" t="s">
        <v>498</v>
      </c>
      <c r="P416" s="232" t="s">
        <v>499</v>
      </c>
      <c r="Q416" s="232" t="s">
        <v>1288</v>
      </c>
      <c r="T416" t="s">
        <v>2803</v>
      </c>
      <c r="U416" s="25">
        <f>+Municipios!Z417</f>
        <v>54.910586925070348</v>
      </c>
      <c r="V416" s="232">
        <v>15664</v>
      </c>
      <c r="W416" s="232" t="s">
        <v>1287</v>
      </c>
      <c r="X416" s="232" t="s">
        <v>498</v>
      </c>
      <c r="Y416" s="232" t="s">
        <v>499</v>
      </c>
      <c r="Z416" s="232" t="s">
        <v>1288</v>
      </c>
    </row>
    <row r="417" spans="1:26">
      <c r="A417" t="s">
        <v>417</v>
      </c>
      <c r="B417" s="25">
        <f>+Municipios!Z418</f>
        <v>51.002963442979748</v>
      </c>
      <c r="C417" s="232">
        <v>44098</v>
      </c>
      <c r="D417" s="232" t="s">
        <v>1289</v>
      </c>
      <c r="E417" s="232" t="s">
        <v>933</v>
      </c>
      <c r="F417" s="232" t="s">
        <v>934</v>
      </c>
      <c r="G417" s="232" t="s">
        <v>1290</v>
      </c>
      <c r="K417" t="s">
        <v>2647</v>
      </c>
      <c r="L417" s="81">
        <f>+Municipios!AB418</f>
        <v>27.816535707434277</v>
      </c>
      <c r="M417" s="232">
        <v>44098</v>
      </c>
      <c r="N417" s="232" t="s">
        <v>1289</v>
      </c>
      <c r="O417" s="232" t="s">
        <v>933</v>
      </c>
      <c r="P417" s="232" t="s">
        <v>934</v>
      </c>
      <c r="Q417" s="232" t="s">
        <v>1290</v>
      </c>
      <c r="T417" t="s">
        <v>2803</v>
      </c>
      <c r="U417" s="25">
        <f>+Municipios!Z418</f>
        <v>51.002963442979748</v>
      </c>
      <c r="V417" s="232">
        <v>44098</v>
      </c>
      <c r="W417" s="232" t="s">
        <v>1289</v>
      </c>
      <c r="X417" s="232" t="s">
        <v>933</v>
      </c>
      <c r="Y417" s="232" t="s">
        <v>934</v>
      </c>
      <c r="Z417" s="232" t="s">
        <v>1290</v>
      </c>
    </row>
    <row r="418" spans="1:26">
      <c r="A418" t="s">
        <v>417</v>
      </c>
      <c r="B418" s="25">
        <f>+Municipios!Z419</f>
        <v>62.453534669997353</v>
      </c>
      <c r="C418" s="232">
        <v>41132</v>
      </c>
      <c r="D418" s="232" t="s">
        <v>1291</v>
      </c>
      <c r="E418" s="232" t="s">
        <v>676</v>
      </c>
      <c r="F418" s="232" t="s">
        <v>677</v>
      </c>
      <c r="G418" s="232" t="s">
        <v>1292</v>
      </c>
      <c r="K418" t="s">
        <v>2647</v>
      </c>
      <c r="L418" s="81">
        <f>+Municipios!AB419</f>
        <v>34.069531001442648</v>
      </c>
      <c r="M418" s="232">
        <v>41132</v>
      </c>
      <c r="N418" s="232" t="s">
        <v>1291</v>
      </c>
      <c r="O418" s="232" t="s">
        <v>676</v>
      </c>
      <c r="P418" s="232" t="s">
        <v>677</v>
      </c>
      <c r="Q418" s="232" t="s">
        <v>1292</v>
      </c>
      <c r="T418" t="s">
        <v>2803</v>
      </c>
      <c r="U418" s="25">
        <f>+Municipios!Z419</f>
        <v>62.453534669997353</v>
      </c>
      <c r="V418" s="232">
        <v>41132</v>
      </c>
      <c r="W418" s="232" t="s">
        <v>1291</v>
      </c>
      <c r="X418" s="232" t="s">
        <v>676</v>
      </c>
      <c r="Y418" s="232" t="s">
        <v>677</v>
      </c>
      <c r="Z418" s="232" t="s">
        <v>1292</v>
      </c>
    </row>
    <row r="419" spans="1:26">
      <c r="A419" t="s">
        <v>417</v>
      </c>
      <c r="B419" s="25">
        <f>+Municipios!Z420</f>
        <v>64.38664405578163</v>
      </c>
      <c r="C419" s="232">
        <v>76233</v>
      </c>
      <c r="D419" s="232" t="s">
        <v>1293</v>
      </c>
      <c r="E419" s="232" t="s">
        <v>454</v>
      </c>
      <c r="F419" s="232" t="s">
        <v>455</v>
      </c>
      <c r="G419" s="232" t="s">
        <v>1294</v>
      </c>
      <c r="K419" t="s">
        <v>2647</v>
      </c>
      <c r="L419" s="81">
        <f>+Municipios!AB420</f>
        <v>35.093957186796843</v>
      </c>
      <c r="M419" s="232">
        <v>76233</v>
      </c>
      <c r="N419" s="232" t="s">
        <v>1293</v>
      </c>
      <c r="O419" s="232" t="s">
        <v>454</v>
      </c>
      <c r="P419" s="232" t="s">
        <v>455</v>
      </c>
      <c r="Q419" s="232" t="s">
        <v>1294</v>
      </c>
      <c r="T419" t="s">
        <v>2803</v>
      </c>
      <c r="U419" s="25">
        <f>+Municipios!Z420</f>
        <v>64.38664405578163</v>
      </c>
      <c r="V419" s="232">
        <v>76233</v>
      </c>
      <c r="W419" s="232" t="s">
        <v>1293</v>
      </c>
      <c r="X419" s="232" t="s">
        <v>454</v>
      </c>
      <c r="Y419" s="232" t="s">
        <v>455</v>
      </c>
      <c r="Z419" s="232" t="s">
        <v>1294</v>
      </c>
    </row>
    <row r="420" spans="1:26">
      <c r="A420" t="s">
        <v>417</v>
      </c>
      <c r="B420" s="25">
        <f>+Municipios!Z421</f>
        <v>64.012547356491893</v>
      </c>
      <c r="C420" s="232">
        <v>5154</v>
      </c>
      <c r="D420" s="232" t="s">
        <v>1295</v>
      </c>
      <c r="E420" s="232" t="s">
        <v>435</v>
      </c>
      <c r="F420" s="232" t="s">
        <v>436</v>
      </c>
      <c r="G420" s="232" t="s">
        <v>1296</v>
      </c>
      <c r="K420" t="s">
        <v>2647</v>
      </c>
      <c r="L420" s="81">
        <f>+Municipios!AB421</f>
        <v>34.93137644183436</v>
      </c>
      <c r="M420" s="232">
        <v>5154</v>
      </c>
      <c r="N420" s="232" t="s">
        <v>1295</v>
      </c>
      <c r="O420" s="232" t="s">
        <v>435</v>
      </c>
      <c r="P420" s="232" t="s">
        <v>436</v>
      </c>
      <c r="Q420" s="232" t="s">
        <v>1296</v>
      </c>
      <c r="T420" t="s">
        <v>2803</v>
      </c>
      <c r="U420" s="25">
        <f>+Municipios!Z421</f>
        <v>64.012547356491893</v>
      </c>
      <c r="V420" s="232">
        <v>5154</v>
      </c>
      <c r="W420" s="232" t="s">
        <v>1295</v>
      </c>
      <c r="X420" s="232" t="s">
        <v>435</v>
      </c>
      <c r="Y420" s="232" t="s">
        <v>436</v>
      </c>
      <c r="Z420" s="232" t="s">
        <v>1296</v>
      </c>
    </row>
    <row r="421" spans="1:26">
      <c r="A421" t="s">
        <v>417</v>
      </c>
      <c r="B421" s="25">
        <f>+Municipios!Z422</f>
        <v>64.34438432514402</v>
      </c>
      <c r="C421" s="232">
        <v>41396</v>
      </c>
      <c r="D421" s="232" t="s">
        <v>1297</v>
      </c>
      <c r="E421" s="232" t="s">
        <v>676</v>
      </c>
      <c r="F421" s="232" t="s">
        <v>677</v>
      </c>
      <c r="G421" s="232" t="s">
        <v>1298</v>
      </c>
      <c r="K421" t="s">
        <v>2647</v>
      </c>
      <c r="L421" s="81">
        <f>+Municipios!AB422</f>
        <v>35.055493578654747</v>
      </c>
      <c r="M421" s="232">
        <v>41396</v>
      </c>
      <c r="N421" s="232" t="s">
        <v>1297</v>
      </c>
      <c r="O421" s="232" t="s">
        <v>676</v>
      </c>
      <c r="P421" s="232" t="s">
        <v>677</v>
      </c>
      <c r="Q421" s="232" t="s">
        <v>1298</v>
      </c>
      <c r="T421" t="s">
        <v>2803</v>
      </c>
      <c r="U421" s="25">
        <f>+Municipios!Z422</f>
        <v>64.34438432514402</v>
      </c>
      <c r="V421" s="232">
        <v>41396</v>
      </c>
      <c r="W421" s="232" t="s">
        <v>1297</v>
      </c>
      <c r="X421" s="232" t="s">
        <v>676</v>
      </c>
      <c r="Y421" s="232" t="s">
        <v>677</v>
      </c>
      <c r="Z421" s="232" t="s">
        <v>1298</v>
      </c>
    </row>
    <row r="422" spans="1:26">
      <c r="A422" t="s">
        <v>417</v>
      </c>
      <c r="B422" s="25">
        <f>+Municipios!Z423</f>
        <v>52.072190612651042</v>
      </c>
      <c r="C422" s="232">
        <v>86219</v>
      </c>
      <c r="D422" s="232" t="s">
        <v>1299</v>
      </c>
      <c r="E422" s="232" t="s">
        <v>943</v>
      </c>
      <c r="F422" s="232" t="s">
        <v>944</v>
      </c>
      <c r="G422" s="232" t="s">
        <v>1040</v>
      </c>
      <c r="K422" t="s">
        <v>2647</v>
      </c>
      <c r="L422" s="81">
        <f>+Municipios!AB423</f>
        <v>28.334934563889316</v>
      </c>
      <c r="M422" s="232">
        <v>86219</v>
      </c>
      <c r="N422" s="232" t="s">
        <v>1299</v>
      </c>
      <c r="O422" s="232" t="s">
        <v>943</v>
      </c>
      <c r="P422" s="232" t="s">
        <v>944</v>
      </c>
      <c r="Q422" s="232" t="s">
        <v>1040</v>
      </c>
      <c r="T422" t="s">
        <v>2803</v>
      </c>
      <c r="U422" s="25">
        <f>+Municipios!Z423</f>
        <v>52.072190612651042</v>
      </c>
      <c r="V422" s="232">
        <v>86219</v>
      </c>
      <c r="W422" s="232" t="s">
        <v>1299</v>
      </c>
      <c r="X422" s="232" t="s">
        <v>943</v>
      </c>
      <c r="Y422" s="232" t="s">
        <v>944</v>
      </c>
      <c r="Z422" s="232" t="s">
        <v>1040</v>
      </c>
    </row>
    <row r="423" spans="1:26">
      <c r="A423" t="s">
        <v>417</v>
      </c>
      <c r="B423" s="25">
        <f>+Municipios!Z424</f>
        <v>51.608806624404508</v>
      </c>
      <c r="C423" s="232">
        <v>66075</v>
      </c>
      <c r="D423" s="232" t="s">
        <v>1300</v>
      </c>
      <c r="E423" s="232" t="s">
        <v>467</v>
      </c>
      <c r="F423" s="232" t="s">
        <v>468</v>
      </c>
      <c r="G423" s="232" t="s">
        <v>1301</v>
      </c>
      <c r="K423" t="s">
        <v>2647</v>
      </c>
      <c r="L423" s="81">
        <f>+Municipios!AB424</f>
        <v>28.075649129859425</v>
      </c>
      <c r="M423" s="232">
        <v>66075</v>
      </c>
      <c r="N423" s="232" t="s">
        <v>1300</v>
      </c>
      <c r="O423" s="232" t="s">
        <v>467</v>
      </c>
      <c r="P423" s="232" t="s">
        <v>468</v>
      </c>
      <c r="Q423" s="232" t="s">
        <v>1301</v>
      </c>
      <c r="T423" t="s">
        <v>2803</v>
      </c>
      <c r="U423" s="25">
        <f>+Municipios!Z424</f>
        <v>51.608806624404508</v>
      </c>
      <c r="V423" s="232">
        <v>66075</v>
      </c>
      <c r="W423" s="232" t="s">
        <v>1300</v>
      </c>
      <c r="X423" s="232" t="s">
        <v>467</v>
      </c>
      <c r="Y423" s="232" t="s">
        <v>468</v>
      </c>
      <c r="Z423" s="232" t="s">
        <v>1301</v>
      </c>
    </row>
    <row r="424" spans="1:26">
      <c r="A424" t="s">
        <v>417</v>
      </c>
      <c r="B424" s="25">
        <f>+Municipios!Z425</f>
        <v>59.023275820306083</v>
      </c>
      <c r="C424" s="232">
        <v>5887</v>
      </c>
      <c r="D424" s="232" t="s">
        <v>1302</v>
      </c>
      <c r="E424" s="232" t="s">
        <v>435</v>
      </c>
      <c r="F424" s="232" t="s">
        <v>436</v>
      </c>
      <c r="G424" s="232" t="s">
        <v>1303</v>
      </c>
      <c r="K424" t="s">
        <v>2647</v>
      </c>
      <c r="L424" s="81">
        <f>+Municipios!AB425</f>
        <v>32.27005460353304</v>
      </c>
      <c r="M424" s="232">
        <v>5887</v>
      </c>
      <c r="N424" s="232" t="s">
        <v>1302</v>
      </c>
      <c r="O424" s="232" t="s">
        <v>435</v>
      </c>
      <c r="P424" s="232" t="s">
        <v>436</v>
      </c>
      <c r="Q424" s="232" t="s">
        <v>1303</v>
      </c>
      <c r="T424" t="s">
        <v>2803</v>
      </c>
      <c r="U424" s="25">
        <f>+Municipios!Z425</f>
        <v>59.023275820306083</v>
      </c>
      <c r="V424" s="232">
        <v>5887</v>
      </c>
      <c r="W424" s="232" t="s">
        <v>1302</v>
      </c>
      <c r="X424" s="232" t="s">
        <v>435</v>
      </c>
      <c r="Y424" s="232" t="s">
        <v>436</v>
      </c>
      <c r="Z424" s="232" t="s">
        <v>1303</v>
      </c>
    </row>
    <row r="425" spans="1:26">
      <c r="A425" t="s">
        <v>417</v>
      </c>
      <c r="B425" s="25">
        <f>+Municipios!Z426</f>
        <v>47.368043426363485</v>
      </c>
      <c r="C425" s="232">
        <v>70713</v>
      </c>
      <c r="D425" s="232" t="s">
        <v>1304</v>
      </c>
      <c r="E425" s="232" t="s">
        <v>494</v>
      </c>
      <c r="F425" s="232" t="s">
        <v>495</v>
      </c>
      <c r="G425" s="232" t="s">
        <v>1305</v>
      </c>
      <c r="K425" t="s">
        <v>2647</v>
      </c>
      <c r="L425" s="81">
        <f>+Municipios!AB426</f>
        <v>25.73245760829623</v>
      </c>
      <c r="M425" s="232">
        <v>70713</v>
      </c>
      <c r="N425" s="232" t="s">
        <v>1304</v>
      </c>
      <c r="O425" s="232" t="s">
        <v>494</v>
      </c>
      <c r="P425" s="232" t="s">
        <v>495</v>
      </c>
      <c r="Q425" s="232" t="s">
        <v>1305</v>
      </c>
      <c r="T425" t="s">
        <v>2803</v>
      </c>
      <c r="U425" s="25">
        <f>+Municipios!Z426</f>
        <v>47.368043426363485</v>
      </c>
      <c r="V425" s="232">
        <v>70713</v>
      </c>
      <c r="W425" s="232" t="s">
        <v>1304</v>
      </c>
      <c r="X425" s="232" t="s">
        <v>494</v>
      </c>
      <c r="Y425" s="232" t="s">
        <v>495</v>
      </c>
      <c r="Z425" s="232" t="s">
        <v>1305</v>
      </c>
    </row>
    <row r="426" spans="1:26">
      <c r="A426" t="s">
        <v>417</v>
      </c>
      <c r="B426" s="25">
        <f>+Municipios!Z427</f>
        <v>60.98614060367391</v>
      </c>
      <c r="C426" s="232">
        <v>73585</v>
      </c>
      <c r="D426" s="232" t="s">
        <v>1306</v>
      </c>
      <c r="E426" s="232" t="s">
        <v>595</v>
      </c>
      <c r="F426" s="232" t="s">
        <v>596</v>
      </c>
      <c r="G426" s="232" t="s">
        <v>1307</v>
      </c>
      <c r="K426" t="s">
        <v>2647</v>
      </c>
      <c r="L426" s="81">
        <f>+Municipios!AB427</f>
        <v>33.106465181771235</v>
      </c>
      <c r="M426" s="232">
        <v>73585</v>
      </c>
      <c r="N426" s="232" t="s">
        <v>1306</v>
      </c>
      <c r="O426" s="232" t="s">
        <v>595</v>
      </c>
      <c r="P426" s="232" t="s">
        <v>596</v>
      </c>
      <c r="Q426" s="232" t="s">
        <v>1307</v>
      </c>
      <c r="T426" t="s">
        <v>2803</v>
      </c>
      <c r="U426" s="25">
        <f>+Municipios!Z427</f>
        <v>60.98614060367391</v>
      </c>
      <c r="V426" s="232">
        <v>73585</v>
      </c>
      <c r="W426" s="232" t="s">
        <v>1306</v>
      </c>
      <c r="X426" s="232" t="s">
        <v>595</v>
      </c>
      <c r="Y426" s="232" t="s">
        <v>596</v>
      </c>
      <c r="Z426" s="232" t="s">
        <v>1307</v>
      </c>
    </row>
    <row r="427" spans="1:26">
      <c r="A427" t="s">
        <v>417</v>
      </c>
      <c r="B427" s="25">
        <f>+Municipios!Z428</f>
        <v>48.0652141886207</v>
      </c>
      <c r="C427" s="232">
        <v>13062</v>
      </c>
      <c r="D427" s="232" t="s">
        <v>1308</v>
      </c>
      <c r="E427" s="232" t="s">
        <v>480</v>
      </c>
      <c r="F427" s="232" t="s">
        <v>481</v>
      </c>
      <c r="G427" s="232" t="s">
        <v>1309</v>
      </c>
      <c r="K427" t="s">
        <v>2647</v>
      </c>
      <c r="L427" s="81">
        <f>+Municipios!AB428</f>
        <v>26.075601908268357</v>
      </c>
      <c r="M427" s="232">
        <v>13062</v>
      </c>
      <c r="N427" s="232" t="s">
        <v>1308</v>
      </c>
      <c r="O427" s="232" t="s">
        <v>480</v>
      </c>
      <c r="P427" s="232" t="s">
        <v>481</v>
      </c>
      <c r="Q427" s="232" t="s">
        <v>1309</v>
      </c>
      <c r="T427" t="s">
        <v>2803</v>
      </c>
      <c r="U427" s="25">
        <f>+Municipios!Z428</f>
        <v>48.0652141886207</v>
      </c>
      <c r="V427" s="232">
        <v>13062</v>
      </c>
      <c r="W427" s="232" t="s">
        <v>1308</v>
      </c>
      <c r="X427" s="232" t="s">
        <v>480</v>
      </c>
      <c r="Y427" s="232" t="s">
        <v>481</v>
      </c>
      <c r="Z427" s="232" t="s">
        <v>1309</v>
      </c>
    </row>
    <row r="428" spans="1:26">
      <c r="A428" t="s">
        <v>417</v>
      </c>
      <c r="B428" s="25">
        <f>+Municipios!Z429</f>
        <v>62.886031138227345</v>
      </c>
      <c r="C428" s="232">
        <v>68533</v>
      </c>
      <c r="D428" s="232" t="s">
        <v>1310</v>
      </c>
      <c r="E428" s="232" t="s">
        <v>431</v>
      </c>
      <c r="F428" s="232" t="s">
        <v>432</v>
      </c>
      <c r="G428" s="232" t="s">
        <v>1311</v>
      </c>
      <c r="K428" t="s">
        <v>2647</v>
      </c>
      <c r="L428" s="81">
        <f>+Municipios!AB429</f>
        <v>34.326368683021997</v>
      </c>
      <c r="M428" s="232">
        <v>68533</v>
      </c>
      <c r="N428" s="232" t="s">
        <v>1310</v>
      </c>
      <c r="O428" s="232" t="s">
        <v>431</v>
      </c>
      <c r="P428" s="232" t="s">
        <v>432</v>
      </c>
      <c r="Q428" s="232" t="s">
        <v>1311</v>
      </c>
      <c r="T428" t="s">
        <v>2803</v>
      </c>
      <c r="U428" s="25">
        <f>+Municipios!Z429</f>
        <v>62.886031138227345</v>
      </c>
      <c r="V428" s="232">
        <v>68533</v>
      </c>
      <c r="W428" s="232" t="s">
        <v>1310</v>
      </c>
      <c r="X428" s="232" t="s">
        <v>431</v>
      </c>
      <c r="Y428" s="232" t="s">
        <v>432</v>
      </c>
      <c r="Z428" s="232" t="s">
        <v>1311</v>
      </c>
    </row>
    <row r="429" spans="1:26">
      <c r="A429" t="s">
        <v>417</v>
      </c>
      <c r="B429" s="25">
        <f>+Municipios!Z430</f>
        <v>65.405779982974877</v>
      </c>
      <c r="C429" s="232">
        <v>15753</v>
      </c>
      <c r="D429" s="232" t="s">
        <v>1312</v>
      </c>
      <c r="E429" s="232" t="s">
        <v>498</v>
      </c>
      <c r="F429" s="232" t="s">
        <v>499</v>
      </c>
      <c r="G429" s="232" t="s">
        <v>1313</v>
      </c>
      <c r="K429" t="s">
        <v>2647</v>
      </c>
      <c r="L429" s="81">
        <f>+Municipios!AB430</f>
        <v>35.475149216054554</v>
      </c>
      <c r="M429" s="232">
        <v>15753</v>
      </c>
      <c r="N429" s="232" t="s">
        <v>1312</v>
      </c>
      <c r="O429" s="232" t="s">
        <v>498</v>
      </c>
      <c r="P429" s="232" t="s">
        <v>499</v>
      </c>
      <c r="Q429" s="232" t="s">
        <v>1313</v>
      </c>
      <c r="T429" t="s">
        <v>2803</v>
      </c>
      <c r="U429" s="25">
        <f>+Municipios!Z430</f>
        <v>65.405779982974877</v>
      </c>
      <c r="V429" s="232">
        <v>15753</v>
      </c>
      <c r="W429" s="232" t="s">
        <v>1312</v>
      </c>
      <c r="X429" s="232" t="s">
        <v>498</v>
      </c>
      <c r="Y429" s="232" t="s">
        <v>499</v>
      </c>
      <c r="Z429" s="232" t="s">
        <v>1313</v>
      </c>
    </row>
    <row r="430" spans="1:26">
      <c r="A430" t="s">
        <v>417</v>
      </c>
      <c r="B430" s="25">
        <f>+Municipios!Z431</f>
        <v>58.87284838073532</v>
      </c>
      <c r="C430" s="232">
        <v>15762</v>
      </c>
      <c r="D430" s="232" t="s">
        <v>1314</v>
      </c>
      <c r="E430" s="232" t="s">
        <v>498</v>
      </c>
      <c r="F430" s="232" t="s">
        <v>499</v>
      </c>
      <c r="G430" s="232" t="s">
        <v>1315</v>
      </c>
      <c r="K430" t="s">
        <v>2647</v>
      </c>
      <c r="L430" s="81">
        <f>+Municipios!AB431</f>
        <v>31.831554894988038</v>
      </c>
      <c r="M430" s="232">
        <v>15762</v>
      </c>
      <c r="N430" s="232" t="s">
        <v>1314</v>
      </c>
      <c r="O430" s="232" t="s">
        <v>498</v>
      </c>
      <c r="P430" s="232" t="s">
        <v>499</v>
      </c>
      <c r="Q430" s="232" t="s">
        <v>1315</v>
      </c>
      <c r="T430" t="s">
        <v>2803</v>
      </c>
      <c r="U430" s="25">
        <f>+Municipios!Z431</f>
        <v>58.87284838073532</v>
      </c>
      <c r="V430" s="232">
        <v>15762</v>
      </c>
      <c r="W430" s="232" t="s">
        <v>1314</v>
      </c>
      <c r="X430" s="232" t="s">
        <v>498</v>
      </c>
      <c r="Y430" s="232" t="s">
        <v>499</v>
      </c>
      <c r="Z430" s="232" t="s">
        <v>1315</v>
      </c>
    </row>
    <row r="431" spans="1:26">
      <c r="A431" t="s">
        <v>417</v>
      </c>
      <c r="B431" s="25">
        <f>+Municipios!Z432</f>
        <v>49.028574956810608</v>
      </c>
      <c r="C431" s="232">
        <v>41503</v>
      </c>
      <c r="D431" s="232" t="s">
        <v>1316</v>
      </c>
      <c r="E431" s="232" t="s">
        <v>676</v>
      </c>
      <c r="F431" s="232" t="s">
        <v>677</v>
      </c>
      <c r="G431" s="232" t="s">
        <v>1317</v>
      </c>
      <c r="K431" t="s">
        <v>2647</v>
      </c>
      <c r="L431" s="81">
        <f>+Municipios!AB432</f>
        <v>26.48198594815408</v>
      </c>
      <c r="M431" s="232">
        <v>41503</v>
      </c>
      <c r="N431" s="232" t="s">
        <v>1316</v>
      </c>
      <c r="O431" s="232" t="s">
        <v>676</v>
      </c>
      <c r="P431" s="232" t="s">
        <v>677</v>
      </c>
      <c r="Q431" s="232" t="s">
        <v>1317</v>
      </c>
      <c r="T431" t="s">
        <v>2803</v>
      </c>
      <c r="U431" s="25">
        <f>+Municipios!Z432</f>
        <v>49.028574956810608</v>
      </c>
      <c r="V431" s="232">
        <v>41503</v>
      </c>
      <c r="W431" s="232" t="s">
        <v>1316</v>
      </c>
      <c r="X431" s="232" t="s">
        <v>676</v>
      </c>
      <c r="Y431" s="232" t="s">
        <v>677</v>
      </c>
      <c r="Z431" s="232" t="s">
        <v>1317</v>
      </c>
    </row>
    <row r="432" spans="1:26">
      <c r="A432" t="s">
        <v>417</v>
      </c>
      <c r="B432" s="25">
        <f>+Municipios!Z433</f>
        <v>48.725199376678887</v>
      </c>
      <c r="C432" s="232">
        <v>23574</v>
      </c>
      <c r="D432" s="232" t="s">
        <v>1318</v>
      </c>
      <c r="E432" s="232" t="s">
        <v>567</v>
      </c>
      <c r="F432" s="232" t="s">
        <v>568</v>
      </c>
      <c r="G432" s="232" t="s">
        <v>1319</v>
      </c>
      <c r="K432" t="s">
        <v>2647</v>
      </c>
      <c r="L432" s="81">
        <f>+Municipios!AB433</f>
        <v>26.360453831033549</v>
      </c>
      <c r="M432" s="232">
        <v>23574</v>
      </c>
      <c r="N432" s="232" t="s">
        <v>1318</v>
      </c>
      <c r="O432" s="232" t="s">
        <v>567</v>
      </c>
      <c r="P432" s="232" t="s">
        <v>568</v>
      </c>
      <c r="Q432" s="232" t="s">
        <v>1319</v>
      </c>
      <c r="T432" t="s">
        <v>2803</v>
      </c>
      <c r="U432" s="25">
        <f>+Municipios!Z433</f>
        <v>48.725199376678887</v>
      </c>
      <c r="V432" s="232">
        <v>23574</v>
      </c>
      <c r="W432" s="232" t="s">
        <v>1318</v>
      </c>
      <c r="X432" s="232" t="s">
        <v>567</v>
      </c>
      <c r="Y432" s="232" t="s">
        <v>568</v>
      </c>
      <c r="Z432" s="232" t="s">
        <v>1319</v>
      </c>
    </row>
    <row r="433" spans="1:26">
      <c r="A433" t="s">
        <v>417</v>
      </c>
      <c r="B433" s="25">
        <f>+Municipios!Z434</f>
        <v>51.988932511874864</v>
      </c>
      <c r="C433" s="232">
        <v>41548</v>
      </c>
      <c r="D433" s="232" t="s">
        <v>1320</v>
      </c>
      <c r="E433" s="232" t="s">
        <v>676</v>
      </c>
      <c r="F433" s="232" t="s">
        <v>677</v>
      </c>
      <c r="G433" s="232" t="s">
        <v>1321</v>
      </c>
      <c r="K433" t="s">
        <v>2647</v>
      </c>
      <c r="L433" s="81">
        <f>+Municipios!AB434</f>
        <v>28.120534822565698</v>
      </c>
      <c r="M433" s="232">
        <v>41548</v>
      </c>
      <c r="N433" s="232" t="s">
        <v>1320</v>
      </c>
      <c r="O433" s="232" t="s">
        <v>676</v>
      </c>
      <c r="P433" s="232" t="s">
        <v>677</v>
      </c>
      <c r="Q433" s="232" t="s">
        <v>1321</v>
      </c>
      <c r="T433" t="s">
        <v>2803</v>
      </c>
      <c r="U433" s="25">
        <f>+Municipios!Z434</f>
        <v>51.988932511874864</v>
      </c>
      <c r="V433" s="232">
        <v>41548</v>
      </c>
      <c r="W433" s="232" t="s">
        <v>1320</v>
      </c>
      <c r="X433" s="232" t="s">
        <v>676</v>
      </c>
      <c r="Y433" s="232" t="s">
        <v>677</v>
      </c>
      <c r="Z433" s="232" t="s">
        <v>1321</v>
      </c>
    </row>
    <row r="434" spans="1:26">
      <c r="A434" t="s">
        <v>417</v>
      </c>
      <c r="B434" s="25">
        <f>+Municipios!Z435</f>
        <v>58.530895054925054</v>
      </c>
      <c r="C434" s="232">
        <v>41319</v>
      </c>
      <c r="D434" s="232" t="s">
        <v>1322</v>
      </c>
      <c r="E434" s="232" t="s">
        <v>676</v>
      </c>
      <c r="F434" s="232" t="s">
        <v>677</v>
      </c>
      <c r="G434" s="232" t="s">
        <v>1323</v>
      </c>
      <c r="K434" t="s">
        <v>2647</v>
      </c>
      <c r="L434" s="81">
        <f>+Municipios!AB435</f>
        <v>31.662690705780996</v>
      </c>
      <c r="M434" s="232">
        <v>41319</v>
      </c>
      <c r="N434" s="232" t="s">
        <v>1322</v>
      </c>
      <c r="O434" s="232" t="s">
        <v>676</v>
      </c>
      <c r="P434" s="232" t="s">
        <v>677</v>
      </c>
      <c r="Q434" s="232" t="s">
        <v>1323</v>
      </c>
      <c r="T434" t="s">
        <v>2803</v>
      </c>
      <c r="U434" s="25">
        <f>+Municipios!Z435</f>
        <v>58.530895054925054</v>
      </c>
      <c r="V434" s="232">
        <v>41319</v>
      </c>
      <c r="W434" s="232" t="s">
        <v>1322</v>
      </c>
      <c r="X434" s="232" t="s">
        <v>676</v>
      </c>
      <c r="Y434" s="232" t="s">
        <v>677</v>
      </c>
      <c r="Z434" s="232" t="s">
        <v>1323</v>
      </c>
    </row>
    <row r="435" spans="1:26">
      <c r="A435" t="s">
        <v>417</v>
      </c>
      <c r="B435" s="25">
        <f>+Municipios!Z436</f>
        <v>66.034831012703222</v>
      </c>
      <c r="C435" s="232">
        <v>19622</v>
      </c>
      <c r="D435" s="232" t="s">
        <v>1324</v>
      </c>
      <c r="E435" s="232" t="s">
        <v>557</v>
      </c>
      <c r="F435" s="232" t="s">
        <v>558</v>
      </c>
      <c r="G435" s="232" t="s">
        <v>1325</v>
      </c>
      <c r="K435" t="s">
        <v>2647</v>
      </c>
      <c r="L435" s="81">
        <f>+Municipios!AB436</f>
        <v>35.668234498847561</v>
      </c>
      <c r="M435" s="232">
        <v>19622</v>
      </c>
      <c r="N435" s="232" t="s">
        <v>1324</v>
      </c>
      <c r="O435" s="232" t="s">
        <v>557</v>
      </c>
      <c r="P435" s="232" t="s">
        <v>558</v>
      </c>
      <c r="Q435" s="232" t="s">
        <v>1325</v>
      </c>
      <c r="T435" t="s">
        <v>2803</v>
      </c>
      <c r="U435" s="25">
        <f>+Municipios!Z436</f>
        <v>66.034831012703222</v>
      </c>
      <c r="V435" s="232">
        <v>19622</v>
      </c>
      <c r="W435" s="232" t="s">
        <v>1324</v>
      </c>
      <c r="X435" s="232" t="s">
        <v>557</v>
      </c>
      <c r="Y435" s="232" t="s">
        <v>558</v>
      </c>
      <c r="Z435" s="232" t="s">
        <v>1325</v>
      </c>
    </row>
    <row r="436" spans="1:26">
      <c r="A436" t="s">
        <v>417</v>
      </c>
      <c r="B436" s="25">
        <f>+Municipios!Z437</f>
        <v>65.812284880166104</v>
      </c>
      <c r="C436" s="232">
        <v>25488</v>
      </c>
      <c r="D436" s="232" t="s">
        <v>1326</v>
      </c>
      <c r="E436" s="232" t="s">
        <v>461</v>
      </c>
      <c r="F436" s="232" t="s">
        <v>462</v>
      </c>
      <c r="G436" s="232" t="s">
        <v>1327</v>
      </c>
      <c r="K436" t="s">
        <v>2647</v>
      </c>
      <c r="L436" s="81">
        <f>+Municipios!AB437</f>
        <v>35.532394443989439</v>
      </c>
      <c r="M436" s="232">
        <v>25488</v>
      </c>
      <c r="N436" s="232" t="s">
        <v>1326</v>
      </c>
      <c r="O436" s="232" t="s">
        <v>461</v>
      </c>
      <c r="P436" s="232" t="s">
        <v>462</v>
      </c>
      <c r="Q436" s="232" t="s">
        <v>1327</v>
      </c>
      <c r="T436" t="s">
        <v>2803</v>
      </c>
      <c r="U436" s="25">
        <f>+Municipios!Z437</f>
        <v>65.812284880166104</v>
      </c>
      <c r="V436" s="232">
        <v>25488</v>
      </c>
      <c r="W436" s="232" t="s">
        <v>1326</v>
      </c>
      <c r="X436" s="232" t="s">
        <v>461</v>
      </c>
      <c r="Y436" s="232" t="s">
        <v>462</v>
      </c>
      <c r="Z436" s="232" t="s">
        <v>1327</v>
      </c>
    </row>
    <row r="437" spans="1:26">
      <c r="A437" t="s">
        <v>417</v>
      </c>
      <c r="B437" s="25">
        <f>+Municipios!Z438</f>
        <v>47.614358427839917</v>
      </c>
      <c r="C437" s="232">
        <v>70708</v>
      </c>
      <c r="D437" s="232" t="s">
        <v>1328</v>
      </c>
      <c r="E437" s="232" t="s">
        <v>494</v>
      </c>
      <c r="F437" s="232" t="s">
        <v>495</v>
      </c>
      <c r="G437" s="232" t="s">
        <v>1329</v>
      </c>
      <c r="K437" t="s">
        <v>2647</v>
      </c>
      <c r="L437" s="81">
        <f>+Municipios!AB438</f>
        <v>25.715112732824299</v>
      </c>
      <c r="M437" s="232">
        <v>70708</v>
      </c>
      <c r="N437" s="232" t="s">
        <v>1328</v>
      </c>
      <c r="O437" s="232" t="s">
        <v>494</v>
      </c>
      <c r="P437" s="232" t="s">
        <v>495</v>
      </c>
      <c r="Q437" s="232" t="s">
        <v>1329</v>
      </c>
      <c r="T437" t="s">
        <v>2803</v>
      </c>
      <c r="U437" s="25">
        <f>+Municipios!Z438</f>
        <v>47.614358427839917</v>
      </c>
      <c r="V437" s="232">
        <v>70708</v>
      </c>
      <c r="W437" s="232" t="s">
        <v>1328</v>
      </c>
      <c r="X437" s="232" t="s">
        <v>494</v>
      </c>
      <c r="Y437" s="232" t="s">
        <v>495</v>
      </c>
      <c r="Z437" s="232" t="s">
        <v>1329</v>
      </c>
    </row>
    <row r="438" spans="1:26">
      <c r="A438" t="s">
        <v>417</v>
      </c>
      <c r="B438" s="25">
        <f>+Municipios!Z439</f>
        <v>57.889459753177562</v>
      </c>
      <c r="C438" s="232">
        <v>5690</v>
      </c>
      <c r="D438" s="232" t="s">
        <v>1330</v>
      </c>
      <c r="E438" s="232" t="s">
        <v>435</v>
      </c>
      <c r="F438" s="232" t="s">
        <v>436</v>
      </c>
      <c r="G438" s="232" t="s">
        <v>1331</v>
      </c>
      <c r="K438" t="s">
        <v>2647</v>
      </c>
      <c r="L438" s="81">
        <f>+Municipios!AB439</f>
        <v>31.485591328981865</v>
      </c>
      <c r="M438" s="232">
        <v>5690</v>
      </c>
      <c r="N438" s="232" t="s">
        <v>1330</v>
      </c>
      <c r="O438" s="232" t="s">
        <v>435</v>
      </c>
      <c r="P438" s="232" t="s">
        <v>436</v>
      </c>
      <c r="Q438" s="232" t="s">
        <v>1331</v>
      </c>
      <c r="T438" t="s">
        <v>2803</v>
      </c>
      <c r="U438" s="25">
        <f>+Municipios!Z439</f>
        <v>57.889459753177562</v>
      </c>
      <c r="V438" s="232">
        <v>5690</v>
      </c>
      <c r="W438" s="232" t="s">
        <v>1330</v>
      </c>
      <c r="X438" s="232" t="s">
        <v>435</v>
      </c>
      <c r="Y438" s="232" t="s">
        <v>436</v>
      </c>
      <c r="Z438" s="232" t="s">
        <v>1331</v>
      </c>
    </row>
    <row r="439" spans="1:26">
      <c r="A439" t="s">
        <v>417</v>
      </c>
      <c r="B439" s="25">
        <f>+Municipios!Z440</f>
        <v>67.789426289245981</v>
      </c>
      <c r="C439" s="232">
        <v>20400</v>
      </c>
      <c r="D439" s="232" t="s">
        <v>1332</v>
      </c>
      <c r="E439" s="232" t="s">
        <v>893</v>
      </c>
      <c r="F439" s="232" t="s">
        <v>894</v>
      </c>
      <c r="G439" s="232" t="s">
        <v>1333</v>
      </c>
      <c r="K439" t="s">
        <v>2647</v>
      </c>
      <c r="L439" s="81">
        <f>+Municipios!AB440</f>
        <v>36.630175467884285</v>
      </c>
      <c r="M439" s="232">
        <v>20400</v>
      </c>
      <c r="N439" s="232" t="s">
        <v>1332</v>
      </c>
      <c r="O439" s="232" t="s">
        <v>893</v>
      </c>
      <c r="P439" s="232" t="s">
        <v>894</v>
      </c>
      <c r="Q439" s="232" t="s">
        <v>1333</v>
      </c>
      <c r="T439" t="s">
        <v>2803</v>
      </c>
      <c r="U439" s="25">
        <f>+Municipios!Z440</f>
        <v>67.789426289245981</v>
      </c>
      <c r="V439" s="232">
        <v>20400</v>
      </c>
      <c r="W439" s="232" t="s">
        <v>1332</v>
      </c>
      <c r="X439" s="232" t="s">
        <v>893</v>
      </c>
      <c r="Y439" s="232" t="s">
        <v>894</v>
      </c>
      <c r="Z439" s="232" t="s">
        <v>1333</v>
      </c>
    </row>
    <row r="440" spans="1:26">
      <c r="A440" t="s">
        <v>417</v>
      </c>
      <c r="B440" s="25">
        <f>+Municipios!Z441</f>
        <v>50.771841932464802</v>
      </c>
      <c r="C440" s="232">
        <v>73352</v>
      </c>
      <c r="D440" s="232" t="s">
        <v>1334</v>
      </c>
      <c r="E440" s="232" t="s">
        <v>595</v>
      </c>
      <c r="F440" s="232" t="s">
        <v>596</v>
      </c>
      <c r="G440" s="232" t="s">
        <v>1335</v>
      </c>
      <c r="K440" t="s">
        <v>2647</v>
      </c>
      <c r="L440" s="81">
        <f>+Municipios!AB441</f>
        <v>27.367879309591768</v>
      </c>
      <c r="M440" s="232">
        <v>73352</v>
      </c>
      <c r="N440" s="232" t="s">
        <v>1334</v>
      </c>
      <c r="O440" s="232" t="s">
        <v>595</v>
      </c>
      <c r="P440" s="232" t="s">
        <v>596</v>
      </c>
      <c r="Q440" s="232" t="s">
        <v>1335</v>
      </c>
      <c r="T440" t="s">
        <v>2803</v>
      </c>
      <c r="U440" s="25">
        <f>+Municipios!Z441</f>
        <v>50.771841932464802</v>
      </c>
      <c r="V440" s="232">
        <v>73352</v>
      </c>
      <c r="W440" s="232" t="s">
        <v>1334</v>
      </c>
      <c r="X440" s="232" t="s">
        <v>595</v>
      </c>
      <c r="Y440" s="232" t="s">
        <v>596</v>
      </c>
      <c r="Z440" s="232" t="s">
        <v>1335</v>
      </c>
    </row>
    <row r="441" spans="1:26">
      <c r="A441" t="s">
        <v>417</v>
      </c>
      <c r="B441" s="25">
        <f>+Municipios!Z442</f>
        <v>58.435569468010399</v>
      </c>
      <c r="C441" s="232">
        <v>52356</v>
      </c>
      <c r="D441" s="232" t="s">
        <v>1336</v>
      </c>
      <c r="E441" s="232" t="s">
        <v>672</v>
      </c>
      <c r="F441" s="232" t="s">
        <v>673</v>
      </c>
      <c r="G441" s="232" t="s">
        <v>1337</v>
      </c>
      <c r="K441" t="s">
        <v>2647</v>
      </c>
      <c r="L441" s="81">
        <f>+Municipios!AB442</f>
        <v>31.488595795517622</v>
      </c>
      <c r="M441" s="232">
        <v>52356</v>
      </c>
      <c r="N441" s="232" t="s">
        <v>1336</v>
      </c>
      <c r="O441" s="232" t="s">
        <v>672</v>
      </c>
      <c r="P441" s="232" t="s">
        <v>673</v>
      </c>
      <c r="Q441" s="232" t="s">
        <v>1337</v>
      </c>
      <c r="T441" t="s">
        <v>2803</v>
      </c>
      <c r="U441" s="25">
        <f>+Municipios!Z442</f>
        <v>58.435569468010399</v>
      </c>
      <c r="V441" s="232">
        <v>52356</v>
      </c>
      <c r="W441" s="232" t="s">
        <v>1336</v>
      </c>
      <c r="X441" s="232" t="s">
        <v>672</v>
      </c>
      <c r="Y441" s="232" t="s">
        <v>673</v>
      </c>
      <c r="Z441" s="232" t="s">
        <v>1337</v>
      </c>
    </row>
    <row r="442" spans="1:26">
      <c r="A442" t="s">
        <v>417</v>
      </c>
      <c r="B442" s="25">
        <f>+Municipios!Z443</f>
        <v>43.87324840123388</v>
      </c>
      <c r="C442" s="232">
        <v>5792</v>
      </c>
      <c r="D442" s="232" t="s">
        <v>1338</v>
      </c>
      <c r="E442" s="232" t="s">
        <v>435</v>
      </c>
      <c r="F442" s="232" t="s">
        <v>436</v>
      </c>
      <c r="G442" s="232" t="s">
        <v>1339</v>
      </c>
      <c r="K442" t="s">
        <v>2647</v>
      </c>
      <c r="L442" s="81">
        <f>+Municipios!AB443</f>
        <v>23.627261585476528</v>
      </c>
      <c r="M442" s="232">
        <v>5792</v>
      </c>
      <c r="N442" s="232" t="s">
        <v>1338</v>
      </c>
      <c r="O442" s="232" t="s">
        <v>435</v>
      </c>
      <c r="P442" s="232" t="s">
        <v>436</v>
      </c>
      <c r="Q442" s="232" t="s">
        <v>1339</v>
      </c>
      <c r="T442" t="s">
        <v>2803</v>
      </c>
      <c r="U442" s="25">
        <f>+Municipios!Z443</f>
        <v>43.87324840123388</v>
      </c>
      <c r="V442" s="232">
        <v>5792</v>
      </c>
      <c r="W442" s="232" t="s">
        <v>1338</v>
      </c>
      <c r="X442" s="232" t="s">
        <v>435</v>
      </c>
      <c r="Y442" s="232" t="s">
        <v>436</v>
      </c>
      <c r="Z442" s="232" t="s">
        <v>1339</v>
      </c>
    </row>
    <row r="443" spans="1:26">
      <c r="A443" t="s">
        <v>417</v>
      </c>
      <c r="B443" s="25">
        <f>+Municipios!Z444</f>
        <v>47.566865493810624</v>
      </c>
      <c r="C443" s="232">
        <v>70233</v>
      </c>
      <c r="D443" s="232" t="s">
        <v>1340</v>
      </c>
      <c r="E443" s="232" t="s">
        <v>494</v>
      </c>
      <c r="F443" s="232" t="s">
        <v>495</v>
      </c>
      <c r="G443" s="232" t="s">
        <v>1341</v>
      </c>
      <c r="K443" t="s">
        <v>2647</v>
      </c>
      <c r="L443" s="81">
        <f>+Municipios!AB444</f>
        <v>25.620223456991219</v>
      </c>
      <c r="M443" s="232">
        <v>70233</v>
      </c>
      <c r="N443" s="232" t="s">
        <v>1340</v>
      </c>
      <c r="O443" s="232" t="s">
        <v>494</v>
      </c>
      <c r="P443" s="232" t="s">
        <v>495</v>
      </c>
      <c r="Q443" s="232" t="s">
        <v>1341</v>
      </c>
      <c r="T443" t="s">
        <v>2803</v>
      </c>
      <c r="U443" s="25">
        <f>+Municipios!Z444</f>
        <v>47.566865493810624</v>
      </c>
      <c r="V443" s="232">
        <v>70233</v>
      </c>
      <c r="W443" s="232" t="s">
        <v>1340</v>
      </c>
      <c r="X443" s="232" t="s">
        <v>494</v>
      </c>
      <c r="Y443" s="232" t="s">
        <v>495</v>
      </c>
      <c r="Z443" s="232" t="s">
        <v>1341</v>
      </c>
    </row>
    <row r="444" spans="1:26">
      <c r="A444" t="s">
        <v>417</v>
      </c>
      <c r="B444" s="25">
        <f>+Municipios!Z445</f>
        <v>61.166731921847749</v>
      </c>
      <c r="C444" s="232">
        <v>5670</v>
      </c>
      <c r="D444" s="232" t="s">
        <v>1342</v>
      </c>
      <c r="E444" s="232" t="s">
        <v>435</v>
      </c>
      <c r="F444" s="232" t="s">
        <v>436</v>
      </c>
      <c r="G444" s="232" t="s">
        <v>1343</v>
      </c>
      <c r="K444" t="s">
        <v>2647</v>
      </c>
      <c r="L444" s="81">
        <f>+Municipios!AB445</f>
        <v>33.010401403802753</v>
      </c>
      <c r="M444" s="232">
        <v>5670</v>
      </c>
      <c r="N444" s="232" t="s">
        <v>1342</v>
      </c>
      <c r="O444" s="232" t="s">
        <v>435</v>
      </c>
      <c r="P444" s="232" t="s">
        <v>436</v>
      </c>
      <c r="Q444" s="232" t="s">
        <v>1343</v>
      </c>
      <c r="T444" t="s">
        <v>2803</v>
      </c>
      <c r="U444" s="25">
        <f>+Municipios!Z445</f>
        <v>61.166731921847749</v>
      </c>
      <c r="V444" s="232">
        <v>5670</v>
      </c>
      <c r="W444" s="232" t="s">
        <v>1342</v>
      </c>
      <c r="X444" s="232" t="s">
        <v>435</v>
      </c>
      <c r="Y444" s="232" t="s">
        <v>436</v>
      </c>
      <c r="Z444" s="232" t="s">
        <v>1343</v>
      </c>
    </row>
    <row r="445" spans="1:26">
      <c r="A445" t="s">
        <v>417</v>
      </c>
      <c r="B445" s="25">
        <f>+Municipios!Z446</f>
        <v>61.161780327551952</v>
      </c>
      <c r="C445" s="232">
        <v>5091</v>
      </c>
      <c r="D445" s="232" t="s">
        <v>1344</v>
      </c>
      <c r="E445" s="232" t="s">
        <v>435</v>
      </c>
      <c r="F445" s="232" t="s">
        <v>436</v>
      </c>
      <c r="G445" s="232" t="s">
        <v>1345</v>
      </c>
      <c r="K445" t="s">
        <v>2647</v>
      </c>
      <c r="L445" s="81">
        <f>+Municipios!AB446</f>
        <v>32.925321398324478</v>
      </c>
      <c r="M445" s="232">
        <v>5091</v>
      </c>
      <c r="N445" s="232" t="s">
        <v>1344</v>
      </c>
      <c r="O445" s="232" t="s">
        <v>435</v>
      </c>
      <c r="P445" s="232" t="s">
        <v>436</v>
      </c>
      <c r="Q445" s="232" t="s">
        <v>1345</v>
      </c>
      <c r="T445" t="s">
        <v>2803</v>
      </c>
      <c r="U445" s="25">
        <f>+Municipios!Z446</f>
        <v>61.161780327551952</v>
      </c>
      <c r="V445" s="232">
        <v>5091</v>
      </c>
      <c r="W445" s="232" t="s">
        <v>1344</v>
      </c>
      <c r="X445" s="232" t="s">
        <v>435</v>
      </c>
      <c r="Y445" s="232" t="s">
        <v>436</v>
      </c>
      <c r="Z445" s="232" t="s">
        <v>1345</v>
      </c>
    </row>
    <row r="446" spans="1:26">
      <c r="A446" t="s">
        <v>417</v>
      </c>
      <c r="B446" s="25">
        <f>+Municipios!Z447</f>
        <v>60.628417145692495</v>
      </c>
      <c r="C446" s="232">
        <v>19824</v>
      </c>
      <c r="D446" s="232" t="s">
        <v>1346</v>
      </c>
      <c r="E446" s="232" t="s">
        <v>557</v>
      </c>
      <c r="F446" s="232" t="s">
        <v>558</v>
      </c>
      <c r="G446" s="232" t="s">
        <v>1347</v>
      </c>
      <c r="K446" t="s">
        <v>2647</v>
      </c>
      <c r="L446" s="81">
        <f>+Municipios!AB447</f>
        <v>32.63094294844629</v>
      </c>
      <c r="M446" s="232">
        <v>19824</v>
      </c>
      <c r="N446" s="232" t="s">
        <v>1346</v>
      </c>
      <c r="O446" s="232" t="s">
        <v>557</v>
      </c>
      <c r="P446" s="232" t="s">
        <v>558</v>
      </c>
      <c r="Q446" s="232" t="s">
        <v>1347</v>
      </c>
      <c r="T446" t="s">
        <v>2803</v>
      </c>
      <c r="U446" s="25">
        <f>+Municipios!Z447</f>
        <v>60.628417145692495</v>
      </c>
      <c r="V446" s="232">
        <v>19824</v>
      </c>
      <c r="W446" s="232" t="s">
        <v>1346</v>
      </c>
      <c r="X446" s="232" t="s">
        <v>557</v>
      </c>
      <c r="Y446" s="232" t="s">
        <v>558</v>
      </c>
      <c r="Z446" s="232" t="s">
        <v>1347</v>
      </c>
    </row>
    <row r="447" spans="1:26">
      <c r="A447" t="s">
        <v>417</v>
      </c>
      <c r="B447" s="25">
        <f>+Municipios!Z448</f>
        <v>43.062010809562594</v>
      </c>
      <c r="C447" s="232">
        <v>13780</v>
      </c>
      <c r="D447" s="232" t="s">
        <v>1348</v>
      </c>
      <c r="E447" s="232" t="s">
        <v>480</v>
      </c>
      <c r="F447" s="232" t="s">
        <v>481</v>
      </c>
      <c r="G447" s="232" t="s">
        <v>1349</v>
      </c>
      <c r="K447" t="s">
        <v>2647</v>
      </c>
      <c r="L447" s="81">
        <f>+Municipios!AB448</f>
        <v>23.132815964173876</v>
      </c>
      <c r="M447" s="232">
        <v>13780</v>
      </c>
      <c r="N447" s="232" t="s">
        <v>1348</v>
      </c>
      <c r="O447" s="232" t="s">
        <v>480</v>
      </c>
      <c r="P447" s="232" t="s">
        <v>481</v>
      </c>
      <c r="Q447" s="232" t="s">
        <v>1349</v>
      </c>
      <c r="T447" t="s">
        <v>2803</v>
      </c>
      <c r="U447" s="25">
        <f>+Municipios!Z448</f>
        <v>43.062010809562594</v>
      </c>
      <c r="V447" s="232">
        <v>13780</v>
      </c>
      <c r="W447" s="232" t="s">
        <v>1348</v>
      </c>
      <c r="X447" s="232" t="s">
        <v>480</v>
      </c>
      <c r="Y447" s="232" t="s">
        <v>481</v>
      </c>
      <c r="Z447" s="232" t="s">
        <v>1349</v>
      </c>
    </row>
    <row r="448" spans="1:26">
      <c r="A448" t="s">
        <v>417</v>
      </c>
      <c r="B448" s="25">
        <f>+Municipios!Z449</f>
        <v>68.569657684478358</v>
      </c>
      <c r="C448" s="232">
        <v>85001</v>
      </c>
      <c r="D448" s="232" t="s">
        <v>1350</v>
      </c>
      <c r="E448" s="232" t="s">
        <v>1351</v>
      </c>
      <c r="F448" s="232" t="s">
        <v>1352</v>
      </c>
      <c r="G448" s="232" t="s">
        <v>1353</v>
      </c>
      <c r="K448" t="s">
        <v>2647</v>
      </c>
      <c r="L448" s="81">
        <f>+Municipios!AB449</f>
        <v>36.803530339863073</v>
      </c>
      <c r="M448" s="232">
        <v>85001</v>
      </c>
      <c r="N448" s="232" t="s">
        <v>1350</v>
      </c>
      <c r="O448" s="232" t="s">
        <v>1351</v>
      </c>
      <c r="P448" s="232" t="s">
        <v>1352</v>
      </c>
      <c r="Q448" s="232" t="s">
        <v>1353</v>
      </c>
      <c r="T448" t="s">
        <v>2803</v>
      </c>
      <c r="U448" s="25">
        <f>+Municipios!Z449</f>
        <v>68.569657684478358</v>
      </c>
      <c r="V448" s="232">
        <v>85001</v>
      </c>
      <c r="W448" s="232" t="s">
        <v>1350</v>
      </c>
      <c r="X448" s="232" t="s">
        <v>1351</v>
      </c>
      <c r="Y448" s="232" t="s">
        <v>1352</v>
      </c>
      <c r="Z448" s="232" t="s">
        <v>1353</v>
      </c>
    </row>
    <row r="449" spans="1:26">
      <c r="A449" t="s">
        <v>417</v>
      </c>
      <c r="B449" s="25">
        <f>+Municipios!Z450</f>
        <v>61.730699449342765</v>
      </c>
      <c r="C449" s="232">
        <v>25281</v>
      </c>
      <c r="D449" s="232" t="s">
        <v>1354</v>
      </c>
      <c r="E449" s="232" t="s">
        <v>461</v>
      </c>
      <c r="F449" s="232" t="s">
        <v>462</v>
      </c>
      <c r="G449" s="232" t="s">
        <v>1355</v>
      </c>
      <c r="K449" t="s">
        <v>2647</v>
      </c>
      <c r="L449" s="81">
        <f>+Municipios!AB450</f>
        <v>33.096525538436843</v>
      </c>
      <c r="M449" s="232">
        <v>25281</v>
      </c>
      <c r="N449" s="232" t="s">
        <v>1354</v>
      </c>
      <c r="O449" s="232" t="s">
        <v>461</v>
      </c>
      <c r="P449" s="232" t="s">
        <v>462</v>
      </c>
      <c r="Q449" s="232" t="s">
        <v>1355</v>
      </c>
      <c r="T449" t="s">
        <v>2803</v>
      </c>
      <c r="U449" s="25">
        <f>+Municipios!Z450</f>
        <v>61.730699449342765</v>
      </c>
      <c r="V449" s="232">
        <v>25281</v>
      </c>
      <c r="W449" s="232" t="s">
        <v>1354</v>
      </c>
      <c r="X449" s="232" t="s">
        <v>461</v>
      </c>
      <c r="Y449" s="232" t="s">
        <v>462</v>
      </c>
      <c r="Z449" s="232" t="s">
        <v>1355</v>
      </c>
    </row>
    <row r="450" spans="1:26">
      <c r="A450" t="s">
        <v>417</v>
      </c>
      <c r="B450" s="25">
        <f>+Municipios!Z451</f>
        <v>69.468089726266868</v>
      </c>
      <c r="C450" s="232">
        <v>15776</v>
      </c>
      <c r="D450" s="232" t="s">
        <v>1356</v>
      </c>
      <c r="E450" s="232" t="s">
        <v>498</v>
      </c>
      <c r="F450" s="232" t="s">
        <v>499</v>
      </c>
      <c r="G450" s="232" t="s">
        <v>1357</v>
      </c>
      <c r="K450" t="s">
        <v>2647</v>
      </c>
      <c r="L450" s="81">
        <f>+Municipios!AB451</f>
        <v>37.144320042031701</v>
      </c>
      <c r="M450" s="232">
        <v>15776</v>
      </c>
      <c r="N450" s="232" t="s">
        <v>1356</v>
      </c>
      <c r="O450" s="232" t="s">
        <v>498</v>
      </c>
      <c r="P450" s="232" t="s">
        <v>499</v>
      </c>
      <c r="Q450" s="232" t="s">
        <v>1357</v>
      </c>
      <c r="T450" t="s">
        <v>2803</v>
      </c>
      <c r="U450" s="25">
        <f>+Municipios!Z451</f>
        <v>69.468089726266868</v>
      </c>
      <c r="V450" s="232">
        <v>15776</v>
      </c>
      <c r="W450" s="232" t="s">
        <v>1356</v>
      </c>
      <c r="X450" s="232" t="s">
        <v>498</v>
      </c>
      <c r="Y450" s="232" t="s">
        <v>499</v>
      </c>
      <c r="Z450" s="232" t="s">
        <v>1357</v>
      </c>
    </row>
    <row r="451" spans="1:26">
      <c r="A451" t="s">
        <v>417</v>
      </c>
      <c r="B451" s="25">
        <f>+Municipios!Z452</f>
        <v>56.668387133904289</v>
      </c>
      <c r="C451" s="232">
        <v>5093</v>
      </c>
      <c r="D451" s="232" t="s">
        <v>1358</v>
      </c>
      <c r="E451" s="232" t="s">
        <v>435</v>
      </c>
      <c r="F451" s="232" t="s">
        <v>436</v>
      </c>
      <c r="G451" s="232" t="s">
        <v>1359</v>
      </c>
      <c r="K451" t="s">
        <v>2647</v>
      </c>
      <c r="L451" s="81">
        <f>+Municipios!AB452</f>
        <v>30.437809853161706</v>
      </c>
      <c r="M451" s="232">
        <v>5093</v>
      </c>
      <c r="N451" s="232" t="s">
        <v>1358</v>
      </c>
      <c r="O451" s="232" t="s">
        <v>435</v>
      </c>
      <c r="P451" s="232" t="s">
        <v>436</v>
      </c>
      <c r="Q451" s="232" t="s">
        <v>1359</v>
      </c>
      <c r="T451" t="s">
        <v>2803</v>
      </c>
      <c r="U451" s="25">
        <f>+Municipios!Z452</f>
        <v>56.668387133904289</v>
      </c>
      <c r="V451" s="232">
        <v>5093</v>
      </c>
      <c r="W451" s="232" t="s">
        <v>1358</v>
      </c>
      <c r="X451" s="232" t="s">
        <v>435</v>
      </c>
      <c r="Y451" s="232" t="s">
        <v>436</v>
      </c>
      <c r="Z451" s="232" t="s">
        <v>1359</v>
      </c>
    </row>
    <row r="452" spans="1:26">
      <c r="A452" t="s">
        <v>417</v>
      </c>
      <c r="B452" s="25">
        <f>+Municipios!Z453</f>
        <v>62.390559060539118</v>
      </c>
      <c r="C452" s="232">
        <v>41359</v>
      </c>
      <c r="D452" s="232" t="s">
        <v>1360</v>
      </c>
      <c r="E452" s="232" t="s">
        <v>676</v>
      </c>
      <c r="F452" s="232" t="s">
        <v>677</v>
      </c>
      <c r="G452" s="232" t="s">
        <v>1361</v>
      </c>
      <c r="K452" t="s">
        <v>2647</v>
      </c>
      <c r="L452" s="81">
        <f>+Municipios!AB453</f>
        <v>33.416771270123363</v>
      </c>
      <c r="M452" s="232">
        <v>41359</v>
      </c>
      <c r="N452" s="232" t="s">
        <v>1360</v>
      </c>
      <c r="O452" s="232" t="s">
        <v>676</v>
      </c>
      <c r="P452" s="232" t="s">
        <v>677</v>
      </c>
      <c r="Q452" s="232" t="s">
        <v>1361</v>
      </c>
      <c r="T452" t="s">
        <v>2803</v>
      </c>
      <c r="U452" s="25">
        <f>+Municipios!Z453</f>
        <v>62.390559060539118</v>
      </c>
      <c r="V452" s="232">
        <v>41359</v>
      </c>
      <c r="W452" s="232" t="s">
        <v>1360</v>
      </c>
      <c r="X452" s="232" t="s">
        <v>676</v>
      </c>
      <c r="Y452" s="232" t="s">
        <v>677</v>
      </c>
      <c r="Z452" s="232" t="s">
        <v>1361</v>
      </c>
    </row>
    <row r="453" spans="1:26">
      <c r="A453" t="s">
        <v>417</v>
      </c>
      <c r="B453" s="25">
        <f>+Municipios!Z454</f>
        <v>62.96384755786098</v>
      </c>
      <c r="C453" s="232">
        <v>25181</v>
      </c>
      <c r="D453" s="232" t="s">
        <v>1362</v>
      </c>
      <c r="E453" s="232" t="s">
        <v>461</v>
      </c>
      <c r="F453" s="232" t="s">
        <v>462</v>
      </c>
      <c r="G453" s="232" t="s">
        <v>1363</v>
      </c>
      <c r="K453" t="s">
        <v>2647</v>
      </c>
      <c r="L453" s="81">
        <f>+Municipios!AB454</f>
        <v>33.716898293387878</v>
      </c>
      <c r="M453" s="232">
        <v>25181</v>
      </c>
      <c r="N453" s="232" t="s">
        <v>1362</v>
      </c>
      <c r="O453" s="232" t="s">
        <v>461</v>
      </c>
      <c r="P453" s="232" t="s">
        <v>462</v>
      </c>
      <c r="Q453" s="232" t="s">
        <v>1363</v>
      </c>
      <c r="T453" t="s">
        <v>2803</v>
      </c>
      <c r="U453" s="25">
        <f>+Municipios!Z454</f>
        <v>62.96384755786098</v>
      </c>
      <c r="V453" s="232">
        <v>25181</v>
      </c>
      <c r="W453" s="232" t="s">
        <v>1362</v>
      </c>
      <c r="X453" s="232" t="s">
        <v>461</v>
      </c>
      <c r="Y453" s="232" t="s">
        <v>462</v>
      </c>
      <c r="Z453" s="232" t="s">
        <v>1363</v>
      </c>
    </row>
    <row r="454" spans="1:26">
      <c r="A454" t="s">
        <v>417</v>
      </c>
      <c r="B454" s="25">
        <f>+Municipios!Z455</f>
        <v>44.571023890785817</v>
      </c>
      <c r="C454" s="232">
        <v>76109</v>
      </c>
      <c r="D454" s="232" t="s">
        <v>1364</v>
      </c>
      <c r="E454" s="232" t="s">
        <v>454</v>
      </c>
      <c r="F454" s="232" t="s">
        <v>455</v>
      </c>
      <c r="G454" s="232" t="s">
        <v>1365</v>
      </c>
      <c r="K454" t="s">
        <v>2647</v>
      </c>
      <c r="L454" s="81">
        <f>+Municipios!AB455</f>
        <v>23.900720587950662</v>
      </c>
      <c r="M454" s="232">
        <v>76109</v>
      </c>
      <c r="N454" s="232" t="s">
        <v>1364</v>
      </c>
      <c r="O454" s="232" t="s">
        <v>454</v>
      </c>
      <c r="P454" s="232" t="s">
        <v>455</v>
      </c>
      <c r="Q454" s="232" t="s">
        <v>1365</v>
      </c>
      <c r="T454" t="s">
        <v>2803</v>
      </c>
      <c r="U454" s="25">
        <f>+Municipios!Z455</f>
        <v>44.571023890785817</v>
      </c>
      <c r="V454" s="232">
        <v>76109</v>
      </c>
      <c r="W454" s="232" t="s">
        <v>1364</v>
      </c>
      <c r="X454" s="232" t="s">
        <v>454</v>
      </c>
      <c r="Y454" s="232" t="s">
        <v>455</v>
      </c>
      <c r="Z454" s="232" t="s">
        <v>1365</v>
      </c>
    </row>
    <row r="455" spans="1:26">
      <c r="A455" t="s">
        <v>417</v>
      </c>
      <c r="B455" s="25">
        <f>+Municipios!Z456</f>
        <v>58.066559629784173</v>
      </c>
      <c r="C455" s="232">
        <v>52381</v>
      </c>
      <c r="D455" s="232" t="s">
        <v>1366</v>
      </c>
      <c r="E455" s="232" t="s">
        <v>672</v>
      </c>
      <c r="F455" s="232" t="s">
        <v>673</v>
      </c>
      <c r="G455" s="232" t="s">
        <v>1367</v>
      </c>
      <c r="K455" t="s">
        <v>2647</v>
      </c>
      <c r="L455" s="81">
        <f>+Municipios!AB456</f>
        <v>31.097582728390929</v>
      </c>
      <c r="M455" s="232">
        <v>52381</v>
      </c>
      <c r="N455" s="232" t="s">
        <v>1366</v>
      </c>
      <c r="O455" s="232" t="s">
        <v>672</v>
      </c>
      <c r="P455" s="232" t="s">
        <v>673</v>
      </c>
      <c r="Q455" s="232" t="s">
        <v>1367</v>
      </c>
      <c r="T455" t="s">
        <v>2803</v>
      </c>
      <c r="U455" s="25">
        <f>+Municipios!Z456</f>
        <v>58.066559629784173</v>
      </c>
      <c r="V455" s="232">
        <v>52381</v>
      </c>
      <c r="W455" s="232" t="s">
        <v>1366</v>
      </c>
      <c r="X455" s="232" t="s">
        <v>672</v>
      </c>
      <c r="Y455" s="232" t="s">
        <v>673</v>
      </c>
      <c r="Z455" s="232" t="s">
        <v>1367</v>
      </c>
    </row>
    <row r="456" spans="1:26">
      <c r="A456" t="s">
        <v>417</v>
      </c>
      <c r="B456" s="25">
        <f>+Municipios!Z457</f>
        <v>64.150414349575755</v>
      </c>
      <c r="C456" s="232">
        <v>68572</v>
      </c>
      <c r="D456" s="232" t="s">
        <v>1368</v>
      </c>
      <c r="E456" s="232" t="s">
        <v>431</v>
      </c>
      <c r="F456" s="232" t="s">
        <v>432</v>
      </c>
      <c r="G456" s="232" t="s">
        <v>1369</v>
      </c>
      <c r="K456" t="s">
        <v>2647</v>
      </c>
      <c r="L456" s="81">
        <f>+Municipios!AB457</f>
        <v>34.252173347207837</v>
      </c>
      <c r="M456" s="232">
        <v>68572</v>
      </c>
      <c r="N456" s="232" t="s">
        <v>1368</v>
      </c>
      <c r="O456" s="232" t="s">
        <v>431</v>
      </c>
      <c r="P456" s="232" t="s">
        <v>432</v>
      </c>
      <c r="Q456" s="232" t="s">
        <v>1369</v>
      </c>
      <c r="T456" t="s">
        <v>2803</v>
      </c>
      <c r="U456" s="25">
        <f>+Municipios!Z457</f>
        <v>64.150414349575755</v>
      </c>
      <c r="V456" s="232">
        <v>68572</v>
      </c>
      <c r="W456" s="232" t="s">
        <v>1368</v>
      </c>
      <c r="X456" s="232" t="s">
        <v>431</v>
      </c>
      <c r="Y456" s="232" t="s">
        <v>432</v>
      </c>
      <c r="Z456" s="232" t="s">
        <v>1369</v>
      </c>
    </row>
    <row r="457" spans="1:26">
      <c r="A457" t="s">
        <v>417</v>
      </c>
      <c r="B457" s="25">
        <f>+Municipios!Z458</f>
        <v>54.637416327513407</v>
      </c>
      <c r="C457" s="232">
        <v>25596</v>
      </c>
      <c r="D457" s="232" t="s">
        <v>1370</v>
      </c>
      <c r="E457" s="232" t="s">
        <v>461</v>
      </c>
      <c r="F457" s="232" t="s">
        <v>462</v>
      </c>
      <c r="G457" s="232" t="s">
        <v>1371</v>
      </c>
      <c r="K457" t="s">
        <v>2647</v>
      </c>
      <c r="L457" s="81">
        <f>+Municipios!AB458</f>
        <v>29.266385418722919</v>
      </c>
      <c r="M457" s="232">
        <v>25596</v>
      </c>
      <c r="N457" s="232" t="s">
        <v>1370</v>
      </c>
      <c r="O457" s="232" t="s">
        <v>461</v>
      </c>
      <c r="P457" s="232" t="s">
        <v>462</v>
      </c>
      <c r="Q457" s="232" t="s">
        <v>1371</v>
      </c>
      <c r="T457" t="s">
        <v>2803</v>
      </c>
      <c r="U457" s="25">
        <f>+Municipios!Z458</f>
        <v>54.637416327513407</v>
      </c>
      <c r="V457" s="232">
        <v>25596</v>
      </c>
      <c r="W457" s="232" t="s">
        <v>1370</v>
      </c>
      <c r="X457" s="232" t="s">
        <v>461</v>
      </c>
      <c r="Y457" s="232" t="s">
        <v>462</v>
      </c>
      <c r="Z457" s="232" t="s">
        <v>1371</v>
      </c>
    </row>
    <row r="458" spans="1:26">
      <c r="A458" t="s">
        <v>417</v>
      </c>
      <c r="B458" s="25">
        <f>+Municipios!Z459</f>
        <v>46.515713230572857</v>
      </c>
      <c r="C458" s="232">
        <v>5059</v>
      </c>
      <c r="D458" s="232" t="s">
        <v>1372</v>
      </c>
      <c r="E458" s="232" t="s">
        <v>435</v>
      </c>
      <c r="F458" s="232" t="s">
        <v>436</v>
      </c>
      <c r="G458" s="232" t="s">
        <v>475</v>
      </c>
      <c r="K458" t="s">
        <v>2647</v>
      </c>
      <c r="L458" s="81">
        <f>+Municipios!AB459</f>
        <v>24.925085319262482</v>
      </c>
      <c r="M458" s="232">
        <v>5059</v>
      </c>
      <c r="N458" s="232" t="s">
        <v>1372</v>
      </c>
      <c r="O458" s="232" t="s">
        <v>435</v>
      </c>
      <c r="P458" s="232" t="s">
        <v>436</v>
      </c>
      <c r="Q458" s="232" t="s">
        <v>475</v>
      </c>
      <c r="T458" t="s">
        <v>2803</v>
      </c>
      <c r="U458" s="25">
        <f>+Municipios!Z459</f>
        <v>46.515713230572857</v>
      </c>
      <c r="V458" s="232">
        <v>5059</v>
      </c>
      <c r="W458" s="232" t="s">
        <v>1372</v>
      </c>
      <c r="X458" s="232" t="s">
        <v>435</v>
      </c>
      <c r="Y458" s="232" t="s">
        <v>436</v>
      </c>
      <c r="Z458" s="232" t="s">
        <v>475</v>
      </c>
    </row>
    <row r="459" spans="1:26">
      <c r="A459" t="s">
        <v>417</v>
      </c>
      <c r="B459" s="25">
        <f>+Municipios!Z460</f>
        <v>55.718134879816795</v>
      </c>
      <c r="C459" s="232">
        <v>17513</v>
      </c>
      <c r="D459" s="232" t="s">
        <v>1373</v>
      </c>
      <c r="E459" s="232" t="s">
        <v>506</v>
      </c>
      <c r="F459" s="232" t="s">
        <v>507</v>
      </c>
      <c r="G459" s="232" t="s">
        <v>1374</v>
      </c>
      <c r="K459" t="s">
        <v>2647</v>
      </c>
      <c r="L459" s="81">
        <f>+Municipios!AB460</f>
        <v>29.890593240120364</v>
      </c>
      <c r="M459" s="232">
        <v>17513</v>
      </c>
      <c r="N459" s="232" t="s">
        <v>1373</v>
      </c>
      <c r="O459" s="232" t="s">
        <v>506</v>
      </c>
      <c r="P459" s="232" t="s">
        <v>507</v>
      </c>
      <c r="Q459" s="232" t="s">
        <v>1374</v>
      </c>
      <c r="T459" t="s">
        <v>2803</v>
      </c>
      <c r="U459" s="25">
        <f>+Municipios!Z460</f>
        <v>55.718134879816795</v>
      </c>
      <c r="V459" s="232">
        <v>17513</v>
      </c>
      <c r="W459" s="232" t="s">
        <v>1373</v>
      </c>
      <c r="X459" s="232" t="s">
        <v>506</v>
      </c>
      <c r="Y459" s="232" t="s">
        <v>507</v>
      </c>
      <c r="Z459" s="232" t="s">
        <v>1374</v>
      </c>
    </row>
    <row r="460" spans="1:26">
      <c r="A460" t="s">
        <v>417</v>
      </c>
      <c r="B460" s="25">
        <f>+Municipios!Z461</f>
        <v>66.379827681128376</v>
      </c>
      <c r="C460" s="232">
        <v>5686</v>
      </c>
      <c r="D460" s="232" t="s">
        <v>1375</v>
      </c>
      <c r="E460" s="232" t="s">
        <v>435</v>
      </c>
      <c r="F460" s="232" t="s">
        <v>436</v>
      </c>
      <c r="G460" s="232" t="s">
        <v>1376</v>
      </c>
      <c r="K460" t="s">
        <v>2647</v>
      </c>
      <c r="L460" s="81">
        <f>+Municipios!AB461</f>
        <v>35.792490362050998</v>
      </c>
      <c r="M460" s="232">
        <v>5686</v>
      </c>
      <c r="N460" s="232" t="s">
        <v>1375</v>
      </c>
      <c r="O460" s="232" t="s">
        <v>435</v>
      </c>
      <c r="P460" s="232" t="s">
        <v>436</v>
      </c>
      <c r="Q460" s="232" t="s">
        <v>1376</v>
      </c>
      <c r="T460" t="s">
        <v>2803</v>
      </c>
      <c r="U460" s="25">
        <f>+Municipios!Z461</f>
        <v>66.379827681128376</v>
      </c>
      <c r="V460" s="232">
        <v>5686</v>
      </c>
      <c r="W460" s="232" t="s">
        <v>1375</v>
      </c>
      <c r="X460" s="232" t="s">
        <v>435</v>
      </c>
      <c r="Y460" s="232" t="s">
        <v>436</v>
      </c>
      <c r="Z460" s="232" t="s">
        <v>1376</v>
      </c>
    </row>
    <row r="461" spans="1:26">
      <c r="A461" t="s">
        <v>417</v>
      </c>
      <c r="B461" s="25">
        <f>+Municipios!Z462</f>
        <v>55.439609463295611</v>
      </c>
      <c r="C461" s="232">
        <v>54347</v>
      </c>
      <c r="D461" s="232" t="s">
        <v>1377</v>
      </c>
      <c r="E461" s="232" t="s">
        <v>517</v>
      </c>
      <c r="F461" s="232" t="s">
        <v>518</v>
      </c>
      <c r="G461" s="232" t="s">
        <v>1378</v>
      </c>
      <c r="K461" t="s">
        <v>2647</v>
      </c>
      <c r="L461" s="81">
        <f>+Municipios!AB462</f>
        <v>29.720338535864702</v>
      </c>
      <c r="M461" s="232">
        <v>54347</v>
      </c>
      <c r="N461" s="232" t="s">
        <v>1377</v>
      </c>
      <c r="O461" s="232" t="s">
        <v>517</v>
      </c>
      <c r="P461" s="232" t="s">
        <v>518</v>
      </c>
      <c r="Q461" s="232" t="s">
        <v>1378</v>
      </c>
      <c r="T461" t="s">
        <v>2803</v>
      </c>
      <c r="U461" s="25">
        <f>+Municipios!Z462</f>
        <v>55.439609463295611</v>
      </c>
      <c r="V461" s="232">
        <v>54347</v>
      </c>
      <c r="W461" s="232" t="s">
        <v>1377</v>
      </c>
      <c r="X461" s="232" t="s">
        <v>517</v>
      </c>
      <c r="Y461" s="232" t="s">
        <v>518</v>
      </c>
      <c r="Z461" s="232" t="s">
        <v>1378</v>
      </c>
    </row>
    <row r="462" spans="1:26">
      <c r="A462" t="s">
        <v>417</v>
      </c>
      <c r="B462" s="25">
        <f>+Municipios!Z463</f>
        <v>69.707721233702159</v>
      </c>
      <c r="C462" s="232">
        <v>23419</v>
      </c>
      <c r="D462" s="232" t="s">
        <v>1379</v>
      </c>
      <c r="E462" s="232" t="s">
        <v>567</v>
      </c>
      <c r="F462" s="232" t="s">
        <v>568</v>
      </c>
      <c r="G462" s="232" t="s">
        <v>1380</v>
      </c>
      <c r="K462" t="s">
        <v>2647</v>
      </c>
      <c r="L462" s="81">
        <f>+Municipios!AB463</f>
        <v>37.258322928400339</v>
      </c>
      <c r="M462" s="232">
        <v>23419</v>
      </c>
      <c r="N462" s="232" t="s">
        <v>1379</v>
      </c>
      <c r="O462" s="232" t="s">
        <v>567</v>
      </c>
      <c r="P462" s="232" t="s">
        <v>568</v>
      </c>
      <c r="Q462" s="232" t="s">
        <v>1380</v>
      </c>
      <c r="T462" t="s">
        <v>2803</v>
      </c>
      <c r="U462" s="25">
        <f>+Municipios!Z463</f>
        <v>69.707721233702159</v>
      </c>
      <c r="V462" s="232">
        <v>23419</v>
      </c>
      <c r="W462" s="232" t="s">
        <v>1379</v>
      </c>
      <c r="X462" s="232" t="s">
        <v>567</v>
      </c>
      <c r="Y462" s="232" t="s">
        <v>568</v>
      </c>
      <c r="Z462" s="232" t="s">
        <v>1380</v>
      </c>
    </row>
    <row r="463" spans="1:26">
      <c r="A463" t="s">
        <v>417</v>
      </c>
      <c r="B463" s="25">
        <f>+Municipios!Z464</f>
        <v>43.670655058375267</v>
      </c>
      <c r="C463" s="232">
        <v>47161</v>
      </c>
      <c r="D463" s="232" t="s">
        <v>1381</v>
      </c>
      <c r="E463" s="232" t="s">
        <v>638</v>
      </c>
      <c r="F463" s="232" t="s">
        <v>639</v>
      </c>
      <c r="G463" s="232" t="s">
        <v>1382</v>
      </c>
      <c r="K463" t="s">
        <v>2647</v>
      </c>
      <c r="L463" s="81">
        <f>+Municipios!AB464</f>
        <v>23.345990123272603</v>
      </c>
      <c r="M463" s="232">
        <v>47161</v>
      </c>
      <c r="N463" s="232" t="s">
        <v>1381</v>
      </c>
      <c r="O463" s="232" t="s">
        <v>638</v>
      </c>
      <c r="P463" s="232" t="s">
        <v>639</v>
      </c>
      <c r="Q463" s="232" t="s">
        <v>1382</v>
      </c>
      <c r="T463" t="s">
        <v>2803</v>
      </c>
      <c r="U463" s="25">
        <f>+Municipios!Z464</f>
        <v>43.670655058375267</v>
      </c>
      <c r="V463" s="232">
        <v>47161</v>
      </c>
      <c r="W463" s="232" t="s">
        <v>1381</v>
      </c>
      <c r="X463" s="232" t="s">
        <v>638</v>
      </c>
      <c r="Y463" s="232" t="s">
        <v>639</v>
      </c>
      <c r="Z463" s="232" t="s">
        <v>1382</v>
      </c>
    </row>
    <row r="464" spans="1:26">
      <c r="A464" t="s">
        <v>417</v>
      </c>
      <c r="B464" s="25">
        <f>+Municipios!Z465</f>
        <v>68.098560071165934</v>
      </c>
      <c r="C464" s="232">
        <v>5315</v>
      </c>
      <c r="D464" s="232" t="s">
        <v>1383</v>
      </c>
      <c r="E464" s="232" t="s">
        <v>435</v>
      </c>
      <c r="F464" s="232" t="s">
        <v>436</v>
      </c>
      <c r="G464" s="232" t="s">
        <v>1323</v>
      </c>
      <c r="K464" t="s">
        <v>2647</v>
      </c>
      <c r="L464" s="81">
        <f>+Municipios!AB465</f>
        <v>36.517004786258127</v>
      </c>
      <c r="M464" s="232">
        <v>5315</v>
      </c>
      <c r="N464" s="232" t="s">
        <v>1383</v>
      </c>
      <c r="O464" s="232" t="s">
        <v>435</v>
      </c>
      <c r="P464" s="232" t="s">
        <v>436</v>
      </c>
      <c r="Q464" s="232" t="s">
        <v>1323</v>
      </c>
      <c r="T464" t="s">
        <v>2803</v>
      </c>
      <c r="U464" s="25">
        <f>+Municipios!Z465</f>
        <v>68.098560071165934</v>
      </c>
      <c r="V464" s="232">
        <v>5315</v>
      </c>
      <c r="W464" s="232" t="s">
        <v>1383</v>
      </c>
      <c r="X464" s="232" t="s">
        <v>435</v>
      </c>
      <c r="Y464" s="232" t="s">
        <v>436</v>
      </c>
      <c r="Z464" s="232" t="s">
        <v>1323</v>
      </c>
    </row>
    <row r="465" spans="1:26">
      <c r="A465" t="s">
        <v>417</v>
      </c>
      <c r="B465" s="25">
        <f>+Municipios!Z466</f>
        <v>52.721210512341457</v>
      </c>
      <c r="C465" s="232">
        <v>25483</v>
      </c>
      <c r="D465" s="232" t="s">
        <v>1384</v>
      </c>
      <c r="E465" s="232" t="s">
        <v>461</v>
      </c>
      <c r="F465" s="232" t="s">
        <v>462</v>
      </c>
      <c r="G465" s="232" t="s">
        <v>673</v>
      </c>
      <c r="K465" t="s">
        <v>2647</v>
      </c>
      <c r="L465" s="81">
        <f>+Municipios!AB466</f>
        <v>28.100679390988876</v>
      </c>
      <c r="M465" s="232">
        <v>25483</v>
      </c>
      <c r="N465" s="232" t="s">
        <v>1384</v>
      </c>
      <c r="O465" s="232" t="s">
        <v>461</v>
      </c>
      <c r="P465" s="232" t="s">
        <v>462</v>
      </c>
      <c r="Q465" s="232" t="s">
        <v>673</v>
      </c>
      <c r="T465" t="s">
        <v>2803</v>
      </c>
      <c r="U465" s="25">
        <f>+Municipios!Z466</f>
        <v>52.721210512341457</v>
      </c>
      <c r="V465" s="232">
        <v>25483</v>
      </c>
      <c r="W465" s="232" t="s">
        <v>1384</v>
      </c>
      <c r="X465" s="232" t="s">
        <v>461</v>
      </c>
      <c r="Y465" s="232" t="s">
        <v>462</v>
      </c>
      <c r="Z465" s="232" t="s">
        <v>673</v>
      </c>
    </row>
    <row r="466" spans="1:26">
      <c r="A466" t="s">
        <v>417</v>
      </c>
      <c r="B466" s="25">
        <f>+Municipios!Z467</f>
        <v>56.909663539695451</v>
      </c>
      <c r="C466" s="232">
        <v>25807</v>
      </c>
      <c r="D466" s="232" t="s">
        <v>1385</v>
      </c>
      <c r="E466" s="232" t="s">
        <v>461</v>
      </c>
      <c r="F466" s="232" t="s">
        <v>462</v>
      </c>
      <c r="G466" s="232" t="s">
        <v>1386</v>
      </c>
      <c r="K466" t="s">
        <v>2647</v>
      </c>
      <c r="L466" s="81">
        <f>+Municipios!AB467</f>
        <v>30.448282068603028</v>
      </c>
      <c r="M466" s="232">
        <v>25807</v>
      </c>
      <c r="N466" s="232" t="s">
        <v>1385</v>
      </c>
      <c r="O466" s="232" t="s">
        <v>461</v>
      </c>
      <c r="P466" s="232" t="s">
        <v>462</v>
      </c>
      <c r="Q466" s="232" t="s">
        <v>1386</v>
      </c>
      <c r="T466" t="s">
        <v>2803</v>
      </c>
      <c r="U466" s="25">
        <f>+Municipios!Z467</f>
        <v>56.909663539695451</v>
      </c>
      <c r="V466" s="232">
        <v>25807</v>
      </c>
      <c r="W466" s="232" t="s">
        <v>1385</v>
      </c>
      <c r="X466" s="232" t="s">
        <v>461</v>
      </c>
      <c r="Y466" s="232" t="s">
        <v>462</v>
      </c>
      <c r="Z466" s="232" t="s">
        <v>1386</v>
      </c>
    </row>
    <row r="467" spans="1:26">
      <c r="A467" t="s">
        <v>417</v>
      </c>
      <c r="B467" s="25">
        <f>+Municipios!Z468</f>
        <v>69.319654312617899</v>
      </c>
      <c r="C467" s="232">
        <v>52378</v>
      </c>
      <c r="D467" s="232" t="s">
        <v>1387</v>
      </c>
      <c r="E467" s="232" t="s">
        <v>672</v>
      </c>
      <c r="F467" s="232" t="s">
        <v>673</v>
      </c>
      <c r="G467" s="232" t="s">
        <v>1388</v>
      </c>
      <c r="K467" t="s">
        <v>2647</v>
      </c>
      <c r="L467" s="81">
        <f>+Municipios!AB468</f>
        <v>36.976397257341603</v>
      </c>
      <c r="M467" s="232">
        <v>52378</v>
      </c>
      <c r="N467" s="232" t="s">
        <v>1387</v>
      </c>
      <c r="O467" s="232" t="s">
        <v>672</v>
      </c>
      <c r="P467" s="232" t="s">
        <v>673</v>
      </c>
      <c r="Q467" s="232" t="s">
        <v>1388</v>
      </c>
      <c r="T467" t="s">
        <v>2803</v>
      </c>
      <c r="U467" s="25">
        <f>+Municipios!Z468</f>
        <v>69.319654312617899</v>
      </c>
      <c r="V467" s="232">
        <v>52378</v>
      </c>
      <c r="W467" s="232" t="s">
        <v>1387</v>
      </c>
      <c r="X467" s="232" t="s">
        <v>672</v>
      </c>
      <c r="Y467" s="232" t="s">
        <v>673</v>
      </c>
      <c r="Z467" s="232" t="s">
        <v>1388</v>
      </c>
    </row>
    <row r="468" spans="1:26">
      <c r="A468" t="s">
        <v>417</v>
      </c>
      <c r="B468" s="25">
        <f>+Municipios!Z469</f>
        <v>52.489810206301499</v>
      </c>
      <c r="C468" s="232">
        <v>44560</v>
      </c>
      <c r="D468" s="232" t="s">
        <v>1389</v>
      </c>
      <c r="E468" s="232" t="s">
        <v>933</v>
      </c>
      <c r="F468" s="232" t="s">
        <v>934</v>
      </c>
      <c r="G468" s="232" t="s">
        <v>1193</v>
      </c>
      <c r="K468" t="s">
        <v>2647</v>
      </c>
      <c r="L468" s="81">
        <f>+Municipios!AB469</f>
        <v>28.004543668706976</v>
      </c>
      <c r="M468" s="232">
        <v>44560</v>
      </c>
      <c r="N468" s="232" t="s">
        <v>1389</v>
      </c>
      <c r="O468" s="232" t="s">
        <v>933</v>
      </c>
      <c r="P468" s="232" t="s">
        <v>934</v>
      </c>
      <c r="Q468" s="232" t="s">
        <v>1193</v>
      </c>
      <c r="T468" t="s">
        <v>2803</v>
      </c>
      <c r="U468" s="25">
        <f>+Municipios!Z469</f>
        <v>52.489810206301499</v>
      </c>
      <c r="V468" s="232">
        <v>44560</v>
      </c>
      <c r="W468" s="232" t="s">
        <v>1389</v>
      </c>
      <c r="X468" s="232" t="s">
        <v>933</v>
      </c>
      <c r="Y468" s="232" t="s">
        <v>934</v>
      </c>
      <c r="Z468" s="232" t="s">
        <v>1193</v>
      </c>
    </row>
    <row r="469" spans="1:26">
      <c r="A469" t="s">
        <v>417</v>
      </c>
      <c r="B469" s="25">
        <f>+Municipios!Z470</f>
        <v>67.535570739696198</v>
      </c>
      <c r="C469" s="232">
        <v>15632</v>
      </c>
      <c r="D469" s="232" t="s">
        <v>1390</v>
      </c>
      <c r="E469" s="232" t="s">
        <v>498</v>
      </c>
      <c r="F469" s="232" t="s">
        <v>499</v>
      </c>
      <c r="G469" s="232" t="s">
        <v>1391</v>
      </c>
      <c r="K469" t="s">
        <v>2647</v>
      </c>
      <c r="L469" s="81">
        <f>+Municipios!AB470</f>
        <v>35.870095527641766</v>
      </c>
      <c r="M469" s="232">
        <v>15632</v>
      </c>
      <c r="N469" s="232" t="s">
        <v>1390</v>
      </c>
      <c r="O469" s="232" t="s">
        <v>498</v>
      </c>
      <c r="P469" s="232" t="s">
        <v>499</v>
      </c>
      <c r="Q469" s="232" t="s">
        <v>1391</v>
      </c>
      <c r="T469" t="s">
        <v>2803</v>
      </c>
      <c r="U469" s="25">
        <f>+Municipios!Z470</f>
        <v>67.535570739696198</v>
      </c>
      <c r="V469" s="232">
        <v>15632</v>
      </c>
      <c r="W469" s="232" t="s">
        <v>1390</v>
      </c>
      <c r="X469" s="232" t="s">
        <v>498</v>
      </c>
      <c r="Y469" s="232" t="s">
        <v>499</v>
      </c>
      <c r="Z469" s="232" t="s">
        <v>1391</v>
      </c>
    </row>
    <row r="470" spans="1:26">
      <c r="A470" t="s">
        <v>417</v>
      </c>
      <c r="B470" s="25">
        <f>+Municipios!Z471</f>
        <v>48.731440011714007</v>
      </c>
      <c r="C470" s="232">
        <v>76243</v>
      </c>
      <c r="D470" s="232" t="s">
        <v>1392</v>
      </c>
      <c r="E470" s="232" t="s">
        <v>454</v>
      </c>
      <c r="F470" s="232" t="s">
        <v>455</v>
      </c>
      <c r="G470" s="232" t="s">
        <v>1393</v>
      </c>
      <c r="K470" t="s">
        <v>2647</v>
      </c>
      <c r="L470" s="81">
        <f>+Municipios!AB471</f>
        <v>25.97714531299648</v>
      </c>
      <c r="M470" s="232">
        <v>76243</v>
      </c>
      <c r="N470" s="232" t="s">
        <v>1392</v>
      </c>
      <c r="O470" s="232" t="s">
        <v>454</v>
      </c>
      <c r="P470" s="232" t="s">
        <v>455</v>
      </c>
      <c r="Q470" s="232" t="s">
        <v>1393</v>
      </c>
      <c r="T470" t="s">
        <v>2803</v>
      </c>
      <c r="U470" s="25">
        <f>+Municipios!Z471</f>
        <v>48.731440011714007</v>
      </c>
      <c r="V470" s="232">
        <v>76243</v>
      </c>
      <c r="W470" s="232" t="s">
        <v>1392</v>
      </c>
      <c r="X470" s="232" t="s">
        <v>454</v>
      </c>
      <c r="Y470" s="232" t="s">
        <v>455</v>
      </c>
      <c r="Z470" s="232" t="s">
        <v>1393</v>
      </c>
    </row>
    <row r="471" spans="1:26">
      <c r="A471" t="s">
        <v>417</v>
      </c>
      <c r="B471" s="25">
        <f>+Municipios!Z472</f>
        <v>48.800309388207282</v>
      </c>
      <c r="C471" s="232">
        <v>52786</v>
      </c>
      <c r="D471" s="232" t="s">
        <v>1394</v>
      </c>
      <c r="E471" s="232" t="s">
        <v>672</v>
      </c>
      <c r="F471" s="232" t="s">
        <v>673</v>
      </c>
      <c r="G471" s="232" t="s">
        <v>1395</v>
      </c>
      <c r="K471" t="s">
        <v>2647</v>
      </c>
      <c r="L471" s="81">
        <f>+Municipios!AB472</f>
        <v>26.026507241182774</v>
      </c>
      <c r="M471" s="232">
        <v>52786</v>
      </c>
      <c r="N471" s="232" t="s">
        <v>1394</v>
      </c>
      <c r="O471" s="232" t="s">
        <v>672</v>
      </c>
      <c r="P471" s="232" t="s">
        <v>673</v>
      </c>
      <c r="Q471" s="232" t="s">
        <v>1395</v>
      </c>
      <c r="T471" t="s">
        <v>2803</v>
      </c>
      <c r="U471" s="25">
        <f>+Municipios!Z472</f>
        <v>48.800309388207282</v>
      </c>
      <c r="V471" s="232">
        <v>52786</v>
      </c>
      <c r="W471" s="232" t="s">
        <v>1394</v>
      </c>
      <c r="X471" s="232" t="s">
        <v>672</v>
      </c>
      <c r="Y471" s="232" t="s">
        <v>673</v>
      </c>
      <c r="Z471" s="232" t="s">
        <v>1395</v>
      </c>
    </row>
    <row r="472" spans="1:26">
      <c r="A472" t="s">
        <v>417</v>
      </c>
      <c r="B472" s="25">
        <f>+Municipios!Z473</f>
        <v>45.362505379494436</v>
      </c>
      <c r="C472" s="232">
        <v>5856</v>
      </c>
      <c r="D472" s="232" t="s">
        <v>1396</v>
      </c>
      <c r="E472" s="232" t="s">
        <v>435</v>
      </c>
      <c r="F472" s="232" t="s">
        <v>436</v>
      </c>
      <c r="G472" s="232" t="s">
        <v>1397</v>
      </c>
      <c r="K472" t="s">
        <v>2647</v>
      </c>
      <c r="L472" s="81">
        <f>+Municipios!AB473</f>
        <v>24.253460746644503</v>
      </c>
      <c r="M472" s="232">
        <v>5856</v>
      </c>
      <c r="N472" s="232" t="s">
        <v>1396</v>
      </c>
      <c r="O472" s="232" t="s">
        <v>435</v>
      </c>
      <c r="P472" s="232" t="s">
        <v>436</v>
      </c>
      <c r="Q472" s="232" t="s">
        <v>1397</v>
      </c>
      <c r="T472" t="s">
        <v>2803</v>
      </c>
      <c r="U472" s="25">
        <f>+Municipios!Z473</f>
        <v>45.362505379494436</v>
      </c>
      <c r="V472" s="232">
        <v>5856</v>
      </c>
      <c r="W472" s="232" t="s">
        <v>1396</v>
      </c>
      <c r="X472" s="232" t="s">
        <v>435</v>
      </c>
      <c r="Y472" s="232" t="s">
        <v>436</v>
      </c>
      <c r="Z472" s="232" t="s">
        <v>1397</v>
      </c>
    </row>
    <row r="473" spans="1:26">
      <c r="A473" t="s">
        <v>417</v>
      </c>
      <c r="B473" s="25">
        <f>+Municipios!Z474</f>
        <v>55.039400711150115</v>
      </c>
      <c r="C473" s="232">
        <v>19743</v>
      </c>
      <c r="D473" s="232" t="s">
        <v>1398</v>
      </c>
      <c r="E473" s="232" t="s">
        <v>557</v>
      </c>
      <c r="F473" s="232" t="s">
        <v>558</v>
      </c>
      <c r="G473" s="232" t="s">
        <v>1399</v>
      </c>
      <c r="K473" t="s">
        <v>2647</v>
      </c>
      <c r="L473" s="81">
        <f>+Municipios!AB474</f>
        <v>29.35513813509429</v>
      </c>
      <c r="M473" s="232">
        <v>19743</v>
      </c>
      <c r="N473" s="232" t="s">
        <v>1398</v>
      </c>
      <c r="O473" s="232" t="s">
        <v>557</v>
      </c>
      <c r="P473" s="232" t="s">
        <v>558</v>
      </c>
      <c r="Q473" s="232" t="s">
        <v>1399</v>
      </c>
      <c r="T473" t="s">
        <v>2803</v>
      </c>
      <c r="U473" s="25">
        <f>+Municipios!Z474</f>
        <v>55.039400711150115</v>
      </c>
      <c r="V473" s="232">
        <v>19743</v>
      </c>
      <c r="W473" s="232" t="s">
        <v>1398</v>
      </c>
      <c r="X473" s="232" t="s">
        <v>557</v>
      </c>
      <c r="Y473" s="232" t="s">
        <v>558</v>
      </c>
      <c r="Z473" s="232" t="s">
        <v>1399</v>
      </c>
    </row>
    <row r="474" spans="1:26">
      <c r="A474" t="s">
        <v>417</v>
      </c>
      <c r="B474" s="25">
        <f>+Municipios!Z475</f>
        <v>67.843974812836109</v>
      </c>
      <c r="C474" s="232">
        <v>15187</v>
      </c>
      <c r="D474" s="232" t="s">
        <v>1400</v>
      </c>
      <c r="E474" s="232" t="s">
        <v>498</v>
      </c>
      <c r="F474" s="232" t="s">
        <v>499</v>
      </c>
      <c r="G474" s="232" t="s">
        <v>1401</v>
      </c>
      <c r="K474" t="s">
        <v>2647</v>
      </c>
      <c r="L474" s="81">
        <f>+Municipios!AB475</f>
        <v>36.050605691690372</v>
      </c>
      <c r="M474" s="232">
        <v>15187</v>
      </c>
      <c r="N474" s="232" t="s">
        <v>1400</v>
      </c>
      <c r="O474" s="232" t="s">
        <v>498</v>
      </c>
      <c r="P474" s="232" t="s">
        <v>499</v>
      </c>
      <c r="Q474" s="232" t="s">
        <v>1401</v>
      </c>
      <c r="T474" t="s">
        <v>2803</v>
      </c>
      <c r="U474" s="25">
        <f>+Municipios!Z475</f>
        <v>67.843974812836109</v>
      </c>
      <c r="V474" s="232">
        <v>15187</v>
      </c>
      <c r="W474" s="232" t="s">
        <v>1400</v>
      </c>
      <c r="X474" s="232" t="s">
        <v>498</v>
      </c>
      <c r="Y474" s="232" t="s">
        <v>499</v>
      </c>
      <c r="Z474" s="232" t="s">
        <v>1401</v>
      </c>
    </row>
    <row r="475" spans="1:26">
      <c r="A475" t="s">
        <v>417</v>
      </c>
      <c r="B475" s="25">
        <f>+Municipios!Z476</f>
        <v>50.575227931580287</v>
      </c>
      <c r="C475" s="232">
        <v>13300</v>
      </c>
      <c r="D475" s="232" t="s">
        <v>1402</v>
      </c>
      <c r="E475" s="232" t="s">
        <v>480</v>
      </c>
      <c r="F475" s="232" t="s">
        <v>481</v>
      </c>
      <c r="G475" s="232" t="s">
        <v>1403</v>
      </c>
      <c r="K475" t="s">
        <v>2647</v>
      </c>
      <c r="L475" s="81">
        <f>+Municipios!AB476</f>
        <v>26.909044379218273</v>
      </c>
      <c r="M475" s="232">
        <v>13300</v>
      </c>
      <c r="N475" s="232" t="s">
        <v>1402</v>
      </c>
      <c r="O475" s="232" t="s">
        <v>480</v>
      </c>
      <c r="P475" s="232" t="s">
        <v>481</v>
      </c>
      <c r="Q475" s="232" t="s">
        <v>1403</v>
      </c>
      <c r="T475" t="s">
        <v>2803</v>
      </c>
      <c r="U475" s="25">
        <f>+Municipios!Z476</f>
        <v>50.575227931580287</v>
      </c>
      <c r="V475" s="232">
        <v>13300</v>
      </c>
      <c r="W475" s="232" t="s">
        <v>1402</v>
      </c>
      <c r="X475" s="232" t="s">
        <v>480</v>
      </c>
      <c r="Y475" s="232" t="s">
        <v>481</v>
      </c>
      <c r="Z475" s="232" t="s">
        <v>1403</v>
      </c>
    </row>
    <row r="476" spans="1:26">
      <c r="A476" t="s">
        <v>417</v>
      </c>
      <c r="B476" s="25">
        <f>+Municipios!Z477</f>
        <v>53.945310914852243</v>
      </c>
      <c r="C476" s="232">
        <v>68147</v>
      </c>
      <c r="D476" s="232" t="s">
        <v>1404</v>
      </c>
      <c r="E476" s="232" t="s">
        <v>431</v>
      </c>
      <c r="F476" s="232" t="s">
        <v>432</v>
      </c>
      <c r="G476" s="232" t="s">
        <v>1405</v>
      </c>
      <c r="K476" t="s">
        <v>2647</v>
      </c>
      <c r="L476" s="81">
        <f>+Municipios!AB477</f>
        <v>28.715683033364627</v>
      </c>
      <c r="M476" s="232">
        <v>68147</v>
      </c>
      <c r="N476" s="232" t="s">
        <v>1404</v>
      </c>
      <c r="O476" s="232" t="s">
        <v>431</v>
      </c>
      <c r="P476" s="232" t="s">
        <v>432</v>
      </c>
      <c r="Q476" s="232" t="s">
        <v>1405</v>
      </c>
      <c r="T476" t="s">
        <v>2803</v>
      </c>
      <c r="U476" s="25">
        <f>+Municipios!Z477</f>
        <v>53.945310914852243</v>
      </c>
      <c r="V476" s="232">
        <v>68147</v>
      </c>
      <c r="W476" s="232" t="s">
        <v>1404</v>
      </c>
      <c r="X476" s="232" t="s">
        <v>431</v>
      </c>
      <c r="Y476" s="232" t="s">
        <v>432</v>
      </c>
      <c r="Z476" s="232" t="s">
        <v>1405</v>
      </c>
    </row>
    <row r="477" spans="1:26">
      <c r="A477" t="s">
        <v>417</v>
      </c>
      <c r="B477" s="25">
        <f>+Municipios!Z478</f>
        <v>55.699132036852575</v>
      </c>
      <c r="C477" s="232">
        <v>19785</v>
      </c>
      <c r="D477" s="232" t="s">
        <v>1406</v>
      </c>
      <c r="E477" s="232" t="s">
        <v>557</v>
      </c>
      <c r="F477" s="232" t="s">
        <v>558</v>
      </c>
      <c r="G477" s="232" t="s">
        <v>495</v>
      </c>
      <c r="K477" t="s">
        <v>2647</v>
      </c>
      <c r="L477" s="81">
        <f>+Municipios!AB478</f>
        <v>29.577265233382739</v>
      </c>
      <c r="M477" s="232">
        <v>19785</v>
      </c>
      <c r="N477" s="232" t="s">
        <v>1406</v>
      </c>
      <c r="O477" s="232" t="s">
        <v>557</v>
      </c>
      <c r="P477" s="232" t="s">
        <v>558</v>
      </c>
      <c r="Q477" s="232" t="s">
        <v>495</v>
      </c>
      <c r="T477" t="s">
        <v>2803</v>
      </c>
      <c r="U477" s="25">
        <f>+Municipios!Z478</f>
        <v>55.699132036852575</v>
      </c>
      <c r="V477" s="232">
        <v>19785</v>
      </c>
      <c r="W477" s="232" t="s">
        <v>1406</v>
      </c>
      <c r="X477" s="232" t="s">
        <v>557</v>
      </c>
      <c r="Y477" s="232" t="s">
        <v>558</v>
      </c>
      <c r="Z477" s="232" t="s">
        <v>495</v>
      </c>
    </row>
    <row r="478" spans="1:26">
      <c r="A478" t="s">
        <v>417</v>
      </c>
      <c r="B478" s="25">
        <f>+Municipios!Z479</f>
        <v>58.244001685309158</v>
      </c>
      <c r="C478" s="232">
        <v>23350</v>
      </c>
      <c r="D478" s="232" t="s">
        <v>1407</v>
      </c>
      <c r="E478" s="232" t="s">
        <v>567</v>
      </c>
      <c r="F478" s="232" t="s">
        <v>568</v>
      </c>
      <c r="G478" s="232" t="s">
        <v>1408</v>
      </c>
      <c r="K478" t="s">
        <v>2647</v>
      </c>
      <c r="L478" s="81">
        <f>+Municipios!AB479</f>
        <v>31.002260025295872</v>
      </c>
      <c r="M478" s="232">
        <v>23350</v>
      </c>
      <c r="N478" s="232" t="s">
        <v>1407</v>
      </c>
      <c r="O478" s="232" t="s">
        <v>567</v>
      </c>
      <c r="P478" s="232" t="s">
        <v>568</v>
      </c>
      <c r="Q478" s="232" t="s">
        <v>1408</v>
      </c>
      <c r="T478" t="s">
        <v>2803</v>
      </c>
      <c r="U478" s="25">
        <f>+Municipios!Z479</f>
        <v>58.244001685309158</v>
      </c>
      <c r="V478" s="232">
        <v>23350</v>
      </c>
      <c r="W478" s="232" t="s">
        <v>1407</v>
      </c>
      <c r="X478" s="232" t="s">
        <v>567</v>
      </c>
      <c r="Y478" s="232" t="s">
        <v>568</v>
      </c>
      <c r="Z478" s="232" t="s">
        <v>1408</v>
      </c>
    </row>
    <row r="479" spans="1:26">
      <c r="A479" t="s">
        <v>417</v>
      </c>
      <c r="B479" s="25">
        <f>+Municipios!Z480</f>
        <v>61.639934591537212</v>
      </c>
      <c r="C479" s="232">
        <v>68229</v>
      </c>
      <c r="D479" s="232" t="s">
        <v>1409</v>
      </c>
      <c r="E479" s="232" t="s">
        <v>431</v>
      </c>
      <c r="F479" s="232" t="s">
        <v>432</v>
      </c>
      <c r="G479" s="232" t="s">
        <v>1410</v>
      </c>
      <c r="K479" t="s">
        <v>2647</v>
      </c>
      <c r="L479" s="81">
        <f>+Municipios!AB480</f>
        <v>32.989502797648584</v>
      </c>
      <c r="M479" s="232">
        <v>68229</v>
      </c>
      <c r="N479" s="232" t="s">
        <v>1409</v>
      </c>
      <c r="O479" s="232" t="s">
        <v>431</v>
      </c>
      <c r="P479" s="232" t="s">
        <v>432</v>
      </c>
      <c r="Q479" s="232" t="s">
        <v>1410</v>
      </c>
      <c r="T479" t="s">
        <v>2803</v>
      </c>
      <c r="U479" s="25">
        <f>+Municipios!Z480</f>
        <v>61.639934591537212</v>
      </c>
      <c r="V479" s="232">
        <v>68229</v>
      </c>
      <c r="W479" s="232" t="s">
        <v>1409</v>
      </c>
      <c r="X479" s="232" t="s">
        <v>431</v>
      </c>
      <c r="Y479" s="232" t="s">
        <v>432</v>
      </c>
      <c r="Z479" s="232" t="s">
        <v>1410</v>
      </c>
    </row>
    <row r="480" spans="1:26">
      <c r="A480" t="s">
        <v>417</v>
      </c>
      <c r="B480" s="25">
        <f>+Municipios!Z481</f>
        <v>66.590022026407098</v>
      </c>
      <c r="C480" s="232">
        <v>15740</v>
      </c>
      <c r="D480" s="232" t="s">
        <v>1411</v>
      </c>
      <c r="E480" s="232" t="s">
        <v>498</v>
      </c>
      <c r="F480" s="232" t="s">
        <v>499</v>
      </c>
      <c r="G480" s="232" t="s">
        <v>1412</v>
      </c>
      <c r="K480" t="s">
        <v>2647</v>
      </c>
      <c r="L480" s="81">
        <f>+Municipios!AB481</f>
        <v>35.319319939702474</v>
      </c>
      <c r="M480" s="232">
        <v>15740</v>
      </c>
      <c r="N480" s="232" t="s">
        <v>1411</v>
      </c>
      <c r="O480" s="232" t="s">
        <v>498</v>
      </c>
      <c r="P480" s="232" t="s">
        <v>499</v>
      </c>
      <c r="Q480" s="232" t="s">
        <v>1412</v>
      </c>
      <c r="T480" t="s">
        <v>2803</v>
      </c>
      <c r="U480" s="25">
        <f>+Municipios!Z481</f>
        <v>66.590022026407098</v>
      </c>
      <c r="V480" s="232">
        <v>15740</v>
      </c>
      <c r="W480" s="232" t="s">
        <v>1411</v>
      </c>
      <c r="X480" s="232" t="s">
        <v>498</v>
      </c>
      <c r="Y480" s="232" t="s">
        <v>499</v>
      </c>
      <c r="Z480" s="232" t="s">
        <v>1412</v>
      </c>
    </row>
    <row r="481" spans="1:26">
      <c r="A481" t="s">
        <v>417</v>
      </c>
      <c r="B481" s="25">
        <f>+Municipios!Z482</f>
        <v>63.22679250780557</v>
      </c>
      <c r="C481" s="232">
        <v>44078</v>
      </c>
      <c r="D481" s="232" t="s">
        <v>1413</v>
      </c>
      <c r="E481" s="232" t="s">
        <v>933</v>
      </c>
      <c r="F481" s="232" t="s">
        <v>934</v>
      </c>
      <c r="G481" s="232" t="s">
        <v>1414</v>
      </c>
      <c r="K481" t="s">
        <v>2647</v>
      </c>
      <c r="L481" s="81">
        <f>+Municipios!AB482</f>
        <v>33.580564519439591</v>
      </c>
      <c r="M481" s="232">
        <v>44078</v>
      </c>
      <c r="N481" s="232" t="s">
        <v>1413</v>
      </c>
      <c r="O481" s="232" t="s">
        <v>933</v>
      </c>
      <c r="P481" s="232" t="s">
        <v>934</v>
      </c>
      <c r="Q481" s="232" t="s">
        <v>1414</v>
      </c>
      <c r="T481" t="s">
        <v>2803</v>
      </c>
      <c r="U481" s="25">
        <f>+Municipios!Z482</f>
        <v>63.22679250780557</v>
      </c>
      <c r="V481" s="232">
        <v>44078</v>
      </c>
      <c r="W481" s="232" t="s">
        <v>1413</v>
      </c>
      <c r="X481" s="232" t="s">
        <v>933</v>
      </c>
      <c r="Y481" s="232" t="s">
        <v>934</v>
      </c>
      <c r="Z481" s="232" t="s">
        <v>1414</v>
      </c>
    </row>
    <row r="482" spans="1:26">
      <c r="A482" t="s">
        <v>417</v>
      </c>
      <c r="B482" s="25">
        <f>+Municipios!Z483</f>
        <v>63.386068820421428</v>
      </c>
      <c r="C482" s="232">
        <v>52687</v>
      </c>
      <c r="D482" s="232" t="s">
        <v>1415</v>
      </c>
      <c r="E482" s="232" t="s">
        <v>672</v>
      </c>
      <c r="F482" s="232" t="s">
        <v>673</v>
      </c>
      <c r="G482" s="232" t="s">
        <v>1416</v>
      </c>
      <c r="K482" t="s">
        <v>2647</v>
      </c>
      <c r="L482" s="81">
        <f>+Municipios!AB483</f>
        <v>33.686304312195269</v>
      </c>
      <c r="M482" s="232">
        <v>52687</v>
      </c>
      <c r="N482" s="232" t="s">
        <v>1415</v>
      </c>
      <c r="O482" s="232" t="s">
        <v>672</v>
      </c>
      <c r="P482" s="232" t="s">
        <v>673</v>
      </c>
      <c r="Q482" s="232" t="s">
        <v>1416</v>
      </c>
      <c r="T482" t="s">
        <v>2803</v>
      </c>
      <c r="U482" s="25">
        <f>+Municipios!Z483</f>
        <v>63.386068820421428</v>
      </c>
      <c r="V482" s="232">
        <v>52687</v>
      </c>
      <c r="W482" s="232" t="s">
        <v>1415</v>
      </c>
      <c r="X482" s="232" t="s">
        <v>672</v>
      </c>
      <c r="Y482" s="232" t="s">
        <v>673</v>
      </c>
      <c r="Z482" s="232" t="s">
        <v>1416</v>
      </c>
    </row>
    <row r="483" spans="1:26">
      <c r="A483" t="s">
        <v>417</v>
      </c>
      <c r="B483" s="25">
        <f>+Municipios!Z484</f>
        <v>58.711117263860629</v>
      </c>
      <c r="C483" s="232">
        <v>41530</v>
      </c>
      <c r="D483" s="232" t="s">
        <v>1417</v>
      </c>
      <c r="E483" s="232" t="s">
        <v>676</v>
      </c>
      <c r="F483" s="232" t="s">
        <v>677</v>
      </c>
      <c r="G483" s="232" t="s">
        <v>765</v>
      </c>
      <c r="K483" t="s">
        <v>2647</v>
      </c>
      <c r="L483" s="81">
        <f>+Municipios!AB484</f>
        <v>31.133121282898514</v>
      </c>
      <c r="M483" s="232">
        <v>41530</v>
      </c>
      <c r="N483" s="232" t="s">
        <v>1417</v>
      </c>
      <c r="O483" s="232" t="s">
        <v>676</v>
      </c>
      <c r="P483" s="232" t="s">
        <v>677</v>
      </c>
      <c r="Q483" s="232" t="s">
        <v>765</v>
      </c>
      <c r="T483" t="s">
        <v>2803</v>
      </c>
      <c r="U483" s="25">
        <f>+Municipios!Z484</f>
        <v>58.711117263860629</v>
      </c>
      <c r="V483" s="232">
        <v>41530</v>
      </c>
      <c r="W483" s="232" t="s">
        <v>1417</v>
      </c>
      <c r="X483" s="232" t="s">
        <v>676</v>
      </c>
      <c r="Y483" s="232" t="s">
        <v>677</v>
      </c>
      <c r="Z483" s="232" t="s">
        <v>765</v>
      </c>
    </row>
    <row r="484" spans="1:26">
      <c r="A484" t="s">
        <v>417</v>
      </c>
      <c r="B484" s="25">
        <f>+Municipios!Z485</f>
        <v>59.533965320478011</v>
      </c>
      <c r="C484" s="232">
        <v>52411</v>
      </c>
      <c r="D484" s="232" t="s">
        <v>1418</v>
      </c>
      <c r="E484" s="232" t="s">
        <v>672</v>
      </c>
      <c r="F484" s="232" t="s">
        <v>673</v>
      </c>
      <c r="G484" s="232" t="s">
        <v>1419</v>
      </c>
      <c r="K484" t="s">
        <v>2647</v>
      </c>
      <c r="L484" s="81">
        <f>+Municipios!AB485</f>
        <v>31.606197351038734</v>
      </c>
      <c r="M484" s="232">
        <v>52411</v>
      </c>
      <c r="N484" s="232" t="s">
        <v>1418</v>
      </c>
      <c r="O484" s="232" t="s">
        <v>672</v>
      </c>
      <c r="P484" s="232" t="s">
        <v>673</v>
      </c>
      <c r="Q484" s="232" t="s">
        <v>1419</v>
      </c>
      <c r="T484" t="s">
        <v>2803</v>
      </c>
      <c r="U484" s="25">
        <f>+Municipios!Z485</f>
        <v>59.533965320478011</v>
      </c>
      <c r="V484" s="232">
        <v>52411</v>
      </c>
      <c r="W484" s="232" t="s">
        <v>1418</v>
      </c>
      <c r="X484" s="232" t="s">
        <v>672</v>
      </c>
      <c r="Y484" s="232" t="s">
        <v>673</v>
      </c>
      <c r="Z484" s="232" t="s">
        <v>1419</v>
      </c>
    </row>
    <row r="485" spans="1:26">
      <c r="A485" t="s">
        <v>417</v>
      </c>
      <c r="B485" s="25">
        <f>+Municipios!Z486</f>
        <v>55.523880736926941</v>
      </c>
      <c r="C485" s="232">
        <v>19022</v>
      </c>
      <c r="D485" s="232" t="s">
        <v>1420</v>
      </c>
      <c r="E485" s="232" t="s">
        <v>557</v>
      </c>
      <c r="F485" s="232" t="s">
        <v>558</v>
      </c>
      <c r="G485" s="232" t="s">
        <v>1421</v>
      </c>
      <c r="K485" t="s">
        <v>2647</v>
      </c>
      <c r="L485" s="81">
        <f>+Municipios!AB486</f>
        <v>29.685456366593428</v>
      </c>
      <c r="M485" s="232">
        <v>19022</v>
      </c>
      <c r="N485" s="232" t="s">
        <v>1420</v>
      </c>
      <c r="O485" s="232" t="s">
        <v>557</v>
      </c>
      <c r="P485" s="232" t="s">
        <v>558</v>
      </c>
      <c r="Q485" s="232" t="s">
        <v>1421</v>
      </c>
      <c r="T485" t="s">
        <v>2803</v>
      </c>
      <c r="U485" s="25">
        <f>+Municipios!Z486</f>
        <v>55.523880736926941</v>
      </c>
      <c r="V485" s="232">
        <v>19022</v>
      </c>
      <c r="W485" s="232" t="s">
        <v>1420</v>
      </c>
      <c r="X485" s="232" t="s">
        <v>557</v>
      </c>
      <c r="Y485" s="232" t="s">
        <v>558</v>
      </c>
      <c r="Z485" s="232" t="s">
        <v>1421</v>
      </c>
    </row>
    <row r="486" spans="1:26">
      <c r="A486" t="s">
        <v>417</v>
      </c>
      <c r="B486" s="25">
        <f>+Municipios!Z487</f>
        <v>59.034150462307608</v>
      </c>
      <c r="C486" s="232">
        <v>54261</v>
      </c>
      <c r="D486" s="232" t="s">
        <v>1422</v>
      </c>
      <c r="E486" s="232" t="s">
        <v>517</v>
      </c>
      <c r="F486" s="232" t="s">
        <v>518</v>
      </c>
      <c r="G486" s="232" t="s">
        <v>1423</v>
      </c>
      <c r="K486" t="s">
        <v>2647</v>
      </c>
      <c r="L486" s="81">
        <f>+Municipios!AB487</f>
        <v>31.410166706918975</v>
      </c>
      <c r="M486" s="232">
        <v>54261</v>
      </c>
      <c r="N486" s="232" t="s">
        <v>1422</v>
      </c>
      <c r="O486" s="232" t="s">
        <v>517</v>
      </c>
      <c r="P486" s="232" t="s">
        <v>518</v>
      </c>
      <c r="Q486" s="232" t="s">
        <v>1423</v>
      </c>
      <c r="T486" t="s">
        <v>2803</v>
      </c>
      <c r="U486" s="25">
        <f>+Municipios!Z487</f>
        <v>59.034150462307608</v>
      </c>
      <c r="V486" s="232">
        <v>54261</v>
      </c>
      <c r="W486" s="232" t="s">
        <v>1422</v>
      </c>
      <c r="X486" s="232" t="s">
        <v>517</v>
      </c>
      <c r="Y486" s="232" t="s">
        <v>518</v>
      </c>
      <c r="Z486" s="232" t="s">
        <v>1423</v>
      </c>
    </row>
    <row r="487" spans="1:26">
      <c r="A487" t="s">
        <v>417</v>
      </c>
      <c r="B487" s="25">
        <f>+Municipios!Z488</f>
        <v>63.218209207520104</v>
      </c>
      <c r="C487" s="232">
        <v>20710</v>
      </c>
      <c r="D487" s="232" t="s">
        <v>1424</v>
      </c>
      <c r="E487" s="232" t="s">
        <v>893</v>
      </c>
      <c r="F487" s="232" t="s">
        <v>894</v>
      </c>
      <c r="G487" s="232" t="s">
        <v>1425</v>
      </c>
      <c r="K487" t="s">
        <v>2647</v>
      </c>
      <c r="L487" s="81">
        <f>+Municipios!AB488</f>
        <v>33.48588585347602</v>
      </c>
      <c r="M487" s="232">
        <v>20710</v>
      </c>
      <c r="N487" s="232" t="s">
        <v>1424</v>
      </c>
      <c r="O487" s="232" t="s">
        <v>893</v>
      </c>
      <c r="P487" s="232" t="s">
        <v>894</v>
      </c>
      <c r="Q487" s="232" t="s">
        <v>1425</v>
      </c>
      <c r="T487" t="s">
        <v>2803</v>
      </c>
      <c r="U487" s="25">
        <f>+Municipios!Z488</f>
        <v>63.218209207520104</v>
      </c>
      <c r="V487" s="232">
        <v>20710</v>
      </c>
      <c r="W487" s="232" t="s">
        <v>1424</v>
      </c>
      <c r="X487" s="232" t="s">
        <v>893</v>
      </c>
      <c r="Y487" s="232" t="s">
        <v>894</v>
      </c>
      <c r="Z487" s="232" t="s">
        <v>1425</v>
      </c>
    </row>
    <row r="488" spans="1:26">
      <c r="A488" t="s">
        <v>417</v>
      </c>
      <c r="B488" s="25">
        <f>+Municipios!Z489</f>
        <v>58.674125668095471</v>
      </c>
      <c r="C488" s="232">
        <v>68051</v>
      </c>
      <c r="D488" s="232" t="s">
        <v>1426</v>
      </c>
      <c r="E488" s="232" t="s">
        <v>431</v>
      </c>
      <c r="F488" s="232" t="s">
        <v>432</v>
      </c>
      <c r="G488" s="232" t="s">
        <v>1427</v>
      </c>
      <c r="K488" t="s">
        <v>2647</v>
      </c>
      <c r="L488" s="81">
        <f>+Municipios!AB489</f>
        <v>31.332105020778425</v>
      </c>
      <c r="M488" s="232">
        <v>68051</v>
      </c>
      <c r="N488" s="232" t="s">
        <v>1426</v>
      </c>
      <c r="O488" s="232" t="s">
        <v>431</v>
      </c>
      <c r="P488" s="232" t="s">
        <v>432</v>
      </c>
      <c r="Q488" s="232" t="s">
        <v>1427</v>
      </c>
      <c r="T488" t="s">
        <v>2803</v>
      </c>
      <c r="U488" s="25">
        <f>+Municipios!Z489</f>
        <v>58.674125668095471</v>
      </c>
      <c r="V488" s="232">
        <v>68051</v>
      </c>
      <c r="W488" s="232" t="s">
        <v>1426</v>
      </c>
      <c r="X488" s="232" t="s">
        <v>431</v>
      </c>
      <c r="Y488" s="232" t="s">
        <v>432</v>
      </c>
      <c r="Z488" s="232" t="s">
        <v>1427</v>
      </c>
    </row>
    <row r="489" spans="1:26">
      <c r="A489" t="s">
        <v>417</v>
      </c>
      <c r="B489" s="25">
        <f>+Municipios!Z490</f>
        <v>48.48702261270941</v>
      </c>
      <c r="C489" s="232">
        <v>20310</v>
      </c>
      <c r="D489" s="232" t="s">
        <v>1428</v>
      </c>
      <c r="E489" s="232" t="s">
        <v>893</v>
      </c>
      <c r="F489" s="232" t="s">
        <v>894</v>
      </c>
      <c r="G489" s="232" t="s">
        <v>1429</v>
      </c>
      <c r="K489" t="s">
        <v>2647</v>
      </c>
      <c r="L489" s="81">
        <f>+Municipios!AB490</f>
        <v>25.683375878880184</v>
      </c>
      <c r="M489" s="232">
        <v>20310</v>
      </c>
      <c r="N489" s="232" t="s">
        <v>1428</v>
      </c>
      <c r="O489" s="232" t="s">
        <v>893</v>
      </c>
      <c r="P489" s="232" t="s">
        <v>894</v>
      </c>
      <c r="Q489" s="232" t="s">
        <v>1429</v>
      </c>
      <c r="T489" t="s">
        <v>2803</v>
      </c>
      <c r="U489" s="25">
        <f>+Municipios!Z490</f>
        <v>48.48702261270941</v>
      </c>
      <c r="V489" s="232">
        <v>20310</v>
      </c>
      <c r="W489" s="232" t="s">
        <v>1428</v>
      </c>
      <c r="X489" s="232" t="s">
        <v>893</v>
      </c>
      <c r="Y489" s="232" t="s">
        <v>894</v>
      </c>
      <c r="Z489" s="232" t="s">
        <v>1429</v>
      </c>
    </row>
    <row r="490" spans="1:26">
      <c r="A490" t="s">
        <v>417</v>
      </c>
      <c r="B490" s="25">
        <f>+Municipios!Z491</f>
        <v>55.972537558932686</v>
      </c>
      <c r="C490" s="232">
        <v>15272</v>
      </c>
      <c r="D490" s="232" t="s">
        <v>1430</v>
      </c>
      <c r="E490" s="232" t="s">
        <v>498</v>
      </c>
      <c r="F490" s="232" t="s">
        <v>499</v>
      </c>
      <c r="G490" s="232" t="s">
        <v>1431</v>
      </c>
      <c r="K490" t="s">
        <v>2647</v>
      </c>
      <c r="L490" s="81">
        <f>+Municipios!AB491</f>
        <v>29.651281125769032</v>
      </c>
      <c r="M490" s="232">
        <v>15272</v>
      </c>
      <c r="N490" s="232" t="s">
        <v>1430</v>
      </c>
      <c r="O490" s="232" t="s">
        <v>498</v>
      </c>
      <c r="P490" s="232" t="s">
        <v>499</v>
      </c>
      <c r="Q490" s="232" t="s">
        <v>1431</v>
      </c>
      <c r="T490" t="s">
        <v>2803</v>
      </c>
      <c r="U490" s="25">
        <f>+Municipios!Z491</f>
        <v>55.972537558932686</v>
      </c>
      <c r="V490" s="232">
        <v>15272</v>
      </c>
      <c r="W490" s="232" t="s">
        <v>1430</v>
      </c>
      <c r="X490" s="232" t="s">
        <v>498</v>
      </c>
      <c r="Y490" s="232" t="s">
        <v>499</v>
      </c>
      <c r="Z490" s="232" t="s">
        <v>1431</v>
      </c>
    </row>
    <row r="491" spans="1:26">
      <c r="A491" t="s">
        <v>417</v>
      </c>
      <c r="B491" s="25">
        <f>+Municipios!Z492</f>
        <v>61.002978630857797</v>
      </c>
      <c r="C491" s="232">
        <v>68861</v>
      </c>
      <c r="D491" s="232" t="s">
        <v>1432</v>
      </c>
      <c r="E491" s="232" t="s">
        <v>431</v>
      </c>
      <c r="F491" s="232" t="s">
        <v>432</v>
      </c>
      <c r="G491" s="232" t="s">
        <v>1433</v>
      </c>
      <c r="K491" t="s">
        <v>2647</v>
      </c>
      <c r="L491" s="81">
        <f>+Municipios!AB492</f>
        <v>32.237286646091896</v>
      </c>
      <c r="M491" s="232">
        <v>68861</v>
      </c>
      <c r="N491" s="232" t="s">
        <v>1432</v>
      </c>
      <c r="O491" s="232" t="s">
        <v>431</v>
      </c>
      <c r="P491" s="232" t="s">
        <v>432</v>
      </c>
      <c r="Q491" s="232" t="s">
        <v>1433</v>
      </c>
      <c r="T491" t="s">
        <v>2803</v>
      </c>
      <c r="U491" s="25">
        <f>+Municipios!Z492</f>
        <v>61.002978630857797</v>
      </c>
      <c r="V491" s="232">
        <v>68861</v>
      </c>
      <c r="W491" s="232" t="s">
        <v>1432</v>
      </c>
      <c r="X491" s="232" t="s">
        <v>431</v>
      </c>
      <c r="Y491" s="232" t="s">
        <v>432</v>
      </c>
      <c r="Z491" s="232" t="s">
        <v>1433</v>
      </c>
    </row>
    <row r="492" spans="1:26">
      <c r="A492" t="s">
        <v>417</v>
      </c>
      <c r="B492" s="25">
        <f>+Municipios!Z493</f>
        <v>53.805429697526279</v>
      </c>
      <c r="C492" s="232">
        <v>25862</v>
      </c>
      <c r="D492" s="232" t="s">
        <v>1434</v>
      </c>
      <c r="E492" s="232" t="s">
        <v>461</v>
      </c>
      <c r="F492" s="232" t="s">
        <v>462</v>
      </c>
      <c r="G492" s="232" t="s">
        <v>1435</v>
      </c>
      <c r="K492" t="s">
        <v>2647</v>
      </c>
      <c r="L492" s="81">
        <f>+Municipios!AB493</f>
        <v>28.329891919150924</v>
      </c>
      <c r="M492" s="232">
        <v>25862</v>
      </c>
      <c r="N492" s="232" t="s">
        <v>1434</v>
      </c>
      <c r="O492" s="232" t="s">
        <v>461</v>
      </c>
      <c r="P492" s="232" t="s">
        <v>462</v>
      </c>
      <c r="Q492" s="232" t="s">
        <v>1435</v>
      </c>
      <c r="T492" t="s">
        <v>2803</v>
      </c>
      <c r="U492" s="25">
        <f>+Municipios!Z493</f>
        <v>53.805429697526279</v>
      </c>
      <c r="V492" s="232">
        <v>25862</v>
      </c>
      <c r="W492" s="232" t="s">
        <v>1434</v>
      </c>
      <c r="X492" s="232" t="s">
        <v>461</v>
      </c>
      <c r="Y492" s="232" t="s">
        <v>462</v>
      </c>
      <c r="Z492" s="232" t="s">
        <v>1435</v>
      </c>
    </row>
    <row r="493" spans="1:26">
      <c r="A493" t="s">
        <v>417</v>
      </c>
      <c r="B493" s="25">
        <f>+Municipios!Z494</f>
        <v>60.414651389078848</v>
      </c>
      <c r="C493" s="232">
        <v>54599</v>
      </c>
      <c r="D493" s="232" t="s">
        <v>1436</v>
      </c>
      <c r="E493" s="232" t="s">
        <v>517</v>
      </c>
      <c r="F493" s="232" t="s">
        <v>518</v>
      </c>
      <c r="G493" s="232" t="s">
        <v>1437</v>
      </c>
      <c r="K493" t="s">
        <v>2647</v>
      </c>
      <c r="L493" s="81">
        <f>+Municipios!AB494</f>
        <v>32.00845910861247</v>
      </c>
      <c r="M493" s="232">
        <v>54599</v>
      </c>
      <c r="N493" s="232" t="s">
        <v>1436</v>
      </c>
      <c r="O493" s="232" t="s">
        <v>517</v>
      </c>
      <c r="P493" s="232" t="s">
        <v>518</v>
      </c>
      <c r="Q493" s="232" t="s">
        <v>1437</v>
      </c>
      <c r="T493" t="s">
        <v>2803</v>
      </c>
      <c r="U493" s="25">
        <f>+Municipios!Z494</f>
        <v>60.414651389078848</v>
      </c>
      <c r="V493" s="232">
        <v>54599</v>
      </c>
      <c r="W493" s="232" t="s">
        <v>1436</v>
      </c>
      <c r="X493" s="232" t="s">
        <v>517</v>
      </c>
      <c r="Y493" s="232" t="s">
        <v>518</v>
      </c>
      <c r="Z493" s="232" t="s">
        <v>1437</v>
      </c>
    </row>
    <row r="494" spans="1:26">
      <c r="A494" t="s">
        <v>417</v>
      </c>
      <c r="B494" s="25">
        <f>+Municipios!Z495</f>
        <v>61.778578026786263</v>
      </c>
      <c r="C494" s="232">
        <v>23466</v>
      </c>
      <c r="D494" s="232" t="s">
        <v>1438</v>
      </c>
      <c r="E494" s="232" t="s">
        <v>567</v>
      </c>
      <c r="F494" s="232" t="s">
        <v>568</v>
      </c>
      <c r="G494" s="232" t="s">
        <v>1439</v>
      </c>
      <c r="K494" t="s">
        <v>2647</v>
      </c>
      <c r="L494" s="81">
        <f>+Municipios!AB495</f>
        <v>32.704160455183121</v>
      </c>
      <c r="M494" s="232">
        <v>23466</v>
      </c>
      <c r="N494" s="232" t="s">
        <v>1438</v>
      </c>
      <c r="O494" s="232" t="s">
        <v>567</v>
      </c>
      <c r="P494" s="232" t="s">
        <v>568</v>
      </c>
      <c r="Q494" s="232" t="s">
        <v>1439</v>
      </c>
      <c r="T494" t="s">
        <v>2803</v>
      </c>
      <c r="U494" s="25">
        <f>+Municipios!Z495</f>
        <v>61.778578026786263</v>
      </c>
      <c r="V494" s="232">
        <v>23466</v>
      </c>
      <c r="W494" s="232" t="s">
        <v>1438</v>
      </c>
      <c r="X494" s="232" t="s">
        <v>567</v>
      </c>
      <c r="Y494" s="232" t="s">
        <v>568</v>
      </c>
      <c r="Z494" s="232" t="s">
        <v>1439</v>
      </c>
    </row>
    <row r="495" spans="1:26">
      <c r="A495" t="s">
        <v>417</v>
      </c>
      <c r="B495" s="25">
        <f>+Municipios!Z496</f>
        <v>55.745550928894801</v>
      </c>
      <c r="C495" s="232">
        <v>5411</v>
      </c>
      <c r="D495" s="232" t="s">
        <v>1440</v>
      </c>
      <c r="E495" s="232" t="s">
        <v>435</v>
      </c>
      <c r="F495" s="232" t="s">
        <v>436</v>
      </c>
      <c r="G495" s="232" t="s">
        <v>1441</v>
      </c>
      <c r="K495" t="s">
        <v>2647</v>
      </c>
      <c r="L495" s="81">
        <f>+Municipios!AB496</f>
        <v>29.375814317944286</v>
      </c>
      <c r="M495" s="232">
        <v>5411</v>
      </c>
      <c r="N495" s="232" t="s">
        <v>1440</v>
      </c>
      <c r="O495" s="232" t="s">
        <v>435</v>
      </c>
      <c r="P495" s="232" t="s">
        <v>436</v>
      </c>
      <c r="Q495" s="232" t="s">
        <v>1441</v>
      </c>
      <c r="T495" t="s">
        <v>2803</v>
      </c>
      <c r="U495" s="25">
        <f>+Municipios!Z496</f>
        <v>55.745550928894801</v>
      </c>
      <c r="V495" s="232">
        <v>5411</v>
      </c>
      <c r="W495" s="232" t="s">
        <v>1440</v>
      </c>
      <c r="X495" s="232" t="s">
        <v>435</v>
      </c>
      <c r="Y495" s="232" t="s">
        <v>436</v>
      </c>
      <c r="Z495" s="232" t="s">
        <v>1441</v>
      </c>
    </row>
    <row r="496" spans="1:26">
      <c r="A496" t="s">
        <v>417</v>
      </c>
      <c r="B496" s="25">
        <f>+Municipios!Z497</f>
        <v>48.085073963539017</v>
      </c>
      <c r="C496" s="232">
        <v>5145</v>
      </c>
      <c r="D496" s="232" t="s">
        <v>1442</v>
      </c>
      <c r="E496" s="232" t="s">
        <v>435</v>
      </c>
      <c r="F496" s="232" t="s">
        <v>436</v>
      </c>
      <c r="G496" s="232" t="s">
        <v>1443</v>
      </c>
      <c r="K496" t="s">
        <v>2647</v>
      </c>
      <c r="L496" s="81">
        <f>+Municipios!AB497</f>
        <v>25.442766573926509</v>
      </c>
      <c r="M496" s="232">
        <v>5145</v>
      </c>
      <c r="N496" s="232" t="s">
        <v>1442</v>
      </c>
      <c r="O496" s="232" t="s">
        <v>435</v>
      </c>
      <c r="P496" s="232" t="s">
        <v>436</v>
      </c>
      <c r="Q496" s="232" t="s">
        <v>1443</v>
      </c>
      <c r="T496" t="s">
        <v>2803</v>
      </c>
      <c r="U496" s="25">
        <f>+Municipios!Z497</f>
        <v>48.085073963539017</v>
      </c>
      <c r="V496" s="232">
        <v>5145</v>
      </c>
      <c r="W496" s="232" t="s">
        <v>1442</v>
      </c>
      <c r="X496" s="232" t="s">
        <v>435</v>
      </c>
      <c r="Y496" s="232" t="s">
        <v>436</v>
      </c>
      <c r="Z496" s="232" t="s">
        <v>1443</v>
      </c>
    </row>
    <row r="497" spans="1:26">
      <c r="A497" t="s">
        <v>417</v>
      </c>
      <c r="B497" s="25">
        <f>+Municipios!Z498</f>
        <v>58.061561542319303</v>
      </c>
      <c r="C497" s="232">
        <v>68418</v>
      </c>
      <c r="D497" s="232" t="s">
        <v>1444</v>
      </c>
      <c r="E497" s="232" t="s">
        <v>431</v>
      </c>
      <c r="F497" s="232" t="s">
        <v>432</v>
      </c>
      <c r="G497" s="232" t="s">
        <v>1445</v>
      </c>
      <c r="K497" t="s">
        <v>2647</v>
      </c>
      <c r="L497" s="81">
        <f>+Municipios!AB498</f>
        <v>30.670319382738878</v>
      </c>
      <c r="M497" s="232">
        <v>68418</v>
      </c>
      <c r="N497" s="232" t="s">
        <v>1444</v>
      </c>
      <c r="O497" s="232" t="s">
        <v>431</v>
      </c>
      <c r="P497" s="232" t="s">
        <v>432</v>
      </c>
      <c r="Q497" s="232" t="s">
        <v>1445</v>
      </c>
      <c r="T497" t="s">
        <v>2803</v>
      </c>
      <c r="U497" s="25">
        <f>+Municipios!Z498</f>
        <v>58.061561542319303</v>
      </c>
      <c r="V497" s="232">
        <v>68418</v>
      </c>
      <c r="W497" s="232" t="s">
        <v>1444</v>
      </c>
      <c r="X497" s="232" t="s">
        <v>431</v>
      </c>
      <c r="Y497" s="232" t="s">
        <v>432</v>
      </c>
      <c r="Z497" s="232" t="s">
        <v>1445</v>
      </c>
    </row>
    <row r="498" spans="1:26">
      <c r="A498" t="s">
        <v>417</v>
      </c>
      <c r="B498" s="25">
        <f>+Municipios!Z499</f>
        <v>58.373395965658545</v>
      </c>
      <c r="C498" s="232">
        <v>15466</v>
      </c>
      <c r="D498" s="232" t="s">
        <v>1446</v>
      </c>
      <c r="E498" s="232" t="s">
        <v>498</v>
      </c>
      <c r="F498" s="232" t="s">
        <v>499</v>
      </c>
      <c r="G498" s="232" t="s">
        <v>1447</v>
      </c>
      <c r="K498" t="s">
        <v>2647</v>
      </c>
      <c r="L498" s="81">
        <f>+Municipios!AB499</f>
        <v>30.830325950174242</v>
      </c>
      <c r="M498" s="232">
        <v>15466</v>
      </c>
      <c r="N498" s="232" t="s">
        <v>1446</v>
      </c>
      <c r="O498" s="232" t="s">
        <v>498</v>
      </c>
      <c r="P498" s="232" t="s">
        <v>499</v>
      </c>
      <c r="Q498" s="232" t="s">
        <v>1447</v>
      </c>
      <c r="T498" t="s">
        <v>2803</v>
      </c>
      <c r="U498" s="25">
        <f>+Municipios!Z499</f>
        <v>58.373395965658545</v>
      </c>
      <c r="V498" s="232">
        <v>15466</v>
      </c>
      <c r="W498" s="232" t="s">
        <v>1446</v>
      </c>
      <c r="X498" s="232" t="s">
        <v>498</v>
      </c>
      <c r="Y498" s="232" t="s">
        <v>499</v>
      </c>
      <c r="Z498" s="232" t="s">
        <v>1447</v>
      </c>
    </row>
    <row r="499" spans="1:26">
      <c r="A499" t="s">
        <v>417</v>
      </c>
      <c r="B499" s="25">
        <f>+Municipios!Z500</f>
        <v>52.819194574714224</v>
      </c>
      <c r="C499" s="232">
        <v>47555</v>
      </c>
      <c r="D499" s="232" t="s">
        <v>1448</v>
      </c>
      <c r="E499" s="232" t="s">
        <v>638</v>
      </c>
      <c r="F499" s="232" t="s">
        <v>639</v>
      </c>
      <c r="G499" s="232" t="s">
        <v>1449</v>
      </c>
      <c r="K499" t="s">
        <v>2647</v>
      </c>
      <c r="L499" s="81">
        <f>+Municipios!AB500</f>
        <v>27.860327906872556</v>
      </c>
      <c r="M499" s="232">
        <v>47555</v>
      </c>
      <c r="N499" s="232" t="s">
        <v>1448</v>
      </c>
      <c r="O499" s="232" t="s">
        <v>638</v>
      </c>
      <c r="P499" s="232" t="s">
        <v>639</v>
      </c>
      <c r="Q499" s="232" t="s">
        <v>1449</v>
      </c>
      <c r="T499" t="s">
        <v>2803</v>
      </c>
      <c r="U499" s="25">
        <f>+Municipios!Z500</f>
        <v>52.819194574714224</v>
      </c>
      <c r="V499" s="232">
        <v>47555</v>
      </c>
      <c r="W499" s="232" t="s">
        <v>1448</v>
      </c>
      <c r="X499" s="232" t="s">
        <v>638</v>
      </c>
      <c r="Y499" s="232" t="s">
        <v>639</v>
      </c>
      <c r="Z499" s="232" t="s">
        <v>1449</v>
      </c>
    </row>
    <row r="500" spans="1:26">
      <c r="A500" t="s">
        <v>417</v>
      </c>
      <c r="B500" s="25">
        <f>+Municipios!Z501</f>
        <v>66.12853255601695</v>
      </c>
      <c r="C500" s="232">
        <v>50606</v>
      </c>
      <c r="D500" s="232" t="s">
        <v>1450</v>
      </c>
      <c r="E500" s="232" t="s">
        <v>605</v>
      </c>
      <c r="F500" s="232" t="s">
        <v>606</v>
      </c>
      <c r="G500" s="232" t="s">
        <v>837</v>
      </c>
      <c r="K500" t="s">
        <v>2647</v>
      </c>
      <c r="L500" s="81">
        <f>+Municipios!AB501</f>
        <v>34.765517706959898</v>
      </c>
      <c r="M500" s="232">
        <v>50606</v>
      </c>
      <c r="N500" s="232" t="s">
        <v>1450</v>
      </c>
      <c r="O500" s="232" t="s">
        <v>605</v>
      </c>
      <c r="P500" s="232" t="s">
        <v>606</v>
      </c>
      <c r="Q500" s="232" t="s">
        <v>837</v>
      </c>
      <c r="T500" t="s">
        <v>2803</v>
      </c>
      <c r="U500" s="25">
        <f>+Municipios!Z501</f>
        <v>66.12853255601695</v>
      </c>
      <c r="V500" s="232">
        <v>50606</v>
      </c>
      <c r="W500" s="232" t="s">
        <v>1450</v>
      </c>
      <c r="X500" s="232" t="s">
        <v>605</v>
      </c>
      <c r="Y500" s="232" t="s">
        <v>606</v>
      </c>
      <c r="Z500" s="232" t="s">
        <v>837</v>
      </c>
    </row>
    <row r="501" spans="1:26">
      <c r="A501" t="s">
        <v>417</v>
      </c>
      <c r="B501" s="25">
        <f>+Municipios!Z502</f>
        <v>61.104388554850161</v>
      </c>
      <c r="C501" s="232">
        <v>25322</v>
      </c>
      <c r="D501" s="232" t="s">
        <v>1451</v>
      </c>
      <c r="E501" s="232" t="s">
        <v>461</v>
      </c>
      <c r="F501" s="232" t="s">
        <v>462</v>
      </c>
      <c r="G501" s="232" t="s">
        <v>1452</v>
      </c>
      <c r="K501" t="s">
        <v>2647</v>
      </c>
      <c r="L501" s="81">
        <f>+Municipios!AB502</f>
        <v>32.116405534353106</v>
      </c>
      <c r="M501" s="232">
        <v>25322</v>
      </c>
      <c r="N501" s="232" t="s">
        <v>1451</v>
      </c>
      <c r="O501" s="232" t="s">
        <v>461</v>
      </c>
      <c r="P501" s="232" t="s">
        <v>462</v>
      </c>
      <c r="Q501" s="232" t="s">
        <v>1452</v>
      </c>
      <c r="T501" t="s">
        <v>2803</v>
      </c>
      <c r="U501" s="25">
        <f>+Municipios!Z502</f>
        <v>61.104388554850161</v>
      </c>
      <c r="V501" s="232">
        <v>25322</v>
      </c>
      <c r="W501" s="232" t="s">
        <v>1451</v>
      </c>
      <c r="X501" s="232" t="s">
        <v>461</v>
      </c>
      <c r="Y501" s="232" t="s">
        <v>462</v>
      </c>
      <c r="Z501" s="232" t="s">
        <v>1452</v>
      </c>
    </row>
    <row r="502" spans="1:26">
      <c r="A502" t="s">
        <v>417</v>
      </c>
      <c r="B502" s="25">
        <f>+Municipios!Z503</f>
        <v>61.828137894739726</v>
      </c>
      <c r="C502" s="232">
        <v>23570</v>
      </c>
      <c r="D502" s="232" t="s">
        <v>1453</v>
      </c>
      <c r="E502" s="232" t="s">
        <v>567</v>
      </c>
      <c r="F502" s="232" t="s">
        <v>568</v>
      </c>
      <c r="G502" s="232" t="s">
        <v>1454</v>
      </c>
      <c r="K502" t="s">
        <v>2647</v>
      </c>
      <c r="L502" s="81">
        <f>+Municipios!AB503</f>
        <v>32.59401367202819</v>
      </c>
      <c r="M502" s="232">
        <v>23570</v>
      </c>
      <c r="N502" s="232" t="s">
        <v>1453</v>
      </c>
      <c r="O502" s="232" t="s">
        <v>567</v>
      </c>
      <c r="P502" s="232" t="s">
        <v>568</v>
      </c>
      <c r="Q502" s="232" t="s">
        <v>1454</v>
      </c>
      <c r="T502" t="s">
        <v>2803</v>
      </c>
      <c r="U502" s="25">
        <f>+Municipios!Z503</f>
        <v>61.828137894739726</v>
      </c>
      <c r="V502" s="232">
        <v>23570</v>
      </c>
      <c r="W502" s="232" t="s">
        <v>1453</v>
      </c>
      <c r="X502" s="232" t="s">
        <v>567</v>
      </c>
      <c r="Y502" s="232" t="s">
        <v>568</v>
      </c>
      <c r="Z502" s="232" t="s">
        <v>1454</v>
      </c>
    </row>
    <row r="503" spans="1:26">
      <c r="A503" t="s">
        <v>417</v>
      </c>
      <c r="B503" s="25">
        <f>+Municipios!Z504</f>
        <v>53.592416360396165</v>
      </c>
      <c r="C503" s="232">
        <v>17653</v>
      </c>
      <c r="D503" s="232" t="s">
        <v>1455</v>
      </c>
      <c r="E503" s="232" t="s">
        <v>506</v>
      </c>
      <c r="F503" s="232" t="s">
        <v>507</v>
      </c>
      <c r="G503" s="232" t="s">
        <v>1278</v>
      </c>
      <c r="K503" t="s">
        <v>2647</v>
      </c>
      <c r="L503" s="81">
        <f>+Municipios!AB504</f>
        <v>28.31116425888332</v>
      </c>
      <c r="M503" s="232">
        <v>17653</v>
      </c>
      <c r="N503" s="232" t="s">
        <v>1455</v>
      </c>
      <c r="O503" s="232" t="s">
        <v>506</v>
      </c>
      <c r="P503" s="232" t="s">
        <v>507</v>
      </c>
      <c r="Q503" s="232" t="s">
        <v>1278</v>
      </c>
      <c r="T503" t="s">
        <v>2803</v>
      </c>
      <c r="U503" s="25">
        <f>+Municipios!Z504</f>
        <v>53.592416360396165</v>
      </c>
      <c r="V503" s="232">
        <v>17653</v>
      </c>
      <c r="W503" s="232" t="s">
        <v>1455</v>
      </c>
      <c r="X503" s="232" t="s">
        <v>506</v>
      </c>
      <c r="Y503" s="232" t="s">
        <v>507</v>
      </c>
      <c r="Z503" s="232" t="s">
        <v>1278</v>
      </c>
    </row>
    <row r="504" spans="1:26">
      <c r="A504" t="s">
        <v>417</v>
      </c>
      <c r="B504" s="25">
        <f>+Municipios!Z505</f>
        <v>55.042775608656058</v>
      </c>
      <c r="C504" s="232">
        <v>15162</v>
      </c>
      <c r="D504" s="232" t="s">
        <v>1456</v>
      </c>
      <c r="E504" s="232" t="s">
        <v>498</v>
      </c>
      <c r="F504" s="232" t="s">
        <v>499</v>
      </c>
      <c r="G504" s="232" t="s">
        <v>1457</v>
      </c>
      <c r="K504" t="s">
        <v>2647</v>
      </c>
      <c r="L504" s="81">
        <f>+Municipios!AB505</f>
        <v>29.079372739288775</v>
      </c>
      <c r="M504" s="232">
        <v>15162</v>
      </c>
      <c r="N504" s="232" t="s">
        <v>1456</v>
      </c>
      <c r="O504" s="232" t="s">
        <v>498</v>
      </c>
      <c r="P504" s="232" t="s">
        <v>499</v>
      </c>
      <c r="Q504" s="232" t="s">
        <v>1457</v>
      </c>
      <c r="T504" t="s">
        <v>2803</v>
      </c>
      <c r="U504" s="25">
        <f>+Municipios!Z505</f>
        <v>55.042775608656058</v>
      </c>
      <c r="V504" s="232">
        <v>15162</v>
      </c>
      <c r="W504" s="232" t="s">
        <v>1456</v>
      </c>
      <c r="X504" s="232" t="s">
        <v>498</v>
      </c>
      <c r="Y504" s="232" t="s">
        <v>499</v>
      </c>
      <c r="Z504" s="232" t="s">
        <v>1457</v>
      </c>
    </row>
    <row r="505" spans="1:26">
      <c r="A505" t="s">
        <v>417</v>
      </c>
      <c r="B505" s="25">
        <f>+Municipios!Z506</f>
        <v>61.773789457980747</v>
      </c>
      <c r="C505" s="232">
        <v>52788</v>
      </c>
      <c r="D505" s="232" t="s">
        <v>1458</v>
      </c>
      <c r="E505" s="232" t="s">
        <v>672</v>
      </c>
      <c r="F505" s="232" t="s">
        <v>673</v>
      </c>
      <c r="G505" s="232" t="s">
        <v>1459</v>
      </c>
      <c r="K505" t="s">
        <v>2647</v>
      </c>
      <c r="L505" s="81">
        <f>+Municipios!AB506</f>
        <v>32.584950515656132</v>
      </c>
      <c r="M505" s="232">
        <v>52788</v>
      </c>
      <c r="N505" s="232" t="s">
        <v>1458</v>
      </c>
      <c r="O505" s="232" t="s">
        <v>672</v>
      </c>
      <c r="P505" s="232" t="s">
        <v>673</v>
      </c>
      <c r="Q505" s="232" t="s">
        <v>1459</v>
      </c>
      <c r="T505" t="s">
        <v>2803</v>
      </c>
      <c r="U505" s="25">
        <f>+Municipios!Z506</f>
        <v>61.773789457980747</v>
      </c>
      <c r="V505" s="232">
        <v>52788</v>
      </c>
      <c r="W505" s="232" t="s">
        <v>1458</v>
      </c>
      <c r="X505" s="232" t="s">
        <v>672</v>
      </c>
      <c r="Y505" s="232" t="s">
        <v>673</v>
      </c>
      <c r="Z505" s="232" t="s">
        <v>1459</v>
      </c>
    </row>
    <row r="506" spans="1:26">
      <c r="A506" t="s">
        <v>417</v>
      </c>
      <c r="B506" s="25">
        <f>+Municipios!Z507</f>
        <v>63.182869264625907</v>
      </c>
      <c r="C506" s="232">
        <v>25793</v>
      </c>
      <c r="D506" s="232" t="s">
        <v>1460</v>
      </c>
      <c r="E506" s="232" t="s">
        <v>461</v>
      </c>
      <c r="F506" s="232" t="s">
        <v>462</v>
      </c>
      <c r="G506" s="232" t="s">
        <v>1461</v>
      </c>
      <c r="K506" t="s">
        <v>2647</v>
      </c>
      <c r="L506" s="81">
        <f>+Municipios!AB507</f>
        <v>33.054827020761621</v>
      </c>
      <c r="M506" s="232">
        <v>25793</v>
      </c>
      <c r="N506" s="232" t="s">
        <v>1460</v>
      </c>
      <c r="O506" s="232" t="s">
        <v>461</v>
      </c>
      <c r="P506" s="232" t="s">
        <v>462</v>
      </c>
      <c r="Q506" s="232" t="s">
        <v>1461</v>
      </c>
      <c r="T506" t="s">
        <v>2803</v>
      </c>
      <c r="U506" s="25">
        <f>+Municipios!Z507</f>
        <v>63.182869264625907</v>
      </c>
      <c r="V506" s="232">
        <v>25793</v>
      </c>
      <c r="W506" s="232" t="s">
        <v>1460</v>
      </c>
      <c r="X506" s="232" t="s">
        <v>461</v>
      </c>
      <c r="Y506" s="232" t="s">
        <v>462</v>
      </c>
      <c r="Z506" s="232" t="s">
        <v>1461</v>
      </c>
    </row>
    <row r="507" spans="1:26">
      <c r="A507" t="s">
        <v>417</v>
      </c>
      <c r="B507" s="25">
        <f>+Municipios!Z508</f>
        <v>55.317998522584439</v>
      </c>
      <c r="C507" s="232">
        <v>18001</v>
      </c>
      <c r="D507" s="232" t="s">
        <v>1462</v>
      </c>
      <c r="E507" s="232" t="s">
        <v>1463</v>
      </c>
      <c r="F507" s="232" t="s">
        <v>1464</v>
      </c>
      <c r="G507" s="232" t="s">
        <v>1246</v>
      </c>
      <c r="K507" t="s">
        <v>2647</v>
      </c>
      <c r="L507" s="81">
        <f>+Municipios!AB508</f>
        <v>29.106861542739022</v>
      </c>
      <c r="M507" s="232">
        <v>18001</v>
      </c>
      <c r="N507" s="232" t="s">
        <v>1462</v>
      </c>
      <c r="O507" s="232" t="s">
        <v>1463</v>
      </c>
      <c r="P507" s="232" t="s">
        <v>1464</v>
      </c>
      <c r="Q507" s="232" t="s">
        <v>1246</v>
      </c>
      <c r="T507" t="s">
        <v>2803</v>
      </c>
      <c r="U507" s="25">
        <f>+Municipios!Z508</f>
        <v>55.317998522584439</v>
      </c>
      <c r="V507" s="232">
        <v>18001</v>
      </c>
      <c r="W507" s="232" t="s">
        <v>1462</v>
      </c>
      <c r="X507" s="232" t="s">
        <v>1463</v>
      </c>
      <c r="Y507" s="232" t="s">
        <v>1464</v>
      </c>
      <c r="Z507" s="232" t="s">
        <v>1246</v>
      </c>
    </row>
    <row r="508" spans="1:26">
      <c r="A508" t="s">
        <v>417</v>
      </c>
      <c r="B508" s="25">
        <f>+Municipios!Z509</f>
        <v>66.838064198881909</v>
      </c>
      <c r="C508" s="232">
        <v>15480</v>
      </c>
      <c r="D508" s="232" t="s">
        <v>1465</v>
      </c>
      <c r="E508" s="232" t="s">
        <v>498</v>
      </c>
      <c r="F508" s="232" t="s">
        <v>499</v>
      </c>
      <c r="G508" s="232" t="s">
        <v>1466</v>
      </c>
      <c r="K508" t="s">
        <v>2647</v>
      </c>
      <c r="L508" s="81">
        <f>+Municipios!AB509</f>
        <v>35.071721065769502</v>
      </c>
      <c r="M508" s="232">
        <v>15480</v>
      </c>
      <c r="N508" s="232" t="s">
        <v>1465</v>
      </c>
      <c r="O508" s="232" t="s">
        <v>498</v>
      </c>
      <c r="P508" s="232" t="s">
        <v>499</v>
      </c>
      <c r="Q508" s="232" t="s">
        <v>1466</v>
      </c>
      <c r="T508" t="s">
        <v>2803</v>
      </c>
      <c r="U508" s="25">
        <f>+Municipios!Z509</f>
        <v>66.838064198881909</v>
      </c>
      <c r="V508" s="232">
        <v>15480</v>
      </c>
      <c r="W508" s="232" t="s">
        <v>1465</v>
      </c>
      <c r="X508" s="232" t="s">
        <v>498</v>
      </c>
      <c r="Y508" s="232" t="s">
        <v>499</v>
      </c>
      <c r="Z508" s="232" t="s">
        <v>1466</v>
      </c>
    </row>
    <row r="509" spans="1:26">
      <c r="A509" t="s">
        <v>417</v>
      </c>
      <c r="B509" s="25">
        <f>+Municipios!Z510</f>
        <v>54.611284552943175</v>
      </c>
      <c r="C509" s="232">
        <v>52720</v>
      </c>
      <c r="D509" s="232" t="s">
        <v>1467</v>
      </c>
      <c r="E509" s="232" t="s">
        <v>672</v>
      </c>
      <c r="F509" s="232" t="s">
        <v>673</v>
      </c>
      <c r="G509" s="232" t="s">
        <v>1468</v>
      </c>
      <c r="K509" t="s">
        <v>2647</v>
      </c>
      <c r="L509" s="81">
        <f>+Municipios!AB510</f>
        <v>28.728260771142608</v>
      </c>
      <c r="M509" s="232">
        <v>52720</v>
      </c>
      <c r="N509" s="232" t="s">
        <v>1467</v>
      </c>
      <c r="O509" s="232" t="s">
        <v>672</v>
      </c>
      <c r="P509" s="232" t="s">
        <v>673</v>
      </c>
      <c r="Q509" s="232" t="s">
        <v>1468</v>
      </c>
      <c r="T509" t="s">
        <v>2803</v>
      </c>
      <c r="U509" s="25">
        <f>+Municipios!Z510</f>
        <v>54.611284552943175</v>
      </c>
      <c r="V509" s="232">
        <v>52720</v>
      </c>
      <c r="W509" s="232" t="s">
        <v>1467</v>
      </c>
      <c r="X509" s="232" t="s">
        <v>672</v>
      </c>
      <c r="Y509" s="232" t="s">
        <v>673</v>
      </c>
      <c r="Z509" s="232" t="s">
        <v>1468</v>
      </c>
    </row>
    <row r="510" spans="1:26">
      <c r="A510" t="s">
        <v>417</v>
      </c>
      <c r="B510" s="25">
        <f>+Municipios!Z511</f>
        <v>62.290080359908394</v>
      </c>
      <c r="C510" s="232">
        <v>54673</v>
      </c>
      <c r="D510" s="232" t="s">
        <v>1469</v>
      </c>
      <c r="E510" s="232" t="s">
        <v>517</v>
      </c>
      <c r="F510" s="232" t="s">
        <v>518</v>
      </c>
      <c r="G510" s="232" t="s">
        <v>1470</v>
      </c>
      <c r="K510" t="s">
        <v>2647</v>
      </c>
      <c r="L510" s="81">
        <f>+Municipios!AB511</f>
        <v>32.828990382994121</v>
      </c>
      <c r="M510" s="232">
        <v>54673</v>
      </c>
      <c r="N510" s="232" t="s">
        <v>1469</v>
      </c>
      <c r="O510" s="232" t="s">
        <v>517</v>
      </c>
      <c r="P510" s="232" t="s">
        <v>518</v>
      </c>
      <c r="Q510" s="232" t="s">
        <v>1470</v>
      </c>
      <c r="T510" t="s">
        <v>2803</v>
      </c>
      <c r="U510" s="25">
        <f>+Municipios!Z511</f>
        <v>62.290080359908394</v>
      </c>
      <c r="V510" s="232">
        <v>54673</v>
      </c>
      <c r="W510" s="232" t="s">
        <v>1469</v>
      </c>
      <c r="X510" s="232" t="s">
        <v>517</v>
      </c>
      <c r="Y510" s="232" t="s">
        <v>518</v>
      </c>
      <c r="Z510" s="232" t="s">
        <v>1470</v>
      </c>
    </row>
    <row r="511" spans="1:26">
      <c r="A511" t="s">
        <v>417</v>
      </c>
      <c r="B511" s="25">
        <f>+Municipios!Z512</f>
        <v>60.997905202738636</v>
      </c>
      <c r="C511" s="232">
        <v>25095</v>
      </c>
      <c r="D511" s="232" t="s">
        <v>1471</v>
      </c>
      <c r="E511" s="232" t="s">
        <v>461</v>
      </c>
      <c r="F511" s="232" t="s">
        <v>462</v>
      </c>
      <c r="G511" s="232" t="s">
        <v>1472</v>
      </c>
      <c r="K511" t="s">
        <v>2647</v>
      </c>
      <c r="L511" s="81">
        <f>+Municipios!AB512</f>
        <v>31.926280439540012</v>
      </c>
      <c r="M511" s="232">
        <v>25095</v>
      </c>
      <c r="N511" s="232" t="s">
        <v>1471</v>
      </c>
      <c r="O511" s="232" t="s">
        <v>461</v>
      </c>
      <c r="P511" s="232" t="s">
        <v>462</v>
      </c>
      <c r="Q511" s="232" t="s">
        <v>1472</v>
      </c>
      <c r="T511" t="s">
        <v>2803</v>
      </c>
      <c r="U511" s="25">
        <f>+Municipios!Z512</f>
        <v>60.997905202738636</v>
      </c>
      <c r="V511" s="232">
        <v>25095</v>
      </c>
      <c r="W511" s="232" t="s">
        <v>1471</v>
      </c>
      <c r="X511" s="232" t="s">
        <v>461</v>
      </c>
      <c r="Y511" s="232" t="s">
        <v>462</v>
      </c>
      <c r="Z511" s="232" t="s">
        <v>1472</v>
      </c>
    </row>
    <row r="512" spans="1:26">
      <c r="A512" t="s">
        <v>417</v>
      </c>
      <c r="B512" s="25">
        <f>+Municipios!Z513</f>
        <v>59.746195308397695</v>
      </c>
      <c r="C512" s="232">
        <v>54099</v>
      </c>
      <c r="D512" s="232" t="s">
        <v>1473</v>
      </c>
      <c r="E512" s="232" t="s">
        <v>517</v>
      </c>
      <c r="F512" s="232" t="s">
        <v>518</v>
      </c>
      <c r="G512" s="232" t="s">
        <v>1474</v>
      </c>
      <c r="K512" t="s">
        <v>2647</v>
      </c>
      <c r="L512" s="81">
        <f>+Municipios!AB513</f>
        <v>31.474793511160122</v>
      </c>
      <c r="M512" s="232">
        <v>54099</v>
      </c>
      <c r="N512" s="232" t="s">
        <v>1473</v>
      </c>
      <c r="O512" s="232" t="s">
        <v>517</v>
      </c>
      <c r="P512" s="232" t="s">
        <v>518</v>
      </c>
      <c r="Q512" s="232" t="s">
        <v>1474</v>
      </c>
      <c r="T512" t="s">
        <v>2803</v>
      </c>
      <c r="U512" s="25">
        <f>+Municipios!Z513</f>
        <v>59.746195308397695</v>
      </c>
      <c r="V512" s="232">
        <v>54099</v>
      </c>
      <c r="W512" s="232" t="s">
        <v>1473</v>
      </c>
      <c r="X512" s="232" t="s">
        <v>517</v>
      </c>
      <c r="Y512" s="232" t="s">
        <v>518</v>
      </c>
      <c r="Z512" s="232" t="s">
        <v>1474</v>
      </c>
    </row>
    <row r="513" spans="1:26">
      <c r="A513" t="s">
        <v>417</v>
      </c>
      <c r="B513" s="25">
        <f>+Municipios!Z514</f>
        <v>56.94300208186236</v>
      </c>
      <c r="C513" s="232">
        <v>25851</v>
      </c>
      <c r="D513" s="232" t="s">
        <v>1475</v>
      </c>
      <c r="E513" s="232" t="s">
        <v>461</v>
      </c>
      <c r="F513" s="232" t="s">
        <v>462</v>
      </c>
      <c r="G513" s="232" t="s">
        <v>1476</v>
      </c>
      <c r="K513" t="s">
        <v>2647</v>
      </c>
      <c r="L513" s="81">
        <f>+Municipios!AB514</f>
        <v>29.815100250589087</v>
      </c>
      <c r="M513" s="232">
        <v>25851</v>
      </c>
      <c r="N513" s="232" t="s">
        <v>1475</v>
      </c>
      <c r="O513" s="232" t="s">
        <v>461</v>
      </c>
      <c r="P513" s="232" t="s">
        <v>462</v>
      </c>
      <c r="Q513" s="232" t="s">
        <v>1476</v>
      </c>
      <c r="T513" t="s">
        <v>2803</v>
      </c>
      <c r="U513" s="25">
        <f>+Municipios!Z514</f>
        <v>56.94300208186236</v>
      </c>
      <c r="V513" s="232">
        <v>25851</v>
      </c>
      <c r="W513" s="232" t="s">
        <v>1475</v>
      </c>
      <c r="X513" s="232" t="s">
        <v>461</v>
      </c>
      <c r="Y513" s="232" t="s">
        <v>462</v>
      </c>
      <c r="Z513" s="232" t="s">
        <v>1476</v>
      </c>
    </row>
    <row r="514" spans="1:26">
      <c r="A514" t="s">
        <v>417</v>
      </c>
      <c r="B514" s="25">
        <f>+Municipios!Z515</f>
        <v>64.190666395768375</v>
      </c>
      <c r="C514" s="232">
        <v>20550</v>
      </c>
      <c r="D514" s="232" t="s">
        <v>1477</v>
      </c>
      <c r="E514" s="232" t="s">
        <v>893</v>
      </c>
      <c r="F514" s="232" t="s">
        <v>894</v>
      </c>
      <c r="G514" s="232" t="s">
        <v>1478</v>
      </c>
      <c r="K514" t="s">
        <v>2647</v>
      </c>
      <c r="L514" s="81">
        <f>+Municipios!AB515</f>
        <v>33.705881959815592</v>
      </c>
      <c r="M514" s="232">
        <v>20550</v>
      </c>
      <c r="N514" s="232" t="s">
        <v>1477</v>
      </c>
      <c r="O514" s="232" t="s">
        <v>893</v>
      </c>
      <c r="P514" s="232" t="s">
        <v>894</v>
      </c>
      <c r="Q514" s="232" t="s">
        <v>1478</v>
      </c>
      <c r="T514" t="s">
        <v>2803</v>
      </c>
      <c r="U514" s="25">
        <f>+Municipios!Z515</f>
        <v>64.190666395768375</v>
      </c>
      <c r="V514" s="232">
        <v>20550</v>
      </c>
      <c r="W514" s="232" t="s">
        <v>1477</v>
      </c>
      <c r="X514" s="232" t="s">
        <v>893</v>
      </c>
      <c r="Y514" s="232" t="s">
        <v>894</v>
      </c>
      <c r="Z514" s="232" t="s">
        <v>1478</v>
      </c>
    </row>
    <row r="515" spans="1:26">
      <c r="A515" t="s">
        <v>417</v>
      </c>
      <c r="B515" s="25">
        <f>+Municipios!Z516</f>
        <v>64.80198451281079</v>
      </c>
      <c r="C515" s="232">
        <v>5138</v>
      </c>
      <c r="D515" s="232" t="s">
        <v>1479</v>
      </c>
      <c r="E515" s="232" t="s">
        <v>435</v>
      </c>
      <c r="F515" s="232" t="s">
        <v>436</v>
      </c>
      <c r="G515" s="232" t="s">
        <v>1480</v>
      </c>
      <c r="K515" t="s">
        <v>2647</v>
      </c>
      <c r="L515" s="81">
        <f>+Municipios!AB516</f>
        <v>33.977697276642402</v>
      </c>
      <c r="M515" s="232">
        <v>5138</v>
      </c>
      <c r="N515" s="232" t="s">
        <v>1479</v>
      </c>
      <c r="O515" s="232" t="s">
        <v>435</v>
      </c>
      <c r="P515" s="232" t="s">
        <v>436</v>
      </c>
      <c r="Q515" s="232" t="s">
        <v>1480</v>
      </c>
      <c r="T515" t="s">
        <v>2803</v>
      </c>
      <c r="U515" s="25">
        <f>+Municipios!Z516</f>
        <v>64.80198451281079</v>
      </c>
      <c r="V515" s="232">
        <v>5138</v>
      </c>
      <c r="W515" s="232" t="s">
        <v>1479</v>
      </c>
      <c r="X515" s="232" t="s">
        <v>435</v>
      </c>
      <c r="Y515" s="232" t="s">
        <v>436</v>
      </c>
      <c r="Z515" s="232" t="s">
        <v>1480</v>
      </c>
    </row>
    <row r="516" spans="1:26">
      <c r="A516" t="s">
        <v>417</v>
      </c>
      <c r="B516" s="25">
        <f>+Municipios!Z517</f>
        <v>58.426484867450611</v>
      </c>
      <c r="C516" s="232">
        <v>20250</v>
      </c>
      <c r="D516" s="232" t="s">
        <v>1481</v>
      </c>
      <c r="E516" s="232" t="s">
        <v>893</v>
      </c>
      <c r="F516" s="232" t="s">
        <v>894</v>
      </c>
      <c r="G516" s="232" t="s">
        <v>1482</v>
      </c>
      <c r="K516" t="s">
        <v>2647</v>
      </c>
      <c r="L516" s="81">
        <f>+Municipios!AB517</f>
        <v>30.63800401117815</v>
      </c>
      <c r="M516" s="232">
        <v>20250</v>
      </c>
      <c r="N516" s="232" t="s">
        <v>1481</v>
      </c>
      <c r="O516" s="232" t="s">
        <v>893</v>
      </c>
      <c r="P516" s="232" t="s">
        <v>894</v>
      </c>
      <c r="Q516" s="232" t="s">
        <v>1482</v>
      </c>
      <c r="T516" t="s">
        <v>2803</v>
      </c>
      <c r="U516" s="25">
        <f>+Municipios!Z517</f>
        <v>58.426484867450611</v>
      </c>
      <c r="V516" s="232">
        <v>20250</v>
      </c>
      <c r="W516" s="232" t="s">
        <v>1481</v>
      </c>
      <c r="X516" s="232" t="s">
        <v>893</v>
      </c>
      <c r="Y516" s="232" t="s">
        <v>894</v>
      </c>
      <c r="Z516" s="232" t="s">
        <v>1482</v>
      </c>
    </row>
    <row r="517" spans="1:26">
      <c r="A517" t="s">
        <v>417</v>
      </c>
      <c r="B517" s="25">
        <f>+Municipios!Z518</f>
        <v>71.327760034206634</v>
      </c>
      <c r="C517" s="232">
        <v>15814</v>
      </c>
      <c r="D517" s="232" t="s">
        <v>1483</v>
      </c>
      <c r="E517" s="232" t="s">
        <v>498</v>
      </c>
      <c r="F517" s="232" t="s">
        <v>499</v>
      </c>
      <c r="G517" s="232" t="s">
        <v>1484</v>
      </c>
      <c r="K517" t="s">
        <v>2647</v>
      </c>
      <c r="L517" s="81">
        <f>+Municipios!AB518</f>
        <v>37.295345250475393</v>
      </c>
      <c r="M517" s="232">
        <v>15814</v>
      </c>
      <c r="N517" s="232" t="s">
        <v>1483</v>
      </c>
      <c r="O517" s="232" t="s">
        <v>498</v>
      </c>
      <c r="P517" s="232" t="s">
        <v>499</v>
      </c>
      <c r="Q517" s="232" t="s">
        <v>1484</v>
      </c>
      <c r="T517" t="s">
        <v>2803</v>
      </c>
      <c r="U517" s="25">
        <f>+Municipios!Z518</f>
        <v>71.327760034206634</v>
      </c>
      <c r="V517" s="232">
        <v>15814</v>
      </c>
      <c r="W517" s="232" t="s">
        <v>1483</v>
      </c>
      <c r="X517" s="232" t="s">
        <v>498</v>
      </c>
      <c r="Y517" s="232" t="s">
        <v>499</v>
      </c>
      <c r="Z517" s="232" t="s">
        <v>1484</v>
      </c>
    </row>
    <row r="518" spans="1:26">
      <c r="A518" t="s">
        <v>417</v>
      </c>
      <c r="B518" s="25">
        <f>+Municipios!Z519</f>
        <v>54.158768123507357</v>
      </c>
      <c r="C518" s="232">
        <v>5002</v>
      </c>
      <c r="D518" s="232" t="s">
        <v>1485</v>
      </c>
      <c r="E518" s="232" t="s">
        <v>435</v>
      </c>
      <c r="F518" s="232" t="s">
        <v>436</v>
      </c>
      <c r="G518" s="232" t="s">
        <v>1486</v>
      </c>
      <c r="K518" t="s">
        <v>2647</v>
      </c>
      <c r="L518" s="81">
        <f>+Municipios!AB519</f>
        <v>28.389769405543234</v>
      </c>
      <c r="M518" s="232">
        <v>5002</v>
      </c>
      <c r="N518" s="232" t="s">
        <v>1485</v>
      </c>
      <c r="O518" s="232" t="s">
        <v>435</v>
      </c>
      <c r="P518" s="232" t="s">
        <v>436</v>
      </c>
      <c r="Q518" s="232" t="s">
        <v>1486</v>
      </c>
      <c r="T518" t="s">
        <v>2803</v>
      </c>
      <c r="U518" s="25">
        <f>+Municipios!Z519</f>
        <v>54.158768123507357</v>
      </c>
      <c r="V518" s="232">
        <v>5002</v>
      </c>
      <c r="W518" s="232" t="s">
        <v>1485</v>
      </c>
      <c r="X518" s="232" t="s">
        <v>435</v>
      </c>
      <c r="Y518" s="232" t="s">
        <v>436</v>
      </c>
      <c r="Z518" s="232" t="s">
        <v>1486</v>
      </c>
    </row>
    <row r="519" spans="1:26">
      <c r="A519" t="s">
        <v>417</v>
      </c>
      <c r="B519" s="25">
        <f>+Municipios!Z520</f>
        <v>53.720210408710436</v>
      </c>
      <c r="C519" s="232">
        <v>68179</v>
      </c>
      <c r="D519" s="232" t="s">
        <v>1487</v>
      </c>
      <c r="E519" s="232" t="s">
        <v>431</v>
      </c>
      <c r="F519" s="232" t="s">
        <v>432</v>
      </c>
      <c r="G519" s="232" t="s">
        <v>1488</v>
      </c>
      <c r="K519" t="s">
        <v>2647</v>
      </c>
      <c r="L519" s="81">
        <f>+Municipios!AB520</f>
        <v>28.106928526336375</v>
      </c>
      <c r="M519" s="232">
        <v>68179</v>
      </c>
      <c r="N519" s="232" t="s">
        <v>1487</v>
      </c>
      <c r="O519" s="232" t="s">
        <v>431</v>
      </c>
      <c r="P519" s="232" t="s">
        <v>432</v>
      </c>
      <c r="Q519" s="232" t="s">
        <v>1488</v>
      </c>
      <c r="T519" t="s">
        <v>2803</v>
      </c>
      <c r="U519" s="25">
        <f>+Municipios!Z520</f>
        <v>53.720210408710436</v>
      </c>
      <c r="V519" s="232">
        <v>68179</v>
      </c>
      <c r="W519" s="232" t="s">
        <v>1487</v>
      </c>
      <c r="X519" s="232" t="s">
        <v>431</v>
      </c>
      <c r="Y519" s="232" t="s">
        <v>432</v>
      </c>
      <c r="Z519" s="232" t="s">
        <v>1488</v>
      </c>
    </row>
    <row r="520" spans="1:26">
      <c r="A520" t="s">
        <v>417</v>
      </c>
      <c r="B520" s="25">
        <f>+Municipios!Z521</f>
        <v>71.882566014671468</v>
      </c>
      <c r="C520" s="232">
        <v>25398</v>
      </c>
      <c r="D520" s="232" t="s">
        <v>1489</v>
      </c>
      <c r="E520" s="232" t="s">
        <v>461</v>
      </c>
      <c r="F520" s="232" t="s">
        <v>462</v>
      </c>
      <c r="G520" s="232" t="s">
        <v>1490</v>
      </c>
      <c r="K520" t="s">
        <v>2647</v>
      </c>
      <c r="L520" s="81">
        <f>+Municipios!AB521</f>
        <v>37.462626414863685</v>
      </c>
      <c r="M520" s="232">
        <v>25398</v>
      </c>
      <c r="N520" s="232" t="s">
        <v>1489</v>
      </c>
      <c r="O520" s="232" t="s">
        <v>461</v>
      </c>
      <c r="P520" s="232" t="s">
        <v>462</v>
      </c>
      <c r="Q520" s="232" t="s">
        <v>1490</v>
      </c>
      <c r="T520" t="s">
        <v>2803</v>
      </c>
      <c r="U520" s="25">
        <f>+Municipios!Z521</f>
        <v>71.882566014671468</v>
      </c>
      <c r="V520" s="232">
        <v>25398</v>
      </c>
      <c r="W520" s="232" t="s">
        <v>1489</v>
      </c>
      <c r="X520" s="232" t="s">
        <v>461</v>
      </c>
      <c r="Y520" s="232" t="s">
        <v>462</v>
      </c>
      <c r="Z520" s="232" t="s">
        <v>1490</v>
      </c>
    </row>
    <row r="521" spans="1:26">
      <c r="A521" t="s">
        <v>417</v>
      </c>
      <c r="B521" s="25">
        <f>+Municipios!Z522</f>
        <v>54.915147597144909</v>
      </c>
      <c r="C521" s="232">
        <v>15362</v>
      </c>
      <c r="D521" s="232" t="s">
        <v>1491</v>
      </c>
      <c r="E521" s="232" t="s">
        <v>498</v>
      </c>
      <c r="F521" s="232" t="s">
        <v>499</v>
      </c>
      <c r="G521" s="232" t="s">
        <v>1492</v>
      </c>
      <c r="K521" t="s">
        <v>2647</v>
      </c>
      <c r="L521" s="81">
        <f>+Municipios!AB522</f>
        <v>28.733716829560887</v>
      </c>
      <c r="M521" s="232">
        <v>15362</v>
      </c>
      <c r="N521" s="232" t="s">
        <v>1491</v>
      </c>
      <c r="O521" s="232" t="s">
        <v>498</v>
      </c>
      <c r="P521" s="232" t="s">
        <v>499</v>
      </c>
      <c r="Q521" s="232" t="s">
        <v>1492</v>
      </c>
      <c r="T521" t="s">
        <v>2803</v>
      </c>
      <c r="U521" s="25">
        <f>+Municipios!Z522</f>
        <v>54.915147597144909</v>
      </c>
      <c r="V521" s="232">
        <v>15362</v>
      </c>
      <c r="W521" s="232" t="s">
        <v>1491</v>
      </c>
      <c r="X521" s="232" t="s">
        <v>498</v>
      </c>
      <c r="Y521" s="232" t="s">
        <v>499</v>
      </c>
      <c r="Z521" s="232" t="s">
        <v>1492</v>
      </c>
    </row>
    <row r="522" spans="1:26">
      <c r="A522" t="s">
        <v>417</v>
      </c>
      <c r="B522" s="25">
        <f>+Municipios!Z523</f>
        <v>54.114943492303254</v>
      </c>
      <c r="C522" s="232">
        <v>47703</v>
      </c>
      <c r="D522" s="232" t="s">
        <v>1493</v>
      </c>
      <c r="E522" s="232" t="s">
        <v>638</v>
      </c>
      <c r="F522" s="232" t="s">
        <v>639</v>
      </c>
      <c r="G522" s="232" t="s">
        <v>1494</v>
      </c>
      <c r="K522" t="s">
        <v>2647</v>
      </c>
      <c r="L522" s="81">
        <f>+Municipios!AB523</f>
        <v>28.293352800681166</v>
      </c>
      <c r="M522" s="232">
        <v>47703</v>
      </c>
      <c r="N522" s="232" t="s">
        <v>1493</v>
      </c>
      <c r="O522" s="232" t="s">
        <v>638</v>
      </c>
      <c r="P522" s="232" t="s">
        <v>639</v>
      </c>
      <c r="Q522" s="232" t="s">
        <v>1494</v>
      </c>
      <c r="T522" t="s">
        <v>2803</v>
      </c>
      <c r="U522" s="25">
        <f>+Municipios!Z523</f>
        <v>54.114943492303254</v>
      </c>
      <c r="V522" s="232">
        <v>47703</v>
      </c>
      <c r="W522" s="232" t="s">
        <v>1493</v>
      </c>
      <c r="X522" s="232" t="s">
        <v>638</v>
      </c>
      <c r="Y522" s="232" t="s">
        <v>639</v>
      </c>
      <c r="Z522" s="232" t="s">
        <v>1494</v>
      </c>
    </row>
    <row r="523" spans="1:26">
      <c r="A523" t="s">
        <v>417</v>
      </c>
      <c r="B523" s="25">
        <f>+Municipios!Z524</f>
        <v>48.08350347873413</v>
      </c>
      <c r="C523" s="232">
        <v>68684</v>
      </c>
      <c r="D523" s="232" t="s">
        <v>1495</v>
      </c>
      <c r="E523" s="232" t="s">
        <v>431</v>
      </c>
      <c r="F523" s="232" t="s">
        <v>432</v>
      </c>
      <c r="G523" s="232" t="s">
        <v>1496</v>
      </c>
      <c r="K523" t="s">
        <v>2647</v>
      </c>
      <c r="L523" s="81">
        <f>+Municipios!AB524</f>
        <v>25.15723202048942</v>
      </c>
      <c r="M523" s="232">
        <v>68684</v>
      </c>
      <c r="N523" s="232" t="s">
        <v>1495</v>
      </c>
      <c r="O523" s="232" t="s">
        <v>431</v>
      </c>
      <c r="P523" s="232" t="s">
        <v>432</v>
      </c>
      <c r="Q523" s="232" t="s">
        <v>1496</v>
      </c>
      <c r="T523" t="s">
        <v>2803</v>
      </c>
      <c r="U523" s="25">
        <f>+Municipios!Z524</f>
        <v>48.08350347873413</v>
      </c>
      <c r="V523" s="232">
        <v>68684</v>
      </c>
      <c r="W523" s="232" t="s">
        <v>1495</v>
      </c>
      <c r="X523" s="232" t="s">
        <v>431</v>
      </c>
      <c r="Y523" s="232" t="s">
        <v>432</v>
      </c>
      <c r="Z523" s="232" t="s">
        <v>1496</v>
      </c>
    </row>
    <row r="524" spans="1:26">
      <c r="A524" t="s">
        <v>417</v>
      </c>
      <c r="B524" s="25">
        <f>+Municipios!Z525</f>
        <v>35.534169663559318</v>
      </c>
      <c r="C524" s="232">
        <v>47318</v>
      </c>
      <c r="D524" s="232" t="s">
        <v>1497</v>
      </c>
      <c r="E524" s="232" t="s">
        <v>638</v>
      </c>
      <c r="F524" s="232" t="s">
        <v>639</v>
      </c>
      <c r="G524" s="232" t="s">
        <v>1498</v>
      </c>
      <c r="K524" t="s">
        <v>2647</v>
      </c>
      <c r="L524" s="81">
        <f>+Municipios!AB525</f>
        <v>18.577260786536804</v>
      </c>
      <c r="M524" s="232">
        <v>47318</v>
      </c>
      <c r="N524" s="232" t="s">
        <v>1497</v>
      </c>
      <c r="O524" s="232" t="s">
        <v>638</v>
      </c>
      <c r="P524" s="232" t="s">
        <v>639</v>
      </c>
      <c r="Q524" s="232" t="s">
        <v>1498</v>
      </c>
      <c r="T524" t="s">
        <v>2803</v>
      </c>
      <c r="U524" s="25">
        <f>+Municipios!Z525</f>
        <v>35.534169663559318</v>
      </c>
      <c r="V524" s="232">
        <v>47318</v>
      </c>
      <c r="W524" s="232" t="s">
        <v>1497</v>
      </c>
      <c r="X524" s="232" t="s">
        <v>638</v>
      </c>
      <c r="Y524" s="232" t="s">
        <v>639</v>
      </c>
      <c r="Z524" s="232" t="s">
        <v>1498</v>
      </c>
    </row>
    <row r="525" spans="1:26">
      <c r="A525" t="s">
        <v>417</v>
      </c>
      <c r="B525" s="25">
        <f>+Municipios!Z526</f>
        <v>61.915614167373775</v>
      </c>
      <c r="C525" s="232">
        <v>25320</v>
      </c>
      <c r="D525" s="232" t="s">
        <v>1499</v>
      </c>
      <c r="E525" s="232" t="s">
        <v>461</v>
      </c>
      <c r="F525" s="232" t="s">
        <v>462</v>
      </c>
      <c r="G525" s="232" t="s">
        <v>1500</v>
      </c>
      <c r="K525" t="s">
        <v>2647</v>
      </c>
      <c r="L525" s="81">
        <f>+Municipios!AB526</f>
        <v>32.260057676696022</v>
      </c>
      <c r="M525" s="232">
        <v>25320</v>
      </c>
      <c r="N525" s="232" t="s">
        <v>1499</v>
      </c>
      <c r="O525" s="232" t="s">
        <v>461</v>
      </c>
      <c r="P525" s="232" t="s">
        <v>462</v>
      </c>
      <c r="Q525" s="232" t="s">
        <v>1500</v>
      </c>
      <c r="T525" t="s">
        <v>2803</v>
      </c>
      <c r="U525" s="25">
        <f>+Municipios!Z526</f>
        <v>61.915614167373775</v>
      </c>
      <c r="V525" s="232">
        <v>25320</v>
      </c>
      <c r="W525" s="232" t="s">
        <v>1499</v>
      </c>
      <c r="X525" s="232" t="s">
        <v>461</v>
      </c>
      <c r="Y525" s="232" t="s">
        <v>462</v>
      </c>
      <c r="Z525" s="232" t="s">
        <v>1500</v>
      </c>
    </row>
    <row r="526" spans="1:26">
      <c r="A526" t="s">
        <v>417</v>
      </c>
      <c r="B526" s="25">
        <f>+Municipios!Z527</f>
        <v>53.390988112931943</v>
      </c>
      <c r="C526" s="232">
        <v>52835</v>
      </c>
      <c r="D526" s="232" t="s">
        <v>1501</v>
      </c>
      <c r="E526" s="232" t="s">
        <v>672</v>
      </c>
      <c r="F526" s="232" t="s">
        <v>673</v>
      </c>
      <c r="G526" s="232" t="s">
        <v>1502</v>
      </c>
      <c r="K526" t="s">
        <v>2647</v>
      </c>
      <c r="L526" s="81">
        <f>+Municipios!AB527</f>
        <v>27.896580992347324</v>
      </c>
      <c r="M526" s="232">
        <v>52835</v>
      </c>
      <c r="N526" s="232" t="s">
        <v>1501</v>
      </c>
      <c r="O526" s="232" t="s">
        <v>672</v>
      </c>
      <c r="P526" s="232" t="s">
        <v>673</v>
      </c>
      <c r="Q526" s="232" t="s">
        <v>1502</v>
      </c>
      <c r="T526" t="s">
        <v>2803</v>
      </c>
      <c r="U526" s="25">
        <f>+Municipios!Z527</f>
        <v>53.390988112931943</v>
      </c>
      <c r="V526" s="232">
        <v>52835</v>
      </c>
      <c r="W526" s="232" t="s">
        <v>1501</v>
      </c>
      <c r="X526" s="232" t="s">
        <v>672</v>
      </c>
      <c r="Y526" s="232" t="s">
        <v>673</v>
      </c>
      <c r="Z526" s="232" t="s">
        <v>1502</v>
      </c>
    </row>
    <row r="527" spans="1:26">
      <c r="A527" t="s">
        <v>417</v>
      </c>
      <c r="B527" s="25">
        <f>+Municipios!Z528</f>
        <v>70.451676562771155</v>
      </c>
      <c r="C527" s="232">
        <v>15837</v>
      </c>
      <c r="D527" s="232" t="s">
        <v>1503</v>
      </c>
      <c r="E527" s="232" t="s">
        <v>498</v>
      </c>
      <c r="F527" s="232" t="s">
        <v>499</v>
      </c>
      <c r="G527" s="232" t="s">
        <v>1504</v>
      </c>
      <c r="K527" t="s">
        <v>2647</v>
      </c>
      <c r="L527" s="81">
        <f>+Municipios!AB528</f>
        <v>36.74510995828868</v>
      </c>
      <c r="M527" s="232">
        <v>15837</v>
      </c>
      <c r="N527" s="232" t="s">
        <v>1503</v>
      </c>
      <c r="O527" s="232" t="s">
        <v>498</v>
      </c>
      <c r="P527" s="232" t="s">
        <v>499</v>
      </c>
      <c r="Q527" s="232" t="s">
        <v>1504</v>
      </c>
      <c r="T527" t="s">
        <v>2803</v>
      </c>
      <c r="U527" s="25">
        <f>+Municipios!Z528</f>
        <v>70.451676562771155</v>
      </c>
      <c r="V527" s="232">
        <v>15837</v>
      </c>
      <c r="W527" s="232" t="s">
        <v>1503</v>
      </c>
      <c r="X527" s="232" t="s">
        <v>498</v>
      </c>
      <c r="Y527" s="232" t="s">
        <v>499</v>
      </c>
      <c r="Z527" s="232" t="s">
        <v>1504</v>
      </c>
    </row>
    <row r="528" spans="1:26">
      <c r="A528" t="s">
        <v>417</v>
      </c>
      <c r="B528" s="25">
        <f>+Municipios!Z529</f>
        <v>55.367237078276496</v>
      </c>
      <c r="C528" s="232">
        <v>44855</v>
      </c>
      <c r="D528" s="232" t="s">
        <v>1505</v>
      </c>
      <c r="E528" s="232" t="s">
        <v>933</v>
      </c>
      <c r="F528" s="232" t="s">
        <v>934</v>
      </c>
      <c r="G528" s="232" t="s">
        <v>1506</v>
      </c>
      <c r="K528" t="s">
        <v>2647</v>
      </c>
      <c r="L528" s="81">
        <f>+Municipios!AB529</f>
        <v>28.951791764229956</v>
      </c>
      <c r="M528" s="232">
        <v>44855</v>
      </c>
      <c r="N528" s="232" t="s">
        <v>1505</v>
      </c>
      <c r="O528" s="232" t="s">
        <v>933</v>
      </c>
      <c r="P528" s="232" t="s">
        <v>934</v>
      </c>
      <c r="Q528" s="232" t="s">
        <v>1506</v>
      </c>
      <c r="T528" t="s">
        <v>2803</v>
      </c>
      <c r="U528" s="25">
        <f>+Municipios!Z529</f>
        <v>55.367237078276496</v>
      </c>
      <c r="V528" s="232">
        <v>44855</v>
      </c>
      <c r="W528" s="232" t="s">
        <v>1505</v>
      </c>
      <c r="X528" s="232" t="s">
        <v>933</v>
      </c>
      <c r="Y528" s="232" t="s">
        <v>934</v>
      </c>
      <c r="Z528" s="232" t="s">
        <v>1506</v>
      </c>
    </row>
    <row r="529" spans="1:26">
      <c r="A529" t="s">
        <v>417</v>
      </c>
      <c r="B529" s="25">
        <f>+Municipios!Z530</f>
        <v>63.948345413429649</v>
      </c>
      <c r="C529" s="232">
        <v>17013</v>
      </c>
      <c r="D529" s="232" t="s">
        <v>1507</v>
      </c>
      <c r="E529" s="232" t="s">
        <v>506</v>
      </c>
      <c r="F529" s="232" t="s">
        <v>507</v>
      </c>
      <c r="G529" s="232" t="s">
        <v>1508</v>
      </c>
      <c r="K529" t="s">
        <v>2647</v>
      </c>
      <c r="L529" s="81">
        <f>+Municipios!AB530</f>
        <v>33.450774277344117</v>
      </c>
      <c r="M529" s="232">
        <v>17013</v>
      </c>
      <c r="N529" s="232" t="s">
        <v>1507</v>
      </c>
      <c r="O529" s="232" t="s">
        <v>506</v>
      </c>
      <c r="P529" s="232" t="s">
        <v>507</v>
      </c>
      <c r="Q529" s="232" t="s">
        <v>1508</v>
      </c>
      <c r="T529" t="s">
        <v>2803</v>
      </c>
      <c r="U529" s="25">
        <f>+Municipios!Z530</f>
        <v>63.948345413429649</v>
      </c>
      <c r="V529" s="232">
        <v>17013</v>
      </c>
      <c r="W529" s="232" t="s">
        <v>1507</v>
      </c>
      <c r="X529" s="232" t="s">
        <v>506</v>
      </c>
      <c r="Y529" s="232" t="s">
        <v>507</v>
      </c>
      <c r="Z529" s="232" t="s">
        <v>1508</v>
      </c>
    </row>
    <row r="530" spans="1:26">
      <c r="A530" t="s">
        <v>417</v>
      </c>
      <c r="B530" s="25">
        <f>+Municipios!Z531</f>
        <v>57.952557337905887</v>
      </c>
      <c r="C530" s="232">
        <v>68324</v>
      </c>
      <c r="D530" s="232" t="s">
        <v>1509</v>
      </c>
      <c r="E530" s="232" t="s">
        <v>431</v>
      </c>
      <c r="F530" s="232" t="s">
        <v>432</v>
      </c>
      <c r="G530" s="232" t="s">
        <v>1510</v>
      </c>
      <c r="K530" t="s">
        <v>2647</v>
      </c>
      <c r="L530" s="81">
        <f>+Municipios!AB531</f>
        <v>30.206293840208502</v>
      </c>
      <c r="M530" s="232">
        <v>68324</v>
      </c>
      <c r="N530" s="232" t="s">
        <v>1509</v>
      </c>
      <c r="O530" s="232" t="s">
        <v>431</v>
      </c>
      <c r="P530" s="232" t="s">
        <v>432</v>
      </c>
      <c r="Q530" s="232" t="s">
        <v>1510</v>
      </c>
      <c r="T530" t="s">
        <v>2803</v>
      </c>
      <c r="U530" s="25">
        <f>+Municipios!Z531</f>
        <v>57.952557337905887</v>
      </c>
      <c r="V530" s="232">
        <v>68324</v>
      </c>
      <c r="W530" s="232" t="s">
        <v>1509</v>
      </c>
      <c r="X530" s="232" t="s">
        <v>431</v>
      </c>
      <c r="Y530" s="232" t="s">
        <v>432</v>
      </c>
      <c r="Z530" s="232" t="s">
        <v>1510</v>
      </c>
    </row>
    <row r="531" spans="1:26">
      <c r="A531" t="s">
        <v>417</v>
      </c>
      <c r="B531" s="25">
        <f>+Municipios!Z532</f>
        <v>43.170803181567855</v>
      </c>
      <c r="C531" s="232">
        <v>47692</v>
      </c>
      <c r="D531" s="232" t="s">
        <v>1511</v>
      </c>
      <c r="E531" s="232" t="s">
        <v>638</v>
      </c>
      <c r="F531" s="232" t="s">
        <v>639</v>
      </c>
      <c r="G531" s="232" t="s">
        <v>1512</v>
      </c>
      <c r="K531" t="s">
        <v>2647</v>
      </c>
      <c r="L531" s="81">
        <f>+Municipios!AB532</f>
        <v>22.498570241800497</v>
      </c>
      <c r="M531" s="232">
        <v>47692</v>
      </c>
      <c r="N531" s="232" t="s">
        <v>1511</v>
      </c>
      <c r="O531" s="232" t="s">
        <v>638</v>
      </c>
      <c r="P531" s="232" t="s">
        <v>639</v>
      </c>
      <c r="Q531" s="232" t="s">
        <v>1512</v>
      </c>
      <c r="T531" t="s">
        <v>2803</v>
      </c>
      <c r="U531" s="25">
        <f>+Municipios!Z532</f>
        <v>43.170803181567855</v>
      </c>
      <c r="V531" s="232">
        <v>47692</v>
      </c>
      <c r="W531" s="232" t="s">
        <v>1511</v>
      </c>
      <c r="X531" s="232" t="s">
        <v>638</v>
      </c>
      <c r="Y531" s="232" t="s">
        <v>639</v>
      </c>
      <c r="Z531" s="232" t="s">
        <v>1512</v>
      </c>
    </row>
    <row r="532" spans="1:26">
      <c r="A532" t="s">
        <v>417</v>
      </c>
      <c r="B532" s="25">
        <f>+Municipios!Z533</f>
        <v>47.782361201082978</v>
      </c>
      <c r="C532" s="232">
        <v>52254</v>
      </c>
      <c r="D532" s="232" t="s">
        <v>1513</v>
      </c>
      <c r="E532" s="232" t="s">
        <v>672</v>
      </c>
      <c r="F532" s="232" t="s">
        <v>673</v>
      </c>
      <c r="G532" s="232" t="s">
        <v>1514</v>
      </c>
      <c r="K532" t="s">
        <v>2647</v>
      </c>
      <c r="L532" s="81">
        <f>+Municipios!AB533</f>
        <v>24.888209412188765</v>
      </c>
      <c r="M532" s="232">
        <v>52254</v>
      </c>
      <c r="N532" s="232" t="s">
        <v>1513</v>
      </c>
      <c r="O532" s="232" t="s">
        <v>672</v>
      </c>
      <c r="P532" s="232" t="s">
        <v>673</v>
      </c>
      <c r="Q532" s="232" t="s">
        <v>1514</v>
      </c>
      <c r="T532" t="s">
        <v>2803</v>
      </c>
      <c r="U532" s="25">
        <f>+Municipios!Z533</f>
        <v>47.782361201082978</v>
      </c>
      <c r="V532" s="232">
        <v>52254</v>
      </c>
      <c r="W532" s="232" t="s">
        <v>1513</v>
      </c>
      <c r="X532" s="232" t="s">
        <v>672</v>
      </c>
      <c r="Y532" s="232" t="s">
        <v>673</v>
      </c>
      <c r="Z532" s="232" t="s">
        <v>1514</v>
      </c>
    </row>
    <row r="533" spans="1:26">
      <c r="A533" t="s">
        <v>417</v>
      </c>
      <c r="B533" s="25">
        <f>+Municipios!Z534</f>
        <v>60.077761320635972</v>
      </c>
      <c r="C533" s="232">
        <v>15500</v>
      </c>
      <c r="D533" s="232" t="s">
        <v>1515</v>
      </c>
      <c r="E533" s="232" t="s">
        <v>498</v>
      </c>
      <c r="F533" s="232" t="s">
        <v>499</v>
      </c>
      <c r="G533" s="232" t="s">
        <v>1516</v>
      </c>
      <c r="K533" t="s">
        <v>2647</v>
      </c>
      <c r="L533" s="81">
        <f>+Municipios!AB534</f>
        <v>31.18979996221524</v>
      </c>
      <c r="M533" s="232">
        <v>15500</v>
      </c>
      <c r="N533" s="232" t="s">
        <v>1515</v>
      </c>
      <c r="O533" s="232" t="s">
        <v>498</v>
      </c>
      <c r="P533" s="232" t="s">
        <v>499</v>
      </c>
      <c r="Q533" s="232" t="s">
        <v>1516</v>
      </c>
      <c r="T533" t="s">
        <v>2803</v>
      </c>
      <c r="U533" s="25">
        <f>+Municipios!Z534</f>
        <v>60.077761320635972</v>
      </c>
      <c r="V533" s="232">
        <v>15500</v>
      </c>
      <c r="W533" s="232" t="s">
        <v>1515</v>
      </c>
      <c r="X533" s="232" t="s">
        <v>498</v>
      </c>
      <c r="Y533" s="232" t="s">
        <v>499</v>
      </c>
      <c r="Z533" s="232" t="s">
        <v>1516</v>
      </c>
    </row>
    <row r="534" spans="1:26">
      <c r="A534" t="s">
        <v>417</v>
      </c>
      <c r="B534" s="25">
        <f>+Municipios!Z535</f>
        <v>49.447854957070533</v>
      </c>
      <c r="C534" s="232">
        <v>5125</v>
      </c>
      <c r="D534" s="232" t="s">
        <v>1517</v>
      </c>
      <c r="E534" s="232" t="s">
        <v>435</v>
      </c>
      <c r="F534" s="232" t="s">
        <v>436</v>
      </c>
      <c r="G534" s="232" t="s">
        <v>1518</v>
      </c>
      <c r="K534" t="s">
        <v>2647</v>
      </c>
      <c r="L534" s="81">
        <f>+Municipios!AB535</f>
        <v>25.721990653940345</v>
      </c>
      <c r="M534" s="232">
        <v>5125</v>
      </c>
      <c r="N534" s="232" t="s">
        <v>1517</v>
      </c>
      <c r="O534" s="232" t="s">
        <v>435</v>
      </c>
      <c r="P534" s="232" t="s">
        <v>436</v>
      </c>
      <c r="Q534" s="232" t="s">
        <v>1518</v>
      </c>
      <c r="T534" t="s">
        <v>2803</v>
      </c>
      <c r="U534" s="25">
        <f>+Municipios!Z535</f>
        <v>49.447854957070533</v>
      </c>
      <c r="V534" s="232">
        <v>5125</v>
      </c>
      <c r="W534" s="232" t="s">
        <v>1517</v>
      </c>
      <c r="X534" s="232" t="s">
        <v>435</v>
      </c>
      <c r="Y534" s="232" t="s">
        <v>436</v>
      </c>
      <c r="Z534" s="232" t="s">
        <v>1518</v>
      </c>
    </row>
    <row r="535" spans="1:26">
      <c r="A535" t="s">
        <v>417</v>
      </c>
      <c r="B535" s="25">
        <f>+Municipios!Z536</f>
        <v>49.48760952543477</v>
      </c>
      <c r="C535" s="232">
        <v>5665</v>
      </c>
      <c r="D535" s="232" t="s">
        <v>1519</v>
      </c>
      <c r="E535" s="232" t="s">
        <v>435</v>
      </c>
      <c r="F535" s="232" t="s">
        <v>436</v>
      </c>
      <c r="G535" s="232" t="s">
        <v>1520</v>
      </c>
      <c r="K535" t="s">
        <v>2647</v>
      </c>
      <c r="L535" s="81">
        <f>+Municipios!AB536</f>
        <v>25.744343693241216</v>
      </c>
      <c r="M535" s="232">
        <v>5665</v>
      </c>
      <c r="N535" s="232" t="s">
        <v>1519</v>
      </c>
      <c r="O535" s="232" t="s">
        <v>435</v>
      </c>
      <c r="P535" s="232" t="s">
        <v>436</v>
      </c>
      <c r="Q535" s="232" t="s">
        <v>1520</v>
      </c>
      <c r="T535" t="s">
        <v>2803</v>
      </c>
      <c r="U535" s="25">
        <f>+Municipios!Z536</f>
        <v>49.48760952543477</v>
      </c>
      <c r="V535" s="232">
        <v>5665</v>
      </c>
      <c r="W535" s="232" t="s">
        <v>1519</v>
      </c>
      <c r="X535" s="232" t="s">
        <v>435</v>
      </c>
      <c r="Y535" s="232" t="s">
        <v>436</v>
      </c>
      <c r="Z535" s="232" t="s">
        <v>1520</v>
      </c>
    </row>
    <row r="536" spans="1:26">
      <c r="A536" t="s">
        <v>417</v>
      </c>
      <c r="B536" s="25">
        <f>+Municipios!Z537</f>
        <v>58.184105162624292</v>
      </c>
      <c r="C536" s="232">
        <v>15842</v>
      </c>
      <c r="D536" s="232" t="s">
        <v>1521</v>
      </c>
      <c r="E536" s="232" t="s">
        <v>498</v>
      </c>
      <c r="F536" s="232" t="s">
        <v>499</v>
      </c>
      <c r="G536" s="232" t="s">
        <v>1522</v>
      </c>
      <c r="K536" t="s">
        <v>2647</v>
      </c>
      <c r="L536" s="81">
        <f>+Municipios!AB537</f>
        <v>30.262056007616831</v>
      </c>
      <c r="M536" s="232">
        <v>15842</v>
      </c>
      <c r="N536" s="232" t="s">
        <v>1521</v>
      </c>
      <c r="O536" s="232" t="s">
        <v>498</v>
      </c>
      <c r="P536" s="232" t="s">
        <v>499</v>
      </c>
      <c r="Q536" s="232" t="s">
        <v>1522</v>
      </c>
      <c r="T536" t="s">
        <v>2803</v>
      </c>
      <c r="U536" s="25">
        <f>+Municipios!Z537</f>
        <v>58.184105162624292</v>
      </c>
      <c r="V536" s="232">
        <v>15842</v>
      </c>
      <c r="W536" s="232" t="s">
        <v>1521</v>
      </c>
      <c r="X536" s="232" t="s">
        <v>498</v>
      </c>
      <c r="Y536" s="232" t="s">
        <v>499</v>
      </c>
      <c r="Z536" s="232" t="s">
        <v>1522</v>
      </c>
    </row>
    <row r="537" spans="1:26">
      <c r="A537" t="s">
        <v>417</v>
      </c>
      <c r="B537" s="25">
        <f>+Municipios!Z538</f>
        <v>51.912092959226797</v>
      </c>
      <c r="C537" s="232">
        <v>15832</v>
      </c>
      <c r="D537" s="232" t="s">
        <v>1523</v>
      </c>
      <c r="E537" s="232" t="s">
        <v>498</v>
      </c>
      <c r="F537" s="232" t="s">
        <v>499</v>
      </c>
      <c r="G537" s="232" t="s">
        <v>1524</v>
      </c>
      <c r="K537" t="s">
        <v>2647</v>
      </c>
      <c r="L537" s="81">
        <f>+Municipios!AB538</f>
        <v>26.94843868376195</v>
      </c>
      <c r="M537" s="232">
        <v>15832</v>
      </c>
      <c r="N537" s="232" t="s">
        <v>1523</v>
      </c>
      <c r="O537" s="232" t="s">
        <v>498</v>
      </c>
      <c r="P537" s="232" t="s">
        <v>499</v>
      </c>
      <c r="Q537" s="232" t="s">
        <v>1524</v>
      </c>
      <c r="T537" t="s">
        <v>2803</v>
      </c>
      <c r="U537" s="25">
        <f>+Municipios!Z538</f>
        <v>51.912092959226797</v>
      </c>
      <c r="V537" s="232">
        <v>15832</v>
      </c>
      <c r="W537" s="232" t="s">
        <v>1523</v>
      </c>
      <c r="X537" s="232" t="s">
        <v>498</v>
      </c>
      <c r="Y537" s="232" t="s">
        <v>499</v>
      </c>
      <c r="Z537" s="232" t="s">
        <v>1524</v>
      </c>
    </row>
    <row r="538" spans="1:26">
      <c r="A538" t="s">
        <v>417</v>
      </c>
      <c r="B538" s="25">
        <f>+Municipios!Z539</f>
        <v>49.814400335497581</v>
      </c>
      <c r="C538" s="232">
        <v>5667</v>
      </c>
      <c r="D538" s="232" t="s">
        <v>1525</v>
      </c>
      <c r="E538" s="232" t="s">
        <v>435</v>
      </c>
      <c r="F538" s="232" t="s">
        <v>436</v>
      </c>
      <c r="G538" s="232" t="s">
        <v>1526</v>
      </c>
      <c r="K538" t="s">
        <v>2647</v>
      </c>
      <c r="L538" s="81">
        <f>+Municipios!AB539</f>
        <v>26.037008208102232</v>
      </c>
      <c r="M538" s="232">
        <v>5667</v>
      </c>
      <c r="N538" s="232" t="s">
        <v>1525</v>
      </c>
      <c r="O538" s="232" t="s">
        <v>435</v>
      </c>
      <c r="P538" s="232" t="s">
        <v>436</v>
      </c>
      <c r="Q538" s="232" t="s">
        <v>1526</v>
      </c>
      <c r="T538" t="s">
        <v>2803</v>
      </c>
      <c r="U538" s="25">
        <f>+Municipios!Z539</f>
        <v>49.814400335497581</v>
      </c>
      <c r="V538" s="232">
        <v>5667</v>
      </c>
      <c r="W538" s="232" t="s">
        <v>1525</v>
      </c>
      <c r="X538" s="232" t="s">
        <v>435</v>
      </c>
      <c r="Y538" s="232" t="s">
        <v>436</v>
      </c>
      <c r="Z538" s="232" t="s">
        <v>1526</v>
      </c>
    </row>
    <row r="539" spans="1:26">
      <c r="A539" t="s">
        <v>417</v>
      </c>
      <c r="B539" s="25">
        <f>+Municipios!Z540</f>
        <v>57.763735522184973</v>
      </c>
      <c r="C539" s="232">
        <v>76250</v>
      </c>
      <c r="D539" s="232" t="s">
        <v>1527</v>
      </c>
      <c r="E539" s="232" t="s">
        <v>454</v>
      </c>
      <c r="F539" s="232" t="s">
        <v>455</v>
      </c>
      <c r="G539" s="232" t="s">
        <v>1528</v>
      </c>
      <c r="K539" t="s">
        <v>2647</v>
      </c>
      <c r="L539" s="81">
        <f>+Municipios!AB540</f>
        <v>29.996554176743206</v>
      </c>
      <c r="M539" s="232">
        <v>76250</v>
      </c>
      <c r="N539" s="232" t="s">
        <v>1527</v>
      </c>
      <c r="O539" s="232" t="s">
        <v>454</v>
      </c>
      <c r="P539" s="232" t="s">
        <v>455</v>
      </c>
      <c r="Q539" s="232" t="s">
        <v>1528</v>
      </c>
      <c r="T539" t="s">
        <v>2803</v>
      </c>
      <c r="U539" s="25">
        <f>+Municipios!Z540</f>
        <v>57.763735522184973</v>
      </c>
      <c r="V539" s="232">
        <v>76250</v>
      </c>
      <c r="W539" s="232" t="s">
        <v>1527</v>
      </c>
      <c r="X539" s="232" t="s">
        <v>454</v>
      </c>
      <c r="Y539" s="232" t="s">
        <v>455</v>
      </c>
      <c r="Z539" s="232" t="s">
        <v>1528</v>
      </c>
    </row>
    <row r="540" spans="1:26">
      <c r="A540" t="s">
        <v>417</v>
      </c>
      <c r="B540" s="25">
        <f>+Municipios!Z541</f>
        <v>53.010534100158452</v>
      </c>
      <c r="C540" s="232">
        <v>25394</v>
      </c>
      <c r="D540" s="232" t="s">
        <v>1529</v>
      </c>
      <c r="E540" s="232" t="s">
        <v>461</v>
      </c>
      <c r="F540" s="232" t="s">
        <v>462</v>
      </c>
      <c r="G540" s="232" t="s">
        <v>1530</v>
      </c>
      <c r="K540" t="s">
        <v>2647</v>
      </c>
      <c r="L540" s="81">
        <f>+Municipios!AB541</f>
        <v>27.51079000256501</v>
      </c>
      <c r="M540" s="232">
        <v>25394</v>
      </c>
      <c r="N540" s="232" t="s">
        <v>1529</v>
      </c>
      <c r="O540" s="232" t="s">
        <v>461</v>
      </c>
      <c r="P540" s="232" t="s">
        <v>462</v>
      </c>
      <c r="Q540" s="232" t="s">
        <v>1530</v>
      </c>
      <c r="T540" t="s">
        <v>2803</v>
      </c>
      <c r="U540" s="25">
        <f>+Municipios!Z541</f>
        <v>53.010534100158452</v>
      </c>
      <c r="V540" s="232">
        <v>25394</v>
      </c>
      <c r="W540" s="232" t="s">
        <v>1529</v>
      </c>
      <c r="X540" s="232" t="s">
        <v>461</v>
      </c>
      <c r="Y540" s="232" t="s">
        <v>462</v>
      </c>
      <c r="Z540" s="232" t="s">
        <v>1530</v>
      </c>
    </row>
    <row r="541" spans="1:26">
      <c r="A541" t="s">
        <v>417</v>
      </c>
      <c r="B541" s="25">
        <f>+Municipios!Z542</f>
        <v>60.426722302469287</v>
      </c>
      <c r="C541" s="232">
        <v>25535</v>
      </c>
      <c r="D541" s="232" t="s">
        <v>1531</v>
      </c>
      <c r="E541" s="232" t="s">
        <v>461</v>
      </c>
      <c r="F541" s="232" t="s">
        <v>462</v>
      </c>
      <c r="G541" s="232" t="s">
        <v>1532</v>
      </c>
      <c r="K541" t="s">
        <v>2647</v>
      </c>
      <c r="L541" s="81">
        <f>+Municipios!AB542</f>
        <v>31.254929884689755</v>
      </c>
      <c r="M541" s="232">
        <v>25535</v>
      </c>
      <c r="N541" s="232" t="s">
        <v>1531</v>
      </c>
      <c r="O541" s="232" t="s">
        <v>461</v>
      </c>
      <c r="P541" s="232" t="s">
        <v>462</v>
      </c>
      <c r="Q541" s="232" t="s">
        <v>1532</v>
      </c>
      <c r="T541" t="s">
        <v>2803</v>
      </c>
      <c r="U541" s="25">
        <f>+Municipios!Z542</f>
        <v>60.426722302469287</v>
      </c>
      <c r="V541" s="232">
        <v>25535</v>
      </c>
      <c r="W541" s="232" t="s">
        <v>1531</v>
      </c>
      <c r="X541" s="232" t="s">
        <v>461</v>
      </c>
      <c r="Y541" s="232" t="s">
        <v>462</v>
      </c>
      <c r="Z541" s="232" t="s">
        <v>1532</v>
      </c>
    </row>
    <row r="542" spans="1:26">
      <c r="A542" t="s">
        <v>417</v>
      </c>
      <c r="B542" s="25">
        <f>+Municipios!Z543</f>
        <v>44.571188435807777</v>
      </c>
      <c r="C542" s="232">
        <v>73124</v>
      </c>
      <c r="D542" s="232" t="s">
        <v>1533</v>
      </c>
      <c r="E542" s="232" t="s">
        <v>595</v>
      </c>
      <c r="F542" s="232" t="s">
        <v>596</v>
      </c>
      <c r="G542" s="232" t="s">
        <v>1534</v>
      </c>
      <c r="K542" t="s">
        <v>2647</v>
      </c>
      <c r="L542" s="81">
        <f>+Municipios!AB543</f>
        <v>22.828781163495467</v>
      </c>
      <c r="M542" s="232">
        <v>73124</v>
      </c>
      <c r="N542" s="232" t="s">
        <v>1533</v>
      </c>
      <c r="O542" s="232" t="s">
        <v>595</v>
      </c>
      <c r="P542" s="232" t="s">
        <v>596</v>
      </c>
      <c r="Q542" s="232" t="s">
        <v>1534</v>
      </c>
      <c r="T542" t="s">
        <v>2803</v>
      </c>
      <c r="U542" s="25">
        <f>+Municipios!Z543</f>
        <v>44.571188435807777</v>
      </c>
      <c r="V542" s="232">
        <v>73124</v>
      </c>
      <c r="W542" s="232" t="s">
        <v>1533</v>
      </c>
      <c r="X542" s="232" t="s">
        <v>595</v>
      </c>
      <c r="Y542" s="232" t="s">
        <v>596</v>
      </c>
      <c r="Z542" s="232" t="s">
        <v>1534</v>
      </c>
    </row>
    <row r="543" spans="1:26">
      <c r="A543" t="s">
        <v>417</v>
      </c>
      <c r="B543" s="25">
        <f>+Municipios!Z544</f>
        <v>46.645191401003984</v>
      </c>
      <c r="C543" s="232">
        <v>68132</v>
      </c>
      <c r="D543" s="232" t="s">
        <v>1535</v>
      </c>
      <c r="E543" s="232" t="s">
        <v>431</v>
      </c>
      <c r="F543" s="232" t="s">
        <v>432</v>
      </c>
      <c r="G543" s="232" t="s">
        <v>1536</v>
      </c>
      <c r="K543" t="s">
        <v>2647</v>
      </c>
      <c r="L543" s="81">
        <f>+Municipios!AB544</f>
        <v>24.207017195324756</v>
      </c>
      <c r="M543" s="232">
        <v>68132</v>
      </c>
      <c r="N543" s="232" t="s">
        <v>1535</v>
      </c>
      <c r="O543" s="232" t="s">
        <v>431</v>
      </c>
      <c r="P543" s="232" t="s">
        <v>432</v>
      </c>
      <c r="Q543" s="232" t="s">
        <v>1536</v>
      </c>
      <c r="T543" t="s">
        <v>2803</v>
      </c>
      <c r="U543" s="25">
        <f>+Municipios!Z544</f>
        <v>46.645191401003984</v>
      </c>
      <c r="V543" s="232">
        <v>68132</v>
      </c>
      <c r="W543" s="232" t="s">
        <v>1535</v>
      </c>
      <c r="X543" s="232" t="s">
        <v>431</v>
      </c>
      <c r="Y543" s="232" t="s">
        <v>432</v>
      </c>
      <c r="Z543" s="232" t="s">
        <v>1536</v>
      </c>
    </row>
    <row r="544" spans="1:26">
      <c r="A544" t="s">
        <v>417</v>
      </c>
      <c r="B544" s="25">
        <f>+Municipios!Z545</f>
        <v>57.910445577470767</v>
      </c>
      <c r="C544" s="232">
        <v>68673</v>
      </c>
      <c r="D544" s="232" t="s">
        <v>1537</v>
      </c>
      <c r="E544" s="232" t="s">
        <v>431</v>
      </c>
      <c r="F544" s="232" t="s">
        <v>432</v>
      </c>
      <c r="G544" s="232" t="s">
        <v>1538</v>
      </c>
      <c r="K544" t="s">
        <v>2647</v>
      </c>
      <c r="L544" s="81">
        <f>+Municipios!AB545</f>
        <v>29.82291668943499</v>
      </c>
      <c r="M544" s="232">
        <v>68673</v>
      </c>
      <c r="N544" s="232" t="s">
        <v>1537</v>
      </c>
      <c r="O544" s="232" t="s">
        <v>431</v>
      </c>
      <c r="P544" s="232" t="s">
        <v>432</v>
      </c>
      <c r="Q544" s="232" t="s">
        <v>1538</v>
      </c>
      <c r="T544" t="s">
        <v>2803</v>
      </c>
      <c r="U544" s="25">
        <f>+Municipios!Z545</f>
        <v>57.910445577470767</v>
      </c>
      <c r="V544" s="232">
        <v>68673</v>
      </c>
      <c r="W544" s="232" t="s">
        <v>1537</v>
      </c>
      <c r="X544" s="232" t="s">
        <v>431</v>
      </c>
      <c r="Y544" s="232" t="s">
        <v>432</v>
      </c>
      <c r="Z544" s="232" t="s">
        <v>1538</v>
      </c>
    </row>
    <row r="545" spans="1:26">
      <c r="A545" t="s">
        <v>417</v>
      </c>
      <c r="B545" s="25">
        <f>+Municipios!Z546</f>
        <v>58.972158774100365</v>
      </c>
      <c r="C545" s="232">
        <v>20295</v>
      </c>
      <c r="D545" s="232" t="s">
        <v>1539</v>
      </c>
      <c r="E545" s="232" t="s">
        <v>893</v>
      </c>
      <c r="F545" s="232" t="s">
        <v>894</v>
      </c>
      <c r="G545" s="232" t="s">
        <v>1540</v>
      </c>
      <c r="K545" t="s">
        <v>2647</v>
      </c>
      <c r="L545" s="81">
        <f>+Municipios!AB546</f>
        <v>30.519369244346223</v>
      </c>
      <c r="M545" s="232">
        <v>20295</v>
      </c>
      <c r="N545" s="232" t="s">
        <v>1539</v>
      </c>
      <c r="O545" s="232" t="s">
        <v>893</v>
      </c>
      <c r="P545" s="232" t="s">
        <v>894</v>
      </c>
      <c r="Q545" s="232" t="s">
        <v>1540</v>
      </c>
      <c r="T545" t="s">
        <v>2803</v>
      </c>
      <c r="U545" s="25">
        <f>+Municipios!Z546</f>
        <v>58.972158774100365</v>
      </c>
      <c r="V545" s="232">
        <v>20295</v>
      </c>
      <c r="W545" s="232" t="s">
        <v>1539</v>
      </c>
      <c r="X545" s="232" t="s">
        <v>893</v>
      </c>
      <c r="Y545" s="232" t="s">
        <v>894</v>
      </c>
      <c r="Z545" s="232" t="s">
        <v>1540</v>
      </c>
    </row>
    <row r="546" spans="1:26">
      <c r="A546" t="s">
        <v>417</v>
      </c>
      <c r="B546" s="25">
        <f>+Municipios!Z547</f>
        <v>56.665069860748403</v>
      </c>
      <c r="C546" s="232">
        <v>41306</v>
      </c>
      <c r="D546" s="232" t="s">
        <v>1541</v>
      </c>
      <c r="E546" s="232" t="s">
        <v>676</v>
      </c>
      <c r="F546" s="232" t="s">
        <v>677</v>
      </c>
      <c r="G546" s="232" t="s">
        <v>1542</v>
      </c>
      <c r="K546" t="s">
        <v>2647</v>
      </c>
      <c r="L546" s="81">
        <f>+Municipios!AB547</f>
        <v>29.361166479260728</v>
      </c>
      <c r="M546" s="232">
        <v>41306</v>
      </c>
      <c r="N546" s="232" t="s">
        <v>1541</v>
      </c>
      <c r="O546" s="232" t="s">
        <v>676</v>
      </c>
      <c r="P546" s="232" t="s">
        <v>677</v>
      </c>
      <c r="Q546" s="232" t="s">
        <v>1542</v>
      </c>
      <c r="T546" t="s">
        <v>2803</v>
      </c>
      <c r="U546" s="25">
        <f>+Municipios!Z547</f>
        <v>56.665069860748403</v>
      </c>
      <c r="V546" s="232">
        <v>41306</v>
      </c>
      <c r="W546" s="232" t="s">
        <v>1541</v>
      </c>
      <c r="X546" s="232" t="s">
        <v>676</v>
      </c>
      <c r="Y546" s="232" t="s">
        <v>677</v>
      </c>
      <c r="Z546" s="232" t="s">
        <v>1542</v>
      </c>
    </row>
    <row r="547" spans="1:26">
      <c r="A547" t="s">
        <v>417</v>
      </c>
      <c r="B547" s="25">
        <f>+Municipios!Z548</f>
        <v>56.176360326168805</v>
      </c>
      <c r="C547" s="232">
        <v>5134</v>
      </c>
      <c r="D547" s="232" t="s">
        <v>1543</v>
      </c>
      <c r="E547" s="232" t="s">
        <v>435</v>
      </c>
      <c r="F547" s="232" t="s">
        <v>436</v>
      </c>
      <c r="G547" s="232" t="s">
        <v>1544</v>
      </c>
      <c r="K547" t="s">
        <v>2647</v>
      </c>
      <c r="L547" s="81">
        <f>+Municipios!AB548</f>
        <v>29.234355284629963</v>
      </c>
      <c r="M547" s="232">
        <v>5134</v>
      </c>
      <c r="N547" s="232" t="s">
        <v>1543</v>
      </c>
      <c r="O547" s="232" t="s">
        <v>435</v>
      </c>
      <c r="P547" s="232" t="s">
        <v>436</v>
      </c>
      <c r="Q547" s="232" t="s">
        <v>1544</v>
      </c>
      <c r="T547" t="s">
        <v>2803</v>
      </c>
      <c r="U547" s="25">
        <f>+Municipios!Z548</f>
        <v>56.176360326168805</v>
      </c>
      <c r="V547" s="232">
        <v>5134</v>
      </c>
      <c r="W547" s="232" t="s">
        <v>1543</v>
      </c>
      <c r="X547" s="232" t="s">
        <v>435</v>
      </c>
      <c r="Y547" s="232" t="s">
        <v>436</v>
      </c>
      <c r="Z547" s="232" t="s">
        <v>1544</v>
      </c>
    </row>
    <row r="548" spans="1:26">
      <c r="A548" t="s">
        <v>417</v>
      </c>
      <c r="B548" s="25">
        <f>+Municipios!Z549</f>
        <v>52.529528911219067</v>
      </c>
      <c r="C548" s="232">
        <v>41244</v>
      </c>
      <c r="D548" s="232" t="s">
        <v>1545</v>
      </c>
      <c r="E548" s="232" t="s">
        <v>676</v>
      </c>
      <c r="F548" s="232" t="s">
        <v>677</v>
      </c>
      <c r="G548" s="232" t="s">
        <v>1546</v>
      </c>
      <c r="K548" t="s">
        <v>2647</v>
      </c>
      <c r="L548" s="81">
        <f>+Municipios!AB549</f>
        <v>27.030971150030346</v>
      </c>
      <c r="M548" s="232">
        <v>41244</v>
      </c>
      <c r="N548" s="232" t="s">
        <v>1545</v>
      </c>
      <c r="O548" s="232" t="s">
        <v>676</v>
      </c>
      <c r="P548" s="232" t="s">
        <v>677</v>
      </c>
      <c r="Q548" s="232" t="s">
        <v>1546</v>
      </c>
      <c r="T548" t="s">
        <v>2803</v>
      </c>
      <c r="U548" s="25">
        <f>+Municipios!Z549</f>
        <v>52.529528911219067</v>
      </c>
      <c r="V548" s="232">
        <v>41244</v>
      </c>
      <c r="W548" s="232" t="s">
        <v>1545</v>
      </c>
      <c r="X548" s="232" t="s">
        <v>676</v>
      </c>
      <c r="Y548" s="232" t="s">
        <v>677</v>
      </c>
      <c r="Z548" s="232" t="s">
        <v>1546</v>
      </c>
    </row>
    <row r="549" spans="1:26">
      <c r="A549" t="s">
        <v>417</v>
      </c>
      <c r="B549" s="25">
        <f>+Municipios!Z550</f>
        <v>56.303426274013944</v>
      </c>
      <c r="C549" s="232">
        <v>5591</v>
      </c>
      <c r="D549" s="232" t="s">
        <v>1547</v>
      </c>
      <c r="E549" s="232" t="s">
        <v>435</v>
      </c>
      <c r="F549" s="232" t="s">
        <v>436</v>
      </c>
      <c r="G549" s="232" t="s">
        <v>1548</v>
      </c>
      <c r="K549" t="s">
        <v>2647</v>
      </c>
      <c r="L549" s="81">
        <f>+Municipios!AB550</f>
        <v>29.212835737413794</v>
      </c>
      <c r="M549" s="232">
        <v>5591</v>
      </c>
      <c r="N549" s="232" t="s">
        <v>1547</v>
      </c>
      <c r="O549" s="232" t="s">
        <v>435</v>
      </c>
      <c r="P549" s="232" t="s">
        <v>436</v>
      </c>
      <c r="Q549" s="232" t="s">
        <v>1548</v>
      </c>
      <c r="T549" t="s">
        <v>2803</v>
      </c>
      <c r="U549" s="25">
        <f>+Municipios!Z550</f>
        <v>56.303426274013944</v>
      </c>
      <c r="V549" s="232">
        <v>5591</v>
      </c>
      <c r="W549" s="232" t="s">
        <v>1547</v>
      </c>
      <c r="X549" s="232" t="s">
        <v>435</v>
      </c>
      <c r="Y549" s="232" t="s">
        <v>436</v>
      </c>
      <c r="Z549" s="232" t="s">
        <v>1548</v>
      </c>
    </row>
    <row r="550" spans="1:26">
      <c r="A550" t="s">
        <v>417</v>
      </c>
      <c r="B550" s="25">
        <f>+Municipios!Z551</f>
        <v>49.35791642102842</v>
      </c>
      <c r="C550" s="232">
        <v>5021</v>
      </c>
      <c r="D550" s="232" t="s">
        <v>1549</v>
      </c>
      <c r="E550" s="232" t="s">
        <v>435</v>
      </c>
      <c r="F550" s="232" t="s">
        <v>436</v>
      </c>
      <c r="G550" s="232" t="s">
        <v>1550</v>
      </c>
      <c r="K550" t="s">
        <v>2647</v>
      </c>
      <c r="L550" s="81">
        <f>+Municipios!AB551</f>
        <v>25.683850947015756</v>
      </c>
      <c r="M550" s="232">
        <v>5021</v>
      </c>
      <c r="N550" s="232" t="s">
        <v>1549</v>
      </c>
      <c r="O550" s="232" t="s">
        <v>435</v>
      </c>
      <c r="P550" s="232" t="s">
        <v>436</v>
      </c>
      <c r="Q550" s="232" t="s">
        <v>1550</v>
      </c>
      <c r="T550" t="s">
        <v>2803</v>
      </c>
      <c r="U550" s="25">
        <f>+Municipios!Z551</f>
        <v>49.35791642102842</v>
      </c>
      <c r="V550" s="232">
        <v>5021</v>
      </c>
      <c r="W550" s="232" t="s">
        <v>1549</v>
      </c>
      <c r="X550" s="232" t="s">
        <v>435</v>
      </c>
      <c r="Y550" s="232" t="s">
        <v>436</v>
      </c>
      <c r="Z550" s="232" t="s">
        <v>1550</v>
      </c>
    </row>
    <row r="551" spans="1:26">
      <c r="A551" t="s">
        <v>417</v>
      </c>
      <c r="B551" s="25">
        <f>+Municipios!Z552</f>
        <v>59.47694667676241</v>
      </c>
      <c r="C551" s="232">
        <v>25777</v>
      </c>
      <c r="D551" s="232" t="s">
        <v>1551</v>
      </c>
      <c r="E551" s="232" t="s">
        <v>461</v>
      </c>
      <c r="F551" s="232" t="s">
        <v>462</v>
      </c>
      <c r="G551" s="232" t="s">
        <v>1552</v>
      </c>
      <c r="K551" t="s">
        <v>2647</v>
      </c>
      <c r="L551" s="81">
        <f>+Municipios!AB552</f>
        <v>30.677178667172598</v>
      </c>
      <c r="M551" s="232">
        <v>25777</v>
      </c>
      <c r="N551" s="232" t="s">
        <v>1551</v>
      </c>
      <c r="O551" s="232" t="s">
        <v>461</v>
      </c>
      <c r="P551" s="232" t="s">
        <v>462</v>
      </c>
      <c r="Q551" s="232" t="s">
        <v>1552</v>
      </c>
      <c r="T551" t="s">
        <v>2803</v>
      </c>
      <c r="U551" s="25">
        <f>+Municipios!Z552</f>
        <v>59.47694667676241</v>
      </c>
      <c r="V551" s="232">
        <v>25777</v>
      </c>
      <c r="W551" s="232" t="s">
        <v>1551</v>
      </c>
      <c r="X551" s="232" t="s">
        <v>461</v>
      </c>
      <c r="Y551" s="232" t="s">
        <v>462</v>
      </c>
      <c r="Z551" s="232" t="s">
        <v>1552</v>
      </c>
    </row>
    <row r="552" spans="1:26">
      <c r="A552" t="s">
        <v>417</v>
      </c>
      <c r="B552" s="25">
        <f>+Municipios!Z553</f>
        <v>57.077275277551415</v>
      </c>
      <c r="C552" s="232">
        <v>13894</v>
      </c>
      <c r="D552" s="232" t="s">
        <v>1553</v>
      </c>
      <c r="E552" s="232" t="s">
        <v>480</v>
      </c>
      <c r="F552" s="232" t="s">
        <v>481</v>
      </c>
      <c r="G552" s="232" t="s">
        <v>1554</v>
      </c>
      <c r="K552" t="s">
        <v>2647</v>
      </c>
      <c r="L552" s="81">
        <f>+Municipios!AB553</f>
        <v>29.486869687629031</v>
      </c>
      <c r="M552" s="232">
        <v>13894</v>
      </c>
      <c r="N552" s="232" t="s">
        <v>1553</v>
      </c>
      <c r="O552" s="232" t="s">
        <v>480</v>
      </c>
      <c r="P552" s="232" t="s">
        <v>481</v>
      </c>
      <c r="Q552" s="232" t="s">
        <v>1554</v>
      </c>
      <c r="T552" t="s">
        <v>2803</v>
      </c>
      <c r="U552" s="25">
        <f>+Municipios!Z553</f>
        <v>57.077275277551415</v>
      </c>
      <c r="V552" s="232">
        <v>13894</v>
      </c>
      <c r="W552" s="232" t="s">
        <v>1553</v>
      </c>
      <c r="X552" s="232" t="s">
        <v>480</v>
      </c>
      <c r="Y552" s="232" t="s">
        <v>481</v>
      </c>
      <c r="Z552" s="232" t="s">
        <v>1554</v>
      </c>
    </row>
    <row r="553" spans="1:26">
      <c r="A553" t="s">
        <v>417</v>
      </c>
      <c r="B553" s="25">
        <f>+Municipios!Z554</f>
        <v>62.517618988717715</v>
      </c>
      <c r="C553" s="232">
        <v>5501</v>
      </c>
      <c r="D553" s="232" t="s">
        <v>1555</v>
      </c>
      <c r="E553" s="232" t="s">
        <v>435</v>
      </c>
      <c r="F553" s="232" t="s">
        <v>436</v>
      </c>
      <c r="G553" s="232" t="s">
        <v>1556</v>
      </c>
      <c r="K553" t="s">
        <v>2647</v>
      </c>
      <c r="L553" s="81">
        <f>+Municipios!AB554</f>
        <v>32.170221297077745</v>
      </c>
      <c r="M553" s="232">
        <v>5501</v>
      </c>
      <c r="N553" s="232" t="s">
        <v>1555</v>
      </c>
      <c r="O553" s="232" t="s">
        <v>435</v>
      </c>
      <c r="P553" s="232" t="s">
        <v>436</v>
      </c>
      <c r="Q553" s="232" t="s">
        <v>1556</v>
      </c>
      <c r="T553" t="s">
        <v>2803</v>
      </c>
      <c r="U553" s="25">
        <f>+Municipios!Z554</f>
        <v>62.517618988717715</v>
      </c>
      <c r="V553" s="232">
        <v>5501</v>
      </c>
      <c r="W553" s="232" t="s">
        <v>1555</v>
      </c>
      <c r="X553" s="232" t="s">
        <v>435</v>
      </c>
      <c r="Y553" s="232" t="s">
        <v>436</v>
      </c>
      <c r="Z553" s="232" t="s">
        <v>1556</v>
      </c>
    </row>
    <row r="554" spans="1:26">
      <c r="A554" t="s">
        <v>417</v>
      </c>
      <c r="B554" s="25">
        <f>+Municipios!Z555</f>
        <v>55.209390953377344</v>
      </c>
      <c r="C554" s="232">
        <v>52260</v>
      </c>
      <c r="D554" s="232" t="s">
        <v>1557</v>
      </c>
      <c r="E554" s="232" t="s">
        <v>672</v>
      </c>
      <c r="F554" s="232" t="s">
        <v>673</v>
      </c>
      <c r="G554" s="232" t="s">
        <v>1558</v>
      </c>
      <c r="K554" t="s">
        <v>2647</v>
      </c>
      <c r="L554" s="81">
        <f>+Municipios!AB555</f>
        <v>28.491997343809874</v>
      </c>
      <c r="M554" s="232">
        <v>52260</v>
      </c>
      <c r="N554" s="232" t="s">
        <v>1557</v>
      </c>
      <c r="O554" s="232" t="s">
        <v>672</v>
      </c>
      <c r="P554" s="232" t="s">
        <v>673</v>
      </c>
      <c r="Q554" s="232" t="s">
        <v>1558</v>
      </c>
      <c r="T554" t="s">
        <v>2803</v>
      </c>
      <c r="U554" s="25">
        <f>+Municipios!Z555</f>
        <v>55.209390953377344</v>
      </c>
      <c r="V554" s="232">
        <v>52260</v>
      </c>
      <c r="W554" s="232" t="s">
        <v>1557</v>
      </c>
      <c r="X554" s="232" t="s">
        <v>672</v>
      </c>
      <c r="Y554" s="232" t="s">
        <v>673</v>
      </c>
      <c r="Z554" s="232" t="s">
        <v>1558</v>
      </c>
    </row>
    <row r="555" spans="1:26">
      <c r="A555" t="s">
        <v>417</v>
      </c>
      <c r="B555" s="25">
        <f>+Municipios!Z556</f>
        <v>54.462010994716103</v>
      </c>
      <c r="C555" s="232">
        <v>25594</v>
      </c>
      <c r="D555" s="232" t="s">
        <v>1559</v>
      </c>
      <c r="E555" s="232" t="s">
        <v>461</v>
      </c>
      <c r="F555" s="232" t="s">
        <v>462</v>
      </c>
      <c r="G555" s="232" t="s">
        <v>1560</v>
      </c>
      <c r="K555" t="s">
        <v>2647</v>
      </c>
      <c r="L555" s="81">
        <f>+Municipios!AB556</f>
        <v>28.06818845886097</v>
      </c>
      <c r="M555" s="232">
        <v>25594</v>
      </c>
      <c r="N555" s="232" t="s">
        <v>1559</v>
      </c>
      <c r="O555" s="232" t="s">
        <v>461</v>
      </c>
      <c r="P555" s="232" t="s">
        <v>462</v>
      </c>
      <c r="Q555" s="232" t="s">
        <v>1560</v>
      </c>
      <c r="T555" t="s">
        <v>2803</v>
      </c>
      <c r="U555" s="25">
        <f>+Municipios!Z556</f>
        <v>54.462010994716103</v>
      </c>
      <c r="V555" s="232">
        <v>25594</v>
      </c>
      <c r="W555" s="232" t="s">
        <v>1559</v>
      </c>
      <c r="X555" s="232" t="s">
        <v>461</v>
      </c>
      <c r="Y555" s="232" t="s">
        <v>462</v>
      </c>
      <c r="Z555" s="232" t="s">
        <v>1560</v>
      </c>
    </row>
    <row r="556" spans="1:26">
      <c r="A556" t="s">
        <v>417</v>
      </c>
      <c r="B556" s="25">
        <f>+Municipios!Z557</f>
        <v>61.562970236487416</v>
      </c>
      <c r="C556" s="232">
        <v>41770</v>
      </c>
      <c r="D556" s="232" t="s">
        <v>1561</v>
      </c>
      <c r="E556" s="232" t="s">
        <v>676</v>
      </c>
      <c r="F556" s="232" t="s">
        <v>677</v>
      </c>
      <c r="G556" s="232" t="s">
        <v>1562</v>
      </c>
      <c r="K556" t="s">
        <v>2647</v>
      </c>
      <c r="L556" s="81">
        <f>+Municipios!AB557</f>
        <v>31.755438689648511</v>
      </c>
      <c r="M556" s="232">
        <v>41770</v>
      </c>
      <c r="N556" s="232" t="s">
        <v>1561</v>
      </c>
      <c r="O556" s="232" t="s">
        <v>676</v>
      </c>
      <c r="P556" s="232" t="s">
        <v>677</v>
      </c>
      <c r="Q556" s="232" t="s">
        <v>1562</v>
      </c>
      <c r="T556" t="s">
        <v>2803</v>
      </c>
      <c r="U556" s="25">
        <f>+Municipios!Z557</f>
        <v>61.562970236487416</v>
      </c>
      <c r="V556" s="232">
        <v>41770</v>
      </c>
      <c r="W556" s="232" t="s">
        <v>1561</v>
      </c>
      <c r="X556" s="232" t="s">
        <v>676</v>
      </c>
      <c r="Y556" s="232" t="s">
        <v>677</v>
      </c>
      <c r="Z556" s="232" t="s">
        <v>1562</v>
      </c>
    </row>
    <row r="557" spans="1:26">
      <c r="A557" t="s">
        <v>417</v>
      </c>
      <c r="B557" s="25">
        <f>+Municipios!Z558</f>
        <v>40.579248709180931</v>
      </c>
      <c r="C557" s="232">
        <v>54313</v>
      </c>
      <c r="D557" s="232" t="s">
        <v>1563</v>
      </c>
      <c r="E557" s="232" t="s">
        <v>517</v>
      </c>
      <c r="F557" s="232" t="s">
        <v>518</v>
      </c>
      <c r="G557" s="232" t="s">
        <v>1564</v>
      </c>
      <c r="K557" t="s">
        <v>2647</v>
      </c>
      <c r="L557" s="81">
        <f>+Municipios!AB558</f>
        <v>20.93690212436448</v>
      </c>
      <c r="M557" s="232">
        <v>54313</v>
      </c>
      <c r="N557" s="232" t="s">
        <v>1563</v>
      </c>
      <c r="O557" s="232" t="s">
        <v>517</v>
      </c>
      <c r="P557" s="232" t="s">
        <v>518</v>
      </c>
      <c r="Q557" s="232" t="s">
        <v>1564</v>
      </c>
      <c r="T557" t="s">
        <v>2803</v>
      </c>
      <c r="U557" s="25">
        <f>+Municipios!Z558</f>
        <v>40.579248709180931</v>
      </c>
      <c r="V557" s="232">
        <v>54313</v>
      </c>
      <c r="W557" s="232" t="s">
        <v>1563</v>
      </c>
      <c r="X557" s="232" t="s">
        <v>517</v>
      </c>
      <c r="Y557" s="232" t="s">
        <v>518</v>
      </c>
      <c r="Z557" s="232" t="s">
        <v>1564</v>
      </c>
    </row>
    <row r="558" spans="1:26">
      <c r="A558" t="s">
        <v>417</v>
      </c>
      <c r="B558" s="25">
        <f>+Municipios!Z559</f>
        <v>65.439041354362089</v>
      </c>
      <c r="C558" s="232">
        <v>76863</v>
      </c>
      <c r="D558" s="232" t="s">
        <v>1565</v>
      </c>
      <c r="E558" s="232" t="s">
        <v>454</v>
      </c>
      <c r="F558" s="232" t="s">
        <v>455</v>
      </c>
      <c r="G558" s="232" t="s">
        <v>1566</v>
      </c>
      <c r="K558" t="s">
        <v>2647</v>
      </c>
      <c r="L558" s="81">
        <f>+Municipios!AB559</f>
        <v>33.646044230889764</v>
      </c>
      <c r="M558" s="232">
        <v>76863</v>
      </c>
      <c r="N558" s="232" t="s">
        <v>1565</v>
      </c>
      <c r="O558" s="232" t="s">
        <v>454</v>
      </c>
      <c r="P558" s="232" t="s">
        <v>455</v>
      </c>
      <c r="Q558" s="232" t="s">
        <v>1566</v>
      </c>
      <c r="T558" t="s">
        <v>2803</v>
      </c>
      <c r="U558" s="25">
        <f>+Municipios!Z559</f>
        <v>65.439041354362089</v>
      </c>
      <c r="V558" s="232">
        <v>76863</v>
      </c>
      <c r="W558" s="232" t="s">
        <v>1565</v>
      </c>
      <c r="X558" s="232" t="s">
        <v>454</v>
      </c>
      <c r="Y558" s="232" t="s">
        <v>455</v>
      </c>
      <c r="Z558" s="232" t="s">
        <v>1566</v>
      </c>
    </row>
    <row r="559" spans="1:26">
      <c r="A559" t="s">
        <v>417</v>
      </c>
      <c r="B559" s="25">
        <f>+Municipios!Z560</f>
        <v>67.135425464739711</v>
      </c>
      <c r="C559" s="232">
        <v>81736</v>
      </c>
      <c r="D559" s="232" t="s">
        <v>1567</v>
      </c>
      <c r="E559" s="232" t="s">
        <v>1568</v>
      </c>
      <c r="F559" s="232" t="s">
        <v>1569</v>
      </c>
      <c r="G559" s="232" t="s">
        <v>1570</v>
      </c>
      <c r="K559" t="s">
        <v>2647</v>
      </c>
      <c r="L559" s="81">
        <f>+Municipios!AB560</f>
        <v>34.538956237585637</v>
      </c>
      <c r="M559" s="232">
        <v>81736</v>
      </c>
      <c r="N559" s="232" t="s">
        <v>1567</v>
      </c>
      <c r="O559" s="232" t="s">
        <v>1568</v>
      </c>
      <c r="P559" s="232" t="s">
        <v>1569</v>
      </c>
      <c r="Q559" s="232" t="s">
        <v>1570</v>
      </c>
      <c r="T559" t="s">
        <v>2803</v>
      </c>
      <c r="U559" s="25">
        <f>+Municipios!Z560</f>
        <v>67.135425464739711</v>
      </c>
      <c r="V559" s="232">
        <v>81736</v>
      </c>
      <c r="W559" s="232" t="s">
        <v>1567</v>
      </c>
      <c r="X559" s="232" t="s">
        <v>1568</v>
      </c>
      <c r="Y559" s="232" t="s">
        <v>1569</v>
      </c>
      <c r="Z559" s="232" t="s">
        <v>1570</v>
      </c>
    </row>
    <row r="560" spans="1:26">
      <c r="A560" t="s">
        <v>417</v>
      </c>
      <c r="B560" s="25">
        <f>+Municipios!Z561</f>
        <v>54.236133630380891</v>
      </c>
      <c r="C560" s="232">
        <v>19392</v>
      </c>
      <c r="D560" s="232" t="s">
        <v>1571</v>
      </c>
      <c r="E560" s="232" t="s">
        <v>557</v>
      </c>
      <c r="F560" s="232" t="s">
        <v>558</v>
      </c>
      <c r="G560" s="232" t="s">
        <v>1572</v>
      </c>
      <c r="K560" t="s">
        <v>2647</v>
      </c>
      <c r="L560" s="81">
        <f>+Municipios!AB561</f>
        <v>28.039269336397201</v>
      </c>
      <c r="M560" s="232">
        <v>19392</v>
      </c>
      <c r="N560" s="232" t="s">
        <v>1571</v>
      </c>
      <c r="O560" s="232" t="s">
        <v>557</v>
      </c>
      <c r="P560" s="232" t="s">
        <v>558</v>
      </c>
      <c r="Q560" s="232" t="s">
        <v>1572</v>
      </c>
      <c r="T560" t="s">
        <v>2803</v>
      </c>
      <c r="U560" s="25">
        <f>+Municipios!Z561</f>
        <v>54.236133630380891</v>
      </c>
      <c r="V560" s="232">
        <v>19392</v>
      </c>
      <c r="W560" s="232" t="s">
        <v>1571</v>
      </c>
      <c r="X560" s="232" t="s">
        <v>557</v>
      </c>
      <c r="Y560" s="232" t="s">
        <v>558</v>
      </c>
      <c r="Z560" s="232" t="s">
        <v>1572</v>
      </c>
    </row>
    <row r="561" spans="1:26">
      <c r="A561" t="s">
        <v>417</v>
      </c>
      <c r="B561" s="25">
        <f>+Municipios!Z562</f>
        <v>61.942747259262951</v>
      </c>
      <c r="C561" s="232">
        <v>15879</v>
      </c>
      <c r="D561" s="232" t="s">
        <v>1573</v>
      </c>
      <c r="E561" s="232" t="s">
        <v>498</v>
      </c>
      <c r="F561" s="232" t="s">
        <v>499</v>
      </c>
      <c r="G561" s="232" t="s">
        <v>1574</v>
      </c>
      <c r="K561" t="s">
        <v>2647</v>
      </c>
      <c r="L561" s="81">
        <f>+Municipios!AB562</f>
        <v>31.758392330541312</v>
      </c>
      <c r="M561" s="232">
        <v>15879</v>
      </c>
      <c r="N561" s="232" t="s">
        <v>1573</v>
      </c>
      <c r="O561" s="232" t="s">
        <v>498</v>
      </c>
      <c r="P561" s="232" t="s">
        <v>499</v>
      </c>
      <c r="Q561" s="232" t="s">
        <v>1574</v>
      </c>
      <c r="T561" t="s">
        <v>2803</v>
      </c>
      <c r="U561" s="25">
        <f>+Municipios!Z562</f>
        <v>61.942747259262951</v>
      </c>
      <c r="V561" s="232">
        <v>15879</v>
      </c>
      <c r="W561" s="232" t="s">
        <v>1573</v>
      </c>
      <c r="X561" s="232" t="s">
        <v>498</v>
      </c>
      <c r="Y561" s="232" t="s">
        <v>499</v>
      </c>
      <c r="Z561" s="232" t="s">
        <v>1574</v>
      </c>
    </row>
    <row r="562" spans="1:26">
      <c r="A562" t="s">
        <v>417</v>
      </c>
      <c r="B562" s="25">
        <f>+Municipios!Z563</f>
        <v>45.582024232044667</v>
      </c>
      <c r="C562" s="232">
        <v>5051</v>
      </c>
      <c r="D562" s="232" t="s">
        <v>1575</v>
      </c>
      <c r="E562" s="232" t="s">
        <v>435</v>
      </c>
      <c r="F562" s="232" t="s">
        <v>436</v>
      </c>
      <c r="G562" s="232" t="s">
        <v>1576</v>
      </c>
      <c r="K562" t="s">
        <v>2647</v>
      </c>
      <c r="L562" s="81">
        <f>+Municipios!AB563</f>
        <v>23.404603268748314</v>
      </c>
      <c r="M562" s="232">
        <v>5051</v>
      </c>
      <c r="N562" s="232" t="s">
        <v>1575</v>
      </c>
      <c r="O562" s="232" t="s">
        <v>435</v>
      </c>
      <c r="P562" s="232" t="s">
        <v>436</v>
      </c>
      <c r="Q562" s="232" t="s">
        <v>1576</v>
      </c>
      <c r="T562" t="s">
        <v>2803</v>
      </c>
      <c r="U562" s="25">
        <f>+Municipios!Z563</f>
        <v>45.582024232044667</v>
      </c>
      <c r="V562" s="232">
        <v>5051</v>
      </c>
      <c r="W562" s="232" t="s">
        <v>1575</v>
      </c>
      <c r="X562" s="232" t="s">
        <v>435</v>
      </c>
      <c r="Y562" s="232" t="s">
        <v>436</v>
      </c>
      <c r="Z562" s="232" t="s">
        <v>1576</v>
      </c>
    </row>
    <row r="563" spans="1:26">
      <c r="A563" t="s">
        <v>417</v>
      </c>
      <c r="B563" s="25">
        <f>+Municipios!Z564</f>
        <v>51.391889569054413</v>
      </c>
      <c r="C563" s="232">
        <v>73270</v>
      </c>
      <c r="D563" s="232" t="s">
        <v>1577</v>
      </c>
      <c r="E563" s="232" t="s">
        <v>595</v>
      </c>
      <c r="F563" s="232" t="s">
        <v>596</v>
      </c>
      <c r="G563" s="232" t="s">
        <v>1578</v>
      </c>
      <c r="K563" t="s">
        <v>2647</v>
      </c>
      <c r="L563" s="81">
        <f>+Municipios!AB564</f>
        <v>26.301787957598307</v>
      </c>
      <c r="M563" s="232">
        <v>73270</v>
      </c>
      <c r="N563" s="232" t="s">
        <v>1577</v>
      </c>
      <c r="O563" s="232" t="s">
        <v>595</v>
      </c>
      <c r="P563" s="232" t="s">
        <v>596</v>
      </c>
      <c r="Q563" s="232" t="s">
        <v>1578</v>
      </c>
      <c r="T563" t="s">
        <v>2803</v>
      </c>
      <c r="U563" s="25">
        <f>+Municipios!Z564</f>
        <v>51.391889569054413</v>
      </c>
      <c r="V563" s="232">
        <v>73270</v>
      </c>
      <c r="W563" s="232" t="s">
        <v>1577</v>
      </c>
      <c r="X563" s="232" t="s">
        <v>595</v>
      </c>
      <c r="Y563" s="232" t="s">
        <v>596</v>
      </c>
      <c r="Z563" s="232" t="s">
        <v>1578</v>
      </c>
    </row>
    <row r="564" spans="1:26">
      <c r="A564" t="s">
        <v>417</v>
      </c>
      <c r="B564" s="25">
        <f>+Municipios!Z565</f>
        <v>65.5430228321556</v>
      </c>
      <c r="C564" s="232">
        <v>47030</v>
      </c>
      <c r="D564" s="232" t="s">
        <v>1579</v>
      </c>
      <c r="E564" s="232" t="s">
        <v>638</v>
      </c>
      <c r="F564" s="232" t="s">
        <v>639</v>
      </c>
      <c r="G564" s="232" t="s">
        <v>1580</v>
      </c>
      <c r="K564" t="s">
        <v>2647</v>
      </c>
      <c r="L564" s="81">
        <f>+Municipios!AB565</f>
        <v>33.654668012165807</v>
      </c>
      <c r="M564" s="232">
        <v>47030</v>
      </c>
      <c r="N564" s="232" t="s">
        <v>1579</v>
      </c>
      <c r="O564" s="232" t="s">
        <v>638</v>
      </c>
      <c r="P564" s="232" t="s">
        <v>639</v>
      </c>
      <c r="Q564" s="232" t="s">
        <v>1580</v>
      </c>
      <c r="T564" t="s">
        <v>2803</v>
      </c>
      <c r="U564" s="25">
        <f>+Municipios!Z565</f>
        <v>65.5430228321556</v>
      </c>
      <c r="V564" s="232">
        <v>47030</v>
      </c>
      <c r="W564" s="232" t="s">
        <v>1579</v>
      </c>
      <c r="X564" s="232" t="s">
        <v>638</v>
      </c>
      <c r="Y564" s="232" t="s">
        <v>639</v>
      </c>
      <c r="Z564" s="232" t="s">
        <v>1580</v>
      </c>
    </row>
    <row r="565" spans="1:26">
      <c r="A565" t="s">
        <v>417</v>
      </c>
      <c r="B565" s="25">
        <f>+Municipios!Z566</f>
        <v>53.496914918948377</v>
      </c>
      <c r="C565" s="232">
        <v>47258</v>
      </c>
      <c r="D565" s="232" t="s">
        <v>1581</v>
      </c>
      <c r="E565" s="232" t="s">
        <v>638</v>
      </c>
      <c r="F565" s="232" t="s">
        <v>639</v>
      </c>
      <c r="G565" s="232" t="s">
        <v>1582</v>
      </c>
      <c r="K565" t="s">
        <v>2647</v>
      </c>
      <c r="L565" s="81">
        <f>+Municipios!AB566</f>
        <v>27.446104712322757</v>
      </c>
      <c r="M565" s="232">
        <v>47258</v>
      </c>
      <c r="N565" s="232" t="s">
        <v>1581</v>
      </c>
      <c r="O565" s="232" t="s">
        <v>638</v>
      </c>
      <c r="P565" s="232" t="s">
        <v>639</v>
      </c>
      <c r="Q565" s="232" t="s">
        <v>1582</v>
      </c>
      <c r="T565" t="s">
        <v>2803</v>
      </c>
      <c r="U565" s="25">
        <f>+Municipios!Z566</f>
        <v>53.496914918948377</v>
      </c>
      <c r="V565" s="232">
        <v>47258</v>
      </c>
      <c r="W565" s="232" t="s">
        <v>1581</v>
      </c>
      <c r="X565" s="232" t="s">
        <v>638</v>
      </c>
      <c r="Y565" s="232" t="s">
        <v>639</v>
      </c>
      <c r="Z565" s="232" t="s">
        <v>1582</v>
      </c>
    </row>
    <row r="566" spans="1:26">
      <c r="A566" t="s">
        <v>417</v>
      </c>
      <c r="B566" s="25">
        <f>+Municipios!Z567</f>
        <v>59.559249802460428</v>
      </c>
      <c r="C566" s="232">
        <v>68209</v>
      </c>
      <c r="D566" s="232" t="s">
        <v>1583</v>
      </c>
      <c r="E566" s="232" t="s">
        <v>431</v>
      </c>
      <c r="F566" s="232" t="s">
        <v>432</v>
      </c>
      <c r="G566" s="232" t="s">
        <v>1584</v>
      </c>
      <c r="K566" t="s">
        <v>2647</v>
      </c>
      <c r="L566" s="81">
        <f>+Municipios!AB567</f>
        <v>30.72368185799073</v>
      </c>
      <c r="M566" s="232">
        <v>68209</v>
      </c>
      <c r="N566" s="232" t="s">
        <v>1583</v>
      </c>
      <c r="O566" s="232" t="s">
        <v>431</v>
      </c>
      <c r="P566" s="232" t="s">
        <v>432</v>
      </c>
      <c r="Q566" s="232" t="s">
        <v>1584</v>
      </c>
      <c r="T566" t="s">
        <v>2803</v>
      </c>
      <c r="U566" s="25">
        <f>+Municipios!Z567</f>
        <v>59.559249802460428</v>
      </c>
      <c r="V566" s="232">
        <v>68209</v>
      </c>
      <c r="W566" s="232" t="s">
        <v>1583</v>
      </c>
      <c r="X566" s="232" t="s">
        <v>431</v>
      </c>
      <c r="Y566" s="232" t="s">
        <v>432</v>
      </c>
      <c r="Z566" s="232" t="s">
        <v>1584</v>
      </c>
    </row>
    <row r="567" spans="1:26">
      <c r="A567" t="s">
        <v>417</v>
      </c>
      <c r="B567" s="25">
        <f>+Municipios!Z568</f>
        <v>57.379472722295624</v>
      </c>
      <c r="C567" s="232">
        <v>15757</v>
      </c>
      <c r="D567" s="232" t="s">
        <v>1585</v>
      </c>
      <c r="E567" s="232" t="s">
        <v>498</v>
      </c>
      <c r="F567" s="232" t="s">
        <v>499</v>
      </c>
      <c r="G567" s="232" t="s">
        <v>1586</v>
      </c>
      <c r="K567" t="s">
        <v>2647</v>
      </c>
      <c r="L567" s="81">
        <f>+Municipios!AB568</f>
        <v>29.483280515374265</v>
      </c>
      <c r="M567" s="232">
        <v>15757</v>
      </c>
      <c r="N567" s="232" t="s">
        <v>1585</v>
      </c>
      <c r="O567" s="232" t="s">
        <v>498</v>
      </c>
      <c r="P567" s="232" t="s">
        <v>499</v>
      </c>
      <c r="Q567" s="232" t="s">
        <v>1586</v>
      </c>
      <c r="T567" t="s">
        <v>2803</v>
      </c>
      <c r="U567" s="25">
        <f>+Municipios!Z568</f>
        <v>57.379472722295624</v>
      </c>
      <c r="V567" s="232">
        <v>15757</v>
      </c>
      <c r="W567" s="232" t="s">
        <v>1585</v>
      </c>
      <c r="X567" s="232" t="s">
        <v>498</v>
      </c>
      <c r="Y567" s="232" t="s">
        <v>499</v>
      </c>
      <c r="Z567" s="232" t="s">
        <v>1586</v>
      </c>
    </row>
    <row r="568" spans="1:26">
      <c r="A568" t="s">
        <v>417</v>
      </c>
      <c r="B568" s="25">
        <f>+Municipios!Z569</f>
        <v>56.77281253147207</v>
      </c>
      <c r="C568" s="232">
        <v>73861</v>
      </c>
      <c r="D568" s="232" t="s">
        <v>1587</v>
      </c>
      <c r="E568" s="232" t="s">
        <v>595</v>
      </c>
      <c r="F568" s="232" t="s">
        <v>596</v>
      </c>
      <c r="G568" s="232" t="s">
        <v>1588</v>
      </c>
      <c r="K568" t="s">
        <v>2647</v>
      </c>
      <c r="L568" s="81">
        <f>+Municipios!AB569</f>
        <v>29.010170621567276</v>
      </c>
      <c r="M568" s="232">
        <v>73861</v>
      </c>
      <c r="N568" s="232" t="s">
        <v>1587</v>
      </c>
      <c r="O568" s="232" t="s">
        <v>595</v>
      </c>
      <c r="P568" s="232" t="s">
        <v>596</v>
      </c>
      <c r="Q568" s="232" t="s">
        <v>1588</v>
      </c>
      <c r="T568" t="s">
        <v>2803</v>
      </c>
      <c r="U568" s="25">
        <f>+Municipios!Z569</f>
        <v>56.77281253147207</v>
      </c>
      <c r="V568" s="232">
        <v>73861</v>
      </c>
      <c r="W568" s="232" t="s">
        <v>1587</v>
      </c>
      <c r="X568" s="232" t="s">
        <v>595</v>
      </c>
      <c r="Y568" s="232" t="s">
        <v>596</v>
      </c>
      <c r="Z568" s="232" t="s">
        <v>1588</v>
      </c>
    </row>
    <row r="569" spans="1:26">
      <c r="A569" t="s">
        <v>417</v>
      </c>
      <c r="B569" s="25">
        <f>+Municipios!Z570</f>
        <v>48.649347628930457</v>
      </c>
      <c r="C569" s="232">
        <v>47170</v>
      </c>
      <c r="D569" s="232" t="s">
        <v>1589</v>
      </c>
      <c r="E569" s="232" t="s">
        <v>638</v>
      </c>
      <c r="F569" s="232" t="s">
        <v>639</v>
      </c>
      <c r="G569" s="232" t="s">
        <v>1590</v>
      </c>
      <c r="K569" t="s">
        <v>2647</v>
      </c>
      <c r="L569" s="81">
        <f>+Municipios!AB570</f>
        <v>24.952137841855691</v>
      </c>
      <c r="M569" s="232">
        <v>47170</v>
      </c>
      <c r="N569" s="232" t="s">
        <v>1589</v>
      </c>
      <c r="O569" s="232" t="s">
        <v>638</v>
      </c>
      <c r="P569" s="232" t="s">
        <v>639</v>
      </c>
      <c r="Q569" s="232" t="s">
        <v>1590</v>
      </c>
      <c r="T569" t="s">
        <v>2803</v>
      </c>
      <c r="U569" s="25">
        <f>+Municipios!Z570</f>
        <v>48.649347628930457</v>
      </c>
      <c r="V569" s="232">
        <v>47170</v>
      </c>
      <c r="W569" s="232" t="s">
        <v>1589</v>
      </c>
      <c r="X569" s="232" t="s">
        <v>638</v>
      </c>
      <c r="Y569" s="232" t="s">
        <v>639</v>
      </c>
      <c r="Z569" s="232" t="s">
        <v>1590</v>
      </c>
    </row>
    <row r="570" spans="1:26">
      <c r="A570" t="s">
        <v>417</v>
      </c>
      <c r="B570" s="25">
        <f>+Municipios!Z571</f>
        <v>57.510494444380754</v>
      </c>
      <c r="C570" s="232">
        <v>25845</v>
      </c>
      <c r="D570" s="232" t="s">
        <v>1591</v>
      </c>
      <c r="E570" s="232" t="s">
        <v>461</v>
      </c>
      <c r="F570" s="232" t="s">
        <v>462</v>
      </c>
      <c r="G570" s="232" t="s">
        <v>1592</v>
      </c>
      <c r="K570" t="s">
        <v>2647</v>
      </c>
      <c r="L570" s="81">
        <f>+Municipios!AB571</f>
        <v>29.394147932941184</v>
      </c>
      <c r="M570" s="232">
        <v>25845</v>
      </c>
      <c r="N570" s="232" t="s">
        <v>1591</v>
      </c>
      <c r="O570" s="232" t="s">
        <v>461</v>
      </c>
      <c r="P570" s="232" t="s">
        <v>462</v>
      </c>
      <c r="Q570" s="232" t="s">
        <v>1592</v>
      </c>
      <c r="T570" t="s">
        <v>2803</v>
      </c>
      <c r="U570" s="25">
        <f>+Municipios!Z571</f>
        <v>57.510494444380754</v>
      </c>
      <c r="V570" s="232">
        <v>25845</v>
      </c>
      <c r="W570" s="232" t="s">
        <v>1591</v>
      </c>
      <c r="X570" s="232" t="s">
        <v>461</v>
      </c>
      <c r="Y570" s="232" t="s">
        <v>462</v>
      </c>
      <c r="Z570" s="232" t="s">
        <v>1592</v>
      </c>
    </row>
    <row r="571" spans="1:26">
      <c r="A571" t="s">
        <v>417</v>
      </c>
      <c r="B571" s="25">
        <f>+Municipios!Z572</f>
        <v>57.381205117119819</v>
      </c>
      <c r="C571" s="232">
        <v>41791</v>
      </c>
      <c r="D571" s="232" t="s">
        <v>1593</v>
      </c>
      <c r="E571" s="232" t="s">
        <v>676</v>
      </c>
      <c r="F571" s="232" t="s">
        <v>677</v>
      </c>
      <c r="G571" s="232" t="s">
        <v>1594</v>
      </c>
      <c r="K571" t="s">
        <v>2647</v>
      </c>
      <c r="L571" s="81">
        <f>+Municipios!AB572</f>
        <v>29.406354797885843</v>
      </c>
      <c r="M571" s="232">
        <v>41791</v>
      </c>
      <c r="N571" s="232" t="s">
        <v>1593</v>
      </c>
      <c r="O571" s="232" t="s">
        <v>676</v>
      </c>
      <c r="P571" s="232" t="s">
        <v>677</v>
      </c>
      <c r="Q571" s="232" t="s">
        <v>1594</v>
      </c>
      <c r="T571" t="s">
        <v>2803</v>
      </c>
      <c r="U571" s="25">
        <f>+Municipios!Z572</f>
        <v>57.381205117119819</v>
      </c>
      <c r="V571" s="232">
        <v>41791</v>
      </c>
      <c r="W571" s="232" t="s">
        <v>1593</v>
      </c>
      <c r="X571" s="232" t="s">
        <v>676</v>
      </c>
      <c r="Y571" s="232" t="s">
        <v>677</v>
      </c>
      <c r="Z571" s="232" t="s">
        <v>1594</v>
      </c>
    </row>
    <row r="572" spans="1:26">
      <c r="A572" t="s">
        <v>417</v>
      </c>
      <c r="B572" s="25">
        <f>+Municipios!Z573</f>
        <v>55.350771694397061</v>
      </c>
      <c r="C572" s="232">
        <v>20228</v>
      </c>
      <c r="D572" s="232" t="s">
        <v>1595</v>
      </c>
      <c r="E572" s="232" t="s">
        <v>893</v>
      </c>
      <c r="F572" s="232" t="s">
        <v>894</v>
      </c>
      <c r="G572" s="232" t="s">
        <v>1596</v>
      </c>
      <c r="K572" t="s">
        <v>2647</v>
      </c>
      <c r="L572" s="81">
        <f>+Municipios!AB573</f>
        <v>28.349799587638206</v>
      </c>
      <c r="M572" s="232">
        <v>20228</v>
      </c>
      <c r="N572" s="232" t="s">
        <v>1595</v>
      </c>
      <c r="O572" s="232" t="s">
        <v>893</v>
      </c>
      <c r="P572" s="232" t="s">
        <v>894</v>
      </c>
      <c r="Q572" s="232" t="s">
        <v>1596</v>
      </c>
      <c r="T572" t="s">
        <v>2803</v>
      </c>
      <c r="U572" s="25">
        <f>+Municipios!Z573</f>
        <v>55.350771694397061</v>
      </c>
      <c r="V572" s="232">
        <v>20228</v>
      </c>
      <c r="W572" s="232" t="s">
        <v>1595</v>
      </c>
      <c r="X572" s="232" t="s">
        <v>893</v>
      </c>
      <c r="Y572" s="232" t="s">
        <v>894</v>
      </c>
      <c r="Z572" s="232" t="s">
        <v>1596</v>
      </c>
    </row>
    <row r="573" spans="1:26">
      <c r="A573" t="s">
        <v>417</v>
      </c>
      <c r="B573" s="25">
        <f>+Municipios!Z574</f>
        <v>47.584120151065648</v>
      </c>
      <c r="C573" s="232">
        <v>5837</v>
      </c>
      <c r="D573" s="232" t="s">
        <v>1597</v>
      </c>
      <c r="E573" s="232" t="s">
        <v>435</v>
      </c>
      <c r="F573" s="232" t="s">
        <v>436</v>
      </c>
      <c r="G573" s="232" t="s">
        <v>1598</v>
      </c>
      <c r="K573" t="s">
        <v>2647</v>
      </c>
      <c r="L573" s="81">
        <f>+Municipios!AB574</f>
        <v>24.362348205565866</v>
      </c>
      <c r="M573" s="232">
        <v>5837</v>
      </c>
      <c r="N573" s="232" t="s">
        <v>1597</v>
      </c>
      <c r="O573" s="232" t="s">
        <v>435</v>
      </c>
      <c r="P573" s="232" t="s">
        <v>436</v>
      </c>
      <c r="Q573" s="232" t="s">
        <v>1598</v>
      </c>
      <c r="T573" t="s">
        <v>2803</v>
      </c>
      <c r="U573" s="25">
        <f>+Municipios!Z574</f>
        <v>47.584120151065648</v>
      </c>
      <c r="V573" s="232">
        <v>5837</v>
      </c>
      <c r="W573" s="232" t="s">
        <v>1597</v>
      </c>
      <c r="X573" s="232" t="s">
        <v>435</v>
      </c>
      <c r="Y573" s="232" t="s">
        <v>436</v>
      </c>
      <c r="Z573" s="232" t="s">
        <v>1598</v>
      </c>
    </row>
    <row r="574" spans="1:26">
      <c r="A574" t="s">
        <v>417</v>
      </c>
      <c r="B574" s="25">
        <f>+Municipios!Z575</f>
        <v>54.733198363638337</v>
      </c>
      <c r="C574" s="232">
        <v>15761</v>
      </c>
      <c r="D574" s="232" t="s">
        <v>1599</v>
      </c>
      <c r="E574" s="232" t="s">
        <v>498</v>
      </c>
      <c r="F574" s="232" t="s">
        <v>499</v>
      </c>
      <c r="G574" s="232" t="s">
        <v>1600</v>
      </c>
      <c r="K574" t="s">
        <v>2647</v>
      </c>
      <c r="L574" s="81">
        <f>+Municipios!AB575</f>
        <v>28.090774370215165</v>
      </c>
      <c r="M574" s="232">
        <v>15761</v>
      </c>
      <c r="N574" s="232" t="s">
        <v>1599</v>
      </c>
      <c r="O574" s="232" t="s">
        <v>498</v>
      </c>
      <c r="P574" s="232" t="s">
        <v>499</v>
      </c>
      <c r="Q574" s="232" t="s">
        <v>1600</v>
      </c>
      <c r="T574" t="s">
        <v>2803</v>
      </c>
      <c r="U574" s="25">
        <f>+Municipios!Z575</f>
        <v>54.733198363638337</v>
      </c>
      <c r="V574" s="232">
        <v>15761</v>
      </c>
      <c r="W574" s="232" t="s">
        <v>1599</v>
      </c>
      <c r="X574" s="232" t="s">
        <v>498</v>
      </c>
      <c r="Y574" s="232" t="s">
        <v>499</v>
      </c>
      <c r="Z574" s="232" t="s">
        <v>1600</v>
      </c>
    </row>
    <row r="575" spans="1:26">
      <c r="A575" t="s">
        <v>417</v>
      </c>
      <c r="B575" s="25">
        <f>+Municipios!Z576</f>
        <v>77.972463850004814</v>
      </c>
      <c r="C575" s="232">
        <v>44650</v>
      </c>
      <c r="D575" s="232" t="s">
        <v>1601</v>
      </c>
      <c r="E575" s="232" t="s">
        <v>933</v>
      </c>
      <c r="F575" s="232" t="s">
        <v>934</v>
      </c>
      <c r="G575" s="232" t="s">
        <v>1602</v>
      </c>
      <c r="K575" t="s">
        <v>2647</v>
      </c>
      <c r="L575" s="81">
        <f>+Municipios!AB576</f>
        <v>39.913168116153443</v>
      </c>
      <c r="M575" s="232">
        <v>44650</v>
      </c>
      <c r="N575" s="232" t="s">
        <v>1601</v>
      </c>
      <c r="O575" s="232" t="s">
        <v>933</v>
      </c>
      <c r="P575" s="232" t="s">
        <v>934</v>
      </c>
      <c r="Q575" s="232" t="s">
        <v>1602</v>
      </c>
      <c r="T575" t="s">
        <v>2803</v>
      </c>
      <c r="U575" s="25">
        <f>+Municipios!Z576</f>
        <v>77.972463850004814</v>
      </c>
      <c r="V575" s="232">
        <v>44650</v>
      </c>
      <c r="W575" s="232" t="s">
        <v>1601</v>
      </c>
      <c r="X575" s="232" t="s">
        <v>933</v>
      </c>
      <c r="Y575" s="232" t="s">
        <v>934</v>
      </c>
      <c r="Z575" s="232" t="s">
        <v>1602</v>
      </c>
    </row>
    <row r="576" spans="1:26">
      <c r="A576" t="s">
        <v>417</v>
      </c>
      <c r="B576" s="25">
        <f>+Municipios!Z577</f>
        <v>62.061204577593088</v>
      </c>
      <c r="C576" s="232">
        <v>68524</v>
      </c>
      <c r="D576" s="232" t="s">
        <v>1603</v>
      </c>
      <c r="E576" s="232" t="s">
        <v>431</v>
      </c>
      <c r="F576" s="232" t="s">
        <v>432</v>
      </c>
      <c r="G576" s="232" t="s">
        <v>1604</v>
      </c>
      <c r="K576" t="s">
        <v>2647</v>
      </c>
      <c r="L576" s="81">
        <f>+Municipios!AB577</f>
        <v>31.933663755951645</v>
      </c>
      <c r="M576" s="232">
        <v>68524</v>
      </c>
      <c r="N576" s="232" t="s">
        <v>1603</v>
      </c>
      <c r="O576" s="232" t="s">
        <v>431</v>
      </c>
      <c r="P576" s="232" t="s">
        <v>432</v>
      </c>
      <c r="Q576" s="232" t="s">
        <v>1604</v>
      </c>
      <c r="T576" t="s">
        <v>2803</v>
      </c>
      <c r="U576" s="25">
        <f>+Municipios!Z577</f>
        <v>62.061204577593088</v>
      </c>
      <c r="V576" s="232">
        <v>68524</v>
      </c>
      <c r="W576" s="232" t="s">
        <v>1603</v>
      </c>
      <c r="X576" s="232" t="s">
        <v>431</v>
      </c>
      <c r="Y576" s="232" t="s">
        <v>432</v>
      </c>
      <c r="Z576" s="232" t="s">
        <v>1604</v>
      </c>
    </row>
    <row r="577" spans="1:26">
      <c r="A577" t="s">
        <v>417</v>
      </c>
      <c r="B577" s="25">
        <f>+Municipios!Z578</f>
        <v>54.109429109936542</v>
      </c>
      <c r="C577" s="232">
        <v>41483</v>
      </c>
      <c r="D577" s="232" t="s">
        <v>1605</v>
      </c>
      <c r="E577" s="232" t="s">
        <v>676</v>
      </c>
      <c r="F577" s="232" t="s">
        <v>677</v>
      </c>
      <c r="G577" s="232" t="s">
        <v>1606</v>
      </c>
      <c r="K577" t="s">
        <v>2647</v>
      </c>
      <c r="L577" s="81">
        <f>+Municipios!AB578</f>
        <v>27.66617013321979</v>
      </c>
      <c r="M577" s="232">
        <v>41483</v>
      </c>
      <c r="N577" s="232" t="s">
        <v>1605</v>
      </c>
      <c r="O577" s="232" t="s">
        <v>676</v>
      </c>
      <c r="P577" s="232" t="s">
        <v>677</v>
      </c>
      <c r="Q577" s="232" t="s">
        <v>1606</v>
      </c>
      <c r="T577" t="s">
        <v>2803</v>
      </c>
      <c r="U577" s="25">
        <f>+Municipios!Z578</f>
        <v>54.109429109936542</v>
      </c>
      <c r="V577" s="232">
        <v>41483</v>
      </c>
      <c r="W577" s="232" t="s">
        <v>1605</v>
      </c>
      <c r="X577" s="232" t="s">
        <v>676</v>
      </c>
      <c r="Y577" s="232" t="s">
        <v>677</v>
      </c>
      <c r="Z577" s="232" t="s">
        <v>1606</v>
      </c>
    </row>
    <row r="578" spans="1:26">
      <c r="A578" t="s">
        <v>417</v>
      </c>
      <c r="B578" s="25">
        <f>+Municipios!Z579</f>
        <v>60.59575771781676</v>
      </c>
      <c r="C578" s="232">
        <v>15051</v>
      </c>
      <c r="D578" s="232" t="s">
        <v>1607</v>
      </c>
      <c r="E578" s="232" t="s">
        <v>498</v>
      </c>
      <c r="F578" s="232" t="s">
        <v>499</v>
      </c>
      <c r="G578" s="232" t="s">
        <v>1608</v>
      </c>
      <c r="K578" t="s">
        <v>2647</v>
      </c>
      <c r="L578" s="81">
        <f>+Municipios!AB579</f>
        <v>30.990180019032618</v>
      </c>
      <c r="M578" s="232">
        <v>15051</v>
      </c>
      <c r="N578" s="232" t="s">
        <v>1607</v>
      </c>
      <c r="O578" s="232" t="s">
        <v>498</v>
      </c>
      <c r="P578" s="232" t="s">
        <v>499</v>
      </c>
      <c r="Q578" s="232" t="s">
        <v>1608</v>
      </c>
      <c r="T578" t="s">
        <v>2803</v>
      </c>
      <c r="U578" s="25">
        <f>+Municipios!Z579</f>
        <v>60.59575771781676</v>
      </c>
      <c r="V578" s="232">
        <v>15051</v>
      </c>
      <c r="W578" s="232" t="s">
        <v>1607</v>
      </c>
      <c r="X578" s="232" t="s">
        <v>498</v>
      </c>
      <c r="Y578" s="232" t="s">
        <v>499</v>
      </c>
      <c r="Z578" s="232" t="s">
        <v>1608</v>
      </c>
    </row>
    <row r="579" spans="1:26">
      <c r="A579" t="s">
        <v>417</v>
      </c>
      <c r="B579" s="25">
        <f>+Municipios!Z580</f>
        <v>56.129426601576483</v>
      </c>
      <c r="C579" s="232">
        <v>13650</v>
      </c>
      <c r="D579" s="232" t="s">
        <v>1609</v>
      </c>
      <c r="E579" s="232" t="s">
        <v>480</v>
      </c>
      <c r="F579" s="232" t="s">
        <v>481</v>
      </c>
      <c r="G579" s="232" t="s">
        <v>1610</v>
      </c>
      <c r="K579" t="s">
        <v>2647</v>
      </c>
      <c r="L579" s="81">
        <f>+Municipios!AB580</f>
        <v>28.680158023752853</v>
      </c>
      <c r="M579" s="232">
        <v>13650</v>
      </c>
      <c r="N579" s="232" t="s">
        <v>1609</v>
      </c>
      <c r="O579" s="232" t="s">
        <v>480</v>
      </c>
      <c r="P579" s="232" t="s">
        <v>481</v>
      </c>
      <c r="Q579" s="232" t="s">
        <v>1610</v>
      </c>
      <c r="T579" t="s">
        <v>2803</v>
      </c>
      <c r="U579" s="25">
        <f>+Municipios!Z580</f>
        <v>56.129426601576483</v>
      </c>
      <c r="V579" s="232">
        <v>13650</v>
      </c>
      <c r="W579" s="232" t="s">
        <v>1609</v>
      </c>
      <c r="X579" s="232" t="s">
        <v>480</v>
      </c>
      <c r="Y579" s="232" t="s">
        <v>481</v>
      </c>
      <c r="Z579" s="232" t="s">
        <v>1610</v>
      </c>
    </row>
    <row r="580" spans="1:26">
      <c r="A580" t="s">
        <v>417</v>
      </c>
      <c r="B580" s="25">
        <f>+Municipios!Z581</f>
        <v>48.034483789217475</v>
      </c>
      <c r="C580" s="232">
        <v>70124</v>
      </c>
      <c r="D580" s="232" t="s">
        <v>1611</v>
      </c>
      <c r="E580" s="232" t="s">
        <v>494</v>
      </c>
      <c r="F580" s="232" t="s">
        <v>495</v>
      </c>
      <c r="G580" s="232" t="s">
        <v>1612</v>
      </c>
      <c r="K580" t="s">
        <v>2647</v>
      </c>
      <c r="L580" s="81">
        <f>+Municipios!AB581</f>
        <v>24.540989132382308</v>
      </c>
      <c r="M580" s="232">
        <v>70124</v>
      </c>
      <c r="N580" s="232" t="s">
        <v>1611</v>
      </c>
      <c r="O580" s="232" t="s">
        <v>494</v>
      </c>
      <c r="P580" s="232" t="s">
        <v>495</v>
      </c>
      <c r="Q580" s="232" t="s">
        <v>1612</v>
      </c>
      <c r="T580" t="s">
        <v>2803</v>
      </c>
      <c r="U580" s="25">
        <f>+Municipios!Z581</f>
        <v>48.034483789217475</v>
      </c>
      <c r="V580" s="232">
        <v>70124</v>
      </c>
      <c r="W580" s="232" t="s">
        <v>1611</v>
      </c>
      <c r="X580" s="232" t="s">
        <v>494</v>
      </c>
      <c r="Y580" s="232" t="s">
        <v>495</v>
      </c>
      <c r="Z580" s="232" t="s">
        <v>1612</v>
      </c>
    </row>
    <row r="581" spans="1:26">
      <c r="A581" t="s">
        <v>417</v>
      </c>
      <c r="B581" s="25">
        <f>+Municipios!Z582</f>
        <v>57.056213684734374</v>
      </c>
      <c r="C581" s="232">
        <v>19532</v>
      </c>
      <c r="D581" s="232" t="s">
        <v>1613</v>
      </c>
      <c r="E581" s="232" t="s">
        <v>557</v>
      </c>
      <c r="F581" s="232" t="s">
        <v>558</v>
      </c>
      <c r="G581" s="232" t="s">
        <v>1614</v>
      </c>
      <c r="K581" t="s">
        <v>2647</v>
      </c>
      <c r="L581" s="81">
        <f>+Municipios!AB582</f>
        <v>29.126085149484336</v>
      </c>
      <c r="M581" s="232">
        <v>19532</v>
      </c>
      <c r="N581" s="232" t="s">
        <v>1613</v>
      </c>
      <c r="O581" s="232" t="s">
        <v>557</v>
      </c>
      <c r="P581" s="232" t="s">
        <v>558</v>
      </c>
      <c r="Q581" s="232" t="s">
        <v>1614</v>
      </c>
      <c r="T581" t="s">
        <v>2803</v>
      </c>
      <c r="U581" s="25">
        <f>+Municipios!Z582</f>
        <v>57.056213684734374</v>
      </c>
      <c r="V581" s="232">
        <v>19532</v>
      </c>
      <c r="W581" s="232" t="s">
        <v>1613</v>
      </c>
      <c r="X581" s="232" t="s">
        <v>557</v>
      </c>
      <c r="Y581" s="232" t="s">
        <v>558</v>
      </c>
      <c r="Z581" s="232" t="s">
        <v>1614</v>
      </c>
    </row>
    <row r="582" spans="1:26">
      <c r="A582" t="s">
        <v>417</v>
      </c>
      <c r="B582" s="25">
        <f>+Municipios!Z583</f>
        <v>58.691193591974297</v>
      </c>
      <c r="C582" s="232">
        <v>15808</v>
      </c>
      <c r="D582" s="232" t="s">
        <v>1615</v>
      </c>
      <c r="E582" s="232" t="s">
        <v>498</v>
      </c>
      <c r="F582" s="232" t="s">
        <v>499</v>
      </c>
      <c r="G582" s="232" t="s">
        <v>1616</v>
      </c>
      <c r="K582" t="s">
        <v>2647</v>
      </c>
      <c r="L582" s="81">
        <f>+Municipios!AB583</f>
        <v>29.856077056181196</v>
      </c>
      <c r="M582" s="232">
        <v>15808</v>
      </c>
      <c r="N582" s="232" t="s">
        <v>1615</v>
      </c>
      <c r="O582" s="232" t="s">
        <v>498</v>
      </c>
      <c r="P582" s="232" t="s">
        <v>499</v>
      </c>
      <c r="Q582" s="232" t="s">
        <v>1616</v>
      </c>
      <c r="T582" t="s">
        <v>2803</v>
      </c>
      <c r="U582" s="25">
        <f>+Municipios!Z583</f>
        <v>58.691193591974297</v>
      </c>
      <c r="V582" s="232">
        <v>15808</v>
      </c>
      <c r="W582" s="232" t="s">
        <v>1615</v>
      </c>
      <c r="X582" s="232" t="s">
        <v>498</v>
      </c>
      <c r="Y582" s="232" t="s">
        <v>499</v>
      </c>
      <c r="Z582" s="232" t="s">
        <v>1616</v>
      </c>
    </row>
    <row r="583" spans="1:26">
      <c r="A583" t="s">
        <v>417</v>
      </c>
      <c r="B583" s="25">
        <f>+Municipios!Z584</f>
        <v>60.819966697961576</v>
      </c>
      <c r="C583" s="232">
        <v>25649</v>
      </c>
      <c r="D583" s="232" t="s">
        <v>1617</v>
      </c>
      <c r="E583" s="232" t="s">
        <v>461</v>
      </c>
      <c r="F583" s="232" t="s">
        <v>462</v>
      </c>
      <c r="G583" s="232" t="s">
        <v>1011</v>
      </c>
      <c r="K583" t="s">
        <v>2647</v>
      </c>
      <c r="L583" s="81">
        <f>+Municipios!AB584</f>
        <v>30.989619988929835</v>
      </c>
      <c r="M583" s="232">
        <v>25649</v>
      </c>
      <c r="N583" s="232" t="s">
        <v>1617</v>
      </c>
      <c r="O583" s="232" t="s">
        <v>461</v>
      </c>
      <c r="P583" s="232" t="s">
        <v>462</v>
      </c>
      <c r="Q583" s="232" t="s">
        <v>1011</v>
      </c>
      <c r="T583" t="s">
        <v>2803</v>
      </c>
      <c r="U583" s="25">
        <f>+Municipios!Z584</f>
        <v>60.819966697961576</v>
      </c>
      <c r="V583" s="232">
        <v>25649</v>
      </c>
      <c r="W583" s="232" t="s">
        <v>1617</v>
      </c>
      <c r="X583" s="232" t="s">
        <v>461</v>
      </c>
      <c r="Y583" s="232" t="s">
        <v>462</v>
      </c>
      <c r="Z583" s="232" t="s">
        <v>1011</v>
      </c>
    </row>
    <row r="584" spans="1:26">
      <c r="A584" t="s">
        <v>417</v>
      </c>
      <c r="B584" s="25">
        <f>+Municipios!Z585</f>
        <v>63.553839476729628</v>
      </c>
      <c r="C584" s="232">
        <v>15816</v>
      </c>
      <c r="D584" s="232" t="s">
        <v>1618</v>
      </c>
      <c r="E584" s="232" t="s">
        <v>498</v>
      </c>
      <c r="F584" s="232" t="s">
        <v>499</v>
      </c>
      <c r="G584" s="232" t="s">
        <v>1619</v>
      </c>
      <c r="K584" t="s">
        <v>2647</v>
      </c>
      <c r="L584" s="81">
        <f>+Municipios!AB585</f>
        <v>32.19639975760505</v>
      </c>
      <c r="M584" s="232">
        <v>15816</v>
      </c>
      <c r="N584" s="232" t="s">
        <v>1618</v>
      </c>
      <c r="O584" s="232" t="s">
        <v>498</v>
      </c>
      <c r="P584" s="232" t="s">
        <v>499</v>
      </c>
      <c r="Q584" s="232" t="s">
        <v>1619</v>
      </c>
      <c r="T584" t="s">
        <v>2803</v>
      </c>
      <c r="U584" s="25">
        <f>+Municipios!Z585</f>
        <v>63.553839476729628</v>
      </c>
      <c r="V584" s="232">
        <v>15816</v>
      </c>
      <c r="W584" s="232" t="s">
        <v>1618</v>
      </c>
      <c r="X584" s="232" t="s">
        <v>498</v>
      </c>
      <c r="Y584" s="232" t="s">
        <v>499</v>
      </c>
      <c r="Z584" s="232" t="s">
        <v>1619</v>
      </c>
    </row>
    <row r="585" spans="1:26">
      <c r="A585" t="s">
        <v>417</v>
      </c>
      <c r="B585" s="25">
        <f>+Municipios!Z586</f>
        <v>54.682875454533935</v>
      </c>
      <c r="C585" s="232">
        <v>15087</v>
      </c>
      <c r="D585" s="232" t="s">
        <v>1620</v>
      </c>
      <c r="E585" s="232" t="s">
        <v>498</v>
      </c>
      <c r="F585" s="232" t="s">
        <v>499</v>
      </c>
      <c r="G585" s="232" t="s">
        <v>997</v>
      </c>
      <c r="K585" t="s">
        <v>2647</v>
      </c>
      <c r="L585" s="81">
        <f>+Municipios!AB586</f>
        <v>27.927312135496283</v>
      </c>
      <c r="M585" s="232">
        <v>15087</v>
      </c>
      <c r="N585" s="232" t="s">
        <v>1620</v>
      </c>
      <c r="O585" s="232" t="s">
        <v>498</v>
      </c>
      <c r="P585" s="232" t="s">
        <v>499</v>
      </c>
      <c r="Q585" s="232" t="s">
        <v>997</v>
      </c>
      <c r="T585" t="s">
        <v>2803</v>
      </c>
      <c r="U585" s="25">
        <f>+Municipios!Z586</f>
        <v>54.682875454533935</v>
      </c>
      <c r="V585" s="232">
        <v>15087</v>
      </c>
      <c r="W585" s="232" t="s">
        <v>1620</v>
      </c>
      <c r="X585" s="232" t="s">
        <v>498</v>
      </c>
      <c r="Y585" s="232" t="s">
        <v>499</v>
      </c>
      <c r="Z585" s="232" t="s">
        <v>997</v>
      </c>
    </row>
    <row r="586" spans="1:26">
      <c r="A586" t="s">
        <v>417</v>
      </c>
      <c r="B586" s="25">
        <f>+Municipios!Z587</f>
        <v>48.856381417751628</v>
      </c>
      <c r="C586" s="232">
        <v>52215</v>
      </c>
      <c r="D586" s="232" t="s">
        <v>1621</v>
      </c>
      <c r="E586" s="232" t="s">
        <v>672</v>
      </c>
      <c r="F586" s="232" t="s">
        <v>673</v>
      </c>
      <c r="G586" s="232" t="s">
        <v>568</v>
      </c>
      <c r="K586" t="s">
        <v>2647</v>
      </c>
      <c r="L586" s="81">
        <f>+Municipios!AB587</f>
        <v>24.880790217377839</v>
      </c>
      <c r="M586" s="232">
        <v>52215</v>
      </c>
      <c r="N586" s="232" t="s">
        <v>1621</v>
      </c>
      <c r="O586" s="232" t="s">
        <v>672</v>
      </c>
      <c r="P586" s="232" t="s">
        <v>673</v>
      </c>
      <c r="Q586" s="232" t="s">
        <v>568</v>
      </c>
      <c r="T586" t="s">
        <v>2803</v>
      </c>
      <c r="U586" s="25">
        <f>+Municipios!Z587</f>
        <v>48.856381417751628</v>
      </c>
      <c r="V586" s="232">
        <v>52215</v>
      </c>
      <c r="W586" s="232" t="s">
        <v>1621</v>
      </c>
      <c r="X586" s="232" t="s">
        <v>672</v>
      </c>
      <c r="Y586" s="232" t="s">
        <v>673</v>
      </c>
      <c r="Z586" s="232" t="s">
        <v>568</v>
      </c>
    </row>
    <row r="587" spans="1:26">
      <c r="A587" t="s">
        <v>417</v>
      </c>
      <c r="B587" s="25">
        <f>+Municipios!Z588</f>
        <v>52.005758604562487</v>
      </c>
      <c r="C587" s="232">
        <v>15131</v>
      </c>
      <c r="D587" s="232" t="s">
        <v>1622</v>
      </c>
      <c r="E587" s="232" t="s">
        <v>498</v>
      </c>
      <c r="F587" s="232" t="s">
        <v>499</v>
      </c>
      <c r="G587" s="232" t="s">
        <v>507</v>
      </c>
      <c r="K587" t="s">
        <v>2647</v>
      </c>
      <c r="L587" s="81">
        <f>+Municipios!AB588</f>
        <v>26.368065684628863</v>
      </c>
      <c r="M587" s="232">
        <v>15131</v>
      </c>
      <c r="N587" s="232" t="s">
        <v>1622</v>
      </c>
      <c r="O587" s="232" t="s">
        <v>498</v>
      </c>
      <c r="P587" s="232" t="s">
        <v>499</v>
      </c>
      <c r="Q587" s="232" t="s">
        <v>507</v>
      </c>
      <c r="T587" t="s">
        <v>2803</v>
      </c>
      <c r="U587" s="25">
        <f>+Municipios!Z588</f>
        <v>52.005758604562487</v>
      </c>
      <c r="V587" s="232">
        <v>15131</v>
      </c>
      <c r="W587" s="232" t="s">
        <v>1622</v>
      </c>
      <c r="X587" s="232" t="s">
        <v>498</v>
      </c>
      <c r="Y587" s="232" t="s">
        <v>499</v>
      </c>
      <c r="Z587" s="232" t="s">
        <v>507</v>
      </c>
    </row>
    <row r="588" spans="1:26">
      <c r="A588" t="s">
        <v>417</v>
      </c>
      <c r="B588" s="25">
        <f>+Municipios!Z589</f>
        <v>59.261884182341788</v>
      </c>
      <c r="C588" s="232">
        <v>15380</v>
      </c>
      <c r="D588" s="232" t="s">
        <v>1623</v>
      </c>
      <c r="E588" s="232" t="s">
        <v>498</v>
      </c>
      <c r="F588" s="232" t="s">
        <v>499</v>
      </c>
      <c r="G588" s="232" t="s">
        <v>1624</v>
      </c>
      <c r="K588" t="s">
        <v>2647</v>
      </c>
      <c r="L588" s="81">
        <f>+Municipios!AB589</f>
        <v>30.267092379687433</v>
      </c>
      <c r="M588" s="232">
        <v>15380</v>
      </c>
      <c r="N588" s="232" t="s">
        <v>1623</v>
      </c>
      <c r="O588" s="232" t="s">
        <v>498</v>
      </c>
      <c r="P588" s="232" t="s">
        <v>499</v>
      </c>
      <c r="Q588" s="232" t="s">
        <v>1624</v>
      </c>
      <c r="T588" t="s">
        <v>2803</v>
      </c>
      <c r="U588" s="25">
        <f>+Municipios!Z589</f>
        <v>59.261884182341788</v>
      </c>
      <c r="V588" s="232">
        <v>15380</v>
      </c>
      <c r="W588" s="232" t="s">
        <v>1623</v>
      </c>
      <c r="X588" s="232" t="s">
        <v>498</v>
      </c>
      <c r="Y588" s="232" t="s">
        <v>499</v>
      </c>
      <c r="Z588" s="232" t="s">
        <v>1624</v>
      </c>
    </row>
    <row r="589" spans="1:26">
      <c r="A589" t="s">
        <v>417</v>
      </c>
      <c r="B589" s="25">
        <f>+Municipios!Z590</f>
        <v>52.176708032872426</v>
      </c>
      <c r="C589" s="232">
        <v>15810</v>
      </c>
      <c r="D589" s="232" t="s">
        <v>1625</v>
      </c>
      <c r="E589" s="232" t="s">
        <v>498</v>
      </c>
      <c r="F589" s="232" t="s">
        <v>499</v>
      </c>
      <c r="G589" s="232" t="s">
        <v>1626</v>
      </c>
      <c r="K589" t="s">
        <v>2647</v>
      </c>
      <c r="L589" s="81">
        <f>+Municipios!AB590</f>
        <v>26.572765922470737</v>
      </c>
      <c r="M589" s="232">
        <v>15810</v>
      </c>
      <c r="N589" s="232" t="s">
        <v>1625</v>
      </c>
      <c r="O589" s="232" t="s">
        <v>498</v>
      </c>
      <c r="P589" s="232" t="s">
        <v>499</v>
      </c>
      <c r="Q589" s="232" t="s">
        <v>1626</v>
      </c>
      <c r="T589" t="s">
        <v>2803</v>
      </c>
      <c r="U589" s="25">
        <f>+Municipios!Z590</f>
        <v>52.176708032872426</v>
      </c>
      <c r="V589" s="232">
        <v>15810</v>
      </c>
      <c r="W589" s="232" t="s">
        <v>1625</v>
      </c>
      <c r="X589" s="232" t="s">
        <v>498</v>
      </c>
      <c r="Y589" s="232" t="s">
        <v>499</v>
      </c>
      <c r="Z589" s="232" t="s">
        <v>1626</v>
      </c>
    </row>
    <row r="590" spans="1:26">
      <c r="A590" t="s">
        <v>417</v>
      </c>
      <c r="B590" s="25">
        <f>+Municipios!Z591</f>
        <v>60.2837829950928</v>
      </c>
      <c r="C590" s="232">
        <v>25324</v>
      </c>
      <c r="D590" s="232" t="s">
        <v>1627</v>
      </c>
      <c r="E590" s="232" t="s">
        <v>461</v>
      </c>
      <c r="F590" s="232" t="s">
        <v>462</v>
      </c>
      <c r="G590" s="232" t="s">
        <v>1628</v>
      </c>
      <c r="K590" t="s">
        <v>2647</v>
      </c>
      <c r="L590" s="81">
        <f>+Municipios!AB591</f>
        <v>30.64235571575416</v>
      </c>
      <c r="M590" s="232">
        <v>25324</v>
      </c>
      <c r="N590" s="232" t="s">
        <v>1627</v>
      </c>
      <c r="O590" s="232" t="s">
        <v>461</v>
      </c>
      <c r="P590" s="232" t="s">
        <v>462</v>
      </c>
      <c r="Q590" s="232" t="s">
        <v>1628</v>
      </c>
      <c r="T590" t="s">
        <v>2803</v>
      </c>
      <c r="U590" s="25">
        <f>+Municipios!Z591</f>
        <v>60.2837829950928</v>
      </c>
      <c r="V590" s="232">
        <v>25324</v>
      </c>
      <c r="W590" s="232" t="s">
        <v>1627</v>
      </c>
      <c r="X590" s="232" t="s">
        <v>461</v>
      </c>
      <c r="Y590" s="232" t="s">
        <v>462</v>
      </c>
      <c r="Z590" s="232" t="s">
        <v>1628</v>
      </c>
    </row>
    <row r="591" spans="1:26">
      <c r="A591" t="s">
        <v>417</v>
      </c>
      <c r="B591" s="25">
        <f>+Municipios!Z592</f>
        <v>42.085456599699782</v>
      </c>
      <c r="C591" s="232">
        <v>23090</v>
      </c>
      <c r="D591" s="232" t="s">
        <v>1629</v>
      </c>
      <c r="E591" s="232" t="s">
        <v>567</v>
      </c>
      <c r="F591" s="232" t="s">
        <v>568</v>
      </c>
      <c r="G591" s="232" t="s">
        <v>1630</v>
      </c>
      <c r="K591" t="s">
        <v>2647</v>
      </c>
      <c r="L591" s="81">
        <f>+Municipios!AB592</f>
        <v>21.403518518846042</v>
      </c>
      <c r="M591" s="232">
        <v>23090</v>
      </c>
      <c r="N591" s="232" t="s">
        <v>1629</v>
      </c>
      <c r="O591" s="232" t="s">
        <v>567</v>
      </c>
      <c r="P591" s="232" t="s">
        <v>568</v>
      </c>
      <c r="Q591" s="232" t="s">
        <v>1630</v>
      </c>
      <c r="T591" t="s">
        <v>2803</v>
      </c>
      <c r="U591" s="25">
        <f>+Municipios!Z592</f>
        <v>42.085456599699782</v>
      </c>
      <c r="V591" s="232">
        <v>23090</v>
      </c>
      <c r="W591" s="232" t="s">
        <v>1629</v>
      </c>
      <c r="X591" s="232" t="s">
        <v>567</v>
      </c>
      <c r="Y591" s="232" t="s">
        <v>568</v>
      </c>
      <c r="Z591" s="232" t="s">
        <v>1630</v>
      </c>
    </row>
    <row r="592" spans="1:26">
      <c r="A592" t="s">
        <v>417</v>
      </c>
      <c r="B592" s="25">
        <f>+Municipios!Z593</f>
        <v>64.045346583440576</v>
      </c>
      <c r="C592" s="232">
        <v>15696</v>
      </c>
      <c r="D592" s="232" t="s">
        <v>1631</v>
      </c>
      <c r="E592" s="232" t="s">
        <v>498</v>
      </c>
      <c r="F592" s="232" t="s">
        <v>499</v>
      </c>
      <c r="G592" s="232" t="s">
        <v>1632</v>
      </c>
      <c r="K592" t="s">
        <v>2647</v>
      </c>
      <c r="L592" s="81">
        <f>+Municipios!AB593</f>
        <v>32.425667167157471</v>
      </c>
      <c r="M592" s="232">
        <v>15696</v>
      </c>
      <c r="N592" s="232" t="s">
        <v>1631</v>
      </c>
      <c r="O592" s="232" t="s">
        <v>498</v>
      </c>
      <c r="P592" s="232" t="s">
        <v>499</v>
      </c>
      <c r="Q592" s="232" t="s">
        <v>1632</v>
      </c>
      <c r="T592" t="s">
        <v>2803</v>
      </c>
      <c r="U592" s="25">
        <f>+Municipios!Z593</f>
        <v>64.045346583440576</v>
      </c>
      <c r="V592" s="232">
        <v>15696</v>
      </c>
      <c r="W592" s="232" t="s">
        <v>1631</v>
      </c>
      <c r="X592" s="232" t="s">
        <v>498</v>
      </c>
      <c r="Y592" s="232" t="s">
        <v>499</v>
      </c>
      <c r="Z592" s="232" t="s">
        <v>1632</v>
      </c>
    </row>
    <row r="593" spans="1:26">
      <c r="A593" t="s">
        <v>417</v>
      </c>
      <c r="B593" s="25">
        <f>+Municipios!Z594</f>
        <v>62.67987765545422</v>
      </c>
      <c r="C593" s="232">
        <v>68266</v>
      </c>
      <c r="D593" s="232" t="s">
        <v>1633</v>
      </c>
      <c r="E593" s="232" t="s">
        <v>431</v>
      </c>
      <c r="F593" s="232" t="s">
        <v>432</v>
      </c>
      <c r="G593" s="232" t="s">
        <v>1634</v>
      </c>
      <c r="K593" t="s">
        <v>2647</v>
      </c>
      <c r="L593" s="81">
        <f>+Municipios!AB594</f>
        <v>31.860386990258942</v>
      </c>
      <c r="M593" s="232">
        <v>68266</v>
      </c>
      <c r="N593" s="232" t="s">
        <v>1633</v>
      </c>
      <c r="O593" s="232" t="s">
        <v>431</v>
      </c>
      <c r="P593" s="232" t="s">
        <v>432</v>
      </c>
      <c r="Q593" s="232" t="s">
        <v>1634</v>
      </c>
      <c r="T593" t="s">
        <v>2803</v>
      </c>
      <c r="U593" s="25">
        <f>+Municipios!Z594</f>
        <v>62.67987765545422</v>
      </c>
      <c r="V593" s="232">
        <v>68266</v>
      </c>
      <c r="W593" s="232" t="s">
        <v>1633</v>
      </c>
      <c r="X593" s="232" t="s">
        <v>431</v>
      </c>
      <c r="Y593" s="232" t="s">
        <v>432</v>
      </c>
      <c r="Z593" s="232" t="s">
        <v>1634</v>
      </c>
    </row>
    <row r="594" spans="1:26">
      <c r="A594" t="s">
        <v>417</v>
      </c>
      <c r="B594" s="25">
        <f>+Municipios!Z595</f>
        <v>63.373102320023307</v>
      </c>
      <c r="C594" s="232">
        <v>85440</v>
      </c>
      <c r="D594" s="232" t="s">
        <v>1635</v>
      </c>
      <c r="E594" s="232" t="s">
        <v>1351</v>
      </c>
      <c r="F594" s="232" t="s">
        <v>1352</v>
      </c>
      <c r="G594" s="232" t="s">
        <v>720</v>
      </c>
      <c r="K594" t="s">
        <v>2647</v>
      </c>
      <c r="L594" s="81">
        <f>+Municipios!AB595</f>
        <v>32.087527864557636</v>
      </c>
      <c r="M594" s="232">
        <v>85440</v>
      </c>
      <c r="N594" s="232" t="s">
        <v>1635</v>
      </c>
      <c r="O594" s="232" t="s">
        <v>1351</v>
      </c>
      <c r="P594" s="232" t="s">
        <v>1352</v>
      </c>
      <c r="Q594" s="232" t="s">
        <v>720</v>
      </c>
      <c r="T594" t="s">
        <v>2803</v>
      </c>
      <c r="U594" s="25">
        <f>+Municipios!Z595</f>
        <v>63.373102320023307</v>
      </c>
      <c r="V594" s="232">
        <v>85440</v>
      </c>
      <c r="W594" s="232" t="s">
        <v>1635</v>
      </c>
      <c r="X594" s="232" t="s">
        <v>1351</v>
      </c>
      <c r="Y594" s="232" t="s">
        <v>1352</v>
      </c>
      <c r="Z594" s="232" t="s">
        <v>720</v>
      </c>
    </row>
    <row r="595" spans="1:26">
      <c r="A595" t="s">
        <v>417</v>
      </c>
      <c r="B595" s="25">
        <f>+Municipios!Z596</f>
        <v>45.507999934024745</v>
      </c>
      <c r="C595" s="232">
        <v>54418</v>
      </c>
      <c r="D595" s="232" t="s">
        <v>1636</v>
      </c>
      <c r="E595" s="232" t="s">
        <v>517</v>
      </c>
      <c r="F595" s="232" t="s">
        <v>518</v>
      </c>
      <c r="G595" s="232" t="s">
        <v>1637</v>
      </c>
      <c r="K595" t="s">
        <v>2647</v>
      </c>
      <c r="L595" s="81">
        <f>+Municipios!AB596</f>
        <v>23.09506750681129</v>
      </c>
      <c r="M595" s="232">
        <v>54418</v>
      </c>
      <c r="N595" s="232" t="s">
        <v>1636</v>
      </c>
      <c r="O595" s="232" t="s">
        <v>517</v>
      </c>
      <c r="P595" s="232" t="s">
        <v>518</v>
      </c>
      <c r="Q595" s="232" t="s">
        <v>1637</v>
      </c>
      <c r="T595" t="s">
        <v>2803</v>
      </c>
      <c r="U595" s="25">
        <f>+Municipios!Z596</f>
        <v>45.507999934024745</v>
      </c>
      <c r="V595" s="232">
        <v>54418</v>
      </c>
      <c r="W595" s="232" t="s">
        <v>1636</v>
      </c>
      <c r="X595" s="232" t="s">
        <v>517</v>
      </c>
      <c r="Y595" s="232" t="s">
        <v>518</v>
      </c>
      <c r="Z595" s="232" t="s">
        <v>1637</v>
      </c>
    </row>
    <row r="596" spans="1:26">
      <c r="A596" t="s">
        <v>417</v>
      </c>
      <c r="B596" s="25">
        <f>+Municipios!Z597</f>
        <v>61.28373579852277</v>
      </c>
      <c r="C596" s="232">
        <v>15109</v>
      </c>
      <c r="D596" s="232" t="s">
        <v>1638</v>
      </c>
      <c r="E596" s="232" t="s">
        <v>498</v>
      </c>
      <c r="F596" s="232" t="s">
        <v>499</v>
      </c>
      <c r="G596" s="232" t="s">
        <v>1064</v>
      </c>
      <c r="K596" t="s">
        <v>2647</v>
      </c>
      <c r="L596" s="81">
        <f>+Municipios!AB597</f>
        <v>30.954542022758812</v>
      </c>
      <c r="M596" s="232">
        <v>15109</v>
      </c>
      <c r="N596" s="232" t="s">
        <v>1638</v>
      </c>
      <c r="O596" s="232" t="s">
        <v>498</v>
      </c>
      <c r="P596" s="232" t="s">
        <v>499</v>
      </c>
      <c r="Q596" s="232" t="s">
        <v>1064</v>
      </c>
      <c r="T596" t="s">
        <v>2803</v>
      </c>
      <c r="U596" s="25">
        <f>+Municipios!Z597</f>
        <v>61.28373579852277</v>
      </c>
      <c r="V596" s="232">
        <v>15109</v>
      </c>
      <c r="W596" s="232" t="s">
        <v>1638</v>
      </c>
      <c r="X596" s="232" t="s">
        <v>498</v>
      </c>
      <c r="Y596" s="232" t="s">
        <v>499</v>
      </c>
      <c r="Z596" s="232" t="s">
        <v>1064</v>
      </c>
    </row>
    <row r="597" spans="1:26">
      <c r="A597" t="s">
        <v>417</v>
      </c>
      <c r="B597" s="25">
        <f>+Municipios!Z598</f>
        <v>57.067631134529918</v>
      </c>
      <c r="C597" s="232">
        <v>15232</v>
      </c>
      <c r="D597" s="232" t="s">
        <v>1639</v>
      </c>
      <c r="E597" s="232" t="s">
        <v>498</v>
      </c>
      <c r="F597" s="232" t="s">
        <v>499</v>
      </c>
      <c r="G597" s="232" t="s">
        <v>1640</v>
      </c>
      <c r="K597" t="s">
        <v>2647</v>
      </c>
      <c r="L597" s="81">
        <f>+Municipios!AB598</f>
        <v>28.90415456681275</v>
      </c>
      <c r="M597" s="232">
        <v>15232</v>
      </c>
      <c r="N597" s="232" t="s">
        <v>1639</v>
      </c>
      <c r="O597" s="232" t="s">
        <v>498</v>
      </c>
      <c r="P597" s="232" t="s">
        <v>499</v>
      </c>
      <c r="Q597" s="232" t="s">
        <v>1640</v>
      </c>
      <c r="T597" t="s">
        <v>2803</v>
      </c>
      <c r="U597" s="25">
        <f>+Municipios!Z598</f>
        <v>57.067631134529918</v>
      </c>
      <c r="V597" s="232">
        <v>15232</v>
      </c>
      <c r="W597" s="232" t="s">
        <v>1639</v>
      </c>
      <c r="X597" s="232" t="s">
        <v>498</v>
      </c>
      <c r="Y597" s="232" t="s">
        <v>499</v>
      </c>
      <c r="Z597" s="232" t="s">
        <v>1640</v>
      </c>
    </row>
    <row r="598" spans="1:26">
      <c r="A598" t="s">
        <v>417</v>
      </c>
      <c r="B598" s="25">
        <f>+Municipios!Z599</f>
        <v>66.387320423105706</v>
      </c>
      <c r="C598" s="232">
        <v>41006</v>
      </c>
      <c r="D598" s="232" t="s">
        <v>1641</v>
      </c>
      <c r="E598" s="232" t="s">
        <v>676</v>
      </c>
      <c r="F598" s="232" t="s">
        <v>677</v>
      </c>
      <c r="G598" s="232" t="s">
        <v>1642</v>
      </c>
      <c r="K598" t="s">
        <v>2647</v>
      </c>
      <c r="L598" s="81">
        <f>+Municipios!AB599</f>
        <v>33.603095695531621</v>
      </c>
      <c r="M598" s="232">
        <v>41006</v>
      </c>
      <c r="N598" s="232" t="s">
        <v>1641</v>
      </c>
      <c r="O598" s="232" t="s">
        <v>676</v>
      </c>
      <c r="P598" s="232" t="s">
        <v>677</v>
      </c>
      <c r="Q598" s="232" t="s">
        <v>1642</v>
      </c>
      <c r="T598" t="s">
        <v>2803</v>
      </c>
      <c r="U598" s="25">
        <f>+Municipios!Z599</f>
        <v>66.387320423105706</v>
      </c>
      <c r="V598" s="232">
        <v>41006</v>
      </c>
      <c r="W598" s="232" t="s">
        <v>1641</v>
      </c>
      <c r="X598" s="232" t="s">
        <v>676</v>
      </c>
      <c r="Y598" s="232" t="s">
        <v>677</v>
      </c>
      <c r="Z598" s="232" t="s">
        <v>1642</v>
      </c>
    </row>
    <row r="599" spans="1:26">
      <c r="A599" t="s">
        <v>417</v>
      </c>
      <c r="B599" s="25">
        <f>+Municipios!Z600</f>
        <v>42.910050548359351</v>
      </c>
      <c r="C599" s="232">
        <v>19075</v>
      </c>
      <c r="D599" s="232" t="s">
        <v>1643</v>
      </c>
      <c r="E599" s="232" t="s">
        <v>557</v>
      </c>
      <c r="F599" s="232" t="s">
        <v>558</v>
      </c>
      <c r="G599" s="232" t="s">
        <v>1301</v>
      </c>
      <c r="K599" t="s">
        <v>2647</v>
      </c>
      <c r="L599" s="81">
        <f>+Municipios!AB600</f>
        <v>21.73036876646492</v>
      </c>
      <c r="M599" s="232">
        <v>19075</v>
      </c>
      <c r="N599" s="232" t="s">
        <v>1643</v>
      </c>
      <c r="O599" s="232" t="s">
        <v>557</v>
      </c>
      <c r="P599" s="232" t="s">
        <v>558</v>
      </c>
      <c r="Q599" s="232" t="s">
        <v>1301</v>
      </c>
      <c r="T599" t="s">
        <v>2803</v>
      </c>
      <c r="U599" s="25">
        <f>+Municipios!Z600</f>
        <v>42.910050548359351</v>
      </c>
      <c r="V599" s="232">
        <v>19075</v>
      </c>
      <c r="W599" s="232" t="s">
        <v>1643</v>
      </c>
      <c r="X599" s="232" t="s">
        <v>557</v>
      </c>
      <c r="Y599" s="232" t="s">
        <v>558</v>
      </c>
      <c r="Z599" s="232" t="s">
        <v>1301</v>
      </c>
    </row>
    <row r="600" spans="1:26">
      <c r="A600" t="s">
        <v>417</v>
      </c>
      <c r="B600" s="25">
        <f>+Municipios!Z601</f>
        <v>56.718558876257944</v>
      </c>
      <c r="C600" s="232">
        <v>25506</v>
      </c>
      <c r="D600" s="232" t="s">
        <v>1644</v>
      </c>
      <c r="E600" s="232" t="s">
        <v>461</v>
      </c>
      <c r="F600" s="232" t="s">
        <v>462</v>
      </c>
      <c r="G600" s="232" t="s">
        <v>953</v>
      </c>
      <c r="K600" t="s">
        <v>2647</v>
      </c>
      <c r="L600" s="81">
        <f>+Municipios!AB601</f>
        <v>28.646145123731415</v>
      </c>
      <c r="M600" s="232">
        <v>25506</v>
      </c>
      <c r="N600" s="232" t="s">
        <v>1644</v>
      </c>
      <c r="O600" s="232" t="s">
        <v>461</v>
      </c>
      <c r="P600" s="232" t="s">
        <v>462</v>
      </c>
      <c r="Q600" s="232" t="s">
        <v>953</v>
      </c>
      <c r="T600" t="s">
        <v>2803</v>
      </c>
      <c r="U600" s="25">
        <f>+Municipios!Z601</f>
        <v>56.718558876257944</v>
      </c>
      <c r="V600" s="232">
        <v>25506</v>
      </c>
      <c r="W600" s="232" t="s">
        <v>1644</v>
      </c>
      <c r="X600" s="232" t="s">
        <v>461</v>
      </c>
      <c r="Y600" s="232" t="s">
        <v>462</v>
      </c>
      <c r="Z600" s="232" t="s">
        <v>953</v>
      </c>
    </row>
    <row r="601" spans="1:26">
      <c r="A601" t="s">
        <v>417</v>
      </c>
      <c r="B601" s="25">
        <f>+Municipios!Z602</f>
        <v>47.598493335015107</v>
      </c>
      <c r="C601" s="232">
        <v>70265</v>
      </c>
      <c r="D601" s="232" t="s">
        <v>1645</v>
      </c>
      <c r="E601" s="232" t="s">
        <v>494</v>
      </c>
      <c r="F601" s="232" t="s">
        <v>495</v>
      </c>
      <c r="G601" s="232" t="s">
        <v>1646</v>
      </c>
      <c r="K601" t="s">
        <v>2647</v>
      </c>
      <c r="L601" s="81">
        <f>+Municipios!AB602</f>
        <v>24.034895160848148</v>
      </c>
      <c r="M601" s="232">
        <v>70265</v>
      </c>
      <c r="N601" s="232" t="s">
        <v>1645</v>
      </c>
      <c r="O601" s="232" t="s">
        <v>494</v>
      </c>
      <c r="P601" s="232" t="s">
        <v>495</v>
      </c>
      <c r="Q601" s="232" t="s">
        <v>1646</v>
      </c>
      <c r="T601" t="s">
        <v>2803</v>
      </c>
      <c r="U601" s="25">
        <f>+Municipios!Z602</f>
        <v>47.598493335015107</v>
      </c>
      <c r="V601" s="232">
        <v>70265</v>
      </c>
      <c r="W601" s="232" t="s">
        <v>1645</v>
      </c>
      <c r="X601" s="232" t="s">
        <v>494</v>
      </c>
      <c r="Y601" s="232" t="s">
        <v>495</v>
      </c>
      <c r="Z601" s="232" t="s">
        <v>1646</v>
      </c>
    </row>
    <row r="602" spans="1:26">
      <c r="A602" t="s">
        <v>417</v>
      </c>
      <c r="B602" s="25">
        <f>+Municipios!Z603</f>
        <v>58.357706368102711</v>
      </c>
      <c r="C602" s="232">
        <v>20238</v>
      </c>
      <c r="D602" s="232" t="s">
        <v>1647</v>
      </c>
      <c r="E602" s="232" t="s">
        <v>893</v>
      </c>
      <c r="F602" s="232" t="s">
        <v>894</v>
      </c>
      <c r="G602" s="232" t="s">
        <v>1648</v>
      </c>
      <c r="K602" t="s">
        <v>2647</v>
      </c>
      <c r="L602" s="81">
        <f>+Municipios!AB603</f>
        <v>29.437626262744452</v>
      </c>
      <c r="M602" s="232">
        <v>20238</v>
      </c>
      <c r="N602" s="232" t="s">
        <v>1647</v>
      </c>
      <c r="O602" s="232" t="s">
        <v>893</v>
      </c>
      <c r="P602" s="232" t="s">
        <v>894</v>
      </c>
      <c r="Q602" s="232" t="s">
        <v>1648</v>
      </c>
      <c r="T602" t="s">
        <v>2803</v>
      </c>
      <c r="U602" s="25">
        <f>+Municipios!Z603</f>
        <v>58.357706368102711</v>
      </c>
      <c r="V602" s="232">
        <v>20238</v>
      </c>
      <c r="W602" s="232" t="s">
        <v>1647</v>
      </c>
      <c r="X602" s="232" t="s">
        <v>893</v>
      </c>
      <c r="Y602" s="232" t="s">
        <v>894</v>
      </c>
      <c r="Z602" s="232" t="s">
        <v>1648</v>
      </c>
    </row>
    <row r="603" spans="1:26">
      <c r="A603" t="s">
        <v>417</v>
      </c>
      <c r="B603" s="25">
        <f>+Municipios!Z604</f>
        <v>54.254046586726481</v>
      </c>
      <c r="C603" s="232">
        <v>15114</v>
      </c>
      <c r="D603" s="232" t="s">
        <v>1649</v>
      </c>
      <c r="E603" s="232" t="s">
        <v>498</v>
      </c>
      <c r="F603" s="232" t="s">
        <v>499</v>
      </c>
      <c r="G603" s="232" t="s">
        <v>1650</v>
      </c>
      <c r="K603" t="s">
        <v>2647</v>
      </c>
      <c r="L603" s="81">
        <f>+Municipios!AB604</f>
        <v>27.429610192878489</v>
      </c>
      <c r="M603" s="232">
        <v>15114</v>
      </c>
      <c r="N603" s="232" t="s">
        <v>1649</v>
      </c>
      <c r="O603" s="232" t="s">
        <v>498</v>
      </c>
      <c r="P603" s="232" t="s">
        <v>499</v>
      </c>
      <c r="Q603" s="232" t="s">
        <v>1650</v>
      </c>
      <c r="T603" t="s">
        <v>2803</v>
      </c>
      <c r="U603" s="25">
        <f>+Municipios!Z604</f>
        <v>54.254046586726481</v>
      </c>
      <c r="V603" s="232">
        <v>15114</v>
      </c>
      <c r="W603" s="232" t="s">
        <v>1649</v>
      </c>
      <c r="X603" s="232" t="s">
        <v>498</v>
      </c>
      <c r="Y603" s="232" t="s">
        <v>499</v>
      </c>
      <c r="Z603" s="232" t="s">
        <v>1650</v>
      </c>
    </row>
    <row r="604" spans="1:26">
      <c r="A604" t="s">
        <v>417</v>
      </c>
      <c r="B604" s="25">
        <f>+Municipios!Z605</f>
        <v>51.852018225208568</v>
      </c>
      <c r="C604" s="232">
        <v>70429</v>
      </c>
      <c r="D604" s="232" t="s">
        <v>1651</v>
      </c>
      <c r="E604" s="232" t="s">
        <v>494</v>
      </c>
      <c r="F604" s="232" t="s">
        <v>495</v>
      </c>
      <c r="G604" s="232" t="s">
        <v>1652</v>
      </c>
      <c r="K604" t="s">
        <v>2647</v>
      </c>
      <c r="L604" s="81">
        <f>+Municipios!AB605</f>
        <v>26.096086375413758</v>
      </c>
      <c r="M604" s="232">
        <v>70429</v>
      </c>
      <c r="N604" s="232" t="s">
        <v>1651</v>
      </c>
      <c r="O604" s="232" t="s">
        <v>494</v>
      </c>
      <c r="P604" s="232" t="s">
        <v>495</v>
      </c>
      <c r="Q604" s="232" t="s">
        <v>1652</v>
      </c>
      <c r="T604" t="s">
        <v>2803</v>
      </c>
      <c r="U604" s="25">
        <f>+Municipios!Z605</f>
        <v>51.852018225208568</v>
      </c>
      <c r="V604" s="232">
        <v>70429</v>
      </c>
      <c r="W604" s="232" t="s">
        <v>1651</v>
      </c>
      <c r="X604" s="232" t="s">
        <v>494</v>
      </c>
      <c r="Y604" s="232" t="s">
        <v>495</v>
      </c>
      <c r="Z604" s="232" t="s">
        <v>1652</v>
      </c>
    </row>
    <row r="605" spans="1:26">
      <c r="A605" t="s">
        <v>417</v>
      </c>
      <c r="B605" s="25">
        <f>+Municipios!Z606</f>
        <v>52.759116031716154</v>
      </c>
      <c r="C605" s="232">
        <v>47745</v>
      </c>
      <c r="D605" s="232" t="s">
        <v>1653</v>
      </c>
      <c r="E605" s="232" t="s">
        <v>638</v>
      </c>
      <c r="F605" s="232" t="s">
        <v>639</v>
      </c>
      <c r="G605" s="232" t="s">
        <v>1654</v>
      </c>
      <c r="K605" t="s">
        <v>2647</v>
      </c>
      <c r="L605" s="81">
        <f>+Municipios!AB606</f>
        <v>26.522921837433554</v>
      </c>
      <c r="M605" s="232">
        <v>47745</v>
      </c>
      <c r="N605" s="232" t="s">
        <v>1653</v>
      </c>
      <c r="O605" s="232" t="s">
        <v>638</v>
      </c>
      <c r="P605" s="232" t="s">
        <v>639</v>
      </c>
      <c r="Q605" s="232" t="s">
        <v>1654</v>
      </c>
      <c r="T605" t="s">
        <v>2803</v>
      </c>
      <c r="U605" s="25">
        <f>+Municipios!Z606</f>
        <v>52.759116031716154</v>
      </c>
      <c r="V605" s="232">
        <v>47745</v>
      </c>
      <c r="W605" s="232" t="s">
        <v>1653</v>
      </c>
      <c r="X605" s="232" t="s">
        <v>638</v>
      </c>
      <c r="Y605" s="232" t="s">
        <v>639</v>
      </c>
      <c r="Z605" s="232" t="s">
        <v>1654</v>
      </c>
    </row>
    <row r="606" spans="1:26">
      <c r="A606" t="s">
        <v>417</v>
      </c>
      <c r="B606" s="25">
        <f>+Municipios!Z607</f>
        <v>62.058421376167466</v>
      </c>
      <c r="C606" s="232">
        <v>50226</v>
      </c>
      <c r="D606" s="232" t="s">
        <v>1655</v>
      </c>
      <c r="E606" s="232" t="s">
        <v>605</v>
      </c>
      <c r="F606" s="232" t="s">
        <v>606</v>
      </c>
      <c r="G606" s="232" t="s">
        <v>1656</v>
      </c>
      <c r="K606" t="s">
        <v>2647</v>
      </c>
      <c r="L606" s="81">
        <f>+Municipios!AB607</f>
        <v>31.128189303071327</v>
      </c>
      <c r="M606" s="232">
        <v>50226</v>
      </c>
      <c r="N606" s="232" t="s">
        <v>1655</v>
      </c>
      <c r="O606" s="232" t="s">
        <v>605</v>
      </c>
      <c r="P606" s="232" t="s">
        <v>606</v>
      </c>
      <c r="Q606" s="232" t="s">
        <v>1656</v>
      </c>
      <c r="T606" t="s">
        <v>2803</v>
      </c>
      <c r="U606" s="25">
        <f>+Municipios!Z607</f>
        <v>62.058421376167466</v>
      </c>
      <c r="V606" s="232">
        <v>50226</v>
      </c>
      <c r="W606" s="232" t="s">
        <v>1655</v>
      </c>
      <c r="X606" s="232" t="s">
        <v>605</v>
      </c>
      <c r="Y606" s="232" t="s">
        <v>606</v>
      </c>
      <c r="Z606" s="232" t="s">
        <v>1656</v>
      </c>
    </row>
    <row r="607" spans="1:26">
      <c r="A607" t="s">
        <v>417</v>
      </c>
      <c r="B607" s="25">
        <f>+Municipios!Z608</f>
        <v>49.557027306789792</v>
      </c>
      <c r="C607" s="232">
        <v>13440</v>
      </c>
      <c r="D607" s="232" t="s">
        <v>1657</v>
      </c>
      <c r="E607" s="232" t="s">
        <v>480</v>
      </c>
      <c r="F607" s="232" t="s">
        <v>481</v>
      </c>
      <c r="G607" s="232" t="s">
        <v>1658</v>
      </c>
      <c r="K607" t="s">
        <v>2647</v>
      </c>
      <c r="L607" s="81">
        <f>+Municipios!AB608</f>
        <v>24.928233087108456</v>
      </c>
      <c r="M607" s="232">
        <v>13440</v>
      </c>
      <c r="N607" s="232" t="s">
        <v>1657</v>
      </c>
      <c r="O607" s="232" t="s">
        <v>480</v>
      </c>
      <c r="P607" s="232" t="s">
        <v>481</v>
      </c>
      <c r="Q607" s="232" t="s">
        <v>1658</v>
      </c>
      <c r="T607" t="s">
        <v>2803</v>
      </c>
      <c r="U607" s="25">
        <f>+Municipios!Z608</f>
        <v>49.557027306789792</v>
      </c>
      <c r="V607" s="232">
        <v>13440</v>
      </c>
      <c r="W607" s="232" t="s">
        <v>1657</v>
      </c>
      <c r="X607" s="232" t="s">
        <v>480</v>
      </c>
      <c r="Y607" s="232" t="s">
        <v>481</v>
      </c>
      <c r="Z607" s="232" t="s">
        <v>1658</v>
      </c>
    </row>
    <row r="608" spans="1:26">
      <c r="A608" t="s">
        <v>417</v>
      </c>
      <c r="B608" s="25">
        <f>+Municipios!Z609</f>
        <v>58.057606622756097</v>
      </c>
      <c r="C608" s="232">
        <v>68500</v>
      </c>
      <c r="D608" s="232" t="s">
        <v>1659</v>
      </c>
      <c r="E608" s="232" t="s">
        <v>431</v>
      </c>
      <c r="F608" s="232" t="s">
        <v>432</v>
      </c>
      <c r="G608" s="232" t="s">
        <v>1660</v>
      </c>
      <c r="K608" t="s">
        <v>2647</v>
      </c>
      <c r="L608" s="81">
        <f>+Municipios!AB609</f>
        <v>29.049910013091804</v>
      </c>
      <c r="M608" s="232">
        <v>68500</v>
      </c>
      <c r="N608" s="232" t="s">
        <v>1659</v>
      </c>
      <c r="O608" s="232" t="s">
        <v>431</v>
      </c>
      <c r="P608" s="232" t="s">
        <v>432</v>
      </c>
      <c r="Q608" s="232" t="s">
        <v>1660</v>
      </c>
      <c r="T608" t="s">
        <v>2803</v>
      </c>
      <c r="U608" s="25">
        <f>+Municipios!Z609</f>
        <v>58.057606622756097</v>
      </c>
      <c r="V608" s="232">
        <v>68500</v>
      </c>
      <c r="W608" s="232" t="s">
        <v>1659</v>
      </c>
      <c r="X608" s="232" t="s">
        <v>431</v>
      </c>
      <c r="Y608" s="232" t="s">
        <v>432</v>
      </c>
      <c r="Z608" s="232" t="s">
        <v>1660</v>
      </c>
    </row>
    <row r="609" spans="1:26">
      <c r="A609" t="s">
        <v>417</v>
      </c>
      <c r="B609" s="25">
        <f>+Municipios!Z610</f>
        <v>60.579677915098941</v>
      </c>
      <c r="C609" s="232">
        <v>73504</v>
      </c>
      <c r="D609" s="232" t="s">
        <v>1661</v>
      </c>
      <c r="E609" s="232" t="s">
        <v>595</v>
      </c>
      <c r="F609" s="232" t="s">
        <v>596</v>
      </c>
      <c r="G609" s="232" t="s">
        <v>1662</v>
      </c>
      <c r="K609" t="s">
        <v>2647</v>
      </c>
      <c r="L609" s="81">
        <f>+Municipios!AB610</f>
        <v>30.450810172425332</v>
      </c>
      <c r="M609" s="232">
        <v>73504</v>
      </c>
      <c r="N609" s="232" t="s">
        <v>1661</v>
      </c>
      <c r="O609" s="232" t="s">
        <v>595</v>
      </c>
      <c r="P609" s="232" t="s">
        <v>596</v>
      </c>
      <c r="Q609" s="232" t="s">
        <v>1662</v>
      </c>
      <c r="T609" t="s">
        <v>2803</v>
      </c>
      <c r="U609" s="25">
        <f>+Municipios!Z610</f>
        <v>60.579677915098941</v>
      </c>
      <c r="V609" s="232">
        <v>73504</v>
      </c>
      <c r="W609" s="232" t="s">
        <v>1661</v>
      </c>
      <c r="X609" s="232" t="s">
        <v>595</v>
      </c>
      <c r="Y609" s="232" t="s">
        <v>596</v>
      </c>
      <c r="Z609" s="232" t="s">
        <v>1662</v>
      </c>
    </row>
    <row r="610" spans="1:26">
      <c r="A610" t="s">
        <v>417</v>
      </c>
      <c r="B610" s="25">
        <f>+Municipios!Z611</f>
        <v>57.91579751474876</v>
      </c>
      <c r="C610" s="232">
        <v>23855</v>
      </c>
      <c r="D610" s="232" t="s">
        <v>1663</v>
      </c>
      <c r="E610" s="232" t="s">
        <v>567</v>
      </c>
      <c r="F610" s="232" t="s">
        <v>568</v>
      </c>
      <c r="G610" s="232" t="s">
        <v>1664</v>
      </c>
      <c r="K610" t="s">
        <v>2647</v>
      </c>
      <c r="L610" s="81">
        <f>+Municipios!AB611</f>
        <v>29.064763266603592</v>
      </c>
      <c r="M610" s="232">
        <v>23855</v>
      </c>
      <c r="N610" s="232" t="s">
        <v>1663</v>
      </c>
      <c r="O610" s="232" t="s">
        <v>567</v>
      </c>
      <c r="P610" s="232" t="s">
        <v>568</v>
      </c>
      <c r="Q610" s="232" t="s">
        <v>1664</v>
      </c>
      <c r="T610" t="s">
        <v>2803</v>
      </c>
      <c r="U610" s="25">
        <f>+Municipios!Z611</f>
        <v>57.91579751474876</v>
      </c>
      <c r="V610" s="232">
        <v>23855</v>
      </c>
      <c r="W610" s="232" t="s">
        <v>1663</v>
      </c>
      <c r="X610" s="232" t="s">
        <v>567</v>
      </c>
      <c r="Y610" s="232" t="s">
        <v>568</v>
      </c>
      <c r="Z610" s="232" t="s">
        <v>1664</v>
      </c>
    </row>
    <row r="611" spans="1:26">
      <c r="A611" t="s">
        <v>417</v>
      </c>
      <c r="B611" s="25">
        <f>+Municipios!Z612</f>
        <v>57.950708908079271</v>
      </c>
      <c r="C611" s="232">
        <v>5819</v>
      </c>
      <c r="D611" s="232" t="s">
        <v>1665</v>
      </c>
      <c r="E611" s="232" t="s">
        <v>435</v>
      </c>
      <c r="F611" s="232" t="s">
        <v>436</v>
      </c>
      <c r="G611" s="232" t="s">
        <v>1666</v>
      </c>
      <c r="K611" t="s">
        <v>2647</v>
      </c>
      <c r="L611" s="81">
        <f>+Municipios!AB612</f>
        <v>29.211014671308508</v>
      </c>
      <c r="M611" s="232">
        <v>5819</v>
      </c>
      <c r="N611" s="232" t="s">
        <v>1665</v>
      </c>
      <c r="O611" s="232" t="s">
        <v>435</v>
      </c>
      <c r="P611" s="232" t="s">
        <v>436</v>
      </c>
      <c r="Q611" s="232" t="s">
        <v>1666</v>
      </c>
      <c r="T611" t="s">
        <v>2803</v>
      </c>
      <c r="U611" s="25">
        <f>+Municipios!Z612</f>
        <v>57.950708908079271</v>
      </c>
      <c r="V611" s="232">
        <v>5819</v>
      </c>
      <c r="W611" s="232" t="s">
        <v>1665</v>
      </c>
      <c r="X611" s="232" t="s">
        <v>435</v>
      </c>
      <c r="Y611" s="232" t="s">
        <v>436</v>
      </c>
      <c r="Z611" s="232" t="s">
        <v>1666</v>
      </c>
    </row>
    <row r="612" spans="1:26">
      <c r="A612" t="s">
        <v>417</v>
      </c>
      <c r="B612" s="25">
        <f>+Municipios!Z613</f>
        <v>56.936115526438314</v>
      </c>
      <c r="C612" s="232">
        <v>86001</v>
      </c>
      <c r="D612" s="232" t="s">
        <v>1667</v>
      </c>
      <c r="E612" s="232" t="s">
        <v>943</v>
      </c>
      <c r="F612" s="232" t="s">
        <v>944</v>
      </c>
      <c r="G612" s="232" t="s">
        <v>1668</v>
      </c>
      <c r="K612" t="s">
        <v>2647</v>
      </c>
      <c r="L612" s="81">
        <f>+Municipios!AB613</f>
        <v>28.554821499451652</v>
      </c>
      <c r="M612" s="232">
        <v>86001</v>
      </c>
      <c r="N612" s="232" t="s">
        <v>1667</v>
      </c>
      <c r="O612" s="232" t="s">
        <v>943</v>
      </c>
      <c r="P612" s="232" t="s">
        <v>944</v>
      </c>
      <c r="Q612" s="232" t="s">
        <v>1668</v>
      </c>
      <c r="T612" t="s">
        <v>2803</v>
      </c>
      <c r="U612" s="25">
        <f>+Municipios!Z613</f>
        <v>56.936115526438314</v>
      </c>
      <c r="V612" s="232">
        <v>86001</v>
      </c>
      <c r="W612" s="232" t="s">
        <v>1667</v>
      </c>
      <c r="X612" s="232" t="s">
        <v>943</v>
      </c>
      <c r="Y612" s="232" t="s">
        <v>944</v>
      </c>
      <c r="Z612" s="232" t="s">
        <v>1668</v>
      </c>
    </row>
    <row r="613" spans="1:26">
      <c r="A613" t="s">
        <v>417</v>
      </c>
      <c r="B613" s="25">
        <f>+Municipios!Z614</f>
        <v>45.674104857757527</v>
      </c>
      <c r="C613" s="232">
        <v>73217</v>
      </c>
      <c r="D613" s="232" t="s">
        <v>1669</v>
      </c>
      <c r="E613" s="232" t="s">
        <v>595</v>
      </c>
      <c r="F613" s="232" t="s">
        <v>596</v>
      </c>
      <c r="G613" s="232" t="s">
        <v>1670</v>
      </c>
      <c r="K613" t="s">
        <v>2647</v>
      </c>
      <c r="L613" s="81">
        <f>+Municipios!AB614</f>
        <v>22.934137701073777</v>
      </c>
      <c r="M613" s="232">
        <v>73217</v>
      </c>
      <c r="N613" s="232" t="s">
        <v>1669</v>
      </c>
      <c r="O613" s="232" t="s">
        <v>595</v>
      </c>
      <c r="P613" s="232" t="s">
        <v>596</v>
      </c>
      <c r="Q613" s="232" t="s">
        <v>1670</v>
      </c>
      <c r="T613" t="s">
        <v>2803</v>
      </c>
      <c r="U613" s="25">
        <f>+Municipios!Z614</f>
        <v>45.674104857757527</v>
      </c>
      <c r="V613" s="232">
        <v>73217</v>
      </c>
      <c r="W613" s="232" t="s">
        <v>1669</v>
      </c>
      <c r="X613" s="232" t="s">
        <v>595</v>
      </c>
      <c r="Y613" s="232" t="s">
        <v>596</v>
      </c>
      <c r="Z613" s="232" t="s">
        <v>1670</v>
      </c>
    </row>
    <row r="614" spans="1:26">
      <c r="A614" t="s">
        <v>417</v>
      </c>
      <c r="B614" s="25">
        <f>+Municipios!Z615</f>
        <v>52.423060822761499</v>
      </c>
      <c r="C614" s="232">
        <v>52258</v>
      </c>
      <c r="D614" s="232" t="s">
        <v>1671</v>
      </c>
      <c r="E614" s="232" t="s">
        <v>672</v>
      </c>
      <c r="F614" s="232" t="s">
        <v>673</v>
      </c>
      <c r="G614" s="232" t="s">
        <v>1672</v>
      </c>
      <c r="K614" t="s">
        <v>2647</v>
      </c>
      <c r="L614" s="81">
        <f>+Municipios!AB615</f>
        <v>26.289032622002097</v>
      </c>
      <c r="M614" s="232">
        <v>52258</v>
      </c>
      <c r="N614" s="232" t="s">
        <v>1671</v>
      </c>
      <c r="O614" s="232" t="s">
        <v>672</v>
      </c>
      <c r="P614" s="232" t="s">
        <v>673</v>
      </c>
      <c r="Q614" s="232" t="s">
        <v>1672</v>
      </c>
      <c r="T614" t="s">
        <v>2803</v>
      </c>
      <c r="U614" s="25">
        <f>+Municipios!Z615</f>
        <v>52.423060822761499</v>
      </c>
      <c r="V614" s="232">
        <v>52258</v>
      </c>
      <c r="W614" s="232" t="s">
        <v>1671</v>
      </c>
      <c r="X614" s="232" t="s">
        <v>672</v>
      </c>
      <c r="Y614" s="232" t="s">
        <v>673</v>
      </c>
      <c r="Z614" s="232" t="s">
        <v>1672</v>
      </c>
    </row>
    <row r="615" spans="1:26">
      <c r="A615" t="s">
        <v>417</v>
      </c>
      <c r="B615" s="25">
        <f>+Municipios!Z616</f>
        <v>63.905935950165969</v>
      </c>
      <c r="C615" s="232">
        <v>63690</v>
      </c>
      <c r="D615" s="232" t="s">
        <v>1673</v>
      </c>
      <c r="E615" s="232" t="s">
        <v>473</v>
      </c>
      <c r="F615" s="232" t="s">
        <v>474</v>
      </c>
      <c r="G615" s="232" t="s">
        <v>1674</v>
      </c>
      <c r="K615" t="s">
        <v>2647</v>
      </c>
      <c r="L615" s="81">
        <f>+Municipios!AB616</f>
        <v>31.890202590289032</v>
      </c>
      <c r="M615" s="232">
        <v>63690</v>
      </c>
      <c r="N615" s="232" t="s">
        <v>1673</v>
      </c>
      <c r="O615" s="232" t="s">
        <v>473</v>
      </c>
      <c r="P615" s="232" t="s">
        <v>474</v>
      </c>
      <c r="Q615" s="232" t="s">
        <v>1674</v>
      </c>
      <c r="T615" t="s">
        <v>2803</v>
      </c>
      <c r="U615" s="25">
        <f>+Municipios!Z616</f>
        <v>63.905935950165969</v>
      </c>
      <c r="V615" s="232">
        <v>63690</v>
      </c>
      <c r="W615" s="232" t="s">
        <v>1673</v>
      </c>
      <c r="X615" s="232" t="s">
        <v>473</v>
      </c>
      <c r="Y615" s="232" t="s">
        <v>474</v>
      </c>
      <c r="Z615" s="232" t="s">
        <v>1674</v>
      </c>
    </row>
    <row r="616" spans="1:26">
      <c r="A616" t="s">
        <v>417</v>
      </c>
      <c r="B616" s="25">
        <f>+Municipios!Z617</f>
        <v>66.608537577546642</v>
      </c>
      <c r="C616" s="232">
        <v>41349</v>
      </c>
      <c r="D616" s="232" t="s">
        <v>1675</v>
      </c>
      <c r="E616" s="232" t="s">
        <v>676</v>
      </c>
      <c r="F616" s="232" t="s">
        <v>677</v>
      </c>
      <c r="G616" s="232" t="s">
        <v>1676</v>
      </c>
      <c r="K616" t="s">
        <v>2647</v>
      </c>
      <c r="L616" s="81">
        <f>+Municipios!AB617</f>
        <v>33.410376526122853</v>
      </c>
      <c r="M616" s="232">
        <v>41349</v>
      </c>
      <c r="N616" s="232" t="s">
        <v>1675</v>
      </c>
      <c r="O616" s="232" t="s">
        <v>676</v>
      </c>
      <c r="P616" s="232" t="s">
        <v>677</v>
      </c>
      <c r="Q616" s="232" t="s">
        <v>1676</v>
      </c>
      <c r="T616" t="s">
        <v>2803</v>
      </c>
      <c r="U616" s="25">
        <f>+Municipios!Z617</f>
        <v>66.608537577546642</v>
      </c>
      <c r="V616" s="232">
        <v>41349</v>
      </c>
      <c r="W616" s="232" t="s">
        <v>1675</v>
      </c>
      <c r="X616" s="232" t="s">
        <v>676</v>
      </c>
      <c r="Y616" s="232" t="s">
        <v>677</v>
      </c>
      <c r="Z616" s="232" t="s">
        <v>1676</v>
      </c>
    </row>
    <row r="617" spans="1:26">
      <c r="A617" t="s">
        <v>417</v>
      </c>
      <c r="B617" s="25">
        <f>+Municipios!Z618</f>
        <v>50.622751135751088</v>
      </c>
      <c r="C617" s="232">
        <v>15185</v>
      </c>
      <c r="D617" s="232" t="s">
        <v>1677</v>
      </c>
      <c r="E617" s="232" t="s">
        <v>498</v>
      </c>
      <c r="F617" s="232" t="s">
        <v>499</v>
      </c>
      <c r="G617" s="232" t="s">
        <v>1678</v>
      </c>
      <c r="K617" t="s">
        <v>2647</v>
      </c>
      <c r="L617" s="81">
        <f>+Municipios!AB618</f>
        <v>25.152787311701484</v>
      </c>
      <c r="M617" s="232">
        <v>15185</v>
      </c>
      <c r="N617" s="232" t="s">
        <v>1677</v>
      </c>
      <c r="O617" s="232" t="s">
        <v>498</v>
      </c>
      <c r="P617" s="232" t="s">
        <v>499</v>
      </c>
      <c r="Q617" s="232" t="s">
        <v>1678</v>
      </c>
      <c r="T617" t="s">
        <v>2803</v>
      </c>
      <c r="U617" s="25">
        <f>+Municipios!Z618</f>
        <v>50.622751135751088</v>
      </c>
      <c r="V617" s="232">
        <v>15185</v>
      </c>
      <c r="W617" s="232" t="s">
        <v>1677</v>
      </c>
      <c r="X617" s="232" t="s">
        <v>498</v>
      </c>
      <c r="Y617" s="232" t="s">
        <v>499</v>
      </c>
      <c r="Z617" s="232" t="s">
        <v>1678</v>
      </c>
    </row>
    <row r="618" spans="1:26">
      <c r="A618" t="s">
        <v>417</v>
      </c>
      <c r="B618" s="25">
        <f>+Municipios!Z619</f>
        <v>55.374186229195217</v>
      </c>
      <c r="C618" s="232">
        <v>52678</v>
      </c>
      <c r="D618" s="232" t="s">
        <v>1679</v>
      </c>
      <c r="E618" s="232" t="s">
        <v>672</v>
      </c>
      <c r="F618" s="232" t="s">
        <v>673</v>
      </c>
      <c r="G618" s="232" t="s">
        <v>1680</v>
      </c>
      <c r="K618" t="s">
        <v>2647</v>
      </c>
      <c r="L618" s="81">
        <f>+Municipios!AB619</f>
        <v>27.737466206669044</v>
      </c>
      <c r="M618" s="232">
        <v>52678</v>
      </c>
      <c r="N618" s="232" t="s">
        <v>1679</v>
      </c>
      <c r="O618" s="232" t="s">
        <v>672</v>
      </c>
      <c r="P618" s="232" t="s">
        <v>673</v>
      </c>
      <c r="Q618" s="232" t="s">
        <v>1680</v>
      </c>
      <c r="T618" t="s">
        <v>2803</v>
      </c>
      <c r="U618" s="25">
        <f>+Municipios!Z619</f>
        <v>55.374186229195217</v>
      </c>
      <c r="V618" s="232">
        <v>52678</v>
      </c>
      <c r="W618" s="232" t="s">
        <v>1679</v>
      </c>
      <c r="X618" s="232" t="s">
        <v>672</v>
      </c>
      <c r="Y618" s="232" t="s">
        <v>673</v>
      </c>
      <c r="Z618" s="232" t="s">
        <v>1680</v>
      </c>
    </row>
    <row r="619" spans="1:26">
      <c r="A619" t="s">
        <v>417</v>
      </c>
      <c r="B619" s="25">
        <f>+Municipios!Z620</f>
        <v>61.003892303426973</v>
      </c>
      <c r="C619" s="232">
        <v>20517</v>
      </c>
      <c r="D619" s="232" t="s">
        <v>1681</v>
      </c>
      <c r="E619" s="232" t="s">
        <v>893</v>
      </c>
      <c r="F619" s="232" t="s">
        <v>894</v>
      </c>
      <c r="G619" s="232" t="s">
        <v>1682</v>
      </c>
      <c r="K619" t="s">
        <v>2647</v>
      </c>
      <c r="L619" s="81">
        <f>+Municipios!AB620</f>
        <v>30.547690919710096</v>
      </c>
      <c r="M619" s="232">
        <v>20517</v>
      </c>
      <c r="N619" s="232" t="s">
        <v>1681</v>
      </c>
      <c r="O619" s="232" t="s">
        <v>893</v>
      </c>
      <c r="P619" s="232" t="s">
        <v>894</v>
      </c>
      <c r="Q619" s="232" t="s">
        <v>1682</v>
      </c>
      <c r="T619" t="s">
        <v>2803</v>
      </c>
      <c r="U619" s="25">
        <f>+Municipios!Z620</f>
        <v>61.003892303426973</v>
      </c>
      <c r="V619" s="232">
        <v>20517</v>
      </c>
      <c r="W619" s="232" t="s">
        <v>1681</v>
      </c>
      <c r="X619" s="232" t="s">
        <v>893</v>
      </c>
      <c r="Y619" s="232" t="s">
        <v>894</v>
      </c>
      <c r="Z619" s="232" t="s">
        <v>1682</v>
      </c>
    </row>
    <row r="620" spans="1:26">
      <c r="A620" t="s">
        <v>417</v>
      </c>
      <c r="B620" s="25">
        <f>+Municipios!Z621</f>
        <v>54.094174020205642</v>
      </c>
      <c r="C620" s="232">
        <v>20013</v>
      </c>
      <c r="D620" s="232" t="s">
        <v>1683</v>
      </c>
      <c r="E620" s="232" t="s">
        <v>893</v>
      </c>
      <c r="F620" s="232" t="s">
        <v>894</v>
      </c>
      <c r="G620" s="232" t="s">
        <v>1684</v>
      </c>
      <c r="K620" t="s">
        <v>2647</v>
      </c>
      <c r="L620" s="81">
        <f>+Municipios!AB621</f>
        <v>27.097598409292193</v>
      </c>
      <c r="M620" s="232">
        <v>20013</v>
      </c>
      <c r="N620" s="232" t="s">
        <v>1683</v>
      </c>
      <c r="O620" s="232" t="s">
        <v>893</v>
      </c>
      <c r="P620" s="232" t="s">
        <v>894</v>
      </c>
      <c r="Q620" s="232" t="s">
        <v>1684</v>
      </c>
      <c r="T620" t="s">
        <v>2803</v>
      </c>
      <c r="U620" s="25">
        <f>+Municipios!Z621</f>
        <v>54.094174020205642</v>
      </c>
      <c r="V620" s="232">
        <v>20013</v>
      </c>
      <c r="W620" s="232" t="s">
        <v>1683</v>
      </c>
      <c r="X620" s="232" t="s">
        <v>893</v>
      </c>
      <c r="Y620" s="232" t="s">
        <v>894</v>
      </c>
      <c r="Z620" s="232" t="s">
        <v>1684</v>
      </c>
    </row>
    <row r="621" spans="1:26">
      <c r="A621" t="s">
        <v>417</v>
      </c>
      <c r="B621" s="25">
        <f>+Municipios!Z622</f>
        <v>52.677859879059</v>
      </c>
      <c r="C621" s="232">
        <v>5044</v>
      </c>
      <c r="D621" s="232" t="s">
        <v>1685</v>
      </c>
      <c r="E621" s="232" t="s">
        <v>435</v>
      </c>
      <c r="F621" s="232" t="s">
        <v>436</v>
      </c>
      <c r="G621" s="232" t="s">
        <v>1686</v>
      </c>
      <c r="K621" t="s">
        <v>2647</v>
      </c>
      <c r="L621" s="81">
        <f>+Municipios!AB622</f>
        <v>26.256733742999796</v>
      </c>
      <c r="M621" s="232">
        <v>5044</v>
      </c>
      <c r="N621" s="232" t="s">
        <v>1685</v>
      </c>
      <c r="O621" s="232" t="s">
        <v>435</v>
      </c>
      <c r="P621" s="232" t="s">
        <v>436</v>
      </c>
      <c r="Q621" s="232" t="s">
        <v>1686</v>
      </c>
      <c r="T621" t="s">
        <v>2803</v>
      </c>
      <c r="U621" s="25">
        <f>+Municipios!Z622</f>
        <v>52.677859879059</v>
      </c>
      <c r="V621" s="232">
        <v>5044</v>
      </c>
      <c r="W621" s="232" t="s">
        <v>1685</v>
      </c>
      <c r="X621" s="232" t="s">
        <v>435</v>
      </c>
      <c r="Y621" s="232" t="s">
        <v>436</v>
      </c>
      <c r="Z621" s="232" t="s">
        <v>1686</v>
      </c>
    </row>
    <row r="622" spans="1:26">
      <c r="A622" t="s">
        <v>417</v>
      </c>
      <c r="B622" s="25">
        <f>+Municipios!Z623</f>
        <v>58.176721472644573</v>
      </c>
      <c r="C622" s="232">
        <v>20570</v>
      </c>
      <c r="D622" s="232" t="s">
        <v>1687</v>
      </c>
      <c r="E622" s="232" t="s">
        <v>893</v>
      </c>
      <c r="F622" s="232" t="s">
        <v>894</v>
      </c>
      <c r="G622" s="232" t="s">
        <v>1688</v>
      </c>
      <c r="K622" t="s">
        <v>2647</v>
      </c>
      <c r="L622" s="81">
        <f>+Municipios!AB623</f>
        <v>29.151639760438741</v>
      </c>
      <c r="M622" s="232">
        <v>20570</v>
      </c>
      <c r="N622" s="232" t="s">
        <v>1687</v>
      </c>
      <c r="O622" s="232" t="s">
        <v>893</v>
      </c>
      <c r="P622" s="232" t="s">
        <v>894</v>
      </c>
      <c r="Q622" s="232" t="s">
        <v>1688</v>
      </c>
      <c r="T622" t="s">
        <v>2803</v>
      </c>
      <c r="U622" s="25">
        <f>+Municipios!Z623</f>
        <v>58.176721472644573</v>
      </c>
      <c r="V622" s="232">
        <v>20570</v>
      </c>
      <c r="W622" s="232" t="s">
        <v>1687</v>
      </c>
      <c r="X622" s="232" t="s">
        <v>893</v>
      </c>
      <c r="Y622" s="232" t="s">
        <v>894</v>
      </c>
      <c r="Z622" s="232" t="s">
        <v>1688</v>
      </c>
    </row>
    <row r="623" spans="1:26">
      <c r="A623" t="s">
        <v>417</v>
      </c>
      <c r="B623" s="25">
        <f>+Municipios!Z624</f>
        <v>51.902845177289628</v>
      </c>
      <c r="C623" s="232">
        <v>73678</v>
      </c>
      <c r="D623" s="232" t="s">
        <v>1689</v>
      </c>
      <c r="E623" s="232" t="s">
        <v>595</v>
      </c>
      <c r="F623" s="232" t="s">
        <v>596</v>
      </c>
      <c r="G623" s="232" t="s">
        <v>1690</v>
      </c>
      <c r="K623" t="s">
        <v>2647</v>
      </c>
      <c r="L623" s="81">
        <f>+Municipios!AB624</f>
        <v>25.969177466523242</v>
      </c>
      <c r="M623" s="232">
        <v>73678</v>
      </c>
      <c r="N623" s="232" t="s">
        <v>1689</v>
      </c>
      <c r="O623" s="232" t="s">
        <v>595</v>
      </c>
      <c r="P623" s="232" t="s">
        <v>596</v>
      </c>
      <c r="Q623" s="232" t="s">
        <v>1690</v>
      </c>
      <c r="T623" t="s">
        <v>2803</v>
      </c>
      <c r="U623" s="25">
        <f>+Municipios!Z624</f>
        <v>51.902845177289628</v>
      </c>
      <c r="V623" s="232">
        <v>73678</v>
      </c>
      <c r="W623" s="232" t="s">
        <v>1689</v>
      </c>
      <c r="X623" s="232" t="s">
        <v>595</v>
      </c>
      <c r="Y623" s="232" t="s">
        <v>596</v>
      </c>
      <c r="Z623" s="232" t="s">
        <v>1690</v>
      </c>
    </row>
    <row r="624" spans="1:26">
      <c r="A624" t="s">
        <v>417</v>
      </c>
      <c r="B624" s="25">
        <f>+Municipios!Z625</f>
        <v>68.960872438224754</v>
      </c>
      <c r="C624" s="232">
        <v>15215</v>
      </c>
      <c r="D624" s="232" t="s">
        <v>1691</v>
      </c>
      <c r="E624" s="232" t="s">
        <v>498</v>
      </c>
      <c r="F624" s="232" t="s">
        <v>499</v>
      </c>
      <c r="G624" s="232" t="s">
        <v>1692</v>
      </c>
      <c r="K624" t="s">
        <v>2647</v>
      </c>
      <c r="L624" s="81">
        <f>+Municipios!AB625</f>
        <v>34.517999340185412</v>
      </c>
      <c r="M624" s="232">
        <v>15215</v>
      </c>
      <c r="N624" s="232" t="s">
        <v>1691</v>
      </c>
      <c r="O624" s="232" t="s">
        <v>498</v>
      </c>
      <c r="P624" s="232" t="s">
        <v>499</v>
      </c>
      <c r="Q624" s="232" t="s">
        <v>1692</v>
      </c>
      <c r="T624" t="s">
        <v>2803</v>
      </c>
      <c r="U624" s="25">
        <f>+Municipios!Z625</f>
        <v>68.960872438224754</v>
      </c>
      <c r="V624" s="232">
        <v>15215</v>
      </c>
      <c r="W624" s="232" t="s">
        <v>1691</v>
      </c>
      <c r="X624" s="232" t="s">
        <v>498</v>
      </c>
      <c r="Y624" s="232" t="s">
        <v>499</v>
      </c>
      <c r="Z624" s="232" t="s">
        <v>1692</v>
      </c>
    </row>
    <row r="625" spans="1:26">
      <c r="A625" t="s">
        <v>417</v>
      </c>
      <c r="B625" s="25">
        <f>+Municipios!Z626</f>
        <v>61.428406555861145</v>
      </c>
      <c r="C625" s="232">
        <v>41020</v>
      </c>
      <c r="D625" s="232" t="s">
        <v>1693</v>
      </c>
      <c r="E625" s="232" t="s">
        <v>676</v>
      </c>
      <c r="F625" s="232" t="s">
        <v>677</v>
      </c>
      <c r="G625" s="232" t="s">
        <v>1694</v>
      </c>
      <c r="K625" t="s">
        <v>2647</v>
      </c>
      <c r="L625" s="81">
        <f>+Municipios!AB626</f>
        <v>30.683092337783378</v>
      </c>
      <c r="M625" s="232">
        <v>41020</v>
      </c>
      <c r="N625" s="232" t="s">
        <v>1693</v>
      </c>
      <c r="O625" s="232" t="s">
        <v>676</v>
      </c>
      <c r="P625" s="232" t="s">
        <v>677</v>
      </c>
      <c r="Q625" s="232" t="s">
        <v>1694</v>
      </c>
      <c r="T625" t="s">
        <v>2803</v>
      </c>
      <c r="U625" s="25">
        <f>+Municipios!Z626</f>
        <v>61.428406555861145</v>
      </c>
      <c r="V625" s="232">
        <v>41020</v>
      </c>
      <c r="W625" s="232" t="s">
        <v>1693</v>
      </c>
      <c r="X625" s="232" t="s">
        <v>676</v>
      </c>
      <c r="Y625" s="232" t="s">
        <v>677</v>
      </c>
      <c r="Z625" s="232" t="s">
        <v>1694</v>
      </c>
    </row>
    <row r="626" spans="1:26">
      <c r="A626" t="s">
        <v>417</v>
      </c>
      <c r="B626" s="25">
        <f>+Municipios!Z627</f>
        <v>49.931654722335011</v>
      </c>
      <c r="C626" s="232">
        <v>19100</v>
      </c>
      <c r="D626" s="232" t="s">
        <v>1695</v>
      </c>
      <c r="E626" s="232" t="s">
        <v>557</v>
      </c>
      <c r="F626" s="232" t="s">
        <v>558</v>
      </c>
      <c r="G626" s="232" t="s">
        <v>481</v>
      </c>
      <c r="K626" t="s">
        <v>2647</v>
      </c>
      <c r="L626" s="81">
        <f>+Municipios!AB627</f>
        <v>24.821184630511564</v>
      </c>
      <c r="M626" s="232">
        <v>19100</v>
      </c>
      <c r="N626" s="232" t="s">
        <v>1695</v>
      </c>
      <c r="O626" s="232" t="s">
        <v>557</v>
      </c>
      <c r="P626" s="232" t="s">
        <v>558</v>
      </c>
      <c r="Q626" s="232" t="s">
        <v>481</v>
      </c>
      <c r="T626" t="s">
        <v>2803</v>
      </c>
      <c r="U626" s="25">
        <f>+Municipios!Z627</f>
        <v>49.931654722335011</v>
      </c>
      <c r="V626" s="232">
        <v>19100</v>
      </c>
      <c r="W626" s="232" t="s">
        <v>1695</v>
      </c>
      <c r="X626" s="232" t="s">
        <v>557</v>
      </c>
      <c r="Y626" s="232" t="s">
        <v>558</v>
      </c>
      <c r="Z626" s="232" t="s">
        <v>481</v>
      </c>
    </row>
    <row r="627" spans="1:26">
      <c r="A627" t="s">
        <v>417</v>
      </c>
      <c r="B627" s="25">
        <f>+Municipios!Z628</f>
        <v>74.561305654187819</v>
      </c>
      <c r="C627" s="232">
        <v>15600</v>
      </c>
      <c r="D627" s="232" t="s">
        <v>1696</v>
      </c>
      <c r="E627" s="232" t="s">
        <v>498</v>
      </c>
      <c r="F627" s="232" t="s">
        <v>499</v>
      </c>
      <c r="G627" s="232" t="s">
        <v>1697</v>
      </c>
      <c r="K627" t="s">
        <v>2647</v>
      </c>
      <c r="L627" s="81">
        <f>+Municipios!AB628</f>
        <v>37.054968711650972</v>
      </c>
      <c r="M627" s="232">
        <v>15600</v>
      </c>
      <c r="N627" s="232" t="s">
        <v>1696</v>
      </c>
      <c r="O627" s="232" t="s">
        <v>498</v>
      </c>
      <c r="P627" s="232" t="s">
        <v>499</v>
      </c>
      <c r="Q627" s="232" t="s">
        <v>1697</v>
      </c>
      <c r="T627" t="s">
        <v>2803</v>
      </c>
      <c r="U627" s="25">
        <f>+Municipios!Z628</f>
        <v>74.561305654187819</v>
      </c>
      <c r="V627" s="232">
        <v>15600</v>
      </c>
      <c r="W627" s="232" t="s">
        <v>1696</v>
      </c>
      <c r="X627" s="232" t="s">
        <v>498</v>
      </c>
      <c r="Y627" s="232" t="s">
        <v>499</v>
      </c>
      <c r="Z627" s="232" t="s">
        <v>1697</v>
      </c>
    </row>
    <row r="628" spans="1:26">
      <c r="A628" t="s">
        <v>417</v>
      </c>
      <c r="B628" s="25">
        <f>+Municipios!Z629</f>
        <v>55.506216257311536</v>
      </c>
      <c r="C628" s="232">
        <v>5310</v>
      </c>
      <c r="D628" s="232" t="s">
        <v>1698</v>
      </c>
      <c r="E628" s="232" t="s">
        <v>435</v>
      </c>
      <c r="F628" s="232" t="s">
        <v>436</v>
      </c>
      <c r="G628" s="232" t="s">
        <v>1699</v>
      </c>
      <c r="K628" t="s">
        <v>2647</v>
      </c>
      <c r="L628" s="81">
        <f>+Municipios!AB629</f>
        <v>27.834772543002817</v>
      </c>
      <c r="M628" s="232">
        <v>5310</v>
      </c>
      <c r="N628" s="232" t="s">
        <v>1698</v>
      </c>
      <c r="O628" s="232" t="s">
        <v>435</v>
      </c>
      <c r="P628" s="232" t="s">
        <v>436</v>
      </c>
      <c r="Q628" s="232" t="s">
        <v>1699</v>
      </c>
      <c r="T628" t="s">
        <v>2803</v>
      </c>
      <c r="U628" s="25">
        <f>+Municipios!Z629</f>
        <v>55.506216257311536</v>
      </c>
      <c r="V628" s="232">
        <v>5310</v>
      </c>
      <c r="W628" s="232" t="s">
        <v>1698</v>
      </c>
      <c r="X628" s="232" t="s">
        <v>435</v>
      </c>
      <c r="Y628" s="232" t="s">
        <v>436</v>
      </c>
      <c r="Z628" s="232" t="s">
        <v>1699</v>
      </c>
    </row>
    <row r="629" spans="1:26">
      <c r="A629" t="s">
        <v>417</v>
      </c>
      <c r="B629" s="25">
        <f>+Municipios!Z630</f>
        <v>61.0907431261721</v>
      </c>
      <c r="C629" s="232">
        <v>5038</v>
      </c>
      <c r="D629" s="232" t="s">
        <v>1700</v>
      </c>
      <c r="E629" s="232" t="s">
        <v>435</v>
      </c>
      <c r="F629" s="232" t="s">
        <v>436</v>
      </c>
      <c r="G629" s="232" t="s">
        <v>1701</v>
      </c>
      <c r="K629" t="s">
        <v>2647</v>
      </c>
      <c r="L629" s="81">
        <f>+Municipios!AB630</f>
        <v>30.546227119201426</v>
      </c>
      <c r="M629" s="232">
        <v>5038</v>
      </c>
      <c r="N629" s="232" t="s">
        <v>1700</v>
      </c>
      <c r="O629" s="232" t="s">
        <v>435</v>
      </c>
      <c r="P629" s="232" t="s">
        <v>436</v>
      </c>
      <c r="Q629" s="232" t="s">
        <v>1701</v>
      </c>
      <c r="T629" t="s">
        <v>2803</v>
      </c>
      <c r="U629" s="25">
        <f>+Municipios!Z630</f>
        <v>61.0907431261721</v>
      </c>
      <c r="V629" s="232">
        <v>5038</v>
      </c>
      <c r="W629" s="232" t="s">
        <v>1700</v>
      </c>
      <c r="X629" s="232" t="s">
        <v>435</v>
      </c>
      <c r="Y629" s="232" t="s">
        <v>436</v>
      </c>
      <c r="Z629" s="232" t="s">
        <v>1701</v>
      </c>
    </row>
    <row r="630" spans="1:26">
      <c r="A630" t="s">
        <v>417</v>
      </c>
      <c r="B630" s="25">
        <f>+Municipios!Z631</f>
        <v>46.044291295041596</v>
      </c>
      <c r="C630" s="232">
        <v>8549</v>
      </c>
      <c r="D630" s="232" t="s">
        <v>1702</v>
      </c>
      <c r="E630" s="232" t="s">
        <v>442</v>
      </c>
      <c r="F630" s="232" t="s">
        <v>443</v>
      </c>
      <c r="G630" s="232" t="s">
        <v>1703</v>
      </c>
      <c r="K630" t="s">
        <v>2647</v>
      </c>
      <c r="L630" s="81">
        <f>+Municipios!AB631</f>
        <v>22.91061810040652</v>
      </c>
      <c r="M630" s="232">
        <v>8549</v>
      </c>
      <c r="N630" s="232" t="s">
        <v>1702</v>
      </c>
      <c r="O630" s="232" t="s">
        <v>442</v>
      </c>
      <c r="P630" s="232" t="s">
        <v>443</v>
      </c>
      <c r="Q630" s="232" t="s">
        <v>1703</v>
      </c>
      <c r="T630" t="s">
        <v>2803</v>
      </c>
      <c r="U630" s="25">
        <f>+Municipios!Z631</f>
        <v>46.044291295041596</v>
      </c>
      <c r="V630" s="232">
        <v>8549</v>
      </c>
      <c r="W630" s="232" t="s">
        <v>1702</v>
      </c>
      <c r="X630" s="232" t="s">
        <v>442</v>
      </c>
      <c r="Y630" s="232" t="s">
        <v>443</v>
      </c>
      <c r="Z630" s="232" t="s">
        <v>1703</v>
      </c>
    </row>
    <row r="631" spans="1:26">
      <c r="A631" t="s">
        <v>417</v>
      </c>
      <c r="B631" s="25">
        <f>+Municipios!Z632</f>
        <v>52.779134292811577</v>
      </c>
      <c r="C631" s="232">
        <v>19397</v>
      </c>
      <c r="D631" s="232" t="s">
        <v>1704</v>
      </c>
      <c r="E631" s="232" t="s">
        <v>557</v>
      </c>
      <c r="F631" s="232" t="s">
        <v>558</v>
      </c>
      <c r="G631" s="232" t="s">
        <v>876</v>
      </c>
      <c r="K631" t="s">
        <v>2647</v>
      </c>
      <c r="L631" s="81">
        <f>+Municipios!AB632</f>
        <v>26.560314821740015</v>
      </c>
      <c r="M631" s="232">
        <v>19397</v>
      </c>
      <c r="N631" s="232" t="s">
        <v>1704</v>
      </c>
      <c r="O631" s="232" t="s">
        <v>557</v>
      </c>
      <c r="P631" s="232" t="s">
        <v>558</v>
      </c>
      <c r="Q631" s="232" t="s">
        <v>876</v>
      </c>
      <c r="T631" t="s">
        <v>2803</v>
      </c>
      <c r="U631" s="25">
        <f>+Municipios!Z632</f>
        <v>52.779134292811577</v>
      </c>
      <c r="V631" s="232">
        <v>19397</v>
      </c>
      <c r="W631" s="232" t="s">
        <v>1704</v>
      </c>
      <c r="X631" s="232" t="s">
        <v>557</v>
      </c>
      <c r="Y631" s="232" t="s">
        <v>558</v>
      </c>
      <c r="Z631" s="232" t="s">
        <v>876</v>
      </c>
    </row>
    <row r="632" spans="1:26">
      <c r="A632" t="s">
        <v>417</v>
      </c>
      <c r="B632" s="25">
        <f>+Municipios!Z633</f>
        <v>51.245922892140385</v>
      </c>
      <c r="C632" s="232">
        <v>5647</v>
      </c>
      <c r="D632" s="232" t="s">
        <v>1705</v>
      </c>
      <c r="E632" s="232" t="s">
        <v>435</v>
      </c>
      <c r="F632" s="232" t="s">
        <v>436</v>
      </c>
      <c r="G632" s="232" t="s">
        <v>1706</v>
      </c>
      <c r="K632" t="s">
        <v>2647</v>
      </c>
      <c r="L632" s="81">
        <f>+Municipios!AB633</f>
        <v>25.612600841446749</v>
      </c>
      <c r="M632" s="232">
        <v>5647</v>
      </c>
      <c r="N632" s="232" t="s">
        <v>1705</v>
      </c>
      <c r="O632" s="232" t="s">
        <v>435</v>
      </c>
      <c r="P632" s="232" t="s">
        <v>436</v>
      </c>
      <c r="Q632" s="232" t="s">
        <v>1706</v>
      </c>
      <c r="T632" t="s">
        <v>2803</v>
      </c>
      <c r="U632" s="25">
        <f>+Municipios!Z633</f>
        <v>51.245922892140385</v>
      </c>
      <c r="V632" s="232">
        <v>5647</v>
      </c>
      <c r="W632" s="232" t="s">
        <v>1705</v>
      </c>
      <c r="X632" s="232" t="s">
        <v>435</v>
      </c>
      <c r="Y632" s="232" t="s">
        <v>436</v>
      </c>
      <c r="Z632" s="232" t="s">
        <v>1706</v>
      </c>
    </row>
    <row r="633" spans="1:26">
      <c r="A633" t="s">
        <v>417</v>
      </c>
      <c r="B633" s="25">
        <f>+Municipios!Z634</f>
        <v>55.099567755400543</v>
      </c>
      <c r="C633" s="232">
        <v>5579</v>
      </c>
      <c r="D633" s="232" t="s">
        <v>1707</v>
      </c>
      <c r="E633" s="232" t="s">
        <v>435</v>
      </c>
      <c r="F633" s="232" t="s">
        <v>436</v>
      </c>
      <c r="G633" s="232" t="s">
        <v>1708</v>
      </c>
      <c r="K633" t="s">
        <v>2647</v>
      </c>
      <c r="L633" s="81">
        <f>+Municipios!AB634</f>
        <v>27.446150498967953</v>
      </c>
      <c r="M633" s="232">
        <v>5579</v>
      </c>
      <c r="N633" s="232" t="s">
        <v>1707</v>
      </c>
      <c r="O633" s="232" t="s">
        <v>435</v>
      </c>
      <c r="P633" s="232" t="s">
        <v>436</v>
      </c>
      <c r="Q633" s="232" t="s">
        <v>1708</v>
      </c>
      <c r="T633" t="s">
        <v>2803</v>
      </c>
      <c r="U633" s="25">
        <f>+Municipios!Z634</f>
        <v>55.099567755400543</v>
      </c>
      <c r="V633" s="232">
        <v>5579</v>
      </c>
      <c r="W633" s="232" t="s">
        <v>1707</v>
      </c>
      <c r="X633" s="232" t="s">
        <v>435</v>
      </c>
      <c r="Y633" s="232" t="s">
        <v>436</v>
      </c>
      <c r="Z633" s="232" t="s">
        <v>1708</v>
      </c>
    </row>
    <row r="634" spans="1:26">
      <c r="A634" t="s">
        <v>417</v>
      </c>
      <c r="B634" s="25">
        <f>+Municipios!Z635</f>
        <v>50.339269345387848</v>
      </c>
      <c r="C634" s="232">
        <v>68370</v>
      </c>
      <c r="D634" s="232" t="s">
        <v>1709</v>
      </c>
      <c r="E634" s="232" t="s">
        <v>431</v>
      </c>
      <c r="F634" s="232" t="s">
        <v>432</v>
      </c>
      <c r="G634" s="232" t="s">
        <v>1710</v>
      </c>
      <c r="K634" t="s">
        <v>2647</v>
      </c>
      <c r="L634" s="81">
        <f>+Municipios!AB635</f>
        <v>25.143439330774235</v>
      </c>
      <c r="M634" s="232">
        <v>68370</v>
      </c>
      <c r="N634" s="232" t="s">
        <v>1709</v>
      </c>
      <c r="O634" s="232" t="s">
        <v>431</v>
      </c>
      <c r="P634" s="232" t="s">
        <v>432</v>
      </c>
      <c r="Q634" s="232" t="s">
        <v>1710</v>
      </c>
      <c r="T634" t="s">
        <v>2803</v>
      </c>
      <c r="U634" s="25">
        <f>+Municipios!Z635</f>
        <v>50.339269345387848</v>
      </c>
      <c r="V634" s="232">
        <v>68370</v>
      </c>
      <c r="W634" s="232" t="s">
        <v>1709</v>
      </c>
      <c r="X634" s="232" t="s">
        <v>431</v>
      </c>
      <c r="Y634" s="232" t="s">
        <v>432</v>
      </c>
      <c r="Z634" s="232" t="s">
        <v>1710</v>
      </c>
    </row>
    <row r="635" spans="1:26">
      <c r="A635" t="s">
        <v>417</v>
      </c>
      <c r="B635" s="25">
        <f>+Municipios!Z636</f>
        <v>58.766284080630804</v>
      </c>
      <c r="C635" s="232">
        <v>25335</v>
      </c>
      <c r="D635" s="232" t="s">
        <v>1711</v>
      </c>
      <c r="E635" s="232" t="s">
        <v>461</v>
      </c>
      <c r="F635" s="232" t="s">
        <v>462</v>
      </c>
      <c r="G635" s="232" t="s">
        <v>1712</v>
      </c>
      <c r="K635" t="s">
        <v>2647</v>
      </c>
      <c r="L635" s="81">
        <f>+Municipios!AB636</f>
        <v>29.173270960349502</v>
      </c>
      <c r="M635" s="232">
        <v>25335</v>
      </c>
      <c r="N635" s="232" t="s">
        <v>1711</v>
      </c>
      <c r="O635" s="232" t="s">
        <v>461</v>
      </c>
      <c r="P635" s="232" t="s">
        <v>462</v>
      </c>
      <c r="Q635" s="232" t="s">
        <v>1712</v>
      </c>
      <c r="T635" t="s">
        <v>2803</v>
      </c>
      <c r="U635" s="25">
        <f>+Municipios!Z636</f>
        <v>58.766284080630804</v>
      </c>
      <c r="V635" s="232">
        <v>25335</v>
      </c>
      <c r="W635" s="232" t="s">
        <v>1711</v>
      </c>
      <c r="X635" s="232" t="s">
        <v>461</v>
      </c>
      <c r="Y635" s="232" t="s">
        <v>462</v>
      </c>
      <c r="Z635" s="232" t="s">
        <v>1712</v>
      </c>
    </row>
    <row r="636" spans="1:26">
      <c r="A636" t="s">
        <v>417</v>
      </c>
      <c r="B636" s="25">
        <f>+Municipios!Z637</f>
        <v>61.578475611445086</v>
      </c>
      <c r="C636" s="232">
        <v>27001</v>
      </c>
      <c r="D636" s="232" t="s">
        <v>1713</v>
      </c>
      <c r="E636" s="232" t="s">
        <v>1714</v>
      </c>
      <c r="F636" s="232" t="s">
        <v>1715</v>
      </c>
      <c r="G636" s="232" t="s">
        <v>1716</v>
      </c>
      <c r="K636" t="s">
        <v>2647</v>
      </c>
      <c r="L636" s="81">
        <f>+Municipios!AB637</f>
        <v>30.597571755962573</v>
      </c>
      <c r="M636" s="232">
        <v>27001</v>
      </c>
      <c r="N636" s="232" t="s">
        <v>1713</v>
      </c>
      <c r="O636" s="232" t="s">
        <v>1714</v>
      </c>
      <c r="P636" s="232" t="s">
        <v>1715</v>
      </c>
      <c r="Q636" s="232" t="s">
        <v>1716</v>
      </c>
      <c r="T636" t="s">
        <v>2803</v>
      </c>
      <c r="U636" s="25">
        <f>+Municipios!Z637</f>
        <v>61.578475611445086</v>
      </c>
      <c r="V636" s="232">
        <v>27001</v>
      </c>
      <c r="W636" s="232" t="s">
        <v>1713</v>
      </c>
      <c r="X636" s="232" t="s">
        <v>1714</v>
      </c>
      <c r="Y636" s="232" t="s">
        <v>1715</v>
      </c>
      <c r="Z636" s="232" t="s">
        <v>1716</v>
      </c>
    </row>
    <row r="637" spans="1:26">
      <c r="A637" t="s">
        <v>417</v>
      </c>
      <c r="B637" s="25">
        <f>+Municipios!Z638</f>
        <v>55.702386877988744</v>
      </c>
      <c r="C637" s="232">
        <v>68368</v>
      </c>
      <c r="D637" s="232" t="s">
        <v>1717</v>
      </c>
      <c r="E637" s="232" t="s">
        <v>431</v>
      </c>
      <c r="F637" s="232" t="s">
        <v>432</v>
      </c>
      <c r="G637" s="232" t="s">
        <v>1718</v>
      </c>
      <c r="K637" t="s">
        <v>2647</v>
      </c>
      <c r="L637" s="81">
        <f>+Municipios!AB638</f>
        <v>27.634002454344976</v>
      </c>
      <c r="M637" s="232">
        <v>68368</v>
      </c>
      <c r="N637" s="232" t="s">
        <v>1717</v>
      </c>
      <c r="O637" s="232" t="s">
        <v>431</v>
      </c>
      <c r="P637" s="232" t="s">
        <v>432</v>
      </c>
      <c r="Q637" s="232" t="s">
        <v>1718</v>
      </c>
      <c r="T637" t="s">
        <v>2803</v>
      </c>
      <c r="U637" s="25">
        <f>+Municipios!Z638</f>
        <v>55.702386877988744</v>
      </c>
      <c r="V637" s="232">
        <v>68368</v>
      </c>
      <c r="W637" s="232" t="s">
        <v>1717</v>
      </c>
      <c r="X637" s="232" t="s">
        <v>431</v>
      </c>
      <c r="Y637" s="232" t="s">
        <v>432</v>
      </c>
      <c r="Z637" s="232" t="s">
        <v>1718</v>
      </c>
    </row>
    <row r="638" spans="1:26">
      <c r="A638" t="s">
        <v>417</v>
      </c>
      <c r="B638" s="25">
        <f>+Municipios!Z639</f>
        <v>58.7947063429596</v>
      </c>
      <c r="C638" s="232">
        <v>68322</v>
      </c>
      <c r="D638" s="232" t="s">
        <v>1719</v>
      </c>
      <c r="E638" s="232" t="s">
        <v>431</v>
      </c>
      <c r="F638" s="232" t="s">
        <v>432</v>
      </c>
      <c r="G638" s="232" t="s">
        <v>1720</v>
      </c>
      <c r="K638" t="s">
        <v>2647</v>
      </c>
      <c r="L638" s="81">
        <f>+Municipios!AB639</f>
        <v>29.16054179957958</v>
      </c>
      <c r="M638" s="232">
        <v>68322</v>
      </c>
      <c r="N638" s="232" t="s">
        <v>1719</v>
      </c>
      <c r="O638" s="232" t="s">
        <v>431</v>
      </c>
      <c r="P638" s="232" t="s">
        <v>432</v>
      </c>
      <c r="Q638" s="232" t="s">
        <v>1720</v>
      </c>
      <c r="T638" t="s">
        <v>2803</v>
      </c>
      <c r="U638" s="25">
        <f>+Municipios!Z639</f>
        <v>58.7947063429596</v>
      </c>
      <c r="V638" s="232">
        <v>68322</v>
      </c>
      <c r="W638" s="232" t="s">
        <v>1719</v>
      </c>
      <c r="X638" s="232" t="s">
        <v>431</v>
      </c>
      <c r="Y638" s="232" t="s">
        <v>432</v>
      </c>
      <c r="Z638" s="232" t="s">
        <v>1720</v>
      </c>
    </row>
    <row r="639" spans="1:26">
      <c r="A639" t="s">
        <v>417</v>
      </c>
      <c r="B639" s="25">
        <f>+Municipios!Z640</f>
        <v>57.91352290479734</v>
      </c>
      <c r="C639" s="232">
        <v>25258</v>
      </c>
      <c r="D639" s="232" t="s">
        <v>1721</v>
      </c>
      <c r="E639" s="232" t="s">
        <v>461</v>
      </c>
      <c r="F639" s="232" t="s">
        <v>462</v>
      </c>
      <c r="G639" s="232" t="s">
        <v>1722</v>
      </c>
      <c r="K639" t="s">
        <v>2647</v>
      </c>
      <c r="L639" s="81">
        <f>+Municipios!AB640</f>
        <v>28.712922094065139</v>
      </c>
      <c r="M639" s="232">
        <v>25258</v>
      </c>
      <c r="N639" s="232" t="s">
        <v>1721</v>
      </c>
      <c r="O639" s="232" t="s">
        <v>461</v>
      </c>
      <c r="P639" s="232" t="s">
        <v>462</v>
      </c>
      <c r="Q639" s="232" t="s">
        <v>1722</v>
      </c>
      <c r="T639" t="s">
        <v>2803</v>
      </c>
      <c r="U639" s="25">
        <f>+Municipios!Z640</f>
        <v>57.91352290479734</v>
      </c>
      <c r="V639" s="232">
        <v>25258</v>
      </c>
      <c r="W639" s="232" t="s">
        <v>1721</v>
      </c>
      <c r="X639" s="232" t="s">
        <v>461</v>
      </c>
      <c r="Y639" s="232" t="s">
        <v>462</v>
      </c>
      <c r="Z639" s="232" t="s">
        <v>1722</v>
      </c>
    </row>
    <row r="640" spans="1:26">
      <c r="A640" t="s">
        <v>417</v>
      </c>
      <c r="B640" s="25">
        <f>+Municipios!Z641</f>
        <v>54.231201856719096</v>
      </c>
      <c r="C640" s="232">
        <v>25436</v>
      </c>
      <c r="D640" s="232" t="s">
        <v>1723</v>
      </c>
      <c r="E640" s="232" t="s">
        <v>461</v>
      </c>
      <c r="F640" s="232" t="s">
        <v>462</v>
      </c>
      <c r="G640" s="232" t="s">
        <v>1724</v>
      </c>
      <c r="K640" t="s">
        <v>2647</v>
      </c>
      <c r="L640" s="81">
        <f>+Municipios!AB641</f>
        <v>27.026867593832471</v>
      </c>
      <c r="M640" s="232">
        <v>25436</v>
      </c>
      <c r="N640" s="232" t="s">
        <v>1723</v>
      </c>
      <c r="O640" s="232" t="s">
        <v>461</v>
      </c>
      <c r="P640" s="232" t="s">
        <v>462</v>
      </c>
      <c r="Q640" s="232" t="s">
        <v>1724</v>
      </c>
      <c r="T640" t="s">
        <v>2803</v>
      </c>
      <c r="U640" s="25">
        <f>+Municipios!Z641</f>
        <v>54.231201856719096</v>
      </c>
      <c r="V640" s="232">
        <v>25436</v>
      </c>
      <c r="W640" s="232" t="s">
        <v>1723</v>
      </c>
      <c r="X640" s="232" t="s">
        <v>461</v>
      </c>
      <c r="Y640" s="232" t="s">
        <v>462</v>
      </c>
      <c r="Z640" s="232" t="s">
        <v>1724</v>
      </c>
    </row>
    <row r="641" spans="1:26">
      <c r="A641" t="s">
        <v>417</v>
      </c>
      <c r="B641" s="25">
        <f>+Municipios!Z642</f>
        <v>60.426257410001185</v>
      </c>
      <c r="C641" s="232">
        <v>15226</v>
      </c>
      <c r="D641" s="232" t="s">
        <v>1725</v>
      </c>
      <c r="E641" s="232" t="s">
        <v>498</v>
      </c>
      <c r="F641" s="232" t="s">
        <v>499</v>
      </c>
      <c r="G641" s="232" t="s">
        <v>1726</v>
      </c>
      <c r="K641" t="s">
        <v>2647</v>
      </c>
      <c r="L641" s="81">
        <f>+Municipios!AB642</f>
        <v>30.031493702591959</v>
      </c>
      <c r="M641" s="232">
        <v>15226</v>
      </c>
      <c r="N641" s="232" t="s">
        <v>1725</v>
      </c>
      <c r="O641" s="232" t="s">
        <v>498</v>
      </c>
      <c r="P641" s="232" t="s">
        <v>499</v>
      </c>
      <c r="Q641" s="232" t="s">
        <v>1726</v>
      </c>
      <c r="T641" t="s">
        <v>2803</v>
      </c>
      <c r="U641" s="25">
        <f>+Municipios!Z642</f>
        <v>60.426257410001185</v>
      </c>
      <c r="V641" s="232">
        <v>15226</v>
      </c>
      <c r="W641" s="232" t="s">
        <v>1725</v>
      </c>
      <c r="X641" s="232" t="s">
        <v>498</v>
      </c>
      <c r="Y641" s="232" t="s">
        <v>499</v>
      </c>
      <c r="Z641" s="232" t="s">
        <v>1726</v>
      </c>
    </row>
    <row r="642" spans="1:26">
      <c r="A642" t="s">
        <v>417</v>
      </c>
      <c r="B642" s="25">
        <f>+Municipios!Z643</f>
        <v>68.264681923862909</v>
      </c>
      <c r="C642" s="232">
        <v>5206</v>
      </c>
      <c r="D642" s="232" t="s">
        <v>1727</v>
      </c>
      <c r="E642" s="232" t="s">
        <v>435</v>
      </c>
      <c r="F642" s="232" t="s">
        <v>436</v>
      </c>
      <c r="G642" s="232" t="s">
        <v>1728</v>
      </c>
      <c r="K642" t="s">
        <v>2647</v>
      </c>
      <c r="L642" s="81">
        <f>+Municipios!AB643</f>
        <v>34.172712596283198</v>
      </c>
      <c r="M642" s="232">
        <v>5206</v>
      </c>
      <c r="N642" s="232" t="s">
        <v>1727</v>
      </c>
      <c r="O642" s="232" t="s">
        <v>435</v>
      </c>
      <c r="P642" s="232" t="s">
        <v>436</v>
      </c>
      <c r="Q642" s="232" t="s">
        <v>1728</v>
      </c>
      <c r="T642" t="s">
        <v>2803</v>
      </c>
      <c r="U642" s="25">
        <f>+Municipios!Z643</f>
        <v>68.264681923862909</v>
      </c>
      <c r="V642" s="232">
        <v>5206</v>
      </c>
      <c r="W642" s="232" t="s">
        <v>1727</v>
      </c>
      <c r="X642" s="232" t="s">
        <v>435</v>
      </c>
      <c r="Y642" s="232" t="s">
        <v>436</v>
      </c>
      <c r="Z642" s="232" t="s">
        <v>1728</v>
      </c>
    </row>
    <row r="643" spans="1:26">
      <c r="A643" t="s">
        <v>417</v>
      </c>
      <c r="B643" s="25">
        <f>+Municipios!Z644</f>
        <v>56.999664466596485</v>
      </c>
      <c r="C643" s="232">
        <v>68770</v>
      </c>
      <c r="D643" s="232" t="s">
        <v>1729</v>
      </c>
      <c r="E643" s="232" t="s">
        <v>431</v>
      </c>
      <c r="F643" s="232" t="s">
        <v>432</v>
      </c>
      <c r="G643" s="232" t="s">
        <v>1730</v>
      </c>
      <c r="K643" t="s">
        <v>2647</v>
      </c>
      <c r="L643" s="81">
        <f>+Municipios!AB644</f>
        <v>28.112466143259542</v>
      </c>
      <c r="M643" s="232">
        <v>68770</v>
      </c>
      <c r="N643" s="232" t="s">
        <v>1729</v>
      </c>
      <c r="O643" s="232" t="s">
        <v>431</v>
      </c>
      <c r="P643" s="232" t="s">
        <v>432</v>
      </c>
      <c r="Q643" s="232" t="s">
        <v>1730</v>
      </c>
      <c r="T643" t="s">
        <v>2803</v>
      </c>
      <c r="U643" s="25">
        <f>+Municipios!Z644</f>
        <v>56.999664466596485</v>
      </c>
      <c r="V643" s="232">
        <v>68770</v>
      </c>
      <c r="W643" s="232" t="s">
        <v>1729</v>
      </c>
      <c r="X643" s="232" t="s">
        <v>431</v>
      </c>
      <c r="Y643" s="232" t="s">
        <v>432</v>
      </c>
      <c r="Z643" s="232" t="s">
        <v>1730</v>
      </c>
    </row>
    <row r="644" spans="1:26">
      <c r="A644" t="s">
        <v>417</v>
      </c>
      <c r="B644" s="25">
        <f>+Municipios!Z645</f>
        <v>67.792241111971123</v>
      </c>
      <c r="C644" s="232">
        <v>54520</v>
      </c>
      <c r="D644" s="232" t="s">
        <v>1731</v>
      </c>
      <c r="E644" s="232" t="s">
        <v>517</v>
      </c>
      <c r="F644" s="232" t="s">
        <v>518</v>
      </c>
      <c r="G644" s="232" t="s">
        <v>1732</v>
      </c>
      <c r="K644" t="s">
        <v>2647</v>
      </c>
      <c r="L644" s="81">
        <f>+Municipios!AB645</f>
        <v>33.664652926578079</v>
      </c>
      <c r="M644" s="232">
        <v>54520</v>
      </c>
      <c r="N644" s="232" t="s">
        <v>1731</v>
      </c>
      <c r="O644" s="232" t="s">
        <v>517</v>
      </c>
      <c r="P644" s="232" t="s">
        <v>518</v>
      </c>
      <c r="Q644" s="232" t="s">
        <v>1732</v>
      </c>
      <c r="T644" t="s">
        <v>2803</v>
      </c>
      <c r="U644" s="25">
        <f>+Municipios!Z645</f>
        <v>67.792241111971123</v>
      </c>
      <c r="V644" s="232">
        <v>54520</v>
      </c>
      <c r="W644" s="232" t="s">
        <v>1731</v>
      </c>
      <c r="X644" s="232" t="s">
        <v>517</v>
      </c>
      <c r="Y644" s="232" t="s">
        <v>518</v>
      </c>
      <c r="Z644" s="232" t="s">
        <v>1732</v>
      </c>
    </row>
    <row r="645" spans="1:26">
      <c r="A645" t="s">
        <v>417</v>
      </c>
      <c r="B645" s="25">
        <f>+Municipios!Z646</f>
        <v>52.181031820245806</v>
      </c>
      <c r="C645" s="232">
        <v>5490</v>
      </c>
      <c r="D645" s="232" t="s">
        <v>1733</v>
      </c>
      <c r="E645" s="232" t="s">
        <v>435</v>
      </c>
      <c r="F645" s="232" t="s">
        <v>436</v>
      </c>
      <c r="G645" s="232" t="s">
        <v>1734</v>
      </c>
      <c r="K645" t="s">
        <v>2647</v>
      </c>
      <c r="L645" s="81">
        <f>+Municipios!AB646</f>
        <v>25.82958301264015</v>
      </c>
      <c r="M645" s="232">
        <v>5490</v>
      </c>
      <c r="N645" s="232" t="s">
        <v>1733</v>
      </c>
      <c r="O645" s="232" t="s">
        <v>435</v>
      </c>
      <c r="P645" s="232" t="s">
        <v>436</v>
      </c>
      <c r="Q645" s="232" t="s">
        <v>1734</v>
      </c>
      <c r="T645" t="s">
        <v>2803</v>
      </c>
      <c r="U645" s="25">
        <f>+Municipios!Z646</f>
        <v>52.181031820245806</v>
      </c>
      <c r="V645" s="232">
        <v>5490</v>
      </c>
      <c r="W645" s="232" t="s">
        <v>1733</v>
      </c>
      <c r="X645" s="232" t="s">
        <v>435</v>
      </c>
      <c r="Y645" s="232" t="s">
        <v>436</v>
      </c>
      <c r="Z645" s="232" t="s">
        <v>1734</v>
      </c>
    </row>
    <row r="646" spans="1:26">
      <c r="A646" t="s">
        <v>417</v>
      </c>
      <c r="B646" s="25">
        <f>+Municipios!Z647</f>
        <v>59.703354131061459</v>
      </c>
      <c r="C646" s="232">
        <v>15296</v>
      </c>
      <c r="D646" s="232" t="s">
        <v>1735</v>
      </c>
      <c r="E646" s="232" t="s">
        <v>498</v>
      </c>
      <c r="F646" s="232" t="s">
        <v>499</v>
      </c>
      <c r="G646" s="232" t="s">
        <v>1736</v>
      </c>
      <c r="K646" t="s">
        <v>2647</v>
      </c>
      <c r="L646" s="81">
        <f>+Municipios!AB647</f>
        <v>29.600548080868105</v>
      </c>
      <c r="M646" s="232">
        <v>15296</v>
      </c>
      <c r="N646" s="232" t="s">
        <v>1735</v>
      </c>
      <c r="O646" s="232" t="s">
        <v>498</v>
      </c>
      <c r="P646" s="232" t="s">
        <v>499</v>
      </c>
      <c r="Q646" s="232" t="s">
        <v>1736</v>
      </c>
      <c r="T646" t="s">
        <v>2803</v>
      </c>
      <c r="U646" s="25">
        <f>+Municipios!Z647</f>
        <v>59.703354131061459</v>
      </c>
      <c r="V646" s="232">
        <v>15296</v>
      </c>
      <c r="W646" s="232" t="s">
        <v>1735</v>
      </c>
      <c r="X646" s="232" t="s">
        <v>498</v>
      </c>
      <c r="Y646" s="232" t="s">
        <v>499</v>
      </c>
      <c r="Z646" s="232" t="s">
        <v>1736</v>
      </c>
    </row>
    <row r="647" spans="1:26">
      <c r="A647" t="s">
        <v>417</v>
      </c>
      <c r="B647" s="25">
        <f>+Municipios!Z648</f>
        <v>45.637908270753783</v>
      </c>
      <c r="C647" s="232">
        <v>13580</v>
      </c>
      <c r="D647" s="232" t="s">
        <v>1737</v>
      </c>
      <c r="E647" s="232" t="s">
        <v>480</v>
      </c>
      <c r="F647" s="232" t="s">
        <v>481</v>
      </c>
      <c r="G647" s="232" t="s">
        <v>1738</v>
      </c>
      <c r="K647" t="s">
        <v>2647</v>
      </c>
      <c r="L647" s="81">
        <f>+Municipios!AB648</f>
        <v>22.562812294151144</v>
      </c>
      <c r="M647" s="232">
        <v>13580</v>
      </c>
      <c r="N647" s="232" t="s">
        <v>1737</v>
      </c>
      <c r="O647" s="232" t="s">
        <v>480</v>
      </c>
      <c r="P647" s="232" t="s">
        <v>481</v>
      </c>
      <c r="Q647" s="232" t="s">
        <v>1738</v>
      </c>
      <c r="T647" t="s">
        <v>2803</v>
      </c>
      <c r="U647" s="25">
        <f>+Municipios!Z648</f>
        <v>45.637908270753783</v>
      </c>
      <c r="V647" s="232">
        <v>13580</v>
      </c>
      <c r="W647" s="232" t="s">
        <v>1737</v>
      </c>
      <c r="X647" s="232" t="s">
        <v>480</v>
      </c>
      <c r="Y647" s="232" t="s">
        <v>481</v>
      </c>
      <c r="Z647" s="232" t="s">
        <v>1738</v>
      </c>
    </row>
    <row r="648" spans="1:26">
      <c r="A648" t="s">
        <v>417</v>
      </c>
      <c r="B648" s="25">
        <f>+Municipios!Z649</f>
        <v>57.671066483067484</v>
      </c>
      <c r="C648" s="232">
        <v>27810</v>
      </c>
      <c r="D648" s="232" t="s">
        <v>1739</v>
      </c>
      <c r="E648" s="232" t="s">
        <v>1714</v>
      </c>
      <c r="F648" s="232" t="s">
        <v>1715</v>
      </c>
      <c r="G648" s="232" t="s">
        <v>1740</v>
      </c>
      <c r="K648" t="s">
        <v>2647</v>
      </c>
      <c r="L648" s="81">
        <f>+Municipios!AB649</f>
        <v>28.553606331436374</v>
      </c>
      <c r="M648" s="232">
        <v>27810</v>
      </c>
      <c r="N648" s="232" t="s">
        <v>1739</v>
      </c>
      <c r="O648" s="232" t="s">
        <v>1714</v>
      </c>
      <c r="P648" s="232" t="s">
        <v>1715</v>
      </c>
      <c r="Q648" s="232" t="s">
        <v>1740</v>
      </c>
      <c r="T648" t="s">
        <v>2803</v>
      </c>
      <c r="U648" s="25">
        <f>+Municipios!Z649</f>
        <v>57.671066483067484</v>
      </c>
      <c r="V648" s="232">
        <v>27810</v>
      </c>
      <c r="W648" s="232" t="s">
        <v>1739</v>
      </c>
      <c r="X648" s="232" t="s">
        <v>1714</v>
      </c>
      <c r="Y648" s="232" t="s">
        <v>1715</v>
      </c>
      <c r="Z648" s="232" t="s">
        <v>1740</v>
      </c>
    </row>
    <row r="649" spans="1:26">
      <c r="A649" t="s">
        <v>417</v>
      </c>
      <c r="B649" s="25">
        <f>+Municipios!Z650</f>
        <v>65.631351230046533</v>
      </c>
      <c r="C649" s="232">
        <v>44110</v>
      </c>
      <c r="D649" s="232" t="s">
        <v>1741</v>
      </c>
      <c r="E649" s="232" t="s">
        <v>933</v>
      </c>
      <c r="F649" s="232" t="s">
        <v>934</v>
      </c>
      <c r="G649" s="232" t="s">
        <v>1742</v>
      </c>
      <c r="K649" t="s">
        <v>2647</v>
      </c>
      <c r="L649" s="81">
        <f>+Municipios!AB650</f>
        <v>32.50425471961286</v>
      </c>
      <c r="M649" s="232">
        <v>44110</v>
      </c>
      <c r="N649" s="232" t="s">
        <v>1741</v>
      </c>
      <c r="O649" s="232" t="s">
        <v>933</v>
      </c>
      <c r="P649" s="232" t="s">
        <v>934</v>
      </c>
      <c r="Q649" s="232" t="s">
        <v>1742</v>
      </c>
      <c r="T649" t="s">
        <v>2803</v>
      </c>
      <c r="U649" s="25">
        <f>+Municipios!Z650</f>
        <v>65.631351230046533</v>
      </c>
      <c r="V649" s="232">
        <v>44110</v>
      </c>
      <c r="W649" s="232" t="s">
        <v>1741</v>
      </c>
      <c r="X649" s="232" t="s">
        <v>933</v>
      </c>
      <c r="Y649" s="232" t="s">
        <v>934</v>
      </c>
      <c r="Z649" s="232" t="s">
        <v>1742</v>
      </c>
    </row>
    <row r="650" spans="1:26">
      <c r="A650" t="s">
        <v>417</v>
      </c>
      <c r="B650" s="25">
        <f>+Municipios!Z651</f>
        <v>56.570340830000646</v>
      </c>
      <c r="C650" s="232">
        <v>15442</v>
      </c>
      <c r="D650" s="232" t="s">
        <v>1743</v>
      </c>
      <c r="E650" s="232" t="s">
        <v>498</v>
      </c>
      <c r="F650" s="232" t="s">
        <v>499</v>
      </c>
      <c r="G650" s="232" t="s">
        <v>1744</v>
      </c>
      <c r="K650" t="s">
        <v>2647</v>
      </c>
      <c r="L650" s="81">
        <f>+Municipios!AB651</f>
        <v>27.865255646456145</v>
      </c>
      <c r="M650" s="232">
        <v>15442</v>
      </c>
      <c r="N650" s="232" t="s">
        <v>1743</v>
      </c>
      <c r="O650" s="232" t="s">
        <v>498</v>
      </c>
      <c r="P650" s="232" t="s">
        <v>499</v>
      </c>
      <c r="Q650" s="232" t="s">
        <v>1744</v>
      </c>
      <c r="T650" t="s">
        <v>2803</v>
      </c>
      <c r="U650" s="25">
        <f>+Municipios!Z651</f>
        <v>56.570340830000646</v>
      </c>
      <c r="V650" s="232">
        <v>15442</v>
      </c>
      <c r="W650" s="232" t="s">
        <v>1743</v>
      </c>
      <c r="X650" s="232" t="s">
        <v>498</v>
      </c>
      <c r="Y650" s="232" t="s">
        <v>499</v>
      </c>
      <c r="Z650" s="232" t="s">
        <v>1744</v>
      </c>
    </row>
    <row r="651" spans="1:26">
      <c r="A651" t="s">
        <v>417</v>
      </c>
      <c r="B651" s="25">
        <f>+Municipios!Z652</f>
        <v>69.51555191716389</v>
      </c>
      <c r="C651" s="232">
        <v>5113</v>
      </c>
      <c r="D651" s="232" t="s">
        <v>1745</v>
      </c>
      <c r="E651" s="232" t="s">
        <v>435</v>
      </c>
      <c r="F651" s="232" t="s">
        <v>436</v>
      </c>
      <c r="G651" s="232" t="s">
        <v>1746</v>
      </c>
      <c r="K651" t="s">
        <v>2647</v>
      </c>
      <c r="L651" s="81">
        <f>+Municipios!AB652</f>
        <v>34.345551298072841</v>
      </c>
      <c r="M651" s="232">
        <v>5113</v>
      </c>
      <c r="N651" s="232" t="s">
        <v>1745</v>
      </c>
      <c r="O651" s="232" t="s">
        <v>435</v>
      </c>
      <c r="P651" s="232" t="s">
        <v>436</v>
      </c>
      <c r="Q651" s="232" t="s">
        <v>1746</v>
      </c>
      <c r="T651" t="s">
        <v>2803</v>
      </c>
      <c r="U651" s="25">
        <f>+Municipios!Z652</f>
        <v>69.51555191716389</v>
      </c>
      <c r="V651" s="232">
        <v>5113</v>
      </c>
      <c r="W651" s="232" t="s">
        <v>1745</v>
      </c>
      <c r="X651" s="232" t="s">
        <v>435</v>
      </c>
      <c r="Y651" s="232" t="s">
        <v>436</v>
      </c>
      <c r="Z651" s="232" t="s">
        <v>1746</v>
      </c>
    </row>
    <row r="652" spans="1:26">
      <c r="A652" t="s">
        <v>417</v>
      </c>
      <c r="B652" s="25">
        <f>+Municipios!Z653</f>
        <v>59.320907672128399</v>
      </c>
      <c r="C652" s="232">
        <v>66456</v>
      </c>
      <c r="D652" s="232" t="s">
        <v>1747</v>
      </c>
      <c r="E652" s="232" t="s">
        <v>467</v>
      </c>
      <c r="F652" s="232" t="s">
        <v>468</v>
      </c>
      <c r="G652" s="232" t="s">
        <v>1748</v>
      </c>
      <c r="K652" t="s">
        <v>2647</v>
      </c>
      <c r="L652" s="81">
        <f>+Municipios!AB653</f>
        <v>29.317569991977287</v>
      </c>
      <c r="M652" s="232">
        <v>66456</v>
      </c>
      <c r="N652" s="232" t="s">
        <v>1747</v>
      </c>
      <c r="O652" s="232" t="s">
        <v>467</v>
      </c>
      <c r="P652" s="232" t="s">
        <v>468</v>
      </c>
      <c r="Q652" s="232" t="s">
        <v>1748</v>
      </c>
      <c r="T652" t="s">
        <v>2803</v>
      </c>
      <c r="U652" s="25">
        <f>+Municipios!Z653</f>
        <v>59.320907672128399</v>
      </c>
      <c r="V652" s="232">
        <v>66456</v>
      </c>
      <c r="W652" s="232" t="s">
        <v>1747</v>
      </c>
      <c r="X652" s="232" t="s">
        <v>467</v>
      </c>
      <c r="Y652" s="232" t="s">
        <v>468</v>
      </c>
      <c r="Z652" s="232" t="s">
        <v>1748</v>
      </c>
    </row>
    <row r="653" spans="1:26">
      <c r="A653" t="s">
        <v>417</v>
      </c>
      <c r="B653" s="25">
        <f>+Municipios!Z654</f>
        <v>63.656991906969452</v>
      </c>
      <c r="C653" s="232">
        <v>25572</v>
      </c>
      <c r="D653" s="232" t="s">
        <v>1749</v>
      </c>
      <c r="E653" s="232" t="s">
        <v>461</v>
      </c>
      <c r="F653" s="232" t="s">
        <v>462</v>
      </c>
      <c r="G653" s="232" t="s">
        <v>1750</v>
      </c>
      <c r="K653" t="s">
        <v>2647</v>
      </c>
      <c r="L653" s="81">
        <f>+Municipios!AB654</f>
        <v>31.417584821335641</v>
      </c>
      <c r="M653" s="232">
        <v>25572</v>
      </c>
      <c r="N653" s="232" t="s">
        <v>1749</v>
      </c>
      <c r="O653" s="232" t="s">
        <v>461</v>
      </c>
      <c r="P653" s="232" t="s">
        <v>462</v>
      </c>
      <c r="Q653" s="232" t="s">
        <v>1750</v>
      </c>
      <c r="T653" t="s">
        <v>2803</v>
      </c>
      <c r="U653" s="25">
        <f>+Municipios!Z654</f>
        <v>63.656991906969452</v>
      </c>
      <c r="V653" s="232">
        <v>25572</v>
      </c>
      <c r="W653" s="232" t="s">
        <v>1749</v>
      </c>
      <c r="X653" s="232" t="s">
        <v>461</v>
      </c>
      <c r="Y653" s="232" t="s">
        <v>462</v>
      </c>
      <c r="Z653" s="232" t="s">
        <v>1750</v>
      </c>
    </row>
    <row r="654" spans="1:26">
      <c r="A654" t="s">
        <v>417</v>
      </c>
      <c r="B654" s="25">
        <f>+Municipios!Z655</f>
        <v>52.914538760756955</v>
      </c>
      <c r="C654" s="232">
        <v>5660</v>
      </c>
      <c r="D654" s="232" t="s">
        <v>1751</v>
      </c>
      <c r="E654" s="232" t="s">
        <v>435</v>
      </c>
      <c r="F654" s="232" t="s">
        <v>436</v>
      </c>
      <c r="G654" s="232" t="s">
        <v>1690</v>
      </c>
      <c r="K654" t="s">
        <v>2647</v>
      </c>
      <c r="L654" s="81">
        <f>+Municipios!AB655</f>
        <v>26.277814123923768</v>
      </c>
      <c r="M654" s="232">
        <v>5660</v>
      </c>
      <c r="N654" s="232" t="s">
        <v>1751</v>
      </c>
      <c r="O654" s="232" t="s">
        <v>435</v>
      </c>
      <c r="P654" s="232" t="s">
        <v>436</v>
      </c>
      <c r="Q654" s="232" t="s">
        <v>1690</v>
      </c>
      <c r="T654" t="s">
        <v>2803</v>
      </c>
      <c r="U654" s="25">
        <f>+Municipios!Z655</f>
        <v>52.914538760756955</v>
      </c>
      <c r="V654" s="232">
        <v>5660</v>
      </c>
      <c r="W654" s="232" t="s">
        <v>1751</v>
      </c>
      <c r="X654" s="232" t="s">
        <v>435</v>
      </c>
      <c r="Y654" s="232" t="s">
        <v>436</v>
      </c>
      <c r="Z654" s="232" t="s">
        <v>1690</v>
      </c>
    </row>
    <row r="655" spans="1:26">
      <c r="A655" t="s">
        <v>417</v>
      </c>
      <c r="B655" s="25">
        <f>+Municipios!Z656</f>
        <v>61.815858542840708</v>
      </c>
      <c r="C655" s="232">
        <v>68689</v>
      </c>
      <c r="D655" s="232" t="s">
        <v>1752</v>
      </c>
      <c r="E655" s="232" t="s">
        <v>431</v>
      </c>
      <c r="F655" s="232" t="s">
        <v>432</v>
      </c>
      <c r="G655" s="232" t="s">
        <v>1753</v>
      </c>
      <c r="K655" t="s">
        <v>2647</v>
      </c>
      <c r="L655" s="81">
        <f>+Municipios!AB656</f>
        <v>30.551636268593803</v>
      </c>
      <c r="M655" s="232">
        <v>68689</v>
      </c>
      <c r="N655" s="232" t="s">
        <v>1752</v>
      </c>
      <c r="O655" s="232" t="s">
        <v>431</v>
      </c>
      <c r="P655" s="232" t="s">
        <v>432</v>
      </c>
      <c r="Q655" s="232" t="s">
        <v>1753</v>
      </c>
      <c r="T655" t="s">
        <v>2803</v>
      </c>
      <c r="U655" s="25">
        <f>+Municipios!Z656</f>
        <v>61.815858542840708</v>
      </c>
      <c r="V655" s="232">
        <v>68689</v>
      </c>
      <c r="W655" s="232" t="s">
        <v>1752</v>
      </c>
      <c r="X655" s="232" t="s">
        <v>431</v>
      </c>
      <c r="Y655" s="232" t="s">
        <v>432</v>
      </c>
      <c r="Z655" s="232" t="s">
        <v>1753</v>
      </c>
    </row>
    <row r="656" spans="1:26">
      <c r="A656" t="s">
        <v>417</v>
      </c>
      <c r="B656" s="25">
        <f>+Municipios!Z657</f>
        <v>52.888553540303171</v>
      </c>
      <c r="C656" s="232">
        <v>86757</v>
      </c>
      <c r="D656" s="232" t="s">
        <v>1754</v>
      </c>
      <c r="E656" s="232" t="s">
        <v>943</v>
      </c>
      <c r="F656" s="232" t="s">
        <v>944</v>
      </c>
      <c r="G656" s="232" t="s">
        <v>1755</v>
      </c>
      <c r="K656" t="s">
        <v>2647</v>
      </c>
      <c r="L656" s="81">
        <f>+Municipios!AB657</f>
        <v>26.069935529678066</v>
      </c>
      <c r="M656" s="232">
        <v>86757</v>
      </c>
      <c r="N656" s="232" t="s">
        <v>1754</v>
      </c>
      <c r="O656" s="232" t="s">
        <v>943</v>
      </c>
      <c r="P656" s="232" t="s">
        <v>944</v>
      </c>
      <c r="Q656" s="232" t="s">
        <v>1755</v>
      </c>
      <c r="T656" t="s">
        <v>2803</v>
      </c>
      <c r="U656" s="25">
        <f>+Municipios!Z657</f>
        <v>52.888553540303171</v>
      </c>
      <c r="V656" s="232">
        <v>86757</v>
      </c>
      <c r="W656" s="232" t="s">
        <v>1754</v>
      </c>
      <c r="X656" s="232" t="s">
        <v>943</v>
      </c>
      <c r="Y656" s="232" t="s">
        <v>944</v>
      </c>
      <c r="Z656" s="232" t="s">
        <v>1755</v>
      </c>
    </row>
    <row r="657" spans="1:26">
      <c r="A657" t="s">
        <v>417</v>
      </c>
      <c r="B657" s="25">
        <f>+Municipios!Z658</f>
        <v>51.303577873292603</v>
      </c>
      <c r="C657" s="232">
        <v>5628</v>
      </c>
      <c r="D657" s="232" t="s">
        <v>1756</v>
      </c>
      <c r="E657" s="232" t="s">
        <v>435</v>
      </c>
      <c r="F657" s="232" t="s">
        <v>436</v>
      </c>
      <c r="G657" s="232" t="s">
        <v>634</v>
      </c>
      <c r="K657" t="s">
        <v>2647</v>
      </c>
      <c r="L657" s="81">
        <f>+Municipios!AB658</f>
        <v>25.244814127908217</v>
      </c>
      <c r="M657" s="232">
        <v>5628</v>
      </c>
      <c r="N657" s="232" t="s">
        <v>1756</v>
      </c>
      <c r="O657" s="232" t="s">
        <v>435</v>
      </c>
      <c r="P657" s="232" t="s">
        <v>436</v>
      </c>
      <c r="Q657" s="232" t="s">
        <v>634</v>
      </c>
      <c r="T657" t="s">
        <v>2803</v>
      </c>
      <c r="U657" s="25">
        <f>+Municipios!Z658</f>
        <v>51.303577873292603</v>
      </c>
      <c r="V657" s="232">
        <v>5628</v>
      </c>
      <c r="W657" s="232" t="s">
        <v>1756</v>
      </c>
      <c r="X657" s="232" t="s">
        <v>435</v>
      </c>
      <c r="Y657" s="232" t="s">
        <v>436</v>
      </c>
      <c r="Z657" s="232" t="s">
        <v>634</v>
      </c>
    </row>
    <row r="658" spans="1:26">
      <c r="A658" t="s">
        <v>417</v>
      </c>
      <c r="B658" s="25">
        <f>+Municipios!Z659</f>
        <v>64.201244514041292</v>
      </c>
      <c r="C658" s="232">
        <v>25297</v>
      </c>
      <c r="D658" s="232" t="s">
        <v>1757</v>
      </c>
      <c r="E658" s="232" t="s">
        <v>461</v>
      </c>
      <c r="F658" s="232" t="s">
        <v>462</v>
      </c>
      <c r="G658" s="232" t="s">
        <v>1758</v>
      </c>
      <c r="K658" t="s">
        <v>2647</v>
      </c>
      <c r="L658" s="81">
        <f>+Municipios!AB659</f>
        <v>31.566891405319112</v>
      </c>
      <c r="M658" s="232">
        <v>25297</v>
      </c>
      <c r="N658" s="232" t="s">
        <v>1757</v>
      </c>
      <c r="O658" s="232" t="s">
        <v>461</v>
      </c>
      <c r="P658" s="232" t="s">
        <v>462</v>
      </c>
      <c r="Q658" s="232" t="s">
        <v>1758</v>
      </c>
      <c r="T658" t="s">
        <v>2803</v>
      </c>
      <c r="U658" s="25">
        <f>+Municipios!Z659</f>
        <v>64.201244514041292</v>
      </c>
      <c r="V658" s="232">
        <v>25297</v>
      </c>
      <c r="W658" s="232" t="s">
        <v>1757</v>
      </c>
      <c r="X658" s="232" t="s">
        <v>461</v>
      </c>
      <c r="Y658" s="232" t="s">
        <v>462</v>
      </c>
      <c r="Z658" s="232" t="s">
        <v>1758</v>
      </c>
    </row>
    <row r="659" spans="1:26">
      <c r="A659" t="s">
        <v>417</v>
      </c>
      <c r="B659" s="25">
        <f>+Municipios!Z660</f>
        <v>54.596213270121829</v>
      </c>
      <c r="C659" s="232">
        <v>76246</v>
      </c>
      <c r="D659" s="232" t="s">
        <v>1759</v>
      </c>
      <c r="E659" s="232" t="s">
        <v>454</v>
      </c>
      <c r="F659" s="232" t="s">
        <v>455</v>
      </c>
      <c r="G659" s="232" t="s">
        <v>1760</v>
      </c>
      <c r="K659" t="s">
        <v>2647</v>
      </c>
      <c r="L659" s="81">
        <f>+Municipios!AB660</f>
        <v>26.901135480945573</v>
      </c>
      <c r="M659" s="232">
        <v>76246</v>
      </c>
      <c r="N659" s="232" t="s">
        <v>1759</v>
      </c>
      <c r="O659" s="232" t="s">
        <v>454</v>
      </c>
      <c r="P659" s="232" t="s">
        <v>455</v>
      </c>
      <c r="Q659" s="232" t="s">
        <v>1760</v>
      </c>
      <c r="T659" t="s">
        <v>2803</v>
      </c>
      <c r="U659" s="25">
        <f>+Municipios!Z660</f>
        <v>54.596213270121829</v>
      </c>
      <c r="V659" s="232">
        <v>76246</v>
      </c>
      <c r="W659" s="232" t="s">
        <v>1759</v>
      </c>
      <c r="X659" s="232" t="s">
        <v>454</v>
      </c>
      <c r="Y659" s="232" t="s">
        <v>455</v>
      </c>
      <c r="Z659" s="232" t="s">
        <v>1760</v>
      </c>
    </row>
    <row r="660" spans="1:26">
      <c r="A660" t="s">
        <v>417</v>
      </c>
      <c r="B660" s="25">
        <f>+Municipios!Z661</f>
        <v>54.371137213675901</v>
      </c>
      <c r="C660" s="232">
        <v>5483</v>
      </c>
      <c r="D660" s="232" t="s">
        <v>1761</v>
      </c>
      <c r="E660" s="232" t="s">
        <v>435</v>
      </c>
      <c r="F660" s="232" t="s">
        <v>436</v>
      </c>
      <c r="G660" s="232" t="s">
        <v>673</v>
      </c>
      <c r="K660" t="s">
        <v>2647</v>
      </c>
      <c r="L660" s="81">
        <f>+Municipios!AB661</f>
        <v>26.788228539927669</v>
      </c>
      <c r="M660" s="232">
        <v>5483</v>
      </c>
      <c r="N660" s="232" t="s">
        <v>1761</v>
      </c>
      <c r="O660" s="232" t="s">
        <v>435</v>
      </c>
      <c r="P660" s="232" t="s">
        <v>436</v>
      </c>
      <c r="Q660" s="232" t="s">
        <v>673</v>
      </c>
      <c r="T660" t="s">
        <v>2803</v>
      </c>
      <c r="U660" s="25">
        <f>+Municipios!Z661</f>
        <v>54.371137213675901</v>
      </c>
      <c r="V660" s="232">
        <v>5483</v>
      </c>
      <c r="W660" s="232" t="s">
        <v>1761</v>
      </c>
      <c r="X660" s="232" t="s">
        <v>435</v>
      </c>
      <c r="Y660" s="232" t="s">
        <v>436</v>
      </c>
      <c r="Z660" s="232" t="s">
        <v>673</v>
      </c>
    </row>
    <row r="661" spans="1:26">
      <c r="A661" t="s">
        <v>417</v>
      </c>
      <c r="B661" s="25">
        <f>+Municipios!Z662</f>
        <v>60.324521906078658</v>
      </c>
      <c r="C661" s="232">
        <v>15676</v>
      </c>
      <c r="D661" s="232" t="s">
        <v>1762</v>
      </c>
      <c r="E661" s="232" t="s">
        <v>498</v>
      </c>
      <c r="F661" s="232" t="s">
        <v>499</v>
      </c>
      <c r="G661" s="232" t="s">
        <v>1763</v>
      </c>
      <c r="K661" t="s">
        <v>2647</v>
      </c>
      <c r="L661" s="81">
        <f>+Municipios!AB662</f>
        <v>29.581974375523998</v>
      </c>
      <c r="M661" s="232">
        <v>15676</v>
      </c>
      <c r="N661" s="232" t="s">
        <v>1762</v>
      </c>
      <c r="O661" s="232" t="s">
        <v>498</v>
      </c>
      <c r="P661" s="232" t="s">
        <v>499</v>
      </c>
      <c r="Q661" s="232" t="s">
        <v>1763</v>
      </c>
      <c r="T661" t="s">
        <v>2803</v>
      </c>
      <c r="U661" s="25">
        <f>+Municipios!Z662</f>
        <v>60.324521906078658</v>
      </c>
      <c r="V661" s="232">
        <v>15676</v>
      </c>
      <c r="W661" s="232" t="s">
        <v>1762</v>
      </c>
      <c r="X661" s="232" t="s">
        <v>498</v>
      </c>
      <c r="Y661" s="232" t="s">
        <v>499</v>
      </c>
      <c r="Z661" s="232" t="s">
        <v>1763</v>
      </c>
    </row>
    <row r="662" spans="1:26">
      <c r="A662" t="s">
        <v>417</v>
      </c>
      <c r="B662" s="25">
        <f>+Municipios!Z663</f>
        <v>51.601236434679478</v>
      </c>
      <c r="C662" s="232">
        <v>52227</v>
      </c>
      <c r="D662" s="232" t="s">
        <v>1764</v>
      </c>
      <c r="E662" s="232" t="s">
        <v>672</v>
      </c>
      <c r="F662" s="232" t="s">
        <v>673</v>
      </c>
      <c r="G662" s="232" t="s">
        <v>1765</v>
      </c>
      <c r="K662" t="s">
        <v>2647</v>
      </c>
      <c r="L662" s="81">
        <f>+Municipios!AB663</f>
        <v>25.387249271118321</v>
      </c>
      <c r="M662" s="232">
        <v>52227</v>
      </c>
      <c r="N662" s="232" t="s">
        <v>1764</v>
      </c>
      <c r="O662" s="232" t="s">
        <v>672</v>
      </c>
      <c r="P662" s="232" t="s">
        <v>673</v>
      </c>
      <c r="Q662" s="232" t="s">
        <v>1765</v>
      </c>
      <c r="T662" t="s">
        <v>2803</v>
      </c>
      <c r="U662" s="25">
        <f>+Municipios!Z663</f>
        <v>51.601236434679478</v>
      </c>
      <c r="V662" s="232">
        <v>52227</v>
      </c>
      <c r="W662" s="232" t="s">
        <v>1764</v>
      </c>
      <c r="X662" s="232" t="s">
        <v>672</v>
      </c>
      <c r="Y662" s="232" t="s">
        <v>673</v>
      </c>
      <c r="Z662" s="232" t="s">
        <v>1765</v>
      </c>
    </row>
    <row r="663" spans="1:26">
      <c r="A663" t="s">
        <v>417</v>
      </c>
      <c r="B663" s="25">
        <f>+Municipios!Z664</f>
        <v>51.309623231525521</v>
      </c>
      <c r="C663" s="232">
        <v>15248</v>
      </c>
      <c r="D663" s="232" t="s">
        <v>1766</v>
      </c>
      <c r="E663" s="232" t="s">
        <v>498</v>
      </c>
      <c r="F663" s="232" t="s">
        <v>499</v>
      </c>
      <c r="G663" s="232" t="s">
        <v>1767</v>
      </c>
      <c r="K663" t="s">
        <v>2647</v>
      </c>
      <c r="L663" s="81">
        <f>+Municipios!AB664</f>
        <v>25.25672806600668</v>
      </c>
      <c r="M663" s="232">
        <v>15248</v>
      </c>
      <c r="N663" s="232" t="s">
        <v>1766</v>
      </c>
      <c r="O663" s="232" t="s">
        <v>498</v>
      </c>
      <c r="P663" s="232" t="s">
        <v>499</v>
      </c>
      <c r="Q663" s="232" t="s">
        <v>1767</v>
      </c>
      <c r="T663" t="s">
        <v>2803</v>
      </c>
      <c r="U663" s="25">
        <f>+Municipios!Z664</f>
        <v>51.309623231525521</v>
      </c>
      <c r="V663" s="232">
        <v>15248</v>
      </c>
      <c r="W663" s="232" t="s">
        <v>1766</v>
      </c>
      <c r="X663" s="232" t="s">
        <v>498</v>
      </c>
      <c r="Y663" s="232" t="s">
        <v>499</v>
      </c>
      <c r="Z663" s="232" t="s">
        <v>1767</v>
      </c>
    </row>
    <row r="664" spans="1:26">
      <c r="A664" t="s">
        <v>417</v>
      </c>
      <c r="B664" s="25">
        <f>+Municipios!Z665</f>
        <v>59.445959817956734</v>
      </c>
      <c r="C664" s="232">
        <v>17541</v>
      </c>
      <c r="D664" s="232" t="s">
        <v>1768</v>
      </c>
      <c r="E664" s="232" t="s">
        <v>506</v>
      </c>
      <c r="F664" s="232" t="s">
        <v>507</v>
      </c>
      <c r="G664" s="232" t="s">
        <v>1769</v>
      </c>
      <c r="K664" t="s">
        <v>2647</v>
      </c>
      <c r="L664" s="81">
        <f>+Municipios!AB665</f>
        <v>29.353946849859394</v>
      </c>
      <c r="M664" s="232">
        <v>17541</v>
      </c>
      <c r="N664" s="232" t="s">
        <v>1768</v>
      </c>
      <c r="O664" s="232" t="s">
        <v>506</v>
      </c>
      <c r="P664" s="232" t="s">
        <v>507</v>
      </c>
      <c r="Q664" s="232" t="s">
        <v>1769</v>
      </c>
      <c r="T664" t="s">
        <v>2803</v>
      </c>
      <c r="U664" s="25">
        <f>+Municipios!Z665</f>
        <v>59.445959817956734</v>
      </c>
      <c r="V664" s="232">
        <v>17541</v>
      </c>
      <c r="W664" s="232" t="s">
        <v>1768</v>
      </c>
      <c r="X664" s="232" t="s">
        <v>506</v>
      </c>
      <c r="Y664" s="232" t="s">
        <v>507</v>
      </c>
      <c r="Z664" s="232" t="s">
        <v>1769</v>
      </c>
    </row>
    <row r="665" spans="1:26">
      <c r="A665" t="s">
        <v>417</v>
      </c>
      <c r="B665" s="25">
        <f>+Municipios!Z666</f>
        <v>47.460592374047259</v>
      </c>
      <c r="C665" s="232">
        <v>73152</v>
      </c>
      <c r="D665" s="232" t="s">
        <v>1770</v>
      </c>
      <c r="E665" s="232" t="s">
        <v>595</v>
      </c>
      <c r="F665" s="232" t="s">
        <v>596</v>
      </c>
      <c r="G665" s="232" t="s">
        <v>1771</v>
      </c>
      <c r="K665" t="s">
        <v>2647</v>
      </c>
      <c r="L665" s="81">
        <f>+Municipios!AB666</f>
        <v>23.378986533880148</v>
      </c>
      <c r="M665" s="232">
        <v>73152</v>
      </c>
      <c r="N665" s="232" t="s">
        <v>1770</v>
      </c>
      <c r="O665" s="232" t="s">
        <v>595</v>
      </c>
      <c r="P665" s="232" t="s">
        <v>596</v>
      </c>
      <c r="Q665" s="232" t="s">
        <v>1771</v>
      </c>
      <c r="T665" t="s">
        <v>2803</v>
      </c>
      <c r="U665" s="25">
        <f>+Municipios!Z666</f>
        <v>47.460592374047259</v>
      </c>
      <c r="V665" s="232">
        <v>73152</v>
      </c>
      <c r="W665" s="232" t="s">
        <v>1770</v>
      </c>
      <c r="X665" s="232" t="s">
        <v>595</v>
      </c>
      <c r="Y665" s="232" t="s">
        <v>596</v>
      </c>
      <c r="Z665" s="232" t="s">
        <v>1771</v>
      </c>
    </row>
    <row r="666" spans="1:26">
      <c r="A666" t="s">
        <v>417</v>
      </c>
      <c r="B666" s="25">
        <f>+Municipios!Z667</f>
        <v>58.223730473100026</v>
      </c>
      <c r="C666" s="232">
        <v>20750</v>
      </c>
      <c r="D666" s="232" t="s">
        <v>1772</v>
      </c>
      <c r="E666" s="232" t="s">
        <v>893</v>
      </c>
      <c r="F666" s="232" t="s">
        <v>894</v>
      </c>
      <c r="G666" s="232" t="s">
        <v>1773</v>
      </c>
      <c r="K666" t="s">
        <v>2647</v>
      </c>
      <c r="L666" s="81">
        <f>+Municipios!AB667</f>
        <v>28.701044291938388</v>
      </c>
      <c r="M666" s="232">
        <v>20750</v>
      </c>
      <c r="N666" s="232" t="s">
        <v>1772</v>
      </c>
      <c r="O666" s="232" t="s">
        <v>893</v>
      </c>
      <c r="P666" s="232" t="s">
        <v>894</v>
      </c>
      <c r="Q666" s="232" t="s">
        <v>1773</v>
      </c>
      <c r="T666" t="s">
        <v>2803</v>
      </c>
      <c r="U666" s="25">
        <f>+Municipios!Z667</f>
        <v>58.223730473100026</v>
      </c>
      <c r="V666" s="232">
        <v>20750</v>
      </c>
      <c r="W666" s="232" t="s">
        <v>1772</v>
      </c>
      <c r="X666" s="232" t="s">
        <v>893</v>
      </c>
      <c r="Y666" s="232" t="s">
        <v>894</v>
      </c>
      <c r="Z666" s="232" t="s">
        <v>1773</v>
      </c>
    </row>
    <row r="667" spans="1:26">
      <c r="A667" t="s">
        <v>417</v>
      </c>
      <c r="B667" s="25">
        <f>+Municipios!Z668</f>
        <v>49.710885237021415</v>
      </c>
      <c r="C667" s="232">
        <v>20032</v>
      </c>
      <c r="D667" s="232" t="s">
        <v>1774</v>
      </c>
      <c r="E667" s="232" t="s">
        <v>893</v>
      </c>
      <c r="F667" s="232" t="s">
        <v>894</v>
      </c>
      <c r="G667" s="232" t="s">
        <v>1775</v>
      </c>
      <c r="K667" t="s">
        <v>2647</v>
      </c>
      <c r="L667" s="81">
        <f>+Municipios!AB668</f>
        <v>24.424499408292924</v>
      </c>
      <c r="M667" s="232">
        <v>20032</v>
      </c>
      <c r="N667" s="232" t="s">
        <v>1774</v>
      </c>
      <c r="O667" s="232" t="s">
        <v>893</v>
      </c>
      <c r="P667" s="232" t="s">
        <v>894</v>
      </c>
      <c r="Q667" s="232" t="s">
        <v>1775</v>
      </c>
      <c r="T667" t="s">
        <v>2803</v>
      </c>
      <c r="U667" s="25">
        <f>+Municipios!Z668</f>
        <v>49.710885237021415</v>
      </c>
      <c r="V667" s="232">
        <v>20032</v>
      </c>
      <c r="W667" s="232" t="s">
        <v>1774</v>
      </c>
      <c r="X667" s="232" t="s">
        <v>893</v>
      </c>
      <c r="Y667" s="232" t="s">
        <v>894</v>
      </c>
      <c r="Z667" s="232" t="s">
        <v>1775</v>
      </c>
    </row>
    <row r="668" spans="1:26">
      <c r="A668" t="s">
        <v>417</v>
      </c>
      <c r="B668" s="25">
        <f>+Municipios!Z669</f>
        <v>53.640440603365597</v>
      </c>
      <c r="C668" s="232">
        <v>73055</v>
      </c>
      <c r="D668" s="232" t="s">
        <v>1776</v>
      </c>
      <c r="E668" s="232" t="s">
        <v>595</v>
      </c>
      <c r="F668" s="232" t="s">
        <v>596</v>
      </c>
      <c r="G668" s="232" t="s">
        <v>1777</v>
      </c>
      <c r="K668" t="s">
        <v>2647</v>
      </c>
      <c r="L668" s="81">
        <f>+Municipios!AB669</f>
        <v>26.2150470993647</v>
      </c>
      <c r="M668" s="232">
        <v>73055</v>
      </c>
      <c r="N668" s="232" t="s">
        <v>1776</v>
      </c>
      <c r="O668" s="232" t="s">
        <v>595</v>
      </c>
      <c r="P668" s="232" t="s">
        <v>596</v>
      </c>
      <c r="Q668" s="232" t="s">
        <v>1777</v>
      </c>
      <c r="T668" t="s">
        <v>2803</v>
      </c>
      <c r="U668" s="25">
        <f>+Municipios!Z669</f>
        <v>53.640440603365597</v>
      </c>
      <c r="V668" s="232">
        <v>73055</v>
      </c>
      <c r="W668" s="232" t="s">
        <v>1776</v>
      </c>
      <c r="X668" s="232" t="s">
        <v>595</v>
      </c>
      <c r="Y668" s="232" t="s">
        <v>596</v>
      </c>
      <c r="Z668" s="232" t="s">
        <v>1777</v>
      </c>
    </row>
    <row r="669" spans="1:26">
      <c r="A669" t="s">
        <v>417</v>
      </c>
      <c r="B669" s="25">
        <f>+Municipios!Z670</f>
        <v>44.358607716275856</v>
      </c>
      <c r="C669" s="232">
        <v>5658</v>
      </c>
      <c r="D669" s="232" t="s">
        <v>1778</v>
      </c>
      <c r="E669" s="232" t="s">
        <v>435</v>
      </c>
      <c r="F669" s="232" t="s">
        <v>436</v>
      </c>
      <c r="G669" s="232" t="s">
        <v>1779</v>
      </c>
      <c r="K669" t="s">
        <v>2647</v>
      </c>
      <c r="L669" s="81">
        <f>+Municipios!AB670</f>
        <v>21.907976768695949</v>
      </c>
      <c r="M669" s="232">
        <v>5658</v>
      </c>
      <c r="N669" s="232" t="s">
        <v>1778</v>
      </c>
      <c r="O669" s="232" t="s">
        <v>435</v>
      </c>
      <c r="P669" s="232" t="s">
        <v>436</v>
      </c>
      <c r="Q669" s="232" t="s">
        <v>1779</v>
      </c>
      <c r="T669" t="s">
        <v>2803</v>
      </c>
      <c r="U669" s="25">
        <f>+Municipios!Z670</f>
        <v>44.358607716275856</v>
      </c>
      <c r="V669" s="232">
        <v>5658</v>
      </c>
      <c r="W669" s="232" t="s">
        <v>1778</v>
      </c>
      <c r="X669" s="232" t="s">
        <v>435</v>
      </c>
      <c r="Y669" s="232" t="s">
        <v>436</v>
      </c>
      <c r="Z669" s="232" t="s">
        <v>1779</v>
      </c>
    </row>
    <row r="670" spans="1:26">
      <c r="A670" t="s">
        <v>417</v>
      </c>
      <c r="B670" s="25">
        <f>+Municipios!Z671</f>
        <v>51.709253805262648</v>
      </c>
      <c r="C670" s="232">
        <v>73624</v>
      </c>
      <c r="D670" s="232" t="s">
        <v>1780</v>
      </c>
      <c r="E670" s="232" t="s">
        <v>595</v>
      </c>
      <c r="F670" s="232" t="s">
        <v>596</v>
      </c>
      <c r="G670" s="232" t="s">
        <v>1781</v>
      </c>
      <c r="K670" t="s">
        <v>2647</v>
      </c>
      <c r="L670" s="81">
        <f>+Municipios!AB671</f>
        <v>25.320877595704516</v>
      </c>
      <c r="M670" s="232">
        <v>73624</v>
      </c>
      <c r="N670" s="232" t="s">
        <v>1780</v>
      </c>
      <c r="O670" s="232" t="s">
        <v>595</v>
      </c>
      <c r="P670" s="232" t="s">
        <v>596</v>
      </c>
      <c r="Q670" s="232" t="s">
        <v>1781</v>
      </c>
      <c r="T670" t="s">
        <v>2803</v>
      </c>
      <c r="U670" s="25">
        <f>+Municipios!Z671</f>
        <v>51.709253805262648</v>
      </c>
      <c r="V670" s="232">
        <v>73624</v>
      </c>
      <c r="W670" s="232" t="s">
        <v>1780</v>
      </c>
      <c r="X670" s="232" t="s">
        <v>595</v>
      </c>
      <c r="Y670" s="232" t="s">
        <v>596</v>
      </c>
      <c r="Z670" s="232" t="s">
        <v>1781</v>
      </c>
    </row>
    <row r="671" spans="1:26">
      <c r="A671" t="s">
        <v>417</v>
      </c>
      <c r="B671" s="25">
        <f>+Municipios!Z672</f>
        <v>45.855035144383947</v>
      </c>
      <c r="C671" s="232">
        <v>13212</v>
      </c>
      <c r="D671" s="232" t="s">
        <v>1782</v>
      </c>
      <c r="E671" s="232" t="s">
        <v>480</v>
      </c>
      <c r="F671" s="232" t="s">
        <v>481</v>
      </c>
      <c r="G671" s="232" t="s">
        <v>568</v>
      </c>
      <c r="K671" t="s">
        <v>2647</v>
      </c>
      <c r="L671" s="81">
        <f>+Municipios!AB672</f>
        <v>22.511474378615372</v>
      </c>
      <c r="M671" s="232">
        <v>13212</v>
      </c>
      <c r="N671" s="232" t="s">
        <v>1782</v>
      </c>
      <c r="O671" s="232" t="s">
        <v>480</v>
      </c>
      <c r="P671" s="232" t="s">
        <v>481</v>
      </c>
      <c r="Q671" s="232" t="s">
        <v>568</v>
      </c>
      <c r="T671" t="s">
        <v>2803</v>
      </c>
      <c r="U671" s="25">
        <f>+Municipios!Z672</f>
        <v>45.855035144383947</v>
      </c>
      <c r="V671" s="232">
        <v>13212</v>
      </c>
      <c r="W671" s="232" t="s">
        <v>1782</v>
      </c>
      <c r="X671" s="232" t="s">
        <v>480</v>
      </c>
      <c r="Y671" s="232" t="s">
        <v>481</v>
      </c>
      <c r="Z671" s="232" t="s">
        <v>568</v>
      </c>
    </row>
    <row r="672" spans="1:26">
      <c r="A672" t="s">
        <v>417</v>
      </c>
      <c r="B672" s="25">
        <f>+Municipios!Z673</f>
        <v>60.54418122205648</v>
      </c>
      <c r="C672" s="232">
        <v>5756</v>
      </c>
      <c r="D672" s="232" t="s">
        <v>1783</v>
      </c>
      <c r="E672" s="232" t="s">
        <v>435</v>
      </c>
      <c r="F672" s="232" t="s">
        <v>436</v>
      </c>
      <c r="G672" s="232" t="s">
        <v>1784</v>
      </c>
      <c r="K672" t="s">
        <v>2647</v>
      </c>
      <c r="L672" s="81">
        <f>+Municipios!AB673</f>
        <v>29.694176450432515</v>
      </c>
      <c r="M672" s="232">
        <v>5756</v>
      </c>
      <c r="N672" s="232" t="s">
        <v>1783</v>
      </c>
      <c r="O672" s="232" t="s">
        <v>435</v>
      </c>
      <c r="P672" s="232" t="s">
        <v>436</v>
      </c>
      <c r="Q672" s="232" t="s">
        <v>1784</v>
      </c>
      <c r="T672" t="s">
        <v>2803</v>
      </c>
      <c r="U672" s="25">
        <f>+Municipios!Z673</f>
        <v>60.54418122205648</v>
      </c>
      <c r="V672" s="232">
        <v>5756</v>
      </c>
      <c r="W672" s="232" t="s">
        <v>1783</v>
      </c>
      <c r="X672" s="232" t="s">
        <v>435</v>
      </c>
      <c r="Y672" s="232" t="s">
        <v>436</v>
      </c>
      <c r="Z672" s="232" t="s">
        <v>1784</v>
      </c>
    </row>
    <row r="673" spans="1:26">
      <c r="A673" t="s">
        <v>417</v>
      </c>
      <c r="B673" s="25">
        <f>+Municipios!Z674</f>
        <v>56.844756568478076</v>
      </c>
      <c r="C673" s="232">
        <v>73030</v>
      </c>
      <c r="D673" s="232" t="s">
        <v>1785</v>
      </c>
      <c r="E673" s="232" t="s">
        <v>595</v>
      </c>
      <c r="F673" s="232" t="s">
        <v>596</v>
      </c>
      <c r="G673" s="232" t="s">
        <v>1786</v>
      </c>
      <c r="K673" t="s">
        <v>2647</v>
      </c>
      <c r="L673" s="81">
        <f>+Municipios!AB674</f>
        <v>27.77543040316905</v>
      </c>
      <c r="M673" s="232">
        <v>73030</v>
      </c>
      <c r="N673" s="232" t="s">
        <v>1785</v>
      </c>
      <c r="O673" s="232" t="s">
        <v>595</v>
      </c>
      <c r="P673" s="232" t="s">
        <v>596</v>
      </c>
      <c r="Q673" s="232" t="s">
        <v>1786</v>
      </c>
      <c r="T673" t="s">
        <v>2803</v>
      </c>
      <c r="U673" s="25">
        <f>+Municipios!Z674</f>
        <v>56.844756568478076</v>
      </c>
      <c r="V673" s="232">
        <v>73030</v>
      </c>
      <c r="W673" s="232" t="s">
        <v>1785</v>
      </c>
      <c r="X673" s="232" t="s">
        <v>595</v>
      </c>
      <c r="Y673" s="232" t="s">
        <v>596</v>
      </c>
      <c r="Z673" s="232" t="s">
        <v>1786</v>
      </c>
    </row>
    <row r="674" spans="1:26">
      <c r="A674" t="s">
        <v>417</v>
      </c>
      <c r="B674" s="25">
        <f>+Municipios!Z675</f>
        <v>50.273705547504136</v>
      </c>
      <c r="C674" s="232">
        <v>15276</v>
      </c>
      <c r="D674" s="232" t="s">
        <v>1787</v>
      </c>
      <c r="E674" s="232" t="s">
        <v>498</v>
      </c>
      <c r="F674" s="232" t="s">
        <v>499</v>
      </c>
      <c r="G674" s="232" t="s">
        <v>1788</v>
      </c>
      <c r="K674" t="s">
        <v>2647</v>
      </c>
      <c r="L674" s="81">
        <f>+Municipios!AB675</f>
        <v>24.745949538520374</v>
      </c>
      <c r="M674" s="232">
        <v>15276</v>
      </c>
      <c r="N674" s="232" t="s">
        <v>1787</v>
      </c>
      <c r="O674" s="232" t="s">
        <v>498</v>
      </c>
      <c r="P674" s="232" t="s">
        <v>499</v>
      </c>
      <c r="Q674" s="232" t="s">
        <v>1788</v>
      </c>
      <c r="T674" t="s">
        <v>2803</v>
      </c>
      <c r="U674" s="25">
        <f>+Municipios!Z675</f>
        <v>50.273705547504136</v>
      </c>
      <c r="V674" s="232">
        <v>15276</v>
      </c>
      <c r="W674" s="232" t="s">
        <v>1787</v>
      </c>
      <c r="X674" s="232" t="s">
        <v>498</v>
      </c>
      <c r="Y674" s="232" t="s">
        <v>499</v>
      </c>
      <c r="Z674" s="232" t="s">
        <v>1788</v>
      </c>
    </row>
    <row r="675" spans="1:26">
      <c r="A675" t="s">
        <v>417</v>
      </c>
      <c r="B675" s="25">
        <f>+Municipios!Z676</f>
        <v>54.929984680421676</v>
      </c>
      <c r="C675" s="232">
        <v>76126</v>
      </c>
      <c r="D675" s="232" t="s">
        <v>1789</v>
      </c>
      <c r="E675" s="232" t="s">
        <v>454</v>
      </c>
      <c r="F675" s="232" t="s">
        <v>455</v>
      </c>
      <c r="G675" s="232" t="s">
        <v>1790</v>
      </c>
      <c r="K675" t="s">
        <v>2647</v>
      </c>
      <c r="L675" s="81">
        <f>+Municipios!AB676</f>
        <v>26.791279430204217</v>
      </c>
      <c r="M675" s="232">
        <v>76126</v>
      </c>
      <c r="N675" s="232" t="s">
        <v>1789</v>
      </c>
      <c r="O675" s="232" t="s">
        <v>454</v>
      </c>
      <c r="P675" s="232" t="s">
        <v>455</v>
      </c>
      <c r="Q675" s="232" t="s">
        <v>1790</v>
      </c>
      <c r="T675" t="s">
        <v>2803</v>
      </c>
      <c r="U675" s="25">
        <f>+Municipios!Z676</f>
        <v>54.929984680421676</v>
      </c>
      <c r="V675" s="232">
        <v>76126</v>
      </c>
      <c r="W675" s="232" t="s">
        <v>1789</v>
      </c>
      <c r="X675" s="232" t="s">
        <v>454</v>
      </c>
      <c r="Y675" s="232" t="s">
        <v>455</v>
      </c>
      <c r="Z675" s="232" t="s">
        <v>1790</v>
      </c>
    </row>
    <row r="676" spans="1:26">
      <c r="A676" t="s">
        <v>417</v>
      </c>
      <c r="B676" s="25">
        <f>+Municipios!Z677</f>
        <v>62.874112574109994</v>
      </c>
      <c r="C676" s="232">
        <v>47058</v>
      </c>
      <c r="D676" s="232" t="s">
        <v>1791</v>
      </c>
      <c r="E676" s="232" t="s">
        <v>638</v>
      </c>
      <c r="F676" s="232" t="s">
        <v>639</v>
      </c>
      <c r="G676" s="232" t="s">
        <v>1792</v>
      </c>
      <c r="K676" t="s">
        <v>2647</v>
      </c>
      <c r="L676" s="81">
        <f>+Municipios!AB677</f>
        <v>30.794556773821274</v>
      </c>
      <c r="M676" s="232">
        <v>47058</v>
      </c>
      <c r="N676" s="232" t="s">
        <v>1791</v>
      </c>
      <c r="O676" s="232" t="s">
        <v>638</v>
      </c>
      <c r="P676" s="232" t="s">
        <v>639</v>
      </c>
      <c r="Q676" s="232" t="s">
        <v>1792</v>
      </c>
      <c r="T676" t="s">
        <v>2803</v>
      </c>
      <c r="U676" s="25">
        <f>+Municipios!Z677</f>
        <v>62.874112574109994</v>
      </c>
      <c r="V676" s="232">
        <v>47058</v>
      </c>
      <c r="W676" s="232" t="s">
        <v>1791</v>
      </c>
      <c r="X676" s="232" t="s">
        <v>638</v>
      </c>
      <c r="Y676" s="232" t="s">
        <v>639</v>
      </c>
      <c r="Z676" s="232" t="s">
        <v>1792</v>
      </c>
    </row>
    <row r="677" spans="1:26">
      <c r="A677" t="s">
        <v>417</v>
      </c>
      <c r="B677" s="25">
        <f>+Municipios!Z678</f>
        <v>55.170413893699433</v>
      </c>
      <c r="C677" s="232">
        <v>15106</v>
      </c>
      <c r="D677" s="232" t="s">
        <v>1793</v>
      </c>
      <c r="E677" s="232" t="s">
        <v>498</v>
      </c>
      <c r="F677" s="232" t="s">
        <v>499</v>
      </c>
      <c r="G677" s="232" t="s">
        <v>1794</v>
      </c>
      <c r="K677" t="s">
        <v>2647</v>
      </c>
      <c r="L677" s="81">
        <f>+Municipios!AB678</f>
        <v>26.922335927183411</v>
      </c>
      <c r="M677" s="232">
        <v>15106</v>
      </c>
      <c r="N677" s="232" t="s">
        <v>1793</v>
      </c>
      <c r="O677" s="232" t="s">
        <v>498</v>
      </c>
      <c r="P677" s="232" t="s">
        <v>499</v>
      </c>
      <c r="Q677" s="232" t="s">
        <v>1794</v>
      </c>
      <c r="T677" t="s">
        <v>2803</v>
      </c>
      <c r="U677" s="25">
        <f>+Municipios!Z678</f>
        <v>55.170413893699433</v>
      </c>
      <c r="V677" s="232">
        <v>15106</v>
      </c>
      <c r="W677" s="232" t="s">
        <v>1793</v>
      </c>
      <c r="X677" s="232" t="s">
        <v>498</v>
      </c>
      <c r="Y677" s="232" t="s">
        <v>499</v>
      </c>
      <c r="Z677" s="232" t="s">
        <v>1794</v>
      </c>
    </row>
    <row r="678" spans="1:26">
      <c r="A678" t="s">
        <v>417</v>
      </c>
      <c r="B678" s="25">
        <f>+Municipios!Z679</f>
        <v>68.316260221453419</v>
      </c>
      <c r="C678" s="232">
        <v>25662</v>
      </c>
      <c r="D678" s="232" t="s">
        <v>1795</v>
      </c>
      <c r="E678" s="232" t="s">
        <v>461</v>
      </c>
      <c r="F678" s="232" t="s">
        <v>462</v>
      </c>
      <c r="G678" s="232" t="s">
        <v>1796</v>
      </c>
      <c r="K678" t="s">
        <v>2647</v>
      </c>
      <c r="L678" s="81">
        <f>+Municipios!AB679</f>
        <v>33.335833492090607</v>
      </c>
      <c r="M678" s="232">
        <v>25662</v>
      </c>
      <c r="N678" s="232" t="s">
        <v>1795</v>
      </c>
      <c r="O678" s="232" t="s">
        <v>461</v>
      </c>
      <c r="P678" s="232" t="s">
        <v>462</v>
      </c>
      <c r="Q678" s="232" t="s">
        <v>1796</v>
      </c>
      <c r="T678" t="s">
        <v>2803</v>
      </c>
      <c r="U678" s="25">
        <f>+Municipios!Z679</f>
        <v>68.316260221453419</v>
      </c>
      <c r="V678" s="232">
        <v>25662</v>
      </c>
      <c r="W678" s="232" t="s">
        <v>1795</v>
      </c>
      <c r="X678" s="232" t="s">
        <v>461</v>
      </c>
      <c r="Y678" s="232" t="s">
        <v>462</v>
      </c>
      <c r="Z678" s="232" t="s">
        <v>1796</v>
      </c>
    </row>
    <row r="679" spans="1:26">
      <c r="A679" t="s">
        <v>417</v>
      </c>
      <c r="B679" s="25">
        <f>+Municipios!Z680</f>
        <v>70.891827835492592</v>
      </c>
      <c r="C679" s="232">
        <v>15511</v>
      </c>
      <c r="D679" s="232" t="s">
        <v>1797</v>
      </c>
      <c r="E679" s="232" t="s">
        <v>498</v>
      </c>
      <c r="F679" s="232" t="s">
        <v>499</v>
      </c>
      <c r="G679" s="232" t="s">
        <v>1798</v>
      </c>
      <c r="K679" t="s">
        <v>2647</v>
      </c>
      <c r="L679" s="81">
        <f>+Municipios!AB680</f>
        <v>34.714757505009715</v>
      </c>
      <c r="M679" s="232">
        <v>15511</v>
      </c>
      <c r="N679" s="232" t="s">
        <v>1797</v>
      </c>
      <c r="O679" s="232" t="s">
        <v>498</v>
      </c>
      <c r="P679" s="232" t="s">
        <v>499</v>
      </c>
      <c r="Q679" s="232" t="s">
        <v>1798</v>
      </c>
      <c r="T679" t="s">
        <v>2803</v>
      </c>
      <c r="U679" s="25">
        <f>+Municipios!Z680</f>
        <v>70.891827835492592</v>
      </c>
      <c r="V679" s="232">
        <v>15511</v>
      </c>
      <c r="W679" s="232" t="s">
        <v>1797</v>
      </c>
      <c r="X679" s="232" t="s">
        <v>498</v>
      </c>
      <c r="Y679" s="232" t="s">
        <v>499</v>
      </c>
      <c r="Z679" s="232" t="s">
        <v>1798</v>
      </c>
    </row>
    <row r="680" spans="1:26">
      <c r="A680" t="s">
        <v>417</v>
      </c>
      <c r="B680" s="25">
        <f>+Municipios!Z681</f>
        <v>48.782021676142406</v>
      </c>
      <c r="C680" s="232">
        <v>5055</v>
      </c>
      <c r="D680" s="232" t="s">
        <v>1799</v>
      </c>
      <c r="E680" s="232" t="s">
        <v>435</v>
      </c>
      <c r="F680" s="232" t="s">
        <v>436</v>
      </c>
      <c r="G680" s="232" t="s">
        <v>1236</v>
      </c>
      <c r="K680" t="s">
        <v>2647</v>
      </c>
      <c r="L680" s="81">
        <f>+Municipios!AB681</f>
        <v>23.84703132497134</v>
      </c>
      <c r="M680" s="232">
        <v>5055</v>
      </c>
      <c r="N680" s="232" t="s">
        <v>1799</v>
      </c>
      <c r="O680" s="232" t="s">
        <v>435</v>
      </c>
      <c r="P680" s="232" t="s">
        <v>436</v>
      </c>
      <c r="Q680" s="232" t="s">
        <v>1236</v>
      </c>
      <c r="T680" t="s">
        <v>2803</v>
      </c>
      <c r="U680" s="25">
        <f>+Municipios!Z681</f>
        <v>48.782021676142406</v>
      </c>
      <c r="V680" s="232">
        <v>5055</v>
      </c>
      <c r="W680" s="232" t="s">
        <v>1799</v>
      </c>
      <c r="X680" s="232" t="s">
        <v>435</v>
      </c>
      <c r="Y680" s="232" t="s">
        <v>436</v>
      </c>
      <c r="Z680" s="232" t="s">
        <v>1236</v>
      </c>
    </row>
    <row r="681" spans="1:26">
      <c r="A681" t="s">
        <v>417</v>
      </c>
      <c r="B681" s="25">
        <f>+Municipios!Z682</f>
        <v>57.510595730055442</v>
      </c>
      <c r="C681" s="232">
        <v>15522</v>
      </c>
      <c r="D681" s="232" t="s">
        <v>1800</v>
      </c>
      <c r="E681" s="232" t="s">
        <v>498</v>
      </c>
      <c r="F681" s="232" t="s">
        <v>499</v>
      </c>
      <c r="G681" s="232" t="s">
        <v>1801</v>
      </c>
      <c r="K681" t="s">
        <v>2647</v>
      </c>
      <c r="L681" s="81">
        <f>+Municipios!AB682</f>
        <v>28.125889228297098</v>
      </c>
      <c r="M681" s="232">
        <v>15522</v>
      </c>
      <c r="N681" s="232" t="s">
        <v>1800</v>
      </c>
      <c r="O681" s="232" t="s">
        <v>498</v>
      </c>
      <c r="P681" s="232" t="s">
        <v>499</v>
      </c>
      <c r="Q681" s="232" t="s">
        <v>1801</v>
      </c>
      <c r="T681" t="s">
        <v>2803</v>
      </c>
      <c r="U681" s="25">
        <f>+Municipios!Z682</f>
        <v>57.510595730055442</v>
      </c>
      <c r="V681" s="232">
        <v>15522</v>
      </c>
      <c r="W681" s="232" t="s">
        <v>1800</v>
      </c>
      <c r="X681" s="232" t="s">
        <v>498</v>
      </c>
      <c r="Y681" s="232" t="s">
        <v>499</v>
      </c>
      <c r="Z681" s="232" t="s">
        <v>1801</v>
      </c>
    </row>
    <row r="682" spans="1:26">
      <c r="A682" t="s">
        <v>417</v>
      </c>
      <c r="B682" s="25">
        <f>+Municipios!Z683</f>
        <v>53.174253025418423</v>
      </c>
      <c r="C682" s="232">
        <v>68255</v>
      </c>
      <c r="D682" s="232" t="s">
        <v>1802</v>
      </c>
      <c r="E682" s="232" t="s">
        <v>431</v>
      </c>
      <c r="F682" s="232" t="s">
        <v>432</v>
      </c>
      <c r="G682" s="232" t="s">
        <v>1803</v>
      </c>
      <c r="K682" t="s">
        <v>2647</v>
      </c>
      <c r="L682" s="81">
        <f>+Municipios!AB683</f>
        <v>25.681255144198854</v>
      </c>
      <c r="M682" s="232">
        <v>68255</v>
      </c>
      <c r="N682" s="232" t="s">
        <v>1802</v>
      </c>
      <c r="O682" s="232" t="s">
        <v>431</v>
      </c>
      <c r="P682" s="232" t="s">
        <v>432</v>
      </c>
      <c r="Q682" s="232" t="s">
        <v>1803</v>
      </c>
      <c r="T682" t="s">
        <v>2803</v>
      </c>
      <c r="U682" s="25">
        <f>+Municipios!Z683</f>
        <v>53.174253025418423</v>
      </c>
      <c r="V682" s="232">
        <v>68255</v>
      </c>
      <c r="W682" s="232" t="s">
        <v>1802</v>
      </c>
      <c r="X682" s="232" t="s">
        <v>431</v>
      </c>
      <c r="Y682" s="232" t="s">
        <v>432</v>
      </c>
      <c r="Z682" s="232" t="s">
        <v>1803</v>
      </c>
    </row>
    <row r="683" spans="1:26">
      <c r="A683" t="s">
        <v>417</v>
      </c>
      <c r="B683" s="25">
        <f>+Municipios!Z684</f>
        <v>48.543945740151926</v>
      </c>
      <c r="C683" s="232">
        <v>47053</v>
      </c>
      <c r="D683" s="232" t="s">
        <v>1804</v>
      </c>
      <c r="E683" s="232" t="s">
        <v>638</v>
      </c>
      <c r="F683" s="232" t="s">
        <v>639</v>
      </c>
      <c r="G683" s="232" t="s">
        <v>1805</v>
      </c>
      <c r="K683" t="s">
        <v>2647</v>
      </c>
      <c r="L683" s="81">
        <f>+Municipios!AB684</f>
        <v>23.696903777253901</v>
      </c>
      <c r="M683" s="232">
        <v>47053</v>
      </c>
      <c r="N683" s="232" t="s">
        <v>1804</v>
      </c>
      <c r="O683" s="232" t="s">
        <v>638</v>
      </c>
      <c r="P683" s="232" t="s">
        <v>639</v>
      </c>
      <c r="Q683" s="232" t="s">
        <v>1805</v>
      </c>
      <c r="T683" t="s">
        <v>2803</v>
      </c>
      <c r="U683" s="25">
        <f>+Municipios!Z684</f>
        <v>48.543945740151926</v>
      </c>
      <c r="V683" s="232">
        <v>47053</v>
      </c>
      <c r="W683" s="232" t="s">
        <v>1804</v>
      </c>
      <c r="X683" s="232" t="s">
        <v>638</v>
      </c>
      <c r="Y683" s="232" t="s">
        <v>639</v>
      </c>
      <c r="Z683" s="232" t="s">
        <v>1805</v>
      </c>
    </row>
    <row r="684" spans="1:26">
      <c r="A684" t="s">
        <v>417</v>
      </c>
      <c r="B684" s="25">
        <f>+Municipios!Z685</f>
        <v>55.56308873451917</v>
      </c>
      <c r="C684" s="232">
        <v>52110</v>
      </c>
      <c r="D684" s="232" t="s">
        <v>1806</v>
      </c>
      <c r="E684" s="232" t="s">
        <v>672</v>
      </c>
      <c r="F684" s="232" t="s">
        <v>673</v>
      </c>
      <c r="G684" s="232" t="s">
        <v>1807</v>
      </c>
      <c r="K684" t="s">
        <v>2647</v>
      </c>
      <c r="L684" s="81">
        <f>+Municipios!AB685</f>
        <v>27.122067287582826</v>
      </c>
      <c r="M684" s="232">
        <v>52110</v>
      </c>
      <c r="N684" s="232" t="s">
        <v>1806</v>
      </c>
      <c r="O684" s="232" t="s">
        <v>672</v>
      </c>
      <c r="P684" s="232" t="s">
        <v>673</v>
      </c>
      <c r="Q684" s="232" t="s">
        <v>1807</v>
      </c>
      <c r="T684" t="s">
        <v>2803</v>
      </c>
      <c r="U684" s="25">
        <f>+Municipios!Z685</f>
        <v>55.56308873451917</v>
      </c>
      <c r="V684" s="232">
        <v>52110</v>
      </c>
      <c r="W684" s="232" t="s">
        <v>1806</v>
      </c>
      <c r="X684" s="232" t="s">
        <v>672</v>
      </c>
      <c r="Y684" s="232" t="s">
        <v>673</v>
      </c>
      <c r="Z684" s="232" t="s">
        <v>1807</v>
      </c>
    </row>
    <row r="685" spans="1:26">
      <c r="A685" t="s">
        <v>417</v>
      </c>
      <c r="B685" s="25">
        <f>+Municipios!Z686</f>
        <v>58.278828125389438</v>
      </c>
      <c r="C685" s="232">
        <v>20614</v>
      </c>
      <c r="D685" s="232" t="s">
        <v>1808</v>
      </c>
      <c r="E685" s="232" t="s">
        <v>893</v>
      </c>
      <c r="F685" s="232" t="s">
        <v>894</v>
      </c>
      <c r="G685" s="232" t="s">
        <v>1809</v>
      </c>
      <c r="K685" t="s">
        <v>2647</v>
      </c>
      <c r="L685" s="81">
        <f>+Municipios!AB686</f>
        <v>28.427261141346804</v>
      </c>
      <c r="M685" s="232">
        <v>20614</v>
      </c>
      <c r="N685" s="232" t="s">
        <v>1808</v>
      </c>
      <c r="O685" s="232" t="s">
        <v>893</v>
      </c>
      <c r="P685" s="232" t="s">
        <v>894</v>
      </c>
      <c r="Q685" s="232" t="s">
        <v>1809</v>
      </c>
      <c r="T685" t="s">
        <v>2803</v>
      </c>
      <c r="U685" s="25">
        <f>+Municipios!Z686</f>
        <v>58.278828125389438</v>
      </c>
      <c r="V685" s="232">
        <v>20614</v>
      </c>
      <c r="W685" s="232" t="s">
        <v>1808</v>
      </c>
      <c r="X685" s="232" t="s">
        <v>893</v>
      </c>
      <c r="Y685" s="232" t="s">
        <v>894</v>
      </c>
      <c r="Z685" s="232" t="s">
        <v>1809</v>
      </c>
    </row>
    <row r="686" spans="1:26">
      <c r="A686" t="s">
        <v>417</v>
      </c>
      <c r="B686" s="25">
        <f>+Municipios!Z687</f>
        <v>44.246889000264744</v>
      </c>
      <c r="C686" s="232">
        <v>47798</v>
      </c>
      <c r="D686" s="232" t="s">
        <v>1810</v>
      </c>
      <c r="E686" s="232" t="s">
        <v>638</v>
      </c>
      <c r="F686" s="232" t="s">
        <v>639</v>
      </c>
      <c r="G686" s="232" t="s">
        <v>1811</v>
      </c>
      <c r="K686" t="s">
        <v>2647</v>
      </c>
      <c r="L686" s="81">
        <f>+Municipios!AB687</f>
        <v>21.582526953759629</v>
      </c>
      <c r="M686" s="232">
        <v>47798</v>
      </c>
      <c r="N686" s="232" t="s">
        <v>1810</v>
      </c>
      <c r="O686" s="232" t="s">
        <v>638</v>
      </c>
      <c r="P686" s="232" t="s">
        <v>639</v>
      </c>
      <c r="Q686" s="232" t="s">
        <v>1811</v>
      </c>
      <c r="T686" t="s">
        <v>2803</v>
      </c>
      <c r="U686" s="25">
        <f>+Municipios!Z687</f>
        <v>44.246889000264744</v>
      </c>
      <c r="V686" s="232">
        <v>47798</v>
      </c>
      <c r="W686" s="232" t="s">
        <v>1810</v>
      </c>
      <c r="X686" s="232" t="s">
        <v>638</v>
      </c>
      <c r="Y686" s="232" t="s">
        <v>639</v>
      </c>
      <c r="Z686" s="232" t="s">
        <v>1811</v>
      </c>
    </row>
    <row r="687" spans="1:26">
      <c r="A687" t="s">
        <v>417</v>
      </c>
      <c r="B687" s="25">
        <f>+Municipios!Z688</f>
        <v>52.336046142366385</v>
      </c>
      <c r="C687" s="232">
        <v>20787</v>
      </c>
      <c r="D687" s="232" t="s">
        <v>1812</v>
      </c>
      <c r="E687" s="232" t="s">
        <v>893</v>
      </c>
      <c r="F687" s="232" t="s">
        <v>894</v>
      </c>
      <c r="G687" s="232" t="s">
        <v>1813</v>
      </c>
      <c r="K687" t="s">
        <v>2647</v>
      </c>
      <c r="L687" s="81">
        <f>+Municipios!AB688</f>
        <v>25.527259329000504</v>
      </c>
      <c r="M687" s="232">
        <v>20787</v>
      </c>
      <c r="N687" s="232" t="s">
        <v>1812</v>
      </c>
      <c r="O687" s="232" t="s">
        <v>893</v>
      </c>
      <c r="P687" s="232" t="s">
        <v>894</v>
      </c>
      <c r="Q687" s="232" t="s">
        <v>1813</v>
      </c>
      <c r="T687" t="s">
        <v>2803</v>
      </c>
      <c r="U687" s="25">
        <f>+Municipios!Z688</f>
        <v>52.336046142366385</v>
      </c>
      <c r="V687" s="232">
        <v>20787</v>
      </c>
      <c r="W687" s="232" t="s">
        <v>1812</v>
      </c>
      <c r="X687" s="232" t="s">
        <v>893</v>
      </c>
      <c r="Y687" s="232" t="s">
        <v>894</v>
      </c>
      <c r="Z687" s="232" t="s">
        <v>1813</v>
      </c>
    </row>
    <row r="688" spans="1:26">
      <c r="A688" t="s">
        <v>417</v>
      </c>
      <c r="B688" s="25">
        <f>+Municipios!Z689</f>
        <v>51.084979497492597</v>
      </c>
      <c r="C688" s="232">
        <v>73026</v>
      </c>
      <c r="D688" s="232" t="s">
        <v>1814</v>
      </c>
      <c r="E688" s="232" t="s">
        <v>595</v>
      </c>
      <c r="F688" s="232" t="s">
        <v>596</v>
      </c>
      <c r="G688" s="232" t="s">
        <v>1815</v>
      </c>
      <c r="K688" t="s">
        <v>2647</v>
      </c>
      <c r="L688" s="81">
        <f>+Municipios!AB689</f>
        <v>24.798777075790667</v>
      </c>
      <c r="M688" s="232">
        <v>73026</v>
      </c>
      <c r="N688" s="232" t="s">
        <v>1814</v>
      </c>
      <c r="O688" s="232" t="s">
        <v>595</v>
      </c>
      <c r="P688" s="232" t="s">
        <v>596</v>
      </c>
      <c r="Q688" s="232" t="s">
        <v>1815</v>
      </c>
      <c r="T688" t="s">
        <v>2803</v>
      </c>
      <c r="U688" s="25">
        <f>+Municipios!Z689</f>
        <v>51.084979497492597</v>
      </c>
      <c r="V688" s="232">
        <v>73026</v>
      </c>
      <c r="W688" s="232" t="s">
        <v>1814</v>
      </c>
      <c r="X688" s="232" t="s">
        <v>595</v>
      </c>
      <c r="Y688" s="232" t="s">
        <v>596</v>
      </c>
      <c r="Z688" s="232" t="s">
        <v>1815</v>
      </c>
    </row>
    <row r="689" spans="1:26">
      <c r="A689" t="s">
        <v>417</v>
      </c>
      <c r="B689" s="25">
        <f>+Municipios!Z690</f>
        <v>69.728523928672118</v>
      </c>
      <c r="C689" s="232">
        <v>15681</v>
      </c>
      <c r="D689" s="232" t="s">
        <v>1816</v>
      </c>
      <c r="E689" s="232" t="s">
        <v>498</v>
      </c>
      <c r="F689" s="232" t="s">
        <v>499</v>
      </c>
      <c r="G689" s="232" t="s">
        <v>1817</v>
      </c>
      <c r="K689" t="s">
        <v>2647</v>
      </c>
      <c r="L689" s="81">
        <f>+Municipios!AB690</f>
        <v>33.867135445093041</v>
      </c>
      <c r="M689" s="232">
        <v>15681</v>
      </c>
      <c r="N689" s="232" t="s">
        <v>1816</v>
      </c>
      <c r="O689" s="232" t="s">
        <v>498</v>
      </c>
      <c r="P689" s="232" t="s">
        <v>499</v>
      </c>
      <c r="Q689" s="232" t="s">
        <v>1817</v>
      </c>
      <c r="T689" t="s">
        <v>2803</v>
      </c>
      <c r="U689" s="25">
        <f>+Municipios!Z690</f>
        <v>69.728523928672118</v>
      </c>
      <c r="V689" s="232">
        <v>15681</v>
      </c>
      <c r="W689" s="232" t="s">
        <v>1816</v>
      </c>
      <c r="X689" s="232" t="s">
        <v>498</v>
      </c>
      <c r="Y689" s="232" t="s">
        <v>499</v>
      </c>
      <c r="Z689" s="232" t="s">
        <v>1817</v>
      </c>
    </row>
    <row r="690" spans="1:26">
      <c r="A690" t="s">
        <v>417</v>
      </c>
      <c r="B690" s="25">
        <f>+Municipios!Z691</f>
        <v>52.850447443242203</v>
      </c>
      <c r="C690" s="232">
        <v>73854</v>
      </c>
      <c r="D690" s="232" t="s">
        <v>1818</v>
      </c>
      <c r="E690" s="232" t="s">
        <v>595</v>
      </c>
      <c r="F690" s="232" t="s">
        <v>596</v>
      </c>
      <c r="G690" s="232" t="s">
        <v>1819</v>
      </c>
      <c r="K690" t="s">
        <v>2647</v>
      </c>
      <c r="L690" s="81">
        <f>+Municipios!AB691</f>
        <v>25.658299668180451</v>
      </c>
      <c r="M690" s="232">
        <v>73854</v>
      </c>
      <c r="N690" s="232" t="s">
        <v>1818</v>
      </c>
      <c r="O690" s="232" t="s">
        <v>595</v>
      </c>
      <c r="P690" s="232" t="s">
        <v>596</v>
      </c>
      <c r="Q690" s="232" t="s">
        <v>1819</v>
      </c>
      <c r="T690" t="s">
        <v>2803</v>
      </c>
      <c r="U690" s="25">
        <f>+Municipios!Z691</f>
        <v>52.850447443242203</v>
      </c>
      <c r="V690" s="232">
        <v>73854</v>
      </c>
      <c r="W690" s="232" t="s">
        <v>1818</v>
      </c>
      <c r="X690" s="232" t="s">
        <v>595</v>
      </c>
      <c r="Y690" s="232" t="s">
        <v>596</v>
      </c>
      <c r="Z690" s="232" t="s">
        <v>1819</v>
      </c>
    </row>
    <row r="691" spans="1:26">
      <c r="A691" t="s">
        <v>417</v>
      </c>
      <c r="B691" s="25">
        <f>+Municipios!Z692</f>
        <v>60.462083765346861</v>
      </c>
      <c r="C691" s="232">
        <v>73200</v>
      </c>
      <c r="D691" s="232" t="s">
        <v>1820</v>
      </c>
      <c r="E691" s="232" t="s">
        <v>595</v>
      </c>
      <c r="F691" s="232" t="s">
        <v>596</v>
      </c>
      <c r="G691" s="232" t="s">
        <v>1821</v>
      </c>
      <c r="K691" t="s">
        <v>2647</v>
      </c>
      <c r="L691" s="81">
        <f>+Municipios!AB692</f>
        <v>29.369077735555457</v>
      </c>
      <c r="M691" s="232">
        <v>73200</v>
      </c>
      <c r="N691" s="232" t="s">
        <v>1820</v>
      </c>
      <c r="O691" s="232" t="s">
        <v>595</v>
      </c>
      <c r="P691" s="232" t="s">
        <v>596</v>
      </c>
      <c r="Q691" s="232" t="s">
        <v>1821</v>
      </c>
      <c r="T691" t="s">
        <v>2803</v>
      </c>
      <c r="U691" s="25">
        <f>+Municipios!Z692</f>
        <v>60.462083765346861</v>
      </c>
      <c r="V691" s="232">
        <v>73200</v>
      </c>
      <c r="W691" s="232" t="s">
        <v>1820</v>
      </c>
      <c r="X691" s="232" t="s">
        <v>595</v>
      </c>
      <c r="Y691" s="232" t="s">
        <v>596</v>
      </c>
      <c r="Z691" s="232" t="s">
        <v>1821</v>
      </c>
    </row>
    <row r="692" spans="1:26">
      <c r="A692" t="s">
        <v>417</v>
      </c>
      <c r="B692" s="25">
        <f>+Municipios!Z693</f>
        <v>60.533980319417196</v>
      </c>
      <c r="C692" s="232">
        <v>41378</v>
      </c>
      <c r="D692" s="232" t="s">
        <v>1822</v>
      </c>
      <c r="E692" s="232" t="s">
        <v>676</v>
      </c>
      <c r="F692" s="232" t="s">
        <v>677</v>
      </c>
      <c r="G692" s="232" t="s">
        <v>1823</v>
      </c>
      <c r="K692" t="s">
        <v>2647</v>
      </c>
      <c r="L692" s="81">
        <f>+Municipios!AB693</f>
        <v>29.497511841779943</v>
      </c>
      <c r="M692" s="232">
        <v>41378</v>
      </c>
      <c r="N692" s="232" t="s">
        <v>1822</v>
      </c>
      <c r="O692" s="232" t="s">
        <v>676</v>
      </c>
      <c r="P692" s="232" t="s">
        <v>677</v>
      </c>
      <c r="Q692" s="232" t="s">
        <v>1823</v>
      </c>
      <c r="T692" t="s">
        <v>2803</v>
      </c>
      <c r="U692" s="25">
        <f>+Municipios!Z693</f>
        <v>60.533980319417196</v>
      </c>
      <c r="V692" s="232">
        <v>41378</v>
      </c>
      <c r="W692" s="232" t="s">
        <v>1822</v>
      </c>
      <c r="X692" s="232" t="s">
        <v>676</v>
      </c>
      <c r="Y692" s="232" t="s">
        <v>677</v>
      </c>
      <c r="Z692" s="232" t="s">
        <v>1823</v>
      </c>
    </row>
    <row r="693" spans="1:26">
      <c r="A693" t="s">
        <v>417</v>
      </c>
      <c r="B693" s="25">
        <f>+Municipios!Z694</f>
        <v>64.004007122295107</v>
      </c>
      <c r="C693" s="232">
        <v>25326</v>
      </c>
      <c r="D693" s="232" t="s">
        <v>1824</v>
      </c>
      <c r="E693" s="232" t="s">
        <v>461</v>
      </c>
      <c r="F693" s="232" t="s">
        <v>462</v>
      </c>
      <c r="G693" s="232" t="s">
        <v>1825</v>
      </c>
      <c r="K693" t="s">
        <v>2647</v>
      </c>
      <c r="L693" s="81">
        <f>+Municipios!AB694</f>
        <v>31.034444427538102</v>
      </c>
      <c r="M693" s="232">
        <v>25326</v>
      </c>
      <c r="N693" s="232" t="s">
        <v>1824</v>
      </c>
      <c r="O693" s="232" t="s">
        <v>461</v>
      </c>
      <c r="P693" s="232" t="s">
        <v>462</v>
      </c>
      <c r="Q693" s="232" t="s">
        <v>1825</v>
      </c>
      <c r="T693" t="s">
        <v>2803</v>
      </c>
      <c r="U693" s="25">
        <f>+Municipios!Z694</f>
        <v>64.004007122295107</v>
      </c>
      <c r="V693" s="232">
        <v>25326</v>
      </c>
      <c r="W693" s="232" t="s">
        <v>1824</v>
      </c>
      <c r="X693" s="232" t="s">
        <v>461</v>
      </c>
      <c r="Y693" s="232" t="s">
        <v>462</v>
      </c>
      <c r="Z693" s="232" t="s">
        <v>1825</v>
      </c>
    </row>
    <row r="694" spans="1:26">
      <c r="A694" t="s">
        <v>417</v>
      </c>
      <c r="B694" s="25">
        <f>+Municipios!Z695</f>
        <v>59.887558510356939</v>
      </c>
      <c r="C694" s="232">
        <v>50270</v>
      </c>
      <c r="D694" s="232" t="s">
        <v>1826</v>
      </c>
      <c r="E694" s="232" t="s">
        <v>605</v>
      </c>
      <c r="F694" s="232" t="s">
        <v>606</v>
      </c>
      <c r="G694" s="232" t="s">
        <v>1827</v>
      </c>
      <c r="K694" t="s">
        <v>2647</v>
      </c>
      <c r="L694" s="81">
        <f>+Municipios!AB695</f>
        <v>29.047360805810488</v>
      </c>
      <c r="M694" s="232">
        <v>50270</v>
      </c>
      <c r="N694" s="232" t="s">
        <v>1826</v>
      </c>
      <c r="O694" s="232" t="s">
        <v>605</v>
      </c>
      <c r="P694" s="232" t="s">
        <v>606</v>
      </c>
      <c r="Q694" s="232" t="s">
        <v>1827</v>
      </c>
      <c r="T694" t="s">
        <v>2803</v>
      </c>
      <c r="U694" s="25">
        <f>+Municipios!Z695</f>
        <v>59.887558510356939</v>
      </c>
      <c r="V694" s="232">
        <v>50270</v>
      </c>
      <c r="W694" s="232" t="s">
        <v>1826</v>
      </c>
      <c r="X694" s="232" t="s">
        <v>605</v>
      </c>
      <c r="Y694" s="232" t="s">
        <v>606</v>
      </c>
      <c r="Z694" s="232" t="s">
        <v>1827</v>
      </c>
    </row>
    <row r="695" spans="1:26">
      <c r="A695" t="s">
        <v>417</v>
      </c>
      <c r="B695" s="25">
        <f>+Municipios!Z696</f>
        <v>49.599336741427749</v>
      </c>
      <c r="C695" s="232">
        <v>5842</v>
      </c>
      <c r="D695" s="232" t="s">
        <v>1828</v>
      </c>
      <c r="E695" s="232" t="s">
        <v>435</v>
      </c>
      <c r="F695" s="232" t="s">
        <v>436</v>
      </c>
      <c r="G695" s="232" t="s">
        <v>1829</v>
      </c>
      <c r="K695" t="s">
        <v>2647</v>
      </c>
      <c r="L695" s="81">
        <f>+Municipios!AB696</f>
        <v>24.093760169156074</v>
      </c>
      <c r="M695" s="232">
        <v>5842</v>
      </c>
      <c r="N695" s="232" t="s">
        <v>1828</v>
      </c>
      <c r="O695" s="232" t="s">
        <v>435</v>
      </c>
      <c r="P695" s="232" t="s">
        <v>436</v>
      </c>
      <c r="Q695" s="232" t="s">
        <v>1829</v>
      </c>
      <c r="T695" t="s">
        <v>2803</v>
      </c>
      <c r="U695" s="25">
        <f>+Municipios!Z696</f>
        <v>49.599336741427749</v>
      </c>
      <c r="V695" s="232">
        <v>5842</v>
      </c>
      <c r="W695" s="232" t="s">
        <v>1828</v>
      </c>
      <c r="X695" s="232" t="s">
        <v>435</v>
      </c>
      <c r="Y695" s="232" t="s">
        <v>436</v>
      </c>
      <c r="Z695" s="232" t="s">
        <v>1829</v>
      </c>
    </row>
    <row r="696" spans="1:26">
      <c r="A696" t="s">
        <v>417</v>
      </c>
      <c r="B696" s="25">
        <f>+Municipios!Z697</f>
        <v>67.457192226482846</v>
      </c>
      <c r="C696" s="232">
        <v>41524</v>
      </c>
      <c r="D696" s="232" t="s">
        <v>1830</v>
      </c>
      <c r="E696" s="232" t="s">
        <v>676</v>
      </c>
      <c r="F696" s="232" t="s">
        <v>677</v>
      </c>
      <c r="G696" s="232" t="s">
        <v>1831</v>
      </c>
      <c r="K696" t="s">
        <v>2647</v>
      </c>
      <c r="L696" s="81">
        <f>+Municipios!AB697</f>
        <v>32.802592115242334</v>
      </c>
      <c r="M696" s="232">
        <v>41524</v>
      </c>
      <c r="N696" s="232" t="s">
        <v>1830</v>
      </c>
      <c r="O696" s="232" t="s">
        <v>676</v>
      </c>
      <c r="P696" s="232" t="s">
        <v>677</v>
      </c>
      <c r="Q696" s="232" t="s">
        <v>1831</v>
      </c>
      <c r="T696" t="s">
        <v>2803</v>
      </c>
      <c r="U696" s="25">
        <f>+Municipios!Z697</f>
        <v>67.457192226482846</v>
      </c>
      <c r="V696" s="232">
        <v>41524</v>
      </c>
      <c r="W696" s="232" t="s">
        <v>1830</v>
      </c>
      <c r="X696" s="232" t="s">
        <v>676</v>
      </c>
      <c r="Y696" s="232" t="s">
        <v>677</v>
      </c>
      <c r="Z696" s="232" t="s">
        <v>1831</v>
      </c>
    </row>
    <row r="697" spans="1:26">
      <c r="A697" t="s">
        <v>417</v>
      </c>
      <c r="B697" s="25">
        <f>+Municipios!Z698</f>
        <v>63.41340097574615</v>
      </c>
      <c r="C697" s="232">
        <v>20770</v>
      </c>
      <c r="D697" s="232" t="s">
        <v>1832</v>
      </c>
      <c r="E697" s="232" t="s">
        <v>893</v>
      </c>
      <c r="F697" s="232" t="s">
        <v>894</v>
      </c>
      <c r="G697" s="232" t="s">
        <v>1833</v>
      </c>
      <c r="K697" t="s">
        <v>2647</v>
      </c>
      <c r="L697" s="81">
        <f>+Municipios!AB698</f>
        <v>30.789261294433651</v>
      </c>
      <c r="M697" s="232">
        <v>20770</v>
      </c>
      <c r="N697" s="232" t="s">
        <v>1832</v>
      </c>
      <c r="O697" s="232" t="s">
        <v>893</v>
      </c>
      <c r="P697" s="232" t="s">
        <v>894</v>
      </c>
      <c r="Q697" s="232" t="s">
        <v>1833</v>
      </c>
      <c r="T697" t="s">
        <v>2803</v>
      </c>
      <c r="U697" s="25">
        <f>+Municipios!Z698</f>
        <v>63.41340097574615</v>
      </c>
      <c r="V697" s="232">
        <v>20770</v>
      </c>
      <c r="W697" s="232" t="s">
        <v>1832</v>
      </c>
      <c r="X697" s="232" t="s">
        <v>893</v>
      </c>
      <c r="Y697" s="232" t="s">
        <v>894</v>
      </c>
      <c r="Z697" s="232" t="s">
        <v>1833</v>
      </c>
    </row>
    <row r="698" spans="1:26">
      <c r="A698" t="s">
        <v>417</v>
      </c>
      <c r="B698" s="25">
        <f>+Municipios!Z699</f>
        <v>53.373402678955102</v>
      </c>
      <c r="C698" s="232">
        <v>15293</v>
      </c>
      <c r="D698" s="232" t="s">
        <v>1834</v>
      </c>
      <c r="E698" s="232" t="s">
        <v>498</v>
      </c>
      <c r="F698" s="232" t="s">
        <v>499</v>
      </c>
      <c r="G698" s="232" t="s">
        <v>1835</v>
      </c>
      <c r="K698" t="s">
        <v>2647</v>
      </c>
      <c r="L698" s="81">
        <f>+Municipios!AB699</f>
        <v>25.842953098556301</v>
      </c>
      <c r="M698" s="232">
        <v>15293</v>
      </c>
      <c r="N698" s="232" t="s">
        <v>1834</v>
      </c>
      <c r="O698" s="232" t="s">
        <v>498</v>
      </c>
      <c r="P698" s="232" t="s">
        <v>499</v>
      </c>
      <c r="Q698" s="232" t="s">
        <v>1835</v>
      </c>
      <c r="T698" t="s">
        <v>2803</v>
      </c>
      <c r="U698" s="25">
        <f>+Municipios!Z699</f>
        <v>53.373402678955102</v>
      </c>
      <c r="V698" s="232">
        <v>15293</v>
      </c>
      <c r="W698" s="232" t="s">
        <v>1834</v>
      </c>
      <c r="X698" s="232" t="s">
        <v>498</v>
      </c>
      <c r="Y698" s="232" t="s">
        <v>499</v>
      </c>
      <c r="Z698" s="232" t="s">
        <v>1835</v>
      </c>
    </row>
    <row r="699" spans="1:26">
      <c r="A699" t="s">
        <v>417</v>
      </c>
      <c r="B699" s="25">
        <f>+Municipios!Z700</f>
        <v>48.893629454978679</v>
      </c>
      <c r="C699" s="232">
        <v>73870</v>
      </c>
      <c r="D699" s="232" t="s">
        <v>1836</v>
      </c>
      <c r="E699" s="232" t="s">
        <v>595</v>
      </c>
      <c r="F699" s="232" t="s">
        <v>596</v>
      </c>
      <c r="G699" s="232" t="s">
        <v>1837</v>
      </c>
      <c r="K699" t="s">
        <v>2647</v>
      </c>
      <c r="L699" s="81">
        <f>+Municipios!AB700</f>
        <v>23.746191032060526</v>
      </c>
      <c r="M699" s="232">
        <v>73870</v>
      </c>
      <c r="N699" s="232" t="s">
        <v>1836</v>
      </c>
      <c r="O699" s="232" t="s">
        <v>595</v>
      </c>
      <c r="P699" s="232" t="s">
        <v>596</v>
      </c>
      <c r="Q699" s="232" t="s">
        <v>1837</v>
      </c>
      <c r="T699" t="s">
        <v>2803</v>
      </c>
      <c r="U699" s="25">
        <f>+Municipios!Z700</f>
        <v>48.893629454978679</v>
      </c>
      <c r="V699" s="232">
        <v>73870</v>
      </c>
      <c r="W699" s="232" t="s">
        <v>1836</v>
      </c>
      <c r="X699" s="232" t="s">
        <v>595</v>
      </c>
      <c r="Y699" s="232" t="s">
        <v>596</v>
      </c>
      <c r="Z699" s="232" t="s">
        <v>1837</v>
      </c>
    </row>
    <row r="700" spans="1:26">
      <c r="A700" t="s">
        <v>417</v>
      </c>
      <c r="B700" s="25">
        <f>+Municipios!Z701</f>
        <v>58.071826335715777</v>
      </c>
      <c r="C700" s="232">
        <v>76100</v>
      </c>
      <c r="D700" s="232" t="s">
        <v>1838</v>
      </c>
      <c r="E700" s="232" t="s">
        <v>454</v>
      </c>
      <c r="F700" s="232" t="s">
        <v>455</v>
      </c>
      <c r="G700" s="232" t="s">
        <v>481</v>
      </c>
      <c r="K700" t="s">
        <v>2647</v>
      </c>
      <c r="L700" s="81">
        <f>+Municipios!AB701</f>
        <v>28.18858173489339</v>
      </c>
      <c r="M700" s="232">
        <v>76100</v>
      </c>
      <c r="N700" s="232" t="s">
        <v>1838</v>
      </c>
      <c r="O700" s="232" t="s">
        <v>454</v>
      </c>
      <c r="P700" s="232" t="s">
        <v>455</v>
      </c>
      <c r="Q700" s="232" t="s">
        <v>481</v>
      </c>
      <c r="T700" t="s">
        <v>2803</v>
      </c>
      <c r="U700" s="25">
        <f>+Municipios!Z701</f>
        <v>58.071826335715777</v>
      </c>
      <c r="V700" s="232">
        <v>76100</v>
      </c>
      <c r="W700" s="232" t="s">
        <v>1838</v>
      </c>
      <c r="X700" s="232" t="s">
        <v>454</v>
      </c>
      <c r="Y700" s="232" t="s">
        <v>455</v>
      </c>
      <c r="Z700" s="232" t="s">
        <v>481</v>
      </c>
    </row>
    <row r="701" spans="1:26">
      <c r="A701" t="s">
        <v>417</v>
      </c>
      <c r="B701" s="25">
        <f>+Municipios!Z702</f>
        <v>54.325841984399133</v>
      </c>
      <c r="C701" s="232">
        <v>25426</v>
      </c>
      <c r="D701" s="232" t="s">
        <v>1839</v>
      </c>
      <c r="E701" s="232" t="s">
        <v>461</v>
      </c>
      <c r="F701" s="232" t="s">
        <v>462</v>
      </c>
      <c r="G701" s="232" t="s">
        <v>1840</v>
      </c>
      <c r="K701" t="s">
        <v>2647</v>
      </c>
      <c r="L701" s="81">
        <f>+Municipios!AB702</f>
        <v>26.363774477864581</v>
      </c>
      <c r="M701" s="232">
        <v>25426</v>
      </c>
      <c r="N701" s="232" t="s">
        <v>1839</v>
      </c>
      <c r="O701" s="232" t="s">
        <v>461</v>
      </c>
      <c r="P701" s="232" t="s">
        <v>462</v>
      </c>
      <c r="Q701" s="232" t="s">
        <v>1840</v>
      </c>
      <c r="T701" t="s">
        <v>2803</v>
      </c>
      <c r="U701" s="25">
        <f>+Municipios!Z702</f>
        <v>54.325841984399133</v>
      </c>
      <c r="V701" s="232">
        <v>25426</v>
      </c>
      <c r="W701" s="232" t="s">
        <v>1839</v>
      </c>
      <c r="X701" s="232" t="s">
        <v>461</v>
      </c>
      <c r="Y701" s="232" t="s">
        <v>462</v>
      </c>
      <c r="Z701" s="232" t="s">
        <v>1840</v>
      </c>
    </row>
    <row r="702" spans="1:26">
      <c r="A702" t="s">
        <v>417</v>
      </c>
      <c r="B702" s="25">
        <f>+Municipios!Z703</f>
        <v>56.723149785878739</v>
      </c>
      <c r="C702" s="232">
        <v>15401</v>
      </c>
      <c r="D702" s="232" t="s">
        <v>1841</v>
      </c>
      <c r="E702" s="232" t="s">
        <v>498</v>
      </c>
      <c r="F702" s="232" t="s">
        <v>499</v>
      </c>
      <c r="G702" s="232" t="s">
        <v>1276</v>
      </c>
      <c r="K702" t="s">
        <v>2647</v>
      </c>
      <c r="L702" s="81">
        <f>+Municipios!AB703</f>
        <v>27.512180923880013</v>
      </c>
      <c r="M702" s="232">
        <v>15401</v>
      </c>
      <c r="N702" s="232" t="s">
        <v>1841</v>
      </c>
      <c r="O702" s="232" t="s">
        <v>498</v>
      </c>
      <c r="P702" s="232" t="s">
        <v>499</v>
      </c>
      <c r="Q702" s="232" t="s">
        <v>1276</v>
      </c>
      <c r="T702" t="s">
        <v>2803</v>
      </c>
      <c r="U702" s="25">
        <f>+Municipios!Z703</f>
        <v>56.723149785878739</v>
      </c>
      <c r="V702" s="232">
        <v>15401</v>
      </c>
      <c r="W702" s="232" t="s">
        <v>1841</v>
      </c>
      <c r="X702" s="232" t="s">
        <v>498</v>
      </c>
      <c r="Y702" s="232" t="s">
        <v>499</v>
      </c>
      <c r="Z702" s="232" t="s">
        <v>1276</v>
      </c>
    </row>
    <row r="703" spans="1:26">
      <c r="A703" t="s">
        <v>417</v>
      </c>
      <c r="B703" s="25">
        <f>+Municipios!Z704</f>
        <v>58.601933103210413</v>
      </c>
      <c r="C703" s="232">
        <v>25279</v>
      </c>
      <c r="D703" s="232" t="s">
        <v>1842</v>
      </c>
      <c r="E703" s="232" t="s">
        <v>461</v>
      </c>
      <c r="F703" s="232" t="s">
        <v>462</v>
      </c>
      <c r="G703" s="232" t="s">
        <v>1843</v>
      </c>
      <c r="K703" t="s">
        <v>2647</v>
      </c>
      <c r="L703" s="81">
        <f>+Municipios!AB704</f>
        <v>28.395342135974065</v>
      </c>
      <c r="M703" s="232">
        <v>25279</v>
      </c>
      <c r="N703" s="232" t="s">
        <v>1842</v>
      </c>
      <c r="O703" s="232" t="s">
        <v>461</v>
      </c>
      <c r="P703" s="232" t="s">
        <v>462</v>
      </c>
      <c r="Q703" s="232" t="s">
        <v>1843</v>
      </c>
      <c r="T703" t="s">
        <v>2803</v>
      </c>
      <c r="U703" s="25">
        <f>+Municipios!Z704</f>
        <v>58.601933103210413</v>
      </c>
      <c r="V703" s="232">
        <v>25279</v>
      </c>
      <c r="W703" s="232" t="s">
        <v>1842</v>
      </c>
      <c r="X703" s="232" t="s">
        <v>461</v>
      </c>
      <c r="Y703" s="232" t="s">
        <v>462</v>
      </c>
      <c r="Z703" s="232" t="s">
        <v>1843</v>
      </c>
    </row>
    <row r="704" spans="1:26">
      <c r="A704" t="s">
        <v>417</v>
      </c>
      <c r="B704" s="25">
        <f>+Municipios!Z705</f>
        <v>57.995083209386706</v>
      </c>
      <c r="C704" s="232">
        <v>54398</v>
      </c>
      <c r="D704" s="232" t="s">
        <v>1844</v>
      </c>
      <c r="E704" s="232" t="s">
        <v>517</v>
      </c>
      <c r="F704" s="232" t="s">
        <v>518</v>
      </c>
      <c r="G704" s="232" t="s">
        <v>1845</v>
      </c>
      <c r="K704" t="s">
        <v>2647</v>
      </c>
      <c r="L704" s="81">
        <f>+Municipios!AB705</f>
        <v>28.128532315430597</v>
      </c>
      <c r="M704" s="232">
        <v>54398</v>
      </c>
      <c r="N704" s="232" t="s">
        <v>1844</v>
      </c>
      <c r="O704" s="232" t="s">
        <v>517</v>
      </c>
      <c r="P704" s="232" t="s">
        <v>518</v>
      </c>
      <c r="Q704" s="232" t="s">
        <v>1845</v>
      </c>
      <c r="T704" t="s">
        <v>2803</v>
      </c>
      <c r="U704" s="25">
        <f>+Municipios!Z705</f>
        <v>57.995083209386706</v>
      </c>
      <c r="V704" s="232">
        <v>54398</v>
      </c>
      <c r="W704" s="232" t="s">
        <v>1844</v>
      </c>
      <c r="X704" s="232" t="s">
        <v>517</v>
      </c>
      <c r="Y704" s="232" t="s">
        <v>518</v>
      </c>
      <c r="Z704" s="232" t="s">
        <v>1845</v>
      </c>
    </row>
    <row r="705" spans="1:26">
      <c r="A705" t="s">
        <v>417</v>
      </c>
      <c r="B705" s="25">
        <f>+Municipios!Z706</f>
        <v>54.458915498190009</v>
      </c>
      <c r="C705" s="232">
        <v>5150</v>
      </c>
      <c r="D705" s="232" t="s">
        <v>1846</v>
      </c>
      <c r="E705" s="232" t="s">
        <v>435</v>
      </c>
      <c r="F705" s="232" t="s">
        <v>436</v>
      </c>
      <c r="G705" s="232" t="s">
        <v>1847</v>
      </c>
      <c r="K705" t="s">
        <v>2647</v>
      </c>
      <c r="L705" s="81">
        <f>+Municipios!AB706</f>
        <v>26.551122858221678</v>
      </c>
      <c r="M705" s="232">
        <v>5150</v>
      </c>
      <c r="N705" s="232" t="s">
        <v>1846</v>
      </c>
      <c r="O705" s="232" t="s">
        <v>435</v>
      </c>
      <c r="P705" s="232" t="s">
        <v>436</v>
      </c>
      <c r="Q705" s="232" t="s">
        <v>1847</v>
      </c>
      <c r="T705" t="s">
        <v>2803</v>
      </c>
      <c r="U705" s="25">
        <f>+Municipios!Z706</f>
        <v>54.458915498190009</v>
      </c>
      <c r="V705" s="232">
        <v>5150</v>
      </c>
      <c r="W705" s="232" t="s">
        <v>1846</v>
      </c>
      <c r="X705" s="232" t="s">
        <v>435</v>
      </c>
      <c r="Y705" s="232" t="s">
        <v>436</v>
      </c>
      <c r="Z705" s="232" t="s">
        <v>1847</v>
      </c>
    </row>
    <row r="706" spans="1:26">
      <c r="A706" t="s">
        <v>417</v>
      </c>
      <c r="B706" s="25">
        <f>+Municipios!Z707</f>
        <v>64.183575632920139</v>
      </c>
      <c r="C706" s="232">
        <v>44090</v>
      </c>
      <c r="D706" s="232" t="s">
        <v>1848</v>
      </c>
      <c r="E706" s="232" t="s">
        <v>933</v>
      </c>
      <c r="F706" s="232" t="s">
        <v>934</v>
      </c>
      <c r="G706" s="232" t="s">
        <v>1849</v>
      </c>
      <c r="K706" t="s">
        <v>2647</v>
      </c>
      <c r="L706" s="81">
        <f>+Municipios!AB707</f>
        <v>31.155379604408541</v>
      </c>
      <c r="M706" s="232">
        <v>44090</v>
      </c>
      <c r="N706" s="232" t="s">
        <v>1848</v>
      </c>
      <c r="O706" s="232" t="s">
        <v>933</v>
      </c>
      <c r="P706" s="232" t="s">
        <v>934</v>
      </c>
      <c r="Q706" s="232" t="s">
        <v>1849</v>
      </c>
      <c r="T706" t="s">
        <v>2803</v>
      </c>
      <c r="U706" s="25">
        <f>+Municipios!Z707</f>
        <v>64.183575632920139</v>
      </c>
      <c r="V706" s="232">
        <v>44090</v>
      </c>
      <c r="W706" s="232" t="s">
        <v>1848</v>
      </c>
      <c r="X706" s="232" t="s">
        <v>933</v>
      </c>
      <c r="Y706" s="232" t="s">
        <v>934</v>
      </c>
      <c r="Z706" s="232" t="s">
        <v>1849</v>
      </c>
    </row>
    <row r="707" spans="1:26">
      <c r="A707" t="s">
        <v>417</v>
      </c>
      <c r="B707" s="25">
        <f>+Municipios!Z708</f>
        <v>62.006149684613405</v>
      </c>
      <c r="C707" s="232">
        <v>15325</v>
      </c>
      <c r="D707" s="232" t="s">
        <v>1850</v>
      </c>
      <c r="E707" s="232" t="s">
        <v>498</v>
      </c>
      <c r="F707" s="232" t="s">
        <v>499</v>
      </c>
      <c r="G707" s="232" t="s">
        <v>1851</v>
      </c>
      <c r="K707" t="s">
        <v>2647</v>
      </c>
      <c r="L707" s="81">
        <f>+Municipios!AB708</f>
        <v>30.122286070559475</v>
      </c>
      <c r="M707" s="232">
        <v>15325</v>
      </c>
      <c r="N707" s="232" t="s">
        <v>1850</v>
      </c>
      <c r="O707" s="232" t="s">
        <v>498</v>
      </c>
      <c r="P707" s="232" t="s">
        <v>499</v>
      </c>
      <c r="Q707" s="232" t="s">
        <v>1851</v>
      </c>
      <c r="T707" t="s">
        <v>2803</v>
      </c>
      <c r="U707" s="25">
        <f>+Municipios!Z708</f>
        <v>62.006149684613405</v>
      </c>
      <c r="V707" s="232">
        <v>15325</v>
      </c>
      <c r="W707" s="232" t="s">
        <v>1850</v>
      </c>
      <c r="X707" s="232" t="s">
        <v>498</v>
      </c>
      <c r="Y707" s="232" t="s">
        <v>499</v>
      </c>
      <c r="Z707" s="232" t="s">
        <v>1851</v>
      </c>
    </row>
    <row r="708" spans="1:26">
      <c r="A708" t="s">
        <v>417</v>
      </c>
      <c r="B708" s="25">
        <f>+Municipios!Z709</f>
        <v>69.196484130120496</v>
      </c>
      <c r="C708" s="232">
        <v>15537</v>
      </c>
      <c r="D708" s="232" t="s">
        <v>1852</v>
      </c>
      <c r="E708" s="232" t="s">
        <v>498</v>
      </c>
      <c r="F708" s="232" t="s">
        <v>499</v>
      </c>
      <c r="G708" s="232" t="s">
        <v>1853</v>
      </c>
      <c r="K708" t="s">
        <v>2647</v>
      </c>
      <c r="L708" s="81">
        <f>+Municipios!AB709</f>
        <v>33.564512774924935</v>
      </c>
      <c r="M708" s="232">
        <v>15537</v>
      </c>
      <c r="N708" s="232" t="s">
        <v>1852</v>
      </c>
      <c r="O708" s="232" t="s">
        <v>498</v>
      </c>
      <c r="P708" s="232" t="s">
        <v>499</v>
      </c>
      <c r="Q708" s="232" t="s">
        <v>1853</v>
      </c>
      <c r="T708" t="s">
        <v>2803</v>
      </c>
      <c r="U708" s="25">
        <f>+Municipios!Z709</f>
        <v>69.196484130120496</v>
      </c>
      <c r="V708" s="232">
        <v>15537</v>
      </c>
      <c r="W708" s="232" t="s">
        <v>1852</v>
      </c>
      <c r="X708" s="232" t="s">
        <v>498</v>
      </c>
      <c r="Y708" s="232" t="s">
        <v>499</v>
      </c>
      <c r="Z708" s="232" t="s">
        <v>1853</v>
      </c>
    </row>
    <row r="709" spans="1:26">
      <c r="A709" t="s">
        <v>417</v>
      </c>
      <c r="B709" s="25">
        <f>+Municipios!Z710</f>
        <v>66.417404120130726</v>
      </c>
      <c r="C709" s="232">
        <v>25154</v>
      </c>
      <c r="D709" s="232" t="s">
        <v>1854</v>
      </c>
      <c r="E709" s="232" t="s">
        <v>461</v>
      </c>
      <c r="F709" s="232" t="s">
        <v>462</v>
      </c>
      <c r="G709" s="232" t="s">
        <v>1855</v>
      </c>
      <c r="K709" t="s">
        <v>2647</v>
      </c>
      <c r="L709" s="81">
        <f>+Municipios!AB710</f>
        <v>32.015192645305348</v>
      </c>
      <c r="M709" s="232">
        <v>25154</v>
      </c>
      <c r="N709" s="232" t="s">
        <v>1854</v>
      </c>
      <c r="O709" s="232" t="s">
        <v>461</v>
      </c>
      <c r="P709" s="232" t="s">
        <v>462</v>
      </c>
      <c r="Q709" s="232" t="s">
        <v>1855</v>
      </c>
      <c r="T709" t="s">
        <v>2803</v>
      </c>
      <c r="U709" s="25">
        <f>+Municipios!Z710</f>
        <v>66.417404120130726</v>
      </c>
      <c r="V709" s="232">
        <v>25154</v>
      </c>
      <c r="W709" s="232" t="s">
        <v>1854</v>
      </c>
      <c r="X709" s="232" t="s">
        <v>461</v>
      </c>
      <c r="Y709" s="232" t="s">
        <v>462</v>
      </c>
      <c r="Z709" s="232" t="s">
        <v>1855</v>
      </c>
    </row>
    <row r="710" spans="1:26">
      <c r="A710" t="s">
        <v>417</v>
      </c>
      <c r="B710" s="25">
        <f>+Municipios!Z711</f>
        <v>59.341295412318011</v>
      </c>
      <c r="C710" s="232">
        <v>15572</v>
      </c>
      <c r="D710" s="232" t="s">
        <v>1856</v>
      </c>
      <c r="E710" s="232" t="s">
        <v>498</v>
      </c>
      <c r="F710" s="232" t="s">
        <v>499</v>
      </c>
      <c r="G710" s="232" t="s">
        <v>1857</v>
      </c>
      <c r="K710" t="s">
        <v>2647</v>
      </c>
      <c r="L710" s="81">
        <f>+Municipios!AB711</f>
        <v>28.777351731812921</v>
      </c>
      <c r="M710" s="232">
        <v>15572</v>
      </c>
      <c r="N710" s="232" t="s">
        <v>1856</v>
      </c>
      <c r="O710" s="232" t="s">
        <v>498</v>
      </c>
      <c r="P710" s="232" t="s">
        <v>499</v>
      </c>
      <c r="Q710" s="232" t="s">
        <v>1857</v>
      </c>
      <c r="T710" t="s">
        <v>2803</v>
      </c>
      <c r="U710" s="25">
        <f>+Municipios!Z711</f>
        <v>59.341295412318011</v>
      </c>
      <c r="V710" s="232">
        <v>15572</v>
      </c>
      <c r="W710" s="232" t="s">
        <v>1856</v>
      </c>
      <c r="X710" s="232" t="s">
        <v>498</v>
      </c>
      <c r="Y710" s="232" t="s">
        <v>499</v>
      </c>
      <c r="Z710" s="232" t="s">
        <v>1857</v>
      </c>
    </row>
    <row r="711" spans="1:26">
      <c r="A711" t="s">
        <v>417</v>
      </c>
      <c r="B711" s="25">
        <f>+Municipios!Z712</f>
        <v>50.363831736965757</v>
      </c>
      <c r="C711" s="232">
        <v>68686</v>
      </c>
      <c r="D711" s="232" t="s">
        <v>1858</v>
      </c>
      <c r="E711" s="232" t="s">
        <v>431</v>
      </c>
      <c r="F711" s="232" t="s">
        <v>432</v>
      </c>
      <c r="G711" s="232" t="s">
        <v>1755</v>
      </c>
      <c r="K711" t="s">
        <v>2647</v>
      </c>
      <c r="L711" s="81">
        <f>+Municipios!AB712</f>
        <v>24.398779304928496</v>
      </c>
      <c r="M711" s="232">
        <v>68686</v>
      </c>
      <c r="N711" s="232" t="s">
        <v>1858</v>
      </c>
      <c r="O711" s="232" t="s">
        <v>431</v>
      </c>
      <c r="P711" s="232" t="s">
        <v>432</v>
      </c>
      <c r="Q711" s="232" t="s">
        <v>1755</v>
      </c>
      <c r="T711" t="s">
        <v>2803</v>
      </c>
      <c r="U711" s="25">
        <f>+Municipios!Z712</f>
        <v>50.363831736965757</v>
      </c>
      <c r="V711" s="232">
        <v>68686</v>
      </c>
      <c r="W711" s="232" t="s">
        <v>1858</v>
      </c>
      <c r="X711" s="232" t="s">
        <v>431</v>
      </c>
      <c r="Y711" s="232" t="s">
        <v>432</v>
      </c>
      <c r="Z711" s="232" t="s">
        <v>1755</v>
      </c>
    </row>
    <row r="712" spans="1:26">
      <c r="A712" t="s">
        <v>417</v>
      </c>
      <c r="B712" s="25">
        <f>+Municipios!Z713</f>
        <v>56.369716289162966</v>
      </c>
      <c r="C712" s="232">
        <v>73675</v>
      </c>
      <c r="D712" s="232" t="s">
        <v>1859</v>
      </c>
      <c r="E712" s="232" t="s">
        <v>595</v>
      </c>
      <c r="F712" s="232" t="s">
        <v>596</v>
      </c>
      <c r="G712" s="232" t="s">
        <v>1860</v>
      </c>
      <c r="K712" t="s">
        <v>2647</v>
      </c>
      <c r="L712" s="81">
        <f>+Municipios!AB713</f>
        <v>27.291867438761241</v>
      </c>
      <c r="M712" s="232">
        <v>73675</v>
      </c>
      <c r="N712" s="232" t="s">
        <v>1859</v>
      </c>
      <c r="O712" s="232" t="s">
        <v>595</v>
      </c>
      <c r="P712" s="232" t="s">
        <v>596</v>
      </c>
      <c r="Q712" s="232" t="s">
        <v>1860</v>
      </c>
      <c r="T712" t="s">
        <v>2803</v>
      </c>
      <c r="U712" s="25">
        <f>+Municipios!Z713</f>
        <v>56.369716289162966</v>
      </c>
      <c r="V712" s="232">
        <v>73675</v>
      </c>
      <c r="W712" s="232" t="s">
        <v>1859</v>
      </c>
      <c r="X712" s="232" t="s">
        <v>595</v>
      </c>
      <c r="Y712" s="232" t="s">
        <v>596</v>
      </c>
      <c r="Z712" s="232" t="s">
        <v>1860</v>
      </c>
    </row>
    <row r="713" spans="1:26">
      <c r="A713" t="s">
        <v>417</v>
      </c>
      <c r="B713" s="25">
        <f>+Municipios!Z714</f>
        <v>55.245031170706284</v>
      </c>
      <c r="C713" s="232">
        <v>20621</v>
      </c>
      <c r="D713" s="232" t="s">
        <v>1861</v>
      </c>
      <c r="E713" s="232" t="s">
        <v>893</v>
      </c>
      <c r="F713" s="232" t="s">
        <v>894</v>
      </c>
      <c r="G713" s="232" t="s">
        <v>1862</v>
      </c>
      <c r="K713" t="s">
        <v>2647</v>
      </c>
      <c r="L713" s="81">
        <f>+Municipios!AB714</f>
        <v>26.809021266342913</v>
      </c>
      <c r="M713" s="232">
        <v>20621</v>
      </c>
      <c r="N713" s="232" t="s">
        <v>1861</v>
      </c>
      <c r="O713" s="232" t="s">
        <v>893</v>
      </c>
      <c r="P713" s="232" t="s">
        <v>894</v>
      </c>
      <c r="Q713" s="232" t="s">
        <v>1862</v>
      </c>
      <c r="T713" t="s">
        <v>2803</v>
      </c>
      <c r="U713" s="25">
        <f>+Municipios!Z714</f>
        <v>55.245031170706284</v>
      </c>
      <c r="V713" s="232">
        <v>20621</v>
      </c>
      <c r="W713" s="232" t="s">
        <v>1861</v>
      </c>
      <c r="X713" s="232" t="s">
        <v>893</v>
      </c>
      <c r="Y713" s="232" t="s">
        <v>894</v>
      </c>
      <c r="Z713" s="232" t="s">
        <v>1862</v>
      </c>
    </row>
    <row r="714" spans="1:26">
      <c r="A714" t="s">
        <v>417</v>
      </c>
      <c r="B714" s="25">
        <f>+Municipios!Z715</f>
        <v>54.269926678185904</v>
      </c>
      <c r="C714" s="232">
        <v>23079</v>
      </c>
      <c r="D714" s="232" t="s">
        <v>1863</v>
      </c>
      <c r="E714" s="232" t="s">
        <v>567</v>
      </c>
      <c r="F714" s="232" t="s">
        <v>568</v>
      </c>
      <c r="G714" s="232" t="s">
        <v>1064</v>
      </c>
      <c r="K714" t="s">
        <v>2647</v>
      </c>
      <c r="L714" s="81">
        <f>+Municipios!AB715</f>
        <v>26.270833360965867</v>
      </c>
      <c r="M714" s="232">
        <v>23079</v>
      </c>
      <c r="N714" s="232" t="s">
        <v>1863</v>
      </c>
      <c r="O714" s="232" t="s">
        <v>567</v>
      </c>
      <c r="P714" s="232" t="s">
        <v>568</v>
      </c>
      <c r="Q714" s="232" t="s">
        <v>1064</v>
      </c>
      <c r="T714" t="s">
        <v>2803</v>
      </c>
      <c r="U714" s="25">
        <f>+Municipios!Z715</f>
        <v>54.269926678185904</v>
      </c>
      <c r="V714" s="232">
        <v>23079</v>
      </c>
      <c r="W714" s="232" t="s">
        <v>1863</v>
      </c>
      <c r="X714" s="232" t="s">
        <v>567</v>
      </c>
      <c r="Y714" s="232" t="s">
        <v>568</v>
      </c>
      <c r="Z714" s="232" t="s">
        <v>1064</v>
      </c>
    </row>
    <row r="715" spans="1:26">
      <c r="A715" t="s">
        <v>417</v>
      </c>
      <c r="B715" s="25">
        <f>+Municipios!Z716</f>
        <v>57.873473783457868</v>
      </c>
      <c r="C715" s="232">
        <v>5736</v>
      </c>
      <c r="D715" s="232" t="s">
        <v>1864</v>
      </c>
      <c r="E715" s="232" t="s">
        <v>435</v>
      </c>
      <c r="F715" s="232" t="s">
        <v>436</v>
      </c>
      <c r="G715" s="232" t="s">
        <v>1865</v>
      </c>
      <c r="K715" t="s">
        <v>2647</v>
      </c>
      <c r="L715" s="81">
        <f>+Municipios!AB716</f>
        <v>28.071568710632963</v>
      </c>
      <c r="M715" s="232">
        <v>5736</v>
      </c>
      <c r="N715" s="232" t="s">
        <v>1864</v>
      </c>
      <c r="O715" s="232" t="s">
        <v>435</v>
      </c>
      <c r="P715" s="232" t="s">
        <v>436</v>
      </c>
      <c r="Q715" s="232" t="s">
        <v>1865</v>
      </c>
      <c r="T715" t="s">
        <v>2803</v>
      </c>
      <c r="U715" s="25">
        <f>+Municipios!Z716</f>
        <v>57.873473783457868</v>
      </c>
      <c r="V715" s="232">
        <v>5736</v>
      </c>
      <c r="W715" s="232" t="s">
        <v>1864</v>
      </c>
      <c r="X715" s="232" t="s">
        <v>435</v>
      </c>
      <c r="Y715" s="232" t="s">
        <v>436</v>
      </c>
      <c r="Z715" s="232" t="s">
        <v>1865</v>
      </c>
    </row>
    <row r="716" spans="1:26">
      <c r="A716" t="s">
        <v>417</v>
      </c>
      <c r="B716" s="25">
        <f>+Municipios!Z717</f>
        <v>53.565814815316017</v>
      </c>
      <c r="C716" s="232">
        <v>66572</v>
      </c>
      <c r="D716" s="232" t="s">
        <v>1866</v>
      </c>
      <c r="E716" s="232" t="s">
        <v>467</v>
      </c>
      <c r="F716" s="232" t="s">
        <v>468</v>
      </c>
      <c r="G716" s="232" t="s">
        <v>1867</v>
      </c>
      <c r="K716" t="s">
        <v>2647</v>
      </c>
      <c r="L716" s="81">
        <f>+Municipios!AB717</f>
        <v>25.895700741662282</v>
      </c>
      <c r="M716" s="232">
        <v>66572</v>
      </c>
      <c r="N716" s="232" t="s">
        <v>1866</v>
      </c>
      <c r="O716" s="232" t="s">
        <v>467</v>
      </c>
      <c r="P716" s="232" t="s">
        <v>468</v>
      </c>
      <c r="Q716" s="232" t="s">
        <v>1867</v>
      </c>
      <c r="T716" t="s">
        <v>2803</v>
      </c>
      <c r="U716" s="25">
        <f>+Municipios!Z717</f>
        <v>53.565814815316017</v>
      </c>
      <c r="V716" s="232">
        <v>66572</v>
      </c>
      <c r="W716" s="232" t="s">
        <v>1866</v>
      </c>
      <c r="X716" s="232" t="s">
        <v>467</v>
      </c>
      <c r="Y716" s="232" t="s">
        <v>468</v>
      </c>
      <c r="Z716" s="232" t="s">
        <v>1867</v>
      </c>
    </row>
    <row r="717" spans="1:26">
      <c r="A717" t="s">
        <v>417</v>
      </c>
      <c r="B717" s="25">
        <f>+Municipios!Z718</f>
        <v>60.380389473048425</v>
      </c>
      <c r="C717" s="232">
        <v>41013</v>
      </c>
      <c r="D717" s="232" t="s">
        <v>1868</v>
      </c>
      <c r="E717" s="232" t="s">
        <v>676</v>
      </c>
      <c r="F717" s="232" t="s">
        <v>677</v>
      </c>
      <c r="G717" s="232" t="s">
        <v>1869</v>
      </c>
      <c r="K717" t="s">
        <v>2647</v>
      </c>
      <c r="L717" s="81">
        <f>+Municipios!AB718</f>
        <v>29.17730807418183</v>
      </c>
      <c r="M717" s="232">
        <v>41013</v>
      </c>
      <c r="N717" s="232" t="s">
        <v>1868</v>
      </c>
      <c r="O717" s="232" t="s">
        <v>676</v>
      </c>
      <c r="P717" s="232" t="s">
        <v>677</v>
      </c>
      <c r="Q717" s="232" t="s">
        <v>1869</v>
      </c>
      <c r="T717" t="s">
        <v>2803</v>
      </c>
      <c r="U717" s="25">
        <f>+Municipios!Z718</f>
        <v>60.380389473048425</v>
      </c>
      <c r="V717" s="232">
        <v>41013</v>
      </c>
      <c r="W717" s="232" t="s">
        <v>1868</v>
      </c>
      <c r="X717" s="232" t="s">
        <v>676</v>
      </c>
      <c r="Y717" s="232" t="s">
        <v>677</v>
      </c>
      <c r="Z717" s="232" t="s">
        <v>1869</v>
      </c>
    </row>
    <row r="718" spans="1:26">
      <c r="A718" t="s">
        <v>417</v>
      </c>
      <c r="B718" s="25">
        <f>+Municipios!Z719</f>
        <v>70.220374392022634</v>
      </c>
      <c r="C718" s="232">
        <v>15097</v>
      </c>
      <c r="D718" s="232" t="s">
        <v>1870</v>
      </c>
      <c r="E718" s="232" t="s">
        <v>498</v>
      </c>
      <c r="F718" s="232" t="s">
        <v>499</v>
      </c>
      <c r="G718" s="232" t="s">
        <v>1871</v>
      </c>
      <c r="K718" t="s">
        <v>2647</v>
      </c>
      <c r="L718" s="81">
        <f>+Municipios!AB719</f>
        <v>33.951646330383255</v>
      </c>
      <c r="M718" s="232">
        <v>15097</v>
      </c>
      <c r="N718" s="232" t="s">
        <v>1870</v>
      </c>
      <c r="O718" s="232" t="s">
        <v>498</v>
      </c>
      <c r="P718" s="232" t="s">
        <v>499</v>
      </c>
      <c r="Q718" s="232" t="s">
        <v>1871</v>
      </c>
      <c r="T718" t="s">
        <v>2803</v>
      </c>
      <c r="U718" s="25">
        <f>+Municipios!Z719</f>
        <v>70.220374392022634</v>
      </c>
      <c r="V718" s="232">
        <v>15097</v>
      </c>
      <c r="W718" s="232" t="s">
        <v>1870</v>
      </c>
      <c r="X718" s="232" t="s">
        <v>498</v>
      </c>
      <c r="Y718" s="232" t="s">
        <v>499</v>
      </c>
      <c r="Z718" s="232" t="s">
        <v>1871</v>
      </c>
    </row>
    <row r="719" spans="1:26">
      <c r="A719" t="s">
        <v>417</v>
      </c>
      <c r="B719" s="25">
        <f>+Municipios!Z720</f>
        <v>49.350192791735637</v>
      </c>
      <c r="C719" s="232">
        <v>54480</v>
      </c>
      <c r="D719" s="232" t="s">
        <v>1872</v>
      </c>
      <c r="E719" s="232" t="s">
        <v>517</v>
      </c>
      <c r="F719" s="232" t="s">
        <v>518</v>
      </c>
      <c r="G719" s="232" t="s">
        <v>1873</v>
      </c>
      <c r="K719" t="s">
        <v>2647</v>
      </c>
      <c r="L719" s="81">
        <f>+Municipios!AB720</f>
        <v>23.900805361910969</v>
      </c>
      <c r="M719" s="232">
        <v>54480</v>
      </c>
      <c r="N719" s="232" t="s">
        <v>1872</v>
      </c>
      <c r="O719" s="232" t="s">
        <v>517</v>
      </c>
      <c r="P719" s="232" t="s">
        <v>518</v>
      </c>
      <c r="Q719" s="232" t="s">
        <v>1873</v>
      </c>
      <c r="T719" t="s">
        <v>2803</v>
      </c>
      <c r="U719" s="25">
        <f>+Municipios!Z720</f>
        <v>49.350192791735637</v>
      </c>
      <c r="V719" s="232">
        <v>54480</v>
      </c>
      <c r="W719" s="232" t="s">
        <v>1872</v>
      </c>
      <c r="X719" s="232" t="s">
        <v>517</v>
      </c>
      <c r="Y719" s="232" t="s">
        <v>518</v>
      </c>
      <c r="Z719" s="232" t="s">
        <v>1873</v>
      </c>
    </row>
    <row r="720" spans="1:26">
      <c r="A720" t="s">
        <v>417</v>
      </c>
      <c r="B720" s="25">
        <f>+Municipios!Z721</f>
        <v>63.852157202553158</v>
      </c>
      <c r="C720" s="232">
        <v>5250</v>
      </c>
      <c r="D720" s="232" t="s">
        <v>1874</v>
      </c>
      <c r="E720" s="232" t="s">
        <v>435</v>
      </c>
      <c r="F720" s="232" t="s">
        <v>436</v>
      </c>
      <c r="G720" s="232" t="s">
        <v>1875</v>
      </c>
      <c r="K720" t="s">
        <v>2647</v>
      </c>
      <c r="L720" s="81">
        <f>+Municipios!AB721</f>
        <v>30.862935676193338</v>
      </c>
      <c r="M720" s="232">
        <v>5250</v>
      </c>
      <c r="N720" s="232" t="s">
        <v>1874</v>
      </c>
      <c r="O720" s="232" t="s">
        <v>435</v>
      </c>
      <c r="P720" s="232" t="s">
        <v>436</v>
      </c>
      <c r="Q720" s="232" t="s">
        <v>1875</v>
      </c>
      <c r="T720" t="s">
        <v>2803</v>
      </c>
      <c r="U720" s="25">
        <f>+Municipios!Z721</f>
        <v>63.852157202553158</v>
      </c>
      <c r="V720" s="232">
        <v>5250</v>
      </c>
      <c r="W720" s="232" t="s">
        <v>1874</v>
      </c>
      <c r="X720" s="232" t="s">
        <v>435</v>
      </c>
      <c r="Y720" s="232" t="s">
        <v>436</v>
      </c>
      <c r="Z720" s="232" t="s">
        <v>1875</v>
      </c>
    </row>
    <row r="721" spans="1:26">
      <c r="A721" t="s">
        <v>417</v>
      </c>
      <c r="B721" s="25">
        <f>+Municipios!Z722</f>
        <v>59.771761392147909</v>
      </c>
      <c r="C721" s="232">
        <v>68669</v>
      </c>
      <c r="D721" s="232" t="s">
        <v>1876</v>
      </c>
      <c r="E721" s="232" t="s">
        <v>431</v>
      </c>
      <c r="F721" s="232" t="s">
        <v>432</v>
      </c>
      <c r="G721" s="232" t="s">
        <v>1877</v>
      </c>
      <c r="K721" t="s">
        <v>2647</v>
      </c>
      <c r="L721" s="81">
        <f>+Municipios!AB722</f>
        <v>28.893132882240387</v>
      </c>
      <c r="M721" s="232">
        <v>68669</v>
      </c>
      <c r="N721" s="232" t="s">
        <v>1876</v>
      </c>
      <c r="O721" s="232" t="s">
        <v>431</v>
      </c>
      <c r="P721" s="232" t="s">
        <v>432</v>
      </c>
      <c r="Q721" s="232" t="s">
        <v>1877</v>
      </c>
      <c r="T721" t="s">
        <v>2803</v>
      </c>
      <c r="U721" s="25">
        <f>+Municipios!Z722</f>
        <v>59.771761392147909</v>
      </c>
      <c r="V721" s="232">
        <v>68669</v>
      </c>
      <c r="W721" s="232" t="s">
        <v>1876</v>
      </c>
      <c r="X721" s="232" t="s">
        <v>431</v>
      </c>
      <c r="Y721" s="232" t="s">
        <v>432</v>
      </c>
      <c r="Z721" s="232" t="s">
        <v>1877</v>
      </c>
    </row>
    <row r="722" spans="1:26">
      <c r="A722" t="s">
        <v>417</v>
      </c>
      <c r="B722" s="25">
        <f>+Municipios!Z723</f>
        <v>55.628739942333297</v>
      </c>
      <c r="C722" s="232">
        <v>19355</v>
      </c>
      <c r="D722" s="232" t="s">
        <v>1878</v>
      </c>
      <c r="E722" s="232" t="s">
        <v>557</v>
      </c>
      <c r="F722" s="232" t="s">
        <v>558</v>
      </c>
      <c r="G722" s="232" t="s">
        <v>1879</v>
      </c>
      <c r="K722" t="s">
        <v>2647</v>
      </c>
      <c r="L722" s="81">
        <f>+Municipios!AB723</f>
        <v>26.865323501953426</v>
      </c>
      <c r="M722" s="232">
        <v>19355</v>
      </c>
      <c r="N722" s="232" t="s">
        <v>1878</v>
      </c>
      <c r="O722" s="232" t="s">
        <v>557</v>
      </c>
      <c r="P722" s="232" t="s">
        <v>558</v>
      </c>
      <c r="Q722" s="232" t="s">
        <v>1879</v>
      </c>
      <c r="T722" t="s">
        <v>2803</v>
      </c>
      <c r="U722" s="25">
        <f>+Municipios!Z723</f>
        <v>55.628739942333297</v>
      </c>
      <c r="V722" s="232">
        <v>19355</v>
      </c>
      <c r="W722" s="232" t="s">
        <v>1878</v>
      </c>
      <c r="X722" s="232" t="s">
        <v>557</v>
      </c>
      <c r="Y722" s="232" t="s">
        <v>558</v>
      </c>
      <c r="Z722" s="232" t="s">
        <v>1879</v>
      </c>
    </row>
    <row r="723" spans="1:26">
      <c r="A723" t="s">
        <v>417</v>
      </c>
      <c r="B723" s="25">
        <f>+Municipios!Z724</f>
        <v>33.839432211988466</v>
      </c>
      <c r="C723" s="232">
        <v>47541</v>
      </c>
      <c r="D723" s="232" t="s">
        <v>1880</v>
      </c>
      <c r="E723" s="232" t="s">
        <v>638</v>
      </c>
      <c r="F723" s="232" t="s">
        <v>639</v>
      </c>
      <c r="G723" s="232" t="s">
        <v>1881</v>
      </c>
      <c r="K723" t="s">
        <v>2647</v>
      </c>
      <c r="L723" s="81">
        <f>+Municipios!AB724</f>
        <v>16.324351511074756</v>
      </c>
      <c r="M723" s="232">
        <v>47541</v>
      </c>
      <c r="N723" s="232" t="s">
        <v>1880</v>
      </c>
      <c r="O723" s="232" t="s">
        <v>638</v>
      </c>
      <c r="P723" s="232" t="s">
        <v>639</v>
      </c>
      <c r="Q723" s="232" t="s">
        <v>1881</v>
      </c>
      <c r="T723" t="s">
        <v>2803</v>
      </c>
      <c r="U723" s="25">
        <f>+Municipios!Z724</f>
        <v>33.839432211988466</v>
      </c>
      <c r="V723" s="232">
        <v>47541</v>
      </c>
      <c r="W723" s="232" t="s">
        <v>1880</v>
      </c>
      <c r="X723" s="232" t="s">
        <v>638</v>
      </c>
      <c r="Y723" s="232" t="s">
        <v>639</v>
      </c>
      <c r="Z723" s="232" t="s">
        <v>1881</v>
      </c>
    </row>
    <row r="724" spans="1:26">
      <c r="A724" t="s">
        <v>417</v>
      </c>
      <c r="B724" s="25">
        <f>+Municipios!Z725</f>
        <v>62.989355658962985</v>
      </c>
      <c r="C724" s="232">
        <v>15455</v>
      </c>
      <c r="D724" s="232" t="s">
        <v>1882</v>
      </c>
      <c r="E724" s="232" t="s">
        <v>498</v>
      </c>
      <c r="F724" s="232" t="s">
        <v>499</v>
      </c>
      <c r="G724" s="232" t="s">
        <v>1883</v>
      </c>
      <c r="K724" t="s">
        <v>2647</v>
      </c>
      <c r="L724" s="81">
        <f>+Municipios!AB725</f>
        <v>30.314947488516168</v>
      </c>
      <c r="M724" s="232">
        <v>15455</v>
      </c>
      <c r="N724" s="232" t="s">
        <v>1882</v>
      </c>
      <c r="O724" s="232" t="s">
        <v>498</v>
      </c>
      <c r="P724" s="232" t="s">
        <v>499</v>
      </c>
      <c r="Q724" s="232" t="s">
        <v>1883</v>
      </c>
      <c r="T724" t="s">
        <v>2803</v>
      </c>
      <c r="U724" s="25">
        <f>+Municipios!Z725</f>
        <v>62.989355658962985</v>
      </c>
      <c r="V724" s="232">
        <v>15455</v>
      </c>
      <c r="W724" s="232" t="s">
        <v>1882</v>
      </c>
      <c r="X724" s="232" t="s">
        <v>498</v>
      </c>
      <c r="Y724" s="232" t="s">
        <v>499</v>
      </c>
      <c r="Z724" s="232" t="s">
        <v>1883</v>
      </c>
    </row>
    <row r="725" spans="1:26">
      <c r="A725" t="s">
        <v>417</v>
      </c>
      <c r="B725" s="25">
        <f>+Municipios!Z726</f>
        <v>59.062552986833843</v>
      </c>
      <c r="C725" s="232">
        <v>68320</v>
      </c>
      <c r="D725" s="232" t="s">
        <v>1884</v>
      </c>
      <c r="E725" s="232" t="s">
        <v>431</v>
      </c>
      <c r="F725" s="232" t="s">
        <v>432</v>
      </c>
      <c r="G725" s="232" t="s">
        <v>1323</v>
      </c>
      <c r="K725" t="s">
        <v>2647</v>
      </c>
      <c r="L725" s="81">
        <f>+Municipios!AB726</f>
        <v>28.366725337622636</v>
      </c>
      <c r="M725" s="232">
        <v>68320</v>
      </c>
      <c r="N725" s="232" t="s">
        <v>1884</v>
      </c>
      <c r="O725" s="232" t="s">
        <v>431</v>
      </c>
      <c r="P725" s="232" t="s">
        <v>432</v>
      </c>
      <c r="Q725" s="232" t="s">
        <v>1323</v>
      </c>
      <c r="T725" t="s">
        <v>2803</v>
      </c>
      <c r="U725" s="25">
        <f>+Municipios!Z726</f>
        <v>59.062552986833843</v>
      </c>
      <c r="V725" s="232">
        <v>68320</v>
      </c>
      <c r="W725" s="232" t="s">
        <v>1884</v>
      </c>
      <c r="X725" s="232" t="s">
        <v>431</v>
      </c>
      <c r="Y725" s="232" t="s">
        <v>432</v>
      </c>
      <c r="Z725" s="232" t="s">
        <v>1323</v>
      </c>
    </row>
    <row r="726" spans="1:26">
      <c r="A726" t="s">
        <v>417</v>
      </c>
      <c r="B726" s="25">
        <f>+Municipios!Z727</f>
        <v>64.194826814922109</v>
      </c>
      <c r="C726" s="232">
        <v>68167</v>
      </c>
      <c r="D726" s="232" t="s">
        <v>1885</v>
      </c>
      <c r="E726" s="232" t="s">
        <v>431</v>
      </c>
      <c r="F726" s="232" t="s">
        <v>432</v>
      </c>
      <c r="G726" s="232" t="s">
        <v>1886</v>
      </c>
      <c r="K726" t="s">
        <v>2647</v>
      </c>
      <c r="L726" s="81">
        <f>+Municipios!AB727</f>
        <v>31.037427932342268</v>
      </c>
      <c r="M726" s="232">
        <v>68167</v>
      </c>
      <c r="N726" s="232" t="s">
        <v>1885</v>
      </c>
      <c r="O726" s="232" t="s">
        <v>431</v>
      </c>
      <c r="P726" s="232" t="s">
        <v>432</v>
      </c>
      <c r="Q726" s="232" t="s">
        <v>1886</v>
      </c>
      <c r="T726" t="s">
        <v>2803</v>
      </c>
      <c r="U726" s="25">
        <f>+Municipios!Z727</f>
        <v>64.194826814922109</v>
      </c>
      <c r="V726" s="232">
        <v>68167</v>
      </c>
      <c r="W726" s="232" t="s">
        <v>1885</v>
      </c>
      <c r="X726" s="232" t="s">
        <v>431</v>
      </c>
      <c r="Y726" s="232" t="s">
        <v>432</v>
      </c>
      <c r="Z726" s="232" t="s">
        <v>1886</v>
      </c>
    </row>
    <row r="727" spans="1:26">
      <c r="A727" t="s">
        <v>417</v>
      </c>
      <c r="B727" s="25">
        <f>+Municipios!Z728</f>
        <v>48.970004387858424</v>
      </c>
      <c r="C727" s="232">
        <v>47460</v>
      </c>
      <c r="D727" s="232" t="s">
        <v>1887</v>
      </c>
      <c r="E727" s="232" t="s">
        <v>638</v>
      </c>
      <c r="F727" s="232" t="s">
        <v>639</v>
      </c>
      <c r="G727" s="232" t="s">
        <v>1888</v>
      </c>
      <c r="K727" t="s">
        <v>2647</v>
      </c>
      <c r="L727" s="81">
        <f>+Municipios!AB728</f>
        <v>23.598444106890014</v>
      </c>
      <c r="M727" s="232">
        <v>47460</v>
      </c>
      <c r="N727" s="232" t="s">
        <v>1887</v>
      </c>
      <c r="O727" s="232" t="s">
        <v>638</v>
      </c>
      <c r="P727" s="232" t="s">
        <v>639</v>
      </c>
      <c r="Q727" s="232" t="s">
        <v>1888</v>
      </c>
      <c r="T727" t="s">
        <v>2803</v>
      </c>
      <c r="U727" s="25">
        <f>+Municipios!Z728</f>
        <v>48.970004387858424</v>
      </c>
      <c r="V727" s="232">
        <v>47460</v>
      </c>
      <c r="W727" s="232" t="s">
        <v>1887</v>
      </c>
      <c r="X727" s="232" t="s">
        <v>638</v>
      </c>
      <c r="Y727" s="232" t="s">
        <v>639</v>
      </c>
      <c r="Z727" s="232" t="s">
        <v>1888</v>
      </c>
    </row>
    <row r="728" spans="1:26">
      <c r="A728" t="s">
        <v>417</v>
      </c>
      <c r="B728" s="25">
        <f>+Municipios!Z729</f>
        <v>49.381581335448686</v>
      </c>
      <c r="C728" s="232">
        <v>15022</v>
      </c>
      <c r="D728" s="232" t="s">
        <v>1889</v>
      </c>
      <c r="E728" s="232" t="s">
        <v>498</v>
      </c>
      <c r="F728" s="232" t="s">
        <v>499</v>
      </c>
      <c r="G728" s="232" t="s">
        <v>1890</v>
      </c>
      <c r="K728" t="s">
        <v>2647</v>
      </c>
      <c r="L728" s="81">
        <f>+Municipios!AB729</f>
        <v>23.789232220609961</v>
      </c>
      <c r="M728" s="232">
        <v>15022</v>
      </c>
      <c r="N728" s="232" t="s">
        <v>1889</v>
      </c>
      <c r="O728" s="232" t="s">
        <v>498</v>
      </c>
      <c r="P728" s="232" t="s">
        <v>499</v>
      </c>
      <c r="Q728" s="232" t="s">
        <v>1890</v>
      </c>
      <c r="T728" t="s">
        <v>2803</v>
      </c>
      <c r="U728" s="25">
        <f>+Municipios!Z729</f>
        <v>49.381581335448686</v>
      </c>
      <c r="V728" s="232">
        <v>15022</v>
      </c>
      <c r="W728" s="232" t="s">
        <v>1889</v>
      </c>
      <c r="X728" s="232" t="s">
        <v>498</v>
      </c>
      <c r="Y728" s="232" t="s">
        <v>499</v>
      </c>
      <c r="Z728" s="232" t="s">
        <v>1890</v>
      </c>
    </row>
    <row r="729" spans="1:26">
      <c r="A729" t="s">
        <v>417</v>
      </c>
      <c r="B729" s="25">
        <f>+Municipios!Z730</f>
        <v>64.421688935235579</v>
      </c>
      <c r="C729" s="232">
        <v>68271</v>
      </c>
      <c r="D729" s="232" t="s">
        <v>1891</v>
      </c>
      <c r="E729" s="232" t="s">
        <v>431</v>
      </c>
      <c r="F729" s="232" t="s">
        <v>432</v>
      </c>
      <c r="G729" s="232" t="s">
        <v>1892</v>
      </c>
      <c r="K729" t="s">
        <v>2647</v>
      </c>
      <c r="L729" s="81">
        <f>+Municipios!AB730</f>
        <v>30.955273007840219</v>
      </c>
      <c r="M729" s="232">
        <v>68271</v>
      </c>
      <c r="N729" s="232" t="s">
        <v>1891</v>
      </c>
      <c r="O729" s="232" t="s">
        <v>431</v>
      </c>
      <c r="P729" s="232" t="s">
        <v>432</v>
      </c>
      <c r="Q729" s="232" t="s">
        <v>1892</v>
      </c>
      <c r="T729" t="s">
        <v>2803</v>
      </c>
      <c r="U729" s="25">
        <f>+Municipios!Z730</f>
        <v>64.421688935235579</v>
      </c>
      <c r="V729" s="232">
        <v>68271</v>
      </c>
      <c r="W729" s="232" t="s">
        <v>1891</v>
      </c>
      <c r="X729" s="232" t="s">
        <v>431</v>
      </c>
      <c r="Y729" s="232" t="s">
        <v>432</v>
      </c>
      <c r="Z729" s="232" t="s">
        <v>1892</v>
      </c>
    </row>
    <row r="730" spans="1:26">
      <c r="A730" t="s">
        <v>417</v>
      </c>
      <c r="B730" s="25">
        <f>+Municipios!Z731</f>
        <v>44.795681204888751</v>
      </c>
      <c r="C730" s="232">
        <v>41676</v>
      </c>
      <c r="D730" s="232" t="s">
        <v>1893</v>
      </c>
      <c r="E730" s="232" t="s">
        <v>676</v>
      </c>
      <c r="F730" s="232" t="s">
        <v>677</v>
      </c>
      <c r="G730" s="232" t="s">
        <v>1894</v>
      </c>
      <c r="K730" t="s">
        <v>2647</v>
      </c>
      <c r="L730" s="81">
        <f>+Municipios!AB731</f>
        <v>21.551539415903108</v>
      </c>
      <c r="M730" s="232">
        <v>41676</v>
      </c>
      <c r="N730" s="232" t="s">
        <v>1893</v>
      </c>
      <c r="O730" s="232" t="s">
        <v>676</v>
      </c>
      <c r="P730" s="232" t="s">
        <v>677</v>
      </c>
      <c r="Q730" s="232" t="s">
        <v>1894</v>
      </c>
      <c r="T730" t="s">
        <v>2803</v>
      </c>
      <c r="U730" s="25">
        <f>+Municipios!Z731</f>
        <v>44.795681204888751</v>
      </c>
      <c r="V730" s="232">
        <v>41676</v>
      </c>
      <c r="W730" s="232" t="s">
        <v>1893</v>
      </c>
      <c r="X730" s="232" t="s">
        <v>676</v>
      </c>
      <c r="Y730" s="232" t="s">
        <v>677</v>
      </c>
      <c r="Z730" s="232" t="s">
        <v>1894</v>
      </c>
    </row>
    <row r="731" spans="1:26">
      <c r="A731" t="s">
        <v>417</v>
      </c>
      <c r="B731" s="25">
        <f>+Municipios!Z732</f>
        <v>62.242611267530975</v>
      </c>
      <c r="C731" s="232">
        <v>25299</v>
      </c>
      <c r="D731" s="232" t="s">
        <v>1895</v>
      </c>
      <c r="E731" s="232" t="s">
        <v>461</v>
      </c>
      <c r="F731" s="232" t="s">
        <v>462</v>
      </c>
      <c r="G731" s="232" t="s">
        <v>1896</v>
      </c>
      <c r="K731" t="s">
        <v>2647</v>
      </c>
      <c r="L731" s="81">
        <f>+Municipios!AB732</f>
        <v>29.854633166059365</v>
      </c>
      <c r="M731" s="232">
        <v>25299</v>
      </c>
      <c r="N731" s="232" t="s">
        <v>1895</v>
      </c>
      <c r="O731" s="232" t="s">
        <v>461</v>
      </c>
      <c r="P731" s="232" t="s">
        <v>462</v>
      </c>
      <c r="Q731" s="232" t="s">
        <v>1896</v>
      </c>
      <c r="T731" t="s">
        <v>2803</v>
      </c>
      <c r="U731" s="25">
        <f>+Municipios!Z732</f>
        <v>62.242611267530975</v>
      </c>
      <c r="V731" s="232">
        <v>25299</v>
      </c>
      <c r="W731" s="232" t="s">
        <v>1895</v>
      </c>
      <c r="X731" s="232" t="s">
        <v>461</v>
      </c>
      <c r="Y731" s="232" t="s">
        <v>462</v>
      </c>
      <c r="Z731" s="232" t="s">
        <v>1896</v>
      </c>
    </row>
    <row r="732" spans="1:26">
      <c r="A732" t="s">
        <v>417</v>
      </c>
      <c r="B732" s="25">
        <f>+Municipios!Z733</f>
        <v>48.939665202932815</v>
      </c>
      <c r="C732" s="232">
        <v>19450</v>
      </c>
      <c r="D732" s="232" t="s">
        <v>1897</v>
      </c>
      <c r="E732" s="232" t="s">
        <v>557</v>
      </c>
      <c r="F732" s="232" t="s">
        <v>558</v>
      </c>
      <c r="G732" s="232" t="s">
        <v>1898</v>
      </c>
      <c r="K732" t="s">
        <v>2647</v>
      </c>
      <c r="L732" s="81">
        <f>+Municipios!AB733</f>
        <v>23.530227806232276</v>
      </c>
      <c r="M732" s="232">
        <v>19450</v>
      </c>
      <c r="N732" s="232" t="s">
        <v>1897</v>
      </c>
      <c r="O732" s="232" t="s">
        <v>557</v>
      </c>
      <c r="P732" s="232" t="s">
        <v>558</v>
      </c>
      <c r="Q732" s="232" t="s">
        <v>1898</v>
      </c>
      <c r="T732" t="s">
        <v>2803</v>
      </c>
      <c r="U732" s="25">
        <f>+Municipios!Z733</f>
        <v>48.939665202932815</v>
      </c>
      <c r="V732" s="232">
        <v>19450</v>
      </c>
      <c r="W732" s="232" t="s">
        <v>1897</v>
      </c>
      <c r="X732" s="232" t="s">
        <v>557</v>
      </c>
      <c r="Y732" s="232" t="s">
        <v>558</v>
      </c>
      <c r="Z732" s="232" t="s">
        <v>1898</v>
      </c>
    </row>
    <row r="733" spans="1:26">
      <c r="A733" t="s">
        <v>417</v>
      </c>
      <c r="B733" s="25">
        <f>+Municipios!Z734</f>
        <v>49.945209668671865</v>
      </c>
      <c r="C733" s="232">
        <v>13248</v>
      </c>
      <c r="D733" s="232" t="s">
        <v>1899</v>
      </c>
      <c r="E733" s="232" t="s">
        <v>480</v>
      </c>
      <c r="F733" s="232" t="s">
        <v>481</v>
      </c>
      <c r="G733" s="232" t="s">
        <v>1900</v>
      </c>
      <c r="K733" t="s">
        <v>2647</v>
      </c>
      <c r="L733" s="81">
        <f>+Municipios!AB734</f>
        <v>23.999413783374649</v>
      </c>
      <c r="M733" s="232">
        <v>13248</v>
      </c>
      <c r="N733" s="232" t="s">
        <v>1899</v>
      </c>
      <c r="O733" s="232" t="s">
        <v>480</v>
      </c>
      <c r="P733" s="232" t="s">
        <v>481</v>
      </c>
      <c r="Q733" s="232" t="s">
        <v>1900</v>
      </c>
      <c r="T733" t="s">
        <v>2803</v>
      </c>
      <c r="U733" s="25">
        <f>+Municipios!Z734</f>
        <v>49.945209668671865</v>
      </c>
      <c r="V733" s="232">
        <v>13248</v>
      </c>
      <c r="W733" s="232" t="s">
        <v>1899</v>
      </c>
      <c r="X733" s="232" t="s">
        <v>480</v>
      </c>
      <c r="Y733" s="232" t="s">
        <v>481</v>
      </c>
      <c r="Z733" s="232" t="s">
        <v>1900</v>
      </c>
    </row>
    <row r="734" spans="1:26">
      <c r="A734" t="s">
        <v>417</v>
      </c>
      <c r="B734" s="25">
        <f>+Municipios!Z735</f>
        <v>57.603693978445946</v>
      </c>
      <c r="C734" s="232">
        <v>68121</v>
      </c>
      <c r="D734" s="232" t="s">
        <v>1901</v>
      </c>
      <c r="E734" s="232" t="s">
        <v>431</v>
      </c>
      <c r="F734" s="232" t="s">
        <v>432</v>
      </c>
      <c r="G734" s="232" t="s">
        <v>1902</v>
      </c>
      <c r="K734" t="s">
        <v>2647</v>
      </c>
      <c r="L734" s="81">
        <f>+Municipios!AB735</f>
        <v>27.799334342825016</v>
      </c>
      <c r="M734" s="232">
        <v>68121</v>
      </c>
      <c r="N734" s="232" t="s">
        <v>1901</v>
      </c>
      <c r="O734" s="232" t="s">
        <v>431</v>
      </c>
      <c r="P734" s="232" t="s">
        <v>432</v>
      </c>
      <c r="Q734" s="232" t="s">
        <v>1902</v>
      </c>
      <c r="T734" t="s">
        <v>2803</v>
      </c>
      <c r="U734" s="25">
        <f>+Municipios!Z735</f>
        <v>57.603693978445946</v>
      </c>
      <c r="V734" s="232">
        <v>68121</v>
      </c>
      <c r="W734" s="232" t="s">
        <v>1901</v>
      </c>
      <c r="X734" s="232" t="s">
        <v>431</v>
      </c>
      <c r="Y734" s="232" t="s">
        <v>432</v>
      </c>
      <c r="Z734" s="232" t="s">
        <v>1902</v>
      </c>
    </row>
    <row r="735" spans="1:26">
      <c r="A735" t="s">
        <v>417</v>
      </c>
      <c r="B735" s="25">
        <f>+Municipios!Z736</f>
        <v>72.873803342895329</v>
      </c>
      <c r="C735" s="232">
        <v>15763</v>
      </c>
      <c r="D735" s="232" t="s">
        <v>1903</v>
      </c>
      <c r="E735" s="232" t="s">
        <v>498</v>
      </c>
      <c r="F735" s="232" t="s">
        <v>499</v>
      </c>
      <c r="G735" s="232" t="s">
        <v>1904</v>
      </c>
      <c r="K735" t="s">
        <v>2647</v>
      </c>
      <c r="L735" s="81">
        <f>+Municipios!AB736</f>
        <v>34.924219798537862</v>
      </c>
      <c r="M735" s="232">
        <v>15763</v>
      </c>
      <c r="N735" s="232" t="s">
        <v>1903</v>
      </c>
      <c r="O735" s="232" t="s">
        <v>498</v>
      </c>
      <c r="P735" s="232" t="s">
        <v>499</v>
      </c>
      <c r="Q735" s="232" t="s">
        <v>1904</v>
      </c>
      <c r="T735" t="s">
        <v>2803</v>
      </c>
      <c r="U735" s="25">
        <f>+Municipios!Z736</f>
        <v>72.873803342895329</v>
      </c>
      <c r="V735" s="232">
        <v>15763</v>
      </c>
      <c r="W735" s="232" t="s">
        <v>1903</v>
      </c>
      <c r="X735" s="232" t="s">
        <v>498</v>
      </c>
      <c r="Y735" s="232" t="s">
        <v>499</v>
      </c>
      <c r="Z735" s="232" t="s">
        <v>1904</v>
      </c>
    </row>
    <row r="736" spans="1:26">
      <c r="A736" t="s">
        <v>417</v>
      </c>
      <c r="B736" s="25">
        <f>+Municipios!Z737</f>
        <v>63.8344222974969</v>
      </c>
      <c r="C736" s="232">
        <v>25168</v>
      </c>
      <c r="D736" s="232" t="s">
        <v>1905</v>
      </c>
      <c r="E736" s="232" t="s">
        <v>461</v>
      </c>
      <c r="F736" s="232" t="s">
        <v>462</v>
      </c>
      <c r="G736" s="232" t="s">
        <v>1906</v>
      </c>
      <c r="K736" t="s">
        <v>2647</v>
      </c>
      <c r="L736" s="81">
        <f>+Municipios!AB737</f>
        <v>30.463381787897728</v>
      </c>
      <c r="M736" s="232">
        <v>25168</v>
      </c>
      <c r="N736" s="232" t="s">
        <v>1905</v>
      </c>
      <c r="O736" s="232" t="s">
        <v>461</v>
      </c>
      <c r="P736" s="232" t="s">
        <v>462</v>
      </c>
      <c r="Q736" s="232" t="s">
        <v>1906</v>
      </c>
      <c r="T736" t="s">
        <v>2803</v>
      </c>
      <c r="U736" s="25">
        <f>+Municipios!Z737</f>
        <v>63.8344222974969</v>
      </c>
      <c r="V736" s="232">
        <v>25168</v>
      </c>
      <c r="W736" s="232" t="s">
        <v>1905</v>
      </c>
      <c r="X736" s="232" t="s">
        <v>461</v>
      </c>
      <c r="Y736" s="232" t="s">
        <v>462</v>
      </c>
      <c r="Z736" s="232" t="s">
        <v>1906</v>
      </c>
    </row>
    <row r="737" spans="1:26">
      <c r="A737" t="s">
        <v>417</v>
      </c>
      <c r="B737" s="25">
        <f>+Municipios!Z738</f>
        <v>58.513470919706101</v>
      </c>
      <c r="C737" s="232">
        <v>15531</v>
      </c>
      <c r="D737" s="232" t="s">
        <v>1907</v>
      </c>
      <c r="E737" s="232" t="s">
        <v>498</v>
      </c>
      <c r="F737" s="232" t="s">
        <v>499</v>
      </c>
      <c r="G737" s="232" t="s">
        <v>1908</v>
      </c>
      <c r="K737" t="s">
        <v>2647</v>
      </c>
      <c r="L737" s="81">
        <f>+Municipios!AB738</f>
        <v>27.878127957612087</v>
      </c>
      <c r="M737" s="232">
        <v>15531</v>
      </c>
      <c r="N737" s="232" t="s">
        <v>1907</v>
      </c>
      <c r="O737" s="232" t="s">
        <v>498</v>
      </c>
      <c r="P737" s="232" t="s">
        <v>499</v>
      </c>
      <c r="Q737" s="232" t="s">
        <v>1908</v>
      </c>
      <c r="T737" t="s">
        <v>2803</v>
      </c>
      <c r="U737" s="25">
        <f>+Municipios!Z738</f>
        <v>58.513470919706101</v>
      </c>
      <c r="V737" s="232">
        <v>15531</v>
      </c>
      <c r="W737" s="232" t="s">
        <v>1907</v>
      </c>
      <c r="X737" s="232" t="s">
        <v>498</v>
      </c>
      <c r="Y737" s="232" t="s">
        <v>499</v>
      </c>
      <c r="Z737" s="232" t="s">
        <v>1908</v>
      </c>
    </row>
    <row r="738" spans="1:26">
      <c r="A738" t="s">
        <v>417</v>
      </c>
      <c r="B738" s="25">
        <f>+Municipios!Z739</f>
        <v>55.00009793367056</v>
      </c>
      <c r="C738" s="232">
        <v>68895</v>
      </c>
      <c r="D738" s="232" t="s">
        <v>1909</v>
      </c>
      <c r="E738" s="232" t="s">
        <v>431</v>
      </c>
      <c r="F738" s="232" t="s">
        <v>432</v>
      </c>
      <c r="G738" s="232" t="s">
        <v>1910</v>
      </c>
      <c r="K738" t="s">
        <v>2647</v>
      </c>
      <c r="L738" s="81">
        <f>+Municipios!AB739</f>
        <v>26.330135286814734</v>
      </c>
      <c r="M738" s="232">
        <v>68895</v>
      </c>
      <c r="N738" s="232" t="s">
        <v>1909</v>
      </c>
      <c r="O738" s="232" t="s">
        <v>431</v>
      </c>
      <c r="P738" s="232" t="s">
        <v>432</v>
      </c>
      <c r="Q738" s="232" t="s">
        <v>1910</v>
      </c>
      <c r="T738" t="s">
        <v>2803</v>
      </c>
      <c r="U738" s="25">
        <f>+Municipios!Z739</f>
        <v>55.00009793367056</v>
      </c>
      <c r="V738" s="232">
        <v>68895</v>
      </c>
      <c r="W738" s="232" t="s">
        <v>1909</v>
      </c>
      <c r="X738" s="232" t="s">
        <v>431</v>
      </c>
      <c r="Y738" s="232" t="s">
        <v>432</v>
      </c>
      <c r="Z738" s="232" t="s">
        <v>1910</v>
      </c>
    </row>
    <row r="739" spans="1:26">
      <c r="A739" t="s">
        <v>417</v>
      </c>
      <c r="B739" s="25">
        <f>+Municipios!Z740</f>
        <v>65.092539885643404</v>
      </c>
      <c r="C739" s="232">
        <v>13030</v>
      </c>
      <c r="D739" s="232" t="s">
        <v>1911</v>
      </c>
      <c r="E739" s="232" t="s">
        <v>480</v>
      </c>
      <c r="F739" s="232" t="s">
        <v>481</v>
      </c>
      <c r="G739" s="232" t="s">
        <v>1912</v>
      </c>
      <c r="K739" t="s">
        <v>2647</v>
      </c>
      <c r="L739" s="81">
        <f>+Municipios!AB740</f>
        <v>31.092191969525675</v>
      </c>
      <c r="M739" s="232">
        <v>13030</v>
      </c>
      <c r="N739" s="232" t="s">
        <v>1911</v>
      </c>
      <c r="O739" s="232" t="s">
        <v>480</v>
      </c>
      <c r="P739" s="232" t="s">
        <v>481</v>
      </c>
      <c r="Q739" s="232" t="s">
        <v>1912</v>
      </c>
      <c r="T739" t="s">
        <v>2803</v>
      </c>
      <c r="U739" s="25">
        <f>+Municipios!Z740</f>
        <v>65.092539885643404</v>
      </c>
      <c r="V739" s="232">
        <v>13030</v>
      </c>
      <c r="W739" s="232" t="s">
        <v>1911</v>
      </c>
      <c r="X739" s="232" t="s">
        <v>480</v>
      </c>
      <c r="Y739" s="232" t="s">
        <v>481</v>
      </c>
      <c r="Z739" s="232" t="s">
        <v>1912</v>
      </c>
    </row>
    <row r="740" spans="1:26">
      <c r="A740" t="s">
        <v>417</v>
      </c>
      <c r="B740" s="25">
        <f>+Municipios!Z741</f>
        <v>53.862818981139839</v>
      </c>
      <c r="C740" s="232">
        <v>47707</v>
      </c>
      <c r="D740" s="232" t="s">
        <v>1913</v>
      </c>
      <c r="E740" s="232" t="s">
        <v>638</v>
      </c>
      <c r="F740" s="232" t="s">
        <v>639</v>
      </c>
      <c r="G740" s="232" t="s">
        <v>1914</v>
      </c>
      <c r="K740" t="s">
        <v>2647</v>
      </c>
      <c r="L740" s="81">
        <f>+Municipios!AB741</f>
        <v>25.734364433795285</v>
      </c>
      <c r="M740" s="232">
        <v>47707</v>
      </c>
      <c r="N740" s="232" t="s">
        <v>1913</v>
      </c>
      <c r="O740" s="232" t="s">
        <v>638</v>
      </c>
      <c r="P740" s="232" t="s">
        <v>639</v>
      </c>
      <c r="Q740" s="232" t="s">
        <v>1914</v>
      </c>
      <c r="T740" t="s">
        <v>2803</v>
      </c>
      <c r="U740" s="25">
        <f>+Municipios!Z741</f>
        <v>53.862818981139839</v>
      </c>
      <c r="V740" s="232">
        <v>47707</v>
      </c>
      <c r="W740" s="232" t="s">
        <v>1913</v>
      </c>
      <c r="X740" s="232" t="s">
        <v>638</v>
      </c>
      <c r="Y740" s="232" t="s">
        <v>639</v>
      </c>
      <c r="Z740" s="232" t="s">
        <v>1914</v>
      </c>
    </row>
    <row r="741" spans="1:26">
      <c r="A741" t="s">
        <v>417</v>
      </c>
      <c r="B741" s="25">
        <f>+Municipios!Z742</f>
        <v>61.186045469257593</v>
      </c>
      <c r="C741" s="232">
        <v>5890</v>
      </c>
      <c r="D741" s="232" t="s">
        <v>1915</v>
      </c>
      <c r="E741" s="232" t="s">
        <v>435</v>
      </c>
      <c r="F741" s="232" t="s">
        <v>436</v>
      </c>
      <c r="G741" s="232" t="s">
        <v>1916</v>
      </c>
      <c r="K741" t="s">
        <v>2647</v>
      </c>
      <c r="L741" s="81">
        <f>+Municipios!AB742</f>
        <v>29.422149442353014</v>
      </c>
      <c r="M741" s="232">
        <v>5890</v>
      </c>
      <c r="N741" s="232" t="s">
        <v>1915</v>
      </c>
      <c r="O741" s="232" t="s">
        <v>435</v>
      </c>
      <c r="P741" s="232" t="s">
        <v>436</v>
      </c>
      <c r="Q741" s="232" t="s">
        <v>1916</v>
      </c>
      <c r="T741" t="s">
        <v>2803</v>
      </c>
      <c r="U741" s="25">
        <f>+Municipios!Z742</f>
        <v>61.186045469257593</v>
      </c>
      <c r="V741" s="232">
        <v>5890</v>
      </c>
      <c r="W741" s="232" t="s">
        <v>1915</v>
      </c>
      <c r="X741" s="232" t="s">
        <v>435</v>
      </c>
      <c r="Y741" s="232" t="s">
        <v>436</v>
      </c>
      <c r="Z741" s="232" t="s">
        <v>1916</v>
      </c>
    </row>
    <row r="742" spans="1:26">
      <c r="A742" t="s">
        <v>417</v>
      </c>
      <c r="B742" s="25">
        <f>+Municipios!Z743</f>
        <v>58.621858232359017</v>
      </c>
      <c r="C742" s="232">
        <v>68615</v>
      </c>
      <c r="D742" s="232" t="s">
        <v>1917</v>
      </c>
      <c r="E742" s="232" t="s">
        <v>431</v>
      </c>
      <c r="F742" s="232" t="s">
        <v>432</v>
      </c>
      <c r="G742" s="232" t="s">
        <v>504</v>
      </c>
      <c r="K742" t="s">
        <v>2647</v>
      </c>
      <c r="L742" s="81">
        <f>+Municipios!AB743</f>
        <v>27.327811865325479</v>
      </c>
      <c r="M742" s="232">
        <v>68615</v>
      </c>
      <c r="N742" s="232" t="s">
        <v>1917</v>
      </c>
      <c r="O742" s="232" t="s">
        <v>431</v>
      </c>
      <c r="P742" s="232" t="s">
        <v>432</v>
      </c>
      <c r="Q742" s="232" t="s">
        <v>504</v>
      </c>
      <c r="T742" t="s">
        <v>2803</v>
      </c>
      <c r="U742" s="25">
        <f>+Municipios!Z743</f>
        <v>58.621858232359017</v>
      </c>
      <c r="V742" s="232">
        <v>68615</v>
      </c>
      <c r="W742" s="232" t="s">
        <v>1917</v>
      </c>
      <c r="X742" s="232" t="s">
        <v>431</v>
      </c>
      <c r="Y742" s="232" t="s">
        <v>432</v>
      </c>
      <c r="Z742" s="232" t="s">
        <v>504</v>
      </c>
    </row>
    <row r="743" spans="1:26">
      <c r="A743" t="s">
        <v>417</v>
      </c>
      <c r="B743" s="25">
        <f>+Municipios!Z744</f>
        <v>60.619135165238291</v>
      </c>
      <c r="C743" s="232">
        <v>63302</v>
      </c>
      <c r="D743" s="232" t="s">
        <v>1918</v>
      </c>
      <c r="E743" s="232" t="s">
        <v>473</v>
      </c>
      <c r="F743" s="232" t="s">
        <v>474</v>
      </c>
      <c r="G743" s="232" t="s">
        <v>1919</v>
      </c>
      <c r="K743" t="s">
        <v>2647</v>
      </c>
      <c r="L743" s="81">
        <f>+Municipios!AB744</f>
        <v>28.878282116193443</v>
      </c>
      <c r="M743" s="232">
        <v>63302</v>
      </c>
      <c r="N743" s="232" t="s">
        <v>1918</v>
      </c>
      <c r="O743" s="232" t="s">
        <v>473</v>
      </c>
      <c r="P743" s="232" t="s">
        <v>474</v>
      </c>
      <c r="Q743" s="232" t="s">
        <v>1919</v>
      </c>
      <c r="T743" t="s">
        <v>2803</v>
      </c>
      <c r="U743" s="25">
        <f>+Municipios!Z744</f>
        <v>60.619135165238291</v>
      </c>
      <c r="V743" s="232">
        <v>63302</v>
      </c>
      <c r="W743" s="232" t="s">
        <v>1918</v>
      </c>
      <c r="X743" s="232" t="s">
        <v>473</v>
      </c>
      <c r="Y743" s="232" t="s">
        <v>474</v>
      </c>
      <c r="Z743" s="232" t="s">
        <v>1919</v>
      </c>
    </row>
    <row r="744" spans="1:26">
      <c r="A744" t="s">
        <v>417</v>
      </c>
      <c r="B744" s="25">
        <f>+Municipios!Z745</f>
        <v>60.609222513638073</v>
      </c>
      <c r="C744" s="232">
        <v>54670</v>
      </c>
      <c r="D744" s="232" t="s">
        <v>1920</v>
      </c>
      <c r="E744" s="232" t="s">
        <v>517</v>
      </c>
      <c r="F744" s="232" t="s">
        <v>518</v>
      </c>
      <c r="G744" s="232" t="s">
        <v>1921</v>
      </c>
      <c r="K744" t="s">
        <v>2647</v>
      </c>
      <c r="L744" s="81">
        <f>+Municipios!AB745</f>
        <v>28.937345338194753</v>
      </c>
      <c r="M744" s="232">
        <v>54670</v>
      </c>
      <c r="N744" s="232" t="s">
        <v>1920</v>
      </c>
      <c r="O744" s="232" t="s">
        <v>517</v>
      </c>
      <c r="P744" s="232" t="s">
        <v>518</v>
      </c>
      <c r="Q744" s="232" t="s">
        <v>1921</v>
      </c>
      <c r="T744" t="s">
        <v>2803</v>
      </c>
      <c r="U744" s="25">
        <f>+Municipios!Z745</f>
        <v>60.609222513638073</v>
      </c>
      <c r="V744" s="232">
        <v>54670</v>
      </c>
      <c r="W744" s="232" t="s">
        <v>1920</v>
      </c>
      <c r="X744" s="232" t="s">
        <v>517</v>
      </c>
      <c r="Y744" s="232" t="s">
        <v>518</v>
      </c>
      <c r="Z744" s="232" t="s">
        <v>1921</v>
      </c>
    </row>
    <row r="745" spans="1:26">
      <c r="A745" t="s">
        <v>417</v>
      </c>
      <c r="B745" s="25">
        <f>+Municipios!Z746</f>
        <v>63.200227901364315</v>
      </c>
      <c r="C745" s="232">
        <v>41797</v>
      </c>
      <c r="D745" s="232" t="s">
        <v>1922</v>
      </c>
      <c r="E745" s="232" t="s">
        <v>676</v>
      </c>
      <c r="F745" s="232" t="s">
        <v>677</v>
      </c>
      <c r="G745" s="232" t="s">
        <v>1923</v>
      </c>
      <c r="K745" t="s">
        <v>2647</v>
      </c>
      <c r="L745" s="81">
        <f>+Municipios!AB746</f>
        <v>30.165566979973821</v>
      </c>
      <c r="M745" s="232">
        <v>41797</v>
      </c>
      <c r="N745" s="232" t="s">
        <v>1922</v>
      </c>
      <c r="O745" s="232" t="s">
        <v>676</v>
      </c>
      <c r="P745" s="232" t="s">
        <v>677</v>
      </c>
      <c r="Q745" s="232" t="s">
        <v>1923</v>
      </c>
      <c r="T745" t="s">
        <v>2803</v>
      </c>
      <c r="U745" s="25">
        <f>+Municipios!Z746</f>
        <v>63.200227901364315</v>
      </c>
      <c r="V745" s="232">
        <v>41797</v>
      </c>
      <c r="W745" s="232" t="s">
        <v>1922</v>
      </c>
      <c r="X745" s="232" t="s">
        <v>676</v>
      </c>
      <c r="Y745" s="232" t="s">
        <v>677</v>
      </c>
      <c r="Z745" s="232" t="s">
        <v>1923</v>
      </c>
    </row>
    <row r="746" spans="1:26">
      <c r="A746" t="s">
        <v>417</v>
      </c>
      <c r="B746" s="25">
        <f>+Municipios!Z747</f>
        <v>66.05331653589991</v>
      </c>
      <c r="C746" s="232">
        <v>50150</v>
      </c>
      <c r="D746" s="232" t="s">
        <v>1924</v>
      </c>
      <c r="E746" s="232" t="s">
        <v>605</v>
      </c>
      <c r="F746" s="232" t="s">
        <v>606</v>
      </c>
      <c r="G746" s="232" t="s">
        <v>1925</v>
      </c>
      <c r="K746" t="s">
        <v>2647</v>
      </c>
      <c r="L746" s="81">
        <f>+Municipios!AB747</f>
        <v>31.419747137866814</v>
      </c>
      <c r="M746" s="232">
        <v>50150</v>
      </c>
      <c r="N746" s="232" t="s">
        <v>1924</v>
      </c>
      <c r="O746" s="232" t="s">
        <v>605</v>
      </c>
      <c r="P746" s="232" t="s">
        <v>606</v>
      </c>
      <c r="Q746" s="232" t="s">
        <v>1925</v>
      </c>
      <c r="T746" t="s">
        <v>2803</v>
      </c>
      <c r="U746" s="25">
        <f>+Municipios!Z747</f>
        <v>66.05331653589991</v>
      </c>
      <c r="V746" s="232">
        <v>50150</v>
      </c>
      <c r="W746" s="232" t="s">
        <v>1924</v>
      </c>
      <c r="X746" s="232" t="s">
        <v>605</v>
      </c>
      <c r="Y746" s="232" t="s">
        <v>606</v>
      </c>
      <c r="Z746" s="232" t="s">
        <v>1925</v>
      </c>
    </row>
    <row r="747" spans="1:26">
      <c r="A747" t="s">
        <v>417</v>
      </c>
      <c r="B747" s="25">
        <f>+Municipios!Z748</f>
        <v>56.973744215092495</v>
      </c>
      <c r="C747" s="232">
        <v>5086</v>
      </c>
      <c r="D747" s="232" t="s">
        <v>1926</v>
      </c>
      <c r="E747" s="232" t="s">
        <v>435</v>
      </c>
      <c r="F747" s="232" t="s">
        <v>436</v>
      </c>
      <c r="G747" s="232" t="s">
        <v>1927</v>
      </c>
      <c r="K747" t="s">
        <v>2647</v>
      </c>
      <c r="L747" s="81">
        <f>+Municipios!AB748</f>
        <v>27.187561627406449</v>
      </c>
      <c r="M747" s="232">
        <v>5086</v>
      </c>
      <c r="N747" s="232" t="s">
        <v>1926</v>
      </c>
      <c r="O747" s="232" t="s">
        <v>435</v>
      </c>
      <c r="P747" s="232" t="s">
        <v>436</v>
      </c>
      <c r="Q747" s="232" t="s">
        <v>1927</v>
      </c>
      <c r="T747" t="s">
        <v>2803</v>
      </c>
      <c r="U747" s="25">
        <f>+Municipios!Z748</f>
        <v>56.973744215092495</v>
      </c>
      <c r="V747" s="232">
        <v>5086</v>
      </c>
      <c r="W747" s="232" t="s">
        <v>1926</v>
      </c>
      <c r="X747" s="232" t="s">
        <v>435</v>
      </c>
      <c r="Y747" s="232" t="s">
        <v>436</v>
      </c>
      <c r="Z747" s="232" t="s">
        <v>1927</v>
      </c>
    </row>
    <row r="748" spans="1:26">
      <c r="A748" t="s">
        <v>417</v>
      </c>
      <c r="B748" s="25">
        <f>+Municipios!Z749</f>
        <v>61.080827192304881</v>
      </c>
      <c r="C748" s="232">
        <v>86865</v>
      </c>
      <c r="D748" s="232" t="s">
        <v>1928</v>
      </c>
      <c r="E748" s="232" t="s">
        <v>943</v>
      </c>
      <c r="F748" s="232" t="s">
        <v>944</v>
      </c>
      <c r="G748" s="232" t="s">
        <v>1929</v>
      </c>
      <c r="K748" t="s">
        <v>2647</v>
      </c>
      <c r="L748" s="81">
        <f>+Municipios!AB749</f>
        <v>29.112741092244747</v>
      </c>
      <c r="M748" s="232">
        <v>86865</v>
      </c>
      <c r="N748" s="232" t="s">
        <v>1928</v>
      </c>
      <c r="O748" s="232" t="s">
        <v>943</v>
      </c>
      <c r="P748" s="232" t="s">
        <v>944</v>
      </c>
      <c r="Q748" s="232" t="s">
        <v>1929</v>
      </c>
      <c r="T748" t="s">
        <v>2803</v>
      </c>
      <c r="U748" s="25">
        <f>+Municipios!Z749</f>
        <v>61.080827192304881</v>
      </c>
      <c r="V748" s="232">
        <v>86865</v>
      </c>
      <c r="W748" s="232" t="s">
        <v>1928</v>
      </c>
      <c r="X748" s="232" t="s">
        <v>943</v>
      </c>
      <c r="Y748" s="232" t="s">
        <v>944</v>
      </c>
      <c r="Z748" s="232" t="s">
        <v>1929</v>
      </c>
    </row>
    <row r="749" spans="1:26">
      <c r="A749" t="s">
        <v>417</v>
      </c>
      <c r="B749" s="25">
        <f>+Municipios!Z750</f>
        <v>48.465612299116657</v>
      </c>
      <c r="C749" s="232">
        <v>47960</v>
      </c>
      <c r="D749" s="232" t="s">
        <v>1930</v>
      </c>
      <c r="E749" s="232" t="s">
        <v>638</v>
      </c>
      <c r="F749" s="232" t="s">
        <v>639</v>
      </c>
      <c r="G749" s="232" t="s">
        <v>1931</v>
      </c>
      <c r="K749" t="s">
        <v>2647</v>
      </c>
      <c r="L749" s="81">
        <f>+Municipios!AB750</f>
        <v>23.097718828056063</v>
      </c>
      <c r="M749" s="232">
        <v>47960</v>
      </c>
      <c r="N749" s="232" t="s">
        <v>1930</v>
      </c>
      <c r="O749" s="232" t="s">
        <v>638</v>
      </c>
      <c r="P749" s="232" t="s">
        <v>639</v>
      </c>
      <c r="Q749" s="232" t="s">
        <v>1931</v>
      </c>
      <c r="T749" t="s">
        <v>2803</v>
      </c>
      <c r="U749" s="25">
        <f>+Municipios!Z750</f>
        <v>48.465612299116657</v>
      </c>
      <c r="V749" s="232">
        <v>47960</v>
      </c>
      <c r="W749" s="232" t="s">
        <v>1930</v>
      </c>
      <c r="X749" s="232" t="s">
        <v>638</v>
      </c>
      <c r="Y749" s="232" t="s">
        <v>639</v>
      </c>
      <c r="Z749" s="232" t="s">
        <v>1931</v>
      </c>
    </row>
    <row r="750" spans="1:26">
      <c r="A750" t="s">
        <v>417</v>
      </c>
      <c r="B750" s="25">
        <f>+Municipios!Z751</f>
        <v>65.36294656334114</v>
      </c>
      <c r="C750" s="232">
        <v>25871</v>
      </c>
      <c r="D750" s="232" t="s">
        <v>1932</v>
      </c>
      <c r="E750" s="232" t="s">
        <v>461</v>
      </c>
      <c r="F750" s="232" t="s">
        <v>462</v>
      </c>
      <c r="G750" s="232" t="s">
        <v>1933</v>
      </c>
      <c r="K750" t="s">
        <v>2647</v>
      </c>
      <c r="L750" s="81">
        <f>+Municipios!AB751</f>
        <v>31.097734521311232</v>
      </c>
      <c r="M750" s="232">
        <v>25871</v>
      </c>
      <c r="N750" s="232" t="s">
        <v>1932</v>
      </c>
      <c r="O750" s="232" t="s">
        <v>461</v>
      </c>
      <c r="P750" s="232" t="s">
        <v>462</v>
      </c>
      <c r="Q750" s="232" t="s">
        <v>1933</v>
      </c>
      <c r="T750" t="s">
        <v>2803</v>
      </c>
      <c r="U750" s="25">
        <f>+Municipios!Z751</f>
        <v>65.36294656334114</v>
      </c>
      <c r="V750" s="232">
        <v>25871</v>
      </c>
      <c r="W750" s="232" t="s">
        <v>1932</v>
      </c>
      <c r="X750" s="232" t="s">
        <v>461</v>
      </c>
      <c r="Y750" s="232" t="s">
        <v>462</v>
      </c>
      <c r="Z750" s="232" t="s">
        <v>1933</v>
      </c>
    </row>
    <row r="751" spans="1:26">
      <c r="A751" t="s">
        <v>417</v>
      </c>
      <c r="B751" s="25">
        <f>+Municipios!Z752</f>
        <v>54.927366940317143</v>
      </c>
      <c r="C751" s="232">
        <v>54239</v>
      </c>
      <c r="D751" s="232" t="s">
        <v>1934</v>
      </c>
      <c r="E751" s="232" t="s">
        <v>517</v>
      </c>
      <c r="F751" s="232" t="s">
        <v>518</v>
      </c>
      <c r="G751" s="232" t="s">
        <v>1935</v>
      </c>
      <c r="K751" t="s">
        <v>2647</v>
      </c>
      <c r="L751" s="81">
        <f>+Municipios!AB752</f>
        <v>26.229768451341872</v>
      </c>
      <c r="M751" s="232">
        <v>54239</v>
      </c>
      <c r="N751" s="232" t="s">
        <v>1934</v>
      </c>
      <c r="O751" s="232" t="s">
        <v>517</v>
      </c>
      <c r="P751" s="232" t="s">
        <v>518</v>
      </c>
      <c r="Q751" s="232" t="s">
        <v>1935</v>
      </c>
      <c r="T751" t="s">
        <v>2803</v>
      </c>
      <c r="U751" s="25">
        <f>+Municipios!Z752</f>
        <v>54.927366940317143</v>
      </c>
      <c r="V751" s="232">
        <v>54239</v>
      </c>
      <c r="W751" s="232" t="s">
        <v>1934</v>
      </c>
      <c r="X751" s="232" t="s">
        <v>517</v>
      </c>
      <c r="Y751" s="232" t="s">
        <v>518</v>
      </c>
      <c r="Z751" s="232" t="s">
        <v>1935</v>
      </c>
    </row>
    <row r="752" spans="1:26">
      <c r="A752" t="s">
        <v>417</v>
      </c>
      <c r="B752" s="25">
        <f>+Municipios!Z753</f>
        <v>52.147343382151803</v>
      </c>
      <c r="C752" s="232">
        <v>25823</v>
      </c>
      <c r="D752" s="232" t="s">
        <v>1936</v>
      </c>
      <c r="E752" s="232" t="s">
        <v>461</v>
      </c>
      <c r="F752" s="232" t="s">
        <v>462</v>
      </c>
      <c r="G752" s="232" t="s">
        <v>1937</v>
      </c>
      <c r="K752" t="s">
        <v>2647</v>
      </c>
      <c r="L752" s="81">
        <f>+Municipios!AB753</f>
        <v>24.798933916497315</v>
      </c>
      <c r="M752" s="232">
        <v>25823</v>
      </c>
      <c r="N752" s="232" t="s">
        <v>1936</v>
      </c>
      <c r="O752" s="232" t="s">
        <v>461</v>
      </c>
      <c r="P752" s="232" t="s">
        <v>462</v>
      </c>
      <c r="Q752" s="232" t="s">
        <v>1937</v>
      </c>
      <c r="T752" t="s">
        <v>2803</v>
      </c>
      <c r="U752" s="25">
        <f>+Municipios!Z753</f>
        <v>52.147343382151803</v>
      </c>
      <c r="V752" s="232">
        <v>25823</v>
      </c>
      <c r="W752" s="232" t="s">
        <v>1936</v>
      </c>
      <c r="X752" s="232" t="s">
        <v>461</v>
      </c>
      <c r="Y752" s="232" t="s">
        <v>462</v>
      </c>
      <c r="Z752" s="232" t="s">
        <v>1937</v>
      </c>
    </row>
    <row r="753" spans="1:26">
      <c r="A753" t="s">
        <v>417</v>
      </c>
      <c r="B753" s="25">
        <f>+Municipios!Z754</f>
        <v>55.642169658093977</v>
      </c>
      <c r="C753" s="232">
        <v>68655</v>
      </c>
      <c r="D753" s="232" t="s">
        <v>1938</v>
      </c>
      <c r="E753" s="232" t="s">
        <v>431</v>
      </c>
      <c r="F753" s="232" t="s">
        <v>432</v>
      </c>
      <c r="G753" s="232" t="s">
        <v>1939</v>
      </c>
      <c r="K753" t="s">
        <v>2647</v>
      </c>
      <c r="L753" s="81">
        <f>+Municipios!AB754</f>
        <v>26.482316573542082</v>
      </c>
      <c r="M753" s="232">
        <v>68655</v>
      </c>
      <c r="N753" s="232" t="s">
        <v>1938</v>
      </c>
      <c r="O753" s="232" t="s">
        <v>431</v>
      </c>
      <c r="P753" s="232" t="s">
        <v>432</v>
      </c>
      <c r="Q753" s="232" t="s">
        <v>1939</v>
      </c>
      <c r="T753" t="s">
        <v>2803</v>
      </c>
      <c r="U753" s="25">
        <f>+Municipios!Z754</f>
        <v>55.642169658093977</v>
      </c>
      <c r="V753" s="232">
        <v>68655</v>
      </c>
      <c r="W753" s="232" t="s">
        <v>1938</v>
      </c>
      <c r="X753" s="232" t="s">
        <v>431</v>
      </c>
      <c r="Y753" s="232" t="s">
        <v>432</v>
      </c>
      <c r="Z753" s="232" t="s">
        <v>1939</v>
      </c>
    </row>
    <row r="754" spans="1:26">
      <c r="A754" t="s">
        <v>417</v>
      </c>
      <c r="B754" s="25">
        <f>+Municipios!Z755</f>
        <v>65.496074825052176</v>
      </c>
      <c r="C754" s="232">
        <v>13074</v>
      </c>
      <c r="D754" s="232" t="s">
        <v>1940</v>
      </c>
      <c r="E754" s="232" t="s">
        <v>480</v>
      </c>
      <c r="F754" s="232" t="s">
        <v>481</v>
      </c>
      <c r="G754" s="232" t="s">
        <v>1941</v>
      </c>
      <c r="K754" t="s">
        <v>2647</v>
      </c>
      <c r="L754" s="81">
        <f>+Municipios!AB755</f>
        <v>31.119738272154599</v>
      </c>
      <c r="M754" s="232">
        <v>13074</v>
      </c>
      <c r="N754" s="232" t="s">
        <v>1940</v>
      </c>
      <c r="O754" s="232" t="s">
        <v>480</v>
      </c>
      <c r="P754" s="232" t="s">
        <v>481</v>
      </c>
      <c r="Q754" s="232" t="s">
        <v>1941</v>
      </c>
      <c r="T754" t="s">
        <v>2803</v>
      </c>
      <c r="U754" s="25">
        <f>+Municipios!Z755</f>
        <v>65.496074825052176</v>
      </c>
      <c r="V754" s="232">
        <v>13074</v>
      </c>
      <c r="W754" s="232" t="s">
        <v>1940</v>
      </c>
      <c r="X754" s="232" t="s">
        <v>480</v>
      </c>
      <c r="Y754" s="232" t="s">
        <v>481</v>
      </c>
      <c r="Z754" s="232" t="s">
        <v>1941</v>
      </c>
    </row>
    <row r="755" spans="1:26">
      <c r="A755" t="s">
        <v>417</v>
      </c>
      <c r="B755" s="25">
        <f>+Municipios!Z756</f>
        <v>53.500280552091823</v>
      </c>
      <c r="C755" s="232">
        <v>20178</v>
      </c>
      <c r="D755" s="232" t="s">
        <v>1942</v>
      </c>
      <c r="E755" s="232" t="s">
        <v>893</v>
      </c>
      <c r="F755" s="232" t="s">
        <v>894</v>
      </c>
      <c r="G755" s="232" t="s">
        <v>1943</v>
      </c>
      <c r="K755" t="s">
        <v>2647</v>
      </c>
      <c r="L755" s="81">
        <f>+Municipios!AB756</f>
        <v>25.433071681075599</v>
      </c>
      <c r="M755" s="232">
        <v>20178</v>
      </c>
      <c r="N755" s="232" t="s">
        <v>1942</v>
      </c>
      <c r="O755" s="232" t="s">
        <v>893</v>
      </c>
      <c r="P755" s="232" t="s">
        <v>894</v>
      </c>
      <c r="Q755" s="232" t="s">
        <v>1943</v>
      </c>
      <c r="T755" t="s">
        <v>2803</v>
      </c>
      <c r="U755" s="25">
        <f>+Municipios!Z756</f>
        <v>53.500280552091823</v>
      </c>
      <c r="V755" s="232">
        <v>20178</v>
      </c>
      <c r="W755" s="232" t="s">
        <v>1942</v>
      </c>
      <c r="X755" s="232" t="s">
        <v>893</v>
      </c>
      <c r="Y755" s="232" t="s">
        <v>894</v>
      </c>
      <c r="Z755" s="232" t="s">
        <v>1943</v>
      </c>
    </row>
    <row r="756" spans="1:26">
      <c r="A756" t="s">
        <v>417</v>
      </c>
      <c r="B756" s="25">
        <f>+Municipios!Z757</f>
        <v>57.971002333979762</v>
      </c>
      <c r="C756" s="232">
        <v>5854</v>
      </c>
      <c r="D756" s="232" t="s">
        <v>1944</v>
      </c>
      <c r="E756" s="232" t="s">
        <v>435</v>
      </c>
      <c r="F756" s="232" t="s">
        <v>436</v>
      </c>
      <c r="G756" s="232" t="s">
        <v>1945</v>
      </c>
      <c r="K756" t="s">
        <v>2647</v>
      </c>
      <c r="L756" s="81">
        <f>+Municipios!AB757</f>
        <v>27.703901570964394</v>
      </c>
      <c r="M756" s="232">
        <v>5854</v>
      </c>
      <c r="N756" s="232" t="s">
        <v>1944</v>
      </c>
      <c r="O756" s="232" t="s">
        <v>435</v>
      </c>
      <c r="P756" s="232" t="s">
        <v>436</v>
      </c>
      <c r="Q756" s="232" t="s">
        <v>1945</v>
      </c>
      <c r="T756" t="s">
        <v>2803</v>
      </c>
      <c r="U756" s="25">
        <f>+Municipios!Z757</f>
        <v>57.971002333979762</v>
      </c>
      <c r="V756" s="232">
        <v>5854</v>
      </c>
      <c r="W756" s="232" t="s">
        <v>1944</v>
      </c>
      <c r="X756" s="232" t="s">
        <v>435</v>
      </c>
      <c r="Y756" s="232" t="s">
        <v>436</v>
      </c>
      <c r="Z756" s="232" t="s">
        <v>1945</v>
      </c>
    </row>
    <row r="757" spans="1:26">
      <c r="A757" t="s">
        <v>417</v>
      </c>
      <c r="B757" s="25">
        <f>+Municipios!Z758</f>
        <v>54.66560841554071</v>
      </c>
      <c r="C757" s="232">
        <v>19760</v>
      </c>
      <c r="D757" s="232" t="s">
        <v>1946</v>
      </c>
      <c r="E757" s="232" t="s">
        <v>557</v>
      </c>
      <c r="F757" s="232" t="s">
        <v>558</v>
      </c>
      <c r="G757" s="232" t="s">
        <v>1947</v>
      </c>
      <c r="K757" t="s">
        <v>2647</v>
      </c>
      <c r="L757" s="81">
        <f>+Municipios!AB758</f>
        <v>25.940272978181266</v>
      </c>
      <c r="M757" s="232">
        <v>19760</v>
      </c>
      <c r="N757" s="232" t="s">
        <v>1946</v>
      </c>
      <c r="O757" s="232" t="s">
        <v>557</v>
      </c>
      <c r="P757" s="232" t="s">
        <v>558</v>
      </c>
      <c r="Q757" s="232" t="s">
        <v>1947</v>
      </c>
      <c r="T757" t="s">
        <v>2803</v>
      </c>
      <c r="U757" s="25">
        <f>+Municipios!Z758</f>
        <v>54.66560841554071</v>
      </c>
      <c r="V757" s="232">
        <v>19760</v>
      </c>
      <c r="W757" s="232" t="s">
        <v>1946</v>
      </c>
      <c r="X757" s="232" t="s">
        <v>557</v>
      </c>
      <c r="Y757" s="232" t="s">
        <v>558</v>
      </c>
      <c r="Z757" s="232" t="s">
        <v>1947</v>
      </c>
    </row>
    <row r="758" spans="1:26">
      <c r="A758" t="s">
        <v>417</v>
      </c>
      <c r="B758" s="25">
        <f>+Municipios!Z759</f>
        <v>53.118832356661748</v>
      </c>
      <c r="C758" s="232">
        <v>44847</v>
      </c>
      <c r="D758" s="232" t="s">
        <v>1948</v>
      </c>
      <c r="E758" s="232" t="s">
        <v>933</v>
      </c>
      <c r="F758" s="232" t="s">
        <v>934</v>
      </c>
      <c r="G758" s="232" t="s">
        <v>1949</v>
      </c>
      <c r="K758" t="s">
        <v>2647</v>
      </c>
      <c r="L758" s="81">
        <f>+Municipios!AB759</f>
        <v>25.172222761045969</v>
      </c>
      <c r="M758" s="232">
        <v>44847</v>
      </c>
      <c r="N758" s="232" t="s">
        <v>1948</v>
      </c>
      <c r="O758" s="232" t="s">
        <v>933</v>
      </c>
      <c r="P758" s="232" t="s">
        <v>934</v>
      </c>
      <c r="Q758" s="232" t="s">
        <v>1949</v>
      </c>
      <c r="T758" t="s">
        <v>2803</v>
      </c>
      <c r="U758" s="25">
        <f>+Municipios!Z759</f>
        <v>53.118832356661748</v>
      </c>
      <c r="V758" s="232">
        <v>44847</v>
      </c>
      <c r="W758" s="232" t="s">
        <v>1948</v>
      </c>
      <c r="X758" s="232" t="s">
        <v>933</v>
      </c>
      <c r="Y758" s="232" t="s">
        <v>934</v>
      </c>
      <c r="Z758" s="232" t="s">
        <v>1949</v>
      </c>
    </row>
    <row r="759" spans="1:26">
      <c r="A759" t="s">
        <v>417</v>
      </c>
      <c r="B759" s="25">
        <f>+Municipios!Z760</f>
        <v>54.025600505204814</v>
      </c>
      <c r="C759" s="232">
        <v>13667</v>
      </c>
      <c r="D759" s="232" t="s">
        <v>1950</v>
      </c>
      <c r="E759" s="232" t="s">
        <v>480</v>
      </c>
      <c r="F759" s="232" t="s">
        <v>481</v>
      </c>
      <c r="G759" s="232" t="s">
        <v>1951</v>
      </c>
      <c r="K759" t="s">
        <v>2647</v>
      </c>
      <c r="L759" s="81">
        <f>+Municipios!AB760</f>
        <v>25.53221102492174</v>
      </c>
      <c r="M759" s="232">
        <v>13667</v>
      </c>
      <c r="N759" s="232" t="s">
        <v>1950</v>
      </c>
      <c r="O759" s="232" t="s">
        <v>480</v>
      </c>
      <c r="P759" s="232" t="s">
        <v>481</v>
      </c>
      <c r="Q759" s="232" t="s">
        <v>1951</v>
      </c>
      <c r="T759" t="s">
        <v>2803</v>
      </c>
      <c r="U759" s="25">
        <f>+Municipios!Z760</f>
        <v>54.025600505204814</v>
      </c>
      <c r="V759" s="232">
        <v>13667</v>
      </c>
      <c r="W759" s="232" t="s">
        <v>1950</v>
      </c>
      <c r="X759" s="232" t="s">
        <v>480</v>
      </c>
      <c r="Y759" s="232" t="s">
        <v>481</v>
      </c>
      <c r="Z759" s="232" t="s">
        <v>1951</v>
      </c>
    </row>
    <row r="760" spans="1:26">
      <c r="A760" t="s">
        <v>417</v>
      </c>
      <c r="B760" s="25">
        <f>+Municipios!Z761</f>
        <v>64.95402326341636</v>
      </c>
      <c r="C760" s="232">
        <v>20175</v>
      </c>
      <c r="D760" s="232" t="s">
        <v>1952</v>
      </c>
      <c r="E760" s="232" t="s">
        <v>893</v>
      </c>
      <c r="F760" s="232" t="s">
        <v>894</v>
      </c>
      <c r="G760" s="232" t="s">
        <v>1953</v>
      </c>
      <c r="K760" t="s">
        <v>2647</v>
      </c>
      <c r="L760" s="81">
        <f>+Municipios!AB761</f>
        <v>30.717698312353519</v>
      </c>
      <c r="M760" s="232">
        <v>20175</v>
      </c>
      <c r="N760" s="232" t="s">
        <v>1952</v>
      </c>
      <c r="O760" s="232" t="s">
        <v>893</v>
      </c>
      <c r="P760" s="232" t="s">
        <v>894</v>
      </c>
      <c r="Q760" s="232" t="s">
        <v>1953</v>
      </c>
      <c r="T760" t="s">
        <v>2803</v>
      </c>
      <c r="U760" s="25">
        <f>+Municipios!Z761</f>
        <v>64.95402326341636</v>
      </c>
      <c r="V760" s="232">
        <v>20175</v>
      </c>
      <c r="W760" s="232" t="s">
        <v>1952</v>
      </c>
      <c r="X760" s="232" t="s">
        <v>893</v>
      </c>
      <c r="Y760" s="232" t="s">
        <v>894</v>
      </c>
      <c r="Z760" s="232" t="s">
        <v>1953</v>
      </c>
    </row>
    <row r="761" spans="1:26">
      <c r="A761" t="s">
        <v>417</v>
      </c>
      <c r="B761" s="25">
        <f>+Municipios!Z762</f>
        <v>59.617140272331113</v>
      </c>
      <c r="C761" s="232">
        <v>63548</v>
      </c>
      <c r="D761" s="232" t="s">
        <v>1954</v>
      </c>
      <c r="E761" s="232" t="s">
        <v>473</v>
      </c>
      <c r="F761" s="232" t="s">
        <v>474</v>
      </c>
      <c r="G761" s="232" t="s">
        <v>1955</v>
      </c>
      <c r="K761" t="s">
        <v>2647</v>
      </c>
      <c r="L761" s="81">
        <f>+Municipios!AB762</f>
        <v>28.05856138906158</v>
      </c>
      <c r="M761" s="232">
        <v>63548</v>
      </c>
      <c r="N761" s="232" t="s">
        <v>1954</v>
      </c>
      <c r="O761" s="232" t="s">
        <v>473</v>
      </c>
      <c r="P761" s="232" t="s">
        <v>474</v>
      </c>
      <c r="Q761" s="232" t="s">
        <v>1955</v>
      </c>
      <c r="T761" t="s">
        <v>2803</v>
      </c>
      <c r="U761" s="25">
        <f>+Municipios!Z762</f>
        <v>59.617140272331113</v>
      </c>
      <c r="V761" s="232">
        <v>63548</v>
      </c>
      <c r="W761" s="232" t="s">
        <v>1954</v>
      </c>
      <c r="X761" s="232" t="s">
        <v>473</v>
      </c>
      <c r="Y761" s="232" t="s">
        <v>474</v>
      </c>
      <c r="Z761" s="232" t="s">
        <v>1955</v>
      </c>
    </row>
    <row r="762" spans="1:26">
      <c r="A762" t="s">
        <v>417</v>
      </c>
      <c r="B762" s="25">
        <f>+Municipios!Z763</f>
        <v>69.047656749786753</v>
      </c>
      <c r="C762" s="232">
        <v>23682</v>
      </c>
      <c r="D762" s="232" t="s">
        <v>1956</v>
      </c>
      <c r="E762" s="232" t="s">
        <v>567</v>
      </c>
      <c r="F762" s="232" t="s">
        <v>568</v>
      </c>
      <c r="G762" s="232" t="s">
        <v>1957</v>
      </c>
      <c r="K762" t="s">
        <v>2647</v>
      </c>
      <c r="L762" s="81">
        <f>+Municipios!AB763</f>
        <v>32.605392841294645</v>
      </c>
      <c r="M762" s="232">
        <v>23682</v>
      </c>
      <c r="N762" s="232" t="s">
        <v>1956</v>
      </c>
      <c r="O762" s="232" t="s">
        <v>567</v>
      </c>
      <c r="P762" s="232" t="s">
        <v>568</v>
      </c>
      <c r="Q762" s="232" t="s">
        <v>1957</v>
      </c>
      <c r="T762" t="s">
        <v>2803</v>
      </c>
      <c r="U762" s="25">
        <f>+Municipios!Z763</f>
        <v>69.047656749786753</v>
      </c>
      <c r="V762" s="232">
        <v>23682</v>
      </c>
      <c r="W762" s="232" t="s">
        <v>1956</v>
      </c>
      <c r="X762" s="232" t="s">
        <v>567</v>
      </c>
      <c r="Y762" s="232" t="s">
        <v>568</v>
      </c>
      <c r="Z762" s="232" t="s">
        <v>1957</v>
      </c>
    </row>
    <row r="763" spans="1:26">
      <c r="A763" t="s">
        <v>417</v>
      </c>
      <c r="B763" s="25">
        <f>+Municipios!Z764</f>
        <v>41.364140058692726</v>
      </c>
      <c r="C763" s="232">
        <v>47605</v>
      </c>
      <c r="D763" s="232" t="s">
        <v>1958</v>
      </c>
      <c r="E763" s="232" t="s">
        <v>638</v>
      </c>
      <c r="F763" s="232" t="s">
        <v>639</v>
      </c>
      <c r="G763" s="232" t="s">
        <v>1959</v>
      </c>
      <c r="K763" t="s">
        <v>2647</v>
      </c>
      <c r="L763" s="81">
        <f>+Municipios!AB764</f>
        <v>19.448985412916244</v>
      </c>
      <c r="M763" s="232">
        <v>47605</v>
      </c>
      <c r="N763" s="232" t="s">
        <v>1958</v>
      </c>
      <c r="O763" s="232" t="s">
        <v>638</v>
      </c>
      <c r="P763" s="232" t="s">
        <v>639</v>
      </c>
      <c r="Q763" s="232" t="s">
        <v>1959</v>
      </c>
      <c r="T763" t="s">
        <v>2803</v>
      </c>
      <c r="U763" s="25">
        <f>+Municipios!Z764</f>
        <v>41.364140058692726</v>
      </c>
      <c r="V763" s="232">
        <v>47605</v>
      </c>
      <c r="W763" s="232" t="s">
        <v>1958</v>
      </c>
      <c r="X763" s="232" t="s">
        <v>638</v>
      </c>
      <c r="Y763" s="232" t="s">
        <v>639</v>
      </c>
      <c r="Z763" s="232" t="s">
        <v>1959</v>
      </c>
    </row>
    <row r="764" spans="1:26">
      <c r="A764" t="s">
        <v>417</v>
      </c>
      <c r="B764" s="25">
        <f>+Municipios!Z765</f>
        <v>55.234302918916697</v>
      </c>
      <c r="C764" s="232">
        <v>5649</v>
      </c>
      <c r="D764" s="232" t="s">
        <v>1960</v>
      </c>
      <c r="E764" s="232" t="s">
        <v>435</v>
      </c>
      <c r="F764" s="232" t="s">
        <v>436</v>
      </c>
      <c r="G764" s="232" t="s">
        <v>1171</v>
      </c>
      <c r="K764" t="s">
        <v>2647</v>
      </c>
      <c r="L764" s="81">
        <f>+Municipios!AB765</f>
        <v>26.156994926286565</v>
      </c>
      <c r="M764" s="232">
        <v>5649</v>
      </c>
      <c r="N764" s="232" t="s">
        <v>1960</v>
      </c>
      <c r="O764" s="232" t="s">
        <v>435</v>
      </c>
      <c r="P764" s="232" t="s">
        <v>436</v>
      </c>
      <c r="Q764" s="232" t="s">
        <v>1171</v>
      </c>
      <c r="T764" t="s">
        <v>2803</v>
      </c>
      <c r="U764" s="25">
        <f>+Municipios!Z765</f>
        <v>55.234302918916697</v>
      </c>
      <c r="V764" s="232">
        <v>5649</v>
      </c>
      <c r="W764" s="232" t="s">
        <v>1960</v>
      </c>
      <c r="X764" s="232" t="s">
        <v>435</v>
      </c>
      <c r="Y764" s="232" t="s">
        <v>436</v>
      </c>
      <c r="Z764" s="232" t="s">
        <v>1171</v>
      </c>
    </row>
    <row r="765" spans="1:26">
      <c r="A765" t="s">
        <v>417</v>
      </c>
      <c r="B765" s="25">
        <f>+Municipios!Z766</f>
        <v>61.562582921655256</v>
      </c>
      <c r="C765" s="232">
        <v>54377</v>
      </c>
      <c r="D765" s="232" t="s">
        <v>1961</v>
      </c>
      <c r="E765" s="232" t="s">
        <v>517</v>
      </c>
      <c r="F765" s="232" t="s">
        <v>518</v>
      </c>
      <c r="G765" s="232" t="s">
        <v>1962</v>
      </c>
      <c r="K765" t="s">
        <v>2647</v>
      </c>
      <c r="L765" s="81">
        <f>+Municipios!AB766</f>
        <v>29.029568336414155</v>
      </c>
      <c r="M765" s="232">
        <v>54377</v>
      </c>
      <c r="N765" s="232" t="s">
        <v>1961</v>
      </c>
      <c r="O765" s="232" t="s">
        <v>517</v>
      </c>
      <c r="P765" s="232" t="s">
        <v>518</v>
      </c>
      <c r="Q765" s="232" t="s">
        <v>1962</v>
      </c>
      <c r="T765" t="s">
        <v>2803</v>
      </c>
      <c r="U765" s="25">
        <f>+Municipios!Z766</f>
        <v>61.562582921655256</v>
      </c>
      <c r="V765" s="232">
        <v>54377</v>
      </c>
      <c r="W765" s="232" t="s">
        <v>1961</v>
      </c>
      <c r="X765" s="232" t="s">
        <v>517</v>
      </c>
      <c r="Y765" s="232" t="s">
        <v>518</v>
      </c>
      <c r="Z765" s="232" t="s">
        <v>1962</v>
      </c>
    </row>
    <row r="766" spans="1:26">
      <c r="A766" t="s">
        <v>417</v>
      </c>
      <c r="B766" s="25">
        <f>+Municipios!Z767</f>
        <v>43.399093515183161</v>
      </c>
      <c r="C766" s="232">
        <v>5425</v>
      </c>
      <c r="D766" s="232" t="s">
        <v>1963</v>
      </c>
      <c r="E766" s="232" t="s">
        <v>435</v>
      </c>
      <c r="F766" s="232" t="s">
        <v>436</v>
      </c>
      <c r="G766" s="232" t="s">
        <v>1964</v>
      </c>
      <c r="K766" t="s">
        <v>2647</v>
      </c>
      <c r="L766" s="81">
        <f>+Municipios!AB767</f>
        <v>20.429957579887716</v>
      </c>
      <c r="M766" s="232">
        <v>5425</v>
      </c>
      <c r="N766" s="232" t="s">
        <v>1963</v>
      </c>
      <c r="O766" s="232" t="s">
        <v>435</v>
      </c>
      <c r="P766" s="232" t="s">
        <v>436</v>
      </c>
      <c r="Q766" s="232" t="s">
        <v>1964</v>
      </c>
      <c r="T766" t="s">
        <v>2803</v>
      </c>
      <c r="U766" s="25">
        <f>+Municipios!Z767</f>
        <v>43.399093515183161</v>
      </c>
      <c r="V766" s="232">
        <v>5425</v>
      </c>
      <c r="W766" s="232" t="s">
        <v>1963</v>
      </c>
      <c r="X766" s="232" t="s">
        <v>435</v>
      </c>
      <c r="Y766" s="232" t="s">
        <v>436</v>
      </c>
      <c r="Z766" s="232" t="s">
        <v>1964</v>
      </c>
    </row>
    <row r="767" spans="1:26">
      <c r="A767" t="s">
        <v>417</v>
      </c>
      <c r="B767" s="25">
        <f>+Municipios!Z768</f>
        <v>59.573085046479505</v>
      </c>
      <c r="C767" s="232">
        <v>17662</v>
      </c>
      <c r="D767" s="232" t="s">
        <v>1965</v>
      </c>
      <c r="E767" s="232" t="s">
        <v>506</v>
      </c>
      <c r="F767" s="232" t="s">
        <v>507</v>
      </c>
      <c r="G767" s="232" t="s">
        <v>1966</v>
      </c>
      <c r="K767" t="s">
        <v>2647</v>
      </c>
      <c r="L767" s="81">
        <f>+Municipios!AB768</f>
        <v>27.89557609816206</v>
      </c>
      <c r="M767" s="232">
        <v>17662</v>
      </c>
      <c r="N767" s="232" t="s">
        <v>1965</v>
      </c>
      <c r="O767" s="232" t="s">
        <v>506</v>
      </c>
      <c r="P767" s="232" t="s">
        <v>507</v>
      </c>
      <c r="Q767" s="232" t="s">
        <v>1966</v>
      </c>
      <c r="T767" t="s">
        <v>2803</v>
      </c>
      <c r="U767" s="25">
        <f>+Municipios!Z768</f>
        <v>59.573085046479505</v>
      </c>
      <c r="V767" s="232">
        <v>17662</v>
      </c>
      <c r="W767" s="232" t="s">
        <v>1965</v>
      </c>
      <c r="X767" s="232" t="s">
        <v>506</v>
      </c>
      <c r="Y767" s="232" t="s">
        <v>507</v>
      </c>
      <c r="Z767" s="232" t="s">
        <v>1966</v>
      </c>
    </row>
    <row r="768" spans="1:26">
      <c r="A768" t="s">
        <v>417</v>
      </c>
      <c r="B768" s="25">
        <f>+Municipios!Z769</f>
        <v>50.268084195698741</v>
      </c>
      <c r="C768" s="232">
        <v>68820</v>
      </c>
      <c r="D768" s="232" t="s">
        <v>1967</v>
      </c>
      <c r="E768" s="232" t="s">
        <v>431</v>
      </c>
      <c r="F768" s="232" t="s">
        <v>432</v>
      </c>
      <c r="G768" s="232" t="s">
        <v>1968</v>
      </c>
      <c r="K768" t="s">
        <v>2647</v>
      </c>
      <c r="L768" s="81">
        <f>+Municipios!AB769</f>
        <v>23.235065222242792</v>
      </c>
      <c r="M768" s="232">
        <v>68820</v>
      </c>
      <c r="N768" s="232" t="s">
        <v>1967</v>
      </c>
      <c r="O768" s="232" t="s">
        <v>431</v>
      </c>
      <c r="P768" s="232" t="s">
        <v>432</v>
      </c>
      <c r="Q768" s="232" t="s">
        <v>1968</v>
      </c>
      <c r="T768" t="s">
        <v>2803</v>
      </c>
      <c r="U768" s="25">
        <f>+Municipios!Z769</f>
        <v>50.268084195698741</v>
      </c>
      <c r="V768" s="232">
        <v>68820</v>
      </c>
      <c r="W768" s="232" t="s">
        <v>1967</v>
      </c>
      <c r="X768" s="232" t="s">
        <v>431</v>
      </c>
      <c r="Y768" s="232" t="s">
        <v>432</v>
      </c>
      <c r="Z768" s="232" t="s">
        <v>1968</v>
      </c>
    </row>
    <row r="769" spans="1:26">
      <c r="A769" t="s">
        <v>417</v>
      </c>
      <c r="B769" s="25">
        <f>+Municipios!Z770</f>
        <v>52.691009848282562</v>
      </c>
      <c r="C769" s="232">
        <v>68211</v>
      </c>
      <c r="D769" s="232" t="s">
        <v>1969</v>
      </c>
      <c r="E769" s="232" t="s">
        <v>431</v>
      </c>
      <c r="F769" s="232" t="s">
        <v>432</v>
      </c>
      <c r="G769" s="232" t="s">
        <v>1970</v>
      </c>
      <c r="K769" t="s">
        <v>2647</v>
      </c>
      <c r="L769" s="81">
        <f>+Municipios!AB770</f>
        <v>24.718138763460036</v>
      </c>
      <c r="M769" s="232">
        <v>68211</v>
      </c>
      <c r="N769" s="232" t="s">
        <v>1969</v>
      </c>
      <c r="O769" s="232" t="s">
        <v>431</v>
      </c>
      <c r="P769" s="232" t="s">
        <v>432</v>
      </c>
      <c r="Q769" s="232" t="s">
        <v>1970</v>
      </c>
      <c r="T769" t="s">
        <v>2803</v>
      </c>
      <c r="U769" s="25">
        <f>+Municipios!Z770</f>
        <v>52.691009848282562</v>
      </c>
      <c r="V769" s="232">
        <v>68211</v>
      </c>
      <c r="W769" s="232" t="s">
        <v>1969</v>
      </c>
      <c r="X769" s="232" t="s">
        <v>431</v>
      </c>
      <c r="Y769" s="232" t="s">
        <v>432</v>
      </c>
      <c r="Z769" s="232" t="s">
        <v>1970</v>
      </c>
    </row>
    <row r="770" spans="1:26">
      <c r="A770" t="s">
        <v>417</v>
      </c>
      <c r="B770" s="25">
        <f>+Municipios!Z771</f>
        <v>64.689195625069431</v>
      </c>
      <c r="C770" s="232">
        <v>73168</v>
      </c>
      <c r="D770" s="232" t="s">
        <v>1971</v>
      </c>
      <c r="E770" s="232" t="s">
        <v>595</v>
      </c>
      <c r="F770" s="232" t="s">
        <v>596</v>
      </c>
      <c r="G770" s="232" t="s">
        <v>1972</v>
      </c>
      <c r="K770" t="s">
        <v>2647</v>
      </c>
      <c r="L770" s="81">
        <f>+Municipios!AB771</f>
        <v>30.332420057449607</v>
      </c>
      <c r="M770" s="232">
        <v>73168</v>
      </c>
      <c r="N770" s="232" t="s">
        <v>1971</v>
      </c>
      <c r="O770" s="232" t="s">
        <v>595</v>
      </c>
      <c r="P770" s="232" t="s">
        <v>596</v>
      </c>
      <c r="Q770" s="232" t="s">
        <v>1972</v>
      </c>
      <c r="T770" t="s">
        <v>2803</v>
      </c>
      <c r="U770" s="25">
        <f>+Municipios!Z771</f>
        <v>64.689195625069431</v>
      </c>
      <c r="V770" s="232">
        <v>73168</v>
      </c>
      <c r="W770" s="232" t="s">
        <v>1971</v>
      </c>
      <c r="X770" s="232" t="s">
        <v>595</v>
      </c>
      <c r="Y770" s="232" t="s">
        <v>596</v>
      </c>
      <c r="Z770" s="232" t="s">
        <v>1972</v>
      </c>
    </row>
    <row r="771" spans="1:26">
      <c r="A771" t="s">
        <v>417</v>
      </c>
      <c r="B771" s="25">
        <f>+Municipios!Z772</f>
        <v>53.038136452060961</v>
      </c>
      <c r="C771" s="232">
        <v>47551</v>
      </c>
      <c r="D771" s="232" t="s">
        <v>1973</v>
      </c>
      <c r="E771" s="232" t="s">
        <v>638</v>
      </c>
      <c r="F771" s="232" t="s">
        <v>639</v>
      </c>
      <c r="G771" s="232" t="s">
        <v>1974</v>
      </c>
      <c r="K771" t="s">
        <v>2647</v>
      </c>
      <c r="L771" s="81">
        <f>+Municipios!AB772</f>
        <v>24.854164675588724</v>
      </c>
      <c r="M771" s="232">
        <v>47551</v>
      </c>
      <c r="N771" s="232" t="s">
        <v>1973</v>
      </c>
      <c r="O771" s="232" t="s">
        <v>638</v>
      </c>
      <c r="P771" s="232" t="s">
        <v>639</v>
      </c>
      <c r="Q771" s="232" t="s">
        <v>1974</v>
      </c>
      <c r="T771" t="s">
        <v>2803</v>
      </c>
      <c r="U771" s="25">
        <f>+Municipios!Z772</f>
        <v>53.038136452060961</v>
      </c>
      <c r="V771" s="232">
        <v>47551</v>
      </c>
      <c r="W771" s="232" t="s">
        <v>1973</v>
      </c>
      <c r="X771" s="232" t="s">
        <v>638</v>
      </c>
      <c r="Y771" s="232" t="s">
        <v>639</v>
      </c>
      <c r="Z771" s="232" t="s">
        <v>1974</v>
      </c>
    </row>
    <row r="772" spans="1:26">
      <c r="A772" t="s">
        <v>417</v>
      </c>
      <c r="B772" s="25">
        <f>+Municipios!Z773</f>
        <v>58.707442283639011</v>
      </c>
      <c r="C772" s="232">
        <v>15317</v>
      </c>
      <c r="D772" s="232" t="s">
        <v>1975</v>
      </c>
      <c r="E772" s="232" t="s">
        <v>498</v>
      </c>
      <c r="F772" s="232" t="s">
        <v>499</v>
      </c>
      <c r="G772" s="232" t="s">
        <v>1976</v>
      </c>
      <c r="K772" t="s">
        <v>2647</v>
      </c>
      <c r="L772" s="81">
        <f>+Municipios!AB773</f>
        <v>27.535143367410818</v>
      </c>
      <c r="M772" s="232">
        <v>15317</v>
      </c>
      <c r="N772" s="232" t="s">
        <v>1975</v>
      </c>
      <c r="O772" s="232" t="s">
        <v>498</v>
      </c>
      <c r="P772" s="232" t="s">
        <v>499</v>
      </c>
      <c r="Q772" s="232" t="s">
        <v>1976</v>
      </c>
      <c r="T772" t="s">
        <v>2803</v>
      </c>
      <c r="U772" s="25">
        <f>+Municipios!Z773</f>
        <v>58.707442283639011</v>
      </c>
      <c r="V772" s="232">
        <v>15317</v>
      </c>
      <c r="W772" s="232" t="s">
        <v>1975</v>
      </c>
      <c r="X772" s="232" t="s">
        <v>498</v>
      </c>
      <c r="Y772" s="232" t="s">
        <v>499</v>
      </c>
      <c r="Z772" s="232" t="s">
        <v>1976</v>
      </c>
    </row>
    <row r="773" spans="1:26">
      <c r="A773" t="s">
        <v>417</v>
      </c>
      <c r="B773" s="25">
        <f>+Municipios!Z774</f>
        <v>64.317972826696746</v>
      </c>
      <c r="C773" s="232">
        <v>50318</v>
      </c>
      <c r="D773" s="232" t="s">
        <v>1977</v>
      </c>
      <c r="E773" s="232" t="s">
        <v>605</v>
      </c>
      <c r="F773" s="232" t="s">
        <v>606</v>
      </c>
      <c r="G773" s="232" t="s">
        <v>1498</v>
      </c>
      <c r="K773" t="s">
        <v>2647</v>
      </c>
      <c r="L773" s="81">
        <f>+Municipios!AB774</f>
        <v>30.032990500744589</v>
      </c>
      <c r="M773" s="232">
        <v>50318</v>
      </c>
      <c r="N773" s="232" t="s">
        <v>1977</v>
      </c>
      <c r="O773" s="232" t="s">
        <v>605</v>
      </c>
      <c r="P773" s="232" t="s">
        <v>606</v>
      </c>
      <c r="Q773" s="232" t="s">
        <v>1498</v>
      </c>
      <c r="T773" t="s">
        <v>2803</v>
      </c>
      <c r="U773" s="25">
        <f>+Municipios!Z774</f>
        <v>64.317972826696746</v>
      </c>
      <c r="V773" s="232">
        <v>50318</v>
      </c>
      <c r="W773" s="232" t="s">
        <v>1977</v>
      </c>
      <c r="X773" s="232" t="s">
        <v>605</v>
      </c>
      <c r="Y773" s="232" t="s">
        <v>606</v>
      </c>
      <c r="Z773" s="232" t="s">
        <v>1498</v>
      </c>
    </row>
    <row r="774" spans="1:26">
      <c r="A774" t="s">
        <v>417</v>
      </c>
      <c r="B774" s="25">
        <f>+Municipios!Z775</f>
        <v>67.615328617834265</v>
      </c>
      <c r="C774" s="232">
        <v>15790</v>
      </c>
      <c r="D774" s="232" t="s">
        <v>1978</v>
      </c>
      <c r="E774" s="232" t="s">
        <v>498</v>
      </c>
      <c r="F774" s="232" t="s">
        <v>499</v>
      </c>
      <c r="G774" s="232" t="s">
        <v>1979</v>
      </c>
      <c r="K774" t="s">
        <v>2647</v>
      </c>
      <c r="L774" s="81">
        <f>+Municipios!AB775</f>
        <v>31.760908403076566</v>
      </c>
      <c r="M774" s="232">
        <v>15790</v>
      </c>
      <c r="N774" s="232" t="s">
        <v>1978</v>
      </c>
      <c r="O774" s="232" t="s">
        <v>498</v>
      </c>
      <c r="P774" s="232" t="s">
        <v>499</v>
      </c>
      <c r="Q774" s="232" t="s">
        <v>1979</v>
      </c>
      <c r="T774" t="s">
        <v>2803</v>
      </c>
      <c r="U774" s="25">
        <f>+Municipios!Z775</f>
        <v>67.615328617834265</v>
      </c>
      <c r="V774" s="232">
        <v>15790</v>
      </c>
      <c r="W774" s="232" t="s">
        <v>1978</v>
      </c>
      <c r="X774" s="232" t="s">
        <v>498</v>
      </c>
      <c r="Y774" s="232" t="s">
        <v>499</v>
      </c>
      <c r="Z774" s="232" t="s">
        <v>1979</v>
      </c>
    </row>
    <row r="775" spans="1:26">
      <c r="A775" t="s">
        <v>417</v>
      </c>
      <c r="B775" s="25">
        <f>+Municipios!Z776</f>
        <v>52.777572873031147</v>
      </c>
      <c r="C775" s="232">
        <v>41357</v>
      </c>
      <c r="D775" s="232" t="s">
        <v>1980</v>
      </c>
      <c r="E775" s="232" t="s">
        <v>676</v>
      </c>
      <c r="F775" s="232" t="s">
        <v>677</v>
      </c>
      <c r="G775" s="232" t="s">
        <v>1981</v>
      </c>
      <c r="K775" t="s">
        <v>2647</v>
      </c>
      <c r="L775" s="81">
        <f>+Municipios!AB776</f>
        <v>24.727703680720111</v>
      </c>
      <c r="M775" s="232">
        <v>41357</v>
      </c>
      <c r="N775" s="232" t="s">
        <v>1980</v>
      </c>
      <c r="O775" s="232" t="s">
        <v>676</v>
      </c>
      <c r="P775" s="232" t="s">
        <v>677</v>
      </c>
      <c r="Q775" s="232" t="s">
        <v>1981</v>
      </c>
      <c r="T775" t="s">
        <v>2803</v>
      </c>
      <c r="U775" s="25">
        <f>+Municipios!Z776</f>
        <v>52.777572873031147</v>
      </c>
      <c r="V775" s="232">
        <v>41357</v>
      </c>
      <c r="W775" s="232" t="s">
        <v>1980</v>
      </c>
      <c r="X775" s="232" t="s">
        <v>676</v>
      </c>
      <c r="Y775" s="232" t="s">
        <v>677</v>
      </c>
      <c r="Z775" s="232" t="s">
        <v>1981</v>
      </c>
    </row>
    <row r="776" spans="1:26">
      <c r="A776" t="s">
        <v>417</v>
      </c>
      <c r="B776" s="25">
        <f>+Municipios!Z777</f>
        <v>46.490289481517884</v>
      </c>
      <c r="C776" s="232">
        <v>5790</v>
      </c>
      <c r="D776" s="232" t="s">
        <v>1982</v>
      </c>
      <c r="E776" s="232" t="s">
        <v>435</v>
      </c>
      <c r="F776" s="232" t="s">
        <v>436</v>
      </c>
      <c r="G776" s="232" t="s">
        <v>1983</v>
      </c>
      <c r="K776" t="s">
        <v>2647</v>
      </c>
      <c r="L776" s="81">
        <f>+Municipios!AB777</f>
        <v>21.831114967636676</v>
      </c>
      <c r="M776" s="232">
        <v>5790</v>
      </c>
      <c r="N776" s="232" t="s">
        <v>1982</v>
      </c>
      <c r="O776" s="232" t="s">
        <v>435</v>
      </c>
      <c r="P776" s="232" t="s">
        <v>436</v>
      </c>
      <c r="Q776" s="232" t="s">
        <v>1983</v>
      </c>
      <c r="T776" t="s">
        <v>2803</v>
      </c>
      <c r="U776" s="25">
        <f>+Municipios!Z777</f>
        <v>46.490289481517884</v>
      </c>
      <c r="V776" s="232">
        <v>5790</v>
      </c>
      <c r="W776" s="232" t="s">
        <v>1982</v>
      </c>
      <c r="X776" s="232" t="s">
        <v>435</v>
      </c>
      <c r="Y776" s="232" t="s">
        <v>436</v>
      </c>
      <c r="Z776" s="232" t="s">
        <v>1983</v>
      </c>
    </row>
    <row r="777" spans="1:26">
      <c r="A777" t="s">
        <v>417</v>
      </c>
      <c r="B777" s="25">
        <f>+Municipios!Z778</f>
        <v>53.536803463640652</v>
      </c>
      <c r="C777" s="232">
        <v>68169</v>
      </c>
      <c r="D777" s="232" t="s">
        <v>1984</v>
      </c>
      <c r="E777" s="232" t="s">
        <v>431</v>
      </c>
      <c r="F777" s="232" t="s">
        <v>432</v>
      </c>
      <c r="G777" s="232" t="s">
        <v>1985</v>
      </c>
      <c r="K777" t="s">
        <v>2647</v>
      </c>
      <c r="L777" s="81">
        <f>+Municipios!AB778</f>
        <v>25.069723284661471</v>
      </c>
      <c r="M777" s="232">
        <v>68169</v>
      </c>
      <c r="N777" s="232" t="s">
        <v>1984</v>
      </c>
      <c r="O777" s="232" t="s">
        <v>431</v>
      </c>
      <c r="P777" s="232" t="s">
        <v>432</v>
      </c>
      <c r="Q777" s="232" t="s">
        <v>1985</v>
      </c>
      <c r="T777" t="s">
        <v>2803</v>
      </c>
      <c r="U777" s="25">
        <f>+Municipios!Z778</f>
        <v>53.536803463640652</v>
      </c>
      <c r="V777" s="232">
        <v>68169</v>
      </c>
      <c r="W777" s="232" t="s">
        <v>1984</v>
      </c>
      <c r="X777" s="232" t="s">
        <v>431</v>
      </c>
      <c r="Y777" s="232" t="s">
        <v>432</v>
      </c>
      <c r="Z777" s="232" t="s">
        <v>1985</v>
      </c>
    </row>
    <row r="778" spans="1:26">
      <c r="A778" t="s">
        <v>417</v>
      </c>
      <c r="B778" s="25">
        <f>+Municipios!Z779</f>
        <v>48.039239393282656</v>
      </c>
      <c r="C778" s="232">
        <v>5495</v>
      </c>
      <c r="D778" s="232" t="s">
        <v>1986</v>
      </c>
      <c r="E778" s="232" t="s">
        <v>435</v>
      </c>
      <c r="F778" s="232" t="s">
        <v>436</v>
      </c>
      <c r="G778" s="232" t="s">
        <v>1987</v>
      </c>
      <c r="K778" t="s">
        <v>2647</v>
      </c>
      <c r="L778" s="81">
        <f>+Municipios!AB779</f>
        <v>22.495653049528553</v>
      </c>
      <c r="M778" s="232">
        <v>5495</v>
      </c>
      <c r="N778" s="232" t="s">
        <v>1986</v>
      </c>
      <c r="O778" s="232" t="s">
        <v>435</v>
      </c>
      <c r="P778" s="232" t="s">
        <v>436</v>
      </c>
      <c r="Q778" s="232" t="s">
        <v>1987</v>
      </c>
      <c r="T778" t="s">
        <v>2803</v>
      </c>
      <c r="U778" s="25">
        <f>+Municipios!Z779</f>
        <v>48.039239393282656</v>
      </c>
      <c r="V778" s="232">
        <v>5495</v>
      </c>
      <c r="W778" s="232" t="s">
        <v>1986</v>
      </c>
      <c r="X778" s="232" t="s">
        <v>435</v>
      </c>
      <c r="Y778" s="232" t="s">
        <v>436</v>
      </c>
      <c r="Z778" s="232" t="s">
        <v>1987</v>
      </c>
    </row>
    <row r="779" spans="1:26">
      <c r="A779" t="s">
        <v>417</v>
      </c>
      <c r="B779" s="25">
        <f>+Municipios!Z780</f>
        <v>60.95732850299197</v>
      </c>
      <c r="C779" s="232">
        <v>54250</v>
      </c>
      <c r="D779" s="232" t="s">
        <v>1988</v>
      </c>
      <c r="E779" s="232" t="s">
        <v>517</v>
      </c>
      <c r="F779" s="232" t="s">
        <v>518</v>
      </c>
      <c r="G779" s="232" t="s">
        <v>1989</v>
      </c>
      <c r="K779" t="s">
        <v>2647</v>
      </c>
      <c r="L779" s="81">
        <f>+Municipios!AB780</f>
        <v>28.492667400317085</v>
      </c>
      <c r="M779" s="232">
        <v>54250</v>
      </c>
      <c r="N779" s="232" t="s">
        <v>1988</v>
      </c>
      <c r="O779" s="232" t="s">
        <v>517</v>
      </c>
      <c r="P779" s="232" t="s">
        <v>518</v>
      </c>
      <c r="Q779" s="232" t="s">
        <v>1989</v>
      </c>
      <c r="T779" t="s">
        <v>2803</v>
      </c>
      <c r="U779" s="25">
        <f>+Municipios!Z780</f>
        <v>60.95732850299197</v>
      </c>
      <c r="V779" s="232">
        <v>54250</v>
      </c>
      <c r="W779" s="232" t="s">
        <v>1988</v>
      </c>
      <c r="X779" s="232" t="s">
        <v>517</v>
      </c>
      <c r="Y779" s="232" t="s">
        <v>518</v>
      </c>
      <c r="Z779" s="232" t="s">
        <v>1989</v>
      </c>
    </row>
    <row r="780" spans="1:26">
      <c r="A780" t="s">
        <v>417</v>
      </c>
      <c r="B780" s="25">
        <f>+Municipios!Z781</f>
        <v>50.674387066097637</v>
      </c>
      <c r="C780" s="232">
        <v>73770</v>
      </c>
      <c r="D780" s="232" t="s">
        <v>1990</v>
      </c>
      <c r="E780" s="232" t="s">
        <v>595</v>
      </c>
      <c r="F780" s="232" t="s">
        <v>596</v>
      </c>
      <c r="G780" s="232" t="s">
        <v>1087</v>
      </c>
      <c r="K780" t="s">
        <v>2647</v>
      </c>
      <c r="L780" s="81">
        <f>+Municipios!AB781</f>
        <v>23.715903442095883</v>
      </c>
      <c r="M780" s="232">
        <v>73770</v>
      </c>
      <c r="N780" s="232" t="s">
        <v>1990</v>
      </c>
      <c r="O780" s="232" t="s">
        <v>595</v>
      </c>
      <c r="P780" s="232" t="s">
        <v>596</v>
      </c>
      <c r="Q780" s="232" t="s">
        <v>1087</v>
      </c>
      <c r="T780" t="s">
        <v>2803</v>
      </c>
      <c r="U780" s="25">
        <f>+Municipios!Z781</f>
        <v>50.674387066097637</v>
      </c>
      <c r="V780" s="232">
        <v>73770</v>
      </c>
      <c r="W780" s="232" t="s">
        <v>1990</v>
      </c>
      <c r="X780" s="232" t="s">
        <v>595</v>
      </c>
      <c r="Y780" s="232" t="s">
        <v>596</v>
      </c>
      <c r="Z780" s="232" t="s">
        <v>1087</v>
      </c>
    </row>
    <row r="781" spans="1:26">
      <c r="A781" t="s">
        <v>417</v>
      </c>
      <c r="B781" s="25">
        <f>+Municipios!Z782</f>
        <v>50.873200497714897</v>
      </c>
      <c r="C781" s="232">
        <v>52405</v>
      </c>
      <c r="D781" s="232" t="s">
        <v>1991</v>
      </c>
      <c r="E781" s="232" t="s">
        <v>672</v>
      </c>
      <c r="F781" s="232" t="s">
        <v>673</v>
      </c>
      <c r="G781" s="232" t="s">
        <v>1992</v>
      </c>
      <c r="K781" t="s">
        <v>2647</v>
      </c>
      <c r="L781" s="81">
        <f>+Municipios!AB782</f>
        <v>23.772315350539255</v>
      </c>
      <c r="M781" s="232">
        <v>52405</v>
      </c>
      <c r="N781" s="232" t="s">
        <v>1991</v>
      </c>
      <c r="O781" s="232" t="s">
        <v>672</v>
      </c>
      <c r="P781" s="232" t="s">
        <v>673</v>
      </c>
      <c r="Q781" s="232" t="s">
        <v>1992</v>
      </c>
      <c r="T781" t="s">
        <v>2803</v>
      </c>
      <c r="U781" s="25">
        <f>+Municipios!Z782</f>
        <v>50.873200497714897</v>
      </c>
      <c r="V781" s="232">
        <v>52405</v>
      </c>
      <c r="W781" s="232" t="s">
        <v>1991</v>
      </c>
      <c r="X781" s="232" t="s">
        <v>672</v>
      </c>
      <c r="Y781" s="232" t="s">
        <v>673</v>
      </c>
      <c r="Z781" s="232" t="s">
        <v>1992</v>
      </c>
    </row>
    <row r="782" spans="1:26">
      <c r="A782" t="s">
        <v>417</v>
      </c>
      <c r="B782" s="25">
        <f>+Municipios!Z783</f>
        <v>54.171809505824427</v>
      </c>
      <c r="C782" s="232">
        <v>23580</v>
      </c>
      <c r="D782" s="232" t="s">
        <v>1993</v>
      </c>
      <c r="E782" s="232" t="s">
        <v>567</v>
      </c>
      <c r="F782" s="232" t="s">
        <v>568</v>
      </c>
      <c r="G782" s="232" t="s">
        <v>1994</v>
      </c>
      <c r="K782" t="s">
        <v>2647</v>
      </c>
      <c r="L782" s="81">
        <f>+Municipios!AB783</f>
        <v>25.332386671363953</v>
      </c>
      <c r="M782" s="232">
        <v>23580</v>
      </c>
      <c r="N782" s="232" t="s">
        <v>1993</v>
      </c>
      <c r="O782" s="232" t="s">
        <v>567</v>
      </c>
      <c r="P782" s="232" t="s">
        <v>568</v>
      </c>
      <c r="Q782" s="232" t="s">
        <v>1994</v>
      </c>
      <c r="T782" t="s">
        <v>2803</v>
      </c>
      <c r="U782" s="25">
        <f>+Municipios!Z783</f>
        <v>54.171809505824427</v>
      </c>
      <c r="V782" s="232">
        <v>23580</v>
      </c>
      <c r="W782" s="232" t="s">
        <v>1993</v>
      </c>
      <c r="X782" s="232" t="s">
        <v>567</v>
      </c>
      <c r="Y782" s="232" t="s">
        <v>568</v>
      </c>
      <c r="Z782" s="232" t="s">
        <v>1994</v>
      </c>
    </row>
    <row r="783" spans="1:26">
      <c r="A783" t="s">
        <v>417</v>
      </c>
      <c r="B783" s="25">
        <f>+Municipios!Z784</f>
        <v>55.62059882899397</v>
      </c>
      <c r="C783" s="232">
        <v>19050</v>
      </c>
      <c r="D783" s="232" t="s">
        <v>1995</v>
      </c>
      <c r="E783" s="232" t="s">
        <v>557</v>
      </c>
      <c r="F783" s="232" t="s">
        <v>558</v>
      </c>
      <c r="G783" s="232" t="s">
        <v>1236</v>
      </c>
      <c r="K783" t="s">
        <v>2647</v>
      </c>
      <c r="L783" s="81">
        <f>+Municipios!AB784</f>
        <v>25.964847191642104</v>
      </c>
      <c r="M783" s="232">
        <v>19050</v>
      </c>
      <c r="N783" s="232" t="s">
        <v>1995</v>
      </c>
      <c r="O783" s="232" t="s">
        <v>557</v>
      </c>
      <c r="P783" s="232" t="s">
        <v>558</v>
      </c>
      <c r="Q783" s="232" t="s">
        <v>1236</v>
      </c>
      <c r="T783" t="s">
        <v>2803</v>
      </c>
      <c r="U783" s="25">
        <f>+Municipios!Z784</f>
        <v>55.62059882899397</v>
      </c>
      <c r="V783" s="232">
        <v>19050</v>
      </c>
      <c r="W783" s="232" t="s">
        <v>1995</v>
      </c>
      <c r="X783" s="232" t="s">
        <v>557</v>
      </c>
      <c r="Y783" s="232" t="s">
        <v>558</v>
      </c>
      <c r="Z783" s="232" t="s">
        <v>1236</v>
      </c>
    </row>
    <row r="784" spans="1:26">
      <c r="A784" t="s">
        <v>417</v>
      </c>
      <c r="B784" s="25">
        <f>+Municipios!Z785</f>
        <v>48.546109766061939</v>
      </c>
      <c r="C784" s="232">
        <v>68444</v>
      </c>
      <c r="D784" s="232" t="s">
        <v>1996</v>
      </c>
      <c r="E784" s="232" t="s">
        <v>431</v>
      </c>
      <c r="F784" s="232" t="s">
        <v>432</v>
      </c>
      <c r="G784" s="232" t="s">
        <v>1997</v>
      </c>
      <c r="K784" t="s">
        <v>2647</v>
      </c>
      <c r="L784" s="81">
        <f>+Municipios!AB785</f>
        <v>22.676180905951149</v>
      </c>
      <c r="M784" s="232">
        <v>68444</v>
      </c>
      <c r="N784" s="232" t="s">
        <v>1996</v>
      </c>
      <c r="O784" s="232" t="s">
        <v>431</v>
      </c>
      <c r="P784" s="232" t="s">
        <v>432</v>
      </c>
      <c r="Q784" s="232" t="s">
        <v>1997</v>
      </c>
      <c r="T784" t="s">
        <v>2803</v>
      </c>
      <c r="U784" s="25">
        <f>+Municipios!Z785</f>
        <v>48.546109766061939</v>
      </c>
      <c r="V784" s="232">
        <v>68444</v>
      </c>
      <c r="W784" s="232" t="s">
        <v>1996</v>
      </c>
      <c r="X784" s="232" t="s">
        <v>431</v>
      </c>
      <c r="Y784" s="232" t="s">
        <v>432</v>
      </c>
      <c r="Z784" s="232" t="s">
        <v>1997</v>
      </c>
    </row>
    <row r="785" spans="1:26">
      <c r="A785" t="s">
        <v>417</v>
      </c>
      <c r="B785" s="25">
        <f>+Municipios!Z786</f>
        <v>52.017738571267529</v>
      </c>
      <c r="C785" s="232">
        <v>68575</v>
      </c>
      <c r="D785" s="232" t="s">
        <v>1998</v>
      </c>
      <c r="E785" s="232" t="s">
        <v>431</v>
      </c>
      <c r="F785" s="232" t="s">
        <v>432</v>
      </c>
      <c r="G785" s="232" t="s">
        <v>1999</v>
      </c>
      <c r="K785" t="s">
        <v>2647</v>
      </c>
      <c r="L785" s="81">
        <f>+Municipios!AB786</f>
        <v>24.296458625166313</v>
      </c>
      <c r="M785" s="232">
        <v>68575</v>
      </c>
      <c r="N785" s="232" t="s">
        <v>1998</v>
      </c>
      <c r="O785" s="232" t="s">
        <v>431</v>
      </c>
      <c r="P785" s="232" t="s">
        <v>432</v>
      </c>
      <c r="Q785" s="232" t="s">
        <v>1999</v>
      </c>
      <c r="T785" t="s">
        <v>2803</v>
      </c>
      <c r="U785" s="25">
        <f>+Municipios!Z786</f>
        <v>52.017738571267529</v>
      </c>
      <c r="V785" s="232">
        <v>68575</v>
      </c>
      <c r="W785" s="232" t="s">
        <v>1998</v>
      </c>
      <c r="X785" s="232" t="s">
        <v>431</v>
      </c>
      <c r="Y785" s="232" t="s">
        <v>432</v>
      </c>
      <c r="Z785" s="232" t="s">
        <v>1999</v>
      </c>
    </row>
    <row r="786" spans="1:26">
      <c r="A786" t="s">
        <v>417</v>
      </c>
      <c r="B786" s="25">
        <f>+Municipios!Z787</f>
        <v>48.568724586244073</v>
      </c>
      <c r="C786" s="232">
        <v>68867</v>
      </c>
      <c r="D786" s="232" t="s">
        <v>2000</v>
      </c>
      <c r="E786" s="232" t="s">
        <v>431</v>
      </c>
      <c r="F786" s="232" t="s">
        <v>432</v>
      </c>
      <c r="G786" s="232" t="s">
        <v>2001</v>
      </c>
      <c r="K786" t="s">
        <v>2647</v>
      </c>
      <c r="L786" s="81">
        <f>+Municipios!AB787</f>
        <v>22.725204205184703</v>
      </c>
      <c r="M786" s="232">
        <v>68867</v>
      </c>
      <c r="N786" s="232" t="s">
        <v>2000</v>
      </c>
      <c r="O786" s="232" t="s">
        <v>431</v>
      </c>
      <c r="P786" s="232" t="s">
        <v>432</v>
      </c>
      <c r="Q786" s="232" t="s">
        <v>2001</v>
      </c>
      <c r="T786" t="s">
        <v>2803</v>
      </c>
      <c r="U786" s="25">
        <f>+Municipios!Z787</f>
        <v>48.568724586244073</v>
      </c>
      <c r="V786" s="232">
        <v>68867</v>
      </c>
      <c r="W786" s="232" t="s">
        <v>2000</v>
      </c>
      <c r="X786" s="232" t="s">
        <v>431</v>
      </c>
      <c r="Y786" s="232" t="s">
        <v>432</v>
      </c>
      <c r="Z786" s="232" t="s">
        <v>2001</v>
      </c>
    </row>
    <row r="787" spans="1:26">
      <c r="A787" t="s">
        <v>417</v>
      </c>
      <c r="B787" s="25">
        <f>+Municipios!Z788</f>
        <v>60.10756811117507</v>
      </c>
      <c r="C787" s="232">
        <v>15542</v>
      </c>
      <c r="D787" s="232" t="s">
        <v>2002</v>
      </c>
      <c r="E787" s="232" t="s">
        <v>498</v>
      </c>
      <c r="F787" s="232" t="s">
        <v>499</v>
      </c>
      <c r="G787" s="232" t="s">
        <v>2003</v>
      </c>
      <c r="K787" t="s">
        <v>2647</v>
      </c>
      <c r="L787" s="81">
        <f>+Municipios!AB788</f>
        <v>27.982021284191308</v>
      </c>
      <c r="M787" s="232">
        <v>15542</v>
      </c>
      <c r="N787" s="232" t="s">
        <v>2002</v>
      </c>
      <c r="O787" s="232" t="s">
        <v>498</v>
      </c>
      <c r="P787" s="232" t="s">
        <v>499</v>
      </c>
      <c r="Q787" s="232" t="s">
        <v>2003</v>
      </c>
      <c r="T787" t="s">
        <v>2803</v>
      </c>
      <c r="U787" s="25">
        <f>+Municipios!Z788</f>
        <v>60.10756811117507</v>
      </c>
      <c r="V787" s="232">
        <v>15542</v>
      </c>
      <c r="W787" s="232" t="s">
        <v>2002</v>
      </c>
      <c r="X787" s="232" t="s">
        <v>498</v>
      </c>
      <c r="Y787" s="232" t="s">
        <v>499</v>
      </c>
      <c r="Z787" s="232" t="s">
        <v>2003</v>
      </c>
    </row>
    <row r="788" spans="1:26">
      <c r="A788" t="s">
        <v>417</v>
      </c>
      <c r="B788" s="25">
        <f>+Municipios!Z789</f>
        <v>58.124592233400747</v>
      </c>
      <c r="C788" s="232">
        <v>68013</v>
      </c>
      <c r="D788" s="232" t="s">
        <v>2004</v>
      </c>
      <c r="E788" s="232" t="s">
        <v>431</v>
      </c>
      <c r="F788" s="232" t="s">
        <v>432</v>
      </c>
      <c r="G788" s="232" t="s">
        <v>2005</v>
      </c>
      <c r="K788" t="s">
        <v>2647</v>
      </c>
      <c r="L788" s="81">
        <f>+Municipios!AB789</f>
        <v>26.894721494849982</v>
      </c>
      <c r="M788" s="232">
        <v>68013</v>
      </c>
      <c r="N788" s="232" t="s">
        <v>2004</v>
      </c>
      <c r="O788" s="232" t="s">
        <v>431</v>
      </c>
      <c r="P788" s="232" t="s">
        <v>432</v>
      </c>
      <c r="Q788" s="232" t="s">
        <v>2005</v>
      </c>
      <c r="T788" t="s">
        <v>2803</v>
      </c>
      <c r="U788" s="25">
        <f>+Municipios!Z789</f>
        <v>58.124592233400747</v>
      </c>
      <c r="V788" s="232">
        <v>68013</v>
      </c>
      <c r="W788" s="232" t="s">
        <v>2004</v>
      </c>
      <c r="X788" s="232" t="s">
        <v>431</v>
      </c>
      <c r="Y788" s="232" t="s">
        <v>432</v>
      </c>
      <c r="Z788" s="232" t="s">
        <v>2005</v>
      </c>
    </row>
    <row r="789" spans="1:26">
      <c r="A789" t="s">
        <v>417</v>
      </c>
      <c r="B789" s="25">
        <f>+Municipios!Z790</f>
        <v>55.940968097762067</v>
      </c>
      <c r="C789" s="232">
        <v>27787</v>
      </c>
      <c r="D789" s="232" t="s">
        <v>2006</v>
      </c>
      <c r="E789" s="232" t="s">
        <v>1714</v>
      </c>
      <c r="F789" s="232" t="s">
        <v>1715</v>
      </c>
      <c r="G789" s="232" t="s">
        <v>2007</v>
      </c>
      <c r="K789" t="s">
        <v>2647</v>
      </c>
      <c r="L789" s="81">
        <f>+Municipios!AB790</f>
        <v>26.07015906215365</v>
      </c>
      <c r="M789" s="232">
        <v>27787</v>
      </c>
      <c r="N789" s="232" t="s">
        <v>2006</v>
      </c>
      <c r="O789" s="232" t="s">
        <v>1714</v>
      </c>
      <c r="P789" s="232" t="s">
        <v>1715</v>
      </c>
      <c r="Q789" s="232" t="s">
        <v>2007</v>
      </c>
      <c r="T789" t="s">
        <v>2803</v>
      </c>
      <c r="U789" s="25">
        <f>+Municipios!Z790</f>
        <v>55.940968097762067</v>
      </c>
      <c r="V789" s="232">
        <v>27787</v>
      </c>
      <c r="W789" s="232" t="s">
        <v>2006</v>
      </c>
      <c r="X789" s="232" t="s">
        <v>1714</v>
      </c>
      <c r="Y789" s="232" t="s">
        <v>1715</v>
      </c>
      <c r="Z789" s="232" t="s">
        <v>2007</v>
      </c>
    </row>
    <row r="790" spans="1:26">
      <c r="A790" t="s">
        <v>417</v>
      </c>
      <c r="B790" s="25">
        <f>+Municipios!Z791</f>
        <v>60.260363445936264</v>
      </c>
      <c r="C790" s="232">
        <v>15822</v>
      </c>
      <c r="D790" s="232" t="s">
        <v>2008</v>
      </c>
      <c r="E790" s="232" t="s">
        <v>498</v>
      </c>
      <c r="F790" s="232" t="s">
        <v>499</v>
      </c>
      <c r="G790" s="232" t="s">
        <v>2009</v>
      </c>
      <c r="K790" t="s">
        <v>2647</v>
      </c>
      <c r="L790" s="81">
        <f>+Municipios!AB791</f>
        <v>28.039315569074326</v>
      </c>
      <c r="M790" s="232">
        <v>15822</v>
      </c>
      <c r="N790" s="232" t="s">
        <v>2008</v>
      </c>
      <c r="O790" s="232" t="s">
        <v>498</v>
      </c>
      <c r="P790" s="232" t="s">
        <v>499</v>
      </c>
      <c r="Q790" s="232" t="s">
        <v>2009</v>
      </c>
      <c r="T790" t="s">
        <v>2803</v>
      </c>
      <c r="U790" s="25">
        <f>+Municipios!Z791</f>
        <v>60.260363445936264</v>
      </c>
      <c r="V790" s="232">
        <v>15822</v>
      </c>
      <c r="W790" s="232" t="s">
        <v>2008</v>
      </c>
      <c r="X790" s="232" t="s">
        <v>498</v>
      </c>
      <c r="Y790" s="232" t="s">
        <v>499</v>
      </c>
      <c r="Z790" s="232" t="s">
        <v>2009</v>
      </c>
    </row>
    <row r="791" spans="1:26">
      <c r="A791" t="s">
        <v>417</v>
      </c>
      <c r="B791" s="25">
        <f>+Municipios!Z792</f>
        <v>70.410353380612037</v>
      </c>
      <c r="C791" s="232">
        <v>85010</v>
      </c>
      <c r="D791" s="232" t="s">
        <v>2010</v>
      </c>
      <c r="E791" s="232" t="s">
        <v>1351</v>
      </c>
      <c r="F791" s="232" t="s">
        <v>1352</v>
      </c>
      <c r="G791" s="232" t="s">
        <v>2011</v>
      </c>
      <c r="K791" t="s">
        <v>2647</v>
      </c>
      <c r="L791" s="81">
        <f>+Municipios!AB792</f>
        <v>32.737953748605868</v>
      </c>
      <c r="M791" s="232">
        <v>85010</v>
      </c>
      <c r="N791" s="232" t="s">
        <v>2010</v>
      </c>
      <c r="O791" s="232" t="s">
        <v>1351</v>
      </c>
      <c r="P791" s="232" t="s">
        <v>1352</v>
      </c>
      <c r="Q791" s="232" t="s">
        <v>2011</v>
      </c>
      <c r="T791" t="s">
        <v>2803</v>
      </c>
      <c r="U791" s="25">
        <f>+Municipios!Z792</f>
        <v>70.410353380612037</v>
      </c>
      <c r="V791" s="232">
        <v>85010</v>
      </c>
      <c r="W791" s="232" t="s">
        <v>2010</v>
      </c>
      <c r="X791" s="232" t="s">
        <v>1351</v>
      </c>
      <c r="Y791" s="232" t="s">
        <v>1352</v>
      </c>
      <c r="Z791" s="232" t="s">
        <v>2011</v>
      </c>
    </row>
    <row r="792" spans="1:26">
      <c r="A792" t="s">
        <v>417</v>
      </c>
      <c r="B792" s="25">
        <f>+Municipios!Z793</f>
        <v>58.776688962275799</v>
      </c>
      <c r="C792" s="232">
        <v>15580</v>
      </c>
      <c r="D792" s="232" t="s">
        <v>2012</v>
      </c>
      <c r="E792" s="232" t="s">
        <v>498</v>
      </c>
      <c r="F792" s="232" t="s">
        <v>499</v>
      </c>
      <c r="G792" s="232" t="s">
        <v>2013</v>
      </c>
      <c r="K792" t="s">
        <v>2647</v>
      </c>
      <c r="L792" s="81">
        <f>+Municipios!AB793</f>
        <v>27.314926908287003</v>
      </c>
      <c r="M792" s="232">
        <v>15580</v>
      </c>
      <c r="N792" s="232" t="s">
        <v>2012</v>
      </c>
      <c r="O792" s="232" t="s">
        <v>498</v>
      </c>
      <c r="P792" s="232" t="s">
        <v>499</v>
      </c>
      <c r="Q792" s="232" t="s">
        <v>2013</v>
      </c>
      <c r="T792" t="s">
        <v>2803</v>
      </c>
      <c r="U792" s="25">
        <f>+Municipios!Z793</f>
        <v>58.776688962275799</v>
      </c>
      <c r="V792" s="232">
        <v>15580</v>
      </c>
      <c r="W792" s="232" t="s">
        <v>2012</v>
      </c>
      <c r="X792" s="232" t="s">
        <v>498</v>
      </c>
      <c r="Y792" s="232" t="s">
        <v>499</v>
      </c>
      <c r="Z792" s="232" t="s">
        <v>2013</v>
      </c>
    </row>
    <row r="793" spans="1:26">
      <c r="A793" t="s">
        <v>417</v>
      </c>
      <c r="B793" s="25">
        <f>+Municipios!Z794</f>
        <v>62.018348355876178</v>
      </c>
      <c r="C793" s="232">
        <v>41016</v>
      </c>
      <c r="D793" s="232" t="s">
        <v>2014</v>
      </c>
      <c r="E793" s="232" t="s">
        <v>676</v>
      </c>
      <c r="F793" s="232" t="s">
        <v>677</v>
      </c>
      <c r="G793" s="232" t="s">
        <v>2015</v>
      </c>
      <c r="K793" t="s">
        <v>2647</v>
      </c>
      <c r="L793" s="81">
        <f>+Municipios!AB794</f>
        <v>28.836250465032439</v>
      </c>
      <c r="M793" s="232">
        <v>41016</v>
      </c>
      <c r="N793" s="232" t="s">
        <v>2014</v>
      </c>
      <c r="O793" s="232" t="s">
        <v>676</v>
      </c>
      <c r="P793" s="232" t="s">
        <v>677</v>
      </c>
      <c r="Q793" s="232" t="s">
        <v>2015</v>
      </c>
      <c r="T793" t="s">
        <v>2803</v>
      </c>
      <c r="U793" s="25">
        <f>+Municipios!Z794</f>
        <v>62.018348355876178</v>
      </c>
      <c r="V793" s="232">
        <v>41016</v>
      </c>
      <c r="W793" s="232" t="s">
        <v>2014</v>
      </c>
      <c r="X793" s="232" t="s">
        <v>676</v>
      </c>
      <c r="Y793" s="232" t="s">
        <v>677</v>
      </c>
      <c r="Z793" s="232" t="s">
        <v>2015</v>
      </c>
    </row>
    <row r="794" spans="1:26">
      <c r="A794" t="s">
        <v>417</v>
      </c>
      <c r="B794" s="25">
        <f>+Municipios!Z795</f>
        <v>59.806033261595999</v>
      </c>
      <c r="C794" s="232">
        <v>68235</v>
      </c>
      <c r="D794" s="232" t="s">
        <v>2016</v>
      </c>
      <c r="E794" s="232" t="s">
        <v>431</v>
      </c>
      <c r="F794" s="232" t="s">
        <v>432</v>
      </c>
      <c r="G794" s="232" t="s">
        <v>2017</v>
      </c>
      <c r="K794" t="s">
        <v>2647</v>
      </c>
      <c r="L794" s="81">
        <f>+Municipios!AB795</f>
        <v>27.801293106868961</v>
      </c>
      <c r="M794" s="232">
        <v>68235</v>
      </c>
      <c r="N794" s="232" t="s">
        <v>2016</v>
      </c>
      <c r="O794" s="232" t="s">
        <v>431</v>
      </c>
      <c r="P794" s="232" t="s">
        <v>432</v>
      </c>
      <c r="Q794" s="232" t="s">
        <v>2017</v>
      </c>
      <c r="T794" t="s">
        <v>2803</v>
      </c>
      <c r="U794" s="25">
        <f>+Municipios!Z795</f>
        <v>59.806033261595999</v>
      </c>
      <c r="V794" s="232">
        <v>68235</v>
      </c>
      <c r="W794" s="232" t="s">
        <v>2016</v>
      </c>
      <c r="X794" s="232" t="s">
        <v>431</v>
      </c>
      <c r="Y794" s="232" t="s">
        <v>432</v>
      </c>
      <c r="Z794" s="232" t="s">
        <v>2017</v>
      </c>
    </row>
    <row r="795" spans="1:26">
      <c r="A795" t="s">
        <v>417</v>
      </c>
      <c r="B795" s="25">
        <f>+Municipios!Z796</f>
        <v>61.150544625347877</v>
      </c>
      <c r="C795" s="232">
        <v>5858</v>
      </c>
      <c r="D795" s="232" t="s">
        <v>2018</v>
      </c>
      <c r="E795" s="232" t="s">
        <v>435</v>
      </c>
      <c r="F795" s="232" t="s">
        <v>436</v>
      </c>
      <c r="G795" s="232" t="s">
        <v>2019</v>
      </c>
      <c r="K795" t="s">
        <v>2647</v>
      </c>
      <c r="L795" s="81">
        <f>+Municipios!AB796</f>
        <v>28.518638823555236</v>
      </c>
      <c r="M795" s="232">
        <v>5858</v>
      </c>
      <c r="N795" s="232" t="s">
        <v>2018</v>
      </c>
      <c r="O795" s="232" t="s">
        <v>435</v>
      </c>
      <c r="P795" s="232" t="s">
        <v>436</v>
      </c>
      <c r="Q795" s="232" t="s">
        <v>2019</v>
      </c>
      <c r="T795" t="s">
        <v>2803</v>
      </c>
      <c r="U795" s="25">
        <f>+Municipios!Z796</f>
        <v>61.150544625347877</v>
      </c>
      <c r="V795" s="232">
        <v>5858</v>
      </c>
      <c r="W795" s="232" t="s">
        <v>2018</v>
      </c>
      <c r="X795" s="232" t="s">
        <v>435</v>
      </c>
      <c r="Y795" s="232" t="s">
        <v>436</v>
      </c>
      <c r="Z795" s="232" t="s">
        <v>2019</v>
      </c>
    </row>
    <row r="796" spans="1:26">
      <c r="A796" t="s">
        <v>417</v>
      </c>
      <c r="B796" s="25">
        <f>+Municipios!Z797</f>
        <v>68.485880634578407</v>
      </c>
      <c r="C796" s="232">
        <v>15368</v>
      </c>
      <c r="D796" s="232" t="s">
        <v>2020</v>
      </c>
      <c r="E796" s="232" t="s">
        <v>498</v>
      </c>
      <c r="F796" s="232" t="s">
        <v>499</v>
      </c>
      <c r="G796" s="232" t="s">
        <v>1234</v>
      </c>
      <c r="K796" t="s">
        <v>2647</v>
      </c>
      <c r="L796" s="81">
        <f>+Municipios!AB797</f>
        <v>31.82970508501052</v>
      </c>
      <c r="M796" s="232">
        <v>15368</v>
      </c>
      <c r="N796" s="232" t="s">
        <v>2020</v>
      </c>
      <c r="O796" s="232" t="s">
        <v>498</v>
      </c>
      <c r="P796" s="232" t="s">
        <v>499</v>
      </c>
      <c r="Q796" s="232" t="s">
        <v>1234</v>
      </c>
      <c r="T796" t="s">
        <v>2803</v>
      </c>
      <c r="U796" s="25">
        <f>+Municipios!Z797</f>
        <v>68.485880634578407</v>
      </c>
      <c r="V796" s="232">
        <v>15368</v>
      </c>
      <c r="W796" s="232" t="s">
        <v>2020</v>
      </c>
      <c r="X796" s="232" t="s">
        <v>498</v>
      </c>
      <c r="Y796" s="232" t="s">
        <v>499</v>
      </c>
      <c r="Z796" s="232" t="s">
        <v>1234</v>
      </c>
    </row>
    <row r="797" spans="1:26">
      <c r="A797" t="s">
        <v>417</v>
      </c>
      <c r="B797" s="25">
        <f>+Municipios!Z798</f>
        <v>64.221218861869232</v>
      </c>
      <c r="C797" s="232">
        <v>27205</v>
      </c>
      <c r="D797" s="232" t="s">
        <v>2021</v>
      </c>
      <c r="E797" s="232" t="s">
        <v>1714</v>
      </c>
      <c r="F797" s="232" t="s">
        <v>1715</v>
      </c>
      <c r="G797" s="232" t="s">
        <v>2022</v>
      </c>
      <c r="K797" t="s">
        <v>2647</v>
      </c>
      <c r="L797" s="81">
        <f>+Municipios!AB798</f>
        <v>29.831679558811416</v>
      </c>
      <c r="M797" s="232">
        <v>27205</v>
      </c>
      <c r="N797" s="232" t="s">
        <v>2021</v>
      </c>
      <c r="O797" s="232" t="s">
        <v>1714</v>
      </c>
      <c r="P797" s="232" t="s">
        <v>1715</v>
      </c>
      <c r="Q797" s="232" t="s">
        <v>2022</v>
      </c>
      <c r="T797" t="s">
        <v>2803</v>
      </c>
      <c r="U797" s="25">
        <f>+Municipios!Z798</f>
        <v>64.221218861869232</v>
      </c>
      <c r="V797" s="232">
        <v>27205</v>
      </c>
      <c r="W797" s="232" t="s">
        <v>2021</v>
      </c>
      <c r="X797" s="232" t="s">
        <v>1714</v>
      </c>
      <c r="Y797" s="232" t="s">
        <v>1715</v>
      </c>
      <c r="Z797" s="232" t="s">
        <v>2022</v>
      </c>
    </row>
    <row r="798" spans="1:26">
      <c r="A798" t="s">
        <v>417</v>
      </c>
      <c r="B798" s="25">
        <f>+Municipios!Z799</f>
        <v>57.797016778423526</v>
      </c>
      <c r="C798" s="232">
        <v>17495</v>
      </c>
      <c r="D798" s="232" t="s">
        <v>2023</v>
      </c>
      <c r="E798" s="232" t="s">
        <v>506</v>
      </c>
      <c r="F798" s="232" t="s">
        <v>507</v>
      </c>
      <c r="G798" s="232" t="s">
        <v>2024</v>
      </c>
      <c r="K798" t="s">
        <v>2647</v>
      </c>
      <c r="L798" s="81">
        <f>+Municipios!AB799</f>
        <v>26.786613888524268</v>
      </c>
      <c r="M798" s="232">
        <v>17495</v>
      </c>
      <c r="N798" s="232" t="s">
        <v>2023</v>
      </c>
      <c r="O798" s="232" t="s">
        <v>506</v>
      </c>
      <c r="P798" s="232" t="s">
        <v>507</v>
      </c>
      <c r="Q798" s="232" t="s">
        <v>2024</v>
      </c>
      <c r="T798" t="s">
        <v>2803</v>
      </c>
      <c r="U798" s="25">
        <f>+Municipios!Z799</f>
        <v>57.797016778423526</v>
      </c>
      <c r="V798" s="232">
        <v>17495</v>
      </c>
      <c r="W798" s="232" t="s">
        <v>2023</v>
      </c>
      <c r="X798" s="232" t="s">
        <v>506</v>
      </c>
      <c r="Y798" s="232" t="s">
        <v>507</v>
      </c>
      <c r="Z798" s="232" t="s">
        <v>2024</v>
      </c>
    </row>
    <row r="799" spans="1:26">
      <c r="A799" t="s">
        <v>417</v>
      </c>
      <c r="B799" s="25">
        <f>+Municipios!Z800</f>
        <v>50.736186431767777</v>
      </c>
      <c r="C799" s="232">
        <v>23068</v>
      </c>
      <c r="D799" s="232" t="s">
        <v>2025</v>
      </c>
      <c r="E799" s="232" t="s">
        <v>567</v>
      </c>
      <c r="F799" s="232" t="s">
        <v>568</v>
      </c>
      <c r="G799" s="232" t="s">
        <v>2026</v>
      </c>
      <c r="K799" t="s">
        <v>2647</v>
      </c>
      <c r="L799" s="81">
        <f>+Municipios!AB800</f>
        <v>23.575888854271444</v>
      </c>
      <c r="M799" s="232">
        <v>23068</v>
      </c>
      <c r="N799" s="232" t="s">
        <v>2025</v>
      </c>
      <c r="O799" s="232" t="s">
        <v>567</v>
      </c>
      <c r="P799" s="232" t="s">
        <v>568</v>
      </c>
      <c r="Q799" s="232" t="s">
        <v>2026</v>
      </c>
      <c r="T799" t="s">
        <v>2803</v>
      </c>
      <c r="U799" s="25">
        <f>+Municipios!Z800</f>
        <v>50.736186431767777</v>
      </c>
      <c r="V799" s="232">
        <v>23068</v>
      </c>
      <c r="W799" s="232" t="s">
        <v>2025</v>
      </c>
      <c r="X799" s="232" t="s">
        <v>567</v>
      </c>
      <c r="Y799" s="232" t="s">
        <v>568</v>
      </c>
      <c r="Z799" s="232" t="s">
        <v>2026</v>
      </c>
    </row>
    <row r="800" spans="1:26">
      <c r="A800" t="s">
        <v>417</v>
      </c>
      <c r="B800" s="25">
        <f>+Municipios!Z801</f>
        <v>44.859588270598692</v>
      </c>
      <c r="C800" s="232">
        <v>70678</v>
      </c>
      <c r="D800" s="232" t="s">
        <v>2027</v>
      </c>
      <c r="E800" s="232" t="s">
        <v>494</v>
      </c>
      <c r="F800" s="232" t="s">
        <v>495</v>
      </c>
      <c r="G800" s="232" t="s">
        <v>2028</v>
      </c>
      <c r="K800" t="s">
        <v>2647</v>
      </c>
      <c r="L800" s="81">
        <f>+Municipios!AB801</f>
        <v>20.814773168390555</v>
      </c>
      <c r="M800" s="232">
        <v>70678</v>
      </c>
      <c r="N800" s="232" t="s">
        <v>2027</v>
      </c>
      <c r="O800" s="232" t="s">
        <v>494</v>
      </c>
      <c r="P800" s="232" t="s">
        <v>495</v>
      </c>
      <c r="Q800" s="232" t="s">
        <v>2028</v>
      </c>
      <c r="T800" t="s">
        <v>2803</v>
      </c>
      <c r="U800" s="25">
        <f>+Municipios!Z801</f>
        <v>44.859588270598692</v>
      </c>
      <c r="V800" s="232">
        <v>70678</v>
      </c>
      <c r="W800" s="232" t="s">
        <v>2027</v>
      </c>
      <c r="X800" s="232" t="s">
        <v>494</v>
      </c>
      <c r="Y800" s="232" t="s">
        <v>495</v>
      </c>
      <c r="Z800" s="232" t="s">
        <v>2028</v>
      </c>
    </row>
    <row r="801" spans="1:26">
      <c r="A801" t="s">
        <v>417</v>
      </c>
      <c r="B801" s="25">
        <f>+Municipios!Z802</f>
        <v>57.717619828787804</v>
      </c>
      <c r="C801" s="232">
        <v>15090</v>
      </c>
      <c r="D801" s="232" t="s">
        <v>2029</v>
      </c>
      <c r="E801" s="232" t="s">
        <v>498</v>
      </c>
      <c r="F801" s="232" t="s">
        <v>499</v>
      </c>
      <c r="G801" s="232" t="s">
        <v>2030</v>
      </c>
      <c r="K801" t="s">
        <v>2647</v>
      </c>
      <c r="L801" s="81">
        <f>+Municipios!AB802</f>
        <v>26.715092871806139</v>
      </c>
      <c r="M801" s="232">
        <v>15090</v>
      </c>
      <c r="N801" s="232" t="s">
        <v>2029</v>
      </c>
      <c r="O801" s="232" t="s">
        <v>498</v>
      </c>
      <c r="P801" s="232" t="s">
        <v>499</v>
      </c>
      <c r="Q801" s="232" t="s">
        <v>2030</v>
      </c>
      <c r="T801" t="s">
        <v>2803</v>
      </c>
      <c r="U801" s="25">
        <f>+Municipios!Z802</f>
        <v>57.717619828787804</v>
      </c>
      <c r="V801" s="232">
        <v>15090</v>
      </c>
      <c r="W801" s="232" t="s">
        <v>2029</v>
      </c>
      <c r="X801" s="232" t="s">
        <v>498</v>
      </c>
      <c r="Y801" s="232" t="s">
        <v>499</v>
      </c>
      <c r="Z801" s="232" t="s">
        <v>2030</v>
      </c>
    </row>
    <row r="802" spans="1:26">
      <c r="A802" t="s">
        <v>417</v>
      </c>
      <c r="B802" s="25">
        <f>+Municipios!Z803</f>
        <v>53.604802543008255</v>
      </c>
      <c r="C802" s="232">
        <v>73547</v>
      </c>
      <c r="D802" s="232" t="s">
        <v>2031</v>
      </c>
      <c r="E802" s="232" t="s">
        <v>595</v>
      </c>
      <c r="F802" s="232" t="s">
        <v>596</v>
      </c>
      <c r="G802" s="232" t="s">
        <v>2032</v>
      </c>
      <c r="K802" t="s">
        <v>2647</v>
      </c>
      <c r="L802" s="81">
        <f>+Municipios!AB803</f>
        <v>24.773599218403973</v>
      </c>
      <c r="M802" s="232">
        <v>73547</v>
      </c>
      <c r="N802" s="232" t="s">
        <v>2031</v>
      </c>
      <c r="O802" s="232" t="s">
        <v>595</v>
      </c>
      <c r="P802" s="232" t="s">
        <v>596</v>
      </c>
      <c r="Q802" s="232" t="s">
        <v>2032</v>
      </c>
      <c r="T802" t="s">
        <v>2803</v>
      </c>
      <c r="U802" s="25">
        <f>+Municipios!Z803</f>
        <v>53.604802543008255</v>
      </c>
      <c r="V802" s="232">
        <v>73547</v>
      </c>
      <c r="W802" s="232" t="s">
        <v>2031</v>
      </c>
      <c r="X802" s="232" t="s">
        <v>595</v>
      </c>
      <c r="Y802" s="232" t="s">
        <v>596</v>
      </c>
      <c r="Z802" s="232" t="s">
        <v>2032</v>
      </c>
    </row>
    <row r="803" spans="1:26">
      <c r="A803" t="s">
        <v>417</v>
      </c>
      <c r="B803" s="25">
        <f>+Municipios!Z804</f>
        <v>67.857890607654184</v>
      </c>
      <c r="C803" s="232">
        <v>68020</v>
      </c>
      <c r="D803" s="232" t="s">
        <v>2033</v>
      </c>
      <c r="E803" s="232" t="s">
        <v>431</v>
      </c>
      <c r="F803" s="232" t="s">
        <v>432</v>
      </c>
      <c r="G803" s="232" t="s">
        <v>1268</v>
      </c>
      <c r="K803" t="s">
        <v>2647</v>
      </c>
      <c r="L803" s="81">
        <f>+Municipios!AB804</f>
        <v>31.403965593503486</v>
      </c>
      <c r="M803" s="232">
        <v>68020</v>
      </c>
      <c r="N803" s="232" t="s">
        <v>2033</v>
      </c>
      <c r="O803" s="232" t="s">
        <v>431</v>
      </c>
      <c r="P803" s="232" t="s">
        <v>432</v>
      </c>
      <c r="Q803" s="232" t="s">
        <v>1268</v>
      </c>
      <c r="T803" t="s">
        <v>2803</v>
      </c>
      <c r="U803" s="25">
        <f>+Municipios!Z804</f>
        <v>67.857890607654184</v>
      </c>
      <c r="V803" s="232">
        <v>68020</v>
      </c>
      <c r="W803" s="232" t="s">
        <v>2033</v>
      </c>
      <c r="X803" s="232" t="s">
        <v>431</v>
      </c>
      <c r="Y803" s="232" t="s">
        <v>432</v>
      </c>
      <c r="Z803" s="232" t="s">
        <v>1268</v>
      </c>
    </row>
    <row r="804" spans="1:26">
      <c r="A804" t="s">
        <v>417</v>
      </c>
      <c r="B804" s="25">
        <f>+Municipios!Z805</f>
        <v>65.326627212665215</v>
      </c>
      <c r="C804" s="232">
        <v>41885</v>
      </c>
      <c r="D804" s="232" t="s">
        <v>2034</v>
      </c>
      <c r="E804" s="232" t="s">
        <v>676</v>
      </c>
      <c r="F804" s="232" t="s">
        <v>677</v>
      </c>
      <c r="G804" s="232" t="s">
        <v>2035</v>
      </c>
      <c r="K804" t="s">
        <v>2647</v>
      </c>
      <c r="L804" s="81">
        <f>+Municipios!AB805</f>
        <v>30.270923172331166</v>
      </c>
      <c r="M804" s="232">
        <v>41885</v>
      </c>
      <c r="N804" s="232" t="s">
        <v>2034</v>
      </c>
      <c r="O804" s="232" t="s">
        <v>676</v>
      </c>
      <c r="P804" s="232" t="s">
        <v>677</v>
      </c>
      <c r="Q804" s="232" t="s">
        <v>2035</v>
      </c>
      <c r="T804" t="s">
        <v>2803</v>
      </c>
      <c r="U804" s="25">
        <f>+Municipios!Z805</f>
        <v>65.326627212665215</v>
      </c>
      <c r="V804" s="232">
        <v>41885</v>
      </c>
      <c r="W804" s="232" t="s">
        <v>2034</v>
      </c>
      <c r="X804" s="232" t="s">
        <v>676</v>
      </c>
      <c r="Y804" s="232" t="s">
        <v>677</v>
      </c>
      <c r="Z804" s="232" t="s">
        <v>2035</v>
      </c>
    </row>
    <row r="805" spans="1:26">
      <c r="A805" t="s">
        <v>417</v>
      </c>
      <c r="B805" s="25">
        <f>+Municipios!Z806</f>
        <v>58.126862128030631</v>
      </c>
      <c r="C805" s="232">
        <v>54003</v>
      </c>
      <c r="D805" s="232" t="s">
        <v>2036</v>
      </c>
      <c r="E805" s="232" t="s">
        <v>517</v>
      </c>
      <c r="F805" s="232" t="s">
        <v>518</v>
      </c>
      <c r="G805" s="232" t="s">
        <v>2037</v>
      </c>
      <c r="K805" t="s">
        <v>2647</v>
      </c>
      <c r="L805" s="81">
        <f>+Municipios!AB806</f>
        <v>26.905568952907313</v>
      </c>
      <c r="M805" s="232">
        <v>54003</v>
      </c>
      <c r="N805" s="232" t="s">
        <v>2036</v>
      </c>
      <c r="O805" s="232" t="s">
        <v>517</v>
      </c>
      <c r="P805" s="232" t="s">
        <v>518</v>
      </c>
      <c r="Q805" s="232" t="s">
        <v>2037</v>
      </c>
      <c r="T805" t="s">
        <v>2803</v>
      </c>
      <c r="U805" s="25">
        <f>+Municipios!Z806</f>
        <v>58.126862128030631</v>
      </c>
      <c r="V805" s="232">
        <v>54003</v>
      </c>
      <c r="W805" s="232" t="s">
        <v>2036</v>
      </c>
      <c r="X805" s="232" t="s">
        <v>517</v>
      </c>
      <c r="Y805" s="232" t="s">
        <v>518</v>
      </c>
      <c r="Z805" s="232" t="s">
        <v>2037</v>
      </c>
    </row>
    <row r="806" spans="1:26">
      <c r="A806" t="s">
        <v>417</v>
      </c>
      <c r="B806" s="25">
        <f>+Municipios!Z807</f>
        <v>60.477156651466871</v>
      </c>
      <c r="C806" s="232">
        <v>52560</v>
      </c>
      <c r="D806" s="232" t="s">
        <v>2038</v>
      </c>
      <c r="E806" s="232" t="s">
        <v>672</v>
      </c>
      <c r="F806" s="232" t="s">
        <v>673</v>
      </c>
      <c r="G806" s="232" t="s">
        <v>2039</v>
      </c>
      <c r="K806" t="s">
        <v>2647</v>
      </c>
      <c r="L806" s="81">
        <f>+Municipios!AB807</f>
        <v>27.984022389943366</v>
      </c>
      <c r="M806" s="232">
        <v>52560</v>
      </c>
      <c r="N806" s="232" t="s">
        <v>2038</v>
      </c>
      <c r="O806" s="232" t="s">
        <v>672</v>
      </c>
      <c r="P806" s="232" t="s">
        <v>673</v>
      </c>
      <c r="Q806" s="232" t="s">
        <v>2039</v>
      </c>
      <c r="T806" t="s">
        <v>2803</v>
      </c>
      <c r="U806" s="25">
        <f>+Municipios!Z807</f>
        <v>60.477156651466871</v>
      </c>
      <c r="V806" s="232">
        <v>52560</v>
      </c>
      <c r="W806" s="232" t="s">
        <v>2038</v>
      </c>
      <c r="X806" s="232" t="s">
        <v>672</v>
      </c>
      <c r="Y806" s="232" t="s">
        <v>673</v>
      </c>
      <c r="Z806" s="232" t="s">
        <v>2039</v>
      </c>
    </row>
    <row r="807" spans="1:26">
      <c r="A807" t="s">
        <v>417</v>
      </c>
      <c r="B807" s="25">
        <f>+Municipios!Z808</f>
        <v>64.686959571247542</v>
      </c>
      <c r="C807" s="232">
        <v>44420</v>
      </c>
      <c r="D807" s="232" t="s">
        <v>2040</v>
      </c>
      <c r="E807" s="232" t="s">
        <v>933</v>
      </c>
      <c r="F807" s="232" t="s">
        <v>934</v>
      </c>
      <c r="G807" s="232" t="s">
        <v>2041</v>
      </c>
      <c r="K807" t="s">
        <v>2647</v>
      </c>
      <c r="L807" s="81">
        <f>+Municipios!AB808</f>
        <v>29.970896597572878</v>
      </c>
      <c r="M807" s="232">
        <v>44420</v>
      </c>
      <c r="N807" s="232" t="s">
        <v>2040</v>
      </c>
      <c r="O807" s="232" t="s">
        <v>933</v>
      </c>
      <c r="P807" s="232" t="s">
        <v>934</v>
      </c>
      <c r="Q807" s="232" t="s">
        <v>2041</v>
      </c>
      <c r="T807" t="s">
        <v>2803</v>
      </c>
      <c r="U807" s="25">
        <f>+Municipios!Z808</f>
        <v>64.686959571247542</v>
      </c>
      <c r="V807" s="232">
        <v>44420</v>
      </c>
      <c r="W807" s="232" t="s">
        <v>2040</v>
      </c>
      <c r="X807" s="232" t="s">
        <v>933</v>
      </c>
      <c r="Y807" s="232" t="s">
        <v>934</v>
      </c>
      <c r="Z807" s="232" t="s">
        <v>2041</v>
      </c>
    </row>
    <row r="808" spans="1:26">
      <c r="A808" t="s">
        <v>417</v>
      </c>
      <c r="B808" s="25">
        <f>+Municipios!Z809</f>
        <v>54.390440411403063</v>
      </c>
      <c r="C808" s="232">
        <v>15218</v>
      </c>
      <c r="D808" s="232" t="s">
        <v>2042</v>
      </c>
      <c r="E808" s="232" t="s">
        <v>498</v>
      </c>
      <c r="F808" s="232" t="s">
        <v>499</v>
      </c>
      <c r="G808" s="232" t="s">
        <v>2043</v>
      </c>
      <c r="K808" t="s">
        <v>2647</v>
      </c>
      <c r="L808" s="81">
        <f>+Municipios!AB809</f>
        <v>25.175027504065</v>
      </c>
      <c r="M808" s="232">
        <v>15218</v>
      </c>
      <c r="N808" s="232" t="s">
        <v>2042</v>
      </c>
      <c r="O808" s="232" t="s">
        <v>498</v>
      </c>
      <c r="P808" s="232" t="s">
        <v>499</v>
      </c>
      <c r="Q808" s="232" t="s">
        <v>2043</v>
      </c>
      <c r="T808" t="s">
        <v>2803</v>
      </c>
      <c r="U808" s="25">
        <f>+Municipios!Z809</f>
        <v>54.390440411403063</v>
      </c>
      <c r="V808" s="232">
        <v>15218</v>
      </c>
      <c r="W808" s="232" t="s">
        <v>2042</v>
      </c>
      <c r="X808" s="232" t="s">
        <v>498</v>
      </c>
      <c r="Y808" s="232" t="s">
        <v>499</v>
      </c>
      <c r="Z808" s="232" t="s">
        <v>2043</v>
      </c>
    </row>
    <row r="809" spans="1:26">
      <c r="A809" t="s">
        <v>417</v>
      </c>
      <c r="B809" s="25">
        <f>+Municipios!Z810</f>
        <v>53.843456323140565</v>
      </c>
      <c r="C809" s="232">
        <v>73347</v>
      </c>
      <c r="D809" s="232" t="s">
        <v>2044</v>
      </c>
      <c r="E809" s="232" t="s">
        <v>595</v>
      </c>
      <c r="F809" s="232" t="s">
        <v>596</v>
      </c>
      <c r="G809" s="232" t="s">
        <v>2045</v>
      </c>
      <c r="K809" t="s">
        <v>2647</v>
      </c>
      <c r="L809" s="81">
        <f>+Municipios!AB810</f>
        <v>24.999114414048577</v>
      </c>
      <c r="M809" s="232">
        <v>73347</v>
      </c>
      <c r="N809" s="232" t="s">
        <v>2044</v>
      </c>
      <c r="O809" s="232" t="s">
        <v>595</v>
      </c>
      <c r="P809" s="232" t="s">
        <v>596</v>
      </c>
      <c r="Q809" s="232" t="s">
        <v>2045</v>
      </c>
      <c r="T809" t="s">
        <v>2803</v>
      </c>
      <c r="U809" s="25">
        <f>+Municipios!Z810</f>
        <v>53.843456323140565</v>
      </c>
      <c r="V809" s="232">
        <v>73347</v>
      </c>
      <c r="W809" s="232" t="s">
        <v>2044</v>
      </c>
      <c r="X809" s="232" t="s">
        <v>595</v>
      </c>
      <c r="Y809" s="232" t="s">
        <v>596</v>
      </c>
      <c r="Z809" s="232" t="s">
        <v>2045</v>
      </c>
    </row>
    <row r="810" spans="1:26">
      <c r="A810" t="s">
        <v>417</v>
      </c>
      <c r="B810" s="25">
        <f>+Municipios!Z811</f>
        <v>58.673568310030106</v>
      </c>
      <c r="C810" s="232">
        <v>5031</v>
      </c>
      <c r="D810" s="232" t="s">
        <v>2046</v>
      </c>
      <c r="E810" s="232" t="s">
        <v>435</v>
      </c>
      <c r="F810" s="232" t="s">
        <v>436</v>
      </c>
      <c r="G810" s="232" t="s">
        <v>2047</v>
      </c>
      <c r="K810" t="s">
        <v>2647</v>
      </c>
      <c r="L810" s="81">
        <f>+Municipios!AB811</f>
        <v>27.248779357648502</v>
      </c>
      <c r="M810" s="232">
        <v>5031</v>
      </c>
      <c r="N810" s="232" t="s">
        <v>2046</v>
      </c>
      <c r="O810" s="232" t="s">
        <v>435</v>
      </c>
      <c r="P810" s="232" t="s">
        <v>436</v>
      </c>
      <c r="Q810" s="232" t="s">
        <v>2047</v>
      </c>
      <c r="T810" t="s">
        <v>2803</v>
      </c>
      <c r="U810" s="25">
        <f>+Municipios!Z811</f>
        <v>58.673568310030106</v>
      </c>
      <c r="V810" s="232">
        <v>5031</v>
      </c>
      <c r="W810" s="232" t="s">
        <v>2046</v>
      </c>
      <c r="X810" s="232" t="s">
        <v>435</v>
      </c>
      <c r="Y810" s="232" t="s">
        <v>436</v>
      </c>
      <c r="Z810" s="232" t="s">
        <v>2047</v>
      </c>
    </row>
    <row r="811" spans="1:26">
      <c r="A811" t="s">
        <v>417</v>
      </c>
      <c r="B811" s="25">
        <f>+Municipios!Z812</f>
        <v>56.694176205574323</v>
      </c>
      <c r="C811" s="232">
        <v>73563</v>
      </c>
      <c r="D811" s="232" t="s">
        <v>2048</v>
      </c>
      <c r="E811" s="232" t="s">
        <v>595</v>
      </c>
      <c r="F811" s="232" t="s">
        <v>596</v>
      </c>
      <c r="G811" s="232" t="s">
        <v>2049</v>
      </c>
      <c r="K811" t="s">
        <v>2647</v>
      </c>
      <c r="L811" s="81">
        <f>+Municipios!AB812</f>
        <v>26.215161910439427</v>
      </c>
      <c r="M811" s="232">
        <v>73563</v>
      </c>
      <c r="N811" s="232" t="s">
        <v>2048</v>
      </c>
      <c r="O811" s="232" t="s">
        <v>595</v>
      </c>
      <c r="P811" s="232" t="s">
        <v>596</v>
      </c>
      <c r="Q811" s="232" t="s">
        <v>2049</v>
      </c>
      <c r="T811" t="s">
        <v>2803</v>
      </c>
      <c r="U811" s="25">
        <f>+Municipios!Z812</f>
        <v>56.694176205574323</v>
      </c>
      <c r="V811" s="232">
        <v>73563</v>
      </c>
      <c r="W811" s="232" t="s">
        <v>2048</v>
      </c>
      <c r="X811" s="232" t="s">
        <v>595</v>
      </c>
      <c r="Y811" s="232" t="s">
        <v>596</v>
      </c>
      <c r="Z811" s="232" t="s">
        <v>2049</v>
      </c>
    </row>
    <row r="812" spans="1:26">
      <c r="A812" t="s">
        <v>417</v>
      </c>
      <c r="B812" s="25">
        <f>+Municipios!Z813</f>
        <v>69.60557261662882</v>
      </c>
      <c r="C812" s="232">
        <v>15425</v>
      </c>
      <c r="D812" s="232" t="s">
        <v>2050</v>
      </c>
      <c r="E812" s="232" t="s">
        <v>498</v>
      </c>
      <c r="F812" s="232" t="s">
        <v>499</v>
      </c>
      <c r="G812" s="232" t="s">
        <v>2051</v>
      </c>
      <c r="K812" t="s">
        <v>2647</v>
      </c>
      <c r="L812" s="81">
        <f>+Municipios!AB813</f>
        <v>32.101229912186852</v>
      </c>
      <c r="M812" s="232">
        <v>15425</v>
      </c>
      <c r="N812" s="232" t="s">
        <v>2050</v>
      </c>
      <c r="O812" s="232" t="s">
        <v>498</v>
      </c>
      <c r="P812" s="232" t="s">
        <v>499</v>
      </c>
      <c r="Q812" s="232" t="s">
        <v>2051</v>
      </c>
      <c r="T812" t="s">
        <v>2803</v>
      </c>
      <c r="U812" s="25">
        <f>+Municipios!Z813</f>
        <v>69.60557261662882</v>
      </c>
      <c r="V812" s="232">
        <v>15425</v>
      </c>
      <c r="W812" s="232" t="s">
        <v>2050</v>
      </c>
      <c r="X812" s="232" t="s">
        <v>498</v>
      </c>
      <c r="Y812" s="232" t="s">
        <v>499</v>
      </c>
      <c r="Z812" s="232" t="s">
        <v>2051</v>
      </c>
    </row>
    <row r="813" spans="1:26">
      <c r="A813" t="s">
        <v>417</v>
      </c>
      <c r="B813" s="25">
        <f>+Municipios!Z814</f>
        <v>59.421814940799592</v>
      </c>
      <c r="C813" s="232">
        <v>41518</v>
      </c>
      <c r="D813" s="232" t="s">
        <v>2052</v>
      </c>
      <c r="E813" s="232" t="s">
        <v>676</v>
      </c>
      <c r="F813" s="232" t="s">
        <v>677</v>
      </c>
      <c r="G813" s="232" t="s">
        <v>2053</v>
      </c>
      <c r="K813" t="s">
        <v>2647</v>
      </c>
      <c r="L813" s="81">
        <f>+Municipios!AB814</f>
        <v>27.44560178841914</v>
      </c>
      <c r="M813" s="232">
        <v>41518</v>
      </c>
      <c r="N813" s="232" t="s">
        <v>2052</v>
      </c>
      <c r="O813" s="232" t="s">
        <v>676</v>
      </c>
      <c r="P813" s="232" t="s">
        <v>677</v>
      </c>
      <c r="Q813" s="232" t="s">
        <v>2053</v>
      </c>
      <c r="T813" t="s">
        <v>2803</v>
      </c>
      <c r="U813" s="25">
        <f>+Municipios!Z814</f>
        <v>59.421814940799592</v>
      </c>
      <c r="V813" s="232">
        <v>41518</v>
      </c>
      <c r="W813" s="232" t="s">
        <v>2052</v>
      </c>
      <c r="X813" s="232" t="s">
        <v>676</v>
      </c>
      <c r="Y813" s="232" t="s">
        <v>677</v>
      </c>
      <c r="Z813" s="232" t="s">
        <v>2053</v>
      </c>
    </row>
    <row r="814" spans="1:26">
      <c r="A814" t="s">
        <v>417</v>
      </c>
      <c r="B814" s="25">
        <f>+Municipios!Z815</f>
        <v>57.273892569520399</v>
      </c>
      <c r="C814" s="232">
        <v>41026</v>
      </c>
      <c r="D814" s="232" t="s">
        <v>2054</v>
      </c>
      <c r="E814" s="232" t="s">
        <v>676</v>
      </c>
      <c r="F814" s="232" t="s">
        <v>677</v>
      </c>
      <c r="G814" s="232" t="s">
        <v>2055</v>
      </c>
      <c r="K814" t="s">
        <v>2647</v>
      </c>
      <c r="L814" s="81">
        <f>+Municipios!AB815</f>
        <v>26.440288911711281</v>
      </c>
      <c r="M814" s="232">
        <v>41026</v>
      </c>
      <c r="N814" s="232" t="s">
        <v>2054</v>
      </c>
      <c r="O814" s="232" t="s">
        <v>676</v>
      </c>
      <c r="P814" s="232" t="s">
        <v>677</v>
      </c>
      <c r="Q814" s="232" t="s">
        <v>2055</v>
      </c>
      <c r="T814" t="s">
        <v>2803</v>
      </c>
      <c r="U814" s="25">
        <f>+Municipios!Z815</f>
        <v>57.273892569520399</v>
      </c>
      <c r="V814" s="232">
        <v>41026</v>
      </c>
      <c r="W814" s="232" t="s">
        <v>2054</v>
      </c>
      <c r="X814" s="232" t="s">
        <v>676</v>
      </c>
      <c r="Y814" s="232" t="s">
        <v>677</v>
      </c>
      <c r="Z814" s="232" t="s">
        <v>2055</v>
      </c>
    </row>
    <row r="815" spans="1:26">
      <c r="A815" t="s">
        <v>417</v>
      </c>
      <c r="B815" s="25">
        <f>+Municipios!Z816</f>
        <v>53.731921850186851</v>
      </c>
      <c r="C815" s="232">
        <v>15212</v>
      </c>
      <c r="D815" s="232" t="s">
        <v>2056</v>
      </c>
      <c r="E815" s="232" t="s">
        <v>498</v>
      </c>
      <c r="F815" s="232" t="s">
        <v>499</v>
      </c>
      <c r="G815" s="232" t="s">
        <v>2057</v>
      </c>
      <c r="K815" t="s">
        <v>2647</v>
      </c>
      <c r="L815" s="81">
        <f>+Municipios!AB816</f>
        <v>24.709380493476203</v>
      </c>
      <c r="M815" s="232">
        <v>15212</v>
      </c>
      <c r="N815" s="232" t="s">
        <v>2056</v>
      </c>
      <c r="O815" s="232" t="s">
        <v>498</v>
      </c>
      <c r="P815" s="232" t="s">
        <v>499</v>
      </c>
      <c r="Q815" s="232" t="s">
        <v>2057</v>
      </c>
      <c r="T815" t="s">
        <v>2803</v>
      </c>
      <c r="U815" s="25">
        <f>+Municipios!Z816</f>
        <v>53.731921850186851</v>
      </c>
      <c r="V815" s="232">
        <v>15212</v>
      </c>
      <c r="W815" s="232" t="s">
        <v>2056</v>
      </c>
      <c r="X815" s="232" t="s">
        <v>498</v>
      </c>
      <c r="Y815" s="232" t="s">
        <v>499</v>
      </c>
      <c r="Z815" s="232" t="s">
        <v>2057</v>
      </c>
    </row>
    <row r="816" spans="1:26">
      <c r="A816" t="s">
        <v>417</v>
      </c>
      <c r="B816" s="25">
        <f>+Municipios!Z817</f>
        <v>40.353667973735924</v>
      </c>
      <c r="C816" s="232">
        <v>13006</v>
      </c>
      <c r="D816" s="232" t="s">
        <v>2058</v>
      </c>
      <c r="E816" s="232" t="s">
        <v>480</v>
      </c>
      <c r="F816" s="232" t="s">
        <v>481</v>
      </c>
      <c r="G816" s="232" t="s">
        <v>2059</v>
      </c>
      <c r="K816" t="s">
        <v>2647</v>
      </c>
      <c r="L816" s="81">
        <f>+Municipios!AB817</f>
        <v>18.616420772070654</v>
      </c>
      <c r="M816" s="232">
        <v>13006</v>
      </c>
      <c r="N816" s="232" t="s">
        <v>2058</v>
      </c>
      <c r="O816" s="232" t="s">
        <v>480</v>
      </c>
      <c r="P816" s="232" t="s">
        <v>481</v>
      </c>
      <c r="Q816" s="232" t="s">
        <v>2059</v>
      </c>
      <c r="T816" t="s">
        <v>2803</v>
      </c>
      <c r="U816" s="25">
        <f>+Municipios!Z817</f>
        <v>40.353667973735924</v>
      </c>
      <c r="V816" s="232">
        <v>13006</v>
      </c>
      <c r="W816" s="232" t="s">
        <v>2058</v>
      </c>
      <c r="X816" s="232" t="s">
        <v>480</v>
      </c>
      <c r="Y816" s="232" t="s">
        <v>481</v>
      </c>
      <c r="Z816" s="232" t="s">
        <v>2059</v>
      </c>
    </row>
    <row r="817" spans="1:26">
      <c r="A817" t="s">
        <v>417</v>
      </c>
      <c r="B817" s="25">
        <f>+Municipios!Z818</f>
        <v>64.330994997789347</v>
      </c>
      <c r="C817" s="232">
        <v>41799</v>
      </c>
      <c r="D817" s="232" t="s">
        <v>2060</v>
      </c>
      <c r="E817" s="232" t="s">
        <v>676</v>
      </c>
      <c r="F817" s="232" t="s">
        <v>677</v>
      </c>
      <c r="G817" s="232" t="s">
        <v>2061</v>
      </c>
      <c r="K817" t="s">
        <v>2647</v>
      </c>
      <c r="L817" s="81">
        <f>+Municipios!AB818</f>
        <v>29.685661253996958</v>
      </c>
      <c r="M817" s="232">
        <v>41799</v>
      </c>
      <c r="N817" s="232" t="s">
        <v>2060</v>
      </c>
      <c r="O817" s="232" t="s">
        <v>676</v>
      </c>
      <c r="P817" s="232" t="s">
        <v>677</v>
      </c>
      <c r="Q817" s="232" t="s">
        <v>2061</v>
      </c>
      <c r="T817" t="s">
        <v>2803</v>
      </c>
      <c r="U817" s="25">
        <f>+Municipios!Z818</f>
        <v>64.330994997789347</v>
      </c>
      <c r="V817" s="232">
        <v>41799</v>
      </c>
      <c r="W817" s="232" t="s">
        <v>2060</v>
      </c>
      <c r="X817" s="232" t="s">
        <v>676</v>
      </c>
      <c r="Y817" s="232" t="s">
        <v>677</v>
      </c>
      <c r="Z817" s="232" t="s">
        <v>2061</v>
      </c>
    </row>
    <row r="818" spans="1:26">
      <c r="A818" t="s">
        <v>417</v>
      </c>
      <c r="B818" s="25">
        <f>+Municipios!Z819</f>
        <v>54.42258579255504</v>
      </c>
      <c r="C818" s="232">
        <v>19517</v>
      </c>
      <c r="D818" s="232" t="s">
        <v>2062</v>
      </c>
      <c r="E818" s="232" t="s">
        <v>557</v>
      </c>
      <c r="F818" s="232" t="s">
        <v>558</v>
      </c>
      <c r="G818" s="232" t="s">
        <v>2063</v>
      </c>
      <c r="K818" t="s">
        <v>2647</v>
      </c>
      <c r="L818" s="81">
        <f>+Municipios!AB819</f>
        <v>25.107358339804176</v>
      </c>
      <c r="M818" s="232">
        <v>19517</v>
      </c>
      <c r="N818" s="232" t="s">
        <v>2062</v>
      </c>
      <c r="O818" s="232" t="s">
        <v>557</v>
      </c>
      <c r="P818" s="232" t="s">
        <v>558</v>
      </c>
      <c r="Q818" s="232" t="s">
        <v>2063</v>
      </c>
      <c r="T818" t="s">
        <v>2803</v>
      </c>
      <c r="U818" s="25">
        <f>+Municipios!Z819</f>
        <v>54.42258579255504</v>
      </c>
      <c r="V818" s="232">
        <v>19517</v>
      </c>
      <c r="W818" s="232" t="s">
        <v>2062</v>
      </c>
      <c r="X818" s="232" t="s">
        <v>557</v>
      </c>
      <c r="Y818" s="232" t="s">
        <v>558</v>
      </c>
      <c r="Z818" s="232" t="s">
        <v>2063</v>
      </c>
    </row>
    <row r="819" spans="1:26">
      <c r="A819" t="s">
        <v>417</v>
      </c>
      <c r="B819" s="25">
        <f>+Municipios!Z820</f>
        <v>53.468006377537428</v>
      </c>
      <c r="C819" s="232">
        <v>47720</v>
      </c>
      <c r="D819" s="232" t="s">
        <v>2064</v>
      </c>
      <c r="E819" s="232" t="s">
        <v>638</v>
      </c>
      <c r="F819" s="232" t="s">
        <v>639</v>
      </c>
      <c r="G819" s="232" t="s">
        <v>2065</v>
      </c>
      <c r="K819" t="s">
        <v>2647</v>
      </c>
      <c r="L819" s="81">
        <f>+Municipios!AB820</f>
        <v>24.6519219828198</v>
      </c>
      <c r="M819" s="232">
        <v>47720</v>
      </c>
      <c r="N819" s="232" t="s">
        <v>2064</v>
      </c>
      <c r="O819" s="232" t="s">
        <v>638</v>
      </c>
      <c r="P819" s="232" t="s">
        <v>639</v>
      </c>
      <c r="Q819" s="232" t="s">
        <v>2065</v>
      </c>
      <c r="T819" t="s">
        <v>2803</v>
      </c>
      <c r="U819" s="25">
        <f>+Municipios!Z820</f>
        <v>53.468006377537428</v>
      </c>
      <c r="V819" s="232">
        <v>47720</v>
      </c>
      <c r="W819" s="232" t="s">
        <v>2064</v>
      </c>
      <c r="X819" s="232" t="s">
        <v>638</v>
      </c>
      <c r="Y819" s="232" t="s">
        <v>639</v>
      </c>
      <c r="Z819" s="232" t="s">
        <v>2065</v>
      </c>
    </row>
    <row r="820" spans="1:26">
      <c r="A820" t="s">
        <v>417</v>
      </c>
      <c r="B820" s="25">
        <f>+Municipios!Z821</f>
        <v>47.70503331239513</v>
      </c>
      <c r="C820" s="232">
        <v>47545</v>
      </c>
      <c r="D820" s="232" t="s">
        <v>2066</v>
      </c>
      <c r="E820" s="232" t="s">
        <v>638</v>
      </c>
      <c r="F820" s="232" t="s">
        <v>639</v>
      </c>
      <c r="G820" s="232" t="s">
        <v>2067</v>
      </c>
      <c r="K820" t="s">
        <v>2647</v>
      </c>
      <c r="L820" s="81">
        <f>+Municipios!AB821</f>
        <v>21.976030112101988</v>
      </c>
      <c r="M820" s="232">
        <v>47545</v>
      </c>
      <c r="N820" s="232" t="s">
        <v>2066</v>
      </c>
      <c r="O820" s="232" t="s">
        <v>638</v>
      </c>
      <c r="P820" s="232" t="s">
        <v>639</v>
      </c>
      <c r="Q820" s="232" t="s">
        <v>2067</v>
      </c>
      <c r="T820" t="s">
        <v>2803</v>
      </c>
      <c r="U820" s="25">
        <f>+Municipios!Z821</f>
        <v>47.70503331239513</v>
      </c>
      <c r="V820" s="232">
        <v>47545</v>
      </c>
      <c r="W820" s="232" t="s">
        <v>2066</v>
      </c>
      <c r="X820" s="232" t="s">
        <v>638</v>
      </c>
      <c r="Y820" s="232" t="s">
        <v>639</v>
      </c>
      <c r="Z820" s="232" t="s">
        <v>2067</v>
      </c>
    </row>
    <row r="821" spans="1:26">
      <c r="A821" t="s">
        <v>417</v>
      </c>
      <c r="B821" s="25">
        <f>+Municipios!Z822</f>
        <v>58.252924902704045</v>
      </c>
      <c r="C821" s="232">
        <v>25148</v>
      </c>
      <c r="D821" s="232" t="s">
        <v>2068</v>
      </c>
      <c r="E821" s="232" t="s">
        <v>461</v>
      </c>
      <c r="F821" s="232" t="s">
        <v>462</v>
      </c>
      <c r="G821" s="232" t="s">
        <v>2069</v>
      </c>
      <c r="K821" t="s">
        <v>2647</v>
      </c>
      <c r="L821" s="81">
        <f>+Municipios!AB822</f>
        <v>26.776936596287648</v>
      </c>
      <c r="M821" s="232">
        <v>25148</v>
      </c>
      <c r="N821" s="232" t="s">
        <v>2068</v>
      </c>
      <c r="O821" s="232" t="s">
        <v>461</v>
      </c>
      <c r="P821" s="232" t="s">
        <v>462</v>
      </c>
      <c r="Q821" s="232" t="s">
        <v>2069</v>
      </c>
      <c r="T821" t="s">
        <v>2803</v>
      </c>
      <c r="U821" s="25">
        <f>+Municipios!Z822</f>
        <v>58.252924902704045</v>
      </c>
      <c r="V821" s="232">
        <v>25148</v>
      </c>
      <c r="W821" s="232" t="s">
        <v>2068</v>
      </c>
      <c r="X821" s="232" t="s">
        <v>461</v>
      </c>
      <c r="Y821" s="232" t="s">
        <v>462</v>
      </c>
      <c r="Z821" s="232" t="s">
        <v>2069</v>
      </c>
    </row>
    <row r="822" spans="1:26">
      <c r="A822" t="s">
        <v>417</v>
      </c>
      <c r="B822" s="25">
        <f>+Municipios!Z823</f>
        <v>72.922159071453692</v>
      </c>
      <c r="C822" s="232">
        <v>20383</v>
      </c>
      <c r="D822" s="232" t="s">
        <v>2070</v>
      </c>
      <c r="E822" s="232" t="s">
        <v>893</v>
      </c>
      <c r="F822" s="232" t="s">
        <v>894</v>
      </c>
      <c r="G822" s="232" t="s">
        <v>2071</v>
      </c>
      <c r="K822" t="s">
        <v>2647</v>
      </c>
      <c r="L822" s="81">
        <f>+Municipios!AB823</f>
        <v>33.510547383650348</v>
      </c>
      <c r="M822" s="232">
        <v>20383</v>
      </c>
      <c r="N822" s="232" t="s">
        <v>2070</v>
      </c>
      <c r="O822" s="232" t="s">
        <v>893</v>
      </c>
      <c r="P822" s="232" t="s">
        <v>894</v>
      </c>
      <c r="Q822" s="232" t="s">
        <v>2071</v>
      </c>
      <c r="T822" t="s">
        <v>2803</v>
      </c>
      <c r="U822" s="25">
        <f>+Municipios!Z823</f>
        <v>72.922159071453692</v>
      </c>
      <c r="V822" s="232">
        <v>20383</v>
      </c>
      <c r="W822" s="232" t="s">
        <v>2070</v>
      </c>
      <c r="X822" s="232" t="s">
        <v>893</v>
      </c>
      <c r="Y822" s="232" t="s">
        <v>894</v>
      </c>
      <c r="Z822" s="232" t="s">
        <v>2071</v>
      </c>
    </row>
    <row r="823" spans="1:26">
      <c r="A823" t="s">
        <v>417</v>
      </c>
      <c r="B823" s="25">
        <f>+Municipios!Z824</f>
        <v>62.338930214597255</v>
      </c>
      <c r="C823" s="232">
        <v>41668</v>
      </c>
      <c r="D823" s="232" t="s">
        <v>2072</v>
      </c>
      <c r="E823" s="232" t="s">
        <v>676</v>
      </c>
      <c r="F823" s="232" t="s">
        <v>677</v>
      </c>
      <c r="G823" s="232" t="s">
        <v>2073</v>
      </c>
      <c r="K823" t="s">
        <v>2647</v>
      </c>
      <c r="L823" s="81">
        <f>+Municipios!AB824</f>
        <v>28.639427202411401</v>
      </c>
      <c r="M823" s="232">
        <v>41668</v>
      </c>
      <c r="N823" s="232" t="s">
        <v>2072</v>
      </c>
      <c r="O823" s="232" t="s">
        <v>676</v>
      </c>
      <c r="P823" s="232" t="s">
        <v>677</v>
      </c>
      <c r="Q823" s="232" t="s">
        <v>2073</v>
      </c>
      <c r="T823" t="s">
        <v>2803</v>
      </c>
      <c r="U823" s="25">
        <f>+Municipios!Z824</f>
        <v>62.338930214597255</v>
      </c>
      <c r="V823" s="232">
        <v>41668</v>
      </c>
      <c r="W823" s="232" t="s">
        <v>2072</v>
      </c>
      <c r="X823" s="232" t="s">
        <v>676</v>
      </c>
      <c r="Y823" s="232" t="s">
        <v>677</v>
      </c>
      <c r="Z823" s="232" t="s">
        <v>2073</v>
      </c>
    </row>
    <row r="824" spans="1:26">
      <c r="A824" t="s">
        <v>417</v>
      </c>
      <c r="B824" s="25">
        <f>+Municipios!Z825</f>
        <v>56.294698649144692</v>
      </c>
      <c r="C824" s="232">
        <v>15673</v>
      </c>
      <c r="D824" s="232" t="s">
        <v>2074</v>
      </c>
      <c r="E824" s="232" t="s">
        <v>498</v>
      </c>
      <c r="F824" s="232" t="s">
        <v>499</v>
      </c>
      <c r="G824" s="232" t="s">
        <v>2075</v>
      </c>
      <c r="K824" t="s">
        <v>2647</v>
      </c>
      <c r="L824" s="81">
        <f>+Municipios!AB825</f>
        <v>25.911578443530306</v>
      </c>
      <c r="M824" s="232">
        <v>15673</v>
      </c>
      <c r="N824" s="232" t="s">
        <v>2074</v>
      </c>
      <c r="O824" s="232" t="s">
        <v>498</v>
      </c>
      <c r="P824" s="232" t="s">
        <v>499</v>
      </c>
      <c r="Q824" s="232" t="s">
        <v>2075</v>
      </c>
      <c r="T824" t="s">
        <v>2803</v>
      </c>
      <c r="U824" s="25">
        <f>+Municipios!Z825</f>
        <v>56.294698649144692</v>
      </c>
      <c r="V824" s="232">
        <v>15673</v>
      </c>
      <c r="W824" s="232" t="s">
        <v>2074</v>
      </c>
      <c r="X824" s="232" t="s">
        <v>498</v>
      </c>
      <c r="Y824" s="232" t="s">
        <v>499</v>
      </c>
      <c r="Z824" s="232" t="s">
        <v>2075</v>
      </c>
    </row>
    <row r="825" spans="1:26">
      <c r="A825" t="s">
        <v>417</v>
      </c>
      <c r="B825" s="25">
        <f>+Municipios!Z826</f>
        <v>47.580919480077611</v>
      </c>
      <c r="C825" s="232">
        <v>13549</v>
      </c>
      <c r="D825" s="232" t="s">
        <v>2076</v>
      </c>
      <c r="E825" s="232" t="s">
        <v>480</v>
      </c>
      <c r="F825" s="232" t="s">
        <v>481</v>
      </c>
      <c r="G825" s="232" t="s">
        <v>2077</v>
      </c>
      <c r="K825" t="s">
        <v>2647</v>
      </c>
      <c r="L825" s="81">
        <f>+Municipios!AB826</f>
        <v>21.879583590879541</v>
      </c>
      <c r="M825" s="232">
        <v>13549</v>
      </c>
      <c r="N825" s="232" t="s">
        <v>2076</v>
      </c>
      <c r="O825" s="232" t="s">
        <v>480</v>
      </c>
      <c r="P825" s="232" t="s">
        <v>481</v>
      </c>
      <c r="Q825" s="232" t="s">
        <v>2077</v>
      </c>
      <c r="T825" t="s">
        <v>2803</v>
      </c>
      <c r="U825" s="25">
        <f>+Municipios!Z826</f>
        <v>47.580919480077611</v>
      </c>
      <c r="V825" s="232">
        <v>13549</v>
      </c>
      <c r="W825" s="232" t="s">
        <v>2076</v>
      </c>
      <c r="X825" s="232" t="s">
        <v>480</v>
      </c>
      <c r="Y825" s="232" t="s">
        <v>481</v>
      </c>
      <c r="Z825" s="232" t="s">
        <v>2077</v>
      </c>
    </row>
    <row r="826" spans="1:26">
      <c r="A826" t="s">
        <v>417</v>
      </c>
      <c r="B826" s="25">
        <f>+Municipios!Z827</f>
        <v>49.862786444518434</v>
      </c>
      <c r="C826" s="232">
        <v>15172</v>
      </c>
      <c r="D826" s="232" t="s">
        <v>2078</v>
      </c>
      <c r="E826" s="232" t="s">
        <v>498</v>
      </c>
      <c r="F826" s="232" t="s">
        <v>499</v>
      </c>
      <c r="G826" s="232" t="s">
        <v>2079</v>
      </c>
      <c r="K826" t="s">
        <v>2647</v>
      </c>
      <c r="L826" s="81">
        <f>+Municipios!AB827</f>
        <v>22.919559319348188</v>
      </c>
      <c r="M826" s="232">
        <v>15172</v>
      </c>
      <c r="N826" s="232" t="s">
        <v>2078</v>
      </c>
      <c r="O826" s="232" t="s">
        <v>498</v>
      </c>
      <c r="P826" s="232" t="s">
        <v>499</v>
      </c>
      <c r="Q826" s="232" t="s">
        <v>2079</v>
      </c>
      <c r="T826" t="s">
        <v>2803</v>
      </c>
      <c r="U826" s="25">
        <f>+Municipios!Z827</f>
        <v>49.862786444518434</v>
      </c>
      <c r="V826" s="232">
        <v>15172</v>
      </c>
      <c r="W826" s="232" t="s">
        <v>2078</v>
      </c>
      <c r="X826" s="232" t="s">
        <v>498</v>
      </c>
      <c r="Y826" s="232" t="s">
        <v>499</v>
      </c>
      <c r="Z826" s="232" t="s">
        <v>2079</v>
      </c>
    </row>
    <row r="827" spans="1:26">
      <c r="A827" t="s">
        <v>417</v>
      </c>
      <c r="B827" s="25">
        <f>+Municipios!Z828</f>
        <v>65.358168012603983</v>
      </c>
      <c r="C827" s="232">
        <v>54109</v>
      </c>
      <c r="D827" s="232" t="s">
        <v>2080</v>
      </c>
      <c r="E827" s="232" t="s">
        <v>517</v>
      </c>
      <c r="F827" s="232" t="s">
        <v>518</v>
      </c>
      <c r="G827" s="232" t="s">
        <v>2081</v>
      </c>
      <c r="K827" t="s">
        <v>2647</v>
      </c>
      <c r="L827" s="81">
        <f>+Municipios!AB828</f>
        <v>30.039899852813036</v>
      </c>
      <c r="M827" s="232">
        <v>54109</v>
      </c>
      <c r="N827" s="232" t="s">
        <v>2080</v>
      </c>
      <c r="O827" s="232" t="s">
        <v>517</v>
      </c>
      <c r="P827" s="232" t="s">
        <v>518</v>
      </c>
      <c r="Q827" s="232" t="s">
        <v>2081</v>
      </c>
      <c r="T827" t="s">
        <v>2803</v>
      </c>
      <c r="U827" s="25">
        <f>+Municipios!Z828</f>
        <v>65.358168012603983</v>
      </c>
      <c r="V827" s="232">
        <v>54109</v>
      </c>
      <c r="W827" s="232" t="s">
        <v>2080</v>
      </c>
      <c r="X827" s="232" t="s">
        <v>517</v>
      </c>
      <c r="Y827" s="232" t="s">
        <v>518</v>
      </c>
      <c r="Z827" s="232" t="s">
        <v>2081</v>
      </c>
    </row>
    <row r="828" spans="1:26">
      <c r="A828" t="s">
        <v>417</v>
      </c>
      <c r="B828" s="25">
        <f>+Municipios!Z829</f>
        <v>54.001217784937495</v>
      </c>
      <c r="C828" s="232">
        <v>73043</v>
      </c>
      <c r="D828" s="232" t="s">
        <v>2082</v>
      </c>
      <c r="E828" s="232" t="s">
        <v>595</v>
      </c>
      <c r="F828" s="232" t="s">
        <v>596</v>
      </c>
      <c r="G828" s="232" t="s">
        <v>2083</v>
      </c>
      <c r="K828" t="s">
        <v>2647</v>
      </c>
      <c r="L828" s="81">
        <f>+Municipios!AB829</f>
        <v>24.724333050784736</v>
      </c>
      <c r="M828" s="232">
        <v>73043</v>
      </c>
      <c r="N828" s="232" t="s">
        <v>2082</v>
      </c>
      <c r="O828" s="232" t="s">
        <v>595</v>
      </c>
      <c r="P828" s="232" t="s">
        <v>596</v>
      </c>
      <c r="Q828" s="232" t="s">
        <v>2083</v>
      </c>
      <c r="T828" t="s">
        <v>2803</v>
      </c>
      <c r="U828" s="25">
        <f>+Municipios!Z829</f>
        <v>54.001217784937495</v>
      </c>
      <c r="V828" s="232">
        <v>73043</v>
      </c>
      <c r="W828" s="232" t="s">
        <v>2082</v>
      </c>
      <c r="X828" s="232" t="s">
        <v>595</v>
      </c>
      <c r="Y828" s="232" t="s">
        <v>596</v>
      </c>
      <c r="Z828" s="232" t="s">
        <v>2083</v>
      </c>
    </row>
    <row r="829" spans="1:26">
      <c r="A829" t="s">
        <v>417</v>
      </c>
      <c r="B829" s="25">
        <f>+Municipios!Z830</f>
        <v>59.277221617063319</v>
      </c>
      <c r="C829" s="232">
        <v>54743</v>
      </c>
      <c r="D829" s="232" t="s">
        <v>2084</v>
      </c>
      <c r="E829" s="232" t="s">
        <v>517</v>
      </c>
      <c r="F829" s="232" t="s">
        <v>518</v>
      </c>
      <c r="G829" s="232" t="s">
        <v>2085</v>
      </c>
      <c r="K829" t="s">
        <v>2647</v>
      </c>
      <c r="L829" s="81">
        <f>+Municipios!AB830</f>
        <v>27.295695091430829</v>
      </c>
      <c r="M829" s="232">
        <v>54743</v>
      </c>
      <c r="N829" s="232" t="s">
        <v>2084</v>
      </c>
      <c r="O829" s="232" t="s">
        <v>517</v>
      </c>
      <c r="P829" s="232" t="s">
        <v>518</v>
      </c>
      <c r="Q829" s="232" t="s">
        <v>2085</v>
      </c>
      <c r="T829" t="s">
        <v>2803</v>
      </c>
      <c r="U829" s="25">
        <f>+Municipios!Z830</f>
        <v>59.277221617063319</v>
      </c>
      <c r="V829" s="232">
        <v>54743</v>
      </c>
      <c r="W829" s="232" t="s">
        <v>2084</v>
      </c>
      <c r="X829" s="232" t="s">
        <v>517</v>
      </c>
      <c r="Y829" s="232" t="s">
        <v>518</v>
      </c>
      <c r="Z829" s="232" t="s">
        <v>2085</v>
      </c>
    </row>
    <row r="830" spans="1:26">
      <c r="A830" t="s">
        <v>417</v>
      </c>
      <c r="B830" s="25">
        <f>+Municipios!Z831</f>
        <v>60.815962339357384</v>
      </c>
      <c r="C830" s="232">
        <v>54125</v>
      </c>
      <c r="D830" s="232" t="s">
        <v>2086</v>
      </c>
      <c r="E830" s="232" t="s">
        <v>517</v>
      </c>
      <c r="F830" s="232" t="s">
        <v>518</v>
      </c>
      <c r="G830" s="232" t="s">
        <v>2087</v>
      </c>
      <c r="K830" t="s">
        <v>2647</v>
      </c>
      <c r="L830" s="81">
        <f>+Municipios!AB831</f>
        <v>27.946489689803904</v>
      </c>
      <c r="M830" s="232">
        <v>54125</v>
      </c>
      <c r="N830" s="232" t="s">
        <v>2086</v>
      </c>
      <c r="O830" s="232" t="s">
        <v>517</v>
      </c>
      <c r="P830" s="232" t="s">
        <v>518</v>
      </c>
      <c r="Q830" s="232" t="s">
        <v>2087</v>
      </c>
      <c r="T830" t="s">
        <v>2803</v>
      </c>
      <c r="U830" s="25">
        <f>+Municipios!Z831</f>
        <v>60.815962339357384</v>
      </c>
      <c r="V830" s="232">
        <v>54125</v>
      </c>
      <c r="W830" s="232" t="s">
        <v>2086</v>
      </c>
      <c r="X830" s="232" t="s">
        <v>517</v>
      </c>
      <c r="Y830" s="232" t="s">
        <v>518</v>
      </c>
      <c r="Z830" s="232" t="s">
        <v>2087</v>
      </c>
    </row>
    <row r="831" spans="1:26">
      <c r="A831" t="s">
        <v>417</v>
      </c>
      <c r="B831" s="25">
        <f>+Municipios!Z832</f>
        <v>55.924929802468441</v>
      </c>
      <c r="C831" s="232">
        <v>54344</v>
      </c>
      <c r="D831" s="232" t="s">
        <v>2088</v>
      </c>
      <c r="E831" s="232" t="s">
        <v>517</v>
      </c>
      <c r="F831" s="232" t="s">
        <v>518</v>
      </c>
      <c r="G831" s="232" t="s">
        <v>2089</v>
      </c>
      <c r="K831" t="s">
        <v>2647</v>
      </c>
      <c r="L831" s="81">
        <f>+Municipios!AB832</f>
        <v>25.618206705911874</v>
      </c>
      <c r="M831" s="232">
        <v>54344</v>
      </c>
      <c r="N831" s="232" t="s">
        <v>2088</v>
      </c>
      <c r="O831" s="232" t="s">
        <v>517</v>
      </c>
      <c r="P831" s="232" t="s">
        <v>518</v>
      </c>
      <c r="Q831" s="232" t="s">
        <v>2089</v>
      </c>
      <c r="T831" t="s">
        <v>2803</v>
      </c>
      <c r="U831" s="25">
        <f>+Municipios!Z832</f>
        <v>55.924929802468441</v>
      </c>
      <c r="V831" s="232">
        <v>54344</v>
      </c>
      <c r="W831" s="232" t="s">
        <v>2088</v>
      </c>
      <c r="X831" s="232" t="s">
        <v>517</v>
      </c>
      <c r="Y831" s="232" t="s">
        <v>518</v>
      </c>
      <c r="Z831" s="232" t="s">
        <v>2089</v>
      </c>
    </row>
    <row r="832" spans="1:26">
      <c r="A832" t="s">
        <v>417</v>
      </c>
      <c r="B832" s="25">
        <f>+Municipios!Z833</f>
        <v>51.748779403740123</v>
      </c>
      <c r="C832" s="232">
        <v>68160</v>
      </c>
      <c r="D832" s="232" t="s">
        <v>2090</v>
      </c>
      <c r="E832" s="232" t="s">
        <v>431</v>
      </c>
      <c r="F832" s="232" t="s">
        <v>432</v>
      </c>
      <c r="G832" s="232" t="s">
        <v>2091</v>
      </c>
      <c r="K832" t="s">
        <v>2647</v>
      </c>
      <c r="L832" s="81">
        <f>+Municipios!AB833</f>
        <v>23.808969051674584</v>
      </c>
      <c r="M832" s="232">
        <v>68160</v>
      </c>
      <c r="N832" s="232" t="s">
        <v>2090</v>
      </c>
      <c r="O832" s="232" t="s">
        <v>431</v>
      </c>
      <c r="P832" s="232" t="s">
        <v>432</v>
      </c>
      <c r="Q832" s="232" t="s">
        <v>2091</v>
      </c>
      <c r="T832" t="s">
        <v>2803</v>
      </c>
      <c r="U832" s="25">
        <f>+Municipios!Z833</f>
        <v>51.748779403740123</v>
      </c>
      <c r="V832" s="232">
        <v>68160</v>
      </c>
      <c r="W832" s="232" t="s">
        <v>2090</v>
      </c>
      <c r="X832" s="232" t="s">
        <v>431</v>
      </c>
      <c r="Y832" s="232" t="s">
        <v>432</v>
      </c>
      <c r="Z832" s="232" t="s">
        <v>2091</v>
      </c>
    </row>
    <row r="833" spans="1:26">
      <c r="A833" t="s">
        <v>417</v>
      </c>
      <c r="B833" s="25">
        <f>+Municipios!Z834</f>
        <v>58.965416382159191</v>
      </c>
      <c r="C833" s="232">
        <v>5107</v>
      </c>
      <c r="D833" s="232" t="s">
        <v>2092</v>
      </c>
      <c r="E833" s="232" t="s">
        <v>435</v>
      </c>
      <c r="F833" s="232" t="s">
        <v>436</v>
      </c>
      <c r="G833" s="232" t="s">
        <v>1794</v>
      </c>
      <c r="K833" t="s">
        <v>2647</v>
      </c>
      <c r="L833" s="81">
        <f>+Municipios!AB834</f>
        <v>27.112351191619041</v>
      </c>
      <c r="M833" s="232">
        <v>5107</v>
      </c>
      <c r="N833" s="232" t="s">
        <v>2092</v>
      </c>
      <c r="O833" s="232" t="s">
        <v>435</v>
      </c>
      <c r="P833" s="232" t="s">
        <v>436</v>
      </c>
      <c r="Q833" s="232" t="s">
        <v>1794</v>
      </c>
      <c r="T833" t="s">
        <v>2803</v>
      </c>
      <c r="U833" s="25">
        <f>+Municipios!Z834</f>
        <v>58.965416382159191</v>
      </c>
      <c r="V833" s="232">
        <v>5107</v>
      </c>
      <c r="W833" s="232" t="s">
        <v>2092</v>
      </c>
      <c r="X833" s="232" t="s">
        <v>435</v>
      </c>
      <c r="Y833" s="232" t="s">
        <v>436</v>
      </c>
      <c r="Z833" s="232" t="s">
        <v>1794</v>
      </c>
    </row>
    <row r="834" spans="1:26">
      <c r="A834" t="s">
        <v>417</v>
      </c>
      <c r="B834" s="25">
        <f>+Municipios!Z835</f>
        <v>61.720971391768913</v>
      </c>
      <c r="C834" s="232">
        <v>68245</v>
      </c>
      <c r="D834" s="232" t="s">
        <v>2093</v>
      </c>
      <c r="E834" s="232" t="s">
        <v>431</v>
      </c>
      <c r="F834" s="232" t="s">
        <v>432</v>
      </c>
      <c r="G834" s="232" t="s">
        <v>2094</v>
      </c>
      <c r="K834" t="s">
        <v>2647</v>
      </c>
      <c r="L834" s="81">
        <f>+Municipios!AB835</f>
        <v>28.260411408781732</v>
      </c>
      <c r="M834" s="232">
        <v>68245</v>
      </c>
      <c r="N834" s="232" t="s">
        <v>2093</v>
      </c>
      <c r="O834" s="232" t="s">
        <v>431</v>
      </c>
      <c r="P834" s="232" t="s">
        <v>432</v>
      </c>
      <c r="Q834" s="232" t="s">
        <v>2094</v>
      </c>
      <c r="T834" t="s">
        <v>2803</v>
      </c>
      <c r="U834" s="25">
        <f>+Municipios!Z835</f>
        <v>61.720971391768913</v>
      </c>
      <c r="V834" s="232">
        <v>68245</v>
      </c>
      <c r="W834" s="232" t="s">
        <v>2093</v>
      </c>
      <c r="X834" s="232" t="s">
        <v>431</v>
      </c>
      <c r="Y834" s="232" t="s">
        <v>432</v>
      </c>
      <c r="Z834" s="232" t="s">
        <v>2094</v>
      </c>
    </row>
    <row r="835" spans="1:26">
      <c r="A835" t="s">
        <v>417</v>
      </c>
      <c r="B835" s="25">
        <f>+Municipios!Z836</f>
        <v>62.392483290543879</v>
      </c>
      <c r="C835" s="232">
        <v>25518</v>
      </c>
      <c r="D835" s="232" t="s">
        <v>2095</v>
      </c>
      <c r="E835" s="232" t="s">
        <v>461</v>
      </c>
      <c r="F835" s="232" t="s">
        <v>462</v>
      </c>
      <c r="G835" s="232" t="s">
        <v>2096</v>
      </c>
      <c r="K835" t="s">
        <v>2647</v>
      </c>
      <c r="L835" s="81">
        <f>+Municipios!AB836</f>
        <v>28.488139185266157</v>
      </c>
      <c r="M835" s="232">
        <v>25518</v>
      </c>
      <c r="N835" s="232" t="s">
        <v>2095</v>
      </c>
      <c r="O835" s="232" t="s">
        <v>461</v>
      </c>
      <c r="P835" s="232" t="s">
        <v>462</v>
      </c>
      <c r="Q835" s="232" t="s">
        <v>2096</v>
      </c>
      <c r="T835" t="s">
        <v>2803</v>
      </c>
      <c r="U835" s="25">
        <f>+Municipios!Z836</f>
        <v>62.392483290543879</v>
      </c>
      <c r="V835" s="232">
        <v>25518</v>
      </c>
      <c r="W835" s="232" t="s">
        <v>2095</v>
      </c>
      <c r="X835" s="232" t="s">
        <v>461</v>
      </c>
      <c r="Y835" s="232" t="s">
        <v>462</v>
      </c>
      <c r="Z835" s="232" t="s">
        <v>2096</v>
      </c>
    </row>
    <row r="836" spans="1:26">
      <c r="A836" t="s">
        <v>417</v>
      </c>
      <c r="B836" s="25">
        <f>+Municipios!Z837</f>
        <v>75.221206993542864</v>
      </c>
      <c r="C836" s="232">
        <v>85162</v>
      </c>
      <c r="D836" s="232" t="s">
        <v>2097</v>
      </c>
      <c r="E836" s="232" t="s">
        <v>1351</v>
      </c>
      <c r="F836" s="232" t="s">
        <v>1352</v>
      </c>
      <c r="G836" s="232" t="s">
        <v>2098</v>
      </c>
      <c r="K836" t="s">
        <v>2647</v>
      </c>
      <c r="L836" s="81">
        <f>+Municipios!AB837</f>
        <v>34.289439130635209</v>
      </c>
      <c r="M836" s="232">
        <v>85162</v>
      </c>
      <c r="N836" s="232" t="s">
        <v>2097</v>
      </c>
      <c r="O836" s="232" t="s">
        <v>1351</v>
      </c>
      <c r="P836" s="232" t="s">
        <v>1352</v>
      </c>
      <c r="Q836" s="232" t="s">
        <v>2098</v>
      </c>
      <c r="T836" t="s">
        <v>2803</v>
      </c>
      <c r="U836" s="25">
        <f>+Municipios!Z837</f>
        <v>75.221206993542864</v>
      </c>
      <c r="V836" s="232">
        <v>85162</v>
      </c>
      <c r="W836" s="232" t="s">
        <v>2097</v>
      </c>
      <c r="X836" s="232" t="s">
        <v>1351</v>
      </c>
      <c r="Y836" s="232" t="s">
        <v>1352</v>
      </c>
      <c r="Z836" s="232" t="s">
        <v>2098</v>
      </c>
    </row>
    <row r="837" spans="1:26">
      <c r="A837" t="s">
        <v>417</v>
      </c>
      <c r="B837" s="25">
        <f>+Municipios!Z838</f>
        <v>61.685400548379576</v>
      </c>
      <c r="C837" s="232">
        <v>52573</v>
      </c>
      <c r="D837" s="232" t="s">
        <v>2099</v>
      </c>
      <c r="E837" s="232" t="s">
        <v>672</v>
      </c>
      <c r="F837" s="232" t="s">
        <v>673</v>
      </c>
      <c r="G837" s="232" t="s">
        <v>2100</v>
      </c>
      <c r="K837" t="s">
        <v>2647</v>
      </c>
      <c r="L837" s="81">
        <f>+Municipios!AB838</f>
        <v>28.126693005509583</v>
      </c>
      <c r="M837" s="232">
        <v>52573</v>
      </c>
      <c r="N837" s="232" t="s">
        <v>2099</v>
      </c>
      <c r="O837" s="232" t="s">
        <v>672</v>
      </c>
      <c r="P837" s="232" t="s">
        <v>673</v>
      </c>
      <c r="Q837" s="232" t="s">
        <v>2100</v>
      </c>
      <c r="T837" t="s">
        <v>2803</v>
      </c>
      <c r="U837" s="25">
        <f>+Municipios!Z838</f>
        <v>61.685400548379576</v>
      </c>
      <c r="V837" s="232">
        <v>52573</v>
      </c>
      <c r="W837" s="232" t="s">
        <v>2099</v>
      </c>
      <c r="X837" s="232" t="s">
        <v>672</v>
      </c>
      <c r="Y837" s="232" t="s">
        <v>673</v>
      </c>
      <c r="Z837" s="232" t="s">
        <v>2100</v>
      </c>
    </row>
    <row r="838" spans="1:26">
      <c r="A838" t="s">
        <v>417</v>
      </c>
      <c r="B838" s="25">
        <f>+Municipios!Z839</f>
        <v>73.027758195043532</v>
      </c>
      <c r="C838" s="232">
        <v>54223</v>
      </c>
      <c r="D838" s="232" t="s">
        <v>2101</v>
      </c>
      <c r="E838" s="232" t="s">
        <v>517</v>
      </c>
      <c r="F838" s="232" t="s">
        <v>518</v>
      </c>
      <c r="G838" s="232" t="s">
        <v>2102</v>
      </c>
      <c r="K838" t="s">
        <v>2647</v>
      </c>
      <c r="L838" s="81">
        <f>+Municipios!AB839</f>
        <v>33.424277815831495</v>
      </c>
      <c r="M838" s="232">
        <v>54223</v>
      </c>
      <c r="N838" s="232" t="s">
        <v>2101</v>
      </c>
      <c r="O838" s="232" t="s">
        <v>517</v>
      </c>
      <c r="P838" s="232" t="s">
        <v>518</v>
      </c>
      <c r="Q838" s="232" t="s">
        <v>2102</v>
      </c>
      <c r="T838" t="s">
        <v>2803</v>
      </c>
      <c r="U838" s="25">
        <f>+Municipios!Z839</f>
        <v>73.027758195043532</v>
      </c>
      <c r="V838" s="232">
        <v>54223</v>
      </c>
      <c r="W838" s="232" t="s">
        <v>2101</v>
      </c>
      <c r="X838" s="232" t="s">
        <v>517</v>
      </c>
      <c r="Y838" s="232" t="s">
        <v>518</v>
      </c>
      <c r="Z838" s="232" t="s">
        <v>2102</v>
      </c>
    </row>
    <row r="839" spans="1:26">
      <c r="A839" t="s">
        <v>417</v>
      </c>
      <c r="B839" s="25">
        <f>+Municipios!Z840</f>
        <v>61.424961462687612</v>
      </c>
      <c r="C839" s="232">
        <v>68464</v>
      </c>
      <c r="D839" s="232" t="s">
        <v>2103</v>
      </c>
      <c r="E839" s="232" t="s">
        <v>431</v>
      </c>
      <c r="F839" s="232" t="s">
        <v>432</v>
      </c>
      <c r="G839" s="232" t="s">
        <v>2104</v>
      </c>
      <c r="K839" t="s">
        <v>2647</v>
      </c>
      <c r="L839" s="81">
        <f>+Municipios!AB840</f>
        <v>28.165175608539602</v>
      </c>
      <c r="M839" s="232">
        <v>68464</v>
      </c>
      <c r="N839" s="232" t="s">
        <v>2103</v>
      </c>
      <c r="O839" s="232" t="s">
        <v>431</v>
      </c>
      <c r="P839" s="232" t="s">
        <v>432</v>
      </c>
      <c r="Q839" s="232" t="s">
        <v>2104</v>
      </c>
      <c r="T839" t="s">
        <v>2803</v>
      </c>
      <c r="U839" s="25">
        <f>+Municipios!Z840</f>
        <v>61.424961462687612</v>
      </c>
      <c r="V839" s="232">
        <v>68464</v>
      </c>
      <c r="W839" s="232" t="s">
        <v>2103</v>
      </c>
      <c r="X839" s="232" t="s">
        <v>431</v>
      </c>
      <c r="Y839" s="232" t="s">
        <v>432</v>
      </c>
      <c r="Z839" s="232" t="s">
        <v>2104</v>
      </c>
    </row>
    <row r="840" spans="1:26">
      <c r="A840" t="s">
        <v>417</v>
      </c>
      <c r="B840" s="25">
        <f>+Municipios!Z841</f>
        <v>53.961397270607023</v>
      </c>
      <c r="C840" s="232">
        <v>52385</v>
      </c>
      <c r="D840" s="232" t="s">
        <v>2105</v>
      </c>
      <c r="E840" s="232" t="s">
        <v>672</v>
      </c>
      <c r="F840" s="232" t="s">
        <v>673</v>
      </c>
      <c r="G840" s="232" t="s">
        <v>2106</v>
      </c>
      <c r="K840" t="s">
        <v>2647</v>
      </c>
      <c r="L840" s="81">
        <f>+Municipios!AB841</f>
        <v>24.554153610730875</v>
      </c>
      <c r="M840" s="232">
        <v>52385</v>
      </c>
      <c r="N840" s="232" t="s">
        <v>2105</v>
      </c>
      <c r="O840" s="232" t="s">
        <v>672</v>
      </c>
      <c r="P840" s="232" t="s">
        <v>673</v>
      </c>
      <c r="Q840" s="232" t="s">
        <v>2106</v>
      </c>
      <c r="T840" t="s">
        <v>2803</v>
      </c>
      <c r="U840" s="25">
        <f>+Municipios!Z841</f>
        <v>53.961397270607023</v>
      </c>
      <c r="V840" s="232">
        <v>52385</v>
      </c>
      <c r="W840" s="232" t="s">
        <v>2105</v>
      </c>
      <c r="X840" s="232" t="s">
        <v>672</v>
      </c>
      <c r="Y840" s="232" t="s">
        <v>673</v>
      </c>
      <c r="Z840" s="232" t="s">
        <v>2106</v>
      </c>
    </row>
    <row r="841" spans="1:26">
      <c r="A841" t="s">
        <v>417</v>
      </c>
      <c r="B841" s="25">
        <f>+Municipios!Z842</f>
        <v>57.64016257742481</v>
      </c>
      <c r="C841" s="232">
        <v>68468</v>
      </c>
      <c r="D841" s="232" t="s">
        <v>2107</v>
      </c>
      <c r="E841" s="232" t="s">
        <v>431</v>
      </c>
      <c r="F841" s="232" t="s">
        <v>432</v>
      </c>
      <c r="G841" s="232" t="s">
        <v>2108</v>
      </c>
      <c r="K841" t="s">
        <v>2647</v>
      </c>
      <c r="L841" s="81">
        <f>+Municipios!AB842</f>
        <v>26.250196237208087</v>
      </c>
      <c r="M841" s="232">
        <v>68468</v>
      </c>
      <c r="N841" s="232" t="s">
        <v>2107</v>
      </c>
      <c r="O841" s="232" t="s">
        <v>431</v>
      </c>
      <c r="P841" s="232" t="s">
        <v>432</v>
      </c>
      <c r="Q841" s="232" t="s">
        <v>2108</v>
      </c>
      <c r="T841" t="s">
        <v>2803</v>
      </c>
      <c r="U841" s="25">
        <f>+Municipios!Z842</f>
        <v>57.64016257742481</v>
      </c>
      <c r="V841" s="232">
        <v>68468</v>
      </c>
      <c r="W841" s="232" t="s">
        <v>2107</v>
      </c>
      <c r="X841" s="232" t="s">
        <v>431</v>
      </c>
      <c r="Y841" s="232" t="s">
        <v>432</v>
      </c>
      <c r="Z841" s="232" t="s">
        <v>2108</v>
      </c>
    </row>
    <row r="842" spans="1:26">
      <c r="A842" t="s">
        <v>417</v>
      </c>
      <c r="B842" s="25">
        <f>+Municipios!Z843</f>
        <v>61.972498436387902</v>
      </c>
      <c r="C842" s="232">
        <v>41660</v>
      </c>
      <c r="D842" s="232" t="s">
        <v>2109</v>
      </c>
      <c r="E842" s="232" t="s">
        <v>676</v>
      </c>
      <c r="F842" s="232" t="s">
        <v>677</v>
      </c>
      <c r="G842" s="232" t="s">
        <v>2110</v>
      </c>
      <c r="K842" t="s">
        <v>2647</v>
      </c>
      <c r="L842" s="81">
        <f>+Municipios!AB843</f>
        <v>28.137734294388288</v>
      </c>
      <c r="M842" s="232">
        <v>41660</v>
      </c>
      <c r="N842" s="232" t="s">
        <v>2109</v>
      </c>
      <c r="O842" s="232" t="s">
        <v>676</v>
      </c>
      <c r="P842" s="232" t="s">
        <v>677</v>
      </c>
      <c r="Q842" s="232" t="s">
        <v>2110</v>
      </c>
      <c r="T842" t="s">
        <v>2803</v>
      </c>
      <c r="U842" s="25">
        <f>+Municipios!Z843</f>
        <v>61.972498436387902</v>
      </c>
      <c r="V842" s="232">
        <v>41660</v>
      </c>
      <c r="W842" s="232" t="s">
        <v>2109</v>
      </c>
      <c r="X842" s="232" t="s">
        <v>676</v>
      </c>
      <c r="Y842" s="232" t="s">
        <v>677</v>
      </c>
      <c r="Z842" s="232" t="s">
        <v>2110</v>
      </c>
    </row>
    <row r="843" spans="1:26">
      <c r="A843" t="s">
        <v>417</v>
      </c>
      <c r="B843" s="25">
        <f>+Municipios!Z844</f>
        <v>44.989769370972482</v>
      </c>
      <c r="C843" s="232">
        <v>73686</v>
      </c>
      <c r="D843" s="232" t="s">
        <v>2111</v>
      </c>
      <c r="E843" s="232" t="s">
        <v>595</v>
      </c>
      <c r="F843" s="232" t="s">
        <v>596</v>
      </c>
      <c r="G843" s="232" t="s">
        <v>2112</v>
      </c>
      <c r="K843" t="s">
        <v>2647</v>
      </c>
      <c r="L843" s="81">
        <f>+Municipios!AB844</f>
        <v>20.415573560354339</v>
      </c>
      <c r="M843" s="232">
        <v>73686</v>
      </c>
      <c r="N843" s="232" t="s">
        <v>2111</v>
      </c>
      <c r="O843" s="232" t="s">
        <v>595</v>
      </c>
      <c r="P843" s="232" t="s">
        <v>596</v>
      </c>
      <c r="Q843" s="232" t="s">
        <v>2112</v>
      </c>
      <c r="T843" t="s">
        <v>2803</v>
      </c>
      <c r="U843" s="25">
        <f>+Municipios!Z844</f>
        <v>44.989769370972482</v>
      </c>
      <c r="V843" s="232">
        <v>73686</v>
      </c>
      <c r="W843" s="232" t="s">
        <v>2111</v>
      </c>
      <c r="X843" s="232" t="s">
        <v>595</v>
      </c>
      <c r="Y843" s="232" t="s">
        <v>596</v>
      </c>
      <c r="Z843" s="232" t="s">
        <v>2112</v>
      </c>
    </row>
    <row r="844" spans="1:26">
      <c r="A844" t="s">
        <v>417</v>
      </c>
      <c r="B844" s="25">
        <f>+Municipios!Z845</f>
        <v>57.662850196321905</v>
      </c>
      <c r="C844" s="232">
        <v>54385</v>
      </c>
      <c r="D844" s="232" t="s">
        <v>2113</v>
      </c>
      <c r="E844" s="232" t="s">
        <v>517</v>
      </c>
      <c r="F844" s="232" t="s">
        <v>518</v>
      </c>
      <c r="G844" s="232" t="s">
        <v>2114</v>
      </c>
      <c r="K844" t="s">
        <v>2647</v>
      </c>
      <c r="L844" s="81">
        <f>+Municipios!AB845</f>
        <v>26.048169681757351</v>
      </c>
      <c r="M844" s="232">
        <v>54385</v>
      </c>
      <c r="N844" s="232" t="s">
        <v>2113</v>
      </c>
      <c r="O844" s="232" t="s">
        <v>517</v>
      </c>
      <c r="P844" s="232" t="s">
        <v>518</v>
      </c>
      <c r="Q844" s="232" t="s">
        <v>2114</v>
      </c>
      <c r="T844" t="s">
        <v>2803</v>
      </c>
      <c r="U844" s="25">
        <f>+Municipios!Z845</f>
        <v>57.662850196321905</v>
      </c>
      <c r="V844" s="232">
        <v>54385</v>
      </c>
      <c r="W844" s="232" t="s">
        <v>2113</v>
      </c>
      <c r="X844" s="232" t="s">
        <v>517</v>
      </c>
      <c r="Y844" s="232" t="s">
        <v>518</v>
      </c>
      <c r="Z844" s="232" t="s">
        <v>2114</v>
      </c>
    </row>
    <row r="845" spans="1:26">
      <c r="A845" t="s">
        <v>417</v>
      </c>
      <c r="B845" s="25">
        <f>+Municipios!Z846</f>
        <v>55.311618318544802</v>
      </c>
      <c r="C845" s="232">
        <v>54680</v>
      </c>
      <c r="D845" s="232" t="s">
        <v>2115</v>
      </c>
      <c r="E845" s="232" t="s">
        <v>517</v>
      </c>
      <c r="F845" s="232" t="s">
        <v>518</v>
      </c>
      <c r="G845" s="232" t="s">
        <v>2116</v>
      </c>
      <c r="K845" t="s">
        <v>2647</v>
      </c>
      <c r="L845" s="81">
        <f>+Municipios!AB846</f>
        <v>25.192284134140007</v>
      </c>
      <c r="M845" s="232">
        <v>54680</v>
      </c>
      <c r="N845" s="232" t="s">
        <v>2115</v>
      </c>
      <c r="O845" s="232" t="s">
        <v>517</v>
      </c>
      <c r="P845" s="232" t="s">
        <v>518</v>
      </c>
      <c r="Q845" s="232" t="s">
        <v>2116</v>
      </c>
      <c r="T845" t="s">
        <v>2803</v>
      </c>
      <c r="U845" s="25">
        <f>+Municipios!Z846</f>
        <v>55.311618318544802</v>
      </c>
      <c r="V845" s="232">
        <v>54680</v>
      </c>
      <c r="W845" s="232" t="s">
        <v>2115</v>
      </c>
      <c r="X845" s="232" t="s">
        <v>517</v>
      </c>
      <c r="Y845" s="232" t="s">
        <v>518</v>
      </c>
      <c r="Z845" s="232" t="s">
        <v>2116</v>
      </c>
    </row>
    <row r="846" spans="1:26">
      <c r="A846" t="s">
        <v>417</v>
      </c>
      <c r="B846" s="25">
        <f>+Municipios!Z847</f>
        <v>44.109420754637441</v>
      </c>
      <c r="C846" s="232">
        <v>73483</v>
      </c>
      <c r="D846" s="232" t="s">
        <v>2117</v>
      </c>
      <c r="E846" s="232" t="s">
        <v>595</v>
      </c>
      <c r="F846" s="232" t="s">
        <v>596</v>
      </c>
      <c r="G846" s="232" t="s">
        <v>2118</v>
      </c>
      <c r="K846" t="s">
        <v>2647</v>
      </c>
      <c r="L846" s="81">
        <f>+Municipios!AB847</f>
        <v>20.002850898099521</v>
      </c>
      <c r="M846" s="232">
        <v>73483</v>
      </c>
      <c r="N846" s="232" t="s">
        <v>2117</v>
      </c>
      <c r="O846" s="232" t="s">
        <v>595</v>
      </c>
      <c r="P846" s="232" t="s">
        <v>596</v>
      </c>
      <c r="Q846" s="232" t="s">
        <v>2118</v>
      </c>
      <c r="T846" t="s">
        <v>2803</v>
      </c>
      <c r="U846" s="25">
        <f>+Municipios!Z847</f>
        <v>44.109420754637441</v>
      </c>
      <c r="V846" s="232">
        <v>73483</v>
      </c>
      <c r="W846" s="232" t="s">
        <v>2117</v>
      </c>
      <c r="X846" s="232" t="s">
        <v>595</v>
      </c>
      <c r="Y846" s="232" t="s">
        <v>596</v>
      </c>
      <c r="Z846" s="232" t="s">
        <v>2118</v>
      </c>
    </row>
    <row r="847" spans="1:26">
      <c r="A847" t="s">
        <v>417</v>
      </c>
      <c r="B847" s="25">
        <f>+Municipios!Z848</f>
        <v>51.328834126809141</v>
      </c>
      <c r="C847" s="232">
        <v>54051</v>
      </c>
      <c r="D847" s="232" t="s">
        <v>2119</v>
      </c>
      <c r="E847" s="232" t="s">
        <v>517</v>
      </c>
      <c r="F847" s="232" t="s">
        <v>518</v>
      </c>
      <c r="G847" s="232" t="s">
        <v>2120</v>
      </c>
      <c r="K847" t="s">
        <v>2647</v>
      </c>
      <c r="L847" s="81">
        <f>+Municipios!AB848</f>
        <v>23.359211227731699</v>
      </c>
      <c r="M847" s="232">
        <v>54051</v>
      </c>
      <c r="N847" s="232" t="s">
        <v>2119</v>
      </c>
      <c r="O847" s="232" t="s">
        <v>517</v>
      </c>
      <c r="P847" s="232" t="s">
        <v>518</v>
      </c>
      <c r="Q847" s="232" t="s">
        <v>2120</v>
      </c>
      <c r="T847" t="s">
        <v>2803</v>
      </c>
      <c r="U847" s="25">
        <f>+Municipios!Z848</f>
        <v>51.328834126809141</v>
      </c>
      <c r="V847" s="232">
        <v>54051</v>
      </c>
      <c r="W847" s="232" t="s">
        <v>2119</v>
      </c>
      <c r="X847" s="232" t="s">
        <v>517</v>
      </c>
      <c r="Y847" s="232" t="s">
        <v>518</v>
      </c>
      <c r="Z847" s="232" t="s">
        <v>2120</v>
      </c>
    </row>
    <row r="848" spans="1:26">
      <c r="A848" t="s">
        <v>417</v>
      </c>
      <c r="B848" s="25">
        <f>+Municipios!Z849</f>
        <v>51.830215877963553</v>
      </c>
      <c r="C848" s="232">
        <v>25580</v>
      </c>
      <c r="D848" s="232" t="s">
        <v>2121</v>
      </c>
      <c r="E848" s="232" t="s">
        <v>461</v>
      </c>
      <c r="F848" s="232" t="s">
        <v>462</v>
      </c>
      <c r="G848" s="232" t="s">
        <v>2122</v>
      </c>
      <c r="K848" t="s">
        <v>2647</v>
      </c>
      <c r="L848" s="81">
        <f>+Municipios!AB849</f>
        <v>23.40122624757803</v>
      </c>
      <c r="M848" s="232">
        <v>25580</v>
      </c>
      <c r="N848" s="232" t="s">
        <v>2121</v>
      </c>
      <c r="O848" s="232" t="s">
        <v>461</v>
      </c>
      <c r="P848" s="232" t="s">
        <v>462</v>
      </c>
      <c r="Q848" s="232" t="s">
        <v>2122</v>
      </c>
      <c r="T848" t="s">
        <v>2803</v>
      </c>
      <c r="U848" s="25">
        <f>+Municipios!Z849</f>
        <v>51.830215877963553</v>
      </c>
      <c r="V848" s="232">
        <v>25580</v>
      </c>
      <c r="W848" s="232" t="s">
        <v>2121</v>
      </c>
      <c r="X848" s="232" t="s">
        <v>461</v>
      </c>
      <c r="Y848" s="232" t="s">
        <v>462</v>
      </c>
      <c r="Z848" s="232" t="s">
        <v>2122</v>
      </c>
    </row>
    <row r="849" spans="1:26">
      <c r="A849" t="s">
        <v>417</v>
      </c>
      <c r="B849" s="25">
        <f>+Municipios!Z850</f>
        <v>55.146466125281663</v>
      </c>
      <c r="C849" s="232">
        <v>52520</v>
      </c>
      <c r="D849" s="232" t="s">
        <v>2123</v>
      </c>
      <c r="E849" s="232" t="s">
        <v>672</v>
      </c>
      <c r="F849" s="232" t="s">
        <v>673</v>
      </c>
      <c r="G849" s="232" t="s">
        <v>2124</v>
      </c>
      <c r="K849" t="s">
        <v>2647</v>
      </c>
      <c r="L849" s="81">
        <f>+Municipios!AB850</f>
        <v>24.964688622255885</v>
      </c>
      <c r="M849" s="232">
        <v>52520</v>
      </c>
      <c r="N849" s="232" t="s">
        <v>2123</v>
      </c>
      <c r="O849" s="232" t="s">
        <v>672</v>
      </c>
      <c r="P849" s="232" t="s">
        <v>673</v>
      </c>
      <c r="Q849" s="232" t="s">
        <v>2124</v>
      </c>
      <c r="T849" t="s">
        <v>2803</v>
      </c>
      <c r="U849" s="25">
        <f>+Municipios!Z850</f>
        <v>55.146466125281663</v>
      </c>
      <c r="V849" s="232">
        <v>52520</v>
      </c>
      <c r="W849" s="232" t="s">
        <v>2123</v>
      </c>
      <c r="X849" s="232" t="s">
        <v>672</v>
      </c>
      <c r="Y849" s="232" t="s">
        <v>673</v>
      </c>
      <c r="Z849" s="232" t="s">
        <v>2124</v>
      </c>
    </row>
    <row r="850" spans="1:26">
      <c r="A850" t="s">
        <v>417</v>
      </c>
      <c r="B850" s="25">
        <f>+Municipios!Z851</f>
        <v>57.176182194950357</v>
      </c>
      <c r="C850" s="232">
        <v>19585</v>
      </c>
      <c r="D850" s="232" t="s">
        <v>2125</v>
      </c>
      <c r="E850" s="232" t="s">
        <v>557</v>
      </c>
      <c r="F850" s="232" t="s">
        <v>558</v>
      </c>
      <c r="G850" s="232" t="s">
        <v>2126</v>
      </c>
      <c r="K850" t="s">
        <v>2647</v>
      </c>
      <c r="L850" s="81">
        <f>+Municipios!AB851</f>
        <v>25.947970230964444</v>
      </c>
      <c r="M850" s="232">
        <v>19585</v>
      </c>
      <c r="N850" s="232" t="s">
        <v>2125</v>
      </c>
      <c r="O850" s="232" t="s">
        <v>557</v>
      </c>
      <c r="P850" s="232" t="s">
        <v>558</v>
      </c>
      <c r="Q850" s="232" t="s">
        <v>2126</v>
      </c>
      <c r="T850" t="s">
        <v>2803</v>
      </c>
      <c r="U850" s="25">
        <f>+Municipios!Z851</f>
        <v>57.176182194950357</v>
      </c>
      <c r="V850" s="232">
        <v>19585</v>
      </c>
      <c r="W850" s="232" t="s">
        <v>2125</v>
      </c>
      <c r="X850" s="232" t="s">
        <v>557</v>
      </c>
      <c r="Y850" s="232" t="s">
        <v>558</v>
      </c>
      <c r="Z850" s="232" t="s">
        <v>2126</v>
      </c>
    </row>
    <row r="851" spans="1:26">
      <c r="A851" t="s">
        <v>417</v>
      </c>
      <c r="B851" s="25">
        <f>+Municipios!Z852</f>
        <v>58.894898811493476</v>
      </c>
      <c r="C851" s="232">
        <v>5585</v>
      </c>
      <c r="D851" s="232" t="s">
        <v>2127</v>
      </c>
      <c r="E851" s="232" t="s">
        <v>435</v>
      </c>
      <c r="F851" s="232" t="s">
        <v>436</v>
      </c>
      <c r="G851" s="232" t="s">
        <v>2128</v>
      </c>
      <c r="K851" t="s">
        <v>2647</v>
      </c>
      <c r="L851" s="81">
        <f>+Municipios!AB852</f>
        <v>26.701317090709022</v>
      </c>
      <c r="M851" s="232">
        <v>5585</v>
      </c>
      <c r="N851" s="232" t="s">
        <v>2127</v>
      </c>
      <c r="O851" s="232" t="s">
        <v>435</v>
      </c>
      <c r="P851" s="232" t="s">
        <v>436</v>
      </c>
      <c r="Q851" s="232" t="s">
        <v>2128</v>
      </c>
      <c r="T851" t="s">
        <v>2803</v>
      </c>
      <c r="U851" s="25">
        <f>+Municipios!Z852</f>
        <v>58.894898811493476</v>
      </c>
      <c r="V851" s="232">
        <v>5585</v>
      </c>
      <c r="W851" s="232" t="s">
        <v>2127</v>
      </c>
      <c r="X851" s="232" t="s">
        <v>435</v>
      </c>
      <c r="Y851" s="232" t="s">
        <v>436</v>
      </c>
      <c r="Z851" s="232" t="s">
        <v>2128</v>
      </c>
    </row>
    <row r="852" spans="1:26">
      <c r="A852" t="s">
        <v>417</v>
      </c>
      <c r="B852" s="25">
        <f>+Municipios!Z853</f>
        <v>48.788981989789903</v>
      </c>
      <c r="C852" s="232">
        <v>54660</v>
      </c>
      <c r="D852" s="232" t="s">
        <v>2129</v>
      </c>
      <c r="E852" s="232" t="s">
        <v>517</v>
      </c>
      <c r="F852" s="232" t="s">
        <v>518</v>
      </c>
      <c r="G852" s="232" t="s">
        <v>2130</v>
      </c>
      <c r="K852" t="s">
        <v>2647</v>
      </c>
      <c r="L852" s="81">
        <f>+Municipios!AB853</f>
        <v>22.118474480607738</v>
      </c>
      <c r="M852" s="232">
        <v>54660</v>
      </c>
      <c r="N852" s="232" t="s">
        <v>2129</v>
      </c>
      <c r="O852" s="232" t="s">
        <v>517</v>
      </c>
      <c r="P852" s="232" t="s">
        <v>518</v>
      </c>
      <c r="Q852" s="232" t="s">
        <v>2130</v>
      </c>
      <c r="T852" t="s">
        <v>2803</v>
      </c>
      <c r="U852" s="25">
        <f>+Municipios!Z853</f>
        <v>48.788981989789903</v>
      </c>
      <c r="V852" s="232">
        <v>54660</v>
      </c>
      <c r="W852" s="232" t="s">
        <v>2129</v>
      </c>
      <c r="X852" s="232" t="s">
        <v>517</v>
      </c>
      <c r="Y852" s="232" t="s">
        <v>518</v>
      </c>
      <c r="Z852" s="232" t="s">
        <v>2130</v>
      </c>
    </row>
    <row r="853" spans="1:26">
      <c r="A853" t="s">
        <v>417</v>
      </c>
      <c r="B853" s="25">
        <f>+Municipios!Z854</f>
        <v>49.709092067595094</v>
      </c>
      <c r="C853" s="232">
        <v>68318</v>
      </c>
      <c r="D853" s="232" t="s">
        <v>2131</v>
      </c>
      <c r="E853" s="232" t="s">
        <v>431</v>
      </c>
      <c r="F853" s="232" t="s">
        <v>432</v>
      </c>
      <c r="G853" s="232" t="s">
        <v>2132</v>
      </c>
      <c r="K853" t="s">
        <v>2647</v>
      </c>
      <c r="L853" s="81">
        <f>+Municipios!AB854</f>
        <v>22.487141892860805</v>
      </c>
      <c r="M853" s="232">
        <v>68318</v>
      </c>
      <c r="N853" s="232" t="s">
        <v>2131</v>
      </c>
      <c r="O853" s="232" t="s">
        <v>431</v>
      </c>
      <c r="P853" s="232" t="s">
        <v>432</v>
      </c>
      <c r="Q853" s="232" t="s">
        <v>2132</v>
      </c>
      <c r="T853" t="s">
        <v>2803</v>
      </c>
      <c r="U853" s="25">
        <f>+Municipios!Z854</f>
        <v>49.709092067595094</v>
      </c>
      <c r="V853" s="232">
        <v>68318</v>
      </c>
      <c r="W853" s="232" t="s">
        <v>2131</v>
      </c>
      <c r="X853" s="232" t="s">
        <v>431</v>
      </c>
      <c r="Y853" s="232" t="s">
        <v>432</v>
      </c>
      <c r="Z853" s="232" t="s">
        <v>2132</v>
      </c>
    </row>
    <row r="854" spans="1:26">
      <c r="A854" t="s">
        <v>417</v>
      </c>
      <c r="B854" s="25">
        <f>+Municipios!Z855</f>
        <v>56.133757599104356</v>
      </c>
      <c r="C854" s="232">
        <v>23807</v>
      </c>
      <c r="D854" s="232" t="s">
        <v>2133</v>
      </c>
      <c r="E854" s="232" t="s">
        <v>567</v>
      </c>
      <c r="F854" s="232" t="s">
        <v>568</v>
      </c>
      <c r="G854" s="232" t="s">
        <v>2134</v>
      </c>
      <c r="K854" t="s">
        <v>2647</v>
      </c>
      <c r="L854" s="81">
        <f>+Municipios!AB855</f>
        <v>25.32647983429845</v>
      </c>
      <c r="M854" s="232">
        <v>23807</v>
      </c>
      <c r="N854" s="232" t="s">
        <v>2133</v>
      </c>
      <c r="O854" s="232" t="s">
        <v>567</v>
      </c>
      <c r="P854" s="232" t="s">
        <v>568</v>
      </c>
      <c r="Q854" s="232" t="s">
        <v>2134</v>
      </c>
      <c r="T854" t="s">
        <v>2803</v>
      </c>
      <c r="U854" s="25">
        <f>+Municipios!Z855</f>
        <v>56.133757599104356</v>
      </c>
      <c r="V854" s="232">
        <v>23807</v>
      </c>
      <c r="W854" s="232" t="s">
        <v>2133</v>
      </c>
      <c r="X854" s="232" t="s">
        <v>567</v>
      </c>
      <c r="Y854" s="232" t="s">
        <v>568</v>
      </c>
      <c r="Z854" s="232" t="s">
        <v>2134</v>
      </c>
    </row>
    <row r="855" spans="1:26">
      <c r="A855" t="s">
        <v>417</v>
      </c>
      <c r="B855" s="25">
        <f>+Municipios!Z856</f>
        <v>47.419389079618981</v>
      </c>
      <c r="C855" s="232">
        <v>13490</v>
      </c>
      <c r="D855" s="232" t="s">
        <v>2135</v>
      </c>
      <c r="E855" s="232" t="s">
        <v>480</v>
      </c>
      <c r="F855" s="232" t="s">
        <v>481</v>
      </c>
      <c r="G855" s="232" t="s">
        <v>2136</v>
      </c>
      <c r="K855" t="s">
        <v>2647</v>
      </c>
      <c r="L855" s="81">
        <f>+Municipios!AB856</f>
        <v>21.383619033425514</v>
      </c>
      <c r="M855" s="232">
        <v>13490</v>
      </c>
      <c r="N855" s="232" t="s">
        <v>2135</v>
      </c>
      <c r="O855" s="232" t="s">
        <v>480</v>
      </c>
      <c r="P855" s="232" t="s">
        <v>481</v>
      </c>
      <c r="Q855" s="232" t="s">
        <v>2136</v>
      </c>
      <c r="T855" t="s">
        <v>2803</v>
      </c>
      <c r="U855" s="25">
        <f>+Municipios!Z856</f>
        <v>47.419389079618981</v>
      </c>
      <c r="V855" s="232">
        <v>13490</v>
      </c>
      <c r="W855" s="232" t="s">
        <v>2135</v>
      </c>
      <c r="X855" s="232" t="s">
        <v>480</v>
      </c>
      <c r="Y855" s="232" t="s">
        <v>481</v>
      </c>
      <c r="Z855" s="232" t="s">
        <v>2136</v>
      </c>
    </row>
    <row r="856" spans="1:26">
      <c r="A856" t="s">
        <v>417</v>
      </c>
      <c r="B856" s="25">
        <f>+Municipios!Z857</f>
        <v>49.52272916792127</v>
      </c>
      <c r="C856" s="232">
        <v>73226</v>
      </c>
      <c r="D856" s="232" t="s">
        <v>2137</v>
      </c>
      <c r="E856" s="232" t="s">
        <v>595</v>
      </c>
      <c r="F856" s="232" t="s">
        <v>596</v>
      </c>
      <c r="G856" s="232" t="s">
        <v>2138</v>
      </c>
      <c r="K856" t="s">
        <v>2647</v>
      </c>
      <c r="L856" s="81">
        <f>+Municipios!AB857</f>
        <v>22.35797821370738</v>
      </c>
      <c r="M856" s="232">
        <v>73226</v>
      </c>
      <c r="N856" s="232" t="s">
        <v>2137</v>
      </c>
      <c r="O856" s="232" t="s">
        <v>595</v>
      </c>
      <c r="P856" s="232" t="s">
        <v>596</v>
      </c>
      <c r="Q856" s="232" t="s">
        <v>2138</v>
      </c>
      <c r="T856" t="s">
        <v>2803</v>
      </c>
      <c r="U856" s="25">
        <f>+Municipios!Z857</f>
        <v>49.52272916792127</v>
      </c>
      <c r="V856" s="232">
        <v>73226</v>
      </c>
      <c r="W856" s="232" t="s">
        <v>2137</v>
      </c>
      <c r="X856" s="232" t="s">
        <v>595</v>
      </c>
      <c r="Y856" s="232" t="s">
        <v>596</v>
      </c>
      <c r="Z856" s="232" t="s">
        <v>2138</v>
      </c>
    </row>
    <row r="857" spans="1:26">
      <c r="A857" t="s">
        <v>417</v>
      </c>
      <c r="B857" s="25">
        <f>+Municipios!Z858</f>
        <v>56.254538213401972</v>
      </c>
      <c r="C857" s="232">
        <v>5652</v>
      </c>
      <c r="D857" s="232" t="s">
        <v>2139</v>
      </c>
      <c r="E857" s="232" t="s">
        <v>435</v>
      </c>
      <c r="F857" s="232" t="s">
        <v>436</v>
      </c>
      <c r="G857" s="232" t="s">
        <v>975</v>
      </c>
      <c r="K857" t="s">
        <v>2647</v>
      </c>
      <c r="L857" s="81">
        <f>+Municipios!AB858</f>
        <v>25.567551941178785</v>
      </c>
      <c r="M857" s="232">
        <v>5652</v>
      </c>
      <c r="N857" s="232" t="s">
        <v>2139</v>
      </c>
      <c r="O857" s="232" t="s">
        <v>435</v>
      </c>
      <c r="P857" s="232" t="s">
        <v>436</v>
      </c>
      <c r="Q857" s="232" t="s">
        <v>975</v>
      </c>
      <c r="T857" t="s">
        <v>2803</v>
      </c>
      <c r="U857" s="25">
        <f>+Municipios!Z858</f>
        <v>56.254538213401972</v>
      </c>
      <c r="V857" s="232">
        <v>5652</v>
      </c>
      <c r="W857" s="232" t="s">
        <v>2139</v>
      </c>
      <c r="X857" s="232" t="s">
        <v>435</v>
      </c>
      <c r="Y857" s="232" t="s">
        <v>436</v>
      </c>
      <c r="Z857" s="232" t="s">
        <v>975</v>
      </c>
    </row>
    <row r="858" spans="1:26">
      <c r="A858" t="s">
        <v>417</v>
      </c>
      <c r="B858" s="25">
        <f>+Municipios!Z859</f>
        <v>55.207213216589594</v>
      </c>
      <c r="C858" s="232">
        <v>15236</v>
      </c>
      <c r="D858" s="232" t="s">
        <v>2140</v>
      </c>
      <c r="E858" s="232" t="s">
        <v>498</v>
      </c>
      <c r="F858" s="232" t="s">
        <v>499</v>
      </c>
      <c r="G858" s="232" t="s">
        <v>2141</v>
      </c>
      <c r="K858" t="s">
        <v>2647</v>
      </c>
      <c r="L858" s="81">
        <f>+Municipios!AB859</f>
        <v>24.883073810606732</v>
      </c>
      <c r="M858" s="232">
        <v>15236</v>
      </c>
      <c r="N858" s="232" t="s">
        <v>2140</v>
      </c>
      <c r="O858" s="232" t="s">
        <v>498</v>
      </c>
      <c r="P858" s="232" t="s">
        <v>499</v>
      </c>
      <c r="Q858" s="232" t="s">
        <v>2141</v>
      </c>
      <c r="T858" t="s">
        <v>2803</v>
      </c>
      <c r="U858" s="25">
        <f>+Municipios!Z859</f>
        <v>55.207213216589594</v>
      </c>
      <c r="V858" s="232">
        <v>15236</v>
      </c>
      <c r="W858" s="232" t="s">
        <v>2140</v>
      </c>
      <c r="X858" s="232" t="s">
        <v>498</v>
      </c>
      <c r="Y858" s="232" t="s">
        <v>499</v>
      </c>
      <c r="Z858" s="232" t="s">
        <v>2141</v>
      </c>
    </row>
    <row r="859" spans="1:26">
      <c r="A859" t="s">
        <v>417</v>
      </c>
      <c r="B859" s="25">
        <f>+Municipios!Z860</f>
        <v>51.141258420618144</v>
      </c>
      <c r="C859" s="232">
        <v>19693</v>
      </c>
      <c r="D859" s="232" t="s">
        <v>2142</v>
      </c>
      <c r="E859" s="232" t="s">
        <v>557</v>
      </c>
      <c r="F859" s="232" t="s">
        <v>558</v>
      </c>
      <c r="G859" s="232" t="s">
        <v>2143</v>
      </c>
      <c r="K859" t="s">
        <v>2647</v>
      </c>
      <c r="L859" s="81">
        <f>+Municipios!AB860</f>
        <v>23.159306593450466</v>
      </c>
      <c r="M859" s="232">
        <v>19693</v>
      </c>
      <c r="N859" s="232" t="s">
        <v>2142</v>
      </c>
      <c r="O859" s="232" t="s">
        <v>557</v>
      </c>
      <c r="P859" s="232" t="s">
        <v>558</v>
      </c>
      <c r="Q859" s="232" t="s">
        <v>2143</v>
      </c>
      <c r="T859" t="s">
        <v>2803</v>
      </c>
      <c r="U859" s="25">
        <f>+Municipios!Z860</f>
        <v>51.141258420618144</v>
      </c>
      <c r="V859" s="232">
        <v>19693</v>
      </c>
      <c r="W859" s="232" t="s">
        <v>2142</v>
      </c>
      <c r="X859" s="232" t="s">
        <v>557</v>
      </c>
      <c r="Y859" s="232" t="s">
        <v>558</v>
      </c>
      <c r="Z859" s="232" t="s">
        <v>2143</v>
      </c>
    </row>
    <row r="860" spans="1:26">
      <c r="A860" t="s">
        <v>417</v>
      </c>
      <c r="B860" s="25">
        <f>+Municipios!Z861</f>
        <v>55.437890705738326</v>
      </c>
      <c r="C860" s="232">
        <v>5895</v>
      </c>
      <c r="D860" s="232" t="s">
        <v>2144</v>
      </c>
      <c r="E860" s="232" t="s">
        <v>435</v>
      </c>
      <c r="F860" s="232" t="s">
        <v>436</v>
      </c>
      <c r="G860" s="232" t="s">
        <v>2145</v>
      </c>
      <c r="K860" t="s">
        <v>2647</v>
      </c>
      <c r="L860" s="81">
        <f>+Municipios!AB861</f>
        <v>24.988534715441915</v>
      </c>
      <c r="M860" s="232">
        <v>5895</v>
      </c>
      <c r="N860" s="232" t="s">
        <v>2144</v>
      </c>
      <c r="O860" s="232" t="s">
        <v>435</v>
      </c>
      <c r="P860" s="232" t="s">
        <v>436</v>
      </c>
      <c r="Q860" s="232" t="s">
        <v>2145</v>
      </c>
      <c r="T860" t="s">
        <v>2803</v>
      </c>
      <c r="U860" s="25">
        <f>+Municipios!Z861</f>
        <v>55.437890705738326</v>
      </c>
      <c r="V860" s="232">
        <v>5895</v>
      </c>
      <c r="W860" s="232" t="s">
        <v>2144</v>
      </c>
      <c r="X860" s="232" t="s">
        <v>435</v>
      </c>
      <c r="Y860" s="232" t="s">
        <v>436</v>
      </c>
      <c r="Z860" s="232" t="s">
        <v>2145</v>
      </c>
    </row>
    <row r="861" spans="1:26">
      <c r="A861" t="s">
        <v>417</v>
      </c>
      <c r="B861" s="25">
        <f>+Municipios!Z862</f>
        <v>49.053414397229005</v>
      </c>
      <c r="C861" s="232">
        <v>54206</v>
      </c>
      <c r="D861" s="232" t="s">
        <v>2146</v>
      </c>
      <c r="E861" s="232" t="s">
        <v>517</v>
      </c>
      <c r="F861" s="232" t="s">
        <v>518</v>
      </c>
      <c r="G861" s="232" t="s">
        <v>2147</v>
      </c>
      <c r="K861" t="s">
        <v>2647</v>
      </c>
      <c r="L861" s="81">
        <f>+Municipios!AB862</f>
        <v>22.08256780221199</v>
      </c>
      <c r="M861" s="232">
        <v>54206</v>
      </c>
      <c r="N861" s="232" t="s">
        <v>2146</v>
      </c>
      <c r="O861" s="232" t="s">
        <v>517</v>
      </c>
      <c r="P861" s="232" t="s">
        <v>518</v>
      </c>
      <c r="Q861" s="232" t="s">
        <v>2147</v>
      </c>
      <c r="T861" t="s">
        <v>2803</v>
      </c>
      <c r="U861" s="25">
        <f>+Municipios!Z862</f>
        <v>49.053414397229005</v>
      </c>
      <c r="V861" s="232">
        <v>54206</v>
      </c>
      <c r="W861" s="232" t="s">
        <v>2146</v>
      </c>
      <c r="X861" s="232" t="s">
        <v>517</v>
      </c>
      <c r="Y861" s="232" t="s">
        <v>518</v>
      </c>
      <c r="Z861" s="232" t="s">
        <v>2147</v>
      </c>
    </row>
    <row r="862" spans="1:26">
      <c r="A862" t="s">
        <v>417</v>
      </c>
      <c r="B862" s="25">
        <f>+Municipios!Z863</f>
        <v>58.931466710186164</v>
      </c>
      <c r="C862" s="232">
        <v>19256</v>
      </c>
      <c r="D862" s="232" t="s">
        <v>2148</v>
      </c>
      <c r="E862" s="232" t="s">
        <v>557</v>
      </c>
      <c r="F862" s="232" t="s">
        <v>558</v>
      </c>
      <c r="G862" s="232" t="s">
        <v>1558</v>
      </c>
      <c r="K862" t="s">
        <v>2647</v>
      </c>
      <c r="L862" s="81">
        <f>+Municipios!AB863</f>
        <v>26.492546170811803</v>
      </c>
      <c r="M862" s="232">
        <v>19256</v>
      </c>
      <c r="N862" s="232" t="s">
        <v>2148</v>
      </c>
      <c r="O862" s="232" t="s">
        <v>557</v>
      </c>
      <c r="P862" s="232" t="s">
        <v>558</v>
      </c>
      <c r="Q862" s="232" t="s">
        <v>1558</v>
      </c>
      <c r="T862" t="s">
        <v>2803</v>
      </c>
      <c r="U862" s="25">
        <f>+Municipios!Z863</f>
        <v>58.931466710186164</v>
      </c>
      <c r="V862" s="232">
        <v>19256</v>
      </c>
      <c r="W862" s="232" t="s">
        <v>2148</v>
      </c>
      <c r="X862" s="232" t="s">
        <v>557</v>
      </c>
      <c r="Y862" s="232" t="s">
        <v>558</v>
      </c>
      <c r="Z862" s="232" t="s">
        <v>1558</v>
      </c>
    </row>
    <row r="863" spans="1:26">
      <c r="A863" t="s">
        <v>417</v>
      </c>
      <c r="B863" s="25">
        <f>+Municipios!Z864</f>
        <v>47.313864157195994</v>
      </c>
      <c r="C863" s="232">
        <v>5142</v>
      </c>
      <c r="D863" s="232" t="s">
        <v>2149</v>
      </c>
      <c r="E863" s="232" t="s">
        <v>435</v>
      </c>
      <c r="F863" s="232" t="s">
        <v>436</v>
      </c>
      <c r="G863" s="232" t="s">
        <v>2150</v>
      </c>
      <c r="K863" t="s">
        <v>2647</v>
      </c>
      <c r="L863" s="81">
        <f>+Municipios!AB864</f>
        <v>21.34898778911608</v>
      </c>
      <c r="M863" s="232">
        <v>5142</v>
      </c>
      <c r="N863" s="232" t="s">
        <v>2149</v>
      </c>
      <c r="O863" s="232" t="s">
        <v>435</v>
      </c>
      <c r="P863" s="232" t="s">
        <v>436</v>
      </c>
      <c r="Q863" s="232" t="s">
        <v>2150</v>
      </c>
      <c r="T863" t="s">
        <v>2803</v>
      </c>
      <c r="U863" s="25">
        <f>+Municipios!Z864</f>
        <v>47.313864157195994</v>
      </c>
      <c r="V863" s="232">
        <v>5142</v>
      </c>
      <c r="W863" s="232" t="s">
        <v>2149</v>
      </c>
      <c r="X863" s="232" t="s">
        <v>435</v>
      </c>
      <c r="Y863" s="232" t="s">
        <v>436</v>
      </c>
      <c r="Z863" s="232" t="s">
        <v>2150</v>
      </c>
    </row>
    <row r="864" spans="1:26">
      <c r="A864" t="s">
        <v>417</v>
      </c>
      <c r="B864" s="25">
        <f>+Municipios!Z865</f>
        <v>52.219847276222026</v>
      </c>
      <c r="C864" s="232">
        <v>50287</v>
      </c>
      <c r="D864" s="232" t="s">
        <v>2151</v>
      </c>
      <c r="E864" s="232" t="s">
        <v>605</v>
      </c>
      <c r="F864" s="232" t="s">
        <v>606</v>
      </c>
      <c r="G864" s="232" t="s">
        <v>2152</v>
      </c>
      <c r="K864" t="s">
        <v>2647</v>
      </c>
      <c r="L864" s="81">
        <f>+Municipios!AB865</f>
        <v>23.436156130256201</v>
      </c>
      <c r="M864" s="232">
        <v>50287</v>
      </c>
      <c r="N864" s="232" t="s">
        <v>2151</v>
      </c>
      <c r="O864" s="232" t="s">
        <v>605</v>
      </c>
      <c r="P864" s="232" t="s">
        <v>606</v>
      </c>
      <c r="Q864" s="232" t="s">
        <v>2152</v>
      </c>
      <c r="T864" t="s">
        <v>2803</v>
      </c>
      <c r="U864" s="25">
        <f>+Municipios!Z865</f>
        <v>52.219847276222026</v>
      </c>
      <c r="V864" s="232">
        <v>50287</v>
      </c>
      <c r="W864" s="232" t="s">
        <v>2151</v>
      </c>
      <c r="X864" s="232" t="s">
        <v>605</v>
      </c>
      <c r="Y864" s="232" t="s">
        <v>606</v>
      </c>
      <c r="Z864" s="232" t="s">
        <v>2152</v>
      </c>
    </row>
    <row r="865" spans="1:26">
      <c r="A865" t="s">
        <v>417</v>
      </c>
      <c r="B865" s="25">
        <f>+Municipios!Z866</f>
        <v>37.808458790672766</v>
      </c>
      <c r="C865" s="232">
        <v>70771</v>
      </c>
      <c r="D865" s="232" t="s">
        <v>2153</v>
      </c>
      <c r="E865" s="232" t="s">
        <v>494</v>
      </c>
      <c r="F865" s="232" t="s">
        <v>495</v>
      </c>
      <c r="G865" s="232" t="s">
        <v>495</v>
      </c>
      <c r="K865" t="s">
        <v>2647</v>
      </c>
      <c r="L865" s="81">
        <f>+Municipios!AB866</f>
        <v>17.002360200081498</v>
      </c>
      <c r="M865" s="232">
        <v>70771</v>
      </c>
      <c r="N865" s="232" t="s">
        <v>2153</v>
      </c>
      <c r="O865" s="232" t="s">
        <v>494</v>
      </c>
      <c r="P865" s="232" t="s">
        <v>495</v>
      </c>
      <c r="Q865" s="232" t="s">
        <v>495</v>
      </c>
      <c r="T865" t="s">
        <v>2803</v>
      </c>
      <c r="U865" s="25">
        <f>+Municipios!Z866</f>
        <v>37.808458790672766</v>
      </c>
      <c r="V865" s="232">
        <v>70771</v>
      </c>
      <c r="W865" s="232" t="s">
        <v>2153</v>
      </c>
      <c r="X865" s="232" t="s">
        <v>494</v>
      </c>
      <c r="Y865" s="232" t="s">
        <v>495</v>
      </c>
      <c r="Z865" s="232" t="s">
        <v>495</v>
      </c>
    </row>
    <row r="866" spans="1:26">
      <c r="A866" t="s">
        <v>417</v>
      </c>
      <c r="B866" s="25">
        <f>+Municipios!Z867</f>
        <v>47.430972999147073</v>
      </c>
      <c r="C866" s="232">
        <v>13268</v>
      </c>
      <c r="D866" s="232" t="s">
        <v>2154</v>
      </c>
      <c r="E866" s="232" t="s">
        <v>480</v>
      </c>
      <c r="F866" s="232" t="s">
        <v>481</v>
      </c>
      <c r="G866" s="232" t="s">
        <v>1722</v>
      </c>
      <c r="K866" t="s">
        <v>2647</v>
      </c>
      <c r="L866" s="81">
        <f>+Municipios!AB867</f>
        <v>21.300606935649366</v>
      </c>
      <c r="M866" s="232">
        <v>13268</v>
      </c>
      <c r="N866" s="232" t="s">
        <v>2154</v>
      </c>
      <c r="O866" s="232" t="s">
        <v>480</v>
      </c>
      <c r="P866" s="232" t="s">
        <v>481</v>
      </c>
      <c r="Q866" s="232" t="s">
        <v>1722</v>
      </c>
      <c r="T866" t="s">
        <v>2803</v>
      </c>
      <c r="U866" s="25">
        <f>+Municipios!Z867</f>
        <v>47.430972999147073</v>
      </c>
      <c r="V866" s="232">
        <v>13268</v>
      </c>
      <c r="W866" s="232" t="s">
        <v>2154</v>
      </c>
      <c r="X866" s="232" t="s">
        <v>480</v>
      </c>
      <c r="Y866" s="232" t="s">
        <v>481</v>
      </c>
      <c r="Z866" s="232" t="s">
        <v>1722</v>
      </c>
    </row>
    <row r="867" spans="1:26">
      <c r="A867" t="s">
        <v>417</v>
      </c>
      <c r="B867" s="25">
        <f>+Municipios!Z868</f>
        <v>67.4378800813802</v>
      </c>
      <c r="C867" s="232">
        <v>20045</v>
      </c>
      <c r="D867" s="232" t="s">
        <v>2155</v>
      </c>
      <c r="E867" s="232" t="s">
        <v>893</v>
      </c>
      <c r="F867" s="232" t="s">
        <v>894</v>
      </c>
      <c r="G867" s="232" t="s">
        <v>2156</v>
      </c>
      <c r="K867" t="s">
        <v>2647</v>
      </c>
      <c r="L867" s="81">
        <f>+Municipios!AB868</f>
        <v>30.329985832185347</v>
      </c>
      <c r="M867" s="232">
        <v>20045</v>
      </c>
      <c r="N867" s="232" t="s">
        <v>2155</v>
      </c>
      <c r="O867" s="232" t="s">
        <v>893</v>
      </c>
      <c r="P867" s="232" t="s">
        <v>894</v>
      </c>
      <c r="Q867" s="232" t="s">
        <v>2156</v>
      </c>
      <c r="T867" t="s">
        <v>2803</v>
      </c>
      <c r="U867" s="25">
        <f>+Municipios!Z868</f>
        <v>67.4378800813802</v>
      </c>
      <c r="V867" s="232">
        <v>20045</v>
      </c>
      <c r="W867" s="232" t="s">
        <v>2155</v>
      </c>
      <c r="X867" s="232" t="s">
        <v>893</v>
      </c>
      <c r="Y867" s="232" t="s">
        <v>894</v>
      </c>
      <c r="Z867" s="232" t="s">
        <v>2156</v>
      </c>
    </row>
    <row r="868" spans="1:26">
      <c r="A868" t="s">
        <v>417</v>
      </c>
      <c r="B868" s="25">
        <f>+Municipios!Z869</f>
        <v>59.837570041821387</v>
      </c>
      <c r="C868" s="232">
        <v>5885</v>
      </c>
      <c r="D868" s="232" t="s">
        <v>2157</v>
      </c>
      <c r="E868" s="232" t="s">
        <v>435</v>
      </c>
      <c r="F868" s="232" t="s">
        <v>436</v>
      </c>
      <c r="G868" s="232" t="s">
        <v>2158</v>
      </c>
      <c r="K868" t="s">
        <v>2647</v>
      </c>
      <c r="L868" s="81">
        <f>+Municipios!AB869</f>
        <v>27.0142330563047</v>
      </c>
      <c r="M868" s="232">
        <v>5885</v>
      </c>
      <c r="N868" s="232" t="s">
        <v>2157</v>
      </c>
      <c r="O868" s="232" t="s">
        <v>435</v>
      </c>
      <c r="P868" s="232" t="s">
        <v>436</v>
      </c>
      <c r="Q868" s="232" t="s">
        <v>2158</v>
      </c>
      <c r="T868" t="s">
        <v>2803</v>
      </c>
      <c r="U868" s="25">
        <f>+Municipios!Z869</f>
        <v>59.837570041821387</v>
      </c>
      <c r="V868" s="232">
        <v>5885</v>
      </c>
      <c r="W868" s="232" t="s">
        <v>2157</v>
      </c>
      <c r="X868" s="232" t="s">
        <v>435</v>
      </c>
      <c r="Y868" s="232" t="s">
        <v>436</v>
      </c>
      <c r="Z868" s="232" t="s">
        <v>2158</v>
      </c>
    </row>
    <row r="869" spans="1:26">
      <c r="A869" t="s">
        <v>417</v>
      </c>
      <c r="B869" s="25">
        <f>+Municipios!Z870</f>
        <v>56.269089449092242</v>
      </c>
      <c r="C869" s="232">
        <v>73067</v>
      </c>
      <c r="D869" s="232" t="s">
        <v>2159</v>
      </c>
      <c r="E869" s="232" t="s">
        <v>595</v>
      </c>
      <c r="F869" s="232" t="s">
        <v>596</v>
      </c>
      <c r="G869" s="232" t="s">
        <v>2160</v>
      </c>
      <c r="K869" t="s">
        <v>2647</v>
      </c>
      <c r="L869" s="81">
        <f>+Municipios!AB870</f>
        <v>25.282943184434565</v>
      </c>
      <c r="M869" s="232">
        <v>73067</v>
      </c>
      <c r="N869" s="232" t="s">
        <v>2159</v>
      </c>
      <c r="O869" s="232" t="s">
        <v>595</v>
      </c>
      <c r="P869" s="232" t="s">
        <v>596</v>
      </c>
      <c r="Q869" s="232" t="s">
        <v>2160</v>
      </c>
      <c r="T869" t="s">
        <v>2803</v>
      </c>
      <c r="U869" s="25">
        <f>+Municipios!Z870</f>
        <v>56.269089449092242</v>
      </c>
      <c r="V869" s="232">
        <v>73067</v>
      </c>
      <c r="W869" s="232" t="s">
        <v>2159</v>
      </c>
      <c r="X869" s="232" t="s">
        <v>595</v>
      </c>
      <c r="Y869" s="232" t="s">
        <v>596</v>
      </c>
      <c r="Z869" s="232" t="s">
        <v>2160</v>
      </c>
    </row>
    <row r="870" spans="1:26">
      <c r="A870" t="s">
        <v>417</v>
      </c>
      <c r="B870" s="25">
        <f>+Municipios!Z871</f>
        <v>68.65550512485818</v>
      </c>
      <c r="C870" s="232">
        <v>27495</v>
      </c>
      <c r="D870" s="232" t="s">
        <v>2161</v>
      </c>
      <c r="E870" s="232" t="s">
        <v>1714</v>
      </c>
      <c r="F870" s="232" t="s">
        <v>1715</v>
      </c>
      <c r="G870" s="232" t="s">
        <v>2162</v>
      </c>
      <c r="K870" t="s">
        <v>2647</v>
      </c>
      <c r="L870" s="81">
        <f>+Municipios!AB871</f>
        <v>30.826456196237974</v>
      </c>
      <c r="M870" s="232">
        <v>27495</v>
      </c>
      <c r="N870" s="232" t="s">
        <v>2161</v>
      </c>
      <c r="O870" s="232" t="s">
        <v>1714</v>
      </c>
      <c r="P870" s="232" t="s">
        <v>1715</v>
      </c>
      <c r="Q870" s="232" t="s">
        <v>2162</v>
      </c>
      <c r="T870" t="s">
        <v>2803</v>
      </c>
      <c r="U870" s="25">
        <f>+Municipios!Z871</f>
        <v>68.65550512485818</v>
      </c>
      <c r="V870" s="232">
        <v>27495</v>
      </c>
      <c r="W870" s="232" t="s">
        <v>2161</v>
      </c>
      <c r="X870" s="232" t="s">
        <v>1714</v>
      </c>
      <c r="Y870" s="232" t="s">
        <v>1715</v>
      </c>
      <c r="Z870" s="232" t="s">
        <v>2162</v>
      </c>
    </row>
    <row r="871" spans="1:26">
      <c r="A871" t="s">
        <v>417</v>
      </c>
      <c r="B871" s="25">
        <f>+Municipios!Z872</f>
        <v>55.291899839598358</v>
      </c>
      <c r="C871" s="232">
        <v>13810</v>
      </c>
      <c r="D871" s="232" t="s">
        <v>2163</v>
      </c>
      <c r="E871" s="232" t="s">
        <v>480</v>
      </c>
      <c r="F871" s="232" t="s">
        <v>481</v>
      </c>
      <c r="G871" s="232" t="s">
        <v>2164</v>
      </c>
      <c r="K871" t="s">
        <v>2647</v>
      </c>
      <c r="L871" s="81">
        <f>+Municipios!AB872</f>
        <v>24.798985601623635</v>
      </c>
      <c r="M871" s="232">
        <v>13810</v>
      </c>
      <c r="N871" s="232" t="s">
        <v>2163</v>
      </c>
      <c r="O871" s="232" t="s">
        <v>480</v>
      </c>
      <c r="P871" s="232" t="s">
        <v>481</v>
      </c>
      <c r="Q871" s="232" t="s">
        <v>2164</v>
      </c>
      <c r="T871" t="s">
        <v>2803</v>
      </c>
      <c r="U871" s="25">
        <f>+Municipios!Z872</f>
        <v>55.291899839598358</v>
      </c>
      <c r="V871" s="232">
        <v>13810</v>
      </c>
      <c r="W871" s="232" t="s">
        <v>2163</v>
      </c>
      <c r="X871" s="232" t="s">
        <v>480</v>
      </c>
      <c r="Y871" s="232" t="s">
        <v>481</v>
      </c>
      <c r="Z871" s="232" t="s">
        <v>2164</v>
      </c>
    </row>
    <row r="872" spans="1:26">
      <c r="A872" t="s">
        <v>417</v>
      </c>
      <c r="B872" s="25">
        <f>+Municipios!Z873</f>
        <v>52.879052190381415</v>
      </c>
      <c r="C872" s="232">
        <v>52256</v>
      </c>
      <c r="D872" s="232" t="s">
        <v>2165</v>
      </c>
      <c r="E872" s="232" t="s">
        <v>672</v>
      </c>
      <c r="F872" s="232" t="s">
        <v>673</v>
      </c>
      <c r="G872" s="232" t="s">
        <v>2166</v>
      </c>
      <c r="K872" t="s">
        <v>2647</v>
      </c>
      <c r="L872" s="81">
        <f>+Municipios!AB873</f>
        <v>23.741649724318474</v>
      </c>
      <c r="M872" s="232">
        <v>52256</v>
      </c>
      <c r="N872" s="232" t="s">
        <v>2165</v>
      </c>
      <c r="O872" s="232" t="s">
        <v>672</v>
      </c>
      <c r="P872" s="232" t="s">
        <v>673</v>
      </c>
      <c r="Q872" s="232" t="s">
        <v>2166</v>
      </c>
      <c r="T872" t="s">
        <v>2803</v>
      </c>
      <c r="U872" s="25">
        <f>+Municipios!Z873</f>
        <v>52.879052190381415</v>
      </c>
      <c r="V872" s="232">
        <v>52256</v>
      </c>
      <c r="W872" s="232" t="s">
        <v>2165</v>
      </c>
      <c r="X872" s="232" t="s">
        <v>672</v>
      </c>
      <c r="Y872" s="232" t="s">
        <v>673</v>
      </c>
      <c r="Z872" s="232" t="s">
        <v>2166</v>
      </c>
    </row>
    <row r="873" spans="1:26">
      <c r="A873" t="s">
        <v>417</v>
      </c>
      <c r="B873" s="25">
        <f>+Municipios!Z874</f>
        <v>56.962708501813992</v>
      </c>
      <c r="C873" s="232">
        <v>17867</v>
      </c>
      <c r="D873" s="232" t="s">
        <v>2167</v>
      </c>
      <c r="E873" s="232" t="s">
        <v>506</v>
      </c>
      <c r="F873" s="232" t="s">
        <v>507</v>
      </c>
      <c r="G873" s="232" t="s">
        <v>2168</v>
      </c>
      <c r="K873" t="s">
        <v>2647</v>
      </c>
      <c r="L873" s="81">
        <f>+Municipios!AB874</f>
        <v>25.403039867340702</v>
      </c>
      <c r="M873" s="232">
        <v>17867</v>
      </c>
      <c r="N873" s="232" t="s">
        <v>2167</v>
      </c>
      <c r="O873" s="232" t="s">
        <v>506</v>
      </c>
      <c r="P873" s="232" t="s">
        <v>507</v>
      </c>
      <c r="Q873" s="232" t="s">
        <v>2168</v>
      </c>
      <c r="T873" t="s">
        <v>2803</v>
      </c>
      <c r="U873" s="25">
        <f>+Municipios!Z874</f>
        <v>56.962708501813992</v>
      </c>
      <c r="V873" s="232">
        <v>17867</v>
      </c>
      <c r="W873" s="232" t="s">
        <v>2167</v>
      </c>
      <c r="X873" s="232" t="s">
        <v>506</v>
      </c>
      <c r="Y873" s="232" t="s">
        <v>507</v>
      </c>
      <c r="Z873" s="232" t="s">
        <v>2168</v>
      </c>
    </row>
    <row r="874" spans="1:26">
      <c r="A874" t="s">
        <v>417</v>
      </c>
      <c r="B874" s="25">
        <f>+Municipios!Z875</f>
        <v>68.193140662351695</v>
      </c>
      <c r="C874" s="232">
        <v>25653</v>
      </c>
      <c r="D874" s="232" t="s">
        <v>2169</v>
      </c>
      <c r="E874" s="232" t="s">
        <v>461</v>
      </c>
      <c r="F874" s="232" t="s">
        <v>462</v>
      </c>
      <c r="G874" s="232" t="s">
        <v>1470</v>
      </c>
      <c r="K874" t="s">
        <v>2647</v>
      </c>
      <c r="L874" s="81">
        <f>+Municipios!AB875</f>
        <v>30.327679625001572</v>
      </c>
      <c r="M874" s="232">
        <v>25653</v>
      </c>
      <c r="N874" s="232" t="s">
        <v>2169</v>
      </c>
      <c r="O874" s="232" t="s">
        <v>461</v>
      </c>
      <c r="P874" s="232" t="s">
        <v>462</v>
      </c>
      <c r="Q874" s="232" t="s">
        <v>1470</v>
      </c>
      <c r="T874" t="s">
        <v>2803</v>
      </c>
      <c r="U874" s="25">
        <f>+Municipios!Z875</f>
        <v>68.193140662351695</v>
      </c>
      <c r="V874" s="232">
        <v>25653</v>
      </c>
      <c r="W874" s="232" t="s">
        <v>2169</v>
      </c>
      <c r="X874" s="232" t="s">
        <v>461</v>
      </c>
      <c r="Y874" s="232" t="s">
        <v>462</v>
      </c>
      <c r="Z874" s="232" t="s">
        <v>1470</v>
      </c>
    </row>
    <row r="875" spans="1:26">
      <c r="A875" t="s">
        <v>417</v>
      </c>
      <c r="B875" s="25">
        <f>+Municipios!Z876</f>
        <v>54.726332355635904</v>
      </c>
      <c r="C875" s="232">
        <v>86760</v>
      </c>
      <c r="D875" s="232" t="s">
        <v>2170</v>
      </c>
      <c r="E875" s="232" t="s">
        <v>943</v>
      </c>
      <c r="F875" s="232" t="s">
        <v>944</v>
      </c>
      <c r="G875" s="232" t="s">
        <v>2116</v>
      </c>
      <c r="K875" t="s">
        <v>2647</v>
      </c>
      <c r="L875" s="81">
        <f>+Municipios!AB876</f>
        <v>24.357136866684787</v>
      </c>
      <c r="M875" s="232">
        <v>86760</v>
      </c>
      <c r="N875" s="232" t="s">
        <v>2170</v>
      </c>
      <c r="O875" s="232" t="s">
        <v>943</v>
      </c>
      <c r="P875" s="232" t="s">
        <v>944</v>
      </c>
      <c r="Q875" s="232" t="s">
        <v>2116</v>
      </c>
      <c r="T875" t="s">
        <v>2803</v>
      </c>
      <c r="U875" s="25">
        <f>+Municipios!Z876</f>
        <v>54.726332355635904</v>
      </c>
      <c r="V875" s="232">
        <v>86760</v>
      </c>
      <c r="W875" s="232" t="s">
        <v>2170</v>
      </c>
      <c r="X875" s="232" t="s">
        <v>943</v>
      </c>
      <c r="Y875" s="232" t="s">
        <v>944</v>
      </c>
      <c r="Z875" s="232" t="s">
        <v>2116</v>
      </c>
    </row>
    <row r="876" spans="1:26">
      <c r="A876" t="s">
        <v>417</v>
      </c>
      <c r="B876" s="25">
        <f>+Municipios!Z877</f>
        <v>51.569325473637676</v>
      </c>
      <c r="C876" s="232">
        <v>54128</v>
      </c>
      <c r="D876" s="232" t="s">
        <v>2171</v>
      </c>
      <c r="E876" s="232" t="s">
        <v>517</v>
      </c>
      <c r="F876" s="232" t="s">
        <v>518</v>
      </c>
      <c r="G876" s="232" t="s">
        <v>2172</v>
      </c>
      <c r="K876" t="s">
        <v>2647</v>
      </c>
      <c r="L876" s="81">
        <f>+Municipios!AB877</f>
        <v>22.769994691098297</v>
      </c>
      <c r="M876" s="232">
        <v>54128</v>
      </c>
      <c r="N876" s="232" t="s">
        <v>2171</v>
      </c>
      <c r="O876" s="232" t="s">
        <v>517</v>
      </c>
      <c r="P876" s="232" t="s">
        <v>518</v>
      </c>
      <c r="Q876" s="232" t="s">
        <v>2172</v>
      </c>
      <c r="T876" t="s">
        <v>2803</v>
      </c>
      <c r="U876" s="25">
        <f>+Municipios!Z877</f>
        <v>51.569325473637676</v>
      </c>
      <c r="V876" s="232">
        <v>54128</v>
      </c>
      <c r="W876" s="232" t="s">
        <v>2171</v>
      </c>
      <c r="X876" s="232" t="s">
        <v>517</v>
      </c>
      <c r="Y876" s="232" t="s">
        <v>518</v>
      </c>
      <c r="Z876" s="232" t="s">
        <v>2172</v>
      </c>
    </row>
    <row r="877" spans="1:26">
      <c r="A877" t="s">
        <v>417</v>
      </c>
      <c r="B877" s="25">
        <f>+Municipios!Z878</f>
        <v>55.177650679734455</v>
      </c>
      <c r="C877" s="232">
        <v>86568</v>
      </c>
      <c r="D877" s="232" t="s">
        <v>2173</v>
      </c>
      <c r="E877" s="232" t="s">
        <v>943</v>
      </c>
      <c r="F877" s="232" t="s">
        <v>944</v>
      </c>
      <c r="G877" s="232" t="s">
        <v>2174</v>
      </c>
      <c r="K877" t="s">
        <v>2647</v>
      </c>
      <c r="L877" s="81">
        <f>+Municipios!AB878</f>
        <v>24.496867859590804</v>
      </c>
      <c r="M877" s="232">
        <v>86568</v>
      </c>
      <c r="N877" s="232" t="s">
        <v>2173</v>
      </c>
      <c r="O877" s="232" t="s">
        <v>943</v>
      </c>
      <c r="P877" s="232" t="s">
        <v>944</v>
      </c>
      <c r="Q877" s="232" t="s">
        <v>2174</v>
      </c>
      <c r="T877" t="s">
        <v>2803</v>
      </c>
      <c r="U877" s="25">
        <f>+Municipios!Z878</f>
        <v>55.177650679734455</v>
      </c>
      <c r="V877" s="232">
        <v>86568</v>
      </c>
      <c r="W877" s="232" t="s">
        <v>2173</v>
      </c>
      <c r="X877" s="232" t="s">
        <v>943</v>
      </c>
      <c r="Y877" s="232" t="s">
        <v>944</v>
      </c>
      <c r="Z877" s="232" t="s">
        <v>2174</v>
      </c>
    </row>
    <row r="878" spans="1:26">
      <c r="A878" t="s">
        <v>417</v>
      </c>
      <c r="B878" s="25">
        <f>+Municipios!Z879</f>
        <v>49.817333673135863</v>
      </c>
      <c r="C878" s="232">
        <v>25372</v>
      </c>
      <c r="D878" s="232" t="s">
        <v>2175</v>
      </c>
      <c r="E878" s="232" t="s">
        <v>461</v>
      </c>
      <c r="F878" s="232" t="s">
        <v>462</v>
      </c>
      <c r="G878" s="232" t="s">
        <v>2176</v>
      </c>
      <c r="K878" t="s">
        <v>2647</v>
      </c>
      <c r="L878" s="81">
        <f>+Municipios!AB879</f>
        <v>22.058190530795056</v>
      </c>
      <c r="M878" s="232">
        <v>25372</v>
      </c>
      <c r="N878" s="232" t="s">
        <v>2175</v>
      </c>
      <c r="O878" s="232" t="s">
        <v>461</v>
      </c>
      <c r="P878" s="232" t="s">
        <v>462</v>
      </c>
      <c r="Q878" s="232" t="s">
        <v>2176</v>
      </c>
      <c r="T878" t="s">
        <v>2803</v>
      </c>
      <c r="U878" s="25">
        <f>+Municipios!Z879</f>
        <v>49.817333673135863</v>
      </c>
      <c r="V878" s="232">
        <v>25372</v>
      </c>
      <c r="W878" s="232" t="s">
        <v>2175</v>
      </c>
      <c r="X878" s="232" t="s">
        <v>461</v>
      </c>
      <c r="Y878" s="232" t="s">
        <v>462</v>
      </c>
      <c r="Z878" s="232" t="s">
        <v>2176</v>
      </c>
    </row>
    <row r="879" spans="1:26">
      <c r="A879" t="s">
        <v>417</v>
      </c>
      <c r="B879" s="25">
        <f>+Municipios!Z880</f>
        <v>54.294645504867155</v>
      </c>
      <c r="C879" s="232">
        <v>15723</v>
      </c>
      <c r="D879" s="232" t="s">
        <v>2177</v>
      </c>
      <c r="E879" s="232" t="s">
        <v>498</v>
      </c>
      <c r="F879" s="232" t="s">
        <v>499</v>
      </c>
      <c r="G879" s="232" t="s">
        <v>2178</v>
      </c>
      <c r="K879" t="s">
        <v>2647</v>
      </c>
      <c r="L879" s="81">
        <f>+Municipios!AB880</f>
        <v>24.134708764844007</v>
      </c>
      <c r="M879" s="232">
        <v>15723</v>
      </c>
      <c r="N879" s="232" t="s">
        <v>2177</v>
      </c>
      <c r="O879" s="232" t="s">
        <v>498</v>
      </c>
      <c r="P879" s="232" t="s">
        <v>499</v>
      </c>
      <c r="Q879" s="232" t="s">
        <v>2178</v>
      </c>
      <c r="T879" t="s">
        <v>2803</v>
      </c>
      <c r="U879" s="25">
        <f>+Municipios!Z880</f>
        <v>54.294645504867155</v>
      </c>
      <c r="V879" s="232">
        <v>15723</v>
      </c>
      <c r="W879" s="232" t="s">
        <v>2177</v>
      </c>
      <c r="X879" s="232" t="s">
        <v>498</v>
      </c>
      <c r="Y879" s="232" t="s">
        <v>499</v>
      </c>
      <c r="Z879" s="232" t="s">
        <v>2178</v>
      </c>
    </row>
    <row r="880" spans="1:26">
      <c r="A880" t="s">
        <v>417</v>
      </c>
      <c r="B880" s="25">
        <f>+Municipios!Z881</f>
        <v>56.395738707271462</v>
      </c>
      <c r="C880" s="232">
        <v>68385</v>
      </c>
      <c r="D880" s="232" t="s">
        <v>2179</v>
      </c>
      <c r="E880" s="232" t="s">
        <v>431</v>
      </c>
      <c r="F880" s="232" t="s">
        <v>432</v>
      </c>
      <c r="G880" s="232" t="s">
        <v>2180</v>
      </c>
      <c r="K880" t="s">
        <v>2647</v>
      </c>
      <c r="L880" s="81">
        <f>+Municipios!AB881</f>
        <v>24.911883361057395</v>
      </c>
      <c r="M880" s="232">
        <v>68385</v>
      </c>
      <c r="N880" s="232" t="s">
        <v>2179</v>
      </c>
      <c r="O880" s="232" t="s">
        <v>431</v>
      </c>
      <c r="P880" s="232" t="s">
        <v>432</v>
      </c>
      <c r="Q880" s="232" t="s">
        <v>2180</v>
      </c>
      <c r="T880" t="s">
        <v>2803</v>
      </c>
      <c r="U880" s="25">
        <f>+Municipios!Z881</f>
        <v>56.395738707271462</v>
      </c>
      <c r="V880" s="232">
        <v>68385</v>
      </c>
      <c r="W880" s="232" t="s">
        <v>2179</v>
      </c>
      <c r="X880" s="232" t="s">
        <v>431</v>
      </c>
      <c r="Y880" s="232" t="s">
        <v>432</v>
      </c>
      <c r="Z880" s="232" t="s">
        <v>2180</v>
      </c>
    </row>
    <row r="881" spans="1:26">
      <c r="A881" t="s">
        <v>417</v>
      </c>
      <c r="B881" s="25">
        <f>+Municipios!Z882</f>
        <v>48.58611113502279</v>
      </c>
      <c r="C881" s="232">
        <v>5284</v>
      </c>
      <c r="D881" s="232" t="s">
        <v>2181</v>
      </c>
      <c r="E881" s="232" t="s">
        <v>435</v>
      </c>
      <c r="F881" s="232" t="s">
        <v>436</v>
      </c>
      <c r="G881" s="232" t="s">
        <v>2182</v>
      </c>
      <c r="K881" t="s">
        <v>2647</v>
      </c>
      <c r="L881" s="81">
        <f>+Municipios!AB882</f>
        <v>21.452081139521837</v>
      </c>
      <c r="M881" s="232">
        <v>5284</v>
      </c>
      <c r="N881" s="232" t="s">
        <v>2181</v>
      </c>
      <c r="O881" s="232" t="s">
        <v>435</v>
      </c>
      <c r="P881" s="232" t="s">
        <v>436</v>
      </c>
      <c r="Q881" s="232" t="s">
        <v>2182</v>
      </c>
      <c r="T881" t="s">
        <v>2803</v>
      </c>
      <c r="U881" s="25">
        <f>+Municipios!Z882</f>
        <v>48.58611113502279</v>
      </c>
      <c r="V881" s="232">
        <v>5284</v>
      </c>
      <c r="W881" s="232" t="s">
        <v>2181</v>
      </c>
      <c r="X881" s="232" t="s">
        <v>435</v>
      </c>
      <c r="Y881" s="232" t="s">
        <v>436</v>
      </c>
      <c r="Z881" s="232" t="s">
        <v>2182</v>
      </c>
    </row>
    <row r="882" spans="1:26">
      <c r="A882" t="s">
        <v>417</v>
      </c>
      <c r="B882" s="25">
        <f>+Municipios!Z883</f>
        <v>61.779672693106157</v>
      </c>
      <c r="C882" s="232">
        <v>15897</v>
      </c>
      <c r="D882" s="232" t="s">
        <v>2183</v>
      </c>
      <c r="E882" s="232" t="s">
        <v>498</v>
      </c>
      <c r="F882" s="232" t="s">
        <v>499</v>
      </c>
      <c r="G882" s="232" t="s">
        <v>2184</v>
      </c>
      <c r="K882" t="s">
        <v>2647</v>
      </c>
      <c r="L882" s="81">
        <f>+Municipios!AB883</f>
        <v>27.190231865419495</v>
      </c>
      <c r="M882" s="232">
        <v>15897</v>
      </c>
      <c r="N882" s="232" t="s">
        <v>2183</v>
      </c>
      <c r="O882" s="232" t="s">
        <v>498</v>
      </c>
      <c r="P882" s="232" t="s">
        <v>499</v>
      </c>
      <c r="Q882" s="232" t="s">
        <v>2184</v>
      </c>
      <c r="T882" t="s">
        <v>2803</v>
      </c>
      <c r="U882" s="25">
        <f>+Municipios!Z883</f>
        <v>61.779672693106157</v>
      </c>
      <c r="V882" s="232">
        <v>15897</v>
      </c>
      <c r="W882" s="232" t="s">
        <v>2183</v>
      </c>
      <c r="X882" s="232" t="s">
        <v>498</v>
      </c>
      <c r="Y882" s="232" t="s">
        <v>499</v>
      </c>
      <c r="Z882" s="232" t="s">
        <v>2184</v>
      </c>
    </row>
    <row r="883" spans="1:26">
      <c r="A883" t="s">
        <v>417</v>
      </c>
      <c r="B883" s="25">
        <f>+Municipios!Z884</f>
        <v>51.326231043698328</v>
      </c>
      <c r="C883" s="232">
        <v>68425</v>
      </c>
      <c r="D883" s="232" t="s">
        <v>2185</v>
      </c>
      <c r="E883" s="232" t="s">
        <v>431</v>
      </c>
      <c r="F883" s="232" t="s">
        <v>432</v>
      </c>
      <c r="G883" s="232" t="s">
        <v>2186</v>
      </c>
      <c r="K883" t="s">
        <v>2647</v>
      </c>
      <c r="L883" s="81">
        <f>+Municipios!AB884</f>
        <v>22.658270743436333</v>
      </c>
      <c r="M883" s="232">
        <v>68425</v>
      </c>
      <c r="N883" s="232" t="s">
        <v>2185</v>
      </c>
      <c r="O883" s="232" t="s">
        <v>431</v>
      </c>
      <c r="P883" s="232" t="s">
        <v>432</v>
      </c>
      <c r="Q883" s="232" t="s">
        <v>2186</v>
      </c>
      <c r="T883" t="s">
        <v>2803</v>
      </c>
      <c r="U883" s="25">
        <f>+Municipios!Z884</f>
        <v>51.326231043698328</v>
      </c>
      <c r="V883" s="232">
        <v>68425</v>
      </c>
      <c r="W883" s="232" t="s">
        <v>2185</v>
      </c>
      <c r="X883" s="232" t="s">
        <v>431</v>
      </c>
      <c r="Y883" s="232" t="s">
        <v>432</v>
      </c>
      <c r="Z883" s="232" t="s">
        <v>2186</v>
      </c>
    </row>
    <row r="884" spans="1:26">
      <c r="A884" t="s">
        <v>417</v>
      </c>
      <c r="B884" s="25">
        <f>+Municipios!Z885</f>
        <v>60.103599863275861</v>
      </c>
      <c r="C884" s="232">
        <v>54720</v>
      </c>
      <c r="D884" s="232" t="s">
        <v>2187</v>
      </c>
      <c r="E884" s="232" t="s">
        <v>517</v>
      </c>
      <c r="F884" s="232" t="s">
        <v>518</v>
      </c>
      <c r="G884" s="232" t="s">
        <v>2188</v>
      </c>
      <c r="K884" t="s">
        <v>2647</v>
      </c>
      <c r="L884" s="81">
        <f>+Municipios!AB885</f>
        <v>26.500678213851952</v>
      </c>
      <c r="M884" s="232">
        <v>54720</v>
      </c>
      <c r="N884" s="232" t="s">
        <v>2187</v>
      </c>
      <c r="O884" s="232" t="s">
        <v>517</v>
      </c>
      <c r="P884" s="232" t="s">
        <v>518</v>
      </c>
      <c r="Q884" s="232" t="s">
        <v>2188</v>
      </c>
      <c r="T884" t="s">
        <v>2803</v>
      </c>
      <c r="U884" s="25">
        <f>+Municipios!Z885</f>
        <v>60.103599863275861</v>
      </c>
      <c r="V884" s="232">
        <v>54720</v>
      </c>
      <c r="W884" s="232" t="s">
        <v>2187</v>
      </c>
      <c r="X884" s="232" t="s">
        <v>517</v>
      </c>
      <c r="Y884" s="232" t="s">
        <v>518</v>
      </c>
      <c r="Z884" s="232" t="s">
        <v>2188</v>
      </c>
    </row>
    <row r="885" spans="1:26">
      <c r="A885" t="s">
        <v>417</v>
      </c>
      <c r="B885" s="25">
        <f>+Municipios!Z886</f>
        <v>56.427593592104756</v>
      </c>
      <c r="C885" s="232">
        <v>54810</v>
      </c>
      <c r="D885" s="232" t="s">
        <v>2189</v>
      </c>
      <c r="E885" s="232" t="s">
        <v>517</v>
      </c>
      <c r="F885" s="232" t="s">
        <v>518</v>
      </c>
      <c r="G885" s="232" t="s">
        <v>2190</v>
      </c>
      <c r="K885" t="s">
        <v>2647</v>
      </c>
      <c r="L885" s="81">
        <f>+Municipios!AB886</f>
        <v>24.859394926143242</v>
      </c>
      <c r="M885" s="232">
        <v>54810</v>
      </c>
      <c r="N885" s="232" t="s">
        <v>2189</v>
      </c>
      <c r="O885" s="232" t="s">
        <v>517</v>
      </c>
      <c r="P885" s="232" t="s">
        <v>518</v>
      </c>
      <c r="Q885" s="232" t="s">
        <v>2190</v>
      </c>
      <c r="T885" t="s">
        <v>2803</v>
      </c>
      <c r="U885" s="25">
        <f>+Municipios!Z886</f>
        <v>56.427593592104756</v>
      </c>
      <c r="V885" s="232">
        <v>54810</v>
      </c>
      <c r="W885" s="232" t="s">
        <v>2189</v>
      </c>
      <c r="X885" s="232" t="s">
        <v>517</v>
      </c>
      <c r="Y885" s="232" t="s">
        <v>518</v>
      </c>
      <c r="Z885" s="232" t="s">
        <v>2190</v>
      </c>
    </row>
    <row r="886" spans="1:26">
      <c r="A886" t="s">
        <v>417</v>
      </c>
      <c r="B886" s="25">
        <f>+Municipios!Z887</f>
        <v>53.923468455299712</v>
      </c>
      <c r="C886" s="232">
        <v>68397</v>
      </c>
      <c r="D886" s="232" t="s">
        <v>2191</v>
      </c>
      <c r="E886" s="232" t="s">
        <v>431</v>
      </c>
      <c r="F886" s="232" t="s">
        <v>432</v>
      </c>
      <c r="G886" s="232" t="s">
        <v>1862</v>
      </c>
      <c r="K886" t="s">
        <v>2647</v>
      </c>
      <c r="L886" s="81">
        <f>+Municipios!AB887</f>
        <v>23.598212007998711</v>
      </c>
      <c r="M886" s="232">
        <v>68397</v>
      </c>
      <c r="N886" s="232" t="s">
        <v>2191</v>
      </c>
      <c r="O886" s="232" t="s">
        <v>431</v>
      </c>
      <c r="P886" s="232" t="s">
        <v>432</v>
      </c>
      <c r="Q886" s="232" t="s">
        <v>1862</v>
      </c>
      <c r="T886" t="s">
        <v>2803</v>
      </c>
      <c r="U886" s="25">
        <f>+Municipios!Z887</f>
        <v>53.923468455299712</v>
      </c>
      <c r="V886" s="232">
        <v>68397</v>
      </c>
      <c r="W886" s="232" t="s">
        <v>2191</v>
      </c>
      <c r="X886" s="232" t="s">
        <v>431</v>
      </c>
      <c r="Y886" s="232" t="s">
        <v>432</v>
      </c>
      <c r="Z886" s="232" t="s">
        <v>1862</v>
      </c>
    </row>
    <row r="887" spans="1:26">
      <c r="A887" t="s">
        <v>417</v>
      </c>
      <c r="B887" s="25">
        <f>+Municipios!Z888</f>
        <v>51.934608764511943</v>
      </c>
      <c r="C887" s="232">
        <v>27006</v>
      </c>
      <c r="D887" s="232" t="s">
        <v>2192</v>
      </c>
      <c r="E887" s="232" t="s">
        <v>1714</v>
      </c>
      <c r="F887" s="232" t="s">
        <v>1715</v>
      </c>
      <c r="G887" s="232" t="s">
        <v>2193</v>
      </c>
      <c r="K887" t="s">
        <v>2647</v>
      </c>
      <c r="L887" s="81">
        <f>+Municipios!AB888</f>
        <v>22.849332368844983</v>
      </c>
      <c r="M887" s="232">
        <v>27006</v>
      </c>
      <c r="N887" s="232" t="s">
        <v>2192</v>
      </c>
      <c r="O887" s="232" t="s">
        <v>1714</v>
      </c>
      <c r="P887" s="232" t="s">
        <v>1715</v>
      </c>
      <c r="Q887" s="232" t="s">
        <v>2193</v>
      </c>
      <c r="T887" t="s">
        <v>2803</v>
      </c>
      <c r="U887" s="25">
        <f>+Municipios!Z888</f>
        <v>51.934608764511943</v>
      </c>
      <c r="V887" s="232">
        <v>27006</v>
      </c>
      <c r="W887" s="232" t="s">
        <v>2192</v>
      </c>
      <c r="X887" s="232" t="s">
        <v>1714</v>
      </c>
      <c r="Y887" s="232" t="s">
        <v>1715</v>
      </c>
      <c r="Z887" s="232" t="s">
        <v>2193</v>
      </c>
    </row>
    <row r="888" spans="1:26">
      <c r="A888" t="s">
        <v>417</v>
      </c>
      <c r="B888" s="25">
        <f>+Municipios!Z889</f>
        <v>58.438454271487707</v>
      </c>
      <c r="C888" s="232">
        <v>54800</v>
      </c>
      <c r="D888" s="232" t="s">
        <v>2194</v>
      </c>
      <c r="E888" s="232" t="s">
        <v>517</v>
      </c>
      <c r="F888" s="232" t="s">
        <v>518</v>
      </c>
      <c r="G888" s="232" t="s">
        <v>2195</v>
      </c>
      <c r="K888" t="s">
        <v>2647</v>
      </c>
      <c r="L888" s="81">
        <f>+Municipios!AB889</f>
        <v>25.700402764839097</v>
      </c>
      <c r="M888" s="232">
        <v>54800</v>
      </c>
      <c r="N888" s="232" t="s">
        <v>2194</v>
      </c>
      <c r="O888" s="232" t="s">
        <v>517</v>
      </c>
      <c r="P888" s="232" t="s">
        <v>518</v>
      </c>
      <c r="Q888" s="232" t="s">
        <v>2195</v>
      </c>
      <c r="T888" t="s">
        <v>2803</v>
      </c>
      <c r="U888" s="25">
        <f>+Municipios!Z889</f>
        <v>58.438454271487707</v>
      </c>
      <c r="V888" s="232">
        <v>54800</v>
      </c>
      <c r="W888" s="232" t="s">
        <v>2194</v>
      </c>
      <c r="X888" s="232" t="s">
        <v>517</v>
      </c>
      <c r="Y888" s="232" t="s">
        <v>518</v>
      </c>
      <c r="Z888" s="232" t="s">
        <v>2195</v>
      </c>
    </row>
    <row r="889" spans="1:26">
      <c r="A889" t="s">
        <v>417</v>
      </c>
      <c r="B889" s="25">
        <f>+Municipios!Z890</f>
        <v>53.000441057415443</v>
      </c>
      <c r="C889" s="232">
        <v>15092</v>
      </c>
      <c r="D889" s="232" t="s">
        <v>2196</v>
      </c>
      <c r="E889" s="232" t="s">
        <v>498</v>
      </c>
      <c r="F889" s="232" t="s">
        <v>499</v>
      </c>
      <c r="G889" s="232" t="s">
        <v>2197</v>
      </c>
      <c r="K889" t="s">
        <v>2647</v>
      </c>
      <c r="L889" s="81">
        <f>+Municipios!AB890</f>
        <v>23.355762073591322</v>
      </c>
      <c r="M889" s="232">
        <v>15092</v>
      </c>
      <c r="N889" s="232" t="s">
        <v>2196</v>
      </c>
      <c r="O889" s="232" t="s">
        <v>498</v>
      </c>
      <c r="P889" s="232" t="s">
        <v>499</v>
      </c>
      <c r="Q889" s="232" t="s">
        <v>2197</v>
      </c>
      <c r="T889" t="s">
        <v>2803</v>
      </c>
      <c r="U889" s="25">
        <f>+Municipios!Z890</f>
        <v>53.000441057415443</v>
      </c>
      <c r="V889" s="232">
        <v>15092</v>
      </c>
      <c r="W889" s="232" t="s">
        <v>2196</v>
      </c>
      <c r="X889" s="232" t="s">
        <v>498</v>
      </c>
      <c r="Y889" s="232" t="s">
        <v>499</v>
      </c>
      <c r="Z889" s="232" t="s">
        <v>2197</v>
      </c>
    </row>
    <row r="890" spans="1:26">
      <c r="A890" t="s">
        <v>417</v>
      </c>
      <c r="B890" s="25">
        <f>+Municipios!Z891</f>
        <v>62.298429806431464</v>
      </c>
      <c r="C890" s="232">
        <v>41801</v>
      </c>
      <c r="D890" s="232" t="s">
        <v>2198</v>
      </c>
      <c r="E890" s="232" t="s">
        <v>676</v>
      </c>
      <c r="F890" s="232" t="s">
        <v>677</v>
      </c>
      <c r="G890" s="232" t="s">
        <v>2199</v>
      </c>
      <c r="K890" t="s">
        <v>2647</v>
      </c>
      <c r="L890" s="81">
        <f>+Municipios!AB891</f>
        <v>27.36914103707225</v>
      </c>
      <c r="M890" s="232">
        <v>41801</v>
      </c>
      <c r="N890" s="232" t="s">
        <v>2198</v>
      </c>
      <c r="O890" s="232" t="s">
        <v>676</v>
      </c>
      <c r="P890" s="232" t="s">
        <v>677</v>
      </c>
      <c r="Q890" s="232" t="s">
        <v>2199</v>
      </c>
      <c r="T890" t="s">
        <v>2803</v>
      </c>
      <c r="U890" s="25">
        <f>+Municipios!Z891</f>
        <v>62.298429806431464</v>
      </c>
      <c r="V890" s="232">
        <v>41801</v>
      </c>
      <c r="W890" s="232" t="s">
        <v>2198</v>
      </c>
      <c r="X890" s="232" t="s">
        <v>676</v>
      </c>
      <c r="Y890" s="232" t="s">
        <v>677</v>
      </c>
      <c r="Z890" s="232" t="s">
        <v>2199</v>
      </c>
    </row>
    <row r="891" spans="1:26">
      <c r="A891" t="s">
        <v>417</v>
      </c>
      <c r="B891" s="25">
        <f>+Municipios!Z892</f>
        <v>63.691770608654934</v>
      </c>
      <c r="C891" s="232">
        <v>68377</v>
      </c>
      <c r="D891" s="232" t="s">
        <v>2200</v>
      </c>
      <c r="E891" s="232" t="s">
        <v>431</v>
      </c>
      <c r="F891" s="232" t="s">
        <v>432</v>
      </c>
      <c r="G891" s="232" t="s">
        <v>2201</v>
      </c>
      <c r="K891" t="s">
        <v>2647</v>
      </c>
      <c r="L891" s="81">
        <f>+Municipios!AB892</f>
        <v>27.920468135013408</v>
      </c>
      <c r="M891" s="232">
        <v>68377</v>
      </c>
      <c r="N891" s="232" t="s">
        <v>2200</v>
      </c>
      <c r="O891" s="232" t="s">
        <v>431</v>
      </c>
      <c r="P891" s="232" t="s">
        <v>432</v>
      </c>
      <c r="Q891" s="232" t="s">
        <v>2201</v>
      </c>
      <c r="T891" t="s">
        <v>2803</v>
      </c>
      <c r="U891" s="25">
        <f>+Municipios!Z892</f>
        <v>63.691770608654934</v>
      </c>
      <c r="V891" s="232">
        <v>68377</v>
      </c>
      <c r="W891" s="232" t="s">
        <v>2200</v>
      </c>
      <c r="X891" s="232" t="s">
        <v>431</v>
      </c>
      <c r="Y891" s="232" t="s">
        <v>432</v>
      </c>
      <c r="Z891" s="232" t="s">
        <v>2201</v>
      </c>
    </row>
    <row r="892" spans="1:26">
      <c r="A892" t="s">
        <v>417</v>
      </c>
      <c r="B892" s="25">
        <f>+Municipios!Z893</f>
        <v>59.996501266923467</v>
      </c>
      <c r="C892" s="232">
        <v>52540</v>
      </c>
      <c r="D892" s="232" t="s">
        <v>2202</v>
      </c>
      <c r="E892" s="232" t="s">
        <v>672</v>
      </c>
      <c r="F892" s="232" t="s">
        <v>673</v>
      </c>
      <c r="G892" s="232" t="s">
        <v>2203</v>
      </c>
      <c r="K892" t="s">
        <v>2647</v>
      </c>
      <c r="L892" s="81">
        <f>+Municipios!AB893</f>
        <v>26.292055089147542</v>
      </c>
      <c r="M892" s="232">
        <v>52540</v>
      </c>
      <c r="N892" s="232" t="s">
        <v>2202</v>
      </c>
      <c r="O892" s="232" t="s">
        <v>672</v>
      </c>
      <c r="P892" s="232" t="s">
        <v>673</v>
      </c>
      <c r="Q892" s="232" t="s">
        <v>2203</v>
      </c>
      <c r="T892" t="s">
        <v>2803</v>
      </c>
      <c r="U892" s="25">
        <f>+Municipios!Z893</f>
        <v>59.996501266923467</v>
      </c>
      <c r="V892" s="232">
        <v>52540</v>
      </c>
      <c r="W892" s="232" t="s">
        <v>2202</v>
      </c>
      <c r="X892" s="232" t="s">
        <v>672</v>
      </c>
      <c r="Y892" s="232" t="s">
        <v>673</v>
      </c>
      <c r="Z892" s="232" t="s">
        <v>2203</v>
      </c>
    </row>
    <row r="893" spans="1:26">
      <c r="A893" t="s">
        <v>417</v>
      </c>
      <c r="B893" s="25">
        <f>+Municipios!Z894</f>
        <v>54.526436318125619</v>
      </c>
      <c r="C893" s="232">
        <v>68176</v>
      </c>
      <c r="D893" s="232" t="s">
        <v>2204</v>
      </c>
      <c r="E893" s="232" t="s">
        <v>431</v>
      </c>
      <c r="F893" s="232" t="s">
        <v>432</v>
      </c>
      <c r="G893" s="232" t="s">
        <v>2205</v>
      </c>
      <c r="K893" t="s">
        <v>2647</v>
      </c>
      <c r="L893" s="81">
        <f>+Municipios!AB894</f>
        <v>23.955153339858402</v>
      </c>
      <c r="M893" s="232">
        <v>68176</v>
      </c>
      <c r="N893" s="232" t="s">
        <v>2204</v>
      </c>
      <c r="O893" s="232" t="s">
        <v>431</v>
      </c>
      <c r="P893" s="232" t="s">
        <v>432</v>
      </c>
      <c r="Q893" s="232" t="s">
        <v>2205</v>
      </c>
      <c r="T893" t="s">
        <v>2803</v>
      </c>
      <c r="U893" s="25">
        <f>+Municipios!Z894</f>
        <v>54.526436318125619</v>
      </c>
      <c r="V893" s="232">
        <v>68176</v>
      </c>
      <c r="W893" s="232" t="s">
        <v>2204</v>
      </c>
      <c r="X893" s="232" t="s">
        <v>431</v>
      </c>
      <c r="Y893" s="232" t="s">
        <v>432</v>
      </c>
      <c r="Z893" s="232" t="s">
        <v>2205</v>
      </c>
    </row>
    <row r="894" spans="1:26">
      <c r="A894" t="s">
        <v>417</v>
      </c>
      <c r="B894" s="25">
        <f>+Municipios!Z895</f>
        <v>56.941429624072299</v>
      </c>
      <c r="C894" s="232">
        <v>52699</v>
      </c>
      <c r="D894" s="232" t="s">
        <v>2206</v>
      </c>
      <c r="E894" s="232" t="s">
        <v>672</v>
      </c>
      <c r="F894" s="232" t="s">
        <v>673</v>
      </c>
      <c r="G894" s="232" t="s">
        <v>2207</v>
      </c>
      <c r="K894" t="s">
        <v>2647</v>
      </c>
      <c r="L894" s="81">
        <f>+Municipios!AB895</f>
        <v>24.900331023805624</v>
      </c>
      <c r="M894" s="232">
        <v>52699</v>
      </c>
      <c r="N894" s="232" t="s">
        <v>2206</v>
      </c>
      <c r="O894" s="232" t="s">
        <v>672</v>
      </c>
      <c r="P894" s="232" t="s">
        <v>673</v>
      </c>
      <c r="Q894" s="232" t="s">
        <v>2207</v>
      </c>
      <c r="T894" t="s">
        <v>2803</v>
      </c>
      <c r="U894" s="25">
        <f>+Municipios!Z895</f>
        <v>56.941429624072299</v>
      </c>
      <c r="V894" s="232">
        <v>52699</v>
      </c>
      <c r="W894" s="232" t="s">
        <v>2206</v>
      </c>
      <c r="X894" s="232" t="s">
        <v>672</v>
      </c>
      <c r="Y894" s="232" t="s">
        <v>673</v>
      </c>
      <c r="Z894" s="232" t="s">
        <v>2207</v>
      </c>
    </row>
    <row r="895" spans="1:26">
      <c r="A895" t="s">
        <v>417</v>
      </c>
      <c r="B895" s="25">
        <f>+Municipios!Z896</f>
        <v>55.478152178892792</v>
      </c>
      <c r="C895" s="232">
        <v>5120</v>
      </c>
      <c r="D895" s="232" t="s">
        <v>2208</v>
      </c>
      <c r="E895" s="232" t="s">
        <v>435</v>
      </c>
      <c r="F895" s="232" t="s">
        <v>436</v>
      </c>
      <c r="G895" s="232" t="s">
        <v>2209</v>
      </c>
      <c r="K895" t="s">
        <v>2647</v>
      </c>
      <c r="L895" s="81">
        <f>+Municipios!AB896</f>
        <v>24.328600064305441</v>
      </c>
      <c r="M895" s="232">
        <v>5120</v>
      </c>
      <c r="N895" s="232" t="s">
        <v>2208</v>
      </c>
      <c r="O895" s="232" t="s">
        <v>435</v>
      </c>
      <c r="P895" s="232" t="s">
        <v>436</v>
      </c>
      <c r="Q895" s="232" t="s">
        <v>2209</v>
      </c>
      <c r="T895" t="s">
        <v>2803</v>
      </c>
      <c r="U895" s="25">
        <f>+Municipios!Z896</f>
        <v>55.478152178892792</v>
      </c>
      <c r="V895" s="232">
        <v>5120</v>
      </c>
      <c r="W895" s="232" t="s">
        <v>2208</v>
      </c>
      <c r="X895" s="232" t="s">
        <v>435</v>
      </c>
      <c r="Y895" s="232" t="s">
        <v>436</v>
      </c>
      <c r="Z895" s="232" t="s">
        <v>2209</v>
      </c>
    </row>
    <row r="896" spans="1:26">
      <c r="A896" t="s">
        <v>417</v>
      </c>
      <c r="B896" s="25">
        <f>+Municipios!Z897</f>
        <v>59.522783385207688</v>
      </c>
      <c r="C896" s="232">
        <v>52287</v>
      </c>
      <c r="D896" s="232" t="s">
        <v>2210</v>
      </c>
      <c r="E896" s="232" t="s">
        <v>672</v>
      </c>
      <c r="F896" s="232" t="s">
        <v>673</v>
      </c>
      <c r="G896" s="232" t="s">
        <v>2211</v>
      </c>
      <c r="K896" t="s">
        <v>2647</v>
      </c>
      <c r="L896" s="81">
        <f>+Municipios!AB897</f>
        <v>25.961543787146528</v>
      </c>
      <c r="M896" s="232">
        <v>52287</v>
      </c>
      <c r="N896" s="232" t="s">
        <v>2210</v>
      </c>
      <c r="O896" s="232" t="s">
        <v>672</v>
      </c>
      <c r="P896" s="232" t="s">
        <v>673</v>
      </c>
      <c r="Q896" s="232" t="s">
        <v>2211</v>
      </c>
      <c r="T896" t="s">
        <v>2803</v>
      </c>
      <c r="U896" s="25">
        <f>+Municipios!Z897</f>
        <v>59.522783385207688</v>
      </c>
      <c r="V896" s="232">
        <v>52287</v>
      </c>
      <c r="W896" s="232" t="s">
        <v>2210</v>
      </c>
      <c r="X896" s="232" t="s">
        <v>672</v>
      </c>
      <c r="Y896" s="232" t="s">
        <v>673</v>
      </c>
      <c r="Z896" s="232" t="s">
        <v>2211</v>
      </c>
    </row>
    <row r="897" spans="1:26">
      <c r="A897" t="s">
        <v>417</v>
      </c>
      <c r="B897" s="25">
        <f>+Municipios!Z898</f>
        <v>63.48472312261999</v>
      </c>
      <c r="C897" s="232">
        <v>15403</v>
      </c>
      <c r="D897" s="232" t="s">
        <v>2212</v>
      </c>
      <c r="E897" s="232" t="s">
        <v>498</v>
      </c>
      <c r="F897" s="232" t="s">
        <v>499</v>
      </c>
      <c r="G897" s="232" t="s">
        <v>2213</v>
      </c>
      <c r="K897" t="s">
        <v>2647</v>
      </c>
      <c r="L897" s="81">
        <f>+Municipios!AB898</f>
        <v>27.744180216314387</v>
      </c>
      <c r="M897" s="232">
        <v>15403</v>
      </c>
      <c r="N897" s="232" t="s">
        <v>2212</v>
      </c>
      <c r="O897" s="232" t="s">
        <v>498</v>
      </c>
      <c r="P897" s="232" t="s">
        <v>499</v>
      </c>
      <c r="Q897" s="232" t="s">
        <v>2213</v>
      </c>
      <c r="T897" t="s">
        <v>2803</v>
      </c>
      <c r="U897" s="25">
        <f>+Municipios!Z898</f>
        <v>63.48472312261999</v>
      </c>
      <c r="V897" s="232">
        <v>15403</v>
      </c>
      <c r="W897" s="232" t="s">
        <v>2212</v>
      </c>
      <c r="X897" s="232" t="s">
        <v>498</v>
      </c>
      <c r="Y897" s="232" t="s">
        <v>499</v>
      </c>
      <c r="Z897" s="232" t="s">
        <v>2213</v>
      </c>
    </row>
    <row r="898" spans="1:26">
      <c r="A898" t="s">
        <v>417</v>
      </c>
      <c r="B898" s="25">
        <f>+Municipios!Z899</f>
        <v>49.698378479533069</v>
      </c>
      <c r="C898" s="232">
        <v>13655</v>
      </c>
      <c r="D898" s="232" t="s">
        <v>2214</v>
      </c>
      <c r="E898" s="232" t="s">
        <v>480</v>
      </c>
      <c r="F898" s="232" t="s">
        <v>481</v>
      </c>
      <c r="G898" s="232" t="s">
        <v>2215</v>
      </c>
      <c r="K898" t="s">
        <v>2647</v>
      </c>
      <c r="L898" s="81">
        <f>+Municipios!AB899</f>
        <v>21.674962702368877</v>
      </c>
      <c r="M898" s="232">
        <v>13655</v>
      </c>
      <c r="N898" s="232" t="s">
        <v>2214</v>
      </c>
      <c r="O898" s="232" t="s">
        <v>480</v>
      </c>
      <c r="P898" s="232" t="s">
        <v>481</v>
      </c>
      <c r="Q898" s="232" t="s">
        <v>2215</v>
      </c>
      <c r="T898" t="s">
        <v>2803</v>
      </c>
      <c r="U898" s="25">
        <f>+Municipios!Z899</f>
        <v>49.698378479533069</v>
      </c>
      <c r="V898" s="232">
        <v>13655</v>
      </c>
      <c r="W898" s="232" t="s">
        <v>2214</v>
      </c>
      <c r="X898" s="232" t="s">
        <v>480</v>
      </c>
      <c r="Y898" s="232" t="s">
        <v>481</v>
      </c>
      <c r="Z898" s="232" t="s">
        <v>2215</v>
      </c>
    </row>
    <row r="899" spans="1:26">
      <c r="A899" t="s">
        <v>417</v>
      </c>
      <c r="B899" s="25">
        <f>+Municipios!Z900</f>
        <v>58.275564668475859</v>
      </c>
      <c r="C899" s="232">
        <v>50110</v>
      </c>
      <c r="D899" s="232" t="s">
        <v>2216</v>
      </c>
      <c r="E899" s="232" t="s">
        <v>605</v>
      </c>
      <c r="F899" s="232" t="s">
        <v>606</v>
      </c>
      <c r="G899" s="232" t="s">
        <v>2217</v>
      </c>
      <c r="K899" t="s">
        <v>2647</v>
      </c>
      <c r="L899" s="81">
        <f>+Municipios!AB900</f>
        <v>25.320415636047944</v>
      </c>
      <c r="M899" s="232">
        <v>50110</v>
      </c>
      <c r="N899" s="232" t="s">
        <v>2216</v>
      </c>
      <c r="O899" s="232" t="s">
        <v>605</v>
      </c>
      <c r="P899" s="232" t="s">
        <v>606</v>
      </c>
      <c r="Q899" s="232" t="s">
        <v>2217</v>
      </c>
      <c r="T899" t="s">
        <v>2803</v>
      </c>
      <c r="U899" s="25">
        <f>+Municipios!Z900</f>
        <v>58.275564668475859</v>
      </c>
      <c r="V899" s="232">
        <v>50110</v>
      </c>
      <c r="W899" s="232" t="s">
        <v>2216</v>
      </c>
      <c r="X899" s="232" t="s">
        <v>605</v>
      </c>
      <c r="Y899" s="232" t="s">
        <v>606</v>
      </c>
      <c r="Z899" s="232" t="s">
        <v>2217</v>
      </c>
    </row>
    <row r="900" spans="1:26">
      <c r="A900" t="s">
        <v>417</v>
      </c>
      <c r="B900" s="25">
        <f>+Municipios!Z901</f>
        <v>58.864212793574566</v>
      </c>
      <c r="C900" s="232">
        <v>68207</v>
      </c>
      <c r="D900" s="232" t="s">
        <v>2218</v>
      </c>
      <c r="E900" s="232" t="s">
        <v>431</v>
      </c>
      <c r="F900" s="232" t="s">
        <v>432</v>
      </c>
      <c r="G900" s="232" t="s">
        <v>1728</v>
      </c>
      <c r="K900" t="s">
        <v>2647</v>
      </c>
      <c r="L900" s="81">
        <f>+Municipios!AB901</f>
        <v>25.658541694713112</v>
      </c>
      <c r="M900" s="232">
        <v>68207</v>
      </c>
      <c r="N900" s="232" t="s">
        <v>2218</v>
      </c>
      <c r="O900" s="232" t="s">
        <v>431</v>
      </c>
      <c r="P900" s="232" t="s">
        <v>432</v>
      </c>
      <c r="Q900" s="232" t="s">
        <v>1728</v>
      </c>
      <c r="T900" t="s">
        <v>2803</v>
      </c>
      <c r="U900" s="25">
        <f>+Municipios!Z901</f>
        <v>58.864212793574566</v>
      </c>
      <c r="V900" s="232">
        <v>68207</v>
      </c>
      <c r="W900" s="232" t="s">
        <v>2218</v>
      </c>
      <c r="X900" s="232" t="s">
        <v>431</v>
      </c>
      <c r="Y900" s="232" t="s">
        <v>432</v>
      </c>
      <c r="Z900" s="232" t="s">
        <v>1728</v>
      </c>
    </row>
    <row r="901" spans="1:26">
      <c r="A901" t="s">
        <v>417</v>
      </c>
      <c r="B901" s="25">
        <f>+Municipios!Z902</f>
        <v>60.87513666808816</v>
      </c>
      <c r="C901" s="232">
        <v>52490</v>
      </c>
      <c r="D901" s="232" t="s">
        <v>2219</v>
      </c>
      <c r="E901" s="232" t="s">
        <v>672</v>
      </c>
      <c r="F901" s="232" t="s">
        <v>673</v>
      </c>
      <c r="G901" s="232" t="s">
        <v>2220</v>
      </c>
      <c r="K901" t="s">
        <v>2647</v>
      </c>
      <c r="L901" s="81">
        <f>+Municipios!AB902</f>
        <v>26.512926942186191</v>
      </c>
      <c r="M901" s="232">
        <v>52490</v>
      </c>
      <c r="N901" s="232" t="s">
        <v>2219</v>
      </c>
      <c r="O901" s="232" t="s">
        <v>672</v>
      </c>
      <c r="P901" s="232" t="s">
        <v>673</v>
      </c>
      <c r="Q901" s="232" t="s">
        <v>2220</v>
      </c>
      <c r="T901" t="s">
        <v>2803</v>
      </c>
      <c r="U901" s="25">
        <f>+Municipios!Z902</f>
        <v>60.87513666808816</v>
      </c>
      <c r="V901" s="232">
        <v>52490</v>
      </c>
      <c r="W901" s="232" t="s">
        <v>2219</v>
      </c>
      <c r="X901" s="232" t="s">
        <v>672</v>
      </c>
      <c r="Y901" s="232" t="s">
        <v>673</v>
      </c>
      <c r="Z901" s="232" t="s">
        <v>2220</v>
      </c>
    </row>
    <row r="902" spans="1:26">
      <c r="A902" t="s">
        <v>417</v>
      </c>
      <c r="B902" s="25">
        <f>+Municipios!Z903</f>
        <v>58.948915186532858</v>
      </c>
      <c r="C902" s="232">
        <v>52612</v>
      </c>
      <c r="D902" s="232" t="s">
        <v>2221</v>
      </c>
      <c r="E902" s="232" t="s">
        <v>672</v>
      </c>
      <c r="F902" s="232" t="s">
        <v>673</v>
      </c>
      <c r="G902" s="232" t="s">
        <v>862</v>
      </c>
      <c r="K902" t="s">
        <v>2647</v>
      </c>
      <c r="L902" s="81">
        <f>+Municipios!AB903</f>
        <v>25.662906780457831</v>
      </c>
      <c r="M902" s="232">
        <v>52612</v>
      </c>
      <c r="N902" s="232" t="s">
        <v>2221</v>
      </c>
      <c r="O902" s="232" t="s">
        <v>672</v>
      </c>
      <c r="P902" s="232" t="s">
        <v>673</v>
      </c>
      <c r="Q902" s="232" t="s">
        <v>862</v>
      </c>
      <c r="T902" t="s">
        <v>2803</v>
      </c>
      <c r="U902" s="25">
        <f>+Municipios!Z903</f>
        <v>58.948915186532858</v>
      </c>
      <c r="V902" s="232">
        <v>52612</v>
      </c>
      <c r="W902" s="232" t="s">
        <v>2221</v>
      </c>
      <c r="X902" s="232" t="s">
        <v>672</v>
      </c>
      <c r="Y902" s="232" t="s">
        <v>673</v>
      </c>
      <c r="Z902" s="232" t="s">
        <v>862</v>
      </c>
    </row>
    <row r="903" spans="1:26">
      <c r="A903" t="s">
        <v>417</v>
      </c>
      <c r="B903" s="25">
        <f>+Municipios!Z904</f>
        <v>59.916494338888626</v>
      </c>
      <c r="C903" s="232">
        <v>5543</v>
      </c>
      <c r="D903" s="232" t="s">
        <v>2222</v>
      </c>
      <c r="E903" s="232" t="s">
        <v>435</v>
      </c>
      <c r="F903" s="232" t="s">
        <v>436</v>
      </c>
      <c r="G903" s="232" t="s">
        <v>2223</v>
      </c>
      <c r="K903" t="s">
        <v>2647</v>
      </c>
      <c r="L903" s="81">
        <f>+Municipios!AB904</f>
        <v>26.003258223500819</v>
      </c>
      <c r="M903" s="232">
        <v>5543</v>
      </c>
      <c r="N903" s="232" t="s">
        <v>2222</v>
      </c>
      <c r="O903" s="232" t="s">
        <v>435</v>
      </c>
      <c r="P903" s="232" t="s">
        <v>436</v>
      </c>
      <c r="Q903" s="232" t="s">
        <v>2223</v>
      </c>
      <c r="T903" t="s">
        <v>2803</v>
      </c>
      <c r="U903" s="25">
        <f>+Municipios!Z904</f>
        <v>59.916494338888626</v>
      </c>
      <c r="V903" s="232">
        <v>5543</v>
      </c>
      <c r="W903" s="232" t="s">
        <v>2222</v>
      </c>
      <c r="X903" s="232" t="s">
        <v>435</v>
      </c>
      <c r="Y903" s="232" t="s">
        <v>436</v>
      </c>
      <c r="Z903" s="232" t="s">
        <v>2223</v>
      </c>
    </row>
    <row r="904" spans="1:26">
      <c r="A904" t="s">
        <v>417</v>
      </c>
      <c r="B904" s="25">
        <f>+Municipios!Z905</f>
        <v>56.613198070204703</v>
      </c>
      <c r="C904" s="232">
        <v>15507</v>
      </c>
      <c r="D904" s="232" t="s">
        <v>2224</v>
      </c>
      <c r="E904" s="232" t="s">
        <v>498</v>
      </c>
      <c r="F904" s="232" t="s">
        <v>499</v>
      </c>
      <c r="G904" s="232" t="s">
        <v>2225</v>
      </c>
      <c r="K904" t="s">
        <v>2647</v>
      </c>
      <c r="L904" s="81">
        <f>+Municipios!AB905</f>
        <v>24.535099410537399</v>
      </c>
      <c r="M904" s="232">
        <v>15507</v>
      </c>
      <c r="N904" s="232" t="s">
        <v>2224</v>
      </c>
      <c r="O904" s="232" t="s">
        <v>498</v>
      </c>
      <c r="P904" s="232" t="s">
        <v>499</v>
      </c>
      <c r="Q904" s="232" t="s">
        <v>2225</v>
      </c>
      <c r="T904" t="s">
        <v>2803</v>
      </c>
      <c r="U904" s="25">
        <f>+Municipios!Z905</f>
        <v>56.613198070204703</v>
      </c>
      <c r="V904" s="232">
        <v>15507</v>
      </c>
      <c r="W904" s="232" t="s">
        <v>2224</v>
      </c>
      <c r="X904" s="232" t="s">
        <v>498</v>
      </c>
      <c r="Y904" s="232" t="s">
        <v>499</v>
      </c>
      <c r="Z904" s="232" t="s">
        <v>2225</v>
      </c>
    </row>
    <row r="905" spans="1:26">
      <c r="A905" t="s">
        <v>417</v>
      </c>
      <c r="B905" s="25">
        <f>+Municipios!Z906</f>
        <v>53.036448989292211</v>
      </c>
      <c r="C905" s="232">
        <v>27580</v>
      </c>
      <c r="D905" s="232" t="s">
        <v>2226</v>
      </c>
      <c r="E905" s="232" t="s">
        <v>1714</v>
      </c>
      <c r="F905" s="232" t="s">
        <v>1715</v>
      </c>
      <c r="G905" s="232" t="s">
        <v>2227</v>
      </c>
      <c r="K905" t="s">
        <v>2647</v>
      </c>
      <c r="L905" s="81">
        <f>+Municipios!AB906</f>
        <v>23.021040086594599</v>
      </c>
      <c r="M905" s="232">
        <v>27580</v>
      </c>
      <c r="N905" s="232" t="s">
        <v>2226</v>
      </c>
      <c r="O905" s="232" t="s">
        <v>1714</v>
      </c>
      <c r="P905" s="232" t="s">
        <v>1715</v>
      </c>
      <c r="Q905" s="232" t="s">
        <v>2227</v>
      </c>
      <c r="T905" t="s">
        <v>2803</v>
      </c>
      <c r="U905" s="25">
        <f>+Municipios!Z906</f>
        <v>53.036448989292211</v>
      </c>
      <c r="V905" s="232">
        <v>27580</v>
      </c>
      <c r="W905" s="232" t="s">
        <v>2226</v>
      </c>
      <c r="X905" s="232" t="s">
        <v>1714</v>
      </c>
      <c r="Y905" s="232" t="s">
        <v>1715</v>
      </c>
      <c r="Z905" s="232" t="s">
        <v>2227</v>
      </c>
    </row>
    <row r="906" spans="1:26">
      <c r="A906" t="s">
        <v>417</v>
      </c>
      <c r="B906" s="25">
        <f>+Municipios!Z907</f>
        <v>50.911081773571084</v>
      </c>
      <c r="C906" s="232">
        <v>15839</v>
      </c>
      <c r="D906" s="232" t="s">
        <v>2228</v>
      </c>
      <c r="E906" s="232" t="s">
        <v>498</v>
      </c>
      <c r="F906" s="232" t="s">
        <v>499</v>
      </c>
      <c r="G906" s="232" t="s">
        <v>2229</v>
      </c>
      <c r="K906" t="s">
        <v>2647</v>
      </c>
      <c r="L906" s="81">
        <f>+Municipios!AB907</f>
        <v>22.103919784778022</v>
      </c>
      <c r="M906" s="232">
        <v>15839</v>
      </c>
      <c r="N906" s="232" t="s">
        <v>2228</v>
      </c>
      <c r="O906" s="232" t="s">
        <v>498</v>
      </c>
      <c r="P906" s="232" t="s">
        <v>499</v>
      </c>
      <c r="Q906" s="232" t="s">
        <v>2229</v>
      </c>
      <c r="T906" t="s">
        <v>2803</v>
      </c>
      <c r="U906" s="25">
        <f>+Municipios!Z907</f>
        <v>50.911081773571084</v>
      </c>
      <c r="V906" s="232">
        <v>15839</v>
      </c>
      <c r="W906" s="232" t="s">
        <v>2228</v>
      </c>
      <c r="X906" s="232" t="s">
        <v>498</v>
      </c>
      <c r="Y906" s="232" t="s">
        <v>499</v>
      </c>
      <c r="Z906" s="232" t="s">
        <v>2229</v>
      </c>
    </row>
    <row r="907" spans="1:26">
      <c r="A907" t="s">
        <v>417</v>
      </c>
      <c r="B907" s="25">
        <f>+Municipios!Z908</f>
        <v>49.315367222799125</v>
      </c>
      <c r="C907" s="232">
        <v>86885</v>
      </c>
      <c r="D907" s="232" t="s">
        <v>2230</v>
      </c>
      <c r="E907" s="232" t="s">
        <v>943</v>
      </c>
      <c r="F907" s="232" t="s">
        <v>944</v>
      </c>
      <c r="G907" s="232" t="s">
        <v>2231</v>
      </c>
      <c r="K907" t="s">
        <v>2647</v>
      </c>
      <c r="L907" s="81">
        <f>+Municipios!AB908</f>
        <v>21.291321245310982</v>
      </c>
      <c r="M907" s="232">
        <v>86885</v>
      </c>
      <c r="N907" s="232" t="s">
        <v>2230</v>
      </c>
      <c r="O907" s="232" t="s">
        <v>943</v>
      </c>
      <c r="P907" s="232" t="s">
        <v>944</v>
      </c>
      <c r="Q907" s="232" t="s">
        <v>2231</v>
      </c>
      <c r="T907" t="s">
        <v>2803</v>
      </c>
      <c r="U907" s="25">
        <f>+Municipios!Z908</f>
        <v>49.315367222799125</v>
      </c>
      <c r="V907" s="232">
        <v>86885</v>
      </c>
      <c r="W907" s="232" t="s">
        <v>2230</v>
      </c>
      <c r="X907" s="232" t="s">
        <v>943</v>
      </c>
      <c r="Y907" s="232" t="s">
        <v>944</v>
      </c>
      <c r="Z907" s="232" t="s">
        <v>2231</v>
      </c>
    </row>
    <row r="908" spans="1:26">
      <c r="A908" t="s">
        <v>417</v>
      </c>
      <c r="B908" s="25">
        <f>+Municipios!Z909</f>
        <v>59.569538656447776</v>
      </c>
      <c r="C908" s="232">
        <v>68092</v>
      </c>
      <c r="D908" s="232" t="s">
        <v>2232</v>
      </c>
      <c r="E908" s="232" t="s">
        <v>431</v>
      </c>
      <c r="F908" s="232" t="s">
        <v>432</v>
      </c>
      <c r="G908" s="232" t="s">
        <v>1359</v>
      </c>
      <c r="K908" t="s">
        <v>2647</v>
      </c>
      <c r="L908" s="81">
        <f>+Municipios!AB909</f>
        <v>25.696443084486347</v>
      </c>
      <c r="M908" s="232">
        <v>68092</v>
      </c>
      <c r="N908" s="232" t="s">
        <v>2232</v>
      </c>
      <c r="O908" s="232" t="s">
        <v>431</v>
      </c>
      <c r="P908" s="232" t="s">
        <v>432</v>
      </c>
      <c r="Q908" s="232" t="s">
        <v>1359</v>
      </c>
      <c r="T908" t="s">
        <v>2803</v>
      </c>
      <c r="U908" s="25">
        <f>+Municipios!Z909</f>
        <v>59.569538656447776</v>
      </c>
      <c r="V908" s="232">
        <v>68092</v>
      </c>
      <c r="W908" s="232" t="s">
        <v>2232</v>
      </c>
      <c r="X908" s="232" t="s">
        <v>431</v>
      </c>
      <c r="Y908" s="232" t="s">
        <v>432</v>
      </c>
      <c r="Z908" s="232" t="s">
        <v>1359</v>
      </c>
    </row>
    <row r="909" spans="1:26">
      <c r="A909" t="s">
        <v>417</v>
      </c>
      <c r="B909" s="25">
        <f>+Municipios!Z910</f>
        <v>55.043814216607771</v>
      </c>
      <c r="C909" s="232">
        <v>68162</v>
      </c>
      <c r="D909" s="232" t="s">
        <v>2233</v>
      </c>
      <c r="E909" s="232" t="s">
        <v>431</v>
      </c>
      <c r="F909" s="232" t="s">
        <v>432</v>
      </c>
      <c r="G909" s="232" t="s">
        <v>2234</v>
      </c>
      <c r="K909" t="s">
        <v>2647</v>
      </c>
      <c r="L909" s="81">
        <f>+Municipios!AB910</f>
        <v>23.736536150257429</v>
      </c>
      <c r="M909" s="232">
        <v>68162</v>
      </c>
      <c r="N909" s="232" t="s">
        <v>2233</v>
      </c>
      <c r="O909" s="232" t="s">
        <v>431</v>
      </c>
      <c r="P909" s="232" t="s">
        <v>432</v>
      </c>
      <c r="Q909" s="232" t="s">
        <v>2234</v>
      </c>
      <c r="T909" t="s">
        <v>2803</v>
      </c>
      <c r="U909" s="25">
        <f>+Municipios!Z910</f>
        <v>55.043814216607771</v>
      </c>
      <c r="V909" s="232">
        <v>68162</v>
      </c>
      <c r="W909" s="232" t="s">
        <v>2233</v>
      </c>
      <c r="X909" s="232" t="s">
        <v>431</v>
      </c>
      <c r="Y909" s="232" t="s">
        <v>432</v>
      </c>
      <c r="Z909" s="232" t="s">
        <v>2234</v>
      </c>
    </row>
    <row r="910" spans="1:26">
      <c r="A910" t="s">
        <v>417</v>
      </c>
      <c r="B910" s="25">
        <f>+Municipios!Z911</f>
        <v>52.574415639601142</v>
      </c>
      <c r="C910" s="232">
        <v>5480</v>
      </c>
      <c r="D910" s="232" t="s">
        <v>2235</v>
      </c>
      <c r="E910" s="232" t="s">
        <v>435</v>
      </c>
      <c r="F910" s="232" t="s">
        <v>436</v>
      </c>
      <c r="G910" s="232" t="s">
        <v>2236</v>
      </c>
      <c r="K910" t="s">
        <v>2647</v>
      </c>
      <c r="L910" s="81">
        <f>+Municipios!AB911</f>
        <v>22.627943656549348</v>
      </c>
      <c r="M910" s="232">
        <v>5480</v>
      </c>
      <c r="N910" s="232" t="s">
        <v>2235</v>
      </c>
      <c r="O910" s="232" t="s">
        <v>435</v>
      </c>
      <c r="P910" s="232" t="s">
        <v>436</v>
      </c>
      <c r="Q910" s="232" t="s">
        <v>2236</v>
      </c>
      <c r="T910" t="s">
        <v>2803</v>
      </c>
      <c r="U910" s="25">
        <f>+Municipios!Z911</f>
        <v>52.574415639601142</v>
      </c>
      <c r="V910" s="232">
        <v>5480</v>
      </c>
      <c r="W910" s="232" t="s">
        <v>2235</v>
      </c>
      <c r="X910" s="232" t="s">
        <v>435</v>
      </c>
      <c r="Y910" s="232" t="s">
        <v>436</v>
      </c>
      <c r="Z910" s="232" t="s">
        <v>2236</v>
      </c>
    </row>
    <row r="911" spans="1:26">
      <c r="A911" t="s">
        <v>417</v>
      </c>
      <c r="B911" s="25">
        <f>+Municipios!Z912</f>
        <v>54.430299685884449</v>
      </c>
      <c r="C911" s="232">
        <v>25839</v>
      </c>
      <c r="D911" s="232" t="s">
        <v>2237</v>
      </c>
      <c r="E911" s="232" t="s">
        <v>461</v>
      </c>
      <c r="F911" s="232" t="s">
        <v>462</v>
      </c>
      <c r="G911" s="232" t="s">
        <v>2238</v>
      </c>
      <c r="K911" t="s">
        <v>2647</v>
      </c>
      <c r="L911" s="81">
        <f>+Municipios!AB912</f>
        <v>23.354800212812542</v>
      </c>
      <c r="M911" s="232">
        <v>25839</v>
      </c>
      <c r="N911" s="232" t="s">
        <v>2237</v>
      </c>
      <c r="O911" s="232" t="s">
        <v>461</v>
      </c>
      <c r="P911" s="232" t="s">
        <v>462</v>
      </c>
      <c r="Q911" s="232" t="s">
        <v>2238</v>
      </c>
      <c r="T911" t="s">
        <v>2803</v>
      </c>
      <c r="U911" s="25">
        <f>+Municipios!Z912</f>
        <v>54.430299685884449</v>
      </c>
      <c r="V911" s="232">
        <v>25839</v>
      </c>
      <c r="W911" s="232" t="s">
        <v>2237</v>
      </c>
      <c r="X911" s="232" t="s">
        <v>461</v>
      </c>
      <c r="Y911" s="232" t="s">
        <v>462</v>
      </c>
      <c r="Z911" s="232" t="s">
        <v>2238</v>
      </c>
    </row>
    <row r="912" spans="1:26">
      <c r="A912" t="s">
        <v>417</v>
      </c>
      <c r="B912" s="25">
        <f>+Municipios!Z913</f>
        <v>52.505201730304989</v>
      </c>
      <c r="C912" s="232">
        <v>27361</v>
      </c>
      <c r="D912" s="232" t="s">
        <v>2239</v>
      </c>
      <c r="E912" s="232" t="s">
        <v>1714</v>
      </c>
      <c r="F912" s="232" t="s">
        <v>1715</v>
      </c>
      <c r="G912" s="232" t="s">
        <v>2240</v>
      </c>
      <c r="K912" t="s">
        <v>2647</v>
      </c>
      <c r="L912" s="81">
        <f>+Municipios!AB913</f>
        <v>22.587132580037228</v>
      </c>
      <c r="M912" s="232">
        <v>27361</v>
      </c>
      <c r="N912" s="232" t="s">
        <v>2239</v>
      </c>
      <c r="O912" s="232" t="s">
        <v>1714</v>
      </c>
      <c r="P912" s="232" t="s">
        <v>1715</v>
      </c>
      <c r="Q912" s="232" t="s">
        <v>2240</v>
      </c>
      <c r="T912" t="s">
        <v>2803</v>
      </c>
      <c r="U912" s="25">
        <f>+Municipios!Z913</f>
        <v>52.505201730304989</v>
      </c>
      <c r="V912" s="232">
        <v>27361</v>
      </c>
      <c r="W912" s="232" t="s">
        <v>2239</v>
      </c>
      <c r="X912" s="232" t="s">
        <v>1714</v>
      </c>
      <c r="Y912" s="232" t="s">
        <v>1715</v>
      </c>
      <c r="Z912" s="232" t="s">
        <v>2240</v>
      </c>
    </row>
    <row r="913" spans="1:26">
      <c r="A913" t="s">
        <v>417</v>
      </c>
      <c r="B913" s="25">
        <f>+Municipios!Z914</f>
        <v>57.549369203064188</v>
      </c>
      <c r="C913" s="232">
        <v>41872</v>
      </c>
      <c r="D913" s="232" t="s">
        <v>2241</v>
      </c>
      <c r="E913" s="232" t="s">
        <v>676</v>
      </c>
      <c r="F913" s="232" t="s">
        <v>677</v>
      </c>
      <c r="G913" s="232" t="s">
        <v>2242</v>
      </c>
      <c r="K913" t="s">
        <v>2647</v>
      </c>
      <c r="L913" s="81">
        <f>+Municipios!AB914</f>
        <v>24.742383292836905</v>
      </c>
      <c r="M913" s="232">
        <v>41872</v>
      </c>
      <c r="N913" s="232" t="s">
        <v>2241</v>
      </c>
      <c r="O913" s="232" t="s">
        <v>676</v>
      </c>
      <c r="P913" s="232" t="s">
        <v>677</v>
      </c>
      <c r="Q913" s="232" t="s">
        <v>2242</v>
      </c>
      <c r="T913" t="s">
        <v>2803</v>
      </c>
      <c r="U913" s="25">
        <f>+Municipios!Z914</f>
        <v>57.549369203064188</v>
      </c>
      <c r="V913" s="232">
        <v>41872</v>
      </c>
      <c r="W913" s="232" t="s">
        <v>2241</v>
      </c>
      <c r="X913" s="232" t="s">
        <v>676</v>
      </c>
      <c r="Y913" s="232" t="s">
        <v>677</v>
      </c>
      <c r="Z913" s="232" t="s">
        <v>2242</v>
      </c>
    </row>
    <row r="914" spans="1:26">
      <c r="A914" t="s">
        <v>417</v>
      </c>
      <c r="B914" s="25">
        <f>+Municipios!Z915</f>
        <v>56.373368448871844</v>
      </c>
      <c r="C914" s="232">
        <v>52079</v>
      </c>
      <c r="D914" s="232" t="s">
        <v>2243</v>
      </c>
      <c r="E914" s="232" t="s">
        <v>672</v>
      </c>
      <c r="F914" s="232" t="s">
        <v>673</v>
      </c>
      <c r="G914" s="232" t="s">
        <v>2244</v>
      </c>
      <c r="K914" t="s">
        <v>2647</v>
      </c>
      <c r="L914" s="81">
        <f>+Municipios!AB915</f>
        <v>24.216974862360679</v>
      </c>
      <c r="M914" s="232">
        <v>52079</v>
      </c>
      <c r="N914" s="232" t="s">
        <v>2243</v>
      </c>
      <c r="O914" s="232" t="s">
        <v>672</v>
      </c>
      <c r="P914" s="232" t="s">
        <v>673</v>
      </c>
      <c r="Q914" s="232" t="s">
        <v>2244</v>
      </c>
      <c r="T914" t="s">
        <v>2803</v>
      </c>
      <c r="U914" s="25">
        <f>+Municipios!Z915</f>
        <v>56.373368448871844</v>
      </c>
      <c r="V914" s="232">
        <v>52079</v>
      </c>
      <c r="W914" s="232" t="s">
        <v>2243</v>
      </c>
      <c r="X914" s="232" t="s">
        <v>672</v>
      </c>
      <c r="Y914" s="232" t="s">
        <v>673</v>
      </c>
      <c r="Z914" s="232" t="s">
        <v>2244</v>
      </c>
    </row>
    <row r="915" spans="1:26">
      <c r="A915" t="s">
        <v>417</v>
      </c>
      <c r="B915" s="25">
        <f>+Municipios!Z916</f>
        <v>54.432268460476948</v>
      </c>
      <c r="C915" s="232">
        <v>27135</v>
      </c>
      <c r="D915" s="232" t="s">
        <v>2245</v>
      </c>
      <c r="E915" s="232" t="s">
        <v>1714</v>
      </c>
      <c r="F915" s="232" t="s">
        <v>1715</v>
      </c>
      <c r="G915" s="232" t="s">
        <v>2246</v>
      </c>
      <c r="K915" t="s">
        <v>2647</v>
      </c>
      <c r="L915" s="81">
        <f>+Municipios!AB916</f>
        <v>23.369682140595835</v>
      </c>
      <c r="M915" s="232">
        <v>27135</v>
      </c>
      <c r="N915" s="232" t="s">
        <v>2245</v>
      </c>
      <c r="O915" s="232" t="s">
        <v>1714</v>
      </c>
      <c r="P915" s="232" t="s">
        <v>1715</v>
      </c>
      <c r="Q915" s="232" t="s">
        <v>2246</v>
      </c>
      <c r="T915" t="s">
        <v>2803</v>
      </c>
      <c r="U915" s="25">
        <f>+Municipios!Z916</f>
        <v>54.432268460476948</v>
      </c>
      <c r="V915" s="232">
        <v>27135</v>
      </c>
      <c r="W915" s="232" t="s">
        <v>2245</v>
      </c>
      <c r="X915" s="232" t="s">
        <v>1714</v>
      </c>
      <c r="Y915" s="232" t="s">
        <v>1715</v>
      </c>
      <c r="Z915" s="232" t="s">
        <v>2246</v>
      </c>
    </row>
    <row r="916" spans="1:26">
      <c r="A916" t="s">
        <v>417</v>
      </c>
      <c r="B916" s="25">
        <f>+Municipios!Z917</f>
        <v>55.182515964891635</v>
      </c>
      <c r="C916" s="232">
        <v>68682</v>
      </c>
      <c r="D916" s="232" t="s">
        <v>2247</v>
      </c>
      <c r="E916" s="232" t="s">
        <v>431</v>
      </c>
      <c r="F916" s="232" t="s">
        <v>432</v>
      </c>
      <c r="G916" s="232" t="s">
        <v>2248</v>
      </c>
      <c r="K916" t="s">
        <v>2647</v>
      </c>
      <c r="L916" s="81">
        <f>+Municipios!AB917</f>
        <v>23.612661331243498</v>
      </c>
      <c r="M916" s="232">
        <v>68682</v>
      </c>
      <c r="N916" s="232" t="s">
        <v>2247</v>
      </c>
      <c r="O916" s="232" t="s">
        <v>431</v>
      </c>
      <c r="P916" s="232" t="s">
        <v>432</v>
      </c>
      <c r="Q916" s="232" t="s">
        <v>2248</v>
      </c>
      <c r="T916" t="s">
        <v>2803</v>
      </c>
      <c r="U916" s="25">
        <f>+Municipios!Z917</f>
        <v>55.182515964891635</v>
      </c>
      <c r="V916" s="232">
        <v>68682</v>
      </c>
      <c r="W916" s="232" t="s">
        <v>2247</v>
      </c>
      <c r="X916" s="232" t="s">
        <v>431</v>
      </c>
      <c r="Y916" s="232" t="s">
        <v>432</v>
      </c>
      <c r="Z916" s="232" t="s">
        <v>2248</v>
      </c>
    </row>
    <row r="917" spans="1:26">
      <c r="A917" t="s">
        <v>417</v>
      </c>
      <c r="B917" s="25">
        <f>+Municipios!Z918</f>
        <v>55.477478773044041</v>
      </c>
      <c r="C917" s="232">
        <v>15047</v>
      </c>
      <c r="D917" s="232" t="s">
        <v>2249</v>
      </c>
      <c r="E917" s="232" t="s">
        <v>498</v>
      </c>
      <c r="F917" s="232" t="s">
        <v>499</v>
      </c>
      <c r="G917" s="232" t="s">
        <v>2250</v>
      </c>
      <c r="K917" t="s">
        <v>2647</v>
      </c>
      <c r="L917" s="81">
        <f>+Municipios!AB918</f>
        <v>23.836123991737225</v>
      </c>
      <c r="M917" s="232">
        <v>15047</v>
      </c>
      <c r="N917" s="232" t="s">
        <v>2249</v>
      </c>
      <c r="O917" s="232" t="s">
        <v>498</v>
      </c>
      <c r="P917" s="232" t="s">
        <v>499</v>
      </c>
      <c r="Q917" s="232" t="s">
        <v>2250</v>
      </c>
      <c r="T917" t="s">
        <v>2803</v>
      </c>
      <c r="U917" s="25">
        <f>+Municipios!Z918</f>
        <v>55.477478773044041</v>
      </c>
      <c r="V917" s="232">
        <v>15047</v>
      </c>
      <c r="W917" s="232" t="s">
        <v>2249</v>
      </c>
      <c r="X917" s="232" t="s">
        <v>498</v>
      </c>
      <c r="Y917" s="232" t="s">
        <v>499</v>
      </c>
      <c r="Z917" s="232" t="s">
        <v>2250</v>
      </c>
    </row>
    <row r="918" spans="1:26">
      <c r="A918" t="s">
        <v>417</v>
      </c>
      <c r="B918" s="25">
        <f>+Municipios!Z919</f>
        <v>51.143813119402431</v>
      </c>
      <c r="C918" s="232">
        <v>68152</v>
      </c>
      <c r="D918" s="232" t="s">
        <v>2251</v>
      </c>
      <c r="E918" s="232" t="s">
        <v>431</v>
      </c>
      <c r="F918" s="232" t="s">
        <v>432</v>
      </c>
      <c r="G918" s="232" t="s">
        <v>2252</v>
      </c>
      <c r="K918" t="s">
        <v>2647</v>
      </c>
      <c r="L918" s="81">
        <f>+Municipios!AB919</f>
        <v>21.897595505003626</v>
      </c>
      <c r="M918" s="232">
        <v>68152</v>
      </c>
      <c r="N918" s="232" t="s">
        <v>2251</v>
      </c>
      <c r="O918" s="232" t="s">
        <v>431</v>
      </c>
      <c r="P918" s="232" t="s">
        <v>432</v>
      </c>
      <c r="Q918" s="232" t="s">
        <v>2252</v>
      </c>
      <c r="T918" t="s">
        <v>2803</v>
      </c>
      <c r="U918" s="25">
        <f>+Municipios!Z919</f>
        <v>51.143813119402431</v>
      </c>
      <c r="V918" s="232">
        <v>68152</v>
      </c>
      <c r="W918" s="232" t="s">
        <v>2251</v>
      </c>
      <c r="X918" s="232" t="s">
        <v>431</v>
      </c>
      <c r="Y918" s="232" t="s">
        <v>432</v>
      </c>
      <c r="Z918" s="232" t="s">
        <v>2252</v>
      </c>
    </row>
    <row r="919" spans="1:26">
      <c r="A919" t="s">
        <v>417</v>
      </c>
      <c r="B919" s="25">
        <f>+Municipios!Z920</f>
        <v>65.430942957861333</v>
      </c>
      <c r="C919" s="232">
        <v>27450</v>
      </c>
      <c r="D919" s="232" t="s">
        <v>2253</v>
      </c>
      <c r="E919" s="232" t="s">
        <v>1714</v>
      </c>
      <c r="F919" s="232" t="s">
        <v>1715</v>
      </c>
      <c r="G919" s="232" t="s">
        <v>2254</v>
      </c>
      <c r="K919" t="s">
        <v>2647</v>
      </c>
      <c r="L919" s="81">
        <f>+Municipios!AB920</f>
        <v>28.006889893668387</v>
      </c>
      <c r="M919" s="232">
        <v>27450</v>
      </c>
      <c r="N919" s="232" t="s">
        <v>2253</v>
      </c>
      <c r="O919" s="232" t="s">
        <v>1714</v>
      </c>
      <c r="P919" s="232" t="s">
        <v>1715</v>
      </c>
      <c r="Q919" s="232" t="s">
        <v>2254</v>
      </c>
      <c r="T919" t="s">
        <v>2803</v>
      </c>
      <c r="U919" s="25">
        <f>+Municipios!Z920</f>
        <v>65.430942957861333</v>
      </c>
      <c r="V919" s="232">
        <v>27450</v>
      </c>
      <c r="W919" s="232" t="s">
        <v>2253</v>
      </c>
      <c r="X919" s="232" t="s">
        <v>1714</v>
      </c>
      <c r="Y919" s="232" t="s">
        <v>1715</v>
      </c>
      <c r="Z919" s="232" t="s">
        <v>2254</v>
      </c>
    </row>
    <row r="920" spans="1:26">
      <c r="A920" t="s">
        <v>417</v>
      </c>
      <c r="B920" s="25">
        <f>+Municipios!Z921</f>
        <v>66.024907717595823</v>
      </c>
      <c r="C920" s="232">
        <v>81300</v>
      </c>
      <c r="D920" s="232" t="s">
        <v>2255</v>
      </c>
      <c r="E920" s="232" t="s">
        <v>1568</v>
      </c>
      <c r="F920" s="232" t="s">
        <v>1569</v>
      </c>
      <c r="G920" s="232" t="s">
        <v>2256</v>
      </c>
      <c r="K920" t="s">
        <v>2647</v>
      </c>
      <c r="L920" s="81">
        <f>+Municipios!AB921</f>
        <v>28.246813700548145</v>
      </c>
      <c r="M920" s="232">
        <v>81300</v>
      </c>
      <c r="N920" s="232" t="s">
        <v>2255</v>
      </c>
      <c r="O920" s="232" t="s">
        <v>1568</v>
      </c>
      <c r="P920" s="232" t="s">
        <v>1569</v>
      </c>
      <c r="Q920" s="232" t="s">
        <v>2256</v>
      </c>
      <c r="T920" t="s">
        <v>2803</v>
      </c>
      <c r="U920" s="25">
        <f>+Municipios!Z921</f>
        <v>66.024907717595823</v>
      </c>
      <c r="V920" s="232">
        <v>81300</v>
      </c>
      <c r="W920" s="232" t="s">
        <v>2255</v>
      </c>
      <c r="X920" s="232" t="s">
        <v>1568</v>
      </c>
      <c r="Y920" s="232" t="s">
        <v>1569</v>
      </c>
      <c r="Z920" s="232" t="s">
        <v>2256</v>
      </c>
    </row>
    <row r="921" spans="1:26">
      <c r="A921" t="s">
        <v>417</v>
      </c>
      <c r="B921" s="25">
        <f>+Municipios!Z922</f>
        <v>54.495113012246655</v>
      </c>
      <c r="C921" s="232">
        <v>47660</v>
      </c>
      <c r="D921" s="232" t="s">
        <v>2257</v>
      </c>
      <c r="E921" s="232" t="s">
        <v>638</v>
      </c>
      <c r="F921" s="232" t="s">
        <v>639</v>
      </c>
      <c r="G921" s="232" t="s">
        <v>2258</v>
      </c>
      <c r="K921" t="s">
        <v>2647</v>
      </c>
      <c r="L921" s="81">
        <f>+Municipios!AB922</f>
        <v>23.279172479770033</v>
      </c>
      <c r="M921" s="232">
        <v>47660</v>
      </c>
      <c r="N921" s="232" t="s">
        <v>2257</v>
      </c>
      <c r="O921" s="232" t="s">
        <v>638</v>
      </c>
      <c r="P921" s="232" t="s">
        <v>639</v>
      </c>
      <c r="Q921" s="232" t="s">
        <v>2258</v>
      </c>
      <c r="T921" t="s">
        <v>2803</v>
      </c>
      <c r="U921" s="25">
        <f>+Municipios!Z922</f>
        <v>54.495113012246655</v>
      </c>
      <c r="V921" s="232">
        <v>47660</v>
      </c>
      <c r="W921" s="232" t="s">
        <v>2257</v>
      </c>
      <c r="X921" s="232" t="s">
        <v>638</v>
      </c>
      <c r="Y921" s="232" t="s">
        <v>639</v>
      </c>
      <c r="Z921" s="232" t="s">
        <v>2258</v>
      </c>
    </row>
    <row r="922" spans="1:26">
      <c r="A922" t="s">
        <v>417</v>
      </c>
      <c r="B922" s="25">
        <f>+Municipios!Z923</f>
        <v>59.321723799403998</v>
      </c>
      <c r="C922" s="232">
        <v>5234</v>
      </c>
      <c r="D922" s="232" t="s">
        <v>2259</v>
      </c>
      <c r="E922" s="232" t="s">
        <v>435</v>
      </c>
      <c r="F922" s="232" t="s">
        <v>436</v>
      </c>
      <c r="G922" s="232" t="s">
        <v>2260</v>
      </c>
      <c r="K922" t="s">
        <v>2647</v>
      </c>
      <c r="L922" s="81">
        <f>+Municipios!AB923</f>
        <v>25.310668289267529</v>
      </c>
      <c r="M922" s="232">
        <v>5234</v>
      </c>
      <c r="N922" s="232" t="s">
        <v>2259</v>
      </c>
      <c r="O922" s="232" t="s">
        <v>435</v>
      </c>
      <c r="P922" s="232" t="s">
        <v>436</v>
      </c>
      <c r="Q922" s="232" t="s">
        <v>2260</v>
      </c>
      <c r="T922" t="s">
        <v>2803</v>
      </c>
      <c r="U922" s="25">
        <f>+Municipios!Z923</f>
        <v>59.321723799403998</v>
      </c>
      <c r="V922" s="232">
        <v>5234</v>
      </c>
      <c r="W922" s="232" t="s">
        <v>2259</v>
      </c>
      <c r="X922" s="232" t="s">
        <v>435</v>
      </c>
      <c r="Y922" s="232" t="s">
        <v>436</v>
      </c>
      <c r="Z922" s="232" t="s">
        <v>2260</v>
      </c>
    </row>
    <row r="923" spans="1:26">
      <c r="A923" t="s">
        <v>417</v>
      </c>
      <c r="B923" s="25">
        <f>+Municipios!Z924</f>
        <v>59.887311334170278</v>
      </c>
      <c r="C923" s="232">
        <v>27050</v>
      </c>
      <c r="D923" s="232" t="s">
        <v>2261</v>
      </c>
      <c r="E923" s="232" t="s">
        <v>1714</v>
      </c>
      <c r="F923" s="232" t="s">
        <v>1715</v>
      </c>
      <c r="G923" s="232" t="s">
        <v>2262</v>
      </c>
      <c r="K923" t="s">
        <v>2647</v>
      </c>
      <c r="L923" s="81">
        <f>+Municipios!AB924</f>
        <v>25.540242319245497</v>
      </c>
      <c r="M923" s="232">
        <v>27050</v>
      </c>
      <c r="N923" s="232" t="s">
        <v>2261</v>
      </c>
      <c r="O923" s="232" t="s">
        <v>1714</v>
      </c>
      <c r="P923" s="232" t="s">
        <v>1715</v>
      </c>
      <c r="Q923" s="232" t="s">
        <v>2262</v>
      </c>
      <c r="T923" t="s">
        <v>2803</v>
      </c>
      <c r="U923" s="25">
        <f>+Municipios!Z924</f>
        <v>59.887311334170278</v>
      </c>
      <c r="V923" s="232">
        <v>27050</v>
      </c>
      <c r="W923" s="232" t="s">
        <v>2261</v>
      </c>
      <c r="X923" s="232" t="s">
        <v>1714</v>
      </c>
      <c r="Y923" s="232" t="s">
        <v>1715</v>
      </c>
      <c r="Z923" s="232" t="s">
        <v>2262</v>
      </c>
    </row>
    <row r="924" spans="1:26">
      <c r="A924" t="s">
        <v>417</v>
      </c>
      <c r="B924" s="25">
        <f>+Municipios!Z925</f>
        <v>52.559293840644074</v>
      </c>
      <c r="C924" s="232">
        <v>86320</v>
      </c>
      <c r="D924" s="232" t="s">
        <v>2263</v>
      </c>
      <c r="E924" s="232" t="s">
        <v>943</v>
      </c>
      <c r="F924" s="232" t="s">
        <v>944</v>
      </c>
      <c r="G924" s="232" t="s">
        <v>2264</v>
      </c>
      <c r="K924" t="s">
        <v>2647</v>
      </c>
      <c r="L924" s="81">
        <f>+Municipios!AB925</f>
        <v>22.389087005787644</v>
      </c>
      <c r="M924" s="232">
        <v>86320</v>
      </c>
      <c r="N924" s="232" t="s">
        <v>2263</v>
      </c>
      <c r="O924" s="232" t="s">
        <v>943</v>
      </c>
      <c r="P924" s="232" t="s">
        <v>944</v>
      </c>
      <c r="Q924" s="232" t="s">
        <v>2264</v>
      </c>
      <c r="T924" t="s">
        <v>2803</v>
      </c>
      <c r="U924" s="25">
        <f>+Municipios!Z925</f>
        <v>52.559293840644074</v>
      </c>
      <c r="V924" s="232">
        <v>86320</v>
      </c>
      <c r="W924" s="232" t="s">
        <v>2263</v>
      </c>
      <c r="X924" s="232" t="s">
        <v>943</v>
      </c>
      <c r="Y924" s="232" t="s">
        <v>944</v>
      </c>
      <c r="Z924" s="232" t="s">
        <v>2264</v>
      </c>
    </row>
    <row r="925" spans="1:26">
      <c r="A925" t="s">
        <v>417</v>
      </c>
      <c r="B925" s="25">
        <f>+Municipios!Z926</f>
        <v>48.914626012186552</v>
      </c>
      <c r="C925" s="232">
        <v>15774</v>
      </c>
      <c r="D925" s="232" t="s">
        <v>2265</v>
      </c>
      <c r="E925" s="232" t="s">
        <v>498</v>
      </c>
      <c r="F925" s="232" t="s">
        <v>499</v>
      </c>
      <c r="G925" s="232" t="s">
        <v>2266</v>
      </c>
      <c r="K925" t="s">
        <v>2647</v>
      </c>
      <c r="L925" s="81">
        <f>+Municipios!AB926</f>
        <v>20.869967169483761</v>
      </c>
      <c r="M925" s="232">
        <v>15774</v>
      </c>
      <c r="N925" s="232" t="s">
        <v>2265</v>
      </c>
      <c r="O925" s="232" t="s">
        <v>498</v>
      </c>
      <c r="P925" s="232" t="s">
        <v>499</v>
      </c>
      <c r="Q925" s="232" t="s">
        <v>2266</v>
      </c>
      <c r="T925" t="s">
        <v>2803</v>
      </c>
      <c r="U925" s="25">
        <f>+Municipios!Z926</f>
        <v>48.914626012186552</v>
      </c>
      <c r="V925" s="232">
        <v>15774</v>
      </c>
      <c r="W925" s="232" t="s">
        <v>2265</v>
      </c>
      <c r="X925" s="232" t="s">
        <v>498</v>
      </c>
      <c r="Y925" s="232" t="s">
        <v>499</v>
      </c>
      <c r="Z925" s="232" t="s">
        <v>2266</v>
      </c>
    </row>
    <row r="926" spans="1:26">
      <c r="A926" t="s">
        <v>417</v>
      </c>
      <c r="B926" s="25">
        <f>+Municipios!Z927</f>
        <v>53.065449942753204</v>
      </c>
      <c r="C926" s="232">
        <v>68773</v>
      </c>
      <c r="D926" s="232" t="s">
        <v>2267</v>
      </c>
      <c r="E926" s="232" t="s">
        <v>431</v>
      </c>
      <c r="F926" s="232" t="s">
        <v>432</v>
      </c>
      <c r="G926" s="232" t="s">
        <v>495</v>
      </c>
      <c r="K926" t="s">
        <v>2647</v>
      </c>
      <c r="L926" s="81">
        <f>+Municipios!AB927</f>
        <v>22.549245479418403</v>
      </c>
      <c r="M926" s="232">
        <v>68773</v>
      </c>
      <c r="N926" s="232" t="s">
        <v>2267</v>
      </c>
      <c r="O926" s="232" t="s">
        <v>431</v>
      </c>
      <c r="P926" s="232" t="s">
        <v>432</v>
      </c>
      <c r="Q926" s="232" t="s">
        <v>495</v>
      </c>
      <c r="T926" t="s">
        <v>2803</v>
      </c>
      <c r="U926" s="25">
        <f>+Municipios!Z927</f>
        <v>53.065449942753204</v>
      </c>
      <c r="V926" s="232">
        <v>68773</v>
      </c>
      <c r="W926" s="232" t="s">
        <v>2267</v>
      </c>
      <c r="X926" s="232" t="s">
        <v>431</v>
      </c>
      <c r="Y926" s="232" t="s">
        <v>432</v>
      </c>
      <c r="Z926" s="232" t="s">
        <v>495</v>
      </c>
    </row>
    <row r="927" spans="1:26">
      <c r="A927" t="s">
        <v>417</v>
      </c>
      <c r="B927" s="25">
        <f>+Municipios!Z928</f>
        <v>61.108735694219966</v>
      </c>
      <c r="C927" s="232">
        <v>50680</v>
      </c>
      <c r="D927" s="232" t="s">
        <v>2268</v>
      </c>
      <c r="E927" s="232" t="s">
        <v>605</v>
      </c>
      <c r="F927" s="232" t="s">
        <v>606</v>
      </c>
      <c r="G927" s="232" t="s">
        <v>2269</v>
      </c>
      <c r="K927" t="s">
        <v>2647</v>
      </c>
      <c r="L927" s="81">
        <f>+Municipios!AB928</f>
        <v>25.91766629618742</v>
      </c>
      <c r="M927" s="232">
        <v>50680</v>
      </c>
      <c r="N927" s="232" t="s">
        <v>2268</v>
      </c>
      <c r="O927" s="232" t="s">
        <v>605</v>
      </c>
      <c r="P927" s="232" t="s">
        <v>606</v>
      </c>
      <c r="Q927" s="232" t="s">
        <v>2269</v>
      </c>
      <c r="T927" t="s">
        <v>2803</v>
      </c>
      <c r="U927" s="25">
        <f>+Municipios!Z928</f>
        <v>61.108735694219966</v>
      </c>
      <c r="V927" s="232">
        <v>50680</v>
      </c>
      <c r="W927" s="232" t="s">
        <v>2268</v>
      </c>
      <c r="X927" s="232" t="s">
        <v>605</v>
      </c>
      <c r="Y927" s="232" t="s">
        <v>606</v>
      </c>
      <c r="Z927" s="232" t="s">
        <v>2269</v>
      </c>
    </row>
    <row r="928" spans="1:26">
      <c r="A928" t="s">
        <v>417</v>
      </c>
      <c r="B928" s="25">
        <f>+Municipios!Z929</f>
        <v>50.839881247795162</v>
      </c>
      <c r="C928" s="232">
        <v>52435</v>
      </c>
      <c r="D928" s="232" t="s">
        <v>2270</v>
      </c>
      <c r="E928" s="232" t="s">
        <v>672</v>
      </c>
      <c r="F928" s="232" t="s">
        <v>673</v>
      </c>
      <c r="G928" s="232" t="s">
        <v>2271</v>
      </c>
      <c r="K928" t="s">
        <v>2647</v>
      </c>
      <c r="L928" s="81">
        <f>+Municipios!AB929</f>
        <v>21.599231879626021</v>
      </c>
      <c r="M928" s="232">
        <v>52435</v>
      </c>
      <c r="N928" s="232" t="s">
        <v>2270</v>
      </c>
      <c r="O928" s="232" t="s">
        <v>672</v>
      </c>
      <c r="P928" s="232" t="s">
        <v>673</v>
      </c>
      <c r="Q928" s="232" t="s">
        <v>2271</v>
      </c>
      <c r="T928" t="s">
        <v>2803</v>
      </c>
      <c r="U928" s="25">
        <f>+Municipios!Z929</f>
        <v>50.839881247795162</v>
      </c>
      <c r="V928" s="232">
        <v>52435</v>
      </c>
      <c r="W928" s="232" t="s">
        <v>2270</v>
      </c>
      <c r="X928" s="232" t="s">
        <v>672</v>
      </c>
      <c r="Y928" s="232" t="s">
        <v>673</v>
      </c>
      <c r="Z928" s="232" t="s">
        <v>2271</v>
      </c>
    </row>
    <row r="929" spans="1:26">
      <c r="A929" t="s">
        <v>417</v>
      </c>
      <c r="B929" s="25">
        <f>+Municipios!Z930</f>
        <v>57.0090923630597</v>
      </c>
      <c r="C929" s="232">
        <v>68344</v>
      </c>
      <c r="D929" s="232" t="s">
        <v>2272</v>
      </c>
      <c r="E929" s="232" t="s">
        <v>431</v>
      </c>
      <c r="F929" s="232" t="s">
        <v>432</v>
      </c>
      <c r="G929" s="232" t="s">
        <v>2273</v>
      </c>
      <c r="K929" t="s">
        <v>2647</v>
      </c>
      <c r="L929" s="81">
        <f>+Municipios!AB930</f>
        <v>24.370421128080896</v>
      </c>
      <c r="M929" s="232">
        <v>68344</v>
      </c>
      <c r="N929" s="232" t="s">
        <v>2272</v>
      </c>
      <c r="O929" s="232" t="s">
        <v>431</v>
      </c>
      <c r="P929" s="232" t="s">
        <v>432</v>
      </c>
      <c r="Q929" s="232" t="s">
        <v>2273</v>
      </c>
      <c r="T929" t="s">
        <v>2803</v>
      </c>
      <c r="U929" s="25">
        <f>+Municipios!Z930</f>
        <v>57.0090923630597</v>
      </c>
      <c r="V929" s="232">
        <v>68344</v>
      </c>
      <c r="W929" s="232" t="s">
        <v>2272</v>
      </c>
      <c r="X929" s="232" t="s">
        <v>431</v>
      </c>
      <c r="Y929" s="232" t="s">
        <v>432</v>
      </c>
      <c r="Z929" s="232" t="s">
        <v>2273</v>
      </c>
    </row>
    <row r="930" spans="1:26">
      <c r="A930" t="s">
        <v>417</v>
      </c>
      <c r="B930" s="25">
        <f>+Municipios!Z931</f>
        <v>54.711217471357237</v>
      </c>
      <c r="C930" s="232">
        <v>25086</v>
      </c>
      <c r="D930" s="232" t="s">
        <v>2274</v>
      </c>
      <c r="E930" s="232" t="s">
        <v>461</v>
      </c>
      <c r="F930" s="232" t="s">
        <v>462</v>
      </c>
      <c r="G930" s="232" t="s">
        <v>2275</v>
      </c>
      <c r="K930" t="s">
        <v>2647</v>
      </c>
      <c r="L930" s="81">
        <f>+Municipios!AB931</f>
        <v>23.125105776449086</v>
      </c>
      <c r="M930" s="232">
        <v>25086</v>
      </c>
      <c r="N930" s="232" t="s">
        <v>2274</v>
      </c>
      <c r="O930" s="232" t="s">
        <v>461</v>
      </c>
      <c r="P930" s="232" t="s">
        <v>462</v>
      </c>
      <c r="Q930" s="232" t="s">
        <v>2275</v>
      </c>
      <c r="T930" t="s">
        <v>2803</v>
      </c>
      <c r="U930" s="25">
        <f>+Municipios!Z931</f>
        <v>54.711217471357237</v>
      </c>
      <c r="V930" s="232">
        <v>25086</v>
      </c>
      <c r="W930" s="232" t="s">
        <v>2274</v>
      </c>
      <c r="X930" s="232" t="s">
        <v>461</v>
      </c>
      <c r="Y930" s="232" t="s">
        <v>462</v>
      </c>
      <c r="Z930" s="232" t="s">
        <v>2275</v>
      </c>
    </row>
    <row r="931" spans="1:26">
      <c r="A931" t="s">
        <v>417</v>
      </c>
      <c r="B931" s="25">
        <f>+Municipios!Z932</f>
        <v>53.75320020640109</v>
      </c>
      <c r="C931" s="232">
        <v>13042</v>
      </c>
      <c r="D931" s="232" t="s">
        <v>2276</v>
      </c>
      <c r="E931" s="232" t="s">
        <v>480</v>
      </c>
      <c r="F931" s="232" t="s">
        <v>481</v>
      </c>
      <c r="G931" s="232" t="s">
        <v>2277</v>
      </c>
      <c r="K931" t="s">
        <v>2647</v>
      </c>
      <c r="L931" s="81">
        <f>+Municipios!AB932</f>
        <v>22.788092719485469</v>
      </c>
      <c r="M931" s="232">
        <v>13042</v>
      </c>
      <c r="N931" s="232" t="s">
        <v>2276</v>
      </c>
      <c r="O931" s="232" t="s">
        <v>480</v>
      </c>
      <c r="P931" s="232" t="s">
        <v>481</v>
      </c>
      <c r="Q931" s="232" t="s">
        <v>2277</v>
      </c>
      <c r="T931" t="s">
        <v>2803</v>
      </c>
      <c r="U931" s="25">
        <f>+Municipios!Z932</f>
        <v>53.75320020640109</v>
      </c>
      <c r="V931" s="232">
        <v>13042</v>
      </c>
      <c r="W931" s="232" t="s">
        <v>2276</v>
      </c>
      <c r="X931" s="232" t="s">
        <v>480</v>
      </c>
      <c r="Y931" s="232" t="s">
        <v>481</v>
      </c>
      <c r="Z931" s="232" t="s">
        <v>2277</v>
      </c>
    </row>
    <row r="932" spans="1:26">
      <c r="A932" t="s">
        <v>417</v>
      </c>
      <c r="B932" s="25">
        <f>+Municipios!Z933</f>
        <v>65.380754350269569</v>
      </c>
      <c r="C932" s="232">
        <v>68296</v>
      </c>
      <c r="D932" s="232" t="s">
        <v>2278</v>
      </c>
      <c r="E932" s="232" t="s">
        <v>431</v>
      </c>
      <c r="F932" s="232" t="s">
        <v>432</v>
      </c>
      <c r="G932" s="232" t="s">
        <v>2279</v>
      </c>
      <c r="K932" t="s">
        <v>2647</v>
      </c>
      <c r="L932" s="81">
        <f>+Municipios!AB933</f>
        <v>27.862955664765103</v>
      </c>
      <c r="M932" s="232">
        <v>68296</v>
      </c>
      <c r="N932" s="232" t="s">
        <v>2278</v>
      </c>
      <c r="O932" s="232" t="s">
        <v>431</v>
      </c>
      <c r="P932" s="232" t="s">
        <v>432</v>
      </c>
      <c r="Q932" s="232" t="s">
        <v>2279</v>
      </c>
      <c r="T932" t="s">
        <v>2803</v>
      </c>
      <c r="U932" s="25">
        <f>+Municipios!Z933</f>
        <v>65.380754350269569</v>
      </c>
      <c r="V932" s="232">
        <v>68296</v>
      </c>
      <c r="W932" s="232" t="s">
        <v>2278</v>
      </c>
      <c r="X932" s="232" t="s">
        <v>431</v>
      </c>
      <c r="Y932" s="232" t="s">
        <v>432</v>
      </c>
      <c r="Z932" s="232" t="s">
        <v>2279</v>
      </c>
    </row>
    <row r="933" spans="1:26">
      <c r="A933" t="s">
        <v>417</v>
      </c>
      <c r="B933" s="25">
        <f>+Municipios!Z934</f>
        <v>63.742817348860882</v>
      </c>
      <c r="C933" s="232">
        <v>25368</v>
      </c>
      <c r="D933" s="232" t="s">
        <v>2280</v>
      </c>
      <c r="E933" s="232" t="s">
        <v>461</v>
      </c>
      <c r="F933" s="232" t="s">
        <v>462</v>
      </c>
      <c r="G933" s="232" t="s">
        <v>2281</v>
      </c>
      <c r="K933" t="s">
        <v>2647</v>
      </c>
      <c r="L933" s="81">
        <f>+Municipios!AB934</f>
        <v>26.961533785772119</v>
      </c>
      <c r="M933" s="232">
        <v>25368</v>
      </c>
      <c r="N933" s="232" t="s">
        <v>2280</v>
      </c>
      <c r="O933" s="232" t="s">
        <v>461</v>
      </c>
      <c r="P933" s="232" t="s">
        <v>462</v>
      </c>
      <c r="Q933" s="232" t="s">
        <v>2281</v>
      </c>
      <c r="T933" t="s">
        <v>2803</v>
      </c>
      <c r="U933" s="25">
        <f>+Municipios!Z934</f>
        <v>63.742817348860882</v>
      </c>
      <c r="V933" s="232">
        <v>25368</v>
      </c>
      <c r="W933" s="232" t="s">
        <v>2280</v>
      </c>
      <c r="X933" s="232" t="s">
        <v>461</v>
      </c>
      <c r="Y933" s="232" t="s">
        <v>462</v>
      </c>
      <c r="Z933" s="232" t="s">
        <v>2281</v>
      </c>
    </row>
    <row r="934" spans="1:26">
      <c r="A934" t="s">
        <v>417</v>
      </c>
      <c r="B934" s="25">
        <f>+Municipios!Z935</f>
        <v>52.619571760963282</v>
      </c>
      <c r="C934" s="232">
        <v>86569</v>
      </c>
      <c r="D934" s="232" t="s">
        <v>2282</v>
      </c>
      <c r="E934" s="232" t="s">
        <v>943</v>
      </c>
      <c r="F934" s="232" t="s">
        <v>944</v>
      </c>
      <c r="G934" s="232" t="s">
        <v>2283</v>
      </c>
      <c r="K934" t="s">
        <v>2647</v>
      </c>
      <c r="L934" s="81">
        <f>+Municipios!AB935</f>
        <v>22.238469654773073</v>
      </c>
      <c r="M934" s="232">
        <v>86569</v>
      </c>
      <c r="N934" s="232" t="s">
        <v>2282</v>
      </c>
      <c r="O934" s="232" t="s">
        <v>943</v>
      </c>
      <c r="P934" s="232" t="s">
        <v>944</v>
      </c>
      <c r="Q934" s="232" t="s">
        <v>2283</v>
      </c>
      <c r="T934" t="s">
        <v>2803</v>
      </c>
      <c r="U934" s="25">
        <f>+Municipios!Z935</f>
        <v>52.619571760963282</v>
      </c>
      <c r="V934" s="232">
        <v>86569</v>
      </c>
      <c r="W934" s="232" t="s">
        <v>2282</v>
      </c>
      <c r="X934" s="232" t="s">
        <v>943</v>
      </c>
      <c r="Y934" s="232" t="s">
        <v>944</v>
      </c>
      <c r="Z934" s="232" t="s">
        <v>2283</v>
      </c>
    </row>
    <row r="935" spans="1:26">
      <c r="A935" t="s">
        <v>417</v>
      </c>
      <c r="B935" s="25">
        <f>+Municipios!Z936</f>
        <v>55.680963840360519</v>
      </c>
      <c r="C935" s="232">
        <v>5604</v>
      </c>
      <c r="D935" s="232" t="s">
        <v>2284</v>
      </c>
      <c r="E935" s="232" t="s">
        <v>435</v>
      </c>
      <c r="F935" s="232" t="s">
        <v>436</v>
      </c>
      <c r="G935" s="232" t="s">
        <v>2285</v>
      </c>
      <c r="K935" t="s">
        <v>2647</v>
      </c>
      <c r="L935" s="81">
        <f>+Municipios!AB936</f>
        <v>23.623037711386438</v>
      </c>
      <c r="M935" s="232">
        <v>5604</v>
      </c>
      <c r="N935" s="232" t="s">
        <v>2284</v>
      </c>
      <c r="O935" s="232" t="s">
        <v>435</v>
      </c>
      <c r="P935" s="232" t="s">
        <v>436</v>
      </c>
      <c r="Q935" s="232" t="s">
        <v>2285</v>
      </c>
      <c r="T935" t="s">
        <v>2803</v>
      </c>
      <c r="U935" s="25">
        <f>+Municipios!Z936</f>
        <v>55.680963840360519</v>
      </c>
      <c r="V935" s="232">
        <v>5604</v>
      </c>
      <c r="W935" s="232" t="s">
        <v>2284</v>
      </c>
      <c r="X935" s="232" t="s">
        <v>435</v>
      </c>
      <c r="Y935" s="232" t="s">
        <v>436</v>
      </c>
      <c r="Z935" s="232" t="s">
        <v>2285</v>
      </c>
    </row>
    <row r="936" spans="1:26">
      <c r="A936" t="s">
        <v>417</v>
      </c>
      <c r="B936" s="25">
        <f>+Municipios!Z937</f>
        <v>58.2263799896904</v>
      </c>
      <c r="C936" s="232">
        <v>15244</v>
      </c>
      <c r="D936" s="232" t="s">
        <v>2286</v>
      </c>
      <c r="E936" s="232" t="s">
        <v>498</v>
      </c>
      <c r="F936" s="232" t="s">
        <v>499</v>
      </c>
      <c r="G936" s="232" t="s">
        <v>2287</v>
      </c>
      <c r="K936" t="s">
        <v>2647</v>
      </c>
      <c r="L936" s="81">
        <f>+Municipios!AB937</f>
        <v>24.605879664056491</v>
      </c>
      <c r="M936" s="232">
        <v>15244</v>
      </c>
      <c r="N936" s="232" t="s">
        <v>2286</v>
      </c>
      <c r="O936" s="232" t="s">
        <v>498</v>
      </c>
      <c r="P936" s="232" t="s">
        <v>499</v>
      </c>
      <c r="Q936" s="232" t="s">
        <v>2287</v>
      </c>
      <c r="T936" t="s">
        <v>2803</v>
      </c>
      <c r="U936" s="25">
        <f>+Municipios!Z937</f>
        <v>58.2263799896904</v>
      </c>
      <c r="V936" s="232">
        <v>15244</v>
      </c>
      <c r="W936" s="232" t="s">
        <v>2286</v>
      </c>
      <c r="X936" s="232" t="s">
        <v>498</v>
      </c>
      <c r="Y936" s="232" t="s">
        <v>499</v>
      </c>
      <c r="Z936" s="232" t="s">
        <v>2287</v>
      </c>
    </row>
    <row r="937" spans="1:26">
      <c r="A937" t="s">
        <v>417</v>
      </c>
      <c r="B937" s="25">
        <f>+Municipios!Z938</f>
        <v>63.942847430169259</v>
      </c>
      <c r="C937" s="232">
        <v>81065</v>
      </c>
      <c r="D937" s="232" t="s">
        <v>2288</v>
      </c>
      <c r="E937" s="232" t="s">
        <v>1568</v>
      </c>
      <c r="F937" s="232" t="s">
        <v>1569</v>
      </c>
      <c r="G937" s="232" t="s">
        <v>2289</v>
      </c>
      <c r="K937" t="s">
        <v>2647</v>
      </c>
      <c r="L937" s="81">
        <f>+Municipios!AB938</f>
        <v>26.995371711238612</v>
      </c>
      <c r="M937" s="232">
        <v>81065</v>
      </c>
      <c r="N937" s="232" t="s">
        <v>2288</v>
      </c>
      <c r="O937" s="232" t="s">
        <v>1568</v>
      </c>
      <c r="P937" s="232" t="s">
        <v>1569</v>
      </c>
      <c r="Q937" s="232" t="s">
        <v>2289</v>
      </c>
      <c r="T937" t="s">
        <v>2803</v>
      </c>
      <c r="U937" s="25">
        <f>+Municipios!Z938</f>
        <v>63.942847430169259</v>
      </c>
      <c r="V937" s="232">
        <v>81065</v>
      </c>
      <c r="W937" s="232" t="s">
        <v>2288</v>
      </c>
      <c r="X937" s="232" t="s">
        <v>1568</v>
      </c>
      <c r="Y937" s="232" t="s">
        <v>1569</v>
      </c>
      <c r="Z937" s="232" t="s">
        <v>2289</v>
      </c>
    </row>
    <row r="938" spans="1:26">
      <c r="A938" t="s">
        <v>417</v>
      </c>
      <c r="B938" s="25">
        <f>+Municipios!Z939</f>
        <v>47.42824135347378</v>
      </c>
      <c r="C938" s="232">
        <v>73236</v>
      </c>
      <c r="D938" s="232" t="s">
        <v>2290</v>
      </c>
      <c r="E938" s="232" t="s">
        <v>595</v>
      </c>
      <c r="F938" s="232" t="s">
        <v>596</v>
      </c>
      <c r="G938" s="232" t="s">
        <v>2291</v>
      </c>
      <c r="K938" t="s">
        <v>2647</v>
      </c>
      <c r="L938" s="81">
        <f>+Municipios!AB939</f>
        <v>20.027829963013058</v>
      </c>
      <c r="M938" s="232">
        <v>73236</v>
      </c>
      <c r="N938" s="232" t="s">
        <v>2290</v>
      </c>
      <c r="O938" s="232" t="s">
        <v>595</v>
      </c>
      <c r="P938" s="232" t="s">
        <v>596</v>
      </c>
      <c r="Q938" s="232" t="s">
        <v>2291</v>
      </c>
      <c r="T938" t="s">
        <v>2803</v>
      </c>
      <c r="U938" s="25">
        <f>+Municipios!Z939</f>
        <v>47.42824135347378</v>
      </c>
      <c r="V938" s="232">
        <v>73236</v>
      </c>
      <c r="W938" s="232" t="s">
        <v>2290</v>
      </c>
      <c r="X938" s="232" t="s">
        <v>595</v>
      </c>
      <c r="Y938" s="232" t="s">
        <v>596</v>
      </c>
      <c r="Z938" s="232" t="s">
        <v>2291</v>
      </c>
    </row>
    <row r="939" spans="1:26">
      <c r="A939" t="s">
        <v>417</v>
      </c>
      <c r="B939" s="25">
        <f>+Municipios!Z940</f>
        <v>51.571254218103363</v>
      </c>
      <c r="C939" s="232">
        <v>13473</v>
      </c>
      <c r="D939" s="232" t="s">
        <v>2292</v>
      </c>
      <c r="E939" s="232" t="s">
        <v>480</v>
      </c>
      <c r="F939" s="232" t="s">
        <v>481</v>
      </c>
      <c r="G939" s="232" t="s">
        <v>1157</v>
      </c>
      <c r="K939" t="s">
        <v>2647</v>
      </c>
      <c r="L939" s="81">
        <f>+Municipios!AB940</f>
        <v>21.713801657425776</v>
      </c>
      <c r="M939" s="232">
        <v>13473</v>
      </c>
      <c r="N939" s="232" t="s">
        <v>2292</v>
      </c>
      <c r="O939" s="232" t="s">
        <v>480</v>
      </c>
      <c r="P939" s="232" t="s">
        <v>481</v>
      </c>
      <c r="Q939" s="232" t="s">
        <v>1157</v>
      </c>
      <c r="T939" t="s">
        <v>2803</v>
      </c>
      <c r="U939" s="25">
        <f>+Municipios!Z940</f>
        <v>51.571254218103363</v>
      </c>
      <c r="V939" s="232">
        <v>13473</v>
      </c>
      <c r="W939" s="232" t="s">
        <v>2292</v>
      </c>
      <c r="X939" s="232" t="s">
        <v>480</v>
      </c>
      <c r="Y939" s="232" t="s">
        <v>481</v>
      </c>
      <c r="Z939" s="232" t="s">
        <v>1157</v>
      </c>
    </row>
    <row r="940" spans="1:26">
      <c r="A940" t="s">
        <v>417</v>
      </c>
      <c r="B940" s="25">
        <f>+Municipios!Z941</f>
        <v>48.727525169478319</v>
      </c>
      <c r="C940" s="232">
        <v>18205</v>
      </c>
      <c r="D940" s="232" t="s">
        <v>2293</v>
      </c>
      <c r="E940" s="232" t="s">
        <v>1463</v>
      </c>
      <c r="F940" s="232" t="s">
        <v>1464</v>
      </c>
      <c r="G940" s="232" t="s">
        <v>2294</v>
      </c>
      <c r="K940" t="s">
        <v>2647</v>
      </c>
      <c r="L940" s="81">
        <f>+Municipios!AB941</f>
        <v>20.537247153007819</v>
      </c>
      <c r="M940" s="232">
        <v>18205</v>
      </c>
      <c r="N940" s="232" t="s">
        <v>2293</v>
      </c>
      <c r="O940" s="232" t="s">
        <v>1463</v>
      </c>
      <c r="P940" s="232" t="s">
        <v>1464</v>
      </c>
      <c r="Q940" s="232" t="s">
        <v>2294</v>
      </c>
      <c r="T940" t="s">
        <v>2803</v>
      </c>
      <c r="U940" s="25">
        <f>+Municipios!Z941</f>
        <v>48.727525169478319</v>
      </c>
      <c r="V940" s="232">
        <v>18205</v>
      </c>
      <c r="W940" s="232" t="s">
        <v>2293</v>
      </c>
      <c r="X940" s="232" t="s">
        <v>1463</v>
      </c>
      <c r="Y940" s="232" t="s">
        <v>1464</v>
      </c>
      <c r="Z940" s="232" t="s">
        <v>2294</v>
      </c>
    </row>
    <row r="941" spans="1:26">
      <c r="A941" t="s">
        <v>417</v>
      </c>
      <c r="B941" s="25">
        <f>+Municipios!Z942</f>
        <v>45.318760554167397</v>
      </c>
      <c r="C941" s="232">
        <v>13670</v>
      </c>
      <c r="D941" s="232" t="s">
        <v>2295</v>
      </c>
      <c r="E941" s="232" t="s">
        <v>480</v>
      </c>
      <c r="F941" s="232" t="s">
        <v>481</v>
      </c>
      <c r="G941" s="232" t="s">
        <v>1032</v>
      </c>
      <c r="K941" t="s">
        <v>2647</v>
      </c>
      <c r="L941" s="81">
        <f>+Municipios!AB942</f>
        <v>19.087977043031731</v>
      </c>
      <c r="M941" s="232">
        <v>13670</v>
      </c>
      <c r="N941" s="232" t="s">
        <v>2295</v>
      </c>
      <c r="O941" s="232" t="s">
        <v>480</v>
      </c>
      <c r="P941" s="232" t="s">
        <v>481</v>
      </c>
      <c r="Q941" s="232" t="s">
        <v>1032</v>
      </c>
      <c r="T941" t="s">
        <v>2803</v>
      </c>
      <c r="U941" s="25">
        <f>+Municipios!Z942</f>
        <v>45.318760554167397</v>
      </c>
      <c r="V941" s="232">
        <v>13670</v>
      </c>
      <c r="W941" s="232" t="s">
        <v>2295</v>
      </c>
      <c r="X941" s="232" t="s">
        <v>480</v>
      </c>
      <c r="Y941" s="232" t="s">
        <v>481</v>
      </c>
      <c r="Z941" s="232" t="s">
        <v>1032</v>
      </c>
    </row>
    <row r="942" spans="1:26">
      <c r="A942" t="s">
        <v>417</v>
      </c>
      <c r="B942" s="25">
        <f>+Municipios!Z943</f>
        <v>56.768027624056025</v>
      </c>
      <c r="C942" s="232">
        <v>15660</v>
      </c>
      <c r="D942" s="232" t="s">
        <v>2296</v>
      </c>
      <c r="E942" s="232" t="s">
        <v>498</v>
      </c>
      <c r="F942" s="232" t="s">
        <v>499</v>
      </c>
      <c r="G942" s="232" t="s">
        <v>2297</v>
      </c>
      <c r="K942" t="s">
        <v>2647</v>
      </c>
      <c r="L942" s="81">
        <f>+Municipios!AB943</f>
        <v>23.788523434309198</v>
      </c>
      <c r="M942" s="232">
        <v>15660</v>
      </c>
      <c r="N942" s="232" t="s">
        <v>2296</v>
      </c>
      <c r="O942" s="232" t="s">
        <v>498</v>
      </c>
      <c r="P942" s="232" t="s">
        <v>499</v>
      </c>
      <c r="Q942" s="232" t="s">
        <v>2297</v>
      </c>
      <c r="T942" t="s">
        <v>2803</v>
      </c>
      <c r="U942" s="25">
        <f>+Municipios!Z943</f>
        <v>56.768027624056025</v>
      </c>
      <c r="V942" s="232">
        <v>15660</v>
      </c>
      <c r="W942" s="232" t="s">
        <v>2296</v>
      </c>
      <c r="X942" s="232" t="s">
        <v>498</v>
      </c>
      <c r="Y942" s="232" t="s">
        <v>499</v>
      </c>
      <c r="Z942" s="232" t="s">
        <v>2297</v>
      </c>
    </row>
    <row r="943" spans="1:26">
      <c r="A943" t="s">
        <v>417</v>
      </c>
      <c r="B943" s="25">
        <f>+Municipios!Z944</f>
        <v>51.718975036828027</v>
      </c>
      <c r="C943" s="232">
        <v>18247</v>
      </c>
      <c r="D943" s="232" t="s">
        <v>2298</v>
      </c>
      <c r="E943" s="232" t="s">
        <v>1463</v>
      </c>
      <c r="F943" s="232" t="s">
        <v>1464</v>
      </c>
      <c r="G943" s="232" t="s">
        <v>2299</v>
      </c>
      <c r="K943" t="s">
        <v>2647</v>
      </c>
      <c r="L943" s="81">
        <f>+Municipios!AB944</f>
        <v>21.717749430410887</v>
      </c>
      <c r="M943" s="232">
        <v>18247</v>
      </c>
      <c r="N943" s="232" t="s">
        <v>2298</v>
      </c>
      <c r="O943" s="232" t="s">
        <v>1463</v>
      </c>
      <c r="P943" s="232" t="s">
        <v>1464</v>
      </c>
      <c r="Q943" s="232" t="s">
        <v>2299</v>
      </c>
      <c r="T943" t="s">
        <v>2803</v>
      </c>
      <c r="U943" s="25">
        <f>+Municipios!Z944</f>
        <v>51.718975036828027</v>
      </c>
      <c r="V943" s="232">
        <v>18247</v>
      </c>
      <c r="W943" s="232" t="s">
        <v>2298</v>
      </c>
      <c r="X943" s="232" t="s">
        <v>1463</v>
      </c>
      <c r="Y943" s="232" t="s">
        <v>1464</v>
      </c>
      <c r="Z943" s="232" t="s">
        <v>2299</v>
      </c>
    </row>
    <row r="944" spans="1:26">
      <c r="A944" t="s">
        <v>417</v>
      </c>
      <c r="B944" s="25">
        <f>+Municipios!Z945</f>
        <v>49.635088805598272</v>
      </c>
      <c r="C944" s="232">
        <v>73555</v>
      </c>
      <c r="D944" s="232" t="s">
        <v>2300</v>
      </c>
      <c r="E944" s="232" t="s">
        <v>595</v>
      </c>
      <c r="F944" s="232" t="s">
        <v>596</v>
      </c>
      <c r="G944" s="232" t="s">
        <v>2301</v>
      </c>
      <c r="K944" t="s">
        <v>2647</v>
      </c>
      <c r="L944" s="81">
        <f>+Municipios!AB945</f>
        <v>20.782296789078707</v>
      </c>
      <c r="M944" s="232">
        <v>73555</v>
      </c>
      <c r="N944" s="232" t="s">
        <v>2300</v>
      </c>
      <c r="O944" s="232" t="s">
        <v>595</v>
      </c>
      <c r="P944" s="232" t="s">
        <v>596</v>
      </c>
      <c r="Q944" s="232" t="s">
        <v>2301</v>
      </c>
      <c r="T944" t="s">
        <v>2803</v>
      </c>
      <c r="U944" s="25">
        <f>+Municipios!Z945</f>
        <v>49.635088805598272</v>
      </c>
      <c r="V944" s="232">
        <v>73555</v>
      </c>
      <c r="W944" s="232" t="s">
        <v>2300</v>
      </c>
      <c r="X944" s="232" t="s">
        <v>595</v>
      </c>
      <c r="Y944" s="232" t="s">
        <v>596</v>
      </c>
      <c r="Z944" s="232" t="s">
        <v>2301</v>
      </c>
    </row>
    <row r="945" spans="1:26">
      <c r="A945" t="s">
        <v>417</v>
      </c>
      <c r="B945" s="25">
        <f>+Municipios!Z946</f>
        <v>60.204110491993355</v>
      </c>
      <c r="C945" s="232">
        <v>25120</v>
      </c>
      <c r="D945" s="232" t="s">
        <v>2302</v>
      </c>
      <c r="E945" s="232" t="s">
        <v>461</v>
      </c>
      <c r="F945" s="232" t="s">
        <v>462</v>
      </c>
      <c r="G945" s="232" t="s">
        <v>1902</v>
      </c>
      <c r="K945" t="s">
        <v>2647</v>
      </c>
      <c r="L945" s="81">
        <f>+Municipios!AB946</f>
        <v>25.180761987317457</v>
      </c>
      <c r="M945" s="232">
        <v>25120</v>
      </c>
      <c r="N945" s="232" t="s">
        <v>2302</v>
      </c>
      <c r="O945" s="232" t="s">
        <v>461</v>
      </c>
      <c r="P945" s="232" t="s">
        <v>462</v>
      </c>
      <c r="Q945" s="232" t="s">
        <v>1902</v>
      </c>
      <c r="T945" t="s">
        <v>2803</v>
      </c>
      <c r="U945" s="25">
        <f>+Municipios!Z946</f>
        <v>60.204110491993355</v>
      </c>
      <c r="V945" s="232">
        <v>25120</v>
      </c>
      <c r="W945" s="232" t="s">
        <v>2302</v>
      </c>
      <c r="X945" s="232" t="s">
        <v>461</v>
      </c>
      <c r="Y945" s="232" t="s">
        <v>462</v>
      </c>
      <c r="Z945" s="232" t="s">
        <v>1902</v>
      </c>
    </row>
    <row r="946" spans="1:26">
      <c r="A946" t="s">
        <v>417</v>
      </c>
      <c r="B946" s="25">
        <f>+Municipios!Z947</f>
        <v>62.996759532205267</v>
      </c>
      <c r="C946" s="232">
        <v>27160</v>
      </c>
      <c r="D946" s="232" t="s">
        <v>2303</v>
      </c>
      <c r="E946" s="232" t="s">
        <v>1714</v>
      </c>
      <c r="F946" s="232" t="s">
        <v>1715</v>
      </c>
      <c r="G946" s="232" t="s">
        <v>2304</v>
      </c>
      <c r="K946" t="s">
        <v>2647</v>
      </c>
      <c r="L946" s="81">
        <f>+Municipios!AB947</f>
        <v>26.357251680666728</v>
      </c>
      <c r="M946" s="232">
        <v>27160</v>
      </c>
      <c r="N946" s="232" t="s">
        <v>2303</v>
      </c>
      <c r="O946" s="232" t="s">
        <v>1714</v>
      </c>
      <c r="P946" s="232" t="s">
        <v>1715</v>
      </c>
      <c r="Q946" s="232" t="s">
        <v>2304</v>
      </c>
      <c r="T946" t="s">
        <v>2803</v>
      </c>
      <c r="U946" s="25">
        <f>+Municipios!Z947</f>
        <v>62.996759532205267</v>
      </c>
      <c r="V946" s="232">
        <v>27160</v>
      </c>
      <c r="W946" s="232" t="s">
        <v>2303</v>
      </c>
      <c r="X946" s="232" t="s">
        <v>1714</v>
      </c>
      <c r="Y946" s="232" t="s">
        <v>1715</v>
      </c>
      <c r="Z946" s="232" t="s">
        <v>2304</v>
      </c>
    </row>
    <row r="947" spans="1:26">
      <c r="A947" t="s">
        <v>417</v>
      </c>
      <c r="B947" s="25">
        <f>+Municipios!Z948</f>
        <v>66.015639648402299</v>
      </c>
      <c r="C947" s="232">
        <v>68705</v>
      </c>
      <c r="D947" s="232" t="s">
        <v>2305</v>
      </c>
      <c r="E947" s="232" t="s">
        <v>431</v>
      </c>
      <c r="F947" s="232" t="s">
        <v>432</v>
      </c>
      <c r="G947" s="232" t="s">
        <v>829</v>
      </c>
      <c r="K947" t="s">
        <v>2647</v>
      </c>
      <c r="L947" s="81">
        <f>+Municipios!AB948</f>
        <v>27.591490901916334</v>
      </c>
      <c r="M947" s="232">
        <v>68705</v>
      </c>
      <c r="N947" s="232" t="s">
        <v>2305</v>
      </c>
      <c r="O947" s="232" t="s">
        <v>431</v>
      </c>
      <c r="P947" s="232" t="s">
        <v>432</v>
      </c>
      <c r="Q947" s="232" t="s">
        <v>829</v>
      </c>
      <c r="T947" t="s">
        <v>2803</v>
      </c>
      <c r="U947" s="25">
        <f>+Municipios!Z948</f>
        <v>66.015639648402299</v>
      </c>
      <c r="V947" s="232">
        <v>68705</v>
      </c>
      <c r="W947" s="232" t="s">
        <v>2305</v>
      </c>
      <c r="X947" s="232" t="s">
        <v>431</v>
      </c>
      <c r="Y947" s="232" t="s">
        <v>432</v>
      </c>
      <c r="Z947" s="232" t="s">
        <v>829</v>
      </c>
    </row>
    <row r="948" spans="1:26">
      <c r="A948" t="s">
        <v>417</v>
      </c>
      <c r="B948" s="25">
        <f>+Municipios!Z949</f>
        <v>65.478125392897283</v>
      </c>
      <c r="C948" s="232">
        <v>25885</v>
      </c>
      <c r="D948" s="232" t="s">
        <v>2306</v>
      </c>
      <c r="E948" s="232" t="s">
        <v>461</v>
      </c>
      <c r="F948" s="232" t="s">
        <v>462</v>
      </c>
      <c r="G948" s="232" t="s">
        <v>2307</v>
      </c>
      <c r="K948" t="s">
        <v>2647</v>
      </c>
      <c r="L948" s="81">
        <f>+Municipios!AB949</f>
        <v>27.268533527768291</v>
      </c>
      <c r="M948" s="232">
        <v>25885</v>
      </c>
      <c r="N948" s="232" t="s">
        <v>2306</v>
      </c>
      <c r="O948" s="232" t="s">
        <v>461</v>
      </c>
      <c r="P948" s="232" t="s">
        <v>462</v>
      </c>
      <c r="Q948" s="232" t="s">
        <v>2307</v>
      </c>
      <c r="T948" t="s">
        <v>2803</v>
      </c>
      <c r="U948" s="25">
        <f>+Municipios!Z949</f>
        <v>65.478125392897283</v>
      </c>
      <c r="V948" s="232">
        <v>25885</v>
      </c>
      <c r="W948" s="232" t="s">
        <v>2306</v>
      </c>
      <c r="X948" s="232" t="s">
        <v>461</v>
      </c>
      <c r="Y948" s="232" t="s">
        <v>462</v>
      </c>
      <c r="Z948" s="232" t="s">
        <v>2307</v>
      </c>
    </row>
    <row r="949" spans="1:26">
      <c r="A949" t="s">
        <v>417</v>
      </c>
      <c r="B949" s="25">
        <f>+Municipios!Z950</f>
        <v>57.057542343935431</v>
      </c>
      <c r="C949" s="232">
        <v>50251</v>
      </c>
      <c r="D949" s="232" t="s">
        <v>2308</v>
      </c>
      <c r="E949" s="232" t="s">
        <v>605</v>
      </c>
      <c r="F949" s="232" t="s">
        <v>606</v>
      </c>
      <c r="G949" s="232" t="s">
        <v>2309</v>
      </c>
      <c r="K949" t="s">
        <v>2647</v>
      </c>
      <c r="L949" s="81">
        <f>+Municipios!AB950</f>
        <v>23.731848260444682</v>
      </c>
      <c r="M949" s="232">
        <v>50251</v>
      </c>
      <c r="N949" s="232" t="s">
        <v>2308</v>
      </c>
      <c r="O949" s="232" t="s">
        <v>605</v>
      </c>
      <c r="P949" s="232" t="s">
        <v>606</v>
      </c>
      <c r="Q949" s="232" t="s">
        <v>2309</v>
      </c>
      <c r="T949" t="s">
        <v>2803</v>
      </c>
      <c r="U949" s="25">
        <f>+Municipios!Z950</f>
        <v>57.057542343935431</v>
      </c>
      <c r="V949" s="232">
        <v>50251</v>
      </c>
      <c r="W949" s="232" t="s">
        <v>2308</v>
      </c>
      <c r="X949" s="232" t="s">
        <v>605</v>
      </c>
      <c r="Y949" s="232" t="s">
        <v>606</v>
      </c>
      <c r="Z949" s="232" t="s">
        <v>2309</v>
      </c>
    </row>
    <row r="950" spans="1:26">
      <c r="A950" t="s">
        <v>417</v>
      </c>
      <c r="B950" s="25">
        <f>+Municipios!Z951</f>
        <v>61.269319978022423</v>
      </c>
      <c r="C950" s="232">
        <v>5040</v>
      </c>
      <c r="D950" s="232" t="s">
        <v>2310</v>
      </c>
      <c r="E950" s="232" t="s">
        <v>435</v>
      </c>
      <c r="F950" s="232" t="s">
        <v>436</v>
      </c>
      <c r="G950" s="232" t="s">
        <v>2311</v>
      </c>
      <c r="K950" t="s">
        <v>2647</v>
      </c>
      <c r="L950" s="81">
        <f>+Municipios!AB951</f>
        <v>25.639010950807993</v>
      </c>
      <c r="M950" s="232">
        <v>5040</v>
      </c>
      <c r="N950" s="232" t="s">
        <v>2310</v>
      </c>
      <c r="O950" s="232" t="s">
        <v>435</v>
      </c>
      <c r="P950" s="232" t="s">
        <v>436</v>
      </c>
      <c r="Q950" s="232" t="s">
        <v>2311</v>
      </c>
      <c r="T950" t="s">
        <v>2803</v>
      </c>
      <c r="U950" s="25">
        <f>+Municipios!Z951</f>
        <v>61.269319978022423</v>
      </c>
      <c r="V950" s="232">
        <v>5040</v>
      </c>
      <c r="W950" s="232" t="s">
        <v>2310</v>
      </c>
      <c r="X950" s="232" t="s">
        <v>435</v>
      </c>
      <c r="Y950" s="232" t="s">
        <v>436</v>
      </c>
      <c r="Z950" s="232" t="s">
        <v>2311</v>
      </c>
    </row>
    <row r="951" spans="1:26">
      <c r="A951" t="s">
        <v>417</v>
      </c>
      <c r="B951" s="25">
        <f>+Municipios!Z952</f>
        <v>44.910035631000326</v>
      </c>
      <c r="C951" s="232">
        <v>5847</v>
      </c>
      <c r="D951" s="232" t="s">
        <v>2312</v>
      </c>
      <c r="E951" s="232" t="s">
        <v>435</v>
      </c>
      <c r="F951" s="232" t="s">
        <v>436</v>
      </c>
      <c r="G951" s="232" t="s">
        <v>2313</v>
      </c>
      <c r="K951" t="s">
        <v>2647</v>
      </c>
      <c r="L951" s="81">
        <f>+Municipios!AB952</f>
        <v>18.684405553414329</v>
      </c>
      <c r="M951" s="232">
        <v>5847</v>
      </c>
      <c r="N951" s="232" t="s">
        <v>2312</v>
      </c>
      <c r="O951" s="232" t="s">
        <v>435</v>
      </c>
      <c r="P951" s="232" t="s">
        <v>436</v>
      </c>
      <c r="Q951" s="232" t="s">
        <v>2313</v>
      </c>
      <c r="T951" t="s">
        <v>2803</v>
      </c>
      <c r="U951" s="25">
        <f>+Municipios!Z952</f>
        <v>44.910035631000326</v>
      </c>
      <c r="V951" s="232">
        <v>5847</v>
      </c>
      <c r="W951" s="232" t="s">
        <v>2312</v>
      </c>
      <c r="X951" s="232" t="s">
        <v>435</v>
      </c>
      <c r="Y951" s="232" t="s">
        <v>436</v>
      </c>
      <c r="Z951" s="232" t="s">
        <v>2313</v>
      </c>
    </row>
    <row r="952" spans="1:26">
      <c r="A952" t="s">
        <v>417</v>
      </c>
      <c r="B952" s="25">
        <f>+Municipios!Z953</f>
        <v>57.858035423846388</v>
      </c>
      <c r="C952" s="232">
        <v>15720</v>
      </c>
      <c r="D952" s="232" t="s">
        <v>2314</v>
      </c>
      <c r="E952" s="232" t="s">
        <v>498</v>
      </c>
      <c r="F952" s="232" t="s">
        <v>499</v>
      </c>
      <c r="G952" s="232" t="s">
        <v>2315</v>
      </c>
      <c r="K952" t="s">
        <v>2647</v>
      </c>
      <c r="L952" s="81">
        <f>+Municipios!AB953</f>
        <v>24.107203127504643</v>
      </c>
      <c r="M952" s="232">
        <v>15720</v>
      </c>
      <c r="N952" s="232" t="s">
        <v>2314</v>
      </c>
      <c r="O952" s="232" t="s">
        <v>498</v>
      </c>
      <c r="P952" s="232" t="s">
        <v>499</v>
      </c>
      <c r="Q952" s="232" t="s">
        <v>2315</v>
      </c>
      <c r="T952" t="s">
        <v>2803</v>
      </c>
      <c r="U952" s="25">
        <f>+Municipios!Z953</f>
        <v>57.858035423846388</v>
      </c>
      <c r="V952" s="232">
        <v>15720</v>
      </c>
      <c r="W952" s="232" t="s">
        <v>2314</v>
      </c>
      <c r="X952" s="232" t="s">
        <v>498</v>
      </c>
      <c r="Y952" s="232" t="s">
        <v>499</v>
      </c>
      <c r="Z952" s="232" t="s">
        <v>2315</v>
      </c>
    </row>
    <row r="953" spans="1:26">
      <c r="A953" t="s">
        <v>417</v>
      </c>
      <c r="B953" s="25">
        <f>+Municipios!Z954</f>
        <v>63.119613644562563</v>
      </c>
      <c r="C953" s="232">
        <v>5893</v>
      </c>
      <c r="D953" s="232" t="s">
        <v>2316</v>
      </c>
      <c r="E953" s="232" t="s">
        <v>435</v>
      </c>
      <c r="F953" s="232" t="s">
        <v>436</v>
      </c>
      <c r="G953" s="232" t="s">
        <v>2317</v>
      </c>
      <c r="K953" t="s">
        <v>2647</v>
      </c>
      <c r="L953" s="81">
        <f>+Municipios!AB954</f>
        <v>26.304533155474029</v>
      </c>
      <c r="M953" s="232">
        <v>5893</v>
      </c>
      <c r="N953" s="232" t="s">
        <v>2316</v>
      </c>
      <c r="O953" s="232" t="s">
        <v>435</v>
      </c>
      <c r="P953" s="232" t="s">
        <v>436</v>
      </c>
      <c r="Q953" s="232" t="s">
        <v>2317</v>
      </c>
      <c r="T953" t="s">
        <v>2803</v>
      </c>
      <c r="U953" s="25">
        <f>+Municipios!Z954</f>
        <v>63.119613644562563</v>
      </c>
      <c r="V953" s="232">
        <v>5893</v>
      </c>
      <c r="W953" s="232" t="s">
        <v>2316</v>
      </c>
      <c r="X953" s="232" t="s">
        <v>435</v>
      </c>
      <c r="Y953" s="232" t="s">
        <v>436</v>
      </c>
      <c r="Z953" s="232" t="s">
        <v>2317</v>
      </c>
    </row>
    <row r="954" spans="1:26">
      <c r="A954" t="s">
        <v>417</v>
      </c>
      <c r="B954" s="25">
        <f>+Municipios!Z955</f>
        <v>63.03334081053255</v>
      </c>
      <c r="C954" s="232">
        <v>85263</v>
      </c>
      <c r="D954" s="232" t="s">
        <v>2318</v>
      </c>
      <c r="E954" s="232" t="s">
        <v>1351</v>
      </c>
      <c r="F954" s="232" t="s">
        <v>1352</v>
      </c>
      <c r="G954" s="232" t="s">
        <v>2319</v>
      </c>
      <c r="K954" t="s">
        <v>2647</v>
      </c>
      <c r="L954" s="81">
        <f>+Municipios!AB955</f>
        <v>26.215090679007549</v>
      </c>
      <c r="M954" s="232">
        <v>85263</v>
      </c>
      <c r="N954" s="232" t="s">
        <v>2318</v>
      </c>
      <c r="O954" s="232" t="s">
        <v>1351</v>
      </c>
      <c r="P954" s="232" t="s">
        <v>1352</v>
      </c>
      <c r="Q954" s="232" t="s">
        <v>2319</v>
      </c>
      <c r="T954" t="s">
        <v>2803</v>
      </c>
      <c r="U954" s="25">
        <f>+Municipios!Z955</f>
        <v>63.03334081053255</v>
      </c>
      <c r="V954" s="232">
        <v>85263</v>
      </c>
      <c r="W954" s="232" t="s">
        <v>2318</v>
      </c>
      <c r="X954" s="232" t="s">
        <v>1351</v>
      </c>
      <c r="Y954" s="232" t="s">
        <v>1352</v>
      </c>
      <c r="Z954" s="232" t="s">
        <v>2319</v>
      </c>
    </row>
    <row r="955" spans="1:26">
      <c r="A955" t="s">
        <v>417</v>
      </c>
      <c r="B955" s="25">
        <f>+Municipios!Z956</f>
        <v>60.498833772670736</v>
      </c>
      <c r="C955" s="232">
        <v>68250</v>
      </c>
      <c r="D955" s="232" t="s">
        <v>2320</v>
      </c>
      <c r="E955" s="232" t="s">
        <v>431</v>
      </c>
      <c r="F955" s="232" t="s">
        <v>432</v>
      </c>
      <c r="G955" s="232" t="s">
        <v>1722</v>
      </c>
      <c r="K955" t="s">
        <v>2647</v>
      </c>
      <c r="L955" s="81">
        <f>+Municipios!AB956</f>
        <v>25.073817678453366</v>
      </c>
      <c r="M955" s="232">
        <v>68250</v>
      </c>
      <c r="N955" s="232" t="s">
        <v>2320</v>
      </c>
      <c r="O955" s="232" t="s">
        <v>431</v>
      </c>
      <c r="P955" s="232" t="s">
        <v>432</v>
      </c>
      <c r="Q955" s="232" t="s">
        <v>1722</v>
      </c>
      <c r="T955" t="s">
        <v>2803</v>
      </c>
      <c r="U955" s="25">
        <f>+Municipios!Z956</f>
        <v>60.498833772670736</v>
      </c>
      <c r="V955" s="232">
        <v>68250</v>
      </c>
      <c r="W955" s="232" t="s">
        <v>2320</v>
      </c>
      <c r="X955" s="232" t="s">
        <v>431</v>
      </c>
      <c r="Y955" s="232" t="s">
        <v>432</v>
      </c>
      <c r="Z955" s="232" t="s">
        <v>1722</v>
      </c>
    </row>
    <row r="956" spans="1:26">
      <c r="A956" t="s">
        <v>417</v>
      </c>
      <c r="B956" s="25">
        <f>+Municipios!Z957</f>
        <v>56.096468787451769</v>
      </c>
      <c r="C956" s="232">
        <v>27245</v>
      </c>
      <c r="D956" s="232" t="s">
        <v>2321</v>
      </c>
      <c r="E956" s="232" t="s">
        <v>1714</v>
      </c>
      <c r="F956" s="232" t="s">
        <v>1715</v>
      </c>
      <c r="G956" s="232" t="s">
        <v>2322</v>
      </c>
      <c r="K956" t="s">
        <v>2647</v>
      </c>
      <c r="L956" s="81">
        <f>+Municipios!AB957</f>
        <v>23.262918947440035</v>
      </c>
      <c r="M956" s="232">
        <v>27245</v>
      </c>
      <c r="N956" s="232" t="s">
        <v>2321</v>
      </c>
      <c r="O956" s="232" t="s">
        <v>1714</v>
      </c>
      <c r="P956" s="232" t="s">
        <v>1715</v>
      </c>
      <c r="Q956" s="232" t="s">
        <v>2322</v>
      </c>
      <c r="T956" t="s">
        <v>2803</v>
      </c>
      <c r="U956" s="25">
        <f>+Municipios!Z957</f>
        <v>56.096468787451769</v>
      </c>
      <c r="V956" s="232">
        <v>27245</v>
      </c>
      <c r="W956" s="232" t="s">
        <v>2321</v>
      </c>
      <c r="X956" s="232" t="s">
        <v>1714</v>
      </c>
      <c r="Y956" s="232" t="s">
        <v>1715</v>
      </c>
      <c r="Z956" s="232" t="s">
        <v>2322</v>
      </c>
    </row>
    <row r="957" spans="1:26">
      <c r="A957" t="s">
        <v>417</v>
      </c>
      <c r="B957" s="25">
        <f>+Municipios!Z958</f>
        <v>43.426715921011613</v>
      </c>
      <c r="C957" s="232">
        <v>73873</v>
      </c>
      <c r="D957" s="232" t="s">
        <v>2323</v>
      </c>
      <c r="E957" s="232" t="s">
        <v>595</v>
      </c>
      <c r="F957" s="232" t="s">
        <v>596</v>
      </c>
      <c r="G957" s="232" t="s">
        <v>2324</v>
      </c>
      <c r="K957" t="s">
        <v>2647</v>
      </c>
      <c r="L957" s="81">
        <f>+Municipios!AB958</f>
        <v>18.01257599562096</v>
      </c>
      <c r="M957" s="232">
        <v>73873</v>
      </c>
      <c r="N957" s="232" t="s">
        <v>2323</v>
      </c>
      <c r="O957" s="232" t="s">
        <v>595</v>
      </c>
      <c r="P957" s="232" t="s">
        <v>596</v>
      </c>
      <c r="Q957" s="232" t="s">
        <v>2324</v>
      </c>
      <c r="T957" t="s">
        <v>2803</v>
      </c>
      <c r="U957" s="25">
        <f>+Municipios!Z958</f>
        <v>43.426715921011613</v>
      </c>
      <c r="V957" s="232">
        <v>73873</v>
      </c>
      <c r="W957" s="232" t="s">
        <v>2323</v>
      </c>
      <c r="X957" s="232" t="s">
        <v>595</v>
      </c>
      <c r="Y957" s="232" t="s">
        <v>596</v>
      </c>
      <c r="Z957" s="232" t="s">
        <v>2324</v>
      </c>
    </row>
    <row r="958" spans="1:26">
      <c r="A958" t="s">
        <v>417</v>
      </c>
      <c r="B958" s="25">
        <f>+Municipios!Z959</f>
        <v>58.957229653722692</v>
      </c>
      <c r="C958" s="232">
        <v>27073</v>
      </c>
      <c r="D958" s="232" t="s">
        <v>2325</v>
      </c>
      <c r="E958" s="232" t="s">
        <v>1714</v>
      </c>
      <c r="F958" s="232" t="s">
        <v>1715</v>
      </c>
      <c r="G958" s="232" t="s">
        <v>2326</v>
      </c>
      <c r="K958" t="s">
        <v>2647</v>
      </c>
      <c r="L958" s="81">
        <f>+Municipios!AB959</f>
        <v>24.456541185120095</v>
      </c>
      <c r="M958" s="232">
        <v>27073</v>
      </c>
      <c r="N958" s="232" t="s">
        <v>2325</v>
      </c>
      <c r="O958" s="232" t="s">
        <v>1714</v>
      </c>
      <c r="P958" s="232" t="s">
        <v>1715</v>
      </c>
      <c r="Q958" s="232" t="s">
        <v>2326</v>
      </c>
      <c r="T958" t="s">
        <v>2803</v>
      </c>
      <c r="U958" s="25">
        <f>+Municipios!Z959</f>
        <v>58.957229653722692</v>
      </c>
      <c r="V958" s="232">
        <v>27073</v>
      </c>
      <c r="W958" s="232" t="s">
        <v>2325</v>
      </c>
      <c r="X958" s="232" t="s">
        <v>1714</v>
      </c>
      <c r="Y958" s="232" t="s">
        <v>1715</v>
      </c>
      <c r="Z958" s="232" t="s">
        <v>2326</v>
      </c>
    </row>
    <row r="959" spans="1:26">
      <c r="A959" t="s">
        <v>417</v>
      </c>
      <c r="B959" s="25">
        <f>+Municipios!Z960</f>
        <v>50.839894333674685</v>
      </c>
      <c r="C959" s="232">
        <v>68780</v>
      </c>
      <c r="D959" s="232" t="s">
        <v>2327</v>
      </c>
      <c r="E959" s="232" t="s">
        <v>431</v>
      </c>
      <c r="F959" s="232" t="s">
        <v>432</v>
      </c>
      <c r="G959" s="232" t="s">
        <v>2328</v>
      </c>
      <c r="K959" t="s">
        <v>2647</v>
      </c>
      <c r="L959" s="81">
        <f>+Municipios!AB960</f>
        <v>21.083465385088221</v>
      </c>
      <c r="M959" s="232">
        <v>68780</v>
      </c>
      <c r="N959" s="232" t="s">
        <v>2327</v>
      </c>
      <c r="O959" s="232" t="s">
        <v>431</v>
      </c>
      <c r="P959" s="232" t="s">
        <v>432</v>
      </c>
      <c r="Q959" s="232" t="s">
        <v>2328</v>
      </c>
      <c r="T959" t="s">
        <v>2803</v>
      </c>
      <c r="U959" s="25">
        <f>+Municipios!Z960</f>
        <v>50.839894333674685</v>
      </c>
      <c r="V959" s="232">
        <v>68780</v>
      </c>
      <c r="W959" s="232" t="s">
        <v>2327</v>
      </c>
      <c r="X959" s="232" t="s">
        <v>431</v>
      </c>
      <c r="Y959" s="232" t="s">
        <v>432</v>
      </c>
      <c r="Z959" s="232" t="s">
        <v>2328</v>
      </c>
    </row>
    <row r="960" spans="1:26">
      <c r="A960" t="s">
        <v>417</v>
      </c>
      <c r="B960" s="25">
        <f>+Municipios!Z961</f>
        <v>48.894721216819022</v>
      </c>
      <c r="C960" s="232">
        <v>27800</v>
      </c>
      <c r="D960" s="232" t="s">
        <v>2329</v>
      </c>
      <c r="E960" s="232" t="s">
        <v>1714</v>
      </c>
      <c r="F960" s="232" t="s">
        <v>1715</v>
      </c>
      <c r="G960" s="232" t="s">
        <v>2330</v>
      </c>
      <c r="K960" t="s">
        <v>2647</v>
      </c>
      <c r="L960" s="81">
        <f>+Municipios!AB961</f>
        <v>20.238634558353318</v>
      </c>
      <c r="M960" s="232">
        <v>27800</v>
      </c>
      <c r="N960" s="232" t="s">
        <v>2329</v>
      </c>
      <c r="O960" s="232" t="s">
        <v>1714</v>
      </c>
      <c r="P960" s="232" t="s">
        <v>1715</v>
      </c>
      <c r="Q960" s="232" t="s">
        <v>2330</v>
      </c>
      <c r="T960" t="s">
        <v>2803</v>
      </c>
      <c r="U960" s="25">
        <f>+Municipios!Z961</f>
        <v>48.894721216819022</v>
      </c>
      <c r="V960" s="232">
        <v>27800</v>
      </c>
      <c r="W960" s="232" t="s">
        <v>2329</v>
      </c>
      <c r="X960" s="232" t="s">
        <v>1714</v>
      </c>
      <c r="Y960" s="232" t="s">
        <v>1715</v>
      </c>
      <c r="Z960" s="232" t="s">
        <v>2330</v>
      </c>
    </row>
    <row r="961" spans="1:26">
      <c r="A961" t="s">
        <v>417</v>
      </c>
      <c r="B961" s="25">
        <f>+Municipios!Z962</f>
        <v>47.540422396883059</v>
      </c>
      <c r="C961" s="232">
        <v>86755</v>
      </c>
      <c r="D961" s="232" t="s">
        <v>2331</v>
      </c>
      <c r="E961" s="232" t="s">
        <v>943</v>
      </c>
      <c r="F961" s="232" t="s">
        <v>944</v>
      </c>
      <c r="G961" s="232" t="s">
        <v>975</v>
      </c>
      <c r="K961" t="s">
        <v>2647</v>
      </c>
      <c r="L961" s="81">
        <f>+Municipios!AB962</f>
        <v>19.683658989510345</v>
      </c>
      <c r="M961" s="232">
        <v>86755</v>
      </c>
      <c r="N961" s="232" t="s">
        <v>2331</v>
      </c>
      <c r="O961" s="232" t="s">
        <v>943</v>
      </c>
      <c r="P961" s="232" t="s">
        <v>944</v>
      </c>
      <c r="Q961" s="232" t="s">
        <v>975</v>
      </c>
      <c r="T961" t="s">
        <v>2803</v>
      </c>
      <c r="U961" s="25">
        <f>+Municipios!Z962</f>
        <v>47.540422396883059</v>
      </c>
      <c r="V961" s="232">
        <v>86755</v>
      </c>
      <c r="W961" s="232" t="s">
        <v>2331</v>
      </c>
      <c r="X961" s="232" t="s">
        <v>943</v>
      </c>
      <c r="Y961" s="232" t="s">
        <v>944</v>
      </c>
      <c r="Z961" s="232" t="s">
        <v>975</v>
      </c>
    </row>
    <row r="962" spans="1:26">
      <c r="A962" t="s">
        <v>417</v>
      </c>
      <c r="B962" s="25">
        <f>+Municipios!Z963</f>
        <v>54.619364666050856</v>
      </c>
      <c r="C962" s="232">
        <v>15464</v>
      </c>
      <c r="D962" s="232" t="s">
        <v>2332</v>
      </c>
      <c r="E962" s="232" t="s">
        <v>498</v>
      </c>
      <c r="F962" s="232" t="s">
        <v>499</v>
      </c>
      <c r="G962" s="232" t="s">
        <v>2333</v>
      </c>
      <c r="K962" t="s">
        <v>2647</v>
      </c>
      <c r="L962" s="81">
        <f>+Municipios!AB963</f>
        <v>22.614108674308582</v>
      </c>
      <c r="M962" s="232">
        <v>15464</v>
      </c>
      <c r="N962" s="232" t="s">
        <v>2332</v>
      </c>
      <c r="O962" s="232" t="s">
        <v>498</v>
      </c>
      <c r="P962" s="232" t="s">
        <v>499</v>
      </c>
      <c r="Q962" s="232" t="s">
        <v>2333</v>
      </c>
      <c r="T962" t="s">
        <v>2803</v>
      </c>
      <c r="U962" s="25">
        <f>+Municipios!Z963</f>
        <v>54.619364666050856</v>
      </c>
      <c r="V962" s="232">
        <v>15464</v>
      </c>
      <c r="W962" s="232" t="s">
        <v>2332</v>
      </c>
      <c r="X962" s="232" t="s">
        <v>498</v>
      </c>
      <c r="Y962" s="232" t="s">
        <v>499</v>
      </c>
      <c r="Z962" s="232" t="s">
        <v>2333</v>
      </c>
    </row>
    <row r="963" spans="1:26">
      <c r="A963" t="s">
        <v>417</v>
      </c>
      <c r="B963" s="25">
        <f>+Municipios!Z964</f>
        <v>70.138524080856968</v>
      </c>
      <c r="C963" s="232">
        <v>68745</v>
      </c>
      <c r="D963" s="232" t="s">
        <v>2334</v>
      </c>
      <c r="E963" s="232" t="s">
        <v>431</v>
      </c>
      <c r="F963" s="232" t="s">
        <v>432</v>
      </c>
      <c r="G963" s="232" t="s">
        <v>2335</v>
      </c>
      <c r="K963" t="s">
        <v>2647</v>
      </c>
      <c r="L963" s="81">
        <f>+Municipios!AB964</f>
        <v>29.203183051088104</v>
      </c>
      <c r="M963" s="232">
        <v>68745</v>
      </c>
      <c r="N963" s="232" t="s">
        <v>2334</v>
      </c>
      <c r="O963" s="232" t="s">
        <v>431</v>
      </c>
      <c r="P963" s="232" t="s">
        <v>432</v>
      </c>
      <c r="Q963" s="232" t="s">
        <v>2335</v>
      </c>
      <c r="T963" t="s">
        <v>2803</v>
      </c>
      <c r="U963" s="25">
        <f>+Municipios!Z964</f>
        <v>70.138524080856968</v>
      </c>
      <c r="V963" s="232">
        <v>68745</v>
      </c>
      <c r="W963" s="232" t="s">
        <v>2334</v>
      </c>
      <c r="X963" s="232" t="s">
        <v>431</v>
      </c>
      <c r="Y963" s="232" t="s">
        <v>432</v>
      </c>
      <c r="Z963" s="232" t="s">
        <v>2335</v>
      </c>
    </row>
    <row r="964" spans="1:26">
      <c r="A964" t="s">
        <v>417</v>
      </c>
      <c r="B964" s="25">
        <f>+Municipios!Z965</f>
        <v>46.089544900975227</v>
      </c>
      <c r="C964" s="232">
        <v>52473</v>
      </c>
      <c r="D964" s="232" t="s">
        <v>2336</v>
      </c>
      <c r="E964" s="232" t="s">
        <v>672</v>
      </c>
      <c r="F964" s="232" t="s">
        <v>673</v>
      </c>
      <c r="G964" s="232" t="s">
        <v>492</v>
      </c>
      <c r="K964" t="s">
        <v>2647</v>
      </c>
      <c r="L964" s="81">
        <f>+Municipios!AB965</f>
        <v>19.032753690098016</v>
      </c>
      <c r="M964" s="232">
        <v>52473</v>
      </c>
      <c r="N964" s="232" t="s">
        <v>2336</v>
      </c>
      <c r="O964" s="232" t="s">
        <v>672</v>
      </c>
      <c r="P964" s="232" t="s">
        <v>673</v>
      </c>
      <c r="Q964" s="232" t="s">
        <v>492</v>
      </c>
      <c r="T964" t="s">
        <v>2803</v>
      </c>
      <c r="U964" s="25">
        <f>+Municipios!Z965</f>
        <v>46.089544900975227</v>
      </c>
      <c r="V964" s="232">
        <v>52473</v>
      </c>
      <c r="W964" s="232" t="s">
        <v>2336</v>
      </c>
      <c r="X964" s="232" t="s">
        <v>672</v>
      </c>
      <c r="Y964" s="232" t="s">
        <v>673</v>
      </c>
      <c r="Z964" s="232" t="s">
        <v>492</v>
      </c>
    </row>
    <row r="965" spans="1:26">
      <c r="A965" t="s">
        <v>417</v>
      </c>
      <c r="B965" s="25">
        <f>+Municipios!Z966</f>
        <v>40.832406306757996</v>
      </c>
      <c r="C965" s="232">
        <v>13600</v>
      </c>
      <c r="D965" s="232" t="s">
        <v>2337</v>
      </c>
      <c r="E965" s="232" t="s">
        <v>480</v>
      </c>
      <c r="F965" s="232" t="s">
        <v>481</v>
      </c>
      <c r="G965" s="232" t="s">
        <v>2338</v>
      </c>
      <c r="K965" t="s">
        <v>2647</v>
      </c>
      <c r="L965" s="81">
        <f>+Municipios!AB966</f>
        <v>16.803983830432987</v>
      </c>
      <c r="M965" s="232">
        <v>13600</v>
      </c>
      <c r="N965" s="232" t="s">
        <v>2337</v>
      </c>
      <c r="O965" s="232" t="s">
        <v>480</v>
      </c>
      <c r="P965" s="232" t="s">
        <v>481</v>
      </c>
      <c r="Q965" s="232" t="s">
        <v>2338</v>
      </c>
      <c r="T965" t="s">
        <v>2803</v>
      </c>
      <c r="U965" s="25">
        <f>+Municipios!Z966</f>
        <v>40.832406306757996</v>
      </c>
      <c r="V965" s="232">
        <v>13600</v>
      </c>
      <c r="W965" s="232" t="s">
        <v>2337</v>
      </c>
      <c r="X965" s="232" t="s">
        <v>480</v>
      </c>
      <c r="Y965" s="232" t="s">
        <v>481</v>
      </c>
      <c r="Z965" s="232" t="s">
        <v>2338</v>
      </c>
    </row>
    <row r="966" spans="1:26">
      <c r="A966" t="s">
        <v>417</v>
      </c>
      <c r="B966" s="25">
        <f>+Municipios!Z967</f>
        <v>57.103051844708801</v>
      </c>
      <c r="C966" s="232">
        <v>68190</v>
      </c>
      <c r="D966" s="232" t="s">
        <v>2339</v>
      </c>
      <c r="E966" s="232" t="s">
        <v>431</v>
      </c>
      <c r="F966" s="232" t="s">
        <v>432</v>
      </c>
      <c r="G966" s="232" t="s">
        <v>2340</v>
      </c>
      <c r="K966" t="s">
        <v>2647</v>
      </c>
      <c r="L966" s="81">
        <f>+Municipios!AB967</f>
        <v>23.540175277193608</v>
      </c>
      <c r="M966" s="232">
        <v>68190</v>
      </c>
      <c r="N966" s="232" t="s">
        <v>2339</v>
      </c>
      <c r="O966" s="232" t="s">
        <v>431</v>
      </c>
      <c r="P966" s="232" t="s">
        <v>432</v>
      </c>
      <c r="Q966" s="232" t="s">
        <v>2340</v>
      </c>
      <c r="T966" t="s">
        <v>2803</v>
      </c>
      <c r="U966" s="25">
        <f>+Municipios!Z967</f>
        <v>57.103051844708801</v>
      </c>
      <c r="V966" s="232">
        <v>68190</v>
      </c>
      <c r="W966" s="232" t="s">
        <v>2339</v>
      </c>
      <c r="X966" s="232" t="s">
        <v>431</v>
      </c>
      <c r="Y966" s="232" t="s">
        <v>432</v>
      </c>
      <c r="Z966" s="232" t="s">
        <v>2340</v>
      </c>
    </row>
    <row r="967" spans="1:26">
      <c r="A967" t="s">
        <v>417</v>
      </c>
      <c r="B967" s="25">
        <f>+Municipios!Z968</f>
        <v>62.321587997015087</v>
      </c>
      <c r="C967" s="232">
        <v>50400</v>
      </c>
      <c r="D967" s="232" t="s">
        <v>2341</v>
      </c>
      <c r="E967" s="232" t="s">
        <v>605</v>
      </c>
      <c r="F967" s="232" t="s">
        <v>606</v>
      </c>
      <c r="G967" s="232" t="s">
        <v>2342</v>
      </c>
      <c r="K967" t="s">
        <v>2647</v>
      </c>
      <c r="L967" s="81">
        <f>+Municipios!AB968</f>
        <v>25.599731432294735</v>
      </c>
      <c r="M967" s="232">
        <v>50400</v>
      </c>
      <c r="N967" s="232" t="s">
        <v>2341</v>
      </c>
      <c r="O967" s="232" t="s">
        <v>605</v>
      </c>
      <c r="P967" s="232" t="s">
        <v>606</v>
      </c>
      <c r="Q967" s="232" t="s">
        <v>2342</v>
      </c>
      <c r="T967" t="s">
        <v>2803</v>
      </c>
      <c r="U967" s="25">
        <f>+Municipios!Z968</f>
        <v>62.321587997015087</v>
      </c>
      <c r="V967" s="232">
        <v>50400</v>
      </c>
      <c r="W967" s="232" t="s">
        <v>2341</v>
      </c>
      <c r="X967" s="232" t="s">
        <v>605</v>
      </c>
      <c r="Y967" s="232" t="s">
        <v>606</v>
      </c>
      <c r="Z967" s="232" t="s">
        <v>2342</v>
      </c>
    </row>
    <row r="968" spans="1:26">
      <c r="A968" t="s">
        <v>417</v>
      </c>
      <c r="B968" s="25">
        <f>+Municipios!Z969</f>
        <v>52.42643906983934</v>
      </c>
      <c r="C968" s="232">
        <v>54871</v>
      </c>
      <c r="D968" s="232" t="s">
        <v>2343</v>
      </c>
      <c r="E968" s="232" t="s">
        <v>517</v>
      </c>
      <c r="F968" s="232" t="s">
        <v>518</v>
      </c>
      <c r="G968" s="232" t="s">
        <v>2344</v>
      </c>
      <c r="K968" t="s">
        <v>2647</v>
      </c>
      <c r="L968" s="81">
        <f>+Municipios!AB969</f>
        <v>21.534248104512489</v>
      </c>
      <c r="M968" s="232">
        <v>54871</v>
      </c>
      <c r="N968" s="232" t="s">
        <v>2343</v>
      </c>
      <c r="O968" s="232" t="s">
        <v>517</v>
      </c>
      <c r="P968" s="232" t="s">
        <v>518</v>
      </c>
      <c r="Q968" s="232" t="s">
        <v>2344</v>
      </c>
      <c r="T968" t="s">
        <v>2803</v>
      </c>
      <c r="U968" s="25">
        <f>+Municipios!Z969</f>
        <v>52.42643906983934</v>
      </c>
      <c r="V968" s="232">
        <v>54871</v>
      </c>
      <c r="W968" s="232" t="s">
        <v>2343</v>
      </c>
      <c r="X968" s="232" t="s">
        <v>517</v>
      </c>
      <c r="Y968" s="232" t="s">
        <v>518</v>
      </c>
      <c r="Z968" s="232" t="s">
        <v>2344</v>
      </c>
    </row>
    <row r="969" spans="1:26">
      <c r="A969" t="s">
        <v>417</v>
      </c>
      <c r="B969" s="25">
        <f>+Municipios!Z970</f>
        <v>52.575292795567208</v>
      </c>
      <c r="C969" s="232">
        <v>27025</v>
      </c>
      <c r="D969" s="232" t="s">
        <v>2345</v>
      </c>
      <c r="E969" s="232" t="s">
        <v>1714</v>
      </c>
      <c r="F969" s="232" t="s">
        <v>1715</v>
      </c>
      <c r="G969" s="232" t="s">
        <v>2346</v>
      </c>
      <c r="K969" t="s">
        <v>2647</v>
      </c>
      <c r="L969" s="81">
        <f>+Municipios!AB970</f>
        <v>21.58794061591075</v>
      </c>
      <c r="M969" s="232">
        <v>27025</v>
      </c>
      <c r="N969" s="232" t="s">
        <v>2345</v>
      </c>
      <c r="O969" s="232" t="s">
        <v>1714</v>
      </c>
      <c r="P969" s="232" t="s">
        <v>1715</v>
      </c>
      <c r="Q969" s="232" t="s">
        <v>2346</v>
      </c>
      <c r="T969" t="s">
        <v>2803</v>
      </c>
      <c r="U969" s="25">
        <f>+Municipios!Z970</f>
        <v>52.575292795567208</v>
      </c>
      <c r="V969" s="232">
        <v>27025</v>
      </c>
      <c r="W969" s="232" t="s">
        <v>2345</v>
      </c>
      <c r="X969" s="232" t="s">
        <v>1714</v>
      </c>
      <c r="Y969" s="232" t="s">
        <v>1715</v>
      </c>
      <c r="Z969" s="232" t="s">
        <v>2346</v>
      </c>
    </row>
    <row r="970" spans="1:26">
      <c r="A970" t="s">
        <v>417</v>
      </c>
      <c r="B970" s="25">
        <f>+Municipios!Z971</f>
        <v>51.500474960659076</v>
      </c>
      <c r="C970" s="232">
        <v>13744</v>
      </c>
      <c r="D970" s="232" t="s">
        <v>2347</v>
      </c>
      <c r="E970" s="232" t="s">
        <v>480</v>
      </c>
      <c r="F970" s="232" t="s">
        <v>481</v>
      </c>
      <c r="G970" s="232" t="s">
        <v>2348</v>
      </c>
      <c r="K970" t="s">
        <v>2647</v>
      </c>
      <c r="L970" s="81">
        <f>+Municipios!AB971</f>
        <v>21.136530752461507</v>
      </c>
      <c r="M970" s="232">
        <v>13744</v>
      </c>
      <c r="N970" s="232" t="s">
        <v>2347</v>
      </c>
      <c r="O970" s="232" t="s">
        <v>480</v>
      </c>
      <c r="P970" s="232" t="s">
        <v>481</v>
      </c>
      <c r="Q970" s="232" t="s">
        <v>2348</v>
      </c>
      <c r="T970" t="s">
        <v>2803</v>
      </c>
      <c r="U970" s="25">
        <f>+Municipios!Z971</f>
        <v>51.500474960659076</v>
      </c>
      <c r="V970" s="232">
        <v>13744</v>
      </c>
      <c r="W970" s="232" t="s">
        <v>2347</v>
      </c>
      <c r="X970" s="232" t="s">
        <v>480</v>
      </c>
      <c r="Y970" s="232" t="s">
        <v>481</v>
      </c>
      <c r="Z970" s="232" t="s">
        <v>2348</v>
      </c>
    </row>
    <row r="971" spans="1:26">
      <c r="A971" t="s">
        <v>417</v>
      </c>
      <c r="B971" s="25">
        <f>+Municipios!Z972</f>
        <v>53.295159005854167</v>
      </c>
      <c r="C971" s="232">
        <v>52390</v>
      </c>
      <c r="D971" s="232" t="s">
        <v>2349</v>
      </c>
      <c r="E971" s="232" t="s">
        <v>672</v>
      </c>
      <c r="F971" s="232" t="s">
        <v>673</v>
      </c>
      <c r="G971" s="232" t="s">
        <v>2350</v>
      </c>
      <c r="K971" t="s">
        <v>2647</v>
      </c>
      <c r="L971" s="81">
        <f>+Municipios!AB972</f>
        <v>21.853236714166062</v>
      </c>
      <c r="M971" s="232">
        <v>52390</v>
      </c>
      <c r="N971" s="232" t="s">
        <v>2349</v>
      </c>
      <c r="O971" s="232" t="s">
        <v>672</v>
      </c>
      <c r="P971" s="232" t="s">
        <v>673</v>
      </c>
      <c r="Q971" s="232" t="s">
        <v>2350</v>
      </c>
      <c r="T971" t="s">
        <v>2803</v>
      </c>
      <c r="U971" s="25">
        <f>+Municipios!Z972</f>
        <v>53.295159005854167</v>
      </c>
      <c r="V971" s="232">
        <v>52390</v>
      </c>
      <c r="W971" s="232" t="s">
        <v>2349</v>
      </c>
      <c r="X971" s="232" t="s">
        <v>672</v>
      </c>
      <c r="Y971" s="232" t="s">
        <v>673</v>
      </c>
      <c r="Z971" s="232" t="s">
        <v>2350</v>
      </c>
    </row>
    <row r="972" spans="1:26">
      <c r="A972" t="s">
        <v>417</v>
      </c>
      <c r="B972" s="25">
        <f>+Municipios!Z973</f>
        <v>54.231857391385901</v>
      </c>
      <c r="C972" s="232">
        <v>18256</v>
      </c>
      <c r="D972" s="232" t="s">
        <v>2351</v>
      </c>
      <c r="E972" s="232" t="s">
        <v>1463</v>
      </c>
      <c r="F972" s="232" t="s">
        <v>1464</v>
      </c>
      <c r="G972" s="232" t="s">
        <v>2352</v>
      </c>
      <c r="K972" t="s">
        <v>2647</v>
      </c>
      <c r="L972" s="81">
        <f>+Municipios!AB973</f>
        <v>22.228696855361083</v>
      </c>
      <c r="M972" s="232">
        <v>18256</v>
      </c>
      <c r="N972" s="232" t="s">
        <v>2351</v>
      </c>
      <c r="O972" s="232" t="s">
        <v>1463</v>
      </c>
      <c r="P972" s="232" t="s">
        <v>1464</v>
      </c>
      <c r="Q972" s="232" t="s">
        <v>2352</v>
      </c>
      <c r="T972" t="s">
        <v>2803</v>
      </c>
      <c r="U972" s="25">
        <f>+Municipios!Z973</f>
        <v>54.231857391385901</v>
      </c>
      <c r="V972" s="232">
        <v>18256</v>
      </c>
      <c r="W972" s="232" t="s">
        <v>2351</v>
      </c>
      <c r="X972" s="232" t="s">
        <v>1463</v>
      </c>
      <c r="Y972" s="232" t="s">
        <v>1464</v>
      </c>
      <c r="Z972" s="232" t="s">
        <v>2352</v>
      </c>
    </row>
    <row r="973" spans="1:26">
      <c r="A973" t="s">
        <v>417</v>
      </c>
      <c r="B973" s="25">
        <f>+Municipios!Z974</f>
        <v>64.583695810639853</v>
      </c>
      <c r="C973" s="232">
        <v>13688</v>
      </c>
      <c r="D973" s="232" t="s">
        <v>2353</v>
      </c>
      <c r="E973" s="232" t="s">
        <v>480</v>
      </c>
      <c r="F973" s="232" t="s">
        <v>481</v>
      </c>
      <c r="G973" s="232" t="s">
        <v>2354</v>
      </c>
      <c r="K973" t="s">
        <v>2647</v>
      </c>
      <c r="L973" s="81">
        <f>+Municipios!AB974</f>
        <v>26.473707286346034</v>
      </c>
      <c r="M973" s="232">
        <v>13688</v>
      </c>
      <c r="N973" s="232" t="s">
        <v>2353</v>
      </c>
      <c r="O973" s="232" t="s">
        <v>480</v>
      </c>
      <c r="P973" s="232" t="s">
        <v>481</v>
      </c>
      <c r="Q973" s="232" t="s">
        <v>2354</v>
      </c>
      <c r="T973" t="s">
        <v>2803</v>
      </c>
      <c r="U973" s="25">
        <f>+Municipios!Z974</f>
        <v>64.583695810639853</v>
      </c>
      <c r="V973" s="232">
        <v>13688</v>
      </c>
      <c r="W973" s="232" t="s">
        <v>2353</v>
      </c>
      <c r="X973" s="232" t="s">
        <v>480</v>
      </c>
      <c r="Y973" s="232" t="s">
        <v>481</v>
      </c>
      <c r="Z973" s="232" t="s">
        <v>2354</v>
      </c>
    </row>
    <row r="974" spans="1:26">
      <c r="A974" t="s">
        <v>417</v>
      </c>
      <c r="B974" s="25">
        <f>+Municipios!Z975</f>
        <v>57.907063208329554</v>
      </c>
      <c r="C974" s="232">
        <v>15621</v>
      </c>
      <c r="D974" s="232" t="s">
        <v>2355</v>
      </c>
      <c r="E974" s="232" t="s">
        <v>498</v>
      </c>
      <c r="F974" s="232" t="s">
        <v>499</v>
      </c>
      <c r="G974" s="232" t="s">
        <v>2356</v>
      </c>
      <c r="K974" t="s">
        <v>2647</v>
      </c>
      <c r="L974" s="81">
        <f>+Municipios!AB975</f>
        <v>23.629861130647271</v>
      </c>
      <c r="M974" s="232">
        <v>15621</v>
      </c>
      <c r="N974" s="232" t="s">
        <v>2355</v>
      </c>
      <c r="O974" s="232" t="s">
        <v>498</v>
      </c>
      <c r="P974" s="232" t="s">
        <v>499</v>
      </c>
      <c r="Q974" s="232" t="s">
        <v>2356</v>
      </c>
      <c r="T974" t="s">
        <v>2803</v>
      </c>
      <c r="U974" s="25">
        <f>+Municipios!Z975</f>
        <v>57.907063208329554</v>
      </c>
      <c r="V974" s="232">
        <v>15621</v>
      </c>
      <c r="W974" s="232" t="s">
        <v>2355</v>
      </c>
      <c r="X974" s="232" t="s">
        <v>498</v>
      </c>
      <c r="Y974" s="232" t="s">
        <v>499</v>
      </c>
      <c r="Z974" s="232" t="s">
        <v>2356</v>
      </c>
    </row>
    <row r="975" spans="1:26">
      <c r="A975" t="s">
        <v>417</v>
      </c>
      <c r="B975" s="25">
        <f>+Municipios!Z976</f>
        <v>59.518084863745344</v>
      </c>
      <c r="C975" s="232">
        <v>52233</v>
      </c>
      <c r="D975" s="232" t="s">
        <v>2357</v>
      </c>
      <c r="E975" s="232" t="s">
        <v>672</v>
      </c>
      <c r="F975" s="232" t="s">
        <v>673</v>
      </c>
      <c r="G975" s="232" t="s">
        <v>2358</v>
      </c>
      <c r="K975" t="s">
        <v>2647</v>
      </c>
      <c r="L975" s="81">
        <f>+Municipios!AB976</f>
        <v>24.367700578449625</v>
      </c>
      <c r="M975" s="232">
        <v>52233</v>
      </c>
      <c r="N975" s="232" t="s">
        <v>2357</v>
      </c>
      <c r="O975" s="232" t="s">
        <v>672</v>
      </c>
      <c r="P975" s="232" t="s">
        <v>673</v>
      </c>
      <c r="Q975" s="232" t="s">
        <v>2358</v>
      </c>
      <c r="T975" t="s">
        <v>2803</v>
      </c>
      <c r="U975" s="25">
        <f>+Municipios!Z976</f>
        <v>59.518084863745344</v>
      </c>
      <c r="V975" s="232">
        <v>52233</v>
      </c>
      <c r="W975" s="232" t="s">
        <v>2357</v>
      </c>
      <c r="X975" s="232" t="s">
        <v>672</v>
      </c>
      <c r="Y975" s="232" t="s">
        <v>673</v>
      </c>
      <c r="Z975" s="232" t="s">
        <v>2358</v>
      </c>
    </row>
    <row r="976" spans="1:26">
      <c r="A976" t="s">
        <v>417</v>
      </c>
      <c r="B976" s="25">
        <f>+Municipios!Z977</f>
        <v>58.725210852579465</v>
      </c>
      <c r="C976" s="232">
        <v>68101</v>
      </c>
      <c r="D976" s="232" t="s">
        <v>2359</v>
      </c>
      <c r="E976" s="232" t="s">
        <v>431</v>
      </c>
      <c r="F976" s="232" t="s">
        <v>432</v>
      </c>
      <c r="G976" s="232" t="s">
        <v>481</v>
      </c>
      <c r="K976" t="s">
        <v>2647</v>
      </c>
      <c r="L976" s="81">
        <f>+Municipios!AB977</f>
        <v>24.009662957781465</v>
      </c>
      <c r="M976" s="232">
        <v>68101</v>
      </c>
      <c r="N976" s="232" t="s">
        <v>2359</v>
      </c>
      <c r="O976" s="232" t="s">
        <v>431</v>
      </c>
      <c r="P976" s="232" t="s">
        <v>432</v>
      </c>
      <c r="Q976" s="232" t="s">
        <v>481</v>
      </c>
      <c r="T976" t="s">
        <v>2803</v>
      </c>
      <c r="U976" s="25">
        <f>+Municipios!Z977</f>
        <v>58.725210852579465</v>
      </c>
      <c r="V976" s="232">
        <v>68101</v>
      </c>
      <c r="W976" s="232" t="s">
        <v>2359</v>
      </c>
      <c r="X976" s="232" t="s">
        <v>431</v>
      </c>
      <c r="Y976" s="232" t="s">
        <v>432</v>
      </c>
      <c r="Z976" s="232" t="s">
        <v>481</v>
      </c>
    </row>
    <row r="977" spans="1:26">
      <c r="A977" t="s">
        <v>417</v>
      </c>
      <c r="B977" s="25">
        <f>+Municipios!Z978</f>
        <v>65.668660753260198</v>
      </c>
      <c r="C977" s="232">
        <v>68573</v>
      </c>
      <c r="D977" s="232" t="s">
        <v>2360</v>
      </c>
      <c r="E977" s="232" t="s">
        <v>431</v>
      </c>
      <c r="F977" s="232" t="s">
        <v>432</v>
      </c>
      <c r="G977" s="232" t="s">
        <v>2361</v>
      </c>
      <c r="K977" t="s">
        <v>2647</v>
      </c>
      <c r="L977" s="81">
        <f>+Municipios!AB978</f>
        <v>26.837412689184941</v>
      </c>
      <c r="M977" s="232">
        <v>68573</v>
      </c>
      <c r="N977" s="232" t="s">
        <v>2360</v>
      </c>
      <c r="O977" s="232" t="s">
        <v>431</v>
      </c>
      <c r="P977" s="232" t="s">
        <v>432</v>
      </c>
      <c r="Q977" s="232" t="s">
        <v>2361</v>
      </c>
      <c r="T977" t="s">
        <v>2803</v>
      </c>
      <c r="U977" s="25">
        <f>+Municipios!Z978</f>
        <v>65.668660753260198</v>
      </c>
      <c r="V977" s="232">
        <v>68573</v>
      </c>
      <c r="W977" s="232" t="s">
        <v>2360</v>
      </c>
      <c r="X977" s="232" t="s">
        <v>431</v>
      </c>
      <c r="Y977" s="232" t="s">
        <v>432</v>
      </c>
      <c r="Z977" s="232" t="s">
        <v>2361</v>
      </c>
    </row>
    <row r="978" spans="1:26">
      <c r="A978" t="s">
        <v>417</v>
      </c>
      <c r="B978" s="25">
        <f>+Municipios!Z979</f>
        <v>56.248882613074286</v>
      </c>
      <c r="C978" s="232">
        <v>54820</v>
      </c>
      <c r="D978" s="232" t="s">
        <v>2362</v>
      </c>
      <c r="E978" s="232" t="s">
        <v>517</v>
      </c>
      <c r="F978" s="232" t="s">
        <v>518</v>
      </c>
      <c r="G978" s="232" t="s">
        <v>1666</v>
      </c>
      <c r="K978" t="s">
        <v>2647</v>
      </c>
      <c r="L978" s="81">
        <f>+Municipios!AB979</f>
        <v>22.997900078522427</v>
      </c>
      <c r="M978" s="232">
        <v>54820</v>
      </c>
      <c r="N978" s="232" t="s">
        <v>2362</v>
      </c>
      <c r="O978" s="232" t="s">
        <v>517</v>
      </c>
      <c r="P978" s="232" t="s">
        <v>518</v>
      </c>
      <c r="Q978" s="232" t="s">
        <v>1666</v>
      </c>
      <c r="T978" t="s">
        <v>2803</v>
      </c>
      <c r="U978" s="25">
        <f>+Municipios!Z979</f>
        <v>56.248882613074286</v>
      </c>
      <c r="V978" s="232">
        <v>54820</v>
      </c>
      <c r="W978" s="232" t="s">
        <v>2362</v>
      </c>
      <c r="X978" s="232" t="s">
        <v>517</v>
      </c>
      <c r="Y978" s="232" t="s">
        <v>518</v>
      </c>
      <c r="Z978" s="232" t="s">
        <v>1666</v>
      </c>
    </row>
    <row r="979" spans="1:26">
      <c r="A979" t="s">
        <v>417</v>
      </c>
      <c r="B979" s="25">
        <f>+Municipios!Z980</f>
        <v>60.101317050408682</v>
      </c>
      <c r="C979" s="232">
        <v>73461</v>
      </c>
      <c r="D979" s="232" t="s">
        <v>2363</v>
      </c>
      <c r="E979" s="232" t="s">
        <v>595</v>
      </c>
      <c r="F979" s="232" t="s">
        <v>596</v>
      </c>
      <c r="G979" s="232" t="s">
        <v>2364</v>
      </c>
      <c r="K979" t="s">
        <v>2647</v>
      </c>
      <c r="L979" s="81">
        <f>+Municipios!AB980</f>
        <v>24.542696932396865</v>
      </c>
      <c r="M979" s="232">
        <v>73461</v>
      </c>
      <c r="N979" s="232" t="s">
        <v>2363</v>
      </c>
      <c r="O979" s="232" t="s">
        <v>595</v>
      </c>
      <c r="P979" s="232" t="s">
        <v>596</v>
      </c>
      <c r="Q979" s="232" t="s">
        <v>2364</v>
      </c>
      <c r="T979" t="s">
        <v>2803</v>
      </c>
      <c r="U979" s="25">
        <f>+Municipios!Z980</f>
        <v>60.101317050408682</v>
      </c>
      <c r="V979" s="232">
        <v>73461</v>
      </c>
      <c r="W979" s="232" t="s">
        <v>2363</v>
      </c>
      <c r="X979" s="232" t="s">
        <v>595</v>
      </c>
      <c r="Y979" s="232" t="s">
        <v>596</v>
      </c>
      <c r="Z979" s="232" t="s">
        <v>2364</v>
      </c>
    </row>
    <row r="980" spans="1:26">
      <c r="A980" t="s">
        <v>417</v>
      </c>
      <c r="B980" s="25">
        <f>+Municipios!Z981</f>
        <v>57.153475183220472</v>
      </c>
      <c r="C980" s="232">
        <v>25293</v>
      </c>
      <c r="D980" s="232" t="s">
        <v>2365</v>
      </c>
      <c r="E980" s="232" t="s">
        <v>461</v>
      </c>
      <c r="F980" s="232" t="s">
        <v>462</v>
      </c>
      <c r="G980" s="232" t="s">
        <v>2366</v>
      </c>
      <c r="K980" t="s">
        <v>2647</v>
      </c>
      <c r="L980" s="81">
        <f>+Municipios!AB981</f>
        <v>23.231657040173115</v>
      </c>
      <c r="M980" s="232">
        <v>25293</v>
      </c>
      <c r="N980" s="232" t="s">
        <v>2365</v>
      </c>
      <c r="O980" s="232" t="s">
        <v>461</v>
      </c>
      <c r="P980" s="232" t="s">
        <v>462</v>
      </c>
      <c r="Q980" s="232" t="s">
        <v>2366</v>
      </c>
      <c r="T980" t="s">
        <v>2803</v>
      </c>
      <c r="U980" s="25">
        <f>+Municipios!Z981</f>
        <v>57.153475183220472</v>
      </c>
      <c r="V980" s="232">
        <v>25293</v>
      </c>
      <c r="W980" s="232" t="s">
        <v>2365</v>
      </c>
      <c r="X980" s="232" t="s">
        <v>461</v>
      </c>
      <c r="Y980" s="232" t="s">
        <v>462</v>
      </c>
      <c r="Z980" s="232" t="s">
        <v>2366</v>
      </c>
    </row>
    <row r="981" spans="1:26">
      <c r="A981" t="s">
        <v>417</v>
      </c>
      <c r="B981" s="25">
        <f>+Municipios!Z982</f>
        <v>49.982138549152147</v>
      </c>
      <c r="C981" s="232">
        <v>15667</v>
      </c>
      <c r="D981" s="232" t="s">
        <v>2367</v>
      </c>
      <c r="E981" s="232" t="s">
        <v>498</v>
      </c>
      <c r="F981" s="232" t="s">
        <v>499</v>
      </c>
      <c r="G981" s="232" t="s">
        <v>2368</v>
      </c>
      <c r="K981" t="s">
        <v>2647</v>
      </c>
      <c r="L981" s="81">
        <f>+Municipios!AB982</f>
        <v>20.25963579527269</v>
      </c>
      <c r="M981" s="232">
        <v>15667</v>
      </c>
      <c r="N981" s="232" t="s">
        <v>2367</v>
      </c>
      <c r="O981" s="232" t="s">
        <v>498</v>
      </c>
      <c r="P981" s="232" t="s">
        <v>499</v>
      </c>
      <c r="Q981" s="232" t="s">
        <v>2368</v>
      </c>
      <c r="T981" t="s">
        <v>2803</v>
      </c>
      <c r="U981" s="25">
        <f>+Municipios!Z982</f>
        <v>49.982138549152147</v>
      </c>
      <c r="V981" s="232">
        <v>15667</v>
      </c>
      <c r="W981" s="232" t="s">
        <v>2367</v>
      </c>
      <c r="X981" s="232" t="s">
        <v>498</v>
      </c>
      <c r="Y981" s="232" t="s">
        <v>499</v>
      </c>
      <c r="Z981" s="232" t="s">
        <v>2368</v>
      </c>
    </row>
    <row r="982" spans="1:26">
      <c r="A982" t="s">
        <v>417</v>
      </c>
      <c r="B982" s="25">
        <f>+Municipios!Z983</f>
        <v>60.273168977248929</v>
      </c>
      <c r="C982" s="232">
        <v>25530</v>
      </c>
      <c r="D982" s="232" t="s">
        <v>2369</v>
      </c>
      <c r="E982" s="232" t="s">
        <v>461</v>
      </c>
      <c r="F982" s="232" t="s">
        <v>462</v>
      </c>
      <c r="G982" s="232" t="s">
        <v>2370</v>
      </c>
      <c r="K982" t="s">
        <v>2647</v>
      </c>
      <c r="L982" s="81">
        <f>+Municipios!AB983</f>
        <v>24.382456422557077</v>
      </c>
      <c r="M982" s="232">
        <v>25530</v>
      </c>
      <c r="N982" s="232" t="s">
        <v>2369</v>
      </c>
      <c r="O982" s="232" t="s">
        <v>461</v>
      </c>
      <c r="P982" s="232" t="s">
        <v>462</v>
      </c>
      <c r="Q982" s="232" t="s">
        <v>2370</v>
      </c>
      <c r="T982" t="s">
        <v>2803</v>
      </c>
      <c r="U982" s="25">
        <f>+Municipios!Z983</f>
        <v>60.273168977248929</v>
      </c>
      <c r="V982" s="232">
        <v>25530</v>
      </c>
      <c r="W982" s="232" t="s">
        <v>2369</v>
      </c>
      <c r="X982" s="232" t="s">
        <v>461</v>
      </c>
      <c r="Y982" s="232" t="s">
        <v>462</v>
      </c>
      <c r="Z982" s="232" t="s">
        <v>2370</v>
      </c>
    </row>
    <row r="983" spans="1:26">
      <c r="A983" t="s">
        <v>417</v>
      </c>
      <c r="B983" s="25">
        <f>+Municipios!Z984</f>
        <v>53.881986889411237</v>
      </c>
      <c r="C983" s="232">
        <v>54174</v>
      </c>
      <c r="D983" s="232" t="s">
        <v>2371</v>
      </c>
      <c r="E983" s="232" t="s">
        <v>517</v>
      </c>
      <c r="F983" s="232" t="s">
        <v>518</v>
      </c>
      <c r="G983" s="232" t="s">
        <v>2372</v>
      </c>
      <c r="K983" t="s">
        <v>2647</v>
      </c>
      <c r="L983" s="81">
        <f>+Municipios!AB984</f>
        <v>21.905539571039228</v>
      </c>
      <c r="M983" s="232">
        <v>54174</v>
      </c>
      <c r="N983" s="232" t="s">
        <v>2371</v>
      </c>
      <c r="O983" s="232" t="s">
        <v>517</v>
      </c>
      <c r="P983" s="232" t="s">
        <v>518</v>
      </c>
      <c r="Q983" s="232" t="s">
        <v>2372</v>
      </c>
      <c r="T983" t="s">
        <v>2803</v>
      </c>
      <c r="U983" s="25">
        <f>+Municipios!Z984</f>
        <v>53.881986889411237</v>
      </c>
      <c r="V983" s="232">
        <v>54174</v>
      </c>
      <c r="W983" s="232" t="s">
        <v>2371</v>
      </c>
      <c r="X983" s="232" t="s">
        <v>517</v>
      </c>
      <c r="Y983" s="232" t="s">
        <v>518</v>
      </c>
      <c r="Z983" s="232" t="s">
        <v>2372</v>
      </c>
    </row>
    <row r="984" spans="1:26">
      <c r="A984" t="s">
        <v>417</v>
      </c>
      <c r="B984" s="25">
        <f>+Municipios!Z985</f>
        <v>64.418709922783393</v>
      </c>
      <c r="C984" s="232">
        <v>41078</v>
      </c>
      <c r="D984" s="232" t="s">
        <v>2373</v>
      </c>
      <c r="E984" s="232" t="s">
        <v>676</v>
      </c>
      <c r="F984" s="232" t="s">
        <v>677</v>
      </c>
      <c r="G984" s="232" t="s">
        <v>2374</v>
      </c>
      <c r="K984" t="s">
        <v>2647</v>
      </c>
      <c r="L984" s="81">
        <f>+Municipios!AB985</f>
        <v>26.11238868207009</v>
      </c>
      <c r="M984" s="232">
        <v>41078</v>
      </c>
      <c r="N984" s="232" t="s">
        <v>2373</v>
      </c>
      <c r="O984" s="232" t="s">
        <v>676</v>
      </c>
      <c r="P984" s="232" t="s">
        <v>677</v>
      </c>
      <c r="Q984" s="232" t="s">
        <v>2374</v>
      </c>
      <c r="T984" t="s">
        <v>2803</v>
      </c>
      <c r="U984" s="25">
        <f>+Municipios!Z985</f>
        <v>64.418709922783393</v>
      </c>
      <c r="V984" s="232">
        <v>41078</v>
      </c>
      <c r="W984" s="232" t="s">
        <v>2373</v>
      </c>
      <c r="X984" s="232" t="s">
        <v>676</v>
      </c>
      <c r="Y984" s="232" t="s">
        <v>677</v>
      </c>
      <c r="Z984" s="232" t="s">
        <v>2374</v>
      </c>
    </row>
    <row r="985" spans="1:26">
      <c r="A985" t="s">
        <v>417</v>
      </c>
      <c r="B985" s="25">
        <f>+Municipios!Z986</f>
        <v>47.108336941486513</v>
      </c>
      <c r="C985" s="232">
        <v>27413</v>
      </c>
      <c r="D985" s="232" t="s">
        <v>2375</v>
      </c>
      <c r="E985" s="232" t="s">
        <v>1714</v>
      </c>
      <c r="F985" s="232" t="s">
        <v>1715</v>
      </c>
      <c r="G985" s="232" t="s">
        <v>2376</v>
      </c>
      <c r="K985" t="s">
        <v>2647</v>
      </c>
      <c r="L985" s="81">
        <f>+Municipios!AB986</f>
        <v>19.088591802879247</v>
      </c>
      <c r="M985" s="232">
        <v>27413</v>
      </c>
      <c r="N985" s="232" t="s">
        <v>2375</v>
      </c>
      <c r="O985" s="232" t="s">
        <v>1714</v>
      </c>
      <c r="P985" s="232" t="s">
        <v>1715</v>
      </c>
      <c r="Q985" s="232" t="s">
        <v>2376</v>
      </c>
      <c r="T985" t="s">
        <v>2803</v>
      </c>
      <c r="U985" s="25">
        <f>+Municipios!Z986</f>
        <v>47.108336941486513</v>
      </c>
      <c r="V985" s="232">
        <v>27413</v>
      </c>
      <c r="W985" s="232" t="s">
        <v>2375</v>
      </c>
      <c r="X985" s="232" t="s">
        <v>1714</v>
      </c>
      <c r="Y985" s="232" t="s">
        <v>1715</v>
      </c>
      <c r="Z985" s="232" t="s">
        <v>2376</v>
      </c>
    </row>
    <row r="986" spans="1:26">
      <c r="A986" t="s">
        <v>417</v>
      </c>
      <c r="B986" s="25">
        <f>+Municipios!Z987</f>
        <v>62.039169816554114</v>
      </c>
      <c r="C986" s="232">
        <v>15690</v>
      </c>
      <c r="D986" s="232" t="s">
        <v>2377</v>
      </c>
      <c r="E986" s="232" t="s">
        <v>498</v>
      </c>
      <c r="F986" s="232" t="s">
        <v>499</v>
      </c>
      <c r="G986" s="232" t="s">
        <v>1894</v>
      </c>
      <c r="K986" t="s">
        <v>2647</v>
      </c>
      <c r="L986" s="81">
        <f>+Municipios!AB987</f>
        <v>24.98629015672272</v>
      </c>
      <c r="M986" s="232">
        <v>15690</v>
      </c>
      <c r="N986" s="232" t="s">
        <v>2377</v>
      </c>
      <c r="O986" s="232" t="s">
        <v>498</v>
      </c>
      <c r="P986" s="232" t="s">
        <v>499</v>
      </c>
      <c r="Q986" s="232" t="s">
        <v>1894</v>
      </c>
      <c r="T986" t="s">
        <v>2803</v>
      </c>
      <c r="U986" s="25">
        <f>+Municipios!Z987</f>
        <v>62.039169816554114</v>
      </c>
      <c r="V986" s="232">
        <v>15690</v>
      </c>
      <c r="W986" s="232" t="s">
        <v>2377</v>
      </c>
      <c r="X986" s="232" t="s">
        <v>498</v>
      </c>
      <c r="Y986" s="232" t="s">
        <v>499</v>
      </c>
      <c r="Z986" s="232" t="s">
        <v>1894</v>
      </c>
    </row>
    <row r="987" spans="1:26">
      <c r="A987" t="s">
        <v>417</v>
      </c>
      <c r="B987" s="25">
        <f>+Municipios!Z988</f>
        <v>58.362330043754305</v>
      </c>
      <c r="C987" s="232">
        <v>81001</v>
      </c>
      <c r="D987" s="232" t="s">
        <v>2378</v>
      </c>
      <c r="E987" s="232" t="s">
        <v>1568</v>
      </c>
      <c r="F987" s="232" t="s">
        <v>1569</v>
      </c>
      <c r="G987" s="232" t="s">
        <v>1569</v>
      </c>
      <c r="K987" t="s">
        <v>2647</v>
      </c>
      <c r="L987" s="81">
        <f>+Municipios!AB988</f>
        <v>23.486728438810218</v>
      </c>
      <c r="M987" s="232">
        <v>81001</v>
      </c>
      <c r="N987" s="232" t="s">
        <v>2378</v>
      </c>
      <c r="O987" s="232" t="s">
        <v>1568</v>
      </c>
      <c r="P987" s="232" t="s">
        <v>1569</v>
      </c>
      <c r="Q987" s="232" t="s">
        <v>1569</v>
      </c>
      <c r="T987" t="s">
        <v>2803</v>
      </c>
      <c r="U987" s="25">
        <f>+Municipios!Z988</f>
        <v>58.362330043754305</v>
      </c>
      <c r="V987" s="232">
        <v>81001</v>
      </c>
      <c r="W987" s="232" t="s">
        <v>2378</v>
      </c>
      <c r="X987" s="232" t="s">
        <v>1568</v>
      </c>
      <c r="Y987" s="232" t="s">
        <v>1569</v>
      </c>
      <c r="Z987" s="232" t="s">
        <v>1569</v>
      </c>
    </row>
    <row r="988" spans="1:26">
      <c r="A988" t="s">
        <v>417</v>
      </c>
      <c r="B988" s="25">
        <f>+Municipios!Z989</f>
        <v>41.364716964384122</v>
      </c>
      <c r="C988" s="232">
        <v>5004</v>
      </c>
      <c r="D988" s="232" t="s">
        <v>2379</v>
      </c>
      <c r="E988" s="232" t="s">
        <v>435</v>
      </c>
      <c r="F988" s="232" t="s">
        <v>436</v>
      </c>
      <c r="G988" s="232" t="s">
        <v>2380</v>
      </c>
      <c r="K988" t="s">
        <v>2647</v>
      </c>
      <c r="L988" s="81">
        <f>+Municipios!AB989</f>
        <v>16.610523026746147</v>
      </c>
      <c r="M988" s="232">
        <v>5004</v>
      </c>
      <c r="N988" s="232" t="s">
        <v>2379</v>
      </c>
      <c r="O988" s="232" t="s">
        <v>435</v>
      </c>
      <c r="P988" s="232" t="s">
        <v>436</v>
      </c>
      <c r="Q988" s="232" t="s">
        <v>2380</v>
      </c>
      <c r="T988" t="s">
        <v>2803</v>
      </c>
      <c r="U988" s="25">
        <f>+Municipios!Z989</f>
        <v>41.364716964384122</v>
      </c>
      <c r="V988" s="232">
        <v>5004</v>
      </c>
      <c r="W988" s="232" t="s">
        <v>2379</v>
      </c>
      <c r="X988" s="232" t="s">
        <v>435</v>
      </c>
      <c r="Y988" s="232" t="s">
        <v>436</v>
      </c>
      <c r="Z988" s="232" t="s">
        <v>2380</v>
      </c>
    </row>
    <row r="989" spans="1:26">
      <c r="A989" t="s">
        <v>417</v>
      </c>
      <c r="B989" s="25">
        <f>+Municipios!Z990</f>
        <v>67.635914894756695</v>
      </c>
      <c r="C989" s="232">
        <v>27600</v>
      </c>
      <c r="D989" s="232" t="s">
        <v>2381</v>
      </c>
      <c r="E989" s="232" t="s">
        <v>1714</v>
      </c>
      <c r="F989" s="232" t="s">
        <v>1715</v>
      </c>
      <c r="G989" s="232" t="s">
        <v>2382</v>
      </c>
      <c r="K989" t="s">
        <v>2647</v>
      </c>
      <c r="L989" s="81">
        <f>+Municipios!AB990</f>
        <v>27.150994529373342</v>
      </c>
      <c r="M989" s="232">
        <v>27600</v>
      </c>
      <c r="N989" s="232" t="s">
        <v>2381</v>
      </c>
      <c r="O989" s="232" t="s">
        <v>1714</v>
      </c>
      <c r="P989" s="232" t="s">
        <v>1715</v>
      </c>
      <c r="Q989" s="232" t="s">
        <v>2382</v>
      </c>
      <c r="T989" t="s">
        <v>2803</v>
      </c>
      <c r="U989" s="25">
        <f>+Municipios!Z990</f>
        <v>67.635914894756695</v>
      </c>
      <c r="V989" s="232">
        <v>27600</v>
      </c>
      <c r="W989" s="232" t="s">
        <v>2381</v>
      </c>
      <c r="X989" s="232" t="s">
        <v>1714</v>
      </c>
      <c r="Y989" s="232" t="s">
        <v>1715</v>
      </c>
      <c r="Z989" s="232" t="s">
        <v>2382</v>
      </c>
    </row>
    <row r="990" spans="1:26">
      <c r="A990" t="s">
        <v>417</v>
      </c>
      <c r="B990" s="25">
        <f>+Municipios!Z991</f>
        <v>58.543829005375159</v>
      </c>
      <c r="C990" s="232">
        <v>15755</v>
      </c>
      <c r="D990" s="232" t="s">
        <v>2383</v>
      </c>
      <c r="E990" s="232" t="s">
        <v>498</v>
      </c>
      <c r="F990" s="232" t="s">
        <v>499</v>
      </c>
      <c r="G990" s="232" t="s">
        <v>2384</v>
      </c>
      <c r="K990" t="s">
        <v>2647</v>
      </c>
      <c r="L990" s="81">
        <f>+Municipios!AB991</f>
        <v>23.518095198077109</v>
      </c>
      <c r="M990" s="232">
        <v>15755</v>
      </c>
      <c r="N990" s="232" t="s">
        <v>2383</v>
      </c>
      <c r="O990" s="232" t="s">
        <v>498</v>
      </c>
      <c r="P990" s="232" t="s">
        <v>499</v>
      </c>
      <c r="Q990" s="232" t="s">
        <v>2384</v>
      </c>
      <c r="T990" t="s">
        <v>2803</v>
      </c>
      <c r="U990" s="25">
        <f>+Municipios!Z991</f>
        <v>58.543829005375159</v>
      </c>
      <c r="V990" s="232">
        <v>15755</v>
      </c>
      <c r="W990" s="232" t="s">
        <v>2383</v>
      </c>
      <c r="X990" s="232" t="s">
        <v>498</v>
      </c>
      <c r="Y990" s="232" t="s">
        <v>499</v>
      </c>
      <c r="Z990" s="232" t="s">
        <v>2384</v>
      </c>
    </row>
    <row r="991" spans="1:26">
      <c r="A991" t="s">
        <v>417</v>
      </c>
      <c r="B991" s="25">
        <f>+Municipios!Z992</f>
        <v>54.958909546377939</v>
      </c>
      <c r="C991" s="232">
        <v>73616</v>
      </c>
      <c r="D991" s="232" t="s">
        <v>2385</v>
      </c>
      <c r="E991" s="232" t="s">
        <v>595</v>
      </c>
      <c r="F991" s="232" t="s">
        <v>596</v>
      </c>
      <c r="G991" s="232" t="s">
        <v>2386</v>
      </c>
      <c r="K991" t="s">
        <v>2647</v>
      </c>
      <c r="L991" s="81">
        <f>+Municipios!AB992</f>
        <v>21.897004768392186</v>
      </c>
      <c r="M991" s="232">
        <v>73616</v>
      </c>
      <c r="N991" s="232" t="s">
        <v>2385</v>
      </c>
      <c r="O991" s="232" t="s">
        <v>595</v>
      </c>
      <c r="P991" s="232" t="s">
        <v>596</v>
      </c>
      <c r="Q991" s="232" t="s">
        <v>2386</v>
      </c>
      <c r="T991" t="s">
        <v>2803</v>
      </c>
      <c r="U991" s="25">
        <f>+Municipios!Z992</f>
        <v>54.958909546377939</v>
      </c>
      <c r="V991" s="232">
        <v>73616</v>
      </c>
      <c r="W991" s="232" t="s">
        <v>2385</v>
      </c>
      <c r="X991" s="232" t="s">
        <v>595</v>
      </c>
      <c r="Y991" s="232" t="s">
        <v>596</v>
      </c>
      <c r="Z991" s="232" t="s">
        <v>2386</v>
      </c>
    </row>
    <row r="992" spans="1:26">
      <c r="A992" t="s">
        <v>417</v>
      </c>
      <c r="B992" s="25">
        <f>+Municipios!Z993</f>
        <v>57.19938238040163</v>
      </c>
      <c r="C992" s="232">
        <v>27075</v>
      </c>
      <c r="D992" s="232" t="s">
        <v>2387</v>
      </c>
      <c r="E992" s="232" t="s">
        <v>1714</v>
      </c>
      <c r="F992" s="232" t="s">
        <v>1715</v>
      </c>
      <c r="G992" s="232" t="s">
        <v>2388</v>
      </c>
      <c r="K992" t="s">
        <v>2647</v>
      </c>
      <c r="L992" s="81">
        <f>+Municipios!AB993</f>
        <v>22.768779396362646</v>
      </c>
      <c r="M992" s="232">
        <v>27075</v>
      </c>
      <c r="N992" s="232" t="s">
        <v>2387</v>
      </c>
      <c r="O992" s="232" t="s">
        <v>1714</v>
      </c>
      <c r="P992" s="232" t="s">
        <v>1715</v>
      </c>
      <c r="Q992" s="232" t="s">
        <v>2388</v>
      </c>
      <c r="T992" t="s">
        <v>2803</v>
      </c>
      <c r="U992" s="25">
        <f>+Municipios!Z993</f>
        <v>57.19938238040163</v>
      </c>
      <c r="V992" s="232">
        <v>27075</v>
      </c>
      <c r="W992" s="232" t="s">
        <v>2387</v>
      </c>
      <c r="X992" s="232" t="s">
        <v>1714</v>
      </c>
      <c r="Y992" s="232" t="s">
        <v>1715</v>
      </c>
      <c r="Z992" s="232" t="s">
        <v>2388</v>
      </c>
    </row>
    <row r="993" spans="1:26">
      <c r="A993" t="s">
        <v>417</v>
      </c>
      <c r="B993" s="25">
        <f>+Municipios!Z994</f>
        <v>69.860025683723507</v>
      </c>
      <c r="C993" s="232">
        <v>85410</v>
      </c>
      <c r="D993" s="232" t="s">
        <v>2389</v>
      </c>
      <c r="E993" s="232" t="s">
        <v>1351</v>
      </c>
      <c r="F993" s="232" t="s">
        <v>1352</v>
      </c>
      <c r="G993" s="232" t="s">
        <v>2390</v>
      </c>
      <c r="K993" t="s">
        <v>2647</v>
      </c>
      <c r="L993" s="81">
        <f>+Municipios!AB994</f>
        <v>27.714282811795968</v>
      </c>
      <c r="M993" s="232">
        <v>85410</v>
      </c>
      <c r="N993" s="232" t="s">
        <v>2389</v>
      </c>
      <c r="O993" s="232" t="s">
        <v>1351</v>
      </c>
      <c r="P993" s="232" t="s">
        <v>1352</v>
      </c>
      <c r="Q993" s="232" t="s">
        <v>2390</v>
      </c>
      <c r="T993" t="s">
        <v>2803</v>
      </c>
      <c r="U993" s="25">
        <f>+Municipios!Z994</f>
        <v>69.860025683723507</v>
      </c>
      <c r="V993" s="232">
        <v>85410</v>
      </c>
      <c r="W993" s="232" t="s">
        <v>2389</v>
      </c>
      <c r="X993" s="232" t="s">
        <v>1351</v>
      </c>
      <c r="Y993" s="232" t="s">
        <v>1352</v>
      </c>
      <c r="Z993" s="232" t="s">
        <v>2390</v>
      </c>
    </row>
    <row r="994" spans="1:26">
      <c r="A994" t="s">
        <v>417</v>
      </c>
      <c r="B994" s="25">
        <f>+Municipios!Z995</f>
        <v>59.007603446142582</v>
      </c>
      <c r="C994" s="232">
        <v>15183</v>
      </c>
      <c r="D994" s="232" t="s">
        <v>2391</v>
      </c>
      <c r="E994" s="232" t="s">
        <v>498</v>
      </c>
      <c r="F994" s="232" t="s">
        <v>499</v>
      </c>
      <c r="G994" s="232" t="s">
        <v>2392</v>
      </c>
      <c r="K994" t="s">
        <v>2647</v>
      </c>
      <c r="L994" s="81">
        <f>+Municipios!AB995</f>
        <v>23.343945629866479</v>
      </c>
      <c r="M994" s="232">
        <v>15183</v>
      </c>
      <c r="N994" s="232" t="s">
        <v>2391</v>
      </c>
      <c r="O994" s="232" t="s">
        <v>498</v>
      </c>
      <c r="P994" s="232" t="s">
        <v>499</v>
      </c>
      <c r="Q994" s="232" t="s">
        <v>2392</v>
      </c>
      <c r="T994" t="s">
        <v>2803</v>
      </c>
      <c r="U994" s="25">
        <f>+Municipios!Z995</f>
        <v>59.007603446142582</v>
      </c>
      <c r="V994" s="232">
        <v>15183</v>
      </c>
      <c r="W994" s="232" t="s">
        <v>2391</v>
      </c>
      <c r="X994" s="232" t="s">
        <v>498</v>
      </c>
      <c r="Y994" s="232" t="s">
        <v>499</v>
      </c>
      <c r="Z994" s="232" t="s">
        <v>2392</v>
      </c>
    </row>
    <row r="995" spans="1:26">
      <c r="A995" t="s">
        <v>417</v>
      </c>
      <c r="B995" s="25">
        <f>+Municipios!Z996</f>
        <v>60.842421029889309</v>
      </c>
      <c r="C995" s="232">
        <v>27430</v>
      </c>
      <c r="D995" s="232" t="s">
        <v>2393</v>
      </c>
      <c r="E995" s="232" t="s">
        <v>1714</v>
      </c>
      <c r="F995" s="232" t="s">
        <v>1715</v>
      </c>
      <c r="G995" s="232" t="s">
        <v>2394</v>
      </c>
      <c r="K995" t="s">
        <v>2647</v>
      </c>
      <c r="L995" s="81">
        <f>+Municipios!AB996</f>
        <v>23.948101849395034</v>
      </c>
      <c r="M995" s="232">
        <v>27430</v>
      </c>
      <c r="N995" s="232" t="s">
        <v>2393</v>
      </c>
      <c r="O995" s="232" t="s">
        <v>1714</v>
      </c>
      <c r="P995" s="232" t="s">
        <v>1715</v>
      </c>
      <c r="Q995" s="232" t="s">
        <v>2394</v>
      </c>
      <c r="T995" t="s">
        <v>2803</v>
      </c>
      <c r="U995" s="25">
        <f>+Municipios!Z996</f>
        <v>60.842421029889309</v>
      </c>
      <c r="V995" s="232">
        <v>27430</v>
      </c>
      <c r="W995" s="232" t="s">
        <v>2393</v>
      </c>
      <c r="X995" s="232" t="s">
        <v>1714</v>
      </c>
      <c r="Y995" s="232" t="s">
        <v>1715</v>
      </c>
      <c r="Z995" s="232" t="s">
        <v>2394</v>
      </c>
    </row>
    <row r="996" spans="1:26">
      <c r="A996" t="s">
        <v>417</v>
      </c>
      <c r="B996" s="25">
        <f>+Municipios!Z997</f>
        <v>49.407453349426305</v>
      </c>
      <c r="C996" s="232">
        <v>73024</v>
      </c>
      <c r="D996" s="232" t="s">
        <v>2395</v>
      </c>
      <c r="E996" s="232" t="s">
        <v>595</v>
      </c>
      <c r="F996" s="232" t="s">
        <v>596</v>
      </c>
      <c r="G996" s="232" t="s">
        <v>2396</v>
      </c>
      <c r="K996" t="s">
        <v>2647</v>
      </c>
      <c r="L996" s="81">
        <f>+Municipios!AB997</f>
        <v>19.43866463844758</v>
      </c>
      <c r="M996" s="232">
        <v>73024</v>
      </c>
      <c r="N996" s="232" t="s">
        <v>2395</v>
      </c>
      <c r="O996" s="232" t="s">
        <v>595</v>
      </c>
      <c r="P996" s="232" t="s">
        <v>596</v>
      </c>
      <c r="Q996" s="232" t="s">
        <v>2396</v>
      </c>
      <c r="T996" t="s">
        <v>2803</v>
      </c>
      <c r="U996" s="25">
        <f>+Municipios!Z997</f>
        <v>49.407453349426305</v>
      </c>
      <c r="V996" s="232">
        <v>73024</v>
      </c>
      <c r="W996" s="232" t="s">
        <v>2395</v>
      </c>
      <c r="X996" s="232" t="s">
        <v>595</v>
      </c>
      <c r="Y996" s="232" t="s">
        <v>596</v>
      </c>
      <c r="Z996" s="232" t="s">
        <v>2396</v>
      </c>
    </row>
    <row r="997" spans="1:26">
      <c r="A997" t="s">
        <v>417</v>
      </c>
      <c r="B997" s="25">
        <f>+Municipios!Z998</f>
        <v>60.073300548051492</v>
      </c>
      <c r="C997" s="232">
        <v>52427</v>
      </c>
      <c r="D997" s="232" t="s">
        <v>2397</v>
      </c>
      <c r="E997" s="232" t="s">
        <v>672</v>
      </c>
      <c r="F997" s="232" t="s">
        <v>673</v>
      </c>
      <c r="G997" s="232" t="s">
        <v>2398</v>
      </c>
      <c r="K997" t="s">
        <v>2647</v>
      </c>
      <c r="L997" s="81">
        <f>+Municipios!AB998</f>
        <v>23.558071799552728</v>
      </c>
      <c r="M997" s="232">
        <v>52427</v>
      </c>
      <c r="N997" s="232" t="s">
        <v>2397</v>
      </c>
      <c r="O997" s="232" t="s">
        <v>672</v>
      </c>
      <c r="P997" s="232" t="s">
        <v>673</v>
      </c>
      <c r="Q997" s="232" t="s">
        <v>2398</v>
      </c>
      <c r="T997" t="s">
        <v>2803</v>
      </c>
      <c r="U997" s="25">
        <f>+Municipios!Z998</f>
        <v>60.073300548051492</v>
      </c>
      <c r="V997" s="232">
        <v>52427</v>
      </c>
      <c r="W997" s="232" t="s">
        <v>2397</v>
      </c>
      <c r="X997" s="232" t="s">
        <v>672</v>
      </c>
      <c r="Y997" s="232" t="s">
        <v>673</v>
      </c>
      <c r="Z997" s="232" t="s">
        <v>2398</v>
      </c>
    </row>
    <row r="998" spans="1:26">
      <c r="A998" t="s">
        <v>417</v>
      </c>
      <c r="B998" s="25">
        <f>+Municipios!Z999</f>
        <v>63.147597194751995</v>
      </c>
      <c r="C998" s="232">
        <v>13160</v>
      </c>
      <c r="D998" s="232" t="s">
        <v>2399</v>
      </c>
      <c r="E998" s="232" t="s">
        <v>480</v>
      </c>
      <c r="F998" s="232" t="s">
        <v>481</v>
      </c>
      <c r="G998" s="232" t="s">
        <v>2400</v>
      </c>
      <c r="K998" t="s">
        <v>2647</v>
      </c>
      <c r="L998" s="81">
        <f>+Municipios!AB999</f>
        <v>24.768467779707603</v>
      </c>
      <c r="M998" s="232">
        <v>13160</v>
      </c>
      <c r="N998" s="232" t="s">
        <v>2399</v>
      </c>
      <c r="O998" s="232" t="s">
        <v>480</v>
      </c>
      <c r="P998" s="232" t="s">
        <v>481</v>
      </c>
      <c r="Q998" s="232" t="s">
        <v>2400</v>
      </c>
      <c r="T998" t="s">
        <v>2803</v>
      </c>
      <c r="U998" s="25">
        <f>+Municipios!Z999</f>
        <v>63.147597194751995</v>
      </c>
      <c r="V998" s="232">
        <v>13160</v>
      </c>
      <c r="W998" s="232" t="s">
        <v>2399</v>
      </c>
      <c r="X998" s="232" t="s">
        <v>480</v>
      </c>
      <c r="Y998" s="232" t="s">
        <v>481</v>
      </c>
      <c r="Z998" s="232" t="s">
        <v>2400</v>
      </c>
    </row>
    <row r="999" spans="1:26">
      <c r="A999" t="s">
        <v>417</v>
      </c>
      <c r="B999" s="25">
        <f>+Municipios!Z1000</f>
        <v>51.101803780970236</v>
      </c>
      <c r="C999" s="232">
        <v>5361</v>
      </c>
      <c r="D999" s="232" t="s">
        <v>2401</v>
      </c>
      <c r="E999" s="232" t="s">
        <v>435</v>
      </c>
      <c r="F999" s="232" t="s">
        <v>436</v>
      </c>
      <c r="G999" s="232" t="s">
        <v>2402</v>
      </c>
      <c r="K999" t="s">
        <v>2647</v>
      </c>
      <c r="L999" s="81">
        <f>+Municipios!AB1000</f>
        <v>20.082347649132767</v>
      </c>
      <c r="M999" s="232">
        <v>5361</v>
      </c>
      <c r="N999" s="232" t="s">
        <v>2401</v>
      </c>
      <c r="O999" s="232" t="s">
        <v>435</v>
      </c>
      <c r="P999" s="232" t="s">
        <v>436</v>
      </c>
      <c r="Q999" s="232" t="s">
        <v>2402</v>
      </c>
      <c r="T999" t="s">
        <v>2803</v>
      </c>
      <c r="U999" s="25">
        <f>+Municipios!Z1000</f>
        <v>51.101803780970236</v>
      </c>
      <c r="V999" s="232">
        <v>5361</v>
      </c>
      <c r="W999" s="232" t="s">
        <v>2401</v>
      </c>
      <c r="X999" s="232" t="s">
        <v>435</v>
      </c>
      <c r="Y999" s="232" t="s">
        <v>436</v>
      </c>
      <c r="Z999" s="232" t="s">
        <v>2402</v>
      </c>
    </row>
    <row r="1000" spans="1:26">
      <c r="A1000" t="s">
        <v>417</v>
      </c>
      <c r="B1000" s="25">
        <f>+Municipios!Z1001</f>
        <v>71.036793927843888</v>
      </c>
      <c r="C1000" s="232">
        <v>85300</v>
      </c>
      <c r="D1000" s="232" t="s">
        <v>2403</v>
      </c>
      <c r="E1000" s="232" t="s">
        <v>1351</v>
      </c>
      <c r="F1000" s="232" t="s">
        <v>1352</v>
      </c>
      <c r="G1000" s="232" t="s">
        <v>634</v>
      </c>
      <c r="K1000" t="s">
        <v>2647</v>
      </c>
      <c r="L1000" s="81">
        <f>+Municipios!AB1001</f>
        <v>27.590199190666226</v>
      </c>
      <c r="M1000" s="232">
        <v>85300</v>
      </c>
      <c r="N1000" s="232" t="s">
        <v>2403</v>
      </c>
      <c r="O1000" s="232" t="s">
        <v>1351</v>
      </c>
      <c r="P1000" s="232" t="s">
        <v>1352</v>
      </c>
      <c r="Q1000" s="232" t="s">
        <v>634</v>
      </c>
      <c r="T1000" t="s">
        <v>2803</v>
      </c>
      <c r="U1000" s="25">
        <f>+Municipios!Z1001</f>
        <v>71.036793927843888</v>
      </c>
      <c r="V1000" s="232">
        <v>85300</v>
      </c>
      <c r="W1000" s="232" t="s">
        <v>2403</v>
      </c>
      <c r="X1000" s="232" t="s">
        <v>1351</v>
      </c>
      <c r="Y1000" s="232" t="s">
        <v>1352</v>
      </c>
      <c r="Z1000" s="232" t="s">
        <v>634</v>
      </c>
    </row>
    <row r="1001" spans="1:26">
      <c r="A1001" t="s">
        <v>417</v>
      </c>
      <c r="B1001" s="25">
        <f>+Municipios!Z1002</f>
        <v>46.300042027560465</v>
      </c>
      <c r="C1001" s="232">
        <v>18785</v>
      </c>
      <c r="D1001" s="232" t="s">
        <v>2404</v>
      </c>
      <c r="E1001" s="232" t="s">
        <v>1463</v>
      </c>
      <c r="F1001" s="232" t="s">
        <v>1464</v>
      </c>
      <c r="G1001" s="232" t="s">
        <v>2405</v>
      </c>
      <c r="K1001" t="s">
        <v>2647</v>
      </c>
      <c r="L1001" s="81">
        <f>+Municipios!AB1002</f>
        <v>18.021097024281797</v>
      </c>
      <c r="M1001" s="232">
        <v>18785</v>
      </c>
      <c r="N1001" s="232" t="s">
        <v>2404</v>
      </c>
      <c r="O1001" s="232" t="s">
        <v>1463</v>
      </c>
      <c r="P1001" s="232" t="s">
        <v>1464</v>
      </c>
      <c r="Q1001" s="232" t="s">
        <v>2405</v>
      </c>
      <c r="T1001" t="s">
        <v>2803</v>
      </c>
      <c r="U1001" s="25">
        <f>+Municipios!Z1002</f>
        <v>46.300042027560465</v>
      </c>
      <c r="V1001" s="232">
        <v>18785</v>
      </c>
      <c r="W1001" s="232" t="s">
        <v>2404</v>
      </c>
      <c r="X1001" s="232" t="s">
        <v>1463</v>
      </c>
      <c r="Y1001" s="232" t="s">
        <v>1464</v>
      </c>
      <c r="Z1001" s="232" t="s">
        <v>2405</v>
      </c>
    </row>
    <row r="1002" spans="1:26">
      <c r="A1002" t="s">
        <v>417</v>
      </c>
      <c r="B1002" s="25">
        <f>+Municipios!Z1003</f>
        <v>53.289621050314977</v>
      </c>
      <c r="C1002" s="232">
        <v>15135</v>
      </c>
      <c r="D1002" s="232" t="s">
        <v>2406</v>
      </c>
      <c r="E1002" s="232" t="s">
        <v>498</v>
      </c>
      <c r="F1002" s="232" t="s">
        <v>499</v>
      </c>
      <c r="G1002" s="232" t="s">
        <v>2407</v>
      </c>
      <c r="K1002" t="s">
        <v>2647</v>
      </c>
      <c r="L1002" s="81">
        <f>+Municipios!AB1003</f>
        <v>20.679218006421078</v>
      </c>
      <c r="M1002" s="232">
        <v>15135</v>
      </c>
      <c r="N1002" s="232" t="s">
        <v>2406</v>
      </c>
      <c r="O1002" s="232" t="s">
        <v>498</v>
      </c>
      <c r="P1002" s="232" t="s">
        <v>499</v>
      </c>
      <c r="Q1002" s="232" t="s">
        <v>2407</v>
      </c>
      <c r="T1002" t="s">
        <v>2803</v>
      </c>
      <c r="U1002" s="25">
        <f>+Municipios!Z1003</f>
        <v>53.289621050314977</v>
      </c>
      <c r="V1002" s="232">
        <v>15135</v>
      </c>
      <c r="W1002" s="232" t="s">
        <v>2406</v>
      </c>
      <c r="X1002" s="232" t="s">
        <v>498</v>
      </c>
      <c r="Y1002" s="232" t="s">
        <v>499</v>
      </c>
      <c r="Z1002" s="232" t="s">
        <v>2407</v>
      </c>
    </row>
    <row r="1003" spans="1:26">
      <c r="A1003" t="s">
        <v>417</v>
      </c>
      <c r="B1003" s="25">
        <f>+Municipios!Z1004</f>
        <v>62.667955761096096</v>
      </c>
      <c r="C1003" s="232">
        <v>68217</v>
      </c>
      <c r="D1003" s="232" t="s">
        <v>2408</v>
      </c>
      <c r="E1003" s="232" t="s">
        <v>431</v>
      </c>
      <c r="F1003" s="232" t="s">
        <v>432</v>
      </c>
      <c r="G1003" s="232" t="s">
        <v>2409</v>
      </c>
      <c r="K1003" t="s">
        <v>2647</v>
      </c>
      <c r="L1003" s="81">
        <f>+Municipios!AB1004</f>
        <v>24.421260340093465</v>
      </c>
      <c r="M1003" s="232">
        <v>68217</v>
      </c>
      <c r="N1003" s="232" t="s">
        <v>2408</v>
      </c>
      <c r="O1003" s="232" t="s">
        <v>431</v>
      </c>
      <c r="P1003" s="232" t="s">
        <v>432</v>
      </c>
      <c r="Q1003" s="232" t="s">
        <v>2409</v>
      </c>
      <c r="T1003" t="s">
        <v>2803</v>
      </c>
      <c r="U1003" s="25">
        <f>+Municipios!Z1004</f>
        <v>62.667955761096096</v>
      </c>
      <c r="V1003" s="232">
        <v>68217</v>
      </c>
      <c r="W1003" s="232" t="s">
        <v>2408</v>
      </c>
      <c r="X1003" s="232" t="s">
        <v>431</v>
      </c>
      <c r="Y1003" s="232" t="s">
        <v>432</v>
      </c>
      <c r="Z1003" s="232" t="s">
        <v>2409</v>
      </c>
    </row>
    <row r="1004" spans="1:26">
      <c r="A1004" t="s">
        <v>417</v>
      </c>
      <c r="B1004" s="25">
        <f>+Municipios!Z1005</f>
        <v>70.396855751601933</v>
      </c>
      <c r="C1004" s="232">
        <v>25339</v>
      </c>
      <c r="D1004" s="232" t="s">
        <v>2410</v>
      </c>
      <c r="E1004" s="232" t="s">
        <v>461</v>
      </c>
      <c r="F1004" s="232" t="s">
        <v>462</v>
      </c>
      <c r="G1004" s="232" t="s">
        <v>2411</v>
      </c>
      <c r="K1004" t="s">
        <v>2647</v>
      </c>
      <c r="L1004" s="81">
        <f>+Municipios!AB1005</f>
        <v>27.283142785385444</v>
      </c>
      <c r="M1004" s="232">
        <v>25339</v>
      </c>
      <c r="N1004" s="232" t="s">
        <v>2410</v>
      </c>
      <c r="O1004" s="232" t="s">
        <v>461</v>
      </c>
      <c r="P1004" s="232" t="s">
        <v>462</v>
      </c>
      <c r="Q1004" s="232" t="s">
        <v>2411</v>
      </c>
      <c r="T1004" t="s">
        <v>2803</v>
      </c>
      <c r="U1004" s="25">
        <f>+Municipios!Z1005</f>
        <v>70.396855751601933</v>
      </c>
      <c r="V1004" s="232">
        <v>25339</v>
      </c>
      <c r="W1004" s="232" t="s">
        <v>2410</v>
      </c>
      <c r="X1004" s="232" t="s">
        <v>461</v>
      </c>
      <c r="Y1004" s="232" t="s">
        <v>462</v>
      </c>
      <c r="Z1004" s="232" t="s">
        <v>2411</v>
      </c>
    </row>
    <row r="1005" spans="1:26">
      <c r="A1005" t="s">
        <v>417</v>
      </c>
      <c r="B1005" s="25">
        <f>+Municipios!Z1006</f>
        <v>58.495669782345971</v>
      </c>
      <c r="C1005" s="232">
        <v>27491</v>
      </c>
      <c r="D1005" s="232" t="s">
        <v>2412</v>
      </c>
      <c r="E1005" s="232" t="s">
        <v>1714</v>
      </c>
      <c r="F1005" s="232" t="s">
        <v>1715</v>
      </c>
      <c r="G1005" s="232" t="s">
        <v>2413</v>
      </c>
      <c r="K1005" t="s">
        <v>2647</v>
      </c>
      <c r="L1005" s="81">
        <f>+Municipios!AB1006</f>
        <v>22.712046819792469</v>
      </c>
      <c r="M1005" s="232">
        <v>27491</v>
      </c>
      <c r="N1005" s="232" t="s">
        <v>2412</v>
      </c>
      <c r="O1005" s="232" t="s">
        <v>1714</v>
      </c>
      <c r="P1005" s="232" t="s">
        <v>1715</v>
      </c>
      <c r="Q1005" s="232" t="s">
        <v>2413</v>
      </c>
      <c r="T1005" t="s">
        <v>2803</v>
      </c>
      <c r="U1005" s="25">
        <f>+Municipios!Z1006</f>
        <v>58.495669782345971</v>
      </c>
      <c r="V1005" s="232">
        <v>27491</v>
      </c>
      <c r="W1005" s="232" t="s">
        <v>2412</v>
      </c>
      <c r="X1005" s="232" t="s">
        <v>1714</v>
      </c>
      <c r="Y1005" s="232" t="s">
        <v>1715</v>
      </c>
      <c r="Z1005" s="232" t="s">
        <v>2413</v>
      </c>
    </row>
    <row r="1006" spans="1:26">
      <c r="A1006" t="s">
        <v>417</v>
      </c>
      <c r="B1006" s="25">
        <f>+Municipios!Z1007</f>
        <v>58.014500145242238</v>
      </c>
      <c r="C1006" s="232">
        <v>18029</v>
      </c>
      <c r="D1006" s="232" t="s">
        <v>2414</v>
      </c>
      <c r="E1006" s="232" t="s">
        <v>1463</v>
      </c>
      <c r="F1006" s="232" t="s">
        <v>1464</v>
      </c>
      <c r="G1006" s="232" t="s">
        <v>1268</v>
      </c>
      <c r="K1006" t="s">
        <v>2647</v>
      </c>
      <c r="L1006" s="81">
        <f>+Municipios!AB1007</f>
        <v>22.486303959253956</v>
      </c>
      <c r="M1006" s="232">
        <v>18029</v>
      </c>
      <c r="N1006" s="232" t="s">
        <v>2414</v>
      </c>
      <c r="O1006" s="232" t="s">
        <v>1463</v>
      </c>
      <c r="P1006" s="232" t="s">
        <v>1464</v>
      </c>
      <c r="Q1006" s="232" t="s">
        <v>1268</v>
      </c>
      <c r="T1006" t="s">
        <v>2803</v>
      </c>
      <c r="U1006" s="25">
        <f>+Municipios!Z1007</f>
        <v>58.014500145242238</v>
      </c>
      <c r="V1006" s="232">
        <v>18029</v>
      </c>
      <c r="W1006" s="232" t="s">
        <v>2414</v>
      </c>
      <c r="X1006" s="232" t="s">
        <v>1463</v>
      </c>
      <c r="Y1006" s="232" t="s">
        <v>1464</v>
      </c>
      <c r="Z1006" s="232" t="s">
        <v>1268</v>
      </c>
    </row>
    <row r="1007" spans="1:26">
      <c r="A1007" t="s">
        <v>417</v>
      </c>
      <c r="B1007" s="25">
        <f>+Municipios!Z1008</f>
        <v>58.183918605733808</v>
      </c>
      <c r="C1007" s="232">
        <v>15514</v>
      </c>
      <c r="D1007" s="232" t="s">
        <v>2415</v>
      </c>
      <c r="E1007" s="232" t="s">
        <v>498</v>
      </c>
      <c r="F1007" s="232" t="s">
        <v>499</v>
      </c>
      <c r="G1007" s="232" t="s">
        <v>2063</v>
      </c>
      <c r="K1007" t="s">
        <v>2647</v>
      </c>
      <c r="L1007" s="81">
        <f>+Municipios!AB1008</f>
        <v>22.446669207037612</v>
      </c>
      <c r="M1007" s="232">
        <v>15514</v>
      </c>
      <c r="N1007" s="232" t="s">
        <v>2415</v>
      </c>
      <c r="O1007" s="232" t="s">
        <v>498</v>
      </c>
      <c r="P1007" s="232" t="s">
        <v>499</v>
      </c>
      <c r="Q1007" s="232" t="s">
        <v>2063</v>
      </c>
      <c r="T1007" t="s">
        <v>2803</v>
      </c>
      <c r="U1007" s="25">
        <f>+Municipios!Z1008</f>
        <v>58.183918605733808</v>
      </c>
      <c r="V1007" s="232">
        <v>15514</v>
      </c>
      <c r="W1007" s="232" t="s">
        <v>2415</v>
      </c>
      <c r="X1007" s="232" t="s">
        <v>498</v>
      </c>
      <c r="Y1007" s="232" t="s">
        <v>499</v>
      </c>
      <c r="Z1007" s="232" t="s">
        <v>2063</v>
      </c>
    </row>
    <row r="1008" spans="1:26">
      <c r="A1008" t="s">
        <v>417</v>
      </c>
      <c r="B1008" s="25">
        <f>+Municipios!Z1009</f>
        <v>56.834914982409558</v>
      </c>
      <c r="C1008" s="232">
        <v>19809</v>
      </c>
      <c r="D1008" s="232" t="s">
        <v>2416</v>
      </c>
      <c r="E1008" s="232" t="s">
        <v>557</v>
      </c>
      <c r="F1008" s="232" t="s">
        <v>558</v>
      </c>
      <c r="G1008" s="232" t="s">
        <v>2417</v>
      </c>
      <c r="K1008" t="s">
        <v>2647</v>
      </c>
      <c r="L1008" s="81">
        <f>+Municipios!AB1009</f>
        <v>21.917876564368363</v>
      </c>
      <c r="M1008" s="232">
        <v>19809</v>
      </c>
      <c r="N1008" s="232" t="s">
        <v>2416</v>
      </c>
      <c r="O1008" s="232" t="s">
        <v>557</v>
      </c>
      <c r="P1008" s="232" t="s">
        <v>558</v>
      </c>
      <c r="Q1008" s="232" t="s">
        <v>2417</v>
      </c>
      <c r="T1008" t="s">
        <v>2803</v>
      </c>
      <c r="U1008" s="25">
        <f>+Municipios!Z1009</f>
        <v>56.834914982409558</v>
      </c>
      <c r="V1008" s="232">
        <v>19809</v>
      </c>
      <c r="W1008" s="232" t="s">
        <v>2416</v>
      </c>
      <c r="X1008" s="232" t="s">
        <v>557</v>
      </c>
      <c r="Y1008" s="232" t="s">
        <v>558</v>
      </c>
      <c r="Z1008" s="232" t="s">
        <v>2417</v>
      </c>
    </row>
    <row r="1009" spans="1:26">
      <c r="A1009" t="s">
        <v>417</v>
      </c>
      <c r="B1009" s="25">
        <f>+Municipios!Z1010</f>
        <v>46.622030944503628</v>
      </c>
      <c r="C1009" s="232">
        <v>68720</v>
      </c>
      <c r="D1009" s="232" t="s">
        <v>2418</v>
      </c>
      <c r="E1009" s="232" t="s">
        <v>431</v>
      </c>
      <c r="F1009" s="232" t="s">
        <v>432</v>
      </c>
      <c r="G1009" s="232" t="s">
        <v>2419</v>
      </c>
      <c r="K1009" t="s">
        <v>2647</v>
      </c>
      <c r="L1009" s="81">
        <f>+Municipios!AB1010</f>
        <v>17.942527552610905</v>
      </c>
      <c r="M1009" s="232">
        <v>68720</v>
      </c>
      <c r="N1009" s="232" t="s">
        <v>2418</v>
      </c>
      <c r="O1009" s="232" t="s">
        <v>431</v>
      </c>
      <c r="P1009" s="232" t="s">
        <v>432</v>
      </c>
      <c r="Q1009" s="232" t="s">
        <v>2419</v>
      </c>
      <c r="T1009" t="s">
        <v>2803</v>
      </c>
      <c r="U1009" s="25">
        <f>+Municipios!Z1010</f>
        <v>46.622030944503628</v>
      </c>
      <c r="V1009" s="232">
        <v>68720</v>
      </c>
      <c r="W1009" s="232" t="s">
        <v>2418</v>
      </c>
      <c r="X1009" s="232" t="s">
        <v>431</v>
      </c>
      <c r="Y1009" s="232" t="s">
        <v>432</v>
      </c>
      <c r="Z1009" s="232" t="s">
        <v>2419</v>
      </c>
    </row>
    <row r="1010" spans="1:26">
      <c r="A1010" t="s">
        <v>417</v>
      </c>
      <c r="B1010" s="25">
        <f>+Municipios!Z1011</f>
        <v>54.039036134897998</v>
      </c>
      <c r="C1010" s="232">
        <v>68502</v>
      </c>
      <c r="D1010" s="232" t="s">
        <v>2420</v>
      </c>
      <c r="E1010" s="232" t="s">
        <v>431</v>
      </c>
      <c r="F1010" s="232" t="s">
        <v>432</v>
      </c>
      <c r="G1010" s="232" t="s">
        <v>2421</v>
      </c>
      <c r="K1010" t="s">
        <v>2647</v>
      </c>
      <c r="L1010" s="81">
        <f>+Municipios!AB1011</f>
        <v>20.819697981638718</v>
      </c>
      <c r="M1010" s="232">
        <v>68502</v>
      </c>
      <c r="N1010" s="232" t="s">
        <v>2420</v>
      </c>
      <c r="O1010" s="232" t="s">
        <v>431</v>
      </c>
      <c r="P1010" s="232" t="s">
        <v>432</v>
      </c>
      <c r="Q1010" s="232" t="s">
        <v>2421</v>
      </c>
      <c r="T1010" t="s">
        <v>2803</v>
      </c>
      <c r="U1010" s="25">
        <f>+Municipios!Z1011</f>
        <v>54.039036134897998</v>
      </c>
      <c r="V1010" s="232">
        <v>68502</v>
      </c>
      <c r="W1010" s="232" t="s">
        <v>2420</v>
      </c>
      <c r="X1010" s="232" t="s">
        <v>431</v>
      </c>
      <c r="Y1010" s="232" t="s">
        <v>432</v>
      </c>
      <c r="Z1010" s="232" t="s">
        <v>2421</v>
      </c>
    </row>
    <row r="1011" spans="1:26">
      <c r="A1011" t="s">
        <v>417</v>
      </c>
      <c r="B1011" s="25">
        <f>+Municipios!Z1012</f>
        <v>55.297398756086082</v>
      </c>
      <c r="C1011" s="232">
        <v>52418</v>
      </c>
      <c r="D1011" s="232" t="s">
        <v>2422</v>
      </c>
      <c r="E1011" s="232" t="s">
        <v>672</v>
      </c>
      <c r="F1011" s="232" t="s">
        <v>673</v>
      </c>
      <c r="G1011" s="232" t="s">
        <v>2423</v>
      </c>
      <c r="K1011" t="s">
        <v>2647</v>
      </c>
      <c r="L1011" s="81">
        <f>+Municipios!AB1012</f>
        <v>21.257444073000929</v>
      </c>
      <c r="M1011" s="232">
        <v>52418</v>
      </c>
      <c r="N1011" s="232" t="s">
        <v>2422</v>
      </c>
      <c r="O1011" s="232" t="s">
        <v>672</v>
      </c>
      <c r="P1011" s="232" t="s">
        <v>673</v>
      </c>
      <c r="Q1011" s="232" t="s">
        <v>2423</v>
      </c>
      <c r="T1011" t="s">
        <v>2803</v>
      </c>
      <c r="U1011" s="25">
        <f>+Municipios!Z1012</f>
        <v>55.297398756086082</v>
      </c>
      <c r="V1011" s="232">
        <v>52418</v>
      </c>
      <c r="W1011" s="232" t="s">
        <v>2422</v>
      </c>
      <c r="X1011" s="232" t="s">
        <v>672</v>
      </c>
      <c r="Y1011" s="232" t="s">
        <v>673</v>
      </c>
      <c r="Z1011" s="232" t="s">
        <v>2423</v>
      </c>
    </row>
    <row r="1012" spans="1:26">
      <c r="A1012" t="s">
        <v>417</v>
      </c>
      <c r="B1012" s="25">
        <f>+Municipios!Z1013</f>
        <v>56.071464321062834</v>
      </c>
      <c r="C1012" s="232">
        <v>18610</v>
      </c>
      <c r="D1012" s="232" t="s">
        <v>2424</v>
      </c>
      <c r="E1012" s="232" t="s">
        <v>1463</v>
      </c>
      <c r="F1012" s="232" t="s">
        <v>1464</v>
      </c>
      <c r="G1012" s="232" t="s">
        <v>2425</v>
      </c>
      <c r="K1012" t="s">
        <v>2647</v>
      </c>
      <c r="L1012" s="81">
        <f>+Municipios!AB1013</f>
        <v>21.46135416667958</v>
      </c>
      <c r="M1012" s="232">
        <v>18610</v>
      </c>
      <c r="N1012" s="232" t="s">
        <v>2424</v>
      </c>
      <c r="O1012" s="232" t="s">
        <v>1463</v>
      </c>
      <c r="P1012" s="232" t="s">
        <v>1464</v>
      </c>
      <c r="Q1012" s="232" t="s">
        <v>2425</v>
      </c>
      <c r="T1012" t="s">
        <v>2803</v>
      </c>
      <c r="U1012" s="25">
        <f>+Municipios!Z1013</f>
        <v>56.071464321062834</v>
      </c>
      <c r="V1012" s="232">
        <v>18610</v>
      </c>
      <c r="W1012" s="232" t="s">
        <v>2424</v>
      </c>
      <c r="X1012" s="232" t="s">
        <v>1463</v>
      </c>
      <c r="Y1012" s="232" t="s">
        <v>1464</v>
      </c>
      <c r="Z1012" s="232" t="s">
        <v>2425</v>
      </c>
    </row>
    <row r="1013" spans="1:26">
      <c r="A1013" t="s">
        <v>417</v>
      </c>
      <c r="B1013" s="25">
        <f>+Municipios!Z1014</f>
        <v>59.743367146064948</v>
      </c>
      <c r="C1013" s="232">
        <v>54245</v>
      </c>
      <c r="D1013" s="232" t="s">
        <v>2426</v>
      </c>
      <c r="E1013" s="232" t="s">
        <v>517</v>
      </c>
      <c r="F1013" s="232" t="s">
        <v>518</v>
      </c>
      <c r="G1013" s="232" t="s">
        <v>2427</v>
      </c>
      <c r="K1013" t="s">
        <v>2647</v>
      </c>
      <c r="L1013" s="81">
        <f>+Municipios!AB1014</f>
        <v>22.746782005371905</v>
      </c>
      <c r="M1013" s="232">
        <v>54245</v>
      </c>
      <c r="N1013" s="232" t="s">
        <v>2426</v>
      </c>
      <c r="O1013" s="232" t="s">
        <v>517</v>
      </c>
      <c r="P1013" s="232" t="s">
        <v>518</v>
      </c>
      <c r="Q1013" s="232" t="s">
        <v>2427</v>
      </c>
      <c r="T1013" t="s">
        <v>2803</v>
      </c>
      <c r="U1013" s="25">
        <f>+Municipios!Z1014</f>
        <v>59.743367146064948</v>
      </c>
      <c r="V1013" s="232">
        <v>54245</v>
      </c>
      <c r="W1013" s="232" t="s">
        <v>2426</v>
      </c>
      <c r="X1013" s="232" t="s">
        <v>517</v>
      </c>
      <c r="Y1013" s="232" t="s">
        <v>518</v>
      </c>
      <c r="Z1013" s="232" t="s">
        <v>2427</v>
      </c>
    </row>
    <row r="1014" spans="1:26">
      <c r="A1014" t="s">
        <v>417</v>
      </c>
      <c r="B1014" s="25">
        <f>+Municipios!Z1015</f>
        <v>47.908857384516509</v>
      </c>
      <c r="C1014" s="232">
        <v>18094</v>
      </c>
      <c r="D1014" s="232" t="s">
        <v>2428</v>
      </c>
      <c r="E1014" s="232" t="s">
        <v>1463</v>
      </c>
      <c r="F1014" s="232" t="s">
        <v>1464</v>
      </c>
      <c r="G1014" s="232" t="s">
        <v>2429</v>
      </c>
      <c r="K1014" t="s">
        <v>2647</v>
      </c>
      <c r="L1014" s="81">
        <f>+Municipios!AB1015</f>
        <v>18.089828611612852</v>
      </c>
      <c r="M1014" s="232">
        <v>18094</v>
      </c>
      <c r="N1014" s="232" t="s">
        <v>2428</v>
      </c>
      <c r="O1014" s="232" t="s">
        <v>1463</v>
      </c>
      <c r="P1014" s="232" t="s">
        <v>1464</v>
      </c>
      <c r="Q1014" s="232" t="s">
        <v>2429</v>
      </c>
      <c r="T1014" t="s">
        <v>2803</v>
      </c>
      <c r="U1014" s="25">
        <f>+Municipios!Z1015</f>
        <v>47.908857384516509</v>
      </c>
      <c r="V1014" s="232">
        <v>18094</v>
      </c>
      <c r="W1014" s="232" t="s">
        <v>2428</v>
      </c>
      <c r="X1014" s="232" t="s">
        <v>1463</v>
      </c>
      <c r="Y1014" s="232" t="s">
        <v>1464</v>
      </c>
      <c r="Z1014" s="232" t="s">
        <v>2429</v>
      </c>
    </row>
    <row r="1015" spans="1:26">
      <c r="A1015" t="s">
        <v>417</v>
      </c>
      <c r="B1015" s="25">
        <f>+Municipios!Z1016</f>
        <v>54.417204724687466</v>
      </c>
      <c r="C1015" s="232">
        <v>19318</v>
      </c>
      <c r="D1015" s="232" t="s">
        <v>2430</v>
      </c>
      <c r="E1015" s="232" t="s">
        <v>557</v>
      </c>
      <c r="F1015" s="232" t="s">
        <v>558</v>
      </c>
      <c r="G1015" s="232" t="s">
        <v>2431</v>
      </c>
      <c r="K1015" t="s">
        <v>2647</v>
      </c>
      <c r="L1015" s="81">
        <f>+Municipios!AB1016</f>
        <v>20.496046742395389</v>
      </c>
      <c r="M1015" s="232">
        <v>19318</v>
      </c>
      <c r="N1015" s="232" t="s">
        <v>2430</v>
      </c>
      <c r="O1015" s="232" t="s">
        <v>557</v>
      </c>
      <c r="P1015" s="232" t="s">
        <v>558</v>
      </c>
      <c r="Q1015" s="232" t="s">
        <v>2431</v>
      </c>
      <c r="T1015" t="s">
        <v>2803</v>
      </c>
      <c r="U1015" s="25">
        <f>+Municipios!Z1016</f>
        <v>54.417204724687466</v>
      </c>
      <c r="V1015" s="232">
        <v>19318</v>
      </c>
      <c r="W1015" s="232" t="s">
        <v>2430</v>
      </c>
      <c r="X1015" s="232" t="s">
        <v>557</v>
      </c>
      <c r="Y1015" s="232" t="s">
        <v>558</v>
      </c>
      <c r="Z1015" s="232" t="s">
        <v>2431</v>
      </c>
    </row>
    <row r="1016" spans="1:26">
      <c r="A1016" t="s">
        <v>417</v>
      </c>
      <c r="B1016" s="25">
        <f>+Municipios!Z1017</f>
        <v>56.658392363660539</v>
      </c>
      <c r="C1016" s="232">
        <v>27077</v>
      </c>
      <c r="D1016" s="232" t="s">
        <v>2432</v>
      </c>
      <c r="E1016" s="232" t="s">
        <v>1714</v>
      </c>
      <c r="F1016" s="232" t="s">
        <v>1715</v>
      </c>
      <c r="G1016" s="232" t="s">
        <v>2433</v>
      </c>
      <c r="K1016" t="s">
        <v>2647</v>
      </c>
      <c r="L1016" s="81">
        <f>+Municipios!AB1017</f>
        <v>21.34015851381718</v>
      </c>
      <c r="M1016" s="232">
        <v>27077</v>
      </c>
      <c r="N1016" s="232" t="s">
        <v>2432</v>
      </c>
      <c r="O1016" s="232" t="s">
        <v>1714</v>
      </c>
      <c r="P1016" s="232" t="s">
        <v>1715</v>
      </c>
      <c r="Q1016" s="232" t="s">
        <v>2433</v>
      </c>
      <c r="T1016" t="s">
        <v>2803</v>
      </c>
      <c r="U1016" s="25">
        <f>+Municipios!Z1017</f>
        <v>56.658392363660539</v>
      </c>
      <c r="V1016" s="232">
        <v>27077</v>
      </c>
      <c r="W1016" s="232" t="s">
        <v>2432</v>
      </c>
      <c r="X1016" s="232" t="s">
        <v>1714</v>
      </c>
      <c r="Y1016" s="232" t="s">
        <v>1715</v>
      </c>
      <c r="Z1016" s="232" t="s">
        <v>2433</v>
      </c>
    </row>
    <row r="1017" spans="1:26">
      <c r="A1017" t="s">
        <v>417</v>
      </c>
      <c r="B1017" s="25">
        <f>+Municipios!Z1018</f>
        <v>56.509863941292032</v>
      </c>
      <c r="C1017" s="232">
        <v>85279</v>
      </c>
      <c r="D1017" s="232" t="s">
        <v>2434</v>
      </c>
      <c r="E1017" s="232" t="s">
        <v>1351</v>
      </c>
      <c r="F1017" s="232" t="s">
        <v>1352</v>
      </c>
      <c r="G1017" s="232" t="s">
        <v>2435</v>
      </c>
      <c r="K1017" t="s">
        <v>2647</v>
      </c>
      <c r="L1017" s="81">
        <f>+Municipios!AB1018</f>
        <v>21.250085185742471</v>
      </c>
      <c r="M1017" s="232">
        <v>85279</v>
      </c>
      <c r="N1017" s="232" t="s">
        <v>2434</v>
      </c>
      <c r="O1017" s="232" t="s">
        <v>1351</v>
      </c>
      <c r="P1017" s="232" t="s">
        <v>1352</v>
      </c>
      <c r="Q1017" s="232" t="s">
        <v>2435</v>
      </c>
      <c r="T1017" t="s">
        <v>2803</v>
      </c>
      <c r="U1017" s="25">
        <f>+Municipios!Z1018</f>
        <v>56.509863941292032</v>
      </c>
      <c r="V1017" s="232">
        <v>85279</v>
      </c>
      <c r="W1017" s="232" t="s">
        <v>2434</v>
      </c>
      <c r="X1017" s="232" t="s">
        <v>1351</v>
      </c>
      <c r="Y1017" s="232" t="s">
        <v>1352</v>
      </c>
      <c r="Z1017" s="232" t="s">
        <v>2435</v>
      </c>
    </row>
    <row r="1018" spans="1:26">
      <c r="A1018" t="s">
        <v>417</v>
      </c>
      <c r="B1018" s="25">
        <f>+Municipios!Z1019</f>
        <v>53.037033083148501</v>
      </c>
      <c r="C1018" s="232">
        <v>52696</v>
      </c>
      <c r="D1018" s="232" t="s">
        <v>2436</v>
      </c>
      <c r="E1018" s="232" t="s">
        <v>672</v>
      </c>
      <c r="F1018" s="232" t="s">
        <v>673</v>
      </c>
      <c r="G1018" s="232" t="s">
        <v>829</v>
      </c>
      <c r="K1018" t="s">
        <v>2647</v>
      </c>
      <c r="L1018" s="81">
        <f>+Municipios!AB1019</f>
        <v>19.948582033581161</v>
      </c>
      <c r="M1018" s="232">
        <v>52696</v>
      </c>
      <c r="N1018" s="232" t="s">
        <v>2436</v>
      </c>
      <c r="O1018" s="232" t="s">
        <v>672</v>
      </c>
      <c r="P1018" s="232" t="s">
        <v>673</v>
      </c>
      <c r="Q1018" s="232" t="s">
        <v>829</v>
      </c>
      <c r="T1018" t="s">
        <v>2803</v>
      </c>
      <c r="U1018" s="25">
        <f>+Municipios!Z1019</f>
        <v>53.037033083148501</v>
      </c>
      <c r="V1018" s="232">
        <v>52696</v>
      </c>
      <c r="W1018" s="232" t="s">
        <v>2436</v>
      </c>
      <c r="X1018" s="232" t="s">
        <v>672</v>
      </c>
      <c r="Y1018" s="232" t="s">
        <v>673</v>
      </c>
      <c r="Z1018" s="232" t="s">
        <v>829</v>
      </c>
    </row>
    <row r="1019" spans="1:26">
      <c r="A1019" t="s">
        <v>417</v>
      </c>
      <c r="B1019" s="25">
        <f>+Municipios!Z1020</f>
        <v>51.050055596240313</v>
      </c>
      <c r="C1019" s="232">
        <v>25438</v>
      </c>
      <c r="D1019" s="232" t="s">
        <v>2437</v>
      </c>
      <c r="E1019" s="232" t="s">
        <v>461</v>
      </c>
      <c r="F1019" s="232" t="s">
        <v>462</v>
      </c>
      <c r="G1019" s="232" t="s">
        <v>2438</v>
      </c>
      <c r="K1019" t="s">
        <v>2647</v>
      </c>
      <c r="L1019" s="81">
        <f>+Municipios!AB1020</f>
        <v>19.086736324138819</v>
      </c>
      <c r="M1019" s="232">
        <v>25438</v>
      </c>
      <c r="N1019" s="232" t="s">
        <v>2437</v>
      </c>
      <c r="O1019" s="232" t="s">
        <v>461</v>
      </c>
      <c r="P1019" s="232" t="s">
        <v>462</v>
      </c>
      <c r="Q1019" s="232" t="s">
        <v>2438</v>
      </c>
      <c r="T1019" t="s">
        <v>2803</v>
      </c>
      <c r="U1019" s="25">
        <f>+Municipios!Z1020</f>
        <v>51.050055596240313</v>
      </c>
      <c r="V1019" s="232">
        <v>25438</v>
      </c>
      <c r="W1019" s="232" t="s">
        <v>2437</v>
      </c>
      <c r="X1019" s="232" t="s">
        <v>461</v>
      </c>
      <c r="Y1019" s="232" t="s">
        <v>462</v>
      </c>
      <c r="Z1019" s="232" t="s">
        <v>2438</v>
      </c>
    </row>
    <row r="1020" spans="1:26">
      <c r="A1020" t="s">
        <v>417</v>
      </c>
      <c r="B1020" s="25">
        <f>+Municipios!Z1021</f>
        <v>49.870350788759595</v>
      </c>
      <c r="C1020" s="232">
        <v>18410</v>
      </c>
      <c r="D1020" s="232" t="s">
        <v>2439</v>
      </c>
      <c r="E1020" s="232" t="s">
        <v>1463</v>
      </c>
      <c r="F1020" s="232" t="s">
        <v>1464</v>
      </c>
      <c r="G1020" s="232" t="s">
        <v>2440</v>
      </c>
      <c r="K1020" t="s">
        <v>2647</v>
      </c>
      <c r="L1020" s="81">
        <f>+Municipios!AB1021</f>
        <v>18.663494472516252</v>
      </c>
      <c r="M1020" s="232">
        <v>18410</v>
      </c>
      <c r="N1020" s="232" t="s">
        <v>2439</v>
      </c>
      <c r="O1020" s="232" t="s">
        <v>1463</v>
      </c>
      <c r="P1020" s="232" t="s">
        <v>1464</v>
      </c>
      <c r="Q1020" s="232" t="s">
        <v>2440</v>
      </c>
      <c r="T1020" t="s">
        <v>2803</v>
      </c>
      <c r="U1020" s="25">
        <f>+Municipios!Z1021</f>
        <v>49.870350788759595</v>
      </c>
      <c r="V1020" s="232">
        <v>18410</v>
      </c>
      <c r="W1020" s="232" t="s">
        <v>2439</v>
      </c>
      <c r="X1020" s="232" t="s">
        <v>1463</v>
      </c>
      <c r="Y1020" s="232" t="s">
        <v>1464</v>
      </c>
      <c r="Z1020" s="232" t="s">
        <v>2440</v>
      </c>
    </row>
    <row r="1021" spans="1:26">
      <c r="A1021" t="s">
        <v>417</v>
      </c>
      <c r="B1021" s="25">
        <f>+Municipios!Z1022</f>
        <v>59.763725550025825</v>
      </c>
      <c r="C1021" s="232">
        <v>81794</v>
      </c>
      <c r="D1021" s="232" t="s">
        <v>2441</v>
      </c>
      <c r="E1021" s="232" t="s">
        <v>1568</v>
      </c>
      <c r="F1021" s="232" t="s">
        <v>1569</v>
      </c>
      <c r="G1021" s="232" t="s">
        <v>2442</v>
      </c>
      <c r="K1021" t="s">
        <v>2647</v>
      </c>
      <c r="L1021" s="81">
        <f>+Municipios!AB1022</f>
        <v>22.359029151804158</v>
      </c>
      <c r="M1021" s="232">
        <v>81794</v>
      </c>
      <c r="N1021" s="232" t="s">
        <v>2441</v>
      </c>
      <c r="O1021" s="232" t="s">
        <v>1568</v>
      </c>
      <c r="P1021" s="232" t="s">
        <v>1569</v>
      </c>
      <c r="Q1021" s="232" t="s">
        <v>2442</v>
      </c>
      <c r="T1021" t="s">
        <v>2803</v>
      </c>
      <c r="U1021" s="25">
        <f>+Municipios!Z1022</f>
        <v>59.763725550025825</v>
      </c>
      <c r="V1021" s="232">
        <v>81794</v>
      </c>
      <c r="W1021" s="232" t="s">
        <v>2441</v>
      </c>
      <c r="X1021" s="232" t="s">
        <v>1568</v>
      </c>
      <c r="Y1021" s="232" t="s">
        <v>1569</v>
      </c>
      <c r="Z1021" s="232" t="s">
        <v>2442</v>
      </c>
    </row>
    <row r="1022" spans="1:26">
      <c r="A1022" t="s">
        <v>417</v>
      </c>
      <c r="B1022" s="25">
        <f>+Municipios!Z1023</f>
        <v>61.704000052429492</v>
      </c>
      <c r="C1022" s="232">
        <v>50683</v>
      </c>
      <c r="D1022" s="232" t="s">
        <v>2443</v>
      </c>
      <c r="E1022" s="232" t="s">
        <v>605</v>
      </c>
      <c r="F1022" s="232" t="s">
        <v>606</v>
      </c>
      <c r="G1022" s="232" t="s">
        <v>2444</v>
      </c>
      <c r="K1022" t="s">
        <v>2647</v>
      </c>
      <c r="L1022" s="81">
        <f>+Municipios!AB1023</f>
        <v>22.978625273320539</v>
      </c>
      <c r="M1022" s="232">
        <v>50683</v>
      </c>
      <c r="N1022" s="232" t="s">
        <v>2443</v>
      </c>
      <c r="O1022" s="232" t="s">
        <v>605</v>
      </c>
      <c r="P1022" s="232" t="s">
        <v>606</v>
      </c>
      <c r="Q1022" s="232" t="s">
        <v>2444</v>
      </c>
      <c r="T1022" t="s">
        <v>2803</v>
      </c>
      <c r="U1022" s="25">
        <f>+Municipios!Z1023</f>
        <v>61.704000052429492</v>
      </c>
      <c r="V1022" s="232">
        <v>50683</v>
      </c>
      <c r="W1022" s="232" t="s">
        <v>2443</v>
      </c>
      <c r="X1022" s="232" t="s">
        <v>605</v>
      </c>
      <c r="Y1022" s="232" t="s">
        <v>606</v>
      </c>
      <c r="Z1022" s="232" t="s">
        <v>2444</v>
      </c>
    </row>
    <row r="1023" spans="1:26">
      <c r="A1023" t="s">
        <v>417</v>
      </c>
      <c r="B1023" s="25">
        <f>+Municipios!Z1024</f>
        <v>61.730533304923931</v>
      </c>
      <c r="C1023" s="232">
        <v>15223</v>
      </c>
      <c r="D1023" s="232" t="s">
        <v>2445</v>
      </c>
      <c r="E1023" s="232" t="s">
        <v>498</v>
      </c>
      <c r="F1023" s="232" t="s">
        <v>499</v>
      </c>
      <c r="G1023" s="232" t="s">
        <v>2446</v>
      </c>
      <c r="K1023" t="s">
        <v>2647</v>
      </c>
      <c r="L1023" s="81">
        <f>+Municipios!AB1024</f>
        <v>23.055659109071115</v>
      </c>
      <c r="M1023" s="232">
        <v>15223</v>
      </c>
      <c r="N1023" s="232" t="s">
        <v>2445</v>
      </c>
      <c r="O1023" s="232" t="s">
        <v>498</v>
      </c>
      <c r="P1023" s="232" t="s">
        <v>499</v>
      </c>
      <c r="Q1023" s="232" t="s">
        <v>2446</v>
      </c>
      <c r="T1023" t="s">
        <v>2803</v>
      </c>
      <c r="U1023" s="25">
        <f>+Municipios!Z1024</f>
        <v>61.730533304923931</v>
      </c>
      <c r="V1023" s="232">
        <v>15223</v>
      </c>
      <c r="W1023" s="232" t="s">
        <v>2445</v>
      </c>
      <c r="X1023" s="232" t="s">
        <v>498</v>
      </c>
      <c r="Y1023" s="232" t="s">
        <v>499</v>
      </c>
      <c r="Z1023" s="232" t="s">
        <v>2446</v>
      </c>
    </row>
    <row r="1024" spans="1:26">
      <c r="A1024" t="s">
        <v>417</v>
      </c>
      <c r="B1024" s="25">
        <f>+Municipios!Z1025</f>
        <v>51.419664844281627</v>
      </c>
      <c r="C1024" s="232">
        <v>15518</v>
      </c>
      <c r="D1024" s="232" t="s">
        <v>2447</v>
      </c>
      <c r="E1024" s="232" t="s">
        <v>498</v>
      </c>
      <c r="F1024" s="232" t="s">
        <v>499</v>
      </c>
      <c r="G1024" s="232" t="s">
        <v>2448</v>
      </c>
      <c r="K1024" t="s">
        <v>2647</v>
      </c>
      <c r="L1024" s="81">
        <f>+Municipios!AB1025</f>
        <v>19.174894372198949</v>
      </c>
      <c r="M1024" s="232">
        <v>15518</v>
      </c>
      <c r="N1024" s="232" t="s">
        <v>2447</v>
      </c>
      <c r="O1024" s="232" t="s">
        <v>498</v>
      </c>
      <c r="P1024" s="232" t="s">
        <v>499</v>
      </c>
      <c r="Q1024" s="232" t="s">
        <v>2448</v>
      </c>
      <c r="T1024" t="s">
        <v>2803</v>
      </c>
      <c r="U1024" s="25">
        <f>+Municipios!Z1025</f>
        <v>51.419664844281627</v>
      </c>
      <c r="V1024" s="232">
        <v>15518</v>
      </c>
      <c r="W1024" s="232" t="s">
        <v>2447</v>
      </c>
      <c r="X1024" s="232" t="s">
        <v>498</v>
      </c>
      <c r="Y1024" s="232" t="s">
        <v>499</v>
      </c>
      <c r="Z1024" s="232" t="s">
        <v>2448</v>
      </c>
    </row>
    <row r="1025" spans="1:26">
      <c r="A1025" t="s">
        <v>417</v>
      </c>
      <c r="B1025" s="25">
        <f>+Municipios!Z1026</f>
        <v>53.547973227942357</v>
      </c>
      <c r="C1025" s="232">
        <v>85225</v>
      </c>
      <c r="D1025" s="232" t="s">
        <v>2449</v>
      </c>
      <c r="E1025" s="232" t="s">
        <v>1351</v>
      </c>
      <c r="F1025" s="232" t="s">
        <v>1352</v>
      </c>
      <c r="G1025" s="232" t="s">
        <v>2450</v>
      </c>
      <c r="K1025" t="s">
        <v>2647</v>
      </c>
      <c r="L1025" s="81">
        <f>+Municipios!AB1026</f>
        <v>19.923041879645446</v>
      </c>
      <c r="M1025" s="232">
        <v>85225</v>
      </c>
      <c r="N1025" s="232" t="s">
        <v>2449</v>
      </c>
      <c r="O1025" s="232" t="s">
        <v>1351</v>
      </c>
      <c r="P1025" s="232" t="s">
        <v>1352</v>
      </c>
      <c r="Q1025" s="232" t="s">
        <v>2450</v>
      </c>
      <c r="T1025" t="s">
        <v>2803</v>
      </c>
      <c r="U1025" s="25">
        <f>+Municipios!Z1026</f>
        <v>53.547973227942357</v>
      </c>
      <c r="V1025" s="232">
        <v>85225</v>
      </c>
      <c r="W1025" s="232" t="s">
        <v>2449</v>
      </c>
      <c r="X1025" s="232" t="s">
        <v>1351</v>
      </c>
      <c r="Y1025" s="232" t="s">
        <v>1352</v>
      </c>
      <c r="Z1025" s="232" t="s">
        <v>2450</v>
      </c>
    </row>
    <row r="1026" spans="1:26">
      <c r="A1026" t="s">
        <v>417</v>
      </c>
      <c r="B1026" s="25">
        <f>+Municipios!Z1027</f>
        <v>54.346434647555164</v>
      </c>
      <c r="C1026" s="232">
        <v>68298</v>
      </c>
      <c r="D1026" s="232" t="s">
        <v>2451</v>
      </c>
      <c r="E1026" s="232" t="s">
        <v>431</v>
      </c>
      <c r="F1026" s="232" t="s">
        <v>432</v>
      </c>
      <c r="G1026" s="232" t="s">
        <v>2452</v>
      </c>
      <c r="K1026" t="s">
        <v>2647</v>
      </c>
      <c r="L1026" s="81">
        <f>+Municipios!AB1027</f>
        <v>20.076520992531481</v>
      </c>
      <c r="M1026" s="232">
        <v>68298</v>
      </c>
      <c r="N1026" s="232" t="s">
        <v>2451</v>
      </c>
      <c r="O1026" s="232" t="s">
        <v>431</v>
      </c>
      <c r="P1026" s="232" t="s">
        <v>432</v>
      </c>
      <c r="Q1026" s="232" t="s">
        <v>2452</v>
      </c>
      <c r="T1026" t="s">
        <v>2803</v>
      </c>
      <c r="U1026" s="25">
        <f>+Municipios!Z1027</f>
        <v>54.346434647555164</v>
      </c>
      <c r="V1026" s="232">
        <v>68298</v>
      </c>
      <c r="W1026" s="232" t="s">
        <v>2451</v>
      </c>
      <c r="X1026" s="232" t="s">
        <v>431</v>
      </c>
      <c r="Y1026" s="232" t="s">
        <v>432</v>
      </c>
      <c r="Z1026" s="232" t="s">
        <v>2452</v>
      </c>
    </row>
    <row r="1027" spans="1:26">
      <c r="A1027" t="s">
        <v>417</v>
      </c>
      <c r="B1027" s="25">
        <f>+Municipios!Z1028</f>
        <v>46.324665767000411</v>
      </c>
      <c r="C1027" s="232">
        <v>17446</v>
      </c>
      <c r="D1027" s="232" t="s">
        <v>2453</v>
      </c>
      <c r="E1027" s="232" t="s">
        <v>506</v>
      </c>
      <c r="F1027" s="232" t="s">
        <v>507</v>
      </c>
      <c r="G1027" s="232" t="s">
        <v>2454</v>
      </c>
      <c r="K1027" t="s">
        <v>2647</v>
      </c>
      <c r="L1027" s="81">
        <f>+Municipios!AB1028</f>
        <v>17.221127651163869</v>
      </c>
      <c r="M1027" s="232">
        <v>17446</v>
      </c>
      <c r="N1027" s="232" t="s">
        <v>2453</v>
      </c>
      <c r="O1027" s="232" t="s">
        <v>506</v>
      </c>
      <c r="P1027" s="232" t="s">
        <v>507</v>
      </c>
      <c r="Q1027" s="232" t="s">
        <v>2454</v>
      </c>
      <c r="T1027" t="s">
        <v>2803</v>
      </c>
      <c r="U1027" s="25">
        <f>+Municipios!Z1028</f>
        <v>46.324665767000411</v>
      </c>
      <c r="V1027" s="232">
        <v>17446</v>
      </c>
      <c r="W1027" s="232" t="s">
        <v>2453</v>
      </c>
      <c r="X1027" s="232" t="s">
        <v>506</v>
      </c>
      <c r="Y1027" s="232" t="s">
        <v>507</v>
      </c>
      <c r="Z1027" s="232" t="s">
        <v>2454</v>
      </c>
    </row>
    <row r="1028" spans="1:26">
      <c r="A1028" t="s">
        <v>417</v>
      </c>
      <c r="B1028" s="25">
        <f>+Municipios!Z1029</f>
        <v>57.057773894478153</v>
      </c>
      <c r="C1028" s="232">
        <v>73622</v>
      </c>
      <c r="D1028" s="232" t="s">
        <v>2455</v>
      </c>
      <c r="E1028" s="232" t="s">
        <v>595</v>
      </c>
      <c r="F1028" s="232" t="s">
        <v>596</v>
      </c>
      <c r="G1028" s="232" t="s">
        <v>2456</v>
      </c>
      <c r="K1028" t="s">
        <v>2647</v>
      </c>
      <c r="L1028" s="81">
        <f>+Municipios!AB1029</f>
        <v>21.148153586938808</v>
      </c>
      <c r="M1028" s="232">
        <v>73622</v>
      </c>
      <c r="N1028" s="232" t="s">
        <v>2455</v>
      </c>
      <c r="O1028" s="232" t="s">
        <v>595</v>
      </c>
      <c r="P1028" s="232" t="s">
        <v>596</v>
      </c>
      <c r="Q1028" s="232" t="s">
        <v>2456</v>
      </c>
      <c r="T1028" t="s">
        <v>2803</v>
      </c>
      <c r="U1028" s="25">
        <f>+Municipios!Z1029</f>
        <v>57.057773894478153</v>
      </c>
      <c r="V1028" s="232">
        <v>73622</v>
      </c>
      <c r="W1028" s="232" t="s">
        <v>2455</v>
      </c>
      <c r="X1028" s="232" t="s">
        <v>595</v>
      </c>
      <c r="Y1028" s="232" t="s">
        <v>596</v>
      </c>
      <c r="Z1028" s="232" t="s">
        <v>2456</v>
      </c>
    </row>
    <row r="1029" spans="1:26">
      <c r="A1029" t="s">
        <v>417</v>
      </c>
      <c r="B1029" s="25">
        <f>+Municipios!Z1030</f>
        <v>58.241752473790811</v>
      </c>
      <c r="C1029" s="232">
        <v>18479</v>
      </c>
      <c r="D1029" s="232" t="s">
        <v>2457</v>
      </c>
      <c r="E1029" s="232" t="s">
        <v>1463</v>
      </c>
      <c r="F1029" s="232" t="s">
        <v>1464</v>
      </c>
      <c r="G1029" s="232" t="s">
        <v>2458</v>
      </c>
      <c r="K1029" t="s">
        <v>2647</v>
      </c>
      <c r="L1029" s="81">
        <f>+Municipios!AB1030</f>
        <v>21.536090311746218</v>
      </c>
      <c r="M1029" s="232">
        <v>18479</v>
      </c>
      <c r="N1029" s="232" t="s">
        <v>2457</v>
      </c>
      <c r="O1029" s="232" t="s">
        <v>1463</v>
      </c>
      <c r="P1029" s="232" t="s">
        <v>1464</v>
      </c>
      <c r="Q1029" s="232" t="s">
        <v>2458</v>
      </c>
      <c r="T1029" t="s">
        <v>2803</v>
      </c>
      <c r="U1029" s="25">
        <f>+Municipios!Z1030</f>
        <v>58.241752473790811</v>
      </c>
      <c r="V1029" s="232">
        <v>18479</v>
      </c>
      <c r="W1029" s="232" t="s">
        <v>2457</v>
      </c>
      <c r="X1029" s="232" t="s">
        <v>1463</v>
      </c>
      <c r="Y1029" s="232" t="s">
        <v>1464</v>
      </c>
      <c r="Z1029" s="232" t="s">
        <v>2458</v>
      </c>
    </row>
    <row r="1030" spans="1:26">
      <c r="A1030" t="s">
        <v>417</v>
      </c>
      <c r="B1030" s="25">
        <f>+Municipios!Z1031</f>
        <v>53.33493822799565</v>
      </c>
      <c r="C1030" s="232">
        <v>27615</v>
      </c>
      <c r="D1030" s="232" t="s">
        <v>2459</v>
      </c>
      <c r="E1030" s="232" t="s">
        <v>1714</v>
      </c>
      <c r="F1030" s="232" t="s">
        <v>1715</v>
      </c>
      <c r="G1030" s="232" t="s">
        <v>855</v>
      </c>
      <c r="K1030" t="s">
        <v>2647</v>
      </c>
      <c r="L1030" s="81">
        <f>+Municipios!AB1031</f>
        <v>19.61414144803474</v>
      </c>
      <c r="M1030" s="232">
        <v>27615</v>
      </c>
      <c r="N1030" s="232" t="s">
        <v>2459</v>
      </c>
      <c r="O1030" s="232" t="s">
        <v>1714</v>
      </c>
      <c r="P1030" s="232" t="s">
        <v>1715</v>
      </c>
      <c r="Q1030" s="232" t="s">
        <v>855</v>
      </c>
      <c r="T1030" t="s">
        <v>2803</v>
      </c>
      <c r="U1030" s="25">
        <f>+Municipios!Z1031</f>
        <v>53.33493822799565</v>
      </c>
      <c r="V1030" s="232">
        <v>27615</v>
      </c>
      <c r="W1030" s="232" t="s">
        <v>2459</v>
      </c>
      <c r="X1030" s="232" t="s">
        <v>1714</v>
      </c>
      <c r="Y1030" s="232" t="s">
        <v>1715</v>
      </c>
      <c r="Z1030" s="232" t="s">
        <v>855</v>
      </c>
    </row>
    <row r="1031" spans="1:26">
      <c r="A1031" t="s">
        <v>417</v>
      </c>
      <c r="B1031" s="25">
        <f>+Municipios!Z1032</f>
        <v>61.295327050027481</v>
      </c>
      <c r="C1031" s="232">
        <v>27425</v>
      </c>
      <c r="D1031" s="232" t="s">
        <v>2460</v>
      </c>
      <c r="E1031" s="232" t="s">
        <v>1714</v>
      </c>
      <c r="F1031" s="232" t="s">
        <v>1715</v>
      </c>
      <c r="G1031" s="232" t="s">
        <v>2461</v>
      </c>
      <c r="K1031" t="s">
        <v>2647</v>
      </c>
      <c r="L1031" s="81">
        <f>+Municipios!AB1032</f>
        <v>22.507308783662211</v>
      </c>
      <c r="M1031" s="232">
        <v>27425</v>
      </c>
      <c r="N1031" s="232" t="s">
        <v>2460</v>
      </c>
      <c r="O1031" s="232" t="s">
        <v>1714</v>
      </c>
      <c r="P1031" s="232" t="s">
        <v>1715</v>
      </c>
      <c r="Q1031" s="232" t="s">
        <v>2461</v>
      </c>
      <c r="T1031" t="s">
        <v>2803</v>
      </c>
      <c r="U1031" s="25">
        <f>+Municipios!Z1032</f>
        <v>61.295327050027481</v>
      </c>
      <c r="V1031" s="232">
        <v>27425</v>
      </c>
      <c r="W1031" s="232" t="s">
        <v>2460</v>
      </c>
      <c r="X1031" s="232" t="s">
        <v>1714</v>
      </c>
      <c r="Y1031" s="232" t="s">
        <v>1715</v>
      </c>
      <c r="Z1031" s="232" t="s">
        <v>2461</v>
      </c>
    </row>
    <row r="1032" spans="1:26">
      <c r="A1032" t="s">
        <v>417</v>
      </c>
      <c r="B1032" s="25">
        <f>+Municipios!Z1033</f>
        <v>52.948404616026906</v>
      </c>
      <c r="C1032" s="232">
        <v>19533</v>
      </c>
      <c r="D1032" s="232" t="s">
        <v>2462</v>
      </c>
      <c r="E1032" s="232" t="s">
        <v>557</v>
      </c>
      <c r="F1032" s="232" t="s">
        <v>558</v>
      </c>
      <c r="G1032" s="232" t="s">
        <v>2463</v>
      </c>
      <c r="K1032" t="s">
        <v>2647</v>
      </c>
      <c r="L1032" s="81">
        <f>+Municipios!AB1033</f>
        <v>19.413177937131309</v>
      </c>
      <c r="M1032" s="232">
        <v>19533</v>
      </c>
      <c r="N1032" s="232" t="s">
        <v>2462</v>
      </c>
      <c r="O1032" s="232" t="s">
        <v>557</v>
      </c>
      <c r="P1032" s="232" t="s">
        <v>558</v>
      </c>
      <c r="Q1032" s="232" t="s">
        <v>2463</v>
      </c>
      <c r="T1032" t="s">
        <v>2803</v>
      </c>
      <c r="U1032" s="25">
        <f>+Municipios!Z1033</f>
        <v>52.948404616026906</v>
      </c>
      <c r="V1032" s="232">
        <v>19533</v>
      </c>
      <c r="W1032" s="232" t="s">
        <v>2462</v>
      </c>
      <c r="X1032" s="232" t="s">
        <v>557</v>
      </c>
      <c r="Y1032" s="232" t="s">
        <v>558</v>
      </c>
      <c r="Z1032" s="232" t="s">
        <v>2463</v>
      </c>
    </row>
    <row r="1033" spans="1:26">
      <c r="A1033" t="s">
        <v>417</v>
      </c>
      <c r="B1033" s="25">
        <f>+Municipios!Z1034</f>
        <v>54.966359994468966</v>
      </c>
      <c r="C1033" s="232">
        <v>85015</v>
      </c>
      <c r="D1033" s="232" t="s">
        <v>2464</v>
      </c>
      <c r="E1033" s="232" t="s">
        <v>1351</v>
      </c>
      <c r="F1033" s="232" t="s">
        <v>1352</v>
      </c>
      <c r="G1033" s="232" t="s">
        <v>2465</v>
      </c>
      <c r="K1033" t="s">
        <v>2647</v>
      </c>
      <c r="L1033" s="81">
        <f>+Municipios!AB1034</f>
        <v>20.147441840331645</v>
      </c>
      <c r="M1033" s="232">
        <v>85015</v>
      </c>
      <c r="N1033" s="232" t="s">
        <v>2464</v>
      </c>
      <c r="O1033" s="232" t="s">
        <v>1351</v>
      </c>
      <c r="P1033" s="232" t="s">
        <v>1352</v>
      </c>
      <c r="Q1033" s="232" t="s">
        <v>2465</v>
      </c>
      <c r="T1033" t="s">
        <v>2803</v>
      </c>
      <c r="U1033" s="25">
        <f>+Municipios!Z1034</f>
        <v>54.966359994468966</v>
      </c>
      <c r="V1033" s="232">
        <v>85015</v>
      </c>
      <c r="W1033" s="232" t="s">
        <v>2464</v>
      </c>
      <c r="X1033" s="232" t="s">
        <v>1351</v>
      </c>
      <c r="Y1033" s="232" t="s">
        <v>1352</v>
      </c>
      <c r="Z1033" s="232" t="s">
        <v>2465</v>
      </c>
    </row>
    <row r="1034" spans="1:26">
      <c r="A1034" t="s">
        <v>417</v>
      </c>
      <c r="B1034" s="25">
        <f>+Municipios!Z1035</f>
        <v>44.704073784409943</v>
      </c>
      <c r="C1034" s="232">
        <v>13458</v>
      </c>
      <c r="D1034" s="232" t="s">
        <v>2466</v>
      </c>
      <c r="E1034" s="232" t="s">
        <v>480</v>
      </c>
      <c r="F1034" s="232" t="s">
        <v>481</v>
      </c>
      <c r="G1034" s="232" t="s">
        <v>2467</v>
      </c>
      <c r="K1034" t="s">
        <v>2647</v>
      </c>
      <c r="L1034" s="81">
        <f>+Municipios!AB1035</f>
        <v>16.359880785609032</v>
      </c>
      <c r="M1034" s="232">
        <v>13458</v>
      </c>
      <c r="N1034" s="232" t="s">
        <v>2466</v>
      </c>
      <c r="O1034" s="232" t="s">
        <v>480</v>
      </c>
      <c r="P1034" s="232" t="s">
        <v>481</v>
      </c>
      <c r="Q1034" s="232" t="s">
        <v>2467</v>
      </c>
      <c r="T1034" t="s">
        <v>2803</v>
      </c>
      <c r="U1034" s="25">
        <f>+Municipios!Z1035</f>
        <v>44.704073784409943</v>
      </c>
      <c r="V1034" s="232">
        <v>13458</v>
      </c>
      <c r="W1034" s="232" t="s">
        <v>2466</v>
      </c>
      <c r="X1034" s="232" t="s">
        <v>480</v>
      </c>
      <c r="Y1034" s="232" t="s">
        <v>481</v>
      </c>
      <c r="Z1034" s="232" t="s">
        <v>2467</v>
      </c>
    </row>
    <row r="1035" spans="1:26">
      <c r="A1035" t="s">
        <v>417</v>
      </c>
      <c r="B1035" s="25">
        <f>+Municipios!Z1036</f>
        <v>60.325653266540044</v>
      </c>
      <c r="C1035" s="232">
        <v>68264</v>
      </c>
      <c r="D1035" s="232" t="s">
        <v>2468</v>
      </c>
      <c r="E1035" s="232" t="s">
        <v>431</v>
      </c>
      <c r="F1035" s="232" t="s">
        <v>432</v>
      </c>
      <c r="G1035" s="232" t="s">
        <v>2469</v>
      </c>
      <c r="K1035" t="s">
        <v>2647</v>
      </c>
      <c r="L1035" s="81">
        <f>+Municipios!AB1036</f>
        <v>22.112265178977328</v>
      </c>
      <c r="M1035" s="232">
        <v>68264</v>
      </c>
      <c r="N1035" s="232" t="s">
        <v>2468</v>
      </c>
      <c r="O1035" s="232" t="s">
        <v>431</v>
      </c>
      <c r="P1035" s="232" t="s">
        <v>432</v>
      </c>
      <c r="Q1035" s="232" t="s">
        <v>2469</v>
      </c>
      <c r="T1035" t="s">
        <v>2803</v>
      </c>
      <c r="U1035" s="25">
        <f>+Municipios!Z1036</f>
        <v>60.325653266540044</v>
      </c>
      <c r="V1035" s="232">
        <v>68264</v>
      </c>
      <c r="W1035" s="232" t="s">
        <v>2468</v>
      </c>
      <c r="X1035" s="232" t="s">
        <v>431</v>
      </c>
      <c r="Y1035" s="232" t="s">
        <v>432</v>
      </c>
      <c r="Z1035" s="232" t="s">
        <v>2469</v>
      </c>
    </row>
    <row r="1036" spans="1:26">
      <c r="A1036" t="s">
        <v>417</v>
      </c>
      <c r="B1036" s="25">
        <f>+Municipios!Z1037</f>
        <v>54.184965798589857</v>
      </c>
      <c r="C1036" s="232">
        <v>86571</v>
      </c>
      <c r="D1036" s="232" t="s">
        <v>2470</v>
      </c>
      <c r="E1036" s="232" t="s">
        <v>943</v>
      </c>
      <c r="F1036" s="232" t="s">
        <v>944</v>
      </c>
      <c r="G1036" s="232" t="s">
        <v>2471</v>
      </c>
      <c r="K1036" t="s">
        <v>2647</v>
      </c>
      <c r="L1036" s="81">
        <f>+Municipios!AB1037</f>
        <v>19.791627107192678</v>
      </c>
      <c r="M1036" s="232">
        <v>86571</v>
      </c>
      <c r="N1036" s="232" t="s">
        <v>2470</v>
      </c>
      <c r="O1036" s="232" t="s">
        <v>943</v>
      </c>
      <c r="P1036" s="232" t="s">
        <v>944</v>
      </c>
      <c r="Q1036" s="232" t="s">
        <v>2471</v>
      </c>
      <c r="T1036" t="s">
        <v>2803</v>
      </c>
      <c r="U1036" s="25">
        <f>+Municipios!Z1037</f>
        <v>54.184965798589857</v>
      </c>
      <c r="V1036" s="232">
        <v>86571</v>
      </c>
      <c r="W1036" s="232" t="s">
        <v>2470</v>
      </c>
      <c r="X1036" s="232" t="s">
        <v>943</v>
      </c>
      <c r="Y1036" s="232" t="s">
        <v>944</v>
      </c>
      <c r="Z1036" s="232" t="s">
        <v>2471</v>
      </c>
    </row>
    <row r="1037" spans="1:26">
      <c r="A1037" t="s">
        <v>417</v>
      </c>
      <c r="B1037" s="25">
        <f>+Municipios!Z1038</f>
        <v>59.954070212098053</v>
      </c>
      <c r="C1037" s="232">
        <v>50223</v>
      </c>
      <c r="D1037" s="232" t="s">
        <v>2472</v>
      </c>
      <c r="E1037" s="232" t="s">
        <v>605</v>
      </c>
      <c r="F1037" s="232" t="s">
        <v>606</v>
      </c>
      <c r="G1037" s="232" t="s">
        <v>2473</v>
      </c>
      <c r="K1037" t="s">
        <v>2647</v>
      </c>
      <c r="L1037" s="81">
        <f>+Municipios!AB1038</f>
        <v>21.826780826342421</v>
      </c>
      <c r="M1037" s="232">
        <v>50223</v>
      </c>
      <c r="N1037" s="232" t="s">
        <v>2472</v>
      </c>
      <c r="O1037" s="232" t="s">
        <v>605</v>
      </c>
      <c r="P1037" s="232" t="s">
        <v>606</v>
      </c>
      <c r="Q1037" s="232" t="s">
        <v>2473</v>
      </c>
      <c r="T1037" t="s">
        <v>2803</v>
      </c>
      <c r="U1037" s="25">
        <f>+Municipios!Z1038</f>
        <v>59.954070212098053</v>
      </c>
      <c r="V1037" s="232">
        <v>50223</v>
      </c>
      <c r="W1037" s="232" t="s">
        <v>2472</v>
      </c>
      <c r="X1037" s="232" t="s">
        <v>605</v>
      </c>
      <c r="Y1037" s="232" t="s">
        <v>606</v>
      </c>
      <c r="Z1037" s="232" t="s">
        <v>2473</v>
      </c>
    </row>
    <row r="1038" spans="1:26">
      <c r="A1038" t="s">
        <v>417</v>
      </c>
      <c r="B1038" s="25">
        <f>+Municipios!Z1039</f>
        <v>64.466817612245762</v>
      </c>
      <c r="C1038" s="232">
        <v>50124</v>
      </c>
      <c r="D1038" s="232" t="s">
        <v>2474</v>
      </c>
      <c r="E1038" s="232" t="s">
        <v>605</v>
      </c>
      <c r="F1038" s="232" t="s">
        <v>606</v>
      </c>
      <c r="G1038" s="232" t="s">
        <v>2475</v>
      </c>
      <c r="K1038" t="s">
        <v>2647</v>
      </c>
      <c r="L1038" s="81">
        <f>+Municipios!AB1039</f>
        <v>23.253088398779873</v>
      </c>
      <c r="M1038" s="232">
        <v>50124</v>
      </c>
      <c r="N1038" s="232" t="s">
        <v>2474</v>
      </c>
      <c r="O1038" s="232" t="s">
        <v>605</v>
      </c>
      <c r="P1038" s="232" t="s">
        <v>606</v>
      </c>
      <c r="Q1038" s="232" t="s">
        <v>2475</v>
      </c>
      <c r="T1038" t="s">
        <v>2803</v>
      </c>
      <c r="U1038" s="25">
        <f>+Municipios!Z1039</f>
        <v>64.466817612245762</v>
      </c>
      <c r="V1038" s="232">
        <v>50124</v>
      </c>
      <c r="W1038" s="232" t="s">
        <v>2474</v>
      </c>
      <c r="X1038" s="232" t="s">
        <v>605</v>
      </c>
      <c r="Y1038" s="232" t="s">
        <v>606</v>
      </c>
      <c r="Z1038" s="232" t="s">
        <v>2475</v>
      </c>
    </row>
    <row r="1039" spans="1:26">
      <c r="A1039" t="s">
        <v>417</v>
      </c>
      <c r="B1039" s="25">
        <f>+Municipios!Z1040</f>
        <v>45.535530040214887</v>
      </c>
      <c r="C1039" s="232">
        <v>50245</v>
      </c>
      <c r="D1039" s="232" t="s">
        <v>2476</v>
      </c>
      <c r="E1039" s="232" t="s">
        <v>605</v>
      </c>
      <c r="F1039" s="232" t="s">
        <v>606</v>
      </c>
      <c r="G1039" s="232" t="s">
        <v>2477</v>
      </c>
      <c r="K1039" t="s">
        <v>2647</v>
      </c>
      <c r="L1039" s="81">
        <f>+Municipios!AB1040</f>
        <v>16.427167825233852</v>
      </c>
      <c r="M1039" s="232">
        <v>50245</v>
      </c>
      <c r="N1039" s="232" t="s">
        <v>2476</v>
      </c>
      <c r="O1039" s="232" t="s">
        <v>605</v>
      </c>
      <c r="P1039" s="232" t="s">
        <v>606</v>
      </c>
      <c r="Q1039" s="232" t="s">
        <v>2477</v>
      </c>
      <c r="T1039" t="s">
        <v>2803</v>
      </c>
      <c r="U1039" s="25">
        <f>+Municipios!Z1040</f>
        <v>45.535530040214887</v>
      </c>
      <c r="V1039" s="232">
        <v>50245</v>
      </c>
      <c r="W1039" s="232" t="s">
        <v>2476</v>
      </c>
      <c r="X1039" s="232" t="s">
        <v>605</v>
      </c>
      <c r="Y1039" s="232" t="s">
        <v>606</v>
      </c>
      <c r="Z1039" s="232" t="s">
        <v>2477</v>
      </c>
    </row>
    <row r="1040" spans="1:26">
      <c r="A1040" t="s">
        <v>417</v>
      </c>
      <c r="B1040" s="25">
        <f>+Municipios!Z1041</f>
        <v>48.328482944828039</v>
      </c>
      <c r="C1040" s="232">
        <v>52250</v>
      </c>
      <c r="D1040" s="232" t="s">
        <v>2478</v>
      </c>
      <c r="E1040" s="232" t="s">
        <v>672</v>
      </c>
      <c r="F1040" s="232" t="s">
        <v>673</v>
      </c>
      <c r="G1040" s="232" t="s">
        <v>2479</v>
      </c>
      <c r="K1040" t="s">
        <v>2647</v>
      </c>
      <c r="L1040" s="81">
        <f>+Municipios!AB1041</f>
        <v>17.417218200214261</v>
      </c>
      <c r="M1040" s="232">
        <v>52250</v>
      </c>
      <c r="N1040" s="232" t="s">
        <v>2478</v>
      </c>
      <c r="O1040" s="232" t="s">
        <v>672</v>
      </c>
      <c r="P1040" s="232" t="s">
        <v>673</v>
      </c>
      <c r="Q1040" s="232" t="s">
        <v>2479</v>
      </c>
      <c r="T1040" t="s">
        <v>2803</v>
      </c>
      <c r="U1040" s="25">
        <f>+Municipios!Z1041</f>
        <v>48.328482944828039</v>
      </c>
      <c r="V1040" s="232">
        <v>52250</v>
      </c>
      <c r="W1040" s="232" t="s">
        <v>2478</v>
      </c>
      <c r="X1040" s="232" t="s">
        <v>672</v>
      </c>
      <c r="Y1040" s="232" t="s">
        <v>673</v>
      </c>
      <c r="Z1040" s="232" t="s">
        <v>2479</v>
      </c>
    </row>
    <row r="1041" spans="1:26">
      <c r="A1041" t="s">
        <v>417</v>
      </c>
      <c r="B1041" s="25">
        <f>+Municipios!Z1042</f>
        <v>64.066298454350857</v>
      </c>
      <c r="C1041" s="232">
        <v>52621</v>
      </c>
      <c r="D1041" s="232" t="s">
        <v>2480</v>
      </c>
      <c r="E1041" s="232" t="s">
        <v>672</v>
      </c>
      <c r="F1041" s="232" t="s">
        <v>673</v>
      </c>
      <c r="G1041" s="232" t="s">
        <v>2481</v>
      </c>
      <c r="K1041" t="s">
        <v>2647</v>
      </c>
      <c r="L1041" s="81">
        <f>+Municipios!AB1042</f>
        <v>23.005407358756159</v>
      </c>
      <c r="M1041" s="232">
        <v>52621</v>
      </c>
      <c r="N1041" s="232" t="s">
        <v>2480</v>
      </c>
      <c r="O1041" s="232" t="s">
        <v>672</v>
      </c>
      <c r="P1041" s="232" t="s">
        <v>673</v>
      </c>
      <c r="Q1041" s="232" t="s">
        <v>2481</v>
      </c>
      <c r="T1041" t="s">
        <v>2803</v>
      </c>
      <c r="U1041" s="25">
        <f>+Municipios!Z1042</f>
        <v>64.066298454350857</v>
      </c>
      <c r="V1041" s="232">
        <v>52621</v>
      </c>
      <c r="W1041" s="232" t="s">
        <v>2480</v>
      </c>
      <c r="X1041" s="232" t="s">
        <v>672</v>
      </c>
      <c r="Y1041" s="232" t="s">
        <v>673</v>
      </c>
      <c r="Z1041" s="232" t="s">
        <v>2481</v>
      </c>
    </row>
    <row r="1042" spans="1:26">
      <c r="A1042" t="s">
        <v>417</v>
      </c>
      <c r="B1042" s="25">
        <f>+Municipios!Z1043</f>
        <v>58.426520871084826</v>
      </c>
      <c r="C1042" s="232">
        <v>27150</v>
      </c>
      <c r="D1042" s="232" t="s">
        <v>2482</v>
      </c>
      <c r="E1042" s="232" t="s">
        <v>1714</v>
      </c>
      <c r="F1042" s="232" t="s">
        <v>1715</v>
      </c>
      <c r="G1042" s="232" t="s">
        <v>2483</v>
      </c>
      <c r="K1042" t="s">
        <v>2647</v>
      </c>
      <c r="L1042" s="81">
        <f>+Municipios!AB1043</f>
        <v>20.950906117381709</v>
      </c>
      <c r="M1042" s="232">
        <v>27150</v>
      </c>
      <c r="N1042" s="232" t="s">
        <v>2482</v>
      </c>
      <c r="O1042" s="232" t="s">
        <v>1714</v>
      </c>
      <c r="P1042" s="232" t="s">
        <v>1715</v>
      </c>
      <c r="Q1042" s="232" t="s">
        <v>2483</v>
      </c>
      <c r="T1042" t="s">
        <v>2803</v>
      </c>
      <c r="U1042" s="25">
        <f>+Municipios!Z1043</f>
        <v>58.426520871084826</v>
      </c>
      <c r="V1042" s="232">
        <v>27150</v>
      </c>
      <c r="W1042" s="232" t="s">
        <v>2482</v>
      </c>
      <c r="X1042" s="232" t="s">
        <v>1714</v>
      </c>
      <c r="Y1042" s="232" t="s">
        <v>1715</v>
      </c>
      <c r="Z1042" s="232" t="s">
        <v>2483</v>
      </c>
    </row>
    <row r="1043" spans="1:26">
      <c r="A1043" t="s">
        <v>417</v>
      </c>
      <c r="B1043" s="25">
        <f>+Municipios!Z1044</f>
        <v>57.369947069446859</v>
      </c>
      <c r="C1043" s="232">
        <v>18460</v>
      </c>
      <c r="D1043" s="232" t="s">
        <v>2484</v>
      </c>
      <c r="E1043" s="232" t="s">
        <v>1463</v>
      </c>
      <c r="F1043" s="232" t="s">
        <v>1464</v>
      </c>
      <c r="G1043" s="232" t="s">
        <v>2485</v>
      </c>
      <c r="K1043" t="s">
        <v>2647</v>
      </c>
      <c r="L1043" s="81">
        <f>+Municipios!AB1044</f>
        <v>20.560448914810493</v>
      </c>
      <c r="M1043" s="232">
        <v>18460</v>
      </c>
      <c r="N1043" s="232" t="s">
        <v>2484</v>
      </c>
      <c r="O1043" s="232" t="s">
        <v>1463</v>
      </c>
      <c r="P1043" s="232" t="s">
        <v>1464</v>
      </c>
      <c r="Q1043" s="232" t="s">
        <v>2485</v>
      </c>
      <c r="T1043" t="s">
        <v>2803</v>
      </c>
      <c r="U1043" s="25">
        <f>+Municipios!Z1044</f>
        <v>57.369947069446859</v>
      </c>
      <c r="V1043" s="232">
        <v>18460</v>
      </c>
      <c r="W1043" s="232" t="s">
        <v>2484</v>
      </c>
      <c r="X1043" s="232" t="s">
        <v>1463</v>
      </c>
      <c r="Y1043" s="232" t="s">
        <v>1464</v>
      </c>
      <c r="Z1043" s="232" t="s">
        <v>2485</v>
      </c>
    </row>
    <row r="1044" spans="1:26">
      <c r="A1044" t="s">
        <v>417</v>
      </c>
      <c r="B1044" s="25">
        <f>+Municipios!Z1045</f>
        <v>59.329268948626599</v>
      </c>
      <c r="C1044" s="232">
        <v>85315</v>
      </c>
      <c r="D1044" s="232" t="s">
        <v>2486</v>
      </c>
      <c r="E1044" s="232" t="s">
        <v>1351</v>
      </c>
      <c r="F1044" s="232" t="s">
        <v>1352</v>
      </c>
      <c r="G1044" s="232" t="s">
        <v>2487</v>
      </c>
      <c r="K1044" t="s">
        <v>2647</v>
      </c>
      <c r="L1044" s="81">
        <f>+Municipios!AB1045</f>
        <v>20.92492845845473</v>
      </c>
      <c r="M1044" s="232">
        <v>85315</v>
      </c>
      <c r="N1044" s="232" t="s">
        <v>2486</v>
      </c>
      <c r="O1044" s="232" t="s">
        <v>1351</v>
      </c>
      <c r="P1044" s="232" t="s">
        <v>1352</v>
      </c>
      <c r="Q1044" s="232" t="s">
        <v>2487</v>
      </c>
      <c r="T1044" t="s">
        <v>2803</v>
      </c>
      <c r="U1044" s="25">
        <f>+Municipios!Z1045</f>
        <v>59.329268948626599</v>
      </c>
      <c r="V1044" s="232">
        <v>85315</v>
      </c>
      <c r="W1044" s="232" t="s">
        <v>2486</v>
      </c>
      <c r="X1044" s="232" t="s">
        <v>1351</v>
      </c>
      <c r="Y1044" s="232" t="s">
        <v>1352</v>
      </c>
      <c r="Z1044" s="232" t="s">
        <v>2487</v>
      </c>
    </row>
    <row r="1045" spans="1:26">
      <c r="A1045" t="s">
        <v>417</v>
      </c>
      <c r="B1045" s="25">
        <f>+Municipios!Z1046</f>
        <v>66.021232481593643</v>
      </c>
      <c r="C1045" s="232">
        <v>15377</v>
      </c>
      <c r="D1045" s="232" t="s">
        <v>2488</v>
      </c>
      <c r="E1045" s="232" t="s">
        <v>498</v>
      </c>
      <c r="F1045" s="232" t="s">
        <v>499</v>
      </c>
      <c r="G1045" s="232" t="s">
        <v>2489</v>
      </c>
      <c r="K1045" t="s">
        <v>2647</v>
      </c>
      <c r="L1045" s="81">
        <f>+Municipios!AB1046</f>
        <v>23.190465090188606</v>
      </c>
      <c r="M1045" s="232">
        <v>15377</v>
      </c>
      <c r="N1045" s="232" t="s">
        <v>2488</v>
      </c>
      <c r="O1045" s="232" t="s">
        <v>498</v>
      </c>
      <c r="P1045" s="232" t="s">
        <v>499</v>
      </c>
      <c r="Q1045" s="232" t="s">
        <v>2489</v>
      </c>
      <c r="T1045" t="s">
        <v>2803</v>
      </c>
      <c r="U1045" s="25">
        <f>+Municipios!Z1046</f>
        <v>66.021232481593643</v>
      </c>
      <c r="V1045" s="232">
        <v>15377</v>
      </c>
      <c r="W1045" s="232" t="s">
        <v>2488</v>
      </c>
      <c r="X1045" s="232" t="s">
        <v>498</v>
      </c>
      <c r="Y1045" s="232" t="s">
        <v>499</v>
      </c>
      <c r="Z1045" s="232" t="s">
        <v>2489</v>
      </c>
    </row>
    <row r="1046" spans="1:26">
      <c r="A1046" t="s">
        <v>417</v>
      </c>
      <c r="B1046" s="25">
        <f>+Municipios!Z1047</f>
        <v>44.964692211126298</v>
      </c>
      <c r="C1046" s="232">
        <v>50686</v>
      </c>
      <c r="D1046" s="232" t="s">
        <v>2490</v>
      </c>
      <c r="E1046" s="232" t="s">
        <v>605</v>
      </c>
      <c r="F1046" s="232" t="s">
        <v>606</v>
      </c>
      <c r="G1046" s="232" t="s">
        <v>2491</v>
      </c>
      <c r="K1046" t="s">
        <v>2647</v>
      </c>
      <c r="L1046" s="81">
        <f>+Municipios!AB1047</f>
        <v>15.657097070323557</v>
      </c>
      <c r="M1046" s="232">
        <v>50686</v>
      </c>
      <c r="N1046" s="232" t="s">
        <v>2490</v>
      </c>
      <c r="O1046" s="232" t="s">
        <v>605</v>
      </c>
      <c r="P1046" s="232" t="s">
        <v>606</v>
      </c>
      <c r="Q1046" s="232" t="s">
        <v>2491</v>
      </c>
      <c r="T1046" t="s">
        <v>2803</v>
      </c>
      <c r="U1046" s="25">
        <f>+Municipios!Z1047</f>
        <v>44.964692211126298</v>
      </c>
      <c r="V1046" s="232">
        <v>50686</v>
      </c>
      <c r="W1046" s="232" t="s">
        <v>2490</v>
      </c>
      <c r="X1046" s="232" t="s">
        <v>605</v>
      </c>
      <c r="Y1046" s="232" t="s">
        <v>606</v>
      </c>
      <c r="Z1046" s="232" t="s">
        <v>2491</v>
      </c>
    </row>
    <row r="1047" spans="1:26">
      <c r="A1047" t="s">
        <v>417</v>
      </c>
      <c r="B1047" s="25">
        <f>+Municipios!Z1048</f>
        <v>58.558891612737057</v>
      </c>
      <c r="C1047" s="232">
        <v>85136</v>
      </c>
      <c r="D1047" s="232" t="s">
        <v>2492</v>
      </c>
      <c r="E1047" s="232" t="s">
        <v>1351</v>
      </c>
      <c r="F1047" s="232" t="s">
        <v>1352</v>
      </c>
      <c r="G1047" s="232" t="s">
        <v>2493</v>
      </c>
      <c r="K1047" t="s">
        <v>2647</v>
      </c>
      <c r="L1047" s="81">
        <f>+Municipios!AB1048</f>
        <v>20.381515065220487</v>
      </c>
      <c r="M1047" s="232">
        <v>85136</v>
      </c>
      <c r="N1047" s="232" t="s">
        <v>2492</v>
      </c>
      <c r="O1047" s="232" t="s">
        <v>1351</v>
      </c>
      <c r="P1047" s="232" t="s">
        <v>1352</v>
      </c>
      <c r="Q1047" s="232" t="s">
        <v>2493</v>
      </c>
      <c r="T1047" t="s">
        <v>2803</v>
      </c>
      <c r="U1047" s="25">
        <f>+Municipios!Z1048</f>
        <v>58.558891612737057</v>
      </c>
      <c r="V1047" s="232">
        <v>85136</v>
      </c>
      <c r="W1047" s="232" t="s">
        <v>2492</v>
      </c>
      <c r="X1047" s="232" t="s">
        <v>1351</v>
      </c>
      <c r="Y1047" s="232" t="s">
        <v>1352</v>
      </c>
      <c r="Z1047" s="232" t="s">
        <v>2493</v>
      </c>
    </row>
    <row r="1048" spans="1:26">
      <c r="A1048" t="s">
        <v>417</v>
      </c>
      <c r="B1048" s="25">
        <f>+Municipios!Z1049</f>
        <v>56.34854343272481</v>
      </c>
      <c r="C1048" s="232">
        <v>50450</v>
      </c>
      <c r="D1048" s="232" t="s">
        <v>2494</v>
      </c>
      <c r="E1048" s="232" t="s">
        <v>605</v>
      </c>
      <c r="F1048" s="232" t="s">
        <v>606</v>
      </c>
      <c r="G1048" s="232" t="s">
        <v>2495</v>
      </c>
      <c r="K1048" t="s">
        <v>2647</v>
      </c>
      <c r="L1048" s="81">
        <f>+Municipios!AB1049</f>
        <v>19.426021430905301</v>
      </c>
      <c r="M1048" s="232">
        <v>50450</v>
      </c>
      <c r="N1048" s="232" t="s">
        <v>2494</v>
      </c>
      <c r="O1048" s="232" t="s">
        <v>605</v>
      </c>
      <c r="P1048" s="232" t="s">
        <v>606</v>
      </c>
      <c r="Q1048" s="232" t="s">
        <v>2495</v>
      </c>
      <c r="T1048" t="s">
        <v>2803</v>
      </c>
      <c r="U1048" s="25">
        <f>+Municipios!Z1049</f>
        <v>56.34854343272481</v>
      </c>
      <c r="V1048" s="232">
        <v>50450</v>
      </c>
      <c r="W1048" s="232" t="s">
        <v>2494</v>
      </c>
      <c r="X1048" s="232" t="s">
        <v>605</v>
      </c>
      <c r="Y1048" s="232" t="s">
        <v>606</v>
      </c>
      <c r="Z1048" s="232" t="s">
        <v>2495</v>
      </c>
    </row>
    <row r="1049" spans="1:26">
      <c r="A1049" t="s">
        <v>417</v>
      </c>
      <c r="B1049" s="25">
        <f>+Municipios!Z1050</f>
        <v>46.219408903818902</v>
      </c>
      <c r="C1049" s="232">
        <v>15180</v>
      </c>
      <c r="D1049" s="232" t="s">
        <v>2496</v>
      </c>
      <c r="E1049" s="232" t="s">
        <v>498</v>
      </c>
      <c r="F1049" s="232" t="s">
        <v>499</v>
      </c>
      <c r="G1049" s="232" t="s">
        <v>2497</v>
      </c>
      <c r="K1049" t="s">
        <v>2647</v>
      </c>
      <c r="L1049" s="81">
        <f>+Municipios!AB1050</f>
        <v>15.959181299382768</v>
      </c>
      <c r="M1049" s="232">
        <v>15180</v>
      </c>
      <c r="N1049" s="232" t="s">
        <v>2496</v>
      </c>
      <c r="O1049" s="232" t="s">
        <v>498</v>
      </c>
      <c r="P1049" s="232" t="s">
        <v>499</v>
      </c>
      <c r="Q1049" s="232" t="s">
        <v>2497</v>
      </c>
      <c r="T1049" t="s">
        <v>2803</v>
      </c>
      <c r="U1049" s="25">
        <f>+Municipios!Z1050</f>
        <v>46.219408903818902</v>
      </c>
      <c r="V1049" s="232">
        <v>15180</v>
      </c>
      <c r="W1049" s="232" t="s">
        <v>2496</v>
      </c>
      <c r="X1049" s="232" t="s">
        <v>498</v>
      </c>
      <c r="Y1049" s="232" t="s">
        <v>499</v>
      </c>
      <c r="Z1049" s="232" t="s">
        <v>2497</v>
      </c>
    </row>
    <row r="1050" spans="1:26">
      <c r="A1050" t="s">
        <v>417</v>
      </c>
      <c r="B1050" s="25">
        <f>+Municipios!Z1051</f>
        <v>45.172273274778732</v>
      </c>
      <c r="C1050" s="232">
        <v>5873</v>
      </c>
      <c r="D1050" s="232" t="s">
        <v>2498</v>
      </c>
      <c r="E1050" s="232" t="s">
        <v>435</v>
      </c>
      <c r="F1050" s="232" t="s">
        <v>436</v>
      </c>
      <c r="G1050" s="232" t="s">
        <v>2499</v>
      </c>
      <c r="K1050" t="s">
        <v>2647</v>
      </c>
      <c r="L1050" s="81">
        <f>+Municipios!AB1051</f>
        <v>15.57660868064152</v>
      </c>
      <c r="M1050" s="232">
        <v>5873</v>
      </c>
      <c r="N1050" s="232" t="s">
        <v>2498</v>
      </c>
      <c r="O1050" s="232" t="s">
        <v>435</v>
      </c>
      <c r="P1050" s="232" t="s">
        <v>436</v>
      </c>
      <c r="Q1050" s="232" t="s">
        <v>2499</v>
      </c>
      <c r="T1050" t="s">
        <v>2803</v>
      </c>
      <c r="U1050" s="25">
        <f>+Municipios!Z1051</f>
        <v>45.172273274778732</v>
      </c>
      <c r="V1050" s="232">
        <v>5873</v>
      </c>
      <c r="W1050" s="232" t="s">
        <v>2498</v>
      </c>
      <c r="X1050" s="232" t="s">
        <v>435</v>
      </c>
      <c r="Y1050" s="232" t="s">
        <v>436</v>
      </c>
      <c r="Z1050" s="232" t="s">
        <v>2499</v>
      </c>
    </row>
    <row r="1051" spans="1:26">
      <c r="A1051" t="s">
        <v>417</v>
      </c>
      <c r="B1051" s="25">
        <f>+Municipios!Z1052</f>
        <v>54.257402206742867</v>
      </c>
      <c r="C1051" s="232">
        <v>50689</v>
      </c>
      <c r="D1051" s="232" t="s">
        <v>2500</v>
      </c>
      <c r="E1051" s="232" t="s">
        <v>605</v>
      </c>
      <c r="F1051" s="232" t="s">
        <v>606</v>
      </c>
      <c r="G1051" s="232" t="s">
        <v>1833</v>
      </c>
      <c r="K1051" t="s">
        <v>2647</v>
      </c>
      <c r="L1051" s="81">
        <f>+Municipios!AB1052</f>
        <v>18.636142854361974</v>
      </c>
      <c r="M1051" s="232">
        <v>50689</v>
      </c>
      <c r="N1051" s="232" t="s">
        <v>2500</v>
      </c>
      <c r="O1051" s="232" t="s">
        <v>605</v>
      </c>
      <c r="P1051" s="232" t="s">
        <v>606</v>
      </c>
      <c r="Q1051" s="232" t="s">
        <v>1833</v>
      </c>
      <c r="T1051" t="s">
        <v>2803</v>
      </c>
      <c r="U1051" s="25">
        <f>+Municipios!Z1052</f>
        <v>54.257402206742867</v>
      </c>
      <c r="V1051" s="232">
        <v>50689</v>
      </c>
      <c r="W1051" s="232" t="s">
        <v>2500</v>
      </c>
      <c r="X1051" s="232" t="s">
        <v>605</v>
      </c>
      <c r="Y1051" s="232" t="s">
        <v>606</v>
      </c>
      <c r="Z1051" s="232" t="s">
        <v>1833</v>
      </c>
    </row>
    <row r="1052" spans="1:26">
      <c r="A1052" t="s">
        <v>417</v>
      </c>
      <c r="B1052" s="25">
        <f>+Municipios!Z1053</f>
        <v>55.290541560587329</v>
      </c>
      <c r="C1052" s="232">
        <v>27372</v>
      </c>
      <c r="D1052" s="232" t="s">
        <v>2501</v>
      </c>
      <c r="E1052" s="232" t="s">
        <v>1714</v>
      </c>
      <c r="F1052" s="232" t="s">
        <v>1715</v>
      </c>
      <c r="G1052" s="232" t="s">
        <v>2502</v>
      </c>
      <c r="K1052" t="s">
        <v>2647</v>
      </c>
      <c r="L1052" s="81">
        <f>+Municipios!AB1053</f>
        <v>19.049690321469402</v>
      </c>
      <c r="M1052" s="232">
        <v>27372</v>
      </c>
      <c r="N1052" s="232" t="s">
        <v>2501</v>
      </c>
      <c r="O1052" s="232" t="s">
        <v>1714</v>
      </c>
      <c r="P1052" s="232" t="s">
        <v>1715</v>
      </c>
      <c r="Q1052" s="232" t="s">
        <v>2502</v>
      </c>
      <c r="T1052" t="s">
        <v>2803</v>
      </c>
      <c r="U1052" s="25">
        <f>+Municipios!Z1053</f>
        <v>55.290541560587329</v>
      </c>
      <c r="V1052" s="232">
        <v>27372</v>
      </c>
      <c r="W1052" s="232" t="s">
        <v>2501</v>
      </c>
      <c r="X1052" s="232" t="s">
        <v>1714</v>
      </c>
      <c r="Y1052" s="232" t="s">
        <v>1715</v>
      </c>
      <c r="Z1052" s="232" t="s">
        <v>2502</v>
      </c>
    </row>
    <row r="1053" spans="1:26">
      <c r="A1053" t="s">
        <v>417</v>
      </c>
      <c r="B1053" s="25">
        <f>+Municipios!Z1054</f>
        <v>68.482064413487336</v>
      </c>
      <c r="C1053" s="232">
        <v>27250</v>
      </c>
      <c r="D1053" s="232" t="s">
        <v>2503</v>
      </c>
      <c r="E1053" s="232" t="s">
        <v>1714</v>
      </c>
      <c r="F1053" s="232" t="s">
        <v>1715</v>
      </c>
      <c r="G1053" s="232" t="s">
        <v>2504</v>
      </c>
      <c r="K1053" t="s">
        <v>2647</v>
      </c>
      <c r="L1053" s="81">
        <f>+Municipios!AB1054</f>
        <v>23.555952181323526</v>
      </c>
      <c r="M1053" s="232">
        <v>27250</v>
      </c>
      <c r="N1053" s="232" t="s">
        <v>2503</v>
      </c>
      <c r="O1053" s="232" t="s">
        <v>1714</v>
      </c>
      <c r="P1053" s="232" t="s">
        <v>1715</v>
      </c>
      <c r="Q1053" s="232" t="s">
        <v>2504</v>
      </c>
      <c r="T1053" t="s">
        <v>2803</v>
      </c>
      <c r="U1053" s="25">
        <f>+Municipios!Z1054</f>
        <v>68.482064413487336</v>
      </c>
      <c r="V1053" s="232">
        <v>27250</v>
      </c>
      <c r="W1053" s="232" t="s">
        <v>2503</v>
      </c>
      <c r="X1053" s="232" t="s">
        <v>1714</v>
      </c>
      <c r="Y1053" s="232" t="s">
        <v>1715</v>
      </c>
      <c r="Z1053" s="232" t="s">
        <v>2504</v>
      </c>
    </row>
    <row r="1054" spans="1:26">
      <c r="A1054" t="s">
        <v>417</v>
      </c>
      <c r="B1054" s="25">
        <f>+Municipios!Z1055</f>
        <v>56.237733094709462</v>
      </c>
      <c r="C1054" s="232">
        <v>85400</v>
      </c>
      <c r="D1054" s="232" t="s">
        <v>2505</v>
      </c>
      <c r="E1054" s="232" t="s">
        <v>1351</v>
      </c>
      <c r="F1054" s="232" t="s">
        <v>1352</v>
      </c>
      <c r="G1054" s="232" t="s">
        <v>2506</v>
      </c>
      <c r="K1054" t="s">
        <v>2647</v>
      </c>
      <c r="L1054" s="81">
        <f>+Municipios!AB1055</f>
        <v>19.315585935155795</v>
      </c>
      <c r="M1054" s="232">
        <v>85400</v>
      </c>
      <c r="N1054" s="232" t="s">
        <v>2505</v>
      </c>
      <c r="O1054" s="232" t="s">
        <v>1351</v>
      </c>
      <c r="P1054" s="232" t="s">
        <v>1352</v>
      </c>
      <c r="Q1054" s="232" t="s">
        <v>2506</v>
      </c>
      <c r="T1054" t="s">
        <v>2803</v>
      </c>
      <c r="U1054" s="25">
        <f>+Municipios!Z1055</f>
        <v>56.237733094709462</v>
      </c>
      <c r="V1054" s="232">
        <v>85400</v>
      </c>
      <c r="W1054" s="232" t="s">
        <v>2505</v>
      </c>
      <c r="X1054" s="232" t="s">
        <v>1351</v>
      </c>
      <c r="Y1054" s="232" t="s">
        <v>1352</v>
      </c>
      <c r="Z1054" s="232" t="s">
        <v>2506</v>
      </c>
    </row>
    <row r="1055" spans="1:26">
      <c r="A1055" t="s">
        <v>417</v>
      </c>
      <c r="B1055" s="25">
        <f>+Municipios!Z1056</f>
        <v>49.564289116847107</v>
      </c>
      <c r="C1055" s="232">
        <v>18592</v>
      </c>
      <c r="D1055" s="232" t="s">
        <v>2507</v>
      </c>
      <c r="E1055" s="232" t="s">
        <v>1463</v>
      </c>
      <c r="F1055" s="232" t="s">
        <v>1464</v>
      </c>
      <c r="G1055" s="232" t="s">
        <v>2508</v>
      </c>
      <c r="K1055" t="s">
        <v>2647</v>
      </c>
      <c r="L1055" s="81">
        <f>+Municipios!AB1056</f>
        <v>17.019713386507824</v>
      </c>
      <c r="M1055" s="232">
        <v>18592</v>
      </c>
      <c r="N1055" s="232" t="s">
        <v>2507</v>
      </c>
      <c r="O1055" s="232" t="s">
        <v>1463</v>
      </c>
      <c r="P1055" s="232" t="s">
        <v>1464</v>
      </c>
      <c r="Q1055" s="232" t="s">
        <v>2508</v>
      </c>
      <c r="T1055" t="s">
        <v>2803</v>
      </c>
      <c r="U1055" s="25">
        <f>+Municipios!Z1056</f>
        <v>49.564289116847107</v>
      </c>
      <c r="V1055" s="232">
        <v>18592</v>
      </c>
      <c r="W1055" s="232" t="s">
        <v>2507</v>
      </c>
      <c r="X1055" s="232" t="s">
        <v>1463</v>
      </c>
      <c r="Y1055" s="232" t="s">
        <v>1464</v>
      </c>
      <c r="Z1055" s="232" t="s">
        <v>2508</v>
      </c>
    </row>
    <row r="1056" spans="1:26">
      <c r="A1056" t="s">
        <v>417</v>
      </c>
      <c r="B1056" s="25">
        <f>+Municipios!Z1057</f>
        <v>67.891731905036309</v>
      </c>
      <c r="C1056" s="232">
        <v>15533</v>
      </c>
      <c r="D1056" s="232" t="s">
        <v>2509</v>
      </c>
      <c r="E1056" s="232" t="s">
        <v>498</v>
      </c>
      <c r="F1056" s="232" t="s">
        <v>499</v>
      </c>
      <c r="G1056" s="232" t="s">
        <v>2510</v>
      </c>
      <c r="K1056" t="s">
        <v>2647</v>
      </c>
      <c r="L1056" s="81">
        <f>+Municipios!AB1057</f>
        <v>23.265375871559446</v>
      </c>
      <c r="M1056" s="232">
        <v>15533</v>
      </c>
      <c r="N1056" s="232" t="s">
        <v>2509</v>
      </c>
      <c r="O1056" s="232" t="s">
        <v>498</v>
      </c>
      <c r="P1056" s="232" t="s">
        <v>499</v>
      </c>
      <c r="Q1056" s="232" t="s">
        <v>2510</v>
      </c>
      <c r="T1056" t="s">
        <v>2803</v>
      </c>
      <c r="U1056" s="25">
        <f>+Municipios!Z1057</f>
        <v>67.891731905036309</v>
      </c>
      <c r="V1056" s="232">
        <v>15533</v>
      </c>
      <c r="W1056" s="232" t="s">
        <v>2509</v>
      </c>
      <c r="X1056" s="232" t="s">
        <v>498</v>
      </c>
      <c r="Y1056" s="232" t="s">
        <v>499</v>
      </c>
      <c r="Z1056" s="232" t="s">
        <v>2510</v>
      </c>
    </row>
    <row r="1057" spans="1:26">
      <c r="A1057" t="s">
        <v>417</v>
      </c>
      <c r="B1057" s="25">
        <f>+Municipios!Z1058</f>
        <v>66.368407729611249</v>
      </c>
      <c r="C1057" s="232">
        <v>50573</v>
      </c>
      <c r="D1057" s="232" t="s">
        <v>2511</v>
      </c>
      <c r="E1057" s="232" t="s">
        <v>605</v>
      </c>
      <c r="F1057" s="232" t="s">
        <v>606</v>
      </c>
      <c r="G1057" s="232" t="s">
        <v>2512</v>
      </c>
      <c r="K1057" t="s">
        <v>2647</v>
      </c>
      <c r="L1057" s="81">
        <f>+Municipios!AB1058</f>
        <v>22.373419880758373</v>
      </c>
      <c r="M1057" s="232">
        <v>50573</v>
      </c>
      <c r="N1057" s="232" t="s">
        <v>2511</v>
      </c>
      <c r="O1057" s="232" t="s">
        <v>605</v>
      </c>
      <c r="P1057" s="232" t="s">
        <v>606</v>
      </c>
      <c r="Q1057" s="232" t="s">
        <v>2512</v>
      </c>
      <c r="T1057" t="s">
        <v>2803</v>
      </c>
      <c r="U1057" s="25">
        <f>+Municipios!Z1058</f>
        <v>66.368407729611249</v>
      </c>
      <c r="V1057" s="232">
        <v>50573</v>
      </c>
      <c r="W1057" s="232" t="s">
        <v>2511</v>
      </c>
      <c r="X1057" s="232" t="s">
        <v>605</v>
      </c>
      <c r="Y1057" s="232" t="s">
        <v>606</v>
      </c>
      <c r="Z1057" s="232" t="s">
        <v>2512</v>
      </c>
    </row>
    <row r="1058" spans="1:26">
      <c r="A1058" t="s">
        <v>417</v>
      </c>
      <c r="B1058" s="25">
        <f>+Municipios!Z1059</f>
        <v>63.478796206820597</v>
      </c>
      <c r="C1058" s="232">
        <v>50330</v>
      </c>
      <c r="D1058" s="232" t="s">
        <v>2513</v>
      </c>
      <c r="E1058" s="232" t="s">
        <v>605</v>
      </c>
      <c r="F1058" s="232" t="s">
        <v>606</v>
      </c>
      <c r="G1058" s="232" t="s">
        <v>2514</v>
      </c>
      <c r="K1058" t="s">
        <v>2647</v>
      </c>
      <c r="L1058" s="81">
        <f>+Municipios!AB1059</f>
        <v>21.372772352792378</v>
      </c>
      <c r="M1058" s="232">
        <v>50330</v>
      </c>
      <c r="N1058" s="232" t="s">
        <v>2513</v>
      </c>
      <c r="O1058" s="232" t="s">
        <v>605</v>
      </c>
      <c r="P1058" s="232" t="s">
        <v>606</v>
      </c>
      <c r="Q1058" s="232" t="s">
        <v>2514</v>
      </c>
      <c r="T1058" t="s">
        <v>2803</v>
      </c>
      <c r="U1058" s="25">
        <f>+Municipios!Z1059</f>
        <v>63.478796206820597</v>
      </c>
      <c r="V1058" s="232">
        <v>50330</v>
      </c>
      <c r="W1058" s="232" t="s">
        <v>2513</v>
      </c>
      <c r="X1058" s="232" t="s">
        <v>605</v>
      </c>
      <c r="Y1058" s="232" t="s">
        <v>606</v>
      </c>
      <c r="Z1058" s="232" t="s">
        <v>2514</v>
      </c>
    </row>
    <row r="1059" spans="1:26">
      <c r="A1059" t="s">
        <v>417</v>
      </c>
      <c r="B1059" s="25">
        <f>+Municipios!Z1060</f>
        <v>53.464434841024541</v>
      </c>
      <c r="C1059" s="232">
        <v>41206</v>
      </c>
      <c r="D1059" s="232" t="s">
        <v>2515</v>
      </c>
      <c r="E1059" s="232" t="s">
        <v>676</v>
      </c>
      <c r="F1059" s="232" t="s">
        <v>677</v>
      </c>
      <c r="G1059" s="232" t="s">
        <v>2516</v>
      </c>
      <c r="K1059" t="s">
        <v>2647</v>
      </c>
      <c r="L1059" s="81">
        <f>+Municipios!AB1060</f>
        <v>17.985137962872543</v>
      </c>
      <c r="M1059" s="232">
        <v>41206</v>
      </c>
      <c r="N1059" s="232" t="s">
        <v>2515</v>
      </c>
      <c r="O1059" s="232" t="s">
        <v>676</v>
      </c>
      <c r="P1059" s="232" t="s">
        <v>677</v>
      </c>
      <c r="Q1059" s="232" t="s">
        <v>2516</v>
      </c>
      <c r="T1059" t="s">
        <v>2803</v>
      </c>
      <c r="U1059" s="25">
        <f>+Municipios!Z1060</f>
        <v>53.464434841024541</v>
      </c>
      <c r="V1059" s="232">
        <v>41206</v>
      </c>
      <c r="W1059" s="232" t="s">
        <v>2515</v>
      </c>
      <c r="X1059" s="232" t="s">
        <v>676</v>
      </c>
      <c r="Y1059" s="232" t="s">
        <v>677</v>
      </c>
      <c r="Z1059" s="232" t="s">
        <v>2516</v>
      </c>
    </row>
    <row r="1060" spans="1:26">
      <c r="A1060" t="s">
        <v>417</v>
      </c>
      <c r="B1060" s="25">
        <f>+Municipios!Z1061</f>
        <v>47.445010064181851</v>
      </c>
      <c r="C1060" s="232">
        <v>18860</v>
      </c>
      <c r="D1060" s="232" t="s">
        <v>2517</v>
      </c>
      <c r="E1060" s="232" t="s">
        <v>1463</v>
      </c>
      <c r="F1060" s="232" t="s">
        <v>1464</v>
      </c>
      <c r="G1060" s="232" t="s">
        <v>1397</v>
      </c>
      <c r="K1060" t="s">
        <v>2647</v>
      </c>
      <c r="L1060" s="81">
        <f>+Municipios!AB1061</f>
        <v>15.688739288859241</v>
      </c>
      <c r="M1060" s="232">
        <v>18860</v>
      </c>
      <c r="N1060" s="232" t="s">
        <v>2517</v>
      </c>
      <c r="O1060" s="232" t="s">
        <v>1463</v>
      </c>
      <c r="P1060" s="232" t="s">
        <v>1464</v>
      </c>
      <c r="Q1060" s="232" t="s">
        <v>1397</v>
      </c>
      <c r="T1060" t="s">
        <v>2803</v>
      </c>
      <c r="U1060" s="25">
        <f>+Municipios!Z1061</f>
        <v>47.445010064181851</v>
      </c>
      <c r="V1060" s="232">
        <v>18860</v>
      </c>
      <c r="W1060" s="232" t="s">
        <v>2517</v>
      </c>
      <c r="X1060" s="232" t="s">
        <v>1463</v>
      </c>
      <c r="Y1060" s="232" t="s">
        <v>1464</v>
      </c>
      <c r="Z1060" s="232" t="s">
        <v>1397</v>
      </c>
    </row>
    <row r="1061" spans="1:26">
      <c r="A1061" t="s">
        <v>417</v>
      </c>
      <c r="B1061" s="25">
        <f>+Municipios!Z1062</f>
        <v>62.989744351952126</v>
      </c>
      <c r="C1061" s="232">
        <v>85139</v>
      </c>
      <c r="D1061" s="232" t="s">
        <v>2518</v>
      </c>
      <c r="E1061" s="232" t="s">
        <v>1351</v>
      </c>
      <c r="F1061" s="232" t="s">
        <v>1352</v>
      </c>
      <c r="G1061" s="232" t="s">
        <v>2519</v>
      </c>
      <c r="K1061" t="s">
        <v>2647</v>
      </c>
      <c r="L1061" s="81">
        <f>+Municipios!AB1062</f>
        <v>20.716083164863367</v>
      </c>
      <c r="M1061" s="232">
        <v>85139</v>
      </c>
      <c r="N1061" s="232" t="s">
        <v>2518</v>
      </c>
      <c r="O1061" s="232" t="s">
        <v>1351</v>
      </c>
      <c r="P1061" s="232" t="s">
        <v>1352</v>
      </c>
      <c r="Q1061" s="232" t="s">
        <v>2519</v>
      </c>
      <c r="T1061" t="s">
        <v>2803</v>
      </c>
      <c r="U1061" s="25">
        <f>+Municipios!Z1062</f>
        <v>62.989744351952126</v>
      </c>
      <c r="V1061" s="232">
        <v>85139</v>
      </c>
      <c r="W1061" s="232" t="s">
        <v>2518</v>
      </c>
      <c r="X1061" s="232" t="s">
        <v>1351</v>
      </c>
      <c r="Y1061" s="232" t="s">
        <v>1352</v>
      </c>
      <c r="Z1061" s="232" t="s">
        <v>2519</v>
      </c>
    </row>
    <row r="1062" spans="1:26">
      <c r="A1062" t="s">
        <v>417</v>
      </c>
      <c r="B1062" s="25">
        <f>+Municipios!Z1063</f>
        <v>58.144958312830738</v>
      </c>
      <c r="C1062" s="232">
        <v>27660</v>
      </c>
      <c r="D1062" s="232" t="s">
        <v>2520</v>
      </c>
      <c r="E1062" s="232" t="s">
        <v>1714</v>
      </c>
      <c r="F1062" s="232" t="s">
        <v>1715</v>
      </c>
      <c r="G1062" s="232" t="s">
        <v>2521</v>
      </c>
      <c r="K1062" t="s">
        <v>2647</v>
      </c>
      <c r="L1062" s="81">
        <f>+Municipios!AB1063</f>
        <v>19.051217409240177</v>
      </c>
      <c r="M1062" s="232">
        <v>27660</v>
      </c>
      <c r="N1062" s="232" t="s">
        <v>2520</v>
      </c>
      <c r="O1062" s="232" t="s">
        <v>1714</v>
      </c>
      <c r="P1062" s="232" t="s">
        <v>1715</v>
      </c>
      <c r="Q1062" s="232" t="s">
        <v>2521</v>
      </c>
      <c r="T1062" t="s">
        <v>2803</v>
      </c>
      <c r="U1062" s="25">
        <f>+Municipios!Z1063</f>
        <v>58.144958312830738</v>
      </c>
      <c r="V1062" s="232">
        <v>27660</v>
      </c>
      <c r="W1062" s="232" t="s">
        <v>2520</v>
      </c>
      <c r="X1062" s="232" t="s">
        <v>1714</v>
      </c>
      <c r="Y1062" s="232" t="s">
        <v>1715</v>
      </c>
      <c r="Z1062" s="232" t="s">
        <v>2521</v>
      </c>
    </row>
    <row r="1063" spans="1:26">
      <c r="A1063" t="s">
        <v>417</v>
      </c>
      <c r="B1063" s="25">
        <f>+Municipios!Z1064</f>
        <v>57.890780719745266</v>
      </c>
      <c r="C1063" s="232">
        <v>50577</v>
      </c>
      <c r="D1063" s="232" t="s">
        <v>2522</v>
      </c>
      <c r="E1063" s="232" t="s">
        <v>605</v>
      </c>
      <c r="F1063" s="232" t="s">
        <v>606</v>
      </c>
      <c r="G1063" s="232" t="s">
        <v>2523</v>
      </c>
      <c r="K1063" t="s">
        <v>2647</v>
      </c>
      <c r="L1063" s="81">
        <f>+Municipios!AB1064</f>
        <v>18.732535600743994</v>
      </c>
      <c r="M1063" s="232">
        <v>50577</v>
      </c>
      <c r="N1063" s="232" t="s">
        <v>2522</v>
      </c>
      <c r="O1063" s="232" t="s">
        <v>605</v>
      </c>
      <c r="P1063" s="232" t="s">
        <v>606</v>
      </c>
      <c r="Q1063" s="232" t="s">
        <v>2523</v>
      </c>
      <c r="T1063" t="s">
        <v>2803</v>
      </c>
      <c r="U1063" s="25">
        <f>+Municipios!Z1064</f>
        <v>57.890780719745266</v>
      </c>
      <c r="V1063" s="232">
        <v>50577</v>
      </c>
      <c r="W1063" s="232" t="s">
        <v>2522</v>
      </c>
      <c r="X1063" s="232" t="s">
        <v>605</v>
      </c>
      <c r="Y1063" s="232" t="s">
        <v>606</v>
      </c>
      <c r="Z1063" s="232" t="s">
        <v>2523</v>
      </c>
    </row>
    <row r="1064" spans="1:26">
      <c r="A1064" t="s">
        <v>417</v>
      </c>
      <c r="B1064" s="25">
        <f>+Municipios!Z1065</f>
        <v>53.623887599085407</v>
      </c>
      <c r="C1064" s="232">
        <v>15332</v>
      </c>
      <c r="D1064" s="232" t="s">
        <v>2524</v>
      </c>
      <c r="E1064" s="232" t="s">
        <v>498</v>
      </c>
      <c r="F1064" s="232" t="s">
        <v>499</v>
      </c>
      <c r="G1064" s="232" t="s">
        <v>2525</v>
      </c>
      <c r="K1064" t="s">
        <v>2647</v>
      </c>
      <c r="L1064" s="81">
        <f>+Municipios!AB1065</f>
        <v>17.35731836990707</v>
      </c>
      <c r="M1064" s="232">
        <v>15332</v>
      </c>
      <c r="N1064" s="232" t="s">
        <v>2524</v>
      </c>
      <c r="O1064" s="232" t="s">
        <v>498</v>
      </c>
      <c r="P1064" s="232" t="s">
        <v>499</v>
      </c>
      <c r="Q1064" s="232" t="s">
        <v>2525</v>
      </c>
      <c r="T1064" t="s">
        <v>2803</v>
      </c>
      <c r="U1064" s="25">
        <f>+Municipios!Z1065</f>
        <v>53.623887599085407</v>
      </c>
      <c r="V1064" s="232">
        <v>15332</v>
      </c>
      <c r="W1064" s="232" t="s">
        <v>2524</v>
      </c>
      <c r="X1064" s="232" t="s">
        <v>498</v>
      </c>
      <c r="Y1064" s="232" t="s">
        <v>499</v>
      </c>
      <c r="Z1064" s="232" t="s">
        <v>2525</v>
      </c>
    </row>
    <row r="1065" spans="1:26">
      <c r="A1065" t="s">
        <v>417</v>
      </c>
      <c r="B1065" s="25">
        <f>+Municipios!Z1066</f>
        <v>45.889110903966667</v>
      </c>
      <c r="C1065" s="232">
        <v>5475</v>
      </c>
      <c r="D1065" s="232" t="s">
        <v>2526</v>
      </c>
      <c r="E1065" s="232" t="s">
        <v>435</v>
      </c>
      <c r="F1065" s="232" t="s">
        <v>436</v>
      </c>
      <c r="G1065" s="232" t="s">
        <v>2527</v>
      </c>
      <c r="K1065" t="s">
        <v>2647</v>
      </c>
      <c r="L1065" s="81">
        <f>+Municipios!AB1066</f>
        <v>14.823219875173766</v>
      </c>
      <c r="M1065" s="232">
        <v>5475</v>
      </c>
      <c r="N1065" s="232" t="s">
        <v>2526</v>
      </c>
      <c r="O1065" s="232" t="s">
        <v>435</v>
      </c>
      <c r="P1065" s="232" t="s">
        <v>436</v>
      </c>
      <c r="Q1065" s="232" t="s">
        <v>2527</v>
      </c>
      <c r="T1065" t="s">
        <v>2803</v>
      </c>
      <c r="U1065" s="25">
        <f>+Municipios!Z1066</f>
        <v>45.889110903966667</v>
      </c>
      <c r="V1065" s="232">
        <v>5475</v>
      </c>
      <c r="W1065" s="232" t="s">
        <v>2526</v>
      </c>
      <c r="X1065" s="232" t="s">
        <v>435</v>
      </c>
      <c r="Y1065" s="232" t="s">
        <v>436</v>
      </c>
      <c r="Z1065" s="232" t="s">
        <v>2527</v>
      </c>
    </row>
    <row r="1066" spans="1:26">
      <c r="A1066" t="s">
        <v>417</v>
      </c>
      <c r="B1066" s="25">
        <f>+Municipios!Z1067</f>
        <v>65.845836073815406</v>
      </c>
      <c r="C1066" s="232">
        <v>19418</v>
      </c>
      <c r="D1066" s="232" t="s">
        <v>2528</v>
      </c>
      <c r="E1066" s="232" t="s">
        <v>557</v>
      </c>
      <c r="F1066" s="232" t="s">
        <v>558</v>
      </c>
      <c r="G1066" s="232" t="s">
        <v>2529</v>
      </c>
      <c r="K1066" t="s">
        <v>2647</v>
      </c>
      <c r="L1066" s="81">
        <f>+Municipios!AB1067</f>
        <v>21.222857412905586</v>
      </c>
      <c r="M1066" s="232">
        <v>19418</v>
      </c>
      <c r="N1066" s="232" t="s">
        <v>2528</v>
      </c>
      <c r="O1066" s="232" t="s">
        <v>557</v>
      </c>
      <c r="P1066" s="232" t="s">
        <v>558</v>
      </c>
      <c r="Q1066" s="232" t="s">
        <v>2529</v>
      </c>
      <c r="T1066" t="s">
        <v>2803</v>
      </c>
      <c r="U1066" s="25">
        <f>+Municipios!Z1067</f>
        <v>65.845836073815406</v>
      </c>
      <c r="V1066" s="232">
        <v>19418</v>
      </c>
      <c r="W1066" s="232" t="s">
        <v>2528</v>
      </c>
      <c r="X1066" s="232" t="s">
        <v>557</v>
      </c>
      <c r="Y1066" s="232" t="s">
        <v>558</v>
      </c>
      <c r="Z1066" s="232" t="s">
        <v>2529</v>
      </c>
    </row>
    <row r="1067" spans="1:26">
      <c r="A1067" t="s">
        <v>417</v>
      </c>
      <c r="B1067" s="25">
        <f>+Municipios!Z1068</f>
        <v>62.903888407970186</v>
      </c>
      <c r="C1067" s="232">
        <v>85430</v>
      </c>
      <c r="D1067" s="232" t="s">
        <v>2530</v>
      </c>
      <c r="E1067" s="232" t="s">
        <v>1351</v>
      </c>
      <c r="F1067" s="232" t="s">
        <v>1352</v>
      </c>
      <c r="G1067" s="232" t="s">
        <v>2531</v>
      </c>
      <c r="K1067" t="s">
        <v>2647</v>
      </c>
      <c r="L1067" s="81">
        <f>+Municipios!AB1068</f>
        <v>20.256865336772659</v>
      </c>
      <c r="M1067" s="232">
        <v>85430</v>
      </c>
      <c r="N1067" s="232" t="s">
        <v>2530</v>
      </c>
      <c r="O1067" s="232" t="s">
        <v>1351</v>
      </c>
      <c r="P1067" s="232" t="s">
        <v>1352</v>
      </c>
      <c r="Q1067" s="232" t="s">
        <v>2531</v>
      </c>
      <c r="T1067" t="s">
        <v>2803</v>
      </c>
      <c r="U1067" s="25">
        <f>+Municipios!Z1068</f>
        <v>62.903888407970186</v>
      </c>
      <c r="V1067" s="232">
        <v>85430</v>
      </c>
      <c r="W1067" s="232" t="s">
        <v>2530</v>
      </c>
      <c r="X1067" s="232" t="s">
        <v>1351</v>
      </c>
      <c r="Y1067" s="232" t="s">
        <v>1352</v>
      </c>
      <c r="Z1067" s="232" t="s">
        <v>2531</v>
      </c>
    </row>
    <row r="1068" spans="1:26">
      <c r="A1068" t="s">
        <v>417</v>
      </c>
      <c r="B1068" s="25">
        <f>+Municipios!Z1069</f>
        <v>56.810497943640634</v>
      </c>
      <c r="C1068" s="232">
        <v>50711</v>
      </c>
      <c r="D1068" s="232" t="s">
        <v>2532</v>
      </c>
      <c r="E1068" s="232" t="s">
        <v>605</v>
      </c>
      <c r="F1068" s="232" t="s">
        <v>606</v>
      </c>
      <c r="G1068" s="232" t="s">
        <v>2533</v>
      </c>
      <c r="K1068" t="s">
        <v>2647</v>
      </c>
      <c r="L1068" s="81">
        <f>+Municipios!AB1069</f>
        <v>17.788998996765873</v>
      </c>
      <c r="M1068" s="232">
        <v>50711</v>
      </c>
      <c r="N1068" s="232" t="s">
        <v>2532</v>
      </c>
      <c r="O1068" s="232" t="s">
        <v>605</v>
      </c>
      <c r="P1068" s="232" t="s">
        <v>606</v>
      </c>
      <c r="Q1068" s="232" t="s">
        <v>2533</v>
      </c>
      <c r="T1068" t="s">
        <v>2803</v>
      </c>
      <c r="U1068" s="25">
        <f>+Municipios!Z1069</f>
        <v>56.810497943640634</v>
      </c>
      <c r="V1068" s="232">
        <v>50711</v>
      </c>
      <c r="W1068" s="232" t="s">
        <v>2532</v>
      </c>
      <c r="X1068" s="232" t="s">
        <v>605</v>
      </c>
      <c r="Y1068" s="232" t="s">
        <v>606</v>
      </c>
      <c r="Z1068" s="232" t="s">
        <v>2533</v>
      </c>
    </row>
    <row r="1069" spans="1:26">
      <c r="A1069" t="s">
        <v>417</v>
      </c>
      <c r="B1069" s="25">
        <f>+Municipios!Z1070</f>
        <v>61.068193206208214</v>
      </c>
      <c r="C1069" s="232">
        <v>27099</v>
      </c>
      <c r="D1069" s="232" t="s">
        <v>2534</v>
      </c>
      <c r="E1069" s="232" t="s">
        <v>1714</v>
      </c>
      <c r="F1069" s="232" t="s">
        <v>1715</v>
      </c>
      <c r="G1069" s="232" t="s">
        <v>2535</v>
      </c>
      <c r="K1069" t="s">
        <v>2647</v>
      </c>
      <c r="L1069" s="81">
        <f>+Municipios!AB1070</f>
        <v>19.065405147629701</v>
      </c>
      <c r="M1069" s="232">
        <v>27099</v>
      </c>
      <c r="N1069" s="232" t="s">
        <v>2534</v>
      </c>
      <c r="O1069" s="232" t="s">
        <v>1714</v>
      </c>
      <c r="P1069" s="232" t="s">
        <v>1715</v>
      </c>
      <c r="Q1069" s="232" t="s">
        <v>2535</v>
      </c>
      <c r="T1069" t="s">
        <v>2803</v>
      </c>
      <c r="U1069" s="25">
        <f>+Municipios!Z1070</f>
        <v>61.068193206208214</v>
      </c>
      <c r="V1069" s="232">
        <v>27099</v>
      </c>
      <c r="W1069" s="232" t="s">
        <v>2534</v>
      </c>
      <c r="X1069" s="232" t="s">
        <v>1714</v>
      </c>
      <c r="Y1069" s="232" t="s">
        <v>1715</v>
      </c>
      <c r="Z1069" s="232" t="s">
        <v>2535</v>
      </c>
    </row>
    <row r="1070" spans="1:26">
      <c r="A1070" t="s">
        <v>417</v>
      </c>
      <c r="B1070" s="25">
        <f>+Municipios!Z1071</f>
        <v>45.392973007271294</v>
      </c>
      <c r="C1070" s="232">
        <v>15550</v>
      </c>
      <c r="D1070" s="232" t="s">
        <v>2536</v>
      </c>
      <c r="E1070" s="232" t="s">
        <v>498</v>
      </c>
      <c r="F1070" s="232" t="s">
        <v>499</v>
      </c>
      <c r="G1070" s="232" t="s">
        <v>2537</v>
      </c>
      <c r="K1070" t="s">
        <v>2647</v>
      </c>
      <c r="L1070" s="81">
        <f>+Municipios!AB1071</f>
        <v>14.114431720965181</v>
      </c>
      <c r="M1070" s="232">
        <v>15550</v>
      </c>
      <c r="N1070" s="232" t="s">
        <v>2536</v>
      </c>
      <c r="O1070" s="232" t="s">
        <v>498</v>
      </c>
      <c r="P1070" s="232" t="s">
        <v>499</v>
      </c>
      <c r="Q1070" s="232" t="s">
        <v>2537</v>
      </c>
      <c r="T1070" t="s">
        <v>2803</v>
      </c>
      <c r="U1070" s="25">
        <f>+Municipios!Z1071</f>
        <v>45.392973007271294</v>
      </c>
      <c r="V1070" s="232">
        <v>15550</v>
      </c>
      <c r="W1070" s="232" t="s">
        <v>2536</v>
      </c>
      <c r="X1070" s="232" t="s">
        <v>498</v>
      </c>
      <c r="Y1070" s="232" t="s">
        <v>499</v>
      </c>
      <c r="Z1070" s="232" t="s">
        <v>2537</v>
      </c>
    </row>
    <row r="1071" spans="1:26">
      <c r="A1071" t="s">
        <v>417</v>
      </c>
      <c r="B1071" s="25">
        <f>+Municipios!Z1072</f>
        <v>50.654760259485307</v>
      </c>
      <c r="C1071" s="232">
        <v>50590</v>
      </c>
      <c r="D1071" s="232" t="s">
        <v>2538</v>
      </c>
      <c r="E1071" s="232" t="s">
        <v>605</v>
      </c>
      <c r="F1071" s="232" t="s">
        <v>606</v>
      </c>
      <c r="G1071" s="232" t="s">
        <v>2508</v>
      </c>
      <c r="K1071" t="s">
        <v>2647</v>
      </c>
      <c r="L1071" s="81">
        <f>+Municipios!AB1072</f>
        <v>15.539059987996529</v>
      </c>
      <c r="M1071" s="232">
        <v>50590</v>
      </c>
      <c r="N1071" s="232" t="s">
        <v>2538</v>
      </c>
      <c r="O1071" s="232" t="s">
        <v>605</v>
      </c>
      <c r="P1071" s="232" t="s">
        <v>606</v>
      </c>
      <c r="Q1071" s="232" t="s">
        <v>2508</v>
      </c>
      <c r="T1071" t="s">
        <v>2803</v>
      </c>
      <c r="U1071" s="25">
        <f>+Municipios!Z1072</f>
        <v>50.654760259485307</v>
      </c>
      <c r="V1071" s="232">
        <v>50590</v>
      </c>
      <c r="W1071" s="232" t="s">
        <v>2538</v>
      </c>
      <c r="X1071" s="232" t="s">
        <v>605</v>
      </c>
      <c r="Y1071" s="232" t="s">
        <v>606</v>
      </c>
      <c r="Z1071" s="232" t="s">
        <v>2508</v>
      </c>
    </row>
    <row r="1072" spans="1:26">
      <c r="A1072" t="s">
        <v>417</v>
      </c>
      <c r="B1072" s="25">
        <f>+Municipios!Z1073</f>
        <v>58.671835538260339</v>
      </c>
      <c r="C1072" s="232">
        <v>85250</v>
      </c>
      <c r="D1072" s="232" t="s">
        <v>2539</v>
      </c>
      <c r="E1072" s="232" t="s">
        <v>1351</v>
      </c>
      <c r="F1072" s="232" t="s">
        <v>1352</v>
      </c>
      <c r="G1072" s="232" t="s">
        <v>2540</v>
      </c>
      <c r="K1072" t="s">
        <v>2647</v>
      </c>
      <c r="L1072" s="81">
        <f>+Municipios!AB1073</f>
        <v>17.602636664679491</v>
      </c>
      <c r="M1072" s="232">
        <v>85250</v>
      </c>
      <c r="N1072" s="232" t="s">
        <v>2539</v>
      </c>
      <c r="O1072" s="232" t="s">
        <v>1351</v>
      </c>
      <c r="P1072" s="232" t="s">
        <v>1352</v>
      </c>
      <c r="Q1072" s="232" t="s">
        <v>2540</v>
      </c>
      <c r="T1072" t="s">
        <v>2803</v>
      </c>
      <c r="U1072" s="25">
        <f>+Municipios!Z1073</f>
        <v>58.671835538260339</v>
      </c>
      <c r="V1072" s="232">
        <v>85250</v>
      </c>
      <c r="W1072" s="232" t="s">
        <v>2539</v>
      </c>
      <c r="X1072" s="232" t="s">
        <v>1351</v>
      </c>
      <c r="Y1072" s="232" t="s">
        <v>1352</v>
      </c>
      <c r="Z1072" s="232" t="s">
        <v>2540</v>
      </c>
    </row>
    <row r="1073" spans="1:26">
      <c r="A1073" t="s">
        <v>417</v>
      </c>
      <c r="B1073" s="25">
        <f>+Municipios!Z1074</f>
        <v>60.309971917540032</v>
      </c>
      <c r="C1073" s="232">
        <v>95001</v>
      </c>
      <c r="D1073" s="232" t="s">
        <v>2541</v>
      </c>
      <c r="E1073" s="232" t="s">
        <v>2542</v>
      </c>
      <c r="F1073" s="232" t="s">
        <v>2543</v>
      </c>
      <c r="G1073" s="232" t="s">
        <v>2544</v>
      </c>
      <c r="K1073" t="s">
        <v>2647</v>
      </c>
      <c r="L1073" s="81">
        <f>+Municipios!AB1074</f>
        <v>17.661878122366524</v>
      </c>
      <c r="M1073" s="232">
        <v>95001</v>
      </c>
      <c r="N1073" s="232" t="s">
        <v>2541</v>
      </c>
      <c r="O1073" s="232" t="s">
        <v>2542</v>
      </c>
      <c r="P1073" s="232" t="s">
        <v>2543</v>
      </c>
      <c r="Q1073" s="232" t="s">
        <v>2544</v>
      </c>
      <c r="T1073" t="s">
        <v>2803</v>
      </c>
      <c r="U1073" s="25">
        <f>+Municipios!Z1074</f>
        <v>60.309971917540032</v>
      </c>
      <c r="V1073" s="232">
        <v>95001</v>
      </c>
      <c r="W1073" s="232" t="s">
        <v>2541</v>
      </c>
      <c r="X1073" s="232" t="s">
        <v>2542</v>
      </c>
      <c r="Y1073" s="232" t="s">
        <v>2543</v>
      </c>
      <c r="Z1073" s="232" t="s">
        <v>2544</v>
      </c>
    </row>
    <row r="1074" spans="1:26">
      <c r="A1074" t="s">
        <v>417</v>
      </c>
      <c r="B1074" s="25">
        <f>+Municipios!Z1075</f>
        <v>57.670673020408444</v>
      </c>
      <c r="C1074" s="232">
        <v>18753</v>
      </c>
      <c r="D1074" s="232" t="s">
        <v>2545</v>
      </c>
      <c r="E1074" s="232" t="s">
        <v>1463</v>
      </c>
      <c r="F1074" s="232" t="s">
        <v>1464</v>
      </c>
      <c r="G1074" s="232" t="s">
        <v>2546</v>
      </c>
      <c r="K1074" t="s">
        <v>2647</v>
      </c>
      <c r="L1074" s="81">
        <f>+Municipios!AB1075</f>
        <v>16.600601578735468</v>
      </c>
      <c r="M1074" s="232">
        <v>18753</v>
      </c>
      <c r="N1074" s="232" t="s">
        <v>2545</v>
      </c>
      <c r="O1074" s="232" t="s">
        <v>1463</v>
      </c>
      <c r="P1074" s="232" t="s">
        <v>1464</v>
      </c>
      <c r="Q1074" s="232" t="s">
        <v>2546</v>
      </c>
      <c r="T1074" t="s">
        <v>2803</v>
      </c>
      <c r="U1074" s="25">
        <f>+Municipios!Z1075</f>
        <v>57.670673020408444</v>
      </c>
      <c r="V1074" s="232">
        <v>18753</v>
      </c>
      <c r="W1074" s="232" t="s">
        <v>2545</v>
      </c>
      <c r="X1074" s="232" t="s">
        <v>1463</v>
      </c>
      <c r="Y1074" s="232" t="s">
        <v>1464</v>
      </c>
      <c r="Z1074" s="232" t="s">
        <v>2546</v>
      </c>
    </row>
    <row r="1075" spans="1:26">
      <c r="A1075" t="s">
        <v>417</v>
      </c>
      <c r="B1075" s="25">
        <f>+Municipios!Z1076</f>
        <v>54.350636680373384</v>
      </c>
      <c r="C1075" s="232">
        <v>27745</v>
      </c>
      <c r="D1075" s="232" t="s">
        <v>2547</v>
      </c>
      <c r="E1075" s="232" t="s">
        <v>1714</v>
      </c>
      <c r="F1075" s="232" t="s">
        <v>1715</v>
      </c>
      <c r="G1075" s="232" t="s">
        <v>2548</v>
      </c>
      <c r="K1075" t="s">
        <v>2647</v>
      </c>
      <c r="L1075" s="81">
        <f>+Municipios!AB1076</f>
        <v>15.571168054200802</v>
      </c>
      <c r="M1075" s="232">
        <v>27745</v>
      </c>
      <c r="N1075" s="232" t="s">
        <v>2547</v>
      </c>
      <c r="O1075" s="232" t="s">
        <v>1714</v>
      </c>
      <c r="P1075" s="232" t="s">
        <v>1715</v>
      </c>
      <c r="Q1075" s="232" t="s">
        <v>2548</v>
      </c>
      <c r="T1075" t="s">
        <v>2803</v>
      </c>
      <c r="U1075" s="25">
        <f>+Municipios!Z1076</f>
        <v>54.350636680373384</v>
      </c>
      <c r="V1075" s="232">
        <v>27745</v>
      </c>
      <c r="W1075" s="232" t="s">
        <v>2547</v>
      </c>
      <c r="X1075" s="232" t="s">
        <v>1714</v>
      </c>
      <c r="Y1075" s="232" t="s">
        <v>1715</v>
      </c>
      <c r="Z1075" s="232" t="s">
        <v>2548</v>
      </c>
    </row>
    <row r="1076" spans="1:26">
      <c r="A1076" t="s">
        <v>417</v>
      </c>
      <c r="B1076" s="25">
        <f>+Municipios!Z1077</f>
        <v>59.665089280468742</v>
      </c>
      <c r="C1076" s="232">
        <v>85325</v>
      </c>
      <c r="D1076" s="232" t="s">
        <v>2549</v>
      </c>
      <c r="E1076" s="232" t="s">
        <v>1351</v>
      </c>
      <c r="F1076" s="232" t="s">
        <v>1352</v>
      </c>
      <c r="G1076" s="232" t="s">
        <v>2550</v>
      </c>
      <c r="K1076" t="s">
        <v>2647</v>
      </c>
      <c r="L1076" s="81">
        <f>+Municipios!AB1077</f>
        <v>16.993716728785</v>
      </c>
      <c r="M1076" s="232">
        <v>85325</v>
      </c>
      <c r="N1076" s="232" t="s">
        <v>2549</v>
      </c>
      <c r="O1076" s="232" t="s">
        <v>1351</v>
      </c>
      <c r="P1076" s="232" t="s">
        <v>1352</v>
      </c>
      <c r="Q1076" s="232" t="s">
        <v>2550</v>
      </c>
      <c r="T1076" t="s">
        <v>2803</v>
      </c>
      <c r="U1076" s="25">
        <f>+Municipios!Z1077</f>
        <v>59.665089280468742</v>
      </c>
      <c r="V1076" s="232">
        <v>85325</v>
      </c>
      <c r="W1076" s="232" t="s">
        <v>2549</v>
      </c>
      <c r="X1076" s="232" t="s">
        <v>1351</v>
      </c>
      <c r="Y1076" s="232" t="s">
        <v>1352</v>
      </c>
      <c r="Z1076" s="232" t="s">
        <v>2550</v>
      </c>
    </row>
    <row r="1077" spans="1:26">
      <c r="A1077" t="s">
        <v>417</v>
      </c>
      <c r="B1077" s="25">
        <f>+Municipios!Z1078</f>
        <v>60.869659430044642</v>
      </c>
      <c r="C1077" s="232">
        <v>50568</v>
      </c>
      <c r="D1077" s="232" t="s">
        <v>2551</v>
      </c>
      <c r="E1077" s="232" t="s">
        <v>605</v>
      </c>
      <c r="F1077" s="232" t="s">
        <v>606</v>
      </c>
      <c r="G1077" s="232" t="s">
        <v>2552</v>
      </c>
      <c r="K1077" t="s">
        <v>2647</v>
      </c>
      <c r="L1077" s="81">
        <f>+Municipios!AB1078</f>
        <v>17.054457306752074</v>
      </c>
      <c r="M1077" s="232">
        <v>50568</v>
      </c>
      <c r="N1077" s="232" t="s">
        <v>2551</v>
      </c>
      <c r="O1077" s="232" t="s">
        <v>605</v>
      </c>
      <c r="P1077" s="232" t="s">
        <v>606</v>
      </c>
      <c r="Q1077" s="232" t="s">
        <v>2552</v>
      </c>
      <c r="T1077" t="s">
        <v>2803</v>
      </c>
      <c r="U1077" s="25">
        <f>+Municipios!Z1078</f>
        <v>60.869659430044642</v>
      </c>
      <c r="V1077" s="232">
        <v>50568</v>
      </c>
      <c r="W1077" s="232" t="s">
        <v>2551</v>
      </c>
      <c r="X1077" s="232" t="s">
        <v>605</v>
      </c>
      <c r="Y1077" s="232" t="s">
        <v>606</v>
      </c>
      <c r="Z1077" s="232" t="s">
        <v>2552</v>
      </c>
    </row>
    <row r="1078" spans="1:26">
      <c r="A1078" t="s">
        <v>417</v>
      </c>
      <c r="B1078" s="25">
        <f>+Municipios!Z1079</f>
        <v>55.293865954485774</v>
      </c>
      <c r="C1078" s="232">
        <v>85125</v>
      </c>
      <c r="D1078" s="232" t="s">
        <v>2553</v>
      </c>
      <c r="E1078" s="232" t="s">
        <v>1351</v>
      </c>
      <c r="F1078" s="232" t="s">
        <v>1352</v>
      </c>
      <c r="G1078" s="232" t="s">
        <v>2554</v>
      </c>
      <c r="K1078" t="s">
        <v>2647</v>
      </c>
      <c r="L1078" s="81">
        <f>+Municipios!AB1079</f>
        <v>15.282839009084226</v>
      </c>
      <c r="M1078" s="232">
        <v>85125</v>
      </c>
      <c r="N1078" s="232" t="s">
        <v>2553</v>
      </c>
      <c r="O1078" s="232" t="s">
        <v>1351</v>
      </c>
      <c r="P1078" s="232" t="s">
        <v>1352</v>
      </c>
      <c r="Q1078" s="232" t="s">
        <v>2554</v>
      </c>
      <c r="T1078" t="s">
        <v>2803</v>
      </c>
      <c r="U1078" s="25">
        <f>+Municipios!Z1079</f>
        <v>55.293865954485774</v>
      </c>
      <c r="V1078" s="232">
        <v>85125</v>
      </c>
      <c r="W1078" s="232" t="s">
        <v>2553</v>
      </c>
      <c r="X1078" s="232" t="s">
        <v>1351</v>
      </c>
      <c r="Y1078" s="232" t="s">
        <v>1352</v>
      </c>
      <c r="Z1078" s="232" t="s">
        <v>2554</v>
      </c>
    </row>
    <row r="1079" spans="1:26">
      <c r="A1079" t="s">
        <v>417</v>
      </c>
      <c r="B1079" s="25">
        <f>+Municipios!Z1080</f>
        <v>62.491913305453423</v>
      </c>
      <c r="C1079" s="232">
        <v>85230</v>
      </c>
      <c r="D1079" s="232" t="s">
        <v>2555</v>
      </c>
      <c r="E1079" s="232" t="s">
        <v>1351</v>
      </c>
      <c r="F1079" s="232" t="s">
        <v>1352</v>
      </c>
      <c r="G1079" s="232" t="s">
        <v>2556</v>
      </c>
      <c r="K1079" t="s">
        <v>2647</v>
      </c>
      <c r="L1079" s="81">
        <f>+Municipios!AB1080</f>
        <v>17.105920756941362</v>
      </c>
      <c r="M1079" s="232">
        <v>85230</v>
      </c>
      <c r="N1079" s="232" t="s">
        <v>2555</v>
      </c>
      <c r="O1079" s="232" t="s">
        <v>1351</v>
      </c>
      <c r="P1079" s="232" t="s">
        <v>1352</v>
      </c>
      <c r="Q1079" s="232" t="s">
        <v>2556</v>
      </c>
      <c r="T1079" t="s">
        <v>2803</v>
      </c>
      <c r="U1079" s="25">
        <f>+Municipios!Z1080</f>
        <v>62.491913305453423</v>
      </c>
      <c r="V1079" s="232">
        <v>85230</v>
      </c>
      <c r="W1079" s="232" t="s">
        <v>2555</v>
      </c>
      <c r="X1079" s="232" t="s">
        <v>1351</v>
      </c>
      <c r="Y1079" s="232" t="s">
        <v>1352</v>
      </c>
      <c r="Z1079" s="232" t="s">
        <v>2556</v>
      </c>
    </row>
    <row r="1080" spans="1:26">
      <c r="A1080" t="s">
        <v>417</v>
      </c>
      <c r="B1080" s="25">
        <f>+Municipios!Z1081</f>
        <v>43.916427808977765</v>
      </c>
      <c r="C1080" s="232">
        <v>86573</v>
      </c>
      <c r="D1080" s="232" t="s">
        <v>2557</v>
      </c>
      <c r="E1080" s="232" t="s">
        <v>943</v>
      </c>
      <c r="F1080" s="232" t="s">
        <v>944</v>
      </c>
      <c r="G1080" s="232" t="s">
        <v>2558</v>
      </c>
      <c r="K1080" t="s">
        <v>2647</v>
      </c>
      <c r="L1080" s="81">
        <f>+Municipios!AB1081</f>
        <v>11.931170617472489</v>
      </c>
      <c r="M1080" s="232">
        <v>86573</v>
      </c>
      <c r="N1080" s="232" t="s">
        <v>2557</v>
      </c>
      <c r="O1080" s="232" t="s">
        <v>943</v>
      </c>
      <c r="P1080" s="232" t="s">
        <v>944</v>
      </c>
      <c r="Q1080" s="232" t="s">
        <v>2558</v>
      </c>
      <c r="T1080" t="s">
        <v>2803</v>
      </c>
      <c r="U1080" s="25">
        <f>+Municipios!Z1081</f>
        <v>43.916427808977765</v>
      </c>
      <c r="V1080" s="232">
        <v>86573</v>
      </c>
      <c r="W1080" s="232" t="s">
        <v>2557</v>
      </c>
      <c r="X1080" s="232" t="s">
        <v>943</v>
      </c>
      <c r="Y1080" s="232" t="s">
        <v>944</v>
      </c>
      <c r="Z1080" s="232" t="s">
        <v>2558</v>
      </c>
    </row>
    <row r="1081" spans="1:26">
      <c r="A1081" t="s">
        <v>417</v>
      </c>
      <c r="B1081" s="25">
        <f>+Municipios!Z1082</f>
        <v>50.848483027738375</v>
      </c>
      <c r="C1081" s="232">
        <v>18150</v>
      </c>
      <c r="D1081" s="232" t="s">
        <v>2559</v>
      </c>
      <c r="E1081" s="232" t="s">
        <v>1463</v>
      </c>
      <c r="F1081" s="232" t="s">
        <v>1464</v>
      </c>
      <c r="G1081" s="232" t="s">
        <v>2560</v>
      </c>
      <c r="K1081" t="s">
        <v>2647</v>
      </c>
      <c r="L1081" s="81">
        <f>+Municipios!AB1082</f>
        <v>13.661140515367622</v>
      </c>
      <c r="M1081" s="232">
        <v>18150</v>
      </c>
      <c r="N1081" s="232" t="s">
        <v>2559</v>
      </c>
      <c r="O1081" s="232" t="s">
        <v>1463</v>
      </c>
      <c r="P1081" s="232" t="s">
        <v>1464</v>
      </c>
      <c r="Q1081" s="232" t="s">
        <v>2560</v>
      </c>
      <c r="T1081" t="s">
        <v>2803</v>
      </c>
      <c r="U1081" s="25">
        <f>+Municipios!Z1082</f>
        <v>50.848483027738375</v>
      </c>
      <c r="V1081" s="232">
        <v>18150</v>
      </c>
      <c r="W1081" s="232" t="s">
        <v>2559</v>
      </c>
      <c r="X1081" s="232" t="s">
        <v>1463</v>
      </c>
      <c r="Y1081" s="232" t="s">
        <v>1464</v>
      </c>
      <c r="Z1081" s="232" t="s">
        <v>2560</v>
      </c>
    </row>
    <row r="1082" spans="1:26">
      <c r="A1082" t="s">
        <v>417</v>
      </c>
      <c r="B1082" s="25">
        <f>+Municipios!Z1083</f>
        <v>56.103407452968561</v>
      </c>
      <c r="C1082" s="232">
        <v>50350</v>
      </c>
      <c r="D1082" s="232" t="s">
        <v>2561</v>
      </c>
      <c r="E1082" s="232" t="s">
        <v>605</v>
      </c>
      <c r="F1082" s="232" t="s">
        <v>606</v>
      </c>
      <c r="G1082" s="232" t="s">
        <v>2562</v>
      </c>
      <c r="K1082" t="s">
        <v>2647</v>
      </c>
      <c r="L1082" s="81">
        <f>+Municipios!AB1083</f>
        <v>14.701078707349529</v>
      </c>
      <c r="M1082" s="232">
        <v>50350</v>
      </c>
      <c r="N1082" s="232" t="s">
        <v>2561</v>
      </c>
      <c r="O1082" s="232" t="s">
        <v>605</v>
      </c>
      <c r="P1082" s="232" t="s">
        <v>606</v>
      </c>
      <c r="Q1082" s="232" t="s">
        <v>2562</v>
      </c>
      <c r="T1082" t="s">
        <v>2803</v>
      </c>
      <c r="U1082" s="25">
        <f>+Municipios!Z1083</f>
        <v>56.103407452968561</v>
      </c>
      <c r="V1082" s="232">
        <v>50350</v>
      </c>
      <c r="W1082" s="232" t="s">
        <v>2561</v>
      </c>
      <c r="X1082" s="232" t="s">
        <v>605</v>
      </c>
      <c r="Y1082" s="232" t="s">
        <v>606</v>
      </c>
      <c r="Z1082" s="232" t="s">
        <v>2562</v>
      </c>
    </row>
    <row r="1083" spans="1:26">
      <c r="A1083" t="s">
        <v>417</v>
      </c>
      <c r="B1083" s="25">
        <f>+Municipios!Z1084</f>
        <v>53.903137590554195</v>
      </c>
      <c r="C1083" s="232">
        <v>81591</v>
      </c>
      <c r="D1083" s="232" t="s">
        <v>2563</v>
      </c>
      <c r="E1083" s="232" t="s">
        <v>1568</v>
      </c>
      <c r="F1083" s="232" t="s">
        <v>1569</v>
      </c>
      <c r="G1083" s="232" t="s">
        <v>2564</v>
      </c>
      <c r="K1083" t="s">
        <v>2647</v>
      </c>
      <c r="L1083" s="81">
        <f>+Municipios!AB1084</f>
        <v>13.889953956422696</v>
      </c>
      <c r="M1083" s="232">
        <v>81591</v>
      </c>
      <c r="N1083" s="232" t="s">
        <v>2563</v>
      </c>
      <c r="O1083" s="232" t="s">
        <v>1568</v>
      </c>
      <c r="P1083" s="232" t="s">
        <v>1569</v>
      </c>
      <c r="Q1083" s="232" t="s">
        <v>2564</v>
      </c>
      <c r="T1083" t="s">
        <v>2803</v>
      </c>
      <c r="U1083" s="25">
        <f>+Municipios!Z1084</f>
        <v>53.903137590554195</v>
      </c>
      <c r="V1083" s="232">
        <v>81591</v>
      </c>
      <c r="W1083" s="232" t="s">
        <v>2563</v>
      </c>
      <c r="X1083" s="232" t="s">
        <v>1568</v>
      </c>
      <c r="Y1083" s="232" t="s">
        <v>1569</v>
      </c>
      <c r="Z1083" s="232" t="s">
        <v>2564</v>
      </c>
    </row>
    <row r="1084" spans="1:26">
      <c r="A1084" t="s">
        <v>417</v>
      </c>
      <c r="B1084" s="25">
        <f>+Municipios!Z1085</f>
        <v>54.726704266402237</v>
      </c>
      <c r="C1084" s="232">
        <v>50370</v>
      </c>
      <c r="D1084" s="232" t="s">
        <v>2565</v>
      </c>
      <c r="E1084" s="232" t="s">
        <v>605</v>
      </c>
      <c r="F1084" s="232" t="s">
        <v>606</v>
      </c>
      <c r="G1084" s="232" t="s">
        <v>2566</v>
      </c>
      <c r="K1084" t="s">
        <v>2647</v>
      </c>
      <c r="L1084" s="81">
        <f>+Municipios!AB1085</f>
        <v>13.011725218686259</v>
      </c>
      <c r="M1084" s="232">
        <v>50370</v>
      </c>
      <c r="N1084" s="232" t="s">
        <v>2565</v>
      </c>
      <c r="O1084" s="232" t="s">
        <v>605</v>
      </c>
      <c r="P1084" s="232" t="s">
        <v>606</v>
      </c>
      <c r="Q1084" s="232" t="s">
        <v>2566</v>
      </c>
      <c r="T1084" t="s">
        <v>2803</v>
      </c>
      <c r="U1084" s="25">
        <f>+Municipios!Z1085</f>
        <v>54.726704266402237</v>
      </c>
      <c r="V1084" s="232">
        <v>50370</v>
      </c>
      <c r="W1084" s="232" t="s">
        <v>2565</v>
      </c>
      <c r="X1084" s="232" t="s">
        <v>605</v>
      </c>
      <c r="Y1084" s="232" t="s">
        <v>606</v>
      </c>
      <c r="Z1084" s="232" t="s">
        <v>2566</v>
      </c>
    </row>
    <row r="1085" spans="1:26">
      <c r="A1085" t="s">
        <v>417</v>
      </c>
      <c r="B1085" s="25">
        <f>+Municipios!Z1086</f>
        <v>54.952417582603474</v>
      </c>
      <c r="C1085" s="232">
        <v>19701</v>
      </c>
      <c r="D1085" s="232" t="s">
        <v>2567</v>
      </c>
      <c r="E1085" s="232" t="s">
        <v>557</v>
      </c>
      <c r="F1085" s="232" t="s">
        <v>558</v>
      </c>
      <c r="G1085" s="232" t="s">
        <v>751</v>
      </c>
      <c r="K1085" t="s">
        <v>2647</v>
      </c>
      <c r="L1085" s="81">
        <f>+Municipios!AB1086</f>
        <v>12.954636496753341</v>
      </c>
      <c r="M1085" s="232">
        <v>19701</v>
      </c>
      <c r="N1085" s="232" t="s">
        <v>2567</v>
      </c>
      <c r="O1085" s="232" t="s">
        <v>557</v>
      </c>
      <c r="P1085" s="232" t="s">
        <v>558</v>
      </c>
      <c r="Q1085" s="232" t="s">
        <v>751</v>
      </c>
      <c r="T1085" t="s">
        <v>2803</v>
      </c>
      <c r="U1085" s="25">
        <f>+Municipios!Z1086</f>
        <v>54.952417582603474</v>
      </c>
      <c r="V1085" s="232">
        <v>19701</v>
      </c>
      <c r="W1085" s="232" t="s">
        <v>2567</v>
      </c>
      <c r="X1085" s="232" t="s">
        <v>557</v>
      </c>
      <c r="Y1085" s="232" t="s">
        <v>558</v>
      </c>
      <c r="Z1085" s="232" t="s">
        <v>751</v>
      </c>
    </row>
    <row r="1086" spans="1:26">
      <c r="A1086" t="s">
        <v>417</v>
      </c>
      <c r="B1086" s="25">
        <f>+Municipios!Z1087</f>
        <v>58.105882651216199</v>
      </c>
      <c r="C1086" s="232">
        <v>97001</v>
      </c>
      <c r="D1086" s="232" t="s">
        <v>2568</v>
      </c>
      <c r="E1086" s="232" t="s">
        <v>2569</v>
      </c>
      <c r="F1086" s="232" t="s">
        <v>2570</v>
      </c>
      <c r="G1086" s="232" t="s">
        <v>2571</v>
      </c>
      <c r="K1086" t="s">
        <v>2647</v>
      </c>
      <c r="L1086" s="81">
        <f>+Municipios!AB1087</f>
        <v>13.036703984838599</v>
      </c>
      <c r="M1086" s="232">
        <v>97001</v>
      </c>
      <c r="N1086" s="232" t="s">
        <v>2568</v>
      </c>
      <c r="O1086" s="232" t="s">
        <v>2569</v>
      </c>
      <c r="P1086" s="232" t="s">
        <v>2570</v>
      </c>
      <c r="Q1086" s="232" t="s">
        <v>2571</v>
      </c>
      <c r="T1086" t="s">
        <v>2803</v>
      </c>
      <c r="U1086" s="25">
        <f>+Municipios!Z1087</f>
        <v>58.105882651216199</v>
      </c>
      <c r="V1086" s="232">
        <v>97001</v>
      </c>
      <c r="W1086" s="232" t="s">
        <v>2568</v>
      </c>
      <c r="X1086" s="232" t="s">
        <v>2569</v>
      </c>
      <c r="Y1086" s="232" t="s">
        <v>2570</v>
      </c>
      <c r="Z1086" s="232" t="s">
        <v>2571</v>
      </c>
    </row>
    <row r="1087" spans="1:26">
      <c r="A1087" t="s">
        <v>417</v>
      </c>
      <c r="B1087" s="25">
        <f>+Municipios!Z1088</f>
        <v>56.965843468046188</v>
      </c>
      <c r="C1087" s="232">
        <v>95025</v>
      </c>
      <c r="D1087" s="232" t="s">
        <v>2572</v>
      </c>
      <c r="E1087" s="232" t="s">
        <v>2542</v>
      </c>
      <c r="F1087" s="232" t="s">
        <v>2543</v>
      </c>
      <c r="G1087" s="232" t="s">
        <v>2573</v>
      </c>
      <c r="K1087" t="s">
        <v>2647</v>
      </c>
      <c r="L1087" s="81">
        <f>+Municipios!AB1088</f>
        <v>12.426133115540845</v>
      </c>
      <c r="M1087" s="232">
        <v>95025</v>
      </c>
      <c r="N1087" s="232" t="s">
        <v>2572</v>
      </c>
      <c r="O1087" s="232" t="s">
        <v>2542</v>
      </c>
      <c r="P1087" s="232" t="s">
        <v>2543</v>
      </c>
      <c r="Q1087" s="232" t="s">
        <v>2573</v>
      </c>
      <c r="T1087" t="s">
        <v>2803</v>
      </c>
      <c r="U1087" s="25">
        <f>+Municipios!Z1088</f>
        <v>56.965843468046188</v>
      </c>
      <c r="V1087" s="232">
        <v>95025</v>
      </c>
      <c r="W1087" s="232" t="s">
        <v>2572</v>
      </c>
      <c r="X1087" s="232" t="s">
        <v>2542</v>
      </c>
      <c r="Y1087" s="232" t="s">
        <v>2543</v>
      </c>
      <c r="Z1087" s="232" t="s">
        <v>2573</v>
      </c>
    </row>
    <row r="1088" spans="1:26">
      <c r="A1088" t="s">
        <v>417</v>
      </c>
      <c r="B1088" s="25">
        <f>+Municipios!Z1089</f>
        <v>58.482538947293129</v>
      </c>
      <c r="C1088" s="232">
        <v>99001</v>
      </c>
      <c r="D1088" s="232" t="s">
        <v>2574</v>
      </c>
      <c r="E1088" s="232" t="s">
        <v>2575</v>
      </c>
      <c r="F1088" s="232" t="s">
        <v>2576</v>
      </c>
      <c r="G1088" s="232" t="s">
        <v>2577</v>
      </c>
      <c r="K1088" t="s">
        <v>2647</v>
      </c>
      <c r="L1088" s="81">
        <f>+Municipios!AB1089</f>
        <v>11.558781275581042</v>
      </c>
      <c r="M1088" s="232">
        <v>99001</v>
      </c>
      <c r="N1088" s="232" t="s">
        <v>2574</v>
      </c>
      <c r="O1088" s="232" t="s">
        <v>2575</v>
      </c>
      <c r="P1088" s="232" t="s">
        <v>2576</v>
      </c>
      <c r="Q1088" s="232" t="s">
        <v>2577</v>
      </c>
      <c r="T1088" t="s">
        <v>2803</v>
      </c>
      <c r="U1088" s="25">
        <f>+Municipios!Z1089</f>
        <v>58.482538947293129</v>
      </c>
      <c r="V1088" s="232">
        <v>99001</v>
      </c>
      <c r="W1088" s="232" t="s">
        <v>2574</v>
      </c>
      <c r="X1088" s="232" t="s">
        <v>2575</v>
      </c>
      <c r="Y1088" s="232" t="s">
        <v>2576</v>
      </c>
      <c r="Z1088" s="232" t="s">
        <v>2577</v>
      </c>
    </row>
    <row r="1089" spans="1:26">
      <c r="A1089" t="s">
        <v>417</v>
      </c>
      <c r="B1089" s="25">
        <f>+Municipios!Z1090</f>
        <v>43.579197820645433</v>
      </c>
      <c r="C1089" s="232">
        <v>99624</v>
      </c>
      <c r="D1089" s="232" t="s">
        <v>2578</v>
      </c>
      <c r="E1089" s="232" t="s">
        <v>2575</v>
      </c>
      <c r="F1089" s="232" t="s">
        <v>2576</v>
      </c>
      <c r="G1089" s="232" t="s">
        <v>2579</v>
      </c>
      <c r="K1089" t="s">
        <v>2647</v>
      </c>
      <c r="L1089" s="81">
        <f>+Municipios!AB1090</f>
        <v>8.6126834186847532</v>
      </c>
      <c r="M1089" s="232">
        <v>99624</v>
      </c>
      <c r="N1089" s="232" t="s">
        <v>2578</v>
      </c>
      <c r="O1089" s="232" t="s">
        <v>2575</v>
      </c>
      <c r="P1089" s="232" t="s">
        <v>2576</v>
      </c>
      <c r="Q1089" s="232" t="s">
        <v>2579</v>
      </c>
      <c r="T1089" t="s">
        <v>2803</v>
      </c>
      <c r="U1089" s="25">
        <f>+Municipios!Z1090</f>
        <v>43.579197820645433</v>
      </c>
      <c r="V1089" s="232">
        <v>99624</v>
      </c>
      <c r="W1089" s="232" t="s">
        <v>2578</v>
      </c>
      <c r="X1089" s="232" t="s">
        <v>2575</v>
      </c>
      <c r="Y1089" s="232" t="s">
        <v>2576</v>
      </c>
      <c r="Z1089" s="232" t="s">
        <v>2579</v>
      </c>
    </row>
    <row r="1090" spans="1:26">
      <c r="A1090" t="s">
        <v>417</v>
      </c>
      <c r="B1090" s="25">
        <f>+Municipios!Z1091</f>
        <v>54.397223242500907</v>
      </c>
      <c r="C1090" s="232">
        <v>99773</v>
      </c>
      <c r="D1090" s="232" t="s">
        <v>2580</v>
      </c>
      <c r="E1090" s="232" t="s">
        <v>2575</v>
      </c>
      <c r="F1090" s="232" t="s">
        <v>2576</v>
      </c>
      <c r="G1090" s="232" t="s">
        <v>2581</v>
      </c>
      <c r="K1090" t="s">
        <v>2647</v>
      </c>
      <c r="L1090" s="81">
        <f>+Municipios!AB1091</f>
        <v>10.001179159014209</v>
      </c>
      <c r="M1090" s="232">
        <v>99773</v>
      </c>
      <c r="N1090" s="232" t="s">
        <v>2580</v>
      </c>
      <c r="O1090" s="232" t="s">
        <v>2575</v>
      </c>
      <c r="P1090" s="232" t="s">
        <v>2576</v>
      </c>
      <c r="Q1090" s="232" t="s">
        <v>2581</v>
      </c>
      <c r="T1090" t="s">
        <v>2803</v>
      </c>
      <c r="U1090" s="25">
        <f>+Municipios!Z1091</f>
        <v>54.397223242500907</v>
      </c>
      <c r="V1090" s="232">
        <v>99773</v>
      </c>
      <c r="W1090" s="232" t="s">
        <v>2580</v>
      </c>
      <c r="X1090" s="232" t="s">
        <v>2575</v>
      </c>
      <c r="Y1090" s="232" t="s">
        <v>2576</v>
      </c>
      <c r="Z1090" s="232" t="s">
        <v>2581</v>
      </c>
    </row>
    <row r="1091" spans="1:26">
      <c r="A1091" t="s">
        <v>417</v>
      </c>
      <c r="B1091" s="25">
        <f>+Municipios!Z1092</f>
        <v>60.468541798917272</v>
      </c>
      <c r="C1091" s="232">
        <v>95015</v>
      </c>
      <c r="D1091" s="232" t="s">
        <v>2582</v>
      </c>
      <c r="E1091" s="232" t="s">
        <v>2542</v>
      </c>
      <c r="F1091" s="232" t="s">
        <v>2543</v>
      </c>
      <c r="G1091" s="232" t="s">
        <v>927</v>
      </c>
      <c r="K1091" t="s">
        <v>2647</v>
      </c>
      <c r="L1091" s="81">
        <f>+Municipios!AB1092</f>
        <v>10.737624233765086</v>
      </c>
      <c r="M1091" s="232">
        <v>95015</v>
      </c>
      <c r="N1091" s="232" t="s">
        <v>2582</v>
      </c>
      <c r="O1091" s="232" t="s">
        <v>2542</v>
      </c>
      <c r="P1091" s="232" t="s">
        <v>2543</v>
      </c>
      <c r="Q1091" s="232" t="s">
        <v>927</v>
      </c>
      <c r="T1091" t="s">
        <v>2803</v>
      </c>
      <c r="U1091" s="25">
        <f>+Municipios!Z1092</f>
        <v>60.468541798917272</v>
      </c>
      <c r="V1091" s="232">
        <v>95015</v>
      </c>
      <c r="W1091" s="232" t="s">
        <v>2582</v>
      </c>
      <c r="X1091" s="232" t="s">
        <v>2542</v>
      </c>
      <c r="Y1091" s="232" t="s">
        <v>2543</v>
      </c>
      <c r="Z1091" s="232" t="s">
        <v>927</v>
      </c>
    </row>
    <row r="1092" spans="1:26">
      <c r="A1092" t="s">
        <v>417</v>
      </c>
      <c r="B1092" s="25">
        <f>+Municipios!Z1093</f>
        <v>43.773077825359621</v>
      </c>
      <c r="C1092" s="232">
        <v>81220</v>
      </c>
      <c r="D1092" s="232" t="s">
        <v>2583</v>
      </c>
      <c r="E1092" s="232" t="s">
        <v>1568</v>
      </c>
      <c r="F1092" s="232" t="s">
        <v>1569</v>
      </c>
      <c r="G1092" s="232" t="s">
        <v>2584</v>
      </c>
      <c r="K1092" t="s">
        <v>2647</v>
      </c>
      <c r="L1092" s="81">
        <f>+Municipios!AB1093</f>
        <v>7.7752193787413528</v>
      </c>
      <c r="M1092" s="232">
        <v>81220</v>
      </c>
      <c r="N1092" s="232" t="s">
        <v>2583</v>
      </c>
      <c r="O1092" s="232" t="s">
        <v>1568</v>
      </c>
      <c r="P1092" s="232" t="s">
        <v>1569</v>
      </c>
      <c r="Q1092" s="232" t="s">
        <v>2584</v>
      </c>
      <c r="T1092" t="s">
        <v>2803</v>
      </c>
      <c r="U1092" s="25">
        <f>+Municipios!Z1093</f>
        <v>43.773077825359621</v>
      </c>
      <c r="V1092" s="232">
        <v>81220</v>
      </c>
      <c r="W1092" s="232" t="s">
        <v>2583</v>
      </c>
      <c r="X1092" s="232" t="s">
        <v>1568</v>
      </c>
      <c r="Y1092" s="232" t="s">
        <v>1569</v>
      </c>
      <c r="Z1092" s="232" t="s">
        <v>2584</v>
      </c>
    </row>
    <row r="1093" spans="1:26">
      <c r="A1093" t="s">
        <v>417</v>
      </c>
      <c r="B1093" s="25">
        <f>+Municipios!Z1094</f>
        <v>38.014587054432226</v>
      </c>
      <c r="C1093" s="232">
        <v>94343</v>
      </c>
      <c r="D1093" s="232" t="s">
        <v>2585</v>
      </c>
      <c r="E1093" s="232" t="s">
        <v>2586</v>
      </c>
      <c r="F1093" s="232" t="s">
        <v>2587</v>
      </c>
      <c r="G1093" s="232" t="s">
        <v>2588</v>
      </c>
      <c r="K1093" t="s">
        <v>2647</v>
      </c>
      <c r="L1093" s="81">
        <f>+Municipios!AB1094</f>
        <v>6.5592873167882724</v>
      </c>
      <c r="M1093" s="232">
        <v>94343</v>
      </c>
      <c r="N1093" s="232" t="s">
        <v>2585</v>
      </c>
      <c r="O1093" s="232" t="s">
        <v>2586</v>
      </c>
      <c r="P1093" s="232" t="s">
        <v>2587</v>
      </c>
      <c r="Q1093" s="232" t="s">
        <v>2588</v>
      </c>
      <c r="T1093" t="s">
        <v>2803</v>
      </c>
      <c r="U1093" s="25">
        <f>+Municipios!Z1094</f>
        <v>38.014587054432226</v>
      </c>
      <c r="V1093" s="232">
        <v>94343</v>
      </c>
      <c r="W1093" s="232" t="s">
        <v>2585</v>
      </c>
      <c r="X1093" s="232" t="s">
        <v>2586</v>
      </c>
      <c r="Y1093" s="232" t="s">
        <v>2587</v>
      </c>
      <c r="Z1093" s="232" t="s">
        <v>2588</v>
      </c>
    </row>
    <row r="1094" spans="1:26">
      <c r="A1094" t="s">
        <v>417</v>
      </c>
      <c r="B1094" s="25">
        <f>+Municipios!Z1095</f>
        <v>49.901336886953878</v>
      </c>
      <c r="C1094" s="232">
        <v>50325</v>
      </c>
      <c r="D1094" s="232" t="s">
        <v>2589</v>
      </c>
      <c r="E1094" s="232" t="s">
        <v>605</v>
      </c>
      <c r="F1094" s="232" t="s">
        <v>606</v>
      </c>
      <c r="G1094" s="232" t="s">
        <v>2590</v>
      </c>
      <c r="K1094" t="s">
        <v>2647</v>
      </c>
      <c r="L1094" s="81">
        <f>+Municipios!AB1095</f>
        <v>7.6602245618816758</v>
      </c>
      <c r="M1094" s="232">
        <v>50325</v>
      </c>
      <c r="N1094" s="232" t="s">
        <v>2589</v>
      </c>
      <c r="O1094" s="232" t="s">
        <v>605</v>
      </c>
      <c r="P1094" s="232" t="s">
        <v>606</v>
      </c>
      <c r="Q1094" s="232" t="s">
        <v>2590</v>
      </c>
      <c r="T1094" t="s">
        <v>2803</v>
      </c>
      <c r="U1094" s="25">
        <f>+Municipios!Z1095</f>
        <v>49.901336886953878</v>
      </c>
      <c r="V1094" s="232">
        <v>50325</v>
      </c>
      <c r="W1094" s="232" t="s">
        <v>2589</v>
      </c>
      <c r="X1094" s="232" t="s">
        <v>605</v>
      </c>
      <c r="Y1094" s="232" t="s">
        <v>606</v>
      </c>
      <c r="Z1094" s="232" t="s">
        <v>2590</v>
      </c>
    </row>
    <row r="1095" spans="1:26">
      <c r="A1095" t="s">
        <v>417</v>
      </c>
      <c r="B1095" s="25">
        <f>+Municipios!Z1096</f>
        <v>51.230828337195305</v>
      </c>
      <c r="C1095" s="232">
        <v>95200</v>
      </c>
      <c r="D1095" s="232" t="s">
        <v>2591</v>
      </c>
      <c r="E1095" s="232" t="s">
        <v>2542</v>
      </c>
      <c r="F1095" s="232" t="s">
        <v>2543</v>
      </c>
      <c r="G1095" s="232" t="s">
        <v>1883</v>
      </c>
      <c r="K1095" t="s">
        <v>2647</v>
      </c>
      <c r="L1095" s="81">
        <f>+Municipios!AB1096</f>
        <v>7.0394069344836367</v>
      </c>
      <c r="M1095" s="232">
        <v>95200</v>
      </c>
      <c r="N1095" s="232" t="s">
        <v>2591</v>
      </c>
      <c r="O1095" s="232" t="s">
        <v>2542</v>
      </c>
      <c r="P1095" s="232" t="s">
        <v>2543</v>
      </c>
      <c r="Q1095" s="232" t="s">
        <v>1883</v>
      </c>
      <c r="T1095" t="s">
        <v>2803</v>
      </c>
      <c r="U1095" s="25">
        <f>+Municipios!Z1096</f>
        <v>51.230828337195305</v>
      </c>
      <c r="V1095" s="232">
        <v>95200</v>
      </c>
      <c r="W1095" s="232" t="s">
        <v>2591</v>
      </c>
      <c r="X1095" s="232" t="s">
        <v>2542</v>
      </c>
      <c r="Y1095" s="232" t="s">
        <v>2543</v>
      </c>
      <c r="Z1095" s="232" t="s">
        <v>1883</v>
      </c>
    </row>
    <row r="1096" spans="1:26">
      <c r="A1096" t="s">
        <v>417</v>
      </c>
      <c r="B1096" s="25">
        <f>+Municipios!Z1097</f>
        <v>45.309744352755303</v>
      </c>
      <c r="C1096" s="232">
        <v>99524</v>
      </c>
      <c r="D1096" s="232" t="s">
        <v>2592</v>
      </c>
      <c r="E1096" s="232" t="s">
        <v>2575</v>
      </c>
      <c r="F1096" s="232" t="s">
        <v>2576</v>
      </c>
      <c r="G1096" s="232" t="s">
        <v>2593</v>
      </c>
      <c r="K1096" t="s">
        <v>2647</v>
      </c>
      <c r="L1096" s="81">
        <f>+Municipios!AB1097</f>
        <v>6.1427169298215096</v>
      </c>
      <c r="M1096" s="232">
        <v>99524</v>
      </c>
      <c r="N1096" s="232" t="s">
        <v>2592</v>
      </c>
      <c r="O1096" s="232" t="s">
        <v>2575</v>
      </c>
      <c r="P1096" s="232" t="s">
        <v>2576</v>
      </c>
      <c r="Q1096" s="232" t="s">
        <v>2593</v>
      </c>
      <c r="T1096" t="s">
        <v>2803</v>
      </c>
      <c r="U1096" s="25">
        <f>+Municipios!Z1097</f>
        <v>45.309744352755303</v>
      </c>
      <c r="V1096" s="232">
        <v>99524</v>
      </c>
      <c r="W1096" s="232" t="s">
        <v>2592</v>
      </c>
      <c r="X1096" s="232" t="s">
        <v>2575</v>
      </c>
      <c r="Y1096" s="232" t="s">
        <v>2576</v>
      </c>
      <c r="Z1096" s="232" t="s">
        <v>2593</v>
      </c>
    </row>
    <row r="1097" spans="1:26">
      <c r="A1097" t="s">
        <v>417</v>
      </c>
      <c r="B1097" s="25">
        <f>+Municipios!Z1098</f>
        <v>41.861185714440055</v>
      </c>
      <c r="C1097" s="232">
        <v>97161</v>
      </c>
      <c r="D1097" s="232" t="s">
        <v>2594</v>
      </c>
      <c r="E1097" s="232" t="s">
        <v>2569</v>
      </c>
      <c r="F1097" s="232" t="s">
        <v>2570</v>
      </c>
      <c r="G1097" s="232" t="s">
        <v>2595</v>
      </c>
      <c r="K1097" t="s">
        <v>2647</v>
      </c>
      <c r="L1097" s="81">
        <f>+Municipios!AB1098</f>
        <v>5.3305703196979479</v>
      </c>
      <c r="M1097" s="232">
        <v>97161</v>
      </c>
      <c r="N1097" s="232" t="s">
        <v>2594</v>
      </c>
      <c r="O1097" s="232" t="s">
        <v>2569</v>
      </c>
      <c r="P1097" s="232" t="s">
        <v>2570</v>
      </c>
      <c r="Q1097" s="232" t="s">
        <v>2595</v>
      </c>
      <c r="T1097" t="s">
        <v>2803</v>
      </c>
      <c r="U1097" s="25">
        <f>+Municipios!Z1098</f>
        <v>41.861185714440055</v>
      </c>
      <c r="V1097" s="232">
        <v>97161</v>
      </c>
      <c r="W1097" s="232" t="s">
        <v>2594</v>
      </c>
      <c r="X1097" s="232" t="s">
        <v>2569</v>
      </c>
      <c r="Y1097" s="232" t="s">
        <v>2570</v>
      </c>
      <c r="Z1097" s="232" t="s">
        <v>2595</v>
      </c>
    </row>
    <row r="1098" spans="1:26">
      <c r="A1098" t="s">
        <v>417</v>
      </c>
      <c r="B1098" s="25">
        <f>+Municipios!Z1099</f>
        <v>46.251666735179711</v>
      </c>
      <c r="C1098" s="232">
        <v>97666</v>
      </c>
      <c r="D1098" s="232" t="s">
        <v>2596</v>
      </c>
      <c r="E1098" s="232" t="s">
        <v>2569</v>
      </c>
      <c r="F1098" s="232" t="s">
        <v>2570</v>
      </c>
      <c r="G1098" s="232" t="s">
        <v>2597</v>
      </c>
      <c r="K1098" t="s">
        <v>2647</v>
      </c>
      <c r="L1098" s="81">
        <f>+Municipios!AB1099</f>
        <v>4.7499036952289533</v>
      </c>
      <c r="M1098" s="232">
        <v>97666</v>
      </c>
      <c r="N1098" s="232" t="s">
        <v>2596</v>
      </c>
      <c r="O1098" s="232" t="s">
        <v>2569</v>
      </c>
      <c r="P1098" s="232" t="s">
        <v>2570</v>
      </c>
      <c r="Q1098" s="232" t="s">
        <v>2597</v>
      </c>
      <c r="T1098" t="s">
        <v>2803</v>
      </c>
      <c r="U1098" s="25">
        <f>+Municipios!Z1099</f>
        <v>46.251666735179711</v>
      </c>
      <c r="V1098" s="232">
        <v>97666</v>
      </c>
      <c r="W1098" s="232" t="s">
        <v>2596</v>
      </c>
      <c r="X1098" s="232" t="s">
        <v>2569</v>
      </c>
      <c r="Y1098" s="232" t="s">
        <v>2570</v>
      </c>
      <c r="Z1098" s="232" t="s">
        <v>2597</v>
      </c>
    </row>
    <row r="1099" spans="1:26">
      <c r="A1099" t="s">
        <v>417</v>
      </c>
      <c r="B1099" s="25">
        <f>+Municipios!Z1100</f>
        <v>50.494433340057384</v>
      </c>
      <c r="C1099" s="232">
        <v>18756</v>
      </c>
      <c r="D1099" s="232" t="s">
        <v>2598</v>
      </c>
      <c r="E1099" s="232" t="s">
        <v>1463</v>
      </c>
      <c r="F1099" s="232" t="s">
        <v>1464</v>
      </c>
      <c r="G1099" s="232" t="s">
        <v>2599</v>
      </c>
      <c r="K1099" t="s">
        <v>2647</v>
      </c>
      <c r="L1099" s="81">
        <f>+Municipios!AB1100</f>
        <v>5.049447878504739</v>
      </c>
      <c r="M1099" s="232">
        <v>18756</v>
      </c>
      <c r="N1099" s="232" t="s">
        <v>2598</v>
      </c>
      <c r="O1099" s="232" t="s">
        <v>1463</v>
      </c>
      <c r="P1099" s="232" t="s">
        <v>1464</v>
      </c>
      <c r="Q1099" s="232" t="s">
        <v>2599</v>
      </c>
      <c r="T1099" t="s">
        <v>2803</v>
      </c>
      <c r="U1099" s="25">
        <f>+Municipios!Z1100</f>
        <v>50.494433340057384</v>
      </c>
      <c r="V1099" s="232">
        <v>18756</v>
      </c>
      <c r="W1099" s="232" t="s">
        <v>2598</v>
      </c>
      <c r="X1099" s="232" t="s">
        <v>1463</v>
      </c>
      <c r="Y1099" s="232" t="s">
        <v>1464</v>
      </c>
      <c r="Z1099" s="232" t="s">
        <v>2599</v>
      </c>
    </row>
    <row r="1100" spans="1:26">
      <c r="A1100" t="s">
        <v>417</v>
      </c>
      <c r="B1100" s="25" t="str">
        <f>+Municipios!Z1101</f>
        <v>N.D.</v>
      </c>
      <c r="C1100" s="232">
        <v>27493</v>
      </c>
      <c r="D1100" s="232" t="s">
        <v>2600</v>
      </c>
      <c r="E1100" s="232" t="s">
        <v>1714</v>
      </c>
      <c r="F1100" s="232" t="s">
        <v>1715</v>
      </c>
      <c r="G1100" s="232" t="s">
        <v>2601</v>
      </c>
      <c r="K1100" t="s">
        <v>2647</v>
      </c>
      <c r="L1100" s="81" t="str">
        <f>+Municipios!AB1101</f>
        <v>N.D.</v>
      </c>
      <c r="M1100" s="232">
        <v>27493</v>
      </c>
      <c r="N1100" s="232" t="s">
        <v>2600</v>
      </c>
      <c r="O1100" s="232" t="s">
        <v>1714</v>
      </c>
      <c r="P1100" s="232" t="s">
        <v>1715</v>
      </c>
      <c r="Q1100" s="232" t="s">
        <v>2601</v>
      </c>
      <c r="T1100" t="s">
        <v>2803</v>
      </c>
      <c r="U1100" s="25" t="str">
        <f>+Municipios!Z1101</f>
        <v>N.D.</v>
      </c>
      <c r="V1100" s="232">
        <v>27493</v>
      </c>
      <c r="W1100" s="232" t="s">
        <v>2600</v>
      </c>
      <c r="X1100" s="232" t="s">
        <v>1714</v>
      </c>
      <c r="Y1100" s="232" t="s">
        <v>1715</v>
      </c>
      <c r="Z1100" s="232" t="s">
        <v>2601</v>
      </c>
    </row>
    <row r="1101" spans="1:26">
      <c r="A1101" t="s">
        <v>417</v>
      </c>
      <c r="B1101" s="25">
        <f>+Municipios!Z1102</f>
        <v>50.005319126844341</v>
      </c>
      <c r="C1101" s="232">
        <v>88564</v>
      </c>
      <c r="D1101" s="232" t="s">
        <v>2602</v>
      </c>
      <c r="E1101" s="232" t="s">
        <v>2603</v>
      </c>
      <c r="F1101" s="232" t="s">
        <v>2604</v>
      </c>
      <c r="G1101" s="232" t="s">
        <v>1028</v>
      </c>
      <c r="K1101" t="s">
        <v>2647</v>
      </c>
      <c r="L1101" s="81">
        <f>+Municipios!AB1102</f>
        <v>27.922655694160504</v>
      </c>
      <c r="M1101" s="232">
        <v>88564</v>
      </c>
      <c r="N1101" s="232" t="s">
        <v>2602</v>
      </c>
      <c r="O1101" s="232" t="s">
        <v>2603</v>
      </c>
      <c r="P1101" s="232" t="s">
        <v>2604</v>
      </c>
      <c r="Q1101" s="232" t="s">
        <v>1028</v>
      </c>
      <c r="T1101" t="s">
        <v>2803</v>
      </c>
      <c r="U1101" s="25">
        <f>+Municipios!Z1102</f>
        <v>50.005319126844341</v>
      </c>
      <c r="V1101" s="232">
        <v>88564</v>
      </c>
      <c r="W1101" s="232" t="s">
        <v>2602</v>
      </c>
      <c r="X1101" s="232" t="s">
        <v>2603</v>
      </c>
      <c r="Y1101" s="232" t="s">
        <v>2604</v>
      </c>
      <c r="Z1101" s="232" t="s">
        <v>1028</v>
      </c>
    </row>
    <row r="1102" spans="1:26">
      <c r="A1102" t="s">
        <v>417</v>
      </c>
      <c r="B1102" s="25">
        <f>+Municipios!Z1103</f>
        <v>51.357746741222812</v>
      </c>
      <c r="C1102" s="232">
        <v>91001</v>
      </c>
      <c r="D1102" s="232" t="s">
        <v>2605</v>
      </c>
      <c r="E1102" s="232" t="s">
        <v>2606</v>
      </c>
      <c r="F1102" s="232" t="s">
        <v>2607</v>
      </c>
      <c r="G1102" s="232" t="s">
        <v>2608</v>
      </c>
      <c r="K1102" t="s">
        <v>2647</v>
      </c>
      <c r="L1102" s="81">
        <f>+Municipios!AB1103</f>
        <v>15.985601556015482</v>
      </c>
      <c r="M1102" s="232">
        <v>91001</v>
      </c>
      <c r="N1102" s="232" t="s">
        <v>2605</v>
      </c>
      <c r="O1102" s="232" t="s">
        <v>2606</v>
      </c>
      <c r="P1102" s="232" t="s">
        <v>2607</v>
      </c>
      <c r="Q1102" s="232" t="s">
        <v>2608</v>
      </c>
      <c r="T1102" t="s">
        <v>2803</v>
      </c>
      <c r="U1102" s="25">
        <f>+Municipios!Z1103</f>
        <v>51.357746741222812</v>
      </c>
      <c r="V1102" s="232">
        <v>91001</v>
      </c>
      <c r="W1102" s="232" t="s">
        <v>2605</v>
      </c>
      <c r="X1102" s="232" t="s">
        <v>2606</v>
      </c>
      <c r="Y1102" s="232" t="s">
        <v>2607</v>
      </c>
      <c r="Z1102" s="232" t="s">
        <v>2608</v>
      </c>
    </row>
    <row r="1103" spans="1:26">
      <c r="A1103" t="s">
        <v>417</v>
      </c>
      <c r="B1103" s="25">
        <f>+Municipios!Z1104</f>
        <v>45.720679216165031</v>
      </c>
      <c r="C1103" s="232">
        <v>91540</v>
      </c>
      <c r="D1103" s="232" t="s">
        <v>2609</v>
      </c>
      <c r="E1103" s="232" t="s">
        <v>2606</v>
      </c>
      <c r="F1103" s="232" t="s">
        <v>2607</v>
      </c>
      <c r="G1103" s="232" t="s">
        <v>2610</v>
      </c>
      <c r="K1103" t="s">
        <v>2647</v>
      </c>
      <c r="L1103" s="81">
        <f>+Municipios!AB1104</f>
        <v>13.55634725182596</v>
      </c>
      <c r="M1103" s="232">
        <v>91540</v>
      </c>
      <c r="N1103" s="232" t="s">
        <v>2609</v>
      </c>
      <c r="O1103" s="232" t="s">
        <v>2606</v>
      </c>
      <c r="P1103" s="232" t="s">
        <v>2607</v>
      </c>
      <c r="Q1103" s="232" t="s">
        <v>2610</v>
      </c>
      <c r="T1103" t="s">
        <v>2803</v>
      </c>
      <c r="U1103" s="25">
        <f>+Municipios!Z1104</f>
        <v>45.720679216165031</v>
      </c>
      <c r="V1103" s="232">
        <v>91540</v>
      </c>
      <c r="W1103" s="232" t="s">
        <v>2609</v>
      </c>
      <c r="X1103" s="232" t="s">
        <v>2606</v>
      </c>
      <c r="Y1103" s="232" t="s">
        <v>2607</v>
      </c>
      <c r="Z1103" s="232" t="s">
        <v>2610</v>
      </c>
    </row>
    <row r="1104" spans="1:26">
      <c r="A1104" t="s">
        <v>417</v>
      </c>
      <c r="B1104" s="25">
        <f>+Municipios!Z1105</f>
        <v>59.317549910421889</v>
      </c>
      <c r="C1104" s="232">
        <v>94001</v>
      </c>
      <c r="D1104" s="232" t="s">
        <v>2611</v>
      </c>
      <c r="E1104" s="232" t="s">
        <v>2586</v>
      </c>
      <c r="F1104" s="232" t="s">
        <v>2587</v>
      </c>
      <c r="G1104" s="232" t="s">
        <v>2612</v>
      </c>
      <c r="K1104" t="s">
        <v>2647</v>
      </c>
      <c r="L1104" s="81">
        <f>+Municipios!AB1105</f>
        <v>12.760473154212093</v>
      </c>
      <c r="M1104" s="232">
        <v>94001</v>
      </c>
      <c r="N1104" s="232" t="s">
        <v>2611</v>
      </c>
      <c r="O1104" s="232" t="s">
        <v>2586</v>
      </c>
      <c r="P1104" s="232" t="s">
        <v>2587</v>
      </c>
      <c r="Q1104" s="232" t="s">
        <v>2612</v>
      </c>
      <c r="R1104" s="70"/>
      <c r="T1104" t="s">
        <v>2803</v>
      </c>
      <c r="U1104" s="25">
        <f>+Municipios!Z1105</f>
        <v>59.317549910421889</v>
      </c>
      <c r="V1104" s="232">
        <v>94001</v>
      </c>
      <c r="W1104" s="232" t="s">
        <v>2611</v>
      </c>
      <c r="X1104" s="232" t="s">
        <v>2586</v>
      </c>
      <c r="Y1104" s="232" t="s">
        <v>2587</v>
      </c>
      <c r="Z1104" s="232" t="s">
        <v>2612</v>
      </c>
    </row>
    <row r="1105" spans="1:26">
      <c r="B1105" s="25"/>
      <c r="C1105" s="13"/>
      <c r="D1105" s="13"/>
      <c r="E1105" s="13"/>
      <c r="F1105" s="13"/>
      <c r="G1105" s="13"/>
      <c r="L1105" s="81"/>
      <c r="M1105" s="13"/>
      <c r="N1105" s="79"/>
      <c r="O1105" s="79"/>
      <c r="P1105" s="13"/>
      <c r="Q1105" s="13"/>
      <c r="R1105" s="80"/>
      <c r="V1105" s="13"/>
      <c r="W1105" s="79"/>
      <c r="X1105" s="79"/>
      <c r="Y1105" s="13"/>
      <c r="Z1105" s="13"/>
    </row>
    <row r="1106" spans="1:26">
      <c r="A1106" t="s">
        <v>412</v>
      </c>
      <c r="B1106" s="25">
        <f>+Municipios!P3</f>
        <v>72.561476082472325</v>
      </c>
      <c r="C1106" s="13">
        <v>68276</v>
      </c>
      <c r="D1106" s="13" t="s">
        <v>430</v>
      </c>
      <c r="E1106" s="13" t="s">
        <v>431</v>
      </c>
      <c r="F1106" s="13" t="s">
        <v>432</v>
      </c>
      <c r="G1106" s="13" t="s">
        <v>433</v>
      </c>
      <c r="K1106" t="s">
        <v>413</v>
      </c>
      <c r="L1106" s="81">
        <f>+Municipios!U3</f>
        <v>59.80373953620294</v>
      </c>
      <c r="M1106" s="13">
        <v>68276</v>
      </c>
      <c r="N1106" s="13" t="s">
        <v>430</v>
      </c>
      <c r="O1106" s="13" t="s">
        <v>431</v>
      </c>
      <c r="P1106" s="13" t="s">
        <v>432</v>
      </c>
      <c r="Q1106" s="13" t="s">
        <v>433</v>
      </c>
      <c r="T1106" t="s">
        <v>2804</v>
      </c>
      <c r="U1106" s="25">
        <f>+Municipios!P3</f>
        <v>72.561476082472325</v>
      </c>
      <c r="V1106" s="13">
        <v>68276</v>
      </c>
      <c r="W1106" s="13" t="s">
        <v>430</v>
      </c>
      <c r="X1106" s="13" t="s">
        <v>431</v>
      </c>
      <c r="Y1106" s="13" t="s">
        <v>432</v>
      </c>
      <c r="Z1106" s="13" t="s">
        <v>433</v>
      </c>
    </row>
    <row r="1107" spans="1:26">
      <c r="A1107" t="s">
        <v>412</v>
      </c>
      <c r="B1107" s="25">
        <f>+Municipios!P4</f>
        <v>84.251983735459675</v>
      </c>
      <c r="C1107" s="13">
        <v>5360</v>
      </c>
      <c r="D1107" s="13" t="s">
        <v>434</v>
      </c>
      <c r="E1107" s="13" t="s">
        <v>435</v>
      </c>
      <c r="F1107" s="13" t="s">
        <v>436</v>
      </c>
      <c r="G1107" s="13" t="s">
        <v>437</v>
      </c>
      <c r="K1107" t="s">
        <v>413</v>
      </c>
      <c r="L1107" s="81">
        <f>+Municipios!U4</f>
        <v>84.251983735459675</v>
      </c>
      <c r="M1107" s="13">
        <v>5360</v>
      </c>
      <c r="N1107" s="13" t="s">
        <v>434</v>
      </c>
      <c r="O1107" s="13" t="s">
        <v>435</v>
      </c>
      <c r="P1107" s="13" t="s">
        <v>436</v>
      </c>
      <c r="Q1107" s="13" t="s">
        <v>437</v>
      </c>
      <c r="T1107" t="s">
        <v>2804</v>
      </c>
      <c r="U1107" s="25">
        <f>+Municipios!P4</f>
        <v>84.251983735459675</v>
      </c>
      <c r="V1107" s="13">
        <v>5360</v>
      </c>
      <c r="W1107" s="13" t="s">
        <v>434</v>
      </c>
      <c r="X1107" s="13" t="s">
        <v>435</v>
      </c>
      <c r="Y1107" s="13" t="s">
        <v>436</v>
      </c>
      <c r="Z1107" s="13" t="s">
        <v>437</v>
      </c>
    </row>
    <row r="1108" spans="1:26">
      <c r="A1108" t="s">
        <v>412</v>
      </c>
      <c r="B1108" s="25">
        <f>+Municipios!P5</f>
        <v>81.993617890042515</v>
      </c>
      <c r="C1108" s="13">
        <v>5001</v>
      </c>
      <c r="D1108" s="13" t="s">
        <v>438</v>
      </c>
      <c r="E1108" s="13" t="s">
        <v>435</v>
      </c>
      <c r="F1108" s="13" t="s">
        <v>436</v>
      </c>
      <c r="G1108" s="13" t="s">
        <v>439</v>
      </c>
      <c r="K1108" t="s">
        <v>413</v>
      </c>
      <c r="L1108" s="81">
        <f>+Municipios!U5</f>
        <v>77.518871330742456</v>
      </c>
      <c r="M1108" s="13">
        <v>5001</v>
      </c>
      <c r="N1108" s="13" t="s">
        <v>438</v>
      </c>
      <c r="O1108" s="13" t="s">
        <v>435</v>
      </c>
      <c r="P1108" s="13" t="s">
        <v>436</v>
      </c>
      <c r="Q1108" s="13" t="s">
        <v>439</v>
      </c>
      <c r="T1108" t="s">
        <v>2804</v>
      </c>
      <c r="U1108" s="25">
        <f>+Municipios!P5</f>
        <v>81.993617890042515</v>
      </c>
      <c r="V1108" s="13">
        <v>5001</v>
      </c>
      <c r="W1108" s="13" t="s">
        <v>438</v>
      </c>
      <c r="X1108" s="13" t="s">
        <v>435</v>
      </c>
      <c r="Y1108" s="13" t="s">
        <v>436</v>
      </c>
      <c r="Z1108" s="13" t="s">
        <v>439</v>
      </c>
    </row>
    <row r="1109" spans="1:26">
      <c r="A1109" t="s">
        <v>412</v>
      </c>
      <c r="B1109" s="25">
        <f>+Municipios!P6</f>
        <v>77.682882532368609</v>
      </c>
      <c r="C1109" s="13">
        <v>8001</v>
      </c>
      <c r="D1109" s="13" t="s">
        <v>441</v>
      </c>
      <c r="E1109" s="13" t="s">
        <v>442</v>
      </c>
      <c r="F1109" s="13" t="s">
        <v>443</v>
      </c>
      <c r="G1109" s="13" t="s">
        <v>444</v>
      </c>
      <c r="K1109" t="s">
        <v>413</v>
      </c>
      <c r="L1109" s="81">
        <f>+Municipios!U6</f>
        <v>70.062792494729052</v>
      </c>
      <c r="M1109" s="13">
        <v>8001</v>
      </c>
      <c r="N1109" s="13" t="s">
        <v>441</v>
      </c>
      <c r="O1109" s="13" t="s">
        <v>442</v>
      </c>
      <c r="P1109" s="13" t="s">
        <v>443</v>
      </c>
      <c r="Q1109" s="13" t="s">
        <v>444</v>
      </c>
      <c r="T1109" t="s">
        <v>2804</v>
      </c>
      <c r="U1109" s="25">
        <f>+Municipios!P6</f>
        <v>77.682882532368609</v>
      </c>
      <c r="V1109" s="13">
        <v>8001</v>
      </c>
      <c r="W1109" s="13" t="s">
        <v>441</v>
      </c>
      <c r="X1109" s="13" t="s">
        <v>442</v>
      </c>
      <c r="Y1109" s="13" t="s">
        <v>443</v>
      </c>
      <c r="Z1109" s="13" t="s">
        <v>444</v>
      </c>
    </row>
    <row r="1110" spans="1:26">
      <c r="A1110" t="s">
        <v>412</v>
      </c>
      <c r="B1110" s="25">
        <f>+Municipios!P7</f>
        <v>61.642227419272615</v>
      </c>
      <c r="C1110" s="13">
        <v>8758</v>
      </c>
      <c r="D1110" s="13" t="s">
        <v>445</v>
      </c>
      <c r="E1110" s="13" t="s">
        <v>442</v>
      </c>
      <c r="F1110" s="13" t="s">
        <v>443</v>
      </c>
      <c r="G1110" s="13" t="s">
        <v>446</v>
      </c>
      <c r="K1110" t="s">
        <v>413</v>
      </c>
      <c r="L1110" s="81">
        <f>+Municipios!U7</f>
        <v>57.425633300088911</v>
      </c>
      <c r="M1110" s="13">
        <v>8758</v>
      </c>
      <c r="N1110" s="13" t="s">
        <v>445</v>
      </c>
      <c r="O1110" s="13" t="s">
        <v>442</v>
      </c>
      <c r="P1110" s="13" t="s">
        <v>443</v>
      </c>
      <c r="Q1110" s="13" t="s">
        <v>446</v>
      </c>
      <c r="T1110" t="s">
        <v>2804</v>
      </c>
      <c r="U1110" s="25">
        <f>+Municipios!P7</f>
        <v>61.642227419272615</v>
      </c>
      <c r="V1110" s="13">
        <v>8758</v>
      </c>
      <c r="W1110" s="13" t="s">
        <v>445</v>
      </c>
      <c r="X1110" s="13" t="s">
        <v>442</v>
      </c>
      <c r="Y1110" s="13" t="s">
        <v>443</v>
      </c>
      <c r="Z1110" s="13" t="s">
        <v>446</v>
      </c>
    </row>
    <row r="1111" spans="1:26">
      <c r="A1111" t="s">
        <v>412</v>
      </c>
      <c r="B1111" s="25">
        <f>+Municipios!P8</f>
        <v>80.834259963509723</v>
      </c>
      <c r="C1111" s="13">
        <v>5631</v>
      </c>
      <c r="D1111" s="13" t="s">
        <v>447</v>
      </c>
      <c r="E1111" s="13" t="s">
        <v>435</v>
      </c>
      <c r="F1111" s="13" t="s">
        <v>436</v>
      </c>
      <c r="G1111" s="13" t="s">
        <v>448</v>
      </c>
      <c r="K1111" t="s">
        <v>413</v>
      </c>
      <c r="L1111" s="81">
        <f>+Municipios!U8</f>
        <v>75.73795828033866</v>
      </c>
      <c r="M1111" s="13">
        <v>5631</v>
      </c>
      <c r="N1111" s="13" t="s">
        <v>447</v>
      </c>
      <c r="O1111" s="13" t="s">
        <v>435</v>
      </c>
      <c r="P1111" s="13" t="s">
        <v>436</v>
      </c>
      <c r="Q1111" s="13" t="s">
        <v>448</v>
      </c>
      <c r="T1111" t="s">
        <v>2804</v>
      </c>
      <c r="U1111" s="25">
        <f>+Municipios!P8</f>
        <v>80.834259963509723</v>
      </c>
      <c r="V1111" s="13">
        <v>5631</v>
      </c>
      <c r="W1111" s="13" t="s">
        <v>447</v>
      </c>
      <c r="X1111" s="13" t="s">
        <v>435</v>
      </c>
      <c r="Y1111" s="13" t="s">
        <v>436</v>
      </c>
      <c r="Z1111" s="13" t="s">
        <v>448</v>
      </c>
    </row>
    <row r="1112" spans="1:26">
      <c r="A1112" t="s">
        <v>412</v>
      </c>
      <c r="B1112" s="25">
        <f>+Municipios!P9</f>
        <v>76.741962257738095</v>
      </c>
      <c r="C1112" s="13">
        <v>5088</v>
      </c>
      <c r="D1112" s="13" t="s">
        <v>449</v>
      </c>
      <c r="E1112" s="13" t="s">
        <v>435</v>
      </c>
      <c r="F1112" s="13" t="s">
        <v>436</v>
      </c>
      <c r="G1112" s="13" t="s">
        <v>450</v>
      </c>
      <c r="K1112" t="s">
        <v>413</v>
      </c>
      <c r="L1112" s="81">
        <f>+Municipios!U9</f>
        <v>68.747397998394248</v>
      </c>
      <c r="M1112" s="13">
        <v>5088</v>
      </c>
      <c r="N1112" s="13" t="s">
        <v>449</v>
      </c>
      <c r="O1112" s="13" t="s">
        <v>435</v>
      </c>
      <c r="P1112" s="13" t="s">
        <v>436</v>
      </c>
      <c r="Q1112" s="13" t="s">
        <v>450</v>
      </c>
      <c r="T1112" t="s">
        <v>2804</v>
      </c>
      <c r="U1112" s="25">
        <f>+Municipios!P9</f>
        <v>76.741962257738095</v>
      </c>
      <c r="V1112" s="13">
        <v>5088</v>
      </c>
      <c r="W1112" s="13" t="s">
        <v>449</v>
      </c>
      <c r="X1112" s="13" t="s">
        <v>435</v>
      </c>
      <c r="Y1112" s="13" t="s">
        <v>436</v>
      </c>
      <c r="Z1112" s="13" t="s">
        <v>450</v>
      </c>
    </row>
    <row r="1113" spans="1:26">
      <c r="A1113" t="s">
        <v>412</v>
      </c>
      <c r="B1113" s="25">
        <f>+Municipios!P10</f>
        <v>82.223861549108832</v>
      </c>
      <c r="C1113" s="13">
        <v>5266</v>
      </c>
      <c r="D1113" s="13" t="s">
        <v>451</v>
      </c>
      <c r="E1113" s="13" t="s">
        <v>435</v>
      </c>
      <c r="F1113" s="13" t="s">
        <v>436</v>
      </c>
      <c r="G1113" s="13" t="s">
        <v>452</v>
      </c>
      <c r="K1113" t="s">
        <v>413</v>
      </c>
      <c r="L1113" s="81">
        <f>+Municipios!U10</f>
        <v>73.216431489561884</v>
      </c>
      <c r="M1113" s="13">
        <v>5266</v>
      </c>
      <c r="N1113" s="13" t="s">
        <v>451</v>
      </c>
      <c r="O1113" s="13" t="s">
        <v>435</v>
      </c>
      <c r="P1113" s="13" t="s">
        <v>436</v>
      </c>
      <c r="Q1113" s="13" t="s">
        <v>452</v>
      </c>
      <c r="T1113" t="s">
        <v>2804</v>
      </c>
      <c r="U1113" s="25">
        <f>+Municipios!P10</f>
        <v>82.223861549108832</v>
      </c>
      <c r="V1113" s="13">
        <v>5266</v>
      </c>
      <c r="W1113" s="13" t="s">
        <v>451</v>
      </c>
      <c r="X1113" s="13" t="s">
        <v>435</v>
      </c>
      <c r="Y1113" s="13" t="s">
        <v>436</v>
      </c>
      <c r="Z1113" s="13" t="s">
        <v>452</v>
      </c>
    </row>
    <row r="1114" spans="1:26">
      <c r="A1114" t="s">
        <v>412</v>
      </c>
      <c r="B1114" s="25">
        <f>+Municipios!P11</f>
        <v>75.196011542387737</v>
      </c>
      <c r="C1114" s="13">
        <v>76001</v>
      </c>
      <c r="D1114" s="13" t="s">
        <v>453</v>
      </c>
      <c r="E1114" s="79" t="s">
        <v>454</v>
      </c>
      <c r="F1114" s="13" t="s">
        <v>455</v>
      </c>
      <c r="G1114" s="13" t="s">
        <v>456</v>
      </c>
      <c r="K1114" t="s">
        <v>413</v>
      </c>
      <c r="L1114" s="81">
        <f>+Municipios!U11</f>
        <v>63.846538949099198</v>
      </c>
      <c r="M1114" s="13">
        <v>76001</v>
      </c>
      <c r="N1114" s="13" t="s">
        <v>453</v>
      </c>
      <c r="O1114" s="79" t="s">
        <v>454</v>
      </c>
      <c r="P1114" s="13" t="s">
        <v>455</v>
      </c>
      <c r="Q1114" s="13" t="s">
        <v>456</v>
      </c>
      <c r="T1114" t="s">
        <v>2804</v>
      </c>
      <c r="U1114" s="25">
        <f>+Municipios!P11</f>
        <v>75.196011542387737</v>
      </c>
      <c r="V1114" s="13">
        <v>76001</v>
      </c>
      <c r="W1114" s="13" t="s">
        <v>453</v>
      </c>
      <c r="X1114" s="79" t="s">
        <v>454</v>
      </c>
      <c r="Y1114" s="13" t="s">
        <v>455</v>
      </c>
      <c r="Z1114" s="13" t="s">
        <v>456</v>
      </c>
    </row>
    <row r="1115" spans="1:26">
      <c r="A1115" t="s">
        <v>412</v>
      </c>
      <c r="B1115" s="25">
        <f>+Municipios!P12</f>
        <v>89.917414690650759</v>
      </c>
      <c r="C1115" s="13">
        <v>11001</v>
      </c>
      <c r="D1115" s="13" t="s">
        <v>457</v>
      </c>
      <c r="E1115" s="13" t="s">
        <v>458</v>
      </c>
      <c r="F1115" s="13" t="s">
        <v>459</v>
      </c>
      <c r="G1115" s="13" t="s">
        <v>459</v>
      </c>
      <c r="K1115" t="s">
        <v>413</v>
      </c>
      <c r="L1115" s="81">
        <f>+Municipios!U12</f>
        <v>76.730623375701967</v>
      </c>
      <c r="M1115" s="13">
        <v>11001</v>
      </c>
      <c r="N1115" s="13" t="s">
        <v>457</v>
      </c>
      <c r="O1115" s="13" t="s">
        <v>458</v>
      </c>
      <c r="P1115" s="13" t="s">
        <v>459</v>
      </c>
      <c r="Q1115" s="13" t="s">
        <v>459</v>
      </c>
      <c r="T1115" t="s">
        <v>2804</v>
      </c>
      <c r="U1115" s="25">
        <f>+Municipios!P12</f>
        <v>89.917414690650759</v>
      </c>
      <c r="V1115" s="13">
        <v>11001</v>
      </c>
      <c r="W1115" s="13" t="s">
        <v>457</v>
      </c>
      <c r="X1115" s="13" t="s">
        <v>458</v>
      </c>
      <c r="Y1115" s="13" t="s">
        <v>459</v>
      </c>
      <c r="Z1115" s="13" t="s">
        <v>459</v>
      </c>
    </row>
    <row r="1116" spans="1:26">
      <c r="A1116" t="s">
        <v>412</v>
      </c>
      <c r="B1116" s="25">
        <f>+Municipios!P13</f>
        <v>65.201872986463272</v>
      </c>
      <c r="C1116" s="13">
        <v>25754</v>
      </c>
      <c r="D1116" s="13" t="s">
        <v>460</v>
      </c>
      <c r="E1116" s="13" t="s">
        <v>461</v>
      </c>
      <c r="F1116" s="13" t="s">
        <v>462</v>
      </c>
      <c r="G1116" s="13" t="s">
        <v>463</v>
      </c>
      <c r="K1116" t="s">
        <v>413</v>
      </c>
      <c r="L1116" s="81">
        <f>+Municipios!U13</f>
        <v>55.319502963899062</v>
      </c>
      <c r="M1116" s="13">
        <v>25754</v>
      </c>
      <c r="N1116" s="13" t="s">
        <v>460</v>
      </c>
      <c r="O1116" s="13" t="s">
        <v>461</v>
      </c>
      <c r="P1116" s="13" t="s">
        <v>462</v>
      </c>
      <c r="Q1116" s="13" t="s">
        <v>463</v>
      </c>
      <c r="T1116" t="s">
        <v>2804</v>
      </c>
      <c r="U1116" s="25">
        <f>+Municipios!P13</f>
        <v>65.201872986463272</v>
      </c>
      <c r="V1116" s="13">
        <v>25754</v>
      </c>
      <c r="W1116" s="13" t="s">
        <v>460</v>
      </c>
      <c r="X1116" s="13" t="s">
        <v>461</v>
      </c>
      <c r="Y1116" s="13" t="s">
        <v>462</v>
      </c>
      <c r="Z1116" s="13" t="s">
        <v>463</v>
      </c>
    </row>
    <row r="1117" spans="1:26">
      <c r="A1117" t="s">
        <v>412</v>
      </c>
      <c r="B1117" s="25">
        <f>+Municipios!P14</f>
        <v>78.232925929723535</v>
      </c>
      <c r="C1117" s="13">
        <v>68001</v>
      </c>
      <c r="D1117" s="13" t="s">
        <v>464</v>
      </c>
      <c r="E1117" s="13" t="s">
        <v>431</v>
      </c>
      <c r="F1117" s="13" t="s">
        <v>432</v>
      </c>
      <c r="G1117" s="13" t="s">
        <v>465</v>
      </c>
      <c r="K1117" t="s">
        <v>413</v>
      </c>
      <c r="L1117" s="81">
        <f>+Municipios!U14</f>
        <v>65.838098364804551</v>
      </c>
      <c r="M1117" s="13">
        <v>68001</v>
      </c>
      <c r="N1117" s="13" t="s">
        <v>464</v>
      </c>
      <c r="O1117" s="13" t="s">
        <v>431</v>
      </c>
      <c r="P1117" s="13" t="s">
        <v>432</v>
      </c>
      <c r="Q1117" s="13" t="s">
        <v>465</v>
      </c>
      <c r="T1117" t="s">
        <v>2804</v>
      </c>
      <c r="U1117" s="25">
        <f>+Municipios!P14</f>
        <v>78.232925929723535</v>
      </c>
      <c r="V1117" s="13">
        <v>68001</v>
      </c>
      <c r="W1117" s="13" t="s">
        <v>464</v>
      </c>
      <c r="X1117" s="13" t="s">
        <v>431</v>
      </c>
      <c r="Y1117" s="13" t="s">
        <v>432</v>
      </c>
      <c r="Z1117" s="13" t="s">
        <v>465</v>
      </c>
    </row>
    <row r="1118" spans="1:26">
      <c r="A1118" t="s">
        <v>412</v>
      </c>
      <c r="B1118" s="25">
        <f>+Municipios!P15</f>
        <v>71.558012280062371</v>
      </c>
      <c r="C1118" s="13">
        <v>66170</v>
      </c>
      <c r="D1118" s="13" t="s">
        <v>466</v>
      </c>
      <c r="E1118" s="13" t="s">
        <v>467</v>
      </c>
      <c r="F1118" s="13" t="s">
        <v>468</v>
      </c>
      <c r="G1118" s="13" t="s">
        <v>469</v>
      </c>
      <c r="K1118" t="s">
        <v>413</v>
      </c>
      <c r="L1118" s="81">
        <f>+Municipios!U15</f>
        <v>59.801417595245603</v>
      </c>
      <c r="M1118" s="13">
        <v>66170</v>
      </c>
      <c r="N1118" s="13" t="s">
        <v>466</v>
      </c>
      <c r="O1118" s="13" t="s">
        <v>467</v>
      </c>
      <c r="P1118" s="13" t="s">
        <v>468</v>
      </c>
      <c r="Q1118" s="13" t="s">
        <v>469</v>
      </c>
      <c r="T1118" t="s">
        <v>2804</v>
      </c>
      <c r="U1118" s="25">
        <f>+Municipios!P15</f>
        <v>71.558012280062371</v>
      </c>
      <c r="V1118" s="13">
        <v>66170</v>
      </c>
      <c r="W1118" s="13" t="s">
        <v>466</v>
      </c>
      <c r="X1118" s="13" t="s">
        <v>467</v>
      </c>
      <c r="Y1118" s="13" t="s">
        <v>468</v>
      </c>
      <c r="Z1118" s="13" t="s">
        <v>469</v>
      </c>
    </row>
    <row r="1119" spans="1:26">
      <c r="A1119" t="s">
        <v>412</v>
      </c>
      <c r="B1119" s="25">
        <f>+Municipios!P16</f>
        <v>74.323159262420504</v>
      </c>
      <c r="C1119" s="13">
        <v>5380</v>
      </c>
      <c r="D1119" s="13" t="s">
        <v>470</v>
      </c>
      <c r="E1119" s="13" t="s">
        <v>435</v>
      </c>
      <c r="F1119" s="13" t="s">
        <v>436</v>
      </c>
      <c r="G1119" s="13" t="s">
        <v>471</v>
      </c>
      <c r="K1119" t="s">
        <v>413</v>
      </c>
      <c r="L1119" s="81">
        <f>+Municipios!U16</f>
        <v>63.423981067294491</v>
      </c>
      <c r="M1119" s="13">
        <v>5380</v>
      </c>
      <c r="N1119" s="13" t="s">
        <v>470</v>
      </c>
      <c r="O1119" s="13" t="s">
        <v>435</v>
      </c>
      <c r="P1119" s="13" t="s">
        <v>436</v>
      </c>
      <c r="Q1119" s="13" t="s">
        <v>471</v>
      </c>
      <c r="T1119" t="s">
        <v>2804</v>
      </c>
      <c r="U1119" s="25">
        <f>+Municipios!P16</f>
        <v>74.323159262420504</v>
      </c>
      <c r="V1119" s="13">
        <v>5380</v>
      </c>
      <c r="W1119" s="13" t="s">
        <v>470</v>
      </c>
      <c r="X1119" s="13" t="s">
        <v>435</v>
      </c>
      <c r="Y1119" s="13" t="s">
        <v>436</v>
      </c>
      <c r="Z1119" s="13" t="s">
        <v>471</v>
      </c>
    </row>
    <row r="1120" spans="1:26">
      <c r="A1120" t="s">
        <v>412</v>
      </c>
      <c r="B1120" s="25">
        <f>+Municipios!P17</f>
        <v>68.644804637498837</v>
      </c>
      <c r="C1120" s="13">
        <v>63001</v>
      </c>
      <c r="D1120" s="13" t="s">
        <v>472</v>
      </c>
      <c r="E1120" s="13" t="s">
        <v>473</v>
      </c>
      <c r="F1120" s="13" t="s">
        <v>474</v>
      </c>
      <c r="G1120" s="13" t="s">
        <v>475</v>
      </c>
      <c r="K1120" t="s">
        <v>413</v>
      </c>
      <c r="L1120" s="81">
        <f>+Municipios!U17</f>
        <v>55.414276533861717</v>
      </c>
      <c r="M1120" s="13">
        <v>63001</v>
      </c>
      <c r="N1120" s="13" t="s">
        <v>472</v>
      </c>
      <c r="O1120" s="13" t="s">
        <v>473</v>
      </c>
      <c r="P1120" s="13" t="s">
        <v>474</v>
      </c>
      <c r="Q1120" s="13" t="s">
        <v>475</v>
      </c>
      <c r="T1120" t="s">
        <v>2804</v>
      </c>
      <c r="U1120" s="25">
        <f>+Municipios!P17</f>
        <v>68.644804637498837</v>
      </c>
      <c r="V1120" s="13">
        <v>63001</v>
      </c>
      <c r="W1120" s="13" t="s">
        <v>472</v>
      </c>
      <c r="X1120" s="13" t="s">
        <v>473</v>
      </c>
      <c r="Y1120" s="13" t="s">
        <v>474</v>
      </c>
      <c r="Z1120" s="13" t="s">
        <v>475</v>
      </c>
    </row>
    <row r="1121" spans="1:26">
      <c r="A1121" t="s">
        <v>412</v>
      </c>
      <c r="B1121" s="25">
        <f>+Municipios!P18</f>
        <v>72.685862185066327</v>
      </c>
      <c r="C1121" s="13">
        <v>5212</v>
      </c>
      <c r="D1121" s="13" t="s">
        <v>477</v>
      </c>
      <c r="E1121" s="13" t="s">
        <v>435</v>
      </c>
      <c r="F1121" s="13" t="s">
        <v>436</v>
      </c>
      <c r="G1121" s="13" t="s">
        <v>478</v>
      </c>
      <c r="K1121" t="s">
        <v>413</v>
      </c>
      <c r="L1121" s="81">
        <f>+Municipios!U18</f>
        <v>58.804151652552235</v>
      </c>
      <c r="M1121" s="13">
        <v>5212</v>
      </c>
      <c r="N1121" s="13" t="s">
        <v>477</v>
      </c>
      <c r="O1121" s="13" t="s">
        <v>435</v>
      </c>
      <c r="P1121" s="13" t="s">
        <v>436</v>
      </c>
      <c r="Q1121" s="13" t="s">
        <v>478</v>
      </c>
      <c r="T1121" t="s">
        <v>2804</v>
      </c>
      <c r="U1121" s="25">
        <f>+Municipios!P18</f>
        <v>72.685862185066327</v>
      </c>
      <c r="V1121" s="13">
        <v>5212</v>
      </c>
      <c r="W1121" s="13" t="s">
        <v>477</v>
      </c>
      <c r="X1121" s="13" t="s">
        <v>435</v>
      </c>
      <c r="Y1121" s="13" t="s">
        <v>436</v>
      </c>
      <c r="Z1121" s="13" t="s">
        <v>478</v>
      </c>
    </row>
    <row r="1122" spans="1:26">
      <c r="A1122" t="s">
        <v>412</v>
      </c>
      <c r="B1122" s="25">
        <f>+Municipios!P19</f>
        <v>72.240461851441623</v>
      </c>
      <c r="C1122" s="13">
        <v>13001</v>
      </c>
      <c r="D1122" s="13" t="s">
        <v>479</v>
      </c>
      <c r="E1122" s="13" t="s">
        <v>480</v>
      </c>
      <c r="F1122" s="13" t="s">
        <v>481</v>
      </c>
      <c r="G1122" s="13" t="s">
        <v>482</v>
      </c>
      <c r="K1122" t="s">
        <v>413</v>
      </c>
      <c r="L1122" s="81">
        <f>+Municipios!U19</f>
        <v>57.125658227974981</v>
      </c>
      <c r="M1122" s="13">
        <v>13001</v>
      </c>
      <c r="N1122" s="13" t="s">
        <v>479</v>
      </c>
      <c r="O1122" s="13" t="s">
        <v>480</v>
      </c>
      <c r="P1122" s="13" t="s">
        <v>481</v>
      </c>
      <c r="Q1122" s="13" t="s">
        <v>482</v>
      </c>
      <c r="T1122" t="s">
        <v>2804</v>
      </c>
      <c r="U1122" s="25">
        <f>+Municipios!P19</f>
        <v>72.240461851441623</v>
      </c>
      <c r="V1122" s="13">
        <v>13001</v>
      </c>
      <c r="W1122" s="13" t="s">
        <v>479</v>
      </c>
      <c r="X1122" s="13" t="s">
        <v>480</v>
      </c>
      <c r="Y1122" s="13" t="s">
        <v>481</v>
      </c>
      <c r="Z1122" s="13" t="s">
        <v>482</v>
      </c>
    </row>
    <row r="1123" spans="1:26">
      <c r="A1123" t="s">
        <v>412</v>
      </c>
      <c r="B1123" s="25">
        <f>+Municipios!P20</f>
        <v>65.831115236294238</v>
      </c>
      <c r="C1123" s="13">
        <v>25175</v>
      </c>
      <c r="D1123" s="13" t="s">
        <v>483</v>
      </c>
      <c r="E1123" s="13" t="s">
        <v>461</v>
      </c>
      <c r="F1123" s="13" t="s">
        <v>462</v>
      </c>
      <c r="G1123" s="13" t="s">
        <v>484</v>
      </c>
      <c r="K1123" t="s">
        <v>413</v>
      </c>
      <c r="L1123" s="81">
        <f>+Municipios!U20</f>
        <v>51.845995920139728</v>
      </c>
      <c r="M1123" s="13">
        <v>25175</v>
      </c>
      <c r="N1123" s="13" t="s">
        <v>483</v>
      </c>
      <c r="O1123" s="13" t="s">
        <v>461</v>
      </c>
      <c r="P1123" s="13" t="s">
        <v>462</v>
      </c>
      <c r="Q1123" s="13" t="s">
        <v>484</v>
      </c>
      <c r="T1123" t="s">
        <v>2804</v>
      </c>
      <c r="U1123" s="25">
        <f>+Municipios!P20</f>
        <v>65.831115236294238</v>
      </c>
      <c r="V1123" s="13">
        <v>25175</v>
      </c>
      <c r="W1123" s="13" t="s">
        <v>483</v>
      </c>
      <c r="X1123" s="13" t="s">
        <v>461</v>
      </c>
      <c r="Y1123" s="13" t="s">
        <v>462</v>
      </c>
      <c r="Z1123" s="13" t="s">
        <v>484</v>
      </c>
    </row>
    <row r="1124" spans="1:26">
      <c r="A1124" t="s">
        <v>412</v>
      </c>
      <c r="B1124" s="25">
        <f>+Municipios!P21</f>
        <v>50.598883118149971</v>
      </c>
      <c r="C1124" s="13">
        <v>8433</v>
      </c>
      <c r="D1124" s="13" t="s">
        <v>485</v>
      </c>
      <c r="E1124" s="13" t="s">
        <v>442</v>
      </c>
      <c r="F1124" s="13" t="s">
        <v>443</v>
      </c>
      <c r="G1124" s="13" t="s">
        <v>486</v>
      </c>
      <c r="K1124" t="s">
        <v>413</v>
      </c>
      <c r="L1124" s="81">
        <f>+Municipios!U21</f>
        <v>39.850573899298141</v>
      </c>
      <c r="M1124" s="13">
        <v>8433</v>
      </c>
      <c r="N1124" s="13" t="s">
        <v>485</v>
      </c>
      <c r="O1124" s="13" t="s">
        <v>442</v>
      </c>
      <c r="P1124" s="13" t="s">
        <v>443</v>
      </c>
      <c r="Q1124" s="13" t="s">
        <v>486</v>
      </c>
      <c r="T1124" t="s">
        <v>2804</v>
      </c>
      <c r="U1124" s="25">
        <f>+Municipios!P21</f>
        <v>50.598883118149971</v>
      </c>
      <c r="V1124" s="13">
        <v>8433</v>
      </c>
      <c r="W1124" s="13" t="s">
        <v>485</v>
      </c>
      <c r="X1124" s="13" t="s">
        <v>442</v>
      </c>
      <c r="Y1124" s="13" t="s">
        <v>443</v>
      </c>
      <c r="Z1124" s="13" t="s">
        <v>486</v>
      </c>
    </row>
    <row r="1125" spans="1:26">
      <c r="A1125" t="s">
        <v>412</v>
      </c>
      <c r="B1125" s="25">
        <f>+Municipios!P22</f>
        <v>72.244313236970982</v>
      </c>
      <c r="C1125" s="13">
        <v>25126</v>
      </c>
      <c r="D1125" s="13" t="s">
        <v>487</v>
      </c>
      <c r="E1125" s="13" t="s">
        <v>461</v>
      </c>
      <c r="F1125" s="13" t="s">
        <v>462</v>
      </c>
      <c r="G1125" s="13" t="s">
        <v>488</v>
      </c>
      <c r="K1125" t="s">
        <v>413</v>
      </c>
      <c r="L1125" s="81">
        <f>+Municipios!U22</f>
        <v>57.266027496636319</v>
      </c>
      <c r="M1125" s="13">
        <v>25126</v>
      </c>
      <c r="N1125" s="13" t="s">
        <v>487</v>
      </c>
      <c r="O1125" s="13" t="s">
        <v>461</v>
      </c>
      <c r="P1125" s="13" t="s">
        <v>462</v>
      </c>
      <c r="Q1125" s="13" t="s">
        <v>488</v>
      </c>
      <c r="T1125" t="s">
        <v>2804</v>
      </c>
      <c r="U1125" s="25">
        <f>+Municipios!P22</f>
        <v>72.244313236970982</v>
      </c>
      <c r="V1125" s="13">
        <v>25126</v>
      </c>
      <c r="W1125" s="13" t="s">
        <v>487</v>
      </c>
      <c r="X1125" s="13" t="s">
        <v>461</v>
      </c>
      <c r="Y1125" s="13" t="s">
        <v>462</v>
      </c>
      <c r="Z1125" s="13" t="s">
        <v>488</v>
      </c>
    </row>
    <row r="1126" spans="1:26">
      <c r="A1126" t="s">
        <v>412</v>
      </c>
      <c r="B1126" s="25">
        <f>+Municipios!P23</f>
        <v>79.540225011164225</v>
      </c>
      <c r="C1126" s="13">
        <v>25286</v>
      </c>
      <c r="D1126" s="13" t="s">
        <v>489</v>
      </c>
      <c r="E1126" s="13" t="s">
        <v>461</v>
      </c>
      <c r="F1126" s="13" t="s">
        <v>462</v>
      </c>
      <c r="G1126" s="13" t="s">
        <v>490</v>
      </c>
      <c r="K1126" t="s">
        <v>413</v>
      </c>
      <c r="L1126" s="81">
        <f>+Municipios!U23</f>
        <v>62.012342025704399</v>
      </c>
      <c r="M1126" s="13">
        <v>25286</v>
      </c>
      <c r="N1126" s="13" t="s">
        <v>489</v>
      </c>
      <c r="O1126" s="13" t="s">
        <v>461</v>
      </c>
      <c r="P1126" s="13" t="s">
        <v>462</v>
      </c>
      <c r="Q1126" s="13" t="s">
        <v>490</v>
      </c>
      <c r="T1126" t="s">
        <v>2804</v>
      </c>
      <c r="U1126" s="25">
        <f>+Municipios!P23</f>
        <v>79.540225011164225</v>
      </c>
      <c r="V1126" s="13">
        <v>25286</v>
      </c>
      <c r="W1126" s="13" t="s">
        <v>489</v>
      </c>
      <c r="X1126" s="13" t="s">
        <v>461</v>
      </c>
      <c r="Y1126" s="13" t="s">
        <v>462</v>
      </c>
      <c r="Z1126" s="13" t="s">
        <v>490</v>
      </c>
    </row>
    <row r="1127" spans="1:26">
      <c r="A1127" t="s">
        <v>412</v>
      </c>
      <c r="B1127" s="25">
        <f>+Municipios!P24</f>
        <v>82.282579993852593</v>
      </c>
      <c r="C1127" s="13">
        <v>25473</v>
      </c>
      <c r="D1127" s="13" t="s">
        <v>491</v>
      </c>
      <c r="E1127" s="13" t="s">
        <v>461</v>
      </c>
      <c r="F1127" s="13" t="s">
        <v>462</v>
      </c>
      <c r="G1127" s="13" t="s">
        <v>492</v>
      </c>
      <c r="K1127" t="s">
        <v>413</v>
      </c>
      <c r="L1127" s="81">
        <f>+Municipios!U24</f>
        <v>64.045718871951962</v>
      </c>
      <c r="M1127" s="13">
        <v>25473</v>
      </c>
      <c r="N1127" s="13" t="s">
        <v>491</v>
      </c>
      <c r="O1127" s="13" t="s">
        <v>461</v>
      </c>
      <c r="P1127" s="13" t="s">
        <v>462</v>
      </c>
      <c r="Q1127" s="13" t="s">
        <v>492</v>
      </c>
      <c r="T1127" t="s">
        <v>2804</v>
      </c>
      <c r="U1127" s="25">
        <f>+Municipios!P24</f>
        <v>82.282579993852593</v>
      </c>
      <c r="V1127" s="13">
        <v>25473</v>
      </c>
      <c r="W1127" s="13" t="s">
        <v>491</v>
      </c>
      <c r="X1127" s="13" t="s">
        <v>461</v>
      </c>
      <c r="Y1127" s="13" t="s">
        <v>462</v>
      </c>
      <c r="Z1127" s="13" t="s">
        <v>492</v>
      </c>
    </row>
    <row r="1128" spans="1:26">
      <c r="A1128" t="s">
        <v>412</v>
      </c>
      <c r="B1128" s="25">
        <f>+Municipios!P25</f>
        <v>53.998596275539946</v>
      </c>
      <c r="C1128" s="13">
        <v>70001</v>
      </c>
      <c r="D1128" s="13" t="s">
        <v>493</v>
      </c>
      <c r="E1128" s="13" t="s">
        <v>494</v>
      </c>
      <c r="F1128" s="13" t="s">
        <v>495</v>
      </c>
      <c r="G1128" s="13" t="s">
        <v>496</v>
      </c>
      <c r="K1128" t="s">
        <v>413</v>
      </c>
      <c r="L1128" s="81">
        <f>+Municipios!U25</f>
        <v>41.023689368006366</v>
      </c>
      <c r="M1128" s="13">
        <v>70001</v>
      </c>
      <c r="N1128" s="13" t="s">
        <v>493</v>
      </c>
      <c r="O1128" s="13" t="s">
        <v>494</v>
      </c>
      <c r="P1128" s="13" t="s">
        <v>495</v>
      </c>
      <c r="Q1128" s="13" t="s">
        <v>496</v>
      </c>
      <c r="T1128" t="s">
        <v>2804</v>
      </c>
      <c r="U1128" s="25">
        <f>+Municipios!P25</f>
        <v>53.998596275539946</v>
      </c>
      <c r="V1128" s="13">
        <v>70001</v>
      </c>
      <c r="W1128" s="13" t="s">
        <v>493</v>
      </c>
      <c r="X1128" s="13" t="s">
        <v>494</v>
      </c>
      <c r="Y1128" s="13" t="s">
        <v>495</v>
      </c>
      <c r="Z1128" s="13" t="s">
        <v>496</v>
      </c>
    </row>
    <row r="1129" spans="1:26">
      <c r="A1129" t="s">
        <v>412</v>
      </c>
      <c r="B1129" s="25">
        <f>+Municipios!P26</f>
        <v>71.211995692135915</v>
      </c>
      <c r="C1129" s="13">
        <v>15001</v>
      </c>
      <c r="D1129" s="13" t="s">
        <v>497</v>
      </c>
      <c r="E1129" s="13" t="s">
        <v>498</v>
      </c>
      <c r="F1129" s="13" t="s">
        <v>499</v>
      </c>
      <c r="G1129" s="13" t="s">
        <v>500</v>
      </c>
      <c r="K1129" t="s">
        <v>413</v>
      </c>
      <c r="L1129" s="81">
        <f>+Municipios!U26</f>
        <v>53.650753794374864</v>
      </c>
      <c r="M1129" s="13">
        <v>15001</v>
      </c>
      <c r="N1129" s="13" t="s">
        <v>497</v>
      </c>
      <c r="O1129" s="13" t="s">
        <v>498</v>
      </c>
      <c r="P1129" s="13" t="s">
        <v>499</v>
      </c>
      <c r="Q1129" s="13" t="s">
        <v>500</v>
      </c>
      <c r="T1129" t="s">
        <v>2804</v>
      </c>
      <c r="U1129" s="25">
        <f>+Municipios!P26</f>
        <v>71.211995692135915</v>
      </c>
      <c r="V1129" s="13">
        <v>15001</v>
      </c>
      <c r="W1129" s="13" t="s">
        <v>497</v>
      </c>
      <c r="X1129" s="13" t="s">
        <v>498</v>
      </c>
      <c r="Y1129" s="13" t="s">
        <v>499</v>
      </c>
      <c r="Z1129" s="13" t="s">
        <v>500</v>
      </c>
    </row>
    <row r="1130" spans="1:26">
      <c r="A1130" t="s">
        <v>412</v>
      </c>
      <c r="B1130" s="25">
        <f>+Municipios!P27</f>
        <v>71.927562421593223</v>
      </c>
      <c r="C1130" s="13">
        <v>25430</v>
      </c>
      <c r="D1130" s="13" t="s">
        <v>501</v>
      </c>
      <c r="E1130" s="13" t="s">
        <v>461</v>
      </c>
      <c r="F1130" s="13" t="s">
        <v>462</v>
      </c>
      <c r="G1130" s="13" t="s">
        <v>502</v>
      </c>
      <c r="K1130" t="s">
        <v>413</v>
      </c>
      <c r="L1130" s="81">
        <f>+Municipios!U27</f>
        <v>54.152243817314648</v>
      </c>
      <c r="M1130" s="13">
        <v>25430</v>
      </c>
      <c r="N1130" s="13" t="s">
        <v>501</v>
      </c>
      <c r="O1130" s="13" t="s">
        <v>461</v>
      </c>
      <c r="P1130" s="13" t="s">
        <v>462</v>
      </c>
      <c r="Q1130" s="13" t="s">
        <v>502</v>
      </c>
      <c r="T1130" t="s">
        <v>2804</v>
      </c>
      <c r="U1130" s="25">
        <f>+Municipios!P27</f>
        <v>71.927562421593223</v>
      </c>
      <c r="V1130" s="13">
        <v>25430</v>
      </c>
      <c r="W1130" s="13" t="s">
        <v>501</v>
      </c>
      <c r="X1130" s="13" t="s">
        <v>461</v>
      </c>
      <c r="Y1130" s="13" t="s">
        <v>462</v>
      </c>
      <c r="Z1130" s="13" t="s">
        <v>502</v>
      </c>
    </row>
    <row r="1131" spans="1:26">
      <c r="A1131" t="s">
        <v>412</v>
      </c>
      <c r="B1131" s="25">
        <f>+Municipios!P28</f>
        <v>81.602762516258124</v>
      </c>
      <c r="C1131" s="13">
        <v>5615</v>
      </c>
      <c r="D1131" s="13" t="s">
        <v>503</v>
      </c>
      <c r="E1131" s="13" t="s">
        <v>435</v>
      </c>
      <c r="F1131" s="13" t="s">
        <v>436</v>
      </c>
      <c r="G1131" s="13" t="s">
        <v>504</v>
      </c>
      <c r="K1131" t="s">
        <v>413</v>
      </c>
      <c r="L1131" s="81">
        <f>+Municipios!U28</f>
        <v>61.091786812737531</v>
      </c>
      <c r="M1131" s="13">
        <v>5615</v>
      </c>
      <c r="N1131" s="13" t="s">
        <v>503</v>
      </c>
      <c r="O1131" s="13" t="s">
        <v>435</v>
      </c>
      <c r="P1131" s="13" t="s">
        <v>436</v>
      </c>
      <c r="Q1131" s="13" t="s">
        <v>504</v>
      </c>
      <c r="T1131" t="s">
        <v>2804</v>
      </c>
      <c r="U1131" s="25">
        <f>+Municipios!P28</f>
        <v>81.602762516258124</v>
      </c>
      <c r="V1131" s="13">
        <v>5615</v>
      </c>
      <c r="W1131" s="13" t="s">
        <v>503</v>
      </c>
      <c r="X1131" s="13" t="s">
        <v>435</v>
      </c>
      <c r="Y1131" s="13" t="s">
        <v>436</v>
      </c>
      <c r="Z1131" s="13" t="s">
        <v>504</v>
      </c>
    </row>
    <row r="1132" spans="1:26">
      <c r="A1132" t="s">
        <v>412</v>
      </c>
      <c r="B1132" s="25">
        <f>+Municipios!P29</f>
        <v>75.608956991620005</v>
      </c>
      <c r="C1132" s="13">
        <v>17001</v>
      </c>
      <c r="D1132" s="13" t="s">
        <v>505</v>
      </c>
      <c r="E1132" s="13" t="s">
        <v>506</v>
      </c>
      <c r="F1132" s="13" t="s">
        <v>507</v>
      </c>
      <c r="G1132" s="13" t="s">
        <v>508</v>
      </c>
      <c r="K1132" t="s">
        <v>413</v>
      </c>
      <c r="L1132" s="81">
        <f>+Municipios!U29</f>
        <v>56.157054723247555</v>
      </c>
      <c r="M1132" s="13">
        <v>17001</v>
      </c>
      <c r="N1132" s="13" t="s">
        <v>505</v>
      </c>
      <c r="O1132" s="13" t="s">
        <v>506</v>
      </c>
      <c r="P1132" s="13" t="s">
        <v>507</v>
      </c>
      <c r="Q1132" s="13" t="s">
        <v>508</v>
      </c>
      <c r="T1132" t="s">
        <v>2804</v>
      </c>
      <c r="U1132" s="25">
        <f>+Municipios!P29</f>
        <v>75.608956991620005</v>
      </c>
      <c r="V1132" s="13">
        <v>17001</v>
      </c>
      <c r="W1132" s="13" t="s">
        <v>505</v>
      </c>
      <c r="X1132" s="13" t="s">
        <v>506</v>
      </c>
      <c r="Y1132" s="13" t="s">
        <v>507</v>
      </c>
      <c r="Z1132" s="13" t="s">
        <v>508</v>
      </c>
    </row>
    <row r="1133" spans="1:26">
      <c r="A1133" t="s">
        <v>412</v>
      </c>
      <c r="B1133" s="25">
        <f>+Municipios!P30</f>
        <v>67.866171174609065</v>
      </c>
      <c r="C1133" s="13">
        <v>8634</v>
      </c>
      <c r="D1133" s="13" t="s">
        <v>509</v>
      </c>
      <c r="E1133" s="13" t="s">
        <v>442</v>
      </c>
      <c r="F1133" s="13" t="s">
        <v>443</v>
      </c>
      <c r="G1133" s="13" t="s">
        <v>510</v>
      </c>
      <c r="K1133" t="s">
        <v>413</v>
      </c>
      <c r="L1133" s="81">
        <f>+Municipios!U30</f>
        <v>50.860393889181601</v>
      </c>
      <c r="M1133" s="13">
        <v>8634</v>
      </c>
      <c r="N1133" s="13" t="s">
        <v>509</v>
      </c>
      <c r="O1133" s="13" t="s">
        <v>442</v>
      </c>
      <c r="P1133" s="13" t="s">
        <v>443</v>
      </c>
      <c r="Q1133" s="13" t="s">
        <v>510</v>
      </c>
      <c r="T1133" t="s">
        <v>2804</v>
      </c>
      <c r="U1133" s="25">
        <f>+Municipios!P30</f>
        <v>67.866171174609065</v>
      </c>
      <c r="V1133" s="13">
        <v>8634</v>
      </c>
      <c r="W1133" s="13" t="s">
        <v>509</v>
      </c>
      <c r="X1133" s="13" t="s">
        <v>442</v>
      </c>
      <c r="Y1133" s="13" t="s">
        <v>443</v>
      </c>
      <c r="Z1133" s="13" t="s">
        <v>510</v>
      </c>
    </row>
    <row r="1134" spans="1:26">
      <c r="A1134" t="s">
        <v>412</v>
      </c>
      <c r="B1134" s="25">
        <f>+Municipios!P31</f>
        <v>65.206592540643271</v>
      </c>
      <c r="C1134" s="13">
        <v>25269</v>
      </c>
      <c r="D1134" s="13" t="s">
        <v>511</v>
      </c>
      <c r="E1134" s="13" t="s">
        <v>461</v>
      </c>
      <c r="F1134" s="13" t="s">
        <v>462</v>
      </c>
      <c r="G1134" s="13" t="s">
        <v>512</v>
      </c>
      <c r="K1134" t="s">
        <v>413</v>
      </c>
      <c r="L1134" s="81">
        <f>+Municipios!U31</f>
        <v>48.265893134145124</v>
      </c>
      <c r="M1134" s="13">
        <v>25269</v>
      </c>
      <c r="N1134" s="13" t="s">
        <v>511</v>
      </c>
      <c r="O1134" s="13" t="s">
        <v>461</v>
      </c>
      <c r="P1134" s="13" t="s">
        <v>462</v>
      </c>
      <c r="Q1134" s="13" t="s">
        <v>512</v>
      </c>
      <c r="T1134" t="s">
        <v>2804</v>
      </c>
      <c r="U1134" s="25">
        <f>+Municipios!P31</f>
        <v>65.206592540643271</v>
      </c>
      <c r="V1134" s="13">
        <v>25269</v>
      </c>
      <c r="W1134" s="13" t="s">
        <v>511</v>
      </c>
      <c r="X1134" s="13" t="s">
        <v>461</v>
      </c>
      <c r="Y1134" s="13" t="s">
        <v>462</v>
      </c>
      <c r="Z1134" s="13" t="s">
        <v>512</v>
      </c>
    </row>
    <row r="1135" spans="1:26">
      <c r="A1135" t="s">
        <v>412</v>
      </c>
      <c r="B1135" s="25">
        <f>+Municipios!P32</f>
        <v>74.714832506228348</v>
      </c>
      <c r="C1135" s="13">
        <v>66001</v>
      </c>
      <c r="D1135" s="13" t="s">
        <v>513</v>
      </c>
      <c r="E1135" s="13" t="s">
        <v>467</v>
      </c>
      <c r="F1135" s="13" t="s">
        <v>468</v>
      </c>
      <c r="G1135" s="13" t="s">
        <v>514</v>
      </c>
      <c r="K1135" t="s">
        <v>413</v>
      </c>
      <c r="L1135" s="81">
        <f>+Municipios!U32</f>
        <v>54.942314305853429</v>
      </c>
      <c r="M1135" s="13">
        <v>66001</v>
      </c>
      <c r="N1135" s="13" t="s">
        <v>513</v>
      </c>
      <c r="O1135" s="13" t="s">
        <v>467</v>
      </c>
      <c r="P1135" s="13" t="s">
        <v>468</v>
      </c>
      <c r="Q1135" s="13" t="s">
        <v>514</v>
      </c>
      <c r="T1135" t="s">
        <v>2804</v>
      </c>
      <c r="U1135" s="25">
        <f>+Municipios!P32</f>
        <v>74.714832506228348</v>
      </c>
      <c r="V1135" s="13">
        <v>66001</v>
      </c>
      <c r="W1135" s="13" t="s">
        <v>513</v>
      </c>
      <c r="X1135" s="13" t="s">
        <v>467</v>
      </c>
      <c r="Y1135" s="13" t="s">
        <v>468</v>
      </c>
      <c r="Z1135" s="13" t="s">
        <v>514</v>
      </c>
    </row>
    <row r="1136" spans="1:26">
      <c r="A1136" t="s">
        <v>412</v>
      </c>
      <c r="B1136" s="25">
        <f>+Municipios!P33</f>
        <v>63.305354217858195</v>
      </c>
      <c r="C1136" s="13">
        <v>5129</v>
      </c>
      <c r="D1136" s="13" t="s">
        <v>515</v>
      </c>
      <c r="E1136" s="13" t="s">
        <v>435</v>
      </c>
      <c r="F1136" s="13" t="s">
        <v>436</v>
      </c>
      <c r="G1136" s="13" t="s">
        <v>507</v>
      </c>
      <c r="K1136" t="s">
        <v>413</v>
      </c>
      <c r="L1136" s="81">
        <f>+Municipios!U33</f>
        <v>47.882008283441728</v>
      </c>
      <c r="M1136" s="13">
        <v>5129</v>
      </c>
      <c r="N1136" s="13" t="s">
        <v>515</v>
      </c>
      <c r="O1136" s="13" t="s">
        <v>435</v>
      </c>
      <c r="P1136" s="13" t="s">
        <v>436</v>
      </c>
      <c r="Q1136" s="13" t="s">
        <v>507</v>
      </c>
      <c r="T1136" t="s">
        <v>2804</v>
      </c>
      <c r="U1136" s="25">
        <f>+Municipios!P33</f>
        <v>63.305354217858195</v>
      </c>
      <c r="V1136" s="13">
        <v>5129</v>
      </c>
      <c r="W1136" s="13" t="s">
        <v>515</v>
      </c>
      <c r="X1136" s="13" t="s">
        <v>435</v>
      </c>
      <c r="Y1136" s="13" t="s">
        <v>436</v>
      </c>
      <c r="Z1136" s="13" t="s">
        <v>507</v>
      </c>
    </row>
    <row r="1137" spans="1:26">
      <c r="A1137" t="s">
        <v>412</v>
      </c>
      <c r="B1137" s="25">
        <f>+Municipios!P34</f>
        <v>66.793174378968473</v>
      </c>
      <c r="C1137" s="13">
        <v>54874</v>
      </c>
      <c r="D1137" s="13" t="s">
        <v>516</v>
      </c>
      <c r="E1137" s="13" t="s">
        <v>517</v>
      </c>
      <c r="F1137" s="13" t="s">
        <v>518</v>
      </c>
      <c r="G1137" s="13" t="s">
        <v>519</v>
      </c>
      <c r="K1137" t="s">
        <v>413</v>
      </c>
      <c r="L1137" s="81">
        <f>+Municipios!U34</f>
        <v>49.556874108759203</v>
      </c>
      <c r="M1137" s="13">
        <v>54874</v>
      </c>
      <c r="N1137" s="13" t="s">
        <v>516</v>
      </c>
      <c r="O1137" s="13" t="s">
        <v>517</v>
      </c>
      <c r="P1137" s="13" t="s">
        <v>518</v>
      </c>
      <c r="Q1137" s="13" t="s">
        <v>519</v>
      </c>
      <c r="T1137" t="s">
        <v>2804</v>
      </c>
      <c r="U1137" s="25">
        <f>+Municipios!P34</f>
        <v>66.793174378968473</v>
      </c>
      <c r="V1137" s="13">
        <v>54874</v>
      </c>
      <c r="W1137" s="13" t="s">
        <v>516</v>
      </c>
      <c r="X1137" s="13" t="s">
        <v>517</v>
      </c>
      <c r="Y1137" s="13" t="s">
        <v>518</v>
      </c>
      <c r="Z1137" s="13" t="s">
        <v>519</v>
      </c>
    </row>
    <row r="1138" spans="1:26">
      <c r="A1138" t="s">
        <v>412</v>
      </c>
      <c r="B1138" s="25">
        <f>+Municipios!P35</f>
        <v>67.603377107895753</v>
      </c>
      <c r="C1138" s="13">
        <v>66400</v>
      </c>
      <c r="D1138" s="13" t="s">
        <v>520</v>
      </c>
      <c r="E1138" s="13" t="s">
        <v>467</v>
      </c>
      <c r="F1138" s="13" t="s">
        <v>468</v>
      </c>
      <c r="G1138" s="13" t="s">
        <v>521</v>
      </c>
      <c r="K1138" t="s">
        <v>413</v>
      </c>
      <c r="L1138" s="81">
        <f>+Municipios!U35</f>
        <v>49.532125925873054</v>
      </c>
      <c r="M1138" s="13">
        <v>66400</v>
      </c>
      <c r="N1138" s="13" t="s">
        <v>520</v>
      </c>
      <c r="O1138" s="13" t="s">
        <v>467</v>
      </c>
      <c r="P1138" s="13" t="s">
        <v>468</v>
      </c>
      <c r="Q1138" s="13" t="s">
        <v>521</v>
      </c>
      <c r="T1138" t="s">
        <v>2804</v>
      </c>
      <c r="U1138" s="25">
        <f>+Municipios!P35</f>
        <v>67.603377107895753</v>
      </c>
      <c r="V1138" s="13">
        <v>66400</v>
      </c>
      <c r="W1138" s="13" t="s">
        <v>520</v>
      </c>
      <c r="X1138" s="13" t="s">
        <v>467</v>
      </c>
      <c r="Y1138" s="13" t="s">
        <v>468</v>
      </c>
      <c r="Z1138" s="13" t="s">
        <v>521</v>
      </c>
    </row>
    <row r="1139" spans="1:26">
      <c r="A1139" t="s">
        <v>412</v>
      </c>
      <c r="B1139" s="25">
        <f>+Municipios!P36</f>
        <v>67.968966100510556</v>
      </c>
      <c r="C1139" s="13">
        <v>5308</v>
      </c>
      <c r="D1139" s="13" t="s">
        <v>522</v>
      </c>
      <c r="E1139" s="13" t="s">
        <v>435</v>
      </c>
      <c r="F1139" s="13" t="s">
        <v>436</v>
      </c>
      <c r="G1139" s="13" t="s">
        <v>523</v>
      </c>
      <c r="K1139" t="s">
        <v>413</v>
      </c>
      <c r="L1139" s="81">
        <f>+Municipios!U36</f>
        <v>51.509315288158611</v>
      </c>
      <c r="M1139" s="13">
        <v>5308</v>
      </c>
      <c r="N1139" s="13" t="s">
        <v>522</v>
      </c>
      <c r="O1139" s="13" t="s">
        <v>435</v>
      </c>
      <c r="P1139" s="13" t="s">
        <v>436</v>
      </c>
      <c r="Q1139" s="13" t="s">
        <v>523</v>
      </c>
      <c r="T1139" t="s">
        <v>2804</v>
      </c>
      <c r="U1139" s="25">
        <f>+Municipios!P36</f>
        <v>67.968966100510556</v>
      </c>
      <c r="V1139" s="13">
        <v>5308</v>
      </c>
      <c r="W1139" s="13" t="s">
        <v>522</v>
      </c>
      <c r="X1139" s="13" t="s">
        <v>435</v>
      </c>
      <c r="Y1139" s="13" t="s">
        <v>436</v>
      </c>
      <c r="Z1139" s="13" t="s">
        <v>523</v>
      </c>
    </row>
    <row r="1140" spans="1:26">
      <c r="A1140" t="s">
        <v>412</v>
      </c>
      <c r="B1140" s="25">
        <f>+Municipios!P37</f>
        <v>60.461039181001013</v>
      </c>
      <c r="C1140" s="13">
        <v>25307</v>
      </c>
      <c r="D1140" s="13" t="s">
        <v>524</v>
      </c>
      <c r="E1140" s="13" t="s">
        <v>461</v>
      </c>
      <c r="F1140" s="13" t="s">
        <v>462</v>
      </c>
      <c r="G1140" s="13" t="s">
        <v>525</v>
      </c>
      <c r="K1140" t="s">
        <v>413</v>
      </c>
      <c r="L1140" s="81">
        <f>+Municipios!U37</f>
        <v>43.800352156244749</v>
      </c>
      <c r="M1140" s="13">
        <v>25307</v>
      </c>
      <c r="N1140" s="13" t="s">
        <v>524</v>
      </c>
      <c r="O1140" s="13" t="s">
        <v>461</v>
      </c>
      <c r="P1140" s="13" t="s">
        <v>462</v>
      </c>
      <c r="Q1140" s="13" t="s">
        <v>525</v>
      </c>
      <c r="T1140" t="s">
        <v>2804</v>
      </c>
      <c r="U1140" s="25">
        <f>+Municipios!P37</f>
        <v>60.461039181001013</v>
      </c>
      <c r="V1140" s="13">
        <v>25307</v>
      </c>
      <c r="W1140" s="13" t="s">
        <v>524</v>
      </c>
      <c r="X1140" s="13" t="s">
        <v>461</v>
      </c>
      <c r="Y1140" s="13" t="s">
        <v>462</v>
      </c>
      <c r="Z1140" s="13" t="s">
        <v>525</v>
      </c>
    </row>
    <row r="1141" spans="1:26">
      <c r="A1141" t="s">
        <v>412</v>
      </c>
      <c r="B1141" s="25">
        <f>+Municipios!P38</f>
        <v>65.479690737153376</v>
      </c>
      <c r="C1141" s="13">
        <v>8573</v>
      </c>
      <c r="D1141" s="13" t="s">
        <v>526</v>
      </c>
      <c r="E1141" s="13" t="s">
        <v>442</v>
      </c>
      <c r="F1141" s="13" t="s">
        <v>443</v>
      </c>
      <c r="G1141" s="13" t="s">
        <v>527</v>
      </c>
      <c r="K1141" t="s">
        <v>413</v>
      </c>
      <c r="L1141" s="81">
        <f>+Municipios!U38</f>
        <v>48.664018133453112</v>
      </c>
      <c r="M1141" s="13">
        <v>8573</v>
      </c>
      <c r="N1141" s="13" t="s">
        <v>526</v>
      </c>
      <c r="O1141" s="13" t="s">
        <v>442</v>
      </c>
      <c r="P1141" s="13" t="s">
        <v>443</v>
      </c>
      <c r="Q1141" s="13" t="s">
        <v>527</v>
      </c>
      <c r="T1141" t="s">
        <v>2804</v>
      </c>
      <c r="U1141" s="25">
        <f>+Municipios!P38</f>
        <v>65.479690737153376</v>
      </c>
      <c r="V1141" s="13">
        <v>8573</v>
      </c>
      <c r="W1141" s="13" t="s">
        <v>526</v>
      </c>
      <c r="X1141" s="13" t="s">
        <v>442</v>
      </c>
      <c r="Y1141" s="13" t="s">
        <v>443</v>
      </c>
      <c r="Z1141" s="13" t="s">
        <v>527</v>
      </c>
    </row>
    <row r="1142" spans="1:26">
      <c r="A1142" t="s">
        <v>412</v>
      </c>
      <c r="B1142" s="25">
        <f>+Municipios!P39</f>
        <v>68.44202498391104</v>
      </c>
      <c r="C1142" s="13">
        <v>25290</v>
      </c>
      <c r="D1142" s="13" t="s">
        <v>528</v>
      </c>
      <c r="E1142" s="13" t="s">
        <v>461</v>
      </c>
      <c r="F1142" s="13" t="s">
        <v>462</v>
      </c>
      <c r="G1142" s="13" t="s">
        <v>529</v>
      </c>
      <c r="K1142" t="s">
        <v>413</v>
      </c>
      <c r="L1142" s="81">
        <f>+Municipios!U39</f>
        <v>49.653841784388497</v>
      </c>
      <c r="M1142" s="13">
        <v>25290</v>
      </c>
      <c r="N1142" s="13" t="s">
        <v>528</v>
      </c>
      <c r="O1142" s="13" t="s">
        <v>461</v>
      </c>
      <c r="P1142" s="13" t="s">
        <v>462</v>
      </c>
      <c r="Q1142" s="13" t="s">
        <v>529</v>
      </c>
      <c r="T1142" t="s">
        <v>2804</v>
      </c>
      <c r="U1142" s="25">
        <f>+Municipios!P39</f>
        <v>68.44202498391104</v>
      </c>
      <c r="V1142" s="13">
        <v>25290</v>
      </c>
      <c r="W1142" s="13" t="s">
        <v>528</v>
      </c>
      <c r="X1142" s="13" t="s">
        <v>461</v>
      </c>
      <c r="Y1142" s="13" t="s">
        <v>462</v>
      </c>
      <c r="Z1142" s="13" t="s">
        <v>529</v>
      </c>
    </row>
    <row r="1143" spans="1:26">
      <c r="A1143" t="s">
        <v>412</v>
      </c>
      <c r="B1143" s="25">
        <f>+Municipios!P40</f>
        <v>68.464162097473462</v>
      </c>
      <c r="C1143" s="13">
        <v>8296</v>
      </c>
      <c r="D1143" s="13" t="s">
        <v>530</v>
      </c>
      <c r="E1143" s="13" t="s">
        <v>442</v>
      </c>
      <c r="F1143" s="13" t="s">
        <v>443</v>
      </c>
      <c r="G1143" s="13" t="s">
        <v>531</v>
      </c>
      <c r="K1143" t="s">
        <v>413</v>
      </c>
      <c r="L1143" s="81">
        <f>+Municipios!U40</f>
        <v>50.064161996029931</v>
      </c>
      <c r="M1143" s="13">
        <v>8296</v>
      </c>
      <c r="N1143" s="13" t="s">
        <v>530</v>
      </c>
      <c r="O1143" s="13" t="s">
        <v>442</v>
      </c>
      <c r="P1143" s="13" t="s">
        <v>443</v>
      </c>
      <c r="Q1143" s="13" t="s">
        <v>531</v>
      </c>
      <c r="T1143" t="s">
        <v>2804</v>
      </c>
      <c r="U1143" s="25">
        <f>+Municipios!P40</f>
        <v>68.464162097473462</v>
      </c>
      <c r="V1143" s="13">
        <v>8296</v>
      </c>
      <c r="W1143" s="13" t="s">
        <v>530</v>
      </c>
      <c r="X1143" s="13" t="s">
        <v>442</v>
      </c>
      <c r="Y1143" s="13" t="s">
        <v>443</v>
      </c>
      <c r="Z1143" s="13" t="s">
        <v>531</v>
      </c>
    </row>
    <row r="1144" spans="1:26">
      <c r="A1144" t="s">
        <v>412</v>
      </c>
      <c r="B1144" s="25">
        <f>+Municipios!P41</f>
        <v>70.921128007270539</v>
      </c>
      <c r="C1144" s="13">
        <v>5440</v>
      </c>
      <c r="D1144" s="13" t="s">
        <v>532</v>
      </c>
      <c r="E1144" s="13" t="s">
        <v>435</v>
      </c>
      <c r="F1144" s="13" t="s">
        <v>436</v>
      </c>
      <c r="G1144" s="13" t="s">
        <v>533</v>
      </c>
      <c r="K1144" t="s">
        <v>413</v>
      </c>
      <c r="L1144" s="81">
        <f>+Municipios!U41</f>
        <v>51.795658269284772</v>
      </c>
      <c r="M1144" s="13">
        <v>5440</v>
      </c>
      <c r="N1144" s="13" t="s">
        <v>532</v>
      </c>
      <c r="O1144" s="13" t="s">
        <v>435</v>
      </c>
      <c r="P1144" s="13" t="s">
        <v>436</v>
      </c>
      <c r="Q1144" s="13" t="s">
        <v>533</v>
      </c>
      <c r="T1144" t="s">
        <v>2804</v>
      </c>
      <c r="U1144" s="25">
        <f>+Municipios!P41</f>
        <v>70.921128007270539</v>
      </c>
      <c r="V1144" s="13">
        <v>5440</v>
      </c>
      <c r="W1144" s="13" t="s">
        <v>532</v>
      </c>
      <c r="X1144" s="13" t="s">
        <v>435</v>
      </c>
      <c r="Y1144" s="13" t="s">
        <v>436</v>
      </c>
      <c r="Z1144" s="13" t="s">
        <v>533</v>
      </c>
    </row>
    <row r="1145" spans="1:26">
      <c r="A1145" t="s">
        <v>412</v>
      </c>
      <c r="B1145" s="25">
        <f>+Municipios!P42</f>
        <v>69.013164698781239</v>
      </c>
      <c r="C1145" s="13">
        <v>25899</v>
      </c>
      <c r="D1145" s="13" t="s">
        <v>534</v>
      </c>
      <c r="E1145" s="13" t="s">
        <v>461</v>
      </c>
      <c r="F1145" s="13" t="s">
        <v>462</v>
      </c>
      <c r="G1145" s="13" t="s">
        <v>535</v>
      </c>
      <c r="K1145" t="s">
        <v>413</v>
      </c>
      <c r="L1145" s="81">
        <f>+Municipios!U42</f>
        <v>49.581785314632612</v>
      </c>
      <c r="M1145" s="13">
        <v>25899</v>
      </c>
      <c r="N1145" s="13" t="s">
        <v>534</v>
      </c>
      <c r="O1145" s="13" t="s">
        <v>461</v>
      </c>
      <c r="P1145" s="13" t="s">
        <v>462</v>
      </c>
      <c r="Q1145" s="13" t="s">
        <v>535</v>
      </c>
      <c r="T1145" t="s">
        <v>2804</v>
      </c>
      <c r="U1145" s="25">
        <f>+Municipios!P42</f>
        <v>69.013164698781239</v>
      </c>
      <c r="V1145" s="13">
        <v>25899</v>
      </c>
      <c r="W1145" s="13" t="s">
        <v>534</v>
      </c>
      <c r="X1145" s="13" t="s">
        <v>461</v>
      </c>
      <c r="Y1145" s="13" t="s">
        <v>462</v>
      </c>
      <c r="Z1145" s="13" t="s">
        <v>535</v>
      </c>
    </row>
    <row r="1146" spans="1:26">
      <c r="A1146" t="s">
        <v>412</v>
      </c>
      <c r="B1146" s="25">
        <f>+Municipios!P43</f>
        <v>61.240975217844181</v>
      </c>
      <c r="C1146" s="13">
        <v>76147</v>
      </c>
      <c r="D1146" s="13" t="s">
        <v>536</v>
      </c>
      <c r="E1146" s="13" t="s">
        <v>454</v>
      </c>
      <c r="F1146" s="13" t="s">
        <v>455</v>
      </c>
      <c r="G1146" s="13" t="s">
        <v>537</v>
      </c>
      <c r="K1146" t="s">
        <v>413</v>
      </c>
      <c r="L1146" s="81">
        <f>+Municipios!U43</f>
        <v>43.635370873259404</v>
      </c>
      <c r="M1146" s="13">
        <v>76147</v>
      </c>
      <c r="N1146" s="13" t="s">
        <v>536</v>
      </c>
      <c r="O1146" s="13" t="s">
        <v>454</v>
      </c>
      <c r="P1146" s="13" t="s">
        <v>455</v>
      </c>
      <c r="Q1146" s="13" t="s">
        <v>537</v>
      </c>
      <c r="T1146" t="s">
        <v>2804</v>
      </c>
      <c r="U1146" s="25">
        <f>+Municipios!P43</f>
        <v>61.240975217844181</v>
      </c>
      <c r="V1146" s="13">
        <v>76147</v>
      </c>
      <c r="W1146" s="13" t="s">
        <v>536</v>
      </c>
      <c r="X1146" s="13" t="s">
        <v>454</v>
      </c>
      <c r="Y1146" s="13" t="s">
        <v>455</v>
      </c>
      <c r="Z1146" s="13" t="s">
        <v>537</v>
      </c>
    </row>
    <row r="1147" spans="1:26">
      <c r="A1147" t="s">
        <v>412</v>
      </c>
      <c r="B1147" s="25">
        <f>+Municipios!P44</f>
        <v>70.773100682623067</v>
      </c>
      <c r="C1147" s="13">
        <v>5376</v>
      </c>
      <c r="D1147" s="13" t="s">
        <v>538</v>
      </c>
      <c r="E1147" s="13" t="s">
        <v>435</v>
      </c>
      <c r="F1147" s="13" t="s">
        <v>436</v>
      </c>
      <c r="G1147" s="13" t="s">
        <v>539</v>
      </c>
      <c r="K1147" t="s">
        <v>413</v>
      </c>
      <c r="L1147" s="81">
        <f>+Municipios!U44</f>
        <v>50.852836054866245</v>
      </c>
      <c r="M1147" s="13">
        <v>5376</v>
      </c>
      <c r="N1147" s="13" t="s">
        <v>538</v>
      </c>
      <c r="O1147" s="13" t="s">
        <v>435</v>
      </c>
      <c r="P1147" s="13" t="s">
        <v>436</v>
      </c>
      <c r="Q1147" s="13" t="s">
        <v>539</v>
      </c>
      <c r="T1147" t="s">
        <v>2804</v>
      </c>
      <c r="U1147" s="25">
        <f>+Municipios!P44</f>
        <v>70.773100682623067</v>
      </c>
      <c r="V1147" s="13">
        <v>5376</v>
      </c>
      <c r="W1147" s="13" t="s">
        <v>538</v>
      </c>
      <c r="X1147" s="13" t="s">
        <v>435</v>
      </c>
      <c r="Y1147" s="13" t="s">
        <v>436</v>
      </c>
      <c r="Z1147" s="13" t="s">
        <v>539</v>
      </c>
    </row>
    <row r="1148" spans="1:26">
      <c r="A1148" t="s">
        <v>412</v>
      </c>
      <c r="B1148" s="25">
        <f>+Municipios!P45</f>
        <v>64.479712679196695</v>
      </c>
      <c r="C1148" s="13">
        <v>25214</v>
      </c>
      <c r="D1148" s="13" t="s">
        <v>540</v>
      </c>
      <c r="E1148" s="13" t="s">
        <v>461</v>
      </c>
      <c r="F1148" s="13" t="s">
        <v>462</v>
      </c>
      <c r="G1148" s="13" t="s">
        <v>541</v>
      </c>
      <c r="K1148" t="s">
        <v>413</v>
      </c>
      <c r="L1148" s="81">
        <f>+Municipios!U45</f>
        <v>46.789660058953125</v>
      </c>
      <c r="M1148" s="13">
        <v>25214</v>
      </c>
      <c r="N1148" s="13" t="s">
        <v>540</v>
      </c>
      <c r="O1148" s="13" t="s">
        <v>461</v>
      </c>
      <c r="P1148" s="13" t="s">
        <v>462</v>
      </c>
      <c r="Q1148" s="13" t="s">
        <v>541</v>
      </c>
      <c r="T1148" t="s">
        <v>2804</v>
      </c>
      <c r="U1148" s="25">
        <f>+Municipios!P45</f>
        <v>64.479712679196695</v>
      </c>
      <c r="V1148" s="13">
        <v>25214</v>
      </c>
      <c r="W1148" s="13" t="s">
        <v>540</v>
      </c>
      <c r="X1148" s="13" t="s">
        <v>461</v>
      </c>
      <c r="Y1148" s="13" t="s">
        <v>462</v>
      </c>
      <c r="Z1148" s="13" t="s">
        <v>541</v>
      </c>
    </row>
    <row r="1149" spans="1:26">
      <c r="A1149" t="s">
        <v>412</v>
      </c>
      <c r="B1149" s="25">
        <f>+Municipios!P46</f>
        <v>60.988547974244334</v>
      </c>
      <c r="C1149" s="13">
        <v>8078</v>
      </c>
      <c r="D1149" s="13" t="s">
        <v>542</v>
      </c>
      <c r="E1149" s="13" t="s">
        <v>442</v>
      </c>
      <c r="F1149" s="13" t="s">
        <v>443</v>
      </c>
      <c r="G1149" s="13" t="s">
        <v>543</v>
      </c>
      <c r="K1149" t="s">
        <v>413</v>
      </c>
      <c r="L1149" s="81">
        <f>+Municipios!U46</f>
        <v>43.778616751841703</v>
      </c>
      <c r="M1149" s="13">
        <v>8078</v>
      </c>
      <c r="N1149" s="13" t="s">
        <v>542</v>
      </c>
      <c r="O1149" s="13" t="s">
        <v>442</v>
      </c>
      <c r="P1149" s="13" t="s">
        <v>443</v>
      </c>
      <c r="Q1149" s="13" t="s">
        <v>543</v>
      </c>
      <c r="T1149" t="s">
        <v>2804</v>
      </c>
      <c r="U1149" s="25">
        <f>+Municipios!P46</f>
        <v>60.988547974244334</v>
      </c>
      <c r="V1149" s="13">
        <v>8078</v>
      </c>
      <c r="W1149" s="13" t="s">
        <v>542</v>
      </c>
      <c r="X1149" s="13" t="s">
        <v>442</v>
      </c>
      <c r="Y1149" s="13" t="s">
        <v>443</v>
      </c>
      <c r="Z1149" s="13" t="s">
        <v>543</v>
      </c>
    </row>
    <row r="1150" spans="1:26">
      <c r="A1150" t="s">
        <v>412</v>
      </c>
      <c r="B1150" s="25">
        <f>+Municipios!P47</f>
        <v>58.808043297360065</v>
      </c>
      <c r="C1150" s="13">
        <v>13836</v>
      </c>
      <c r="D1150" s="13" t="s">
        <v>544</v>
      </c>
      <c r="E1150" s="13" t="s">
        <v>480</v>
      </c>
      <c r="F1150" s="13" t="s">
        <v>481</v>
      </c>
      <c r="G1150" s="13" t="s">
        <v>545</v>
      </c>
      <c r="K1150" t="s">
        <v>413</v>
      </c>
      <c r="L1150" s="81">
        <f>+Municipios!U47</f>
        <v>42.225554830514632</v>
      </c>
      <c r="M1150" s="13">
        <v>13836</v>
      </c>
      <c r="N1150" s="13" t="s">
        <v>544</v>
      </c>
      <c r="O1150" s="13" t="s">
        <v>480</v>
      </c>
      <c r="P1150" s="13" t="s">
        <v>481</v>
      </c>
      <c r="Q1150" s="13" t="s">
        <v>545</v>
      </c>
      <c r="T1150" t="s">
        <v>2804</v>
      </c>
      <c r="U1150" s="25">
        <f>+Municipios!P47</f>
        <v>58.808043297360065</v>
      </c>
      <c r="V1150" s="13">
        <v>13836</v>
      </c>
      <c r="W1150" s="13" t="s">
        <v>544</v>
      </c>
      <c r="X1150" s="13" t="s">
        <v>480</v>
      </c>
      <c r="Y1150" s="13" t="s">
        <v>481</v>
      </c>
      <c r="Z1150" s="13" t="s">
        <v>545</v>
      </c>
    </row>
    <row r="1151" spans="1:26">
      <c r="A1151" t="s">
        <v>412</v>
      </c>
      <c r="B1151" s="25">
        <f>+Municipios!P48</f>
        <v>60.663787215015169</v>
      </c>
      <c r="C1151" s="13">
        <v>8685</v>
      </c>
      <c r="D1151" s="13" t="s">
        <v>546</v>
      </c>
      <c r="E1151" s="13" t="s">
        <v>442</v>
      </c>
      <c r="F1151" s="13" t="s">
        <v>443</v>
      </c>
      <c r="G1151" s="13" t="s">
        <v>547</v>
      </c>
      <c r="K1151" t="s">
        <v>413</v>
      </c>
      <c r="L1151" s="81">
        <f>+Municipios!U48</f>
        <v>43.352238786360743</v>
      </c>
      <c r="M1151" s="13">
        <v>8685</v>
      </c>
      <c r="N1151" s="13" t="s">
        <v>546</v>
      </c>
      <c r="O1151" s="13" t="s">
        <v>442</v>
      </c>
      <c r="P1151" s="13" t="s">
        <v>443</v>
      </c>
      <c r="Q1151" s="13" t="s">
        <v>547</v>
      </c>
      <c r="T1151" t="s">
        <v>2804</v>
      </c>
      <c r="U1151" s="25">
        <f>+Municipios!P48</f>
        <v>60.663787215015169</v>
      </c>
      <c r="V1151" s="13">
        <v>8685</v>
      </c>
      <c r="W1151" s="13" t="s">
        <v>546</v>
      </c>
      <c r="X1151" s="13" t="s">
        <v>442</v>
      </c>
      <c r="Y1151" s="13" t="s">
        <v>443</v>
      </c>
      <c r="Z1151" s="13" t="s">
        <v>547</v>
      </c>
    </row>
    <row r="1152" spans="1:26">
      <c r="A1152" t="s">
        <v>412</v>
      </c>
      <c r="B1152" s="25">
        <f>+Municipios!P49</f>
        <v>70.130264309109378</v>
      </c>
      <c r="C1152" s="13">
        <v>54405</v>
      </c>
      <c r="D1152" s="13" t="s">
        <v>548</v>
      </c>
      <c r="E1152" s="13" t="s">
        <v>517</v>
      </c>
      <c r="F1152" s="13" t="s">
        <v>518</v>
      </c>
      <c r="G1152" s="13" t="s">
        <v>549</v>
      </c>
      <c r="K1152" t="s">
        <v>413</v>
      </c>
      <c r="L1152" s="81">
        <f>+Municipios!U49</f>
        <v>49.603755726015088</v>
      </c>
      <c r="M1152" s="13">
        <v>54405</v>
      </c>
      <c r="N1152" s="13" t="s">
        <v>548</v>
      </c>
      <c r="O1152" s="13" t="s">
        <v>517</v>
      </c>
      <c r="P1152" s="13" t="s">
        <v>518</v>
      </c>
      <c r="Q1152" s="13" t="s">
        <v>549</v>
      </c>
      <c r="T1152" t="s">
        <v>2804</v>
      </c>
      <c r="U1152" s="25">
        <f>+Municipios!P49</f>
        <v>70.130264309109378</v>
      </c>
      <c r="V1152" s="13">
        <v>54405</v>
      </c>
      <c r="W1152" s="13" t="s">
        <v>548</v>
      </c>
      <c r="X1152" s="13" t="s">
        <v>517</v>
      </c>
      <c r="Y1152" s="13" t="s">
        <v>518</v>
      </c>
      <c r="Z1152" s="13" t="s">
        <v>549</v>
      </c>
    </row>
    <row r="1153" spans="1:26">
      <c r="A1153" t="s">
        <v>412</v>
      </c>
      <c r="B1153" s="25">
        <f>+Municipios!P50</f>
        <v>72.299176146400612</v>
      </c>
      <c r="C1153" s="13">
        <v>76892</v>
      </c>
      <c r="D1153" s="13" t="s">
        <v>550</v>
      </c>
      <c r="E1153" s="13" t="s">
        <v>454</v>
      </c>
      <c r="F1153" s="13" t="s">
        <v>455</v>
      </c>
      <c r="G1153" s="13" t="s">
        <v>551</v>
      </c>
      <c r="K1153" t="s">
        <v>413</v>
      </c>
      <c r="L1153" s="81">
        <f>+Municipios!U50</f>
        <v>50.918759872020736</v>
      </c>
      <c r="M1153" s="13">
        <v>76892</v>
      </c>
      <c r="N1153" s="13" t="s">
        <v>550</v>
      </c>
      <c r="O1153" s="13" t="s">
        <v>454</v>
      </c>
      <c r="P1153" s="13" t="s">
        <v>455</v>
      </c>
      <c r="Q1153" s="13" t="s">
        <v>551</v>
      </c>
      <c r="T1153" t="s">
        <v>2804</v>
      </c>
      <c r="U1153" s="25">
        <f>+Municipios!P50</f>
        <v>72.299176146400612</v>
      </c>
      <c r="V1153" s="13">
        <v>76892</v>
      </c>
      <c r="W1153" s="13" t="s">
        <v>550</v>
      </c>
      <c r="X1153" s="13" t="s">
        <v>454</v>
      </c>
      <c r="Y1153" s="13" t="s">
        <v>455</v>
      </c>
      <c r="Z1153" s="13" t="s">
        <v>551</v>
      </c>
    </row>
    <row r="1154" spans="1:26">
      <c r="A1154" t="s">
        <v>412</v>
      </c>
      <c r="B1154" s="25">
        <f>+Municipios!P51</f>
        <v>70.790095561230601</v>
      </c>
      <c r="C1154" s="13">
        <v>25817</v>
      </c>
      <c r="D1154" s="13" t="s">
        <v>552</v>
      </c>
      <c r="E1154" s="13" t="s">
        <v>461</v>
      </c>
      <c r="F1154" s="13" t="s">
        <v>462</v>
      </c>
      <c r="G1154" s="13" t="s">
        <v>553</v>
      </c>
      <c r="K1154" t="s">
        <v>413</v>
      </c>
      <c r="L1154" s="81">
        <f>+Municipios!U51</f>
        <v>49.609785557730881</v>
      </c>
      <c r="M1154" s="13">
        <v>25817</v>
      </c>
      <c r="N1154" s="13" t="s">
        <v>552</v>
      </c>
      <c r="O1154" s="13" t="s">
        <v>461</v>
      </c>
      <c r="P1154" s="13" t="s">
        <v>462</v>
      </c>
      <c r="Q1154" s="13" t="s">
        <v>553</v>
      </c>
      <c r="T1154" t="s">
        <v>2804</v>
      </c>
      <c r="U1154" s="25">
        <f>+Municipios!P51</f>
        <v>70.790095561230601</v>
      </c>
      <c r="V1154" s="13">
        <v>25817</v>
      </c>
      <c r="W1154" s="13" t="s">
        <v>552</v>
      </c>
      <c r="X1154" s="13" t="s">
        <v>461</v>
      </c>
      <c r="Y1154" s="13" t="s">
        <v>462</v>
      </c>
      <c r="Z1154" s="13" t="s">
        <v>553</v>
      </c>
    </row>
    <row r="1155" spans="1:26">
      <c r="A1155" t="s">
        <v>412</v>
      </c>
      <c r="B1155" s="25">
        <f>+Municipios!P52</f>
        <v>74.648015072661551</v>
      </c>
      <c r="C1155" s="13">
        <v>5318</v>
      </c>
      <c r="D1155" s="13" t="s">
        <v>554</v>
      </c>
      <c r="E1155" s="13" t="s">
        <v>435</v>
      </c>
      <c r="F1155" s="13" t="s">
        <v>436</v>
      </c>
      <c r="G1155" s="13" t="s">
        <v>555</v>
      </c>
      <c r="K1155" t="s">
        <v>413</v>
      </c>
      <c r="L1155" s="81">
        <f>+Municipios!U52</f>
        <v>52.920838277811008</v>
      </c>
      <c r="M1155" s="13">
        <v>5318</v>
      </c>
      <c r="N1155" s="13" t="s">
        <v>554</v>
      </c>
      <c r="O1155" s="13" t="s">
        <v>435</v>
      </c>
      <c r="P1155" s="13" t="s">
        <v>436</v>
      </c>
      <c r="Q1155" s="13" t="s">
        <v>555</v>
      </c>
      <c r="T1155" t="s">
        <v>2804</v>
      </c>
      <c r="U1155" s="25">
        <f>+Municipios!P52</f>
        <v>74.648015072661551</v>
      </c>
      <c r="V1155" s="13">
        <v>5318</v>
      </c>
      <c r="W1155" s="13" t="s">
        <v>554</v>
      </c>
      <c r="X1155" s="13" t="s">
        <v>435</v>
      </c>
      <c r="Y1155" s="13" t="s">
        <v>436</v>
      </c>
      <c r="Z1155" s="13" t="s">
        <v>555</v>
      </c>
    </row>
    <row r="1156" spans="1:26">
      <c r="A1156" t="s">
        <v>412</v>
      </c>
      <c r="B1156" s="25">
        <f>+Municipios!P53</f>
        <v>57.845306476920427</v>
      </c>
      <c r="C1156" s="13">
        <v>19001</v>
      </c>
      <c r="D1156" s="13" t="s">
        <v>556</v>
      </c>
      <c r="E1156" s="13" t="s">
        <v>557</v>
      </c>
      <c r="F1156" s="13" t="s">
        <v>558</v>
      </c>
      <c r="G1156" s="13" t="s">
        <v>559</v>
      </c>
      <c r="K1156" t="s">
        <v>413</v>
      </c>
      <c r="L1156" s="81">
        <f>+Municipios!U53</f>
        <v>40.381747212354789</v>
      </c>
      <c r="M1156" s="13">
        <v>19001</v>
      </c>
      <c r="N1156" s="13" t="s">
        <v>556</v>
      </c>
      <c r="O1156" s="13" t="s">
        <v>557</v>
      </c>
      <c r="P1156" s="13" t="s">
        <v>558</v>
      </c>
      <c r="Q1156" s="13" t="s">
        <v>559</v>
      </c>
      <c r="T1156" t="s">
        <v>2804</v>
      </c>
      <c r="U1156" s="25">
        <f>+Municipios!P53</f>
        <v>57.845306476920427</v>
      </c>
      <c r="V1156" s="13">
        <v>19001</v>
      </c>
      <c r="W1156" s="13" t="s">
        <v>556</v>
      </c>
      <c r="X1156" s="13" t="s">
        <v>557</v>
      </c>
      <c r="Y1156" s="13" t="s">
        <v>558</v>
      </c>
      <c r="Z1156" s="13" t="s">
        <v>559</v>
      </c>
    </row>
    <row r="1157" spans="1:26">
      <c r="A1157" t="s">
        <v>412</v>
      </c>
      <c r="B1157" s="25">
        <f>+Municipios!P54</f>
        <v>63.646363052825699</v>
      </c>
      <c r="C1157" s="13">
        <v>17174</v>
      </c>
      <c r="D1157" s="13" t="s">
        <v>560</v>
      </c>
      <c r="E1157" s="13" t="s">
        <v>506</v>
      </c>
      <c r="F1157" s="13" t="s">
        <v>507</v>
      </c>
      <c r="G1157" s="13" t="s">
        <v>561</v>
      </c>
      <c r="K1157" t="s">
        <v>413</v>
      </c>
      <c r="L1157" s="81">
        <f>+Municipios!U54</f>
        <v>43.761010079787667</v>
      </c>
      <c r="M1157" s="13">
        <v>17174</v>
      </c>
      <c r="N1157" s="13" t="s">
        <v>560</v>
      </c>
      <c r="O1157" s="13" t="s">
        <v>506</v>
      </c>
      <c r="P1157" s="13" t="s">
        <v>507</v>
      </c>
      <c r="Q1157" s="13" t="s">
        <v>561</v>
      </c>
      <c r="T1157" t="s">
        <v>2804</v>
      </c>
      <c r="U1157" s="25">
        <f>+Municipios!P54</f>
        <v>63.646363052825699</v>
      </c>
      <c r="V1157" s="13">
        <v>17174</v>
      </c>
      <c r="W1157" s="13" t="s">
        <v>560</v>
      </c>
      <c r="X1157" s="13" t="s">
        <v>506</v>
      </c>
      <c r="Y1157" s="13" t="s">
        <v>507</v>
      </c>
      <c r="Z1157" s="13" t="s">
        <v>561</v>
      </c>
    </row>
    <row r="1158" spans="1:26">
      <c r="A1158" t="s">
        <v>412</v>
      </c>
      <c r="B1158" s="25">
        <f>+Municipios!P55</f>
        <v>64.044082074638041</v>
      </c>
      <c r="C1158" s="13">
        <v>68077</v>
      </c>
      <c r="D1158" s="13" t="s">
        <v>562</v>
      </c>
      <c r="E1158" s="13" t="s">
        <v>431</v>
      </c>
      <c r="F1158" s="13" t="s">
        <v>432</v>
      </c>
      <c r="G1158" s="13" t="s">
        <v>563</v>
      </c>
      <c r="K1158" t="s">
        <v>413</v>
      </c>
      <c r="L1158" s="81">
        <f>+Municipios!U55</f>
        <v>44.565363035499431</v>
      </c>
      <c r="M1158" s="13">
        <v>68077</v>
      </c>
      <c r="N1158" s="13" t="s">
        <v>562</v>
      </c>
      <c r="O1158" s="13" t="s">
        <v>431</v>
      </c>
      <c r="P1158" s="13" t="s">
        <v>432</v>
      </c>
      <c r="Q1158" s="13" t="s">
        <v>563</v>
      </c>
      <c r="T1158" t="s">
        <v>2804</v>
      </c>
      <c r="U1158" s="25">
        <f>+Municipios!P55</f>
        <v>64.044082074638041</v>
      </c>
      <c r="V1158" s="13">
        <v>68077</v>
      </c>
      <c r="W1158" s="13" t="s">
        <v>562</v>
      </c>
      <c r="X1158" s="13" t="s">
        <v>431</v>
      </c>
      <c r="Y1158" s="13" t="s">
        <v>432</v>
      </c>
      <c r="Z1158" s="13" t="s">
        <v>563</v>
      </c>
    </row>
    <row r="1159" spans="1:26">
      <c r="A1159" t="s">
        <v>412</v>
      </c>
      <c r="B1159" s="25">
        <f>+Municipios!P56</f>
        <v>69.039614064408298</v>
      </c>
      <c r="C1159" s="13">
        <v>54001</v>
      </c>
      <c r="D1159" s="13" t="s">
        <v>564</v>
      </c>
      <c r="E1159" s="13" t="s">
        <v>517</v>
      </c>
      <c r="F1159" s="13" t="s">
        <v>518</v>
      </c>
      <c r="G1159" s="13" t="s">
        <v>565</v>
      </c>
      <c r="K1159" t="s">
        <v>413</v>
      </c>
      <c r="L1159" s="81">
        <f>+Municipios!U56</f>
        <v>47.999792065406979</v>
      </c>
      <c r="M1159" s="13">
        <v>54001</v>
      </c>
      <c r="N1159" s="13" t="s">
        <v>564</v>
      </c>
      <c r="O1159" s="13" t="s">
        <v>517</v>
      </c>
      <c r="P1159" s="13" t="s">
        <v>518</v>
      </c>
      <c r="Q1159" s="13" t="s">
        <v>565</v>
      </c>
      <c r="T1159" t="s">
        <v>2804</v>
      </c>
      <c r="U1159" s="25">
        <f>+Municipios!P56</f>
        <v>69.039614064408298</v>
      </c>
      <c r="V1159" s="13">
        <v>54001</v>
      </c>
      <c r="W1159" s="13" t="s">
        <v>564</v>
      </c>
      <c r="X1159" s="13" t="s">
        <v>517</v>
      </c>
      <c r="Y1159" s="13" t="s">
        <v>518</v>
      </c>
      <c r="Z1159" s="13" t="s">
        <v>565</v>
      </c>
    </row>
    <row r="1160" spans="1:26">
      <c r="A1160" t="s">
        <v>412</v>
      </c>
      <c r="B1160" s="25">
        <f>+Municipios!P57</f>
        <v>51.205069701420626</v>
      </c>
      <c r="C1160" s="13">
        <v>23815</v>
      </c>
      <c r="D1160" s="13" t="s">
        <v>566</v>
      </c>
      <c r="E1160" s="13" t="s">
        <v>567</v>
      </c>
      <c r="F1160" s="13" t="s">
        <v>568</v>
      </c>
      <c r="G1160" s="13" t="s">
        <v>569</v>
      </c>
      <c r="K1160" t="s">
        <v>413</v>
      </c>
      <c r="L1160" s="81">
        <f>+Municipios!U57</f>
        <v>35.837677028118087</v>
      </c>
      <c r="M1160" s="13">
        <v>23815</v>
      </c>
      <c r="N1160" s="13" t="s">
        <v>566</v>
      </c>
      <c r="O1160" s="13" t="s">
        <v>567</v>
      </c>
      <c r="P1160" s="13" t="s">
        <v>568</v>
      </c>
      <c r="Q1160" s="13" t="s">
        <v>569</v>
      </c>
      <c r="T1160" t="s">
        <v>2804</v>
      </c>
      <c r="U1160" s="25">
        <f>+Municipios!P57</f>
        <v>51.205069701420626</v>
      </c>
      <c r="V1160" s="13">
        <v>23815</v>
      </c>
      <c r="W1160" s="13" t="s">
        <v>566</v>
      </c>
      <c r="X1160" s="13" t="s">
        <v>567</v>
      </c>
      <c r="Y1160" s="13" t="s">
        <v>568</v>
      </c>
      <c r="Z1160" s="13" t="s">
        <v>569</v>
      </c>
    </row>
    <row r="1161" spans="1:26">
      <c r="A1161" t="s">
        <v>412</v>
      </c>
      <c r="B1161" s="25">
        <f>+Municipios!P58</f>
        <v>57.799402468221118</v>
      </c>
      <c r="C1161" s="13">
        <v>5030</v>
      </c>
      <c r="D1161" s="13" t="s">
        <v>570</v>
      </c>
      <c r="E1161" s="13" t="s">
        <v>435</v>
      </c>
      <c r="F1161" s="13" t="s">
        <v>436</v>
      </c>
      <c r="G1161" s="13" t="s">
        <v>571</v>
      </c>
      <c r="K1161" t="s">
        <v>413</v>
      </c>
      <c r="L1161" s="81">
        <f>+Municipios!U58</f>
        <v>40.625962820625574</v>
      </c>
      <c r="M1161" s="13">
        <v>5030</v>
      </c>
      <c r="N1161" s="13" t="s">
        <v>570</v>
      </c>
      <c r="O1161" s="13" t="s">
        <v>435</v>
      </c>
      <c r="P1161" s="13" t="s">
        <v>436</v>
      </c>
      <c r="Q1161" s="13" t="s">
        <v>571</v>
      </c>
      <c r="T1161" t="s">
        <v>2804</v>
      </c>
      <c r="U1161" s="25">
        <f>+Municipios!P58</f>
        <v>57.799402468221118</v>
      </c>
      <c r="V1161" s="13">
        <v>5030</v>
      </c>
      <c r="W1161" s="13" t="s">
        <v>570</v>
      </c>
      <c r="X1161" s="13" t="s">
        <v>435</v>
      </c>
      <c r="Y1161" s="13" t="s">
        <v>436</v>
      </c>
      <c r="Z1161" s="13" t="s">
        <v>571</v>
      </c>
    </row>
    <row r="1162" spans="1:26">
      <c r="A1162" t="s">
        <v>412</v>
      </c>
      <c r="B1162" s="25">
        <f>+Municipios!P59</f>
        <v>71.866798580586078</v>
      </c>
      <c r="C1162" s="13">
        <v>5697</v>
      </c>
      <c r="D1162" s="13" t="s">
        <v>572</v>
      </c>
      <c r="E1162" s="13" t="s">
        <v>435</v>
      </c>
      <c r="F1162" s="13" t="s">
        <v>436</v>
      </c>
      <c r="G1162" s="13" t="s">
        <v>573</v>
      </c>
      <c r="K1162" t="s">
        <v>413</v>
      </c>
      <c r="L1162" s="81">
        <f>+Municipios!U59</f>
        <v>50.131591880108004</v>
      </c>
      <c r="M1162" s="13">
        <v>5697</v>
      </c>
      <c r="N1162" s="13" t="s">
        <v>572</v>
      </c>
      <c r="O1162" s="13" t="s">
        <v>435</v>
      </c>
      <c r="P1162" s="13" t="s">
        <v>436</v>
      </c>
      <c r="Q1162" s="13" t="s">
        <v>573</v>
      </c>
      <c r="T1162" t="s">
        <v>2804</v>
      </c>
      <c r="U1162" s="25">
        <f>+Municipios!P59</f>
        <v>71.866798580586078</v>
      </c>
      <c r="V1162" s="13">
        <v>5697</v>
      </c>
      <c r="W1162" s="13" t="s">
        <v>572</v>
      </c>
      <c r="X1162" s="13" t="s">
        <v>435</v>
      </c>
      <c r="Y1162" s="13" t="s">
        <v>436</v>
      </c>
      <c r="Z1162" s="13" t="s">
        <v>573</v>
      </c>
    </row>
    <row r="1163" spans="1:26">
      <c r="A1163" t="s">
        <v>412</v>
      </c>
      <c r="B1163" s="25">
        <f>+Municipios!P60</f>
        <v>68.79768488800552</v>
      </c>
      <c r="C1163" s="13">
        <v>76520</v>
      </c>
      <c r="D1163" s="13" t="s">
        <v>574</v>
      </c>
      <c r="E1163" s="13" t="s">
        <v>454</v>
      </c>
      <c r="F1163" s="13" t="s">
        <v>455</v>
      </c>
      <c r="G1163" s="13" t="s">
        <v>575</v>
      </c>
      <c r="K1163" t="s">
        <v>413</v>
      </c>
      <c r="L1163" s="81">
        <f>+Municipios!U60</f>
        <v>47.249217870277647</v>
      </c>
      <c r="M1163" s="13">
        <v>76520</v>
      </c>
      <c r="N1163" s="13" t="s">
        <v>574</v>
      </c>
      <c r="O1163" s="13" t="s">
        <v>454</v>
      </c>
      <c r="P1163" s="13" t="s">
        <v>455</v>
      </c>
      <c r="Q1163" s="13" t="s">
        <v>575</v>
      </c>
      <c r="T1163" t="s">
        <v>2804</v>
      </c>
      <c r="U1163" s="25">
        <f>+Municipios!P60</f>
        <v>68.79768488800552</v>
      </c>
      <c r="V1163" s="13">
        <v>76520</v>
      </c>
      <c r="W1163" s="13" t="s">
        <v>574</v>
      </c>
      <c r="X1163" s="13" t="s">
        <v>454</v>
      </c>
      <c r="Y1163" s="13" t="s">
        <v>455</v>
      </c>
      <c r="Z1163" s="13" t="s">
        <v>575</v>
      </c>
    </row>
    <row r="1164" spans="1:26">
      <c r="A1164" t="s">
        <v>412</v>
      </c>
      <c r="B1164" s="25">
        <f>+Municipios!P61</f>
        <v>73.172351895080709</v>
      </c>
      <c r="C1164" s="13">
        <v>15759</v>
      </c>
      <c r="D1164" s="13" t="s">
        <v>576</v>
      </c>
      <c r="E1164" s="13" t="s">
        <v>498</v>
      </c>
      <c r="F1164" s="13" t="s">
        <v>499</v>
      </c>
      <c r="G1164" s="13" t="s">
        <v>577</v>
      </c>
      <c r="K1164" t="s">
        <v>413</v>
      </c>
      <c r="L1164" s="81">
        <f>+Municipios!U61</f>
        <v>49.909940789290786</v>
      </c>
      <c r="M1164" s="13">
        <v>15759</v>
      </c>
      <c r="N1164" s="13" t="s">
        <v>576</v>
      </c>
      <c r="O1164" s="13" t="s">
        <v>498</v>
      </c>
      <c r="P1164" s="13" t="s">
        <v>499</v>
      </c>
      <c r="Q1164" s="13" t="s">
        <v>577</v>
      </c>
      <c r="T1164" t="s">
        <v>2804</v>
      </c>
      <c r="U1164" s="25">
        <f>+Municipios!P61</f>
        <v>73.172351895080709</v>
      </c>
      <c r="V1164" s="13">
        <v>15759</v>
      </c>
      <c r="W1164" s="13" t="s">
        <v>576</v>
      </c>
      <c r="X1164" s="13" t="s">
        <v>498</v>
      </c>
      <c r="Y1164" s="13" t="s">
        <v>499</v>
      </c>
      <c r="Z1164" s="13" t="s">
        <v>577</v>
      </c>
    </row>
    <row r="1165" spans="1:26">
      <c r="A1165" t="s">
        <v>412</v>
      </c>
      <c r="B1165" s="25">
        <f>+Municipios!P62</f>
        <v>63.189146869708189</v>
      </c>
      <c r="C1165" s="13">
        <v>19573</v>
      </c>
      <c r="D1165" s="13" t="s">
        <v>578</v>
      </c>
      <c r="E1165" s="13" t="s">
        <v>557</v>
      </c>
      <c r="F1165" s="13" t="s">
        <v>558</v>
      </c>
      <c r="G1165" s="13" t="s">
        <v>579</v>
      </c>
      <c r="K1165" t="s">
        <v>413</v>
      </c>
      <c r="L1165" s="81">
        <f>+Municipios!U62</f>
        <v>42.770575128004886</v>
      </c>
      <c r="M1165" s="13">
        <v>19573</v>
      </c>
      <c r="N1165" s="13" t="s">
        <v>578</v>
      </c>
      <c r="O1165" s="13" t="s">
        <v>557</v>
      </c>
      <c r="P1165" s="13" t="s">
        <v>558</v>
      </c>
      <c r="Q1165" s="13" t="s">
        <v>579</v>
      </c>
      <c r="T1165" t="s">
        <v>2804</v>
      </c>
      <c r="U1165" s="25">
        <f>+Municipios!P62</f>
        <v>63.189146869708189</v>
      </c>
      <c r="V1165" s="13">
        <v>19573</v>
      </c>
      <c r="W1165" s="13" t="s">
        <v>578</v>
      </c>
      <c r="X1165" s="13" t="s">
        <v>557</v>
      </c>
      <c r="Y1165" s="13" t="s">
        <v>558</v>
      </c>
      <c r="Z1165" s="13" t="s">
        <v>579</v>
      </c>
    </row>
    <row r="1166" spans="1:26">
      <c r="A1166" t="s">
        <v>412</v>
      </c>
      <c r="B1166" s="25">
        <f>+Municipios!P63</f>
        <v>61.463779914430773</v>
      </c>
      <c r="C1166" s="13">
        <v>8520</v>
      </c>
      <c r="D1166" s="13" t="s">
        <v>580</v>
      </c>
      <c r="E1166" s="13" t="s">
        <v>442</v>
      </c>
      <c r="F1166" s="13" t="s">
        <v>443</v>
      </c>
      <c r="G1166" s="13" t="s">
        <v>581</v>
      </c>
      <c r="K1166" t="s">
        <v>413</v>
      </c>
      <c r="L1166" s="81">
        <f>+Municipios!U63</f>
        <v>42.213513421410731</v>
      </c>
      <c r="M1166" s="13">
        <v>8520</v>
      </c>
      <c r="N1166" s="13" t="s">
        <v>580</v>
      </c>
      <c r="O1166" s="13" t="s">
        <v>442</v>
      </c>
      <c r="P1166" s="13" t="s">
        <v>443</v>
      </c>
      <c r="Q1166" s="13" t="s">
        <v>581</v>
      </c>
      <c r="T1166" t="s">
        <v>2804</v>
      </c>
      <c r="U1166" s="25">
        <f>+Municipios!P63</f>
        <v>61.463779914430773</v>
      </c>
      <c r="V1166" s="13">
        <v>8520</v>
      </c>
      <c r="W1166" s="13" t="s">
        <v>580</v>
      </c>
      <c r="X1166" s="13" t="s">
        <v>442</v>
      </c>
      <c r="Y1166" s="13" t="s">
        <v>443</v>
      </c>
      <c r="Z1166" s="13" t="s">
        <v>581</v>
      </c>
    </row>
    <row r="1167" spans="1:26">
      <c r="A1167" t="s">
        <v>412</v>
      </c>
      <c r="B1167" s="25">
        <f>+Municipios!P64</f>
        <v>77.94503951495021</v>
      </c>
      <c r="C1167" s="13">
        <v>25843</v>
      </c>
      <c r="D1167" s="13" t="s">
        <v>582</v>
      </c>
      <c r="E1167" s="13" t="s">
        <v>461</v>
      </c>
      <c r="F1167" s="13" t="s">
        <v>462</v>
      </c>
      <c r="G1167" s="13" t="s">
        <v>583</v>
      </c>
      <c r="K1167" t="s">
        <v>413</v>
      </c>
      <c r="L1167" s="81">
        <f>+Municipios!U64</f>
        <v>52.23789659093115</v>
      </c>
      <c r="M1167" s="13">
        <v>25843</v>
      </c>
      <c r="N1167" s="13" t="s">
        <v>582</v>
      </c>
      <c r="O1167" s="13" t="s">
        <v>461</v>
      </c>
      <c r="P1167" s="13" t="s">
        <v>462</v>
      </c>
      <c r="Q1167" s="13" t="s">
        <v>583</v>
      </c>
      <c r="T1167" t="s">
        <v>2804</v>
      </c>
      <c r="U1167" s="25">
        <f>+Municipios!P64</f>
        <v>77.94503951495021</v>
      </c>
      <c r="V1167" s="13">
        <v>25843</v>
      </c>
      <c r="W1167" s="13" t="s">
        <v>582</v>
      </c>
      <c r="X1167" s="13" t="s">
        <v>461</v>
      </c>
      <c r="Y1167" s="13" t="s">
        <v>462</v>
      </c>
      <c r="Z1167" s="13" t="s">
        <v>583</v>
      </c>
    </row>
    <row r="1168" spans="1:26">
      <c r="A1168" t="s">
        <v>412</v>
      </c>
      <c r="B1168" s="25">
        <f>+Municipios!P65</f>
        <v>59.34444054639895</v>
      </c>
      <c r="C1168" s="13">
        <v>23162</v>
      </c>
      <c r="D1168" s="13" t="s">
        <v>584</v>
      </c>
      <c r="E1168" s="13" t="s">
        <v>567</v>
      </c>
      <c r="F1168" s="13" t="s">
        <v>568</v>
      </c>
      <c r="G1168" s="13" t="s">
        <v>585</v>
      </c>
      <c r="K1168" t="s">
        <v>413</v>
      </c>
      <c r="L1168" s="81">
        <f>+Municipios!U65</f>
        <v>40.55277522856246</v>
      </c>
      <c r="M1168" s="13">
        <v>23162</v>
      </c>
      <c r="N1168" s="13" t="s">
        <v>584</v>
      </c>
      <c r="O1168" s="13" t="s">
        <v>567</v>
      </c>
      <c r="P1168" s="13" t="s">
        <v>568</v>
      </c>
      <c r="Q1168" s="13" t="s">
        <v>585</v>
      </c>
      <c r="T1168" t="s">
        <v>2804</v>
      </c>
      <c r="U1168" s="25">
        <f>+Municipios!P65</f>
        <v>59.34444054639895</v>
      </c>
      <c r="V1168" s="13">
        <v>23162</v>
      </c>
      <c r="W1168" s="13" t="s">
        <v>584</v>
      </c>
      <c r="X1168" s="13" t="s">
        <v>567</v>
      </c>
      <c r="Y1168" s="13" t="s">
        <v>568</v>
      </c>
      <c r="Z1168" s="13" t="s">
        <v>585</v>
      </c>
    </row>
    <row r="1169" spans="1:26">
      <c r="A1169" t="s">
        <v>412</v>
      </c>
      <c r="B1169" s="25">
        <f>+Municipios!P66</f>
        <v>63.999440161951341</v>
      </c>
      <c r="C1169" s="13">
        <v>25295</v>
      </c>
      <c r="D1169" s="13" t="s">
        <v>586</v>
      </c>
      <c r="E1169" s="13" t="s">
        <v>461</v>
      </c>
      <c r="F1169" s="13" t="s">
        <v>462</v>
      </c>
      <c r="G1169" s="13" t="s">
        <v>587</v>
      </c>
      <c r="K1169" t="s">
        <v>413</v>
      </c>
      <c r="L1169" s="81">
        <f>+Municipios!U66</f>
        <v>43.37894208167846</v>
      </c>
      <c r="M1169" s="13">
        <v>25295</v>
      </c>
      <c r="N1169" s="13" t="s">
        <v>586</v>
      </c>
      <c r="O1169" s="13" t="s">
        <v>461</v>
      </c>
      <c r="P1169" s="13" t="s">
        <v>462</v>
      </c>
      <c r="Q1169" s="13" t="s">
        <v>587</v>
      </c>
      <c r="T1169" t="s">
        <v>2804</v>
      </c>
      <c r="U1169" s="25">
        <f>+Municipios!P66</f>
        <v>63.999440161951341</v>
      </c>
      <c r="V1169" s="13">
        <v>25295</v>
      </c>
      <c r="W1169" s="13" t="s">
        <v>586</v>
      </c>
      <c r="X1169" s="13" t="s">
        <v>461</v>
      </c>
      <c r="Y1169" s="13" t="s">
        <v>462</v>
      </c>
      <c r="Z1169" s="13" t="s">
        <v>587</v>
      </c>
    </row>
    <row r="1170" spans="1:26">
      <c r="A1170" t="s">
        <v>412</v>
      </c>
      <c r="B1170" s="25">
        <f>+Municipios!P67</f>
        <v>55.628801227021654</v>
      </c>
      <c r="C1170" s="13">
        <v>63401</v>
      </c>
      <c r="D1170" s="13" t="s">
        <v>588</v>
      </c>
      <c r="E1170" s="13" t="s">
        <v>473</v>
      </c>
      <c r="F1170" s="13" t="s">
        <v>474</v>
      </c>
      <c r="G1170" s="13" t="s">
        <v>589</v>
      </c>
      <c r="K1170" t="s">
        <v>413</v>
      </c>
      <c r="L1170" s="81">
        <f>+Municipios!U67</f>
        <v>37.417205125788584</v>
      </c>
      <c r="M1170" s="13">
        <v>63401</v>
      </c>
      <c r="N1170" s="13" t="s">
        <v>588</v>
      </c>
      <c r="O1170" s="13" t="s">
        <v>473</v>
      </c>
      <c r="P1170" s="13" t="s">
        <v>474</v>
      </c>
      <c r="Q1170" s="13" t="s">
        <v>589</v>
      </c>
      <c r="T1170" t="s">
        <v>2804</v>
      </c>
      <c r="U1170" s="25">
        <f>+Municipios!P67</f>
        <v>55.628801227021654</v>
      </c>
      <c r="V1170" s="13">
        <v>63401</v>
      </c>
      <c r="W1170" s="13" t="s">
        <v>588</v>
      </c>
      <c r="X1170" s="13" t="s">
        <v>473</v>
      </c>
      <c r="Y1170" s="13" t="s">
        <v>474</v>
      </c>
      <c r="Z1170" s="13" t="s">
        <v>589</v>
      </c>
    </row>
    <row r="1171" spans="1:26">
      <c r="A1171" t="s">
        <v>412</v>
      </c>
      <c r="B1171" s="25">
        <f>+Municipios!P68</f>
        <v>66.162322588139034</v>
      </c>
      <c r="C1171" s="13">
        <v>68547</v>
      </c>
      <c r="D1171" s="13" t="s">
        <v>590</v>
      </c>
      <c r="E1171" s="13" t="s">
        <v>431</v>
      </c>
      <c r="F1171" s="13" t="s">
        <v>432</v>
      </c>
      <c r="G1171" s="13" t="s">
        <v>591</v>
      </c>
      <c r="K1171" t="s">
        <v>413</v>
      </c>
      <c r="L1171" s="81">
        <f>+Municipios!U68</f>
        <v>44.815056577368352</v>
      </c>
      <c r="M1171" s="13">
        <v>68547</v>
      </c>
      <c r="N1171" s="13" t="s">
        <v>590</v>
      </c>
      <c r="O1171" s="13" t="s">
        <v>431</v>
      </c>
      <c r="P1171" s="13" t="s">
        <v>432</v>
      </c>
      <c r="Q1171" s="13" t="s">
        <v>591</v>
      </c>
      <c r="T1171" t="s">
        <v>2804</v>
      </c>
      <c r="U1171" s="25">
        <f>+Municipios!P68</f>
        <v>66.162322588139034</v>
      </c>
      <c r="V1171" s="13">
        <v>68547</v>
      </c>
      <c r="W1171" s="13" t="s">
        <v>590</v>
      </c>
      <c r="X1171" s="13" t="s">
        <v>431</v>
      </c>
      <c r="Y1171" s="13" t="s">
        <v>432</v>
      </c>
      <c r="Z1171" s="13" t="s">
        <v>591</v>
      </c>
    </row>
    <row r="1172" spans="1:26">
      <c r="A1172" t="s">
        <v>412</v>
      </c>
      <c r="B1172" s="25">
        <f>+Municipios!P69</f>
        <v>56.849975414030368</v>
      </c>
      <c r="C1172" s="13">
        <v>15238</v>
      </c>
      <c r="D1172" s="13" t="s">
        <v>592</v>
      </c>
      <c r="E1172" s="13" t="s">
        <v>498</v>
      </c>
      <c r="F1172" s="13" t="s">
        <v>499</v>
      </c>
      <c r="G1172" s="13" t="s">
        <v>593</v>
      </c>
      <c r="K1172" t="s">
        <v>413</v>
      </c>
      <c r="L1172" s="81">
        <f>+Municipios!U69</f>
        <v>38.371757895203238</v>
      </c>
      <c r="M1172" s="13">
        <v>15238</v>
      </c>
      <c r="N1172" s="13" t="s">
        <v>592</v>
      </c>
      <c r="O1172" s="13" t="s">
        <v>498</v>
      </c>
      <c r="P1172" s="13" t="s">
        <v>499</v>
      </c>
      <c r="Q1172" s="13" t="s">
        <v>593</v>
      </c>
      <c r="T1172" t="s">
        <v>2804</v>
      </c>
      <c r="U1172" s="25">
        <f>+Municipios!P69</f>
        <v>56.849975414030368</v>
      </c>
      <c r="V1172" s="13">
        <v>15238</v>
      </c>
      <c r="W1172" s="13" t="s">
        <v>592</v>
      </c>
      <c r="X1172" s="13" t="s">
        <v>498</v>
      </c>
      <c r="Y1172" s="13" t="s">
        <v>499</v>
      </c>
      <c r="Z1172" s="13" t="s">
        <v>593</v>
      </c>
    </row>
    <row r="1173" spans="1:26">
      <c r="A1173" t="s">
        <v>412</v>
      </c>
      <c r="B1173" s="25">
        <f>+Municipios!P70</f>
        <v>71.55969949834666</v>
      </c>
      <c r="C1173" s="13">
        <v>73001</v>
      </c>
      <c r="D1173" s="13" t="s">
        <v>594</v>
      </c>
      <c r="E1173" s="13" t="s">
        <v>595</v>
      </c>
      <c r="F1173" s="13" t="s">
        <v>596</v>
      </c>
      <c r="G1173" s="13" t="s">
        <v>597</v>
      </c>
      <c r="K1173" t="s">
        <v>413</v>
      </c>
      <c r="L1173" s="81">
        <f>+Municipios!U70</f>
        <v>48.239329198615735</v>
      </c>
      <c r="M1173" s="13">
        <v>73001</v>
      </c>
      <c r="N1173" s="13" t="s">
        <v>594</v>
      </c>
      <c r="O1173" s="13" t="s">
        <v>595</v>
      </c>
      <c r="P1173" s="13" t="s">
        <v>596</v>
      </c>
      <c r="Q1173" s="13" t="s">
        <v>597</v>
      </c>
      <c r="T1173" t="s">
        <v>2804</v>
      </c>
      <c r="U1173" s="25">
        <f>+Municipios!P70</f>
        <v>71.55969949834666</v>
      </c>
      <c r="V1173" s="13">
        <v>73001</v>
      </c>
      <c r="W1173" s="13" t="s">
        <v>594</v>
      </c>
      <c r="X1173" s="13" t="s">
        <v>595</v>
      </c>
      <c r="Y1173" s="13" t="s">
        <v>596</v>
      </c>
      <c r="Z1173" s="13" t="s">
        <v>597</v>
      </c>
    </row>
    <row r="1174" spans="1:26">
      <c r="A1174" t="s">
        <v>412</v>
      </c>
      <c r="B1174" s="25">
        <f>+Municipios!P71</f>
        <v>67.772179306815246</v>
      </c>
      <c r="C1174" s="13">
        <v>70221</v>
      </c>
      <c r="D1174" s="13" t="s">
        <v>598</v>
      </c>
      <c r="E1174" s="13" t="s">
        <v>494</v>
      </c>
      <c r="F1174" s="13" t="s">
        <v>495</v>
      </c>
      <c r="G1174" s="13" t="s">
        <v>599</v>
      </c>
      <c r="K1174" t="s">
        <v>413</v>
      </c>
      <c r="L1174" s="81">
        <f>+Municipios!U71</f>
        <v>45.970507628806871</v>
      </c>
      <c r="M1174" s="13">
        <v>70221</v>
      </c>
      <c r="N1174" s="13" t="s">
        <v>598</v>
      </c>
      <c r="O1174" s="13" t="s">
        <v>494</v>
      </c>
      <c r="P1174" s="13" t="s">
        <v>495</v>
      </c>
      <c r="Q1174" s="13" t="s">
        <v>599</v>
      </c>
      <c r="T1174" t="s">
        <v>2804</v>
      </c>
      <c r="U1174" s="25">
        <f>+Municipios!P71</f>
        <v>67.772179306815246</v>
      </c>
      <c r="V1174" s="13">
        <v>70221</v>
      </c>
      <c r="W1174" s="13" t="s">
        <v>598</v>
      </c>
      <c r="X1174" s="13" t="s">
        <v>494</v>
      </c>
      <c r="Y1174" s="13" t="s">
        <v>495</v>
      </c>
      <c r="Z1174" s="13" t="s">
        <v>599</v>
      </c>
    </row>
    <row r="1175" spans="1:26">
      <c r="A1175" t="s">
        <v>412</v>
      </c>
      <c r="B1175" s="25">
        <f>+Municipios!P72</f>
        <v>61.048087345516514</v>
      </c>
      <c r="C1175" s="13">
        <v>68307</v>
      </c>
      <c r="D1175" s="13" t="s">
        <v>600</v>
      </c>
      <c r="E1175" s="13" t="s">
        <v>431</v>
      </c>
      <c r="F1175" s="13" t="s">
        <v>432</v>
      </c>
      <c r="G1175" s="13" t="s">
        <v>601</v>
      </c>
      <c r="K1175" t="s">
        <v>413</v>
      </c>
      <c r="L1175" s="81">
        <f>+Municipios!U72</f>
        <v>41.084596404460193</v>
      </c>
      <c r="M1175" s="13">
        <v>68307</v>
      </c>
      <c r="N1175" s="13" t="s">
        <v>600</v>
      </c>
      <c r="O1175" s="13" t="s">
        <v>431</v>
      </c>
      <c r="P1175" s="13" t="s">
        <v>432</v>
      </c>
      <c r="Q1175" s="13" t="s">
        <v>601</v>
      </c>
      <c r="T1175" t="s">
        <v>2804</v>
      </c>
      <c r="U1175" s="25">
        <f>+Municipios!P72</f>
        <v>61.048087345516514</v>
      </c>
      <c r="V1175" s="13">
        <v>68307</v>
      </c>
      <c r="W1175" s="13" t="s">
        <v>600</v>
      </c>
      <c r="X1175" s="13" t="s">
        <v>431</v>
      </c>
      <c r="Y1175" s="13" t="s">
        <v>432</v>
      </c>
      <c r="Z1175" s="13" t="s">
        <v>601</v>
      </c>
    </row>
    <row r="1176" spans="1:26">
      <c r="A1176" t="s">
        <v>412</v>
      </c>
      <c r="B1176" s="25">
        <f>+Municipios!P73</f>
        <v>55.599283128100623</v>
      </c>
      <c r="C1176" s="13">
        <v>63130</v>
      </c>
      <c r="D1176" s="13" t="s">
        <v>602</v>
      </c>
      <c r="E1176" s="13" t="s">
        <v>473</v>
      </c>
      <c r="F1176" s="13" t="s">
        <v>474</v>
      </c>
      <c r="G1176" s="13" t="s">
        <v>603</v>
      </c>
      <c r="K1176" t="s">
        <v>413</v>
      </c>
      <c r="L1176" s="81">
        <f>+Municipios!U73</f>
        <v>36.9532513183714</v>
      </c>
      <c r="M1176" s="13">
        <v>63130</v>
      </c>
      <c r="N1176" s="13" t="s">
        <v>602</v>
      </c>
      <c r="O1176" s="13" t="s">
        <v>473</v>
      </c>
      <c r="P1176" s="13" t="s">
        <v>474</v>
      </c>
      <c r="Q1176" s="13" t="s">
        <v>603</v>
      </c>
      <c r="T1176" t="s">
        <v>2804</v>
      </c>
      <c r="U1176" s="25">
        <f>+Municipios!P73</f>
        <v>55.599283128100623</v>
      </c>
      <c r="V1176" s="13">
        <v>63130</v>
      </c>
      <c r="W1176" s="13" t="s">
        <v>602</v>
      </c>
      <c r="X1176" s="13" t="s">
        <v>473</v>
      </c>
      <c r="Y1176" s="13" t="s">
        <v>474</v>
      </c>
      <c r="Z1176" s="13" t="s">
        <v>603</v>
      </c>
    </row>
    <row r="1177" spans="1:26">
      <c r="A1177" t="s">
        <v>412</v>
      </c>
      <c r="B1177" s="25">
        <f>+Municipios!P74</f>
        <v>64.581369327065417</v>
      </c>
      <c r="C1177" s="13">
        <v>50001</v>
      </c>
      <c r="D1177" s="13" t="s">
        <v>604</v>
      </c>
      <c r="E1177" s="13" t="s">
        <v>605</v>
      </c>
      <c r="F1177" s="13" t="s">
        <v>606</v>
      </c>
      <c r="G1177" s="13" t="s">
        <v>607</v>
      </c>
      <c r="K1177" t="s">
        <v>413</v>
      </c>
      <c r="L1177" s="81">
        <f>+Municipios!U74</f>
        <v>42.39653618175997</v>
      </c>
      <c r="M1177" s="13">
        <v>50001</v>
      </c>
      <c r="N1177" s="13" t="s">
        <v>604</v>
      </c>
      <c r="O1177" s="13" t="s">
        <v>605</v>
      </c>
      <c r="P1177" s="13" t="s">
        <v>606</v>
      </c>
      <c r="Q1177" s="13" t="s">
        <v>607</v>
      </c>
      <c r="T1177" t="s">
        <v>2804</v>
      </c>
      <c r="U1177" s="25">
        <f>+Municipios!P74</f>
        <v>64.581369327065417</v>
      </c>
      <c r="V1177" s="13">
        <v>50001</v>
      </c>
      <c r="W1177" s="13" t="s">
        <v>604</v>
      </c>
      <c r="X1177" s="13" t="s">
        <v>605</v>
      </c>
      <c r="Y1177" s="13" t="s">
        <v>606</v>
      </c>
      <c r="Z1177" s="13" t="s">
        <v>607</v>
      </c>
    </row>
    <row r="1178" spans="1:26">
      <c r="A1178" t="s">
        <v>412</v>
      </c>
      <c r="B1178" s="25">
        <f>+Municipios!P75</f>
        <v>69.372401011481003</v>
      </c>
      <c r="C1178" s="13">
        <v>76130</v>
      </c>
      <c r="D1178" s="13" t="s">
        <v>608</v>
      </c>
      <c r="E1178" s="13" t="s">
        <v>454</v>
      </c>
      <c r="F1178" s="13" t="s">
        <v>455</v>
      </c>
      <c r="G1178" s="13" t="s">
        <v>609</v>
      </c>
      <c r="K1178" t="s">
        <v>413</v>
      </c>
      <c r="L1178" s="81">
        <f>+Municipios!U75</f>
        <v>47.556115541048904</v>
      </c>
      <c r="M1178" s="13">
        <v>76130</v>
      </c>
      <c r="N1178" s="13" t="s">
        <v>608</v>
      </c>
      <c r="O1178" s="13" t="s">
        <v>454</v>
      </c>
      <c r="P1178" s="13" t="s">
        <v>455</v>
      </c>
      <c r="Q1178" s="13" t="s">
        <v>609</v>
      </c>
      <c r="T1178" t="s">
        <v>2804</v>
      </c>
      <c r="U1178" s="25">
        <f>+Municipios!P75</f>
        <v>69.372401011481003</v>
      </c>
      <c r="V1178" s="13">
        <v>76130</v>
      </c>
      <c r="W1178" s="13" t="s">
        <v>608</v>
      </c>
      <c r="X1178" s="13" t="s">
        <v>454</v>
      </c>
      <c r="Y1178" s="13" t="s">
        <v>455</v>
      </c>
      <c r="Z1178" s="13" t="s">
        <v>609</v>
      </c>
    </row>
    <row r="1179" spans="1:26">
      <c r="A1179" t="s">
        <v>412</v>
      </c>
      <c r="B1179" s="25">
        <f>+Municipios!P76</f>
        <v>63.795759049931654</v>
      </c>
      <c r="C1179" s="13">
        <v>63190</v>
      </c>
      <c r="D1179" s="13" t="s">
        <v>610</v>
      </c>
      <c r="E1179" s="13" t="s">
        <v>473</v>
      </c>
      <c r="F1179" s="13" t="s">
        <v>474</v>
      </c>
      <c r="G1179" s="13" t="s">
        <v>611</v>
      </c>
      <c r="K1179" t="s">
        <v>413</v>
      </c>
      <c r="L1179" s="81">
        <f>+Municipios!U76</f>
        <v>42.160785203989079</v>
      </c>
      <c r="M1179" s="13">
        <v>63190</v>
      </c>
      <c r="N1179" s="13" t="s">
        <v>610</v>
      </c>
      <c r="O1179" s="13" t="s">
        <v>473</v>
      </c>
      <c r="P1179" s="13" t="s">
        <v>474</v>
      </c>
      <c r="Q1179" s="13" t="s">
        <v>611</v>
      </c>
      <c r="T1179" t="s">
        <v>2804</v>
      </c>
      <c r="U1179" s="25">
        <f>+Municipios!P76</f>
        <v>63.795759049931654</v>
      </c>
      <c r="V1179" s="13">
        <v>63190</v>
      </c>
      <c r="W1179" s="13" t="s">
        <v>610</v>
      </c>
      <c r="X1179" s="13" t="s">
        <v>473</v>
      </c>
      <c r="Y1179" s="13" t="s">
        <v>474</v>
      </c>
      <c r="Z1179" s="13" t="s">
        <v>611</v>
      </c>
    </row>
    <row r="1180" spans="1:26">
      <c r="A1180" t="s">
        <v>412</v>
      </c>
      <c r="B1180" s="25">
        <f>+Municipios!P77</f>
        <v>70.434173880108133</v>
      </c>
      <c r="C1180" s="13">
        <v>68679</v>
      </c>
      <c r="D1180" s="13" t="s">
        <v>612</v>
      </c>
      <c r="E1180" s="13" t="s">
        <v>431</v>
      </c>
      <c r="F1180" s="13" t="s">
        <v>432</v>
      </c>
      <c r="G1180" s="13" t="s">
        <v>613</v>
      </c>
      <c r="K1180" t="s">
        <v>413</v>
      </c>
      <c r="L1180" s="81">
        <f>+Municipios!U77</f>
        <v>47.524553929870493</v>
      </c>
      <c r="M1180" s="13">
        <v>68679</v>
      </c>
      <c r="N1180" s="13" t="s">
        <v>612</v>
      </c>
      <c r="O1180" s="13" t="s">
        <v>431</v>
      </c>
      <c r="P1180" s="13" t="s">
        <v>432</v>
      </c>
      <c r="Q1180" s="13" t="s">
        <v>613</v>
      </c>
      <c r="T1180" t="s">
        <v>2804</v>
      </c>
      <c r="U1180" s="25">
        <f>+Municipios!P77</f>
        <v>70.434173880108133</v>
      </c>
      <c r="V1180" s="13">
        <v>68679</v>
      </c>
      <c r="W1180" s="13" t="s">
        <v>612</v>
      </c>
      <c r="X1180" s="13" t="s">
        <v>431</v>
      </c>
      <c r="Y1180" s="13" t="s">
        <v>432</v>
      </c>
      <c r="Z1180" s="13" t="s">
        <v>613</v>
      </c>
    </row>
    <row r="1181" spans="1:26">
      <c r="A1181" t="s">
        <v>412</v>
      </c>
      <c r="B1181" s="25">
        <f>+Municipios!P78</f>
        <v>69.929492670640556</v>
      </c>
      <c r="C1181" s="13">
        <v>25740</v>
      </c>
      <c r="D1181" s="13" t="s">
        <v>614</v>
      </c>
      <c r="E1181" s="13" t="s">
        <v>461</v>
      </c>
      <c r="F1181" s="13" t="s">
        <v>462</v>
      </c>
      <c r="G1181" s="13" t="s">
        <v>615</v>
      </c>
      <c r="K1181" t="s">
        <v>413</v>
      </c>
      <c r="L1181" s="81">
        <f>+Municipios!U78</f>
        <v>46.334198826490486</v>
      </c>
      <c r="M1181" s="13">
        <v>25740</v>
      </c>
      <c r="N1181" s="13" t="s">
        <v>614</v>
      </c>
      <c r="O1181" s="13" t="s">
        <v>461</v>
      </c>
      <c r="P1181" s="13" t="s">
        <v>462</v>
      </c>
      <c r="Q1181" s="13" t="s">
        <v>615</v>
      </c>
      <c r="T1181" t="s">
        <v>2804</v>
      </c>
      <c r="U1181" s="25">
        <f>+Municipios!P78</f>
        <v>69.929492670640556</v>
      </c>
      <c r="V1181" s="13">
        <v>25740</v>
      </c>
      <c r="W1181" s="13" t="s">
        <v>614</v>
      </c>
      <c r="X1181" s="13" t="s">
        <v>461</v>
      </c>
      <c r="Y1181" s="13" t="s">
        <v>462</v>
      </c>
      <c r="Z1181" s="13" t="s">
        <v>615</v>
      </c>
    </row>
    <row r="1182" spans="1:26">
      <c r="A1182" t="s">
        <v>412</v>
      </c>
      <c r="B1182" s="25">
        <f>+Municipios!P79</f>
        <v>59.399115392009207</v>
      </c>
      <c r="C1182" s="13">
        <v>73268</v>
      </c>
      <c r="D1182" s="13" t="s">
        <v>616</v>
      </c>
      <c r="E1182" s="13" t="s">
        <v>595</v>
      </c>
      <c r="F1182" s="13" t="s">
        <v>596</v>
      </c>
      <c r="G1182" s="13" t="s">
        <v>617</v>
      </c>
      <c r="K1182" t="s">
        <v>413</v>
      </c>
      <c r="L1182" s="81">
        <f>+Municipios!U79</f>
        <v>39.352635530011987</v>
      </c>
      <c r="M1182" s="13">
        <v>73268</v>
      </c>
      <c r="N1182" s="13" t="s">
        <v>616</v>
      </c>
      <c r="O1182" s="13" t="s">
        <v>595</v>
      </c>
      <c r="P1182" s="13" t="s">
        <v>596</v>
      </c>
      <c r="Q1182" s="13" t="s">
        <v>617</v>
      </c>
      <c r="T1182" t="s">
        <v>2804</v>
      </c>
      <c r="U1182" s="25">
        <f>+Municipios!P79</f>
        <v>59.399115392009207</v>
      </c>
      <c r="V1182" s="13">
        <v>73268</v>
      </c>
      <c r="W1182" s="13" t="s">
        <v>616</v>
      </c>
      <c r="X1182" s="13" t="s">
        <v>595</v>
      </c>
      <c r="Y1182" s="13" t="s">
        <v>596</v>
      </c>
      <c r="Z1182" s="13" t="s">
        <v>617</v>
      </c>
    </row>
    <row r="1183" spans="1:26">
      <c r="A1183" t="s">
        <v>412</v>
      </c>
      <c r="B1183" s="25">
        <f>+Municipios!P80</f>
        <v>54.643911069641135</v>
      </c>
      <c r="C1183" s="13">
        <v>5079</v>
      </c>
      <c r="D1183" s="13" t="s">
        <v>618</v>
      </c>
      <c r="E1183" s="13" t="s">
        <v>435</v>
      </c>
      <c r="F1183" s="13" t="s">
        <v>436</v>
      </c>
      <c r="G1183" s="13" t="s">
        <v>563</v>
      </c>
      <c r="K1183" t="s">
        <v>413</v>
      </c>
      <c r="L1183" s="81">
        <f>+Municipios!U80</f>
        <v>37.40441375915406</v>
      </c>
      <c r="M1183" s="13">
        <v>5079</v>
      </c>
      <c r="N1183" s="13" t="s">
        <v>618</v>
      </c>
      <c r="O1183" s="13" t="s">
        <v>435</v>
      </c>
      <c r="P1183" s="13" t="s">
        <v>436</v>
      </c>
      <c r="Q1183" s="13" t="s">
        <v>563</v>
      </c>
      <c r="T1183" t="s">
        <v>2804</v>
      </c>
      <c r="U1183" s="25">
        <f>+Municipios!P80</f>
        <v>54.643911069641135</v>
      </c>
      <c r="V1183" s="13">
        <v>5079</v>
      </c>
      <c r="W1183" s="13" t="s">
        <v>618</v>
      </c>
      <c r="X1183" s="13" t="s">
        <v>435</v>
      </c>
      <c r="Y1183" s="13" t="s">
        <v>436</v>
      </c>
      <c r="Z1183" s="13" t="s">
        <v>563</v>
      </c>
    </row>
    <row r="1184" spans="1:26">
      <c r="A1184" t="s">
        <v>412</v>
      </c>
      <c r="B1184" s="25">
        <f>+Municipios!P81</f>
        <v>68.664076753093838</v>
      </c>
      <c r="C1184" s="13">
        <v>76834</v>
      </c>
      <c r="D1184" s="13" t="s">
        <v>619</v>
      </c>
      <c r="E1184" s="13" t="s">
        <v>454</v>
      </c>
      <c r="F1184" s="13" t="s">
        <v>455</v>
      </c>
      <c r="G1184" s="13" t="s">
        <v>620</v>
      </c>
      <c r="K1184" t="s">
        <v>413</v>
      </c>
      <c r="L1184" s="81">
        <f>+Municipios!U81</f>
        <v>45.153746301946896</v>
      </c>
      <c r="M1184" s="13">
        <v>76834</v>
      </c>
      <c r="N1184" s="13" t="s">
        <v>619</v>
      </c>
      <c r="O1184" s="13" t="s">
        <v>454</v>
      </c>
      <c r="P1184" s="13" t="s">
        <v>455</v>
      </c>
      <c r="Q1184" s="13" t="s">
        <v>620</v>
      </c>
      <c r="T1184" t="s">
        <v>2804</v>
      </c>
      <c r="U1184" s="25">
        <f>+Municipios!P81</f>
        <v>68.664076753093838</v>
      </c>
      <c r="V1184" s="13">
        <v>76834</v>
      </c>
      <c r="W1184" s="13" t="s">
        <v>619</v>
      </c>
      <c r="X1184" s="13" t="s">
        <v>454</v>
      </c>
      <c r="Y1184" s="13" t="s">
        <v>455</v>
      </c>
      <c r="Z1184" s="13" t="s">
        <v>620</v>
      </c>
    </row>
    <row r="1185" spans="1:26">
      <c r="A1185" t="s">
        <v>412</v>
      </c>
      <c r="B1185" s="25">
        <f>+Municipios!P82</f>
        <v>51.38089649494087</v>
      </c>
      <c r="C1185" s="13">
        <v>8770</v>
      </c>
      <c r="D1185" s="13" t="s">
        <v>621</v>
      </c>
      <c r="E1185" s="13" t="s">
        <v>442</v>
      </c>
      <c r="F1185" s="13" t="s">
        <v>443</v>
      </c>
      <c r="G1185" s="13" t="s">
        <v>622</v>
      </c>
      <c r="K1185" t="s">
        <v>413</v>
      </c>
      <c r="L1185" s="81">
        <f>+Municipios!U82</f>
        <v>34.351513089348259</v>
      </c>
      <c r="M1185" s="13">
        <v>8770</v>
      </c>
      <c r="N1185" s="13" t="s">
        <v>621</v>
      </c>
      <c r="O1185" s="13" t="s">
        <v>442</v>
      </c>
      <c r="P1185" s="13" t="s">
        <v>443</v>
      </c>
      <c r="Q1185" s="13" t="s">
        <v>622</v>
      </c>
      <c r="T1185" t="s">
        <v>2804</v>
      </c>
      <c r="U1185" s="25">
        <f>+Municipios!P82</f>
        <v>51.38089649494087</v>
      </c>
      <c r="V1185" s="13">
        <v>8770</v>
      </c>
      <c r="W1185" s="13" t="s">
        <v>621</v>
      </c>
      <c r="X1185" s="13" t="s">
        <v>442</v>
      </c>
      <c r="Y1185" s="13" t="s">
        <v>443</v>
      </c>
      <c r="Z1185" s="13" t="s">
        <v>622</v>
      </c>
    </row>
    <row r="1186" spans="1:26">
      <c r="A1186" t="s">
        <v>412</v>
      </c>
      <c r="B1186" s="25">
        <f>+Municipios!P83</f>
        <v>61.095855993201845</v>
      </c>
      <c r="C1186" s="13">
        <v>76364</v>
      </c>
      <c r="D1186" s="13" t="s">
        <v>623</v>
      </c>
      <c r="E1186" s="13" t="s">
        <v>454</v>
      </c>
      <c r="F1186" s="13" t="s">
        <v>455</v>
      </c>
      <c r="G1186" s="13" t="s">
        <v>624</v>
      </c>
      <c r="K1186" t="s">
        <v>413</v>
      </c>
      <c r="L1186" s="81">
        <f>+Municipios!U83</f>
        <v>40.448141214422726</v>
      </c>
      <c r="M1186" s="13">
        <v>76364</v>
      </c>
      <c r="N1186" s="13" t="s">
        <v>623</v>
      </c>
      <c r="O1186" s="13" t="s">
        <v>454</v>
      </c>
      <c r="P1186" s="13" t="s">
        <v>455</v>
      </c>
      <c r="Q1186" s="13" t="s">
        <v>624</v>
      </c>
      <c r="T1186" t="s">
        <v>2804</v>
      </c>
      <c r="U1186" s="25">
        <f>+Municipios!P83</f>
        <v>61.095855993201845</v>
      </c>
      <c r="V1186" s="13">
        <v>76364</v>
      </c>
      <c r="W1186" s="13" t="s">
        <v>623</v>
      </c>
      <c r="X1186" s="13" t="s">
        <v>454</v>
      </c>
      <c r="Y1186" s="13" t="s">
        <v>455</v>
      </c>
      <c r="Z1186" s="13" t="s">
        <v>624</v>
      </c>
    </row>
    <row r="1187" spans="1:26">
      <c r="A1187" t="s">
        <v>412</v>
      </c>
      <c r="B1187" s="25">
        <f>+Municipios!P84</f>
        <v>50.703847009582859</v>
      </c>
      <c r="C1187" s="13">
        <v>8558</v>
      </c>
      <c r="D1187" s="13" t="s">
        <v>625</v>
      </c>
      <c r="E1187" s="13" t="s">
        <v>442</v>
      </c>
      <c r="F1187" s="13" t="s">
        <v>443</v>
      </c>
      <c r="G1187" s="13" t="s">
        <v>626</v>
      </c>
      <c r="K1187" t="s">
        <v>413</v>
      </c>
      <c r="L1187" s="81">
        <f>+Municipios!U84</f>
        <v>33.637153106831867</v>
      </c>
      <c r="M1187" s="13">
        <v>8558</v>
      </c>
      <c r="N1187" s="13" t="s">
        <v>625</v>
      </c>
      <c r="O1187" s="13" t="s">
        <v>442</v>
      </c>
      <c r="P1187" s="13" t="s">
        <v>443</v>
      </c>
      <c r="Q1187" s="13" t="s">
        <v>626</v>
      </c>
      <c r="T1187" t="s">
        <v>2804</v>
      </c>
      <c r="U1187" s="25">
        <f>+Municipios!P84</f>
        <v>50.703847009582859</v>
      </c>
      <c r="V1187" s="13">
        <v>8558</v>
      </c>
      <c r="W1187" s="13" t="s">
        <v>625</v>
      </c>
      <c r="X1187" s="13" t="s">
        <v>442</v>
      </c>
      <c r="Y1187" s="13" t="s">
        <v>443</v>
      </c>
      <c r="Z1187" s="13" t="s">
        <v>626</v>
      </c>
    </row>
    <row r="1188" spans="1:26">
      <c r="A1188" t="s">
        <v>412</v>
      </c>
      <c r="B1188" s="25">
        <f>+Municipios!P85</f>
        <v>73.099201735807455</v>
      </c>
      <c r="C1188" s="13">
        <v>76400</v>
      </c>
      <c r="D1188" s="13" t="s">
        <v>627</v>
      </c>
      <c r="E1188" s="13" t="s">
        <v>454</v>
      </c>
      <c r="F1188" s="13" t="s">
        <v>455</v>
      </c>
      <c r="G1188" s="13" t="s">
        <v>628</v>
      </c>
      <c r="K1188" t="s">
        <v>413</v>
      </c>
      <c r="L1188" s="81">
        <f>+Municipios!U85</f>
        <v>47.905664754660009</v>
      </c>
      <c r="M1188" s="13">
        <v>76400</v>
      </c>
      <c r="N1188" s="13" t="s">
        <v>627</v>
      </c>
      <c r="O1188" s="13" t="s">
        <v>454</v>
      </c>
      <c r="P1188" s="13" t="s">
        <v>455</v>
      </c>
      <c r="Q1188" s="13" t="s">
        <v>628</v>
      </c>
      <c r="T1188" t="s">
        <v>2804</v>
      </c>
      <c r="U1188" s="25">
        <f>+Municipios!P85</f>
        <v>73.099201735807455</v>
      </c>
      <c r="V1188" s="13">
        <v>76400</v>
      </c>
      <c r="W1188" s="13" t="s">
        <v>627</v>
      </c>
      <c r="X1188" s="13" t="s">
        <v>454</v>
      </c>
      <c r="Y1188" s="13" t="s">
        <v>455</v>
      </c>
      <c r="Z1188" s="13" t="s">
        <v>628</v>
      </c>
    </row>
    <row r="1189" spans="1:26">
      <c r="A1189" t="s">
        <v>412</v>
      </c>
      <c r="B1189" s="25">
        <f>+Municipios!P86</f>
        <v>63.813414433818863</v>
      </c>
      <c r="C1189" s="13">
        <v>25785</v>
      </c>
      <c r="D1189" s="13" t="s">
        <v>629</v>
      </c>
      <c r="E1189" s="13" t="s">
        <v>461</v>
      </c>
      <c r="F1189" s="13" t="s">
        <v>462</v>
      </c>
      <c r="G1189" s="13" t="s">
        <v>630</v>
      </c>
      <c r="K1189" t="s">
        <v>413</v>
      </c>
      <c r="L1189" s="81">
        <f>+Municipios!U86</f>
        <v>41.452201559835359</v>
      </c>
      <c r="M1189" s="13">
        <v>25785</v>
      </c>
      <c r="N1189" s="13" t="s">
        <v>629</v>
      </c>
      <c r="O1189" s="13" t="s">
        <v>461</v>
      </c>
      <c r="P1189" s="13" t="s">
        <v>462</v>
      </c>
      <c r="Q1189" s="13" t="s">
        <v>630</v>
      </c>
      <c r="T1189" t="s">
        <v>2804</v>
      </c>
      <c r="U1189" s="25">
        <f>+Municipios!P86</f>
        <v>63.813414433818863</v>
      </c>
      <c r="V1189" s="13">
        <v>25785</v>
      </c>
      <c r="W1189" s="13" t="s">
        <v>629</v>
      </c>
      <c r="X1189" s="13" t="s">
        <v>461</v>
      </c>
      <c r="Y1189" s="13" t="s">
        <v>462</v>
      </c>
      <c r="Z1189" s="13" t="s">
        <v>630</v>
      </c>
    </row>
    <row r="1190" spans="1:26">
      <c r="A1190" t="s">
        <v>412</v>
      </c>
      <c r="B1190" s="25">
        <f>+Municipios!P87</f>
        <v>56.871342622923144</v>
      </c>
      <c r="C1190" s="13">
        <v>73275</v>
      </c>
      <c r="D1190" s="13" t="s">
        <v>631</v>
      </c>
      <c r="E1190" s="13" t="s">
        <v>595</v>
      </c>
      <c r="F1190" s="13" t="s">
        <v>596</v>
      </c>
      <c r="G1190" s="13" t="s">
        <v>632</v>
      </c>
      <c r="K1190" t="s">
        <v>413</v>
      </c>
      <c r="L1190" s="81">
        <f>+Municipios!U87</f>
        <v>37.326888652100251</v>
      </c>
      <c r="M1190" s="13">
        <v>73275</v>
      </c>
      <c r="N1190" s="13" t="s">
        <v>631</v>
      </c>
      <c r="O1190" s="13" t="s">
        <v>595</v>
      </c>
      <c r="P1190" s="13" t="s">
        <v>596</v>
      </c>
      <c r="Q1190" s="13" t="s">
        <v>632</v>
      </c>
      <c r="T1190" t="s">
        <v>2804</v>
      </c>
      <c r="U1190" s="25">
        <f>+Municipios!P87</f>
        <v>56.871342622923144</v>
      </c>
      <c r="V1190" s="13">
        <v>73275</v>
      </c>
      <c r="W1190" s="13" t="s">
        <v>631</v>
      </c>
      <c r="X1190" s="13" t="s">
        <v>595</v>
      </c>
      <c r="Y1190" s="13" t="s">
        <v>596</v>
      </c>
      <c r="Z1190" s="13" t="s">
        <v>632</v>
      </c>
    </row>
    <row r="1191" spans="1:26">
      <c r="A1191" t="s">
        <v>412</v>
      </c>
      <c r="B1191" s="25">
        <f>+Municipios!P88</f>
        <v>59.530699433922926</v>
      </c>
      <c r="C1191" s="13">
        <v>8638</v>
      </c>
      <c r="D1191" s="13" t="s">
        <v>633</v>
      </c>
      <c r="E1191" s="13" t="s">
        <v>442</v>
      </c>
      <c r="F1191" s="13" t="s">
        <v>443</v>
      </c>
      <c r="G1191" s="13" t="s">
        <v>634</v>
      </c>
      <c r="K1191" t="s">
        <v>413</v>
      </c>
      <c r="L1191" s="81">
        <f>+Municipios!U88</f>
        <v>39.237655421555338</v>
      </c>
      <c r="M1191" s="13">
        <v>8638</v>
      </c>
      <c r="N1191" s="13" t="s">
        <v>633</v>
      </c>
      <c r="O1191" s="13" t="s">
        <v>442</v>
      </c>
      <c r="P1191" s="13" t="s">
        <v>443</v>
      </c>
      <c r="Q1191" s="13" t="s">
        <v>634</v>
      </c>
      <c r="T1191" t="s">
        <v>2804</v>
      </c>
      <c r="U1191" s="25">
        <f>+Municipios!P88</f>
        <v>59.530699433922926</v>
      </c>
      <c r="V1191" s="13">
        <v>8638</v>
      </c>
      <c r="W1191" s="13" t="s">
        <v>633</v>
      </c>
      <c r="X1191" s="13" t="s">
        <v>442</v>
      </c>
      <c r="Y1191" s="13" t="s">
        <v>443</v>
      </c>
      <c r="Z1191" s="13" t="s">
        <v>634</v>
      </c>
    </row>
    <row r="1192" spans="1:26">
      <c r="A1192" t="s">
        <v>412</v>
      </c>
      <c r="B1192" s="25">
        <f>+Municipios!P89</f>
        <v>46.908347602331617</v>
      </c>
      <c r="C1192" s="13">
        <v>8675</v>
      </c>
      <c r="D1192" s="13" t="s">
        <v>635</v>
      </c>
      <c r="E1192" s="13" t="s">
        <v>442</v>
      </c>
      <c r="F1192" s="13" t="s">
        <v>443</v>
      </c>
      <c r="G1192" s="13" t="s">
        <v>636</v>
      </c>
      <c r="K1192" t="s">
        <v>413</v>
      </c>
      <c r="L1192" s="81">
        <f>+Municipios!U89</f>
        <v>31.074731854950336</v>
      </c>
      <c r="M1192" s="13">
        <v>8675</v>
      </c>
      <c r="N1192" s="13" t="s">
        <v>635</v>
      </c>
      <c r="O1192" s="13" t="s">
        <v>442</v>
      </c>
      <c r="P1192" s="13" t="s">
        <v>443</v>
      </c>
      <c r="Q1192" s="13" t="s">
        <v>636</v>
      </c>
      <c r="T1192" t="s">
        <v>2804</v>
      </c>
      <c r="U1192" s="25">
        <f>+Municipios!P89</f>
        <v>46.908347602331617</v>
      </c>
      <c r="V1192" s="13">
        <v>8675</v>
      </c>
      <c r="W1192" s="13" t="s">
        <v>635</v>
      </c>
      <c r="X1192" s="13" t="s">
        <v>442</v>
      </c>
      <c r="Y1192" s="13" t="s">
        <v>443</v>
      </c>
      <c r="Z1192" s="13" t="s">
        <v>636</v>
      </c>
    </row>
    <row r="1193" spans="1:26">
      <c r="A1193" t="s">
        <v>412</v>
      </c>
      <c r="B1193" s="25">
        <f>+Municipios!P90</f>
        <v>68.652885027897128</v>
      </c>
      <c r="C1193" s="13">
        <v>47001</v>
      </c>
      <c r="D1193" s="13" t="s">
        <v>637</v>
      </c>
      <c r="E1193" s="13" t="s">
        <v>638</v>
      </c>
      <c r="F1193" s="13" t="s">
        <v>639</v>
      </c>
      <c r="G1193" s="13" t="s">
        <v>640</v>
      </c>
      <c r="K1193" t="s">
        <v>413</v>
      </c>
      <c r="L1193" s="81">
        <f>+Municipios!U90</f>
        <v>45.052792861223857</v>
      </c>
      <c r="M1193" s="13">
        <v>47001</v>
      </c>
      <c r="N1193" s="13" t="s">
        <v>637</v>
      </c>
      <c r="O1193" s="13" t="s">
        <v>638</v>
      </c>
      <c r="P1193" s="13" t="s">
        <v>639</v>
      </c>
      <c r="Q1193" s="13" t="s">
        <v>640</v>
      </c>
      <c r="T1193" t="s">
        <v>2804</v>
      </c>
      <c r="U1193" s="25">
        <f>+Municipios!P90</f>
        <v>68.652885027897128</v>
      </c>
      <c r="V1193" s="13">
        <v>47001</v>
      </c>
      <c r="W1193" s="13" t="s">
        <v>637</v>
      </c>
      <c r="X1193" s="13" t="s">
        <v>638</v>
      </c>
      <c r="Y1193" s="13" t="s">
        <v>639</v>
      </c>
      <c r="Z1193" s="13" t="s">
        <v>640</v>
      </c>
    </row>
    <row r="1194" spans="1:26">
      <c r="A1194" t="s">
        <v>412</v>
      </c>
      <c r="B1194" s="25">
        <f>+Municipios!P91</f>
        <v>75.86345008162786</v>
      </c>
      <c r="C1194" s="13">
        <v>15176</v>
      </c>
      <c r="D1194" s="13" t="s">
        <v>641</v>
      </c>
      <c r="E1194" s="13" t="s">
        <v>498</v>
      </c>
      <c r="F1194" s="13" t="s">
        <v>499</v>
      </c>
      <c r="G1194" s="13" t="s">
        <v>642</v>
      </c>
      <c r="K1194" t="s">
        <v>413</v>
      </c>
      <c r="L1194" s="81">
        <f>+Municipios!U91</f>
        <v>49.092740825179327</v>
      </c>
      <c r="M1194" s="13">
        <v>15176</v>
      </c>
      <c r="N1194" s="13" t="s">
        <v>641</v>
      </c>
      <c r="O1194" s="13" t="s">
        <v>498</v>
      </c>
      <c r="P1194" s="13" t="s">
        <v>499</v>
      </c>
      <c r="Q1194" s="13" t="s">
        <v>642</v>
      </c>
      <c r="T1194" t="s">
        <v>2804</v>
      </c>
      <c r="U1194" s="25">
        <f>+Municipios!P91</f>
        <v>75.86345008162786</v>
      </c>
      <c r="V1194" s="13">
        <v>15176</v>
      </c>
      <c r="W1194" s="13" t="s">
        <v>641</v>
      </c>
      <c r="X1194" s="13" t="s">
        <v>498</v>
      </c>
      <c r="Y1194" s="13" t="s">
        <v>499</v>
      </c>
      <c r="Z1194" s="13" t="s">
        <v>642</v>
      </c>
    </row>
    <row r="1195" spans="1:26">
      <c r="A1195" t="s">
        <v>412</v>
      </c>
      <c r="B1195" s="25">
        <f>+Municipios!P92</f>
        <v>54.977495207653433</v>
      </c>
      <c r="C1195" s="13">
        <v>70670</v>
      </c>
      <c r="D1195" s="13" t="s">
        <v>643</v>
      </c>
      <c r="E1195" s="13" t="s">
        <v>494</v>
      </c>
      <c r="F1195" s="13" t="s">
        <v>495</v>
      </c>
      <c r="G1195" s="13" t="s">
        <v>644</v>
      </c>
      <c r="K1195" t="s">
        <v>413</v>
      </c>
      <c r="L1195" s="81">
        <f>+Municipios!U92</f>
        <v>35.882466846606157</v>
      </c>
      <c r="M1195" s="13">
        <v>70670</v>
      </c>
      <c r="N1195" s="13" t="s">
        <v>643</v>
      </c>
      <c r="O1195" s="13" t="s">
        <v>494</v>
      </c>
      <c r="P1195" s="13" t="s">
        <v>495</v>
      </c>
      <c r="Q1195" s="13" t="s">
        <v>644</v>
      </c>
      <c r="T1195" t="s">
        <v>2804</v>
      </c>
      <c r="U1195" s="25">
        <f>+Municipios!P92</f>
        <v>54.977495207653433</v>
      </c>
      <c r="V1195" s="13">
        <v>70670</v>
      </c>
      <c r="W1195" s="13" t="s">
        <v>643</v>
      </c>
      <c r="X1195" s="13" t="s">
        <v>494</v>
      </c>
      <c r="Y1195" s="13" t="s">
        <v>495</v>
      </c>
      <c r="Z1195" s="13" t="s">
        <v>644</v>
      </c>
    </row>
    <row r="1196" spans="1:26">
      <c r="A1196" t="s">
        <v>412</v>
      </c>
      <c r="B1196" s="25">
        <f>+Municipios!P93</f>
        <v>71.257061561934336</v>
      </c>
      <c r="C1196" s="13">
        <v>25260</v>
      </c>
      <c r="D1196" s="13" t="s">
        <v>645</v>
      </c>
      <c r="E1196" s="13" t="s">
        <v>461</v>
      </c>
      <c r="F1196" s="13" t="s">
        <v>462</v>
      </c>
      <c r="G1196" s="13" t="s">
        <v>646</v>
      </c>
      <c r="K1196" t="s">
        <v>413</v>
      </c>
      <c r="L1196" s="81">
        <f>+Municipios!U93</f>
        <v>46.459422717113931</v>
      </c>
      <c r="M1196" s="13">
        <v>25260</v>
      </c>
      <c r="N1196" s="13" t="s">
        <v>645</v>
      </c>
      <c r="O1196" s="13" t="s">
        <v>461</v>
      </c>
      <c r="P1196" s="13" t="s">
        <v>462</v>
      </c>
      <c r="Q1196" s="13" t="s">
        <v>646</v>
      </c>
      <c r="T1196" t="s">
        <v>2804</v>
      </c>
      <c r="U1196" s="25">
        <f>+Municipios!P93</f>
        <v>71.257061561934336</v>
      </c>
      <c r="V1196" s="13">
        <v>25260</v>
      </c>
      <c r="W1196" s="13" t="s">
        <v>645</v>
      </c>
      <c r="X1196" s="13" t="s">
        <v>461</v>
      </c>
      <c r="Y1196" s="13" t="s">
        <v>462</v>
      </c>
      <c r="Z1196" s="13" t="s">
        <v>646</v>
      </c>
    </row>
    <row r="1197" spans="1:26">
      <c r="A1197" t="s">
        <v>412</v>
      </c>
      <c r="B1197" s="25">
        <f>+Municipios!P94</f>
        <v>61.955706167296853</v>
      </c>
      <c r="C1197" s="13">
        <v>19845</v>
      </c>
      <c r="D1197" s="13" t="s">
        <v>647</v>
      </c>
      <c r="E1197" s="13" t="s">
        <v>557</v>
      </c>
      <c r="F1197" s="13" t="s">
        <v>558</v>
      </c>
      <c r="G1197" s="13" t="s">
        <v>648</v>
      </c>
      <c r="K1197" t="s">
        <v>413</v>
      </c>
      <c r="L1197" s="81">
        <f>+Municipios!U94</f>
        <v>40.858500469461404</v>
      </c>
      <c r="M1197" s="13">
        <v>19845</v>
      </c>
      <c r="N1197" s="13" t="s">
        <v>647</v>
      </c>
      <c r="O1197" s="13" t="s">
        <v>557</v>
      </c>
      <c r="P1197" s="13" t="s">
        <v>558</v>
      </c>
      <c r="Q1197" s="13" t="s">
        <v>648</v>
      </c>
      <c r="T1197" t="s">
        <v>2804</v>
      </c>
      <c r="U1197" s="25">
        <f>+Municipios!P94</f>
        <v>61.955706167296853</v>
      </c>
      <c r="V1197" s="13">
        <v>19845</v>
      </c>
      <c r="W1197" s="13" t="s">
        <v>647</v>
      </c>
      <c r="X1197" s="13" t="s">
        <v>557</v>
      </c>
      <c r="Y1197" s="13" t="s">
        <v>558</v>
      </c>
      <c r="Z1197" s="13" t="s">
        <v>648</v>
      </c>
    </row>
    <row r="1198" spans="1:26">
      <c r="A1198" t="s">
        <v>412</v>
      </c>
      <c r="B1198" s="25">
        <f>+Municipios!P95</f>
        <v>61.610897831169879</v>
      </c>
      <c r="C1198" s="13">
        <v>63470</v>
      </c>
      <c r="D1198" s="13" t="s">
        <v>649</v>
      </c>
      <c r="E1198" s="13" t="s">
        <v>473</v>
      </c>
      <c r="F1198" s="13" t="s">
        <v>474</v>
      </c>
      <c r="G1198" s="13" t="s">
        <v>650</v>
      </c>
      <c r="K1198" t="s">
        <v>413</v>
      </c>
      <c r="L1198" s="81">
        <f>+Municipios!U95</f>
        <v>39.8709102943535</v>
      </c>
      <c r="M1198" s="13">
        <v>63470</v>
      </c>
      <c r="N1198" s="13" t="s">
        <v>649</v>
      </c>
      <c r="O1198" s="13" t="s">
        <v>473</v>
      </c>
      <c r="P1198" s="13" t="s">
        <v>474</v>
      </c>
      <c r="Q1198" s="13" t="s">
        <v>650</v>
      </c>
      <c r="T1198" t="s">
        <v>2804</v>
      </c>
      <c r="U1198" s="25">
        <f>+Municipios!P95</f>
        <v>61.610897831169879</v>
      </c>
      <c r="V1198" s="13">
        <v>63470</v>
      </c>
      <c r="W1198" s="13" t="s">
        <v>649</v>
      </c>
      <c r="X1198" s="13" t="s">
        <v>473</v>
      </c>
      <c r="Y1198" s="13" t="s">
        <v>474</v>
      </c>
      <c r="Z1198" s="13" t="s">
        <v>650</v>
      </c>
    </row>
    <row r="1199" spans="1:26">
      <c r="A1199" t="s">
        <v>412</v>
      </c>
      <c r="B1199" s="25">
        <f>+Municipios!P96</f>
        <v>53.99781648307949</v>
      </c>
      <c r="C1199" s="13">
        <v>70215</v>
      </c>
      <c r="D1199" s="13" t="s">
        <v>651</v>
      </c>
      <c r="E1199" s="13" t="s">
        <v>494</v>
      </c>
      <c r="F1199" s="13" t="s">
        <v>495</v>
      </c>
      <c r="G1199" s="13" t="s">
        <v>652</v>
      </c>
      <c r="K1199" t="s">
        <v>413</v>
      </c>
      <c r="L1199" s="81">
        <f>+Municipios!U96</f>
        <v>35.434825583905116</v>
      </c>
      <c r="M1199" s="13">
        <v>70215</v>
      </c>
      <c r="N1199" s="13" t="s">
        <v>651</v>
      </c>
      <c r="O1199" s="13" t="s">
        <v>494</v>
      </c>
      <c r="P1199" s="13" t="s">
        <v>495</v>
      </c>
      <c r="Q1199" s="13" t="s">
        <v>652</v>
      </c>
      <c r="T1199" t="s">
        <v>2804</v>
      </c>
      <c r="U1199" s="25">
        <f>+Municipios!P96</f>
        <v>53.99781648307949</v>
      </c>
      <c r="V1199" s="13">
        <v>70215</v>
      </c>
      <c r="W1199" s="13" t="s">
        <v>651</v>
      </c>
      <c r="X1199" s="13" t="s">
        <v>494</v>
      </c>
      <c r="Y1199" s="13" t="s">
        <v>495</v>
      </c>
      <c r="Z1199" s="13" t="s">
        <v>652</v>
      </c>
    </row>
    <row r="1200" spans="1:26">
      <c r="A1200" t="s">
        <v>412</v>
      </c>
      <c r="B1200" s="25">
        <f>+Municipios!P97</f>
        <v>56.652469384010033</v>
      </c>
      <c r="C1200" s="13">
        <v>76318</v>
      </c>
      <c r="D1200" s="13" t="s">
        <v>653</v>
      </c>
      <c r="E1200" s="13" t="s">
        <v>454</v>
      </c>
      <c r="F1200" s="13" t="s">
        <v>455</v>
      </c>
      <c r="G1200" s="13" t="s">
        <v>654</v>
      </c>
      <c r="K1200" t="s">
        <v>413</v>
      </c>
      <c r="L1200" s="81">
        <f>+Municipios!U97</f>
        <v>36.429910468574512</v>
      </c>
      <c r="M1200" s="13">
        <v>76318</v>
      </c>
      <c r="N1200" s="13" t="s">
        <v>653</v>
      </c>
      <c r="O1200" s="13" t="s">
        <v>454</v>
      </c>
      <c r="P1200" s="13" t="s">
        <v>455</v>
      </c>
      <c r="Q1200" s="13" t="s">
        <v>654</v>
      </c>
      <c r="T1200" t="s">
        <v>2804</v>
      </c>
      <c r="U1200" s="25">
        <f>+Municipios!P97</f>
        <v>56.652469384010033</v>
      </c>
      <c r="V1200" s="13">
        <v>76318</v>
      </c>
      <c r="W1200" s="13" t="s">
        <v>653</v>
      </c>
      <c r="X1200" s="13" t="s">
        <v>454</v>
      </c>
      <c r="Y1200" s="13" t="s">
        <v>455</v>
      </c>
      <c r="Z1200" s="13" t="s">
        <v>654</v>
      </c>
    </row>
    <row r="1201" spans="1:26">
      <c r="A1201" t="s">
        <v>412</v>
      </c>
      <c r="B1201" s="25">
        <f>+Municipios!P98</f>
        <v>50.906454308583157</v>
      </c>
      <c r="C1201" s="13">
        <v>76020</v>
      </c>
      <c r="D1201" s="13" t="s">
        <v>655</v>
      </c>
      <c r="E1201" s="13" t="s">
        <v>454</v>
      </c>
      <c r="F1201" s="13" t="s">
        <v>455</v>
      </c>
      <c r="G1201" s="13" t="s">
        <v>656</v>
      </c>
      <c r="K1201" t="s">
        <v>413</v>
      </c>
      <c r="L1201" s="81">
        <f>+Municipios!U98</f>
        <v>32.745333850377797</v>
      </c>
      <c r="M1201" s="13">
        <v>76020</v>
      </c>
      <c r="N1201" s="13" t="s">
        <v>655</v>
      </c>
      <c r="O1201" s="13" t="s">
        <v>454</v>
      </c>
      <c r="P1201" s="13" t="s">
        <v>455</v>
      </c>
      <c r="Q1201" s="13" t="s">
        <v>656</v>
      </c>
      <c r="T1201" t="s">
        <v>2804</v>
      </c>
      <c r="U1201" s="25">
        <f>+Municipios!P98</f>
        <v>50.906454308583157</v>
      </c>
      <c r="V1201" s="13">
        <v>76020</v>
      </c>
      <c r="W1201" s="13" t="s">
        <v>655</v>
      </c>
      <c r="X1201" s="13" t="s">
        <v>454</v>
      </c>
      <c r="Y1201" s="13" t="s">
        <v>455</v>
      </c>
      <c r="Z1201" s="13" t="s">
        <v>656</v>
      </c>
    </row>
    <row r="1202" spans="1:26">
      <c r="A1202" t="s">
        <v>412</v>
      </c>
      <c r="B1202" s="25">
        <f>+Municipios!P99</f>
        <v>49.611046195519961</v>
      </c>
      <c r="C1202" s="13">
        <v>8137</v>
      </c>
      <c r="D1202" s="13" t="s">
        <v>657</v>
      </c>
      <c r="E1202" s="13" t="s">
        <v>442</v>
      </c>
      <c r="F1202" s="13" t="s">
        <v>443</v>
      </c>
      <c r="G1202" s="13" t="s">
        <v>658</v>
      </c>
      <c r="K1202" t="s">
        <v>413</v>
      </c>
      <c r="L1202" s="81">
        <f>+Municipios!U99</f>
        <v>32.404141533618215</v>
      </c>
      <c r="M1202" s="13">
        <v>8137</v>
      </c>
      <c r="N1202" s="13" t="s">
        <v>657</v>
      </c>
      <c r="O1202" s="13" t="s">
        <v>442</v>
      </c>
      <c r="P1202" s="13" t="s">
        <v>443</v>
      </c>
      <c r="Q1202" s="13" t="s">
        <v>658</v>
      </c>
      <c r="T1202" t="s">
        <v>2804</v>
      </c>
      <c r="U1202" s="25">
        <f>+Municipios!P99</f>
        <v>49.611046195519961</v>
      </c>
      <c r="V1202" s="13">
        <v>8137</v>
      </c>
      <c r="W1202" s="13" t="s">
        <v>657</v>
      </c>
      <c r="X1202" s="13" t="s">
        <v>442</v>
      </c>
      <c r="Y1202" s="13" t="s">
        <v>443</v>
      </c>
      <c r="Z1202" s="13" t="s">
        <v>658</v>
      </c>
    </row>
    <row r="1203" spans="1:26">
      <c r="A1203" t="s">
        <v>412</v>
      </c>
      <c r="B1203" s="25">
        <f>+Municipios!P100</f>
        <v>60.529194578936526</v>
      </c>
      <c r="C1203" s="13">
        <v>76036</v>
      </c>
      <c r="D1203" s="13" t="s">
        <v>659</v>
      </c>
      <c r="E1203" s="13" t="s">
        <v>454</v>
      </c>
      <c r="F1203" s="13" t="s">
        <v>455</v>
      </c>
      <c r="G1203" s="13" t="s">
        <v>660</v>
      </c>
      <c r="K1203" t="s">
        <v>413</v>
      </c>
      <c r="L1203" s="81">
        <f>+Municipios!U100</f>
        <v>39.2250571194351</v>
      </c>
      <c r="M1203" s="13">
        <v>76036</v>
      </c>
      <c r="N1203" s="13" t="s">
        <v>659</v>
      </c>
      <c r="O1203" s="13" t="s">
        <v>454</v>
      </c>
      <c r="P1203" s="13" t="s">
        <v>455</v>
      </c>
      <c r="Q1203" s="13" t="s">
        <v>660</v>
      </c>
      <c r="T1203" t="s">
        <v>2804</v>
      </c>
      <c r="U1203" s="25">
        <f>+Municipios!P100</f>
        <v>60.529194578936526</v>
      </c>
      <c r="V1203" s="13">
        <v>76036</v>
      </c>
      <c r="W1203" s="13" t="s">
        <v>659</v>
      </c>
      <c r="X1203" s="13" t="s">
        <v>454</v>
      </c>
      <c r="Y1203" s="13" t="s">
        <v>455</v>
      </c>
      <c r="Z1203" s="13" t="s">
        <v>660</v>
      </c>
    </row>
    <row r="1204" spans="1:26">
      <c r="A1204" t="s">
        <v>412</v>
      </c>
      <c r="B1204" s="25">
        <f>+Municipios!P101</f>
        <v>58.259792935336407</v>
      </c>
      <c r="C1204" s="13">
        <v>63594</v>
      </c>
      <c r="D1204" s="13" t="s">
        <v>661</v>
      </c>
      <c r="E1204" s="13" t="s">
        <v>473</v>
      </c>
      <c r="F1204" s="13" t="s">
        <v>474</v>
      </c>
      <c r="G1204" s="13" t="s">
        <v>662</v>
      </c>
      <c r="K1204" t="s">
        <v>413</v>
      </c>
      <c r="L1204" s="81">
        <f>+Municipios!U101</f>
        <v>37.483372513956134</v>
      </c>
      <c r="M1204" s="13">
        <v>63594</v>
      </c>
      <c r="N1204" s="13" t="s">
        <v>661</v>
      </c>
      <c r="O1204" s="13" t="s">
        <v>473</v>
      </c>
      <c r="P1204" s="13" t="s">
        <v>474</v>
      </c>
      <c r="Q1204" s="13" t="s">
        <v>662</v>
      </c>
      <c r="T1204" t="s">
        <v>2804</v>
      </c>
      <c r="U1204" s="25">
        <f>+Municipios!P101</f>
        <v>58.259792935336407</v>
      </c>
      <c r="V1204" s="13">
        <v>63594</v>
      </c>
      <c r="W1204" s="13" t="s">
        <v>661</v>
      </c>
      <c r="X1204" s="13" t="s">
        <v>473</v>
      </c>
      <c r="Y1204" s="13" t="s">
        <v>474</v>
      </c>
      <c r="Z1204" s="13" t="s">
        <v>662</v>
      </c>
    </row>
    <row r="1205" spans="1:26">
      <c r="A1205" t="s">
        <v>412</v>
      </c>
      <c r="B1205" s="25">
        <f>+Municipios!P102</f>
        <v>55.287598176806021</v>
      </c>
      <c r="C1205" s="13">
        <v>68432</v>
      </c>
      <c r="D1205" s="13" t="s">
        <v>663</v>
      </c>
      <c r="E1205" s="13" t="s">
        <v>431</v>
      </c>
      <c r="F1205" s="13" t="s">
        <v>432</v>
      </c>
      <c r="G1205" s="13" t="s">
        <v>664</v>
      </c>
      <c r="K1205" t="s">
        <v>413</v>
      </c>
      <c r="L1205" s="81">
        <f>+Municipios!U102</f>
        <v>35.85774611621369</v>
      </c>
      <c r="M1205" s="13">
        <v>68432</v>
      </c>
      <c r="N1205" s="13" t="s">
        <v>663</v>
      </c>
      <c r="O1205" s="13" t="s">
        <v>431</v>
      </c>
      <c r="P1205" s="13" t="s">
        <v>432</v>
      </c>
      <c r="Q1205" s="13" t="s">
        <v>664</v>
      </c>
      <c r="T1205" t="s">
        <v>2804</v>
      </c>
      <c r="U1205" s="25">
        <f>+Municipios!P102</f>
        <v>55.287598176806021</v>
      </c>
      <c r="V1205" s="13">
        <v>68432</v>
      </c>
      <c r="W1205" s="13" t="s">
        <v>663</v>
      </c>
      <c r="X1205" s="13" t="s">
        <v>431</v>
      </c>
      <c r="Y1205" s="13" t="s">
        <v>432</v>
      </c>
      <c r="Z1205" s="13" t="s">
        <v>664</v>
      </c>
    </row>
    <row r="1206" spans="1:26">
      <c r="A1206" t="s">
        <v>412</v>
      </c>
      <c r="B1206" s="25">
        <f>+Municipios!P103</f>
        <v>53.076057093888053</v>
      </c>
      <c r="C1206" s="13">
        <v>23670</v>
      </c>
      <c r="D1206" s="13" t="s">
        <v>665</v>
      </c>
      <c r="E1206" s="13" t="s">
        <v>567</v>
      </c>
      <c r="F1206" s="13" t="s">
        <v>568</v>
      </c>
      <c r="G1206" s="13" t="s">
        <v>666</v>
      </c>
      <c r="K1206" t="s">
        <v>413</v>
      </c>
      <c r="L1206" s="81">
        <f>+Municipios!U103</f>
        <v>34.306897997163809</v>
      </c>
      <c r="M1206" s="13">
        <v>23670</v>
      </c>
      <c r="N1206" s="13" t="s">
        <v>665</v>
      </c>
      <c r="O1206" s="13" t="s">
        <v>567</v>
      </c>
      <c r="P1206" s="13" t="s">
        <v>568</v>
      </c>
      <c r="Q1206" s="13" t="s">
        <v>666</v>
      </c>
      <c r="T1206" t="s">
        <v>2804</v>
      </c>
      <c r="U1206" s="25">
        <f>+Municipios!P103</f>
        <v>53.076057093888053</v>
      </c>
      <c r="V1206" s="13">
        <v>23670</v>
      </c>
      <c r="W1206" s="13" t="s">
        <v>665</v>
      </c>
      <c r="X1206" s="13" t="s">
        <v>567</v>
      </c>
      <c r="Y1206" s="13" t="s">
        <v>568</v>
      </c>
      <c r="Z1206" s="13" t="s">
        <v>666</v>
      </c>
    </row>
    <row r="1207" spans="1:26">
      <c r="A1207" t="s">
        <v>412</v>
      </c>
      <c r="B1207" s="25">
        <f>+Municipios!P104</f>
        <v>74.550749034493791</v>
      </c>
      <c r="C1207" s="13">
        <v>25386</v>
      </c>
      <c r="D1207" s="13" t="s">
        <v>667</v>
      </c>
      <c r="E1207" s="13" t="s">
        <v>461</v>
      </c>
      <c r="F1207" s="13" t="s">
        <v>462</v>
      </c>
      <c r="G1207" s="13" t="s">
        <v>668</v>
      </c>
      <c r="K1207" t="s">
        <v>413</v>
      </c>
      <c r="L1207" s="81">
        <f>+Municipios!U104</f>
        <v>47.729449114774532</v>
      </c>
      <c r="M1207" s="13">
        <v>25386</v>
      </c>
      <c r="N1207" s="13" t="s">
        <v>667</v>
      </c>
      <c r="O1207" s="13" t="s">
        <v>461</v>
      </c>
      <c r="P1207" s="13" t="s">
        <v>462</v>
      </c>
      <c r="Q1207" s="13" t="s">
        <v>668</v>
      </c>
      <c r="T1207" t="s">
        <v>2804</v>
      </c>
      <c r="U1207" s="25">
        <f>+Municipios!P104</f>
        <v>74.550749034493791</v>
      </c>
      <c r="V1207" s="13">
        <v>25386</v>
      </c>
      <c r="W1207" s="13" t="s">
        <v>667</v>
      </c>
      <c r="X1207" s="13" t="s">
        <v>461</v>
      </c>
      <c r="Y1207" s="13" t="s">
        <v>462</v>
      </c>
      <c r="Z1207" s="13" t="s">
        <v>668</v>
      </c>
    </row>
    <row r="1208" spans="1:26">
      <c r="A1208" t="s">
        <v>412</v>
      </c>
      <c r="B1208" s="25">
        <f>+Municipios!P105</f>
        <v>78.835991952907719</v>
      </c>
      <c r="C1208" s="13">
        <v>25758</v>
      </c>
      <c r="D1208" s="13" t="s">
        <v>669</v>
      </c>
      <c r="E1208" s="13" t="s">
        <v>461</v>
      </c>
      <c r="F1208" s="13" t="s">
        <v>462</v>
      </c>
      <c r="G1208" s="13" t="s">
        <v>670</v>
      </c>
      <c r="K1208" t="s">
        <v>413</v>
      </c>
      <c r="L1208" s="81">
        <f>+Municipios!U105</f>
        <v>50.879149272408242</v>
      </c>
      <c r="M1208" s="13">
        <v>25758</v>
      </c>
      <c r="N1208" s="13" t="s">
        <v>669</v>
      </c>
      <c r="O1208" s="13" t="s">
        <v>461</v>
      </c>
      <c r="P1208" s="13" t="s">
        <v>462</v>
      </c>
      <c r="Q1208" s="13" t="s">
        <v>670</v>
      </c>
      <c r="T1208" t="s">
        <v>2804</v>
      </c>
      <c r="U1208" s="25">
        <f>+Municipios!P105</f>
        <v>78.835991952907719</v>
      </c>
      <c r="V1208" s="13">
        <v>25758</v>
      </c>
      <c r="W1208" s="13" t="s">
        <v>669</v>
      </c>
      <c r="X1208" s="13" t="s">
        <v>461</v>
      </c>
      <c r="Y1208" s="13" t="s">
        <v>462</v>
      </c>
      <c r="Z1208" s="13" t="s">
        <v>670</v>
      </c>
    </row>
    <row r="1209" spans="1:26">
      <c r="A1209" t="s">
        <v>412</v>
      </c>
      <c r="B1209" s="25">
        <f>+Municipios!P106</f>
        <v>71.783038472392917</v>
      </c>
      <c r="C1209" s="13">
        <v>52001</v>
      </c>
      <c r="D1209" s="13" t="s">
        <v>671</v>
      </c>
      <c r="E1209" s="13" t="s">
        <v>672</v>
      </c>
      <c r="F1209" s="13" t="s">
        <v>673</v>
      </c>
      <c r="G1209" s="13" t="s">
        <v>674</v>
      </c>
      <c r="K1209" t="s">
        <v>413</v>
      </c>
      <c r="L1209" s="81">
        <f>+Municipios!U106</f>
        <v>45.892863112512572</v>
      </c>
      <c r="M1209" s="13">
        <v>52001</v>
      </c>
      <c r="N1209" s="13" t="s">
        <v>671</v>
      </c>
      <c r="O1209" s="13" t="s">
        <v>672</v>
      </c>
      <c r="P1209" s="13" t="s">
        <v>673</v>
      </c>
      <c r="Q1209" s="13" t="s">
        <v>674</v>
      </c>
      <c r="T1209" t="s">
        <v>2804</v>
      </c>
      <c r="U1209" s="25">
        <f>+Municipios!P106</f>
        <v>71.783038472392917</v>
      </c>
      <c r="V1209" s="13">
        <v>52001</v>
      </c>
      <c r="W1209" s="13" t="s">
        <v>671</v>
      </c>
      <c r="X1209" s="13" t="s">
        <v>672</v>
      </c>
      <c r="Y1209" s="13" t="s">
        <v>673</v>
      </c>
      <c r="Z1209" s="13" t="s">
        <v>674</v>
      </c>
    </row>
    <row r="1210" spans="1:26">
      <c r="A1210" t="s">
        <v>412</v>
      </c>
      <c r="B1210" s="25">
        <f>+Municipios!P107</f>
        <v>67.457870002555978</v>
      </c>
      <c r="C1210" s="13">
        <v>41001</v>
      </c>
      <c r="D1210" s="13" t="s">
        <v>675</v>
      </c>
      <c r="E1210" s="13" t="s">
        <v>676</v>
      </c>
      <c r="F1210" s="13" t="s">
        <v>677</v>
      </c>
      <c r="G1210" s="13" t="s">
        <v>678</v>
      </c>
      <c r="K1210" t="s">
        <v>413</v>
      </c>
      <c r="L1210" s="81">
        <f>+Municipios!U107</f>
        <v>43.262911425905649</v>
      </c>
      <c r="M1210" s="13">
        <v>41001</v>
      </c>
      <c r="N1210" s="13" t="s">
        <v>675</v>
      </c>
      <c r="O1210" s="13" t="s">
        <v>676</v>
      </c>
      <c r="P1210" s="13" t="s">
        <v>677</v>
      </c>
      <c r="Q1210" s="13" t="s">
        <v>678</v>
      </c>
      <c r="T1210" t="s">
        <v>2804</v>
      </c>
      <c r="U1210" s="25">
        <f>+Municipios!P107</f>
        <v>67.457870002555978</v>
      </c>
      <c r="V1210" s="13">
        <v>41001</v>
      </c>
      <c r="W1210" s="13" t="s">
        <v>675</v>
      </c>
      <c r="X1210" s="13" t="s">
        <v>676</v>
      </c>
      <c r="Y1210" s="13" t="s">
        <v>677</v>
      </c>
      <c r="Z1210" s="13" t="s">
        <v>678</v>
      </c>
    </row>
    <row r="1211" spans="1:26">
      <c r="A1211" t="s">
        <v>412</v>
      </c>
      <c r="B1211" s="25">
        <f>+Municipios!P108</f>
        <v>48.444849130277895</v>
      </c>
      <c r="C1211" s="13">
        <v>23300</v>
      </c>
      <c r="D1211" s="13" t="s">
        <v>679</v>
      </c>
      <c r="E1211" s="13" t="s">
        <v>567</v>
      </c>
      <c r="F1211" s="13" t="s">
        <v>568</v>
      </c>
      <c r="G1211" s="13" t="s">
        <v>680</v>
      </c>
      <c r="K1211" t="s">
        <v>413</v>
      </c>
      <c r="L1211" s="81">
        <f>+Municipios!U108</f>
        <v>31.046386937816717</v>
      </c>
      <c r="M1211" s="13">
        <v>23300</v>
      </c>
      <c r="N1211" s="13" t="s">
        <v>679</v>
      </c>
      <c r="O1211" s="13" t="s">
        <v>567</v>
      </c>
      <c r="P1211" s="13" t="s">
        <v>568</v>
      </c>
      <c r="Q1211" s="13" t="s">
        <v>680</v>
      </c>
      <c r="T1211" t="s">
        <v>2804</v>
      </c>
      <c r="U1211" s="25">
        <f>+Municipios!P108</f>
        <v>48.444849130277895</v>
      </c>
      <c r="V1211" s="13">
        <v>23300</v>
      </c>
      <c r="W1211" s="13" t="s">
        <v>679</v>
      </c>
      <c r="X1211" s="13" t="s">
        <v>567</v>
      </c>
      <c r="Y1211" s="13" t="s">
        <v>568</v>
      </c>
      <c r="Z1211" s="13" t="s">
        <v>680</v>
      </c>
    </row>
    <row r="1212" spans="1:26">
      <c r="A1212" t="s">
        <v>412</v>
      </c>
      <c r="B1212" s="25">
        <f>+Municipios!P109</f>
        <v>58.14410374342053</v>
      </c>
      <c r="C1212" s="13">
        <v>17777</v>
      </c>
      <c r="D1212" s="13" t="s">
        <v>681</v>
      </c>
      <c r="E1212" s="13" t="s">
        <v>506</v>
      </c>
      <c r="F1212" s="13" t="s">
        <v>507</v>
      </c>
      <c r="G1212" s="13" t="s">
        <v>682</v>
      </c>
      <c r="K1212" t="s">
        <v>413</v>
      </c>
      <c r="L1212" s="81">
        <f>+Municipios!U109</f>
        <v>37.10758423981364</v>
      </c>
      <c r="M1212" s="13">
        <v>17777</v>
      </c>
      <c r="N1212" s="13" t="s">
        <v>681</v>
      </c>
      <c r="O1212" s="13" t="s">
        <v>506</v>
      </c>
      <c r="P1212" s="13" t="s">
        <v>507</v>
      </c>
      <c r="Q1212" s="13" t="s">
        <v>682</v>
      </c>
      <c r="T1212" t="s">
        <v>2804</v>
      </c>
      <c r="U1212" s="25">
        <f>+Municipios!P109</f>
        <v>58.14410374342053</v>
      </c>
      <c r="V1212" s="13">
        <v>17777</v>
      </c>
      <c r="W1212" s="13" t="s">
        <v>681</v>
      </c>
      <c r="X1212" s="13" t="s">
        <v>506</v>
      </c>
      <c r="Y1212" s="13" t="s">
        <v>507</v>
      </c>
      <c r="Z1212" s="13" t="s">
        <v>682</v>
      </c>
    </row>
    <row r="1213" spans="1:26">
      <c r="A1213" t="s">
        <v>412</v>
      </c>
      <c r="B1213" s="25">
        <f>+Municipios!P110</f>
        <v>60.233404681360845</v>
      </c>
      <c r="C1213" s="13">
        <v>19698</v>
      </c>
      <c r="D1213" s="13" t="s">
        <v>683</v>
      </c>
      <c r="E1213" s="13" t="s">
        <v>557</v>
      </c>
      <c r="F1213" s="13" t="s">
        <v>558</v>
      </c>
      <c r="G1213" s="13" t="s">
        <v>684</v>
      </c>
      <c r="K1213" t="s">
        <v>413</v>
      </c>
      <c r="L1213" s="81">
        <f>+Municipios!U110</f>
        <v>38.584913410364329</v>
      </c>
      <c r="M1213" s="13">
        <v>19698</v>
      </c>
      <c r="N1213" s="13" t="s">
        <v>683</v>
      </c>
      <c r="O1213" s="13" t="s">
        <v>557</v>
      </c>
      <c r="P1213" s="13" t="s">
        <v>558</v>
      </c>
      <c r="Q1213" s="13" t="s">
        <v>684</v>
      </c>
      <c r="T1213" t="s">
        <v>2804</v>
      </c>
      <c r="U1213" s="25">
        <f>+Municipios!P110</f>
        <v>60.233404681360845</v>
      </c>
      <c r="V1213" s="13">
        <v>19698</v>
      </c>
      <c r="W1213" s="13" t="s">
        <v>683</v>
      </c>
      <c r="X1213" s="13" t="s">
        <v>557</v>
      </c>
      <c r="Y1213" s="13" t="s">
        <v>558</v>
      </c>
      <c r="Z1213" s="13" t="s">
        <v>684</v>
      </c>
    </row>
    <row r="1214" spans="1:26">
      <c r="A1214" t="s">
        <v>412</v>
      </c>
      <c r="B1214" s="25">
        <f>+Municipios!P111</f>
        <v>56.581758408972277</v>
      </c>
      <c r="C1214" s="13">
        <v>17442</v>
      </c>
      <c r="D1214" s="13" t="s">
        <v>685</v>
      </c>
      <c r="E1214" s="13" t="s">
        <v>506</v>
      </c>
      <c r="F1214" s="13" t="s">
        <v>507</v>
      </c>
      <c r="G1214" s="13" t="s">
        <v>686</v>
      </c>
      <c r="K1214" t="s">
        <v>413</v>
      </c>
      <c r="L1214" s="81">
        <f>+Municipios!U111</f>
        <v>36.028773104744317</v>
      </c>
      <c r="M1214" s="13">
        <v>17442</v>
      </c>
      <c r="N1214" s="13" t="s">
        <v>685</v>
      </c>
      <c r="O1214" s="13" t="s">
        <v>506</v>
      </c>
      <c r="P1214" s="13" t="s">
        <v>507</v>
      </c>
      <c r="Q1214" s="13" t="s">
        <v>686</v>
      </c>
      <c r="T1214" t="s">
        <v>2804</v>
      </c>
      <c r="U1214" s="25">
        <f>+Municipios!P111</f>
        <v>56.581758408972277</v>
      </c>
      <c r="V1214" s="13">
        <v>17442</v>
      </c>
      <c r="W1214" s="13" t="s">
        <v>685</v>
      </c>
      <c r="X1214" s="13" t="s">
        <v>506</v>
      </c>
      <c r="Y1214" s="13" t="s">
        <v>507</v>
      </c>
      <c r="Z1214" s="13" t="s">
        <v>686</v>
      </c>
    </row>
    <row r="1215" spans="1:26">
      <c r="A1215" t="s">
        <v>412</v>
      </c>
      <c r="B1215" s="25">
        <f>+Municipios!P112</f>
        <v>62.812217896762974</v>
      </c>
      <c r="C1215" s="13">
        <v>25245</v>
      </c>
      <c r="D1215" s="13" t="s">
        <v>687</v>
      </c>
      <c r="E1215" s="13" t="s">
        <v>461</v>
      </c>
      <c r="F1215" s="13" t="s">
        <v>462</v>
      </c>
      <c r="G1215" s="13" t="s">
        <v>688</v>
      </c>
      <c r="K1215" t="s">
        <v>413</v>
      </c>
      <c r="L1215" s="81">
        <f>+Municipios!U112</f>
        <v>39.687753043229598</v>
      </c>
      <c r="M1215" s="13">
        <v>25245</v>
      </c>
      <c r="N1215" s="13" t="s">
        <v>687</v>
      </c>
      <c r="O1215" s="13" t="s">
        <v>461</v>
      </c>
      <c r="P1215" s="13" t="s">
        <v>462</v>
      </c>
      <c r="Q1215" s="13" t="s">
        <v>688</v>
      </c>
      <c r="T1215" t="s">
        <v>2804</v>
      </c>
      <c r="U1215" s="25">
        <f>+Municipios!P112</f>
        <v>62.812217896762974</v>
      </c>
      <c r="V1215" s="13">
        <v>25245</v>
      </c>
      <c r="W1215" s="13" t="s">
        <v>687</v>
      </c>
      <c r="X1215" s="13" t="s">
        <v>461</v>
      </c>
      <c r="Y1215" s="13" t="s">
        <v>462</v>
      </c>
      <c r="Z1215" s="13" t="s">
        <v>688</v>
      </c>
    </row>
    <row r="1216" spans="1:26">
      <c r="A1216" t="s">
        <v>412</v>
      </c>
      <c r="B1216" s="25">
        <f>+Municipios!P113</f>
        <v>70.115928459382033</v>
      </c>
      <c r="C1216" s="13">
        <v>68755</v>
      </c>
      <c r="D1216" s="13" t="s">
        <v>689</v>
      </c>
      <c r="E1216" s="13" t="s">
        <v>431</v>
      </c>
      <c r="F1216" s="13" t="s">
        <v>432</v>
      </c>
      <c r="G1216" s="13" t="s">
        <v>690</v>
      </c>
      <c r="K1216" t="s">
        <v>413</v>
      </c>
      <c r="L1216" s="81">
        <f>+Municipios!U113</f>
        <v>44.717672211432408</v>
      </c>
      <c r="M1216" s="13">
        <v>68755</v>
      </c>
      <c r="N1216" s="13" t="s">
        <v>689</v>
      </c>
      <c r="O1216" s="13" t="s">
        <v>431</v>
      </c>
      <c r="P1216" s="13" t="s">
        <v>432</v>
      </c>
      <c r="Q1216" s="13" t="s">
        <v>690</v>
      </c>
      <c r="T1216" t="s">
        <v>2804</v>
      </c>
      <c r="U1216" s="25">
        <f>+Municipios!P113</f>
        <v>70.115928459382033</v>
      </c>
      <c r="V1216" s="13">
        <v>68755</v>
      </c>
      <c r="W1216" s="13" t="s">
        <v>689</v>
      </c>
      <c r="X1216" s="13" t="s">
        <v>431</v>
      </c>
      <c r="Y1216" s="13" t="s">
        <v>432</v>
      </c>
      <c r="Z1216" s="13" t="s">
        <v>690</v>
      </c>
    </row>
    <row r="1217" spans="1:26">
      <c r="A1217" t="s">
        <v>412</v>
      </c>
      <c r="B1217" s="25">
        <f>+Municipios!P114</f>
        <v>59.075856563735968</v>
      </c>
      <c r="C1217" s="13">
        <v>5190</v>
      </c>
      <c r="D1217" s="13" t="s">
        <v>691</v>
      </c>
      <c r="E1217" s="13" t="s">
        <v>435</v>
      </c>
      <c r="F1217" s="13" t="s">
        <v>436</v>
      </c>
      <c r="G1217" s="13" t="s">
        <v>692</v>
      </c>
      <c r="K1217" t="s">
        <v>413</v>
      </c>
      <c r="L1217" s="81">
        <f>+Municipios!U114</f>
        <v>37.784466467841767</v>
      </c>
      <c r="M1217" s="13">
        <v>5190</v>
      </c>
      <c r="N1217" s="13" t="s">
        <v>691</v>
      </c>
      <c r="O1217" s="13" t="s">
        <v>435</v>
      </c>
      <c r="P1217" s="13" t="s">
        <v>436</v>
      </c>
      <c r="Q1217" s="13" t="s">
        <v>692</v>
      </c>
      <c r="T1217" t="s">
        <v>2804</v>
      </c>
      <c r="U1217" s="25">
        <f>+Municipios!P114</f>
        <v>59.075856563735968</v>
      </c>
      <c r="V1217" s="13">
        <v>5190</v>
      </c>
      <c r="W1217" s="13" t="s">
        <v>691</v>
      </c>
      <c r="X1217" s="13" t="s">
        <v>435</v>
      </c>
      <c r="Y1217" s="13" t="s">
        <v>436</v>
      </c>
      <c r="Z1217" s="13" t="s">
        <v>692</v>
      </c>
    </row>
    <row r="1218" spans="1:26">
      <c r="A1218" t="s">
        <v>412</v>
      </c>
      <c r="B1218" s="25">
        <f>+Municipios!P115</f>
        <v>61.219707213355129</v>
      </c>
      <c r="C1218" s="13">
        <v>15322</v>
      </c>
      <c r="D1218" s="13" t="s">
        <v>693</v>
      </c>
      <c r="E1218" s="13" t="s">
        <v>498</v>
      </c>
      <c r="F1218" s="13" t="s">
        <v>499</v>
      </c>
      <c r="G1218" s="13" t="s">
        <v>694</v>
      </c>
      <c r="K1218" t="s">
        <v>413</v>
      </c>
      <c r="L1218" s="81">
        <f>+Municipios!U115</f>
        <v>38.770619694518906</v>
      </c>
      <c r="M1218" s="13">
        <v>15322</v>
      </c>
      <c r="N1218" s="13" t="s">
        <v>693</v>
      </c>
      <c r="O1218" s="13" t="s">
        <v>498</v>
      </c>
      <c r="P1218" s="13" t="s">
        <v>499</v>
      </c>
      <c r="Q1218" s="13" t="s">
        <v>694</v>
      </c>
      <c r="T1218" t="s">
        <v>2804</v>
      </c>
      <c r="U1218" s="25">
        <f>+Municipios!P115</f>
        <v>61.219707213355129</v>
      </c>
      <c r="V1218" s="13">
        <v>15322</v>
      </c>
      <c r="W1218" s="13" t="s">
        <v>693</v>
      </c>
      <c r="X1218" s="13" t="s">
        <v>498</v>
      </c>
      <c r="Y1218" s="13" t="s">
        <v>499</v>
      </c>
      <c r="Z1218" s="13" t="s">
        <v>694</v>
      </c>
    </row>
    <row r="1219" spans="1:26">
      <c r="A1219" t="s">
        <v>412</v>
      </c>
      <c r="B1219" s="25">
        <f>+Municipios!P116</f>
        <v>62.314163077470567</v>
      </c>
      <c r="C1219" s="13">
        <v>25797</v>
      </c>
      <c r="D1219" s="13" t="s">
        <v>695</v>
      </c>
      <c r="E1219" s="13" t="s">
        <v>461</v>
      </c>
      <c r="F1219" s="13" t="s">
        <v>462</v>
      </c>
      <c r="G1219" s="13" t="s">
        <v>696</v>
      </c>
      <c r="K1219" t="s">
        <v>413</v>
      </c>
      <c r="L1219" s="81">
        <f>+Municipios!U116</f>
        <v>39.359869264605791</v>
      </c>
      <c r="M1219" s="13">
        <v>25797</v>
      </c>
      <c r="N1219" s="13" t="s">
        <v>695</v>
      </c>
      <c r="O1219" s="13" t="s">
        <v>461</v>
      </c>
      <c r="P1219" s="13" t="s">
        <v>462</v>
      </c>
      <c r="Q1219" s="13" t="s">
        <v>696</v>
      </c>
      <c r="T1219" t="s">
        <v>2804</v>
      </c>
      <c r="U1219" s="25">
        <f>+Municipios!P116</f>
        <v>62.314163077470567</v>
      </c>
      <c r="V1219" s="13">
        <v>25797</v>
      </c>
      <c r="W1219" s="13" t="s">
        <v>695</v>
      </c>
      <c r="X1219" s="13" t="s">
        <v>461</v>
      </c>
      <c r="Y1219" s="13" t="s">
        <v>462</v>
      </c>
      <c r="Z1219" s="13" t="s">
        <v>696</v>
      </c>
    </row>
    <row r="1220" spans="1:26">
      <c r="A1220" t="s">
        <v>412</v>
      </c>
      <c r="B1220" s="25">
        <f>+Municipios!P117</f>
        <v>69.233020475949886</v>
      </c>
      <c r="C1220" s="13">
        <v>25799</v>
      </c>
      <c r="D1220" s="13" t="s">
        <v>697</v>
      </c>
      <c r="E1220" s="13" t="s">
        <v>461</v>
      </c>
      <c r="F1220" s="13" t="s">
        <v>462</v>
      </c>
      <c r="G1220" s="13" t="s">
        <v>698</v>
      </c>
      <c r="K1220" t="s">
        <v>413</v>
      </c>
      <c r="L1220" s="81">
        <f>+Municipios!U117</f>
        <v>43.413517396052946</v>
      </c>
      <c r="M1220" s="13">
        <v>25799</v>
      </c>
      <c r="N1220" s="13" t="s">
        <v>697</v>
      </c>
      <c r="O1220" s="13" t="s">
        <v>461</v>
      </c>
      <c r="P1220" s="13" t="s">
        <v>462</v>
      </c>
      <c r="Q1220" s="13" t="s">
        <v>698</v>
      </c>
      <c r="T1220" t="s">
        <v>2804</v>
      </c>
      <c r="U1220" s="25">
        <f>+Municipios!P117</f>
        <v>69.233020475949886</v>
      </c>
      <c r="V1220" s="13">
        <v>25799</v>
      </c>
      <c r="W1220" s="13" t="s">
        <v>697</v>
      </c>
      <c r="X1220" s="13" t="s">
        <v>461</v>
      </c>
      <c r="Y1220" s="13" t="s">
        <v>462</v>
      </c>
      <c r="Z1220" s="13" t="s">
        <v>698</v>
      </c>
    </row>
    <row r="1221" spans="1:26">
      <c r="A1221" t="s">
        <v>412</v>
      </c>
      <c r="B1221" s="25">
        <f>+Municipios!P118</f>
        <v>63.590558912537119</v>
      </c>
      <c r="C1221" s="13">
        <v>76111</v>
      </c>
      <c r="D1221" s="13" t="s">
        <v>699</v>
      </c>
      <c r="E1221" s="13" t="s">
        <v>454</v>
      </c>
      <c r="F1221" s="13" t="s">
        <v>455</v>
      </c>
      <c r="G1221" s="13" t="s">
        <v>700</v>
      </c>
      <c r="K1221" t="s">
        <v>413</v>
      </c>
      <c r="L1221" s="81">
        <f>+Municipios!U118</f>
        <v>39.901082967870991</v>
      </c>
      <c r="M1221" s="13">
        <v>76111</v>
      </c>
      <c r="N1221" s="13" t="s">
        <v>699</v>
      </c>
      <c r="O1221" s="13" t="s">
        <v>454</v>
      </c>
      <c r="P1221" s="13" t="s">
        <v>455</v>
      </c>
      <c r="Q1221" s="13" t="s">
        <v>700</v>
      </c>
      <c r="T1221" t="s">
        <v>2804</v>
      </c>
      <c r="U1221" s="25">
        <f>+Municipios!P118</f>
        <v>63.590558912537119</v>
      </c>
      <c r="V1221" s="13">
        <v>76111</v>
      </c>
      <c r="W1221" s="13" t="s">
        <v>699</v>
      </c>
      <c r="X1221" s="13" t="s">
        <v>454</v>
      </c>
      <c r="Y1221" s="13" t="s">
        <v>455</v>
      </c>
      <c r="Z1221" s="13" t="s">
        <v>700</v>
      </c>
    </row>
    <row r="1222" spans="1:26">
      <c r="A1222" t="s">
        <v>412</v>
      </c>
      <c r="B1222" s="25">
        <f>+Municipios!P119</f>
        <v>74.000552066462546</v>
      </c>
      <c r="C1222" s="13">
        <v>15491</v>
      </c>
      <c r="D1222" s="13" t="s">
        <v>701</v>
      </c>
      <c r="E1222" s="13" t="s">
        <v>498</v>
      </c>
      <c r="F1222" s="13" t="s">
        <v>499</v>
      </c>
      <c r="G1222" s="13" t="s">
        <v>702</v>
      </c>
      <c r="K1222" t="s">
        <v>413</v>
      </c>
      <c r="L1222" s="81">
        <f>+Municipios!U119</f>
        <v>46.51350373760183</v>
      </c>
      <c r="M1222" s="13">
        <v>15491</v>
      </c>
      <c r="N1222" s="13" t="s">
        <v>701</v>
      </c>
      <c r="O1222" s="13" t="s">
        <v>498</v>
      </c>
      <c r="P1222" s="13" t="s">
        <v>499</v>
      </c>
      <c r="Q1222" s="13" t="s">
        <v>702</v>
      </c>
      <c r="T1222" t="s">
        <v>2804</v>
      </c>
      <c r="U1222" s="25">
        <f>+Municipios!P119</f>
        <v>74.000552066462546</v>
      </c>
      <c r="V1222" s="13">
        <v>15491</v>
      </c>
      <c r="W1222" s="13" t="s">
        <v>701</v>
      </c>
      <c r="X1222" s="13" t="s">
        <v>498</v>
      </c>
      <c r="Y1222" s="13" t="s">
        <v>499</v>
      </c>
      <c r="Z1222" s="13" t="s">
        <v>702</v>
      </c>
    </row>
    <row r="1223" spans="1:26">
      <c r="A1223" t="s">
        <v>412</v>
      </c>
      <c r="B1223" s="25">
        <f>+Municipios!P120</f>
        <v>49.289086854001738</v>
      </c>
      <c r="C1223" s="13">
        <v>13222</v>
      </c>
      <c r="D1223" s="13" t="s">
        <v>703</v>
      </c>
      <c r="E1223" s="13" t="s">
        <v>480</v>
      </c>
      <c r="F1223" s="13" t="s">
        <v>481</v>
      </c>
      <c r="G1223" s="13" t="s">
        <v>704</v>
      </c>
      <c r="K1223" t="s">
        <v>413</v>
      </c>
      <c r="L1223" s="81">
        <f>+Municipios!U120</f>
        <v>31.066844105446258</v>
      </c>
      <c r="M1223" s="13">
        <v>13222</v>
      </c>
      <c r="N1223" s="13" t="s">
        <v>703</v>
      </c>
      <c r="O1223" s="13" t="s">
        <v>480</v>
      </c>
      <c r="P1223" s="13" t="s">
        <v>481</v>
      </c>
      <c r="Q1223" s="13" t="s">
        <v>704</v>
      </c>
      <c r="T1223" t="s">
        <v>2804</v>
      </c>
      <c r="U1223" s="25">
        <f>+Municipios!P120</f>
        <v>49.289086854001738</v>
      </c>
      <c r="V1223" s="13">
        <v>13222</v>
      </c>
      <c r="W1223" s="13" t="s">
        <v>703</v>
      </c>
      <c r="X1223" s="13" t="s">
        <v>480</v>
      </c>
      <c r="Y1223" s="13" t="s">
        <v>481</v>
      </c>
      <c r="Z1223" s="13" t="s">
        <v>704</v>
      </c>
    </row>
    <row r="1224" spans="1:26">
      <c r="A1224" t="s">
        <v>412</v>
      </c>
      <c r="B1224" s="25">
        <f>+Municipios!P121</f>
        <v>77.144687751902623</v>
      </c>
      <c r="C1224" s="13">
        <v>25123</v>
      </c>
      <c r="D1224" s="13" t="s">
        <v>705</v>
      </c>
      <c r="E1224" s="13" t="s">
        <v>461</v>
      </c>
      <c r="F1224" s="13" t="s">
        <v>462</v>
      </c>
      <c r="G1224" s="13" t="s">
        <v>706</v>
      </c>
      <c r="K1224" t="s">
        <v>413</v>
      </c>
      <c r="L1224" s="81">
        <f>+Municipios!U121</f>
        <v>47.921148392215706</v>
      </c>
      <c r="M1224" s="13">
        <v>25123</v>
      </c>
      <c r="N1224" s="13" t="s">
        <v>705</v>
      </c>
      <c r="O1224" s="13" t="s">
        <v>461</v>
      </c>
      <c r="P1224" s="13" t="s">
        <v>462</v>
      </c>
      <c r="Q1224" s="13" t="s">
        <v>706</v>
      </c>
      <c r="T1224" t="s">
        <v>2804</v>
      </c>
      <c r="U1224" s="25">
        <f>+Municipios!P121</f>
        <v>77.144687751902623</v>
      </c>
      <c r="V1224" s="13">
        <v>25123</v>
      </c>
      <c r="W1224" s="13" t="s">
        <v>705</v>
      </c>
      <c r="X1224" s="13" t="s">
        <v>461</v>
      </c>
      <c r="Y1224" s="13" t="s">
        <v>462</v>
      </c>
      <c r="Z1224" s="13" t="s">
        <v>706</v>
      </c>
    </row>
    <row r="1225" spans="1:26">
      <c r="A1225" t="s">
        <v>412</v>
      </c>
      <c r="B1225" s="25">
        <f>+Municipios!P122</f>
        <v>63.173890258849141</v>
      </c>
      <c r="C1225" s="13">
        <v>19548</v>
      </c>
      <c r="D1225" s="13" t="s">
        <v>707</v>
      </c>
      <c r="E1225" s="13" t="s">
        <v>557</v>
      </c>
      <c r="F1225" s="13" t="s">
        <v>558</v>
      </c>
      <c r="G1225" s="13" t="s">
        <v>708</v>
      </c>
      <c r="K1225" t="s">
        <v>413</v>
      </c>
      <c r="L1225" s="81">
        <f>+Municipios!U122</f>
        <v>39.51152348758842</v>
      </c>
      <c r="M1225" s="13">
        <v>19548</v>
      </c>
      <c r="N1225" s="13" t="s">
        <v>707</v>
      </c>
      <c r="O1225" s="13" t="s">
        <v>557</v>
      </c>
      <c r="P1225" s="13" t="s">
        <v>558</v>
      </c>
      <c r="Q1225" s="13" t="s">
        <v>708</v>
      </c>
      <c r="T1225" t="s">
        <v>2804</v>
      </c>
      <c r="U1225" s="25">
        <f>+Municipios!P122</f>
        <v>63.173890258849141</v>
      </c>
      <c r="V1225" s="13">
        <v>19548</v>
      </c>
      <c r="W1225" s="13" t="s">
        <v>707</v>
      </c>
      <c r="X1225" s="13" t="s">
        <v>557</v>
      </c>
      <c r="Y1225" s="13" t="s">
        <v>558</v>
      </c>
      <c r="Z1225" s="13" t="s">
        <v>708</v>
      </c>
    </row>
    <row r="1226" spans="1:26">
      <c r="A1226" t="s">
        <v>412</v>
      </c>
      <c r="B1226" s="25">
        <f>+Municipios!P123</f>
        <v>72.177597002188804</v>
      </c>
      <c r="C1226" s="13">
        <v>19300</v>
      </c>
      <c r="D1226" s="13" t="s">
        <v>709</v>
      </c>
      <c r="E1226" s="13" t="s">
        <v>557</v>
      </c>
      <c r="F1226" s="13" t="s">
        <v>558</v>
      </c>
      <c r="G1226" s="13" t="s">
        <v>710</v>
      </c>
      <c r="K1226" t="s">
        <v>413</v>
      </c>
      <c r="L1226" s="81">
        <f>+Municipios!U123</f>
        <v>45.207814330044464</v>
      </c>
      <c r="M1226" s="13">
        <v>19300</v>
      </c>
      <c r="N1226" s="13" t="s">
        <v>709</v>
      </c>
      <c r="O1226" s="13" t="s">
        <v>557</v>
      </c>
      <c r="P1226" s="13" t="s">
        <v>558</v>
      </c>
      <c r="Q1226" s="13" t="s">
        <v>710</v>
      </c>
      <c r="T1226" t="s">
        <v>2804</v>
      </c>
      <c r="U1226" s="25">
        <f>+Municipios!P123</f>
        <v>72.177597002188804</v>
      </c>
      <c r="V1226" s="13">
        <v>19300</v>
      </c>
      <c r="W1226" s="13" t="s">
        <v>709</v>
      </c>
      <c r="X1226" s="13" t="s">
        <v>557</v>
      </c>
      <c r="Y1226" s="13" t="s">
        <v>558</v>
      </c>
      <c r="Z1226" s="13" t="s">
        <v>710</v>
      </c>
    </row>
    <row r="1227" spans="1:26">
      <c r="A1227" t="s">
        <v>412</v>
      </c>
      <c r="B1227" s="25">
        <f>+Municipios!P124</f>
        <v>72.053409931342998</v>
      </c>
      <c r="C1227" s="13">
        <v>25875</v>
      </c>
      <c r="D1227" s="13" t="s">
        <v>711</v>
      </c>
      <c r="E1227" s="13" t="s">
        <v>461</v>
      </c>
      <c r="F1227" s="13" t="s">
        <v>462</v>
      </c>
      <c r="G1227" s="13" t="s">
        <v>712</v>
      </c>
      <c r="K1227" t="s">
        <v>413</v>
      </c>
      <c r="L1227" s="81">
        <f>+Municipios!U124</f>
        <v>44.501665605260179</v>
      </c>
      <c r="M1227" s="13">
        <v>25875</v>
      </c>
      <c r="N1227" s="13" t="s">
        <v>711</v>
      </c>
      <c r="O1227" s="13" t="s">
        <v>461</v>
      </c>
      <c r="P1227" s="13" t="s">
        <v>462</v>
      </c>
      <c r="Q1227" s="13" t="s">
        <v>712</v>
      </c>
      <c r="T1227" t="s">
        <v>2804</v>
      </c>
      <c r="U1227" s="25">
        <f>+Municipios!P124</f>
        <v>72.053409931342998</v>
      </c>
      <c r="V1227" s="13">
        <v>25875</v>
      </c>
      <c r="W1227" s="13" t="s">
        <v>711</v>
      </c>
      <c r="X1227" s="13" t="s">
        <v>461</v>
      </c>
      <c r="Y1227" s="13" t="s">
        <v>462</v>
      </c>
      <c r="Z1227" s="13" t="s">
        <v>712</v>
      </c>
    </row>
    <row r="1228" spans="1:26">
      <c r="A1228" t="s">
        <v>412</v>
      </c>
      <c r="B1228" s="25">
        <f>+Municipios!P125</f>
        <v>66.084996075430325</v>
      </c>
      <c r="C1228" s="13">
        <v>5148</v>
      </c>
      <c r="D1228" s="13" t="s">
        <v>713</v>
      </c>
      <c r="E1228" s="13" t="s">
        <v>435</v>
      </c>
      <c r="F1228" s="13" t="s">
        <v>436</v>
      </c>
      <c r="G1228" s="13" t="s">
        <v>714</v>
      </c>
      <c r="K1228" t="s">
        <v>413</v>
      </c>
      <c r="L1228" s="81">
        <f>+Municipios!U125</f>
        <v>41.859261586206408</v>
      </c>
      <c r="M1228" s="13">
        <v>5148</v>
      </c>
      <c r="N1228" s="13" t="s">
        <v>713</v>
      </c>
      <c r="O1228" s="13" t="s">
        <v>435</v>
      </c>
      <c r="P1228" s="13" t="s">
        <v>436</v>
      </c>
      <c r="Q1228" s="13" t="s">
        <v>714</v>
      </c>
      <c r="T1228" t="s">
        <v>2804</v>
      </c>
      <c r="U1228" s="25">
        <f>+Municipios!P125</f>
        <v>66.084996075430325</v>
      </c>
      <c r="V1228" s="13">
        <v>5148</v>
      </c>
      <c r="W1228" s="13" t="s">
        <v>713</v>
      </c>
      <c r="X1228" s="13" t="s">
        <v>435</v>
      </c>
      <c r="Y1228" s="13" t="s">
        <v>436</v>
      </c>
      <c r="Z1228" s="13" t="s">
        <v>714</v>
      </c>
    </row>
    <row r="1229" spans="1:26">
      <c r="A1229" t="s">
        <v>412</v>
      </c>
      <c r="B1229" s="25">
        <f>+Municipios!P126</f>
        <v>56.317091017813844</v>
      </c>
      <c r="C1229" s="13">
        <v>5541</v>
      </c>
      <c r="D1229" s="13" t="s">
        <v>715</v>
      </c>
      <c r="E1229" s="13" t="s">
        <v>435</v>
      </c>
      <c r="F1229" s="13" t="s">
        <v>436</v>
      </c>
      <c r="G1229" s="13" t="s">
        <v>716</v>
      </c>
      <c r="K1229" t="s">
        <v>413</v>
      </c>
      <c r="L1229" s="81">
        <f>+Municipios!U126</f>
        <v>35.385777179947624</v>
      </c>
      <c r="M1229" s="13">
        <v>5541</v>
      </c>
      <c r="N1229" s="13" t="s">
        <v>715</v>
      </c>
      <c r="O1229" s="13" t="s">
        <v>435</v>
      </c>
      <c r="P1229" s="13" t="s">
        <v>436</v>
      </c>
      <c r="Q1229" s="13" t="s">
        <v>716</v>
      </c>
      <c r="T1229" t="s">
        <v>2804</v>
      </c>
      <c r="U1229" s="25">
        <f>+Municipios!P126</f>
        <v>56.317091017813844</v>
      </c>
      <c r="V1229" s="13">
        <v>5541</v>
      </c>
      <c r="W1229" s="13" t="s">
        <v>715</v>
      </c>
      <c r="X1229" s="13" t="s">
        <v>435</v>
      </c>
      <c r="Y1229" s="13" t="s">
        <v>436</v>
      </c>
      <c r="Z1229" s="13" t="s">
        <v>716</v>
      </c>
    </row>
    <row r="1230" spans="1:26">
      <c r="A1230" t="s">
        <v>412</v>
      </c>
      <c r="B1230" s="25">
        <f>+Municipios!P127</f>
        <v>42.348426014025115</v>
      </c>
      <c r="C1230" s="13">
        <v>13620</v>
      </c>
      <c r="D1230" s="13" t="s">
        <v>717</v>
      </c>
      <c r="E1230" s="13" t="s">
        <v>480</v>
      </c>
      <c r="F1230" s="13" t="s">
        <v>481</v>
      </c>
      <c r="G1230" s="13" t="s">
        <v>718</v>
      </c>
      <c r="K1230" t="s">
        <v>413</v>
      </c>
      <c r="L1230" s="81">
        <f>+Municipios!U127</f>
        <v>26.647339233530214</v>
      </c>
      <c r="M1230" s="13">
        <v>13620</v>
      </c>
      <c r="N1230" s="13" t="s">
        <v>717</v>
      </c>
      <c r="O1230" s="13" t="s">
        <v>480</v>
      </c>
      <c r="P1230" s="13" t="s">
        <v>481</v>
      </c>
      <c r="Q1230" s="13" t="s">
        <v>718</v>
      </c>
      <c r="T1230" t="s">
        <v>2804</v>
      </c>
      <c r="U1230" s="25">
        <f>+Municipios!P127</f>
        <v>42.348426014025115</v>
      </c>
      <c r="V1230" s="13">
        <v>13620</v>
      </c>
      <c r="W1230" s="13" t="s">
        <v>717</v>
      </c>
      <c r="X1230" s="13" t="s">
        <v>480</v>
      </c>
      <c r="Y1230" s="13" t="s">
        <v>481</v>
      </c>
      <c r="Z1230" s="13" t="s">
        <v>718</v>
      </c>
    </row>
    <row r="1231" spans="1:26">
      <c r="A1231" t="s">
        <v>412</v>
      </c>
      <c r="B1231" s="25">
        <f>+Municipios!P128</f>
        <v>42.770184517706824</v>
      </c>
      <c r="C1231" s="13">
        <v>13873</v>
      </c>
      <c r="D1231" s="13" t="s">
        <v>719</v>
      </c>
      <c r="E1231" s="13" t="s">
        <v>480</v>
      </c>
      <c r="F1231" s="13" t="s">
        <v>481</v>
      </c>
      <c r="G1231" s="13" t="s">
        <v>720</v>
      </c>
      <c r="K1231" t="s">
        <v>413</v>
      </c>
      <c r="L1231" s="81">
        <f>+Municipios!U128</f>
        <v>26.9650332611448</v>
      </c>
      <c r="M1231" s="13">
        <v>13873</v>
      </c>
      <c r="N1231" s="13" t="s">
        <v>719</v>
      </c>
      <c r="O1231" s="13" t="s">
        <v>480</v>
      </c>
      <c r="P1231" s="13" t="s">
        <v>481</v>
      </c>
      <c r="Q1231" s="13" t="s">
        <v>720</v>
      </c>
      <c r="T1231" t="s">
        <v>2804</v>
      </c>
      <c r="U1231" s="25">
        <f>+Municipios!P128</f>
        <v>42.770184517706824</v>
      </c>
      <c r="V1231" s="13">
        <v>13873</v>
      </c>
      <c r="W1231" s="13" t="s">
        <v>719</v>
      </c>
      <c r="X1231" s="13" t="s">
        <v>480</v>
      </c>
      <c r="Y1231" s="13" t="s">
        <v>481</v>
      </c>
      <c r="Z1231" s="13" t="s">
        <v>720</v>
      </c>
    </row>
    <row r="1232" spans="1:26">
      <c r="A1232" t="s">
        <v>412</v>
      </c>
      <c r="B1232" s="25">
        <f>+Municipios!P129</f>
        <v>56.553682949118425</v>
      </c>
      <c r="C1232" s="13">
        <v>23672</v>
      </c>
      <c r="D1232" s="13" t="s">
        <v>721</v>
      </c>
      <c r="E1232" s="13" t="s">
        <v>567</v>
      </c>
      <c r="F1232" s="13" t="s">
        <v>568</v>
      </c>
      <c r="G1232" s="13" t="s">
        <v>722</v>
      </c>
      <c r="K1232" t="s">
        <v>413</v>
      </c>
      <c r="L1232" s="81">
        <f>+Municipios!U129</f>
        <v>35.432615092485349</v>
      </c>
      <c r="M1232" s="13">
        <v>23672</v>
      </c>
      <c r="N1232" s="13" t="s">
        <v>721</v>
      </c>
      <c r="O1232" s="13" t="s">
        <v>567</v>
      </c>
      <c r="P1232" s="13" t="s">
        <v>568</v>
      </c>
      <c r="Q1232" s="13" t="s">
        <v>722</v>
      </c>
      <c r="T1232" t="s">
        <v>2804</v>
      </c>
      <c r="U1232" s="25">
        <f>+Municipios!P129</f>
        <v>56.553682949118425</v>
      </c>
      <c r="V1232" s="13">
        <v>23672</v>
      </c>
      <c r="W1232" s="13" t="s">
        <v>721</v>
      </c>
      <c r="X1232" s="13" t="s">
        <v>567</v>
      </c>
      <c r="Y1232" s="13" t="s">
        <v>568</v>
      </c>
      <c r="Z1232" s="13" t="s">
        <v>722</v>
      </c>
    </row>
    <row r="1233" spans="1:26">
      <c r="A1233" t="s">
        <v>412</v>
      </c>
      <c r="B1233" s="25">
        <f>+Municipios!P130</f>
        <v>59.464376072383715</v>
      </c>
      <c r="C1233" s="13">
        <v>5045</v>
      </c>
      <c r="D1233" s="13" t="s">
        <v>723</v>
      </c>
      <c r="E1233" s="13" t="s">
        <v>435</v>
      </c>
      <c r="F1233" s="13" t="s">
        <v>436</v>
      </c>
      <c r="G1233" s="13" t="s">
        <v>724</v>
      </c>
      <c r="K1233" t="s">
        <v>413</v>
      </c>
      <c r="L1233" s="81">
        <f>+Municipios!U130</f>
        <v>36.74304353323641</v>
      </c>
      <c r="M1233" s="13">
        <v>5045</v>
      </c>
      <c r="N1233" s="13" t="s">
        <v>723</v>
      </c>
      <c r="O1233" s="13" t="s">
        <v>435</v>
      </c>
      <c r="P1233" s="13" t="s">
        <v>436</v>
      </c>
      <c r="Q1233" s="13" t="s">
        <v>724</v>
      </c>
      <c r="T1233" t="s">
        <v>2804</v>
      </c>
      <c r="U1233" s="25">
        <f>+Municipios!P130</f>
        <v>59.464376072383715</v>
      </c>
      <c r="V1233" s="13">
        <v>5045</v>
      </c>
      <c r="W1233" s="13" t="s">
        <v>723</v>
      </c>
      <c r="X1233" s="13" t="s">
        <v>435</v>
      </c>
      <c r="Y1233" s="13" t="s">
        <v>436</v>
      </c>
      <c r="Z1233" s="13" t="s">
        <v>724</v>
      </c>
    </row>
    <row r="1234" spans="1:26">
      <c r="A1234" t="s">
        <v>412</v>
      </c>
      <c r="B1234" s="25">
        <f>+Municipios!P131</f>
        <v>52.586292141700469</v>
      </c>
      <c r="C1234" s="13">
        <v>54498</v>
      </c>
      <c r="D1234" s="13" t="s">
        <v>725</v>
      </c>
      <c r="E1234" s="13" t="s">
        <v>517</v>
      </c>
      <c r="F1234" s="13" t="s">
        <v>518</v>
      </c>
      <c r="G1234" s="13" t="s">
        <v>726</v>
      </c>
      <c r="K1234" t="s">
        <v>413</v>
      </c>
      <c r="L1234" s="81">
        <f>+Municipios!U131</f>
        <v>32.431558524342542</v>
      </c>
      <c r="M1234" s="13">
        <v>54498</v>
      </c>
      <c r="N1234" s="13" t="s">
        <v>725</v>
      </c>
      <c r="O1234" s="13" t="s">
        <v>517</v>
      </c>
      <c r="P1234" s="13" t="s">
        <v>518</v>
      </c>
      <c r="Q1234" s="13" t="s">
        <v>726</v>
      </c>
      <c r="T1234" t="s">
        <v>2804</v>
      </c>
      <c r="U1234" s="25">
        <f>+Municipios!P131</f>
        <v>52.586292141700469</v>
      </c>
      <c r="V1234" s="13">
        <v>54498</v>
      </c>
      <c r="W1234" s="13" t="s">
        <v>725</v>
      </c>
      <c r="X1234" s="13" t="s">
        <v>517</v>
      </c>
      <c r="Y1234" s="13" t="s">
        <v>518</v>
      </c>
      <c r="Z1234" s="13" t="s">
        <v>726</v>
      </c>
    </row>
    <row r="1235" spans="1:26">
      <c r="A1235" t="s">
        <v>412</v>
      </c>
      <c r="B1235" s="25">
        <f>+Municipios!P132</f>
        <v>63.487610009650304</v>
      </c>
      <c r="C1235" s="13">
        <v>19455</v>
      </c>
      <c r="D1235" s="13" t="s">
        <v>727</v>
      </c>
      <c r="E1235" s="13" t="s">
        <v>557</v>
      </c>
      <c r="F1235" s="13" t="s">
        <v>558</v>
      </c>
      <c r="G1235" s="13" t="s">
        <v>728</v>
      </c>
      <c r="K1235" t="s">
        <v>413</v>
      </c>
      <c r="L1235" s="81">
        <f>+Municipios!U132</f>
        <v>39.326162152663088</v>
      </c>
      <c r="M1235" s="13">
        <v>19455</v>
      </c>
      <c r="N1235" s="13" t="s">
        <v>727</v>
      </c>
      <c r="O1235" s="13" t="s">
        <v>557</v>
      </c>
      <c r="P1235" s="13" t="s">
        <v>558</v>
      </c>
      <c r="Q1235" s="13" t="s">
        <v>728</v>
      </c>
      <c r="T1235" t="s">
        <v>2804</v>
      </c>
      <c r="U1235" s="25">
        <f>+Municipios!P132</f>
        <v>63.487610009650304</v>
      </c>
      <c r="V1235" s="13">
        <v>19455</v>
      </c>
      <c r="W1235" s="13" t="s">
        <v>727</v>
      </c>
      <c r="X1235" s="13" t="s">
        <v>557</v>
      </c>
      <c r="Y1235" s="13" t="s">
        <v>558</v>
      </c>
      <c r="Z1235" s="13" t="s">
        <v>728</v>
      </c>
    </row>
    <row r="1236" spans="1:26">
      <c r="A1236" t="s">
        <v>412</v>
      </c>
      <c r="B1236" s="25">
        <f>+Municipios!P133</f>
        <v>70.134753570086531</v>
      </c>
      <c r="C1236" s="13">
        <v>66594</v>
      </c>
      <c r="D1236" s="13" t="s">
        <v>729</v>
      </c>
      <c r="E1236" s="13" t="s">
        <v>467</v>
      </c>
      <c r="F1236" s="13" t="s">
        <v>468</v>
      </c>
      <c r="G1236" s="13" t="s">
        <v>730</v>
      </c>
      <c r="K1236" t="s">
        <v>413</v>
      </c>
      <c r="L1236" s="81">
        <f>+Municipios!U133</f>
        <v>43.339278572170947</v>
      </c>
      <c r="M1236" s="13">
        <v>66594</v>
      </c>
      <c r="N1236" s="13" t="s">
        <v>729</v>
      </c>
      <c r="O1236" s="13" t="s">
        <v>467</v>
      </c>
      <c r="P1236" s="13" t="s">
        <v>468</v>
      </c>
      <c r="Q1236" s="13" t="s">
        <v>730</v>
      </c>
      <c r="T1236" t="s">
        <v>2804</v>
      </c>
      <c r="U1236" s="25">
        <f>+Municipios!P133</f>
        <v>70.134753570086531</v>
      </c>
      <c r="V1236" s="13">
        <v>66594</v>
      </c>
      <c r="W1236" s="13" t="s">
        <v>729</v>
      </c>
      <c r="X1236" s="13" t="s">
        <v>467</v>
      </c>
      <c r="Y1236" s="13" t="s">
        <v>468</v>
      </c>
      <c r="Z1236" s="13" t="s">
        <v>730</v>
      </c>
    </row>
    <row r="1237" spans="1:26">
      <c r="A1237" t="s">
        <v>412</v>
      </c>
      <c r="B1237" s="25">
        <f>+Municipios!P134</f>
        <v>65.063342689141024</v>
      </c>
      <c r="C1237" s="13">
        <v>25200</v>
      </c>
      <c r="D1237" s="13" t="s">
        <v>731</v>
      </c>
      <c r="E1237" s="13" t="s">
        <v>461</v>
      </c>
      <c r="F1237" s="13" t="s">
        <v>462</v>
      </c>
      <c r="G1237" s="13" t="s">
        <v>732</v>
      </c>
      <c r="K1237" t="s">
        <v>413</v>
      </c>
      <c r="L1237" s="81">
        <f>+Municipios!U134</f>
        <v>39.824240560759911</v>
      </c>
      <c r="M1237" s="13">
        <v>25200</v>
      </c>
      <c r="N1237" s="13" t="s">
        <v>731</v>
      </c>
      <c r="O1237" s="13" t="s">
        <v>461</v>
      </c>
      <c r="P1237" s="13" t="s">
        <v>462</v>
      </c>
      <c r="Q1237" s="13" t="s">
        <v>732</v>
      </c>
      <c r="T1237" t="s">
        <v>2804</v>
      </c>
      <c r="U1237" s="25">
        <f>+Municipios!P134</f>
        <v>65.063342689141024</v>
      </c>
      <c r="V1237" s="13">
        <v>25200</v>
      </c>
      <c r="W1237" s="13" t="s">
        <v>731</v>
      </c>
      <c r="X1237" s="13" t="s">
        <v>461</v>
      </c>
      <c r="Y1237" s="13" t="s">
        <v>462</v>
      </c>
      <c r="Z1237" s="13" t="s">
        <v>732</v>
      </c>
    </row>
    <row r="1238" spans="1:26">
      <c r="A1238" t="s">
        <v>412</v>
      </c>
      <c r="B1238" s="25">
        <f>+Municipios!P135</f>
        <v>65.517823325755828</v>
      </c>
      <c r="C1238" s="13">
        <v>73449</v>
      </c>
      <c r="D1238" s="13" t="s">
        <v>733</v>
      </c>
      <c r="E1238" s="13" t="s">
        <v>595</v>
      </c>
      <c r="F1238" s="13" t="s">
        <v>596</v>
      </c>
      <c r="G1238" s="13" t="s">
        <v>734</v>
      </c>
      <c r="K1238" t="s">
        <v>413</v>
      </c>
      <c r="L1238" s="81">
        <f>+Municipios!U135</f>
        <v>40.736491927920753</v>
      </c>
      <c r="M1238" s="13">
        <v>73449</v>
      </c>
      <c r="N1238" s="13" t="s">
        <v>733</v>
      </c>
      <c r="O1238" s="13" t="s">
        <v>595</v>
      </c>
      <c r="P1238" s="13" t="s">
        <v>596</v>
      </c>
      <c r="Q1238" s="13" t="s">
        <v>734</v>
      </c>
      <c r="T1238" t="s">
        <v>2804</v>
      </c>
      <c r="U1238" s="25">
        <f>+Municipios!P135</f>
        <v>65.517823325755828</v>
      </c>
      <c r="V1238" s="13">
        <v>73449</v>
      </c>
      <c r="W1238" s="13" t="s">
        <v>733</v>
      </c>
      <c r="X1238" s="13" t="s">
        <v>595</v>
      </c>
      <c r="Y1238" s="13" t="s">
        <v>596</v>
      </c>
      <c r="Z1238" s="13" t="s">
        <v>734</v>
      </c>
    </row>
    <row r="1239" spans="1:26">
      <c r="A1239" t="s">
        <v>412</v>
      </c>
      <c r="B1239" s="25">
        <f>+Municipios!P136</f>
        <v>51.380613213796522</v>
      </c>
      <c r="C1239" s="13">
        <v>47980</v>
      </c>
      <c r="D1239" s="13" t="s">
        <v>735</v>
      </c>
      <c r="E1239" s="13" t="s">
        <v>638</v>
      </c>
      <c r="F1239" s="13" t="s">
        <v>639</v>
      </c>
      <c r="G1239" s="13" t="s">
        <v>736</v>
      </c>
      <c r="K1239" t="s">
        <v>413</v>
      </c>
      <c r="L1239" s="81">
        <f>+Municipios!U136</f>
        <v>32.075384261174079</v>
      </c>
      <c r="M1239" s="13">
        <v>47980</v>
      </c>
      <c r="N1239" s="13" t="s">
        <v>735</v>
      </c>
      <c r="O1239" s="13" t="s">
        <v>638</v>
      </c>
      <c r="P1239" s="13" t="s">
        <v>639</v>
      </c>
      <c r="Q1239" s="13" t="s">
        <v>736</v>
      </c>
      <c r="T1239" t="s">
        <v>2804</v>
      </c>
      <c r="U1239" s="25">
        <f>+Municipios!P136</f>
        <v>51.380613213796522</v>
      </c>
      <c r="V1239" s="13">
        <v>47980</v>
      </c>
      <c r="W1239" s="13" t="s">
        <v>735</v>
      </c>
      <c r="X1239" s="13" t="s">
        <v>638</v>
      </c>
      <c r="Y1239" s="13" t="s">
        <v>639</v>
      </c>
      <c r="Z1239" s="13" t="s">
        <v>736</v>
      </c>
    </row>
    <row r="1240" spans="1:26">
      <c r="A1240" t="s">
        <v>412</v>
      </c>
      <c r="B1240" s="25">
        <f>+Municipios!P137</f>
        <v>68.372174246569614</v>
      </c>
      <c r="C1240" s="13">
        <v>76622</v>
      </c>
      <c r="D1240" s="13" t="s">
        <v>737</v>
      </c>
      <c r="E1240" s="13" t="s">
        <v>454</v>
      </c>
      <c r="F1240" s="13" t="s">
        <v>455</v>
      </c>
      <c r="G1240" s="13" t="s">
        <v>738</v>
      </c>
      <c r="K1240" t="s">
        <v>413</v>
      </c>
      <c r="L1240" s="81">
        <f>+Municipios!U137</f>
        <v>42.068871331190046</v>
      </c>
      <c r="M1240" s="13">
        <v>76622</v>
      </c>
      <c r="N1240" s="13" t="s">
        <v>737</v>
      </c>
      <c r="O1240" s="13" t="s">
        <v>454</v>
      </c>
      <c r="P1240" s="13" t="s">
        <v>455</v>
      </c>
      <c r="Q1240" s="13" t="s">
        <v>738</v>
      </c>
      <c r="T1240" t="s">
        <v>2804</v>
      </c>
      <c r="U1240" s="25">
        <f>+Municipios!P137</f>
        <v>68.372174246569614</v>
      </c>
      <c r="V1240" s="13">
        <v>76622</v>
      </c>
      <c r="W1240" s="13" t="s">
        <v>737</v>
      </c>
      <c r="X1240" s="13" t="s">
        <v>454</v>
      </c>
      <c r="Y1240" s="13" t="s">
        <v>455</v>
      </c>
      <c r="Z1240" s="13" t="s">
        <v>738</v>
      </c>
    </row>
    <row r="1241" spans="1:26">
      <c r="A1241" t="s">
        <v>412</v>
      </c>
      <c r="B1241" s="25">
        <f>+Municipios!P138</f>
        <v>69.67347946707379</v>
      </c>
      <c r="C1241" s="13">
        <v>23001</v>
      </c>
      <c r="D1241" s="13" t="s">
        <v>739</v>
      </c>
      <c r="E1241" s="13" t="s">
        <v>567</v>
      </c>
      <c r="F1241" s="13" t="s">
        <v>568</v>
      </c>
      <c r="G1241" s="13" t="s">
        <v>740</v>
      </c>
      <c r="K1241" t="s">
        <v>413</v>
      </c>
      <c r="L1241" s="81">
        <f>+Municipios!U138</f>
        <v>43.415634982377291</v>
      </c>
      <c r="M1241" s="13">
        <v>23001</v>
      </c>
      <c r="N1241" s="13" t="s">
        <v>739</v>
      </c>
      <c r="O1241" s="13" t="s">
        <v>567</v>
      </c>
      <c r="P1241" s="13" t="s">
        <v>568</v>
      </c>
      <c r="Q1241" s="13" t="s">
        <v>740</v>
      </c>
      <c r="T1241" t="s">
        <v>2804</v>
      </c>
      <c r="U1241" s="25">
        <f>+Municipios!P138</f>
        <v>69.67347946707379</v>
      </c>
      <c r="V1241" s="13">
        <v>23001</v>
      </c>
      <c r="W1241" s="13" t="s">
        <v>739</v>
      </c>
      <c r="X1241" s="13" t="s">
        <v>567</v>
      </c>
      <c r="Y1241" s="13" t="s">
        <v>568</v>
      </c>
      <c r="Z1241" s="13" t="s">
        <v>740</v>
      </c>
    </row>
    <row r="1242" spans="1:26">
      <c r="A1242" t="s">
        <v>412</v>
      </c>
      <c r="B1242" s="25">
        <f>+Municipios!P139</f>
        <v>63.214872911224319</v>
      </c>
      <c r="C1242" s="13">
        <v>66682</v>
      </c>
      <c r="D1242" s="13" t="s">
        <v>741</v>
      </c>
      <c r="E1242" s="13" t="s">
        <v>467</v>
      </c>
      <c r="F1242" s="13" t="s">
        <v>468</v>
      </c>
      <c r="G1242" s="13" t="s">
        <v>742</v>
      </c>
      <c r="K1242" t="s">
        <v>413</v>
      </c>
      <c r="L1242" s="81">
        <f>+Municipios!U139</f>
        <v>38.776024997812577</v>
      </c>
      <c r="M1242" s="13">
        <v>66682</v>
      </c>
      <c r="N1242" s="13" t="s">
        <v>741</v>
      </c>
      <c r="O1242" s="13" t="s">
        <v>467</v>
      </c>
      <c r="P1242" s="13" t="s">
        <v>468</v>
      </c>
      <c r="Q1242" s="13" t="s">
        <v>742</v>
      </c>
      <c r="T1242" t="s">
        <v>2804</v>
      </c>
      <c r="U1242" s="25">
        <f>+Municipios!P139</f>
        <v>63.214872911224319</v>
      </c>
      <c r="V1242" s="13">
        <v>66682</v>
      </c>
      <c r="W1242" s="13" t="s">
        <v>741</v>
      </c>
      <c r="X1242" s="13" t="s">
        <v>467</v>
      </c>
      <c r="Y1242" s="13" t="s">
        <v>468</v>
      </c>
      <c r="Z1242" s="13" t="s">
        <v>742</v>
      </c>
    </row>
    <row r="1243" spans="1:26">
      <c r="A1243" t="s">
        <v>412</v>
      </c>
      <c r="B1243" s="25">
        <f>+Municipios!P140</f>
        <v>54.737415091727328</v>
      </c>
      <c r="C1243" s="13">
        <v>76122</v>
      </c>
      <c r="D1243" s="13" t="s">
        <v>743</v>
      </c>
      <c r="E1243" s="13" t="s">
        <v>454</v>
      </c>
      <c r="F1243" s="13" t="s">
        <v>455</v>
      </c>
      <c r="G1243" s="13" t="s">
        <v>744</v>
      </c>
      <c r="K1243" t="s">
        <v>413</v>
      </c>
      <c r="L1243" s="81">
        <f>+Municipios!U140</f>
        <v>33.709453676902172</v>
      </c>
      <c r="M1243" s="13">
        <v>76122</v>
      </c>
      <c r="N1243" s="13" t="s">
        <v>743</v>
      </c>
      <c r="O1243" s="13" t="s">
        <v>454</v>
      </c>
      <c r="P1243" s="13" t="s">
        <v>455</v>
      </c>
      <c r="Q1243" s="13" t="s">
        <v>744</v>
      </c>
      <c r="T1243" t="s">
        <v>2804</v>
      </c>
      <c r="U1243" s="25">
        <f>+Municipios!P140</f>
        <v>54.737415091727328</v>
      </c>
      <c r="V1243" s="13">
        <v>76122</v>
      </c>
      <c r="W1243" s="13" t="s">
        <v>743</v>
      </c>
      <c r="X1243" s="13" t="s">
        <v>454</v>
      </c>
      <c r="Y1243" s="13" t="s">
        <v>455</v>
      </c>
      <c r="Z1243" s="13" t="s">
        <v>744</v>
      </c>
    </row>
    <row r="1244" spans="1:26">
      <c r="A1244" t="s">
        <v>412</v>
      </c>
      <c r="B1244" s="25">
        <f>+Municipios!P141</f>
        <v>53.509111697907088</v>
      </c>
      <c r="C1244" s="13">
        <v>23586</v>
      </c>
      <c r="D1244" s="13" t="s">
        <v>745</v>
      </c>
      <c r="E1244" s="13" t="s">
        <v>567</v>
      </c>
      <c r="F1244" s="13" t="s">
        <v>568</v>
      </c>
      <c r="G1244" s="13" t="s">
        <v>746</v>
      </c>
      <c r="K1244" t="s">
        <v>413</v>
      </c>
      <c r="L1244" s="81">
        <f>+Municipios!U141</f>
        <v>33.024314303521642</v>
      </c>
      <c r="M1244" s="13">
        <v>23586</v>
      </c>
      <c r="N1244" s="13" t="s">
        <v>745</v>
      </c>
      <c r="O1244" s="13" t="s">
        <v>567</v>
      </c>
      <c r="P1244" s="13" t="s">
        <v>568</v>
      </c>
      <c r="Q1244" s="13" t="s">
        <v>746</v>
      </c>
      <c r="T1244" t="s">
        <v>2804</v>
      </c>
      <c r="U1244" s="25">
        <f>+Municipios!P141</f>
        <v>53.509111697907088</v>
      </c>
      <c r="V1244" s="13">
        <v>23586</v>
      </c>
      <c r="W1244" s="13" t="s">
        <v>745</v>
      </c>
      <c r="X1244" s="13" t="s">
        <v>567</v>
      </c>
      <c r="Y1244" s="13" t="s">
        <v>568</v>
      </c>
      <c r="Z1244" s="13" t="s">
        <v>746</v>
      </c>
    </row>
    <row r="1245" spans="1:26">
      <c r="A1245" t="s">
        <v>412</v>
      </c>
      <c r="B1245" s="25">
        <f>+Municipios!P142</f>
        <v>58.262917994360578</v>
      </c>
      <c r="C1245" s="13">
        <v>17042</v>
      </c>
      <c r="D1245" s="13" t="s">
        <v>747</v>
      </c>
      <c r="E1245" s="13" t="s">
        <v>506</v>
      </c>
      <c r="F1245" s="13" t="s">
        <v>507</v>
      </c>
      <c r="G1245" s="13" t="s">
        <v>748</v>
      </c>
      <c r="K1245" t="s">
        <v>413</v>
      </c>
      <c r="L1245" s="81">
        <f>+Municipios!U142</f>
        <v>35.639311468979194</v>
      </c>
      <c r="M1245" s="13">
        <v>17042</v>
      </c>
      <c r="N1245" s="13" t="s">
        <v>747</v>
      </c>
      <c r="O1245" s="13" t="s">
        <v>506</v>
      </c>
      <c r="P1245" s="13" t="s">
        <v>507</v>
      </c>
      <c r="Q1245" s="13" t="s">
        <v>748</v>
      </c>
      <c r="T1245" t="s">
        <v>2804</v>
      </c>
      <c r="U1245" s="25">
        <f>+Municipios!P142</f>
        <v>58.262917994360578</v>
      </c>
      <c r="V1245" s="13">
        <v>17042</v>
      </c>
      <c r="W1245" s="13" t="s">
        <v>747</v>
      </c>
      <c r="X1245" s="13" t="s">
        <v>506</v>
      </c>
      <c r="Y1245" s="13" t="s">
        <v>507</v>
      </c>
      <c r="Z1245" s="13" t="s">
        <v>748</v>
      </c>
    </row>
    <row r="1246" spans="1:26">
      <c r="A1246" t="s">
        <v>412</v>
      </c>
      <c r="B1246" s="25">
        <f>+Municipios!P143</f>
        <v>56.766036097753087</v>
      </c>
      <c r="C1246" s="13">
        <v>5400</v>
      </c>
      <c r="D1246" s="13" t="s">
        <v>749</v>
      </c>
      <c r="E1246" s="13" t="s">
        <v>435</v>
      </c>
      <c r="F1246" s="13" t="s">
        <v>436</v>
      </c>
      <c r="G1246" s="13" t="s">
        <v>628</v>
      </c>
      <c r="K1246" t="s">
        <v>413</v>
      </c>
      <c r="L1246" s="81">
        <f>+Municipios!U143</f>
        <v>34.949087347200262</v>
      </c>
      <c r="M1246" s="13">
        <v>5400</v>
      </c>
      <c r="N1246" s="13" t="s">
        <v>749</v>
      </c>
      <c r="O1246" s="13" t="s">
        <v>435</v>
      </c>
      <c r="P1246" s="13" t="s">
        <v>436</v>
      </c>
      <c r="Q1246" s="13" t="s">
        <v>628</v>
      </c>
      <c r="T1246" t="s">
        <v>2804</v>
      </c>
      <c r="U1246" s="25">
        <f>+Municipios!P143</f>
        <v>56.766036097753087</v>
      </c>
      <c r="V1246" s="13">
        <v>5400</v>
      </c>
      <c r="W1246" s="13" t="s">
        <v>749</v>
      </c>
      <c r="X1246" s="13" t="s">
        <v>435</v>
      </c>
      <c r="Y1246" s="13" t="s">
        <v>436</v>
      </c>
      <c r="Z1246" s="13" t="s">
        <v>628</v>
      </c>
    </row>
    <row r="1247" spans="1:26">
      <c r="A1247" t="s">
        <v>412</v>
      </c>
      <c r="B1247" s="25">
        <f>+Municipios!P144</f>
        <v>72.420173275823842</v>
      </c>
      <c r="C1247" s="13">
        <v>13683</v>
      </c>
      <c r="D1247" s="13" t="s">
        <v>750</v>
      </c>
      <c r="E1247" s="13" t="s">
        <v>480</v>
      </c>
      <c r="F1247" s="13" t="s">
        <v>481</v>
      </c>
      <c r="G1247" s="13" t="s">
        <v>751</v>
      </c>
      <c r="K1247" t="s">
        <v>413</v>
      </c>
      <c r="L1247" s="81">
        <f>+Municipios!U144</f>
        <v>44.32498392627592</v>
      </c>
      <c r="M1247" s="13">
        <v>13683</v>
      </c>
      <c r="N1247" s="13" t="s">
        <v>750</v>
      </c>
      <c r="O1247" s="13" t="s">
        <v>480</v>
      </c>
      <c r="P1247" s="13" t="s">
        <v>481</v>
      </c>
      <c r="Q1247" s="13" t="s">
        <v>751</v>
      </c>
      <c r="T1247" t="s">
        <v>2804</v>
      </c>
      <c r="U1247" s="25">
        <f>+Municipios!P144</f>
        <v>72.420173275823842</v>
      </c>
      <c r="V1247" s="13">
        <v>13683</v>
      </c>
      <c r="W1247" s="13" t="s">
        <v>750</v>
      </c>
      <c r="X1247" s="13" t="s">
        <v>480</v>
      </c>
      <c r="Y1247" s="13" t="s">
        <v>481</v>
      </c>
      <c r="Z1247" s="13" t="s">
        <v>751</v>
      </c>
    </row>
    <row r="1248" spans="1:26">
      <c r="A1248" t="s">
        <v>412</v>
      </c>
      <c r="B1248" s="25">
        <f>+Municipios!P145</f>
        <v>58.059238083651422</v>
      </c>
      <c r="C1248" s="13">
        <v>76248</v>
      </c>
      <c r="D1248" s="13" t="s">
        <v>752</v>
      </c>
      <c r="E1248" s="13" t="s">
        <v>454</v>
      </c>
      <c r="F1248" s="13" t="s">
        <v>455</v>
      </c>
      <c r="G1248" s="13" t="s">
        <v>753</v>
      </c>
      <c r="K1248" t="s">
        <v>413</v>
      </c>
      <c r="L1248" s="81">
        <f>+Municipios!U145</f>
        <v>35.295991032358046</v>
      </c>
      <c r="M1248" s="13">
        <v>76248</v>
      </c>
      <c r="N1248" s="13" t="s">
        <v>752</v>
      </c>
      <c r="O1248" s="13" t="s">
        <v>454</v>
      </c>
      <c r="P1248" s="13" t="s">
        <v>455</v>
      </c>
      <c r="Q1248" s="13" t="s">
        <v>753</v>
      </c>
      <c r="T1248" t="s">
        <v>2804</v>
      </c>
      <c r="U1248" s="25">
        <f>+Municipios!P145</f>
        <v>58.059238083651422</v>
      </c>
      <c r="V1248" s="13">
        <v>76248</v>
      </c>
      <c r="W1248" s="13" t="s">
        <v>752</v>
      </c>
      <c r="X1248" s="13" t="s">
        <v>454</v>
      </c>
      <c r="Y1248" s="13" t="s">
        <v>455</v>
      </c>
      <c r="Z1248" s="13" t="s">
        <v>753</v>
      </c>
    </row>
    <row r="1249" spans="1:26">
      <c r="A1249" t="s">
        <v>412</v>
      </c>
      <c r="B1249" s="25">
        <f>+Municipios!P146</f>
        <v>61.293504191228422</v>
      </c>
      <c r="C1249" s="13">
        <v>25743</v>
      </c>
      <c r="D1249" s="13" t="s">
        <v>754</v>
      </c>
      <c r="E1249" s="13" t="s">
        <v>461</v>
      </c>
      <c r="F1249" s="13" t="s">
        <v>462</v>
      </c>
      <c r="G1249" s="13" t="s">
        <v>755</v>
      </c>
      <c r="K1249" t="s">
        <v>413</v>
      </c>
      <c r="L1249" s="81">
        <f>+Municipios!U146</f>
        <v>36.701462491232043</v>
      </c>
      <c r="M1249" s="13">
        <v>25743</v>
      </c>
      <c r="N1249" s="13" t="s">
        <v>754</v>
      </c>
      <c r="O1249" s="13" t="s">
        <v>461</v>
      </c>
      <c r="P1249" s="13" t="s">
        <v>462</v>
      </c>
      <c r="Q1249" s="13" t="s">
        <v>755</v>
      </c>
      <c r="T1249" t="s">
        <v>2804</v>
      </c>
      <c r="U1249" s="25">
        <f>+Municipios!P146</f>
        <v>61.293504191228422</v>
      </c>
      <c r="V1249" s="13">
        <v>25743</v>
      </c>
      <c r="W1249" s="13" t="s">
        <v>754</v>
      </c>
      <c r="X1249" s="13" t="s">
        <v>461</v>
      </c>
      <c r="Y1249" s="13" t="s">
        <v>462</v>
      </c>
      <c r="Z1249" s="13" t="s">
        <v>755</v>
      </c>
    </row>
    <row r="1250" spans="1:26">
      <c r="A1250" t="s">
        <v>412</v>
      </c>
      <c r="B1250" s="25">
        <f>+Municipios!P147</f>
        <v>61.037065706820641</v>
      </c>
      <c r="C1250" s="13">
        <v>25151</v>
      </c>
      <c r="D1250" s="13" t="s">
        <v>756</v>
      </c>
      <c r="E1250" s="13" t="s">
        <v>461</v>
      </c>
      <c r="F1250" s="13" t="s">
        <v>462</v>
      </c>
      <c r="G1250" s="13" t="s">
        <v>757</v>
      </c>
      <c r="K1250" t="s">
        <v>413</v>
      </c>
      <c r="L1250" s="81">
        <f>+Municipios!U147</f>
        <v>36.77983394570979</v>
      </c>
      <c r="M1250" s="13">
        <v>25151</v>
      </c>
      <c r="N1250" s="13" t="s">
        <v>756</v>
      </c>
      <c r="O1250" s="13" t="s">
        <v>461</v>
      </c>
      <c r="P1250" s="13" t="s">
        <v>462</v>
      </c>
      <c r="Q1250" s="13" t="s">
        <v>757</v>
      </c>
      <c r="T1250" t="s">
        <v>2804</v>
      </c>
      <c r="U1250" s="25">
        <f>+Municipios!P147</f>
        <v>61.037065706820641</v>
      </c>
      <c r="V1250" s="13">
        <v>25151</v>
      </c>
      <c r="W1250" s="13" t="s">
        <v>756</v>
      </c>
      <c r="X1250" s="13" t="s">
        <v>461</v>
      </c>
      <c r="Y1250" s="13" t="s">
        <v>462</v>
      </c>
      <c r="Z1250" s="13" t="s">
        <v>757</v>
      </c>
    </row>
    <row r="1251" spans="1:26">
      <c r="A1251" t="s">
        <v>412</v>
      </c>
      <c r="B1251" s="25">
        <f>+Municipios!P148</f>
        <v>52.41546932939881</v>
      </c>
      <c r="C1251" s="13">
        <v>52019</v>
      </c>
      <c r="D1251" s="13" t="s">
        <v>758</v>
      </c>
      <c r="E1251" s="13" t="s">
        <v>672</v>
      </c>
      <c r="F1251" s="13" t="s">
        <v>673</v>
      </c>
      <c r="G1251" s="13" t="s">
        <v>759</v>
      </c>
      <c r="K1251" t="s">
        <v>413</v>
      </c>
      <c r="L1251" s="81">
        <f>+Municipios!U148</f>
        <v>31.864227036665067</v>
      </c>
      <c r="M1251" s="13">
        <v>52019</v>
      </c>
      <c r="N1251" s="13" t="s">
        <v>758</v>
      </c>
      <c r="O1251" s="13" t="s">
        <v>672</v>
      </c>
      <c r="P1251" s="13" t="s">
        <v>673</v>
      </c>
      <c r="Q1251" s="13" t="s">
        <v>759</v>
      </c>
      <c r="T1251" t="s">
        <v>2804</v>
      </c>
      <c r="U1251" s="25">
        <f>+Municipios!P148</f>
        <v>52.41546932939881</v>
      </c>
      <c r="V1251" s="13">
        <v>52019</v>
      </c>
      <c r="W1251" s="13" t="s">
        <v>758</v>
      </c>
      <c r="X1251" s="13" t="s">
        <v>672</v>
      </c>
      <c r="Y1251" s="13" t="s">
        <v>673</v>
      </c>
      <c r="Z1251" s="13" t="s">
        <v>759</v>
      </c>
    </row>
    <row r="1252" spans="1:26">
      <c r="A1252" t="s">
        <v>412</v>
      </c>
      <c r="B1252" s="25">
        <f>+Municipios!P149</f>
        <v>65.177558336337498</v>
      </c>
      <c r="C1252" s="13">
        <v>17873</v>
      </c>
      <c r="D1252" s="13" t="s">
        <v>760</v>
      </c>
      <c r="E1252" s="13" t="s">
        <v>506</v>
      </c>
      <c r="F1252" s="13" t="s">
        <v>507</v>
      </c>
      <c r="G1252" s="13" t="s">
        <v>761</v>
      </c>
      <c r="K1252" t="s">
        <v>413</v>
      </c>
      <c r="L1252" s="81">
        <f>+Municipios!U149</f>
        <v>39.658053731448945</v>
      </c>
      <c r="M1252" s="13">
        <v>17873</v>
      </c>
      <c r="N1252" s="13" t="s">
        <v>760</v>
      </c>
      <c r="O1252" s="13" t="s">
        <v>506</v>
      </c>
      <c r="P1252" s="13" t="s">
        <v>507</v>
      </c>
      <c r="Q1252" s="13" t="s">
        <v>761</v>
      </c>
      <c r="T1252" t="s">
        <v>2804</v>
      </c>
      <c r="U1252" s="25">
        <f>+Municipios!P149</f>
        <v>65.177558336337498</v>
      </c>
      <c r="V1252" s="13">
        <v>17873</v>
      </c>
      <c r="W1252" s="13" t="s">
        <v>760</v>
      </c>
      <c r="X1252" s="13" t="s">
        <v>506</v>
      </c>
      <c r="Y1252" s="13" t="s">
        <v>507</v>
      </c>
      <c r="Z1252" s="13" t="s">
        <v>761</v>
      </c>
    </row>
    <row r="1253" spans="1:26">
      <c r="A1253" t="s">
        <v>412</v>
      </c>
      <c r="B1253" s="25">
        <f>+Municipios!P150</f>
        <v>63.747478503731344</v>
      </c>
      <c r="C1253" s="13">
        <v>52323</v>
      </c>
      <c r="D1253" s="13" t="s">
        <v>762</v>
      </c>
      <c r="E1253" s="13" t="s">
        <v>672</v>
      </c>
      <c r="F1253" s="13" t="s">
        <v>673</v>
      </c>
      <c r="G1253" s="13" t="s">
        <v>763</v>
      </c>
      <c r="K1253" t="s">
        <v>413</v>
      </c>
      <c r="L1253" s="81">
        <f>+Municipios!U150</f>
        <v>38.94185793435836</v>
      </c>
      <c r="M1253" s="13">
        <v>52323</v>
      </c>
      <c r="N1253" s="13" t="s">
        <v>762</v>
      </c>
      <c r="O1253" s="13" t="s">
        <v>672</v>
      </c>
      <c r="P1253" s="13" t="s">
        <v>673</v>
      </c>
      <c r="Q1253" s="13" t="s">
        <v>763</v>
      </c>
      <c r="T1253" t="s">
        <v>2804</v>
      </c>
      <c r="U1253" s="25">
        <f>+Municipios!P150</f>
        <v>63.747478503731344</v>
      </c>
      <c r="V1253" s="13">
        <v>52323</v>
      </c>
      <c r="W1253" s="13" t="s">
        <v>762</v>
      </c>
      <c r="X1253" s="13" t="s">
        <v>672</v>
      </c>
      <c r="Y1253" s="13" t="s">
        <v>673</v>
      </c>
      <c r="Z1253" s="13" t="s">
        <v>763</v>
      </c>
    </row>
    <row r="1254" spans="1:26">
      <c r="A1254" t="s">
        <v>412</v>
      </c>
      <c r="B1254" s="25">
        <f>+Municipios!P151</f>
        <v>57.847109399948096</v>
      </c>
      <c r="C1254" s="13">
        <v>17524</v>
      </c>
      <c r="D1254" s="13" t="s">
        <v>764</v>
      </c>
      <c r="E1254" s="13" t="s">
        <v>506</v>
      </c>
      <c r="F1254" s="13" t="s">
        <v>507</v>
      </c>
      <c r="G1254" s="13" t="s">
        <v>765</v>
      </c>
      <c r="K1254" t="s">
        <v>413</v>
      </c>
      <c r="L1254" s="81">
        <f>+Municipios!U151</f>
        <v>34.92895655571396</v>
      </c>
      <c r="M1254" s="13">
        <v>17524</v>
      </c>
      <c r="N1254" s="13" t="s">
        <v>764</v>
      </c>
      <c r="O1254" s="13" t="s">
        <v>506</v>
      </c>
      <c r="P1254" s="13" t="s">
        <v>507</v>
      </c>
      <c r="Q1254" s="13" t="s">
        <v>765</v>
      </c>
      <c r="T1254" t="s">
        <v>2804</v>
      </c>
      <c r="U1254" s="25">
        <f>+Municipios!P151</f>
        <v>57.847109399948096</v>
      </c>
      <c r="V1254" s="13">
        <v>17524</v>
      </c>
      <c r="W1254" s="13" t="s">
        <v>764</v>
      </c>
      <c r="X1254" s="13" t="s">
        <v>506</v>
      </c>
      <c r="Y1254" s="13" t="s">
        <v>507</v>
      </c>
      <c r="Z1254" s="13" t="s">
        <v>765</v>
      </c>
    </row>
    <row r="1255" spans="1:26">
      <c r="A1255" t="s">
        <v>412</v>
      </c>
      <c r="B1255" s="25">
        <f>+Municipios!P152</f>
        <v>51.220262574096125</v>
      </c>
      <c r="C1255" s="13">
        <v>19513</v>
      </c>
      <c r="D1255" s="13" t="s">
        <v>766</v>
      </c>
      <c r="E1255" s="13" t="s">
        <v>557</v>
      </c>
      <c r="F1255" s="13" t="s">
        <v>558</v>
      </c>
      <c r="G1255" s="13" t="s">
        <v>767</v>
      </c>
      <c r="K1255" t="s">
        <v>413</v>
      </c>
      <c r="L1255" s="81">
        <f>+Municipios!U152</f>
        <v>31.059128835457734</v>
      </c>
      <c r="M1255" s="13">
        <v>19513</v>
      </c>
      <c r="N1255" s="13" t="s">
        <v>766</v>
      </c>
      <c r="O1255" s="13" t="s">
        <v>557</v>
      </c>
      <c r="P1255" s="13" t="s">
        <v>558</v>
      </c>
      <c r="Q1255" s="13" t="s">
        <v>767</v>
      </c>
      <c r="T1255" t="s">
        <v>2804</v>
      </c>
      <c r="U1255" s="25">
        <f>+Municipios!P152</f>
        <v>51.220262574096125</v>
      </c>
      <c r="V1255" s="13">
        <v>19513</v>
      </c>
      <c r="W1255" s="13" t="s">
        <v>766</v>
      </c>
      <c r="X1255" s="13" t="s">
        <v>557</v>
      </c>
      <c r="Y1255" s="13" t="s">
        <v>558</v>
      </c>
      <c r="Z1255" s="13" t="s">
        <v>767</v>
      </c>
    </row>
    <row r="1256" spans="1:26">
      <c r="A1256" t="s">
        <v>412</v>
      </c>
      <c r="B1256" s="25">
        <f>+Municipios!P153</f>
        <v>50.647212736378677</v>
      </c>
      <c r="C1256" s="13">
        <v>76845</v>
      </c>
      <c r="D1256" s="13" t="s">
        <v>768</v>
      </c>
      <c r="E1256" s="13" t="s">
        <v>454</v>
      </c>
      <c r="F1256" s="13" t="s">
        <v>455</v>
      </c>
      <c r="G1256" s="13" t="s">
        <v>769</v>
      </c>
      <c r="K1256" t="s">
        <v>413</v>
      </c>
      <c r="L1256" s="81">
        <f>+Municipios!U153</f>
        <v>30.529360374027554</v>
      </c>
      <c r="M1256" s="13">
        <v>76845</v>
      </c>
      <c r="N1256" s="13" t="s">
        <v>768</v>
      </c>
      <c r="O1256" s="13" t="s">
        <v>454</v>
      </c>
      <c r="P1256" s="13" t="s">
        <v>455</v>
      </c>
      <c r="Q1256" s="13" t="s">
        <v>769</v>
      </c>
      <c r="T1256" t="s">
        <v>2804</v>
      </c>
      <c r="U1256" s="25">
        <f>+Municipios!P153</f>
        <v>50.647212736378677</v>
      </c>
      <c r="V1256" s="13">
        <v>76845</v>
      </c>
      <c r="W1256" s="13" t="s">
        <v>768</v>
      </c>
      <c r="X1256" s="13" t="s">
        <v>454</v>
      </c>
      <c r="Y1256" s="13" t="s">
        <v>455</v>
      </c>
      <c r="Z1256" s="13" t="s">
        <v>769</v>
      </c>
    </row>
    <row r="1257" spans="1:26">
      <c r="A1257" t="s">
        <v>412</v>
      </c>
      <c r="B1257" s="25">
        <f>+Municipios!P154</f>
        <v>57.349220388558692</v>
      </c>
      <c r="C1257" s="13">
        <v>76563</v>
      </c>
      <c r="D1257" s="13" t="s">
        <v>770</v>
      </c>
      <c r="E1257" s="13" t="s">
        <v>454</v>
      </c>
      <c r="F1257" s="13" t="s">
        <v>455</v>
      </c>
      <c r="G1257" s="13" t="s">
        <v>771</v>
      </c>
      <c r="K1257" t="s">
        <v>413</v>
      </c>
      <c r="L1257" s="81">
        <f>+Municipios!U154</f>
        <v>35.090751522746835</v>
      </c>
      <c r="M1257" s="13">
        <v>76563</v>
      </c>
      <c r="N1257" s="13" t="s">
        <v>770</v>
      </c>
      <c r="O1257" s="13" t="s">
        <v>454</v>
      </c>
      <c r="P1257" s="13" t="s">
        <v>455</v>
      </c>
      <c r="Q1257" s="13" t="s">
        <v>771</v>
      </c>
      <c r="T1257" t="s">
        <v>2804</v>
      </c>
      <c r="U1257" s="25">
        <f>+Municipios!P154</f>
        <v>57.349220388558692</v>
      </c>
      <c r="V1257" s="13">
        <v>76563</v>
      </c>
      <c r="W1257" s="13" t="s">
        <v>770</v>
      </c>
      <c r="X1257" s="13" t="s">
        <v>454</v>
      </c>
      <c r="Y1257" s="13" t="s">
        <v>455</v>
      </c>
      <c r="Z1257" s="13" t="s">
        <v>771</v>
      </c>
    </row>
    <row r="1258" spans="1:26">
      <c r="A1258" t="s">
        <v>412</v>
      </c>
      <c r="B1258" s="25">
        <f>+Municipios!P155</f>
        <v>55.695717818725846</v>
      </c>
      <c r="C1258" s="13">
        <v>76275</v>
      </c>
      <c r="D1258" s="13" t="s">
        <v>772</v>
      </c>
      <c r="E1258" s="13" t="s">
        <v>454</v>
      </c>
      <c r="F1258" s="13" t="s">
        <v>455</v>
      </c>
      <c r="G1258" s="13" t="s">
        <v>773</v>
      </c>
      <c r="K1258" t="s">
        <v>413</v>
      </c>
      <c r="L1258" s="81">
        <f>+Municipios!U155</f>
        <v>33.998681850828056</v>
      </c>
      <c r="M1258" s="13">
        <v>76275</v>
      </c>
      <c r="N1258" s="13" t="s">
        <v>772</v>
      </c>
      <c r="O1258" s="13" t="s">
        <v>454</v>
      </c>
      <c r="P1258" s="13" t="s">
        <v>455</v>
      </c>
      <c r="Q1258" s="13" t="s">
        <v>773</v>
      </c>
      <c r="T1258" t="s">
        <v>2804</v>
      </c>
      <c r="U1258" s="25">
        <f>+Municipios!P155</f>
        <v>55.695717818725846</v>
      </c>
      <c r="V1258" s="13">
        <v>76275</v>
      </c>
      <c r="W1258" s="13" t="s">
        <v>772</v>
      </c>
      <c r="X1258" s="13" t="s">
        <v>454</v>
      </c>
      <c r="Y1258" s="13" t="s">
        <v>455</v>
      </c>
      <c r="Z1258" s="13" t="s">
        <v>773</v>
      </c>
    </row>
    <row r="1259" spans="1:26">
      <c r="A1259" t="s">
        <v>412</v>
      </c>
      <c r="B1259" s="25">
        <f>+Municipios!P156</f>
        <v>54.122349376337155</v>
      </c>
      <c r="C1259" s="13">
        <v>8560</v>
      </c>
      <c r="D1259" s="13" t="s">
        <v>774</v>
      </c>
      <c r="E1259" s="13" t="s">
        <v>442</v>
      </c>
      <c r="F1259" s="13" t="s">
        <v>443</v>
      </c>
      <c r="G1259" s="13" t="s">
        <v>775</v>
      </c>
      <c r="K1259" t="s">
        <v>413</v>
      </c>
      <c r="L1259" s="81">
        <f>+Municipios!U156</f>
        <v>33.022925453009002</v>
      </c>
      <c r="M1259" s="13">
        <v>8560</v>
      </c>
      <c r="N1259" s="13" t="s">
        <v>774</v>
      </c>
      <c r="O1259" s="13" t="s">
        <v>442</v>
      </c>
      <c r="P1259" s="13" t="s">
        <v>443</v>
      </c>
      <c r="Q1259" s="13" t="s">
        <v>775</v>
      </c>
      <c r="T1259" t="s">
        <v>2804</v>
      </c>
      <c r="U1259" s="25">
        <f>+Municipios!P156</f>
        <v>54.122349376337155</v>
      </c>
      <c r="V1259" s="13">
        <v>8560</v>
      </c>
      <c r="W1259" s="13" t="s">
        <v>774</v>
      </c>
      <c r="X1259" s="13" t="s">
        <v>442</v>
      </c>
      <c r="Y1259" s="13" t="s">
        <v>443</v>
      </c>
      <c r="Z1259" s="13" t="s">
        <v>775</v>
      </c>
    </row>
    <row r="1260" spans="1:26">
      <c r="A1260" t="s">
        <v>412</v>
      </c>
      <c r="B1260" s="25">
        <f>+Municipios!P157</f>
        <v>57.282939053671271</v>
      </c>
      <c r="C1260" s="13">
        <v>8421</v>
      </c>
      <c r="D1260" s="13" t="s">
        <v>776</v>
      </c>
      <c r="E1260" s="13" t="s">
        <v>442</v>
      </c>
      <c r="F1260" s="13" t="s">
        <v>443</v>
      </c>
      <c r="G1260" s="13" t="s">
        <v>777</v>
      </c>
      <c r="K1260" t="s">
        <v>413</v>
      </c>
      <c r="L1260" s="81">
        <f>+Municipios!U157</f>
        <v>34.999207232743508</v>
      </c>
      <c r="M1260" s="13">
        <v>8421</v>
      </c>
      <c r="N1260" s="13" t="s">
        <v>776</v>
      </c>
      <c r="O1260" s="13" t="s">
        <v>442</v>
      </c>
      <c r="P1260" s="13" t="s">
        <v>443</v>
      </c>
      <c r="Q1260" s="13" t="s">
        <v>777</v>
      </c>
      <c r="T1260" t="s">
        <v>2804</v>
      </c>
      <c r="U1260" s="25">
        <f>+Municipios!P157</f>
        <v>57.282939053671271</v>
      </c>
      <c r="V1260" s="13">
        <v>8421</v>
      </c>
      <c r="W1260" s="13" t="s">
        <v>776</v>
      </c>
      <c r="X1260" s="13" t="s">
        <v>442</v>
      </c>
      <c r="Y1260" s="13" t="s">
        <v>443</v>
      </c>
      <c r="Z1260" s="13" t="s">
        <v>777</v>
      </c>
    </row>
    <row r="1261" spans="1:26">
      <c r="A1261" t="s">
        <v>412</v>
      </c>
      <c r="B1261" s="25">
        <f>+Municipios!P158</f>
        <v>68.132109647209461</v>
      </c>
      <c r="C1261" s="13">
        <v>8849</v>
      </c>
      <c r="D1261" s="13" t="s">
        <v>778</v>
      </c>
      <c r="E1261" s="13" t="s">
        <v>442</v>
      </c>
      <c r="F1261" s="13" t="s">
        <v>443</v>
      </c>
      <c r="G1261" s="13" t="s">
        <v>779</v>
      </c>
      <c r="K1261" t="s">
        <v>413</v>
      </c>
      <c r="L1261" s="81">
        <f>+Municipios!U158</f>
        <v>41.836165319201953</v>
      </c>
      <c r="M1261" s="13">
        <v>8849</v>
      </c>
      <c r="N1261" s="13" t="s">
        <v>778</v>
      </c>
      <c r="O1261" s="13" t="s">
        <v>442</v>
      </c>
      <c r="P1261" s="13" t="s">
        <v>443</v>
      </c>
      <c r="Q1261" s="13" t="s">
        <v>779</v>
      </c>
      <c r="T1261" t="s">
        <v>2804</v>
      </c>
      <c r="U1261" s="25">
        <f>+Municipios!P158</f>
        <v>68.132109647209461</v>
      </c>
      <c r="V1261" s="13">
        <v>8849</v>
      </c>
      <c r="W1261" s="13" t="s">
        <v>778</v>
      </c>
      <c r="X1261" s="13" t="s">
        <v>442</v>
      </c>
      <c r="Y1261" s="13" t="s">
        <v>443</v>
      </c>
      <c r="Z1261" s="13" t="s">
        <v>779</v>
      </c>
    </row>
    <row r="1262" spans="1:26">
      <c r="A1262" t="s">
        <v>412</v>
      </c>
      <c r="B1262" s="25">
        <f>+Municipios!P159</f>
        <v>72.982442813107497</v>
      </c>
      <c r="C1262" s="13">
        <v>5607</v>
      </c>
      <c r="D1262" s="13" t="s">
        <v>780</v>
      </c>
      <c r="E1262" s="13" t="s">
        <v>435</v>
      </c>
      <c r="F1262" s="13" t="s">
        <v>436</v>
      </c>
      <c r="G1262" s="13" t="s">
        <v>781</v>
      </c>
      <c r="K1262" t="s">
        <v>413</v>
      </c>
      <c r="L1262" s="81">
        <f>+Municipios!U159</f>
        <v>44.528826427114112</v>
      </c>
      <c r="M1262" s="13">
        <v>5607</v>
      </c>
      <c r="N1262" s="13" t="s">
        <v>780</v>
      </c>
      <c r="O1262" s="13" t="s">
        <v>435</v>
      </c>
      <c r="P1262" s="13" t="s">
        <v>436</v>
      </c>
      <c r="Q1262" s="13" t="s">
        <v>781</v>
      </c>
      <c r="T1262" t="s">
        <v>2804</v>
      </c>
      <c r="U1262" s="25">
        <f>+Municipios!P159</f>
        <v>72.982442813107497</v>
      </c>
      <c r="V1262" s="13">
        <v>5607</v>
      </c>
      <c r="W1262" s="13" t="s">
        <v>780</v>
      </c>
      <c r="X1262" s="13" t="s">
        <v>435</v>
      </c>
      <c r="Y1262" s="13" t="s">
        <v>436</v>
      </c>
      <c r="Z1262" s="13" t="s">
        <v>781</v>
      </c>
    </row>
    <row r="1263" spans="1:26">
      <c r="A1263" t="s">
        <v>412</v>
      </c>
      <c r="B1263" s="25">
        <f>+Municipios!P160</f>
        <v>64.623407843099159</v>
      </c>
      <c r="C1263" s="13">
        <v>25645</v>
      </c>
      <c r="D1263" s="13" t="s">
        <v>782</v>
      </c>
      <c r="E1263" s="13" t="s">
        <v>461</v>
      </c>
      <c r="F1263" s="13" t="s">
        <v>462</v>
      </c>
      <c r="G1263" s="13" t="s">
        <v>783</v>
      </c>
      <c r="K1263" t="s">
        <v>413</v>
      </c>
      <c r="L1263" s="81">
        <f>+Municipios!U160</f>
        <v>38.689480104993635</v>
      </c>
      <c r="M1263" s="13">
        <v>25645</v>
      </c>
      <c r="N1263" s="13" t="s">
        <v>782</v>
      </c>
      <c r="O1263" s="13" t="s">
        <v>461</v>
      </c>
      <c r="P1263" s="13" t="s">
        <v>462</v>
      </c>
      <c r="Q1263" s="13" t="s">
        <v>783</v>
      </c>
      <c r="T1263" t="s">
        <v>2804</v>
      </c>
      <c r="U1263" s="25">
        <f>+Municipios!P160</f>
        <v>64.623407843099159</v>
      </c>
      <c r="V1263" s="13">
        <v>25645</v>
      </c>
      <c r="W1263" s="13" t="s">
        <v>782</v>
      </c>
      <c r="X1263" s="13" t="s">
        <v>461</v>
      </c>
      <c r="Y1263" s="13" t="s">
        <v>462</v>
      </c>
      <c r="Z1263" s="13" t="s">
        <v>783</v>
      </c>
    </row>
    <row r="1264" spans="1:26">
      <c r="A1264" t="s">
        <v>412</v>
      </c>
      <c r="B1264" s="25">
        <f>+Municipios!P161</f>
        <v>65.075805463267685</v>
      </c>
      <c r="C1264" s="13">
        <v>68081</v>
      </c>
      <c r="D1264" s="13" t="s">
        <v>784</v>
      </c>
      <c r="E1264" s="13" t="s">
        <v>431</v>
      </c>
      <c r="F1264" s="13" t="s">
        <v>432</v>
      </c>
      <c r="G1264" s="13" t="s">
        <v>785</v>
      </c>
      <c r="K1264" t="s">
        <v>413</v>
      </c>
      <c r="L1264" s="81">
        <f>+Municipios!U161</f>
        <v>39.74516122760793</v>
      </c>
      <c r="M1264" s="13">
        <v>68081</v>
      </c>
      <c r="N1264" s="13" t="s">
        <v>784</v>
      </c>
      <c r="O1264" s="13" t="s">
        <v>431</v>
      </c>
      <c r="P1264" s="13" t="s">
        <v>432</v>
      </c>
      <c r="Q1264" s="13" t="s">
        <v>785</v>
      </c>
      <c r="T1264" t="s">
        <v>2804</v>
      </c>
      <c r="U1264" s="25">
        <f>+Municipios!P161</f>
        <v>65.075805463267685</v>
      </c>
      <c r="V1264" s="13">
        <v>68081</v>
      </c>
      <c r="W1264" s="13" t="s">
        <v>784</v>
      </c>
      <c r="X1264" s="13" t="s">
        <v>431</v>
      </c>
      <c r="Y1264" s="13" t="s">
        <v>432</v>
      </c>
      <c r="Z1264" s="13" t="s">
        <v>785</v>
      </c>
    </row>
    <row r="1265" spans="1:26">
      <c r="A1265" t="s">
        <v>412</v>
      </c>
      <c r="B1265" s="25">
        <f>+Municipios!P162</f>
        <v>66.826134162782679</v>
      </c>
      <c r="C1265" s="13">
        <v>25001</v>
      </c>
      <c r="D1265" s="13" t="s">
        <v>786</v>
      </c>
      <c r="E1265" s="13" t="s">
        <v>461</v>
      </c>
      <c r="F1265" s="13" t="s">
        <v>462</v>
      </c>
      <c r="G1265" s="13" t="s">
        <v>787</v>
      </c>
      <c r="K1265" t="s">
        <v>413</v>
      </c>
      <c r="L1265" s="81">
        <f>+Municipios!U162</f>
        <v>39.771735392548344</v>
      </c>
      <c r="M1265" s="13">
        <v>25001</v>
      </c>
      <c r="N1265" s="13" t="s">
        <v>786</v>
      </c>
      <c r="O1265" s="13" t="s">
        <v>461</v>
      </c>
      <c r="P1265" s="13" t="s">
        <v>462</v>
      </c>
      <c r="Q1265" s="13" t="s">
        <v>787</v>
      </c>
      <c r="T1265" t="s">
        <v>2804</v>
      </c>
      <c r="U1265" s="25">
        <f>+Municipios!P162</f>
        <v>66.826134162782679</v>
      </c>
      <c r="V1265" s="13">
        <v>25001</v>
      </c>
      <c r="W1265" s="13" t="s">
        <v>786</v>
      </c>
      <c r="X1265" s="13" t="s">
        <v>461</v>
      </c>
      <c r="Y1265" s="13" t="s">
        <v>462</v>
      </c>
      <c r="Z1265" s="13" t="s">
        <v>787</v>
      </c>
    </row>
    <row r="1266" spans="1:26">
      <c r="A1266" t="s">
        <v>412</v>
      </c>
      <c r="B1266" s="25">
        <f>+Municipios!P163</f>
        <v>62.274200747613435</v>
      </c>
      <c r="C1266" s="13">
        <v>54553</v>
      </c>
      <c r="D1266" s="13" t="s">
        <v>788</v>
      </c>
      <c r="E1266" s="13" t="s">
        <v>517</v>
      </c>
      <c r="F1266" s="13" t="s">
        <v>518</v>
      </c>
      <c r="G1266" s="13" t="s">
        <v>789</v>
      </c>
      <c r="K1266" t="s">
        <v>413</v>
      </c>
      <c r="L1266" s="81">
        <f>+Municipios!U163</f>
        <v>37.472654757811071</v>
      </c>
      <c r="M1266" s="13">
        <v>54553</v>
      </c>
      <c r="N1266" s="13" t="s">
        <v>788</v>
      </c>
      <c r="O1266" s="13" t="s">
        <v>517</v>
      </c>
      <c r="P1266" s="13" t="s">
        <v>518</v>
      </c>
      <c r="Q1266" s="13" t="s">
        <v>789</v>
      </c>
      <c r="T1266" t="s">
        <v>2804</v>
      </c>
      <c r="U1266" s="25">
        <f>+Municipios!P163</f>
        <v>62.274200747613435</v>
      </c>
      <c r="V1266" s="13">
        <v>54553</v>
      </c>
      <c r="W1266" s="13" t="s">
        <v>788</v>
      </c>
      <c r="X1266" s="13" t="s">
        <v>517</v>
      </c>
      <c r="Y1266" s="13" t="s">
        <v>518</v>
      </c>
      <c r="Z1266" s="13" t="s">
        <v>789</v>
      </c>
    </row>
    <row r="1267" spans="1:26">
      <c r="A1267" t="s">
        <v>412</v>
      </c>
      <c r="B1267" s="25">
        <f>+Municipios!P164</f>
        <v>40.343151989873562</v>
      </c>
      <c r="C1267" s="13">
        <v>13052</v>
      </c>
      <c r="D1267" s="13" t="s">
        <v>790</v>
      </c>
      <c r="E1267" s="13" t="s">
        <v>480</v>
      </c>
      <c r="F1267" s="13" t="s">
        <v>481</v>
      </c>
      <c r="G1267" s="13" t="s">
        <v>791</v>
      </c>
      <c r="K1267" t="s">
        <v>413</v>
      </c>
      <c r="L1267" s="81">
        <f>+Municipios!U164</f>
        <v>24.332525271674871</v>
      </c>
      <c r="M1267" s="13">
        <v>13052</v>
      </c>
      <c r="N1267" s="13" t="s">
        <v>790</v>
      </c>
      <c r="O1267" s="13" t="s">
        <v>480</v>
      </c>
      <c r="P1267" s="13" t="s">
        <v>481</v>
      </c>
      <c r="Q1267" s="13" t="s">
        <v>791</v>
      </c>
      <c r="T1267" t="s">
        <v>2804</v>
      </c>
      <c r="U1267" s="25">
        <f>+Municipios!P164</f>
        <v>40.343151989873562</v>
      </c>
      <c r="V1267" s="13">
        <v>13052</v>
      </c>
      <c r="W1267" s="13" t="s">
        <v>790</v>
      </c>
      <c r="X1267" s="13" t="s">
        <v>480</v>
      </c>
      <c r="Y1267" s="13" t="s">
        <v>481</v>
      </c>
      <c r="Z1267" s="13" t="s">
        <v>791</v>
      </c>
    </row>
    <row r="1268" spans="1:26">
      <c r="A1268" t="s">
        <v>412</v>
      </c>
      <c r="B1268" s="25">
        <f>+Municipios!P165</f>
        <v>57.708357962659314</v>
      </c>
      <c r="C1268" s="13">
        <v>52399</v>
      </c>
      <c r="D1268" s="13" t="s">
        <v>792</v>
      </c>
      <c r="E1268" s="13" t="s">
        <v>672</v>
      </c>
      <c r="F1268" s="13" t="s">
        <v>673</v>
      </c>
      <c r="G1268" s="13" t="s">
        <v>628</v>
      </c>
      <c r="K1268" t="s">
        <v>413</v>
      </c>
      <c r="L1268" s="81">
        <f>+Municipios!U165</f>
        <v>35.045810218386627</v>
      </c>
      <c r="M1268" s="13">
        <v>52399</v>
      </c>
      <c r="N1268" s="13" t="s">
        <v>792</v>
      </c>
      <c r="O1268" s="13" t="s">
        <v>672</v>
      </c>
      <c r="P1268" s="13" t="s">
        <v>673</v>
      </c>
      <c r="Q1268" s="13" t="s">
        <v>628</v>
      </c>
      <c r="T1268" t="s">
        <v>2804</v>
      </c>
      <c r="U1268" s="25">
        <f>+Municipios!P165</f>
        <v>57.708357962659314</v>
      </c>
      <c r="V1268" s="13">
        <v>52399</v>
      </c>
      <c r="W1268" s="13" t="s">
        <v>792</v>
      </c>
      <c r="X1268" s="13" t="s">
        <v>672</v>
      </c>
      <c r="Y1268" s="13" t="s">
        <v>673</v>
      </c>
      <c r="Z1268" s="13" t="s">
        <v>628</v>
      </c>
    </row>
    <row r="1269" spans="1:26">
      <c r="A1269" t="s">
        <v>412</v>
      </c>
      <c r="B1269" s="25">
        <f>+Municipios!P166</f>
        <v>51.996695576757659</v>
      </c>
      <c r="C1269" s="13">
        <v>5390</v>
      </c>
      <c r="D1269" s="13" t="s">
        <v>793</v>
      </c>
      <c r="E1269" s="13" t="s">
        <v>435</v>
      </c>
      <c r="F1269" s="13" t="s">
        <v>436</v>
      </c>
      <c r="G1269" s="13" t="s">
        <v>794</v>
      </c>
      <c r="K1269" t="s">
        <v>413</v>
      </c>
      <c r="L1269" s="81">
        <f>+Municipios!U166</f>
        <v>31.843482210969192</v>
      </c>
      <c r="M1269" s="13">
        <v>5390</v>
      </c>
      <c r="N1269" s="13" t="s">
        <v>793</v>
      </c>
      <c r="O1269" s="13" t="s">
        <v>435</v>
      </c>
      <c r="P1269" s="13" t="s">
        <v>436</v>
      </c>
      <c r="Q1269" s="13" t="s">
        <v>794</v>
      </c>
      <c r="T1269" t="s">
        <v>2804</v>
      </c>
      <c r="U1269" s="25">
        <f>+Municipios!P166</f>
        <v>51.996695576757659</v>
      </c>
      <c r="V1269" s="13">
        <v>5390</v>
      </c>
      <c r="W1269" s="13" t="s">
        <v>793</v>
      </c>
      <c r="X1269" s="13" t="s">
        <v>435</v>
      </c>
      <c r="Y1269" s="13" t="s">
        <v>436</v>
      </c>
      <c r="Z1269" s="13" t="s">
        <v>794</v>
      </c>
    </row>
    <row r="1270" spans="1:26">
      <c r="A1270" t="s">
        <v>412</v>
      </c>
      <c r="B1270" s="25">
        <f>+Municipios!P167</f>
        <v>62.382898145913728</v>
      </c>
      <c r="C1270" s="13">
        <v>41551</v>
      </c>
      <c r="D1270" s="13" t="s">
        <v>795</v>
      </c>
      <c r="E1270" s="13" t="s">
        <v>676</v>
      </c>
      <c r="F1270" s="13" t="s">
        <v>677</v>
      </c>
      <c r="G1270" s="13" t="s">
        <v>796</v>
      </c>
      <c r="K1270" t="s">
        <v>413</v>
      </c>
      <c r="L1270" s="81">
        <f>+Municipios!U167</f>
        <v>37.896885215184945</v>
      </c>
      <c r="M1270" s="13">
        <v>41551</v>
      </c>
      <c r="N1270" s="13" t="s">
        <v>795</v>
      </c>
      <c r="O1270" s="13" t="s">
        <v>676</v>
      </c>
      <c r="P1270" s="13" t="s">
        <v>677</v>
      </c>
      <c r="Q1270" s="13" t="s">
        <v>796</v>
      </c>
      <c r="T1270" t="s">
        <v>2804</v>
      </c>
      <c r="U1270" s="25">
        <f>+Municipios!P167</f>
        <v>62.382898145913728</v>
      </c>
      <c r="V1270" s="13">
        <v>41551</v>
      </c>
      <c r="W1270" s="13" t="s">
        <v>795</v>
      </c>
      <c r="X1270" s="13" t="s">
        <v>676</v>
      </c>
      <c r="Y1270" s="13" t="s">
        <v>677</v>
      </c>
      <c r="Z1270" s="13" t="s">
        <v>796</v>
      </c>
    </row>
    <row r="1271" spans="1:26">
      <c r="A1271" t="s">
        <v>412</v>
      </c>
      <c r="B1271" s="25">
        <f>+Municipios!P168</f>
        <v>60.124199992487412</v>
      </c>
      <c r="C1271" s="13">
        <v>54518</v>
      </c>
      <c r="D1271" s="13" t="s">
        <v>797</v>
      </c>
      <c r="E1271" s="13" t="s">
        <v>517</v>
      </c>
      <c r="F1271" s="13" t="s">
        <v>518</v>
      </c>
      <c r="G1271" s="13" t="s">
        <v>798</v>
      </c>
      <c r="K1271" t="s">
        <v>413</v>
      </c>
      <c r="L1271" s="81">
        <f>+Municipios!U168</f>
        <v>36.155590920120098</v>
      </c>
      <c r="M1271" s="13">
        <v>54518</v>
      </c>
      <c r="N1271" s="13" t="s">
        <v>797</v>
      </c>
      <c r="O1271" s="13" t="s">
        <v>517</v>
      </c>
      <c r="P1271" s="13" t="s">
        <v>518</v>
      </c>
      <c r="Q1271" s="13" t="s">
        <v>798</v>
      </c>
      <c r="T1271" t="s">
        <v>2804</v>
      </c>
      <c r="U1271" s="25">
        <f>+Municipios!P168</f>
        <v>60.124199992487412</v>
      </c>
      <c r="V1271" s="13">
        <v>54518</v>
      </c>
      <c r="W1271" s="13" t="s">
        <v>797</v>
      </c>
      <c r="X1271" s="13" t="s">
        <v>517</v>
      </c>
      <c r="Y1271" s="13" t="s">
        <v>518</v>
      </c>
      <c r="Z1271" s="13" t="s">
        <v>798</v>
      </c>
    </row>
    <row r="1272" spans="1:26">
      <c r="A1272" t="s">
        <v>412</v>
      </c>
      <c r="B1272" s="25">
        <f>+Municipios!P169</f>
        <v>55.413623190087108</v>
      </c>
      <c r="C1272" s="13">
        <v>8372</v>
      </c>
      <c r="D1272" s="13" t="s">
        <v>799</v>
      </c>
      <c r="E1272" s="13" t="s">
        <v>442</v>
      </c>
      <c r="F1272" s="13" t="s">
        <v>443</v>
      </c>
      <c r="G1272" s="13" t="s">
        <v>800</v>
      </c>
      <c r="K1272" t="s">
        <v>413</v>
      </c>
      <c r="L1272" s="81">
        <f>+Municipios!U169</f>
        <v>33.443368466570313</v>
      </c>
      <c r="M1272" s="13">
        <v>8372</v>
      </c>
      <c r="N1272" s="13" t="s">
        <v>799</v>
      </c>
      <c r="O1272" s="13" t="s">
        <v>442</v>
      </c>
      <c r="P1272" s="13" t="s">
        <v>443</v>
      </c>
      <c r="Q1272" s="13" t="s">
        <v>800</v>
      </c>
      <c r="T1272" t="s">
        <v>2804</v>
      </c>
      <c r="U1272" s="25">
        <f>+Municipios!P169</f>
        <v>55.413623190087108</v>
      </c>
      <c r="V1272" s="13">
        <v>8372</v>
      </c>
      <c r="W1272" s="13" t="s">
        <v>799</v>
      </c>
      <c r="X1272" s="13" t="s">
        <v>442</v>
      </c>
      <c r="Y1272" s="13" t="s">
        <v>443</v>
      </c>
      <c r="Z1272" s="13" t="s">
        <v>800</v>
      </c>
    </row>
    <row r="1273" spans="1:26">
      <c r="A1273" t="s">
        <v>412</v>
      </c>
      <c r="B1273" s="25">
        <f>+Municipios!P170</f>
        <v>66.365523438090563</v>
      </c>
      <c r="C1273" s="13">
        <v>50313</v>
      </c>
      <c r="D1273" s="13" t="s">
        <v>801</v>
      </c>
      <c r="E1273" s="13" t="s">
        <v>605</v>
      </c>
      <c r="F1273" s="13" t="s">
        <v>606</v>
      </c>
      <c r="G1273" s="13" t="s">
        <v>802</v>
      </c>
      <c r="K1273" t="s">
        <v>413</v>
      </c>
      <c r="L1273" s="81">
        <f>+Municipios!U170</f>
        <v>39.45849496732901</v>
      </c>
      <c r="M1273" s="13">
        <v>50313</v>
      </c>
      <c r="N1273" s="13" t="s">
        <v>801</v>
      </c>
      <c r="O1273" s="13" t="s">
        <v>605</v>
      </c>
      <c r="P1273" s="13" t="s">
        <v>606</v>
      </c>
      <c r="Q1273" s="13" t="s">
        <v>802</v>
      </c>
      <c r="T1273" t="s">
        <v>2804</v>
      </c>
      <c r="U1273" s="25">
        <f>+Municipios!P170</f>
        <v>66.365523438090563</v>
      </c>
      <c r="V1273" s="13">
        <v>50313</v>
      </c>
      <c r="W1273" s="13" t="s">
        <v>801</v>
      </c>
      <c r="X1273" s="13" t="s">
        <v>605</v>
      </c>
      <c r="Y1273" s="13" t="s">
        <v>606</v>
      </c>
      <c r="Z1273" s="13" t="s">
        <v>802</v>
      </c>
    </row>
    <row r="1274" spans="1:26">
      <c r="A1274" t="s">
        <v>412</v>
      </c>
      <c r="B1274" s="25">
        <f>+Municipios!P171</f>
        <v>64.254840618407997</v>
      </c>
      <c r="C1274" s="13">
        <v>25019</v>
      </c>
      <c r="D1274" s="13" t="s">
        <v>803</v>
      </c>
      <c r="E1274" s="13" t="s">
        <v>461</v>
      </c>
      <c r="F1274" s="13" t="s">
        <v>462</v>
      </c>
      <c r="G1274" s="13" t="s">
        <v>759</v>
      </c>
      <c r="K1274" t="s">
        <v>413</v>
      </c>
      <c r="L1274" s="81">
        <f>+Municipios!U171</f>
        <v>38.19066763538234</v>
      </c>
      <c r="M1274" s="13">
        <v>25019</v>
      </c>
      <c r="N1274" s="13" t="s">
        <v>803</v>
      </c>
      <c r="O1274" s="13" t="s">
        <v>461</v>
      </c>
      <c r="P1274" s="13" t="s">
        <v>462</v>
      </c>
      <c r="Q1274" s="13" t="s">
        <v>759</v>
      </c>
      <c r="T1274" t="s">
        <v>2804</v>
      </c>
      <c r="U1274" s="25">
        <f>+Municipios!P171</f>
        <v>64.254840618407997</v>
      </c>
      <c r="V1274" s="13">
        <v>25019</v>
      </c>
      <c r="W1274" s="13" t="s">
        <v>803</v>
      </c>
      <c r="X1274" s="13" t="s">
        <v>461</v>
      </c>
      <c r="Y1274" s="13" t="s">
        <v>462</v>
      </c>
      <c r="Z1274" s="13" t="s">
        <v>759</v>
      </c>
    </row>
    <row r="1275" spans="1:26">
      <c r="A1275" t="s">
        <v>412</v>
      </c>
      <c r="B1275" s="25">
        <f>+Municipios!P172</f>
        <v>61.149185376708516</v>
      </c>
      <c r="C1275" s="13">
        <v>25486</v>
      </c>
      <c r="D1275" s="13" t="s">
        <v>804</v>
      </c>
      <c r="E1275" s="13" t="s">
        <v>461</v>
      </c>
      <c r="F1275" s="13" t="s">
        <v>462</v>
      </c>
      <c r="G1275" s="13" t="s">
        <v>805</v>
      </c>
      <c r="K1275" t="s">
        <v>413</v>
      </c>
      <c r="L1275" s="81">
        <f>+Municipios!U172</f>
        <v>36.332580088613419</v>
      </c>
      <c r="M1275" s="13">
        <v>25486</v>
      </c>
      <c r="N1275" s="13" t="s">
        <v>804</v>
      </c>
      <c r="O1275" s="13" t="s">
        <v>461</v>
      </c>
      <c r="P1275" s="13" t="s">
        <v>462</v>
      </c>
      <c r="Q1275" s="13" t="s">
        <v>805</v>
      </c>
      <c r="T1275" t="s">
        <v>2804</v>
      </c>
      <c r="U1275" s="25">
        <f>+Municipios!P172</f>
        <v>61.149185376708516</v>
      </c>
      <c r="V1275" s="13">
        <v>25486</v>
      </c>
      <c r="W1275" s="13" t="s">
        <v>804</v>
      </c>
      <c r="X1275" s="13" t="s">
        <v>461</v>
      </c>
      <c r="Y1275" s="13" t="s">
        <v>462</v>
      </c>
      <c r="Z1275" s="13" t="s">
        <v>805</v>
      </c>
    </row>
    <row r="1276" spans="1:26">
      <c r="A1276" t="s">
        <v>412</v>
      </c>
      <c r="B1276" s="25">
        <f>+Municipios!P173</f>
        <v>52.633929194932975</v>
      </c>
      <c r="C1276" s="13">
        <v>23660</v>
      </c>
      <c r="D1276" s="13" t="s">
        <v>806</v>
      </c>
      <c r="E1276" s="13" t="s">
        <v>567</v>
      </c>
      <c r="F1276" s="13" t="s">
        <v>568</v>
      </c>
      <c r="G1276" s="13" t="s">
        <v>807</v>
      </c>
      <c r="K1276" t="s">
        <v>413</v>
      </c>
      <c r="L1276" s="81">
        <f>+Municipios!U173</f>
        <v>31.790299126539672</v>
      </c>
      <c r="M1276" s="13">
        <v>23660</v>
      </c>
      <c r="N1276" s="13" t="s">
        <v>806</v>
      </c>
      <c r="O1276" s="13" t="s">
        <v>567</v>
      </c>
      <c r="P1276" s="13" t="s">
        <v>568</v>
      </c>
      <c r="Q1276" s="13" t="s">
        <v>807</v>
      </c>
      <c r="T1276" t="s">
        <v>2804</v>
      </c>
      <c r="U1276" s="25">
        <f>+Municipios!P173</f>
        <v>52.633929194932975</v>
      </c>
      <c r="V1276" s="13">
        <v>23660</v>
      </c>
      <c r="W1276" s="13" t="s">
        <v>806</v>
      </c>
      <c r="X1276" s="13" t="s">
        <v>567</v>
      </c>
      <c r="Y1276" s="13" t="s">
        <v>568</v>
      </c>
      <c r="Z1276" s="13" t="s">
        <v>807</v>
      </c>
    </row>
    <row r="1277" spans="1:26">
      <c r="A1277" t="s">
        <v>412</v>
      </c>
      <c r="B1277" s="25">
        <f>+Municipios!P174</f>
        <v>72.017560320392334</v>
      </c>
      <c r="C1277" s="13">
        <v>25312</v>
      </c>
      <c r="D1277" s="13" t="s">
        <v>808</v>
      </c>
      <c r="E1277" s="13" t="s">
        <v>461</v>
      </c>
      <c r="F1277" s="13" t="s">
        <v>462</v>
      </c>
      <c r="G1277" s="13" t="s">
        <v>802</v>
      </c>
      <c r="K1277" t="s">
        <v>413</v>
      </c>
      <c r="L1277" s="81">
        <f>+Municipios!U174</f>
        <v>42.796051412751908</v>
      </c>
      <c r="M1277" s="13">
        <v>25312</v>
      </c>
      <c r="N1277" s="13" t="s">
        <v>808</v>
      </c>
      <c r="O1277" s="13" t="s">
        <v>461</v>
      </c>
      <c r="P1277" s="13" t="s">
        <v>462</v>
      </c>
      <c r="Q1277" s="13" t="s">
        <v>802</v>
      </c>
      <c r="T1277" t="s">
        <v>2804</v>
      </c>
      <c r="U1277" s="25">
        <f>+Municipios!P174</f>
        <v>72.017560320392334</v>
      </c>
      <c r="V1277" s="13">
        <v>25312</v>
      </c>
      <c r="W1277" s="13" t="s">
        <v>808</v>
      </c>
      <c r="X1277" s="13" t="s">
        <v>461</v>
      </c>
      <c r="Y1277" s="13" t="s">
        <v>462</v>
      </c>
      <c r="Z1277" s="13" t="s">
        <v>802</v>
      </c>
    </row>
    <row r="1278" spans="1:26">
      <c r="A1278" t="s">
        <v>412</v>
      </c>
      <c r="B1278" s="25">
        <f>+Municipios!P175</f>
        <v>40.515010570761561</v>
      </c>
      <c r="C1278" s="13">
        <v>23464</v>
      </c>
      <c r="D1278" s="13" t="s">
        <v>809</v>
      </c>
      <c r="E1278" s="13" t="s">
        <v>567</v>
      </c>
      <c r="F1278" s="13" t="s">
        <v>568</v>
      </c>
      <c r="G1278" s="13" t="s">
        <v>810</v>
      </c>
      <c r="K1278" t="s">
        <v>413</v>
      </c>
      <c r="L1278" s="81">
        <f>+Municipios!U175</f>
        <v>24.557471098002839</v>
      </c>
      <c r="M1278" s="13">
        <v>23464</v>
      </c>
      <c r="N1278" s="13" t="s">
        <v>809</v>
      </c>
      <c r="O1278" s="13" t="s">
        <v>567</v>
      </c>
      <c r="P1278" s="13" t="s">
        <v>568</v>
      </c>
      <c r="Q1278" s="13" t="s">
        <v>810</v>
      </c>
      <c r="T1278" t="s">
        <v>2804</v>
      </c>
      <c r="U1278" s="25">
        <f>+Municipios!P175</f>
        <v>40.515010570761561</v>
      </c>
      <c r="V1278" s="13">
        <v>23464</v>
      </c>
      <c r="W1278" s="13" t="s">
        <v>809</v>
      </c>
      <c r="X1278" s="13" t="s">
        <v>567</v>
      </c>
      <c r="Y1278" s="13" t="s">
        <v>568</v>
      </c>
      <c r="Z1278" s="13" t="s">
        <v>810</v>
      </c>
    </row>
    <row r="1279" spans="1:26">
      <c r="A1279" t="s">
        <v>412</v>
      </c>
      <c r="B1279" s="25">
        <f>+Municipios!P176</f>
        <v>56.29605182913275</v>
      </c>
      <c r="C1279" s="13">
        <v>19807</v>
      </c>
      <c r="D1279" s="13" t="s">
        <v>811</v>
      </c>
      <c r="E1279" s="13" t="s">
        <v>557</v>
      </c>
      <c r="F1279" s="13" t="s">
        <v>558</v>
      </c>
      <c r="G1279" s="13" t="s">
        <v>812</v>
      </c>
      <c r="K1279" t="s">
        <v>413</v>
      </c>
      <c r="L1279" s="81">
        <f>+Municipios!U176</f>
        <v>33.906665169036685</v>
      </c>
      <c r="M1279" s="13">
        <v>19807</v>
      </c>
      <c r="N1279" s="13" t="s">
        <v>811</v>
      </c>
      <c r="O1279" s="13" t="s">
        <v>557</v>
      </c>
      <c r="P1279" s="13" t="s">
        <v>558</v>
      </c>
      <c r="Q1279" s="13" t="s">
        <v>812</v>
      </c>
      <c r="T1279" t="s">
        <v>2804</v>
      </c>
      <c r="U1279" s="25">
        <f>+Municipios!P176</f>
        <v>56.29605182913275</v>
      </c>
      <c r="V1279" s="13">
        <v>19807</v>
      </c>
      <c r="W1279" s="13" t="s">
        <v>811</v>
      </c>
      <c r="X1279" s="13" t="s">
        <v>557</v>
      </c>
      <c r="Y1279" s="13" t="s">
        <v>558</v>
      </c>
      <c r="Z1279" s="13" t="s">
        <v>812</v>
      </c>
    </row>
    <row r="1280" spans="1:26">
      <c r="A1280" t="s">
        <v>412</v>
      </c>
      <c r="B1280" s="25">
        <f>+Municipios!P177</f>
        <v>71.210414650489199</v>
      </c>
      <c r="C1280" s="13">
        <v>76895</v>
      </c>
      <c r="D1280" s="13" t="s">
        <v>813</v>
      </c>
      <c r="E1280" s="13" t="s">
        <v>454</v>
      </c>
      <c r="F1280" s="13" t="s">
        <v>455</v>
      </c>
      <c r="G1280" s="13" t="s">
        <v>814</v>
      </c>
      <c r="K1280" t="s">
        <v>413</v>
      </c>
      <c r="L1280" s="81">
        <f>+Municipios!U177</f>
        <v>42.577332802930663</v>
      </c>
      <c r="M1280" s="13">
        <v>76895</v>
      </c>
      <c r="N1280" s="13" t="s">
        <v>813</v>
      </c>
      <c r="O1280" s="13" t="s">
        <v>454</v>
      </c>
      <c r="P1280" s="13" t="s">
        <v>455</v>
      </c>
      <c r="Q1280" s="13" t="s">
        <v>814</v>
      </c>
      <c r="T1280" t="s">
        <v>2804</v>
      </c>
      <c r="U1280" s="25">
        <f>+Municipios!P177</f>
        <v>71.210414650489199</v>
      </c>
      <c r="V1280" s="13">
        <v>76895</v>
      </c>
      <c r="W1280" s="13" t="s">
        <v>813</v>
      </c>
      <c r="X1280" s="13" t="s">
        <v>454</v>
      </c>
      <c r="Y1280" s="13" t="s">
        <v>455</v>
      </c>
      <c r="Z1280" s="13" t="s">
        <v>814</v>
      </c>
    </row>
    <row r="1281" spans="1:26">
      <c r="A1281" t="s">
        <v>412</v>
      </c>
      <c r="B1281" s="25">
        <f>+Municipios!P178</f>
        <v>50.377942525871383</v>
      </c>
      <c r="C1281" s="13">
        <v>52838</v>
      </c>
      <c r="D1281" s="13" t="s">
        <v>815</v>
      </c>
      <c r="E1281" s="13" t="s">
        <v>672</v>
      </c>
      <c r="F1281" s="13" t="s">
        <v>673</v>
      </c>
      <c r="G1281" s="13" t="s">
        <v>816</v>
      </c>
      <c r="K1281" t="s">
        <v>413</v>
      </c>
      <c r="L1281" s="81">
        <f>+Municipios!U178</f>
        <v>30.297555816302189</v>
      </c>
      <c r="M1281" s="13">
        <v>52838</v>
      </c>
      <c r="N1281" s="13" t="s">
        <v>815</v>
      </c>
      <c r="O1281" s="13" t="s">
        <v>672</v>
      </c>
      <c r="P1281" s="13" t="s">
        <v>673</v>
      </c>
      <c r="Q1281" s="13" t="s">
        <v>816</v>
      </c>
      <c r="T1281" t="s">
        <v>2804</v>
      </c>
      <c r="U1281" s="25">
        <f>+Municipios!P178</f>
        <v>50.377942525871383</v>
      </c>
      <c r="V1281" s="13">
        <v>52838</v>
      </c>
      <c r="W1281" s="13" t="s">
        <v>815</v>
      </c>
      <c r="X1281" s="13" t="s">
        <v>672</v>
      </c>
      <c r="Y1281" s="13" t="s">
        <v>673</v>
      </c>
      <c r="Z1281" s="13" t="s">
        <v>816</v>
      </c>
    </row>
    <row r="1282" spans="1:26">
      <c r="A1282" t="s">
        <v>412</v>
      </c>
      <c r="B1282" s="25">
        <f>+Municipios!P179</f>
        <v>55.251980277897061</v>
      </c>
      <c r="C1282" s="13">
        <v>70418</v>
      </c>
      <c r="D1282" s="13" t="s">
        <v>817</v>
      </c>
      <c r="E1282" s="13" t="s">
        <v>494</v>
      </c>
      <c r="F1282" s="13" t="s">
        <v>495</v>
      </c>
      <c r="G1282" s="13" t="s">
        <v>818</v>
      </c>
      <c r="K1282" t="s">
        <v>413</v>
      </c>
      <c r="L1282" s="81">
        <f>+Municipios!U179</f>
        <v>33.342035555047481</v>
      </c>
      <c r="M1282" s="13">
        <v>70418</v>
      </c>
      <c r="N1282" s="13" t="s">
        <v>817</v>
      </c>
      <c r="O1282" s="13" t="s">
        <v>494</v>
      </c>
      <c r="P1282" s="13" t="s">
        <v>495</v>
      </c>
      <c r="Q1282" s="13" t="s">
        <v>818</v>
      </c>
      <c r="T1282" t="s">
        <v>2804</v>
      </c>
      <c r="U1282" s="25">
        <f>+Municipios!P179</f>
        <v>55.251980277897061</v>
      </c>
      <c r="V1282" s="13">
        <v>70418</v>
      </c>
      <c r="W1282" s="13" t="s">
        <v>817</v>
      </c>
      <c r="X1282" s="13" t="s">
        <v>494</v>
      </c>
      <c r="Y1282" s="13" t="s">
        <v>495</v>
      </c>
      <c r="Z1282" s="13" t="s">
        <v>818</v>
      </c>
    </row>
    <row r="1283" spans="1:26">
      <c r="A1283" t="s">
        <v>412</v>
      </c>
      <c r="B1283" s="25">
        <f>+Municipios!P180</f>
        <v>53.534282734994051</v>
      </c>
      <c r="C1283" s="13">
        <v>8141</v>
      </c>
      <c r="D1283" s="13" t="s">
        <v>819</v>
      </c>
      <c r="E1283" s="13" t="s">
        <v>442</v>
      </c>
      <c r="F1283" s="13" t="s">
        <v>443</v>
      </c>
      <c r="G1283" s="13" t="s">
        <v>609</v>
      </c>
      <c r="K1283" t="s">
        <v>413</v>
      </c>
      <c r="L1283" s="81">
        <f>+Municipios!U180</f>
        <v>32.463827839298936</v>
      </c>
      <c r="M1283" s="13">
        <v>8141</v>
      </c>
      <c r="N1283" s="13" t="s">
        <v>819</v>
      </c>
      <c r="O1283" s="13" t="s">
        <v>442</v>
      </c>
      <c r="P1283" s="13" t="s">
        <v>443</v>
      </c>
      <c r="Q1283" s="13" t="s">
        <v>609</v>
      </c>
      <c r="T1283" t="s">
        <v>2804</v>
      </c>
      <c r="U1283" s="25">
        <f>+Municipios!P180</f>
        <v>53.534282734994051</v>
      </c>
      <c r="V1283" s="13">
        <v>8141</v>
      </c>
      <c r="W1283" s="13" t="s">
        <v>819</v>
      </c>
      <c r="X1283" s="13" t="s">
        <v>442</v>
      </c>
      <c r="Y1283" s="13" t="s">
        <v>443</v>
      </c>
      <c r="Z1283" s="13" t="s">
        <v>609</v>
      </c>
    </row>
    <row r="1284" spans="1:26">
      <c r="A1284" t="s">
        <v>412</v>
      </c>
      <c r="B1284" s="25">
        <f>+Municipios!P181</f>
        <v>59.026417299195316</v>
      </c>
      <c r="C1284" s="13">
        <v>68327</v>
      </c>
      <c r="D1284" s="13" t="s">
        <v>820</v>
      </c>
      <c r="E1284" s="13" t="s">
        <v>431</v>
      </c>
      <c r="F1284" s="13" t="s">
        <v>432</v>
      </c>
      <c r="G1284" s="13" t="s">
        <v>821</v>
      </c>
      <c r="K1284" t="s">
        <v>413</v>
      </c>
      <c r="L1284" s="81">
        <f>+Municipios!U181</f>
        <v>35.280965069995972</v>
      </c>
      <c r="M1284" s="13">
        <v>68327</v>
      </c>
      <c r="N1284" s="13" t="s">
        <v>820</v>
      </c>
      <c r="O1284" s="13" t="s">
        <v>431</v>
      </c>
      <c r="P1284" s="13" t="s">
        <v>432</v>
      </c>
      <c r="Q1284" s="13" t="s">
        <v>821</v>
      </c>
      <c r="T1284" t="s">
        <v>2804</v>
      </c>
      <c r="U1284" s="25">
        <f>+Municipios!P181</f>
        <v>59.026417299195316</v>
      </c>
      <c r="V1284" s="13">
        <v>68327</v>
      </c>
      <c r="W1284" s="13" t="s">
        <v>820</v>
      </c>
      <c r="X1284" s="13" t="s">
        <v>431</v>
      </c>
      <c r="Y1284" s="13" t="s">
        <v>432</v>
      </c>
      <c r="Z1284" s="13" t="s">
        <v>821</v>
      </c>
    </row>
    <row r="1285" spans="1:26">
      <c r="A1285" t="s">
        <v>412</v>
      </c>
      <c r="B1285" s="25">
        <f>+Municipios!P182</f>
        <v>51.400247245310261</v>
      </c>
      <c r="C1285" s="13">
        <v>76869</v>
      </c>
      <c r="D1285" s="13" t="s">
        <v>822</v>
      </c>
      <c r="E1285" s="13" t="s">
        <v>454</v>
      </c>
      <c r="F1285" s="13" t="s">
        <v>455</v>
      </c>
      <c r="G1285" s="13" t="s">
        <v>823</v>
      </c>
      <c r="K1285" t="s">
        <v>413</v>
      </c>
      <c r="L1285" s="81">
        <f>+Municipios!U182</f>
        <v>30.949831022267283</v>
      </c>
      <c r="M1285" s="13">
        <v>76869</v>
      </c>
      <c r="N1285" s="13" t="s">
        <v>822</v>
      </c>
      <c r="O1285" s="13" t="s">
        <v>454</v>
      </c>
      <c r="P1285" s="13" t="s">
        <v>455</v>
      </c>
      <c r="Q1285" s="13" t="s">
        <v>823</v>
      </c>
      <c r="T1285" t="s">
        <v>2804</v>
      </c>
      <c r="U1285" s="25">
        <f>+Municipios!P182</f>
        <v>51.400247245310261</v>
      </c>
      <c r="V1285" s="13">
        <v>76869</v>
      </c>
      <c r="W1285" s="13" t="s">
        <v>822</v>
      </c>
      <c r="X1285" s="13" t="s">
        <v>454</v>
      </c>
      <c r="Y1285" s="13" t="s">
        <v>455</v>
      </c>
      <c r="Z1285" s="13" t="s">
        <v>823</v>
      </c>
    </row>
    <row r="1286" spans="1:26">
      <c r="A1286" t="s">
        <v>412</v>
      </c>
      <c r="B1286" s="25">
        <f>+Municipios!P183</f>
        <v>56.864883989211854</v>
      </c>
      <c r="C1286" s="13">
        <v>23417</v>
      </c>
      <c r="D1286" s="13" t="s">
        <v>824</v>
      </c>
      <c r="E1286" s="13" t="s">
        <v>567</v>
      </c>
      <c r="F1286" s="13" t="s">
        <v>568</v>
      </c>
      <c r="G1286" s="13" t="s">
        <v>825</v>
      </c>
      <c r="K1286" t="s">
        <v>413</v>
      </c>
      <c r="L1286" s="81">
        <f>+Municipios!U183</f>
        <v>34.201099646332935</v>
      </c>
      <c r="M1286" s="13">
        <v>23417</v>
      </c>
      <c r="N1286" s="13" t="s">
        <v>824</v>
      </c>
      <c r="O1286" s="13" t="s">
        <v>567</v>
      </c>
      <c r="P1286" s="13" t="s">
        <v>568</v>
      </c>
      <c r="Q1286" s="13" t="s">
        <v>825</v>
      </c>
      <c r="T1286" t="s">
        <v>2804</v>
      </c>
      <c r="U1286" s="25">
        <f>+Municipios!P183</f>
        <v>56.864883989211854</v>
      </c>
      <c r="V1286" s="13">
        <v>23417</v>
      </c>
      <c r="W1286" s="13" t="s">
        <v>824</v>
      </c>
      <c r="X1286" s="13" t="s">
        <v>567</v>
      </c>
      <c r="Y1286" s="13" t="s">
        <v>568</v>
      </c>
      <c r="Z1286" s="13" t="s">
        <v>825</v>
      </c>
    </row>
    <row r="1287" spans="1:26">
      <c r="A1287" t="s">
        <v>412</v>
      </c>
      <c r="B1287" s="25">
        <f>+Municipios!P184</f>
        <v>53.547049820021542</v>
      </c>
      <c r="C1287" s="13">
        <v>23500</v>
      </c>
      <c r="D1287" s="13" t="s">
        <v>826</v>
      </c>
      <c r="E1287" s="13" t="s">
        <v>567</v>
      </c>
      <c r="F1287" s="13" t="s">
        <v>568</v>
      </c>
      <c r="G1287" s="13" t="s">
        <v>827</v>
      </c>
      <c r="K1287" t="s">
        <v>413</v>
      </c>
      <c r="L1287" s="81">
        <f>+Municipios!U184</f>
        <v>32.167169960493268</v>
      </c>
      <c r="M1287" s="13">
        <v>23500</v>
      </c>
      <c r="N1287" s="13" t="s">
        <v>826</v>
      </c>
      <c r="O1287" s="13" t="s">
        <v>567</v>
      </c>
      <c r="P1287" s="13" t="s">
        <v>568</v>
      </c>
      <c r="Q1287" s="13" t="s">
        <v>827</v>
      </c>
      <c r="T1287" t="s">
        <v>2804</v>
      </c>
      <c r="U1287" s="25">
        <f>+Municipios!P184</f>
        <v>53.547049820021542</v>
      </c>
      <c r="V1287" s="13">
        <v>23500</v>
      </c>
      <c r="W1287" s="13" t="s">
        <v>826</v>
      </c>
      <c r="X1287" s="13" t="s">
        <v>567</v>
      </c>
      <c r="Y1287" s="13" t="s">
        <v>568</v>
      </c>
      <c r="Z1287" s="13" t="s">
        <v>827</v>
      </c>
    </row>
    <row r="1288" spans="1:26">
      <c r="A1288" t="s">
        <v>412</v>
      </c>
      <c r="B1288" s="25">
        <f>+Municipios!P185</f>
        <v>58.379360335789329</v>
      </c>
      <c r="C1288" s="13">
        <v>5679</v>
      </c>
      <c r="D1288" s="13" t="s">
        <v>828</v>
      </c>
      <c r="E1288" s="13" t="s">
        <v>435</v>
      </c>
      <c r="F1288" s="13" t="s">
        <v>436</v>
      </c>
      <c r="G1288" s="13" t="s">
        <v>829</v>
      </c>
      <c r="K1288" t="s">
        <v>413</v>
      </c>
      <c r="L1288" s="81">
        <f>+Municipios!U185</f>
        <v>35.336496689229264</v>
      </c>
      <c r="M1288" s="13">
        <v>5679</v>
      </c>
      <c r="N1288" s="13" t="s">
        <v>828</v>
      </c>
      <c r="O1288" s="13" t="s">
        <v>435</v>
      </c>
      <c r="P1288" s="13" t="s">
        <v>436</v>
      </c>
      <c r="Q1288" s="13" t="s">
        <v>829</v>
      </c>
      <c r="T1288" t="s">
        <v>2804</v>
      </c>
      <c r="U1288" s="25">
        <f>+Municipios!P185</f>
        <v>58.379360335789329</v>
      </c>
      <c r="V1288" s="13">
        <v>5679</v>
      </c>
      <c r="W1288" s="13" t="s">
        <v>828</v>
      </c>
      <c r="X1288" s="13" t="s">
        <v>435</v>
      </c>
      <c r="Y1288" s="13" t="s">
        <v>436</v>
      </c>
      <c r="Z1288" s="13" t="s">
        <v>829</v>
      </c>
    </row>
    <row r="1289" spans="1:26">
      <c r="A1289" t="s">
        <v>412</v>
      </c>
      <c r="B1289" s="25">
        <f>+Municipios!P186</f>
        <v>69.386214592327818</v>
      </c>
      <c r="C1289" s="13">
        <v>5656</v>
      </c>
      <c r="D1289" s="13" t="s">
        <v>830</v>
      </c>
      <c r="E1289" s="13" t="s">
        <v>435</v>
      </c>
      <c r="F1289" s="13" t="s">
        <v>436</v>
      </c>
      <c r="G1289" s="13" t="s">
        <v>831</v>
      </c>
      <c r="K1289" t="s">
        <v>413</v>
      </c>
      <c r="L1289" s="81">
        <f>+Municipios!U186</f>
        <v>42.783582592037135</v>
      </c>
      <c r="M1289" s="13">
        <v>5656</v>
      </c>
      <c r="N1289" s="13" t="s">
        <v>830</v>
      </c>
      <c r="O1289" s="13" t="s">
        <v>435</v>
      </c>
      <c r="P1289" s="13" t="s">
        <v>436</v>
      </c>
      <c r="Q1289" s="13" t="s">
        <v>831</v>
      </c>
      <c r="T1289" t="s">
        <v>2804</v>
      </c>
      <c r="U1289" s="25">
        <f>+Municipios!P186</f>
        <v>69.386214592327818</v>
      </c>
      <c r="V1289" s="13">
        <v>5656</v>
      </c>
      <c r="W1289" s="13" t="s">
        <v>830</v>
      </c>
      <c r="X1289" s="13" t="s">
        <v>435</v>
      </c>
      <c r="Y1289" s="13" t="s">
        <v>436</v>
      </c>
      <c r="Z1289" s="13" t="s">
        <v>831</v>
      </c>
    </row>
    <row r="1290" spans="1:26">
      <c r="A1290" t="s">
        <v>412</v>
      </c>
      <c r="B1290" s="25">
        <f>+Municipios!P187</f>
        <v>55.621163167304147</v>
      </c>
      <c r="C1290" s="13">
        <v>5664</v>
      </c>
      <c r="D1290" s="13" t="s">
        <v>832</v>
      </c>
      <c r="E1290" s="13" t="s">
        <v>435</v>
      </c>
      <c r="F1290" s="13" t="s">
        <v>436</v>
      </c>
      <c r="G1290" s="13" t="s">
        <v>833</v>
      </c>
      <c r="K1290" t="s">
        <v>413</v>
      </c>
      <c r="L1290" s="81">
        <f>+Municipios!U187</f>
        <v>33.152108972610684</v>
      </c>
      <c r="M1290" s="13">
        <v>5664</v>
      </c>
      <c r="N1290" s="13" t="s">
        <v>832</v>
      </c>
      <c r="O1290" s="13" t="s">
        <v>435</v>
      </c>
      <c r="P1290" s="13" t="s">
        <v>436</v>
      </c>
      <c r="Q1290" s="13" t="s">
        <v>833</v>
      </c>
      <c r="T1290" t="s">
        <v>2804</v>
      </c>
      <c r="U1290" s="25">
        <f>+Municipios!P187</f>
        <v>55.621163167304147</v>
      </c>
      <c r="V1290" s="13">
        <v>5664</v>
      </c>
      <c r="W1290" s="13" t="s">
        <v>832</v>
      </c>
      <c r="X1290" s="13" t="s">
        <v>435</v>
      </c>
      <c r="Y1290" s="13" t="s">
        <v>436</v>
      </c>
      <c r="Z1290" s="13" t="s">
        <v>833</v>
      </c>
    </row>
    <row r="1291" spans="1:26">
      <c r="A1291" t="s">
        <v>412</v>
      </c>
      <c r="B1291" s="25">
        <f>+Municipios!P188</f>
        <v>54.88575780840852</v>
      </c>
      <c r="C1291" s="13">
        <v>66088</v>
      </c>
      <c r="D1291" s="13" t="s">
        <v>834</v>
      </c>
      <c r="E1291" s="13" t="s">
        <v>467</v>
      </c>
      <c r="F1291" s="13" t="s">
        <v>468</v>
      </c>
      <c r="G1291" s="13" t="s">
        <v>835</v>
      </c>
      <c r="K1291" t="s">
        <v>413</v>
      </c>
      <c r="L1291" s="81">
        <f>+Municipios!U188</f>
        <v>32.664411101178779</v>
      </c>
      <c r="M1291" s="13">
        <v>66088</v>
      </c>
      <c r="N1291" s="13" t="s">
        <v>834</v>
      </c>
      <c r="O1291" s="13" t="s">
        <v>467</v>
      </c>
      <c r="P1291" s="13" t="s">
        <v>468</v>
      </c>
      <c r="Q1291" s="13" t="s">
        <v>835</v>
      </c>
      <c r="T1291" t="s">
        <v>2804</v>
      </c>
      <c r="U1291" s="25">
        <f>+Municipios!P188</f>
        <v>54.88575780840852</v>
      </c>
      <c r="V1291" s="13">
        <v>66088</v>
      </c>
      <c r="W1291" s="13" t="s">
        <v>834</v>
      </c>
      <c r="X1291" s="13" t="s">
        <v>467</v>
      </c>
      <c r="Y1291" s="13" t="s">
        <v>468</v>
      </c>
      <c r="Z1291" s="13" t="s">
        <v>835</v>
      </c>
    </row>
    <row r="1292" spans="1:26">
      <c r="A1292" t="s">
        <v>412</v>
      </c>
      <c r="B1292" s="25">
        <f>+Municipios!P189</f>
        <v>52.189144260712069</v>
      </c>
      <c r="C1292" s="13">
        <v>76606</v>
      </c>
      <c r="D1292" s="13" t="s">
        <v>836</v>
      </c>
      <c r="E1292" s="13" t="s">
        <v>454</v>
      </c>
      <c r="F1292" s="13" t="s">
        <v>455</v>
      </c>
      <c r="G1292" s="13" t="s">
        <v>837</v>
      </c>
      <c r="K1292" t="s">
        <v>413</v>
      </c>
      <c r="L1292" s="81">
        <f>+Municipios!U189</f>
        <v>30.934547630525383</v>
      </c>
      <c r="M1292" s="13">
        <v>76606</v>
      </c>
      <c r="N1292" s="13" t="s">
        <v>836</v>
      </c>
      <c r="O1292" s="13" t="s">
        <v>454</v>
      </c>
      <c r="P1292" s="13" t="s">
        <v>455</v>
      </c>
      <c r="Q1292" s="13" t="s">
        <v>837</v>
      </c>
      <c r="T1292" t="s">
        <v>2804</v>
      </c>
      <c r="U1292" s="25">
        <f>+Municipios!P189</f>
        <v>52.189144260712069</v>
      </c>
      <c r="V1292" s="13">
        <v>76606</v>
      </c>
      <c r="W1292" s="13" t="s">
        <v>836</v>
      </c>
      <c r="X1292" s="13" t="s">
        <v>454</v>
      </c>
      <c r="Y1292" s="13" t="s">
        <v>455</v>
      </c>
      <c r="Z1292" s="13" t="s">
        <v>837</v>
      </c>
    </row>
    <row r="1293" spans="1:26">
      <c r="A1293" t="s">
        <v>412</v>
      </c>
      <c r="B1293" s="25">
        <f>+Municipios!P190</f>
        <v>51.93151571355542</v>
      </c>
      <c r="C1293" s="13">
        <v>23686</v>
      </c>
      <c r="D1293" s="13" t="s">
        <v>838</v>
      </c>
      <c r="E1293" s="13" t="s">
        <v>567</v>
      </c>
      <c r="F1293" s="13" t="s">
        <v>568</v>
      </c>
      <c r="G1293" s="13" t="s">
        <v>839</v>
      </c>
      <c r="K1293" t="s">
        <v>413</v>
      </c>
      <c r="L1293" s="81">
        <f>+Municipios!U190</f>
        <v>31.187506609453166</v>
      </c>
      <c r="M1293" s="13">
        <v>23686</v>
      </c>
      <c r="N1293" s="13" t="s">
        <v>838</v>
      </c>
      <c r="O1293" s="13" t="s">
        <v>567</v>
      </c>
      <c r="P1293" s="13" t="s">
        <v>568</v>
      </c>
      <c r="Q1293" s="13" t="s">
        <v>839</v>
      </c>
      <c r="T1293" t="s">
        <v>2804</v>
      </c>
      <c r="U1293" s="25">
        <f>+Municipios!P190</f>
        <v>51.93151571355542</v>
      </c>
      <c r="V1293" s="13">
        <v>23686</v>
      </c>
      <c r="W1293" s="13" t="s">
        <v>838</v>
      </c>
      <c r="X1293" s="13" t="s">
        <v>567</v>
      </c>
      <c r="Y1293" s="13" t="s">
        <v>568</v>
      </c>
      <c r="Z1293" s="13" t="s">
        <v>839</v>
      </c>
    </row>
    <row r="1294" spans="1:26">
      <c r="A1294" t="s">
        <v>412</v>
      </c>
      <c r="B1294" s="25">
        <f>+Municipios!P191</f>
        <v>69.975112795410524</v>
      </c>
      <c r="C1294" s="13">
        <v>25035</v>
      </c>
      <c r="D1294" s="13" t="s">
        <v>840</v>
      </c>
      <c r="E1294" s="13" t="s">
        <v>461</v>
      </c>
      <c r="F1294" s="13" t="s">
        <v>462</v>
      </c>
      <c r="G1294" s="13" t="s">
        <v>841</v>
      </c>
      <c r="K1294" t="s">
        <v>413</v>
      </c>
      <c r="L1294" s="81">
        <f>+Municipios!U191</f>
        <v>41.633774095071352</v>
      </c>
      <c r="M1294" s="13">
        <v>25035</v>
      </c>
      <c r="N1294" s="13" t="s">
        <v>840</v>
      </c>
      <c r="O1294" s="13" t="s">
        <v>461</v>
      </c>
      <c r="P1294" s="13" t="s">
        <v>462</v>
      </c>
      <c r="Q1294" s="13" t="s">
        <v>841</v>
      </c>
      <c r="T1294" t="s">
        <v>2804</v>
      </c>
      <c r="U1294" s="25">
        <f>+Municipios!P191</f>
        <v>69.975112795410524</v>
      </c>
      <c r="V1294" s="13">
        <v>25035</v>
      </c>
      <c r="W1294" s="13" t="s">
        <v>840</v>
      </c>
      <c r="X1294" s="13" t="s">
        <v>461</v>
      </c>
      <c r="Y1294" s="13" t="s">
        <v>462</v>
      </c>
      <c r="Z1294" s="13" t="s">
        <v>841</v>
      </c>
    </row>
    <row r="1295" spans="1:26">
      <c r="A1295" t="s">
        <v>412</v>
      </c>
      <c r="B1295" s="25">
        <f>+Municipios!P192</f>
        <v>58.98126588294965</v>
      </c>
      <c r="C1295" s="13">
        <v>25745</v>
      </c>
      <c r="D1295" s="13" t="s">
        <v>842</v>
      </c>
      <c r="E1295" s="13" t="s">
        <v>461</v>
      </c>
      <c r="F1295" s="13" t="s">
        <v>462</v>
      </c>
      <c r="G1295" s="13" t="s">
        <v>843</v>
      </c>
      <c r="K1295" t="s">
        <v>413</v>
      </c>
      <c r="L1295" s="81">
        <f>+Municipios!U192</f>
        <v>34.623660875320446</v>
      </c>
      <c r="M1295" s="13">
        <v>25745</v>
      </c>
      <c r="N1295" s="13" t="s">
        <v>842</v>
      </c>
      <c r="O1295" s="13" t="s">
        <v>461</v>
      </c>
      <c r="P1295" s="13" t="s">
        <v>462</v>
      </c>
      <c r="Q1295" s="13" t="s">
        <v>843</v>
      </c>
      <c r="T1295" t="s">
        <v>2804</v>
      </c>
      <c r="U1295" s="25">
        <f>+Municipios!P192</f>
        <v>58.98126588294965</v>
      </c>
      <c r="V1295" s="13">
        <v>25745</v>
      </c>
      <c r="W1295" s="13" t="s">
        <v>842</v>
      </c>
      <c r="X1295" s="13" t="s">
        <v>461</v>
      </c>
      <c r="Y1295" s="13" t="s">
        <v>462</v>
      </c>
      <c r="Z1295" s="13" t="s">
        <v>843</v>
      </c>
    </row>
    <row r="1296" spans="1:26">
      <c r="A1296" t="s">
        <v>412</v>
      </c>
      <c r="B1296" s="25">
        <f>+Municipios!P193</f>
        <v>54.992983743838579</v>
      </c>
      <c r="C1296" s="13">
        <v>5674</v>
      </c>
      <c r="D1296" s="13" t="s">
        <v>844</v>
      </c>
      <c r="E1296" s="13" t="s">
        <v>435</v>
      </c>
      <c r="F1296" s="13" t="s">
        <v>436</v>
      </c>
      <c r="G1296" s="13" t="s">
        <v>845</v>
      </c>
      <c r="K1296" t="s">
        <v>413</v>
      </c>
      <c r="L1296" s="81">
        <f>+Municipios!U193</f>
        <v>33.065436478553686</v>
      </c>
      <c r="M1296" s="13">
        <v>5674</v>
      </c>
      <c r="N1296" s="13" t="s">
        <v>844</v>
      </c>
      <c r="O1296" s="13" t="s">
        <v>435</v>
      </c>
      <c r="P1296" s="13" t="s">
        <v>436</v>
      </c>
      <c r="Q1296" s="13" t="s">
        <v>845</v>
      </c>
      <c r="T1296" t="s">
        <v>2804</v>
      </c>
      <c r="U1296" s="25">
        <f>+Municipios!P193</f>
        <v>54.992983743838579</v>
      </c>
      <c r="V1296" s="13">
        <v>5674</v>
      </c>
      <c r="W1296" s="13" t="s">
        <v>844</v>
      </c>
      <c r="X1296" s="13" t="s">
        <v>435</v>
      </c>
      <c r="Y1296" s="13" t="s">
        <v>436</v>
      </c>
      <c r="Z1296" s="13" t="s">
        <v>845</v>
      </c>
    </row>
    <row r="1297" spans="1:26">
      <c r="A1297" t="s">
        <v>412</v>
      </c>
      <c r="B1297" s="25">
        <f>+Municipios!P194</f>
        <v>50.860830689721588</v>
      </c>
      <c r="C1297" s="13">
        <v>52683</v>
      </c>
      <c r="D1297" s="13" t="s">
        <v>846</v>
      </c>
      <c r="E1297" s="13" t="s">
        <v>672</v>
      </c>
      <c r="F1297" s="13" t="s">
        <v>673</v>
      </c>
      <c r="G1297" s="13" t="s">
        <v>847</v>
      </c>
      <c r="K1297" t="s">
        <v>413</v>
      </c>
      <c r="L1297" s="81">
        <f>+Municipios!U194</f>
        <v>30.139235737753516</v>
      </c>
      <c r="M1297" s="13">
        <v>52683</v>
      </c>
      <c r="N1297" s="13" t="s">
        <v>846</v>
      </c>
      <c r="O1297" s="13" t="s">
        <v>672</v>
      </c>
      <c r="P1297" s="13" t="s">
        <v>673</v>
      </c>
      <c r="Q1297" s="13" t="s">
        <v>847</v>
      </c>
      <c r="T1297" t="s">
        <v>2804</v>
      </c>
      <c r="U1297" s="25">
        <f>+Municipios!P194</f>
        <v>50.860830689721588</v>
      </c>
      <c r="V1297" s="13">
        <v>52683</v>
      </c>
      <c r="W1297" s="13" t="s">
        <v>846</v>
      </c>
      <c r="X1297" s="13" t="s">
        <v>672</v>
      </c>
      <c r="Y1297" s="13" t="s">
        <v>673</v>
      </c>
      <c r="Z1297" s="13" t="s">
        <v>847</v>
      </c>
    </row>
    <row r="1298" spans="1:26">
      <c r="A1298" t="s">
        <v>412</v>
      </c>
      <c r="B1298" s="25">
        <f>+Municipios!P195</f>
        <v>55.680830881954364</v>
      </c>
      <c r="C1298" s="13">
        <v>13430</v>
      </c>
      <c r="D1298" s="13" t="s">
        <v>848</v>
      </c>
      <c r="E1298" s="13" t="s">
        <v>480</v>
      </c>
      <c r="F1298" s="13" t="s">
        <v>481</v>
      </c>
      <c r="G1298" s="13" t="s">
        <v>849</v>
      </c>
      <c r="K1298" t="s">
        <v>413</v>
      </c>
      <c r="L1298" s="81">
        <f>+Municipios!U195</f>
        <v>33.164123101904529</v>
      </c>
      <c r="M1298" s="13">
        <v>13430</v>
      </c>
      <c r="N1298" s="13" t="s">
        <v>848</v>
      </c>
      <c r="O1298" s="13" t="s">
        <v>480</v>
      </c>
      <c r="P1298" s="13" t="s">
        <v>481</v>
      </c>
      <c r="Q1298" s="13" t="s">
        <v>849</v>
      </c>
      <c r="T1298" t="s">
        <v>2804</v>
      </c>
      <c r="U1298" s="25">
        <f>+Municipios!P195</f>
        <v>55.680830881954364</v>
      </c>
      <c r="V1298" s="13">
        <v>13430</v>
      </c>
      <c r="W1298" s="13" t="s">
        <v>848</v>
      </c>
      <c r="X1298" s="13" t="s">
        <v>480</v>
      </c>
      <c r="Y1298" s="13" t="s">
        <v>481</v>
      </c>
      <c r="Z1298" s="13" t="s">
        <v>849</v>
      </c>
    </row>
    <row r="1299" spans="1:26">
      <c r="A1299" t="s">
        <v>412</v>
      </c>
      <c r="B1299" s="25">
        <f>+Municipios!P196</f>
        <v>51.733396018954053</v>
      </c>
      <c r="C1299" s="13">
        <v>47189</v>
      </c>
      <c r="D1299" s="13" t="s">
        <v>850</v>
      </c>
      <c r="E1299" s="13" t="s">
        <v>638</v>
      </c>
      <c r="F1299" s="13" t="s">
        <v>639</v>
      </c>
      <c r="G1299" s="13" t="s">
        <v>851</v>
      </c>
      <c r="K1299" t="s">
        <v>413</v>
      </c>
      <c r="L1299" s="81">
        <f>+Municipios!U196</f>
        <v>30.790940631663034</v>
      </c>
      <c r="M1299" s="13">
        <v>47189</v>
      </c>
      <c r="N1299" s="13" t="s">
        <v>850</v>
      </c>
      <c r="O1299" s="13" t="s">
        <v>638</v>
      </c>
      <c r="P1299" s="13" t="s">
        <v>639</v>
      </c>
      <c r="Q1299" s="13" t="s">
        <v>851</v>
      </c>
      <c r="T1299" t="s">
        <v>2804</v>
      </c>
      <c r="U1299" s="25">
        <f>+Municipios!P196</f>
        <v>51.733396018954053</v>
      </c>
      <c r="V1299" s="13">
        <v>47189</v>
      </c>
      <c r="W1299" s="13" t="s">
        <v>850</v>
      </c>
      <c r="X1299" s="13" t="s">
        <v>638</v>
      </c>
      <c r="Y1299" s="13" t="s">
        <v>639</v>
      </c>
      <c r="Z1299" s="13" t="s">
        <v>851</v>
      </c>
    </row>
    <row r="1300" spans="1:26">
      <c r="A1300" t="s">
        <v>412</v>
      </c>
      <c r="B1300" s="25">
        <f>+Municipios!P197</f>
        <v>64.835685139973037</v>
      </c>
      <c r="C1300" s="13">
        <v>63272</v>
      </c>
      <c r="D1300" s="13" t="s">
        <v>852</v>
      </c>
      <c r="E1300" s="13" t="s">
        <v>473</v>
      </c>
      <c r="F1300" s="13" t="s">
        <v>474</v>
      </c>
      <c r="G1300" s="13" t="s">
        <v>853</v>
      </c>
      <c r="K1300" t="s">
        <v>413</v>
      </c>
      <c r="L1300" s="81">
        <f>+Municipios!U197</f>
        <v>38.218084076467676</v>
      </c>
      <c r="M1300" s="13">
        <v>63272</v>
      </c>
      <c r="N1300" s="13" t="s">
        <v>852</v>
      </c>
      <c r="O1300" s="13" t="s">
        <v>473</v>
      </c>
      <c r="P1300" s="13" t="s">
        <v>474</v>
      </c>
      <c r="Q1300" s="13" t="s">
        <v>853</v>
      </c>
      <c r="T1300" t="s">
        <v>2804</v>
      </c>
      <c r="U1300" s="25">
        <f>+Municipios!P197</f>
        <v>64.835685139973037</v>
      </c>
      <c r="V1300" s="13">
        <v>63272</v>
      </c>
      <c r="W1300" s="13" t="s">
        <v>852</v>
      </c>
      <c r="X1300" s="13" t="s">
        <v>473</v>
      </c>
      <c r="Y1300" s="13" t="s">
        <v>474</v>
      </c>
      <c r="Z1300" s="13" t="s">
        <v>853</v>
      </c>
    </row>
    <row r="1301" spans="1:26">
      <c r="A1301" t="s">
        <v>412</v>
      </c>
      <c r="B1301" s="25">
        <f>+Municipios!P198</f>
        <v>64.408852553298146</v>
      </c>
      <c r="C1301" s="13">
        <v>17614</v>
      </c>
      <c r="D1301" s="13" t="s">
        <v>854</v>
      </c>
      <c r="E1301" s="13" t="s">
        <v>506</v>
      </c>
      <c r="F1301" s="13" t="s">
        <v>507</v>
      </c>
      <c r="G1301" s="13" t="s">
        <v>855</v>
      </c>
      <c r="K1301" t="s">
        <v>413</v>
      </c>
      <c r="L1301" s="81">
        <f>+Municipios!U198</f>
        <v>37.973544663806123</v>
      </c>
      <c r="M1301" s="13">
        <v>17614</v>
      </c>
      <c r="N1301" s="13" t="s">
        <v>854</v>
      </c>
      <c r="O1301" s="13" t="s">
        <v>506</v>
      </c>
      <c r="P1301" s="13" t="s">
        <v>507</v>
      </c>
      <c r="Q1301" s="13" t="s">
        <v>855</v>
      </c>
      <c r="T1301" t="s">
        <v>2804</v>
      </c>
      <c r="U1301" s="25">
        <f>+Municipios!P198</f>
        <v>64.408852553298146</v>
      </c>
      <c r="V1301" s="13">
        <v>17614</v>
      </c>
      <c r="W1301" s="13" t="s">
        <v>854</v>
      </c>
      <c r="X1301" s="13" t="s">
        <v>506</v>
      </c>
      <c r="Y1301" s="13" t="s">
        <v>507</v>
      </c>
      <c r="Z1301" s="13" t="s">
        <v>855</v>
      </c>
    </row>
    <row r="1302" spans="1:26">
      <c r="A1302" t="s">
        <v>412</v>
      </c>
      <c r="B1302" s="25">
        <f>+Municipios!P199</f>
        <v>64.551438126907016</v>
      </c>
      <c r="C1302" s="13">
        <v>17616</v>
      </c>
      <c r="D1302" s="13" t="s">
        <v>856</v>
      </c>
      <c r="E1302" s="13" t="s">
        <v>506</v>
      </c>
      <c r="F1302" s="13" t="s">
        <v>507</v>
      </c>
      <c r="G1302" s="13" t="s">
        <v>468</v>
      </c>
      <c r="K1302" t="s">
        <v>413</v>
      </c>
      <c r="L1302" s="81">
        <f>+Municipios!U199</f>
        <v>38.022926268073313</v>
      </c>
      <c r="M1302" s="13">
        <v>17616</v>
      </c>
      <c r="N1302" s="13" t="s">
        <v>856</v>
      </c>
      <c r="O1302" s="13" t="s">
        <v>506</v>
      </c>
      <c r="P1302" s="13" t="s">
        <v>507</v>
      </c>
      <c r="Q1302" s="13" t="s">
        <v>468</v>
      </c>
      <c r="T1302" t="s">
        <v>2804</v>
      </c>
      <c r="U1302" s="25">
        <f>+Municipios!P199</f>
        <v>64.551438126907016</v>
      </c>
      <c r="V1302" s="13">
        <v>17616</v>
      </c>
      <c r="W1302" s="13" t="s">
        <v>856</v>
      </c>
      <c r="X1302" s="13" t="s">
        <v>506</v>
      </c>
      <c r="Y1302" s="13" t="s">
        <v>507</v>
      </c>
      <c r="Z1302" s="13" t="s">
        <v>468</v>
      </c>
    </row>
    <row r="1303" spans="1:26">
      <c r="A1303" t="s">
        <v>412</v>
      </c>
      <c r="B1303" s="25">
        <f>+Municipios!P200</f>
        <v>60.677436230066192</v>
      </c>
      <c r="C1303" s="13">
        <v>23675</v>
      </c>
      <c r="D1303" s="13" t="s">
        <v>857</v>
      </c>
      <c r="E1303" s="13" t="s">
        <v>567</v>
      </c>
      <c r="F1303" s="13" t="s">
        <v>568</v>
      </c>
      <c r="G1303" s="13" t="s">
        <v>858</v>
      </c>
      <c r="K1303" t="s">
        <v>413</v>
      </c>
      <c r="L1303" s="81">
        <f>+Municipios!U200</f>
        <v>36.022090876593595</v>
      </c>
      <c r="M1303" s="13">
        <v>23675</v>
      </c>
      <c r="N1303" s="13" t="s">
        <v>857</v>
      </c>
      <c r="O1303" s="13" t="s">
        <v>567</v>
      </c>
      <c r="P1303" s="13" t="s">
        <v>568</v>
      </c>
      <c r="Q1303" s="13" t="s">
        <v>858</v>
      </c>
      <c r="T1303" t="s">
        <v>2804</v>
      </c>
      <c r="U1303" s="25">
        <f>+Municipios!P200</f>
        <v>60.677436230066192</v>
      </c>
      <c r="V1303" s="13">
        <v>23675</v>
      </c>
      <c r="W1303" s="13" t="s">
        <v>857</v>
      </c>
      <c r="X1303" s="13" t="s">
        <v>567</v>
      </c>
      <c r="Y1303" s="13" t="s">
        <v>568</v>
      </c>
      <c r="Z1303" s="13" t="s">
        <v>858</v>
      </c>
    </row>
    <row r="1304" spans="1:26">
      <c r="A1304" t="s">
        <v>412</v>
      </c>
      <c r="B1304" s="25">
        <f>+Municipios!P201</f>
        <v>62.31484204636476</v>
      </c>
      <c r="C1304" s="13">
        <v>70820</v>
      </c>
      <c r="D1304" s="13" t="s">
        <v>859</v>
      </c>
      <c r="E1304" s="13" t="s">
        <v>494</v>
      </c>
      <c r="F1304" s="13" t="s">
        <v>495</v>
      </c>
      <c r="G1304" s="13" t="s">
        <v>860</v>
      </c>
      <c r="K1304" t="s">
        <v>413</v>
      </c>
      <c r="L1304" s="81">
        <f>+Municipios!U201</f>
        <v>37.216189697804438</v>
      </c>
      <c r="M1304" s="13">
        <v>70820</v>
      </c>
      <c r="N1304" s="13" t="s">
        <v>859</v>
      </c>
      <c r="O1304" s="13" t="s">
        <v>494</v>
      </c>
      <c r="P1304" s="13" t="s">
        <v>495</v>
      </c>
      <c r="Q1304" s="13" t="s">
        <v>860</v>
      </c>
      <c r="T1304" t="s">
        <v>2804</v>
      </c>
      <c r="U1304" s="25">
        <f>+Municipios!P201</f>
        <v>62.31484204636476</v>
      </c>
      <c r="V1304" s="13">
        <v>70820</v>
      </c>
      <c r="W1304" s="13" t="s">
        <v>859</v>
      </c>
      <c r="X1304" s="13" t="s">
        <v>494</v>
      </c>
      <c r="Y1304" s="13" t="s">
        <v>495</v>
      </c>
      <c r="Z1304" s="13" t="s">
        <v>860</v>
      </c>
    </row>
    <row r="1305" spans="1:26">
      <c r="A1305" t="s">
        <v>412</v>
      </c>
      <c r="B1305" s="25">
        <f>+Municipios!P202</f>
        <v>65.256375894028707</v>
      </c>
      <c r="C1305" s="13">
        <v>25612</v>
      </c>
      <c r="D1305" s="13" t="s">
        <v>861</v>
      </c>
      <c r="E1305" s="13" t="s">
        <v>461</v>
      </c>
      <c r="F1305" s="13" t="s">
        <v>462</v>
      </c>
      <c r="G1305" s="13" t="s">
        <v>862</v>
      </c>
      <c r="K1305" t="s">
        <v>413</v>
      </c>
      <c r="L1305" s="81">
        <f>+Municipios!U202</f>
        <v>38.492337829894339</v>
      </c>
      <c r="M1305" s="13">
        <v>25612</v>
      </c>
      <c r="N1305" s="13" t="s">
        <v>861</v>
      </c>
      <c r="O1305" s="13" t="s">
        <v>461</v>
      </c>
      <c r="P1305" s="13" t="s">
        <v>462</v>
      </c>
      <c r="Q1305" s="13" t="s">
        <v>862</v>
      </c>
      <c r="T1305" t="s">
        <v>2804</v>
      </c>
      <c r="U1305" s="25">
        <f>+Municipios!P202</f>
        <v>65.256375894028707</v>
      </c>
      <c r="V1305" s="13">
        <v>25612</v>
      </c>
      <c r="W1305" s="13" t="s">
        <v>861</v>
      </c>
      <c r="X1305" s="13" t="s">
        <v>461</v>
      </c>
      <c r="Y1305" s="13" t="s">
        <v>462</v>
      </c>
      <c r="Z1305" s="13" t="s">
        <v>862</v>
      </c>
    </row>
    <row r="1306" spans="1:26">
      <c r="A1306" t="s">
        <v>412</v>
      </c>
      <c r="B1306" s="25">
        <f>+Municipios!P203</f>
        <v>64.380224920069566</v>
      </c>
      <c r="C1306" s="13">
        <v>25040</v>
      </c>
      <c r="D1306" s="13" t="s">
        <v>863</v>
      </c>
      <c r="E1306" s="13" t="s">
        <v>461</v>
      </c>
      <c r="F1306" s="13" t="s">
        <v>462</v>
      </c>
      <c r="G1306" s="13" t="s">
        <v>864</v>
      </c>
      <c r="K1306" t="s">
        <v>413</v>
      </c>
      <c r="L1306" s="81">
        <f>+Municipios!U203</f>
        <v>37.60804192149849</v>
      </c>
      <c r="M1306" s="13">
        <v>25040</v>
      </c>
      <c r="N1306" s="13" t="s">
        <v>863</v>
      </c>
      <c r="O1306" s="13" t="s">
        <v>461</v>
      </c>
      <c r="P1306" s="13" t="s">
        <v>462</v>
      </c>
      <c r="Q1306" s="13" t="s">
        <v>864</v>
      </c>
      <c r="T1306" t="s">
        <v>2804</v>
      </c>
      <c r="U1306" s="25">
        <f>+Municipios!P203</f>
        <v>64.380224920069566</v>
      </c>
      <c r="V1306" s="13">
        <v>25040</v>
      </c>
      <c r="W1306" s="13" t="s">
        <v>863</v>
      </c>
      <c r="X1306" s="13" t="s">
        <v>461</v>
      </c>
      <c r="Y1306" s="13" t="s">
        <v>462</v>
      </c>
      <c r="Z1306" s="13" t="s">
        <v>864</v>
      </c>
    </row>
    <row r="1307" spans="1:26">
      <c r="A1307" t="s">
        <v>412</v>
      </c>
      <c r="B1307" s="25">
        <f>+Municipios!P204</f>
        <v>54.750215364435128</v>
      </c>
      <c r="C1307" s="13">
        <v>66440</v>
      </c>
      <c r="D1307" s="13" t="s">
        <v>865</v>
      </c>
      <c r="E1307" s="13" t="s">
        <v>467</v>
      </c>
      <c r="F1307" s="13" t="s">
        <v>468</v>
      </c>
      <c r="G1307" s="13" t="s">
        <v>866</v>
      </c>
      <c r="K1307" t="s">
        <v>413</v>
      </c>
      <c r="L1307" s="81">
        <f>+Municipios!U204</f>
        <v>32.182081033556777</v>
      </c>
      <c r="M1307" s="13">
        <v>66440</v>
      </c>
      <c r="N1307" s="13" t="s">
        <v>865</v>
      </c>
      <c r="O1307" s="13" t="s">
        <v>467</v>
      </c>
      <c r="P1307" s="13" t="s">
        <v>468</v>
      </c>
      <c r="Q1307" s="13" t="s">
        <v>866</v>
      </c>
      <c r="T1307" t="s">
        <v>2804</v>
      </c>
      <c r="U1307" s="25">
        <f>+Municipios!P204</f>
        <v>54.750215364435128</v>
      </c>
      <c r="V1307" s="13">
        <v>66440</v>
      </c>
      <c r="W1307" s="13" t="s">
        <v>865</v>
      </c>
      <c r="X1307" s="13" t="s">
        <v>467</v>
      </c>
      <c r="Y1307" s="13" t="s">
        <v>468</v>
      </c>
      <c r="Z1307" s="13" t="s">
        <v>866</v>
      </c>
    </row>
    <row r="1308" spans="1:26">
      <c r="A1308" t="s">
        <v>412</v>
      </c>
      <c r="B1308" s="25">
        <f>+Municipios!P205</f>
        <v>59.549361111949658</v>
      </c>
      <c r="C1308" s="13">
        <v>76670</v>
      </c>
      <c r="D1308" s="13" t="s">
        <v>867</v>
      </c>
      <c r="E1308" s="13" t="s">
        <v>454</v>
      </c>
      <c r="F1308" s="13" t="s">
        <v>455</v>
      </c>
      <c r="G1308" s="13" t="s">
        <v>868</v>
      </c>
      <c r="K1308" t="s">
        <v>413</v>
      </c>
      <c r="L1308" s="81">
        <f>+Municipios!U205</f>
        <v>34.751212827029661</v>
      </c>
      <c r="M1308" s="13">
        <v>76670</v>
      </c>
      <c r="N1308" s="13" t="s">
        <v>867</v>
      </c>
      <c r="O1308" s="13" t="s">
        <v>454</v>
      </c>
      <c r="P1308" s="13" t="s">
        <v>455</v>
      </c>
      <c r="Q1308" s="13" t="s">
        <v>868</v>
      </c>
      <c r="T1308" t="s">
        <v>2804</v>
      </c>
      <c r="U1308" s="25">
        <f>+Municipios!P205</f>
        <v>59.549361111949658</v>
      </c>
      <c r="V1308" s="13">
        <v>76670</v>
      </c>
      <c r="W1308" s="13" t="s">
        <v>867</v>
      </c>
      <c r="X1308" s="13" t="s">
        <v>454</v>
      </c>
      <c r="Y1308" s="13" t="s">
        <v>455</v>
      </c>
      <c r="Z1308" s="13" t="s">
        <v>868</v>
      </c>
    </row>
    <row r="1309" spans="1:26">
      <c r="A1309" t="s">
        <v>412</v>
      </c>
      <c r="B1309" s="25">
        <f>+Municipios!P206</f>
        <v>41.595992770404251</v>
      </c>
      <c r="C1309" s="13">
        <v>13760</v>
      </c>
      <c r="D1309" s="13" t="s">
        <v>869</v>
      </c>
      <c r="E1309" s="13" t="s">
        <v>480</v>
      </c>
      <c r="F1309" s="13" t="s">
        <v>481</v>
      </c>
      <c r="G1309" s="13" t="s">
        <v>870</v>
      </c>
      <c r="K1309" t="s">
        <v>413</v>
      </c>
      <c r="L1309" s="81">
        <f>+Municipios!U206</f>
        <v>24.884751374981494</v>
      </c>
      <c r="M1309" s="13">
        <v>13760</v>
      </c>
      <c r="N1309" s="13" t="s">
        <v>869</v>
      </c>
      <c r="O1309" s="13" t="s">
        <v>480</v>
      </c>
      <c r="P1309" s="13" t="s">
        <v>481</v>
      </c>
      <c r="Q1309" s="13" t="s">
        <v>870</v>
      </c>
      <c r="T1309" t="s">
        <v>2804</v>
      </c>
      <c r="U1309" s="25">
        <f>+Municipios!P206</f>
        <v>41.595992770404251</v>
      </c>
      <c r="V1309" s="13">
        <v>13760</v>
      </c>
      <c r="W1309" s="13" t="s">
        <v>869</v>
      </c>
      <c r="X1309" s="13" t="s">
        <v>480</v>
      </c>
      <c r="Y1309" s="13" t="s">
        <v>481</v>
      </c>
      <c r="Z1309" s="13" t="s">
        <v>870</v>
      </c>
    </row>
    <row r="1310" spans="1:26">
      <c r="A1310" t="s">
        <v>412</v>
      </c>
      <c r="B1310" s="25">
        <f>+Municipios!P207</f>
        <v>59.370397827642151</v>
      </c>
      <c r="C1310" s="13">
        <v>17877</v>
      </c>
      <c r="D1310" s="13" t="s">
        <v>871</v>
      </c>
      <c r="E1310" s="13" t="s">
        <v>506</v>
      </c>
      <c r="F1310" s="13" t="s">
        <v>507</v>
      </c>
      <c r="G1310" s="13" t="s">
        <v>872</v>
      </c>
      <c r="K1310" t="s">
        <v>413</v>
      </c>
      <c r="L1310" s="81">
        <f>+Municipios!U207</f>
        <v>34.733438340425685</v>
      </c>
      <c r="M1310" s="13">
        <v>17877</v>
      </c>
      <c r="N1310" s="13" t="s">
        <v>871</v>
      </c>
      <c r="O1310" s="13" t="s">
        <v>506</v>
      </c>
      <c r="P1310" s="13" t="s">
        <v>507</v>
      </c>
      <c r="Q1310" s="13" t="s">
        <v>872</v>
      </c>
      <c r="T1310" t="s">
        <v>2804</v>
      </c>
      <c r="U1310" s="25">
        <f>+Municipios!P207</f>
        <v>59.370397827642151</v>
      </c>
      <c r="V1310" s="13">
        <v>17877</v>
      </c>
      <c r="W1310" s="13" t="s">
        <v>871</v>
      </c>
      <c r="X1310" s="13" t="s">
        <v>506</v>
      </c>
      <c r="Y1310" s="13" t="s">
        <v>507</v>
      </c>
      <c r="Z1310" s="13" t="s">
        <v>872</v>
      </c>
    </row>
    <row r="1311" spans="1:26">
      <c r="A1311" t="s">
        <v>412</v>
      </c>
      <c r="B1311" s="25">
        <f>+Municipios!P208</f>
        <v>59.887890265687325</v>
      </c>
      <c r="C1311" s="13">
        <v>5237</v>
      </c>
      <c r="D1311" s="13" t="s">
        <v>873</v>
      </c>
      <c r="E1311" s="13" t="s">
        <v>435</v>
      </c>
      <c r="F1311" s="13" t="s">
        <v>436</v>
      </c>
      <c r="G1311" s="13" t="s">
        <v>874</v>
      </c>
      <c r="K1311" t="s">
        <v>413</v>
      </c>
      <c r="L1311" s="81">
        <f>+Municipios!U208</f>
        <v>36.11348301305911</v>
      </c>
      <c r="M1311" s="13">
        <v>5237</v>
      </c>
      <c r="N1311" s="13" t="s">
        <v>873</v>
      </c>
      <c r="O1311" s="13" t="s">
        <v>435</v>
      </c>
      <c r="P1311" s="13" t="s">
        <v>436</v>
      </c>
      <c r="Q1311" s="13" t="s">
        <v>874</v>
      </c>
      <c r="T1311" t="s">
        <v>2804</v>
      </c>
      <c r="U1311" s="25">
        <f>+Municipios!P208</f>
        <v>59.887890265687325</v>
      </c>
      <c r="V1311" s="13">
        <v>5237</v>
      </c>
      <c r="W1311" s="13" t="s">
        <v>873</v>
      </c>
      <c r="X1311" s="13" t="s">
        <v>435</v>
      </c>
      <c r="Y1311" s="13" t="s">
        <v>436</v>
      </c>
      <c r="Z1311" s="13" t="s">
        <v>874</v>
      </c>
    </row>
    <row r="1312" spans="1:26">
      <c r="A1312" t="s">
        <v>412</v>
      </c>
      <c r="B1312" s="25">
        <f>+Municipios!P209</f>
        <v>70.985371796489858</v>
      </c>
      <c r="C1312" s="13">
        <v>25402</v>
      </c>
      <c r="D1312" s="13" t="s">
        <v>875</v>
      </c>
      <c r="E1312" s="13" t="s">
        <v>461</v>
      </c>
      <c r="F1312" s="13" t="s">
        <v>462</v>
      </c>
      <c r="G1312" s="13" t="s">
        <v>876</v>
      </c>
      <c r="K1312" t="s">
        <v>413</v>
      </c>
      <c r="L1312" s="81">
        <f>+Municipios!U209</f>
        <v>41.117170079435589</v>
      </c>
      <c r="M1312" s="13">
        <v>25402</v>
      </c>
      <c r="N1312" s="13" t="s">
        <v>875</v>
      </c>
      <c r="O1312" s="13" t="s">
        <v>461</v>
      </c>
      <c r="P1312" s="13" t="s">
        <v>462</v>
      </c>
      <c r="Q1312" s="13" t="s">
        <v>876</v>
      </c>
      <c r="T1312" t="s">
        <v>2804</v>
      </c>
      <c r="U1312" s="25">
        <f>+Municipios!P209</f>
        <v>70.985371796489858</v>
      </c>
      <c r="V1312" s="13">
        <v>25402</v>
      </c>
      <c r="W1312" s="13" t="s">
        <v>875</v>
      </c>
      <c r="X1312" s="13" t="s">
        <v>461</v>
      </c>
      <c r="Y1312" s="13" t="s">
        <v>462</v>
      </c>
      <c r="Z1312" s="13" t="s">
        <v>876</v>
      </c>
    </row>
    <row r="1313" spans="1:26">
      <c r="A1313" t="s">
        <v>412</v>
      </c>
      <c r="B1313" s="25">
        <f>+Municipios!P210</f>
        <v>47.611272592128401</v>
      </c>
      <c r="C1313" s="13">
        <v>5282</v>
      </c>
      <c r="D1313" s="13" t="s">
        <v>877</v>
      </c>
      <c r="E1313" s="13" t="s">
        <v>435</v>
      </c>
      <c r="F1313" s="13" t="s">
        <v>436</v>
      </c>
      <c r="G1313" s="13" t="s">
        <v>878</v>
      </c>
      <c r="K1313" t="s">
        <v>413</v>
      </c>
      <c r="L1313" s="81">
        <f>+Municipios!U210</f>
        <v>28.285307904201183</v>
      </c>
      <c r="M1313" s="13">
        <v>5282</v>
      </c>
      <c r="N1313" s="13" t="s">
        <v>877</v>
      </c>
      <c r="O1313" s="13" t="s">
        <v>435</v>
      </c>
      <c r="P1313" s="13" t="s">
        <v>436</v>
      </c>
      <c r="Q1313" s="13" t="s">
        <v>878</v>
      </c>
      <c r="T1313" t="s">
        <v>2804</v>
      </c>
      <c r="U1313" s="25">
        <f>+Municipios!P210</f>
        <v>47.611272592128401</v>
      </c>
      <c r="V1313" s="13">
        <v>5282</v>
      </c>
      <c r="W1313" s="13" t="s">
        <v>877</v>
      </c>
      <c r="X1313" s="13" t="s">
        <v>435</v>
      </c>
      <c r="Y1313" s="13" t="s">
        <v>436</v>
      </c>
      <c r="Z1313" s="13" t="s">
        <v>878</v>
      </c>
    </row>
    <row r="1314" spans="1:26">
      <c r="A1314" t="s">
        <v>412</v>
      </c>
      <c r="B1314" s="25">
        <f>+Municipios!P211</f>
        <v>50.569473438863412</v>
      </c>
      <c r="C1314" s="13">
        <v>73520</v>
      </c>
      <c r="D1314" s="13" t="s">
        <v>879</v>
      </c>
      <c r="E1314" s="13" t="s">
        <v>595</v>
      </c>
      <c r="F1314" s="13" t="s">
        <v>596</v>
      </c>
      <c r="G1314" s="13" t="s">
        <v>880</v>
      </c>
      <c r="K1314" t="s">
        <v>413</v>
      </c>
      <c r="L1314" s="81">
        <f>+Municipios!U211</f>
        <v>29.714229396285742</v>
      </c>
      <c r="M1314" s="13">
        <v>73520</v>
      </c>
      <c r="N1314" s="13" t="s">
        <v>879</v>
      </c>
      <c r="O1314" s="13" t="s">
        <v>595</v>
      </c>
      <c r="P1314" s="13" t="s">
        <v>596</v>
      </c>
      <c r="Q1314" s="13" t="s">
        <v>880</v>
      </c>
      <c r="T1314" t="s">
        <v>2804</v>
      </c>
      <c r="U1314" s="25">
        <f>+Municipios!P211</f>
        <v>50.569473438863412</v>
      </c>
      <c r="V1314" s="13">
        <v>73520</v>
      </c>
      <c r="W1314" s="13" t="s">
        <v>879</v>
      </c>
      <c r="X1314" s="13" t="s">
        <v>595</v>
      </c>
      <c r="Y1314" s="13" t="s">
        <v>596</v>
      </c>
      <c r="Z1314" s="13" t="s">
        <v>880</v>
      </c>
    </row>
    <row r="1315" spans="1:26">
      <c r="A1315" t="s">
        <v>412</v>
      </c>
      <c r="B1315" s="25">
        <f>+Municipios!P212</f>
        <v>55.919676755942127</v>
      </c>
      <c r="C1315" s="13">
        <v>19142</v>
      </c>
      <c r="D1315" s="13" t="s">
        <v>881</v>
      </c>
      <c r="E1315" s="13" t="s">
        <v>557</v>
      </c>
      <c r="F1315" s="13" t="s">
        <v>558</v>
      </c>
      <c r="G1315" s="13" t="s">
        <v>882</v>
      </c>
      <c r="K1315" t="s">
        <v>413</v>
      </c>
      <c r="L1315" s="81">
        <f>+Municipios!U212</f>
        <v>32.826469528309531</v>
      </c>
      <c r="M1315" s="13">
        <v>19142</v>
      </c>
      <c r="N1315" s="13" t="s">
        <v>881</v>
      </c>
      <c r="O1315" s="13" t="s">
        <v>557</v>
      </c>
      <c r="P1315" s="13" t="s">
        <v>558</v>
      </c>
      <c r="Q1315" s="13" t="s">
        <v>882</v>
      </c>
      <c r="T1315" t="s">
        <v>2804</v>
      </c>
      <c r="U1315" s="25">
        <f>+Municipios!P212</f>
        <v>55.919676755942127</v>
      </c>
      <c r="V1315" s="13">
        <v>19142</v>
      </c>
      <c r="W1315" s="13" t="s">
        <v>881</v>
      </c>
      <c r="X1315" s="13" t="s">
        <v>557</v>
      </c>
      <c r="Y1315" s="13" t="s">
        <v>558</v>
      </c>
      <c r="Z1315" s="13" t="s">
        <v>882</v>
      </c>
    </row>
    <row r="1316" spans="1:26">
      <c r="A1316" t="s">
        <v>412</v>
      </c>
      <c r="B1316" s="25">
        <f>+Municipios!P213</f>
        <v>71.739809317039274</v>
      </c>
      <c r="C1316" s="13">
        <v>25099</v>
      </c>
      <c r="D1316" s="13" t="s">
        <v>883</v>
      </c>
      <c r="E1316" s="13" t="s">
        <v>461</v>
      </c>
      <c r="F1316" s="13" t="s">
        <v>462</v>
      </c>
      <c r="G1316" s="13" t="s">
        <v>884</v>
      </c>
      <c r="K1316" t="s">
        <v>413</v>
      </c>
      <c r="L1316" s="81">
        <f>+Municipios!U213</f>
        <v>41.736714168319111</v>
      </c>
      <c r="M1316" s="13">
        <v>25099</v>
      </c>
      <c r="N1316" s="13" t="s">
        <v>883</v>
      </c>
      <c r="O1316" s="13" t="s">
        <v>461</v>
      </c>
      <c r="P1316" s="13" t="s">
        <v>462</v>
      </c>
      <c r="Q1316" s="13" t="s">
        <v>884</v>
      </c>
      <c r="T1316" t="s">
        <v>2804</v>
      </c>
      <c r="U1316" s="25">
        <f>+Municipios!P213</f>
        <v>71.739809317039274</v>
      </c>
      <c r="V1316" s="13">
        <v>25099</v>
      </c>
      <c r="W1316" s="13" t="s">
        <v>883</v>
      </c>
      <c r="X1316" s="13" t="s">
        <v>461</v>
      </c>
      <c r="Y1316" s="13" t="s">
        <v>462</v>
      </c>
      <c r="Z1316" s="13" t="s">
        <v>884</v>
      </c>
    </row>
    <row r="1317" spans="1:26">
      <c r="A1317" t="s">
        <v>412</v>
      </c>
      <c r="B1317" s="25">
        <f>+Municipios!P214</f>
        <v>74.002959692166684</v>
      </c>
      <c r="C1317" s="13">
        <v>52480</v>
      </c>
      <c r="D1317" s="13" t="s">
        <v>885</v>
      </c>
      <c r="E1317" s="13" t="s">
        <v>672</v>
      </c>
      <c r="F1317" s="13" t="s">
        <v>673</v>
      </c>
      <c r="G1317" s="13" t="s">
        <v>673</v>
      </c>
      <c r="K1317" t="s">
        <v>413</v>
      </c>
      <c r="L1317" s="81">
        <f>+Municipios!U214</f>
        <v>43.392255255710538</v>
      </c>
      <c r="M1317" s="13">
        <v>52480</v>
      </c>
      <c r="N1317" s="13" t="s">
        <v>885</v>
      </c>
      <c r="O1317" s="13" t="s">
        <v>672</v>
      </c>
      <c r="P1317" s="13" t="s">
        <v>673</v>
      </c>
      <c r="Q1317" s="13" t="s">
        <v>673</v>
      </c>
      <c r="T1317" t="s">
        <v>2804</v>
      </c>
      <c r="U1317" s="25">
        <f>+Municipios!P214</f>
        <v>74.002959692166684</v>
      </c>
      <c r="V1317" s="13">
        <v>52480</v>
      </c>
      <c r="W1317" s="13" t="s">
        <v>885</v>
      </c>
      <c r="X1317" s="13" t="s">
        <v>672</v>
      </c>
      <c r="Y1317" s="13" t="s">
        <v>673</v>
      </c>
      <c r="Z1317" s="13" t="s">
        <v>673</v>
      </c>
    </row>
    <row r="1318" spans="1:26">
      <c r="A1318" t="s">
        <v>412</v>
      </c>
      <c r="B1318" s="25">
        <f>+Municipios!P215</f>
        <v>70.297870697492101</v>
      </c>
      <c r="C1318" s="13">
        <v>8832</v>
      </c>
      <c r="D1318" s="13" t="s">
        <v>886</v>
      </c>
      <c r="E1318" s="13" t="s">
        <v>442</v>
      </c>
      <c r="F1318" s="13" t="s">
        <v>443</v>
      </c>
      <c r="G1318" s="13" t="s">
        <v>887</v>
      </c>
      <c r="K1318" t="s">
        <v>413</v>
      </c>
      <c r="L1318" s="81">
        <f>+Municipios!U215</f>
        <v>41.488026840731031</v>
      </c>
      <c r="M1318" s="13">
        <v>8832</v>
      </c>
      <c r="N1318" s="13" t="s">
        <v>886</v>
      </c>
      <c r="O1318" s="13" t="s">
        <v>442</v>
      </c>
      <c r="P1318" s="13" t="s">
        <v>443</v>
      </c>
      <c r="Q1318" s="13" t="s">
        <v>887</v>
      </c>
      <c r="T1318" t="s">
        <v>2804</v>
      </c>
      <c r="U1318" s="25">
        <f>+Municipios!P215</f>
        <v>70.297870697492101</v>
      </c>
      <c r="V1318" s="13">
        <v>8832</v>
      </c>
      <c r="W1318" s="13" t="s">
        <v>886</v>
      </c>
      <c r="X1318" s="13" t="s">
        <v>442</v>
      </c>
      <c r="Y1318" s="13" t="s">
        <v>443</v>
      </c>
      <c r="Z1318" s="13" t="s">
        <v>887</v>
      </c>
    </row>
    <row r="1319" spans="1:26">
      <c r="A1319" t="s">
        <v>412</v>
      </c>
      <c r="B1319" s="25">
        <f>+Municipios!P216</f>
        <v>52.841445488682638</v>
      </c>
      <c r="C1319" s="13">
        <v>52210</v>
      </c>
      <c r="D1319" s="13" t="s">
        <v>888</v>
      </c>
      <c r="E1319" s="13" t="s">
        <v>672</v>
      </c>
      <c r="F1319" s="13" t="s">
        <v>673</v>
      </c>
      <c r="G1319" s="13" t="s">
        <v>889</v>
      </c>
      <c r="K1319" t="s">
        <v>413</v>
      </c>
      <c r="L1319" s="81">
        <f>+Municipios!U216</f>
        <v>30.933379244706231</v>
      </c>
      <c r="M1319" s="13">
        <v>52210</v>
      </c>
      <c r="N1319" s="13" t="s">
        <v>888</v>
      </c>
      <c r="O1319" s="13" t="s">
        <v>672</v>
      </c>
      <c r="P1319" s="13" t="s">
        <v>673</v>
      </c>
      <c r="Q1319" s="13" t="s">
        <v>889</v>
      </c>
      <c r="T1319" t="s">
        <v>2804</v>
      </c>
      <c r="U1319" s="25">
        <f>+Municipios!P216</f>
        <v>52.841445488682638</v>
      </c>
      <c r="V1319" s="13">
        <v>52210</v>
      </c>
      <c r="W1319" s="13" t="s">
        <v>888</v>
      </c>
      <c r="X1319" s="13" t="s">
        <v>672</v>
      </c>
      <c r="Y1319" s="13" t="s">
        <v>673</v>
      </c>
      <c r="Z1319" s="13" t="s">
        <v>889</v>
      </c>
    </row>
    <row r="1320" spans="1:26">
      <c r="A1320" t="s">
        <v>412</v>
      </c>
      <c r="B1320" s="25">
        <f>+Municipios!P217</f>
        <v>61.897235106931006</v>
      </c>
      <c r="C1320" s="13">
        <v>73443</v>
      </c>
      <c r="D1320" s="13" t="s">
        <v>890</v>
      </c>
      <c r="E1320" s="13" t="s">
        <v>595</v>
      </c>
      <c r="F1320" s="13" t="s">
        <v>596</v>
      </c>
      <c r="G1320" s="13" t="s">
        <v>891</v>
      </c>
      <c r="K1320" t="s">
        <v>413</v>
      </c>
      <c r="L1320" s="81">
        <f>+Municipios!U217</f>
        <v>36.050793259770039</v>
      </c>
      <c r="M1320" s="13">
        <v>73443</v>
      </c>
      <c r="N1320" s="13" t="s">
        <v>890</v>
      </c>
      <c r="O1320" s="13" t="s">
        <v>595</v>
      </c>
      <c r="P1320" s="13" t="s">
        <v>596</v>
      </c>
      <c r="Q1320" s="13" t="s">
        <v>891</v>
      </c>
      <c r="T1320" t="s">
        <v>2804</v>
      </c>
      <c r="U1320" s="25">
        <f>+Municipios!P217</f>
        <v>61.897235106931006</v>
      </c>
      <c r="V1320" s="13">
        <v>73443</v>
      </c>
      <c r="W1320" s="13" t="s">
        <v>890</v>
      </c>
      <c r="X1320" s="13" t="s">
        <v>595</v>
      </c>
      <c r="Y1320" s="13" t="s">
        <v>596</v>
      </c>
      <c r="Z1320" s="13" t="s">
        <v>891</v>
      </c>
    </row>
    <row r="1321" spans="1:26">
      <c r="A1321" t="s">
        <v>412</v>
      </c>
      <c r="B1321" s="25">
        <f>+Municipios!P218</f>
        <v>64.247806741311479</v>
      </c>
      <c r="C1321" s="13">
        <v>20001</v>
      </c>
      <c r="D1321" s="13" t="s">
        <v>892</v>
      </c>
      <c r="E1321" s="13" t="s">
        <v>893</v>
      </c>
      <c r="F1321" s="13" t="s">
        <v>894</v>
      </c>
      <c r="G1321" s="13" t="s">
        <v>895</v>
      </c>
      <c r="K1321" t="s">
        <v>413</v>
      </c>
      <c r="L1321" s="81">
        <f>+Municipios!U218</f>
        <v>37.981489154203643</v>
      </c>
      <c r="M1321" s="13">
        <v>20001</v>
      </c>
      <c r="N1321" s="13" t="s">
        <v>892</v>
      </c>
      <c r="O1321" s="13" t="s">
        <v>893</v>
      </c>
      <c r="P1321" s="13" t="s">
        <v>894</v>
      </c>
      <c r="Q1321" s="13" t="s">
        <v>895</v>
      </c>
      <c r="T1321" t="s">
        <v>2804</v>
      </c>
      <c r="U1321" s="25">
        <f>+Municipios!P218</f>
        <v>64.247806741311479</v>
      </c>
      <c r="V1321" s="13">
        <v>20001</v>
      </c>
      <c r="W1321" s="13" t="s">
        <v>892</v>
      </c>
      <c r="X1321" s="13" t="s">
        <v>893</v>
      </c>
      <c r="Y1321" s="13" t="s">
        <v>894</v>
      </c>
      <c r="Z1321" s="13" t="s">
        <v>895</v>
      </c>
    </row>
    <row r="1322" spans="1:26">
      <c r="A1322" t="s">
        <v>412</v>
      </c>
      <c r="B1322" s="25">
        <f>+Municipios!P219</f>
        <v>53.367512032801876</v>
      </c>
      <c r="C1322" s="13">
        <v>73283</v>
      </c>
      <c r="D1322" s="13" t="s">
        <v>896</v>
      </c>
      <c r="E1322" s="13" t="s">
        <v>595</v>
      </c>
      <c r="F1322" s="13" t="s">
        <v>596</v>
      </c>
      <c r="G1322" s="13" t="s">
        <v>897</v>
      </c>
      <c r="K1322" t="s">
        <v>413</v>
      </c>
      <c r="L1322" s="81">
        <f>+Municipios!U219</f>
        <v>30.984897672552712</v>
      </c>
      <c r="M1322" s="13">
        <v>73283</v>
      </c>
      <c r="N1322" s="13" t="s">
        <v>896</v>
      </c>
      <c r="O1322" s="13" t="s">
        <v>595</v>
      </c>
      <c r="P1322" s="13" t="s">
        <v>596</v>
      </c>
      <c r="Q1322" s="13" t="s">
        <v>897</v>
      </c>
      <c r="T1322" t="s">
        <v>2804</v>
      </c>
      <c r="U1322" s="25">
        <f>+Municipios!P219</f>
        <v>53.367512032801876</v>
      </c>
      <c r="V1322" s="13">
        <v>73283</v>
      </c>
      <c r="W1322" s="13" t="s">
        <v>896</v>
      </c>
      <c r="X1322" s="13" t="s">
        <v>595</v>
      </c>
      <c r="Y1322" s="13" t="s">
        <v>596</v>
      </c>
      <c r="Z1322" s="13" t="s">
        <v>897</v>
      </c>
    </row>
    <row r="1323" spans="1:26">
      <c r="A1323" t="s">
        <v>412</v>
      </c>
      <c r="B1323" s="25">
        <f>+Municipios!P220</f>
        <v>58.931065350153503</v>
      </c>
      <c r="C1323" s="13">
        <v>66318</v>
      </c>
      <c r="D1323" s="13" t="s">
        <v>898</v>
      </c>
      <c r="E1323" s="13" t="s">
        <v>467</v>
      </c>
      <c r="F1323" s="13" t="s">
        <v>468</v>
      </c>
      <c r="G1323" s="13" t="s">
        <v>899</v>
      </c>
      <c r="K1323" t="s">
        <v>413</v>
      </c>
      <c r="L1323" s="81">
        <f>+Municipios!U220</f>
        <v>34.427088782062917</v>
      </c>
      <c r="M1323" s="13">
        <v>66318</v>
      </c>
      <c r="N1323" s="13" t="s">
        <v>898</v>
      </c>
      <c r="O1323" s="13" t="s">
        <v>467</v>
      </c>
      <c r="P1323" s="13" t="s">
        <v>468</v>
      </c>
      <c r="Q1323" s="13" t="s">
        <v>899</v>
      </c>
      <c r="T1323" t="s">
        <v>2804</v>
      </c>
      <c r="U1323" s="25">
        <f>+Municipios!P220</f>
        <v>58.931065350153503</v>
      </c>
      <c r="V1323" s="13">
        <v>66318</v>
      </c>
      <c r="W1323" s="13" t="s">
        <v>898</v>
      </c>
      <c r="X1323" s="13" t="s">
        <v>467</v>
      </c>
      <c r="Y1323" s="13" t="s">
        <v>468</v>
      </c>
      <c r="Z1323" s="13" t="s">
        <v>899</v>
      </c>
    </row>
    <row r="1324" spans="1:26">
      <c r="A1324" t="s">
        <v>412</v>
      </c>
      <c r="B1324" s="25">
        <f>+Municipios!P221</f>
        <v>51.962800153010917</v>
      </c>
      <c r="C1324" s="13">
        <v>20011</v>
      </c>
      <c r="D1324" s="13" t="s">
        <v>900</v>
      </c>
      <c r="E1324" s="13" t="s">
        <v>893</v>
      </c>
      <c r="F1324" s="13" t="s">
        <v>894</v>
      </c>
      <c r="G1324" s="13" t="s">
        <v>901</v>
      </c>
      <c r="K1324" t="s">
        <v>413</v>
      </c>
      <c r="L1324" s="81">
        <f>+Municipios!U221</f>
        <v>30.557892457086716</v>
      </c>
      <c r="M1324" s="13">
        <v>20011</v>
      </c>
      <c r="N1324" s="13" t="s">
        <v>900</v>
      </c>
      <c r="O1324" s="13" t="s">
        <v>893</v>
      </c>
      <c r="P1324" s="13" t="s">
        <v>894</v>
      </c>
      <c r="Q1324" s="13" t="s">
        <v>901</v>
      </c>
      <c r="T1324" t="s">
        <v>2804</v>
      </c>
      <c r="U1324" s="25">
        <f>+Municipios!P221</f>
        <v>51.962800153010917</v>
      </c>
      <c r="V1324" s="13">
        <v>20011</v>
      </c>
      <c r="W1324" s="13" t="s">
        <v>900</v>
      </c>
      <c r="X1324" s="13" t="s">
        <v>893</v>
      </c>
      <c r="Y1324" s="13" t="s">
        <v>894</v>
      </c>
      <c r="Z1324" s="13" t="s">
        <v>901</v>
      </c>
    </row>
    <row r="1325" spans="1:26">
      <c r="A1325" t="s">
        <v>412</v>
      </c>
      <c r="B1325" s="25">
        <f>+Municipios!P222</f>
        <v>53.175777669045914</v>
      </c>
      <c r="C1325" s="13">
        <v>76306</v>
      </c>
      <c r="D1325" s="13" t="s">
        <v>902</v>
      </c>
      <c r="E1325" s="13" t="s">
        <v>454</v>
      </c>
      <c r="F1325" s="13" t="s">
        <v>455</v>
      </c>
      <c r="G1325" s="13" t="s">
        <v>903</v>
      </c>
      <c r="K1325" t="s">
        <v>413</v>
      </c>
      <c r="L1325" s="81">
        <f>+Municipios!U222</f>
        <v>30.85027950806569</v>
      </c>
      <c r="M1325" s="13">
        <v>76306</v>
      </c>
      <c r="N1325" s="13" t="s">
        <v>902</v>
      </c>
      <c r="O1325" s="13" t="s">
        <v>454</v>
      </c>
      <c r="P1325" s="13" t="s">
        <v>455</v>
      </c>
      <c r="Q1325" s="13" t="s">
        <v>903</v>
      </c>
      <c r="T1325" t="s">
        <v>2804</v>
      </c>
      <c r="U1325" s="25">
        <f>+Municipios!P222</f>
        <v>53.175777669045914</v>
      </c>
      <c r="V1325" s="13">
        <v>76306</v>
      </c>
      <c r="W1325" s="13" t="s">
        <v>902</v>
      </c>
      <c r="X1325" s="13" t="s">
        <v>454</v>
      </c>
      <c r="Y1325" s="13" t="s">
        <v>455</v>
      </c>
      <c r="Z1325" s="13" t="s">
        <v>903</v>
      </c>
    </row>
    <row r="1326" spans="1:26">
      <c r="A1326" t="s">
        <v>412</v>
      </c>
      <c r="B1326" s="25">
        <f>+Municipios!P223</f>
        <v>50.559775236373611</v>
      </c>
      <c r="C1326" s="13">
        <v>70473</v>
      </c>
      <c r="D1326" s="13" t="s">
        <v>904</v>
      </c>
      <c r="E1326" s="13" t="s">
        <v>494</v>
      </c>
      <c r="F1326" s="13" t="s">
        <v>495</v>
      </c>
      <c r="G1326" s="13" t="s">
        <v>905</v>
      </c>
      <c r="K1326" t="s">
        <v>413</v>
      </c>
      <c r="L1326" s="81">
        <f>+Municipios!U223</f>
        <v>29.684516685374867</v>
      </c>
      <c r="M1326" s="13">
        <v>70473</v>
      </c>
      <c r="N1326" s="13" t="s">
        <v>904</v>
      </c>
      <c r="O1326" s="13" t="s">
        <v>494</v>
      </c>
      <c r="P1326" s="13" t="s">
        <v>495</v>
      </c>
      <c r="Q1326" s="13" t="s">
        <v>905</v>
      </c>
      <c r="T1326" t="s">
        <v>2804</v>
      </c>
      <c r="U1326" s="25">
        <f>+Municipios!P223</f>
        <v>50.559775236373611</v>
      </c>
      <c r="V1326" s="13">
        <v>70473</v>
      </c>
      <c r="W1326" s="13" t="s">
        <v>904</v>
      </c>
      <c r="X1326" s="13" t="s">
        <v>494</v>
      </c>
      <c r="Y1326" s="13" t="s">
        <v>495</v>
      </c>
      <c r="Z1326" s="13" t="s">
        <v>905</v>
      </c>
    </row>
    <row r="1327" spans="1:26">
      <c r="A1327" t="s">
        <v>412</v>
      </c>
      <c r="B1327" s="25">
        <f>+Municipios!P224</f>
        <v>60.061596277083808</v>
      </c>
      <c r="C1327" s="13">
        <v>8436</v>
      </c>
      <c r="D1327" s="13" t="s">
        <v>906</v>
      </c>
      <c r="E1327" s="13" t="s">
        <v>442</v>
      </c>
      <c r="F1327" s="13" t="s">
        <v>443</v>
      </c>
      <c r="G1327" s="13" t="s">
        <v>907</v>
      </c>
      <c r="K1327" t="s">
        <v>413</v>
      </c>
      <c r="L1327" s="81">
        <f>+Municipios!U224</f>
        <v>35.375853415427173</v>
      </c>
      <c r="M1327" s="13">
        <v>8436</v>
      </c>
      <c r="N1327" s="13" t="s">
        <v>906</v>
      </c>
      <c r="O1327" s="13" t="s">
        <v>442</v>
      </c>
      <c r="P1327" s="13" t="s">
        <v>443</v>
      </c>
      <c r="Q1327" s="13" t="s">
        <v>907</v>
      </c>
      <c r="T1327" t="s">
        <v>2804</v>
      </c>
      <c r="U1327" s="25">
        <f>+Municipios!P224</f>
        <v>60.061596277083808</v>
      </c>
      <c r="V1327" s="13">
        <v>8436</v>
      </c>
      <c r="W1327" s="13" t="s">
        <v>906</v>
      </c>
      <c r="X1327" s="13" t="s">
        <v>442</v>
      </c>
      <c r="Y1327" s="13" t="s">
        <v>443</v>
      </c>
      <c r="Z1327" s="13" t="s">
        <v>907</v>
      </c>
    </row>
    <row r="1328" spans="1:26">
      <c r="A1328" t="s">
        <v>412</v>
      </c>
      <c r="B1328" s="25">
        <f>+Municipios!P225</f>
        <v>53.43582049082989</v>
      </c>
      <c r="C1328" s="13">
        <v>23189</v>
      </c>
      <c r="D1328" s="13" t="s">
        <v>908</v>
      </c>
      <c r="E1328" s="13" t="s">
        <v>567</v>
      </c>
      <c r="F1328" s="13" t="s">
        <v>568</v>
      </c>
      <c r="G1328" s="13" t="s">
        <v>909</v>
      </c>
      <c r="K1328" t="s">
        <v>413</v>
      </c>
      <c r="L1328" s="81">
        <f>+Municipios!U225</f>
        <v>31.167082137648912</v>
      </c>
      <c r="M1328" s="13">
        <v>23189</v>
      </c>
      <c r="N1328" s="13" t="s">
        <v>908</v>
      </c>
      <c r="O1328" s="13" t="s">
        <v>567</v>
      </c>
      <c r="P1328" s="13" t="s">
        <v>568</v>
      </c>
      <c r="Q1328" s="13" t="s">
        <v>909</v>
      </c>
      <c r="T1328" t="s">
        <v>2804</v>
      </c>
      <c r="U1328" s="25">
        <f>+Municipios!P225</f>
        <v>53.43582049082989</v>
      </c>
      <c r="V1328" s="13">
        <v>23189</v>
      </c>
      <c r="W1328" s="13" t="s">
        <v>908</v>
      </c>
      <c r="X1328" s="13" t="s">
        <v>567</v>
      </c>
      <c r="Y1328" s="13" t="s">
        <v>568</v>
      </c>
      <c r="Z1328" s="13" t="s">
        <v>909</v>
      </c>
    </row>
    <row r="1329" spans="1:26">
      <c r="A1329" t="s">
        <v>412</v>
      </c>
      <c r="B1329" s="25">
        <f>+Municipios!P226</f>
        <v>48.2674737997405</v>
      </c>
      <c r="C1329" s="13">
        <v>52224</v>
      </c>
      <c r="D1329" s="13" t="s">
        <v>910</v>
      </c>
      <c r="E1329" s="13" t="s">
        <v>672</v>
      </c>
      <c r="F1329" s="13" t="s">
        <v>673</v>
      </c>
      <c r="G1329" s="13" t="s">
        <v>911</v>
      </c>
      <c r="K1329" t="s">
        <v>413</v>
      </c>
      <c r="L1329" s="81">
        <f>+Municipios!U226</f>
        <v>28.176781924597758</v>
      </c>
      <c r="M1329" s="13">
        <v>52224</v>
      </c>
      <c r="N1329" s="13" t="s">
        <v>910</v>
      </c>
      <c r="O1329" s="13" t="s">
        <v>672</v>
      </c>
      <c r="P1329" s="13" t="s">
        <v>673</v>
      </c>
      <c r="Q1329" s="13" t="s">
        <v>911</v>
      </c>
      <c r="T1329" t="s">
        <v>2804</v>
      </c>
      <c r="U1329" s="25">
        <f>+Municipios!P226</f>
        <v>48.2674737997405</v>
      </c>
      <c r="V1329" s="13">
        <v>52224</v>
      </c>
      <c r="W1329" s="13" t="s">
        <v>910</v>
      </c>
      <c r="X1329" s="13" t="s">
        <v>672</v>
      </c>
      <c r="Y1329" s="13" t="s">
        <v>673</v>
      </c>
      <c r="Z1329" s="13" t="s">
        <v>911</v>
      </c>
    </row>
    <row r="1330" spans="1:26">
      <c r="A1330" t="s">
        <v>412</v>
      </c>
      <c r="B1330" s="25">
        <f>+Municipios!P227</f>
        <v>40.19644545802673</v>
      </c>
      <c r="C1330" s="13">
        <v>13838</v>
      </c>
      <c r="D1330" s="13" t="s">
        <v>912</v>
      </c>
      <c r="E1330" s="13" t="s">
        <v>480</v>
      </c>
      <c r="F1330" s="13" t="s">
        <v>481</v>
      </c>
      <c r="G1330" s="13" t="s">
        <v>913</v>
      </c>
      <c r="K1330" t="s">
        <v>413</v>
      </c>
      <c r="L1330" s="81">
        <f>+Municipios!U227</f>
        <v>23.358732439852457</v>
      </c>
      <c r="M1330" s="13">
        <v>13838</v>
      </c>
      <c r="N1330" s="13" t="s">
        <v>912</v>
      </c>
      <c r="O1330" s="13" t="s">
        <v>480</v>
      </c>
      <c r="P1330" s="13" t="s">
        <v>481</v>
      </c>
      <c r="Q1330" s="13" t="s">
        <v>913</v>
      </c>
      <c r="T1330" t="s">
        <v>2804</v>
      </c>
      <c r="U1330" s="25">
        <f>+Municipios!P227</f>
        <v>40.19644545802673</v>
      </c>
      <c r="V1330" s="13">
        <v>13838</v>
      </c>
      <c r="W1330" s="13" t="s">
        <v>912</v>
      </c>
      <c r="X1330" s="13" t="s">
        <v>480</v>
      </c>
      <c r="Y1330" s="13" t="s">
        <v>481</v>
      </c>
      <c r="Z1330" s="13" t="s">
        <v>913</v>
      </c>
    </row>
    <row r="1331" spans="1:26">
      <c r="A1331" t="s">
        <v>412</v>
      </c>
      <c r="B1331" s="25">
        <f>+Municipios!P228</f>
        <v>56.692863563522891</v>
      </c>
      <c r="C1331" s="13">
        <v>17444</v>
      </c>
      <c r="D1331" s="13" t="s">
        <v>914</v>
      </c>
      <c r="E1331" s="13" t="s">
        <v>506</v>
      </c>
      <c r="F1331" s="13" t="s">
        <v>507</v>
      </c>
      <c r="G1331" s="13" t="s">
        <v>915</v>
      </c>
      <c r="K1331" t="s">
        <v>413</v>
      </c>
      <c r="L1331" s="81">
        <f>+Municipios!U228</f>
        <v>32.602353654826132</v>
      </c>
      <c r="M1331" s="13">
        <v>17444</v>
      </c>
      <c r="N1331" s="13" t="s">
        <v>914</v>
      </c>
      <c r="O1331" s="13" t="s">
        <v>506</v>
      </c>
      <c r="P1331" s="13" t="s">
        <v>507</v>
      </c>
      <c r="Q1331" s="13" t="s">
        <v>915</v>
      </c>
      <c r="T1331" t="s">
        <v>2804</v>
      </c>
      <c r="U1331" s="25">
        <f>+Municipios!P228</f>
        <v>56.692863563522891</v>
      </c>
      <c r="V1331" s="13">
        <v>17444</v>
      </c>
      <c r="W1331" s="13" t="s">
        <v>914</v>
      </c>
      <c r="X1331" s="13" t="s">
        <v>506</v>
      </c>
      <c r="Y1331" s="13" t="s">
        <v>507</v>
      </c>
      <c r="Z1331" s="13" t="s">
        <v>915</v>
      </c>
    </row>
    <row r="1332" spans="1:26">
      <c r="A1332" t="s">
        <v>412</v>
      </c>
      <c r="B1332" s="25">
        <f>+Municipios!P229</f>
        <v>61.646014791249684</v>
      </c>
      <c r="C1332" s="13">
        <v>73411</v>
      </c>
      <c r="D1332" s="13" t="s">
        <v>916</v>
      </c>
      <c r="E1332" s="13" t="s">
        <v>595</v>
      </c>
      <c r="F1332" s="13" t="s">
        <v>596</v>
      </c>
      <c r="G1332" s="13" t="s">
        <v>917</v>
      </c>
      <c r="K1332" t="s">
        <v>413</v>
      </c>
      <c r="L1332" s="81">
        <f>+Municipios!U229</f>
        <v>35.80055600063379</v>
      </c>
      <c r="M1332" s="13">
        <v>73411</v>
      </c>
      <c r="N1332" s="13" t="s">
        <v>916</v>
      </c>
      <c r="O1332" s="13" t="s">
        <v>595</v>
      </c>
      <c r="P1332" s="13" t="s">
        <v>596</v>
      </c>
      <c r="Q1332" s="13" t="s">
        <v>917</v>
      </c>
      <c r="T1332" t="s">
        <v>2804</v>
      </c>
      <c r="U1332" s="25">
        <f>+Municipios!P229</f>
        <v>61.646014791249684</v>
      </c>
      <c r="V1332" s="13">
        <v>73411</v>
      </c>
      <c r="W1332" s="13" t="s">
        <v>916</v>
      </c>
      <c r="X1332" s="13" t="s">
        <v>595</v>
      </c>
      <c r="Y1332" s="13" t="s">
        <v>596</v>
      </c>
      <c r="Z1332" s="13" t="s">
        <v>917</v>
      </c>
    </row>
    <row r="1333" spans="1:26">
      <c r="A1333" t="s">
        <v>412</v>
      </c>
      <c r="B1333" s="25">
        <f>+Municipios!P230</f>
        <v>63.946112935372369</v>
      </c>
      <c r="C1333" s="13">
        <v>17380</v>
      </c>
      <c r="D1333" s="13" t="s">
        <v>918</v>
      </c>
      <c r="E1333" s="13" t="s">
        <v>506</v>
      </c>
      <c r="F1333" s="13" t="s">
        <v>507</v>
      </c>
      <c r="G1333" s="13" t="s">
        <v>919</v>
      </c>
      <c r="K1333" t="s">
        <v>413</v>
      </c>
      <c r="L1333" s="81">
        <f>+Municipios!U230</f>
        <v>36.620415610342228</v>
      </c>
      <c r="M1333" s="13">
        <v>17380</v>
      </c>
      <c r="N1333" s="13" t="s">
        <v>918</v>
      </c>
      <c r="O1333" s="13" t="s">
        <v>506</v>
      </c>
      <c r="P1333" s="13" t="s">
        <v>507</v>
      </c>
      <c r="Q1333" s="13" t="s">
        <v>919</v>
      </c>
      <c r="T1333" t="s">
        <v>2804</v>
      </c>
      <c r="U1333" s="25">
        <f>+Municipios!P230</f>
        <v>63.946112935372369</v>
      </c>
      <c r="V1333" s="13">
        <v>17380</v>
      </c>
      <c r="W1333" s="13" t="s">
        <v>918</v>
      </c>
      <c r="X1333" s="13" t="s">
        <v>506</v>
      </c>
      <c r="Y1333" s="13" t="s">
        <v>507</v>
      </c>
      <c r="Z1333" s="13" t="s">
        <v>919</v>
      </c>
    </row>
    <row r="1334" spans="1:26">
      <c r="A1334" t="s">
        <v>412</v>
      </c>
      <c r="B1334" s="25">
        <f>+Municipios!P231</f>
        <v>51.108089596432727</v>
      </c>
      <c r="C1334" s="13">
        <v>52022</v>
      </c>
      <c r="D1334" s="13" t="s">
        <v>920</v>
      </c>
      <c r="E1334" s="13" t="s">
        <v>672</v>
      </c>
      <c r="F1334" s="13" t="s">
        <v>673</v>
      </c>
      <c r="G1334" s="13" t="s">
        <v>921</v>
      </c>
      <c r="K1334" t="s">
        <v>413</v>
      </c>
      <c r="L1334" s="81">
        <f>+Municipios!U231</f>
        <v>29.671869468531426</v>
      </c>
      <c r="M1334" s="13">
        <v>52022</v>
      </c>
      <c r="N1334" s="13" t="s">
        <v>920</v>
      </c>
      <c r="O1334" s="13" t="s">
        <v>672</v>
      </c>
      <c r="P1334" s="13" t="s">
        <v>673</v>
      </c>
      <c r="Q1334" s="13" t="s">
        <v>921</v>
      </c>
      <c r="T1334" t="s">
        <v>2804</v>
      </c>
      <c r="U1334" s="25">
        <f>+Municipios!P231</f>
        <v>51.108089596432727</v>
      </c>
      <c r="V1334" s="13">
        <v>52022</v>
      </c>
      <c r="W1334" s="13" t="s">
        <v>920</v>
      </c>
      <c r="X1334" s="13" t="s">
        <v>672</v>
      </c>
      <c r="Y1334" s="13" t="s">
        <v>673</v>
      </c>
      <c r="Z1334" s="13" t="s">
        <v>921</v>
      </c>
    </row>
    <row r="1335" spans="1:26">
      <c r="A1335" t="s">
        <v>412</v>
      </c>
      <c r="B1335" s="25">
        <f>+Municipios!P232</f>
        <v>65.525516333304424</v>
      </c>
      <c r="C1335" s="13">
        <v>15407</v>
      </c>
      <c r="D1335" s="13" t="s">
        <v>922</v>
      </c>
      <c r="E1335" s="13" t="s">
        <v>498</v>
      </c>
      <c r="F1335" s="13" t="s">
        <v>499</v>
      </c>
      <c r="G1335" s="13" t="s">
        <v>923</v>
      </c>
      <c r="K1335" t="s">
        <v>413</v>
      </c>
      <c r="L1335" s="81">
        <f>+Municipios!U232</f>
        <v>38.293847428154841</v>
      </c>
      <c r="M1335" s="13">
        <v>15407</v>
      </c>
      <c r="N1335" s="13" t="s">
        <v>922</v>
      </c>
      <c r="O1335" s="13" t="s">
        <v>498</v>
      </c>
      <c r="P1335" s="13" t="s">
        <v>499</v>
      </c>
      <c r="Q1335" s="13" t="s">
        <v>923</v>
      </c>
      <c r="T1335" t="s">
        <v>2804</v>
      </c>
      <c r="U1335" s="25">
        <f>+Municipios!P232</f>
        <v>65.525516333304424</v>
      </c>
      <c r="V1335" s="13">
        <v>15407</v>
      </c>
      <c r="W1335" s="13" t="s">
        <v>922</v>
      </c>
      <c r="X1335" s="13" t="s">
        <v>498</v>
      </c>
      <c r="Y1335" s="13" t="s">
        <v>499</v>
      </c>
      <c r="Z1335" s="13" t="s">
        <v>923</v>
      </c>
    </row>
    <row r="1336" spans="1:26">
      <c r="A1336" t="s">
        <v>412</v>
      </c>
      <c r="B1336" s="25">
        <f>+Municipios!P233</f>
        <v>69.112787621764625</v>
      </c>
      <c r="C1336" s="13">
        <v>15806</v>
      </c>
      <c r="D1336" s="13" t="s">
        <v>924</v>
      </c>
      <c r="E1336" s="13" t="s">
        <v>498</v>
      </c>
      <c r="F1336" s="13" t="s">
        <v>499</v>
      </c>
      <c r="G1336" s="13" t="s">
        <v>925</v>
      </c>
      <c r="K1336" t="s">
        <v>413</v>
      </c>
      <c r="L1336" s="81">
        <f>+Municipios!U233</f>
        <v>39.868784377350153</v>
      </c>
      <c r="M1336" s="13">
        <v>15806</v>
      </c>
      <c r="N1336" s="13" t="s">
        <v>924</v>
      </c>
      <c r="O1336" s="13" t="s">
        <v>498</v>
      </c>
      <c r="P1336" s="13" t="s">
        <v>499</v>
      </c>
      <c r="Q1336" s="13" t="s">
        <v>925</v>
      </c>
      <c r="T1336" t="s">
        <v>2804</v>
      </c>
      <c r="U1336" s="25">
        <f>+Municipios!P233</f>
        <v>69.112787621764625</v>
      </c>
      <c r="V1336" s="13">
        <v>15806</v>
      </c>
      <c r="W1336" s="13" t="s">
        <v>924</v>
      </c>
      <c r="X1336" s="13" t="s">
        <v>498</v>
      </c>
      <c r="Y1336" s="13" t="s">
        <v>499</v>
      </c>
      <c r="Z1336" s="13" t="s">
        <v>925</v>
      </c>
    </row>
    <row r="1337" spans="1:26">
      <c r="A1337" t="s">
        <v>412</v>
      </c>
      <c r="B1337" s="25">
        <f>+Municipios!P234</f>
        <v>47.267130939305744</v>
      </c>
      <c r="C1337" s="13">
        <v>13140</v>
      </c>
      <c r="D1337" s="13" t="s">
        <v>926</v>
      </c>
      <c r="E1337" s="13" t="s">
        <v>480</v>
      </c>
      <c r="F1337" s="13" t="s">
        <v>481</v>
      </c>
      <c r="G1337" s="13" t="s">
        <v>927</v>
      </c>
      <c r="K1337" t="s">
        <v>413</v>
      </c>
      <c r="L1337" s="81">
        <f>+Municipios!U234</f>
        <v>27.467041851155379</v>
      </c>
      <c r="M1337" s="13">
        <v>13140</v>
      </c>
      <c r="N1337" s="13" t="s">
        <v>926</v>
      </c>
      <c r="O1337" s="13" t="s">
        <v>480</v>
      </c>
      <c r="P1337" s="13" t="s">
        <v>481</v>
      </c>
      <c r="Q1337" s="13" t="s">
        <v>927</v>
      </c>
      <c r="T1337" t="s">
        <v>2804</v>
      </c>
      <c r="U1337" s="25">
        <f>+Municipios!P234</f>
        <v>47.267130939305744</v>
      </c>
      <c r="V1337" s="13">
        <v>13140</v>
      </c>
      <c r="W1337" s="13" t="s">
        <v>926</v>
      </c>
      <c r="X1337" s="13" t="s">
        <v>480</v>
      </c>
      <c r="Y1337" s="13" t="s">
        <v>481</v>
      </c>
      <c r="Z1337" s="13" t="s">
        <v>927</v>
      </c>
    </row>
    <row r="1338" spans="1:26">
      <c r="A1338" t="s">
        <v>412</v>
      </c>
      <c r="B1338" s="25">
        <f>+Municipios!P235</f>
        <v>58.94078847554043</v>
      </c>
      <c r="C1338" s="13">
        <v>5576</v>
      </c>
      <c r="D1338" s="13" t="s">
        <v>928</v>
      </c>
      <c r="E1338" s="13" t="s">
        <v>435</v>
      </c>
      <c r="F1338" s="13" t="s">
        <v>436</v>
      </c>
      <c r="G1338" s="13" t="s">
        <v>929</v>
      </c>
      <c r="K1338" t="s">
        <v>413</v>
      </c>
      <c r="L1338" s="81">
        <f>+Municipios!U235</f>
        <v>34.464657578283756</v>
      </c>
      <c r="M1338" s="13">
        <v>5576</v>
      </c>
      <c r="N1338" s="13" t="s">
        <v>928</v>
      </c>
      <c r="O1338" s="13" t="s">
        <v>435</v>
      </c>
      <c r="P1338" s="13" t="s">
        <v>436</v>
      </c>
      <c r="Q1338" s="13" t="s">
        <v>929</v>
      </c>
      <c r="T1338" t="s">
        <v>2804</v>
      </c>
      <c r="U1338" s="25">
        <f>+Municipios!P235</f>
        <v>58.94078847554043</v>
      </c>
      <c r="V1338" s="13">
        <v>5576</v>
      </c>
      <c r="W1338" s="13" t="s">
        <v>928</v>
      </c>
      <c r="X1338" s="13" t="s">
        <v>435</v>
      </c>
      <c r="Y1338" s="13" t="s">
        <v>436</v>
      </c>
      <c r="Z1338" s="13" t="s">
        <v>929</v>
      </c>
    </row>
    <row r="1339" spans="1:26">
      <c r="A1339" t="s">
        <v>412</v>
      </c>
      <c r="B1339" s="25">
        <f>+Municipios!P236</f>
        <v>63.982882315823609</v>
      </c>
      <c r="C1339" s="13">
        <v>25718</v>
      </c>
      <c r="D1339" s="13" t="s">
        <v>930</v>
      </c>
      <c r="E1339" s="13" t="s">
        <v>461</v>
      </c>
      <c r="F1339" s="13" t="s">
        <v>462</v>
      </c>
      <c r="G1339" s="13" t="s">
        <v>931</v>
      </c>
      <c r="K1339" t="s">
        <v>413</v>
      </c>
      <c r="L1339" s="81">
        <f>+Municipios!U236</f>
        <v>36.48047667587123</v>
      </c>
      <c r="M1339" s="13">
        <v>25718</v>
      </c>
      <c r="N1339" s="13" t="s">
        <v>930</v>
      </c>
      <c r="O1339" s="13" t="s">
        <v>461</v>
      </c>
      <c r="P1339" s="13" t="s">
        <v>462</v>
      </c>
      <c r="Q1339" s="13" t="s">
        <v>931</v>
      </c>
      <c r="T1339" t="s">
        <v>2804</v>
      </c>
      <c r="U1339" s="25">
        <f>+Municipios!P236</f>
        <v>63.982882315823609</v>
      </c>
      <c r="V1339" s="13">
        <v>25718</v>
      </c>
      <c r="W1339" s="13" t="s">
        <v>930</v>
      </c>
      <c r="X1339" s="13" t="s">
        <v>461</v>
      </c>
      <c r="Y1339" s="13" t="s">
        <v>462</v>
      </c>
      <c r="Z1339" s="13" t="s">
        <v>931</v>
      </c>
    </row>
    <row r="1340" spans="1:26">
      <c r="A1340" t="s">
        <v>412</v>
      </c>
      <c r="B1340" s="25">
        <f>+Municipios!P237</f>
        <v>50.276232127055891</v>
      </c>
      <c r="C1340" s="13">
        <v>44430</v>
      </c>
      <c r="D1340" s="13" t="s">
        <v>932</v>
      </c>
      <c r="E1340" s="13" t="s">
        <v>933</v>
      </c>
      <c r="F1340" s="13" t="s">
        <v>934</v>
      </c>
      <c r="G1340" s="13" t="s">
        <v>935</v>
      </c>
      <c r="K1340" t="s">
        <v>413</v>
      </c>
      <c r="L1340" s="81">
        <f>+Municipios!U237</f>
        <v>28.793422973427681</v>
      </c>
      <c r="M1340" s="13">
        <v>44430</v>
      </c>
      <c r="N1340" s="13" t="s">
        <v>932</v>
      </c>
      <c r="O1340" s="13" t="s">
        <v>933</v>
      </c>
      <c r="P1340" s="13" t="s">
        <v>934</v>
      </c>
      <c r="Q1340" s="13" t="s">
        <v>935</v>
      </c>
      <c r="T1340" t="s">
        <v>2804</v>
      </c>
      <c r="U1340" s="25">
        <f>+Municipios!P237</f>
        <v>50.276232127055891</v>
      </c>
      <c r="V1340" s="13">
        <v>44430</v>
      </c>
      <c r="W1340" s="13" t="s">
        <v>932</v>
      </c>
      <c r="X1340" s="13" t="s">
        <v>933</v>
      </c>
      <c r="Y1340" s="13" t="s">
        <v>934</v>
      </c>
      <c r="Z1340" s="13" t="s">
        <v>935</v>
      </c>
    </row>
    <row r="1341" spans="1:26">
      <c r="A1341" t="s">
        <v>412</v>
      </c>
      <c r="B1341" s="25">
        <f>+Municipios!P238</f>
        <v>55.16844091415507</v>
      </c>
      <c r="C1341" s="13">
        <v>5147</v>
      </c>
      <c r="D1341" s="13" t="s">
        <v>936</v>
      </c>
      <c r="E1341" s="13" t="s">
        <v>435</v>
      </c>
      <c r="F1341" s="13" t="s">
        <v>436</v>
      </c>
      <c r="G1341" s="13" t="s">
        <v>937</v>
      </c>
      <c r="K1341" t="s">
        <v>413</v>
      </c>
      <c r="L1341" s="81">
        <f>+Municipios!U238</f>
        <v>31.839410188271518</v>
      </c>
      <c r="M1341" s="13">
        <v>5147</v>
      </c>
      <c r="N1341" s="13" t="s">
        <v>936</v>
      </c>
      <c r="O1341" s="13" t="s">
        <v>435</v>
      </c>
      <c r="P1341" s="13" t="s">
        <v>436</v>
      </c>
      <c r="Q1341" s="13" t="s">
        <v>937</v>
      </c>
      <c r="T1341" t="s">
        <v>2804</v>
      </c>
      <c r="U1341" s="25">
        <f>+Municipios!P238</f>
        <v>55.16844091415507</v>
      </c>
      <c r="V1341" s="13">
        <v>5147</v>
      </c>
      <c r="W1341" s="13" t="s">
        <v>936</v>
      </c>
      <c r="X1341" s="13" t="s">
        <v>435</v>
      </c>
      <c r="Y1341" s="13" t="s">
        <v>436</v>
      </c>
      <c r="Z1341" s="13" t="s">
        <v>937</v>
      </c>
    </row>
    <row r="1342" spans="1:26">
      <c r="A1342" t="s">
        <v>412</v>
      </c>
      <c r="B1342" s="25">
        <f>+Municipios!P239</f>
        <v>53.082655101450271</v>
      </c>
      <c r="C1342" s="13">
        <v>13673</v>
      </c>
      <c r="D1342" s="13" t="s">
        <v>938</v>
      </c>
      <c r="E1342" s="13" t="s">
        <v>480</v>
      </c>
      <c r="F1342" s="13" t="s">
        <v>481</v>
      </c>
      <c r="G1342" s="13" t="s">
        <v>939</v>
      </c>
      <c r="K1342" t="s">
        <v>413</v>
      </c>
      <c r="L1342" s="81">
        <f>+Municipios!U239</f>
        <v>30.60342699018565</v>
      </c>
      <c r="M1342" s="13">
        <v>13673</v>
      </c>
      <c r="N1342" s="13" t="s">
        <v>938</v>
      </c>
      <c r="O1342" s="13" t="s">
        <v>480</v>
      </c>
      <c r="P1342" s="13" t="s">
        <v>481</v>
      </c>
      <c r="Q1342" s="13" t="s">
        <v>939</v>
      </c>
      <c r="T1342" t="s">
        <v>2804</v>
      </c>
      <c r="U1342" s="25">
        <f>+Municipios!P239</f>
        <v>53.082655101450271</v>
      </c>
      <c r="V1342" s="13">
        <v>13673</v>
      </c>
      <c r="W1342" s="13" t="s">
        <v>938</v>
      </c>
      <c r="X1342" s="13" t="s">
        <v>480</v>
      </c>
      <c r="Y1342" s="13" t="s">
        <v>481</v>
      </c>
      <c r="Z1342" s="13" t="s">
        <v>939</v>
      </c>
    </row>
    <row r="1343" spans="1:26">
      <c r="A1343" t="s">
        <v>412</v>
      </c>
      <c r="B1343" s="25">
        <f>+Municipios!P240</f>
        <v>48.198626651761316</v>
      </c>
      <c r="C1343" s="13">
        <v>19137</v>
      </c>
      <c r="D1343" s="13" t="s">
        <v>940</v>
      </c>
      <c r="E1343" s="13" t="s">
        <v>557</v>
      </c>
      <c r="F1343" s="13" t="s">
        <v>558</v>
      </c>
      <c r="G1343" s="13" t="s">
        <v>941</v>
      </c>
      <c r="K1343" t="s">
        <v>413</v>
      </c>
      <c r="L1343" s="81">
        <f>+Municipios!U240</f>
        <v>27.906796067475696</v>
      </c>
      <c r="M1343" s="13">
        <v>19137</v>
      </c>
      <c r="N1343" s="13" t="s">
        <v>940</v>
      </c>
      <c r="O1343" s="13" t="s">
        <v>557</v>
      </c>
      <c r="P1343" s="13" t="s">
        <v>558</v>
      </c>
      <c r="Q1343" s="13" t="s">
        <v>941</v>
      </c>
      <c r="T1343" t="s">
        <v>2804</v>
      </c>
      <c r="U1343" s="25">
        <f>+Municipios!P240</f>
        <v>48.198626651761316</v>
      </c>
      <c r="V1343" s="13">
        <v>19137</v>
      </c>
      <c r="W1343" s="13" t="s">
        <v>940</v>
      </c>
      <c r="X1343" s="13" t="s">
        <v>557</v>
      </c>
      <c r="Y1343" s="13" t="s">
        <v>558</v>
      </c>
      <c r="Z1343" s="13" t="s">
        <v>941</v>
      </c>
    </row>
    <row r="1344" spans="1:26">
      <c r="A1344" t="s">
        <v>412</v>
      </c>
      <c r="B1344" s="25">
        <f>+Municipios!P241</f>
        <v>48.710099569644882</v>
      </c>
      <c r="C1344" s="13">
        <v>86749</v>
      </c>
      <c r="D1344" s="13" t="s">
        <v>942</v>
      </c>
      <c r="E1344" s="13" t="s">
        <v>943</v>
      </c>
      <c r="F1344" s="13" t="s">
        <v>944</v>
      </c>
      <c r="G1344" s="13" t="s">
        <v>945</v>
      </c>
      <c r="K1344" t="s">
        <v>413</v>
      </c>
      <c r="L1344" s="81">
        <f>+Municipios!U241</f>
        <v>28.006050837287756</v>
      </c>
      <c r="M1344" s="13">
        <v>86749</v>
      </c>
      <c r="N1344" s="13" t="s">
        <v>942</v>
      </c>
      <c r="O1344" s="13" t="s">
        <v>943</v>
      </c>
      <c r="P1344" s="13" t="s">
        <v>944</v>
      </c>
      <c r="Q1344" s="13" t="s">
        <v>945</v>
      </c>
      <c r="T1344" t="s">
        <v>2804</v>
      </c>
      <c r="U1344" s="25">
        <f>+Municipios!P241</f>
        <v>48.710099569644882</v>
      </c>
      <c r="V1344" s="13">
        <v>86749</v>
      </c>
      <c r="W1344" s="13" t="s">
        <v>942</v>
      </c>
      <c r="X1344" s="13" t="s">
        <v>943</v>
      </c>
      <c r="Y1344" s="13" t="s">
        <v>944</v>
      </c>
      <c r="Z1344" s="13" t="s">
        <v>945</v>
      </c>
    </row>
    <row r="1345" spans="1:26">
      <c r="A1345" t="s">
        <v>412</v>
      </c>
      <c r="B1345" s="25">
        <f>+Municipios!P242</f>
        <v>59.582209464266683</v>
      </c>
      <c r="C1345" s="13">
        <v>5321</v>
      </c>
      <c r="D1345" s="13" t="s">
        <v>946</v>
      </c>
      <c r="E1345" s="13" t="s">
        <v>435</v>
      </c>
      <c r="F1345" s="13" t="s">
        <v>436</v>
      </c>
      <c r="G1345" s="13" t="s">
        <v>947</v>
      </c>
      <c r="K1345" t="s">
        <v>413</v>
      </c>
      <c r="L1345" s="81">
        <f>+Municipios!U242</f>
        <v>34.722261689703004</v>
      </c>
      <c r="M1345" s="13">
        <v>5321</v>
      </c>
      <c r="N1345" s="13" t="s">
        <v>946</v>
      </c>
      <c r="O1345" s="13" t="s">
        <v>435</v>
      </c>
      <c r="P1345" s="13" t="s">
        <v>436</v>
      </c>
      <c r="Q1345" s="13" t="s">
        <v>947</v>
      </c>
      <c r="T1345" t="s">
        <v>2804</v>
      </c>
      <c r="U1345" s="25">
        <f>+Municipios!P242</f>
        <v>59.582209464266683</v>
      </c>
      <c r="V1345" s="13">
        <v>5321</v>
      </c>
      <c r="W1345" s="13" t="s">
        <v>946</v>
      </c>
      <c r="X1345" s="13" t="s">
        <v>435</v>
      </c>
      <c r="Y1345" s="13" t="s">
        <v>436</v>
      </c>
      <c r="Z1345" s="13" t="s">
        <v>947</v>
      </c>
    </row>
    <row r="1346" spans="1:26">
      <c r="A1346" t="s">
        <v>412</v>
      </c>
      <c r="B1346" s="25">
        <f>+Municipios!P243</f>
        <v>59.020196078573775</v>
      </c>
      <c r="C1346" s="13">
        <v>25772</v>
      </c>
      <c r="D1346" s="13" t="s">
        <v>948</v>
      </c>
      <c r="E1346" s="13" t="s">
        <v>461</v>
      </c>
      <c r="F1346" s="13" t="s">
        <v>462</v>
      </c>
      <c r="G1346" s="13" t="s">
        <v>949</v>
      </c>
      <c r="K1346" t="s">
        <v>413</v>
      </c>
      <c r="L1346" s="81">
        <f>+Municipios!U243</f>
        <v>33.804498572092072</v>
      </c>
      <c r="M1346" s="13">
        <v>25772</v>
      </c>
      <c r="N1346" s="13" t="s">
        <v>948</v>
      </c>
      <c r="O1346" s="13" t="s">
        <v>461</v>
      </c>
      <c r="P1346" s="13" t="s">
        <v>462</v>
      </c>
      <c r="Q1346" s="13" t="s">
        <v>949</v>
      </c>
      <c r="T1346" t="s">
        <v>2804</v>
      </c>
      <c r="U1346" s="25">
        <f>+Municipios!P243</f>
        <v>59.020196078573775</v>
      </c>
      <c r="V1346" s="13">
        <v>25772</v>
      </c>
      <c r="W1346" s="13" t="s">
        <v>948</v>
      </c>
      <c r="X1346" s="13" t="s">
        <v>461</v>
      </c>
      <c r="Y1346" s="13" t="s">
        <v>462</v>
      </c>
      <c r="Z1346" s="13" t="s">
        <v>949</v>
      </c>
    </row>
    <row r="1347" spans="1:26">
      <c r="A1347" t="s">
        <v>412</v>
      </c>
      <c r="B1347" s="25">
        <f>+Municipios!P244</f>
        <v>49.17631043335016</v>
      </c>
      <c r="C1347" s="13">
        <v>13188</v>
      </c>
      <c r="D1347" s="13" t="s">
        <v>950</v>
      </c>
      <c r="E1347" s="13" t="s">
        <v>480</v>
      </c>
      <c r="F1347" s="13" t="s">
        <v>481</v>
      </c>
      <c r="G1347" s="13" t="s">
        <v>951</v>
      </c>
      <c r="K1347" t="s">
        <v>413</v>
      </c>
      <c r="L1347" s="81">
        <f>+Municipios!U244</f>
        <v>28.682693241173759</v>
      </c>
      <c r="M1347" s="13">
        <v>13188</v>
      </c>
      <c r="N1347" s="13" t="s">
        <v>950</v>
      </c>
      <c r="O1347" s="13" t="s">
        <v>480</v>
      </c>
      <c r="P1347" s="13" t="s">
        <v>481</v>
      </c>
      <c r="Q1347" s="13" t="s">
        <v>951</v>
      </c>
      <c r="T1347" t="s">
        <v>2804</v>
      </c>
      <c r="U1347" s="25">
        <f>+Municipios!P244</f>
        <v>49.17631043335016</v>
      </c>
      <c r="V1347" s="13">
        <v>13188</v>
      </c>
      <c r="W1347" s="13" t="s">
        <v>950</v>
      </c>
      <c r="X1347" s="13" t="s">
        <v>480</v>
      </c>
      <c r="Y1347" s="13" t="s">
        <v>481</v>
      </c>
      <c r="Z1347" s="13" t="s">
        <v>951</v>
      </c>
    </row>
    <row r="1348" spans="1:26">
      <c r="A1348" t="s">
        <v>412</v>
      </c>
      <c r="B1348" s="25">
        <f>+Municipios!P245</f>
        <v>56.911547183904439</v>
      </c>
      <c r="C1348" s="13">
        <v>5861</v>
      </c>
      <c r="D1348" s="13" t="s">
        <v>952</v>
      </c>
      <c r="E1348" s="13" t="s">
        <v>435</v>
      </c>
      <c r="F1348" s="13" t="s">
        <v>436</v>
      </c>
      <c r="G1348" s="13" t="s">
        <v>953</v>
      </c>
      <c r="K1348" t="s">
        <v>413</v>
      </c>
      <c r="L1348" s="81">
        <f>+Municipios!U245</f>
        <v>33.166076440141047</v>
      </c>
      <c r="M1348" s="13">
        <v>5861</v>
      </c>
      <c r="N1348" s="13" t="s">
        <v>952</v>
      </c>
      <c r="O1348" s="13" t="s">
        <v>435</v>
      </c>
      <c r="P1348" s="13" t="s">
        <v>436</v>
      </c>
      <c r="Q1348" s="13" t="s">
        <v>953</v>
      </c>
      <c r="T1348" t="s">
        <v>2804</v>
      </c>
      <c r="U1348" s="25">
        <f>+Municipios!P245</f>
        <v>56.911547183904439</v>
      </c>
      <c r="V1348" s="13">
        <v>5861</v>
      </c>
      <c r="W1348" s="13" t="s">
        <v>952</v>
      </c>
      <c r="X1348" s="13" t="s">
        <v>435</v>
      </c>
      <c r="Y1348" s="13" t="s">
        <v>436</v>
      </c>
      <c r="Z1348" s="13" t="s">
        <v>953</v>
      </c>
    </row>
    <row r="1349" spans="1:26">
      <c r="A1349" t="s">
        <v>412</v>
      </c>
      <c r="B1349" s="25">
        <f>+Municipios!P246</f>
        <v>45.395190031804702</v>
      </c>
      <c r="C1349" s="13">
        <v>70717</v>
      </c>
      <c r="D1349" s="13" t="s">
        <v>954</v>
      </c>
      <c r="E1349" s="13" t="s">
        <v>494</v>
      </c>
      <c r="F1349" s="13" t="s">
        <v>495</v>
      </c>
      <c r="G1349" s="13" t="s">
        <v>868</v>
      </c>
      <c r="K1349" t="s">
        <v>413</v>
      </c>
      <c r="L1349" s="81">
        <f>+Municipios!U246</f>
        <v>26.331661422193232</v>
      </c>
      <c r="M1349" s="13">
        <v>70717</v>
      </c>
      <c r="N1349" s="13" t="s">
        <v>954</v>
      </c>
      <c r="O1349" s="13" t="s">
        <v>494</v>
      </c>
      <c r="P1349" s="13" t="s">
        <v>495</v>
      </c>
      <c r="Q1349" s="13" t="s">
        <v>868</v>
      </c>
      <c r="T1349" t="s">
        <v>2804</v>
      </c>
      <c r="U1349" s="25">
        <f>+Municipios!P246</f>
        <v>45.395190031804702</v>
      </c>
      <c r="V1349" s="13">
        <v>70717</v>
      </c>
      <c r="W1349" s="13" t="s">
        <v>954</v>
      </c>
      <c r="X1349" s="13" t="s">
        <v>494</v>
      </c>
      <c r="Y1349" s="13" t="s">
        <v>495</v>
      </c>
      <c r="Z1349" s="13" t="s">
        <v>868</v>
      </c>
    </row>
    <row r="1350" spans="1:26">
      <c r="A1350" t="s">
        <v>412</v>
      </c>
      <c r="B1350" s="25">
        <f>+Municipios!P247</f>
        <v>63.111242332351999</v>
      </c>
      <c r="C1350" s="13">
        <v>44874</v>
      </c>
      <c r="D1350" s="13" t="s">
        <v>955</v>
      </c>
      <c r="E1350" s="13" t="s">
        <v>933</v>
      </c>
      <c r="F1350" s="13" t="s">
        <v>934</v>
      </c>
      <c r="G1350" s="13" t="s">
        <v>720</v>
      </c>
      <c r="K1350" t="s">
        <v>413</v>
      </c>
      <c r="L1350" s="81">
        <f>+Municipios!U247</f>
        <v>36.273108797110567</v>
      </c>
      <c r="M1350" s="13">
        <v>44874</v>
      </c>
      <c r="N1350" s="13" t="s">
        <v>955</v>
      </c>
      <c r="O1350" s="13" t="s">
        <v>933</v>
      </c>
      <c r="P1350" s="13" t="s">
        <v>934</v>
      </c>
      <c r="Q1350" s="13" t="s">
        <v>720</v>
      </c>
      <c r="T1350" t="s">
        <v>2804</v>
      </c>
      <c r="U1350" s="25">
        <f>+Municipios!P247</f>
        <v>63.111242332351999</v>
      </c>
      <c r="V1350" s="13">
        <v>44874</v>
      </c>
      <c r="W1350" s="13" t="s">
        <v>955</v>
      </c>
      <c r="X1350" s="13" t="s">
        <v>933</v>
      </c>
      <c r="Y1350" s="13" t="s">
        <v>934</v>
      </c>
      <c r="Z1350" s="13" t="s">
        <v>720</v>
      </c>
    </row>
    <row r="1351" spans="1:26">
      <c r="A1351" t="s">
        <v>412</v>
      </c>
      <c r="B1351" s="25">
        <f>+Municipios!P248</f>
        <v>47.814517967501473</v>
      </c>
      <c r="C1351" s="13">
        <v>5467</v>
      </c>
      <c r="D1351" s="13" t="s">
        <v>956</v>
      </c>
      <c r="E1351" s="13" t="s">
        <v>435</v>
      </c>
      <c r="F1351" s="13" t="s">
        <v>436</v>
      </c>
      <c r="G1351" s="13" t="s">
        <v>957</v>
      </c>
      <c r="K1351" t="s">
        <v>413</v>
      </c>
      <c r="L1351" s="81">
        <f>+Municipios!U248</f>
        <v>27.368925621681441</v>
      </c>
      <c r="M1351" s="13">
        <v>5467</v>
      </c>
      <c r="N1351" s="13" t="s">
        <v>956</v>
      </c>
      <c r="O1351" s="13" t="s">
        <v>435</v>
      </c>
      <c r="P1351" s="13" t="s">
        <v>436</v>
      </c>
      <c r="Q1351" s="13" t="s">
        <v>957</v>
      </c>
      <c r="T1351" t="s">
        <v>2804</v>
      </c>
      <c r="U1351" s="25">
        <f>+Municipios!P248</f>
        <v>47.814517967501473</v>
      </c>
      <c r="V1351" s="13">
        <v>5467</v>
      </c>
      <c r="W1351" s="13" t="s">
        <v>956</v>
      </c>
      <c r="X1351" s="13" t="s">
        <v>435</v>
      </c>
      <c r="Y1351" s="13" t="s">
        <v>436</v>
      </c>
      <c r="Z1351" s="13" t="s">
        <v>957</v>
      </c>
    </row>
    <row r="1352" spans="1:26">
      <c r="A1352" t="s">
        <v>412</v>
      </c>
      <c r="B1352" s="25">
        <f>+Municipios!P249</f>
        <v>66.174130515960925</v>
      </c>
      <c r="C1352" s="13">
        <v>15367</v>
      </c>
      <c r="D1352" s="13" t="s">
        <v>958</v>
      </c>
      <c r="E1352" s="13" t="s">
        <v>498</v>
      </c>
      <c r="F1352" s="13" t="s">
        <v>499</v>
      </c>
      <c r="G1352" s="13" t="s">
        <v>959</v>
      </c>
      <c r="K1352" t="s">
        <v>413</v>
      </c>
      <c r="L1352" s="81">
        <f>+Municipios!U249</f>
        <v>37.910910681357294</v>
      </c>
      <c r="M1352" s="13">
        <v>15367</v>
      </c>
      <c r="N1352" s="13" t="s">
        <v>958</v>
      </c>
      <c r="O1352" s="13" t="s">
        <v>498</v>
      </c>
      <c r="P1352" s="13" t="s">
        <v>499</v>
      </c>
      <c r="Q1352" s="13" t="s">
        <v>959</v>
      </c>
      <c r="T1352" t="s">
        <v>2804</v>
      </c>
      <c r="U1352" s="25">
        <f>+Municipios!P249</f>
        <v>66.174130515960925</v>
      </c>
      <c r="V1352" s="13">
        <v>15367</v>
      </c>
      <c r="W1352" s="13" t="s">
        <v>958</v>
      </c>
      <c r="X1352" s="13" t="s">
        <v>498</v>
      </c>
      <c r="Y1352" s="13" t="s">
        <v>499</v>
      </c>
      <c r="Z1352" s="13" t="s">
        <v>959</v>
      </c>
    </row>
    <row r="1353" spans="1:26">
      <c r="A1353" t="s">
        <v>412</v>
      </c>
      <c r="B1353" s="25">
        <f>+Municipios!P250</f>
        <v>72.129271705357951</v>
      </c>
      <c r="C1353" s="13">
        <v>25898</v>
      </c>
      <c r="D1353" s="13" t="s">
        <v>960</v>
      </c>
      <c r="E1353" s="13" t="s">
        <v>461</v>
      </c>
      <c r="F1353" s="13" t="s">
        <v>462</v>
      </c>
      <c r="G1353" s="13" t="s">
        <v>961</v>
      </c>
      <c r="K1353" t="s">
        <v>413</v>
      </c>
      <c r="L1353" s="81">
        <f>+Municipios!U250</f>
        <v>40.861862820810764</v>
      </c>
      <c r="M1353" s="13">
        <v>25898</v>
      </c>
      <c r="N1353" s="13" t="s">
        <v>960</v>
      </c>
      <c r="O1353" s="13" t="s">
        <v>461</v>
      </c>
      <c r="P1353" s="13" t="s">
        <v>462</v>
      </c>
      <c r="Q1353" s="13" t="s">
        <v>961</v>
      </c>
      <c r="T1353" t="s">
        <v>2804</v>
      </c>
      <c r="U1353" s="25">
        <f>+Municipios!P250</f>
        <v>72.129271705357951</v>
      </c>
      <c r="V1353" s="13">
        <v>25898</v>
      </c>
      <c r="W1353" s="13" t="s">
        <v>960</v>
      </c>
      <c r="X1353" s="13" t="s">
        <v>461</v>
      </c>
      <c r="Y1353" s="13" t="s">
        <v>462</v>
      </c>
      <c r="Z1353" s="13" t="s">
        <v>961</v>
      </c>
    </row>
    <row r="1354" spans="1:26">
      <c r="A1354" t="s">
        <v>412</v>
      </c>
      <c r="B1354" s="25">
        <f>+Municipios!P251</f>
        <v>46.744583415786792</v>
      </c>
      <c r="C1354" s="13">
        <v>70523</v>
      </c>
      <c r="D1354" s="13" t="s">
        <v>962</v>
      </c>
      <c r="E1354" s="13" t="s">
        <v>494</v>
      </c>
      <c r="F1354" s="13" t="s">
        <v>495</v>
      </c>
      <c r="G1354" s="13" t="s">
        <v>963</v>
      </c>
      <c r="K1354" t="s">
        <v>413</v>
      </c>
      <c r="L1354" s="81">
        <f>+Municipios!U251</f>
        <v>26.925578630726537</v>
      </c>
      <c r="M1354" s="13">
        <v>70523</v>
      </c>
      <c r="N1354" s="13" t="s">
        <v>962</v>
      </c>
      <c r="O1354" s="13" t="s">
        <v>494</v>
      </c>
      <c r="P1354" s="13" t="s">
        <v>495</v>
      </c>
      <c r="Q1354" s="13" t="s">
        <v>963</v>
      </c>
      <c r="T1354" t="s">
        <v>2804</v>
      </c>
      <c r="U1354" s="25">
        <f>+Municipios!P251</f>
        <v>46.744583415786792</v>
      </c>
      <c r="V1354" s="13">
        <v>70523</v>
      </c>
      <c r="W1354" s="13" t="s">
        <v>962</v>
      </c>
      <c r="X1354" s="13" t="s">
        <v>494</v>
      </c>
      <c r="Y1354" s="13" t="s">
        <v>495</v>
      </c>
      <c r="Z1354" s="13" t="s">
        <v>963</v>
      </c>
    </row>
    <row r="1355" spans="1:26">
      <c r="A1355" t="s">
        <v>412</v>
      </c>
      <c r="B1355" s="25">
        <f>+Municipios!P252</f>
        <v>55.065954946870214</v>
      </c>
      <c r="C1355" s="13">
        <v>17088</v>
      </c>
      <c r="D1355" s="13" t="s">
        <v>964</v>
      </c>
      <c r="E1355" s="13" t="s">
        <v>506</v>
      </c>
      <c r="F1355" s="13" t="s">
        <v>507</v>
      </c>
      <c r="G1355" s="13" t="s">
        <v>965</v>
      </c>
      <c r="K1355" t="s">
        <v>413</v>
      </c>
      <c r="L1355" s="81">
        <f>+Municipios!U252</f>
        <v>31.395477424550197</v>
      </c>
      <c r="M1355" s="13">
        <v>17088</v>
      </c>
      <c r="N1355" s="13" t="s">
        <v>964</v>
      </c>
      <c r="O1355" s="13" t="s">
        <v>506</v>
      </c>
      <c r="P1355" s="13" t="s">
        <v>507</v>
      </c>
      <c r="Q1355" s="13" t="s">
        <v>965</v>
      </c>
      <c r="T1355" t="s">
        <v>2804</v>
      </c>
      <c r="U1355" s="25">
        <f>+Municipios!P252</f>
        <v>55.065954946870214</v>
      </c>
      <c r="V1355" s="13">
        <v>17088</v>
      </c>
      <c r="W1355" s="13" t="s">
        <v>964</v>
      </c>
      <c r="X1355" s="13" t="s">
        <v>506</v>
      </c>
      <c r="Y1355" s="13" t="s">
        <v>507</v>
      </c>
      <c r="Z1355" s="13" t="s">
        <v>965</v>
      </c>
    </row>
    <row r="1356" spans="1:26">
      <c r="A1356" t="s">
        <v>412</v>
      </c>
      <c r="B1356" s="25">
        <f>+Municipios!P253</f>
        <v>61.601107154228913</v>
      </c>
      <c r="C1356" s="13">
        <v>25377</v>
      </c>
      <c r="D1356" s="13" t="s">
        <v>966</v>
      </c>
      <c r="E1356" s="13" t="s">
        <v>461</v>
      </c>
      <c r="F1356" s="13" t="s">
        <v>462</v>
      </c>
      <c r="G1356" s="13" t="s">
        <v>967</v>
      </c>
      <c r="K1356" t="s">
        <v>413</v>
      </c>
      <c r="L1356" s="81">
        <f>+Municipios!U253</f>
        <v>36.200402973325495</v>
      </c>
      <c r="M1356" s="13">
        <v>25377</v>
      </c>
      <c r="N1356" s="13" t="s">
        <v>966</v>
      </c>
      <c r="O1356" s="13" t="s">
        <v>461</v>
      </c>
      <c r="P1356" s="13" t="s">
        <v>462</v>
      </c>
      <c r="Q1356" s="13" t="s">
        <v>967</v>
      </c>
      <c r="T1356" t="s">
        <v>2804</v>
      </c>
      <c r="U1356" s="25">
        <f>+Municipios!P253</f>
        <v>61.601107154228913</v>
      </c>
      <c r="V1356" s="13">
        <v>25377</v>
      </c>
      <c r="W1356" s="13" t="s">
        <v>966</v>
      </c>
      <c r="X1356" s="13" t="s">
        <v>461</v>
      </c>
      <c r="Y1356" s="13" t="s">
        <v>462</v>
      </c>
      <c r="Z1356" s="13" t="s">
        <v>967</v>
      </c>
    </row>
    <row r="1357" spans="1:26">
      <c r="A1357" t="s">
        <v>412</v>
      </c>
      <c r="B1357" s="25">
        <f>+Municipios!P254</f>
        <v>58.918565202918323</v>
      </c>
      <c r="C1357" s="13">
        <v>23182</v>
      </c>
      <c r="D1357" s="13" t="s">
        <v>968</v>
      </c>
      <c r="E1357" s="13" t="s">
        <v>567</v>
      </c>
      <c r="F1357" s="13" t="s">
        <v>568</v>
      </c>
      <c r="G1357" s="13" t="s">
        <v>969</v>
      </c>
      <c r="K1357" t="s">
        <v>413</v>
      </c>
      <c r="L1357" s="81">
        <f>+Municipios!U254</f>
        <v>33.961010142452622</v>
      </c>
      <c r="M1357" s="13">
        <v>23182</v>
      </c>
      <c r="N1357" s="13" t="s">
        <v>968</v>
      </c>
      <c r="O1357" s="13" t="s">
        <v>567</v>
      </c>
      <c r="P1357" s="13" t="s">
        <v>568</v>
      </c>
      <c r="Q1357" s="13" t="s">
        <v>969</v>
      </c>
      <c r="T1357" t="s">
        <v>2804</v>
      </c>
      <c r="U1357" s="25">
        <f>+Municipios!P254</f>
        <v>58.918565202918323</v>
      </c>
      <c r="V1357" s="13">
        <v>23182</v>
      </c>
      <c r="W1357" s="13" t="s">
        <v>968</v>
      </c>
      <c r="X1357" s="13" t="s">
        <v>567</v>
      </c>
      <c r="Y1357" s="13" t="s">
        <v>568</v>
      </c>
      <c r="Z1357" s="13" t="s">
        <v>969</v>
      </c>
    </row>
    <row r="1358" spans="1:26">
      <c r="A1358" t="s">
        <v>412</v>
      </c>
      <c r="B1358" s="25">
        <f>+Municipios!P255</f>
        <v>53.317998537427542</v>
      </c>
      <c r="C1358" s="13">
        <v>5034</v>
      </c>
      <c r="D1358" s="13" t="s">
        <v>970</v>
      </c>
      <c r="E1358" s="13" t="s">
        <v>435</v>
      </c>
      <c r="F1358" s="13" t="s">
        <v>436</v>
      </c>
      <c r="G1358" s="13" t="s">
        <v>971</v>
      </c>
      <c r="K1358" t="s">
        <v>413</v>
      </c>
      <c r="L1358" s="81">
        <f>+Municipios!U255</f>
        <v>30.872081318884906</v>
      </c>
      <c r="M1358" s="13">
        <v>5034</v>
      </c>
      <c r="N1358" s="13" t="s">
        <v>970</v>
      </c>
      <c r="O1358" s="13" t="s">
        <v>435</v>
      </c>
      <c r="P1358" s="13" t="s">
        <v>436</v>
      </c>
      <c r="Q1358" s="13" t="s">
        <v>971</v>
      </c>
      <c r="T1358" t="s">
        <v>2804</v>
      </c>
      <c r="U1358" s="25">
        <f>+Municipios!P255</f>
        <v>53.317998537427542</v>
      </c>
      <c r="V1358" s="13">
        <v>5034</v>
      </c>
      <c r="W1358" s="13" t="s">
        <v>970</v>
      </c>
      <c r="X1358" s="13" t="s">
        <v>435</v>
      </c>
      <c r="Y1358" s="13" t="s">
        <v>436</v>
      </c>
      <c r="Z1358" s="13" t="s">
        <v>971</v>
      </c>
    </row>
    <row r="1359" spans="1:26">
      <c r="A1359" t="s">
        <v>412</v>
      </c>
      <c r="B1359" s="25">
        <f>+Municipios!P256</f>
        <v>71.434647434055663</v>
      </c>
      <c r="C1359" s="13">
        <v>44378</v>
      </c>
      <c r="D1359" s="13" t="s">
        <v>972</v>
      </c>
      <c r="E1359" s="13" t="s">
        <v>933</v>
      </c>
      <c r="F1359" s="13" t="s">
        <v>934</v>
      </c>
      <c r="G1359" s="13" t="s">
        <v>973</v>
      </c>
      <c r="K1359" t="s">
        <v>413</v>
      </c>
      <c r="L1359" s="81">
        <f>+Municipios!U256</f>
        <v>40.432780968746108</v>
      </c>
      <c r="M1359" s="13">
        <v>44378</v>
      </c>
      <c r="N1359" s="13" t="s">
        <v>972</v>
      </c>
      <c r="O1359" s="13" t="s">
        <v>933</v>
      </c>
      <c r="P1359" s="13" t="s">
        <v>934</v>
      </c>
      <c r="Q1359" s="13" t="s">
        <v>973</v>
      </c>
      <c r="T1359" t="s">
        <v>2804</v>
      </c>
      <c r="U1359" s="25">
        <f>+Municipios!P256</f>
        <v>71.434647434055663</v>
      </c>
      <c r="V1359" s="13">
        <v>44378</v>
      </c>
      <c r="W1359" s="13" t="s">
        <v>972</v>
      </c>
      <c r="X1359" s="13" t="s">
        <v>933</v>
      </c>
      <c r="Y1359" s="13" t="s">
        <v>934</v>
      </c>
      <c r="Z1359" s="13" t="s">
        <v>973</v>
      </c>
    </row>
    <row r="1360" spans="1:26">
      <c r="A1360" t="s">
        <v>412</v>
      </c>
      <c r="B1360" s="25">
        <f>+Municipios!P257</f>
        <v>61.381779555951681</v>
      </c>
      <c r="C1360" s="13">
        <v>25658</v>
      </c>
      <c r="D1360" s="13" t="s">
        <v>974</v>
      </c>
      <c r="E1360" s="13" t="s">
        <v>461</v>
      </c>
      <c r="F1360" s="13" t="s">
        <v>462</v>
      </c>
      <c r="G1360" s="13" t="s">
        <v>975</v>
      </c>
      <c r="K1360" t="s">
        <v>413</v>
      </c>
      <c r="L1360" s="81">
        <f>+Municipios!U257</f>
        <v>34.995494309627361</v>
      </c>
      <c r="M1360" s="13">
        <v>25658</v>
      </c>
      <c r="N1360" s="13" t="s">
        <v>974</v>
      </c>
      <c r="O1360" s="13" t="s">
        <v>461</v>
      </c>
      <c r="P1360" s="13" t="s">
        <v>462</v>
      </c>
      <c r="Q1360" s="13" t="s">
        <v>975</v>
      </c>
      <c r="T1360" t="s">
        <v>2804</v>
      </c>
      <c r="U1360" s="25">
        <f>+Municipios!P257</f>
        <v>61.381779555951681</v>
      </c>
      <c r="V1360" s="13">
        <v>25658</v>
      </c>
      <c r="W1360" s="13" t="s">
        <v>974</v>
      </c>
      <c r="X1360" s="13" t="s">
        <v>461</v>
      </c>
      <c r="Y1360" s="13" t="s">
        <v>462</v>
      </c>
      <c r="Z1360" s="13" t="s">
        <v>975</v>
      </c>
    </row>
    <row r="1361" spans="1:26">
      <c r="A1361" t="s">
        <v>412</v>
      </c>
      <c r="B1361" s="25">
        <f>+Municipios!P258</f>
        <v>69.310232890631539</v>
      </c>
      <c r="C1361" s="13">
        <v>25781</v>
      </c>
      <c r="D1361" s="13" t="s">
        <v>976</v>
      </c>
      <c r="E1361" s="13" t="s">
        <v>461</v>
      </c>
      <c r="F1361" s="13" t="s">
        <v>462</v>
      </c>
      <c r="G1361" s="13" t="s">
        <v>977</v>
      </c>
      <c r="K1361" t="s">
        <v>413</v>
      </c>
      <c r="L1361" s="81">
        <f>+Municipios!U258</f>
        <v>39.320564264474854</v>
      </c>
      <c r="M1361" s="13">
        <v>25781</v>
      </c>
      <c r="N1361" s="13" t="s">
        <v>976</v>
      </c>
      <c r="O1361" s="13" t="s">
        <v>461</v>
      </c>
      <c r="P1361" s="13" t="s">
        <v>462</v>
      </c>
      <c r="Q1361" s="13" t="s">
        <v>977</v>
      </c>
      <c r="T1361" t="s">
        <v>2804</v>
      </c>
      <c r="U1361" s="25">
        <f>+Municipios!P258</f>
        <v>69.310232890631539</v>
      </c>
      <c r="V1361" s="13">
        <v>25781</v>
      </c>
      <c r="W1361" s="13" t="s">
        <v>976</v>
      </c>
      <c r="X1361" s="13" t="s">
        <v>461</v>
      </c>
      <c r="Y1361" s="13" t="s">
        <v>462</v>
      </c>
      <c r="Z1361" s="13" t="s">
        <v>977</v>
      </c>
    </row>
    <row r="1362" spans="1:26">
      <c r="A1362" t="s">
        <v>412</v>
      </c>
      <c r="B1362" s="25">
        <f>+Municipios!P259</f>
        <v>48.077497859571523</v>
      </c>
      <c r="C1362" s="13">
        <v>5101</v>
      </c>
      <c r="D1362" s="13" t="s">
        <v>978</v>
      </c>
      <c r="E1362" s="13" t="s">
        <v>435</v>
      </c>
      <c r="F1362" s="13" t="s">
        <v>436</v>
      </c>
      <c r="G1362" s="13" t="s">
        <v>979</v>
      </c>
      <c r="K1362" t="s">
        <v>413</v>
      </c>
      <c r="L1362" s="81">
        <f>+Municipios!U259</f>
        <v>27.82669471609719</v>
      </c>
      <c r="M1362" s="13">
        <v>5101</v>
      </c>
      <c r="N1362" s="13" t="s">
        <v>978</v>
      </c>
      <c r="O1362" s="13" t="s">
        <v>435</v>
      </c>
      <c r="P1362" s="13" t="s">
        <v>436</v>
      </c>
      <c r="Q1362" s="13" t="s">
        <v>979</v>
      </c>
      <c r="T1362" t="s">
        <v>2804</v>
      </c>
      <c r="U1362" s="25">
        <f>+Municipios!P259</f>
        <v>48.077497859571523</v>
      </c>
      <c r="V1362" s="13">
        <v>5101</v>
      </c>
      <c r="W1362" s="13" t="s">
        <v>978</v>
      </c>
      <c r="X1362" s="13" t="s">
        <v>435</v>
      </c>
      <c r="Y1362" s="13" t="s">
        <v>436</v>
      </c>
      <c r="Z1362" s="13" t="s">
        <v>979</v>
      </c>
    </row>
    <row r="1363" spans="1:26">
      <c r="A1363" t="s">
        <v>412</v>
      </c>
      <c r="B1363" s="25">
        <f>+Municipios!P260</f>
        <v>60.62077016537647</v>
      </c>
      <c r="C1363" s="13">
        <v>5809</v>
      </c>
      <c r="D1363" s="13" t="s">
        <v>980</v>
      </c>
      <c r="E1363" s="13" t="s">
        <v>435</v>
      </c>
      <c r="F1363" s="13" t="s">
        <v>436</v>
      </c>
      <c r="G1363" s="13" t="s">
        <v>981</v>
      </c>
      <c r="K1363" t="s">
        <v>413</v>
      </c>
      <c r="L1363" s="81">
        <f>+Municipios!U260</f>
        <v>35.187140078191341</v>
      </c>
      <c r="M1363" s="13">
        <v>5809</v>
      </c>
      <c r="N1363" s="13" t="s">
        <v>980</v>
      </c>
      <c r="O1363" s="13" t="s">
        <v>435</v>
      </c>
      <c r="P1363" s="13" t="s">
        <v>436</v>
      </c>
      <c r="Q1363" s="13" t="s">
        <v>981</v>
      </c>
      <c r="T1363" t="s">
        <v>2804</v>
      </c>
      <c r="U1363" s="25">
        <f>+Municipios!P260</f>
        <v>60.62077016537647</v>
      </c>
      <c r="V1363" s="13">
        <v>5809</v>
      </c>
      <c r="W1363" s="13" t="s">
        <v>980</v>
      </c>
      <c r="X1363" s="13" t="s">
        <v>435</v>
      </c>
      <c r="Y1363" s="13" t="s">
        <v>436</v>
      </c>
      <c r="Z1363" s="13" t="s">
        <v>981</v>
      </c>
    </row>
    <row r="1364" spans="1:26">
      <c r="A1364" t="s">
        <v>412</v>
      </c>
      <c r="B1364" s="25">
        <f>+Municipios!P261</f>
        <v>51.528786298081968</v>
      </c>
      <c r="C1364" s="13">
        <v>52051</v>
      </c>
      <c r="D1364" s="13" t="s">
        <v>982</v>
      </c>
      <c r="E1364" s="13" t="s">
        <v>672</v>
      </c>
      <c r="F1364" s="13" t="s">
        <v>673</v>
      </c>
      <c r="G1364" s="13" t="s">
        <v>983</v>
      </c>
      <c r="K1364" t="s">
        <v>413</v>
      </c>
      <c r="L1364" s="81">
        <f>+Municipios!U261</f>
        <v>29.490878779756024</v>
      </c>
      <c r="M1364" s="13">
        <v>52051</v>
      </c>
      <c r="N1364" s="13" t="s">
        <v>982</v>
      </c>
      <c r="O1364" s="13" t="s">
        <v>672</v>
      </c>
      <c r="P1364" s="13" t="s">
        <v>673</v>
      </c>
      <c r="Q1364" s="13" t="s">
        <v>983</v>
      </c>
      <c r="T1364" t="s">
        <v>2804</v>
      </c>
      <c r="U1364" s="25">
        <f>+Municipios!P261</f>
        <v>51.528786298081968</v>
      </c>
      <c r="V1364" s="13">
        <v>52051</v>
      </c>
      <c r="W1364" s="13" t="s">
        <v>982</v>
      </c>
      <c r="X1364" s="13" t="s">
        <v>672</v>
      </c>
      <c r="Y1364" s="13" t="s">
        <v>673</v>
      </c>
      <c r="Z1364" s="13" t="s">
        <v>983</v>
      </c>
    </row>
    <row r="1365" spans="1:26">
      <c r="A1365" t="s">
        <v>412</v>
      </c>
      <c r="B1365" s="25">
        <f>+Municipios!P262</f>
        <v>54.630980783944267</v>
      </c>
      <c r="C1365" s="13">
        <v>5353</v>
      </c>
      <c r="D1365" s="13" t="s">
        <v>984</v>
      </c>
      <c r="E1365" s="13" t="s">
        <v>435</v>
      </c>
      <c r="F1365" s="13" t="s">
        <v>436</v>
      </c>
      <c r="G1365" s="13" t="s">
        <v>985</v>
      </c>
      <c r="K1365" t="s">
        <v>413</v>
      </c>
      <c r="L1365" s="81">
        <f>+Municipios!U262</f>
        <v>31.899371737850025</v>
      </c>
      <c r="M1365" s="13">
        <v>5353</v>
      </c>
      <c r="N1365" s="13" t="s">
        <v>984</v>
      </c>
      <c r="O1365" s="13" t="s">
        <v>435</v>
      </c>
      <c r="P1365" s="13" t="s">
        <v>436</v>
      </c>
      <c r="Q1365" s="13" t="s">
        <v>985</v>
      </c>
      <c r="T1365" t="s">
        <v>2804</v>
      </c>
      <c r="U1365" s="25">
        <f>+Municipios!P262</f>
        <v>54.630980783944267</v>
      </c>
      <c r="V1365" s="13">
        <v>5353</v>
      </c>
      <c r="W1365" s="13" t="s">
        <v>984</v>
      </c>
      <c r="X1365" s="13" t="s">
        <v>435</v>
      </c>
      <c r="Y1365" s="13" t="s">
        <v>436</v>
      </c>
      <c r="Z1365" s="13" t="s">
        <v>985</v>
      </c>
    </row>
    <row r="1366" spans="1:26">
      <c r="A1366" t="s">
        <v>412</v>
      </c>
      <c r="B1366" s="25">
        <f>+Municipios!P263</f>
        <v>62.046331039618138</v>
      </c>
      <c r="C1366" s="13">
        <v>15686</v>
      </c>
      <c r="D1366" s="13" t="s">
        <v>986</v>
      </c>
      <c r="E1366" s="13" t="s">
        <v>498</v>
      </c>
      <c r="F1366" s="13" t="s">
        <v>499</v>
      </c>
      <c r="G1366" s="13" t="s">
        <v>987</v>
      </c>
      <c r="K1366" t="s">
        <v>413</v>
      </c>
      <c r="L1366" s="81">
        <f>+Municipios!U263</f>
        <v>35.006107629171005</v>
      </c>
      <c r="M1366" s="13">
        <v>15686</v>
      </c>
      <c r="N1366" s="13" t="s">
        <v>986</v>
      </c>
      <c r="O1366" s="13" t="s">
        <v>498</v>
      </c>
      <c r="P1366" s="13" t="s">
        <v>499</v>
      </c>
      <c r="Q1366" s="13" t="s">
        <v>987</v>
      </c>
      <c r="T1366" t="s">
        <v>2804</v>
      </c>
      <c r="U1366" s="25">
        <f>+Municipios!P263</f>
        <v>62.046331039618138</v>
      </c>
      <c r="V1366" s="13">
        <v>15686</v>
      </c>
      <c r="W1366" s="13" t="s">
        <v>986</v>
      </c>
      <c r="X1366" s="13" t="s">
        <v>498</v>
      </c>
      <c r="Y1366" s="13" t="s">
        <v>499</v>
      </c>
      <c r="Z1366" s="13" t="s">
        <v>987</v>
      </c>
    </row>
    <row r="1367" spans="1:26">
      <c r="A1367" t="s">
        <v>412</v>
      </c>
      <c r="B1367" s="25">
        <f>+Municipios!P264</f>
        <v>49.496694753671967</v>
      </c>
      <c r="C1367" s="13">
        <v>5036</v>
      </c>
      <c r="D1367" s="13" t="s">
        <v>988</v>
      </c>
      <c r="E1367" s="13" t="s">
        <v>435</v>
      </c>
      <c r="F1367" s="13" t="s">
        <v>436</v>
      </c>
      <c r="G1367" s="13" t="s">
        <v>989</v>
      </c>
      <c r="K1367" t="s">
        <v>413</v>
      </c>
      <c r="L1367" s="81">
        <f>+Municipios!U264</f>
        <v>28.774448972090177</v>
      </c>
      <c r="M1367" s="13">
        <v>5036</v>
      </c>
      <c r="N1367" s="13" t="s">
        <v>988</v>
      </c>
      <c r="O1367" s="13" t="s">
        <v>435</v>
      </c>
      <c r="P1367" s="13" t="s">
        <v>436</v>
      </c>
      <c r="Q1367" s="13" t="s">
        <v>989</v>
      </c>
      <c r="T1367" t="s">
        <v>2804</v>
      </c>
      <c r="U1367" s="25">
        <f>+Municipios!P264</f>
        <v>49.496694753671967</v>
      </c>
      <c r="V1367" s="13">
        <v>5036</v>
      </c>
      <c r="W1367" s="13" t="s">
        <v>988</v>
      </c>
      <c r="X1367" s="13" t="s">
        <v>435</v>
      </c>
      <c r="Y1367" s="13" t="s">
        <v>436</v>
      </c>
      <c r="Z1367" s="13" t="s">
        <v>989</v>
      </c>
    </row>
    <row r="1368" spans="1:26">
      <c r="A1368" t="s">
        <v>412</v>
      </c>
      <c r="B1368" s="25">
        <f>+Municipios!P265</f>
        <v>72.109777220113827</v>
      </c>
      <c r="C1368" s="13">
        <v>15646</v>
      </c>
      <c r="D1368" s="13" t="s">
        <v>990</v>
      </c>
      <c r="E1368" s="13" t="s">
        <v>498</v>
      </c>
      <c r="F1368" s="13" t="s">
        <v>499</v>
      </c>
      <c r="G1368" s="13" t="s">
        <v>991</v>
      </c>
      <c r="K1368" t="s">
        <v>413</v>
      </c>
      <c r="L1368" s="81">
        <f>+Municipios!U265</f>
        <v>40.995066752610306</v>
      </c>
      <c r="M1368" s="13">
        <v>15646</v>
      </c>
      <c r="N1368" s="13" t="s">
        <v>990</v>
      </c>
      <c r="O1368" s="13" t="s">
        <v>498</v>
      </c>
      <c r="P1368" s="13" t="s">
        <v>499</v>
      </c>
      <c r="Q1368" s="13" t="s">
        <v>991</v>
      </c>
      <c r="T1368" t="s">
        <v>2804</v>
      </c>
      <c r="U1368" s="25">
        <f>+Municipios!P265</f>
        <v>72.109777220113827</v>
      </c>
      <c r="V1368" s="13">
        <v>15646</v>
      </c>
      <c r="W1368" s="13" t="s">
        <v>990</v>
      </c>
      <c r="X1368" s="13" t="s">
        <v>498</v>
      </c>
      <c r="Y1368" s="13" t="s">
        <v>499</v>
      </c>
      <c r="Z1368" s="13" t="s">
        <v>991</v>
      </c>
    </row>
    <row r="1369" spans="1:26">
      <c r="A1369" t="s">
        <v>412</v>
      </c>
      <c r="B1369" s="25">
        <f>+Municipios!P266</f>
        <v>39.540042386602828</v>
      </c>
      <c r="C1369" s="13">
        <v>70702</v>
      </c>
      <c r="D1369" s="13" t="s">
        <v>992</v>
      </c>
      <c r="E1369" s="13" t="s">
        <v>494</v>
      </c>
      <c r="F1369" s="13" t="s">
        <v>495</v>
      </c>
      <c r="G1369" s="13" t="s">
        <v>993</v>
      </c>
      <c r="K1369" t="s">
        <v>413</v>
      </c>
      <c r="L1369" s="81">
        <f>+Municipios!U266</f>
        <v>22.677499677536275</v>
      </c>
      <c r="M1369" s="13">
        <v>70702</v>
      </c>
      <c r="N1369" s="13" t="s">
        <v>992</v>
      </c>
      <c r="O1369" s="13" t="s">
        <v>494</v>
      </c>
      <c r="P1369" s="13" t="s">
        <v>495</v>
      </c>
      <c r="Q1369" s="13" t="s">
        <v>993</v>
      </c>
      <c r="T1369" t="s">
        <v>2804</v>
      </c>
      <c r="U1369" s="25">
        <f>+Municipios!P266</f>
        <v>39.540042386602828</v>
      </c>
      <c r="V1369" s="13">
        <v>70702</v>
      </c>
      <c r="W1369" s="13" t="s">
        <v>992</v>
      </c>
      <c r="X1369" s="13" t="s">
        <v>494</v>
      </c>
      <c r="Y1369" s="13" t="s">
        <v>495</v>
      </c>
      <c r="Z1369" s="13" t="s">
        <v>993</v>
      </c>
    </row>
    <row r="1370" spans="1:26">
      <c r="A1370" t="s">
        <v>412</v>
      </c>
      <c r="B1370" s="25">
        <f>+Municipios!P267</f>
        <v>48.718991259852402</v>
      </c>
      <c r="C1370" s="13">
        <v>13442</v>
      </c>
      <c r="D1370" s="13" t="s">
        <v>994</v>
      </c>
      <c r="E1370" s="13" t="s">
        <v>480</v>
      </c>
      <c r="F1370" s="13" t="s">
        <v>481</v>
      </c>
      <c r="G1370" s="13" t="s">
        <v>995</v>
      </c>
      <c r="K1370" t="s">
        <v>413</v>
      </c>
      <c r="L1370" s="81">
        <f>+Municipios!U267</f>
        <v>27.73908067106473</v>
      </c>
      <c r="M1370" s="13">
        <v>13442</v>
      </c>
      <c r="N1370" s="13" t="s">
        <v>994</v>
      </c>
      <c r="O1370" s="13" t="s">
        <v>480</v>
      </c>
      <c r="P1370" s="13" t="s">
        <v>481</v>
      </c>
      <c r="Q1370" s="13" t="s">
        <v>995</v>
      </c>
      <c r="T1370" t="s">
        <v>2804</v>
      </c>
      <c r="U1370" s="25">
        <f>+Municipios!P267</f>
        <v>48.718991259852402</v>
      </c>
      <c r="V1370" s="13">
        <v>13442</v>
      </c>
      <c r="W1370" s="13" t="s">
        <v>994</v>
      </c>
      <c r="X1370" s="13" t="s">
        <v>480</v>
      </c>
      <c r="Y1370" s="13" t="s">
        <v>481</v>
      </c>
      <c r="Z1370" s="13" t="s">
        <v>995</v>
      </c>
    </row>
    <row r="1371" spans="1:26">
      <c r="A1371" t="s">
        <v>412</v>
      </c>
      <c r="B1371" s="25">
        <f>+Municipios!P268</f>
        <v>51.320704241743556</v>
      </c>
      <c r="C1371" s="13">
        <v>52083</v>
      </c>
      <c r="D1371" s="13" t="s">
        <v>996</v>
      </c>
      <c r="E1371" s="13" t="s">
        <v>672</v>
      </c>
      <c r="F1371" s="13" t="s">
        <v>673</v>
      </c>
      <c r="G1371" s="13" t="s">
        <v>997</v>
      </c>
      <c r="K1371" t="s">
        <v>413</v>
      </c>
      <c r="L1371" s="81">
        <f>+Municipios!U268</f>
        <v>29.107781418755891</v>
      </c>
      <c r="M1371" s="13">
        <v>52083</v>
      </c>
      <c r="N1371" s="13" t="s">
        <v>996</v>
      </c>
      <c r="O1371" s="13" t="s">
        <v>672</v>
      </c>
      <c r="P1371" s="13" t="s">
        <v>673</v>
      </c>
      <c r="Q1371" s="13" t="s">
        <v>997</v>
      </c>
      <c r="T1371" t="s">
        <v>2804</v>
      </c>
      <c r="U1371" s="25">
        <f>+Municipios!P268</f>
        <v>51.320704241743556</v>
      </c>
      <c r="V1371" s="13">
        <v>52083</v>
      </c>
      <c r="W1371" s="13" t="s">
        <v>996</v>
      </c>
      <c r="X1371" s="13" t="s">
        <v>672</v>
      </c>
      <c r="Y1371" s="13" t="s">
        <v>673</v>
      </c>
      <c r="Z1371" s="13" t="s">
        <v>997</v>
      </c>
    </row>
    <row r="1372" spans="1:26">
      <c r="A1372" t="s">
        <v>412</v>
      </c>
      <c r="B1372" s="25">
        <f>+Municipios!P269</f>
        <v>64.03942695205798</v>
      </c>
      <c r="C1372" s="13">
        <v>15764</v>
      </c>
      <c r="D1372" s="13" t="s">
        <v>998</v>
      </c>
      <c r="E1372" s="13" t="s">
        <v>498</v>
      </c>
      <c r="F1372" s="13" t="s">
        <v>499</v>
      </c>
      <c r="G1372" s="13" t="s">
        <v>999</v>
      </c>
      <c r="K1372" t="s">
        <v>413</v>
      </c>
      <c r="L1372" s="81">
        <f>+Municipios!U269</f>
        <v>36.318685114833585</v>
      </c>
      <c r="M1372" s="13">
        <v>15764</v>
      </c>
      <c r="N1372" s="13" t="s">
        <v>998</v>
      </c>
      <c r="O1372" s="13" t="s">
        <v>498</v>
      </c>
      <c r="P1372" s="13" t="s">
        <v>499</v>
      </c>
      <c r="Q1372" s="13" t="s">
        <v>999</v>
      </c>
      <c r="T1372" t="s">
        <v>2804</v>
      </c>
      <c r="U1372" s="25">
        <f>+Municipios!P269</f>
        <v>64.03942695205798</v>
      </c>
      <c r="V1372" s="13">
        <v>15764</v>
      </c>
      <c r="W1372" s="13" t="s">
        <v>998</v>
      </c>
      <c r="X1372" s="13" t="s">
        <v>498</v>
      </c>
      <c r="Y1372" s="13" t="s">
        <v>499</v>
      </c>
      <c r="Z1372" s="13" t="s">
        <v>999</v>
      </c>
    </row>
    <row r="1373" spans="1:26">
      <c r="A1373" t="s">
        <v>412</v>
      </c>
      <c r="B1373" s="25">
        <f>+Municipios!P270</f>
        <v>43.359185490188068</v>
      </c>
      <c r="C1373" s="13">
        <v>13647</v>
      </c>
      <c r="D1373" s="13" t="s">
        <v>1000</v>
      </c>
      <c r="E1373" s="13" t="s">
        <v>480</v>
      </c>
      <c r="F1373" s="13" t="s">
        <v>481</v>
      </c>
      <c r="G1373" s="13" t="s">
        <v>1001</v>
      </c>
      <c r="K1373" t="s">
        <v>413</v>
      </c>
      <c r="L1373" s="81">
        <f>+Municipios!U270</f>
        <v>24.952584279843148</v>
      </c>
      <c r="M1373" s="13">
        <v>13647</v>
      </c>
      <c r="N1373" s="13" t="s">
        <v>1000</v>
      </c>
      <c r="O1373" s="13" t="s">
        <v>480</v>
      </c>
      <c r="P1373" s="13" t="s">
        <v>481</v>
      </c>
      <c r="Q1373" s="13" t="s">
        <v>1001</v>
      </c>
      <c r="T1373" t="s">
        <v>2804</v>
      </c>
      <c r="U1373" s="25">
        <f>+Municipios!P270</f>
        <v>43.359185490188068</v>
      </c>
      <c r="V1373" s="13">
        <v>13647</v>
      </c>
      <c r="W1373" s="13" t="s">
        <v>1000</v>
      </c>
      <c r="X1373" s="13" t="s">
        <v>480</v>
      </c>
      <c r="Y1373" s="13" t="s">
        <v>481</v>
      </c>
      <c r="Z1373" s="13" t="s">
        <v>1001</v>
      </c>
    </row>
    <row r="1374" spans="1:26">
      <c r="A1374" t="s">
        <v>412</v>
      </c>
      <c r="B1374" s="25">
        <f>+Municipios!P271</f>
        <v>59.496444035031743</v>
      </c>
      <c r="C1374" s="13">
        <v>52585</v>
      </c>
      <c r="D1374" s="13" t="s">
        <v>1002</v>
      </c>
      <c r="E1374" s="13" t="s">
        <v>672</v>
      </c>
      <c r="F1374" s="13" t="s">
        <v>673</v>
      </c>
      <c r="G1374" s="13" t="s">
        <v>1003</v>
      </c>
      <c r="K1374" t="s">
        <v>413</v>
      </c>
      <c r="L1374" s="81">
        <f>+Municipios!U271</f>
        <v>33.709540282551558</v>
      </c>
      <c r="M1374" s="13">
        <v>52585</v>
      </c>
      <c r="N1374" s="13" t="s">
        <v>1002</v>
      </c>
      <c r="O1374" s="13" t="s">
        <v>672</v>
      </c>
      <c r="P1374" s="13" t="s">
        <v>673</v>
      </c>
      <c r="Q1374" s="13" t="s">
        <v>1003</v>
      </c>
      <c r="T1374" t="s">
        <v>2804</v>
      </c>
      <c r="U1374" s="25">
        <f>+Municipios!P271</f>
        <v>59.496444035031743</v>
      </c>
      <c r="V1374" s="13">
        <v>52585</v>
      </c>
      <c r="W1374" s="13" t="s">
        <v>1002</v>
      </c>
      <c r="X1374" s="13" t="s">
        <v>672</v>
      </c>
      <c r="Y1374" s="13" t="s">
        <v>673</v>
      </c>
      <c r="Z1374" s="13" t="s">
        <v>1003</v>
      </c>
    </row>
    <row r="1375" spans="1:26">
      <c r="A1375" t="s">
        <v>412</v>
      </c>
      <c r="B1375" s="25">
        <f>+Municipios!P272</f>
        <v>54.908376842598145</v>
      </c>
      <c r="C1375" s="13">
        <v>76823</v>
      </c>
      <c r="D1375" s="13" t="s">
        <v>1004</v>
      </c>
      <c r="E1375" s="13" t="s">
        <v>454</v>
      </c>
      <c r="F1375" s="13" t="s">
        <v>455</v>
      </c>
      <c r="G1375" s="13" t="s">
        <v>1005</v>
      </c>
      <c r="K1375" t="s">
        <v>413</v>
      </c>
      <c r="L1375" s="81">
        <f>+Municipios!U272</f>
        <v>31.119868188279</v>
      </c>
      <c r="M1375" s="13">
        <v>76823</v>
      </c>
      <c r="N1375" s="13" t="s">
        <v>1004</v>
      </c>
      <c r="O1375" s="13" t="s">
        <v>454</v>
      </c>
      <c r="P1375" s="13" t="s">
        <v>455</v>
      </c>
      <c r="Q1375" s="13" t="s">
        <v>1005</v>
      </c>
      <c r="T1375" t="s">
        <v>2804</v>
      </c>
      <c r="U1375" s="25">
        <f>+Municipios!P272</f>
        <v>54.908376842598145</v>
      </c>
      <c r="V1375" s="13">
        <v>76823</v>
      </c>
      <c r="W1375" s="13" t="s">
        <v>1004</v>
      </c>
      <c r="X1375" s="13" t="s">
        <v>454</v>
      </c>
      <c r="Y1375" s="13" t="s">
        <v>455</v>
      </c>
      <c r="Z1375" s="13" t="s">
        <v>1005</v>
      </c>
    </row>
    <row r="1376" spans="1:26">
      <c r="A1376" t="s">
        <v>412</v>
      </c>
      <c r="B1376" s="25">
        <f>+Municipios!P273</f>
        <v>60.997579329104752</v>
      </c>
      <c r="C1376" s="13">
        <v>25491</v>
      </c>
      <c r="D1376" s="13" t="s">
        <v>1006</v>
      </c>
      <c r="E1376" s="13" t="s">
        <v>461</v>
      </c>
      <c r="F1376" s="13" t="s">
        <v>462</v>
      </c>
      <c r="G1376" s="13" t="s">
        <v>1007</v>
      </c>
      <c r="K1376" t="s">
        <v>413</v>
      </c>
      <c r="L1376" s="81">
        <f>+Municipios!U273</f>
        <v>33.531563578991289</v>
      </c>
      <c r="M1376" s="13">
        <v>25491</v>
      </c>
      <c r="N1376" s="13" t="s">
        <v>1006</v>
      </c>
      <c r="O1376" s="13" t="s">
        <v>461</v>
      </c>
      <c r="P1376" s="13" t="s">
        <v>462</v>
      </c>
      <c r="Q1376" s="13" t="s">
        <v>1007</v>
      </c>
      <c r="T1376" t="s">
        <v>2804</v>
      </c>
      <c r="U1376" s="25">
        <f>+Municipios!P273</f>
        <v>60.997579329104752</v>
      </c>
      <c r="V1376" s="13">
        <v>25491</v>
      </c>
      <c r="W1376" s="13" t="s">
        <v>1006</v>
      </c>
      <c r="X1376" s="13" t="s">
        <v>461</v>
      </c>
      <c r="Y1376" s="13" t="s">
        <v>462</v>
      </c>
      <c r="Z1376" s="13" t="s">
        <v>1007</v>
      </c>
    </row>
    <row r="1377" spans="1:26">
      <c r="A1377" t="s">
        <v>412</v>
      </c>
      <c r="B1377" s="25">
        <f>+Municipios!P274</f>
        <v>64.856080012345387</v>
      </c>
      <c r="C1377" s="13">
        <v>41298</v>
      </c>
      <c r="D1377" s="13" t="s">
        <v>1008</v>
      </c>
      <c r="E1377" s="13" t="s">
        <v>676</v>
      </c>
      <c r="F1377" s="13" t="s">
        <v>677</v>
      </c>
      <c r="G1377" s="13" t="s">
        <v>1009</v>
      </c>
      <c r="K1377" t="s">
        <v>413</v>
      </c>
      <c r="L1377" s="81">
        <f>+Municipios!U274</f>
        <v>36.875467155173673</v>
      </c>
      <c r="M1377" s="13">
        <v>41298</v>
      </c>
      <c r="N1377" s="13" t="s">
        <v>1008</v>
      </c>
      <c r="O1377" s="13" t="s">
        <v>676</v>
      </c>
      <c r="P1377" s="13" t="s">
        <v>677</v>
      </c>
      <c r="Q1377" s="13" t="s">
        <v>1009</v>
      </c>
      <c r="T1377" t="s">
        <v>2804</v>
      </c>
      <c r="U1377" s="25">
        <f>+Municipios!P274</f>
        <v>64.856080012345387</v>
      </c>
      <c r="V1377" s="13">
        <v>41298</v>
      </c>
      <c r="W1377" s="13" t="s">
        <v>1008</v>
      </c>
      <c r="X1377" s="13" t="s">
        <v>676</v>
      </c>
      <c r="Y1377" s="13" t="s">
        <v>677</v>
      </c>
      <c r="Z1377" s="13" t="s">
        <v>1009</v>
      </c>
    </row>
    <row r="1378" spans="1:26">
      <c r="A1378" t="s">
        <v>412</v>
      </c>
      <c r="B1378" s="25">
        <f>+Municipios!P275</f>
        <v>55.396825311661019</v>
      </c>
      <c r="C1378" s="13">
        <v>52685</v>
      </c>
      <c r="D1378" s="13" t="s">
        <v>1010</v>
      </c>
      <c r="E1378" s="13" t="s">
        <v>672</v>
      </c>
      <c r="F1378" s="13" t="s">
        <v>673</v>
      </c>
      <c r="G1378" s="13" t="s">
        <v>1011</v>
      </c>
      <c r="K1378" t="s">
        <v>413</v>
      </c>
      <c r="L1378" s="81">
        <f>+Municipios!U275</f>
        <v>31.382757468194097</v>
      </c>
      <c r="M1378" s="13">
        <v>52685</v>
      </c>
      <c r="N1378" s="13" t="s">
        <v>1010</v>
      </c>
      <c r="O1378" s="13" t="s">
        <v>672</v>
      </c>
      <c r="P1378" s="13" t="s">
        <v>673</v>
      </c>
      <c r="Q1378" s="13" t="s">
        <v>1011</v>
      </c>
      <c r="T1378" t="s">
        <v>2804</v>
      </c>
      <c r="U1378" s="25">
        <f>+Municipios!P275</f>
        <v>55.396825311661019</v>
      </c>
      <c r="V1378" s="13">
        <v>52685</v>
      </c>
      <c r="W1378" s="13" t="s">
        <v>1010</v>
      </c>
      <c r="X1378" s="13" t="s">
        <v>672</v>
      </c>
      <c r="Y1378" s="13" t="s">
        <v>673</v>
      </c>
      <c r="Z1378" s="13" t="s">
        <v>1011</v>
      </c>
    </row>
    <row r="1379" spans="1:26">
      <c r="A1379" t="s">
        <v>412</v>
      </c>
      <c r="B1379" s="25">
        <f>+Municipios!P276</f>
        <v>61.599541178413766</v>
      </c>
      <c r="C1379" s="13">
        <v>44279</v>
      </c>
      <c r="D1379" s="13" t="s">
        <v>1012</v>
      </c>
      <c r="E1379" s="13" t="s">
        <v>933</v>
      </c>
      <c r="F1379" s="13" t="s">
        <v>934</v>
      </c>
      <c r="G1379" s="13" t="s">
        <v>1013</v>
      </c>
      <c r="K1379" t="s">
        <v>413</v>
      </c>
      <c r="L1379" s="81">
        <f>+Municipios!U276</f>
        <v>34.985299601878658</v>
      </c>
      <c r="M1379" s="13">
        <v>44279</v>
      </c>
      <c r="N1379" s="13" t="s">
        <v>1012</v>
      </c>
      <c r="O1379" s="13" t="s">
        <v>933</v>
      </c>
      <c r="P1379" s="13" t="s">
        <v>934</v>
      </c>
      <c r="Q1379" s="13" t="s">
        <v>1013</v>
      </c>
      <c r="T1379" t="s">
        <v>2804</v>
      </c>
      <c r="U1379" s="25">
        <f>+Municipios!P276</f>
        <v>61.599541178413766</v>
      </c>
      <c r="V1379" s="13">
        <v>44279</v>
      </c>
      <c r="W1379" s="13" t="s">
        <v>1012</v>
      </c>
      <c r="X1379" s="13" t="s">
        <v>933</v>
      </c>
      <c r="Y1379" s="13" t="s">
        <v>934</v>
      </c>
      <c r="Z1379" s="13" t="s">
        <v>1013</v>
      </c>
    </row>
    <row r="1380" spans="1:26">
      <c r="A1380" t="s">
        <v>412</v>
      </c>
      <c r="B1380" s="25">
        <f>+Municipios!P277</f>
        <v>72.253077317992336</v>
      </c>
      <c r="C1380" s="13">
        <v>54172</v>
      </c>
      <c r="D1380" s="13" t="s">
        <v>1014</v>
      </c>
      <c r="E1380" s="13" t="s">
        <v>517</v>
      </c>
      <c r="F1380" s="13" t="s">
        <v>518</v>
      </c>
      <c r="G1380" s="13" t="s">
        <v>1015</v>
      </c>
      <c r="K1380" t="s">
        <v>413</v>
      </c>
      <c r="L1380" s="81">
        <f>+Municipios!U277</f>
        <v>41.312597337107576</v>
      </c>
      <c r="M1380" s="13">
        <v>54172</v>
      </c>
      <c r="N1380" s="13" t="s">
        <v>1014</v>
      </c>
      <c r="O1380" s="13" t="s">
        <v>517</v>
      </c>
      <c r="P1380" s="13" t="s">
        <v>518</v>
      </c>
      <c r="Q1380" s="13" t="s">
        <v>1015</v>
      </c>
      <c r="T1380" t="s">
        <v>2804</v>
      </c>
      <c r="U1380" s="25">
        <f>+Municipios!P277</f>
        <v>72.253077317992336</v>
      </c>
      <c r="V1380" s="13">
        <v>54172</v>
      </c>
      <c r="W1380" s="13" t="s">
        <v>1014</v>
      </c>
      <c r="X1380" s="13" t="s">
        <v>517</v>
      </c>
      <c r="Y1380" s="13" t="s">
        <v>518</v>
      </c>
      <c r="Z1380" s="13" t="s">
        <v>1015</v>
      </c>
    </row>
    <row r="1381" spans="1:26">
      <c r="A1381" t="s">
        <v>412</v>
      </c>
      <c r="B1381" s="25">
        <f>+Municipios!P278</f>
        <v>69.40745470355634</v>
      </c>
      <c r="C1381" s="13">
        <v>15104</v>
      </c>
      <c r="D1381" s="13" t="s">
        <v>1016</v>
      </c>
      <c r="E1381" s="13" t="s">
        <v>498</v>
      </c>
      <c r="F1381" s="13" t="s">
        <v>499</v>
      </c>
      <c r="G1381" s="13" t="s">
        <v>499</v>
      </c>
      <c r="K1381" t="s">
        <v>413</v>
      </c>
      <c r="L1381" s="81">
        <f>+Municipios!U278</f>
        <v>39.229645345824238</v>
      </c>
      <c r="M1381" s="13">
        <v>15104</v>
      </c>
      <c r="N1381" s="13" t="s">
        <v>1016</v>
      </c>
      <c r="O1381" s="13" t="s">
        <v>498</v>
      </c>
      <c r="P1381" s="13" t="s">
        <v>499</v>
      </c>
      <c r="Q1381" s="13" t="s">
        <v>499</v>
      </c>
      <c r="T1381" t="s">
        <v>2804</v>
      </c>
      <c r="U1381" s="25">
        <f>+Municipios!P278</f>
        <v>69.40745470355634</v>
      </c>
      <c r="V1381" s="13">
        <v>15104</v>
      </c>
      <c r="W1381" s="13" t="s">
        <v>1016</v>
      </c>
      <c r="X1381" s="13" t="s">
        <v>498</v>
      </c>
      <c r="Y1381" s="13" t="s">
        <v>499</v>
      </c>
      <c r="Z1381" s="13" t="s">
        <v>499</v>
      </c>
    </row>
    <row r="1382" spans="1:26">
      <c r="A1382" t="s">
        <v>412</v>
      </c>
      <c r="B1382" s="25">
        <f>+Municipios!P279</f>
        <v>74.20952685600173</v>
      </c>
      <c r="C1382" s="13">
        <v>15516</v>
      </c>
      <c r="D1382" s="13" t="s">
        <v>1017</v>
      </c>
      <c r="E1382" s="13" t="s">
        <v>498</v>
      </c>
      <c r="F1382" s="13" t="s">
        <v>499</v>
      </c>
      <c r="G1382" s="13" t="s">
        <v>1018</v>
      </c>
      <c r="K1382" t="s">
        <v>413</v>
      </c>
      <c r="L1382" s="81">
        <f>+Municipios!U279</f>
        <v>42.218031123281897</v>
      </c>
      <c r="M1382" s="13">
        <v>15516</v>
      </c>
      <c r="N1382" s="13" t="s">
        <v>1017</v>
      </c>
      <c r="O1382" s="13" t="s">
        <v>498</v>
      </c>
      <c r="P1382" s="13" t="s">
        <v>499</v>
      </c>
      <c r="Q1382" s="13" t="s">
        <v>1018</v>
      </c>
      <c r="T1382" t="s">
        <v>2804</v>
      </c>
      <c r="U1382" s="25">
        <f>+Municipios!P279</f>
        <v>74.20952685600173</v>
      </c>
      <c r="V1382" s="13">
        <v>15516</v>
      </c>
      <c r="W1382" s="13" t="s">
        <v>1017</v>
      </c>
      <c r="X1382" s="13" t="s">
        <v>498</v>
      </c>
      <c r="Y1382" s="13" t="s">
        <v>499</v>
      </c>
      <c r="Z1382" s="13" t="s">
        <v>1018</v>
      </c>
    </row>
    <row r="1383" spans="1:26">
      <c r="A1383" t="s">
        <v>412</v>
      </c>
      <c r="B1383" s="25">
        <f>+Municipios!P280</f>
        <v>65.557015572570521</v>
      </c>
      <c r="C1383" s="13">
        <v>68406</v>
      </c>
      <c r="D1383" s="13" t="s">
        <v>1019</v>
      </c>
      <c r="E1383" s="13" t="s">
        <v>431</v>
      </c>
      <c r="F1383" s="13" t="s">
        <v>432</v>
      </c>
      <c r="G1383" s="13" t="s">
        <v>1020</v>
      </c>
      <c r="K1383" t="s">
        <v>413</v>
      </c>
      <c r="L1383" s="81">
        <f>+Municipios!U280</f>
        <v>37.787286031731163</v>
      </c>
      <c r="M1383" s="13">
        <v>68406</v>
      </c>
      <c r="N1383" s="13" t="s">
        <v>1019</v>
      </c>
      <c r="O1383" s="13" t="s">
        <v>431</v>
      </c>
      <c r="P1383" s="13" t="s">
        <v>432</v>
      </c>
      <c r="Q1383" s="13" t="s">
        <v>1020</v>
      </c>
      <c r="T1383" t="s">
        <v>2804</v>
      </c>
      <c r="U1383" s="25">
        <f>+Municipios!P280</f>
        <v>65.557015572570521</v>
      </c>
      <c r="V1383" s="13">
        <v>68406</v>
      </c>
      <c r="W1383" s="13" t="s">
        <v>1019</v>
      </c>
      <c r="X1383" s="13" t="s">
        <v>431</v>
      </c>
      <c r="Y1383" s="13" t="s">
        <v>432</v>
      </c>
      <c r="Z1383" s="13" t="s">
        <v>1020</v>
      </c>
    </row>
    <row r="1384" spans="1:26">
      <c r="A1384" t="s">
        <v>412</v>
      </c>
      <c r="B1384" s="25">
        <f>+Municipios!P281</f>
        <v>49.383947965341633</v>
      </c>
      <c r="C1384" s="13">
        <v>70823</v>
      </c>
      <c r="D1384" s="13" t="s">
        <v>1021</v>
      </c>
      <c r="E1384" s="13" t="s">
        <v>494</v>
      </c>
      <c r="F1384" s="13" t="s">
        <v>495</v>
      </c>
      <c r="G1384" s="13" t="s">
        <v>1022</v>
      </c>
      <c r="K1384" t="s">
        <v>413</v>
      </c>
      <c r="L1384" s="81">
        <f>+Municipios!U281</f>
        <v>28.042577090774436</v>
      </c>
      <c r="M1384" s="13">
        <v>70823</v>
      </c>
      <c r="N1384" s="13" t="s">
        <v>1021</v>
      </c>
      <c r="O1384" s="13" t="s">
        <v>494</v>
      </c>
      <c r="P1384" s="13" t="s">
        <v>495</v>
      </c>
      <c r="Q1384" s="13" t="s">
        <v>1022</v>
      </c>
      <c r="T1384" t="s">
        <v>2804</v>
      </c>
      <c r="U1384" s="25">
        <f>+Municipios!P281</f>
        <v>49.383947965341633</v>
      </c>
      <c r="V1384" s="13">
        <v>70823</v>
      </c>
      <c r="W1384" s="13" t="s">
        <v>1021</v>
      </c>
      <c r="X1384" s="13" t="s">
        <v>494</v>
      </c>
      <c r="Y1384" s="13" t="s">
        <v>495</v>
      </c>
      <c r="Z1384" s="13" t="s">
        <v>1022</v>
      </c>
    </row>
    <row r="1385" spans="1:26">
      <c r="A1385" t="s">
        <v>412</v>
      </c>
      <c r="B1385" s="25">
        <f>+Municipios!P282</f>
        <v>53.629068177739889</v>
      </c>
      <c r="C1385" s="13">
        <v>41807</v>
      </c>
      <c r="D1385" s="13" t="s">
        <v>1023</v>
      </c>
      <c r="E1385" s="13" t="s">
        <v>676</v>
      </c>
      <c r="F1385" s="13" t="s">
        <v>677</v>
      </c>
      <c r="G1385" s="13" t="s">
        <v>1024</v>
      </c>
      <c r="K1385" t="s">
        <v>413</v>
      </c>
      <c r="L1385" s="81">
        <f>+Municipios!U282</f>
        <v>30.345037259457502</v>
      </c>
      <c r="M1385" s="13">
        <v>41807</v>
      </c>
      <c r="N1385" s="13" t="s">
        <v>1023</v>
      </c>
      <c r="O1385" s="13" t="s">
        <v>676</v>
      </c>
      <c r="P1385" s="13" t="s">
        <v>677</v>
      </c>
      <c r="Q1385" s="13" t="s">
        <v>1024</v>
      </c>
      <c r="T1385" t="s">
        <v>2804</v>
      </c>
      <c r="U1385" s="25">
        <f>+Municipios!P282</f>
        <v>53.629068177739889</v>
      </c>
      <c r="V1385" s="13">
        <v>41807</v>
      </c>
      <c r="W1385" s="13" t="s">
        <v>1023</v>
      </c>
      <c r="X1385" s="13" t="s">
        <v>676</v>
      </c>
      <c r="Y1385" s="13" t="s">
        <v>677</v>
      </c>
      <c r="Z1385" s="13" t="s">
        <v>1024</v>
      </c>
    </row>
    <row r="1386" spans="1:26">
      <c r="A1386" t="s">
        <v>412</v>
      </c>
      <c r="B1386" s="25">
        <f>+Municipios!P283</f>
        <v>60.93149997096824</v>
      </c>
      <c r="C1386" s="13">
        <v>15469</v>
      </c>
      <c r="D1386" s="13" t="s">
        <v>1025</v>
      </c>
      <c r="E1386" s="13" t="s">
        <v>498</v>
      </c>
      <c r="F1386" s="13" t="s">
        <v>499</v>
      </c>
      <c r="G1386" s="13" t="s">
        <v>1026</v>
      </c>
      <c r="K1386" t="s">
        <v>413</v>
      </c>
      <c r="L1386" s="81">
        <f>+Municipios!U283</f>
        <v>34.244053377035449</v>
      </c>
      <c r="M1386" s="13">
        <v>15469</v>
      </c>
      <c r="N1386" s="13" t="s">
        <v>1025</v>
      </c>
      <c r="O1386" s="13" t="s">
        <v>498</v>
      </c>
      <c r="P1386" s="13" t="s">
        <v>499</v>
      </c>
      <c r="Q1386" s="13" t="s">
        <v>1026</v>
      </c>
      <c r="T1386" t="s">
        <v>2804</v>
      </c>
      <c r="U1386" s="25">
        <f>+Municipios!P283</f>
        <v>60.93149997096824</v>
      </c>
      <c r="V1386" s="13">
        <v>15469</v>
      </c>
      <c r="W1386" s="13" t="s">
        <v>1025</v>
      </c>
      <c r="X1386" s="13" t="s">
        <v>498</v>
      </c>
      <c r="Y1386" s="13" t="s">
        <v>499</v>
      </c>
      <c r="Z1386" s="13" t="s">
        <v>1026</v>
      </c>
    </row>
    <row r="1387" spans="1:26">
      <c r="A1387" t="s">
        <v>412</v>
      </c>
      <c r="B1387" s="25">
        <f>+Municipios!P284</f>
        <v>46.521840748549621</v>
      </c>
      <c r="C1387" s="13">
        <v>52565</v>
      </c>
      <c r="D1387" s="13" t="s">
        <v>1027</v>
      </c>
      <c r="E1387" s="13" t="s">
        <v>672</v>
      </c>
      <c r="F1387" s="13" t="s">
        <v>673</v>
      </c>
      <c r="G1387" s="13" t="s">
        <v>1028</v>
      </c>
      <c r="K1387" t="s">
        <v>413</v>
      </c>
      <c r="L1387" s="81">
        <f>+Municipios!U284</f>
        <v>26.194095742467333</v>
      </c>
      <c r="M1387" s="13">
        <v>52565</v>
      </c>
      <c r="N1387" s="13" t="s">
        <v>1027</v>
      </c>
      <c r="O1387" s="13" t="s">
        <v>672</v>
      </c>
      <c r="P1387" s="13" t="s">
        <v>673</v>
      </c>
      <c r="Q1387" s="13" t="s">
        <v>1028</v>
      </c>
      <c r="T1387" t="s">
        <v>2804</v>
      </c>
      <c r="U1387" s="25">
        <f>+Municipios!P284</f>
        <v>46.521840748549621</v>
      </c>
      <c r="V1387" s="13">
        <v>52565</v>
      </c>
      <c r="W1387" s="13" t="s">
        <v>1027</v>
      </c>
      <c r="X1387" s="13" t="s">
        <v>672</v>
      </c>
      <c r="Y1387" s="13" t="s">
        <v>673</v>
      </c>
      <c r="Z1387" s="13" t="s">
        <v>1028</v>
      </c>
    </row>
    <row r="1388" spans="1:26">
      <c r="A1388" t="s">
        <v>412</v>
      </c>
      <c r="B1388" s="25">
        <f>+Municipios!P285</f>
        <v>64.687650997341279</v>
      </c>
      <c r="C1388" s="13">
        <v>15861</v>
      </c>
      <c r="D1388" s="13" t="s">
        <v>1029</v>
      </c>
      <c r="E1388" s="13" t="s">
        <v>498</v>
      </c>
      <c r="F1388" s="13" t="s">
        <v>499</v>
      </c>
      <c r="G1388" s="13" t="s">
        <v>1030</v>
      </c>
      <c r="K1388" t="s">
        <v>413</v>
      </c>
      <c r="L1388" s="81">
        <f>+Municipios!U285</f>
        <v>36.556082502207502</v>
      </c>
      <c r="M1388" s="13">
        <v>15861</v>
      </c>
      <c r="N1388" s="13" t="s">
        <v>1029</v>
      </c>
      <c r="O1388" s="13" t="s">
        <v>498</v>
      </c>
      <c r="P1388" s="13" t="s">
        <v>499</v>
      </c>
      <c r="Q1388" s="13" t="s">
        <v>1030</v>
      </c>
      <c r="T1388" t="s">
        <v>2804</v>
      </c>
      <c r="U1388" s="25">
        <f>+Municipios!P285</f>
        <v>64.687650997341279</v>
      </c>
      <c r="V1388" s="13">
        <v>15861</v>
      </c>
      <c r="W1388" s="13" t="s">
        <v>1029</v>
      </c>
      <c r="X1388" s="13" t="s">
        <v>498</v>
      </c>
      <c r="Y1388" s="13" t="s">
        <v>499</v>
      </c>
      <c r="Z1388" s="13" t="s">
        <v>1030</v>
      </c>
    </row>
    <row r="1389" spans="1:26">
      <c r="A1389" t="s">
        <v>412</v>
      </c>
      <c r="B1389" s="25">
        <f>+Municipios!P286</f>
        <v>55.008522917520395</v>
      </c>
      <c r="C1389" s="13">
        <v>52693</v>
      </c>
      <c r="D1389" s="13" t="s">
        <v>1031</v>
      </c>
      <c r="E1389" s="13" t="s">
        <v>672</v>
      </c>
      <c r="F1389" s="13" t="s">
        <v>673</v>
      </c>
      <c r="G1389" s="13" t="s">
        <v>1032</v>
      </c>
      <c r="K1389" t="s">
        <v>413</v>
      </c>
      <c r="L1389" s="81">
        <f>+Municipios!U286</f>
        <v>31.01833260511091</v>
      </c>
      <c r="M1389" s="13">
        <v>52693</v>
      </c>
      <c r="N1389" s="13" t="s">
        <v>1031</v>
      </c>
      <c r="O1389" s="13" t="s">
        <v>672</v>
      </c>
      <c r="P1389" s="13" t="s">
        <v>673</v>
      </c>
      <c r="Q1389" s="13" t="s">
        <v>1032</v>
      </c>
      <c r="T1389" t="s">
        <v>2804</v>
      </c>
      <c r="U1389" s="25">
        <f>+Municipios!P286</f>
        <v>55.008522917520395</v>
      </c>
      <c r="V1389" s="13">
        <v>52693</v>
      </c>
      <c r="W1389" s="13" t="s">
        <v>1031</v>
      </c>
      <c r="X1389" s="13" t="s">
        <v>672</v>
      </c>
      <c r="Y1389" s="13" t="s">
        <v>673</v>
      </c>
      <c r="Z1389" s="13" t="s">
        <v>1032</v>
      </c>
    </row>
    <row r="1390" spans="1:26">
      <c r="A1390" t="s">
        <v>412</v>
      </c>
      <c r="B1390" s="25">
        <f>+Municipios!P287</f>
        <v>46.841378531582677</v>
      </c>
      <c r="C1390" s="13">
        <v>15693</v>
      </c>
      <c r="D1390" s="13" t="s">
        <v>1033</v>
      </c>
      <c r="E1390" s="13" t="s">
        <v>498</v>
      </c>
      <c r="F1390" s="13" t="s">
        <v>499</v>
      </c>
      <c r="G1390" s="13" t="s">
        <v>1034</v>
      </c>
      <c r="K1390" t="s">
        <v>413</v>
      </c>
      <c r="L1390" s="81">
        <f>+Municipios!U287</f>
        <v>26.293689278278215</v>
      </c>
      <c r="M1390" s="13">
        <v>15693</v>
      </c>
      <c r="N1390" s="13" t="s">
        <v>1033</v>
      </c>
      <c r="O1390" s="13" t="s">
        <v>498</v>
      </c>
      <c r="P1390" s="13" t="s">
        <v>499</v>
      </c>
      <c r="Q1390" s="13" t="s">
        <v>1034</v>
      </c>
      <c r="T1390" t="s">
        <v>2804</v>
      </c>
      <c r="U1390" s="25">
        <f>+Municipios!P287</f>
        <v>46.841378531582677</v>
      </c>
      <c r="V1390" s="13">
        <v>15693</v>
      </c>
      <c r="W1390" s="13" t="s">
        <v>1033</v>
      </c>
      <c r="X1390" s="13" t="s">
        <v>498</v>
      </c>
      <c r="Y1390" s="13" t="s">
        <v>499</v>
      </c>
      <c r="Z1390" s="13" t="s">
        <v>1034</v>
      </c>
    </row>
    <row r="1391" spans="1:26">
      <c r="A1391" t="s">
        <v>412</v>
      </c>
      <c r="B1391" s="25">
        <f>+Municipios!P288</f>
        <v>57.768098412104656</v>
      </c>
      <c r="C1391" s="13">
        <v>5761</v>
      </c>
      <c r="D1391" s="13" t="s">
        <v>1035</v>
      </c>
      <c r="E1391" s="13" t="s">
        <v>435</v>
      </c>
      <c r="F1391" s="13" t="s">
        <v>436</v>
      </c>
      <c r="G1391" s="13" t="s">
        <v>1036</v>
      </c>
      <c r="K1391" t="s">
        <v>413</v>
      </c>
      <c r="L1391" s="81">
        <f>+Municipios!U288</f>
        <v>33.078763876581156</v>
      </c>
      <c r="M1391" s="13">
        <v>5761</v>
      </c>
      <c r="N1391" s="13" t="s">
        <v>1035</v>
      </c>
      <c r="O1391" s="13" t="s">
        <v>435</v>
      </c>
      <c r="P1391" s="13" t="s">
        <v>436</v>
      </c>
      <c r="Q1391" s="13" t="s">
        <v>1036</v>
      </c>
      <c r="T1391" t="s">
        <v>2804</v>
      </c>
      <c r="U1391" s="25">
        <f>+Municipios!P288</f>
        <v>57.768098412104656</v>
      </c>
      <c r="V1391" s="13">
        <v>5761</v>
      </c>
      <c r="W1391" s="13" t="s">
        <v>1035</v>
      </c>
      <c r="X1391" s="13" t="s">
        <v>435</v>
      </c>
      <c r="Y1391" s="13" t="s">
        <v>436</v>
      </c>
      <c r="Z1391" s="13" t="s">
        <v>1036</v>
      </c>
    </row>
    <row r="1392" spans="1:26">
      <c r="A1392" t="s">
        <v>412</v>
      </c>
      <c r="B1392" s="25">
        <f>+Municipios!P289</f>
        <v>51.838352444500124</v>
      </c>
      <c r="C1392" s="13">
        <v>52317</v>
      </c>
      <c r="D1392" s="13" t="s">
        <v>1037</v>
      </c>
      <c r="E1392" s="13" t="s">
        <v>672</v>
      </c>
      <c r="F1392" s="13" t="s">
        <v>673</v>
      </c>
      <c r="G1392" s="13" t="s">
        <v>1038</v>
      </c>
      <c r="K1392" t="s">
        <v>413</v>
      </c>
      <c r="L1392" s="81">
        <f>+Municipios!U289</f>
        <v>29.309201515783375</v>
      </c>
      <c r="M1392" s="13">
        <v>52317</v>
      </c>
      <c r="N1392" s="13" t="s">
        <v>1037</v>
      </c>
      <c r="O1392" s="13" t="s">
        <v>672</v>
      </c>
      <c r="P1392" s="13" t="s">
        <v>673</v>
      </c>
      <c r="Q1392" s="13" t="s">
        <v>1038</v>
      </c>
      <c r="T1392" t="s">
        <v>2804</v>
      </c>
      <c r="U1392" s="25">
        <f>+Municipios!P289</f>
        <v>51.838352444500124</v>
      </c>
      <c r="V1392" s="13">
        <v>52317</v>
      </c>
      <c r="W1392" s="13" t="s">
        <v>1037</v>
      </c>
      <c r="X1392" s="13" t="s">
        <v>672</v>
      </c>
      <c r="Y1392" s="13" t="s">
        <v>673</v>
      </c>
      <c r="Z1392" s="13" t="s">
        <v>1038</v>
      </c>
    </row>
    <row r="1393" spans="1:26">
      <c r="A1393" t="s">
        <v>412</v>
      </c>
      <c r="B1393" s="25">
        <f>+Municipios!P290</f>
        <v>56.629697509075754</v>
      </c>
      <c r="C1393" s="13">
        <v>52203</v>
      </c>
      <c r="D1393" s="13" t="s">
        <v>1039</v>
      </c>
      <c r="E1393" s="13" t="s">
        <v>672</v>
      </c>
      <c r="F1393" s="13" t="s">
        <v>673</v>
      </c>
      <c r="G1393" s="13" t="s">
        <v>1040</v>
      </c>
      <c r="K1393" t="s">
        <v>413</v>
      </c>
      <c r="L1393" s="81">
        <f>+Municipios!U290</f>
        <v>31.838355291732299</v>
      </c>
      <c r="M1393" s="13">
        <v>52203</v>
      </c>
      <c r="N1393" s="13" t="s">
        <v>1039</v>
      </c>
      <c r="O1393" s="13" t="s">
        <v>672</v>
      </c>
      <c r="P1393" s="13" t="s">
        <v>673</v>
      </c>
      <c r="Q1393" s="13" t="s">
        <v>1040</v>
      </c>
      <c r="T1393" t="s">
        <v>2804</v>
      </c>
      <c r="U1393" s="25">
        <f>+Municipios!P290</f>
        <v>56.629697509075754</v>
      </c>
      <c r="V1393" s="13">
        <v>52203</v>
      </c>
      <c r="W1393" s="13" t="s">
        <v>1039</v>
      </c>
      <c r="X1393" s="13" t="s">
        <v>672</v>
      </c>
      <c r="Y1393" s="13" t="s">
        <v>673</v>
      </c>
      <c r="Z1393" s="13" t="s">
        <v>1040</v>
      </c>
    </row>
    <row r="1394" spans="1:26">
      <c r="A1394" t="s">
        <v>412</v>
      </c>
      <c r="B1394" s="25">
        <f>+Municipios!P291</f>
        <v>57.313296898100646</v>
      </c>
      <c r="C1394" s="13">
        <v>13244</v>
      </c>
      <c r="D1394" s="13" t="s">
        <v>1041</v>
      </c>
      <c r="E1394" s="13" t="s">
        <v>480</v>
      </c>
      <c r="F1394" s="13" t="s">
        <v>481</v>
      </c>
      <c r="G1394" s="13" t="s">
        <v>1042</v>
      </c>
      <c r="K1394" t="s">
        <v>413</v>
      </c>
      <c r="L1394" s="81">
        <f>+Municipios!U291</f>
        <v>32.408467796594849</v>
      </c>
      <c r="M1394" s="13">
        <v>13244</v>
      </c>
      <c r="N1394" s="13" t="s">
        <v>1041</v>
      </c>
      <c r="O1394" s="13" t="s">
        <v>480</v>
      </c>
      <c r="P1394" s="13" t="s">
        <v>481</v>
      </c>
      <c r="Q1394" s="13" t="s">
        <v>1042</v>
      </c>
      <c r="T1394" t="s">
        <v>2804</v>
      </c>
      <c r="U1394" s="25">
        <f>+Municipios!P291</f>
        <v>57.313296898100646</v>
      </c>
      <c r="V1394" s="13">
        <v>13244</v>
      </c>
      <c r="W1394" s="13" t="s">
        <v>1041</v>
      </c>
      <c r="X1394" s="13" t="s">
        <v>480</v>
      </c>
      <c r="Y1394" s="13" t="s">
        <v>481</v>
      </c>
      <c r="Z1394" s="13" t="s">
        <v>1042</v>
      </c>
    </row>
    <row r="1395" spans="1:26">
      <c r="A1395" t="s">
        <v>412</v>
      </c>
      <c r="B1395" s="25">
        <f>+Municipios!P292</f>
        <v>66.5495056822013</v>
      </c>
      <c r="C1395" s="13">
        <v>25736</v>
      </c>
      <c r="D1395" s="13" t="s">
        <v>1043</v>
      </c>
      <c r="E1395" s="13" t="s">
        <v>461</v>
      </c>
      <c r="F1395" s="13" t="s">
        <v>462</v>
      </c>
      <c r="G1395" s="13" t="s">
        <v>1044</v>
      </c>
      <c r="K1395" t="s">
        <v>413</v>
      </c>
      <c r="L1395" s="81">
        <f>+Municipios!U292</f>
        <v>37.139182120931082</v>
      </c>
      <c r="M1395" s="13">
        <v>25736</v>
      </c>
      <c r="N1395" s="13" t="s">
        <v>1043</v>
      </c>
      <c r="O1395" s="13" t="s">
        <v>461</v>
      </c>
      <c r="P1395" s="13" t="s">
        <v>462</v>
      </c>
      <c r="Q1395" s="13" t="s">
        <v>1044</v>
      </c>
      <c r="T1395" t="s">
        <v>2804</v>
      </c>
      <c r="U1395" s="25">
        <f>+Municipios!P292</f>
        <v>66.5495056822013</v>
      </c>
      <c r="V1395" s="13">
        <v>25736</v>
      </c>
      <c r="W1395" s="13" t="s">
        <v>1043</v>
      </c>
      <c r="X1395" s="13" t="s">
        <v>461</v>
      </c>
      <c r="Y1395" s="13" t="s">
        <v>462</v>
      </c>
      <c r="Z1395" s="13" t="s">
        <v>1044</v>
      </c>
    </row>
    <row r="1396" spans="1:26">
      <c r="A1396" t="s">
        <v>412</v>
      </c>
      <c r="B1396" s="25">
        <f>+Municipios!P293</f>
        <v>51.998594387515794</v>
      </c>
      <c r="C1396" s="13">
        <v>15494</v>
      </c>
      <c r="D1396" s="13" t="s">
        <v>1045</v>
      </c>
      <c r="E1396" s="13" t="s">
        <v>498</v>
      </c>
      <c r="F1396" s="13" t="s">
        <v>499</v>
      </c>
      <c r="G1396" s="13" t="s">
        <v>1046</v>
      </c>
      <c r="K1396" t="s">
        <v>413</v>
      </c>
      <c r="L1396" s="81">
        <f>+Municipios!U293</f>
        <v>29.089344725170442</v>
      </c>
      <c r="M1396" s="13">
        <v>15494</v>
      </c>
      <c r="N1396" s="13" t="s">
        <v>1045</v>
      </c>
      <c r="O1396" s="13" t="s">
        <v>498</v>
      </c>
      <c r="P1396" s="13" t="s">
        <v>499</v>
      </c>
      <c r="Q1396" s="13" t="s">
        <v>1046</v>
      </c>
      <c r="T1396" t="s">
        <v>2804</v>
      </c>
      <c r="U1396" s="25">
        <f>+Municipios!P293</f>
        <v>51.998594387515794</v>
      </c>
      <c r="V1396" s="13">
        <v>15494</v>
      </c>
      <c r="W1396" s="13" t="s">
        <v>1045</v>
      </c>
      <c r="X1396" s="13" t="s">
        <v>498</v>
      </c>
      <c r="Y1396" s="13" t="s">
        <v>499</v>
      </c>
      <c r="Z1396" s="13" t="s">
        <v>1046</v>
      </c>
    </row>
    <row r="1397" spans="1:26">
      <c r="A1397" t="s">
        <v>412</v>
      </c>
      <c r="B1397" s="25">
        <f>+Municipios!P294</f>
        <v>60.136127238852332</v>
      </c>
      <c r="C1397" s="13">
        <v>76113</v>
      </c>
      <c r="D1397" s="13" t="s">
        <v>1047</v>
      </c>
      <c r="E1397" s="13" t="s">
        <v>454</v>
      </c>
      <c r="F1397" s="13" t="s">
        <v>455</v>
      </c>
      <c r="G1397" s="13" t="s">
        <v>1048</v>
      </c>
      <c r="K1397" t="s">
        <v>413</v>
      </c>
      <c r="L1397" s="81">
        <f>+Municipios!U294</f>
        <v>33.656420252722938</v>
      </c>
      <c r="M1397" s="13">
        <v>76113</v>
      </c>
      <c r="N1397" s="13" t="s">
        <v>1047</v>
      </c>
      <c r="O1397" s="13" t="s">
        <v>454</v>
      </c>
      <c r="P1397" s="13" t="s">
        <v>455</v>
      </c>
      <c r="Q1397" s="13" t="s">
        <v>1048</v>
      </c>
      <c r="T1397" t="s">
        <v>2804</v>
      </c>
      <c r="U1397" s="25">
        <f>+Municipios!P294</f>
        <v>60.136127238852332</v>
      </c>
      <c r="V1397" s="13">
        <v>76113</v>
      </c>
      <c r="W1397" s="13" t="s">
        <v>1047</v>
      </c>
      <c r="X1397" s="13" t="s">
        <v>454</v>
      </c>
      <c r="Y1397" s="13" t="s">
        <v>455</v>
      </c>
      <c r="Z1397" s="13" t="s">
        <v>1048</v>
      </c>
    </row>
    <row r="1398" spans="1:26">
      <c r="A1398" t="s">
        <v>412</v>
      </c>
      <c r="B1398" s="25">
        <f>+Municipios!P295</f>
        <v>52.850794366281718</v>
      </c>
      <c r="C1398" s="13">
        <v>19212</v>
      </c>
      <c r="D1398" s="13" t="s">
        <v>1049</v>
      </c>
      <c r="E1398" s="13" t="s">
        <v>557</v>
      </c>
      <c r="F1398" s="13" t="s">
        <v>558</v>
      </c>
      <c r="G1398" s="13" t="s">
        <v>1050</v>
      </c>
      <c r="K1398" t="s">
        <v>413</v>
      </c>
      <c r="L1398" s="81">
        <f>+Municipios!U295</f>
        <v>29.81621192497677</v>
      </c>
      <c r="M1398" s="13">
        <v>19212</v>
      </c>
      <c r="N1398" s="13" t="s">
        <v>1049</v>
      </c>
      <c r="O1398" s="13" t="s">
        <v>557</v>
      </c>
      <c r="P1398" s="13" t="s">
        <v>558</v>
      </c>
      <c r="Q1398" s="13" t="s">
        <v>1050</v>
      </c>
      <c r="T1398" t="s">
        <v>2804</v>
      </c>
      <c r="U1398" s="25">
        <f>+Municipios!P295</f>
        <v>52.850794366281718</v>
      </c>
      <c r="V1398" s="13">
        <v>19212</v>
      </c>
      <c r="W1398" s="13" t="s">
        <v>1049</v>
      </c>
      <c r="X1398" s="13" t="s">
        <v>557</v>
      </c>
      <c r="Y1398" s="13" t="s">
        <v>558</v>
      </c>
      <c r="Z1398" s="13" t="s">
        <v>1050</v>
      </c>
    </row>
    <row r="1399" spans="1:26">
      <c r="A1399" t="s">
        <v>412</v>
      </c>
      <c r="B1399" s="25">
        <f>+Municipios!P296</f>
        <v>53.253330834564665</v>
      </c>
      <c r="C1399" s="13">
        <v>25053</v>
      </c>
      <c r="D1399" s="13" t="s">
        <v>1051</v>
      </c>
      <c r="E1399" s="13" t="s">
        <v>461</v>
      </c>
      <c r="F1399" s="13" t="s">
        <v>462</v>
      </c>
      <c r="G1399" s="13" t="s">
        <v>1052</v>
      </c>
      <c r="K1399" t="s">
        <v>413</v>
      </c>
      <c r="L1399" s="81">
        <f>+Municipios!U296</f>
        <v>29.456117118244411</v>
      </c>
      <c r="M1399" s="13">
        <v>25053</v>
      </c>
      <c r="N1399" s="13" t="s">
        <v>1051</v>
      </c>
      <c r="O1399" s="13" t="s">
        <v>461</v>
      </c>
      <c r="P1399" s="13" t="s">
        <v>462</v>
      </c>
      <c r="Q1399" s="13" t="s">
        <v>1052</v>
      </c>
      <c r="T1399" t="s">
        <v>2804</v>
      </c>
      <c r="U1399" s="25">
        <f>+Municipios!P296</f>
        <v>53.253330834564665</v>
      </c>
      <c r="V1399" s="13">
        <v>25053</v>
      </c>
      <c r="W1399" s="13" t="s">
        <v>1051</v>
      </c>
      <c r="X1399" s="13" t="s">
        <v>461</v>
      </c>
      <c r="Y1399" s="13" t="s">
        <v>462</v>
      </c>
      <c r="Z1399" s="13" t="s">
        <v>1052</v>
      </c>
    </row>
    <row r="1400" spans="1:26">
      <c r="A1400" t="s">
        <v>412</v>
      </c>
      <c r="B1400" s="25">
        <f>+Municipios!P297</f>
        <v>60.162299606457424</v>
      </c>
      <c r="C1400" s="13">
        <v>76736</v>
      </c>
      <c r="D1400" s="13" t="s">
        <v>1053</v>
      </c>
      <c r="E1400" s="13" t="s">
        <v>454</v>
      </c>
      <c r="F1400" s="13" t="s">
        <v>455</v>
      </c>
      <c r="G1400" s="13" t="s">
        <v>1054</v>
      </c>
      <c r="K1400" t="s">
        <v>413</v>
      </c>
      <c r="L1400" s="81">
        <f>+Municipios!U297</f>
        <v>33.782825890101783</v>
      </c>
      <c r="M1400" s="13">
        <v>76736</v>
      </c>
      <c r="N1400" s="13" t="s">
        <v>1053</v>
      </c>
      <c r="O1400" s="13" t="s">
        <v>454</v>
      </c>
      <c r="P1400" s="13" t="s">
        <v>455</v>
      </c>
      <c r="Q1400" s="13" t="s">
        <v>1054</v>
      </c>
      <c r="T1400" t="s">
        <v>2804</v>
      </c>
      <c r="U1400" s="25">
        <f>+Municipios!P297</f>
        <v>60.162299606457424</v>
      </c>
      <c r="V1400" s="13">
        <v>76736</v>
      </c>
      <c r="W1400" s="13" t="s">
        <v>1053</v>
      </c>
      <c r="X1400" s="13" t="s">
        <v>454</v>
      </c>
      <c r="Y1400" s="13" t="s">
        <v>455</v>
      </c>
      <c r="Z1400" s="13" t="s">
        <v>1054</v>
      </c>
    </row>
    <row r="1401" spans="1:26">
      <c r="A1401" t="s">
        <v>412</v>
      </c>
      <c r="B1401" s="25">
        <f>+Municipios!P298</f>
        <v>63.487076015535102</v>
      </c>
      <c r="C1401" s="13">
        <v>68549</v>
      </c>
      <c r="D1401" s="13" t="s">
        <v>1055</v>
      </c>
      <c r="E1401" s="13" t="s">
        <v>431</v>
      </c>
      <c r="F1401" s="13" t="s">
        <v>432</v>
      </c>
      <c r="G1401" s="13" t="s">
        <v>1056</v>
      </c>
      <c r="K1401" t="s">
        <v>413</v>
      </c>
      <c r="L1401" s="81">
        <f>+Municipios!U298</f>
        <v>36.317143785134235</v>
      </c>
      <c r="M1401" s="13">
        <v>68549</v>
      </c>
      <c r="N1401" s="13" t="s">
        <v>1055</v>
      </c>
      <c r="O1401" s="13" t="s">
        <v>431</v>
      </c>
      <c r="P1401" s="13" t="s">
        <v>432</v>
      </c>
      <c r="Q1401" s="13" t="s">
        <v>1056</v>
      </c>
      <c r="T1401" t="s">
        <v>2804</v>
      </c>
      <c r="U1401" s="25">
        <f>+Municipios!P298</f>
        <v>63.487076015535102</v>
      </c>
      <c r="V1401" s="13">
        <v>68549</v>
      </c>
      <c r="W1401" s="13" t="s">
        <v>1055</v>
      </c>
      <c r="X1401" s="13" t="s">
        <v>431</v>
      </c>
      <c r="Y1401" s="13" t="s">
        <v>432</v>
      </c>
      <c r="Z1401" s="13" t="s">
        <v>1056</v>
      </c>
    </row>
    <row r="1402" spans="1:26">
      <c r="A1402" t="s">
        <v>412</v>
      </c>
      <c r="B1402" s="25">
        <f>+Municipios!P299</f>
        <v>56.041847770287319</v>
      </c>
      <c r="C1402" s="13">
        <v>52694</v>
      </c>
      <c r="D1402" s="13" t="s">
        <v>1057</v>
      </c>
      <c r="E1402" s="13" t="s">
        <v>672</v>
      </c>
      <c r="F1402" s="13" t="s">
        <v>673</v>
      </c>
      <c r="G1402" s="13" t="s">
        <v>1058</v>
      </c>
      <c r="K1402" t="s">
        <v>413</v>
      </c>
      <c r="L1402" s="81">
        <f>+Municipios!U299</f>
        <v>31.393342729461303</v>
      </c>
      <c r="M1402" s="13">
        <v>52694</v>
      </c>
      <c r="N1402" s="13" t="s">
        <v>1057</v>
      </c>
      <c r="O1402" s="13" t="s">
        <v>672</v>
      </c>
      <c r="P1402" s="13" t="s">
        <v>673</v>
      </c>
      <c r="Q1402" s="13" t="s">
        <v>1058</v>
      </c>
      <c r="T1402" t="s">
        <v>2804</v>
      </c>
      <c r="U1402" s="25">
        <f>+Municipios!P299</f>
        <v>56.041847770287319</v>
      </c>
      <c r="V1402" s="13">
        <v>52694</v>
      </c>
      <c r="W1402" s="13" t="s">
        <v>1057</v>
      </c>
      <c r="X1402" s="13" t="s">
        <v>672</v>
      </c>
      <c r="Y1402" s="13" t="s">
        <v>673</v>
      </c>
      <c r="Z1402" s="13" t="s">
        <v>1058</v>
      </c>
    </row>
    <row r="1403" spans="1:26">
      <c r="A1403" t="s">
        <v>412</v>
      </c>
      <c r="B1403" s="25">
        <f>+Municipios!P300</f>
        <v>64.916842378525814</v>
      </c>
      <c r="C1403" s="13">
        <v>41615</v>
      </c>
      <c r="D1403" s="13" t="s">
        <v>1059</v>
      </c>
      <c r="E1403" s="13" t="s">
        <v>676</v>
      </c>
      <c r="F1403" s="13" t="s">
        <v>677</v>
      </c>
      <c r="G1403" s="13" t="s">
        <v>1060</v>
      </c>
      <c r="K1403" t="s">
        <v>413</v>
      </c>
      <c r="L1403" s="81">
        <f>+Municipios!U300</f>
        <v>36.85656570780408</v>
      </c>
      <c r="M1403" s="13">
        <v>41615</v>
      </c>
      <c r="N1403" s="13" t="s">
        <v>1059</v>
      </c>
      <c r="O1403" s="13" t="s">
        <v>676</v>
      </c>
      <c r="P1403" s="13" t="s">
        <v>677</v>
      </c>
      <c r="Q1403" s="13" t="s">
        <v>1060</v>
      </c>
      <c r="T1403" t="s">
        <v>2804</v>
      </c>
      <c r="U1403" s="25">
        <f>+Municipios!P300</f>
        <v>64.916842378525814</v>
      </c>
      <c r="V1403" s="13">
        <v>41615</v>
      </c>
      <c r="W1403" s="13" t="s">
        <v>1059</v>
      </c>
      <c r="X1403" s="13" t="s">
        <v>676</v>
      </c>
      <c r="Y1403" s="13" t="s">
        <v>677</v>
      </c>
      <c r="Z1403" s="13" t="s">
        <v>1060</v>
      </c>
    </row>
    <row r="1404" spans="1:26">
      <c r="A1404" t="s">
        <v>412</v>
      </c>
      <c r="B1404" s="25">
        <f>+Municipios!P301</f>
        <v>56.034857752724264</v>
      </c>
      <c r="C1404" s="13">
        <v>66045</v>
      </c>
      <c r="D1404" s="13" t="s">
        <v>1061</v>
      </c>
      <c r="E1404" s="13" t="s">
        <v>467</v>
      </c>
      <c r="F1404" s="13" t="s">
        <v>468</v>
      </c>
      <c r="G1404" s="13" t="s">
        <v>1062</v>
      </c>
      <c r="K1404" t="s">
        <v>413</v>
      </c>
      <c r="L1404" s="81">
        <f>+Municipios!U301</f>
        <v>31.37120777067112</v>
      </c>
      <c r="M1404" s="13">
        <v>66045</v>
      </c>
      <c r="N1404" s="13" t="s">
        <v>1061</v>
      </c>
      <c r="O1404" s="13" t="s">
        <v>467</v>
      </c>
      <c r="P1404" s="13" t="s">
        <v>468</v>
      </c>
      <c r="Q1404" s="13" t="s">
        <v>1062</v>
      </c>
      <c r="T1404" t="s">
        <v>2804</v>
      </c>
      <c r="U1404" s="25">
        <f>+Municipios!P301</f>
        <v>56.034857752724264</v>
      </c>
      <c r="V1404" s="13">
        <v>66045</v>
      </c>
      <c r="W1404" s="13" t="s">
        <v>1061</v>
      </c>
      <c r="X1404" s="13" t="s">
        <v>467</v>
      </c>
      <c r="Y1404" s="13" t="s">
        <v>468</v>
      </c>
      <c r="Z1404" s="13" t="s">
        <v>1062</v>
      </c>
    </row>
    <row r="1405" spans="1:26">
      <c r="A1405" t="s">
        <v>412</v>
      </c>
      <c r="B1405" s="25">
        <f>+Municipios!P302</f>
        <v>47.123667645642705</v>
      </c>
      <c r="C1405" s="13">
        <v>63111</v>
      </c>
      <c r="D1405" s="13" t="s">
        <v>1063</v>
      </c>
      <c r="E1405" s="13" t="s">
        <v>473</v>
      </c>
      <c r="F1405" s="13" t="s">
        <v>474</v>
      </c>
      <c r="G1405" s="13" t="s">
        <v>1064</v>
      </c>
      <c r="K1405" t="s">
        <v>413</v>
      </c>
      <c r="L1405" s="81">
        <f>+Municipios!U302</f>
        <v>26.388771960061888</v>
      </c>
      <c r="M1405" s="13">
        <v>63111</v>
      </c>
      <c r="N1405" s="13" t="s">
        <v>1063</v>
      </c>
      <c r="O1405" s="13" t="s">
        <v>473</v>
      </c>
      <c r="P1405" s="13" t="s">
        <v>474</v>
      </c>
      <c r="Q1405" s="13" t="s">
        <v>1064</v>
      </c>
      <c r="T1405" t="s">
        <v>2804</v>
      </c>
      <c r="U1405" s="25">
        <f>+Municipios!P302</f>
        <v>47.123667645642705</v>
      </c>
      <c r="V1405" s="13">
        <v>63111</v>
      </c>
      <c r="W1405" s="13" t="s">
        <v>1063</v>
      </c>
      <c r="X1405" s="13" t="s">
        <v>473</v>
      </c>
      <c r="Y1405" s="13" t="s">
        <v>474</v>
      </c>
      <c r="Z1405" s="13" t="s">
        <v>1064</v>
      </c>
    </row>
    <row r="1406" spans="1:26">
      <c r="A1406" t="s">
        <v>412</v>
      </c>
      <c r="B1406" s="25">
        <f>+Municipios!P303</f>
        <v>66.674725424862046</v>
      </c>
      <c r="C1406" s="13">
        <v>15476</v>
      </c>
      <c r="D1406" s="13" t="s">
        <v>1065</v>
      </c>
      <c r="E1406" s="13" t="s">
        <v>498</v>
      </c>
      <c r="F1406" s="13" t="s">
        <v>499</v>
      </c>
      <c r="G1406" s="13" t="s">
        <v>1066</v>
      </c>
      <c r="K1406" t="s">
        <v>413</v>
      </c>
      <c r="L1406" s="81">
        <f>+Municipios!U303</f>
        <v>36.750001461822116</v>
      </c>
      <c r="M1406" s="13">
        <v>15476</v>
      </c>
      <c r="N1406" s="13" t="s">
        <v>1065</v>
      </c>
      <c r="O1406" s="13" t="s">
        <v>498</v>
      </c>
      <c r="P1406" s="13" t="s">
        <v>499</v>
      </c>
      <c r="Q1406" s="13" t="s">
        <v>1066</v>
      </c>
      <c r="T1406" t="s">
        <v>2804</v>
      </c>
      <c r="U1406" s="25">
        <f>+Municipios!P303</f>
        <v>66.674725424862046</v>
      </c>
      <c r="V1406" s="13">
        <v>15476</v>
      </c>
      <c r="W1406" s="13" t="s">
        <v>1065</v>
      </c>
      <c r="X1406" s="13" t="s">
        <v>498</v>
      </c>
      <c r="Y1406" s="13" t="s">
        <v>499</v>
      </c>
      <c r="Z1406" s="13" t="s">
        <v>1066</v>
      </c>
    </row>
    <row r="1407" spans="1:26">
      <c r="A1407" t="s">
        <v>412</v>
      </c>
      <c r="B1407" s="25">
        <f>+Municipios!P304</f>
        <v>61.667195857435402</v>
      </c>
      <c r="C1407" s="13">
        <v>17665</v>
      </c>
      <c r="D1407" s="204" t="s">
        <v>1067</v>
      </c>
      <c r="E1407" s="13" t="s">
        <v>506</v>
      </c>
      <c r="F1407" s="13" t="s">
        <v>507</v>
      </c>
      <c r="G1407" s="13" t="s">
        <v>1068</v>
      </c>
      <c r="K1407" t="s">
        <v>413</v>
      </c>
      <c r="L1407" s="81">
        <f>+Municipios!U304</f>
        <v>34.55772568574821</v>
      </c>
      <c r="M1407" s="13">
        <v>17665</v>
      </c>
      <c r="N1407" s="204" t="s">
        <v>1067</v>
      </c>
      <c r="O1407" s="13" t="s">
        <v>506</v>
      </c>
      <c r="P1407" s="13" t="s">
        <v>507</v>
      </c>
      <c r="Q1407" s="13" t="s">
        <v>1068</v>
      </c>
      <c r="T1407" t="s">
        <v>2804</v>
      </c>
      <c r="U1407" s="25">
        <f>+Municipios!P304</f>
        <v>61.667195857435402</v>
      </c>
      <c r="V1407" s="13">
        <v>17665</v>
      </c>
      <c r="W1407" s="204" t="s">
        <v>1067</v>
      </c>
      <c r="X1407" s="13" t="s">
        <v>506</v>
      </c>
      <c r="Y1407" s="13" t="s">
        <v>507</v>
      </c>
      <c r="Z1407" s="13" t="s">
        <v>1068</v>
      </c>
    </row>
    <row r="1408" spans="1:26">
      <c r="A1408" t="s">
        <v>412</v>
      </c>
      <c r="B1408" s="25">
        <f>+Municipios!P305</f>
        <v>42.376993908508112</v>
      </c>
      <c r="C1408" s="13">
        <v>70742</v>
      </c>
      <c r="D1408" s="13" t="s">
        <v>1069</v>
      </c>
      <c r="E1408" s="13" t="s">
        <v>494</v>
      </c>
      <c r="F1408" s="13" t="s">
        <v>495</v>
      </c>
      <c r="G1408" s="13" t="s">
        <v>1070</v>
      </c>
      <c r="K1408" t="s">
        <v>413</v>
      </c>
      <c r="L1408" s="81">
        <f>+Municipios!U305</f>
        <v>23.737141272963775</v>
      </c>
      <c r="M1408" s="13">
        <v>70742</v>
      </c>
      <c r="N1408" s="13" t="s">
        <v>1069</v>
      </c>
      <c r="O1408" s="13" t="s">
        <v>494</v>
      </c>
      <c r="P1408" s="13" t="s">
        <v>495</v>
      </c>
      <c r="Q1408" s="13" t="s">
        <v>1070</v>
      </c>
      <c r="T1408" t="s">
        <v>2804</v>
      </c>
      <c r="U1408" s="25">
        <f>+Municipios!P305</f>
        <v>42.376993908508112</v>
      </c>
      <c r="V1408" s="13">
        <v>70742</v>
      </c>
      <c r="W1408" s="13" t="s">
        <v>1069</v>
      </c>
      <c r="X1408" s="13" t="s">
        <v>494</v>
      </c>
      <c r="Y1408" s="13" t="s">
        <v>495</v>
      </c>
      <c r="Z1408" s="13" t="s">
        <v>1070</v>
      </c>
    </row>
    <row r="1409" spans="1:26">
      <c r="A1409" t="s">
        <v>412</v>
      </c>
      <c r="B1409" s="25">
        <f>+Municipios!P306</f>
        <v>50.101228139669516</v>
      </c>
      <c r="C1409" s="13">
        <v>52036</v>
      </c>
      <c r="D1409" s="13" t="s">
        <v>1071</v>
      </c>
      <c r="E1409" s="13" t="s">
        <v>672</v>
      </c>
      <c r="F1409" s="13" t="s">
        <v>673</v>
      </c>
      <c r="G1409" s="13" t="s">
        <v>1072</v>
      </c>
      <c r="K1409" t="s">
        <v>413</v>
      </c>
      <c r="L1409" s="81">
        <f>+Municipios!U306</f>
        <v>27.997630752349448</v>
      </c>
      <c r="M1409" s="13">
        <v>52036</v>
      </c>
      <c r="N1409" s="13" t="s">
        <v>1071</v>
      </c>
      <c r="O1409" s="13" t="s">
        <v>672</v>
      </c>
      <c r="P1409" s="13" t="s">
        <v>673</v>
      </c>
      <c r="Q1409" s="13" t="s">
        <v>1072</v>
      </c>
      <c r="T1409" t="s">
        <v>2804</v>
      </c>
      <c r="U1409" s="25">
        <f>+Municipios!P306</f>
        <v>50.101228139669516</v>
      </c>
      <c r="V1409" s="13">
        <v>52036</v>
      </c>
      <c r="W1409" s="13" t="s">
        <v>1071</v>
      </c>
      <c r="X1409" s="13" t="s">
        <v>672</v>
      </c>
      <c r="Y1409" s="13" t="s">
        <v>673</v>
      </c>
      <c r="Z1409" s="13" t="s">
        <v>1072</v>
      </c>
    </row>
    <row r="1410" spans="1:26">
      <c r="A1410" t="s">
        <v>412</v>
      </c>
      <c r="B1410" s="25">
        <f>+Municipios!P307</f>
        <v>44.305702788409477</v>
      </c>
      <c r="C1410" s="13">
        <v>8606</v>
      </c>
      <c r="D1410" s="13" t="s">
        <v>1073</v>
      </c>
      <c r="E1410" s="13" t="s">
        <v>442</v>
      </c>
      <c r="F1410" s="13" t="s">
        <v>443</v>
      </c>
      <c r="G1410" s="13" t="s">
        <v>1074</v>
      </c>
      <c r="K1410" t="s">
        <v>413</v>
      </c>
      <c r="L1410" s="81">
        <f>+Municipios!U307</f>
        <v>24.950027136337383</v>
      </c>
      <c r="M1410" s="13">
        <v>8606</v>
      </c>
      <c r="N1410" s="13" t="s">
        <v>1073</v>
      </c>
      <c r="O1410" s="13" t="s">
        <v>442</v>
      </c>
      <c r="P1410" s="13" t="s">
        <v>443</v>
      </c>
      <c r="Q1410" s="13" t="s">
        <v>1074</v>
      </c>
      <c r="T1410" t="s">
        <v>2804</v>
      </c>
      <c r="U1410" s="25">
        <f>+Municipios!P307</f>
        <v>44.305702788409477</v>
      </c>
      <c r="V1410" s="13">
        <v>8606</v>
      </c>
      <c r="W1410" s="13" t="s">
        <v>1073</v>
      </c>
      <c r="X1410" s="13" t="s">
        <v>442</v>
      </c>
      <c r="Y1410" s="13" t="s">
        <v>443</v>
      </c>
      <c r="Z1410" s="13" t="s">
        <v>1074</v>
      </c>
    </row>
    <row r="1411" spans="1:26">
      <c r="A1411" t="s">
        <v>412</v>
      </c>
      <c r="B1411" s="25">
        <f>+Municipios!P308</f>
        <v>57.638187071858773</v>
      </c>
      <c r="C1411" s="13">
        <v>5209</v>
      </c>
      <c r="D1411" s="13" t="s">
        <v>1075</v>
      </c>
      <c r="E1411" s="13" t="s">
        <v>435</v>
      </c>
      <c r="F1411" s="13" t="s">
        <v>436</v>
      </c>
      <c r="G1411" s="13" t="s">
        <v>1076</v>
      </c>
      <c r="K1411" t="s">
        <v>413</v>
      </c>
      <c r="L1411" s="81">
        <f>+Municipios!U308</f>
        <v>32.578116215204737</v>
      </c>
      <c r="M1411" s="13">
        <v>5209</v>
      </c>
      <c r="N1411" s="13" t="s">
        <v>1075</v>
      </c>
      <c r="O1411" s="13" t="s">
        <v>435</v>
      </c>
      <c r="P1411" s="13" t="s">
        <v>436</v>
      </c>
      <c r="Q1411" s="13" t="s">
        <v>1076</v>
      </c>
      <c r="T1411" t="s">
        <v>2804</v>
      </c>
      <c r="U1411" s="25">
        <f>+Municipios!P308</f>
        <v>57.638187071858773</v>
      </c>
      <c r="V1411" s="13">
        <v>5209</v>
      </c>
      <c r="W1411" s="13" t="s">
        <v>1075</v>
      </c>
      <c r="X1411" s="13" t="s">
        <v>435</v>
      </c>
      <c r="Y1411" s="13" t="s">
        <v>436</v>
      </c>
      <c r="Z1411" s="13" t="s">
        <v>1076</v>
      </c>
    </row>
    <row r="1412" spans="1:26">
      <c r="A1412" t="s">
        <v>412</v>
      </c>
      <c r="B1412" s="25">
        <f>+Municipios!P309</f>
        <v>63.151591949544532</v>
      </c>
      <c r="C1412" s="13">
        <v>25328</v>
      </c>
      <c r="D1412" s="13" t="s">
        <v>1077</v>
      </c>
      <c r="E1412" s="13" t="s">
        <v>461</v>
      </c>
      <c r="F1412" s="13" t="s">
        <v>462</v>
      </c>
      <c r="G1412" s="13" t="s">
        <v>1078</v>
      </c>
      <c r="K1412" t="s">
        <v>413</v>
      </c>
      <c r="L1412" s="81">
        <f>+Municipios!U309</f>
        <v>35.166335991527767</v>
      </c>
      <c r="M1412" s="13">
        <v>25328</v>
      </c>
      <c r="N1412" s="13" t="s">
        <v>1077</v>
      </c>
      <c r="O1412" s="13" t="s">
        <v>461</v>
      </c>
      <c r="P1412" s="13" t="s">
        <v>462</v>
      </c>
      <c r="Q1412" s="13" t="s">
        <v>1078</v>
      </c>
      <c r="T1412" t="s">
        <v>2804</v>
      </c>
      <c r="U1412" s="25">
        <f>+Municipios!P309</f>
        <v>63.151591949544532</v>
      </c>
      <c r="V1412" s="13">
        <v>25328</v>
      </c>
      <c r="W1412" s="13" t="s">
        <v>1077</v>
      </c>
      <c r="X1412" s="13" t="s">
        <v>461</v>
      </c>
      <c r="Y1412" s="13" t="s">
        <v>462</v>
      </c>
      <c r="Z1412" s="13" t="s">
        <v>1078</v>
      </c>
    </row>
    <row r="1413" spans="1:26">
      <c r="A1413" t="s">
        <v>412</v>
      </c>
      <c r="B1413" s="25">
        <f>+Municipios!P310</f>
        <v>55.744455203079966</v>
      </c>
      <c r="C1413" s="13">
        <v>66383</v>
      </c>
      <c r="D1413" s="13" t="s">
        <v>1079</v>
      </c>
      <c r="E1413" s="13" t="s">
        <v>467</v>
      </c>
      <c r="F1413" s="13" t="s">
        <v>468</v>
      </c>
      <c r="G1413" s="13" t="s">
        <v>1080</v>
      </c>
      <c r="K1413" t="s">
        <v>413</v>
      </c>
      <c r="L1413" s="81">
        <f>+Municipios!U310</f>
        <v>31.073512652143748</v>
      </c>
      <c r="M1413" s="13">
        <v>66383</v>
      </c>
      <c r="N1413" s="13" t="s">
        <v>1079</v>
      </c>
      <c r="O1413" s="13" t="s">
        <v>467</v>
      </c>
      <c r="P1413" s="13" t="s">
        <v>468</v>
      </c>
      <c r="Q1413" s="13" t="s">
        <v>1080</v>
      </c>
      <c r="T1413" t="s">
        <v>2804</v>
      </c>
      <c r="U1413" s="25">
        <f>+Municipios!P310</f>
        <v>55.744455203079966</v>
      </c>
      <c r="V1413" s="13">
        <v>66383</v>
      </c>
      <c r="W1413" s="13" t="s">
        <v>1079</v>
      </c>
      <c r="X1413" s="13" t="s">
        <v>467</v>
      </c>
      <c r="Y1413" s="13" t="s">
        <v>468</v>
      </c>
      <c r="Z1413" s="13" t="s">
        <v>1080</v>
      </c>
    </row>
    <row r="1414" spans="1:26">
      <c r="A1414" t="s">
        <v>412</v>
      </c>
      <c r="B1414" s="25">
        <f>+Municipios!P311</f>
        <v>62.08431023361031</v>
      </c>
      <c r="C1414" s="13">
        <v>15820</v>
      </c>
      <c r="D1414" s="13" t="s">
        <v>1081</v>
      </c>
      <c r="E1414" s="13" t="s">
        <v>498</v>
      </c>
      <c r="F1414" s="13" t="s">
        <v>499</v>
      </c>
      <c r="G1414" s="13" t="s">
        <v>1082</v>
      </c>
      <c r="K1414" t="s">
        <v>413</v>
      </c>
      <c r="L1414" s="81">
        <f>+Municipios!U311</f>
        <v>34.467372217385112</v>
      </c>
      <c r="M1414" s="13">
        <v>15820</v>
      </c>
      <c r="N1414" s="13" t="s">
        <v>1081</v>
      </c>
      <c r="O1414" s="13" t="s">
        <v>498</v>
      </c>
      <c r="P1414" s="13" t="s">
        <v>499</v>
      </c>
      <c r="Q1414" s="13" t="s">
        <v>1082</v>
      </c>
      <c r="T1414" t="s">
        <v>2804</v>
      </c>
      <c r="U1414" s="25">
        <f>+Municipios!P311</f>
        <v>62.08431023361031</v>
      </c>
      <c r="V1414" s="13">
        <v>15820</v>
      </c>
      <c r="W1414" s="13" t="s">
        <v>1081</v>
      </c>
      <c r="X1414" s="13" t="s">
        <v>498</v>
      </c>
      <c r="Y1414" s="13" t="s">
        <v>499</v>
      </c>
      <c r="Z1414" s="13" t="s">
        <v>1082</v>
      </c>
    </row>
    <row r="1415" spans="1:26">
      <c r="A1415" t="s">
        <v>412</v>
      </c>
      <c r="B1415" s="25">
        <f>+Municipios!P312</f>
        <v>48.514287659087273</v>
      </c>
      <c r="C1415" s="13">
        <v>47205</v>
      </c>
      <c r="D1415" s="13" t="s">
        <v>1083</v>
      </c>
      <c r="E1415" s="13" t="s">
        <v>638</v>
      </c>
      <c r="F1415" s="13" t="s">
        <v>639</v>
      </c>
      <c r="G1415" s="13" t="s">
        <v>1076</v>
      </c>
      <c r="K1415" t="s">
        <v>413</v>
      </c>
      <c r="L1415" s="81">
        <f>+Municipios!U312</f>
        <v>27.012927952480442</v>
      </c>
      <c r="M1415" s="13">
        <v>47205</v>
      </c>
      <c r="N1415" s="13" t="s">
        <v>1083</v>
      </c>
      <c r="O1415" s="13" t="s">
        <v>638</v>
      </c>
      <c r="P1415" s="13" t="s">
        <v>639</v>
      </c>
      <c r="Q1415" s="13" t="s">
        <v>1076</v>
      </c>
      <c r="T1415" t="s">
        <v>2804</v>
      </c>
      <c r="U1415" s="25">
        <f>+Municipios!P312</f>
        <v>48.514287659087273</v>
      </c>
      <c r="V1415" s="13">
        <v>47205</v>
      </c>
      <c r="W1415" s="13" t="s">
        <v>1083</v>
      </c>
      <c r="X1415" s="13" t="s">
        <v>638</v>
      </c>
      <c r="Y1415" s="13" t="s">
        <v>639</v>
      </c>
      <c r="Z1415" s="13" t="s">
        <v>1076</v>
      </c>
    </row>
    <row r="1416" spans="1:26">
      <c r="A1416" t="s">
        <v>412</v>
      </c>
      <c r="B1416" s="25">
        <f>+Municipios!P313</f>
        <v>74.191635885968509</v>
      </c>
      <c r="C1416" s="13">
        <v>25769</v>
      </c>
      <c r="D1416" s="13" t="s">
        <v>1084</v>
      </c>
      <c r="E1416" s="13" t="s">
        <v>461</v>
      </c>
      <c r="F1416" s="13" t="s">
        <v>462</v>
      </c>
      <c r="G1416" s="13" t="s">
        <v>1085</v>
      </c>
      <c r="K1416" t="s">
        <v>413</v>
      </c>
      <c r="L1416" s="81">
        <f>+Municipios!U313</f>
        <v>41.331642079563181</v>
      </c>
      <c r="M1416" s="13">
        <v>25769</v>
      </c>
      <c r="N1416" s="13" t="s">
        <v>1084</v>
      </c>
      <c r="O1416" s="13" t="s">
        <v>461</v>
      </c>
      <c r="P1416" s="13" t="s">
        <v>462</v>
      </c>
      <c r="Q1416" s="13" t="s">
        <v>1085</v>
      </c>
      <c r="T1416" t="s">
        <v>2804</v>
      </c>
      <c r="U1416" s="25">
        <f>+Municipios!P313</f>
        <v>74.191635885968509</v>
      </c>
      <c r="V1416" s="13">
        <v>25769</v>
      </c>
      <c r="W1416" s="13" t="s">
        <v>1084</v>
      </c>
      <c r="X1416" s="13" t="s">
        <v>461</v>
      </c>
      <c r="Y1416" s="13" t="s">
        <v>462</v>
      </c>
      <c r="Z1416" s="13" t="s">
        <v>1085</v>
      </c>
    </row>
    <row r="1417" spans="1:26">
      <c r="A1417" t="s">
        <v>412</v>
      </c>
      <c r="B1417" s="25">
        <f>+Municipios!P314</f>
        <v>51.093937714704104</v>
      </c>
      <c r="C1417" s="13">
        <v>19780</v>
      </c>
      <c r="D1417" s="13" t="s">
        <v>1086</v>
      </c>
      <c r="E1417" s="13" t="s">
        <v>557</v>
      </c>
      <c r="F1417" s="13" t="s">
        <v>558</v>
      </c>
      <c r="G1417" s="13" t="s">
        <v>1087</v>
      </c>
      <c r="K1417" t="s">
        <v>413</v>
      </c>
      <c r="L1417" s="81">
        <f>+Municipios!U314</f>
        <v>28.819286899551336</v>
      </c>
      <c r="M1417" s="13">
        <v>19780</v>
      </c>
      <c r="N1417" s="13" t="s">
        <v>1086</v>
      </c>
      <c r="O1417" s="13" t="s">
        <v>557</v>
      </c>
      <c r="P1417" s="13" t="s">
        <v>558</v>
      </c>
      <c r="Q1417" s="13" t="s">
        <v>1087</v>
      </c>
      <c r="T1417" t="s">
        <v>2804</v>
      </c>
      <c r="U1417" s="25">
        <f>+Municipios!P314</f>
        <v>51.093937714704104</v>
      </c>
      <c r="V1417" s="13">
        <v>19780</v>
      </c>
      <c r="W1417" s="13" t="s">
        <v>1086</v>
      </c>
      <c r="X1417" s="13" t="s">
        <v>557</v>
      </c>
      <c r="Y1417" s="13" t="s">
        <v>558</v>
      </c>
      <c r="Z1417" s="13" t="s">
        <v>1087</v>
      </c>
    </row>
    <row r="1418" spans="1:26">
      <c r="A1418" t="s">
        <v>412</v>
      </c>
      <c r="B1418" s="25">
        <f>+Municipios!P315</f>
        <v>56.771026184375756</v>
      </c>
      <c r="C1418" s="13">
        <v>15778</v>
      </c>
      <c r="D1418" s="13" t="s">
        <v>1088</v>
      </c>
      <c r="E1418" s="13" t="s">
        <v>498</v>
      </c>
      <c r="F1418" s="13" t="s">
        <v>499</v>
      </c>
      <c r="G1418" s="13" t="s">
        <v>1089</v>
      </c>
      <c r="K1418" t="s">
        <v>413</v>
      </c>
      <c r="L1418" s="81">
        <f>+Municipios!U315</f>
        <v>31.504293382659455</v>
      </c>
      <c r="M1418" s="13">
        <v>15778</v>
      </c>
      <c r="N1418" s="13" t="s">
        <v>1088</v>
      </c>
      <c r="O1418" s="13" t="s">
        <v>498</v>
      </c>
      <c r="P1418" s="13" t="s">
        <v>499</v>
      </c>
      <c r="Q1418" s="13" t="s">
        <v>1089</v>
      </c>
      <c r="T1418" t="s">
        <v>2804</v>
      </c>
      <c r="U1418" s="25">
        <f>+Municipios!P315</f>
        <v>56.771026184375756</v>
      </c>
      <c r="V1418" s="13">
        <v>15778</v>
      </c>
      <c r="W1418" s="13" t="s">
        <v>1088</v>
      </c>
      <c r="X1418" s="13" t="s">
        <v>498</v>
      </c>
      <c r="Y1418" s="13" t="s">
        <v>499</v>
      </c>
      <c r="Z1418" s="13" t="s">
        <v>1089</v>
      </c>
    </row>
    <row r="1419" spans="1:26">
      <c r="A1419" t="s">
        <v>412</v>
      </c>
      <c r="B1419" s="25">
        <f>+Municipios!P316</f>
        <v>56.836295602267022</v>
      </c>
      <c r="C1419" s="13">
        <v>70110</v>
      </c>
      <c r="D1419" s="13" t="s">
        <v>1090</v>
      </c>
      <c r="E1419" s="13" t="s">
        <v>494</v>
      </c>
      <c r="F1419" s="13" t="s">
        <v>495</v>
      </c>
      <c r="G1419" s="13" t="s">
        <v>1064</v>
      </c>
      <c r="K1419" t="s">
        <v>413</v>
      </c>
      <c r="L1419" s="81">
        <f>+Municipios!U316</f>
        <v>31.935978391981944</v>
      </c>
      <c r="M1419" s="13">
        <v>70110</v>
      </c>
      <c r="N1419" s="13" t="s">
        <v>1090</v>
      </c>
      <c r="O1419" s="13" t="s">
        <v>494</v>
      </c>
      <c r="P1419" s="13" t="s">
        <v>495</v>
      </c>
      <c r="Q1419" s="13" t="s">
        <v>1064</v>
      </c>
      <c r="T1419" t="s">
        <v>2804</v>
      </c>
      <c r="U1419" s="25">
        <f>+Municipios!P316</f>
        <v>56.836295602267022</v>
      </c>
      <c r="V1419" s="13">
        <v>70110</v>
      </c>
      <c r="W1419" s="13" t="s">
        <v>1090</v>
      </c>
      <c r="X1419" s="13" t="s">
        <v>494</v>
      </c>
      <c r="Y1419" s="13" t="s">
        <v>495</v>
      </c>
      <c r="Z1419" s="13" t="s">
        <v>1064</v>
      </c>
    </row>
    <row r="1420" spans="1:26">
      <c r="A1420" t="s">
        <v>412</v>
      </c>
      <c r="B1420" s="25">
        <f>+Municipios!P317</f>
        <v>72.993871123015182</v>
      </c>
      <c r="C1420" s="13">
        <v>15204</v>
      </c>
      <c r="D1420" s="13" t="s">
        <v>1091</v>
      </c>
      <c r="E1420" s="13" t="s">
        <v>498</v>
      </c>
      <c r="F1420" s="13" t="s">
        <v>499</v>
      </c>
      <c r="G1420" s="13" t="s">
        <v>1092</v>
      </c>
      <c r="K1420" t="s">
        <v>413</v>
      </c>
      <c r="L1420" s="81">
        <f>+Municipios!U317</f>
        <v>40.668782602887397</v>
      </c>
      <c r="M1420" s="13">
        <v>15204</v>
      </c>
      <c r="N1420" s="13" t="s">
        <v>1091</v>
      </c>
      <c r="O1420" s="13" t="s">
        <v>498</v>
      </c>
      <c r="P1420" s="13" t="s">
        <v>499</v>
      </c>
      <c r="Q1420" s="13" t="s">
        <v>1092</v>
      </c>
      <c r="T1420" t="s">
        <v>2804</v>
      </c>
      <c r="U1420" s="25">
        <f>+Municipios!P317</f>
        <v>72.993871123015182</v>
      </c>
      <c r="V1420" s="13">
        <v>15204</v>
      </c>
      <c r="W1420" s="13" t="s">
        <v>1091</v>
      </c>
      <c r="X1420" s="13" t="s">
        <v>498</v>
      </c>
      <c r="Y1420" s="13" t="s">
        <v>499</v>
      </c>
      <c r="Z1420" s="13" t="s">
        <v>1092</v>
      </c>
    </row>
    <row r="1421" spans="1:26">
      <c r="A1421" t="s">
        <v>412</v>
      </c>
      <c r="B1421" s="25">
        <f>+Municipios!P318</f>
        <v>56.409349560634119</v>
      </c>
      <c r="C1421" s="13">
        <v>52207</v>
      </c>
      <c r="D1421" s="13" t="s">
        <v>1093</v>
      </c>
      <c r="E1421" s="13" t="s">
        <v>672</v>
      </c>
      <c r="F1421" s="13" t="s">
        <v>673</v>
      </c>
      <c r="G1421" s="13" t="s">
        <v>1094</v>
      </c>
      <c r="K1421" t="s">
        <v>413</v>
      </c>
      <c r="L1421" s="81">
        <f>+Municipios!U318</f>
        <v>31.619291733586767</v>
      </c>
      <c r="M1421" s="13">
        <v>52207</v>
      </c>
      <c r="N1421" s="13" t="s">
        <v>1093</v>
      </c>
      <c r="O1421" s="13" t="s">
        <v>672</v>
      </c>
      <c r="P1421" s="13" t="s">
        <v>673</v>
      </c>
      <c r="Q1421" s="13" t="s">
        <v>1094</v>
      </c>
      <c r="T1421" t="s">
        <v>2804</v>
      </c>
      <c r="U1421" s="25">
        <f>+Municipios!P318</f>
        <v>56.409349560634119</v>
      </c>
      <c r="V1421" s="13">
        <v>52207</v>
      </c>
      <c r="W1421" s="13" t="s">
        <v>1093</v>
      </c>
      <c r="X1421" s="13" t="s">
        <v>672</v>
      </c>
      <c r="Y1421" s="13" t="s">
        <v>673</v>
      </c>
      <c r="Z1421" s="13" t="s">
        <v>1094</v>
      </c>
    </row>
    <row r="1422" spans="1:26">
      <c r="A1422" t="s">
        <v>412</v>
      </c>
      <c r="B1422" s="25">
        <f>+Municipios!P319</f>
        <v>54.164588686409125</v>
      </c>
      <c r="C1422" s="13">
        <v>25599</v>
      </c>
      <c r="D1422" s="13" t="s">
        <v>1095</v>
      </c>
      <c r="E1422" s="13" t="s">
        <v>461</v>
      </c>
      <c r="F1422" s="13" t="s">
        <v>462</v>
      </c>
      <c r="G1422" s="13" t="s">
        <v>1096</v>
      </c>
      <c r="K1422" t="s">
        <v>413</v>
      </c>
      <c r="L1422" s="81">
        <f>+Municipios!U319</f>
        <v>29.818697667892476</v>
      </c>
      <c r="M1422" s="13">
        <v>25599</v>
      </c>
      <c r="N1422" s="13" t="s">
        <v>1095</v>
      </c>
      <c r="O1422" s="13" t="s">
        <v>461</v>
      </c>
      <c r="P1422" s="13" t="s">
        <v>462</v>
      </c>
      <c r="Q1422" s="13" t="s">
        <v>1096</v>
      </c>
      <c r="T1422" t="s">
        <v>2804</v>
      </c>
      <c r="U1422" s="25">
        <f>+Municipios!P319</f>
        <v>54.164588686409125</v>
      </c>
      <c r="V1422" s="13">
        <v>25599</v>
      </c>
      <c r="W1422" s="13" t="s">
        <v>1095</v>
      </c>
      <c r="X1422" s="13" t="s">
        <v>461</v>
      </c>
      <c r="Y1422" s="13" t="s">
        <v>462</v>
      </c>
      <c r="Z1422" s="13" t="s">
        <v>1096</v>
      </c>
    </row>
    <row r="1423" spans="1:26">
      <c r="A1423" t="s">
        <v>412</v>
      </c>
      <c r="B1423" s="25">
        <f>+Municipios!P320</f>
        <v>55.541162476120221</v>
      </c>
      <c r="C1423" s="13">
        <v>47268</v>
      </c>
      <c r="D1423" s="13" t="s">
        <v>1097</v>
      </c>
      <c r="E1423" s="13" t="s">
        <v>638</v>
      </c>
      <c r="F1423" s="13" t="s">
        <v>639</v>
      </c>
      <c r="G1423" s="13" t="s">
        <v>1098</v>
      </c>
      <c r="K1423" t="s">
        <v>413</v>
      </c>
      <c r="L1423" s="81">
        <f>+Municipios!U320</f>
        <v>30.847181679272349</v>
      </c>
      <c r="M1423" s="13">
        <v>47268</v>
      </c>
      <c r="N1423" s="13" t="s">
        <v>1097</v>
      </c>
      <c r="O1423" s="13" t="s">
        <v>638</v>
      </c>
      <c r="P1423" s="13" t="s">
        <v>639</v>
      </c>
      <c r="Q1423" s="13" t="s">
        <v>1098</v>
      </c>
      <c r="T1423" t="s">
        <v>2804</v>
      </c>
      <c r="U1423" s="25">
        <f>+Municipios!P320</f>
        <v>55.541162476120221</v>
      </c>
      <c r="V1423" s="13">
        <v>47268</v>
      </c>
      <c r="W1423" s="13" t="s">
        <v>1097</v>
      </c>
      <c r="X1423" s="13" t="s">
        <v>638</v>
      </c>
      <c r="Y1423" s="13" t="s">
        <v>639</v>
      </c>
      <c r="Z1423" s="13" t="s">
        <v>1098</v>
      </c>
    </row>
    <row r="1424" spans="1:26">
      <c r="A1424" t="s">
        <v>412</v>
      </c>
      <c r="B1424" s="25">
        <f>+Municipios!P321</f>
        <v>49.782611368876083</v>
      </c>
      <c r="C1424" s="13">
        <v>19110</v>
      </c>
      <c r="D1424" s="13" t="s">
        <v>1099</v>
      </c>
      <c r="E1424" s="13" t="s">
        <v>557</v>
      </c>
      <c r="F1424" s="13" t="s">
        <v>558</v>
      </c>
      <c r="G1424" s="13" t="s">
        <v>1100</v>
      </c>
      <c r="K1424" t="s">
        <v>413</v>
      </c>
      <c r="L1424" s="81">
        <f>+Municipios!U321</f>
        <v>27.400656795444927</v>
      </c>
      <c r="M1424" s="13">
        <v>19110</v>
      </c>
      <c r="N1424" s="13" t="s">
        <v>1099</v>
      </c>
      <c r="O1424" s="13" t="s">
        <v>557</v>
      </c>
      <c r="P1424" s="13" t="s">
        <v>558</v>
      </c>
      <c r="Q1424" s="13" t="s">
        <v>1100</v>
      </c>
      <c r="T1424" t="s">
        <v>2804</v>
      </c>
      <c r="U1424" s="25">
        <f>+Municipios!P321</f>
        <v>49.782611368876083</v>
      </c>
      <c r="V1424" s="13">
        <v>19110</v>
      </c>
      <c r="W1424" s="13" t="s">
        <v>1099</v>
      </c>
      <c r="X1424" s="13" t="s">
        <v>557</v>
      </c>
      <c r="Y1424" s="13" t="s">
        <v>558</v>
      </c>
      <c r="Z1424" s="13" t="s">
        <v>1100</v>
      </c>
    </row>
    <row r="1425" spans="1:26">
      <c r="A1425" t="s">
        <v>412</v>
      </c>
      <c r="B1425" s="25">
        <f>+Municipios!P322</f>
        <v>56.583894141715263</v>
      </c>
      <c r="C1425" s="13">
        <v>73671</v>
      </c>
      <c r="D1425" s="13" t="s">
        <v>1101</v>
      </c>
      <c r="E1425" s="13" t="s">
        <v>595</v>
      </c>
      <c r="F1425" s="13" t="s">
        <v>596</v>
      </c>
      <c r="G1425" s="13" t="s">
        <v>1102</v>
      </c>
      <c r="K1425" t="s">
        <v>413</v>
      </c>
      <c r="L1425" s="81">
        <f>+Municipios!U322</f>
        <v>31.458022598001655</v>
      </c>
      <c r="M1425" s="13">
        <v>73671</v>
      </c>
      <c r="N1425" s="13" t="s">
        <v>1101</v>
      </c>
      <c r="O1425" s="13" t="s">
        <v>595</v>
      </c>
      <c r="P1425" s="13" t="s">
        <v>596</v>
      </c>
      <c r="Q1425" s="13" t="s">
        <v>1102</v>
      </c>
      <c r="T1425" t="s">
        <v>2804</v>
      </c>
      <c r="U1425" s="25">
        <f>+Municipios!P322</f>
        <v>56.583894141715263</v>
      </c>
      <c r="V1425" s="13">
        <v>73671</v>
      </c>
      <c r="W1425" s="13" t="s">
        <v>1101</v>
      </c>
      <c r="X1425" s="13" t="s">
        <v>595</v>
      </c>
      <c r="Y1425" s="13" t="s">
        <v>596</v>
      </c>
      <c r="Z1425" s="13" t="s">
        <v>1102</v>
      </c>
    </row>
    <row r="1426" spans="1:26">
      <c r="A1426" t="s">
        <v>412</v>
      </c>
      <c r="B1426" s="25">
        <f>+Municipios!P323</f>
        <v>54.910439751512726</v>
      </c>
      <c r="C1426" s="13">
        <v>52885</v>
      </c>
      <c r="D1426" s="13" t="s">
        <v>1103</v>
      </c>
      <c r="E1426" s="13" t="s">
        <v>672</v>
      </c>
      <c r="F1426" s="13" t="s">
        <v>673</v>
      </c>
      <c r="G1426" s="13" t="s">
        <v>1104</v>
      </c>
      <c r="K1426" t="s">
        <v>413</v>
      </c>
      <c r="L1426" s="81">
        <f>+Municipios!U323</f>
        <v>30.561321368117245</v>
      </c>
      <c r="M1426" s="13">
        <v>52885</v>
      </c>
      <c r="N1426" s="13" t="s">
        <v>1103</v>
      </c>
      <c r="O1426" s="13" t="s">
        <v>672</v>
      </c>
      <c r="P1426" s="13" t="s">
        <v>673</v>
      </c>
      <c r="Q1426" s="13" t="s">
        <v>1104</v>
      </c>
      <c r="T1426" t="s">
        <v>2804</v>
      </c>
      <c r="U1426" s="25">
        <f>+Municipios!P323</f>
        <v>54.910439751512726</v>
      </c>
      <c r="V1426" s="13">
        <v>52885</v>
      </c>
      <c r="W1426" s="13" t="s">
        <v>1103</v>
      </c>
      <c r="X1426" s="13" t="s">
        <v>672</v>
      </c>
      <c r="Y1426" s="13" t="s">
        <v>673</v>
      </c>
      <c r="Z1426" s="13" t="s">
        <v>1104</v>
      </c>
    </row>
    <row r="1427" spans="1:26">
      <c r="A1427" t="s">
        <v>412</v>
      </c>
      <c r="B1427" s="25">
        <f>+Municipios!P324</f>
        <v>62.930536777562885</v>
      </c>
      <c r="C1427" s="13">
        <v>25317</v>
      </c>
      <c r="D1427" s="13" t="s">
        <v>1105</v>
      </c>
      <c r="E1427" s="13" t="s">
        <v>461</v>
      </c>
      <c r="F1427" s="13" t="s">
        <v>462</v>
      </c>
      <c r="G1427" s="13" t="s">
        <v>1106</v>
      </c>
      <c r="K1427" t="s">
        <v>413</v>
      </c>
      <c r="L1427" s="81">
        <f>+Municipios!U324</f>
        <v>34.461695132670563</v>
      </c>
      <c r="M1427" s="13">
        <v>25317</v>
      </c>
      <c r="N1427" s="13" t="s">
        <v>1105</v>
      </c>
      <c r="O1427" s="13" t="s">
        <v>461</v>
      </c>
      <c r="P1427" s="13" t="s">
        <v>462</v>
      </c>
      <c r="Q1427" s="13" t="s">
        <v>1106</v>
      </c>
      <c r="T1427" t="s">
        <v>2804</v>
      </c>
      <c r="U1427" s="25">
        <f>+Municipios!P324</f>
        <v>62.930536777562885</v>
      </c>
      <c r="V1427" s="13">
        <v>25317</v>
      </c>
      <c r="W1427" s="13" t="s">
        <v>1105</v>
      </c>
      <c r="X1427" s="13" t="s">
        <v>461</v>
      </c>
      <c r="Y1427" s="13" t="s">
        <v>462</v>
      </c>
      <c r="Z1427" s="13" t="s">
        <v>1106</v>
      </c>
    </row>
    <row r="1428" spans="1:26">
      <c r="A1428" t="s">
        <v>412</v>
      </c>
      <c r="B1428" s="25">
        <f>+Municipios!P325</f>
        <v>55.500065237427044</v>
      </c>
      <c r="C1428" s="13">
        <v>76377</v>
      </c>
      <c r="D1428" s="13" t="s">
        <v>1107</v>
      </c>
      <c r="E1428" s="13" t="s">
        <v>454</v>
      </c>
      <c r="F1428" s="13" t="s">
        <v>455</v>
      </c>
      <c r="G1428" s="13" t="s">
        <v>1108</v>
      </c>
      <c r="K1428" t="s">
        <v>413</v>
      </c>
      <c r="L1428" s="81">
        <f>+Municipios!U325</f>
        <v>30.983074241348881</v>
      </c>
      <c r="M1428" s="13">
        <v>76377</v>
      </c>
      <c r="N1428" s="13" t="s">
        <v>1107</v>
      </c>
      <c r="O1428" s="13" t="s">
        <v>454</v>
      </c>
      <c r="P1428" s="13" t="s">
        <v>455</v>
      </c>
      <c r="Q1428" s="13" t="s">
        <v>1108</v>
      </c>
      <c r="T1428" t="s">
        <v>2804</v>
      </c>
      <c r="U1428" s="25">
        <f>+Municipios!P325</f>
        <v>55.500065237427044</v>
      </c>
      <c r="V1428" s="13">
        <v>76377</v>
      </c>
      <c r="W1428" s="13" t="s">
        <v>1107</v>
      </c>
      <c r="X1428" s="13" t="s">
        <v>454</v>
      </c>
      <c r="Y1428" s="13" t="s">
        <v>455</v>
      </c>
      <c r="Z1428" s="13" t="s">
        <v>1108</v>
      </c>
    </row>
    <row r="1429" spans="1:26">
      <c r="A1429" t="s">
        <v>412</v>
      </c>
      <c r="B1429" s="25">
        <f>+Municipios!P326</f>
        <v>53.877874773837846</v>
      </c>
      <c r="C1429" s="13">
        <v>15224</v>
      </c>
      <c r="D1429" s="13" t="s">
        <v>1109</v>
      </c>
      <c r="E1429" s="13" t="s">
        <v>498</v>
      </c>
      <c r="F1429" s="13" t="s">
        <v>499</v>
      </c>
      <c r="G1429" s="13" t="s">
        <v>1110</v>
      </c>
      <c r="K1429" t="s">
        <v>413</v>
      </c>
      <c r="L1429" s="81">
        <f>+Municipios!U326</f>
        <v>29.653533579162655</v>
      </c>
      <c r="M1429" s="13">
        <v>15224</v>
      </c>
      <c r="N1429" s="13" t="s">
        <v>1109</v>
      </c>
      <c r="O1429" s="13" t="s">
        <v>498</v>
      </c>
      <c r="P1429" s="13" t="s">
        <v>499</v>
      </c>
      <c r="Q1429" s="13" t="s">
        <v>1110</v>
      </c>
      <c r="T1429" t="s">
        <v>2804</v>
      </c>
      <c r="U1429" s="25">
        <f>+Municipios!P326</f>
        <v>53.877874773837846</v>
      </c>
      <c r="V1429" s="13">
        <v>15224</v>
      </c>
      <c r="W1429" s="13" t="s">
        <v>1109</v>
      </c>
      <c r="X1429" s="13" t="s">
        <v>498</v>
      </c>
      <c r="Y1429" s="13" t="s">
        <v>499</v>
      </c>
      <c r="Z1429" s="13" t="s">
        <v>1110</v>
      </c>
    </row>
    <row r="1430" spans="1:26">
      <c r="A1430" t="s">
        <v>412</v>
      </c>
      <c r="B1430" s="25">
        <f>+Municipios!P327</f>
        <v>50.357378639177341</v>
      </c>
      <c r="C1430" s="13">
        <v>70204</v>
      </c>
      <c r="D1430" s="13" t="s">
        <v>1111</v>
      </c>
      <c r="E1430" s="13" t="s">
        <v>494</v>
      </c>
      <c r="F1430" s="13" t="s">
        <v>495</v>
      </c>
      <c r="G1430" s="13" t="s">
        <v>1112</v>
      </c>
      <c r="K1430" t="s">
        <v>413</v>
      </c>
      <c r="L1430" s="81">
        <f>+Municipios!U327</f>
        <v>28.196486919848841</v>
      </c>
      <c r="M1430" s="13">
        <v>70204</v>
      </c>
      <c r="N1430" s="13" t="s">
        <v>1111</v>
      </c>
      <c r="O1430" s="13" t="s">
        <v>494</v>
      </c>
      <c r="P1430" s="13" t="s">
        <v>495</v>
      </c>
      <c r="Q1430" s="13" t="s">
        <v>1112</v>
      </c>
      <c r="T1430" t="s">
        <v>2804</v>
      </c>
      <c r="U1430" s="25">
        <f>+Municipios!P327</f>
        <v>50.357378639177341</v>
      </c>
      <c r="V1430" s="13">
        <v>70204</v>
      </c>
      <c r="W1430" s="13" t="s">
        <v>1111</v>
      </c>
      <c r="X1430" s="13" t="s">
        <v>494</v>
      </c>
      <c r="Y1430" s="13" t="s">
        <v>495</v>
      </c>
      <c r="Z1430" s="13" t="s">
        <v>1112</v>
      </c>
    </row>
    <row r="1431" spans="1:26">
      <c r="A1431" t="s">
        <v>412</v>
      </c>
      <c r="B1431" s="25">
        <f>+Municipios!P328</f>
        <v>46.073701762018175</v>
      </c>
      <c r="C1431" s="13">
        <v>73349</v>
      </c>
      <c r="D1431" s="13" t="s">
        <v>1113</v>
      </c>
      <c r="E1431" s="13" t="s">
        <v>595</v>
      </c>
      <c r="F1431" s="13" t="s">
        <v>596</v>
      </c>
      <c r="G1431" s="13" t="s">
        <v>1114</v>
      </c>
      <c r="K1431" t="s">
        <v>413</v>
      </c>
      <c r="L1431" s="81">
        <f>+Municipios!U328</f>
        <v>25.047812864963092</v>
      </c>
      <c r="M1431" s="13">
        <v>73349</v>
      </c>
      <c r="N1431" s="13" t="s">
        <v>1113</v>
      </c>
      <c r="O1431" s="13" t="s">
        <v>595</v>
      </c>
      <c r="P1431" s="13" t="s">
        <v>596</v>
      </c>
      <c r="Q1431" s="13" t="s">
        <v>1114</v>
      </c>
      <c r="T1431" t="s">
        <v>2804</v>
      </c>
      <c r="U1431" s="25">
        <f>+Municipios!P328</f>
        <v>46.073701762018175</v>
      </c>
      <c r="V1431" s="13">
        <v>73349</v>
      </c>
      <c r="W1431" s="13" t="s">
        <v>1113</v>
      </c>
      <c r="X1431" s="13" t="s">
        <v>595</v>
      </c>
      <c r="Y1431" s="13" t="s">
        <v>596</v>
      </c>
      <c r="Z1431" s="13" t="s">
        <v>1114</v>
      </c>
    </row>
    <row r="1432" spans="1:26">
      <c r="A1432" t="s">
        <v>412</v>
      </c>
      <c r="B1432" s="25">
        <f>+Municipios!P329</f>
        <v>49.966468985830261</v>
      </c>
      <c r="C1432" s="13">
        <v>13433</v>
      </c>
      <c r="D1432" s="13" t="s">
        <v>1115</v>
      </c>
      <c r="E1432" s="13" t="s">
        <v>480</v>
      </c>
      <c r="F1432" s="13" t="s">
        <v>481</v>
      </c>
      <c r="G1432" s="13" t="s">
        <v>1116</v>
      </c>
      <c r="K1432" t="s">
        <v>413</v>
      </c>
      <c r="L1432" s="81">
        <f>+Municipios!U329</f>
        <v>27.897795594964599</v>
      </c>
      <c r="M1432" s="13">
        <v>13433</v>
      </c>
      <c r="N1432" s="13" t="s">
        <v>1115</v>
      </c>
      <c r="O1432" s="13" t="s">
        <v>480</v>
      </c>
      <c r="P1432" s="13" t="s">
        <v>481</v>
      </c>
      <c r="Q1432" s="13" t="s">
        <v>1116</v>
      </c>
      <c r="T1432" t="s">
        <v>2804</v>
      </c>
      <c r="U1432" s="25">
        <f>+Municipios!P329</f>
        <v>49.966468985830261</v>
      </c>
      <c r="V1432" s="13">
        <v>13433</v>
      </c>
      <c r="W1432" s="13" t="s">
        <v>1115</v>
      </c>
      <c r="X1432" s="13" t="s">
        <v>480</v>
      </c>
      <c r="Y1432" s="13" t="s">
        <v>481</v>
      </c>
      <c r="Z1432" s="13" t="s">
        <v>1116</v>
      </c>
    </row>
    <row r="1433" spans="1:26">
      <c r="A1433" t="s">
        <v>412</v>
      </c>
      <c r="B1433" s="25">
        <f>+Municipios!P330</f>
        <v>59.618338970702567</v>
      </c>
      <c r="C1433" s="13">
        <v>52506</v>
      </c>
      <c r="D1433" s="13" t="s">
        <v>1117</v>
      </c>
      <c r="E1433" s="13" t="s">
        <v>672</v>
      </c>
      <c r="F1433" s="13" t="s">
        <v>673</v>
      </c>
      <c r="G1433" s="13" t="s">
        <v>1118</v>
      </c>
      <c r="K1433" t="s">
        <v>413</v>
      </c>
      <c r="L1433" s="81">
        <f>+Municipios!U330</f>
        <v>32.875331114739801</v>
      </c>
      <c r="M1433" s="13">
        <v>52506</v>
      </c>
      <c r="N1433" s="13" t="s">
        <v>1117</v>
      </c>
      <c r="O1433" s="13" t="s">
        <v>672</v>
      </c>
      <c r="P1433" s="13" t="s">
        <v>673</v>
      </c>
      <c r="Q1433" s="13" t="s">
        <v>1118</v>
      </c>
      <c r="T1433" t="s">
        <v>2804</v>
      </c>
      <c r="U1433" s="25">
        <f>+Municipios!P330</f>
        <v>59.618338970702567</v>
      </c>
      <c r="V1433" s="13">
        <v>52506</v>
      </c>
      <c r="W1433" s="13" t="s">
        <v>1117</v>
      </c>
      <c r="X1433" s="13" t="s">
        <v>672</v>
      </c>
      <c r="Y1433" s="13" t="s">
        <v>673</v>
      </c>
      <c r="Z1433" s="13" t="s">
        <v>1118</v>
      </c>
    </row>
    <row r="1434" spans="1:26">
      <c r="A1434" t="s">
        <v>412</v>
      </c>
      <c r="B1434" s="25">
        <f>+Municipios!P331</f>
        <v>57.501379786777164</v>
      </c>
      <c r="C1434" s="13">
        <v>25524</v>
      </c>
      <c r="D1434" s="13" t="s">
        <v>1119</v>
      </c>
      <c r="E1434" s="13" t="s">
        <v>461</v>
      </c>
      <c r="F1434" s="13" t="s">
        <v>462</v>
      </c>
      <c r="G1434" s="13" t="s">
        <v>1120</v>
      </c>
      <c r="K1434" t="s">
        <v>413</v>
      </c>
      <c r="L1434" s="81">
        <f>+Municipios!U331</f>
        <v>31.215057171844105</v>
      </c>
      <c r="M1434" s="13">
        <v>25524</v>
      </c>
      <c r="N1434" s="13" t="s">
        <v>1119</v>
      </c>
      <c r="O1434" s="13" t="s">
        <v>461</v>
      </c>
      <c r="P1434" s="13" t="s">
        <v>462</v>
      </c>
      <c r="Q1434" s="13" t="s">
        <v>1120</v>
      </c>
      <c r="T1434" t="s">
        <v>2804</v>
      </c>
      <c r="U1434" s="25">
        <f>+Municipios!P331</f>
        <v>57.501379786777164</v>
      </c>
      <c r="V1434" s="13">
        <v>25524</v>
      </c>
      <c r="W1434" s="13" t="s">
        <v>1119</v>
      </c>
      <c r="X1434" s="13" t="s">
        <v>461</v>
      </c>
      <c r="Y1434" s="13" t="s">
        <v>462</v>
      </c>
      <c r="Z1434" s="13" t="s">
        <v>1120</v>
      </c>
    </row>
    <row r="1435" spans="1:26">
      <c r="A1435" t="s">
        <v>412</v>
      </c>
      <c r="B1435" s="25">
        <f>+Municipios!P332</f>
        <v>65.436865712571986</v>
      </c>
      <c r="C1435" s="13">
        <v>76497</v>
      </c>
      <c r="D1435" s="13" t="s">
        <v>1121</v>
      </c>
      <c r="E1435" s="13" t="s">
        <v>454</v>
      </c>
      <c r="F1435" s="13" t="s">
        <v>455</v>
      </c>
      <c r="G1435" s="13" t="s">
        <v>1122</v>
      </c>
      <c r="K1435" t="s">
        <v>413</v>
      </c>
      <c r="L1435" s="81">
        <f>+Municipios!U332</f>
        <v>35.936672330955773</v>
      </c>
      <c r="M1435" s="13">
        <v>76497</v>
      </c>
      <c r="N1435" s="13" t="s">
        <v>1121</v>
      </c>
      <c r="O1435" s="13" t="s">
        <v>454</v>
      </c>
      <c r="P1435" s="13" t="s">
        <v>455</v>
      </c>
      <c r="Q1435" s="13" t="s">
        <v>1122</v>
      </c>
      <c r="T1435" t="s">
        <v>2804</v>
      </c>
      <c r="U1435" s="25">
        <f>+Municipios!P332</f>
        <v>65.436865712571986</v>
      </c>
      <c r="V1435" s="13">
        <v>76497</v>
      </c>
      <c r="W1435" s="13" t="s">
        <v>1121</v>
      </c>
      <c r="X1435" s="13" t="s">
        <v>454</v>
      </c>
      <c r="Y1435" s="13" t="s">
        <v>455</v>
      </c>
      <c r="Z1435" s="13" t="s">
        <v>1122</v>
      </c>
    </row>
    <row r="1436" spans="1:26">
      <c r="A1436" t="s">
        <v>412</v>
      </c>
      <c r="B1436" s="25">
        <f>+Municipios!P333</f>
        <v>64.494695570249903</v>
      </c>
      <c r="C1436" s="13">
        <v>25873</v>
      </c>
      <c r="D1436" s="13" t="s">
        <v>1123</v>
      </c>
      <c r="E1436" s="13" t="s">
        <v>461</v>
      </c>
      <c r="F1436" s="13" t="s">
        <v>462</v>
      </c>
      <c r="G1436" s="13" t="s">
        <v>1124</v>
      </c>
      <c r="K1436" t="s">
        <v>413</v>
      </c>
      <c r="L1436" s="81">
        <f>+Municipios!U333</f>
        <v>35.207841929479784</v>
      </c>
      <c r="M1436" s="13">
        <v>25873</v>
      </c>
      <c r="N1436" s="13" t="s">
        <v>1123</v>
      </c>
      <c r="O1436" s="13" t="s">
        <v>461</v>
      </c>
      <c r="P1436" s="13" t="s">
        <v>462</v>
      </c>
      <c r="Q1436" s="13" t="s">
        <v>1124</v>
      </c>
      <c r="T1436" t="s">
        <v>2804</v>
      </c>
      <c r="U1436" s="25">
        <f>+Municipios!P333</f>
        <v>64.494695570249903</v>
      </c>
      <c r="V1436" s="13">
        <v>25873</v>
      </c>
      <c r="W1436" s="13" t="s">
        <v>1123</v>
      </c>
      <c r="X1436" s="13" t="s">
        <v>461</v>
      </c>
      <c r="Y1436" s="13" t="s">
        <v>462</v>
      </c>
      <c r="Z1436" s="13" t="s">
        <v>1124</v>
      </c>
    </row>
    <row r="1437" spans="1:26">
      <c r="A1437" t="s">
        <v>412</v>
      </c>
      <c r="B1437" s="25">
        <f>+Municipios!P334</f>
        <v>57.709976598905087</v>
      </c>
      <c r="C1437" s="13">
        <v>25878</v>
      </c>
      <c r="D1437" s="13" t="s">
        <v>1125</v>
      </c>
      <c r="E1437" s="13" t="s">
        <v>461</v>
      </c>
      <c r="F1437" s="13" t="s">
        <v>462</v>
      </c>
      <c r="G1437" s="13" t="s">
        <v>1126</v>
      </c>
      <c r="K1437" t="s">
        <v>413</v>
      </c>
      <c r="L1437" s="81">
        <f>+Municipios!U334</f>
        <v>31.524415087237511</v>
      </c>
      <c r="M1437" s="13">
        <v>25878</v>
      </c>
      <c r="N1437" s="13" t="s">
        <v>1125</v>
      </c>
      <c r="O1437" s="13" t="s">
        <v>461</v>
      </c>
      <c r="P1437" s="13" t="s">
        <v>462</v>
      </c>
      <c r="Q1437" s="13" t="s">
        <v>1126</v>
      </c>
      <c r="T1437" t="s">
        <v>2804</v>
      </c>
      <c r="U1437" s="25">
        <f>+Municipios!P334</f>
        <v>57.709976598905087</v>
      </c>
      <c r="V1437" s="13">
        <v>25878</v>
      </c>
      <c r="W1437" s="13" t="s">
        <v>1125</v>
      </c>
      <c r="X1437" s="13" t="s">
        <v>461</v>
      </c>
      <c r="Y1437" s="13" t="s">
        <v>462</v>
      </c>
      <c r="Z1437" s="13" t="s">
        <v>1126</v>
      </c>
    </row>
    <row r="1438" spans="1:26">
      <c r="A1438" t="s">
        <v>412</v>
      </c>
      <c r="B1438" s="25">
        <f>+Municipios!P335</f>
        <v>60.68415178671998</v>
      </c>
      <c r="C1438" s="13">
        <v>76041</v>
      </c>
      <c r="D1438" s="13" t="s">
        <v>1127</v>
      </c>
      <c r="E1438" s="13" t="s">
        <v>454</v>
      </c>
      <c r="F1438" s="13" t="s">
        <v>455</v>
      </c>
      <c r="G1438" s="13" t="s">
        <v>1128</v>
      </c>
      <c r="K1438" t="s">
        <v>413</v>
      </c>
      <c r="L1438" s="81">
        <f>+Municipios!U335</f>
        <v>33.185717860995439</v>
      </c>
      <c r="M1438" s="13">
        <v>76041</v>
      </c>
      <c r="N1438" s="13" t="s">
        <v>1127</v>
      </c>
      <c r="O1438" s="13" t="s">
        <v>454</v>
      </c>
      <c r="P1438" s="13" t="s">
        <v>455</v>
      </c>
      <c r="Q1438" s="13" t="s">
        <v>1128</v>
      </c>
      <c r="T1438" t="s">
        <v>2804</v>
      </c>
      <c r="U1438" s="25">
        <f>+Municipios!P335</f>
        <v>60.68415178671998</v>
      </c>
      <c r="V1438" s="13">
        <v>76041</v>
      </c>
      <c r="W1438" s="13" t="s">
        <v>1127</v>
      </c>
      <c r="X1438" s="13" t="s">
        <v>454</v>
      </c>
      <c r="Y1438" s="13" t="s">
        <v>455</v>
      </c>
      <c r="Z1438" s="13" t="s">
        <v>1128</v>
      </c>
    </row>
    <row r="1439" spans="1:26">
      <c r="A1439" t="s">
        <v>412</v>
      </c>
      <c r="B1439" s="25">
        <f>+Municipios!P336</f>
        <v>46.441623809981422</v>
      </c>
      <c r="C1439" s="13">
        <v>70235</v>
      </c>
      <c r="D1439" s="13" t="s">
        <v>1129</v>
      </c>
      <c r="E1439" s="13" t="s">
        <v>494</v>
      </c>
      <c r="F1439" s="13" t="s">
        <v>495</v>
      </c>
      <c r="G1439" s="13" t="s">
        <v>1130</v>
      </c>
      <c r="K1439" t="s">
        <v>413</v>
      </c>
      <c r="L1439" s="81">
        <f>+Municipios!U336</f>
        <v>25.747876234971056</v>
      </c>
      <c r="M1439" s="13">
        <v>70235</v>
      </c>
      <c r="N1439" s="13" t="s">
        <v>1129</v>
      </c>
      <c r="O1439" s="13" t="s">
        <v>494</v>
      </c>
      <c r="P1439" s="13" t="s">
        <v>495</v>
      </c>
      <c r="Q1439" s="13" t="s">
        <v>1130</v>
      </c>
      <c r="T1439" t="s">
        <v>2804</v>
      </c>
      <c r="U1439" s="25">
        <f>+Municipios!P336</f>
        <v>46.441623809981422</v>
      </c>
      <c r="V1439" s="13">
        <v>70235</v>
      </c>
      <c r="W1439" s="13" t="s">
        <v>1129</v>
      </c>
      <c r="X1439" s="13" t="s">
        <v>494</v>
      </c>
      <c r="Y1439" s="13" t="s">
        <v>495</v>
      </c>
      <c r="Z1439" s="13" t="s">
        <v>1130</v>
      </c>
    </row>
    <row r="1440" spans="1:26">
      <c r="A1440" t="s">
        <v>412</v>
      </c>
      <c r="B1440" s="25">
        <f>+Municipios!P337</f>
        <v>64.458554869798036</v>
      </c>
      <c r="C1440" s="13">
        <v>13657</v>
      </c>
      <c r="D1440" s="13" t="s">
        <v>1131</v>
      </c>
      <c r="E1440" s="13" t="s">
        <v>480</v>
      </c>
      <c r="F1440" s="13" t="s">
        <v>481</v>
      </c>
      <c r="G1440" s="13" t="s">
        <v>1132</v>
      </c>
      <c r="K1440" t="s">
        <v>413</v>
      </c>
      <c r="L1440" s="81">
        <f>+Municipios!U337</f>
        <v>35.872993937746763</v>
      </c>
      <c r="M1440" s="13">
        <v>13657</v>
      </c>
      <c r="N1440" s="13" t="s">
        <v>1131</v>
      </c>
      <c r="O1440" s="13" t="s">
        <v>480</v>
      </c>
      <c r="P1440" s="13" t="s">
        <v>481</v>
      </c>
      <c r="Q1440" s="13" t="s">
        <v>1132</v>
      </c>
      <c r="T1440" t="s">
        <v>2804</v>
      </c>
      <c r="U1440" s="25">
        <f>+Municipios!P337</f>
        <v>64.458554869798036</v>
      </c>
      <c r="V1440" s="13">
        <v>13657</v>
      </c>
      <c r="W1440" s="13" t="s">
        <v>1131</v>
      </c>
      <c r="X1440" s="13" t="s">
        <v>480</v>
      </c>
      <c r="Y1440" s="13" t="s">
        <v>481</v>
      </c>
      <c r="Z1440" s="13" t="s">
        <v>1132</v>
      </c>
    </row>
    <row r="1441" spans="1:26">
      <c r="A1441" t="s">
        <v>412</v>
      </c>
      <c r="B1441" s="25">
        <f>+Municipios!P338</f>
        <v>60.630671023809356</v>
      </c>
      <c r="C1441" s="13">
        <v>15638</v>
      </c>
      <c r="D1441" s="13" t="s">
        <v>1133</v>
      </c>
      <c r="E1441" s="13" t="s">
        <v>498</v>
      </c>
      <c r="F1441" s="13" t="s">
        <v>499</v>
      </c>
      <c r="G1441" s="13" t="s">
        <v>1134</v>
      </c>
      <c r="K1441" t="s">
        <v>413</v>
      </c>
      <c r="L1441" s="81">
        <f>+Municipios!U338</f>
        <v>33.674731927248068</v>
      </c>
      <c r="M1441" s="13">
        <v>15638</v>
      </c>
      <c r="N1441" s="13" t="s">
        <v>1133</v>
      </c>
      <c r="O1441" s="13" t="s">
        <v>498</v>
      </c>
      <c r="P1441" s="13" t="s">
        <v>499</v>
      </c>
      <c r="Q1441" s="13" t="s">
        <v>1134</v>
      </c>
      <c r="T1441" t="s">
        <v>2804</v>
      </c>
      <c r="U1441" s="25">
        <f>+Municipios!P338</f>
        <v>60.630671023809356</v>
      </c>
      <c r="V1441" s="13">
        <v>15638</v>
      </c>
      <c r="W1441" s="13" t="s">
        <v>1133</v>
      </c>
      <c r="X1441" s="13" t="s">
        <v>498</v>
      </c>
      <c r="Y1441" s="13" t="s">
        <v>499</v>
      </c>
      <c r="Z1441" s="13" t="s">
        <v>1134</v>
      </c>
    </row>
    <row r="1442" spans="1:26">
      <c r="A1442" t="s">
        <v>412</v>
      </c>
      <c r="B1442" s="25">
        <f>+Municipios!P339</f>
        <v>63.729768084918938</v>
      </c>
      <c r="C1442" s="13">
        <v>25815</v>
      </c>
      <c r="D1442" s="13" t="s">
        <v>1135</v>
      </c>
      <c r="E1442" s="13" t="s">
        <v>461</v>
      </c>
      <c r="F1442" s="13" t="s">
        <v>462</v>
      </c>
      <c r="G1442" s="13" t="s">
        <v>1136</v>
      </c>
      <c r="K1442" t="s">
        <v>413</v>
      </c>
      <c r="L1442" s="81">
        <f>+Municipios!U339</f>
        <v>34.692266275647071</v>
      </c>
      <c r="M1442" s="13">
        <v>25815</v>
      </c>
      <c r="N1442" s="13" t="s">
        <v>1135</v>
      </c>
      <c r="O1442" s="13" t="s">
        <v>461</v>
      </c>
      <c r="P1442" s="13" t="s">
        <v>462</v>
      </c>
      <c r="Q1442" s="13" t="s">
        <v>1136</v>
      </c>
      <c r="T1442" t="s">
        <v>2804</v>
      </c>
      <c r="U1442" s="25">
        <f>+Municipios!P339</f>
        <v>63.729768084918938</v>
      </c>
      <c r="V1442" s="13">
        <v>25815</v>
      </c>
      <c r="W1442" s="13" t="s">
        <v>1135</v>
      </c>
      <c r="X1442" s="13" t="s">
        <v>461</v>
      </c>
      <c r="Y1442" s="13" t="s">
        <v>462</v>
      </c>
      <c r="Z1442" s="13" t="s">
        <v>1136</v>
      </c>
    </row>
    <row r="1443" spans="1:26">
      <c r="A1443" t="s">
        <v>412</v>
      </c>
      <c r="B1443" s="25">
        <f>+Municipios!P340</f>
        <v>59.002018534533669</v>
      </c>
      <c r="C1443" s="13">
        <v>47288</v>
      </c>
      <c r="D1443" s="13" t="s">
        <v>1137</v>
      </c>
      <c r="E1443" s="13" t="s">
        <v>638</v>
      </c>
      <c r="F1443" s="13" t="s">
        <v>639</v>
      </c>
      <c r="G1443" s="13" t="s">
        <v>1138</v>
      </c>
      <c r="K1443" t="s">
        <v>413</v>
      </c>
      <c r="L1443" s="81">
        <f>+Municipios!U340</f>
        <v>32.665049804874272</v>
      </c>
      <c r="M1443" s="13">
        <v>47288</v>
      </c>
      <c r="N1443" s="13" t="s">
        <v>1137</v>
      </c>
      <c r="O1443" s="13" t="s">
        <v>638</v>
      </c>
      <c r="P1443" s="13" t="s">
        <v>639</v>
      </c>
      <c r="Q1443" s="13" t="s">
        <v>1138</v>
      </c>
      <c r="T1443" t="s">
        <v>2804</v>
      </c>
      <c r="U1443" s="25">
        <f>+Municipios!P340</f>
        <v>59.002018534533669</v>
      </c>
      <c r="V1443" s="13">
        <v>47288</v>
      </c>
      <c r="W1443" s="13" t="s">
        <v>1137</v>
      </c>
      <c r="X1443" s="13" t="s">
        <v>638</v>
      </c>
      <c r="Y1443" s="13" t="s">
        <v>639</v>
      </c>
      <c r="Z1443" s="13" t="s">
        <v>1138</v>
      </c>
    </row>
    <row r="1444" spans="1:26">
      <c r="A1444" t="s">
        <v>412</v>
      </c>
      <c r="B1444" s="25">
        <f>+Municipios!P341</f>
        <v>75.33208447376316</v>
      </c>
      <c r="C1444" s="13">
        <v>25178</v>
      </c>
      <c r="D1444" s="13" t="s">
        <v>1139</v>
      </c>
      <c r="E1444" s="13" t="s">
        <v>461</v>
      </c>
      <c r="F1444" s="13" t="s">
        <v>462</v>
      </c>
      <c r="G1444" s="13" t="s">
        <v>1140</v>
      </c>
      <c r="K1444" t="s">
        <v>413</v>
      </c>
      <c r="L1444" s="81">
        <f>+Municipios!U341</f>
        <v>41.048313937436646</v>
      </c>
      <c r="M1444" s="13">
        <v>25178</v>
      </c>
      <c r="N1444" s="13" t="s">
        <v>1139</v>
      </c>
      <c r="O1444" s="13" t="s">
        <v>461</v>
      </c>
      <c r="P1444" s="13" t="s">
        <v>462</v>
      </c>
      <c r="Q1444" s="13" t="s">
        <v>1140</v>
      </c>
      <c r="T1444" t="s">
        <v>2804</v>
      </c>
      <c r="U1444" s="25">
        <f>+Municipios!P341</f>
        <v>75.33208447376316</v>
      </c>
      <c r="V1444" s="13">
        <v>25178</v>
      </c>
      <c r="W1444" s="13" t="s">
        <v>1139</v>
      </c>
      <c r="X1444" s="13" t="s">
        <v>461</v>
      </c>
      <c r="Y1444" s="13" t="s">
        <v>462</v>
      </c>
      <c r="Z1444" s="13" t="s">
        <v>1140</v>
      </c>
    </row>
    <row r="1445" spans="1:26">
      <c r="A1445" t="s">
        <v>412</v>
      </c>
      <c r="B1445" s="25">
        <f>+Municipios!P342</f>
        <v>57.919345840216295</v>
      </c>
      <c r="C1445" s="13">
        <v>76828</v>
      </c>
      <c r="D1445" s="13" t="s">
        <v>1141</v>
      </c>
      <c r="E1445" s="13" t="s">
        <v>454</v>
      </c>
      <c r="F1445" s="13" t="s">
        <v>455</v>
      </c>
      <c r="G1445" s="13" t="s">
        <v>1142</v>
      </c>
      <c r="K1445" t="s">
        <v>413</v>
      </c>
      <c r="L1445" s="81">
        <f>+Municipios!U342</f>
        <v>31.939192838650641</v>
      </c>
      <c r="M1445" s="13">
        <v>76828</v>
      </c>
      <c r="N1445" s="13" t="s">
        <v>1141</v>
      </c>
      <c r="O1445" s="13" t="s">
        <v>454</v>
      </c>
      <c r="P1445" s="13" t="s">
        <v>455</v>
      </c>
      <c r="Q1445" s="13" t="s">
        <v>1142</v>
      </c>
      <c r="T1445" t="s">
        <v>2804</v>
      </c>
      <c r="U1445" s="25">
        <f>+Municipios!P342</f>
        <v>57.919345840216295</v>
      </c>
      <c r="V1445" s="13">
        <v>76828</v>
      </c>
      <c r="W1445" s="13" t="s">
        <v>1141</v>
      </c>
      <c r="X1445" s="13" t="s">
        <v>454</v>
      </c>
      <c r="Y1445" s="13" t="s">
        <v>455</v>
      </c>
      <c r="Z1445" s="13" t="s">
        <v>1142</v>
      </c>
    </row>
    <row r="1446" spans="1:26">
      <c r="A1446" t="s">
        <v>412</v>
      </c>
      <c r="B1446" s="25">
        <f>+Municipios!P343</f>
        <v>70.794027217324683</v>
      </c>
      <c r="C1446" s="13">
        <v>25224</v>
      </c>
      <c r="D1446" s="13" t="s">
        <v>1143</v>
      </c>
      <c r="E1446" s="13" t="s">
        <v>461</v>
      </c>
      <c r="F1446" s="13" t="s">
        <v>462</v>
      </c>
      <c r="G1446" s="13" t="s">
        <v>1144</v>
      </c>
      <c r="K1446" t="s">
        <v>413</v>
      </c>
      <c r="L1446" s="81">
        <f>+Municipios!U343</f>
        <v>38.456165057287414</v>
      </c>
      <c r="M1446" s="13">
        <v>25224</v>
      </c>
      <c r="N1446" s="13" t="s">
        <v>1143</v>
      </c>
      <c r="O1446" s="13" t="s">
        <v>461</v>
      </c>
      <c r="P1446" s="13" t="s">
        <v>462</v>
      </c>
      <c r="Q1446" s="13" t="s">
        <v>1144</v>
      </c>
      <c r="T1446" t="s">
        <v>2804</v>
      </c>
      <c r="U1446" s="25">
        <f>+Municipios!P343</f>
        <v>70.794027217324683</v>
      </c>
      <c r="V1446" s="13">
        <v>25224</v>
      </c>
      <c r="W1446" s="13" t="s">
        <v>1143</v>
      </c>
      <c r="X1446" s="13" t="s">
        <v>461</v>
      </c>
      <c r="Y1446" s="13" t="s">
        <v>462</v>
      </c>
      <c r="Z1446" s="13" t="s">
        <v>1144</v>
      </c>
    </row>
    <row r="1447" spans="1:26">
      <c r="A1447" t="s">
        <v>412</v>
      </c>
      <c r="B1447" s="25">
        <f>+Municipios!P344</f>
        <v>46.659762802641367</v>
      </c>
      <c r="C1447" s="13">
        <v>20060</v>
      </c>
      <c r="D1447" s="13" t="s">
        <v>1145</v>
      </c>
      <c r="E1447" s="13" t="s">
        <v>893</v>
      </c>
      <c r="F1447" s="13" t="s">
        <v>894</v>
      </c>
      <c r="G1447" s="13" t="s">
        <v>1146</v>
      </c>
      <c r="K1447" t="s">
        <v>413</v>
      </c>
      <c r="L1447" s="81">
        <f>+Municipios!U344</f>
        <v>25.8419493602456</v>
      </c>
      <c r="M1447" s="13">
        <v>20060</v>
      </c>
      <c r="N1447" s="13" t="s">
        <v>1145</v>
      </c>
      <c r="O1447" s="13" t="s">
        <v>893</v>
      </c>
      <c r="P1447" s="13" t="s">
        <v>894</v>
      </c>
      <c r="Q1447" s="13" t="s">
        <v>1146</v>
      </c>
      <c r="T1447" t="s">
        <v>2804</v>
      </c>
      <c r="U1447" s="25">
        <f>+Municipios!P344</f>
        <v>46.659762802641367</v>
      </c>
      <c r="V1447" s="13">
        <v>20060</v>
      </c>
      <c r="W1447" s="13" t="s">
        <v>1145</v>
      </c>
      <c r="X1447" s="13" t="s">
        <v>893</v>
      </c>
      <c r="Y1447" s="13" t="s">
        <v>894</v>
      </c>
      <c r="Z1447" s="13" t="s">
        <v>1146</v>
      </c>
    </row>
    <row r="1448" spans="1:26">
      <c r="A1448" t="s">
        <v>412</v>
      </c>
      <c r="B1448" s="25">
        <f>+Municipios!P345</f>
        <v>47.212858569146476</v>
      </c>
      <c r="C1448" s="13">
        <v>5659</v>
      </c>
      <c r="D1448" s="13" t="s">
        <v>1147</v>
      </c>
      <c r="E1448" s="13" t="s">
        <v>435</v>
      </c>
      <c r="F1448" s="13" t="s">
        <v>436</v>
      </c>
      <c r="G1448" s="13" t="s">
        <v>1148</v>
      </c>
      <c r="K1448" t="s">
        <v>413</v>
      </c>
      <c r="L1448" s="81">
        <f>+Municipios!U345</f>
        <v>25.616551663201047</v>
      </c>
      <c r="M1448" s="13">
        <v>5659</v>
      </c>
      <c r="N1448" s="13" t="s">
        <v>1147</v>
      </c>
      <c r="O1448" s="13" t="s">
        <v>435</v>
      </c>
      <c r="P1448" s="13" t="s">
        <v>436</v>
      </c>
      <c r="Q1448" s="13" t="s">
        <v>1148</v>
      </c>
      <c r="T1448" t="s">
        <v>2804</v>
      </c>
      <c r="U1448" s="25">
        <f>+Municipios!P345</f>
        <v>47.212858569146476</v>
      </c>
      <c r="V1448" s="13">
        <v>5659</v>
      </c>
      <c r="W1448" s="13" t="s">
        <v>1147</v>
      </c>
      <c r="X1448" s="13" t="s">
        <v>435</v>
      </c>
      <c r="Y1448" s="13" t="s">
        <v>436</v>
      </c>
      <c r="Z1448" s="13" t="s">
        <v>1148</v>
      </c>
    </row>
    <row r="1449" spans="1:26">
      <c r="A1449" t="s">
        <v>412</v>
      </c>
      <c r="B1449" s="25">
        <f>+Municipios!P346</f>
        <v>53.658294539210033</v>
      </c>
      <c r="C1449" s="13">
        <v>5197</v>
      </c>
      <c r="D1449" s="13" t="s">
        <v>1149</v>
      </c>
      <c r="E1449" s="13" t="s">
        <v>435</v>
      </c>
      <c r="F1449" s="13" t="s">
        <v>436</v>
      </c>
      <c r="G1449" s="13" t="s">
        <v>1150</v>
      </c>
      <c r="K1449" t="s">
        <v>413</v>
      </c>
      <c r="L1449" s="81">
        <f>+Municipios!U346</f>
        <v>29.376464454155077</v>
      </c>
      <c r="M1449" s="13">
        <v>5197</v>
      </c>
      <c r="N1449" s="13" t="s">
        <v>1149</v>
      </c>
      <c r="O1449" s="13" t="s">
        <v>435</v>
      </c>
      <c r="P1449" s="13" t="s">
        <v>436</v>
      </c>
      <c r="Q1449" s="13" t="s">
        <v>1150</v>
      </c>
      <c r="T1449" t="s">
        <v>2804</v>
      </c>
      <c r="U1449" s="25">
        <f>+Municipios!P346</f>
        <v>53.658294539210033</v>
      </c>
      <c r="V1449" s="13">
        <v>5197</v>
      </c>
      <c r="W1449" s="13" t="s">
        <v>1149</v>
      </c>
      <c r="X1449" s="13" t="s">
        <v>435</v>
      </c>
      <c r="Y1449" s="13" t="s">
        <v>436</v>
      </c>
      <c r="Z1449" s="13" t="s">
        <v>1150</v>
      </c>
    </row>
    <row r="1450" spans="1:26">
      <c r="A1450" t="s">
        <v>412</v>
      </c>
      <c r="B1450" s="25">
        <f>+Municipios!P347</f>
        <v>49.371375864052794</v>
      </c>
      <c r="C1450" s="13">
        <v>52240</v>
      </c>
      <c r="D1450" s="13" t="s">
        <v>1151</v>
      </c>
      <c r="E1450" s="13" t="s">
        <v>672</v>
      </c>
      <c r="F1450" s="13" t="s">
        <v>673</v>
      </c>
      <c r="G1450" s="13" t="s">
        <v>1152</v>
      </c>
      <c r="K1450" t="s">
        <v>413</v>
      </c>
      <c r="L1450" s="81">
        <f>+Municipios!U347</f>
        <v>27.329381676725543</v>
      </c>
      <c r="M1450" s="13">
        <v>52240</v>
      </c>
      <c r="N1450" s="13" t="s">
        <v>1151</v>
      </c>
      <c r="O1450" s="13" t="s">
        <v>672</v>
      </c>
      <c r="P1450" s="13" t="s">
        <v>673</v>
      </c>
      <c r="Q1450" s="13" t="s">
        <v>1152</v>
      </c>
      <c r="T1450" t="s">
        <v>2804</v>
      </c>
      <c r="U1450" s="25">
        <f>+Municipios!P347</f>
        <v>49.371375864052794</v>
      </c>
      <c r="V1450" s="13">
        <v>52240</v>
      </c>
      <c r="W1450" s="13" t="s">
        <v>1151</v>
      </c>
      <c r="X1450" s="13" t="s">
        <v>672</v>
      </c>
      <c r="Y1450" s="13" t="s">
        <v>673</v>
      </c>
      <c r="Z1450" s="13" t="s">
        <v>1152</v>
      </c>
    </row>
    <row r="1451" spans="1:26">
      <c r="A1451" t="s">
        <v>412</v>
      </c>
      <c r="B1451" s="25">
        <f>+Municipios!P348</f>
        <v>59.854836806365086</v>
      </c>
      <c r="C1451" s="13">
        <v>68872</v>
      </c>
      <c r="D1451" s="13" t="s">
        <v>1153</v>
      </c>
      <c r="E1451" s="13" t="s">
        <v>431</v>
      </c>
      <c r="F1451" s="13" t="s">
        <v>432</v>
      </c>
      <c r="G1451" s="13" t="s">
        <v>720</v>
      </c>
      <c r="K1451" t="s">
        <v>413</v>
      </c>
      <c r="L1451" s="81">
        <f>+Municipios!U348</f>
        <v>33.188212151859467</v>
      </c>
      <c r="M1451" s="13">
        <v>68872</v>
      </c>
      <c r="N1451" s="13" t="s">
        <v>1153</v>
      </c>
      <c r="O1451" s="13" t="s">
        <v>431</v>
      </c>
      <c r="P1451" s="13" t="s">
        <v>432</v>
      </c>
      <c r="Q1451" s="13" t="s">
        <v>720</v>
      </c>
      <c r="T1451" t="s">
        <v>2804</v>
      </c>
      <c r="U1451" s="25">
        <f>+Municipios!P348</f>
        <v>59.854836806365086</v>
      </c>
      <c r="V1451" s="13">
        <v>68872</v>
      </c>
      <c r="W1451" s="13" t="s">
        <v>1153</v>
      </c>
      <c r="X1451" s="13" t="s">
        <v>431</v>
      </c>
      <c r="Y1451" s="13" t="s">
        <v>432</v>
      </c>
      <c r="Z1451" s="13" t="s">
        <v>720</v>
      </c>
    </row>
    <row r="1452" spans="1:26">
      <c r="A1452" t="s">
        <v>412</v>
      </c>
      <c r="B1452" s="25">
        <f>+Municipios!P349</f>
        <v>69.190737085221315</v>
      </c>
      <c r="C1452" s="13">
        <v>25867</v>
      </c>
      <c r="D1452" s="13" t="s">
        <v>1154</v>
      </c>
      <c r="E1452" s="13" t="s">
        <v>461</v>
      </c>
      <c r="F1452" s="13" t="s">
        <v>462</v>
      </c>
      <c r="G1452" s="13" t="s">
        <v>1155</v>
      </c>
      <c r="K1452" t="s">
        <v>413</v>
      </c>
      <c r="L1452" s="81">
        <f>+Municipios!U349</f>
        <v>37.494542647134473</v>
      </c>
      <c r="M1452" s="13">
        <v>25867</v>
      </c>
      <c r="N1452" s="13" t="s">
        <v>1154</v>
      </c>
      <c r="O1452" s="13" t="s">
        <v>461</v>
      </c>
      <c r="P1452" s="13" t="s">
        <v>462</v>
      </c>
      <c r="Q1452" s="13" t="s">
        <v>1155</v>
      </c>
      <c r="T1452" t="s">
        <v>2804</v>
      </c>
      <c r="U1452" s="25">
        <f>+Municipios!P349</f>
        <v>69.190737085221315</v>
      </c>
      <c r="V1452" s="13">
        <v>25867</v>
      </c>
      <c r="W1452" s="13" t="s">
        <v>1154</v>
      </c>
      <c r="X1452" s="13" t="s">
        <v>461</v>
      </c>
      <c r="Y1452" s="13" t="s">
        <v>462</v>
      </c>
      <c r="Z1452" s="13" t="s">
        <v>1155</v>
      </c>
    </row>
    <row r="1453" spans="1:26">
      <c r="A1453" t="s">
        <v>412</v>
      </c>
      <c r="B1453" s="25">
        <f>+Municipios!P350</f>
        <v>53.519987528245025</v>
      </c>
      <c r="C1453" s="13">
        <v>19473</v>
      </c>
      <c r="D1453" s="13" t="s">
        <v>1156</v>
      </c>
      <c r="E1453" s="13" t="s">
        <v>557</v>
      </c>
      <c r="F1453" s="13" t="s">
        <v>558</v>
      </c>
      <c r="G1453" s="13" t="s">
        <v>1157</v>
      </c>
      <c r="K1453" t="s">
        <v>413</v>
      </c>
      <c r="L1453" s="81">
        <f>+Municipios!U350</f>
        <v>29.632137521876057</v>
      </c>
      <c r="M1453" s="13">
        <v>19473</v>
      </c>
      <c r="N1453" s="13" t="s">
        <v>1156</v>
      </c>
      <c r="O1453" s="13" t="s">
        <v>557</v>
      </c>
      <c r="P1453" s="13" t="s">
        <v>558</v>
      </c>
      <c r="Q1453" s="13" t="s">
        <v>1157</v>
      </c>
      <c r="T1453" t="s">
        <v>2804</v>
      </c>
      <c r="U1453" s="25">
        <f>+Municipios!P350</f>
        <v>53.519987528245025</v>
      </c>
      <c r="V1453" s="13">
        <v>19473</v>
      </c>
      <c r="W1453" s="13" t="s">
        <v>1156</v>
      </c>
      <c r="X1453" s="13" t="s">
        <v>557</v>
      </c>
      <c r="Y1453" s="13" t="s">
        <v>558</v>
      </c>
      <c r="Z1453" s="13" t="s">
        <v>1157</v>
      </c>
    </row>
    <row r="1454" spans="1:26">
      <c r="A1454" t="s">
        <v>412</v>
      </c>
      <c r="B1454" s="25">
        <f>+Municipios!P351</f>
        <v>56.971037987358251</v>
      </c>
      <c r="C1454" s="13">
        <v>19130</v>
      </c>
      <c r="D1454" s="13" t="s">
        <v>1158</v>
      </c>
      <c r="E1454" s="13" t="s">
        <v>557</v>
      </c>
      <c r="F1454" s="13" t="s">
        <v>558</v>
      </c>
      <c r="G1454" s="13" t="s">
        <v>1159</v>
      </c>
      <c r="K1454" t="s">
        <v>413</v>
      </c>
      <c r="L1454" s="81">
        <f>+Municipios!U351</f>
        <v>31.31365917154146</v>
      </c>
      <c r="M1454" s="13">
        <v>19130</v>
      </c>
      <c r="N1454" s="13" t="s">
        <v>1158</v>
      </c>
      <c r="O1454" s="13" t="s">
        <v>557</v>
      </c>
      <c r="P1454" s="13" t="s">
        <v>558</v>
      </c>
      <c r="Q1454" s="13" t="s">
        <v>1159</v>
      </c>
      <c r="T1454" t="s">
        <v>2804</v>
      </c>
      <c r="U1454" s="25">
        <f>+Municipios!P351</f>
        <v>56.971037987358251</v>
      </c>
      <c r="V1454" s="13">
        <v>19130</v>
      </c>
      <c r="W1454" s="13" t="s">
        <v>1158</v>
      </c>
      <c r="X1454" s="13" t="s">
        <v>557</v>
      </c>
      <c r="Y1454" s="13" t="s">
        <v>558</v>
      </c>
      <c r="Z1454" s="13" t="s">
        <v>1159</v>
      </c>
    </row>
    <row r="1455" spans="1:26">
      <c r="A1455" t="s">
        <v>412</v>
      </c>
      <c r="B1455" s="25">
        <f>+Municipios!P352</f>
        <v>55.185251399677931</v>
      </c>
      <c r="C1455" s="13">
        <v>15189</v>
      </c>
      <c r="D1455" s="13" t="s">
        <v>1160</v>
      </c>
      <c r="E1455" s="13" t="s">
        <v>498</v>
      </c>
      <c r="F1455" s="13" t="s">
        <v>499</v>
      </c>
      <c r="G1455" s="13" t="s">
        <v>1161</v>
      </c>
      <c r="K1455" t="s">
        <v>413</v>
      </c>
      <c r="L1455" s="81">
        <f>+Municipios!U352</f>
        <v>29.908708789444706</v>
      </c>
      <c r="M1455" s="13">
        <v>15189</v>
      </c>
      <c r="N1455" s="13" t="s">
        <v>1160</v>
      </c>
      <c r="O1455" s="13" t="s">
        <v>498</v>
      </c>
      <c r="P1455" s="13" t="s">
        <v>499</v>
      </c>
      <c r="Q1455" s="13" t="s">
        <v>1161</v>
      </c>
      <c r="T1455" t="s">
        <v>2804</v>
      </c>
      <c r="U1455" s="25">
        <f>+Municipios!P352</f>
        <v>55.185251399677931</v>
      </c>
      <c r="V1455" s="13">
        <v>15189</v>
      </c>
      <c r="W1455" s="13" t="s">
        <v>1160</v>
      </c>
      <c r="X1455" s="13" t="s">
        <v>498</v>
      </c>
      <c r="Y1455" s="13" t="s">
        <v>499</v>
      </c>
      <c r="Z1455" s="13" t="s">
        <v>1161</v>
      </c>
    </row>
    <row r="1456" spans="1:26">
      <c r="A1456" t="s">
        <v>412</v>
      </c>
      <c r="B1456" s="25">
        <f>+Municipios!P353</f>
        <v>61.899980532715858</v>
      </c>
      <c r="C1456" s="13">
        <v>73319</v>
      </c>
      <c r="D1456" s="13" t="s">
        <v>1162</v>
      </c>
      <c r="E1456" s="13" t="s">
        <v>595</v>
      </c>
      <c r="F1456" s="13" t="s">
        <v>596</v>
      </c>
      <c r="G1456" s="13" t="s">
        <v>1163</v>
      </c>
      <c r="K1456" t="s">
        <v>413</v>
      </c>
      <c r="L1456" s="81">
        <f>+Municipios!U353</f>
        <v>33.927804498072852</v>
      </c>
      <c r="M1456" s="13">
        <v>73319</v>
      </c>
      <c r="N1456" s="13" t="s">
        <v>1162</v>
      </c>
      <c r="O1456" s="13" t="s">
        <v>595</v>
      </c>
      <c r="P1456" s="13" t="s">
        <v>596</v>
      </c>
      <c r="Q1456" s="13" t="s">
        <v>1163</v>
      </c>
      <c r="T1456" t="s">
        <v>2804</v>
      </c>
      <c r="U1456" s="25">
        <f>+Municipios!P353</f>
        <v>61.899980532715858</v>
      </c>
      <c r="V1456" s="13">
        <v>73319</v>
      </c>
      <c r="W1456" s="13" t="s">
        <v>1162</v>
      </c>
      <c r="X1456" s="13" t="s">
        <v>595</v>
      </c>
      <c r="Y1456" s="13" t="s">
        <v>596</v>
      </c>
      <c r="Z1456" s="13" t="s">
        <v>1163</v>
      </c>
    </row>
    <row r="1457" spans="1:26">
      <c r="A1457" t="s">
        <v>412</v>
      </c>
      <c r="B1457" s="25">
        <f>+Municipios!P354</f>
        <v>56.013543364714607</v>
      </c>
      <c r="C1457" s="13">
        <v>44001</v>
      </c>
      <c r="D1457" s="13" t="s">
        <v>1164</v>
      </c>
      <c r="E1457" s="13" t="s">
        <v>933</v>
      </c>
      <c r="F1457" s="13" t="s">
        <v>934</v>
      </c>
      <c r="G1457" s="13" t="s">
        <v>1165</v>
      </c>
      <c r="K1457" t="s">
        <v>413</v>
      </c>
      <c r="L1457" s="81">
        <f>+Municipios!U354</f>
        <v>30.286845945458317</v>
      </c>
      <c r="M1457" s="13">
        <v>44001</v>
      </c>
      <c r="N1457" s="13" t="s">
        <v>1164</v>
      </c>
      <c r="O1457" s="13" t="s">
        <v>933</v>
      </c>
      <c r="P1457" s="13" t="s">
        <v>934</v>
      </c>
      <c r="Q1457" s="13" t="s">
        <v>1165</v>
      </c>
      <c r="T1457" t="s">
        <v>2804</v>
      </c>
      <c r="U1457" s="25">
        <f>+Municipios!P354</f>
        <v>56.013543364714607</v>
      </c>
      <c r="V1457" s="13">
        <v>44001</v>
      </c>
      <c r="W1457" s="13" t="s">
        <v>1164</v>
      </c>
      <c r="X1457" s="13" t="s">
        <v>933</v>
      </c>
      <c r="Y1457" s="13" t="s">
        <v>934</v>
      </c>
      <c r="Z1457" s="13" t="s">
        <v>1165</v>
      </c>
    </row>
    <row r="1458" spans="1:26">
      <c r="A1458" t="s">
        <v>412</v>
      </c>
      <c r="B1458" s="25">
        <f>+Municipios!P355</f>
        <v>61.827374847313919</v>
      </c>
      <c r="C1458" s="13">
        <v>25183</v>
      </c>
      <c r="D1458" s="13" t="s">
        <v>1166</v>
      </c>
      <c r="E1458" s="13" t="s">
        <v>461</v>
      </c>
      <c r="F1458" s="13" t="s">
        <v>462</v>
      </c>
      <c r="G1458" s="13" t="s">
        <v>1167</v>
      </c>
      <c r="K1458" t="s">
        <v>413</v>
      </c>
      <c r="L1458" s="81">
        <f>+Municipios!U355</f>
        <v>33.421871982515299</v>
      </c>
      <c r="M1458" s="13">
        <v>25183</v>
      </c>
      <c r="N1458" s="13" t="s">
        <v>1166</v>
      </c>
      <c r="O1458" s="13" t="s">
        <v>461</v>
      </c>
      <c r="P1458" s="13" t="s">
        <v>462</v>
      </c>
      <c r="Q1458" s="13" t="s">
        <v>1167</v>
      </c>
      <c r="T1458" t="s">
        <v>2804</v>
      </c>
      <c r="U1458" s="25">
        <f>+Municipios!P355</f>
        <v>61.827374847313919</v>
      </c>
      <c r="V1458" s="13">
        <v>25183</v>
      </c>
      <c r="W1458" s="13" t="s">
        <v>1166</v>
      </c>
      <c r="X1458" s="13" t="s">
        <v>461</v>
      </c>
      <c r="Y1458" s="13" t="s">
        <v>462</v>
      </c>
      <c r="Z1458" s="13" t="s">
        <v>1167</v>
      </c>
    </row>
    <row r="1459" spans="1:26">
      <c r="A1459" t="s">
        <v>412</v>
      </c>
      <c r="B1459" s="25">
        <f>+Municipios!P356</f>
        <v>59.665046024032847</v>
      </c>
      <c r="C1459" s="13">
        <v>17433</v>
      </c>
      <c r="D1459" s="13" t="s">
        <v>1168</v>
      </c>
      <c r="E1459" s="13" t="s">
        <v>506</v>
      </c>
      <c r="F1459" s="13" t="s">
        <v>507</v>
      </c>
      <c r="G1459" s="13" t="s">
        <v>1169</v>
      </c>
      <c r="K1459" t="s">
        <v>413</v>
      </c>
      <c r="L1459" s="81">
        <f>+Municipios!U356</f>
        <v>32.344091652683161</v>
      </c>
      <c r="M1459" s="13">
        <v>17433</v>
      </c>
      <c r="N1459" s="13" t="s">
        <v>1168</v>
      </c>
      <c r="O1459" s="13" t="s">
        <v>506</v>
      </c>
      <c r="P1459" s="13" t="s">
        <v>507</v>
      </c>
      <c r="Q1459" s="13" t="s">
        <v>1169</v>
      </c>
      <c r="T1459" t="s">
        <v>2804</v>
      </c>
      <c r="U1459" s="25">
        <f>+Municipios!P356</f>
        <v>59.665046024032847</v>
      </c>
      <c r="V1459" s="13">
        <v>17433</v>
      </c>
      <c r="W1459" s="13" t="s">
        <v>1168</v>
      </c>
      <c r="X1459" s="13" t="s">
        <v>506</v>
      </c>
      <c r="Y1459" s="13" t="s">
        <v>507</v>
      </c>
      <c r="Z1459" s="13" t="s">
        <v>1169</v>
      </c>
    </row>
    <row r="1460" spans="1:26">
      <c r="A1460" t="s">
        <v>412</v>
      </c>
      <c r="B1460" s="25">
        <f>+Municipios!P357</f>
        <v>49.854681743095362</v>
      </c>
      <c r="C1460" s="13">
        <v>23678</v>
      </c>
      <c r="D1460" s="13" t="s">
        <v>1170</v>
      </c>
      <c r="E1460" s="13" t="s">
        <v>567</v>
      </c>
      <c r="F1460" s="13" t="s">
        <v>568</v>
      </c>
      <c r="G1460" s="13" t="s">
        <v>1171</v>
      </c>
      <c r="K1460" t="s">
        <v>413</v>
      </c>
      <c r="L1460" s="81">
        <f>+Municipios!U357</f>
        <v>27.351771495822383</v>
      </c>
      <c r="M1460" s="13">
        <v>23678</v>
      </c>
      <c r="N1460" s="13" t="s">
        <v>1170</v>
      </c>
      <c r="O1460" s="13" t="s">
        <v>567</v>
      </c>
      <c r="P1460" s="13" t="s">
        <v>568</v>
      </c>
      <c r="Q1460" s="13" t="s">
        <v>1171</v>
      </c>
      <c r="T1460" t="s">
        <v>2804</v>
      </c>
      <c r="U1460" s="25">
        <f>+Municipios!P357</f>
        <v>49.854681743095362</v>
      </c>
      <c r="V1460" s="13">
        <v>23678</v>
      </c>
      <c r="W1460" s="13" t="s">
        <v>1170</v>
      </c>
      <c r="X1460" s="13" t="s">
        <v>567</v>
      </c>
      <c r="Y1460" s="13" t="s">
        <v>568</v>
      </c>
      <c r="Z1460" s="13" t="s">
        <v>1171</v>
      </c>
    </row>
    <row r="1461" spans="1:26">
      <c r="A1461" t="s">
        <v>412</v>
      </c>
      <c r="B1461" s="25">
        <f>+Municipios!P358</f>
        <v>67.131944674029683</v>
      </c>
      <c r="C1461" s="13">
        <v>15299</v>
      </c>
      <c r="D1461" s="13" t="s">
        <v>1172</v>
      </c>
      <c r="E1461" s="13" t="s">
        <v>498</v>
      </c>
      <c r="F1461" s="13" t="s">
        <v>499</v>
      </c>
      <c r="G1461" s="13" t="s">
        <v>1173</v>
      </c>
      <c r="K1461" t="s">
        <v>413</v>
      </c>
      <c r="L1461" s="81">
        <f>+Municipios!U358</f>
        <v>36.852701105309364</v>
      </c>
      <c r="M1461" s="13">
        <v>15299</v>
      </c>
      <c r="N1461" s="13" t="s">
        <v>1172</v>
      </c>
      <c r="O1461" s="13" t="s">
        <v>498</v>
      </c>
      <c r="P1461" s="13" t="s">
        <v>499</v>
      </c>
      <c r="Q1461" s="13" t="s">
        <v>1173</v>
      </c>
      <c r="T1461" t="s">
        <v>2804</v>
      </c>
      <c r="U1461" s="25">
        <f>+Municipios!P358</f>
        <v>67.131944674029683</v>
      </c>
      <c r="V1461" s="13">
        <v>15299</v>
      </c>
      <c r="W1461" s="13" t="s">
        <v>1172</v>
      </c>
      <c r="X1461" s="13" t="s">
        <v>498</v>
      </c>
      <c r="Y1461" s="13" t="s">
        <v>499</v>
      </c>
      <c r="Z1461" s="13" t="s">
        <v>1173</v>
      </c>
    </row>
    <row r="1462" spans="1:26">
      <c r="A1462" t="s">
        <v>412</v>
      </c>
      <c r="B1462" s="25">
        <f>+Municipios!P359</f>
        <v>54.510660809363202</v>
      </c>
      <c r="C1462" s="13">
        <v>47245</v>
      </c>
      <c r="D1462" s="13" t="s">
        <v>1174</v>
      </c>
      <c r="E1462" s="13" t="s">
        <v>638</v>
      </c>
      <c r="F1462" s="13" t="s">
        <v>639</v>
      </c>
      <c r="G1462" s="13" t="s">
        <v>1175</v>
      </c>
      <c r="K1462" t="s">
        <v>413</v>
      </c>
      <c r="L1462" s="81">
        <f>+Municipios!U359</f>
        <v>29.992284039308633</v>
      </c>
      <c r="M1462" s="13">
        <v>47245</v>
      </c>
      <c r="N1462" s="13" t="s">
        <v>1174</v>
      </c>
      <c r="O1462" s="13" t="s">
        <v>638</v>
      </c>
      <c r="P1462" s="13" t="s">
        <v>639</v>
      </c>
      <c r="Q1462" s="13" t="s">
        <v>1175</v>
      </c>
      <c r="T1462" t="s">
        <v>2804</v>
      </c>
      <c r="U1462" s="25">
        <f>+Municipios!P359</f>
        <v>54.510660809363202</v>
      </c>
      <c r="V1462" s="13">
        <v>47245</v>
      </c>
      <c r="W1462" s="13" t="s">
        <v>1174</v>
      </c>
      <c r="X1462" s="13" t="s">
        <v>638</v>
      </c>
      <c r="Y1462" s="13" t="s">
        <v>639</v>
      </c>
      <c r="Z1462" s="13" t="s">
        <v>1175</v>
      </c>
    </row>
    <row r="1463" spans="1:26">
      <c r="A1463" t="s">
        <v>412</v>
      </c>
      <c r="B1463" s="25">
        <f>+Municipios!P360</f>
        <v>62.630302037250587</v>
      </c>
      <c r="C1463" s="13">
        <v>5172</v>
      </c>
      <c r="D1463" s="13" t="s">
        <v>1176</v>
      </c>
      <c r="E1463" s="13" t="s">
        <v>435</v>
      </c>
      <c r="F1463" s="13" t="s">
        <v>436</v>
      </c>
      <c r="G1463" s="13" t="s">
        <v>1177</v>
      </c>
      <c r="K1463" t="s">
        <v>413</v>
      </c>
      <c r="L1463" s="81">
        <f>+Municipios!U360</f>
        <v>33.964758447300383</v>
      </c>
      <c r="M1463" s="13">
        <v>5172</v>
      </c>
      <c r="N1463" s="13" t="s">
        <v>1176</v>
      </c>
      <c r="O1463" s="13" t="s">
        <v>435</v>
      </c>
      <c r="P1463" s="13" t="s">
        <v>436</v>
      </c>
      <c r="Q1463" s="13" t="s">
        <v>1177</v>
      </c>
      <c r="T1463" t="s">
        <v>2804</v>
      </c>
      <c r="U1463" s="25">
        <f>+Municipios!P360</f>
        <v>62.630302037250587</v>
      </c>
      <c r="V1463" s="13">
        <v>5172</v>
      </c>
      <c r="W1463" s="13" t="s">
        <v>1176</v>
      </c>
      <c r="X1463" s="13" t="s">
        <v>435</v>
      </c>
      <c r="Y1463" s="13" t="s">
        <v>436</v>
      </c>
      <c r="Z1463" s="13" t="s">
        <v>1177</v>
      </c>
    </row>
    <row r="1464" spans="1:26">
      <c r="A1464" t="s">
        <v>412</v>
      </c>
      <c r="B1464" s="25">
        <f>+Municipios!P361</f>
        <v>69.136074089653349</v>
      </c>
      <c r="C1464" s="13">
        <v>50006</v>
      </c>
      <c r="D1464" s="13" t="s">
        <v>1178</v>
      </c>
      <c r="E1464" s="13" t="s">
        <v>605</v>
      </c>
      <c r="F1464" s="13" t="s">
        <v>606</v>
      </c>
      <c r="G1464" s="13" t="s">
        <v>1179</v>
      </c>
      <c r="K1464" t="s">
        <v>413</v>
      </c>
      <c r="L1464" s="81">
        <f>+Municipios!U361</f>
        <v>37.541153887109026</v>
      </c>
      <c r="M1464" s="13">
        <v>50006</v>
      </c>
      <c r="N1464" s="13" t="s">
        <v>1178</v>
      </c>
      <c r="O1464" s="13" t="s">
        <v>605</v>
      </c>
      <c r="P1464" s="13" t="s">
        <v>606</v>
      </c>
      <c r="Q1464" s="13" t="s">
        <v>1179</v>
      </c>
      <c r="T1464" t="s">
        <v>2804</v>
      </c>
      <c r="U1464" s="25">
        <f>+Municipios!P361</f>
        <v>69.136074089653349</v>
      </c>
      <c r="V1464" s="13">
        <v>50006</v>
      </c>
      <c r="W1464" s="13" t="s">
        <v>1178</v>
      </c>
      <c r="X1464" s="13" t="s">
        <v>605</v>
      </c>
      <c r="Y1464" s="13" t="s">
        <v>606</v>
      </c>
      <c r="Z1464" s="13" t="s">
        <v>1179</v>
      </c>
    </row>
    <row r="1465" spans="1:26">
      <c r="A1465" t="s">
        <v>412</v>
      </c>
      <c r="B1465" s="25">
        <f>+Municipios!P362</f>
        <v>55.86275230867718</v>
      </c>
      <c r="C1465" s="13">
        <v>52320</v>
      </c>
      <c r="D1465" s="13" t="s">
        <v>1180</v>
      </c>
      <c r="E1465" s="13" t="s">
        <v>672</v>
      </c>
      <c r="F1465" s="13" t="s">
        <v>673</v>
      </c>
      <c r="G1465" s="13" t="s">
        <v>1181</v>
      </c>
      <c r="K1465" t="s">
        <v>413</v>
      </c>
      <c r="L1465" s="81">
        <f>+Municipios!U362</f>
        <v>30.437761294323121</v>
      </c>
      <c r="M1465" s="13">
        <v>52320</v>
      </c>
      <c r="N1465" s="13" t="s">
        <v>1180</v>
      </c>
      <c r="O1465" s="13" t="s">
        <v>672</v>
      </c>
      <c r="P1465" s="13" t="s">
        <v>673</v>
      </c>
      <c r="Q1465" s="13" t="s">
        <v>1181</v>
      </c>
      <c r="T1465" t="s">
        <v>2804</v>
      </c>
      <c r="U1465" s="25">
        <f>+Municipios!P362</f>
        <v>55.86275230867718</v>
      </c>
      <c r="V1465" s="13">
        <v>52320</v>
      </c>
      <c r="W1465" s="13" t="s">
        <v>1180</v>
      </c>
      <c r="X1465" s="13" t="s">
        <v>672</v>
      </c>
      <c r="Y1465" s="13" t="s">
        <v>673</v>
      </c>
      <c r="Z1465" s="13" t="s">
        <v>1181</v>
      </c>
    </row>
    <row r="1466" spans="1:26">
      <c r="A1466" t="s">
        <v>412</v>
      </c>
      <c r="B1466" s="25">
        <f>+Municipios!P363</f>
        <v>58.609893505038841</v>
      </c>
      <c r="C1466" s="13">
        <v>17388</v>
      </c>
      <c r="D1466" s="13" t="s">
        <v>1182</v>
      </c>
      <c r="E1466" s="13" t="s">
        <v>506</v>
      </c>
      <c r="F1466" s="13" t="s">
        <v>507</v>
      </c>
      <c r="G1466" s="13" t="s">
        <v>1183</v>
      </c>
      <c r="K1466" t="s">
        <v>413</v>
      </c>
      <c r="L1466" s="81">
        <f>+Municipios!U363</f>
        <v>31.745730041800034</v>
      </c>
      <c r="M1466" s="13">
        <v>17388</v>
      </c>
      <c r="N1466" s="13" t="s">
        <v>1182</v>
      </c>
      <c r="O1466" s="13" t="s">
        <v>506</v>
      </c>
      <c r="P1466" s="13" t="s">
        <v>507</v>
      </c>
      <c r="Q1466" s="13" t="s">
        <v>1183</v>
      </c>
      <c r="T1466" t="s">
        <v>2804</v>
      </c>
      <c r="U1466" s="25">
        <f>+Municipios!P363</f>
        <v>58.609893505038841</v>
      </c>
      <c r="V1466" s="13">
        <v>17388</v>
      </c>
      <c r="W1466" s="13" t="s">
        <v>1182</v>
      </c>
      <c r="X1466" s="13" t="s">
        <v>506</v>
      </c>
      <c r="Y1466" s="13" t="s">
        <v>507</v>
      </c>
      <c r="Z1466" s="13" t="s">
        <v>1183</v>
      </c>
    </row>
    <row r="1467" spans="1:26">
      <c r="A1467" t="s">
        <v>412</v>
      </c>
      <c r="B1467" s="25">
        <f>+Municipios!P364</f>
        <v>55.079465651988528</v>
      </c>
      <c r="C1467" s="13">
        <v>19821</v>
      </c>
      <c r="D1467" s="13" t="s">
        <v>1184</v>
      </c>
      <c r="E1467" s="13" t="s">
        <v>557</v>
      </c>
      <c r="F1467" s="13" t="s">
        <v>558</v>
      </c>
      <c r="G1467" s="13" t="s">
        <v>1185</v>
      </c>
      <c r="K1467" t="s">
        <v>413</v>
      </c>
      <c r="L1467" s="81">
        <f>+Municipios!U364</f>
        <v>30.326798071123552</v>
      </c>
      <c r="M1467" s="13">
        <v>19821</v>
      </c>
      <c r="N1467" s="13" t="s">
        <v>1184</v>
      </c>
      <c r="O1467" s="13" t="s">
        <v>557</v>
      </c>
      <c r="P1467" s="13" t="s">
        <v>558</v>
      </c>
      <c r="Q1467" s="13" t="s">
        <v>1185</v>
      </c>
      <c r="T1467" t="s">
        <v>2804</v>
      </c>
      <c r="U1467" s="25">
        <f>+Municipios!P364</f>
        <v>55.079465651988528</v>
      </c>
      <c r="V1467" s="13">
        <v>19821</v>
      </c>
      <c r="W1467" s="13" t="s">
        <v>1184</v>
      </c>
      <c r="X1467" s="13" t="s">
        <v>557</v>
      </c>
      <c r="Y1467" s="13" t="s">
        <v>558</v>
      </c>
      <c r="Z1467" s="13" t="s">
        <v>1185</v>
      </c>
    </row>
    <row r="1468" spans="1:26">
      <c r="A1468" t="s">
        <v>412</v>
      </c>
      <c r="B1468" s="25">
        <f>+Municipios!P365</f>
        <v>54.75663446668905</v>
      </c>
      <c r="C1468" s="13">
        <v>17050</v>
      </c>
      <c r="D1468" s="13" t="s">
        <v>1186</v>
      </c>
      <c r="E1468" s="13" t="s">
        <v>506</v>
      </c>
      <c r="F1468" s="13" t="s">
        <v>507</v>
      </c>
      <c r="G1468" s="13" t="s">
        <v>1187</v>
      </c>
      <c r="K1468" t="s">
        <v>413</v>
      </c>
      <c r="L1468" s="81">
        <f>+Municipios!U365</f>
        <v>29.940184454743605</v>
      </c>
      <c r="M1468" s="13">
        <v>17050</v>
      </c>
      <c r="N1468" s="13" t="s">
        <v>1186</v>
      </c>
      <c r="O1468" s="13" t="s">
        <v>506</v>
      </c>
      <c r="P1468" s="13" t="s">
        <v>507</v>
      </c>
      <c r="Q1468" s="13" t="s">
        <v>1187</v>
      </c>
      <c r="T1468" t="s">
        <v>2804</v>
      </c>
      <c r="U1468" s="25">
        <f>+Municipios!P365</f>
        <v>54.75663446668905</v>
      </c>
      <c r="V1468" s="13">
        <v>17050</v>
      </c>
      <c r="W1468" s="13" t="s">
        <v>1186</v>
      </c>
      <c r="X1468" s="13" t="s">
        <v>506</v>
      </c>
      <c r="Y1468" s="13" t="s">
        <v>507</v>
      </c>
      <c r="Z1468" s="13" t="s">
        <v>1187</v>
      </c>
    </row>
    <row r="1469" spans="1:26">
      <c r="A1469" t="s">
        <v>412</v>
      </c>
      <c r="B1469" s="25">
        <f>+Municipios!P366</f>
        <v>59.854279347774991</v>
      </c>
      <c r="C1469" s="13">
        <v>52354</v>
      </c>
      <c r="D1469" s="13" t="s">
        <v>1188</v>
      </c>
      <c r="E1469" s="13" t="s">
        <v>672</v>
      </c>
      <c r="F1469" s="13" t="s">
        <v>673</v>
      </c>
      <c r="G1469" s="13" t="s">
        <v>1189</v>
      </c>
      <c r="K1469" t="s">
        <v>413</v>
      </c>
      <c r="L1469" s="81">
        <f>+Municipios!U366</f>
        <v>32.601028273163728</v>
      </c>
      <c r="M1469" s="13">
        <v>52354</v>
      </c>
      <c r="N1469" s="13" t="s">
        <v>1188</v>
      </c>
      <c r="O1469" s="13" t="s">
        <v>672</v>
      </c>
      <c r="P1469" s="13" t="s">
        <v>673</v>
      </c>
      <c r="Q1469" s="13" t="s">
        <v>1189</v>
      </c>
      <c r="T1469" t="s">
        <v>2804</v>
      </c>
      <c r="U1469" s="25">
        <f>+Municipios!P366</f>
        <v>59.854279347774991</v>
      </c>
      <c r="V1469" s="13">
        <v>52354</v>
      </c>
      <c r="W1469" s="13" t="s">
        <v>1188</v>
      </c>
      <c r="X1469" s="13" t="s">
        <v>672</v>
      </c>
      <c r="Y1469" s="13" t="s">
        <v>673</v>
      </c>
      <c r="Z1469" s="13" t="s">
        <v>1189</v>
      </c>
    </row>
    <row r="1470" spans="1:26">
      <c r="A1470" t="s">
        <v>412</v>
      </c>
      <c r="B1470" s="25">
        <f>+Municipios!P367</f>
        <v>50.479463856758855</v>
      </c>
      <c r="C1470" s="13">
        <v>15599</v>
      </c>
      <c r="D1470" s="13" t="s">
        <v>1190</v>
      </c>
      <c r="E1470" s="13" t="s">
        <v>498</v>
      </c>
      <c r="F1470" s="13" t="s">
        <v>499</v>
      </c>
      <c r="G1470" s="13" t="s">
        <v>1191</v>
      </c>
      <c r="K1470" t="s">
        <v>413</v>
      </c>
      <c r="L1470" s="81">
        <f>+Municipios!U367</f>
        <v>27.298399578513035</v>
      </c>
      <c r="M1470" s="13">
        <v>15599</v>
      </c>
      <c r="N1470" s="13" t="s">
        <v>1190</v>
      </c>
      <c r="O1470" s="13" t="s">
        <v>498</v>
      </c>
      <c r="P1470" s="13" t="s">
        <v>499</v>
      </c>
      <c r="Q1470" s="13" t="s">
        <v>1191</v>
      </c>
      <c r="T1470" t="s">
        <v>2804</v>
      </c>
      <c r="U1470" s="25">
        <f>+Municipios!P367</f>
        <v>50.479463856758855</v>
      </c>
      <c r="V1470" s="13">
        <v>15599</v>
      </c>
      <c r="W1470" s="13" t="s">
        <v>1190</v>
      </c>
      <c r="X1470" s="13" t="s">
        <v>498</v>
      </c>
      <c r="Y1470" s="13" t="s">
        <v>499</v>
      </c>
      <c r="Z1470" s="13" t="s">
        <v>1191</v>
      </c>
    </row>
    <row r="1471" spans="1:26">
      <c r="A1471" t="s">
        <v>412</v>
      </c>
      <c r="B1471" s="25">
        <f>+Municipios!P368</f>
        <v>51.488010194238754</v>
      </c>
      <c r="C1471" s="13">
        <v>20443</v>
      </c>
      <c r="D1471" s="13" t="s">
        <v>1192</v>
      </c>
      <c r="E1471" s="13" t="s">
        <v>893</v>
      </c>
      <c r="F1471" s="13" t="s">
        <v>894</v>
      </c>
      <c r="G1471" s="13" t="s">
        <v>1193</v>
      </c>
      <c r="K1471" t="s">
        <v>413</v>
      </c>
      <c r="L1471" s="81">
        <f>+Municipios!U368</f>
        <v>28.147527145928855</v>
      </c>
      <c r="M1471" s="13">
        <v>20443</v>
      </c>
      <c r="N1471" s="13" t="s">
        <v>1192</v>
      </c>
      <c r="O1471" s="13" t="s">
        <v>893</v>
      </c>
      <c r="P1471" s="13" t="s">
        <v>894</v>
      </c>
      <c r="Q1471" s="13" t="s">
        <v>1193</v>
      </c>
      <c r="T1471" t="s">
        <v>2804</v>
      </c>
      <c r="U1471" s="25">
        <f>+Municipios!P368</f>
        <v>51.488010194238754</v>
      </c>
      <c r="V1471" s="13">
        <v>20443</v>
      </c>
      <c r="W1471" s="13" t="s">
        <v>1192</v>
      </c>
      <c r="X1471" s="13" t="s">
        <v>893</v>
      </c>
      <c r="Y1471" s="13" t="s">
        <v>894</v>
      </c>
      <c r="Z1471" s="13" t="s">
        <v>1193</v>
      </c>
    </row>
    <row r="1472" spans="1:26">
      <c r="A1472" t="s">
        <v>412</v>
      </c>
      <c r="B1472" s="25">
        <f>+Municipios!P369</f>
        <v>55.656074607143701</v>
      </c>
      <c r="C1472" s="13">
        <v>52352</v>
      </c>
      <c r="D1472" s="13" t="s">
        <v>1194</v>
      </c>
      <c r="E1472" s="13" t="s">
        <v>672</v>
      </c>
      <c r="F1472" s="13" t="s">
        <v>673</v>
      </c>
      <c r="G1472" s="13" t="s">
        <v>1195</v>
      </c>
      <c r="K1472" t="s">
        <v>413</v>
      </c>
      <c r="L1472" s="81">
        <f>+Municipios!U369</f>
        <v>30.17992712755829</v>
      </c>
      <c r="M1472" s="13">
        <v>52352</v>
      </c>
      <c r="N1472" s="13" t="s">
        <v>1194</v>
      </c>
      <c r="O1472" s="13" t="s">
        <v>672</v>
      </c>
      <c r="P1472" s="13" t="s">
        <v>673</v>
      </c>
      <c r="Q1472" s="13" t="s">
        <v>1195</v>
      </c>
      <c r="T1472" t="s">
        <v>2804</v>
      </c>
      <c r="U1472" s="25">
        <f>+Municipios!P369</f>
        <v>55.656074607143701</v>
      </c>
      <c r="V1472" s="13">
        <v>52352</v>
      </c>
      <c r="W1472" s="13" t="s">
        <v>1194</v>
      </c>
      <c r="X1472" s="13" t="s">
        <v>672</v>
      </c>
      <c r="Y1472" s="13" t="s">
        <v>673</v>
      </c>
      <c r="Z1472" s="13" t="s">
        <v>1195</v>
      </c>
    </row>
    <row r="1473" spans="1:26">
      <c r="A1473" t="s">
        <v>412</v>
      </c>
      <c r="B1473" s="25">
        <f>+Municipios!P370</f>
        <v>61.983365330553937</v>
      </c>
      <c r="C1473" s="13">
        <v>66687</v>
      </c>
      <c r="D1473" s="13" t="s">
        <v>1196</v>
      </c>
      <c r="E1473" s="13" t="s">
        <v>467</v>
      </c>
      <c r="F1473" s="13" t="s">
        <v>468</v>
      </c>
      <c r="G1473" s="13" t="s">
        <v>1197</v>
      </c>
      <c r="K1473" t="s">
        <v>413</v>
      </c>
      <c r="L1473" s="81">
        <f>+Municipios!U370</f>
        <v>33.668172499833041</v>
      </c>
      <c r="M1473" s="13">
        <v>66687</v>
      </c>
      <c r="N1473" s="13" t="s">
        <v>1196</v>
      </c>
      <c r="O1473" s="13" t="s">
        <v>467</v>
      </c>
      <c r="P1473" s="13" t="s">
        <v>468</v>
      </c>
      <c r="Q1473" s="13" t="s">
        <v>1197</v>
      </c>
      <c r="T1473" t="s">
        <v>2804</v>
      </c>
      <c r="U1473" s="25">
        <f>+Municipios!P370</f>
        <v>61.983365330553937</v>
      </c>
      <c r="V1473" s="13">
        <v>66687</v>
      </c>
      <c r="W1473" s="13" t="s">
        <v>1196</v>
      </c>
      <c r="X1473" s="13" t="s">
        <v>467</v>
      </c>
      <c r="Y1473" s="13" t="s">
        <v>468</v>
      </c>
      <c r="Z1473" s="13" t="s">
        <v>1197</v>
      </c>
    </row>
    <row r="1474" spans="1:26">
      <c r="A1474" t="s">
        <v>412</v>
      </c>
      <c r="B1474" s="25">
        <f>+Municipios!P371</f>
        <v>51.716845674924109</v>
      </c>
      <c r="C1474" s="13">
        <v>15835</v>
      </c>
      <c r="D1474" s="13" t="s">
        <v>1198</v>
      </c>
      <c r="E1474" s="13" t="s">
        <v>498</v>
      </c>
      <c r="F1474" s="13" t="s">
        <v>499</v>
      </c>
      <c r="G1474" s="13" t="s">
        <v>1199</v>
      </c>
      <c r="K1474" t="s">
        <v>413</v>
      </c>
      <c r="L1474" s="81">
        <f>+Municipios!U371</f>
        <v>27.676038301381897</v>
      </c>
      <c r="M1474" s="13">
        <v>15835</v>
      </c>
      <c r="N1474" s="13" t="s">
        <v>1198</v>
      </c>
      <c r="O1474" s="13" t="s">
        <v>498</v>
      </c>
      <c r="P1474" s="13" t="s">
        <v>499</v>
      </c>
      <c r="Q1474" s="13" t="s">
        <v>1199</v>
      </c>
      <c r="T1474" t="s">
        <v>2804</v>
      </c>
      <c r="U1474" s="25">
        <f>+Municipios!P371</f>
        <v>51.716845674924109</v>
      </c>
      <c r="V1474" s="13">
        <v>15835</v>
      </c>
      <c r="W1474" s="13" t="s">
        <v>1198</v>
      </c>
      <c r="X1474" s="13" t="s">
        <v>498</v>
      </c>
      <c r="Y1474" s="13" t="s">
        <v>499</v>
      </c>
      <c r="Z1474" s="13" t="s">
        <v>1199</v>
      </c>
    </row>
    <row r="1475" spans="1:26">
      <c r="A1475" t="s">
        <v>412</v>
      </c>
      <c r="B1475" s="25">
        <f>+Municipios!P372</f>
        <v>64.989349088273528</v>
      </c>
      <c r="C1475" s="13">
        <v>76890</v>
      </c>
      <c r="D1475" s="13" t="s">
        <v>1200</v>
      </c>
      <c r="E1475" s="13" t="s">
        <v>454</v>
      </c>
      <c r="F1475" s="13" t="s">
        <v>455</v>
      </c>
      <c r="G1475" s="13" t="s">
        <v>1201</v>
      </c>
      <c r="K1475" t="s">
        <v>413</v>
      </c>
      <c r="L1475" s="81">
        <f>+Municipios!U372</f>
        <v>35.304266734674513</v>
      </c>
      <c r="M1475" s="13">
        <v>76890</v>
      </c>
      <c r="N1475" s="13" t="s">
        <v>1200</v>
      </c>
      <c r="O1475" s="13" t="s">
        <v>454</v>
      </c>
      <c r="P1475" s="13" t="s">
        <v>455</v>
      </c>
      <c r="Q1475" s="13" t="s">
        <v>1201</v>
      </c>
      <c r="T1475" t="s">
        <v>2804</v>
      </c>
      <c r="U1475" s="25">
        <f>+Municipios!P372</f>
        <v>64.989349088273528</v>
      </c>
      <c r="V1475" s="13">
        <v>76890</v>
      </c>
      <c r="W1475" s="13" t="s">
        <v>1200</v>
      </c>
      <c r="X1475" s="13" t="s">
        <v>454</v>
      </c>
      <c r="Y1475" s="13" t="s">
        <v>455</v>
      </c>
      <c r="Z1475" s="13" t="s">
        <v>1201</v>
      </c>
    </row>
    <row r="1476" spans="1:26">
      <c r="A1476" t="s">
        <v>412</v>
      </c>
      <c r="B1476" s="25">
        <f>+Municipios!P373</f>
        <v>58.560894813263332</v>
      </c>
      <c r="C1476" s="13">
        <v>47570</v>
      </c>
      <c r="D1476" s="13" t="s">
        <v>1202</v>
      </c>
      <c r="E1476" s="13" t="s">
        <v>638</v>
      </c>
      <c r="F1476" s="13" t="s">
        <v>639</v>
      </c>
      <c r="G1476" s="13" t="s">
        <v>1203</v>
      </c>
      <c r="K1476" t="s">
        <v>413</v>
      </c>
      <c r="L1476" s="81">
        <f>+Municipios!U373</f>
        <v>31.902096555758543</v>
      </c>
      <c r="M1476" s="13">
        <v>47570</v>
      </c>
      <c r="N1476" s="13" t="s">
        <v>1202</v>
      </c>
      <c r="O1476" s="13" t="s">
        <v>638</v>
      </c>
      <c r="P1476" s="13" t="s">
        <v>639</v>
      </c>
      <c r="Q1476" s="13" t="s">
        <v>1203</v>
      </c>
      <c r="T1476" t="s">
        <v>2804</v>
      </c>
      <c r="U1476" s="25">
        <f>+Municipios!P373</f>
        <v>58.560894813263332</v>
      </c>
      <c r="V1476" s="13">
        <v>47570</v>
      </c>
      <c r="W1476" s="13" t="s">
        <v>1202</v>
      </c>
      <c r="X1476" s="13" t="s">
        <v>638</v>
      </c>
      <c r="Y1476" s="13" t="s">
        <v>639</v>
      </c>
      <c r="Z1476" s="13" t="s">
        <v>1203</v>
      </c>
    </row>
    <row r="1477" spans="1:26">
      <c r="A1477" t="s">
        <v>412</v>
      </c>
      <c r="B1477" s="25">
        <f>+Municipios!P374</f>
        <v>70.387612805240167</v>
      </c>
      <c r="C1477" s="13">
        <v>68855</v>
      </c>
      <c r="D1477" s="13" t="s">
        <v>1204</v>
      </c>
      <c r="E1477" s="13" t="s">
        <v>431</v>
      </c>
      <c r="F1477" s="13" t="s">
        <v>432</v>
      </c>
      <c r="G1477" s="13" t="s">
        <v>1205</v>
      </c>
      <c r="K1477" t="s">
        <v>413</v>
      </c>
      <c r="L1477" s="81">
        <f>+Municipios!U374</f>
        <v>38.963153222969481</v>
      </c>
      <c r="M1477" s="13">
        <v>68855</v>
      </c>
      <c r="N1477" s="13" t="s">
        <v>1204</v>
      </c>
      <c r="O1477" s="13" t="s">
        <v>431</v>
      </c>
      <c r="P1477" s="13" t="s">
        <v>432</v>
      </c>
      <c r="Q1477" s="13" t="s">
        <v>1205</v>
      </c>
      <c r="T1477" t="s">
        <v>2804</v>
      </c>
      <c r="U1477" s="25">
        <f>+Municipios!P374</f>
        <v>70.387612805240167</v>
      </c>
      <c r="V1477" s="13">
        <v>68855</v>
      </c>
      <c r="W1477" s="13" t="s">
        <v>1204</v>
      </c>
      <c r="X1477" s="13" t="s">
        <v>431</v>
      </c>
      <c r="Y1477" s="13" t="s">
        <v>432</v>
      </c>
      <c r="Z1477" s="13" t="s">
        <v>1205</v>
      </c>
    </row>
    <row r="1478" spans="1:26">
      <c r="A1478" t="s">
        <v>412</v>
      </c>
      <c r="B1478" s="25">
        <f>+Municipios!P375</f>
        <v>45.158032796269154</v>
      </c>
      <c r="C1478" s="13">
        <v>13654</v>
      </c>
      <c r="D1478" s="13" t="s">
        <v>1206</v>
      </c>
      <c r="E1478" s="13" t="s">
        <v>480</v>
      </c>
      <c r="F1478" s="13" t="s">
        <v>481</v>
      </c>
      <c r="G1478" s="13" t="s">
        <v>1207</v>
      </c>
      <c r="K1478" t="s">
        <v>413</v>
      </c>
      <c r="L1478" s="81">
        <f>+Municipios!U375</f>
        <v>24.767564633690956</v>
      </c>
      <c r="M1478" s="13">
        <v>13654</v>
      </c>
      <c r="N1478" s="13" t="s">
        <v>1206</v>
      </c>
      <c r="O1478" s="13" t="s">
        <v>480</v>
      </c>
      <c r="P1478" s="13" t="s">
        <v>481</v>
      </c>
      <c r="Q1478" s="13" t="s">
        <v>1207</v>
      </c>
      <c r="T1478" t="s">
        <v>2804</v>
      </c>
      <c r="U1478" s="25">
        <f>+Municipios!P375</f>
        <v>45.158032796269154</v>
      </c>
      <c r="V1478" s="13">
        <v>13654</v>
      </c>
      <c r="W1478" s="13" t="s">
        <v>1206</v>
      </c>
      <c r="X1478" s="13" t="s">
        <v>480</v>
      </c>
      <c r="Y1478" s="13" t="s">
        <v>481</v>
      </c>
      <c r="Z1478" s="13" t="s">
        <v>1207</v>
      </c>
    </row>
    <row r="1479" spans="1:26">
      <c r="A1479" t="s">
        <v>412</v>
      </c>
      <c r="B1479" s="25">
        <f>+Municipios!P376</f>
        <v>63.747733215098329</v>
      </c>
      <c r="C1479" s="13">
        <v>5042</v>
      </c>
      <c r="D1479" s="13" t="s">
        <v>1208</v>
      </c>
      <c r="E1479" s="13" t="s">
        <v>435</v>
      </c>
      <c r="F1479" s="13" t="s">
        <v>436</v>
      </c>
      <c r="G1479" s="13" t="s">
        <v>1209</v>
      </c>
      <c r="K1479" t="s">
        <v>413</v>
      </c>
      <c r="L1479" s="81">
        <f>+Municipios!U376</f>
        <v>35.212506945132652</v>
      </c>
      <c r="M1479" s="13">
        <v>5042</v>
      </c>
      <c r="N1479" s="13" t="s">
        <v>1208</v>
      </c>
      <c r="O1479" s="13" t="s">
        <v>435</v>
      </c>
      <c r="P1479" s="13" t="s">
        <v>436</v>
      </c>
      <c r="Q1479" s="13" t="s">
        <v>1209</v>
      </c>
      <c r="T1479" t="s">
        <v>2804</v>
      </c>
      <c r="U1479" s="25">
        <f>+Municipios!P376</f>
        <v>63.747733215098329</v>
      </c>
      <c r="V1479" s="13">
        <v>5042</v>
      </c>
      <c r="W1479" s="13" t="s">
        <v>1208</v>
      </c>
      <c r="X1479" s="13" t="s">
        <v>435</v>
      </c>
      <c r="Y1479" s="13" t="s">
        <v>436</v>
      </c>
      <c r="Z1479" s="13" t="s">
        <v>1209</v>
      </c>
    </row>
    <row r="1480" spans="1:26">
      <c r="A1480" t="s">
        <v>412</v>
      </c>
      <c r="B1480" s="25">
        <f>+Municipios!P377</f>
        <v>54.042356390688695</v>
      </c>
      <c r="C1480" s="13">
        <v>19364</v>
      </c>
      <c r="D1480" s="13" t="s">
        <v>1210</v>
      </c>
      <c r="E1480" s="13" t="s">
        <v>557</v>
      </c>
      <c r="F1480" s="13" t="s">
        <v>558</v>
      </c>
      <c r="G1480" s="13" t="s">
        <v>1211</v>
      </c>
      <c r="K1480" t="s">
        <v>413</v>
      </c>
      <c r="L1480" s="81">
        <f>+Municipios!U377</f>
        <v>29.422189600105085</v>
      </c>
      <c r="M1480" s="13">
        <v>19364</v>
      </c>
      <c r="N1480" s="13" t="s">
        <v>1210</v>
      </c>
      <c r="O1480" s="13" t="s">
        <v>557</v>
      </c>
      <c r="P1480" s="13" t="s">
        <v>558</v>
      </c>
      <c r="Q1480" s="13" t="s">
        <v>1211</v>
      </c>
      <c r="T1480" t="s">
        <v>2804</v>
      </c>
      <c r="U1480" s="25">
        <f>+Municipios!P377</f>
        <v>54.042356390688695</v>
      </c>
      <c r="V1480" s="13">
        <v>19364</v>
      </c>
      <c r="W1480" s="13" t="s">
        <v>1210</v>
      </c>
      <c r="X1480" s="13" t="s">
        <v>557</v>
      </c>
      <c r="Y1480" s="13" t="s">
        <v>558</v>
      </c>
      <c r="Z1480" s="13" t="s">
        <v>1211</v>
      </c>
    </row>
    <row r="1481" spans="1:26">
      <c r="A1481" t="s">
        <v>412</v>
      </c>
      <c r="B1481" s="25">
        <f>+Municipios!P378</f>
        <v>65.711141387276484</v>
      </c>
      <c r="C1481" s="13">
        <v>5306</v>
      </c>
      <c r="D1481" s="13" t="s">
        <v>1212</v>
      </c>
      <c r="E1481" s="13" t="s">
        <v>435</v>
      </c>
      <c r="F1481" s="13" t="s">
        <v>436</v>
      </c>
      <c r="G1481" s="13" t="s">
        <v>1213</v>
      </c>
      <c r="K1481" t="s">
        <v>413</v>
      </c>
      <c r="L1481" s="81">
        <f>+Municipios!U378</f>
        <v>36.361559688571582</v>
      </c>
      <c r="M1481" s="13">
        <v>5306</v>
      </c>
      <c r="N1481" s="13" t="s">
        <v>1212</v>
      </c>
      <c r="O1481" s="13" t="s">
        <v>435</v>
      </c>
      <c r="P1481" s="13" t="s">
        <v>436</v>
      </c>
      <c r="Q1481" s="13" t="s">
        <v>1213</v>
      </c>
      <c r="T1481" t="s">
        <v>2804</v>
      </c>
      <c r="U1481" s="25">
        <f>+Municipios!P378</f>
        <v>65.711141387276484</v>
      </c>
      <c r="V1481" s="13">
        <v>5306</v>
      </c>
      <c r="W1481" s="13" t="s">
        <v>1212</v>
      </c>
      <c r="X1481" s="13" t="s">
        <v>435</v>
      </c>
      <c r="Y1481" s="13" t="s">
        <v>436</v>
      </c>
      <c r="Z1481" s="13" t="s">
        <v>1213</v>
      </c>
    </row>
    <row r="1482" spans="1:26">
      <c r="A1482" t="s">
        <v>412</v>
      </c>
      <c r="B1482" s="25">
        <f>+Municipios!P379</f>
        <v>56.175067096208821</v>
      </c>
      <c r="C1482" s="13">
        <v>68498</v>
      </c>
      <c r="D1482" s="13" t="s">
        <v>1214</v>
      </c>
      <c r="E1482" s="13" t="s">
        <v>431</v>
      </c>
      <c r="F1482" s="13" t="s">
        <v>432</v>
      </c>
      <c r="G1482" s="13" t="s">
        <v>1215</v>
      </c>
      <c r="K1482" t="s">
        <v>413</v>
      </c>
      <c r="L1482" s="81">
        <f>+Municipios!U379</f>
        <v>30.797083421997268</v>
      </c>
      <c r="M1482" s="13">
        <v>68498</v>
      </c>
      <c r="N1482" s="13" t="s">
        <v>1214</v>
      </c>
      <c r="O1482" s="13" t="s">
        <v>431</v>
      </c>
      <c r="P1482" s="13" t="s">
        <v>432</v>
      </c>
      <c r="Q1482" s="13" t="s">
        <v>1215</v>
      </c>
      <c r="T1482" t="s">
        <v>2804</v>
      </c>
      <c r="U1482" s="25">
        <f>+Municipios!P379</f>
        <v>56.175067096208821</v>
      </c>
      <c r="V1482" s="13">
        <v>68498</v>
      </c>
      <c r="W1482" s="13" t="s">
        <v>1214</v>
      </c>
      <c r="X1482" s="13" t="s">
        <v>431</v>
      </c>
      <c r="Y1482" s="13" t="s">
        <v>432</v>
      </c>
      <c r="Z1482" s="13" t="s">
        <v>1215</v>
      </c>
    </row>
    <row r="1483" spans="1:26">
      <c r="A1483" t="s">
        <v>412</v>
      </c>
      <c r="B1483" s="25">
        <f>+Municipios!P380</f>
        <v>39.735022225581687</v>
      </c>
      <c r="C1483" s="13">
        <v>13468</v>
      </c>
      <c r="D1483" s="13" t="s">
        <v>1216</v>
      </c>
      <c r="E1483" s="13" t="s">
        <v>480</v>
      </c>
      <c r="F1483" s="13" t="s">
        <v>481</v>
      </c>
      <c r="G1483" s="13" t="s">
        <v>1217</v>
      </c>
      <c r="K1483" t="s">
        <v>413</v>
      </c>
      <c r="L1483" s="81">
        <f>+Municipios!U380</f>
        <v>21.589745443603881</v>
      </c>
      <c r="M1483" s="13">
        <v>13468</v>
      </c>
      <c r="N1483" s="13" t="s">
        <v>1216</v>
      </c>
      <c r="O1483" s="13" t="s">
        <v>480</v>
      </c>
      <c r="P1483" s="13" t="s">
        <v>481</v>
      </c>
      <c r="Q1483" s="13" t="s">
        <v>1217</v>
      </c>
      <c r="T1483" t="s">
        <v>2804</v>
      </c>
      <c r="U1483" s="25">
        <f>+Municipios!P380</f>
        <v>39.735022225581687</v>
      </c>
      <c r="V1483" s="13">
        <v>13468</v>
      </c>
      <c r="W1483" s="13" t="s">
        <v>1216</v>
      </c>
      <c r="X1483" s="13" t="s">
        <v>480</v>
      </c>
      <c r="Y1483" s="13" t="s">
        <v>481</v>
      </c>
      <c r="Z1483" s="13" t="s">
        <v>1217</v>
      </c>
    </row>
    <row r="1484" spans="1:26">
      <c r="A1484" t="s">
        <v>412</v>
      </c>
      <c r="B1484" s="25">
        <f>+Municipios!P381</f>
        <v>51.708806640927406</v>
      </c>
      <c r="C1484" s="13">
        <v>5642</v>
      </c>
      <c r="D1484" s="13" t="s">
        <v>1218</v>
      </c>
      <c r="E1484" s="13" t="s">
        <v>435</v>
      </c>
      <c r="F1484" s="13" t="s">
        <v>436</v>
      </c>
      <c r="G1484" s="13" t="s">
        <v>1219</v>
      </c>
      <c r="K1484" t="s">
        <v>413</v>
      </c>
      <c r="L1484" s="81">
        <f>+Municipios!U381</f>
        <v>28.375534910772256</v>
      </c>
      <c r="M1484" s="13">
        <v>5642</v>
      </c>
      <c r="N1484" s="13" t="s">
        <v>1218</v>
      </c>
      <c r="O1484" s="13" t="s">
        <v>435</v>
      </c>
      <c r="P1484" s="13" t="s">
        <v>436</v>
      </c>
      <c r="Q1484" s="13" t="s">
        <v>1219</v>
      </c>
      <c r="T1484" t="s">
        <v>2804</v>
      </c>
      <c r="U1484" s="25">
        <f>+Municipios!P381</f>
        <v>51.708806640927406</v>
      </c>
      <c r="V1484" s="13">
        <v>5642</v>
      </c>
      <c r="W1484" s="13" t="s">
        <v>1218</v>
      </c>
      <c r="X1484" s="13" t="s">
        <v>435</v>
      </c>
      <c r="Y1484" s="13" t="s">
        <v>436</v>
      </c>
      <c r="Z1484" s="13" t="s">
        <v>1219</v>
      </c>
    </row>
    <row r="1485" spans="1:26">
      <c r="A1485" t="s">
        <v>412</v>
      </c>
      <c r="B1485" s="25">
        <f>+Municipios!P382</f>
        <v>61.136348206642126</v>
      </c>
      <c r="C1485" s="13">
        <v>5364</v>
      </c>
      <c r="D1485" s="13" t="s">
        <v>1220</v>
      </c>
      <c r="E1485" s="13" t="s">
        <v>435</v>
      </c>
      <c r="F1485" s="13" t="s">
        <v>436</v>
      </c>
      <c r="G1485" s="13" t="s">
        <v>1221</v>
      </c>
      <c r="K1485" t="s">
        <v>413</v>
      </c>
      <c r="L1485" s="81">
        <f>+Municipios!U382</f>
        <v>33.447672088404161</v>
      </c>
      <c r="M1485" s="13">
        <v>5364</v>
      </c>
      <c r="N1485" s="13" t="s">
        <v>1220</v>
      </c>
      <c r="O1485" s="13" t="s">
        <v>435</v>
      </c>
      <c r="P1485" s="13" t="s">
        <v>436</v>
      </c>
      <c r="Q1485" s="13" t="s">
        <v>1221</v>
      </c>
      <c r="T1485" t="s">
        <v>2804</v>
      </c>
      <c r="U1485" s="25">
        <f>+Municipios!P382</f>
        <v>61.136348206642126</v>
      </c>
      <c r="V1485" s="13">
        <v>5364</v>
      </c>
      <c r="W1485" s="13" t="s">
        <v>1220</v>
      </c>
      <c r="X1485" s="13" t="s">
        <v>435</v>
      </c>
      <c r="Y1485" s="13" t="s">
        <v>436</v>
      </c>
      <c r="Z1485" s="13" t="s">
        <v>1221</v>
      </c>
    </row>
    <row r="1486" spans="1:26">
      <c r="A1486" t="s">
        <v>412</v>
      </c>
      <c r="B1486" s="25">
        <f>+Municipios!P383</f>
        <v>54.766362302974031</v>
      </c>
      <c r="C1486" s="13">
        <v>5240</v>
      </c>
      <c r="D1486" s="13" t="s">
        <v>1222</v>
      </c>
      <c r="E1486" s="13" t="s">
        <v>435</v>
      </c>
      <c r="F1486" s="13" t="s">
        <v>436</v>
      </c>
      <c r="G1486" s="13" t="s">
        <v>1223</v>
      </c>
      <c r="K1486" t="s">
        <v>413</v>
      </c>
      <c r="L1486" s="81">
        <f>+Municipios!U383</f>
        <v>30.017797730656476</v>
      </c>
      <c r="M1486" s="13">
        <v>5240</v>
      </c>
      <c r="N1486" s="13" t="s">
        <v>1222</v>
      </c>
      <c r="O1486" s="13" t="s">
        <v>435</v>
      </c>
      <c r="P1486" s="13" t="s">
        <v>436</v>
      </c>
      <c r="Q1486" s="13" t="s">
        <v>1223</v>
      </c>
      <c r="T1486" t="s">
        <v>2804</v>
      </c>
      <c r="U1486" s="25">
        <f>+Municipios!P383</f>
        <v>54.766362302974031</v>
      </c>
      <c r="V1486" s="13">
        <v>5240</v>
      </c>
      <c r="W1486" s="13" t="s">
        <v>1222</v>
      </c>
      <c r="X1486" s="13" t="s">
        <v>435</v>
      </c>
      <c r="Y1486" s="13" t="s">
        <v>436</v>
      </c>
      <c r="Z1486" s="13" t="s">
        <v>1223</v>
      </c>
    </row>
    <row r="1487" spans="1:26">
      <c r="A1487" t="s">
        <v>412</v>
      </c>
      <c r="B1487" s="25">
        <f>+Municipios!P384</f>
        <v>62.409910037163513</v>
      </c>
      <c r="C1487" s="13">
        <v>25288</v>
      </c>
      <c r="D1487" s="13" t="s">
        <v>1224</v>
      </c>
      <c r="E1487" s="13" t="s">
        <v>461</v>
      </c>
      <c r="F1487" s="13" t="s">
        <v>462</v>
      </c>
      <c r="G1487" s="13" t="s">
        <v>1225</v>
      </c>
      <c r="K1487" t="s">
        <v>413</v>
      </c>
      <c r="L1487" s="81">
        <f>+Municipios!U384</f>
        <v>33.057284833016539</v>
      </c>
      <c r="M1487" s="13">
        <v>25288</v>
      </c>
      <c r="N1487" s="13" t="s">
        <v>1224</v>
      </c>
      <c r="O1487" s="13" t="s">
        <v>461</v>
      </c>
      <c r="P1487" s="13" t="s">
        <v>462</v>
      </c>
      <c r="Q1487" s="13" t="s">
        <v>1225</v>
      </c>
      <c r="T1487" t="s">
        <v>2804</v>
      </c>
      <c r="U1487" s="25">
        <f>+Municipios!P384</f>
        <v>62.409910037163513</v>
      </c>
      <c r="V1487" s="13">
        <v>25288</v>
      </c>
      <c r="W1487" s="13" t="s">
        <v>1224</v>
      </c>
      <c r="X1487" s="13" t="s">
        <v>461</v>
      </c>
      <c r="Y1487" s="13" t="s">
        <v>462</v>
      </c>
      <c r="Z1487" s="13" t="s">
        <v>1225</v>
      </c>
    </row>
    <row r="1488" spans="1:26">
      <c r="A1488" t="s">
        <v>412</v>
      </c>
      <c r="B1488" s="25">
        <f>+Municipios!P385</f>
        <v>54.258115096885021</v>
      </c>
      <c r="C1488" s="13">
        <v>63212</v>
      </c>
      <c r="D1488" s="13" t="s">
        <v>1226</v>
      </c>
      <c r="E1488" s="13" t="s">
        <v>473</v>
      </c>
      <c r="F1488" s="13" t="s">
        <v>474</v>
      </c>
      <c r="G1488" s="13" t="s">
        <v>568</v>
      </c>
      <c r="K1488" t="s">
        <v>413</v>
      </c>
      <c r="L1488" s="81">
        <f>+Municipios!U385</f>
        <v>29.251629997404304</v>
      </c>
      <c r="M1488" s="13">
        <v>63212</v>
      </c>
      <c r="N1488" s="13" t="s">
        <v>1226</v>
      </c>
      <c r="O1488" s="13" t="s">
        <v>473</v>
      </c>
      <c r="P1488" s="13" t="s">
        <v>474</v>
      </c>
      <c r="Q1488" s="13" t="s">
        <v>568</v>
      </c>
      <c r="T1488" t="s">
        <v>2804</v>
      </c>
      <c r="U1488" s="25">
        <f>+Municipios!P385</f>
        <v>54.258115096885021</v>
      </c>
      <c r="V1488" s="13">
        <v>63212</v>
      </c>
      <c r="W1488" s="13" t="s">
        <v>1226</v>
      </c>
      <c r="X1488" s="13" t="s">
        <v>473</v>
      </c>
      <c r="Y1488" s="13" t="s">
        <v>474</v>
      </c>
      <c r="Z1488" s="13" t="s">
        <v>568</v>
      </c>
    </row>
    <row r="1489" spans="1:26">
      <c r="A1489" t="s">
        <v>412</v>
      </c>
      <c r="B1489" s="25">
        <f>+Municipios!P386</f>
        <v>60.070981275988828</v>
      </c>
      <c r="C1489" s="13">
        <v>25779</v>
      </c>
      <c r="D1489" s="13" t="s">
        <v>1227</v>
      </c>
      <c r="E1489" s="13" t="s">
        <v>461</v>
      </c>
      <c r="F1489" s="13" t="s">
        <v>462</v>
      </c>
      <c r="G1489" s="13" t="s">
        <v>1228</v>
      </c>
      <c r="K1489" t="s">
        <v>413</v>
      </c>
      <c r="L1489" s="81">
        <f>+Municipios!U386</f>
        <v>31.775499099216574</v>
      </c>
      <c r="M1489" s="13">
        <v>25779</v>
      </c>
      <c r="N1489" s="13" t="s">
        <v>1227</v>
      </c>
      <c r="O1489" s="13" t="s">
        <v>461</v>
      </c>
      <c r="P1489" s="13" t="s">
        <v>462</v>
      </c>
      <c r="Q1489" s="13" t="s">
        <v>1228</v>
      </c>
      <c r="T1489" t="s">
        <v>2804</v>
      </c>
      <c r="U1489" s="25">
        <f>+Municipios!P386</f>
        <v>60.070981275988828</v>
      </c>
      <c r="V1489" s="13">
        <v>25779</v>
      </c>
      <c r="W1489" s="13" t="s">
        <v>1227</v>
      </c>
      <c r="X1489" s="13" t="s">
        <v>461</v>
      </c>
      <c r="Y1489" s="13" t="s">
        <v>462</v>
      </c>
      <c r="Z1489" s="13" t="s">
        <v>1228</v>
      </c>
    </row>
    <row r="1490" spans="1:26">
      <c r="A1490" t="s">
        <v>412</v>
      </c>
      <c r="B1490" s="25">
        <f>+Municipios!P387</f>
        <v>61.086981267476581</v>
      </c>
      <c r="C1490" s="13">
        <v>76616</v>
      </c>
      <c r="D1490" s="13" t="s">
        <v>1229</v>
      </c>
      <c r="E1490" s="13" t="s">
        <v>454</v>
      </c>
      <c r="F1490" s="13" t="s">
        <v>455</v>
      </c>
      <c r="G1490" s="13" t="s">
        <v>1230</v>
      </c>
      <c r="K1490" t="s">
        <v>413</v>
      </c>
      <c r="L1490" s="81">
        <f>+Municipios!U387</f>
        <v>33.062882601377908</v>
      </c>
      <c r="M1490" s="13">
        <v>76616</v>
      </c>
      <c r="N1490" s="13" t="s">
        <v>1229</v>
      </c>
      <c r="O1490" s="13" t="s">
        <v>454</v>
      </c>
      <c r="P1490" s="13" t="s">
        <v>455</v>
      </c>
      <c r="Q1490" s="13" t="s">
        <v>1230</v>
      </c>
      <c r="T1490" t="s">
        <v>2804</v>
      </c>
      <c r="U1490" s="25">
        <f>+Municipios!P387</f>
        <v>61.086981267476581</v>
      </c>
      <c r="V1490" s="13">
        <v>76616</v>
      </c>
      <c r="W1490" s="13" t="s">
        <v>1229</v>
      </c>
      <c r="X1490" s="13" t="s">
        <v>454</v>
      </c>
      <c r="Y1490" s="13" t="s">
        <v>455</v>
      </c>
      <c r="Z1490" s="13" t="s">
        <v>1230</v>
      </c>
    </row>
    <row r="1491" spans="1:26">
      <c r="A1491" t="s">
        <v>412</v>
      </c>
      <c r="B1491" s="25">
        <f>+Municipios!P388</f>
        <v>62.454146636422522</v>
      </c>
      <c r="C1491" s="13">
        <v>25841</v>
      </c>
      <c r="D1491" s="13" t="s">
        <v>1231</v>
      </c>
      <c r="E1491" s="13" t="s">
        <v>461</v>
      </c>
      <c r="F1491" s="13" t="s">
        <v>462</v>
      </c>
      <c r="G1491" s="13" t="s">
        <v>1232</v>
      </c>
      <c r="K1491" t="s">
        <v>413</v>
      </c>
      <c r="L1491" s="81">
        <f>+Municipios!U388</f>
        <v>33.256083230508047</v>
      </c>
      <c r="M1491" s="13">
        <v>25841</v>
      </c>
      <c r="N1491" s="13" t="s">
        <v>1231</v>
      </c>
      <c r="O1491" s="13" t="s">
        <v>461</v>
      </c>
      <c r="P1491" s="13" t="s">
        <v>462</v>
      </c>
      <c r="Q1491" s="13" t="s">
        <v>1232</v>
      </c>
      <c r="T1491" t="s">
        <v>2804</v>
      </c>
      <c r="U1491" s="25">
        <f>+Municipios!P388</f>
        <v>62.454146636422522</v>
      </c>
      <c r="V1491" s="13">
        <v>25841</v>
      </c>
      <c r="W1491" s="13" t="s">
        <v>1231</v>
      </c>
      <c r="X1491" s="13" t="s">
        <v>461</v>
      </c>
      <c r="Y1491" s="13" t="s">
        <v>462</v>
      </c>
      <c r="Z1491" s="13" t="s">
        <v>1232</v>
      </c>
    </row>
    <row r="1492" spans="1:26">
      <c r="A1492" t="s">
        <v>412</v>
      </c>
      <c r="B1492" s="25">
        <f>+Municipios!P389</f>
        <v>63.693187368445095</v>
      </c>
      <c r="C1492" s="13">
        <v>5368</v>
      </c>
      <c r="D1492" s="13" t="s">
        <v>1233</v>
      </c>
      <c r="E1492" s="13" t="s">
        <v>435</v>
      </c>
      <c r="F1492" s="13" t="s">
        <v>436</v>
      </c>
      <c r="G1492" s="13" t="s">
        <v>1234</v>
      </c>
      <c r="K1492" t="s">
        <v>413</v>
      </c>
      <c r="L1492" s="81">
        <f>+Municipios!U389</f>
        <v>34.917221646496884</v>
      </c>
      <c r="M1492" s="13">
        <v>5368</v>
      </c>
      <c r="N1492" s="13" t="s">
        <v>1233</v>
      </c>
      <c r="O1492" s="13" t="s">
        <v>435</v>
      </c>
      <c r="P1492" s="13" t="s">
        <v>436</v>
      </c>
      <c r="Q1492" s="13" t="s">
        <v>1234</v>
      </c>
      <c r="T1492" t="s">
        <v>2804</v>
      </c>
      <c r="U1492" s="25">
        <f>+Municipios!P389</f>
        <v>63.693187368445095</v>
      </c>
      <c r="V1492" s="13">
        <v>5368</v>
      </c>
      <c r="W1492" s="13" t="s">
        <v>1233</v>
      </c>
      <c r="X1492" s="13" t="s">
        <v>435</v>
      </c>
      <c r="Y1492" s="13" t="s">
        <v>436</v>
      </c>
      <c r="Z1492" s="13" t="s">
        <v>1234</v>
      </c>
    </row>
    <row r="1493" spans="1:26">
      <c r="A1493" t="s">
        <v>412</v>
      </c>
      <c r="B1493" s="25">
        <f>+Municipios!P390</f>
        <v>53.795557016679794</v>
      </c>
      <c r="C1493" s="13">
        <v>76054</v>
      </c>
      <c r="D1493" s="13" t="s">
        <v>1235</v>
      </c>
      <c r="E1493" s="13" t="s">
        <v>454</v>
      </c>
      <c r="F1493" s="13" t="s">
        <v>455</v>
      </c>
      <c r="G1493" s="13" t="s">
        <v>1236</v>
      </c>
      <c r="K1493" t="s">
        <v>413</v>
      </c>
      <c r="L1493" s="81">
        <f>+Municipios!U390</f>
        <v>28.957870857921137</v>
      </c>
      <c r="M1493" s="13">
        <v>76054</v>
      </c>
      <c r="N1493" s="13" t="s">
        <v>1235</v>
      </c>
      <c r="O1493" s="13" t="s">
        <v>454</v>
      </c>
      <c r="P1493" s="13" t="s">
        <v>455</v>
      </c>
      <c r="Q1493" s="13" t="s">
        <v>1236</v>
      </c>
      <c r="T1493" t="s">
        <v>2804</v>
      </c>
      <c r="U1493" s="25">
        <f>+Municipios!P390</f>
        <v>53.795557016679794</v>
      </c>
      <c r="V1493" s="13">
        <v>76054</v>
      </c>
      <c r="W1493" s="13" t="s">
        <v>1235</v>
      </c>
      <c r="X1493" s="13" t="s">
        <v>454</v>
      </c>
      <c r="Y1493" s="13" t="s">
        <v>455</v>
      </c>
      <c r="Z1493" s="13" t="s">
        <v>1236</v>
      </c>
    </row>
    <row r="1494" spans="1:26">
      <c r="A1494" t="s">
        <v>412</v>
      </c>
      <c r="B1494" s="25">
        <f>+Municipios!P391</f>
        <v>61.99792817300866</v>
      </c>
      <c r="C1494" s="13">
        <v>25407</v>
      </c>
      <c r="D1494" s="13" t="s">
        <v>1237</v>
      </c>
      <c r="E1494" s="13" t="s">
        <v>461</v>
      </c>
      <c r="F1494" s="13" t="s">
        <v>462</v>
      </c>
      <c r="G1494" s="13" t="s">
        <v>1238</v>
      </c>
      <c r="K1494" t="s">
        <v>413</v>
      </c>
      <c r="L1494" s="81">
        <f>+Municipios!U391</f>
        <v>33.020457936364288</v>
      </c>
      <c r="M1494" s="13">
        <v>25407</v>
      </c>
      <c r="N1494" s="13" t="s">
        <v>1237</v>
      </c>
      <c r="O1494" s="13" t="s">
        <v>461</v>
      </c>
      <c r="P1494" s="13" t="s">
        <v>462</v>
      </c>
      <c r="Q1494" s="13" t="s">
        <v>1238</v>
      </c>
      <c r="T1494" t="s">
        <v>2804</v>
      </c>
      <c r="U1494" s="25">
        <f>+Municipios!P391</f>
        <v>61.99792817300866</v>
      </c>
      <c r="V1494" s="13">
        <v>25407</v>
      </c>
      <c r="W1494" s="13" t="s">
        <v>1237</v>
      </c>
      <c r="X1494" s="13" t="s">
        <v>461</v>
      </c>
      <c r="Y1494" s="13" t="s">
        <v>462</v>
      </c>
      <c r="Z1494" s="13" t="s">
        <v>1238</v>
      </c>
    </row>
    <row r="1495" spans="1:26">
      <c r="A1495" t="s">
        <v>412</v>
      </c>
      <c r="B1495" s="25">
        <f>+Municipios!P392</f>
        <v>62.768920918468311</v>
      </c>
      <c r="C1495" s="13">
        <v>73408</v>
      </c>
      <c r="D1495" s="13" t="s">
        <v>1239</v>
      </c>
      <c r="E1495" s="13" t="s">
        <v>595</v>
      </c>
      <c r="F1495" s="13" t="s">
        <v>596</v>
      </c>
      <c r="G1495" s="13" t="s">
        <v>1240</v>
      </c>
      <c r="K1495" t="s">
        <v>413</v>
      </c>
      <c r="L1495" s="81">
        <f>+Municipios!U392</f>
        <v>33.841278520272887</v>
      </c>
      <c r="M1495" s="13">
        <v>73408</v>
      </c>
      <c r="N1495" s="13" t="s">
        <v>1239</v>
      </c>
      <c r="O1495" s="13" t="s">
        <v>595</v>
      </c>
      <c r="P1495" s="13" t="s">
        <v>596</v>
      </c>
      <c r="Q1495" s="13" t="s">
        <v>1240</v>
      </c>
      <c r="T1495" t="s">
        <v>2804</v>
      </c>
      <c r="U1495" s="25">
        <f>+Municipios!P392</f>
        <v>62.768920918468311</v>
      </c>
      <c r="V1495" s="13">
        <v>73408</v>
      </c>
      <c r="W1495" s="13" t="s">
        <v>1239</v>
      </c>
      <c r="X1495" s="13" t="s">
        <v>595</v>
      </c>
      <c r="Y1495" s="13" t="s">
        <v>596</v>
      </c>
      <c r="Z1495" s="13" t="s">
        <v>1240</v>
      </c>
    </row>
    <row r="1496" spans="1:26">
      <c r="A1496" t="s">
        <v>412</v>
      </c>
      <c r="B1496" s="25">
        <f>+Municipios!P393</f>
        <v>60.993271654154938</v>
      </c>
      <c r="C1496" s="13">
        <v>5264</v>
      </c>
      <c r="D1496" s="13" t="s">
        <v>1241</v>
      </c>
      <c r="E1496" s="13" t="s">
        <v>435</v>
      </c>
      <c r="F1496" s="13" t="s">
        <v>436</v>
      </c>
      <c r="G1496" s="13" t="s">
        <v>1242</v>
      </c>
      <c r="K1496" t="s">
        <v>413</v>
      </c>
      <c r="L1496" s="81">
        <f>+Municipios!U393</f>
        <v>33.542746888684817</v>
      </c>
      <c r="M1496" s="13">
        <v>5264</v>
      </c>
      <c r="N1496" s="13" t="s">
        <v>1241</v>
      </c>
      <c r="O1496" s="13" t="s">
        <v>435</v>
      </c>
      <c r="P1496" s="13" t="s">
        <v>436</v>
      </c>
      <c r="Q1496" s="13" t="s">
        <v>1242</v>
      </c>
      <c r="T1496" t="s">
        <v>2804</v>
      </c>
      <c r="U1496" s="25">
        <f>+Municipios!P393</f>
        <v>60.993271654154938</v>
      </c>
      <c r="V1496" s="13">
        <v>5264</v>
      </c>
      <c r="W1496" s="13" t="s">
        <v>1241</v>
      </c>
      <c r="X1496" s="13" t="s">
        <v>435</v>
      </c>
      <c r="Y1496" s="13" t="s">
        <v>436</v>
      </c>
      <c r="Z1496" s="13" t="s">
        <v>1242</v>
      </c>
    </row>
    <row r="1497" spans="1:26">
      <c r="A1497" t="s">
        <v>412</v>
      </c>
      <c r="B1497" s="25">
        <f>+Municipios!P394</f>
        <v>67.908639851201769</v>
      </c>
      <c r="C1497" s="13">
        <v>68079</v>
      </c>
      <c r="D1497" s="13" t="s">
        <v>1243</v>
      </c>
      <c r="E1497" s="13" t="s">
        <v>431</v>
      </c>
      <c r="F1497" s="13" t="s">
        <v>432</v>
      </c>
      <c r="G1497" s="13" t="s">
        <v>1244</v>
      </c>
      <c r="K1497" t="s">
        <v>413</v>
      </c>
      <c r="L1497" s="81">
        <f>+Municipios!U394</f>
        <v>37.500616328354624</v>
      </c>
      <c r="M1497" s="13">
        <v>68079</v>
      </c>
      <c r="N1497" s="13" t="s">
        <v>1243</v>
      </c>
      <c r="O1497" s="13" t="s">
        <v>431</v>
      </c>
      <c r="P1497" s="13" t="s">
        <v>432</v>
      </c>
      <c r="Q1497" s="13" t="s">
        <v>1244</v>
      </c>
      <c r="T1497" t="s">
        <v>2804</v>
      </c>
      <c r="U1497" s="25">
        <f>+Municipios!P394</f>
        <v>67.908639851201769</v>
      </c>
      <c r="V1497" s="13">
        <v>68079</v>
      </c>
      <c r="W1497" s="13" t="s">
        <v>1243</v>
      </c>
      <c r="X1497" s="13" t="s">
        <v>431</v>
      </c>
      <c r="Y1497" s="13" t="s">
        <v>432</v>
      </c>
      <c r="Z1497" s="13" t="s">
        <v>1244</v>
      </c>
    </row>
    <row r="1498" spans="1:26">
      <c r="A1498" t="s">
        <v>412</v>
      </c>
      <c r="B1498" s="25">
        <f>+Municipios!P395</f>
        <v>56.637753624810344</v>
      </c>
      <c r="C1498" s="13">
        <v>19290</v>
      </c>
      <c r="D1498" s="13" t="s">
        <v>1245</v>
      </c>
      <c r="E1498" s="13" t="s">
        <v>557</v>
      </c>
      <c r="F1498" s="13" t="s">
        <v>558</v>
      </c>
      <c r="G1498" s="13" t="s">
        <v>1246</v>
      </c>
      <c r="K1498" t="s">
        <v>413</v>
      </c>
      <c r="L1498" s="81">
        <f>+Municipios!U395</f>
        <v>30.450600276931802</v>
      </c>
      <c r="M1498" s="13">
        <v>19290</v>
      </c>
      <c r="N1498" s="13" t="s">
        <v>1245</v>
      </c>
      <c r="O1498" s="13" t="s">
        <v>557</v>
      </c>
      <c r="P1498" s="13" t="s">
        <v>558</v>
      </c>
      <c r="Q1498" s="13" t="s">
        <v>1246</v>
      </c>
      <c r="T1498" t="s">
        <v>2804</v>
      </c>
      <c r="U1498" s="25">
        <f>+Municipios!P395</f>
        <v>56.637753624810344</v>
      </c>
      <c r="V1498" s="13">
        <v>19290</v>
      </c>
      <c r="W1498" s="13" t="s">
        <v>1245</v>
      </c>
      <c r="X1498" s="13" t="s">
        <v>557</v>
      </c>
      <c r="Y1498" s="13" t="s">
        <v>558</v>
      </c>
      <c r="Z1498" s="13" t="s">
        <v>1246</v>
      </c>
    </row>
    <row r="1499" spans="1:26">
      <c r="A1499" t="s">
        <v>412</v>
      </c>
      <c r="B1499" s="25">
        <f>+Municipios!P396</f>
        <v>59.764568210165635</v>
      </c>
      <c r="C1499" s="13">
        <v>15798</v>
      </c>
      <c r="D1499" s="13" t="s">
        <v>1247</v>
      </c>
      <c r="E1499" s="13" t="s">
        <v>498</v>
      </c>
      <c r="F1499" s="13" t="s">
        <v>499</v>
      </c>
      <c r="G1499" s="13" t="s">
        <v>1248</v>
      </c>
      <c r="K1499" t="s">
        <v>413</v>
      </c>
      <c r="L1499" s="81">
        <f>+Municipios!U396</f>
        <v>31.915636121292998</v>
      </c>
      <c r="M1499" s="13">
        <v>15798</v>
      </c>
      <c r="N1499" s="13" t="s">
        <v>1247</v>
      </c>
      <c r="O1499" s="13" t="s">
        <v>498</v>
      </c>
      <c r="P1499" s="13" t="s">
        <v>499</v>
      </c>
      <c r="Q1499" s="13" t="s">
        <v>1248</v>
      </c>
      <c r="T1499" t="s">
        <v>2804</v>
      </c>
      <c r="U1499" s="25">
        <f>+Municipios!P396</f>
        <v>59.764568210165635</v>
      </c>
      <c r="V1499" s="13">
        <v>15798</v>
      </c>
      <c r="W1499" s="13" t="s">
        <v>1247</v>
      </c>
      <c r="X1499" s="13" t="s">
        <v>498</v>
      </c>
      <c r="Y1499" s="13" t="s">
        <v>499</v>
      </c>
      <c r="Z1499" s="13" t="s">
        <v>1248</v>
      </c>
    </row>
    <row r="1500" spans="1:26">
      <c r="A1500" t="s">
        <v>412</v>
      </c>
      <c r="B1500" s="25">
        <f>+Municipios!P397</f>
        <v>75.494894456861928</v>
      </c>
      <c r="C1500" s="13">
        <v>15804</v>
      </c>
      <c r="D1500" s="13" t="s">
        <v>1249</v>
      </c>
      <c r="E1500" s="13" t="s">
        <v>498</v>
      </c>
      <c r="F1500" s="13" t="s">
        <v>499</v>
      </c>
      <c r="G1500" s="13" t="s">
        <v>1250</v>
      </c>
      <c r="K1500" t="s">
        <v>413</v>
      </c>
      <c r="L1500" s="81">
        <f>+Municipios!U397</f>
        <v>40.460813976960438</v>
      </c>
      <c r="M1500" s="13">
        <v>15804</v>
      </c>
      <c r="N1500" s="13" t="s">
        <v>1249</v>
      </c>
      <c r="O1500" s="13" t="s">
        <v>498</v>
      </c>
      <c r="P1500" s="13" t="s">
        <v>499</v>
      </c>
      <c r="Q1500" s="13" t="s">
        <v>1250</v>
      </c>
      <c r="T1500" t="s">
        <v>2804</v>
      </c>
      <c r="U1500" s="25">
        <f>+Municipios!P397</f>
        <v>75.494894456861928</v>
      </c>
      <c r="V1500" s="13">
        <v>15804</v>
      </c>
      <c r="W1500" s="13" t="s">
        <v>1249</v>
      </c>
      <c r="X1500" s="13" t="s">
        <v>498</v>
      </c>
      <c r="Y1500" s="13" t="s">
        <v>499</v>
      </c>
      <c r="Z1500" s="13" t="s">
        <v>1250</v>
      </c>
    </row>
    <row r="1501" spans="1:26">
      <c r="A1501" t="s">
        <v>412</v>
      </c>
      <c r="B1501" s="25">
        <f>+Municipios!P398</f>
        <v>50.408084011240213</v>
      </c>
      <c r="C1501" s="13">
        <v>70400</v>
      </c>
      <c r="D1501" s="13" t="s">
        <v>1251</v>
      </c>
      <c r="E1501" s="13" t="s">
        <v>494</v>
      </c>
      <c r="F1501" s="13" t="s">
        <v>495</v>
      </c>
      <c r="G1501" s="13" t="s">
        <v>628</v>
      </c>
      <c r="K1501" t="s">
        <v>413</v>
      </c>
      <c r="L1501" s="81">
        <f>+Municipios!U398</f>
        <v>27.143617296254824</v>
      </c>
      <c r="M1501" s="13">
        <v>70400</v>
      </c>
      <c r="N1501" s="13" t="s">
        <v>1251</v>
      </c>
      <c r="O1501" s="13" t="s">
        <v>494</v>
      </c>
      <c r="P1501" s="13" t="s">
        <v>495</v>
      </c>
      <c r="Q1501" s="13" t="s">
        <v>628</v>
      </c>
      <c r="T1501" t="s">
        <v>2804</v>
      </c>
      <c r="U1501" s="25">
        <f>+Municipios!P398</f>
        <v>50.408084011240213</v>
      </c>
      <c r="V1501" s="13">
        <v>70400</v>
      </c>
      <c r="W1501" s="13" t="s">
        <v>1251</v>
      </c>
      <c r="X1501" s="13" t="s">
        <v>494</v>
      </c>
      <c r="Y1501" s="13" t="s">
        <v>495</v>
      </c>
      <c r="Z1501" s="13" t="s">
        <v>628</v>
      </c>
    </row>
    <row r="1502" spans="1:26">
      <c r="A1502" t="s">
        <v>412</v>
      </c>
      <c r="B1502" s="25">
        <f>+Municipios!P399</f>
        <v>66.906998496401997</v>
      </c>
      <c r="C1502" s="13">
        <v>25805</v>
      </c>
      <c r="D1502" s="13" t="s">
        <v>1252</v>
      </c>
      <c r="E1502" s="13" t="s">
        <v>461</v>
      </c>
      <c r="F1502" s="13" t="s">
        <v>462</v>
      </c>
      <c r="G1502" s="13" t="s">
        <v>1253</v>
      </c>
      <c r="K1502" t="s">
        <v>413</v>
      </c>
      <c r="L1502" s="81">
        <f>+Municipios!U399</f>
        <v>35.106607968857496</v>
      </c>
      <c r="M1502" s="13">
        <v>25805</v>
      </c>
      <c r="N1502" s="13" t="s">
        <v>1252</v>
      </c>
      <c r="O1502" s="13" t="s">
        <v>461</v>
      </c>
      <c r="P1502" s="13" t="s">
        <v>462</v>
      </c>
      <c r="Q1502" s="13" t="s">
        <v>1253</v>
      </c>
      <c r="T1502" t="s">
        <v>2804</v>
      </c>
      <c r="U1502" s="25">
        <f>+Municipios!P399</f>
        <v>66.906998496401997</v>
      </c>
      <c r="V1502" s="13">
        <v>25805</v>
      </c>
      <c r="W1502" s="13" t="s">
        <v>1252</v>
      </c>
      <c r="X1502" s="13" t="s">
        <v>461</v>
      </c>
      <c r="Y1502" s="13" t="s">
        <v>462</v>
      </c>
      <c r="Z1502" s="13" t="s">
        <v>1253</v>
      </c>
    </row>
    <row r="1503" spans="1:26">
      <c r="A1503" t="s">
        <v>412</v>
      </c>
      <c r="B1503" s="25">
        <f>+Municipios!P400</f>
        <v>53.122792544180811</v>
      </c>
      <c r="C1503" s="13">
        <v>5313</v>
      </c>
      <c r="D1503" s="13" t="s">
        <v>1254</v>
      </c>
      <c r="E1503" s="13" t="s">
        <v>435</v>
      </c>
      <c r="F1503" s="13" t="s">
        <v>436</v>
      </c>
      <c r="G1503" s="13" t="s">
        <v>802</v>
      </c>
      <c r="K1503" t="s">
        <v>413</v>
      </c>
      <c r="L1503" s="81">
        <f>+Municipios!U400</f>
        <v>28.67772927935329</v>
      </c>
      <c r="M1503" s="13">
        <v>5313</v>
      </c>
      <c r="N1503" s="13" t="s">
        <v>1254</v>
      </c>
      <c r="O1503" s="13" t="s">
        <v>435</v>
      </c>
      <c r="P1503" s="13" t="s">
        <v>436</v>
      </c>
      <c r="Q1503" s="13" t="s">
        <v>802</v>
      </c>
      <c r="T1503" t="s">
        <v>2804</v>
      </c>
      <c r="U1503" s="25">
        <f>+Municipios!P400</f>
        <v>53.122792544180811</v>
      </c>
      <c r="V1503" s="13">
        <v>5313</v>
      </c>
      <c r="W1503" s="13" t="s">
        <v>1254</v>
      </c>
      <c r="X1503" s="13" t="s">
        <v>435</v>
      </c>
      <c r="Y1503" s="13" t="s">
        <v>436</v>
      </c>
      <c r="Z1503" s="13" t="s">
        <v>802</v>
      </c>
    </row>
    <row r="1504" spans="1:26">
      <c r="A1504" t="s">
        <v>412</v>
      </c>
      <c r="B1504" s="25">
        <f>+Municipios!P401</f>
        <v>58.272978568092142</v>
      </c>
      <c r="C1504" s="13">
        <v>68522</v>
      </c>
      <c r="D1504" s="13" t="s">
        <v>1255</v>
      </c>
      <c r="E1504" s="13" t="s">
        <v>431</v>
      </c>
      <c r="F1504" s="13" t="s">
        <v>432</v>
      </c>
      <c r="G1504" s="13" t="s">
        <v>1256</v>
      </c>
      <c r="K1504" t="s">
        <v>413</v>
      </c>
      <c r="L1504" s="81">
        <f>+Municipios!U401</f>
        <v>31.595185567141797</v>
      </c>
      <c r="M1504" s="13">
        <v>68522</v>
      </c>
      <c r="N1504" s="13" t="s">
        <v>1255</v>
      </c>
      <c r="O1504" s="13" t="s">
        <v>431</v>
      </c>
      <c r="P1504" s="13" t="s">
        <v>432</v>
      </c>
      <c r="Q1504" s="13" t="s">
        <v>1256</v>
      </c>
      <c r="T1504" t="s">
        <v>2804</v>
      </c>
      <c r="U1504" s="25">
        <f>+Municipios!P401</f>
        <v>58.272978568092142</v>
      </c>
      <c r="V1504" s="13">
        <v>68522</v>
      </c>
      <c r="W1504" s="13" t="s">
        <v>1255</v>
      </c>
      <c r="X1504" s="13" t="s">
        <v>431</v>
      </c>
      <c r="Y1504" s="13" t="s">
        <v>432</v>
      </c>
      <c r="Z1504" s="13" t="s">
        <v>1256</v>
      </c>
    </row>
    <row r="1505" spans="1:26">
      <c r="A1505" t="s">
        <v>412</v>
      </c>
      <c r="B1505" s="25">
        <f>+Municipios!P402</f>
        <v>64.22573786195619</v>
      </c>
      <c r="C1505" s="13">
        <v>17486</v>
      </c>
      <c r="D1505" s="13" t="s">
        <v>1257</v>
      </c>
      <c r="E1505" s="13" t="s">
        <v>506</v>
      </c>
      <c r="F1505" s="13" t="s">
        <v>507</v>
      </c>
      <c r="G1505" s="13" t="s">
        <v>1258</v>
      </c>
      <c r="K1505" t="s">
        <v>413</v>
      </c>
      <c r="L1505" s="81">
        <f>+Municipios!U402</f>
        <v>34.462779191410675</v>
      </c>
      <c r="M1505" s="13">
        <v>17486</v>
      </c>
      <c r="N1505" s="13" t="s">
        <v>1257</v>
      </c>
      <c r="O1505" s="13" t="s">
        <v>506</v>
      </c>
      <c r="P1505" s="13" t="s">
        <v>507</v>
      </c>
      <c r="Q1505" s="13" t="s">
        <v>1258</v>
      </c>
      <c r="T1505" t="s">
        <v>2804</v>
      </c>
      <c r="U1505" s="25">
        <f>+Municipios!P402</f>
        <v>64.22573786195619</v>
      </c>
      <c r="V1505" s="13">
        <v>17486</v>
      </c>
      <c r="W1505" s="13" t="s">
        <v>1257</v>
      </c>
      <c r="X1505" s="13" t="s">
        <v>506</v>
      </c>
      <c r="Y1505" s="13" t="s">
        <v>507</v>
      </c>
      <c r="Z1505" s="13" t="s">
        <v>1258</v>
      </c>
    </row>
    <row r="1506" spans="1:26">
      <c r="A1506" t="s">
        <v>412</v>
      </c>
      <c r="B1506" s="25">
        <f>+Municipios!P403</f>
        <v>44.081187817075218</v>
      </c>
      <c r="C1506" s="13">
        <v>5789</v>
      </c>
      <c r="D1506" s="13" t="s">
        <v>1259</v>
      </c>
      <c r="E1506" s="13" t="s">
        <v>435</v>
      </c>
      <c r="F1506" s="13" t="s">
        <v>436</v>
      </c>
      <c r="G1506" s="13" t="s">
        <v>1260</v>
      </c>
      <c r="K1506" t="s">
        <v>413</v>
      </c>
      <c r="L1506" s="81">
        <f>+Municipios!U403</f>
        <v>23.851647294766956</v>
      </c>
      <c r="M1506" s="13">
        <v>5789</v>
      </c>
      <c r="N1506" s="13" t="s">
        <v>1259</v>
      </c>
      <c r="O1506" s="13" t="s">
        <v>435</v>
      </c>
      <c r="P1506" s="13" t="s">
        <v>436</v>
      </c>
      <c r="Q1506" s="13" t="s">
        <v>1260</v>
      </c>
      <c r="T1506" t="s">
        <v>2804</v>
      </c>
      <c r="U1506" s="25">
        <f>+Municipios!P403</f>
        <v>44.081187817075218</v>
      </c>
      <c r="V1506" s="13">
        <v>5789</v>
      </c>
      <c r="W1506" s="13" t="s">
        <v>1259</v>
      </c>
      <c r="X1506" s="13" t="s">
        <v>435</v>
      </c>
      <c r="Y1506" s="13" t="s">
        <v>436</v>
      </c>
      <c r="Z1506" s="13" t="s">
        <v>1260</v>
      </c>
    </row>
    <row r="1507" spans="1:26">
      <c r="A1507" t="s">
        <v>412</v>
      </c>
      <c r="B1507" s="25">
        <f>+Municipios!P404</f>
        <v>64.716810294416319</v>
      </c>
      <c r="C1507" s="13">
        <v>25489</v>
      </c>
      <c r="D1507" s="13" t="s">
        <v>1261</v>
      </c>
      <c r="E1507" s="13" t="s">
        <v>461</v>
      </c>
      <c r="F1507" s="13" t="s">
        <v>462</v>
      </c>
      <c r="G1507" s="13" t="s">
        <v>1262</v>
      </c>
      <c r="K1507" t="s">
        <v>413</v>
      </c>
      <c r="L1507" s="81">
        <f>+Municipios!U404</f>
        <v>34.03598516233653</v>
      </c>
      <c r="M1507" s="13">
        <v>25489</v>
      </c>
      <c r="N1507" s="13" t="s">
        <v>1261</v>
      </c>
      <c r="O1507" s="13" t="s">
        <v>461</v>
      </c>
      <c r="P1507" s="13" t="s">
        <v>462</v>
      </c>
      <c r="Q1507" s="13" t="s">
        <v>1262</v>
      </c>
      <c r="T1507" t="s">
        <v>2804</v>
      </c>
      <c r="U1507" s="25">
        <f>+Municipios!P404</f>
        <v>64.716810294416319</v>
      </c>
      <c r="V1507" s="13">
        <v>25489</v>
      </c>
      <c r="W1507" s="13" t="s">
        <v>1261</v>
      </c>
      <c r="X1507" s="13" t="s">
        <v>461</v>
      </c>
      <c r="Y1507" s="13" t="s">
        <v>462</v>
      </c>
      <c r="Z1507" s="13" t="s">
        <v>1262</v>
      </c>
    </row>
    <row r="1508" spans="1:26">
      <c r="A1508" t="s">
        <v>412</v>
      </c>
      <c r="B1508" s="25">
        <f>+Municipios!P405</f>
        <v>37.959368497654019</v>
      </c>
      <c r="C1508" s="13">
        <v>70230</v>
      </c>
      <c r="D1508" s="13" t="s">
        <v>1263</v>
      </c>
      <c r="E1508" s="13" t="s">
        <v>494</v>
      </c>
      <c r="F1508" s="13" t="s">
        <v>495</v>
      </c>
      <c r="G1508" s="13" t="s">
        <v>1264</v>
      </c>
      <c r="K1508" t="s">
        <v>413</v>
      </c>
      <c r="L1508" s="81">
        <f>+Municipios!U405</f>
        <v>20.441202626760294</v>
      </c>
      <c r="M1508" s="13">
        <v>70230</v>
      </c>
      <c r="N1508" s="13" t="s">
        <v>1263</v>
      </c>
      <c r="O1508" s="13" t="s">
        <v>494</v>
      </c>
      <c r="P1508" s="13" t="s">
        <v>495</v>
      </c>
      <c r="Q1508" s="13" t="s">
        <v>1264</v>
      </c>
      <c r="T1508" t="s">
        <v>2804</v>
      </c>
      <c r="U1508" s="25">
        <f>+Municipios!P405</f>
        <v>37.959368497654019</v>
      </c>
      <c r="V1508" s="13">
        <v>70230</v>
      </c>
      <c r="W1508" s="13" t="s">
        <v>1263</v>
      </c>
      <c r="X1508" s="13" t="s">
        <v>494</v>
      </c>
      <c r="Y1508" s="13" t="s">
        <v>495</v>
      </c>
      <c r="Z1508" s="13" t="s">
        <v>1264</v>
      </c>
    </row>
    <row r="1509" spans="1:26">
      <c r="A1509" t="s">
        <v>412</v>
      </c>
      <c r="B1509" s="25">
        <f>+Municipios!P406</f>
        <v>50.270342691022719</v>
      </c>
      <c r="C1509" s="13">
        <v>23168</v>
      </c>
      <c r="D1509" s="13" t="s">
        <v>1265</v>
      </c>
      <c r="E1509" s="13" t="s">
        <v>567</v>
      </c>
      <c r="F1509" s="13" t="s">
        <v>568</v>
      </c>
      <c r="G1509" s="13" t="s">
        <v>1266</v>
      </c>
      <c r="K1509" t="s">
        <v>413</v>
      </c>
      <c r="L1509" s="81">
        <f>+Municipios!U406</f>
        <v>27.14617392188574</v>
      </c>
      <c r="M1509" s="13">
        <v>23168</v>
      </c>
      <c r="N1509" s="13" t="s">
        <v>1265</v>
      </c>
      <c r="O1509" s="13" t="s">
        <v>567</v>
      </c>
      <c r="P1509" s="13" t="s">
        <v>568</v>
      </c>
      <c r="Q1509" s="13" t="s">
        <v>1266</v>
      </c>
      <c r="T1509" t="s">
        <v>2804</v>
      </c>
      <c r="U1509" s="25">
        <f>+Municipios!P406</f>
        <v>50.270342691022719</v>
      </c>
      <c r="V1509" s="13">
        <v>23168</v>
      </c>
      <c r="W1509" s="13" t="s">
        <v>1265</v>
      </c>
      <c r="X1509" s="13" t="s">
        <v>567</v>
      </c>
      <c r="Y1509" s="13" t="s">
        <v>568</v>
      </c>
      <c r="Z1509" s="13" t="s">
        <v>1266</v>
      </c>
    </row>
    <row r="1510" spans="1:26">
      <c r="A1510" t="s">
        <v>412</v>
      </c>
      <c r="B1510" s="25">
        <f>+Municipios!P407</f>
        <v>59.030952842051988</v>
      </c>
      <c r="C1510" s="13">
        <v>44035</v>
      </c>
      <c r="D1510" s="13" t="s">
        <v>1267</v>
      </c>
      <c r="E1510" s="13" t="s">
        <v>933</v>
      </c>
      <c r="F1510" s="13" t="s">
        <v>934</v>
      </c>
      <c r="G1510" s="13" t="s">
        <v>1268</v>
      </c>
      <c r="K1510" t="s">
        <v>413</v>
      </c>
      <c r="L1510" s="81">
        <f>+Municipios!U407</f>
        <v>31.329622443840687</v>
      </c>
      <c r="M1510" s="13">
        <v>44035</v>
      </c>
      <c r="N1510" s="13" t="s">
        <v>1267</v>
      </c>
      <c r="O1510" s="13" t="s">
        <v>933</v>
      </c>
      <c r="P1510" s="13" t="s">
        <v>934</v>
      </c>
      <c r="Q1510" s="13" t="s">
        <v>1268</v>
      </c>
      <c r="T1510" t="s">
        <v>2804</v>
      </c>
      <c r="U1510" s="25">
        <f>+Municipios!P407</f>
        <v>59.030952842051988</v>
      </c>
      <c r="V1510" s="13">
        <v>44035</v>
      </c>
      <c r="W1510" s="13" t="s">
        <v>1267</v>
      </c>
      <c r="X1510" s="13" t="s">
        <v>933</v>
      </c>
      <c r="Y1510" s="13" t="s">
        <v>934</v>
      </c>
      <c r="Z1510" s="13" t="s">
        <v>1268</v>
      </c>
    </row>
    <row r="1511" spans="1:26">
      <c r="A1511" t="s">
        <v>412</v>
      </c>
      <c r="B1511" s="25">
        <f>+Municipios!P408</f>
        <v>61.778208032013382</v>
      </c>
      <c r="C1511" s="13">
        <v>70508</v>
      </c>
      <c r="D1511" s="13" t="s">
        <v>1269</v>
      </c>
      <c r="E1511" s="13" t="s">
        <v>494</v>
      </c>
      <c r="F1511" s="13" t="s">
        <v>495</v>
      </c>
      <c r="G1511" s="13" t="s">
        <v>1270</v>
      </c>
      <c r="K1511" t="s">
        <v>413</v>
      </c>
      <c r="L1511" s="81">
        <f>+Municipios!U408</f>
        <v>33.299106197232135</v>
      </c>
      <c r="M1511" s="13">
        <v>70508</v>
      </c>
      <c r="N1511" s="13" t="s">
        <v>1269</v>
      </c>
      <c r="O1511" s="13" t="s">
        <v>494</v>
      </c>
      <c r="P1511" s="13" t="s">
        <v>495</v>
      </c>
      <c r="Q1511" s="13" t="s">
        <v>1270</v>
      </c>
      <c r="T1511" t="s">
        <v>2804</v>
      </c>
      <c r="U1511" s="25">
        <f>+Municipios!P408</f>
        <v>61.778208032013382</v>
      </c>
      <c r="V1511" s="13">
        <v>70508</v>
      </c>
      <c r="W1511" s="13" t="s">
        <v>1269</v>
      </c>
      <c r="X1511" s="13" t="s">
        <v>494</v>
      </c>
      <c r="Y1511" s="13" t="s">
        <v>495</v>
      </c>
      <c r="Z1511" s="13" t="s">
        <v>1270</v>
      </c>
    </row>
    <row r="1512" spans="1:26">
      <c r="A1512" t="s">
        <v>412</v>
      </c>
      <c r="B1512" s="25">
        <f>+Municipios!P409</f>
        <v>59.360770191580635</v>
      </c>
      <c r="C1512" s="13">
        <v>17272</v>
      </c>
      <c r="D1512" s="13" t="s">
        <v>1271</v>
      </c>
      <c r="E1512" s="13" t="s">
        <v>506</v>
      </c>
      <c r="F1512" s="13" t="s">
        <v>507</v>
      </c>
      <c r="G1512" s="13" t="s">
        <v>1272</v>
      </c>
      <c r="K1512" t="s">
        <v>413</v>
      </c>
      <c r="L1512" s="81">
        <f>+Municipios!U409</f>
        <v>31.710576731594742</v>
      </c>
      <c r="M1512" s="13">
        <v>17272</v>
      </c>
      <c r="N1512" s="13" t="s">
        <v>1271</v>
      </c>
      <c r="O1512" s="13" t="s">
        <v>506</v>
      </c>
      <c r="P1512" s="13" t="s">
        <v>507</v>
      </c>
      <c r="Q1512" s="13" t="s">
        <v>1272</v>
      </c>
      <c r="T1512" t="s">
        <v>2804</v>
      </c>
      <c r="U1512" s="25">
        <f>+Municipios!P409</f>
        <v>59.360770191580635</v>
      </c>
      <c r="V1512" s="13">
        <v>17272</v>
      </c>
      <c r="W1512" s="13" t="s">
        <v>1271</v>
      </c>
      <c r="X1512" s="13" t="s">
        <v>506</v>
      </c>
      <c r="Y1512" s="13" t="s">
        <v>507</v>
      </c>
      <c r="Z1512" s="13" t="s">
        <v>1272</v>
      </c>
    </row>
    <row r="1513" spans="1:26">
      <c r="A1513" t="s">
        <v>412</v>
      </c>
      <c r="B1513" s="25">
        <f>+Municipios!P410</f>
        <v>52.805940270032337</v>
      </c>
      <c r="C1513" s="13">
        <v>5347</v>
      </c>
      <c r="D1513" s="13" t="s">
        <v>1273</v>
      </c>
      <c r="E1513" s="13" t="s">
        <v>435</v>
      </c>
      <c r="F1513" s="13" t="s">
        <v>436</v>
      </c>
      <c r="G1513" s="13" t="s">
        <v>1274</v>
      </c>
      <c r="K1513" t="s">
        <v>413</v>
      </c>
      <c r="L1513" s="81">
        <f>+Municipios!U410</f>
        <v>28.363708172028634</v>
      </c>
      <c r="M1513" s="13">
        <v>5347</v>
      </c>
      <c r="N1513" s="13" t="s">
        <v>1273</v>
      </c>
      <c r="O1513" s="13" t="s">
        <v>435</v>
      </c>
      <c r="P1513" s="13" t="s">
        <v>436</v>
      </c>
      <c r="Q1513" s="13" t="s">
        <v>1274</v>
      </c>
      <c r="T1513" t="s">
        <v>2804</v>
      </c>
      <c r="U1513" s="25">
        <f>+Municipios!P410</f>
        <v>52.805940270032337</v>
      </c>
      <c r="V1513" s="13">
        <v>5347</v>
      </c>
      <c r="W1513" s="13" t="s">
        <v>1273</v>
      </c>
      <c r="X1513" s="13" t="s">
        <v>435</v>
      </c>
      <c r="Y1513" s="13" t="s">
        <v>436</v>
      </c>
      <c r="Z1513" s="13" t="s">
        <v>1274</v>
      </c>
    </row>
    <row r="1514" spans="1:26">
      <c r="A1514" t="s">
        <v>412</v>
      </c>
      <c r="B1514" s="25">
        <f>+Municipios!P411</f>
        <v>58.628827199316277</v>
      </c>
      <c r="C1514" s="13">
        <v>76403</v>
      </c>
      <c r="D1514" s="13" t="s">
        <v>1275</v>
      </c>
      <c r="E1514" s="13" t="s">
        <v>454</v>
      </c>
      <c r="F1514" s="13" t="s">
        <v>455</v>
      </c>
      <c r="G1514" s="13" t="s">
        <v>1276</v>
      </c>
      <c r="K1514" t="s">
        <v>413</v>
      </c>
      <c r="L1514" s="81">
        <f>+Municipios!U411</f>
        <v>31.302801121165093</v>
      </c>
      <c r="M1514" s="13">
        <v>76403</v>
      </c>
      <c r="N1514" s="13" t="s">
        <v>1275</v>
      </c>
      <c r="O1514" s="13" t="s">
        <v>454</v>
      </c>
      <c r="P1514" s="13" t="s">
        <v>455</v>
      </c>
      <c r="Q1514" s="13" t="s">
        <v>1276</v>
      </c>
      <c r="T1514" t="s">
        <v>2804</v>
      </c>
      <c r="U1514" s="25">
        <f>+Municipios!P411</f>
        <v>58.628827199316277</v>
      </c>
      <c r="V1514" s="13">
        <v>76403</v>
      </c>
      <c r="W1514" s="13" t="s">
        <v>1275</v>
      </c>
      <c r="X1514" s="13" t="s">
        <v>454</v>
      </c>
      <c r="Y1514" s="13" t="s">
        <v>455</v>
      </c>
      <c r="Z1514" s="13" t="s">
        <v>1276</v>
      </c>
    </row>
    <row r="1515" spans="1:26">
      <c r="A1515" t="s">
        <v>412</v>
      </c>
      <c r="B1515" s="25">
        <f>+Municipios!P412</f>
        <v>47.576797068676683</v>
      </c>
      <c r="C1515" s="13">
        <v>47675</v>
      </c>
      <c r="D1515" s="13" t="s">
        <v>1277</v>
      </c>
      <c r="E1515" s="13" t="s">
        <v>638</v>
      </c>
      <c r="F1515" s="13" t="s">
        <v>639</v>
      </c>
      <c r="G1515" s="13" t="s">
        <v>1278</v>
      </c>
      <c r="K1515" t="s">
        <v>413</v>
      </c>
      <c r="L1515" s="81">
        <f>+Municipios!U412</f>
        <v>25.807531587050008</v>
      </c>
      <c r="M1515" s="13">
        <v>47675</v>
      </c>
      <c r="N1515" s="13" t="s">
        <v>1277</v>
      </c>
      <c r="O1515" s="13" t="s">
        <v>638</v>
      </c>
      <c r="P1515" s="13" t="s">
        <v>639</v>
      </c>
      <c r="Q1515" s="13" t="s">
        <v>1278</v>
      </c>
      <c r="T1515" t="s">
        <v>2804</v>
      </c>
      <c r="U1515" s="25">
        <f>+Municipios!P412</f>
        <v>47.576797068676683</v>
      </c>
      <c r="V1515" s="13">
        <v>47675</v>
      </c>
      <c r="W1515" s="13" t="s">
        <v>1277</v>
      </c>
      <c r="X1515" s="13" t="s">
        <v>638</v>
      </c>
      <c r="Y1515" s="13" t="s">
        <v>639</v>
      </c>
      <c r="Z1515" s="13" t="s">
        <v>1278</v>
      </c>
    </row>
    <row r="1516" spans="1:26">
      <c r="A1516" t="s">
        <v>412</v>
      </c>
      <c r="B1516" s="25">
        <f>+Municipios!P413</f>
        <v>48.748786170128611</v>
      </c>
      <c r="C1516" s="13">
        <v>23555</v>
      </c>
      <c r="D1516" s="13" t="s">
        <v>1279</v>
      </c>
      <c r="E1516" s="13" t="s">
        <v>567</v>
      </c>
      <c r="F1516" s="13" t="s">
        <v>568</v>
      </c>
      <c r="G1516" s="13" t="s">
        <v>1280</v>
      </c>
      <c r="K1516" t="s">
        <v>413</v>
      </c>
      <c r="L1516" s="81">
        <f>+Municipios!U413</f>
        <v>26.173992727015381</v>
      </c>
      <c r="M1516" s="13">
        <v>23555</v>
      </c>
      <c r="N1516" s="13" t="s">
        <v>1279</v>
      </c>
      <c r="O1516" s="13" t="s">
        <v>567</v>
      </c>
      <c r="P1516" s="13" t="s">
        <v>568</v>
      </c>
      <c r="Q1516" s="13" t="s">
        <v>1280</v>
      </c>
      <c r="T1516" t="s">
        <v>2804</v>
      </c>
      <c r="U1516" s="25">
        <f>+Municipios!P413</f>
        <v>48.748786170128611</v>
      </c>
      <c r="V1516" s="13">
        <v>23555</v>
      </c>
      <c r="W1516" s="13" t="s">
        <v>1279</v>
      </c>
      <c r="X1516" s="13" t="s">
        <v>567</v>
      </c>
      <c r="Y1516" s="13" t="s">
        <v>568</v>
      </c>
      <c r="Z1516" s="13" t="s">
        <v>1280</v>
      </c>
    </row>
    <row r="1517" spans="1:26">
      <c r="A1517" t="s">
        <v>412</v>
      </c>
      <c r="B1517" s="25">
        <f>+Municipios!P414</f>
        <v>62.729388211354383</v>
      </c>
      <c r="C1517" s="13">
        <v>73148</v>
      </c>
      <c r="D1517" s="13" t="s">
        <v>1281</v>
      </c>
      <c r="E1517" s="13" t="s">
        <v>595</v>
      </c>
      <c r="F1517" s="13" t="s">
        <v>596</v>
      </c>
      <c r="G1517" s="13" t="s">
        <v>1282</v>
      </c>
      <c r="K1517" t="s">
        <v>413</v>
      </c>
      <c r="L1517" s="81">
        <f>+Municipios!U414</f>
        <v>33.569059308864809</v>
      </c>
      <c r="M1517" s="13">
        <v>73148</v>
      </c>
      <c r="N1517" s="13" t="s">
        <v>1281</v>
      </c>
      <c r="O1517" s="13" t="s">
        <v>595</v>
      </c>
      <c r="P1517" s="13" t="s">
        <v>596</v>
      </c>
      <c r="Q1517" s="13" t="s">
        <v>1282</v>
      </c>
      <c r="T1517" t="s">
        <v>2804</v>
      </c>
      <c r="U1517" s="25">
        <f>+Municipios!P414</f>
        <v>62.729388211354383</v>
      </c>
      <c r="V1517" s="13">
        <v>73148</v>
      </c>
      <c r="W1517" s="13" t="s">
        <v>1281</v>
      </c>
      <c r="X1517" s="13" t="s">
        <v>595</v>
      </c>
      <c r="Y1517" s="13" t="s">
        <v>596</v>
      </c>
      <c r="Z1517" s="13" t="s">
        <v>1282</v>
      </c>
    </row>
    <row r="1518" spans="1:26">
      <c r="A1518" t="s">
        <v>412</v>
      </c>
      <c r="B1518" s="25">
        <f>+Municipios!P415</f>
        <v>60.247610221426967</v>
      </c>
      <c r="C1518" s="13">
        <v>25592</v>
      </c>
      <c r="D1518" s="13" t="s">
        <v>1283</v>
      </c>
      <c r="E1518" s="13" t="s">
        <v>461</v>
      </c>
      <c r="F1518" s="13" t="s">
        <v>462</v>
      </c>
      <c r="G1518" s="13" t="s">
        <v>1284</v>
      </c>
      <c r="K1518" t="s">
        <v>413</v>
      </c>
      <c r="L1518" s="81">
        <f>+Municipios!U415</f>
        <v>31.755650252098025</v>
      </c>
      <c r="M1518" s="13">
        <v>25592</v>
      </c>
      <c r="N1518" s="13" t="s">
        <v>1283</v>
      </c>
      <c r="O1518" s="13" t="s">
        <v>461</v>
      </c>
      <c r="P1518" s="13" t="s">
        <v>462</v>
      </c>
      <c r="Q1518" s="13" t="s">
        <v>1284</v>
      </c>
      <c r="T1518" t="s">
        <v>2804</v>
      </c>
      <c r="U1518" s="25">
        <f>+Municipios!P415</f>
        <v>60.247610221426967</v>
      </c>
      <c r="V1518" s="13">
        <v>25592</v>
      </c>
      <c r="W1518" s="13" t="s">
        <v>1283</v>
      </c>
      <c r="X1518" s="13" t="s">
        <v>461</v>
      </c>
      <c r="Y1518" s="13" t="s">
        <v>462</v>
      </c>
      <c r="Z1518" s="13" t="s">
        <v>1284</v>
      </c>
    </row>
    <row r="1519" spans="1:26">
      <c r="A1519" t="s">
        <v>412</v>
      </c>
      <c r="B1519" s="25">
        <f>+Municipios!P416</f>
        <v>68.486375430446671</v>
      </c>
      <c r="C1519" s="13">
        <v>25513</v>
      </c>
      <c r="D1519" s="13" t="s">
        <v>1285</v>
      </c>
      <c r="E1519" s="13" t="s">
        <v>461</v>
      </c>
      <c r="F1519" s="13" t="s">
        <v>462</v>
      </c>
      <c r="G1519" s="13" t="s">
        <v>1286</v>
      </c>
      <c r="K1519" t="s">
        <v>413</v>
      </c>
      <c r="L1519" s="81">
        <f>+Municipios!U416</f>
        <v>35.958354029305454</v>
      </c>
      <c r="M1519" s="13">
        <v>25513</v>
      </c>
      <c r="N1519" s="13" t="s">
        <v>1285</v>
      </c>
      <c r="O1519" s="13" t="s">
        <v>461</v>
      </c>
      <c r="P1519" s="13" t="s">
        <v>462</v>
      </c>
      <c r="Q1519" s="13" t="s">
        <v>1286</v>
      </c>
      <c r="T1519" t="s">
        <v>2804</v>
      </c>
      <c r="U1519" s="25">
        <f>+Municipios!P416</f>
        <v>68.486375430446671</v>
      </c>
      <c r="V1519" s="13">
        <v>25513</v>
      </c>
      <c r="W1519" s="13" t="s">
        <v>1285</v>
      </c>
      <c r="X1519" s="13" t="s">
        <v>461</v>
      </c>
      <c r="Y1519" s="13" t="s">
        <v>462</v>
      </c>
      <c r="Z1519" s="13" t="s">
        <v>1286</v>
      </c>
    </row>
    <row r="1520" spans="1:26">
      <c r="A1520" t="s">
        <v>412</v>
      </c>
      <c r="B1520" s="25">
        <f>+Municipios!P417</f>
        <v>52.102812700836566</v>
      </c>
      <c r="C1520" s="13">
        <v>15664</v>
      </c>
      <c r="D1520" s="13" t="s">
        <v>1287</v>
      </c>
      <c r="E1520" s="13" t="s">
        <v>498</v>
      </c>
      <c r="F1520" s="13" t="s">
        <v>499</v>
      </c>
      <c r="G1520" s="13" t="s">
        <v>1288</v>
      </c>
      <c r="K1520" t="s">
        <v>413</v>
      </c>
      <c r="L1520" s="81">
        <f>+Municipios!U417</f>
        <v>27.369400381718801</v>
      </c>
      <c r="M1520" s="13">
        <v>15664</v>
      </c>
      <c r="N1520" s="13" t="s">
        <v>1287</v>
      </c>
      <c r="O1520" s="13" t="s">
        <v>498</v>
      </c>
      <c r="P1520" s="13" t="s">
        <v>499</v>
      </c>
      <c r="Q1520" s="13" t="s">
        <v>1288</v>
      </c>
      <c r="T1520" t="s">
        <v>2804</v>
      </c>
      <c r="U1520" s="25">
        <f>+Municipios!P417</f>
        <v>52.102812700836566</v>
      </c>
      <c r="V1520" s="13">
        <v>15664</v>
      </c>
      <c r="W1520" s="13" t="s">
        <v>1287</v>
      </c>
      <c r="X1520" s="13" t="s">
        <v>498</v>
      </c>
      <c r="Y1520" s="13" t="s">
        <v>499</v>
      </c>
      <c r="Z1520" s="13" t="s">
        <v>1288</v>
      </c>
    </row>
    <row r="1521" spans="1:26">
      <c r="A1521" t="s">
        <v>412</v>
      </c>
      <c r="B1521" s="25">
        <f>+Municipios!P418</f>
        <v>51.501894502663703</v>
      </c>
      <c r="C1521" s="13">
        <v>44098</v>
      </c>
      <c r="D1521" s="13" t="s">
        <v>1289</v>
      </c>
      <c r="E1521" s="13" t="s">
        <v>933</v>
      </c>
      <c r="F1521" s="13" t="s">
        <v>934</v>
      </c>
      <c r="G1521" s="13" t="s">
        <v>1290</v>
      </c>
      <c r="K1521" t="s">
        <v>413</v>
      </c>
      <c r="L1521" s="81">
        <f>+Municipios!U418</f>
        <v>27.067971988383096</v>
      </c>
      <c r="M1521" s="13">
        <v>44098</v>
      </c>
      <c r="N1521" s="13" t="s">
        <v>1289</v>
      </c>
      <c r="O1521" s="13" t="s">
        <v>933</v>
      </c>
      <c r="P1521" s="13" t="s">
        <v>934</v>
      </c>
      <c r="Q1521" s="13" t="s">
        <v>1290</v>
      </c>
      <c r="T1521" t="s">
        <v>2804</v>
      </c>
      <c r="U1521" s="25">
        <f>+Municipios!P418</f>
        <v>51.501894502663703</v>
      </c>
      <c r="V1521" s="13">
        <v>44098</v>
      </c>
      <c r="W1521" s="13" t="s">
        <v>1289</v>
      </c>
      <c r="X1521" s="13" t="s">
        <v>933</v>
      </c>
      <c r="Y1521" s="13" t="s">
        <v>934</v>
      </c>
      <c r="Z1521" s="13" t="s">
        <v>1290</v>
      </c>
    </row>
    <row r="1522" spans="1:26">
      <c r="A1522" t="s">
        <v>412</v>
      </c>
      <c r="B1522" s="25">
        <f>+Municipios!P419</f>
        <v>63.827198951043655</v>
      </c>
      <c r="C1522" s="13">
        <v>41132</v>
      </c>
      <c r="D1522" s="13" t="s">
        <v>1291</v>
      </c>
      <c r="E1522" s="13" t="s">
        <v>676</v>
      </c>
      <c r="F1522" s="13" t="s">
        <v>677</v>
      </c>
      <c r="G1522" s="13" t="s">
        <v>1292</v>
      </c>
      <c r="K1522" t="s">
        <v>413</v>
      </c>
      <c r="L1522" s="81">
        <f>+Municipios!U419</f>
        <v>34.056276037355559</v>
      </c>
      <c r="M1522" s="13">
        <v>41132</v>
      </c>
      <c r="N1522" s="13" t="s">
        <v>1291</v>
      </c>
      <c r="O1522" s="13" t="s">
        <v>676</v>
      </c>
      <c r="P1522" s="13" t="s">
        <v>677</v>
      </c>
      <c r="Q1522" s="13" t="s">
        <v>1292</v>
      </c>
      <c r="T1522" t="s">
        <v>2804</v>
      </c>
      <c r="U1522" s="25">
        <f>+Municipios!P419</f>
        <v>63.827198951043655</v>
      </c>
      <c r="V1522" s="13">
        <v>41132</v>
      </c>
      <c r="W1522" s="13" t="s">
        <v>1291</v>
      </c>
      <c r="X1522" s="13" t="s">
        <v>676</v>
      </c>
      <c r="Y1522" s="13" t="s">
        <v>677</v>
      </c>
      <c r="Z1522" s="13" t="s">
        <v>1292</v>
      </c>
    </row>
    <row r="1523" spans="1:26">
      <c r="A1523" t="s">
        <v>412</v>
      </c>
      <c r="B1523" s="25">
        <f>+Municipios!P420</f>
        <v>64.491259789842132</v>
      </c>
      <c r="C1523" s="13">
        <v>76233</v>
      </c>
      <c r="D1523" s="13" t="s">
        <v>1293</v>
      </c>
      <c r="E1523" s="13" t="s">
        <v>454</v>
      </c>
      <c r="F1523" s="13" t="s">
        <v>455</v>
      </c>
      <c r="G1523" s="13" t="s">
        <v>1294</v>
      </c>
      <c r="K1523" t="s">
        <v>413</v>
      </c>
      <c r="L1523" s="81">
        <f>+Municipios!U420</f>
        <v>35.083931276516623</v>
      </c>
      <c r="M1523" s="13">
        <v>76233</v>
      </c>
      <c r="N1523" s="13" t="s">
        <v>1293</v>
      </c>
      <c r="O1523" s="13" t="s">
        <v>454</v>
      </c>
      <c r="P1523" s="13" t="s">
        <v>455</v>
      </c>
      <c r="Q1523" s="13" t="s">
        <v>1294</v>
      </c>
      <c r="T1523" t="s">
        <v>2804</v>
      </c>
      <c r="U1523" s="25">
        <f>+Municipios!P420</f>
        <v>64.491259789842132</v>
      </c>
      <c r="V1523" s="13">
        <v>76233</v>
      </c>
      <c r="W1523" s="13" t="s">
        <v>1293</v>
      </c>
      <c r="X1523" s="13" t="s">
        <v>454</v>
      </c>
      <c r="Y1523" s="13" t="s">
        <v>455</v>
      </c>
      <c r="Z1523" s="13" t="s">
        <v>1294</v>
      </c>
    </row>
    <row r="1524" spans="1:26">
      <c r="A1524" t="s">
        <v>412</v>
      </c>
      <c r="B1524" s="25">
        <f>+Municipios!P421</f>
        <v>65.182319747705691</v>
      </c>
      <c r="C1524" s="13">
        <v>5154</v>
      </c>
      <c r="D1524" s="13" t="s">
        <v>1295</v>
      </c>
      <c r="E1524" s="13" t="s">
        <v>435</v>
      </c>
      <c r="F1524" s="13" t="s">
        <v>436</v>
      </c>
      <c r="G1524" s="13" t="s">
        <v>1296</v>
      </c>
      <c r="K1524" t="s">
        <v>413</v>
      </c>
      <c r="L1524" s="81">
        <f>+Municipios!U421</f>
        <v>34.754560535228656</v>
      </c>
      <c r="M1524" s="13">
        <v>5154</v>
      </c>
      <c r="N1524" s="13" t="s">
        <v>1295</v>
      </c>
      <c r="O1524" s="13" t="s">
        <v>435</v>
      </c>
      <c r="P1524" s="13" t="s">
        <v>436</v>
      </c>
      <c r="Q1524" s="13" t="s">
        <v>1296</v>
      </c>
      <c r="T1524" t="s">
        <v>2804</v>
      </c>
      <c r="U1524" s="25">
        <f>+Municipios!P421</f>
        <v>65.182319747705691</v>
      </c>
      <c r="V1524" s="13">
        <v>5154</v>
      </c>
      <c r="W1524" s="13" t="s">
        <v>1295</v>
      </c>
      <c r="X1524" s="13" t="s">
        <v>435</v>
      </c>
      <c r="Y1524" s="13" t="s">
        <v>436</v>
      </c>
      <c r="Z1524" s="13" t="s">
        <v>1296</v>
      </c>
    </row>
    <row r="1525" spans="1:26">
      <c r="A1525" t="s">
        <v>412</v>
      </c>
      <c r="B1525" s="25">
        <f>+Municipios!P422</f>
        <v>66.755760194065672</v>
      </c>
      <c r="C1525" s="13">
        <v>41396</v>
      </c>
      <c r="D1525" s="13" t="s">
        <v>1297</v>
      </c>
      <c r="E1525" s="13" t="s">
        <v>676</v>
      </c>
      <c r="F1525" s="13" t="s">
        <v>677</v>
      </c>
      <c r="G1525" s="13" t="s">
        <v>1298</v>
      </c>
      <c r="K1525" t="s">
        <v>413</v>
      </c>
      <c r="L1525" s="81">
        <f>+Municipios!U422</f>
        <v>35.921831586640138</v>
      </c>
      <c r="M1525" s="13">
        <v>41396</v>
      </c>
      <c r="N1525" s="13" t="s">
        <v>1297</v>
      </c>
      <c r="O1525" s="13" t="s">
        <v>676</v>
      </c>
      <c r="P1525" s="13" t="s">
        <v>677</v>
      </c>
      <c r="Q1525" s="13" t="s">
        <v>1298</v>
      </c>
      <c r="T1525" t="s">
        <v>2804</v>
      </c>
      <c r="U1525" s="25">
        <f>+Municipios!P422</f>
        <v>66.755760194065672</v>
      </c>
      <c r="V1525" s="13">
        <v>41396</v>
      </c>
      <c r="W1525" s="13" t="s">
        <v>1297</v>
      </c>
      <c r="X1525" s="13" t="s">
        <v>676</v>
      </c>
      <c r="Y1525" s="13" t="s">
        <v>677</v>
      </c>
      <c r="Z1525" s="13" t="s">
        <v>1298</v>
      </c>
    </row>
    <row r="1526" spans="1:26">
      <c r="A1526" t="s">
        <v>412</v>
      </c>
      <c r="B1526" s="25">
        <f>+Municipios!P423</f>
        <v>48.32023643839797</v>
      </c>
      <c r="C1526" s="13">
        <v>86219</v>
      </c>
      <c r="D1526" s="13" t="s">
        <v>1299</v>
      </c>
      <c r="E1526" s="13" t="s">
        <v>943</v>
      </c>
      <c r="F1526" s="13" t="s">
        <v>944</v>
      </c>
      <c r="G1526" s="13" t="s">
        <v>1040</v>
      </c>
      <c r="K1526" t="s">
        <v>413</v>
      </c>
      <c r="L1526" s="81">
        <f>+Municipios!U423</f>
        <v>25.791804698846441</v>
      </c>
      <c r="M1526" s="13">
        <v>86219</v>
      </c>
      <c r="N1526" s="13" t="s">
        <v>1299</v>
      </c>
      <c r="O1526" s="13" t="s">
        <v>943</v>
      </c>
      <c r="P1526" s="13" t="s">
        <v>944</v>
      </c>
      <c r="Q1526" s="13" t="s">
        <v>1040</v>
      </c>
      <c r="T1526" t="s">
        <v>2804</v>
      </c>
      <c r="U1526" s="25">
        <f>+Municipios!P423</f>
        <v>48.32023643839797</v>
      </c>
      <c r="V1526" s="13">
        <v>86219</v>
      </c>
      <c r="W1526" s="13" t="s">
        <v>1299</v>
      </c>
      <c r="X1526" s="13" t="s">
        <v>943</v>
      </c>
      <c r="Y1526" s="13" t="s">
        <v>944</v>
      </c>
      <c r="Z1526" s="13" t="s">
        <v>1040</v>
      </c>
    </row>
    <row r="1527" spans="1:26">
      <c r="A1527" t="s">
        <v>412</v>
      </c>
      <c r="B1527" s="25">
        <f>+Municipios!P424</f>
        <v>54.614919002770392</v>
      </c>
      <c r="C1527" s="13">
        <v>66075</v>
      </c>
      <c r="D1527" s="13" t="s">
        <v>1300</v>
      </c>
      <c r="E1527" s="13" t="s">
        <v>467</v>
      </c>
      <c r="F1527" s="13" t="s">
        <v>468</v>
      </c>
      <c r="G1527" s="13" t="s">
        <v>1301</v>
      </c>
      <c r="K1527" t="s">
        <v>413</v>
      </c>
      <c r="L1527" s="81">
        <f>+Municipios!U424</f>
        <v>29.141835917366119</v>
      </c>
      <c r="M1527" s="13">
        <v>66075</v>
      </c>
      <c r="N1527" s="13" t="s">
        <v>1300</v>
      </c>
      <c r="O1527" s="13" t="s">
        <v>467</v>
      </c>
      <c r="P1527" s="13" t="s">
        <v>468</v>
      </c>
      <c r="Q1527" s="13" t="s">
        <v>1301</v>
      </c>
      <c r="T1527" t="s">
        <v>2804</v>
      </c>
      <c r="U1527" s="25">
        <f>+Municipios!P424</f>
        <v>54.614919002770392</v>
      </c>
      <c r="V1527" s="13">
        <v>66075</v>
      </c>
      <c r="W1527" s="13" t="s">
        <v>1300</v>
      </c>
      <c r="X1527" s="13" t="s">
        <v>467</v>
      </c>
      <c r="Y1527" s="13" t="s">
        <v>468</v>
      </c>
      <c r="Z1527" s="13" t="s">
        <v>1301</v>
      </c>
    </row>
    <row r="1528" spans="1:26">
      <c r="A1528" t="s">
        <v>412</v>
      </c>
      <c r="B1528" s="25">
        <f>+Municipios!P425</f>
        <v>56.488647959399913</v>
      </c>
      <c r="C1528" s="13">
        <v>5887</v>
      </c>
      <c r="D1528" s="13" t="s">
        <v>1302</v>
      </c>
      <c r="E1528" s="13" t="s">
        <v>435</v>
      </c>
      <c r="F1528" s="13" t="s">
        <v>436</v>
      </c>
      <c r="G1528" s="13" t="s">
        <v>1303</v>
      </c>
      <c r="K1528" t="s">
        <v>413</v>
      </c>
      <c r="L1528" s="81">
        <f>+Municipios!U425</f>
        <v>30.364246845085624</v>
      </c>
      <c r="M1528" s="13">
        <v>5887</v>
      </c>
      <c r="N1528" s="13" t="s">
        <v>1302</v>
      </c>
      <c r="O1528" s="13" t="s">
        <v>435</v>
      </c>
      <c r="P1528" s="13" t="s">
        <v>436</v>
      </c>
      <c r="Q1528" s="13" t="s">
        <v>1303</v>
      </c>
      <c r="T1528" t="s">
        <v>2804</v>
      </c>
      <c r="U1528" s="25">
        <f>+Municipios!P425</f>
        <v>56.488647959399913</v>
      </c>
      <c r="V1528" s="13">
        <v>5887</v>
      </c>
      <c r="W1528" s="13" t="s">
        <v>1302</v>
      </c>
      <c r="X1528" s="13" t="s">
        <v>435</v>
      </c>
      <c r="Y1528" s="13" t="s">
        <v>436</v>
      </c>
      <c r="Z1528" s="13" t="s">
        <v>1303</v>
      </c>
    </row>
    <row r="1529" spans="1:26">
      <c r="A1529" t="s">
        <v>412</v>
      </c>
      <c r="B1529" s="25">
        <f>+Municipios!P426</f>
        <v>50.295230227714441</v>
      </c>
      <c r="C1529" s="13">
        <v>70713</v>
      </c>
      <c r="D1529" s="13" t="s">
        <v>1304</v>
      </c>
      <c r="E1529" s="13" t="s">
        <v>494</v>
      </c>
      <c r="F1529" s="13" t="s">
        <v>495</v>
      </c>
      <c r="G1529" s="13" t="s">
        <v>1305</v>
      </c>
      <c r="K1529" t="s">
        <v>413</v>
      </c>
      <c r="L1529" s="81">
        <f>+Municipios!U426</f>
        <v>26.649904996848772</v>
      </c>
      <c r="M1529" s="13">
        <v>70713</v>
      </c>
      <c r="N1529" s="13" t="s">
        <v>1304</v>
      </c>
      <c r="O1529" s="13" t="s">
        <v>494</v>
      </c>
      <c r="P1529" s="13" t="s">
        <v>495</v>
      </c>
      <c r="Q1529" s="13" t="s">
        <v>1305</v>
      </c>
      <c r="T1529" t="s">
        <v>2804</v>
      </c>
      <c r="U1529" s="25">
        <f>+Municipios!P426</f>
        <v>50.295230227714441</v>
      </c>
      <c r="V1529" s="13">
        <v>70713</v>
      </c>
      <c r="W1529" s="13" t="s">
        <v>1304</v>
      </c>
      <c r="X1529" s="13" t="s">
        <v>494</v>
      </c>
      <c r="Y1529" s="13" t="s">
        <v>495</v>
      </c>
      <c r="Z1529" s="13" t="s">
        <v>1305</v>
      </c>
    </row>
    <row r="1530" spans="1:26">
      <c r="A1530" t="s">
        <v>412</v>
      </c>
      <c r="B1530" s="25">
        <f>+Municipios!P427</f>
        <v>63.505072117587943</v>
      </c>
      <c r="C1530" s="13">
        <v>73585</v>
      </c>
      <c r="D1530" s="13" t="s">
        <v>1306</v>
      </c>
      <c r="E1530" s="13" t="s">
        <v>595</v>
      </c>
      <c r="F1530" s="13" t="s">
        <v>596</v>
      </c>
      <c r="G1530" s="13" t="s">
        <v>1307</v>
      </c>
      <c r="K1530" t="s">
        <v>413</v>
      </c>
      <c r="L1530" s="81">
        <f>+Municipios!U427</f>
        <v>33.897340380971364</v>
      </c>
      <c r="M1530" s="13">
        <v>73585</v>
      </c>
      <c r="N1530" s="13" t="s">
        <v>1306</v>
      </c>
      <c r="O1530" s="13" t="s">
        <v>595</v>
      </c>
      <c r="P1530" s="13" t="s">
        <v>596</v>
      </c>
      <c r="Q1530" s="13" t="s">
        <v>1307</v>
      </c>
      <c r="T1530" t="s">
        <v>2804</v>
      </c>
      <c r="U1530" s="25">
        <f>+Municipios!P427</f>
        <v>63.505072117587943</v>
      </c>
      <c r="V1530" s="13">
        <v>73585</v>
      </c>
      <c r="W1530" s="13" t="s">
        <v>1306</v>
      </c>
      <c r="X1530" s="13" t="s">
        <v>595</v>
      </c>
      <c r="Y1530" s="13" t="s">
        <v>596</v>
      </c>
      <c r="Z1530" s="13" t="s">
        <v>1307</v>
      </c>
    </row>
    <row r="1531" spans="1:26">
      <c r="A1531" t="s">
        <v>412</v>
      </c>
      <c r="B1531" s="25">
        <f>+Municipios!P428</f>
        <v>53.279169792549162</v>
      </c>
      <c r="C1531" s="13">
        <v>13062</v>
      </c>
      <c r="D1531" s="13" t="s">
        <v>1308</v>
      </c>
      <c r="E1531" s="13" t="s">
        <v>480</v>
      </c>
      <c r="F1531" s="13" t="s">
        <v>481</v>
      </c>
      <c r="G1531" s="13" t="s">
        <v>1309</v>
      </c>
      <c r="K1531" t="s">
        <v>413</v>
      </c>
      <c r="L1531" s="81">
        <f>+Municipios!U428</f>
        <v>28.324612696892423</v>
      </c>
      <c r="M1531" s="13">
        <v>13062</v>
      </c>
      <c r="N1531" s="13" t="s">
        <v>1308</v>
      </c>
      <c r="O1531" s="13" t="s">
        <v>480</v>
      </c>
      <c r="P1531" s="13" t="s">
        <v>481</v>
      </c>
      <c r="Q1531" s="13" t="s">
        <v>1309</v>
      </c>
      <c r="T1531" t="s">
        <v>2804</v>
      </c>
      <c r="U1531" s="25">
        <f>+Municipios!P428</f>
        <v>53.279169792549162</v>
      </c>
      <c r="V1531" s="13">
        <v>13062</v>
      </c>
      <c r="W1531" s="13" t="s">
        <v>1308</v>
      </c>
      <c r="X1531" s="13" t="s">
        <v>480</v>
      </c>
      <c r="Y1531" s="13" t="s">
        <v>481</v>
      </c>
      <c r="Z1531" s="13" t="s">
        <v>1309</v>
      </c>
    </row>
    <row r="1532" spans="1:26">
      <c r="A1532" t="s">
        <v>412</v>
      </c>
      <c r="B1532" s="25">
        <f>+Municipios!P429</f>
        <v>64.475757337377317</v>
      </c>
      <c r="C1532" s="13">
        <v>68533</v>
      </c>
      <c r="D1532" s="13" t="s">
        <v>1310</v>
      </c>
      <c r="E1532" s="13" t="s">
        <v>431</v>
      </c>
      <c r="F1532" s="13" t="s">
        <v>432</v>
      </c>
      <c r="G1532" s="13" t="s">
        <v>1311</v>
      </c>
      <c r="K1532" t="s">
        <v>413</v>
      </c>
      <c r="L1532" s="81">
        <f>+Municipios!U429</f>
        <v>35.036808347857736</v>
      </c>
      <c r="M1532" s="13">
        <v>68533</v>
      </c>
      <c r="N1532" s="13" t="s">
        <v>1310</v>
      </c>
      <c r="O1532" s="13" t="s">
        <v>431</v>
      </c>
      <c r="P1532" s="13" t="s">
        <v>432</v>
      </c>
      <c r="Q1532" s="13" t="s">
        <v>1311</v>
      </c>
      <c r="T1532" t="s">
        <v>2804</v>
      </c>
      <c r="U1532" s="25">
        <f>+Municipios!P429</f>
        <v>64.475757337377317</v>
      </c>
      <c r="V1532" s="13">
        <v>68533</v>
      </c>
      <c r="W1532" s="13" t="s">
        <v>1310</v>
      </c>
      <c r="X1532" s="13" t="s">
        <v>431</v>
      </c>
      <c r="Y1532" s="13" t="s">
        <v>432</v>
      </c>
      <c r="Z1532" s="13" t="s">
        <v>1311</v>
      </c>
    </row>
    <row r="1533" spans="1:26">
      <c r="A1533" t="s">
        <v>412</v>
      </c>
      <c r="B1533" s="25">
        <f>+Municipios!P430</f>
        <v>70.305817906504515</v>
      </c>
      <c r="C1533" s="13">
        <v>15753</v>
      </c>
      <c r="D1533" s="13" t="s">
        <v>1312</v>
      </c>
      <c r="E1533" s="13" t="s">
        <v>498</v>
      </c>
      <c r="F1533" s="13" t="s">
        <v>499</v>
      </c>
      <c r="G1533" s="13" t="s">
        <v>1313</v>
      </c>
      <c r="K1533" t="s">
        <v>413</v>
      </c>
      <c r="L1533" s="81">
        <f>+Municipios!U430</f>
        <v>37.300646556535433</v>
      </c>
      <c r="M1533" s="13">
        <v>15753</v>
      </c>
      <c r="N1533" s="13" t="s">
        <v>1312</v>
      </c>
      <c r="O1533" s="13" t="s">
        <v>498</v>
      </c>
      <c r="P1533" s="13" t="s">
        <v>499</v>
      </c>
      <c r="Q1533" s="13" t="s">
        <v>1313</v>
      </c>
      <c r="T1533" t="s">
        <v>2804</v>
      </c>
      <c r="U1533" s="25">
        <f>+Municipios!P430</f>
        <v>70.305817906504515</v>
      </c>
      <c r="V1533" s="13">
        <v>15753</v>
      </c>
      <c r="W1533" s="13" t="s">
        <v>1312</v>
      </c>
      <c r="X1533" s="13" t="s">
        <v>498</v>
      </c>
      <c r="Y1533" s="13" t="s">
        <v>499</v>
      </c>
      <c r="Z1533" s="13" t="s">
        <v>1313</v>
      </c>
    </row>
    <row r="1534" spans="1:26">
      <c r="A1534" t="s">
        <v>412</v>
      </c>
      <c r="B1534" s="25">
        <f>+Municipios!P431</f>
        <v>63.423843797797971</v>
      </c>
      <c r="C1534" s="13">
        <v>15762</v>
      </c>
      <c r="D1534" s="13" t="s">
        <v>1314</v>
      </c>
      <c r="E1534" s="13" t="s">
        <v>498</v>
      </c>
      <c r="F1534" s="13" t="s">
        <v>499</v>
      </c>
      <c r="G1534" s="13" t="s">
        <v>1315</v>
      </c>
      <c r="K1534" t="s">
        <v>413</v>
      </c>
      <c r="L1534" s="81">
        <f>+Municipios!U431</f>
        <v>33.562206188611171</v>
      </c>
      <c r="M1534" s="13">
        <v>15762</v>
      </c>
      <c r="N1534" s="13" t="s">
        <v>1314</v>
      </c>
      <c r="O1534" s="13" t="s">
        <v>498</v>
      </c>
      <c r="P1534" s="13" t="s">
        <v>499</v>
      </c>
      <c r="Q1534" s="13" t="s">
        <v>1315</v>
      </c>
      <c r="T1534" t="s">
        <v>2804</v>
      </c>
      <c r="U1534" s="25">
        <f>+Municipios!P431</f>
        <v>63.423843797797971</v>
      </c>
      <c r="V1534" s="13">
        <v>15762</v>
      </c>
      <c r="W1534" s="13" t="s">
        <v>1314</v>
      </c>
      <c r="X1534" s="13" t="s">
        <v>498</v>
      </c>
      <c r="Y1534" s="13" t="s">
        <v>499</v>
      </c>
      <c r="Z1534" s="13" t="s">
        <v>1315</v>
      </c>
    </row>
    <row r="1535" spans="1:26">
      <c r="A1535" t="s">
        <v>412</v>
      </c>
      <c r="B1535" s="25">
        <f>+Municipios!P432</f>
        <v>52.431444838306824</v>
      </c>
      <c r="C1535" s="13">
        <v>41503</v>
      </c>
      <c r="D1535" s="13" t="s">
        <v>1316</v>
      </c>
      <c r="E1535" s="13" t="s">
        <v>676</v>
      </c>
      <c r="F1535" s="13" t="s">
        <v>677</v>
      </c>
      <c r="G1535" s="13" t="s">
        <v>1317</v>
      </c>
      <c r="K1535" t="s">
        <v>413</v>
      </c>
      <c r="L1535" s="81">
        <f>+Municipios!U432</f>
        <v>27.80177595078365</v>
      </c>
      <c r="M1535" s="13">
        <v>41503</v>
      </c>
      <c r="N1535" s="13" t="s">
        <v>1316</v>
      </c>
      <c r="O1535" s="13" t="s">
        <v>676</v>
      </c>
      <c r="P1535" s="13" t="s">
        <v>677</v>
      </c>
      <c r="Q1535" s="13" t="s">
        <v>1317</v>
      </c>
      <c r="T1535" t="s">
        <v>2804</v>
      </c>
      <c r="U1535" s="25">
        <f>+Municipios!P432</f>
        <v>52.431444838306824</v>
      </c>
      <c r="V1535" s="13">
        <v>41503</v>
      </c>
      <c r="W1535" s="13" t="s">
        <v>1316</v>
      </c>
      <c r="X1535" s="13" t="s">
        <v>676</v>
      </c>
      <c r="Y1535" s="13" t="s">
        <v>677</v>
      </c>
      <c r="Z1535" s="13" t="s">
        <v>1317</v>
      </c>
    </row>
    <row r="1536" spans="1:26">
      <c r="A1536" t="s">
        <v>412</v>
      </c>
      <c r="B1536" s="25">
        <f>+Municipios!P433</f>
        <v>48.341928386788162</v>
      </c>
      <c r="C1536" s="13">
        <v>23574</v>
      </c>
      <c r="D1536" s="13" t="s">
        <v>1318</v>
      </c>
      <c r="E1536" s="13" t="s">
        <v>567</v>
      </c>
      <c r="F1536" s="13" t="s">
        <v>568</v>
      </c>
      <c r="G1536" s="13" t="s">
        <v>1319</v>
      </c>
      <c r="K1536" t="s">
        <v>413</v>
      </c>
      <c r="L1536" s="81">
        <f>+Municipios!U433</f>
        <v>25.37542134694154</v>
      </c>
      <c r="M1536" s="13">
        <v>23574</v>
      </c>
      <c r="N1536" s="13" t="s">
        <v>1318</v>
      </c>
      <c r="O1536" s="13" t="s">
        <v>567</v>
      </c>
      <c r="P1536" s="13" t="s">
        <v>568</v>
      </c>
      <c r="Q1536" s="13" t="s">
        <v>1319</v>
      </c>
      <c r="T1536" t="s">
        <v>2804</v>
      </c>
      <c r="U1536" s="25">
        <f>+Municipios!P433</f>
        <v>48.341928386788162</v>
      </c>
      <c r="V1536" s="13">
        <v>23574</v>
      </c>
      <c r="W1536" s="13" t="s">
        <v>1318</v>
      </c>
      <c r="X1536" s="13" t="s">
        <v>567</v>
      </c>
      <c r="Y1536" s="13" t="s">
        <v>568</v>
      </c>
      <c r="Z1536" s="13" t="s">
        <v>1319</v>
      </c>
    </row>
    <row r="1537" spans="1:26">
      <c r="A1537" t="s">
        <v>412</v>
      </c>
      <c r="B1537" s="25">
        <f>+Municipios!P434</f>
        <v>52.386900538196862</v>
      </c>
      <c r="C1537" s="13">
        <v>41548</v>
      </c>
      <c r="D1537" s="13" t="s">
        <v>1320</v>
      </c>
      <c r="E1537" s="13" t="s">
        <v>676</v>
      </c>
      <c r="F1537" s="13" t="s">
        <v>677</v>
      </c>
      <c r="G1537" s="13" t="s">
        <v>1321</v>
      </c>
      <c r="K1537" t="s">
        <v>413</v>
      </c>
      <c r="L1537" s="81">
        <f>+Municipios!U434</f>
        <v>27.811221543898803</v>
      </c>
      <c r="M1537" s="13">
        <v>41548</v>
      </c>
      <c r="N1537" s="13" t="s">
        <v>1320</v>
      </c>
      <c r="O1537" s="13" t="s">
        <v>676</v>
      </c>
      <c r="P1537" s="13" t="s">
        <v>677</v>
      </c>
      <c r="Q1537" s="13" t="s">
        <v>1321</v>
      </c>
      <c r="T1537" t="s">
        <v>2804</v>
      </c>
      <c r="U1537" s="25">
        <f>+Municipios!P434</f>
        <v>52.386900538196862</v>
      </c>
      <c r="V1537" s="13">
        <v>41548</v>
      </c>
      <c r="W1537" s="13" t="s">
        <v>1320</v>
      </c>
      <c r="X1537" s="13" t="s">
        <v>676</v>
      </c>
      <c r="Y1537" s="13" t="s">
        <v>677</v>
      </c>
      <c r="Z1537" s="13" t="s">
        <v>1321</v>
      </c>
    </row>
    <row r="1538" spans="1:26">
      <c r="A1538" t="s">
        <v>412</v>
      </c>
      <c r="B1538" s="25">
        <f>+Municipios!P435</f>
        <v>57.486925573495213</v>
      </c>
      <c r="C1538" s="13">
        <v>41319</v>
      </c>
      <c r="D1538" s="13" t="s">
        <v>1322</v>
      </c>
      <c r="E1538" s="13" t="s">
        <v>676</v>
      </c>
      <c r="F1538" s="13" t="s">
        <v>677</v>
      </c>
      <c r="G1538" s="13" t="s">
        <v>1323</v>
      </c>
      <c r="K1538" t="s">
        <v>413</v>
      </c>
      <c r="L1538" s="81">
        <f>+Municipios!U435</f>
        <v>30.414092154393622</v>
      </c>
      <c r="M1538" s="13">
        <v>41319</v>
      </c>
      <c r="N1538" s="13" t="s">
        <v>1322</v>
      </c>
      <c r="O1538" s="13" t="s">
        <v>676</v>
      </c>
      <c r="P1538" s="13" t="s">
        <v>677</v>
      </c>
      <c r="Q1538" s="13" t="s">
        <v>1323</v>
      </c>
      <c r="T1538" t="s">
        <v>2804</v>
      </c>
      <c r="U1538" s="25">
        <f>+Municipios!P435</f>
        <v>57.486925573495213</v>
      </c>
      <c r="V1538" s="13">
        <v>41319</v>
      </c>
      <c r="W1538" s="13" t="s">
        <v>1322</v>
      </c>
      <c r="X1538" s="13" t="s">
        <v>676</v>
      </c>
      <c r="Y1538" s="13" t="s">
        <v>677</v>
      </c>
      <c r="Z1538" s="13" t="s">
        <v>1323</v>
      </c>
    </row>
    <row r="1539" spans="1:26">
      <c r="A1539" t="s">
        <v>412</v>
      </c>
      <c r="B1539" s="25">
        <f>+Municipios!P436</f>
        <v>67.541476885738717</v>
      </c>
      <c r="C1539" s="13">
        <v>19622</v>
      </c>
      <c r="D1539" s="13" t="s">
        <v>1324</v>
      </c>
      <c r="E1539" s="13" t="s">
        <v>557</v>
      </c>
      <c r="F1539" s="13" t="s">
        <v>558</v>
      </c>
      <c r="G1539" s="13" t="s">
        <v>1325</v>
      </c>
      <c r="K1539" t="s">
        <v>413</v>
      </c>
      <c r="L1539" s="81">
        <f>+Municipios!U436</f>
        <v>35.749114767058948</v>
      </c>
      <c r="M1539" s="13">
        <v>19622</v>
      </c>
      <c r="N1539" s="13" t="s">
        <v>1324</v>
      </c>
      <c r="O1539" s="13" t="s">
        <v>557</v>
      </c>
      <c r="P1539" s="13" t="s">
        <v>558</v>
      </c>
      <c r="Q1539" s="13" t="s">
        <v>1325</v>
      </c>
      <c r="T1539" t="s">
        <v>2804</v>
      </c>
      <c r="U1539" s="25">
        <f>+Municipios!P436</f>
        <v>67.541476885738717</v>
      </c>
      <c r="V1539" s="13">
        <v>19622</v>
      </c>
      <c r="W1539" s="13" t="s">
        <v>1324</v>
      </c>
      <c r="X1539" s="13" t="s">
        <v>557</v>
      </c>
      <c r="Y1539" s="13" t="s">
        <v>558</v>
      </c>
      <c r="Z1539" s="13" t="s">
        <v>1325</v>
      </c>
    </row>
    <row r="1540" spans="1:26">
      <c r="A1540" t="s">
        <v>412</v>
      </c>
      <c r="B1540" s="25">
        <f>+Municipios!P437</f>
        <v>67.77921909958954</v>
      </c>
      <c r="C1540" s="13">
        <v>25488</v>
      </c>
      <c r="D1540" s="13" t="s">
        <v>1326</v>
      </c>
      <c r="E1540" s="13" t="s">
        <v>461</v>
      </c>
      <c r="F1540" s="13" t="s">
        <v>462</v>
      </c>
      <c r="G1540" s="13" t="s">
        <v>1327</v>
      </c>
      <c r="K1540" t="s">
        <v>413</v>
      </c>
      <c r="L1540" s="81">
        <f>+Municipios!U437</f>
        <v>35.287091183841042</v>
      </c>
      <c r="M1540" s="13">
        <v>25488</v>
      </c>
      <c r="N1540" s="13" t="s">
        <v>1326</v>
      </c>
      <c r="O1540" s="13" t="s">
        <v>461</v>
      </c>
      <c r="P1540" s="13" t="s">
        <v>462</v>
      </c>
      <c r="Q1540" s="13" t="s">
        <v>1327</v>
      </c>
      <c r="T1540" t="s">
        <v>2804</v>
      </c>
      <c r="U1540" s="25">
        <f>+Municipios!P437</f>
        <v>67.77921909958954</v>
      </c>
      <c r="V1540" s="13">
        <v>25488</v>
      </c>
      <c r="W1540" s="13" t="s">
        <v>1326</v>
      </c>
      <c r="X1540" s="13" t="s">
        <v>461</v>
      </c>
      <c r="Y1540" s="13" t="s">
        <v>462</v>
      </c>
      <c r="Z1540" s="13" t="s">
        <v>1327</v>
      </c>
    </row>
    <row r="1541" spans="1:26">
      <c r="A1541" t="s">
        <v>412</v>
      </c>
      <c r="B1541" s="25">
        <f>+Municipios!P438</f>
        <v>45.759498958738554</v>
      </c>
      <c r="C1541" s="13">
        <v>70708</v>
      </c>
      <c r="D1541" s="13" t="s">
        <v>1328</v>
      </c>
      <c r="E1541" s="13" t="s">
        <v>494</v>
      </c>
      <c r="F1541" s="13" t="s">
        <v>495</v>
      </c>
      <c r="G1541" s="13" t="s">
        <v>1329</v>
      </c>
      <c r="K1541" t="s">
        <v>413</v>
      </c>
      <c r="L1541" s="81">
        <f>+Municipios!U438</f>
        <v>24.466934628962882</v>
      </c>
      <c r="M1541" s="13">
        <v>70708</v>
      </c>
      <c r="N1541" s="13" t="s">
        <v>1328</v>
      </c>
      <c r="O1541" s="13" t="s">
        <v>494</v>
      </c>
      <c r="P1541" s="13" t="s">
        <v>495</v>
      </c>
      <c r="Q1541" s="13" t="s">
        <v>1329</v>
      </c>
      <c r="T1541" t="s">
        <v>2804</v>
      </c>
      <c r="U1541" s="25">
        <f>+Municipios!P438</f>
        <v>45.759498958738554</v>
      </c>
      <c r="V1541" s="13">
        <v>70708</v>
      </c>
      <c r="W1541" s="13" t="s">
        <v>1328</v>
      </c>
      <c r="X1541" s="13" t="s">
        <v>494</v>
      </c>
      <c r="Y1541" s="13" t="s">
        <v>495</v>
      </c>
      <c r="Z1541" s="13" t="s">
        <v>1329</v>
      </c>
    </row>
    <row r="1542" spans="1:26">
      <c r="A1542" t="s">
        <v>412</v>
      </c>
      <c r="B1542" s="25">
        <f>+Municipios!P439</f>
        <v>58.841927029992235</v>
      </c>
      <c r="C1542" s="13">
        <v>5690</v>
      </c>
      <c r="D1542" s="13" t="s">
        <v>1330</v>
      </c>
      <c r="E1542" s="13" t="s">
        <v>435</v>
      </c>
      <c r="F1542" s="13" t="s">
        <v>436</v>
      </c>
      <c r="G1542" s="13" t="s">
        <v>1331</v>
      </c>
      <c r="K1542" t="s">
        <v>413</v>
      </c>
      <c r="L1542" s="81">
        <f>+Municipios!U439</f>
        <v>31.816534516606197</v>
      </c>
      <c r="M1542" s="13">
        <v>5690</v>
      </c>
      <c r="N1542" s="13" t="s">
        <v>1330</v>
      </c>
      <c r="O1542" s="13" t="s">
        <v>435</v>
      </c>
      <c r="P1542" s="13" t="s">
        <v>436</v>
      </c>
      <c r="Q1542" s="13" t="s">
        <v>1331</v>
      </c>
      <c r="T1542" t="s">
        <v>2804</v>
      </c>
      <c r="U1542" s="25">
        <f>+Municipios!P439</f>
        <v>58.841927029992235</v>
      </c>
      <c r="V1542" s="13">
        <v>5690</v>
      </c>
      <c r="W1542" s="13" t="s">
        <v>1330</v>
      </c>
      <c r="X1542" s="13" t="s">
        <v>435</v>
      </c>
      <c r="Y1542" s="13" t="s">
        <v>436</v>
      </c>
      <c r="Z1542" s="13" t="s">
        <v>1331</v>
      </c>
    </row>
    <row r="1543" spans="1:26">
      <c r="A1543" t="s">
        <v>412</v>
      </c>
      <c r="B1543" s="25">
        <f>+Municipios!P440</f>
        <v>70.595368622643065</v>
      </c>
      <c r="C1543" s="13">
        <v>20400</v>
      </c>
      <c r="D1543" s="13" t="s">
        <v>1332</v>
      </c>
      <c r="E1543" s="13" t="s">
        <v>893</v>
      </c>
      <c r="F1543" s="13" t="s">
        <v>894</v>
      </c>
      <c r="G1543" s="13" t="s">
        <v>1333</v>
      </c>
      <c r="K1543" t="s">
        <v>413</v>
      </c>
      <c r="L1543" s="81">
        <f>+Municipios!U440</f>
        <v>37.963200922270204</v>
      </c>
      <c r="M1543" s="13">
        <v>20400</v>
      </c>
      <c r="N1543" s="13" t="s">
        <v>1332</v>
      </c>
      <c r="O1543" s="13" t="s">
        <v>893</v>
      </c>
      <c r="P1543" s="13" t="s">
        <v>894</v>
      </c>
      <c r="Q1543" s="13" t="s">
        <v>1333</v>
      </c>
      <c r="T1543" t="s">
        <v>2804</v>
      </c>
      <c r="U1543" s="25">
        <f>+Municipios!P440</f>
        <v>70.595368622643065</v>
      </c>
      <c r="V1543" s="13">
        <v>20400</v>
      </c>
      <c r="W1543" s="13" t="s">
        <v>1332</v>
      </c>
      <c r="X1543" s="13" t="s">
        <v>893</v>
      </c>
      <c r="Y1543" s="13" t="s">
        <v>894</v>
      </c>
      <c r="Z1543" s="13" t="s">
        <v>1333</v>
      </c>
    </row>
    <row r="1544" spans="1:26">
      <c r="A1544" t="s">
        <v>412</v>
      </c>
      <c r="B1544" s="25">
        <f>+Municipios!P441</f>
        <v>50.329327037312233</v>
      </c>
      <c r="C1544" s="13">
        <v>73352</v>
      </c>
      <c r="D1544" s="13" t="s">
        <v>1334</v>
      </c>
      <c r="E1544" s="13" t="s">
        <v>595</v>
      </c>
      <c r="F1544" s="13" t="s">
        <v>596</v>
      </c>
      <c r="G1544" s="13" t="s">
        <v>1335</v>
      </c>
      <c r="K1544" t="s">
        <v>413</v>
      </c>
      <c r="L1544" s="81">
        <f>+Municipios!U441</f>
        <v>26.637798043248498</v>
      </c>
      <c r="M1544" s="13">
        <v>73352</v>
      </c>
      <c r="N1544" s="13" t="s">
        <v>1334</v>
      </c>
      <c r="O1544" s="13" t="s">
        <v>595</v>
      </c>
      <c r="P1544" s="13" t="s">
        <v>596</v>
      </c>
      <c r="Q1544" s="13" t="s">
        <v>1335</v>
      </c>
      <c r="T1544" t="s">
        <v>2804</v>
      </c>
      <c r="U1544" s="25">
        <f>+Municipios!P441</f>
        <v>50.329327037312233</v>
      </c>
      <c r="V1544" s="13">
        <v>73352</v>
      </c>
      <c r="W1544" s="13" t="s">
        <v>1334</v>
      </c>
      <c r="X1544" s="13" t="s">
        <v>595</v>
      </c>
      <c r="Y1544" s="13" t="s">
        <v>596</v>
      </c>
      <c r="Z1544" s="13" t="s">
        <v>1335</v>
      </c>
    </row>
    <row r="1545" spans="1:26">
      <c r="A1545" t="s">
        <v>412</v>
      </c>
      <c r="B1545" s="25">
        <f>+Municipios!P442</f>
        <v>58.633800730829805</v>
      </c>
      <c r="C1545" s="13">
        <v>52356</v>
      </c>
      <c r="D1545" s="13" t="s">
        <v>1336</v>
      </c>
      <c r="E1545" s="13" t="s">
        <v>672</v>
      </c>
      <c r="F1545" s="13" t="s">
        <v>673</v>
      </c>
      <c r="G1545" s="13" t="s">
        <v>1337</v>
      </c>
      <c r="K1545" t="s">
        <v>413</v>
      </c>
      <c r="L1545" s="81">
        <f>+Municipios!U442</f>
        <v>31.105629927009677</v>
      </c>
      <c r="M1545" s="13">
        <v>52356</v>
      </c>
      <c r="N1545" s="13" t="s">
        <v>1336</v>
      </c>
      <c r="O1545" s="13" t="s">
        <v>672</v>
      </c>
      <c r="P1545" s="13" t="s">
        <v>673</v>
      </c>
      <c r="Q1545" s="13" t="s">
        <v>1337</v>
      </c>
      <c r="T1545" t="s">
        <v>2804</v>
      </c>
      <c r="U1545" s="25">
        <f>+Municipios!P442</f>
        <v>58.633800730829805</v>
      </c>
      <c r="V1545" s="13">
        <v>52356</v>
      </c>
      <c r="W1545" s="13" t="s">
        <v>1336</v>
      </c>
      <c r="X1545" s="13" t="s">
        <v>672</v>
      </c>
      <c r="Y1545" s="13" t="s">
        <v>673</v>
      </c>
      <c r="Z1545" s="13" t="s">
        <v>1337</v>
      </c>
    </row>
    <row r="1546" spans="1:26">
      <c r="A1546" t="s">
        <v>412</v>
      </c>
      <c r="B1546" s="25">
        <f>+Municipios!P443</f>
        <v>44.636383340304562</v>
      </c>
      <c r="C1546" s="13">
        <v>5792</v>
      </c>
      <c r="D1546" s="13" t="s">
        <v>1338</v>
      </c>
      <c r="E1546" s="13" t="s">
        <v>435</v>
      </c>
      <c r="F1546" s="13" t="s">
        <v>436</v>
      </c>
      <c r="G1546" s="13" t="s">
        <v>1339</v>
      </c>
      <c r="K1546" t="s">
        <v>413</v>
      </c>
      <c r="L1546" s="81">
        <f>+Municipios!U443</f>
        <v>23.929079689750548</v>
      </c>
      <c r="M1546" s="13">
        <v>5792</v>
      </c>
      <c r="N1546" s="13" t="s">
        <v>1338</v>
      </c>
      <c r="O1546" s="13" t="s">
        <v>435</v>
      </c>
      <c r="P1546" s="13" t="s">
        <v>436</v>
      </c>
      <c r="Q1546" s="13" t="s">
        <v>1339</v>
      </c>
      <c r="T1546" t="s">
        <v>2804</v>
      </c>
      <c r="U1546" s="25">
        <f>+Municipios!P443</f>
        <v>44.636383340304562</v>
      </c>
      <c r="V1546" s="13">
        <v>5792</v>
      </c>
      <c r="W1546" s="13" t="s">
        <v>1338</v>
      </c>
      <c r="X1546" s="13" t="s">
        <v>435</v>
      </c>
      <c r="Y1546" s="13" t="s">
        <v>436</v>
      </c>
      <c r="Z1546" s="13" t="s">
        <v>1339</v>
      </c>
    </row>
    <row r="1547" spans="1:26">
      <c r="A1547" t="s">
        <v>412</v>
      </c>
      <c r="B1547" s="25">
        <f>+Municipios!P444</f>
        <v>46.008468137373612</v>
      </c>
      <c r="C1547" s="13">
        <v>70233</v>
      </c>
      <c r="D1547" s="13" t="s">
        <v>1340</v>
      </c>
      <c r="E1547" s="13" t="s">
        <v>494</v>
      </c>
      <c r="F1547" s="13" t="s">
        <v>495</v>
      </c>
      <c r="G1547" s="13" t="s">
        <v>1341</v>
      </c>
      <c r="K1547" t="s">
        <v>413</v>
      </c>
      <c r="L1547" s="81">
        <f>+Municipios!U444</f>
        <v>24.457541952642813</v>
      </c>
      <c r="M1547" s="13">
        <v>70233</v>
      </c>
      <c r="N1547" s="13" t="s">
        <v>1340</v>
      </c>
      <c r="O1547" s="13" t="s">
        <v>494</v>
      </c>
      <c r="P1547" s="13" t="s">
        <v>495</v>
      </c>
      <c r="Q1547" s="13" t="s">
        <v>1341</v>
      </c>
      <c r="T1547" t="s">
        <v>2804</v>
      </c>
      <c r="U1547" s="25">
        <f>+Municipios!P444</f>
        <v>46.008468137373612</v>
      </c>
      <c r="V1547" s="13">
        <v>70233</v>
      </c>
      <c r="W1547" s="13" t="s">
        <v>1340</v>
      </c>
      <c r="X1547" s="13" t="s">
        <v>494</v>
      </c>
      <c r="Y1547" s="13" t="s">
        <v>495</v>
      </c>
      <c r="Z1547" s="13" t="s">
        <v>1341</v>
      </c>
    </row>
    <row r="1548" spans="1:26">
      <c r="A1548" t="s">
        <v>412</v>
      </c>
      <c r="B1548" s="25">
        <f>+Municipios!P445</f>
        <v>63.171748316721825</v>
      </c>
      <c r="C1548" s="13">
        <v>5670</v>
      </c>
      <c r="D1548" s="13" t="s">
        <v>1342</v>
      </c>
      <c r="E1548" s="13" t="s">
        <v>435</v>
      </c>
      <c r="F1548" s="13" t="s">
        <v>436</v>
      </c>
      <c r="G1548" s="13" t="s">
        <v>1343</v>
      </c>
      <c r="K1548" t="s">
        <v>413</v>
      </c>
      <c r="L1548" s="81">
        <f>+Municipios!U445</f>
        <v>34.077479758558908</v>
      </c>
      <c r="M1548" s="13">
        <v>5670</v>
      </c>
      <c r="N1548" s="13" t="s">
        <v>1342</v>
      </c>
      <c r="O1548" s="13" t="s">
        <v>435</v>
      </c>
      <c r="P1548" s="13" t="s">
        <v>436</v>
      </c>
      <c r="Q1548" s="13" t="s">
        <v>1343</v>
      </c>
      <c r="T1548" t="s">
        <v>2804</v>
      </c>
      <c r="U1548" s="25">
        <f>+Municipios!P445</f>
        <v>63.171748316721825</v>
      </c>
      <c r="V1548" s="13">
        <v>5670</v>
      </c>
      <c r="W1548" s="13" t="s">
        <v>1342</v>
      </c>
      <c r="X1548" s="13" t="s">
        <v>435</v>
      </c>
      <c r="Y1548" s="13" t="s">
        <v>436</v>
      </c>
      <c r="Z1548" s="13" t="s">
        <v>1343</v>
      </c>
    </row>
    <row r="1549" spans="1:26">
      <c r="A1549" t="s">
        <v>412</v>
      </c>
      <c r="B1549" s="25">
        <f>+Municipios!P446</f>
        <v>60.476903737566566</v>
      </c>
      <c r="C1549" s="13">
        <v>5091</v>
      </c>
      <c r="D1549" s="13" t="s">
        <v>1344</v>
      </c>
      <c r="E1549" s="13" t="s">
        <v>435</v>
      </c>
      <c r="F1549" s="13" t="s">
        <v>436</v>
      </c>
      <c r="G1549" s="13" t="s">
        <v>1345</v>
      </c>
      <c r="K1549" t="s">
        <v>413</v>
      </c>
      <c r="L1549" s="81">
        <f>+Municipios!U446</f>
        <v>32.284212888862704</v>
      </c>
      <c r="M1549" s="13">
        <v>5091</v>
      </c>
      <c r="N1549" s="13" t="s">
        <v>1344</v>
      </c>
      <c r="O1549" s="13" t="s">
        <v>435</v>
      </c>
      <c r="P1549" s="13" t="s">
        <v>436</v>
      </c>
      <c r="Q1549" s="13" t="s">
        <v>1345</v>
      </c>
      <c r="T1549" t="s">
        <v>2804</v>
      </c>
      <c r="U1549" s="25">
        <f>+Municipios!P446</f>
        <v>60.476903737566566</v>
      </c>
      <c r="V1549" s="13">
        <v>5091</v>
      </c>
      <c r="W1549" s="13" t="s">
        <v>1344</v>
      </c>
      <c r="X1549" s="13" t="s">
        <v>435</v>
      </c>
      <c r="Y1549" s="13" t="s">
        <v>436</v>
      </c>
      <c r="Z1549" s="13" t="s">
        <v>1345</v>
      </c>
    </row>
    <row r="1550" spans="1:26">
      <c r="A1550" t="s">
        <v>412</v>
      </c>
      <c r="B1550" s="25">
        <f>+Municipios!P447</f>
        <v>59.180350757344719</v>
      </c>
      <c r="C1550" s="13">
        <v>19824</v>
      </c>
      <c r="D1550" s="13" t="s">
        <v>1346</v>
      </c>
      <c r="E1550" s="13" t="s">
        <v>557</v>
      </c>
      <c r="F1550" s="13" t="s">
        <v>558</v>
      </c>
      <c r="G1550" s="13" t="s">
        <v>1347</v>
      </c>
      <c r="K1550" t="s">
        <v>413</v>
      </c>
      <c r="L1550" s="81">
        <f>+Municipios!U447</f>
        <v>31.27746746151227</v>
      </c>
      <c r="M1550" s="13">
        <v>19824</v>
      </c>
      <c r="N1550" s="13" t="s">
        <v>1346</v>
      </c>
      <c r="O1550" s="13" t="s">
        <v>557</v>
      </c>
      <c r="P1550" s="13" t="s">
        <v>558</v>
      </c>
      <c r="Q1550" s="13" t="s">
        <v>1347</v>
      </c>
      <c r="T1550" t="s">
        <v>2804</v>
      </c>
      <c r="U1550" s="25">
        <f>+Municipios!P447</f>
        <v>59.180350757344719</v>
      </c>
      <c r="V1550" s="13">
        <v>19824</v>
      </c>
      <c r="W1550" s="13" t="s">
        <v>1346</v>
      </c>
      <c r="X1550" s="13" t="s">
        <v>557</v>
      </c>
      <c r="Y1550" s="13" t="s">
        <v>558</v>
      </c>
      <c r="Z1550" s="13" t="s">
        <v>1347</v>
      </c>
    </row>
    <row r="1551" spans="1:26">
      <c r="A1551" t="s">
        <v>412</v>
      </c>
      <c r="B1551" s="25">
        <f>+Municipios!P448</f>
        <v>43.07216754317399</v>
      </c>
      <c r="C1551" s="13">
        <v>13780</v>
      </c>
      <c r="D1551" s="13" t="s">
        <v>1348</v>
      </c>
      <c r="E1551" s="13" t="s">
        <v>480</v>
      </c>
      <c r="F1551" s="13" t="s">
        <v>481</v>
      </c>
      <c r="G1551" s="13" t="s">
        <v>1349</v>
      </c>
      <c r="K1551" t="s">
        <v>413</v>
      </c>
      <c r="L1551" s="81">
        <f>+Municipios!U448</f>
        <v>22.967050124803766</v>
      </c>
      <c r="M1551" s="13">
        <v>13780</v>
      </c>
      <c r="N1551" s="13" t="s">
        <v>1348</v>
      </c>
      <c r="O1551" s="13" t="s">
        <v>480</v>
      </c>
      <c r="P1551" s="13" t="s">
        <v>481</v>
      </c>
      <c r="Q1551" s="13" t="s">
        <v>1349</v>
      </c>
      <c r="T1551" t="s">
        <v>2804</v>
      </c>
      <c r="U1551" s="25">
        <f>+Municipios!P448</f>
        <v>43.07216754317399</v>
      </c>
      <c r="V1551" s="13">
        <v>13780</v>
      </c>
      <c r="W1551" s="13" t="s">
        <v>1348</v>
      </c>
      <c r="X1551" s="13" t="s">
        <v>480</v>
      </c>
      <c r="Y1551" s="13" t="s">
        <v>481</v>
      </c>
      <c r="Z1551" s="13" t="s">
        <v>1349</v>
      </c>
    </row>
    <row r="1552" spans="1:26">
      <c r="A1552" t="s">
        <v>412</v>
      </c>
      <c r="B1552" s="25">
        <f>+Municipios!P449</f>
        <v>67.865416656465186</v>
      </c>
      <c r="C1552" s="13">
        <v>85001</v>
      </c>
      <c r="D1552" s="13" t="s">
        <v>1350</v>
      </c>
      <c r="E1552" s="13" t="s">
        <v>1351</v>
      </c>
      <c r="F1552" s="13" t="s">
        <v>1352</v>
      </c>
      <c r="G1552" s="13" t="s">
        <v>1353</v>
      </c>
      <c r="K1552" t="s">
        <v>413</v>
      </c>
      <c r="L1552" s="81">
        <f>+Municipios!U449</f>
        <v>35.746746807007376</v>
      </c>
      <c r="M1552" s="13">
        <v>85001</v>
      </c>
      <c r="N1552" s="13" t="s">
        <v>1350</v>
      </c>
      <c r="O1552" s="13" t="s">
        <v>1351</v>
      </c>
      <c r="P1552" s="13" t="s">
        <v>1352</v>
      </c>
      <c r="Q1552" s="13" t="s">
        <v>1353</v>
      </c>
      <c r="T1552" t="s">
        <v>2804</v>
      </c>
      <c r="U1552" s="25">
        <f>+Municipios!P449</f>
        <v>67.865416656465186</v>
      </c>
      <c r="V1552" s="13">
        <v>85001</v>
      </c>
      <c r="W1552" s="13" t="s">
        <v>1350</v>
      </c>
      <c r="X1552" s="13" t="s">
        <v>1351</v>
      </c>
      <c r="Y1552" s="13" t="s">
        <v>1352</v>
      </c>
      <c r="Z1552" s="13" t="s">
        <v>1353</v>
      </c>
    </row>
    <row r="1553" spans="1:26">
      <c r="A1553" t="s">
        <v>412</v>
      </c>
      <c r="B1553" s="25">
        <f>+Municipios!P450</f>
        <v>61.627323915349017</v>
      </c>
      <c r="C1553" s="13">
        <v>25281</v>
      </c>
      <c r="D1553" s="13" t="s">
        <v>1354</v>
      </c>
      <c r="E1553" s="13" t="s">
        <v>461</v>
      </c>
      <c r="F1553" s="13" t="s">
        <v>462</v>
      </c>
      <c r="G1553" s="13" t="s">
        <v>1355</v>
      </c>
      <c r="K1553" t="s">
        <v>413</v>
      </c>
      <c r="L1553" s="81">
        <f>+Municipios!U450</f>
        <v>31.77884636145561</v>
      </c>
      <c r="M1553" s="13">
        <v>25281</v>
      </c>
      <c r="N1553" s="13" t="s">
        <v>1354</v>
      </c>
      <c r="O1553" s="13" t="s">
        <v>461</v>
      </c>
      <c r="P1553" s="13" t="s">
        <v>462</v>
      </c>
      <c r="Q1553" s="13" t="s">
        <v>1355</v>
      </c>
      <c r="T1553" t="s">
        <v>2804</v>
      </c>
      <c r="U1553" s="25">
        <f>+Municipios!P450</f>
        <v>61.627323915349017</v>
      </c>
      <c r="V1553" s="13">
        <v>25281</v>
      </c>
      <c r="W1553" s="13" t="s">
        <v>1354</v>
      </c>
      <c r="X1553" s="13" t="s">
        <v>461</v>
      </c>
      <c r="Y1553" s="13" t="s">
        <v>462</v>
      </c>
      <c r="Z1553" s="13" t="s">
        <v>1355</v>
      </c>
    </row>
    <row r="1554" spans="1:26">
      <c r="A1554" t="s">
        <v>412</v>
      </c>
      <c r="B1554" s="25">
        <f>+Municipios!P451</f>
        <v>68.015993032596811</v>
      </c>
      <c r="C1554" s="13">
        <v>15776</v>
      </c>
      <c r="D1554" s="13" t="s">
        <v>1356</v>
      </c>
      <c r="E1554" s="13" t="s">
        <v>498</v>
      </c>
      <c r="F1554" s="13" t="s">
        <v>499</v>
      </c>
      <c r="G1554" s="13" t="s">
        <v>1357</v>
      </c>
      <c r="K1554" t="s">
        <v>413</v>
      </c>
      <c r="L1554" s="81">
        <f>+Municipios!U451</f>
        <v>35.489083372408835</v>
      </c>
      <c r="M1554" s="13">
        <v>15776</v>
      </c>
      <c r="N1554" s="13" t="s">
        <v>1356</v>
      </c>
      <c r="O1554" s="13" t="s">
        <v>498</v>
      </c>
      <c r="P1554" s="13" t="s">
        <v>499</v>
      </c>
      <c r="Q1554" s="13" t="s">
        <v>1357</v>
      </c>
      <c r="T1554" t="s">
        <v>2804</v>
      </c>
      <c r="U1554" s="25">
        <f>+Municipios!P451</f>
        <v>68.015993032596811</v>
      </c>
      <c r="V1554" s="13">
        <v>15776</v>
      </c>
      <c r="W1554" s="13" t="s">
        <v>1356</v>
      </c>
      <c r="X1554" s="13" t="s">
        <v>498</v>
      </c>
      <c r="Y1554" s="13" t="s">
        <v>499</v>
      </c>
      <c r="Z1554" s="13" t="s">
        <v>1357</v>
      </c>
    </row>
    <row r="1555" spans="1:26">
      <c r="A1555" t="s">
        <v>412</v>
      </c>
      <c r="B1555" s="25">
        <f>+Municipios!P452</f>
        <v>59.050911529076089</v>
      </c>
      <c r="C1555" s="13">
        <v>5093</v>
      </c>
      <c r="D1555" s="13" t="s">
        <v>1358</v>
      </c>
      <c r="E1555" s="13" t="s">
        <v>435</v>
      </c>
      <c r="F1555" s="13" t="s">
        <v>436</v>
      </c>
      <c r="G1555" s="13" t="s">
        <v>1359</v>
      </c>
      <c r="K1555" t="s">
        <v>413</v>
      </c>
      <c r="L1555" s="81">
        <f>+Municipios!U452</f>
        <v>31.526633571828466</v>
      </c>
      <c r="M1555" s="13">
        <v>5093</v>
      </c>
      <c r="N1555" s="13" t="s">
        <v>1358</v>
      </c>
      <c r="O1555" s="13" t="s">
        <v>435</v>
      </c>
      <c r="P1555" s="13" t="s">
        <v>436</v>
      </c>
      <c r="Q1555" s="13" t="s">
        <v>1359</v>
      </c>
      <c r="T1555" t="s">
        <v>2804</v>
      </c>
      <c r="U1555" s="25">
        <f>+Municipios!P452</f>
        <v>59.050911529076089</v>
      </c>
      <c r="V1555" s="13">
        <v>5093</v>
      </c>
      <c r="W1555" s="13" t="s">
        <v>1358</v>
      </c>
      <c r="X1555" s="13" t="s">
        <v>435</v>
      </c>
      <c r="Y1555" s="13" t="s">
        <v>436</v>
      </c>
      <c r="Z1555" s="13" t="s">
        <v>1359</v>
      </c>
    </row>
    <row r="1556" spans="1:26">
      <c r="A1556" t="s">
        <v>412</v>
      </c>
      <c r="B1556" s="25">
        <f>+Municipios!P453</f>
        <v>61.43681557610946</v>
      </c>
      <c r="C1556" s="13">
        <v>41359</v>
      </c>
      <c r="D1556" s="13" t="s">
        <v>1360</v>
      </c>
      <c r="E1556" s="13" t="s">
        <v>676</v>
      </c>
      <c r="F1556" s="13" t="s">
        <v>677</v>
      </c>
      <c r="G1556" s="13" t="s">
        <v>1361</v>
      </c>
      <c r="K1556" t="s">
        <v>413</v>
      </c>
      <c r="L1556" s="81">
        <f>+Municipios!U453</f>
        <v>32.260226078003235</v>
      </c>
      <c r="M1556" s="13">
        <v>41359</v>
      </c>
      <c r="N1556" s="13" t="s">
        <v>1360</v>
      </c>
      <c r="O1556" s="13" t="s">
        <v>676</v>
      </c>
      <c r="P1556" s="13" t="s">
        <v>677</v>
      </c>
      <c r="Q1556" s="13" t="s">
        <v>1361</v>
      </c>
      <c r="T1556" t="s">
        <v>2804</v>
      </c>
      <c r="U1556" s="25">
        <f>+Municipios!P453</f>
        <v>61.43681557610946</v>
      </c>
      <c r="V1556" s="13">
        <v>41359</v>
      </c>
      <c r="W1556" s="13" t="s">
        <v>1360</v>
      </c>
      <c r="X1556" s="13" t="s">
        <v>676</v>
      </c>
      <c r="Y1556" s="13" t="s">
        <v>677</v>
      </c>
      <c r="Z1556" s="13" t="s">
        <v>1361</v>
      </c>
    </row>
    <row r="1557" spans="1:26">
      <c r="A1557" t="s">
        <v>412</v>
      </c>
      <c r="B1557" s="25">
        <f>+Municipios!P454</f>
        <v>61.320304407323263</v>
      </c>
      <c r="C1557" s="13">
        <v>25181</v>
      </c>
      <c r="D1557" s="13" t="s">
        <v>1362</v>
      </c>
      <c r="E1557" s="13" t="s">
        <v>461</v>
      </c>
      <c r="F1557" s="13" t="s">
        <v>462</v>
      </c>
      <c r="G1557" s="13" t="s">
        <v>1363</v>
      </c>
      <c r="K1557" t="s">
        <v>413</v>
      </c>
      <c r="L1557" s="81">
        <f>+Municipios!U454</f>
        <v>31.68712746426564</v>
      </c>
      <c r="M1557" s="13">
        <v>25181</v>
      </c>
      <c r="N1557" s="13" t="s">
        <v>1362</v>
      </c>
      <c r="O1557" s="13" t="s">
        <v>461</v>
      </c>
      <c r="P1557" s="13" t="s">
        <v>462</v>
      </c>
      <c r="Q1557" s="13" t="s">
        <v>1363</v>
      </c>
      <c r="T1557" t="s">
        <v>2804</v>
      </c>
      <c r="U1557" s="25">
        <f>+Municipios!P454</f>
        <v>61.320304407323263</v>
      </c>
      <c r="V1557" s="13">
        <v>25181</v>
      </c>
      <c r="W1557" s="13" t="s">
        <v>1362</v>
      </c>
      <c r="X1557" s="13" t="s">
        <v>461</v>
      </c>
      <c r="Y1557" s="13" t="s">
        <v>462</v>
      </c>
      <c r="Z1557" s="13" t="s">
        <v>1363</v>
      </c>
    </row>
    <row r="1558" spans="1:26">
      <c r="A1558" t="s">
        <v>412</v>
      </c>
      <c r="B1558" s="25">
        <f>+Municipios!P455</f>
        <v>46.285516742879679</v>
      </c>
      <c r="C1558" s="13">
        <v>76109</v>
      </c>
      <c r="D1558" s="13" t="s">
        <v>1364</v>
      </c>
      <c r="E1558" s="13" t="s">
        <v>454</v>
      </c>
      <c r="F1558" s="13" t="s">
        <v>455</v>
      </c>
      <c r="G1558" s="13" t="s">
        <v>1365</v>
      </c>
      <c r="K1558" t="s">
        <v>413</v>
      </c>
      <c r="L1558" s="81">
        <f>+Municipios!U455</f>
        <v>24.371044630480093</v>
      </c>
      <c r="M1558" s="13">
        <v>76109</v>
      </c>
      <c r="N1558" s="13" t="s">
        <v>1364</v>
      </c>
      <c r="O1558" s="13" t="s">
        <v>454</v>
      </c>
      <c r="P1558" s="13" t="s">
        <v>455</v>
      </c>
      <c r="Q1558" s="13" t="s">
        <v>1365</v>
      </c>
      <c r="T1558" t="s">
        <v>2804</v>
      </c>
      <c r="U1558" s="25">
        <f>+Municipios!P455</f>
        <v>46.285516742879679</v>
      </c>
      <c r="V1558" s="13">
        <v>76109</v>
      </c>
      <c r="W1558" s="13" t="s">
        <v>1364</v>
      </c>
      <c r="X1558" s="13" t="s">
        <v>454</v>
      </c>
      <c r="Y1558" s="13" t="s">
        <v>455</v>
      </c>
      <c r="Z1558" s="13" t="s">
        <v>1365</v>
      </c>
    </row>
    <row r="1559" spans="1:26">
      <c r="A1559" t="s">
        <v>412</v>
      </c>
      <c r="B1559" s="25">
        <f>+Municipios!P456</f>
        <v>57.455121514516293</v>
      </c>
      <c r="C1559" s="13">
        <v>52381</v>
      </c>
      <c r="D1559" s="13" t="s">
        <v>1366</v>
      </c>
      <c r="E1559" s="13" t="s">
        <v>672</v>
      </c>
      <c r="F1559" s="13" t="s">
        <v>673</v>
      </c>
      <c r="G1559" s="13" t="s">
        <v>1367</v>
      </c>
      <c r="K1559" t="s">
        <v>413</v>
      </c>
      <c r="L1559" s="81">
        <f>+Municipios!U456</f>
        <v>30.074380299241323</v>
      </c>
      <c r="M1559" s="13">
        <v>52381</v>
      </c>
      <c r="N1559" s="13" t="s">
        <v>1366</v>
      </c>
      <c r="O1559" s="13" t="s">
        <v>672</v>
      </c>
      <c r="P1559" s="13" t="s">
        <v>673</v>
      </c>
      <c r="Q1559" s="13" t="s">
        <v>1367</v>
      </c>
      <c r="T1559" t="s">
        <v>2804</v>
      </c>
      <c r="U1559" s="25">
        <f>+Municipios!P456</f>
        <v>57.455121514516293</v>
      </c>
      <c r="V1559" s="13">
        <v>52381</v>
      </c>
      <c r="W1559" s="13" t="s">
        <v>1366</v>
      </c>
      <c r="X1559" s="13" t="s">
        <v>672</v>
      </c>
      <c r="Y1559" s="13" t="s">
        <v>673</v>
      </c>
      <c r="Z1559" s="13" t="s">
        <v>1367</v>
      </c>
    </row>
    <row r="1560" spans="1:26">
      <c r="A1560" t="s">
        <v>412</v>
      </c>
      <c r="B1560" s="25">
        <f>+Municipios!P457</f>
        <v>65.900622471757174</v>
      </c>
      <c r="C1560" s="13">
        <v>68572</v>
      </c>
      <c r="D1560" s="13" t="s">
        <v>1368</v>
      </c>
      <c r="E1560" s="13" t="s">
        <v>431</v>
      </c>
      <c r="F1560" s="13" t="s">
        <v>432</v>
      </c>
      <c r="G1560" s="13" t="s">
        <v>1369</v>
      </c>
      <c r="K1560" t="s">
        <v>413</v>
      </c>
      <c r="L1560" s="81">
        <f>+Municipios!U457</f>
        <v>34.435753483297503</v>
      </c>
      <c r="M1560" s="13">
        <v>68572</v>
      </c>
      <c r="N1560" s="13" t="s">
        <v>1368</v>
      </c>
      <c r="O1560" s="13" t="s">
        <v>431</v>
      </c>
      <c r="P1560" s="13" t="s">
        <v>432</v>
      </c>
      <c r="Q1560" s="13" t="s">
        <v>1369</v>
      </c>
      <c r="T1560" t="s">
        <v>2804</v>
      </c>
      <c r="U1560" s="25">
        <f>+Municipios!P457</f>
        <v>65.900622471757174</v>
      </c>
      <c r="V1560" s="13">
        <v>68572</v>
      </c>
      <c r="W1560" s="13" t="s">
        <v>1368</v>
      </c>
      <c r="X1560" s="13" t="s">
        <v>431</v>
      </c>
      <c r="Y1560" s="13" t="s">
        <v>432</v>
      </c>
      <c r="Z1560" s="13" t="s">
        <v>1369</v>
      </c>
    </row>
    <row r="1561" spans="1:26">
      <c r="A1561" t="s">
        <v>412</v>
      </c>
      <c r="B1561" s="25">
        <f>+Municipios!P458</f>
        <v>53.566911129312956</v>
      </c>
      <c r="C1561" s="13">
        <v>25596</v>
      </c>
      <c r="D1561" s="13" t="s">
        <v>1370</v>
      </c>
      <c r="E1561" s="13" t="s">
        <v>461</v>
      </c>
      <c r="F1561" s="13" t="s">
        <v>462</v>
      </c>
      <c r="G1561" s="13" t="s">
        <v>1371</v>
      </c>
      <c r="K1561" t="s">
        <v>413</v>
      </c>
      <c r="L1561" s="81">
        <f>+Municipios!U458</f>
        <v>27.406761451546469</v>
      </c>
      <c r="M1561" s="13">
        <v>25596</v>
      </c>
      <c r="N1561" s="13" t="s">
        <v>1370</v>
      </c>
      <c r="O1561" s="13" t="s">
        <v>461</v>
      </c>
      <c r="P1561" s="13" t="s">
        <v>462</v>
      </c>
      <c r="Q1561" s="13" t="s">
        <v>1371</v>
      </c>
      <c r="T1561" t="s">
        <v>2804</v>
      </c>
      <c r="U1561" s="25">
        <f>+Municipios!P458</f>
        <v>53.566911129312956</v>
      </c>
      <c r="V1561" s="13">
        <v>25596</v>
      </c>
      <c r="W1561" s="13" t="s">
        <v>1370</v>
      </c>
      <c r="X1561" s="13" t="s">
        <v>461</v>
      </c>
      <c r="Y1561" s="13" t="s">
        <v>462</v>
      </c>
      <c r="Z1561" s="13" t="s">
        <v>1371</v>
      </c>
    </row>
    <row r="1562" spans="1:26">
      <c r="A1562" t="s">
        <v>412</v>
      </c>
      <c r="B1562" s="25">
        <f>+Municipios!P459</f>
        <v>48.86810466267967</v>
      </c>
      <c r="C1562" s="13">
        <v>5059</v>
      </c>
      <c r="D1562" s="13" t="s">
        <v>1372</v>
      </c>
      <c r="E1562" s="13" t="s">
        <v>435</v>
      </c>
      <c r="F1562" s="13" t="s">
        <v>436</v>
      </c>
      <c r="G1562" s="13" t="s">
        <v>475</v>
      </c>
      <c r="K1562" t="s">
        <v>413</v>
      </c>
      <c r="L1562" s="81">
        <f>+Municipios!U459</f>
        <v>25.953728402743167</v>
      </c>
      <c r="M1562" s="13">
        <v>5059</v>
      </c>
      <c r="N1562" s="13" t="s">
        <v>1372</v>
      </c>
      <c r="O1562" s="13" t="s">
        <v>435</v>
      </c>
      <c r="P1562" s="13" t="s">
        <v>436</v>
      </c>
      <c r="Q1562" s="13" t="s">
        <v>475</v>
      </c>
      <c r="T1562" t="s">
        <v>2804</v>
      </c>
      <c r="U1562" s="25">
        <f>+Municipios!P459</f>
        <v>48.86810466267967</v>
      </c>
      <c r="V1562" s="13">
        <v>5059</v>
      </c>
      <c r="W1562" s="13" t="s">
        <v>1372</v>
      </c>
      <c r="X1562" s="13" t="s">
        <v>435</v>
      </c>
      <c r="Y1562" s="13" t="s">
        <v>436</v>
      </c>
      <c r="Z1562" s="13" t="s">
        <v>475</v>
      </c>
    </row>
    <row r="1563" spans="1:26">
      <c r="A1563" t="s">
        <v>412</v>
      </c>
      <c r="B1563" s="25">
        <f>+Municipios!P460</f>
        <v>55.123127032426787</v>
      </c>
      <c r="C1563" s="13">
        <v>17513</v>
      </c>
      <c r="D1563" s="13" t="s">
        <v>1373</v>
      </c>
      <c r="E1563" s="13" t="s">
        <v>506</v>
      </c>
      <c r="F1563" s="13" t="s">
        <v>507</v>
      </c>
      <c r="G1563" s="13" t="s">
        <v>1374</v>
      </c>
      <c r="K1563" t="s">
        <v>413</v>
      </c>
      <c r="L1563" s="81">
        <f>+Municipios!U460</f>
        <v>29.115129273077297</v>
      </c>
      <c r="M1563" s="13">
        <v>17513</v>
      </c>
      <c r="N1563" s="13" t="s">
        <v>1373</v>
      </c>
      <c r="O1563" s="13" t="s">
        <v>506</v>
      </c>
      <c r="P1563" s="13" t="s">
        <v>507</v>
      </c>
      <c r="Q1563" s="13" t="s">
        <v>1374</v>
      </c>
      <c r="T1563" t="s">
        <v>2804</v>
      </c>
      <c r="U1563" s="25">
        <f>+Municipios!P460</f>
        <v>55.123127032426787</v>
      </c>
      <c r="V1563" s="13">
        <v>17513</v>
      </c>
      <c r="W1563" s="13" t="s">
        <v>1373</v>
      </c>
      <c r="X1563" s="13" t="s">
        <v>506</v>
      </c>
      <c r="Y1563" s="13" t="s">
        <v>507</v>
      </c>
      <c r="Z1563" s="13" t="s">
        <v>1374</v>
      </c>
    </row>
    <row r="1564" spans="1:26">
      <c r="A1564" t="s">
        <v>412</v>
      </c>
      <c r="B1564" s="25">
        <f>+Municipios!P461</f>
        <v>68.365385107000662</v>
      </c>
      <c r="C1564" s="13">
        <v>5686</v>
      </c>
      <c r="D1564" s="13" t="s">
        <v>1375</v>
      </c>
      <c r="E1564" s="13" t="s">
        <v>435</v>
      </c>
      <c r="F1564" s="13" t="s">
        <v>436</v>
      </c>
      <c r="G1564" s="13" t="s">
        <v>1376</v>
      </c>
      <c r="K1564" t="s">
        <v>413</v>
      </c>
      <c r="L1564" s="81">
        <f>+Municipios!U461</f>
        <v>36.651280598849567</v>
      </c>
      <c r="M1564" s="13">
        <v>5686</v>
      </c>
      <c r="N1564" s="13" t="s">
        <v>1375</v>
      </c>
      <c r="O1564" s="13" t="s">
        <v>435</v>
      </c>
      <c r="P1564" s="13" t="s">
        <v>436</v>
      </c>
      <c r="Q1564" s="13" t="s">
        <v>1376</v>
      </c>
      <c r="T1564" t="s">
        <v>2804</v>
      </c>
      <c r="U1564" s="25">
        <f>+Municipios!P461</f>
        <v>68.365385107000662</v>
      </c>
      <c r="V1564" s="13">
        <v>5686</v>
      </c>
      <c r="W1564" s="13" t="s">
        <v>1375</v>
      </c>
      <c r="X1564" s="13" t="s">
        <v>435</v>
      </c>
      <c r="Y1564" s="13" t="s">
        <v>436</v>
      </c>
      <c r="Z1564" s="13" t="s">
        <v>1376</v>
      </c>
    </row>
    <row r="1565" spans="1:26">
      <c r="A1565" t="s">
        <v>412</v>
      </c>
      <c r="B1565" s="25">
        <f>+Municipios!P462</f>
        <v>58.294679449941214</v>
      </c>
      <c r="C1565" s="13">
        <v>54347</v>
      </c>
      <c r="D1565" s="13" t="s">
        <v>1377</v>
      </c>
      <c r="E1565" s="13" t="s">
        <v>517</v>
      </c>
      <c r="F1565" s="13" t="s">
        <v>518</v>
      </c>
      <c r="G1565" s="13" t="s">
        <v>1378</v>
      </c>
      <c r="K1565" t="s">
        <v>413</v>
      </c>
      <c r="L1565" s="81">
        <f>+Municipios!U462</f>
        <v>31.02637577535733</v>
      </c>
      <c r="M1565" s="13">
        <v>54347</v>
      </c>
      <c r="N1565" s="13" t="s">
        <v>1377</v>
      </c>
      <c r="O1565" s="13" t="s">
        <v>517</v>
      </c>
      <c r="P1565" s="13" t="s">
        <v>518</v>
      </c>
      <c r="Q1565" s="13" t="s">
        <v>1378</v>
      </c>
      <c r="T1565" t="s">
        <v>2804</v>
      </c>
      <c r="U1565" s="25">
        <f>+Municipios!P462</f>
        <v>58.294679449941214</v>
      </c>
      <c r="V1565" s="13">
        <v>54347</v>
      </c>
      <c r="W1565" s="13" t="s">
        <v>1377</v>
      </c>
      <c r="X1565" s="13" t="s">
        <v>517</v>
      </c>
      <c r="Y1565" s="13" t="s">
        <v>518</v>
      </c>
      <c r="Z1565" s="13" t="s">
        <v>1378</v>
      </c>
    </row>
    <row r="1566" spans="1:26">
      <c r="A1566" t="s">
        <v>412</v>
      </c>
      <c r="B1566" s="25">
        <f>+Municipios!P463</f>
        <v>70.019325450293309</v>
      </c>
      <c r="C1566" s="13">
        <v>23419</v>
      </c>
      <c r="D1566" s="13" t="s">
        <v>1379</v>
      </c>
      <c r="E1566" s="13" t="s">
        <v>567</v>
      </c>
      <c r="F1566" s="13" t="s">
        <v>568</v>
      </c>
      <c r="G1566" s="13" t="s">
        <v>1380</v>
      </c>
      <c r="K1566" t="s">
        <v>413</v>
      </c>
      <c r="L1566" s="81">
        <f>+Municipios!U463</f>
        <v>36.234957755680796</v>
      </c>
      <c r="M1566" s="13">
        <v>23419</v>
      </c>
      <c r="N1566" s="13" t="s">
        <v>1379</v>
      </c>
      <c r="O1566" s="13" t="s">
        <v>567</v>
      </c>
      <c r="P1566" s="13" t="s">
        <v>568</v>
      </c>
      <c r="Q1566" s="13" t="s">
        <v>1380</v>
      </c>
      <c r="T1566" t="s">
        <v>2804</v>
      </c>
      <c r="U1566" s="25">
        <f>+Municipios!P463</f>
        <v>70.019325450293309</v>
      </c>
      <c r="V1566" s="13">
        <v>23419</v>
      </c>
      <c r="W1566" s="13" t="s">
        <v>1379</v>
      </c>
      <c r="X1566" s="13" t="s">
        <v>567</v>
      </c>
      <c r="Y1566" s="13" t="s">
        <v>568</v>
      </c>
      <c r="Z1566" s="13" t="s">
        <v>1380</v>
      </c>
    </row>
    <row r="1567" spans="1:26">
      <c r="A1567" t="s">
        <v>412</v>
      </c>
      <c r="B1567" s="25">
        <f>+Municipios!P464</f>
        <v>39.246457043853795</v>
      </c>
      <c r="C1567" s="13">
        <v>47161</v>
      </c>
      <c r="D1567" s="13" t="s">
        <v>1381</v>
      </c>
      <c r="E1567" s="13" t="s">
        <v>638</v>
      </c>
      <c r="F1567" s="13" t="s">
        <v>639</v>
      </c>
      <c r="G1567" s="13" t="s">
        <v>1382</v>
      </c>
      <c r="K1567" t="s">
        <v>413</v>
      </c>
      <c r="L1567" s="81">
        <f>+Municipios!U464</f>
        <v>20.742056961862161</v>
      </c>
      <c r="M1567" s="13">
        <v>47161</v>
      </c>
      <c r="N1567" s="13" t="s">
        <v>1381</v>
      </c>
      <c r="O1567" s="13" t="s">
        <v>638</v>
      </c>
      <c r="P1567" s="13" t="s">
        <v>639</v>
      </c>
      <c r="Q1567" s="13" t="s">
        <v>1382</v>
      </c>
      <c r="T1567" t="s">
        <v>2804</v>
      </c>
      <c r="U1567" s="25">
        <f>+Municipios!P464</f>
        <v>39.246457043853795</v>
      </c>
      <c r="V1567" s="13">
        <v>47161</v>
      </c>
      <c r="W1567" s="13" t="s">
        <v>1381</v>
      </c>
      <c r="X1567" s="13" t="s">
        <v>638</v>
      </c>
      <c r="Y1567" s="13" t="s">
        <v>639</v>
      </c>
      <c r="Z1567" s="13" t="s">
        <v>1382</v>
      </c>
    </row>
    <row r="1568" spans="1:26">
      <c r="A1568" t="s">
        <v>412</v>
      </c>
      <c r="B1568" s="25">
        <f>+Municipios!P465</f>
        <v>71.433649124018217</v>
      </c>
      <c r="C1568" s="13">
        <v>5315</v>
      </c>
      <c r="D1568" s="13" t="s">
        <v>1383</v>
      </c>
      <c r="E1568" s="13" t="s">
        <v>435</v>
      </c>
      <c r="F1568" s="13" t="s">
        <v>436</v>
      </c>
      <c r="G1568" s="13" t="s">
        <v>1323</v>
      </c>
      <c r="K1568" t="s">
        <v>413</v>
      </c>
      <c r="L1568" s="81">
        <f>+Municipios!U465</f>
        <v>37.845254660260053</v>
      </c>
      <c r="M1568" s="13">
        <v>5315</v>
      </c>
      <c r="N1568" s="13" t="s">
        <v>1383</v>
      </c>
      <c r="O1568" s="13" t="s">
        <v>435</v>
      </c>
      <c r="P1568" s="13" t="s">
        <v>436</v>
      </c>
      <c r="Q1568" s="13" t="s">
        <v>1323</v>
      </c>
      <c r="T1568" t="s">
        <v>2804</v>
      </c>
      <c r="U1568" s="25">
        <f>+Municipios!P465</f>
        <v>71.433649124018217</v>
      </c>
      <c r="V1568" s="13">
        <v>5315</v>
      </c>
      <c r="W1568" s="13" t="s">
        <v>1383</v>
      </c>
      <c r="X1568" s="13" t="s">
        <v>435</v>
      </c>
      <c r="Y1568" s="13" t="s">
        <v>436</v>
      </c>
      <c r="Z1568" s="13" t="s">
        <v>1323</v>
      </c>
    </row>
    <row r="1569" spans="1:26">
      <c r="A1569" t="s">
        <v>412</v>
      </c>
      <c r="B1569" s="25">
        <f>+Municipios!P466</f>
        <v>53.101800974176086</v>
      </c>
      <c r="C1569" s="13">
        <v>25483</v>
      </c>
      <c r="D1569" s="13" t="s">
        <v>1384</v>
      </c>
      <c r="E1569" s="13" t="s">
        <v>461</v>
      </c>
      <c r="F1569" s="13" t="s">
        <v>462</v>
      </c>
      <c r="G1569" s="13" t="s">
        <v>673</v>
      </c>
      <c r="K1569" t="s">
        <v>413</v>
      </c>
      <c r="L1569" s="81">
        <f>+Municipios!U466</f>
        <v>27.437276630199158</v>
      </c>
      <c r="M1569" s="13">
        <v>25483</v>
      </c>
      <c r="N1569" s="13" t="s">
        <v>1384</v>
      </c>
      <c r="O1569" s="13" t="s">
        <v>461</v>
      </c>
      <c r="P1569" s="13" t="s">
        <v>462</v>
      </c>
      <c r="Q1569" s="13" t="s">
        <v>673</v>
      </c>
      <c r="T1569" t="s">
        <v>2804</v>
      </c>
      <c r="U1569" s="25">
        <f>+Municipios!P466</f>
        <v>53.101800974176086</v>
      </c>
      <c r="V1569" s="13">
        <v>25483</v>
      </c>
      <c r="W1569" s="13" t="s">
        <v>1384</v>
      </c>
      <c r="X1569" s="13" t="s">
        <v>461</v>
      </c>
      <c r="Y1569" s="13" t="s">
        <v>462</v>
      </c>
      <c r="Z1569" s="13" t="s">
        <v>673</v>
      </c>
    </row>
    <row r="1570" spans="1:26">
      <c r="A1570" t="s">
        <v>412</v>
      </c>
      <c r="B1570" s="25">
        <f>+Municipios!P467</f>
        <v>62.003560025755931</v>
      </c>
      <c r="C1570" s="13">
        <v>25807</v>
      </c>
      <c r="D1570" s="13" t="s">
        <v>1385</v>
      </c>
      <c r="E1570" s="13" t="s">
        <v>461</v>
      </c>
      <c r="F1570" s="13" t="s">
        <v>462</v>
      </c>
      <c r="G1570" s="13" t="s">
        <v>1386</v>
      </c>
      <c r="K1570" t="s">
        <v>413</v>
      </c>
      <c r="L1570" s="81">
        <f>+Municipios!U467</f>
        <v>32.190661775978853</v>
      </c>
      <c r="M1570" s="13">
        <v>25807</v>
      </c>
      <c r="N1570" s="13" t="s">
        <v>1385</v>
      </c>
      <c r="O1570" s="13" t="s">
        <v>461</v>
      </c>
      <c r="P1570" s="13" t="s">
        <v>462</v>
      </c>
      <c r="Q1570" s="13" t="s">
        <v>1386</v>
      </c>
      <c r="T1570" t="s">
        <v>2804</v>
      </c>
      <c r="U1570" s="25">
        <f>+Municipios!P467</f>
        <v>62.003560025755931</v>
      </c>
      <c r="V1570" s="13">
        <v>25807</v>
      </c>
      <c r="W1570" s="13" t="s">
        <v>1385</v>
      </c>
      <c r="X1570" s="13" t="s">
        <v>461</v>
      </c>
      <c r="Y1570" s="13" t="s">
        <v>462</v>
      </c>
      <c r="Z1570" s="13" t="s">
        <v>1386</v>
      </c>
    </row>
    <row r="1571" spans="1:26">
      <c r="A1571" t="s">
        <v>412</v>
      </c>
      <c r="B1571" s="25">
        <f>+Municipios!P468</f>
        <v>65.318958806192441</v>
      </c>
      <c r="C1571" s="13">
        <v>52378</v>
      </c>
      <c r="D1571" s="13" t="s">
        <v>1387</v>
      </c>
      <c r="E1571" s="13" t="s">
        <v>672</v>
      </c>
      <c r="F1571" s="13" t="s">
        <v>673</v>
      </c>
      <c r="G1571" s="13" t="s">
        <v>1388</v>
      </c>
      <c r="K1571" t="s">
        <v>413</v>
      </c>
      <c r="L1571" s="81">
        <f>+Municipios!U468</f>
        <v>34.262185908909373</v>
      </c>
      <c r="M1571" s="13">
        <v>52378</v>
      </c>
      <c r="N1571" s="13" t="s">
        <v>1387</v>
      </c>
      <c r="O1571" s="13" t="s">
        <v>672</v>
      </c>
      <c r="P1571" s="13" t="s">
        <v>673</v>
      </c>
      <c r="Q1571" s="13" t="s">
        <v>1388</v>
      </c>
      <c r="T1571" t="s">
        <v>2804</v>
      </c>
      <c r="U1571" s="25">
        <f>+Municipios!P468</f>
        <v>65.318958806192441</v>
      </c>
      <c r="V1571" s="13">
        <v>52378</v>
      </c>
      <c r="W1571" s="13" t="s">
        <v>1387</v>
      </c>
      <c r="X1571" s="13" t="s">
        <v>672</v>
      </c>
      <c r="Y1571" s="13" t="s">
        <v>673</v>
      </c>
      <c r="Z1571" s="13" t="s">
        <v>1388</v>
      </c>
    </row>
    <row r="1572" spans="1:26">
      <c r="A1572" t="s">
        <v>412</v>
      </c>
      <c r="B1572" s="25">
        <f>+Municipios!P469</f>
        <v>55.350252343399227</v>
      </c>
      <c r="C1572" s="13">
        <v>44560</v>
      </c>
      <c r="D1572" s="13" t="s">
        <v>1389</v>
      </c>
      <c r="E1572" s="13" t="s">
        <v>933</v>
      </c>
      <c r="F1572" s="13" t="s">
        <v>934</v>
      </c>
      <c r="G1572" s="13" t="s">
        <v>1193</v>
      </c>
      <c r="K1572" t="s">
        <v>413</v>
      </c>
      <c r="L1572" s="81">
        <f>+Municipios!U469</f>
        <v>28.538422256645934</v>
      </c>
      <c r="M1572" s="13">
        <v>44560</v>
      </c>
      <c r="N1572" s="13" t="s">
        <v>1389</v>
      </c>
      <c r="O1572" s="13" t="s">
        <v>933</v>
      </c>
      <c r="P1572" s="13" t="s">
        <v>934</v>
      </c>
      <c r="Q1572" s="13" t="s">
        <v>1193</v>
      </c>
      <c r="T1572" t="s">
        <v>2804</v>
      </c>
      <c r="U1572" s="25">
        <f>+Municipios!P469</f>
        <v>55.350252343399227</v>
      </c>
      <c r="V1572" s="13">
        <v>44560</v>
      </c>
      <c r="W1572" s="13" t="s">
        <v>1389</v>
      </c>
      <c r="X1572" s="13" t="s">
        <v>933</v>
      </c>
      <c r="Y1572" s="13" t="s">
        <v>934</v>
      </c>
      <c r="Z1572" s="13" t="s">
        <v>1193</v>
      </c>
    </row>
    <row r="1573" spans="1:26">
      <c r="A1573" t="s">
        <v>412</v>
      </c>
      <c r="B1573" s="25">
        <f>+Municipios!P470</f>
        <v>64.053750165860649</v>
      </c>
      <c r="C1573" s="13">
        <v>15632</v>
      </c>
      <c r="D1573" s="13" t="s">
        <v>1390</v>
      </c>
      <c r="E1573" s="13" t="s">
        <v>498</v>
      </c>
      <c r="F1573" s="13" t="s">
        <v>499</v>
      </c>
      <c r="G1573" s="13" t="s">
        <v>1391</v>
      </c>
      <c r="K1573" t="s">
        <v>413</v>
      </c>
      <c r="L1573" s="81">
        <f>+Municipios!U470</f>
        <v>33.309240120329825</v>
      </c>
      <c r="M1573" s="13">
        <v>15632</v>
      </c>
      <c r="N1573" s="13" t="s">
        <v>1390</v>
      </c>
      <c r="O1573" s="13" t="s">
        <v>498</v>
      </c>
      <c r="P1573" s="13" t="s">
        <v>499</v>
      </c>
      <c r="Q1573" s="13" t="s">
        <v>1391</v>
      </c>
      <c r="T1573" t="s">
        <v>2804</v>
      </c>
      <c r="U1573" s="25">
        <f>+Municipios!P470</f>
        <v>64.053750165860649</v>
      </c>
      <c r="V1573" s="13">
        <v>15632</v>
      </c>
      <c r="W1573" s="13" t="s">
        <v>1390</v>
      </c>
      <c r="X1573" s="13" t="s">
        <v>498</v>
      </c>
      <c r="Y1573" s="13" t="s">
        <v>499</v>
      </c>
      <c r="Z1573" s="13" t="s">
        <v>1391</v>
      </c>
    </row>
    <row r="1574" spans="1:26">
      <c r="A1574" t="s">
        <v>412</v>
      </c>
      <c r="B1574" s="25">
        <f>+Municipios!P471</f>
        <v>50.021030593704609</v>
      </c>
      <c r="C1574" s="13">
        <v>76243</v>
      </c>
      <c r="D1574" s="13" t="s">
        <v>1392</v>
      </c>
      <c r="E1574" s="13" t="s">
        <v>454</v>
      </c>
      <c r="F1574" s="13" t="s">
        <v>455</v>
      </c>
      <c r="G1574" s="13" t="s">
        <v>1393</v>
      </c>
      <c r="K1574" t="s">
        <v>413</v>
      </c>
      <c r="L1574" s="81">
        <f>+Municipios!U471</f>
        <v>26.080608342501005</v>
      </c>
      <c r="M1574" s="13">
        <v>76243</v>
      </c>
      <c r="N1574" s="13" t="s">
        <v>1392</v>
      </c>
      <c r="O1574" s="13" t="s">
        <v>454</v>
      </c>
      <c r="P1574" s="13" t="s">
        <v>455</v>
      </c>
      <c r="Q1574" s="13" t="s">
        <v>1393</v>
      </c>
      <c r="T1574" t="s">
        <v>2804</v>
      </c>
      <c r="U1574" s="25">
        <f>+Municipios!P471</f>
        <v>50.021030593704609</v>
      </c>
      <c r="V1574" s="13">
        <v>76243</v>
      </c>
      <c r="W1574" s="13" t="s">
        <v>1392</v>
      </c>
      <c r="X1574" s="13" t="s">
        <v>454</v>
      </c>
      <c r="Y1574" s="13" t="s">
        <v>455</v>
      </c>
      <c r="Z1574" s="13" t="s">
        <v>1393</v>
      </c>
    </row>
    <row r="1575" spans="1:26">
      <c r="A1575" t="s">
        <v>412</v>
      </c>
      <c r="B1575" s="25">
        <f>+Municipios!P472</f>
        <v>50.350392136135504</v>
      </c>
      <c r="C1575" s="13">
        <v>52786</v>
      </c>
      <c r="D1575" s="13" t="s">
        <v>1394</v>
      </c>
      <c r="E1575" s="13" t="s">
        <v>672</v>
      </c>
      <c r="F1575" s="13" t="s">
        <v>673</v>
      </c>
      <c r="G1575" s="13" t="s">
        <v>1395</v>
      </c>
      <c r="K1575" t="s">
        <v>413</v>
      </c>
      <c r="L1575" s="81">
        <f>+Municipios!U472</f>
        <v>26.359250977637888</v>
      </c>
      <c r="M1575" s="13">
        <v>52786</v>
      </c>
      <c r="N1575" s="13" t="s">
        <v>1394</v>
      </c>
      <c r="O1575" s="13" t="s">
        <v>672</v>
      </c>
      <c r="P1575" s="13" t="s">
        <v>673</v>
      </c>
      <c r="Q1575" s="13" t="s">
        <v>1395</v>
      </c>
      <c r="T1575" t="s">
        <v>2804</v>
      </c>
      <c r="U1575" s="25">
        <f>+Municipios!P472</f>
        <v>50.350392136135504</v>
      </c>
      <c r="V1575" s="13">
        <v>52786</v>
      </c>
      <c r="W1575" s="13" t="s">
        <v>1394</v>
      </c>
      <c r="X1575" s="13" t="s">
        <v>672</v>
      </c>
      <c r="Y1575" s="13" t="s">
        <v>673</v>
      </c>
      <c r="Z1575" s="13" t="s">
        <v>1395</v>
      </c>
    </row>
    <row r="1576" spans="1:26">
      <c r="A1576" t="s">
        <v>412</v>
      </c>
      <c r="B1576" s="25">
        <f>+Municipios!P473</f>
        <v>45.478411268464342</v>
      </c>
      <c r="C1576" s="13">
        <v>5856</v>
      </c>
      <c r="D1576" s="13" t="s">
        <v>1396</v>
      </c>
      <c r="E1576" s="13" t="s">
        <v>435</v>
      </c>
      <c r="F1576" s="13" t="s">
        <v>436</v>
      </c>
      <c r="G1576" s="13" t="s">
        <v>1397</v>
      </c>
      <c r="K1576" t="s">
        <v>413</v>
      </c>
      <c r="L1576" s="81">
        <f>+Municipios!U473</f>
        <v>23.967333193137005</v>
      </c>
      <c r="M1576" s="13">
        <v>5856</v>
      </c>
      <c r="N1576" s="13" t="s">
        <v>1396</v>
      </c>
      <c r="O1576" s="13" t="s">
        <v>435</v>
      </c>
      <c r="P1576" s="13" t="s">
        <v>436</v>
      </c>
      <c r="Q1576" s="13" t="s">
        <v>1397</v>
      </c>
      <c r="T1576" t="s">
        <v>2804</v>
      </c>
      <c r="U1576" s="25">
        <f>+Municipios!P473</f>
        <v>45.478411268464342</v>
      </c>
      <c r="V1576" s="13">
        <v>5856</v>
      </c>
      <c r="W1576" s="13" t="s">
        <v>1396</v>
      </c>
      <c r="X1576" s="13" t="s">
        <v>435</v>
      </c>
      <c r="Y1576" s="13" t="s">
        <v>436</v>
      </c>
      <c r="Z1576" s="13" t="s">
        <v>1397</v>
      </c>
    </row>
    <row r="1577" spans="1:26">
      <c r="A1577" t="s">
        <v>412</v>
      </c>
      <c r="B1577" s="25">
        <f>+Municipios!P474</f>
        <v>56.641708231049442</v>
      </c>
      <c r="C1577" s="13">
        <v>19743</v>
      </c>
      <c r="D1577" s="13" t="s">
        <v>1398</v>
      </c>
      <c r="E1577" s="13" t="s">
        <v>557</v>
      </c>
      <c r="F1577" s="13" t="s">
        <v>558</v>
      </c>
      <c r="G1577" s="13" t="s">
        <v>1399</v>
      </c>
      <c r="K1577" t="s">
        <v>413</v>
      </c>
      <c r="L1577" s="81">
        <f>+Municipios!U474</f>
        <v>29.535098937482712</v>
      </c>
      <c r="M1577" s="13">
        <v>19743</v>
      </c>
      <c r="N1577" s="13" t="s">
        <v>1398</v>
      </c>
      <c r="O1577" s="13" t="s">
        <v>557</v>
      </c>
      <c r="P1577" s="13" t="s">
        <v>558</v>
      </c>
      <c r="Q1577" s="13" t="s">
        <v>1399</v>
      </c>
      <c r="T1577" t="s">
        <v>2804</v>
      </c>
      <c r="U1577" s="25">
        <f>+Municipios!P474</f>
        <v>56.641708231049442</v>
      </c>
      <c r="V1577" s="13">
        <v>19743</v>
      </c>
      <c r="W1577" s="13" t="s">
        <v>1398</v>
      </c>
      <c r="X1577" s="13" t="s">
        <v>557</v>
      </c>
      <c r="Y1577" s="13" t="s">
        <v>558</v>
      </c>
      <c r="Z1577" s="13" t="s">
        <v>1399</v>
      </c>
    </row>
    <row r="1578" spans="1:26">
      <c r="A1578" t="s">
        <v>412</v>
      </c>
      <c r="B1578" s="25">
        <f>+Municipios!P475</f>
        <v>69.748696399869914</v>
      </c>
      <c r="C1578" s="13">
        <v>15187</v>
      </c>
      <c r="D1578" s="13" t="s">
        <v>1400</v>
      </c>
      <c r="E1578" s="13" t="s">
        <v>498</v>
      </c>
      <c r="F1578" s="13" t="s">
        <v>499</v>
      </c>
      <c r="G1578" s="13" t="s">
        <v>1401</v>
      </c>
      <c r="K1578" t="s">
        <v>413</v>
      </c>
      <c r="L1578" s="81">
        <f>+Municipios!U475</f>
        <v>36.205066060197431</v>
      </c>
      <c r="M1578" s="13">
        <v>15187</v>
      </c>
      <c r="N1578" s="13" t="s">
        <v>1400</v>
      </c>
      <c r="O1578" s="13" t="s">
        <v>498</v>
      </c>
      <c r="P1578" s="13" t="s">
        <v>499</v>
      </c>
      <c r="Q1578" s="13" t="s">
        <v>1401</v>
      </c>
      <c r="T1578" t="s">
        <v>2804</v>
      </c>
      <c r="U1578" s="25">
        <f>+Municipios!P475</f>
        <v>69.748696399869914</v>
      </c>
      <c r="V1578" s="13">
        <v>15187</v>
      </c>
      <c r="W1578" s="13" t="s">
        <v>1400</v>
      </c>
      <c r="X1578" s="13" t="s">
        <v>498</v>
      </c>
      <c r="Y1578" s="13" t="s">
        <v>499</v>
      </c>
      <c r="Z1578" s="13" t="s">
        <v>1401</v>
      </c>
    </row>
    <row r="1579" spans="1:26">
      <c r="A1579" t="s">
        <v>412</v>
      </c>
      <c r="B1579" s="25">
        <f>+Municipios!P476</f>
        <v>55.273516001467769</v>
      </c>
      <c r="C1579" s="13">
        <v>13300</v>
      </c>
      <c r="D1579" s="13" t="s">
        <v>1402</v>
      </c>
      <c r="E1579" s="13" t="s">
        <v>480</v>
      </c>
      <c r="F1579" s="13" t="s">
        <v>481</v>
      </c>
      <c r="G1579" s="13" t="s">
        <v>1403</v>
      </c>
      <c r="K1579" t="s">
        <v>413</v>
      </c>
      <c r="L1579" s="81">
        <f>+Municipios!U476</f>
        <v>28.93571621509907</v>
      </c>
      <c r="M1579" s="13">
        <v>13300</v>
      </c>
      <c r="N1579" s="13" t="s">
        <v>1402</v>
      </c>
      <c r="O1579" s="13" t="s">
        <v>480</v>
      </c>
      <c r="P1579" s="13" t="s">
        <v>481</v>
      </c>
      <c r="Q1579" s="13" t="s">
        <v>1403</v>
      </c>
      <c r="T1579" t="s">
        <v>2804</v>
      </c>
      <c r="U1579" s="25">
        <f>+Municipios!P476</f>
        <v>55.273516001467769</v>
      </c>
      <c r="V1579" s="13">
        <v>13300</v>
      </c>
      <c r="W1579" s="13" t="s">
        <v>1402</v>
      </c>
      <c r="X1579" s="13" t="s">
        <v>480</v>
      </c>
      <c r="Y1579" s="13" t="s">
        <v>481</v>
      </c>
      <c r="Z1579" s="13" t="s">
        <v>1403</v>
      </c>
    </row>
    <row r="1580" spans="1:26">
      <c r="A1580" t="s">
        <v>412</v>
      </c>
      <c r="B1580" s="25">
        <f>+Municipios!P477</f>
        <v>52.804537047119481</v>
      </c>
      <c r="C1580" s="13">
        <v>68147</v>
      </c>
      <c r="D1580" s="13" t="s">
        <v>1404</v>
      </c>
      <c r="E1580" s="13" t="s">
        <v>431</v>
      </c>
      <c r="F1580" s="13" t="s">
        <v>432</v>
      </c>
      <c r="G1580" s="13" t="s">
        <v>1405</v>
      </c>
      <c r="K1580" t="s">
        <v>413</v>
      </c>
      <c r="L1580" s="81">
        <f>+Municipios!U477</f>
        <v>27.799751147362318</v>
      </c>
      <c r="M1580" s="13">
        <v>68147</v>
      </c>
      <c r="N1580" s="13" t="s">
        <v>1404</v>
      </c>
      <c r="O1580" s="13" t="s">
        <v>431</v>
      </c>
      <c r="P1580" s="13" t="s">
        <v>432</v>
      </c>
      <c r="Q1580" s="13" t="s">
        <v>1405</v>
      </c>
      <c r="T1580" t="s">
        <v>2804</v>
      </c>
      <c r="U1580" s="25">
        <f>+Municipios!P477</f>
        <v>52.804537047119481</v>
      </c>
      <c r="V1580" s="13">
        <v>68147</v>
      </c>
      <c r="W1580" s="13" t="s">
        <v>1404</v>
      </c>
      <c r="X1580" s="13" t="s">
        <v>431</v>
      </c>
      <c r="Y1580" s="13" t="s">
        <v>432</v>
      </c>
      <c r="Z1580" s="13" t="s">
        <v>1405</v>
      </c>
    </row>
    <row r="1581" spans="1:26">
      <c r="A1581" t="s">
        <v>412</v>
      </c>
      <c r="B1581" s="25">
        <f>+Municipios!P478</f>
        <v>56.135505223438372</v>
      </c>
      <c r="C1581" s="13">
        <v>19785</v>
      </c>
      <c r="D1581" s="13" t="s">
        <v>1406</v>
      </c>
      <c r="E1581" s="13" t="s">
        <v>557</v>
      </c>
      <c r="F1581" s="13" t="s">
        <v>558</v>
      </c>
      <c r="G1581" s="13" t="s">
        <v>495</v>
      </c>
      <c r="K1581" t="s">
        <v>413</v>
      </c>
      <c r="L1581" s="81">
        <f>+Municipios!U478</f>
        <v>29.192155703168819</v>
      </c>
      <c r="M1581" s="13">
        <v>19785</v>
      </c>
      <c r="N1581" s="13" t="s">
        <v>1406</v>
      </c>
      <c r="O1581" s="13" t="s">
        <v>557</v>
      </c>
      <c r="P1581" s="13" t="s">
        <v>558</v>
      </c>
      <c r="Q1581" s="13" t="s">
        <v>495</v>
      </c>
      <c r="T1581" t="s">
        <v>2804</v>
      </c>
      <c r="U1581" s="25">
        <f>+Municipios!P478</f>
        <v>56.135505223438372</v>
      </c>
      <c r="V1581" s="13">
        <v>19785</v>
      </c>
      <c r="W1581" s="13" t="s">
        <v>1406</v>
      </c>
      <c r="X1581" s="13" t="s">
        <v>557</v>
      </c>
      <c r="Y1581" s="13" t="s">
        <v>558</v>
      </c>
      <c r="Z1581" s="13" t="s">
        <v>495</v>
      </c>
    </row>
    <row r="1582" spans="1:26">
      <c r="A1582" t="s">
        <v>412</v>
      </c>
      <c r="B1582" s="25">
        <f>+Municipios!P479</f>
        <v>56.051593321036037</v>
      </c>
      <c r="C1582" s="13">
        <v>23350</v>
      </c>
      <c r="D1582" s="13" t="s">
        <v>1407</v>
      </c>
      <c r="E1582" s="13" t="s">
        <v>567</v>
      </c>
      <c r="F1582" s="13" t="s">
        <v>568</v>
      </c>
      <c r="G1582" s="13" t="s">
        <v>1408</v>
      </c>
      <c r="K1582" t="s">
        <v>413</v>
      </c>
      <c r="L1582" s="81">
        <f>+Municipios!U479</f>
        <v>29.449888389901009</v>
      </c>
      <c r="M1582" s="13">
        <v>23350</v>
      </c>
      <c r="N1582" s="13" t="s">
        <v>1407</v>
      </c>
      <c r="O1582" s="13" t="s">
        <v>567</v>
      </c>
      <c r="P1582" s="13" t="s">
        <v>568</v>
      </c>
      <c r="Q1582" s="13" t="s">
        <v>1408</v>
      </c>
      <c r="T1582" t="s">
        <v>2804</v>
      </c>
      <c r="U1582" s="25">
        <f>+Municipios!P479</f>
        <v>56.051593321036037</v>
      </c>
      <c r="V1582" s="13">
        <v>23350</v>
      </c>
      <c r="W1582" s="13" t="s">
        <v>1407</v>
      </c>
      <c r="X1582" s="13" t="s">
        <v>567</v>
      </c>
      <c r="Y1582" s="13" t="s">
        <v>568</v>
      </c>
      <c r="Z1582" s="13" t="s">
        <v>1408</v>
      </c>
    </row>
    <row r="1583" spans="1:26">
      <c r="A1583" t="s">
        <v>412</v>
      </c>
      <c r="B1583" s="25">
        <f>+Municipios!P480</f>
        <v>63.984923779154833</v>
      </c>
      <c r="C1583" s="13">
        <v>68229</v>
      </c>
      <c r="D1583" s="13" t="s">
        <v>1409</v>
      </c>
      <c r="E1583" s="13" t="s">
        <v>431</v>
      </c>
      <c r="F1583" s="13" t="s">
        <v>432</v>
      </c>
      <c r="G1583" s="13" t="s">
        <v>1410</v>
      </c>
      <c r="K1583" t="s">
        <v>413</v>
      </c>
      <c r="L1583" s="81">
        <f>+Municipios!U480</f>
        <v>33.988839805613814</v>
      </c>
      <c r="M1583" s="13">
        <v>68229</v>
      </c>
      <c r="N1583" s="13" t="s">
        <v>1409</v>
      </c>
      <c r="O1583" s="13" t="s">
        <v>431</v>
      </c>
      <c r="P1583" s="13" t="s">
        <v>432</v>
      </c>
      <c r="Q1583" s="13" t="s">
        <v>1410</v>
      </c>
      <c r="T1583" t="s">
        <v>2804</v>
      </c>
      <c r="U1583" s="25">
        <f>+Municipios!P480</f>
        <v>63.984923779154833</v>
      </c>
      <c r="V1583" s="13">
        <v>68229</v>
      </c>
      <c r="W1583" s="13" t="s">
        <v>1409</v>
      </c>
      <c r="X1583" s="13" t="s">
        <v>431</v>
      </c>
      <c r="Y1583" s="13" t="s">
        <v>432</v>
      </c>
      <c r="Z1583" s="13" t="s">
        <v>1410</v>
      </c>
    </row>
    <row r="1584" spans="1:26">
      <c r="A1584" t="s">
        <v>412</v>
      </c>
      <c r="B1584" s="25">
        <f>+Municipios!P481</f>
        <v>69.743907207454328</v>
      </c>
      <c r="C1584" s="13">
        <v>15740</v>
      </c>
      <c r="D1584" s="13" t="s">
        <v>1411</v>
      </c>
      <c r="E1584" s="13" t="s">
        <v>498</v>
      </c>
      <c r="F1584" s="13" t="s">
        <v>499</v>
      </c>
      <c r="G1584" s="13" t="s">
        <v>1412</v>
      </c>
      <c r="K1584" t="s">
        <v>413</v>
      </c>
      <c r="L1584" s="81">
        <f>+Municipios!U481</f>
        <v>36.148331141462897</v>
      </c>
      <c r="M1584" s="13">
        <v>15740</v>
      </c>
      <c r="N1584" s="13" t="s">
        <v>1411</v>
      </c>
      <c r="O1584" s="13" t="s">
        <v>498</v>
      </c>
      <c r="P1584" s="13" t="s">
        <v>499</v>
      </c>
      <c r="Q1584" s="13" t="s">
        <v>1412</v>
      </c>
      <c r="T1584" t="s">
        <v>2804</v>
      </c>
      <c r="U1584" s="25">
        <f>+Municipios!P481</f>
        <v>69.743907207454328</v>
      </c>
      <c r="V1584" s="13">
        <v>15740</v>
      </c>
      <c r="W1584" s="13" t="s">
        <v>1411</v>
      </c>
      <c r="X1584" s="13" t="s">
        <v>498</v>
      </c>
      <c r="Y1584" s="13" t="s">
        <v>499</v>
      </c>
      <c r="Z1584" s="13" t="s">
        <v>1412</v>
      </c>
    </row>
    <row r="1585" spans="1:26">
      <c r="A1585" t="s">
        <v>412</v>
      </c>
      <c r="B1585" s="25">
        <f>+Municipios!P482</f>
        <v>66.590551624441332</v>
      </c>
      <c r="C1585" s="13">
        <v>44078</v>
      </c>
      <c r="D1585" s="13" t="s">
        <v>1413</v>
      </c>
      <c r="E1585" s="13" t="s">
        <v>933</v>
      </c>
      <c r="F1585" s="13" t="s">
        <v>934</v>
      </c>
      <c r="G1585" s="13" t="s">
        <v>1414</v>
      </c>
      <c r="K1585" t="s">
        <v>413</v>
      </c>
      <c r="L1585" s="81">
        <f>+Municipios!U482</f>
        <v>34.339749161265253</v>
      </c>
      <c r="M1585" s="13">
        <v>44078</v>
      </c>
      <c r="N1585" s="13" t="s">
        <v>1413</v>
      </c>
      <c r="O1585" s="13" t="s">
        <v>933</v>
      </c>
      <c r="P1585" s="13" t="s">
        <v>934</v>
      </c>
      <c r="Q1585" s="13" t="s">
        <v>1414</v>
      </c>
      <c r="T1585" t="s">
        <v>2804</v>
      </c>
      <c r="U1585" s="25">
        <f>+Municipios!P482</f>
        <v>66.590551624441332</v>
      </c>
      <c r="V1585" s="13">
        <v>44078</v>
      </c>
      <c r="W1585" s="13" t="s">
        <v>1413</v>
      </c>
      <c r="X1585" s="13" t="s">
        <v>933</v>
      </c>
      <c r="Y1585" s="13" t="s">
        <v>934</v>
      </c>
      <c r="Z1585" s="13" t="s">
        <v>1414</v>
      </c>
    </row>
    <row r="1586" spans="1:26">
      <c r="A1586" t="s">
        <v>412</v>
      </c>
      <c r="B1586" s="25">
        <f>+Municipios!P483</f>
        <v>65.003671719511772</v>
      </c>
      <c r="C1586" s="13">
        <v>52687</v>
      </c>
      <c r="D1586" s="13" t="s">
        <v>1415</v>
      </c>
      <c r="E1586" s="13" t="s">
        <v>672</v>
      </c>
      <c r="F1586" s="13" t="s">
        <v>673</v>
      </c>
      <c r="G1586" s="13" t="s">
        <v>1416</v>
      </c>
      <c r="K1586" t="s">
        <v>413</v>
      </c>
      <c r="L1586" s="81">
        <f>+Municipios!U483</f>
        <v>33.807134459638149</v>
      </c>
      <c r="M1586" s="13">
        <v>52687</v>
      </c>
      <c r="N1586" s="13" t="s">
        <v>1415</v>
      </c>
      <c r="O1586" s="13" t="s">
        <v>672</v>
      </c>
      <c r="P1586" s="13" t="s">
        <v>673</v>
      </c>
      <c r="Q1586" s="13" t="s">
        <v>1416</v>
      </c>
      <c r="T1586" t="s">
        <v>2804</v>
      </c>
      <c r="U1586" s="25">
        <f>+Municipios!P483</f>
        <v>65.003671719511772</v>
      </c>
      <c r="V1586" s="13">
        <v>52687</v>
      </c>
      <c r="W1586" s="13" t="s">
        <v>1415</v>
      </c>
      <c r="X1586" s="13" t="s">
        <v>672</v>
      </c>
      <c r="Y1586" s="13" t="s">
        <v>673</v>
      </c>
      <c r="Z1586" s="13" t="s">
        <v>1416</v>
      </c>
    </row>
    <row r="1587" spans="1:26">
      <c r="A1587" t="s">
        <v>412</v>
      </c>
      <c r="B1587" s="25">
        <f>+Municipios!P484</f>
        <v>60.77206239176158</v>
      </c>
      <c r="C1587" s="13">
        <v>41530</v>
      </c>
      <c r="D1587" s="13" t="s">
        <v>1417</v>
      </c>
      <c r="E1587" s="13" t="s">
        <v>676</v>
      </c>
      <c r="F1587" s="13" t="s">
        <v>677</v>
      </c>
      <c r="G1587" s="13" t="s">
        <v>765</v>
      </c>
      <c r="K1587" t="s">
        <v>413</v>
      </c>
      <c r="L1587" s="81">
        <f>+Municipios!U484</f>
        <v>31.165875735322963</v>
      </c>
      <c r="M1587" s="13">
        <v>41530</v>
      </c>
      <c r="N1587" s="13" t="s">
        <v>1417</v>
      </c>
      <c r="O1587" s="13" t="s">
        <v>676</v>
      </c>
      <c r="P1587" s="13" t="s">
        <v>677</v>
      </c>
      <c r="Q1587" s="13" t="s">
        <v>765</v>
      </c>
      <c r="T1587" t="s">
        <v>2804</v>
      </c>
      <c r="U1587" s="25">
        <f>+Municipios!P484</f>
        <v>60.77206239176158</v>
      </c>
      <c r="V1587" s="13">
        <v>41530</v>
      </c>
      <c r="W1587" s="13" t="s">
        <v>1417</v>
      </c>
      <c r="X1587" s="13" t="s">
        <v>676</v>
      </c>
      <c r="Y1587" s="13" t="s">
        <v>677</v>
      </c>
      <c r="Z1587" s="13" t="s">
        <v>765</v>
      </c>
    </row>
    <row r="1588" spans="1:26">
      <c r="A1588" t="s">
        <v>412</v>
      </c>
      <c r="B1588" s="25">
        <f>+Municipios!P485</f>
        <v>65.269132684170302</v>
      </c>
      <c r="C1588" s="13">
        <v>52411</v>
      </c>
      <c r="D1588" s="13" t="s">
        <v>1418</v>
      </c>
      <c r="E1588" s="13" t="s">
        <v>672</v>
      </c>
      <c r="F1588" s="13" t="s">
        <v>673</v>
      </c>
      <c r="G1588" s="13" t="s">
        <v>1419</v>
      </c>
      <c r="K1588" t="s">
        <v>413</v>
      </c>
      <c r="L1588" s="81">
        <f>+Municipios!U485</f>
        <v>33.916681454689929</v>
      </c>
      <c r="M1588" s="13">
        <v>52411</v>
      </c>
      <c r="N1588" s="13" t="s">
        <v>1418</v>
      </c>
      <c r="O1588" s="13" t="s">
        <v>672</v>
      </c>
      <c r="P1588" s="13" t="s">
        <v>673</v>
      </c>
      <c r="Q1588" s="13" t="s">
        <v>1419</v>
      </c>
      <c r="T1588" t="s">
        <v>2804</v>
      </c>
      <c r="U1588" s="25">
        <f>+Municipios!P485</f>
        <v>65.269132684170302</v>
      </c>
      <c r="V1588" s="13">
        <v>52411</v>
      </c>
      <c r="W1588" s="13" t="s">
        <v>1418</v>
      </c>
      <c r="X1588" s="13" t="s">
        <v>672</v>
      </c>
      <c r="Y1588" s="13" t="s">
        <v>673</v>
      </c>
      <c r="Z1588" s="13" t="s">
        <v>1419</v>
      </c>
    </row>
    <row r="1589" spans="1:26">
      <c r="A1589" t="s">
        <v>412</v>
      </c>
      <c r="B1589" s="25">
        <f>+Municipios!P486</f>
        <v>61.373531177204455</v>
      </c>
      <c r="C1589" s="13">
        <v>19022</v>
      </c>
      <c r="D1589" s="13" t="s">
        <v>1420</v>
      </c>
      <c r="E1589" s="13" t="s">
        <v>557</v>
      </c>
      <c r="F1589" s="13" t="s">
        <v>558</v>
      </c>
      <c r="G1589" s="13" t="s">
        <v>1421</v>
      </c>
      <c r="K1589" t="s">
        <v>413</v>
      </c>
      <c r="L1589" s="81">
        <f>+Municipios!U486</f>
        <v>31.994564440804069</v>
      </c>
      <c r="M1589" s="13">
        <v>19022</v>
      </c>
      <c r="N1589" s="13" t="s">
        <v>1420</v>
      </c>
      <c r="O1589" s="13" t="s">
        <v>557</v>
      </c>
      <c r="P1589" s="13" t="s">
        <v>558</v>
      </c>
      <c r="Q1589" s="13" t="s">
        <v>1421</v>
      </c>
      <c r="T1589" t="s">
        <v>2804</v>
      </c>
      <c r="U1589" s="25">
        <f>+Municipios!P486</f>
        <v>61.373531177204455</v>
      </c>
      <c r="V1589" s="13">
        <v>19022</v>
      </c>
      <c r="W1589" s="13" t="s">
        <v>1420</v>
      </c>
      <c r="X1589" s="13" t="s">
        <v>557</v>
      </c>
      <c r="Y1589" s="13" t="s">
        <v>558</v>
      </c>
      <c r="Z1589" s="13" t="s">
        <v>1421</v>
      </c>
    </row>
    <row r="1590" spans="1:26">
      <c r="A1590" t="s">
        <v>412</v>
      </c>
      <c r="B1590" s="25">
        <f>+Municipios!P487</f>
        <v>60.729539332570212</v>
      </c>
      <c r="C1590" s="13">
        <v>54261</v>
      </c>
      <c r="D1590" s="13" t="s">
        <v>1422</v>
      </c>
      <c r="E1590" s="13" t="s">
        <v>517</v>
      </c>
      <c r="F1590" s="13" t="s">
        <v>518</v>
      </c>
      <c r="G1590" s="13" t="s">
        <v>1423</v>
      </c>
      <c r="K1590" t="s">
        <v>413</v>
      </c>
      <c r="L1590" s="81">
        <f>+Municipios!U487</f>
        <v>31.855368588498841</v>
      </c>
      <c r="M1590" s="13">
        <v>54261</v>
      </c>
      <c r="N1590" s="13" t="s">
        <v>1422</v>
      </c>
      <c r="O1590" s="13" t="s">
        <v>517</v>
      </c>
      <c r="P1590" s="13" t="s">
        <v>518</v>
      </c>
      <c r="Q1590" s="13" t="s">
        <v>1423</v>
      </c>
      <c r="T1590" t="s">
        <v>2804</v>
      </c>
      <c r="U1590" s="25">
        <f>+Municipios!P487</f>
        <v>60.729539332570212</v>
      </c>
      <c r="V1590" s="13">
        <v>54261</v>
      </c>
      <c r="W1590" s="13" t="s">
        <v>1422</v>
      </c>
      <c r="X1590" s="13" t="s">
        <v>517</v>
      </c>
      <c r="Y1590" s="13" t="s">
        <v>518</v>
      </c>
      <c r="Z1590" s="13" t="s">
        <v>1423</v>
      </c>
    </row>
    <row r="1591" spans="1:26">
      <c r="A1591" t="s">
        <v>412</v>
      </c>
      <c r="B1591" s="25">
        <f>+Municipios!P488</f>
        <v>66.178183067173336</v>
      </c>
      <c r="C1591" s="13">
        <v>20710</v>
      </c>
      <c r="D1591" s="13" t="s">
        <v>1424</v>
      </c>
      <c r="E1591" s="13" t="s">
        <v>893</v>
      </c>
      <c r="F1591" s="13" t="s">
        <v>894</v>
      </c>
      <c r="G1591" s="13" t="s">
        <v>1425</v>
      </c>
      <c r="K1591" t="s">
        <v>413</v>
      </c>
      <c r="L1591" s="81">
        <f>+Municipios!U488</f>
        <v>34.647174857669782</v>
      </c>
      <c r="M1591" s="13">
        <v>20710</v>
      </c>
      <c r="N1591" s="13" t="s">
        <v>1424</v>
      </c>
      <c r="O1591" s="13" t="s">
        <v>893</v>
      </c>
      <c r="P1591" s="13" t="s">
        <v>894</v>
      </c>
      <c r="Q1591" s="13" t="s">
        <v>1425</v>
      </c>
      <c r="T1591" t="s">
        <v>2804</v>
      </c>
      <c r="U1591" s="25">
        <f>+Municipios!P488</f>
        <v>66.178183067173336</v>
      </c>
      <c r="V1591" s="13">
        <v>20710</v>
      </c>
      <c r="W1591" s="13" t="s">
        <v>1424</v>
      </c>
      <c r="X1591" s="13" t="s">
        <v>893</v>
      </c>
      <c r="Y1591" s="13" t="s">
        <v>894</v>
      </c>
      <c r="Z1591" s="13" t="s">
        <v>1425</v>
      </c>
    </row>
    <row r="1592" spans="1:26">
      <c r="A1592" t="s">
        <v>412</v>
      </c>
      <c r="B1592" s="25">
        <f>+Municipios!P489</f>
        <v>60.543490253874594</v>
      </c>
      <c r="C1592" s="13">
        <v>68051</v>
      </c>
      <c r="D1592" s="13" t="s">
        <v>1426</v>
      </c>
      <c r="E1592" s="13" t="s">
        <v>431</v>
      </c>
      <c r="F1592" s="13" t="s">
        <v>432</v>
      </c>
      <c r="G1592" s="13" t="s">
        <v>1427</v>
      </c>
      <c r="K1592" t="s">
        <v>413</v>
      </c>
      <c r="L1592" s="81">
        <f>+Municipios!U489</f>
        <v>31.777207651624792</v>
      </c>
      <c r="M1592" s="13">
        <v>68051</v>
      </c>
      <c r="N1592" s="13" t="s">
        <v>1426</v>
      </c>
      <c r="O1592" s="13" t="s">
        <v>431</v>
      </c>
      <c r="P1592" s="13" t="s">
        <v>432</v>
      </c>
      <c r="Q1592" s="13" t="s">
        <v>1427</v>
      </c>
      <c r="T1592" t="s">
        <v>2804</v>
      </c>
      <c r="U1592" s="25">
        <f>+Municipios!P489</f>
        <v>60.543490253874594</v>
      </c>
      <c r="V1592" s="13">
        <v>68051</v>
      </c>
      <c r="W1592" s="13" t="s">
        <v>1426</v>
      </c>
      <c r="X1592" s="13" t="s">
        <v>431</v>
      </c>
      <c r="Y1592" s="13" t="s">
        <v>432</v>
      </c>
      <c r="Z1592" s="13" t="s">
        <v>1427</v>
      </c>
    </row>
    <row r="1593" spans="1:26">
      <c r="A1593" t="s">
        <v>412</v>
      </c>
      <c r="B1593" s="25">
        <f>+Municipios!P490</f>
        <v>45.136736669183776</v>
      </c>
      <c r="C1593" s="13">
        <v>20310</v>
      </c>
      <c r="D1593" s="13" t="s">
        <v>1428</v>
      </c>
      <c r="E1593" s="13" t="s">
        <v>893</v>
      </c>
      <c r="F1593" s="13" t="s">
        <v>894</v>
      </c>
      <c r="G1593" s="13" t="s">
        <v>1429</v>
      </c>
      <c r="K1593" t="s">
        <v>413</v>
      </c>
      <c r="L1593" s="81">
        <f>+Municipios!U490</f>
        <v>23.595650220427085</v>
      </c>
      <c r="M1593" s="13">
        <v>20310</v>
      </c>
      <c r="N1593" s="13" t="s">
        <v>1428</v>
      </c>
      <c r="O1593" s="13" t="s">
        <v>893</v>
      </c>
      <c r="P1593" s="13" t="s">
        <v>894</v>
      </c>
      <c r="Q1593" s="13" t="s">
        <v>1429</v>
      </c>
      <c r="T1593" t="s">
        <v>2804</v>
      </c>
      <c r="U1593" s="25">
        <f>+Municipios!P490</f>
        <v>45.136736669183776</v>
      </c>
      <c r="V1593" s="13">
        <v>20310</v>
      </c>
      <c r="W1593" s="13" t="s">
        <v>1428</v>
      </c>
      <c r="X1593" s="13" t="s">
        <v>893</v>
      </c>
      <c r="Y1593" s="13" t="s">
        <v>894</v>
      </c>
      <c r="Z1593" s="13" t="s">
        <v>1429</v>
      </c>
    </row>
    <row r="1594" spans="1:26">
      <c r="A1594" t="s">
        <v>412</v>
      </c>
      <c r="B1594" s="25">
        <f>+Municipios!P491</f>
        <v>54.330041537874266</v>
      </c>
      <c r="C1594" s="13">
        <v>15272</v>
      </c>
      <c r="D1594" s="13" t="s">
        <v>1430</v>
      </c>
      <c r="E1594" s="13" t="s">
        <v>498</v>
      </c>
      <c r="F1594" s="13" t="s">
        <v>499</v>
      </c>
      <c r="G1594" s="13" t="s">
        <v>1431</v>
      </c>
      <c r="K1594" t="s">
        <v>413</v>
      </c>
      <c r="L1594" s="81">
        <f>+Municipios!U491</f>
        <v>28.187165214998306</v>
      </c>
      <c r="M1594" s="13">
        <v>15272</v>
      </c>
      <c r="N1594" s="13" t="s">
        <v>1430</v>
      </c>
      <c r="O1594" s="13" t="s">
        <v>498</v>
      </c>
      <c r="P1594" s="13" t="s">
        <v>499</v>
      </c>
      <c r="Q1594" s="13" t="s">
        <v>1431</v>
      </c>
      <c r="T1594" t="s">
        <v>2804</v>
      </c>
      <c r="U1594" s="25">
        <f>+Municipios!P491</f>
        <v>54.330041537874266</v>
      </c>
      <c r="V1594" s="13">
        <v>15272</v>
      </c>
      <c r="W1594" s="13" t="s">
        <v>1430</v>
      </c>
      <c r="X1594" s="13" t="s">
        <v>498</v>
      </c>
      <c r="Y1594" s="13" t="s">
        <v>499</v>
      </c>
      <c r="Z1594" s="13" t="s">
        <v>1431</v>
      </c>
    </row>
    <row r="1595" spans="1:26">
      <c r="A1595" t="s">
        <v>412</v>
      </c>
      <c r="B1595" s="25">
        <f>+Municipios!P492</f>
        <v>61.147831274559351</v>
      </c>
      <c r="C1595" s="13">
        <v>68861</v>
      </c>
      <c r="D1595" s="13" t="s">
        <v>1432</v>
      </c>
      <c r="E1595" s="13" t="s">
        <v>431</v>
      </c>
      <c r="F1595" s="13" t="s">
        <v>432</v>
      </c>
      <c r="G1595" s="13" t="s">
        <v>1433</v>
      </c>
      <c r="K1595" t="s">
        <v>413</v>
      </c>
      <c r="L1595" s="81">
        <f>+Municipios!U492</f>
        <v>31.806693095758398</v>
      </c>
      <c r="M1595" s="13">
        <v>68861</v>
      </c>
      <c r="N1595" s="13" t="s">
        <v>1432</v>
      </c>
      <c r="O1595" s="13" t="s">
        <v>431</v>
      </c>
      <c r="P1595" s="13" t="s">
        <v>432</v>
      </c>
      <c r="Q1595" s="13" t="s">
        <v>1433</v>
      </c>
      <c r="T1595" t="s">
        <v>2804</v>
      </c>
      <c r="U1595" s="25">
        <f>+Municipios!P492</f>
        <v>61.147831274559351</v>
      </c>
      <c r="V1595" s="13">
        <v>68861</v>
      </c>
      <c r="W1595" s="13" t="s">
        <v>1432</v>
      </c>
      <c r="X1595" s="13" t="s">
        <v>431</v>
      </c>
      <c r="Y1595" s="13" t="s">
        <v>432</v>
      </c>
      <c r="Z1595" s="13" t="s">
        <v>1433</v>
      </c>
    </row>
    <row r="1596" spans="1:26">
      <c r="A1596" t="s">
        <v>412</v>
      </c>
      <c r="B1596" s="25">
        <f>+Municipios!P493</f>
        <v>57.168717590880647</v>
      </c>
      <c r="C1596" s="13">
        <v>25862</v>
      </c>
      <c r="D1596" s="13" t="s">
        <v>1434</v>
      </c>
      <c r="E1596" s="13" t="s">
        <v>461</v>
      </c>
      <c r="F1596" s="13" t="s">
        <v>462</v>
      </c>
      <c r="G1596" s="13" t="s">
        <v>1435</v>
      </c>
      <c r="K1596" t="s">
        <v>413</v>
      </c>
      <c r="L1596" s="81">
        <f>+Municipios!U493</f>
        <v>28.886749664546876</v>
      </c>
      <c r="M1596" s="13">
        <v>25862</v>
      </c>
      <c r="N1596" s="13" t="s">
        <v>1434</v>
      </c>
      <c r="O1596" s="13" t="s">
        <v>461</v>
      </c>
      <c r="P1596" s="13" t="s">
        <v>462</v>
      </c>
      <c r="Q1596" s="13" t="s">
        <v>1435</v>
      </c>
      <c r="T1596" t="s">
        <v>2804</v>
      </c>
      <c r="U1596" s="25">
        <f>+Municipios!P493</f>
        <v>57.168717590880647</v>
      </c>
      <c r="V1596" s="13">
        <v>25862</v>
      </c>
      <c r="W1596" s="13" t="s">
        <v>1434</v>
      </c>
      <c r="X1596" s="13" t="s">
        <v>461</v>
      </c>
      <c r="Y1596" s="13" t="s">
        <v>462</v>
      </c>
      <c r="Z1596" s="13" t="s">
        <v>1435</v>
      </c>
    </row>
    <row r="1597" spans="1:26">
      <c r="A1597" t="s">
        <v>412</v>
      </c>
      <c r="B1597" s="25">
        <f>+Municipios!P494</f>
        <v>64.112711752993519</v>
      </c>
      <c r="C1597" s="13">
        <v>54599</v>
      </c>
      <c r="D1597" s="13" t="s">
        <v>1436</v>
      </c>
      <c r="E1597" s="13" t="s">
        <v>517</v>
      </c>
      <c r="F1597" s="13" t="s">
        <v>518</v>
      </c>
      <c r="G1597" s="13" t="s">
        <v>1437</v>
      </c>
      <c r="K1597" t="s">
        <v>413</v>
      </c>
      <c r="L1597" s="81">
        <f>+Municipios!U494</f>
        <v>33.386444350975772</v>
      </c>
      <c r="M1597" s="13">
        <v>54599</v>
      </c>
      <c r="N1597" s="13" t="s">
        <v>1436</v>
      </c>
      <c r="O1597" s="13" t="s">
        <v>517</v>
      </c>
      <c r="P1597" s="13" t="s">
        <v>518</v>
      </c>
      <c r="Q1597" s="13" t="s">
        <v>1437</v>
      </c>
      <c r="T1597" t="s">
        <v>2804</v>
      </c>
      <c r="U1597" s="25">
        <f>+Municipios!P494</f>
        <v>64.112711752993519</v>
      </c>
      <c r="V1597" s="13">
        <v>54599</v>
      </c>
      <c r="W1597" s="13" t="s">
        <v>1436</v>
      </c>
      <c r="X1597" s="13" t="s">
        <v>517</v>
      </c>
      <c r="Y1597" s="13" t="s">
        <v>518</v>
      </c>
      <c r="Z1597" s="13" t="s">
        <v>1437</v>
      </c>
    </row>
    <row r="1598" spans="1:26">
      <c r="A1598" t="s">
        <v>412</v>
      </c>
      <c r="B1598" s="25">
        <f>+Municipios!P495</f>
        <v>63.899861321392763</v>
      </c>
      <c r="C1598" s="13">
        <v>23466</v>
      </c>
      <c r="D1598" s="13" t="s">
        <v>1438</v>
      </c>
      <c r="E1598" s="13" t="s">
        <v>567</v>
      </c>
      <c r="F1598" s="13" t="s">
        <v>568</v>
      </c>
      <c r="G1598" s="13" t="s">
        <v>1439</v>
      </c>
      <c r="K1598" t="s">
        <v>413</v>
      </c>
      <c r="L1598" s="81">
        <f>+Municipios!U495</f>
        <v>33.299024158163974</v>
      </c>
      <c r="M1598" s="13">
        <v>23466</v>
      </c>
      <c r="N1598" s="13" t="s">
        <v>1438</v>
      </c>
      <c r="O1598" s="13" t="s">
        <v>567</v>
      </c>
      <c r="P1598" s="13" t="s">
        <v>568</v>
      </c>
      <c r="Q1598" s="13" t="s">
        <v>1439</v>
      </c>
      <c r="T1598" t="s">
        <v>2804</v>
      </c>
      <c r="U1598" s="25">
        <f>+Municipios!P495</f>
        <v>63.899861321392763</v>
      </c>
      <c r="V1598" s="13">
        <v>23466</v>
      </c>
      <c r="W1598" s="13" t="s">
        <v>1438</v>
      </c>
      <c r="X1598" s="13" t="s">
        <v>567</v>
      </c>
      <c r="Y1598" s="13" t="s">
        <v>568</v>
      </c>
      <c r="Z1598" s="13" t="s">
        <v>1439</v>
      </c>
    </row>
    <row r="1599" spans="1:26">
      <c r="A1599" t="s">
        <v>412</v>
      </c>
      <c r="B1599" s="25">
        <f>+Municipios!P496</f>
        <v>52.323168238735221</v>
      </c>
      <c r="C1599" s="13">
        <v>5411</v>
      </c>
      <c r="D1599" s="13" t="s">
        <v>1440</v>
      </c>
      <c r="E1599" s="13" t="s">
        <v>435</v>
      </c>
      <c r="F1599" s="13" t="s">
        <v>436</v>
      </c>
      <c r="G1599" s="13" t="s">
        <v>1441</v>
      </c>
      <c r="K1599" t="s">
        <v>413</v>
      </c>
      <c r="L1599" s="81">
        <f>+Municipios!U496</f>
        <v>27.430959016475693</v>
      </c>
      <c r="M1599" s="13">
        <v>5411</v>
      </c>
      <c r="N1599" s="13" t="s">
        <v>1440</v>
      </c>
      <c r="O1599" s="13" t="s">
        <v>435</v>
      </c>
      <c r="P1599" s="13" t="s">
        <v>436</v>
      </c>
      <c r="Q1599" s="13" t="s">
        <v>1441</v>
      </c>
      <c r="T1599" t="s">
        <v>2804</v>
      </c>
      <c r="U1599" s="25">
        <f>+Municipios!P496</f>
        <v>52.323168238735221</v>
      </c>
      <c r="V1599" s="13">
        <v>5411</v>
      </c>
      <c r="W1599" s="13" t="s">
        <v>1440</v>
      </c>
      <c r="X1599" s="13" t="s">
        <v>435</v>
      </c>
      <c r="Y1599" s="13" t="s">
        <v>436</v>
      </c>
      <c r="Z1599" s="13" t="s">
        <v>1441</v>
      </c>
    </row>
    <row r="1600" spans="1:26">
      <c r="A1600" t="s">
        <v>412</v>
      </c>
      <c r="B1600" s="25">
        <f>+Municipios!P497</f>
        <v>45.278794881009262</v>
      </c>
      <c r="C1600" s="13">
        <v>5145</v>
      </c>
      <c r="D1600" s="13" t="s">
        <v>1442</v>
      </c>
      <c r="E1600" s="13" t="s">
        <v>435</v>
      </c>
      <c r="F1600" s="13" t="s">
        <v>436</v>
      </c>
      <c r="G1600" s="13" t="s">
        <v>1443</v>
      </c>
      <c r="K1600" t="s">
        <v>413</v>
      </c>
      <c r="L1600" s="81">
        <f>+Municipios!U497</f>
        <v>23.431153289884808</v>
      </c>
      <c r="M1600" s="13">
        <v>5145</v>
      </c>
      <c r="N1600" s="13" t="s">
        <v>1442</v>
      </c>
      <c r="O1600" s="13" t="s">
        <v>435</v>
      </c>
      <c r="P1600" s="13" t="s">
        <v>436</v>
      </c>
      <c r="Q1600" s="13" t="s">
        <v>1443</v>
      </c>
      <c r="T1600" t="s">
        <v>2804</v>
      </c>
      <c r="U1600" s="25">
        <f>+Municipios!P497</f>
        <v>45.278794881009262</v>
      </c>
      <c r="V1600" s="13">
        <v>5145</v>
      </c>
      <c r="W1600" s="13" t="s">
        <v>1442</v>
      </c>
      <c r="X1600" s="13" t="s">
        <v>435</v>
      </c>
      <c r="Y1600" s="13" t="s">
        <v>436</v>
      </c>
      <c r="Z1600" s="13" t="s">
        <v>1443</v>
      </c>
    </row>
    <row r="1601" spans="1:26">
      <c r="A1601" t="s">
        <v>412</v>
      </c>
      <c r="B1601" s="25">
        <f>+Municipios!P498</f>
        <v>55.8044989657771</v>
      </c>
      <c r="C1601" s="13">
        <v>68418</v>
      </c>
      <c r="D1601" s="13" t="s">
        <v>1444</v>
      </c>
      <c r="E1601" s="13" t="s">
        <v>431</v>
      </c>
      <c r="F1601" s="13" t="s">
        <v>432</v>
      </c>
      <c r="G1601" s="13" t="s">
        <v>1445</v>
      </c>
      <c r="K1601" t="s">
        <v>413</v>
      </c>
      <c r="L1601" s="81">
        <f>+Municipios!U498</f>
        <v>29.340896429963909</v>
      </c>
      <c r="M1601" s="13">
        <v>68418</v>
      </c>
      <c r="N1601" s="13" t="s">
        <v>1444</v>
      </c>
      <c r="O1601" s="13" t="s">
        <v>431</v>
      </c>
      <c r="P1601" s="13" t="s">
        <v>432</v>
      </c>
      <c r="Q1601" s="13" t="s">
        <v>1445</v>
      </c>
      <c r="T1601" t="s">
        <v>2804</v>
      </c>
      <c r="U1601" s="25">
        <f>+Municipios!P498</f>
        <v>55.8044989657771</v>
      </c>
      <c r="V1601" s="13">
        <v>68418</v>
      </c>
      <c r="W1601" s="13" t="s">
        <v>1444</v>
      </c>
      <c r="X1601" s="13" t="s">
        <v>431</v>
      </c>
      <c r="Y1601" s="13" t="s">
        <v>432</v>
      </c>
      <c r="Z1601" s="13" t="s">
        <v>1445</v>
      </c>
    </row>
    <row r="1602" spans="1:26">
      <c r="A1602" t="s">
        <v>412</v>
      </c>
      <c r="B1602" s="25">
        <f>+Municipios!P499</f>
        <v>56.699652916185066</v>
      </c>
      <c r="C1602" s="13">
        <v>15466</v>
      </c>
      <c r="D1602" s="13" t="s">
        <v>1446</v>
      </c>
      <c r="E1602" s="13" t="s">
        <v>498</v>
      </c>
      <c r="F1602" s="13" t="s">
        <v>499</v>
      </c>
      <c r="G1602" s="13" t="s">
        <v>1447</v>
      </c>
      <c r="K1602" t="s">
        <v>413</v>
      </c>
      <c r="L1602" s="81">
        <f>+Municipios!U499</f>
        <v>29.200854247391991</v>
      </c>
      <c r="M1602" s="13">
        <v>15466</v>
      </c>
      <c r="N1602" s="13" t="s">
        <v>1446</v>
      </c>
      <c r="O1602" s="13" t="s">
        <v>498</v>
      </c>
      <c r="P1602" s="13" t="s">
        <v>499</v>
      </c>
      <c r="Q1602" s="13" t="s">
        <v>1447</v>
      </c>
      <c r="T1602" t="s">
        <v>2804</v>
      </c>
      <c r="U1602" s="25">
        <f>+Municipios!P499</f>
        <v>56.699652916185066</v>
      </c>
      <c r="V1602" s="13">
        <v>15466</v>
      </c>
      <c r="W1602" s="13" t="s">
        <v>1446</v>
      </c>
      <c r="X1602" s="13" t="s">
        <v>498</v>
      </c>
      <c r="Y1602" s="13" t="s">
        <v>499</v>
      </c>
      <c r="Z1602" s="13" t="s">
        <v>1447</v>
      </c>
    </row>
    <row r="1603" spans="1:26">
      <c r="A1603" t="s">
        <v>412</v>
      </c>
      <c r="B1603" s="25">
        <f>+Municipios!P500</f>
        <v>58.130424420144053</v>
      </c>
      <c r="C1603" s="13">
        <v>47555</v>
      </c>
      <c r="D1603" s="13" t="s">
        <v>1448</v>
      </c>
      <c r="E1603" s="13" t="s">
        <v>638</v>
      </c>
      <c r="F1603" s="13" t="s">
        <v>639</v>
      </c>
      <c r="G1603" s="13" t="s">
        <v>1449</v>
      </c>
      <c r="K1603" t="s">
        <v>413</v>
      </c>
      <c r="L1603" s="81">
        <f>+Municipios!U500</f>
        <v>30.316939800577945</v>
      </c>
      <c r="M1603" s="13">
        <v>47555</v>
      </c>
      <c r="N1603" s="13" t="s">
        <v>1448</v>
      </c>
      <c r="O1603" s="13" t="s">
        <v>638</v>
      </c>
      <c r="P1603" s="13" t="s">
        <v>639</v>
      </c>
      <c r="Q1603" s="13" t="s">
        <v>1449</v>
      </c>
      <c r="T1603" t="s">
        <v>2804</v>
      </c>
      <c r="U1603" s="25">
        <f>+Municipios!P500</f>
        <v>58.130424420144053</v>
      </c>
      <c r="V1603" s="13">
        <v>47555</v>
      </c>
      <c r="W1603" s="13" t="s">
        <v>1448</v>
      </c>
      <c r="X1603" s="13" t="s">
        <v>638</v>
      </c>
      <c r="Y1603" s="13" t="s">
        <v>639</v>
      </c>
      <c r="Z1603" s="13" t="s">
        <v>1449</v>
      </c>
    </row>
    <row r="1604" spans="1:26">
      <c r="A1604" t="s">
        <v>412</v>
      </c>
      <c r="B1604" s="25">
        <f>+Municipios!P501</f>
        <v>65.185987613217236</v>
      </c>
      <c r="C1604" s="13">
        <v>50606</v>
      </c>
      <c r="D1604" s="13" t="s">
        <v>1450</v>
      </c>
      <c r="E1604" s="13" t="s">
        <v>605</v>
      </c>
      <c r="F1604" s="13" t="s">
        <v>606</v>
      </c>
      <c r="G1604" s="13" t="s">
        <v>837</v>
      </c>
      <c r="K1604" t="s">
        <v>413</v>
      </c>
      <c r="L1604" s="81">
        <f>+Municipios!U501</f>
        <v>33.34025279205526</v>
      </c>
      <c r="M1604" s="13">
        <v>50606</v>
      </c>
      <c r="N1604" s="13" t="s">
        <v>1450</v>
      </c>
      <c r="O1604" s="13" t="s">
        <v>605</v>
      </c>
      <c r="P1604" s="13" t="s">
        <v>606</v>
      </c>
      <c r="Q1604" s="13" t="s">
        <v>837</v>
      </c>
      <c r="T1604" t="s">
        <v>2804</v>
      </c>
      <c r="U1604" s="25">
        <f>+Municipios!P501</f>
        <v>65.185987613217236</v>
      </c>
      <c r="V1604" s="13">
        <v>50606</v>
      </c>
      <c r="W1604" s="13" t="s">
        <v>1450</v>
      </c>
      <c r="X1604" s="13" t="s">
        <v>605</v>
      </c>
      <c r="Y1604" s="13" t="s">
        <v>606</v>
      </c>
      <c r="Z1604" s="13" t="s">
        <v>837</v>
      </c>
    </row>
    <row r="1605" spans="1:26">
      <c r="A1605" t="s">
        <v>412</v>
      </c>
      <c r="B1605" s="25">
        <f>+Municipios!P502</f>
        <v>63.393622145106427</v>
      </c>
      <c r="C1605" s="13">
        <v>25322</v>
      </c>
      <c r="D1605" s="13" t="s">
        <v>1451</v>
      </c>
      <c r="E1605" s="13" t="s">
        <v>461</v>
      </c>
      <c r="F1605" s="13" t="s">
        <v>462</v>
      </c>
      <c r="G1605" s="13" t="s">
        <v>1452</v>
      </c>
      <c r="K1605" t="s">
        <v>413</v>
      </c>
      <c r="L1605" s="81">
        <f>+Municipios!U502</f>
        <v>32.644119697137079</v>
      </c>
      <c r="M1605" s="13">
        <v>25322</v>
      </c>
      <c r="N1605" s="13" t="s">
        <v>1451</v>
      </c>
      <c r="O1605" s="13" t="s">
        <v>461</v>
      </c>
      <c r="P1605" s="13" t="s">
        <v>462</v>
      </c>
      <c r="Q1605" s="13" t="s">
        <v>1452</v>
      </c>
      <c r="T1605" t="s">
        <v>2804</v>
      </c>
      <c r="U1605" s="25">
        <f>+Municipios!P502</f>
        <v>63.393622145106427</v>
      </c>
      <c r="V1605" s="13">
        <v>25322</v>
      </c>
      <c r="W1605" s="13" t="s">
        <v>1451</v>
      </c>
      <c r="X1605" s="13" t="s">
        <v>461</v>
      </c>
      <c r="Y1605" s="13" t="s">
        <v>462</v>
      </c>
      <c r="Z1605" s="13" t="s">
        <v>1452</v>
      </c>
    </row>
    <row r="1606" spans="1:26">
      <c r="A1606" t="s">
        <v>412</v>
      </c>
      <c r="B1606" s="25">
        <f>+Municipios!P503</f>
        <v>62.352763879954708</v>
      </c>
      <c r="C1606" s="13">
        <v>23570</v>
      </c>
      <c r="D1606" s="13" t="s">
        <v>1453</v>
      </c>
      <c r="E1606" s="13" t="s">
        <v>567</v>
      </c>
      <c r="F1606" s="13" t="s">
        <v>568</v>
      </c>
      <c r="G1606" s="13" t="s">
        <v>1454</v>
      </c>
      <c r="K1606" t="s">
        <v>413</v>
      </c>
      <c r="L1606" s="81">
        <f>+Municipios!U503</f>
        <v>32.44147707361855</v>
      </c>
      <c r="M1606" s="13">
        <v>23570</v>
      </c>
      <c r="N1606" s="13" t="s">
        <v>1453</v>
      </c>
      <c r="O1606" s="13" t="s">
        <v>567</v>
      </c>
      <c r="P1606" s="13" t="s">
        <v>568</v>
      </c>
      <c r="Q1606" s="13" t="s">
        <v>1454</v>
      </c>
      <c r="T1606" t="s">
        <v>2804</v>
      </c>
      <c r="U1606" s="25">
        <f>+Municipios!P503</f>
        <v>62.352763879954708</v>
      </c>
      <c r="V1606" s="13">
        <v>23570</v>
      </c>
      <c r="W1606" s="13" t="s">
        <v>1453</v>
      </c>
      <c r="X1606" s="13" t="s">
        <v>567</v>
      </c>
      <c r="Y1606" s="13" t="s">
        <v>568</v>
      </c>
      <c r="Z1606" s="13" t="s">
        <v>1454</v>
      </c>
    </row>
    <row r="1607" spans="1:26">
      <c r="A1607" t="s">
        <v>412</v>
      </c>
      <c r="B1607" s="25">
        <f>+Municipios!P504</f>
        <v>55.805334740650679</v>
      </c>
      <c r="C1607" s="13">
        <v>17653</v>
      </c>
      <c r="D1607" s="13" t="s">
        <v>1455</v>
      </c>
      <c r="E1607" s="13" t="s">
        <v>506</v>
      </c>
      <c r="F1607" s="13" t="s">
        <v>507</v>
      </c>
      <c r="G1607" s="13" t="s">
        <v>1278</v>
      </c>
      <c r="K1607" t="s">
        <v>413</v>
      </c>
      <c r="L1607" s="81">
        <f>+Municipios!U504</f>
        <v>28.816707449038283</v>
      </c>
      <c r="M1607" s="13">
        <v>17653</v>
      </c>
      <c r="N1607" s="13" t="s">
        <v>1455</v>
      </c>
      <c r="O1607" s="13" t="s">
        <v>506</v>
      </c>
      <c r="P1607" s="13" t="s">
        <v>507</v>
      </c>
      <c r="Q1607" s="13" t="s">
        <v>1278</v>
      </c>
      <c r="T1607" t="s">
        <v>2804</v>
      </c>
      <c r="U1607" s="25">
        <f>+Municipios!P504</f>
        <v>55.805334740650679</v>
      </c>
      <c r="V1607" s="13">
        <v>17653</v>
      </c>
      <c r="W1607" s="13" t="s">
        <v>1455</v>
      </c>
      <c r="X1607" s="13" t="s">
        <v>506</v>
      </c>
      <c r="Y1607" s="13" t="s">
        <v>507</v>
      </c>
      <c r="Z1607" s="13" t="s">
        <v>1278</v>
      </c>
    </row>
    <row r="1608" spans="1:26">
      <c r="A1608" t="s">
        <v>412</v>
      </c>
      <c r="B1608" s="25">
        <f>+Municipios!P505</f>
        <v>57.117275740235634</v>
      </c>
      <c r="C1608" s="13">
        <v>15162</v>
      </c>
      <c r="D1608" s="13" t="s">
        <v>1456</v>
      </c>
      <c r="E1608" s="13" t="s">
        <v>498</v>
      </c>
      <c r="F1608" s="13" t="s">
        <v>499</v>
      </c>
      <c r="G1608" s="13" t="s">
        <v>1457</v>
      </c>
      <c r="K1608" t="s">
        <v>413</v>
      </c>
      <c r="L1608" s="81">
        <f>+Municipios!U505</f>
        <v>29.142232286256046</v>
      </c>
      <c r="M1608" s="13">
        <v>15162</v>
      </c>
      <c r="N1608" s="13" t="s">
        <v>1456</v>
      </c>
      <c r="O1608" s="13" t="s">
        <v>498</v>
      </c>
      <c r="P1608" s="13" t="s">
        <v>499</v>
      </c>
      <c r="Q1608" s="13" t="s">
        <v>1457</v>
      </c>
      <c r="T1608" t="s">
        <v>2804</v>
      </c>
      <c r="U1608" s="25">
        <f>+Municipios!P505</f>
        <v>57.117275740235634</v>
      </c>
      <c r="V1608" s="13">
        <v>15162</v>
      </c>
      <c r="W1608" s="13" t="s">
        <v>1456</v>
      </c>
      <c r="X1608" s="13" t="s">
        <v>498</v>
      </c>
      <c r="Y1608" s="13" t="s">
        <v>499</v>
      </c>
      <c r="Z1608" s="13" t="s">
        <v>1457</v>
      </c>
    </row>
    <row r="1609" spans="1:26">
      <c r="A1609" t="s">
        <v>412</v>
      </c>
      <c r="B1609" s="25">
        <f>+Municipios!P506</f>
        <v>61.114992108646085</v>
      </c>
      <c r="C1609" s="13">
        <v>52788</v>
      </c>
      <c r="D1609" s="13" t="s">
        <v>1458</v>
      </c>
      <c r="E1609" s="13" t="s">
        <v>672</v>
      </c>
      <c r="F1609" s="13" t="s">
        <v>673</v>
      </c>
      <c r="G1609" s="13" t="s">
        <v>1459</v>
      </c>
      <c r="K1609" t="s">
        <v>413</v>
      </c>
      <c r="L1609" s="81">
        <f>+Municipios!U506</f>
        <v>31.796679517063644</v>
      </c>
      <c r="M1609" s="13">
        <v>52788</v>
      </c>
      <c r="N1609" s="13" t="s">
        <v>1458</v>
      </c>
      <c r="O1609" s="13" t="s">
        <v>672</v>
      </c>
      <c r="P1609" s="13" t="s">
        <v>673</v>
      </c>
      <c r="Q1609" s="13" t="s">
        <v>1459</v>
      </c>
      <c r="T1609" t="s">
        <v>2804</v>
      </c>
      <c r="U1609" s="25">
        <f>+Municipios!P506</f>
        <v>61.114992108646085</v>
      </c>
      <c r="V1609" s="13">
        <v>52788</v>
      </c>
      <c r="W1609" s="13" t="s">
        <v>1458</v>
      </c>
      <c r="X1609" s="13" t="s">
        <v>672</v>
      </c>
      <c r="Y1609" s="13" t="s">
        <v>673</v>
      </c>
      <c r="Z1609" s="13" t="s">
        <v>1459</v>
      </c>
    </row>
    <row r="1610" spans="1:26">
      <c r="A1610" t="s">
        <v>412</v>
      </c>
      <c r="B1610" s="25">
        <f>+Municipios!P507</f>
        <v>65.786624935865305</v>
      </c>
      <c r="C1610" s="13">
        <v>25793</v>
      </c>
      <c r="D1610" s="13" t="s">
        <v>1460</v>
      </c>
      <c r="E1610" s="13" t="s">
        <v>461</v>
      </c>
      <c r="F1610" s="13" t="s">
        <v>462</v>
      </c>
      <c r="G1610" s="13" t="s">
        <v>1461</v>
      </c>
      <c r="K1610" t="s">
        <v>413</v>
      </c>
      <c r="L1610" s="81">
        <f>+Municipios!U507</f>
        <v>33.268349219005067</v>
      </c>
      <c r="M1610" s="13">
        <v>25793</v>
      </c>
      <c r="N1610" s="13" t="s">
        <v>1460</v>
      </c>
      <c r="O1610" s="13" t="s">
        <v>461</v>
      </c>
      <c r="P1610" s="13" t="s">
        <v>462</v>
      </c>
      <c r="Q1610" s="13" t="s">
        <v>1461</v>
      </c>
      <c r="T1610" t="s">
        <v>2804</v>
      </c>
      <c r="U1610" s="25">
        <f>+Municipios!P507</f>
        <v>65.786624935865305</v>
      </c>
      <c r="V1610" s="13">
        <v>25793</v>
      </c>
      <c r="W1610" s="13" t="s">
        <v>1460</v>
      </c>
      <c r="X1610" s="13" t="s">
        <v>461</v>
      </c>
      <c r="Y1610" s="13" t="s">
        <v>462</v>
      </c>
      <c r="Z1610" s="13" t="s">
        <v>1461</v>
      </c>
    </row>
    <row r="1611" spans="1:26">
      <c r="A1611" t="s">
        <v>412</v>
      </c>
      <c r="B1611" s="25">
        <f>+Municipios!P508</f>
        <v>55.247354576268336</v>
      </c>
      <c r="C1611" s="13">
        <v>18001</v>
      </c>
      <c r="D1611" s="13" t="s">
        <v>1462</v>
      </c>
      <c r="E1611" s="13" t="s">
        <v>1463</v>
      </c>
      <c r="F1611" s="13" t="s">
        <v>1464</v>
      </c>
      <c r="G1611" s="13" t="s">
        <v>1246</v>
      </c>
      <c r="K1611" t="s">
        <v>413</v>
      </c>
      <c r="L1611" s="81">
        <f>+Municipios!U508</f>
        <v>28.835437402291912</v>
      </c>
      <c r="M1611" s="13">
        <v>18001</v>
      </c>
      <c r="N1611" s="13" t="s">
        <v>1462</v>
      </c>
      <c r="O1611" s="13" t="s">
        <v>1463</v>
      </c>
      <c r="P1611" s="13" t="s">
        <v>1464</v>
      </c>
      <c r="Q1611" s="13" t="s">
        <v>1246</v>
      </c>
      <c r="T1611" t="s">
        <v>2804</v>
      </c>
      <c r="U1611" s="25">
        <f>+Municipios!P508</f>
        <v>55.247354576268336</v>
      </c>
      <c r="V1611" s="13">
        <v>18001</v>
      </c>
      <c r="W1611" s="13" t="s">
        <v>1462</v>
      </c>
      <c r="X1611" s="13" t="s">
        <v>1463</v>
      </c>
      <c r="Y1611" s="13" t="s">
        <v>1464</v>
      </c>
      <c r="Z1611" s="13" t="s">
        <v>1246</v>
      </c>
    </row>
    <row r="1612" spans="1:26">
      <c r="A1612" t="s">
        <v>412</v>
      </c>
      <c r="B1612" s="25">
        <f>+Municipios!P509</f>
        <v>68.225018552414213</v>
      </c>
      <c r="C1612" s="13">
        <v>15480</v>
      </c>
      <c r="D1612" s="13" t="s">
        <v>1465</v>
      </c>
      <c r="E1612" s="13" t="s">
        <v>498</v>
      </c>
      <c r="F1612" s="13" t="s">
        <v>499</v>
      </c>
      <c r="G1612" s="13" t="s">
        <v>1466</v>
      </c>
      <c r="K1612" t="s">
        <v>413</v>
      </c>
      <c r="L1612" s="81">
        <f>+Municipios!U509</f>
        <v>34.671795300775337</v>
      </c>
      <c r="M1612" s="13">
        <v>15480</v>
      </c>
      <c r="N1612" s="13" t="s">
        <v>1465</v>
      </c>
      <c r="O1612" s="13" t="s">
        <v>498</v>
      </c>
      <c r="P1612" s="13" t="s">
        <v>499</v>
      </c>
      <c r="Q1612" s="13" t="s">
        <v>1466</v>
      </c>
      <c r="T1612" t="s">
        <v>2804</v>
      </c>
      <c r="U1612" s="25">
        <f>+Municipios!P509</f>
        <v>68.225018552414213</v>
      </c>
      <c r="V1612" s="13">
        <v>15480</v>
      </c>
      <c r="W1612" s="13" t="s">
        <v>1465</v>
      </c>
      <c r="X1612" s="13" t="s">
        <v>498</v>
      </c>
      <c r="Y1612" s="13" t="s">
        <v>499</v>
      </c>
      <c r="Z1612" s="13" t="s">
        <v>1466</v>
      </c>
    </row>
    <row r="1613" spans="1:26">
      <c r="A1613" t="s">
        <v>412</v>
      </c>
      <c r="B1613" s="25">
        <f>+Municipios!P510</f>
        <v>54.517208719169645</v>
      </c>
      <c r="C1613" s="13">
        <v>52720</v>
      </c>
      <c r="D1613" s="13" t="s">
        <v>1467</v>
      </c>
      <c r="E1613" s="13" t="s">
        <v>672</v>
      </c>
      <c r="F1613" s="13" t="s">
        <v>673</v>
      </c>
      <c r="G1613" s="13" t="s">
        <v>1468</v>
      </c>
      <c r="K1613" t="s">
        <v>413</v>
      </c>
      <c r="L1613" s="81">
        <f>+Municipios!U510</f>
        <v>28.034178992798825</v>
      </c>
      <c r="M1613" s="13">
        <v>52720</v>
      </c>
      <c r="N1613" s="13" t="s">
        <v>1467</v>
      </c>
      <c r="O1613" s="13" t="s">
        <v>672</v>
      </c>
      <c r="P1613" s="13" t="s">
        <v>673</v>
      </c>
      <c r="Q1613" s="13" t="s">
        <v>1468</v>
      </c>
      <c r="T1613" t="s">
        <v>2804</v>
      </c>
      <c r="U1613" s="25">
        <f>+Municipios!P510</f>
        <v>54.517208719169645</v>
      </c>
      <c r="V1613" s="13">
        <v>52720</v>
      </c>
      <c r="W1613" s="13" t="s">
        <v>1467</v>
      </c>
      <c r="X1613" s="13" t="s">
        <v>672</v>
      </c>
      <c r="Y1613" s="13" t="s">
        <v>673</v>
      </c>
      <c r="Z1613" s="13" t="s">
        <v>1468</v>
      </c>
    </row>
    <row r="1614" spans="1:26">
      <c r="A1614" t="s">
        <v>412</v>
      </c>
      <c r="B1614" s="25">
        <f>+Municipios!P511</f>
        <v>64.22193261799714</v>
      </c>
      <c r="C1614" s="13">
        <v>54673</v>
      </c>
      <c r="D1614" s="13" t="s">
        <v>1469</v>
      </c>
      <c r="E1614" s="13" t="s">
        <v>517</v>
      </c>
      <c r="F1614" s="13" t="s">
        <v>518</v>
      </c>
      <c r="G1614" s="13" t="s">
        <v>1470</v>
      </c>
      <c r="K1614" t="s">
        <v>413</v>
      </c>
      <c r="L1614" s="81">
        <f>+Municipios!U511</f>
        <v>33.600458847371584</v>
      </c>
      <c r="M1614" s="13">
        <v>54673</v>
      </c>
      <c r="N1614" s="13" t="s">
        <v>1469</v>
      </c>
      <c r="O1614" s="13" t="s">
        <v>517</v>
      </c>
      <c r="P1614" s="13" t="s">
        <v>518</v>
      </c>
      <c r="Q1614" s="13" t="s">
        <v>1470</v>
      </c>
      <c r="T1614" t="s">
        <v>2804</v>
      </c>
      <c r="U1614" s="25">
        <f>+Municipios!P511</f>
        <v>64.22193261799714</v>
      </c>
      <c r="V1614" s="13">
        <v>54673</v>
      </c>
      <c r="W1614" s="13" t="s">
        <v>1469</v>
      </c>
      <c r="X1614" s="13" t="s">
        <v>517</v>
      </c>
      <c r="Y1614" s="13" t="s">
        <v>518</v>
      </c>
      <c r="Z1614" s="13" t="s">
        <v>1470</v>
      </c>
    </row>
    <row r="1615" spans="1:26">
      <c r="A1615" t="s">
        <v>412</v>
      </c>
      <c r="B1615" s="25">
        <f>+Municipios!P512</f>
        <v>64.328928128521909</v>
      </c>
      <c r="C1615" s="13">
        <v>25095</v>
      </c>
      <c r="D1615" s="13" t="s">
        <v>1471</v>
      </c>
      <c r="E1615" s="13" t="s">
        <v>461</v>
      </c>
      <c r="F1615" s="13" t="s">
        <v>462</v>
      </c>
      <c r="G1615" s="13" t="s">
        <v>1472</v>
      </c>
      <c r="K1615" t="s">
        <v>413</v>
      </c>
      <c r="L1615" s="81">
        <f>+Municipios!U512</f>
        <v>32.526151524527954</v>
      </c>
      <c r="M1615" s="13">
        <v>25095</v>
      </c>
      <c r="N1615" s="13" t="s">
        <v>1471</v>
      </c>
      <c r="O1615" s="13" t="s">
        <v>461</v>
      </c>
      <c r="P1615" s="13" t="s">
        <v>462</v>
      </c>
      <c r="Q1615" s="13" t="s">
        <v>1472</v>
      </c>
      <c r="T1615" t="s">
        <v>2804</v>
      </c>
      <c r="U1615" s="25">
        <f>+Municipios!P512</f>
        <v>64.328928128521909</v>
      </c>
      <c r="V1615" s="13">
        <v>25095</v>
      </c>
      <c r="W1615" s="13" t="s">
        <v>1471</v>
      </c>
      <c r="X1615" s="13" t="s">
        <v>461</v>
      </c>
      <c r="Y1615" s="13" t="s">
        <v>462</v>
      </c>
      <c r="Z1615" s="13" t="s">
        <v>1472</v>
      </c>
    </row>
    <row r="1616" spans="1:26">
      <c r="A1616" t="s">
        <v>412</v>
      </c>
      <c r="B1616" s="25">
        <f>+Municipios!P513</f>
        <v>56.698328273666526</v>
      </c>
      <c r="C1616" s="13">
        <v>54099</v>
      </c>
      <c r="D1616" s="13" t="s">
        <v>1473</v>
      </c>
      <c r="E1616" s="13" t="s">
        <v>517</v>
      </c>
      <c r="F1616" s="13" t="s">
        <v>518</v>
      </c>
      <c r="G1616" s="13" t="s">
        <v>1474</v>
      </c>
      <c r="K1616" t="s">
        <v>413</v>
      </c>
      <c r="L1616" s="81">
        <f>+Municipios!U513</f>
        <v>29.457687845621869</v>
      </c>
      <c r="M1616" s="13">
        <v>54099</v>
      </c>
      <c r="N1616" s="13" t="s">
        <v>1473</v>
      </c>
      <c r="O1616" s="13" t="s">
        <v>517</v>
      </c>
      <c r="P1616" s="13" t="s">
        <v>518</v>
      </c>
      <c r="Q1616" s="13" t="s">
        <v>1474</v>
      </c>
      <c r="T1616" t="s">
        <v>2804</v>
      </c>
      <c r="U1616" s="25">
        <f>+Municipios!P513</f>
        <v>56.698328273666526</v>
      </c>
      <c r="V1616" s="13">
        <v>54099</v>
      </c>
      <c r="W1616" s="13" t="s">
        <v>1473</v>
      </c>
      <c r="X1616" s="13" t="s">
        <v>517</v>
      </c>
      <c r="Y1616" s="13" t="s">
        <v>518</v>
      </c>
      <c r="Z1616" s="13" t="s">
        <v>1474</v>
      </c>
    </row>
    <row r="1617" spans="1:26">
      <c r="A1617" t="s">
        <v>412</v>
      </c>
      <c r="B1617" s="25">
        <f>+Municipios!P514</f>
        <v>56.508863922721744</v>
      </c>
      <c r="C1617" s="13">
        <v>25851</v>
      </c>
      <c r="D1617" s="13" t="s">
        <v>1475</v>
      </c>
      <c r="E1617" s="13" t="s">
        <v>461</v>
      </c>
      <c r="F1617" s="13" t="s">
        <v>462</v>
      </c>
      <c r="G1617" s="13" t="s">
        <v>1476</v>
      </c>
      <c r="K1617" t="s">
        <v>413</v>
      </c>
      <c r="L1617" s="81">
        <f>+Municipios!U514</f>
        <v>28.586773499261465</v>
      </c>
      <c r="M1617" s="13">
        <v>25851</v>
      </c>
      <c r="N1617" s="13" t="s">
        <v>1475</v>
      </c>
      <c r="O1617" s="13" t="s">
        <v>461</v>
      </c>
      <c r="P1617" s="13" t="s">
        <v>462</v>
      </c>
      <c r="Q1617" s="13" t="s">
        <v>1476</v>
      </c>
      <c r="T1617" t="s">
        <v>2804</v>
      </c>
      <c r="U1617" s="25">
        <f>+Municipios!P514</f>
        <v>56.508863922721744</v>
      </c>
      <c r="V1617" s="13">
        <v>25851</v>
      </c>
      <c r="W1617" s="13" t="s">
        <v>1475</v>
      </c>
      <c r="X1617" s="13" t="s">
        <v>461</v>
      </c>
      <c r="Y1617" s="13" t="s">
        <v>462</v>
      </c>
      <c r="Z1617" s="13" t="s">
        <v>1476</v>
      </c>
    </row>
    <row r="1618" spans="1:26">
      <c r="A1618" t="s">
        <v>412</v>
      </c>
      <c r="B1618" s="25">
        <f>+Municipios!P515</f>
        <v>69.090880032782536</v>
      </c>
      <c r="C1618" s="13">
        <v>20550</v>
      </c>
      <c r="D1618" s="13" t="s">
        <v>1477</v>
      </c>
      <c r="E1618" s="13" t="s">
        <v>893</v>
      </c>
      <c r="F1618" s="13" t="s">
        <v>894</v>
      </c>
      <c r="G1618" s="13" t="s">
        <v>1478</v>
      </c>
      <c r="K1618" t="s">
        <v>413</v>
      </c>
      <c r="L1618" s="81">
        <f>+Municipios!U515</f>
        <v>35.757025446218599</v>
      </c>
      <c r="M1618" s="13">
        <v>20550</v>
      </c>
      <c r="N1618" s="13" t="s">
        <v>1477</v>
      </c>
      <c r="O1618" s="13" t="s">
        <v>893</v>
      </c>
      <c r="P1618" s="13" t="s">
        <v>894</v>
      </c>
      <c r="Q1618" s="13" t="s">
        <v>1478</v>
      </c>
      <c r="T1618" t="s">
        <v>2804</v>
      </c>
      <c r="U1618" s="25">
        <f>+Municipios!P515</f>
        <v>69.090880032782536</v>
      </c>
      <c r="V1618" s="13">
        <v>20550</v>
      </c>
      <c r="W1618" s="13" t="s">
        <v>1477</v>
      </c>
      <c r="X1618" s="13" t="s">
        <v>893</v>
      </c>
      <c r="Y1618" s="13" t="s">
        <v>894</v>
      </c>
      <c r="Z1618" s="13" t="s">
        <v>1478</v>
      </c>
    </row>
    <row r="1619" spans="1:26">
      <c r="A1619" t="s">
        <v>412</v>
      </c>
      <c r="B1619" s="25">
        <f>+Municipios!P516</f>
        <v>65.763828656086929</v>
      </c>
      <c r="C1619" s="13">
        <v>5138</v>
      </c>
      <c r="D1619" s="13" t="s">
        <v>1479</v>
      </c>
      <c r="E1619" s="13" t="s">
        <v>435</v>
      </c>
      <c r="F1619" s="13" t="s">
        <v>436</v>
      </c>
      <c r="G1619" s="13" t="s">
        <v>1480</v>
      </c>
      <c r="K1619" t="s">
        <v>413</v>
      </c>
      <c r="L1619" s="81">
        <f>+Municipios!U516</f>
        <v>34.010010668078934</v>
      </c>
      <c r="M1619" s="13">
        <v>5138</v>
      </c>
      <c r="N1619" s="13" t="s">
        <v>1479</v>
      </c>
      <c r="O1619" s="13" t="s">
        <v>435</v>
      </c>
      <c r="P1619" s="13" t="s">
        <v>436</v>
      </c>
      <c r="Q1619" s="13" t="s">
        <v>1480</v>
      </c>
      <c r="T1619" t="s">
        <v>2804</v>
      </c>
      <c r="U1619" s="25">
        <f>+Municipios!P516</f>
        <v>65.763828656086929</v>
      </c>
      <c r="V1619" s="13">
        <v>5138</v>
      </c>
      <c r="W1619" s="13" t="s">
        <v>1479</v>
      </c>
      <c r="X1619" s="13" t="s">
        <v>435</v>
      </c>
      <c r="Y1619" s="13" t="s">
        <v>436</v>
      </c>
      <c r="Z1619" s="13" t="s">
        <v>1480</v>
      </c>
    </row>
    <row r="1620" spans="1:26">
      <c r="A1620" t="s">
        <v>412</v>
      </c>
      <c r="B1620" s="25">
        <f>+Municipios!P517</f>
        <v>54.622901885312004</v>
      </c>
      <c r="C1620" s="13">
        <v>20250</v>
      </c>
      <c r="D1620" s="13" t="s">
        <v>1481</v>
      </c>
      <c r="E1620" s="13" t="s">
        <v>893</v>
      </c>
      <c r="F1620" s="13" t="s">
        <v>894</v>
      </c>
      <c r="G1620" s="13" t="s">
        <v>1482</v>
      </c>
      <c r="K1620" t="s">
        <v>413</v>
      </c>
      <c r="L1620" s="81">
        <f>+Municipios!U517</f>
        <v>28.404690932784607</v>
      </c>
      <c r="M1620" s="13">
        <v>20250</v>
      </c>
      <c r="N1620" s="13" t="s">
        <v>1481</v>
      </c>
      <c r="O1620" s="13" t="s">
        <v>893</v>
      </c>
      <c r="P1620" s="13" t="s">
        <v>894</v>
      </c>
      <c r="Q1620" s="13" t="s">
        <v>1482</v>
      </c>
      <c r="T1620" t="s">
        <v>2804</v>
      </c>
      <c r="U1620" s="25">
        <f>+Municipios!P517</f>
        <v>54.622901885312004</v>
      </c>
      <c r="V1620" s="13">
        <v>20250</v>
      </c>
      <c r="W1620" s="13" t="s">
        <v>1481</v>
      </c>
      <c r="X1620" s="13" t="s">
        <v>893</v>
      </c>
      <c r="Y1620" s="13" t="s">
        <v>894</v>
      </c>
      <c r="Z1620" s="13" t="s">
        <v>1482</v>
      </c>
    </row>
    <row r="1621" spans="1:26">
      <c r="A1621" t="s">
        <v>412</v>
      </c>
      <c r="B1621" s="25">
        <f>+Municipios!P518</f>
        <v>69.424387696566754</v>
      </c>
      <c r="C1621" s="13">
        <v>15814</v>
      </c>
      <c r="D1621" s="13" t="s">
        <v>1483</v>
      </c>
      <c r="E1621" s="13" t="s">
        <v>498</v>
      </c>
      <c r="F1621" s="13" t="s">
        <v>499</v>
      </c>
      <c r="G1621" s="13" t="s">
        <v>1484</v>
      </c>
      <c r="K1621" t="s">
        <v>413</v>
      </c>
      <c r="L1621" s="81">
        <f>+Municipios!U518</f>
        <v>35.447270947568803</v>
      </c>
      <c r="M1621" s="13">
        <v>15814</v>
      </c>
      <c r="N1621" s="13" t="s">
        <v>1483</v>
      </c>
      <c r="O1621" s="13" t="s">
        <v>498</v>
      </c>
      <c r="P1621" s="13" t="s">
        <v>499</v>
      </c>
      <c r="Q1621" s="13" t="s">
        <v>1484</v>
      </c>
      <c r="T1621" t="s">
        <v>2804</v>
      </c>
      <c r="U1621" s="25">
        <f>+Municipios!P518</f>
        <v>69.424387696566754</v>
      </c>
      <c r="V1621" s="13">
        <v>15814</v>
      </c>
      <c r="W1621" s="13" t="s">
        <v>1483</v>
      </c>
      <c r="X1621" s="13" t="s">
        <v>498</v>
      </c>
      <c r="Y1621" s="13" t="s">
        <v>499</v>
      </c>
      <c r="Z1621" s="13" t="s">
        <v>1484</v>
      </c>
    </row>
    <row r="1622" spans="1:26">
      <c r="A1622" t="s">
        <v>412</v>
      </c>
      <c r="B1622" s="25">
        <f>+Municipios!P519</f>
        <v>50.181890451727057</v>
      </c>
      <c r="C1622" s="13">
        <v>5002</v>
      </c>
      <c r="D1622" s="13" t="s">
        <v>1485</v>
      </c>
      <c r="E1622" s="13" t="s">
        <v>435</v>
      </c>
      <c r="F1622" s="13" t="s">
        <v>436</v>
      </c>
      <c r="G1622" s="13" t="s">
        <v>1486</v>
      </c>
      <c r="K1622" t="s">
        <v>413</v>
      </c>
      <c r="L1622" s="81">
        <f>+Municipios!U519</f>
        <v>25.844094766073116</v>
      </c>
      <c r="M1622" s="13">
        <v>5002</v>
      </c>
      <c r="N1622" s="13" t="s">
        <v>1485</v>
      </c>
      <c r="O1622" s="13" t="s">
        <v>435</v>
      </c>
      <c r="P1622" s="13" t="s">
        <v>436</v>
      </c>
      <c r="Q1622" s="13" t="s">
        <v>1486</v>
      </c>
      <c r="T1622" t="s">
        <v>2804</v>
      </c>
      <c r="U1622" s="25">
        <f>+Municipios!P519</f>
        <v>50.181890451727057</v>
      </c>
      <c r="V1622" s="13">
        <v>5002</v>
      </c>
      <c r="W1622" s="13" t="s">
        <v>1485</v>
      </c>
      <c r="X1622" s="13" t="s">
        <v>435</v>
      </c>
      <c r="Y1622" s="13" t="s">
        <v>436</v>
      </c>
      <c r="Z1622" s="13" t="s">
        <v>1486</v>
      </c>
    </row>
    <row r="1623" spans="1:26">
      <c r="A1623" t="s">
        <v>412</v>
      </c>
      <c r="B1623" s="25">
        <f>+Municipios!P520</f>
        <v>53.30404539604578</v>
      </c>
      <c r="C1623" s="13">
        <v>68179</v>
      </c>
      <c r="D1623" s="13" t="s">
        <v>1487</v>
      </c>
      <c r="E1623" s="13" t="s">
        <v>431</v>
      </c>
      <c r="F1623" s="13" t="s">
        <v>432</v>
      </c>
      <c r="G1623" s="13" t="s">
        <v>1488</v>
      </c>
      <c r="K1623" t="s">
        <v>413</v>
      </c>
      <c r="L1623" s="81">
        <f>+Municipios!U520</f>
        <v>27.310479779135814</v>
      </c>
      <c r="M1623" s="13">
        <v>68179</v>
      </c>
      <c r="N1623" s="13" t="s">
        <v>1487</v>
      </c>
      <c r="O1623" s="13" t="s">
        <v>431</v>
      </c>
      <c r="P1623" s="13" t="s">
        <v>432</v>
      </c>
      <c r="Q1623" s="13" t="s">
        <v>1488</v>
      </c>
      <c r="T1623" t="s">
        <v>2804</v>
      </c>
      <c r="U1623" s="25">
        <f>+Municipios!P520</f>
        <v>53.30404539604578</v>
      </c>
      <c r="V1623" s="13">
        <v>68179</v>
      </c>
      <c r="W1623" s="13" t="s">
        <v>1487</v>
      </c>
      <c r="X1623" s="13" t="s">
        <v>431</v>
      </c>
      <c r="Y1623" s="13" t="s">
        <v>432</v>
      </c>
      <c r="Z1623" s="13" t="s">
        <v>1488</v>
      </c>
    </row>
    <row r="1624" spans="1:26">
      <c r="A1624" t="s">
        <v>412</v>
      </c>
      <c r="B1624" s="25">
        <f>+Municipios!P521</f>
        <v>71.79420799797856</v>
      </c>
      <c r="C1624" s="13">
        <v>25398</v>
      </c>
      <c r="D1624" s="13" t="s">
        <v>1489</v>
      </c>
      <c r="E1624" s="13" t="s">
        <v>461</v>
      </c>
      <c r="F1624" s="13" t="s">
        <v>462</v>
      </c>
      <c r="G1624" s="13" t="s">
        <v>1490</v>
      </c>
      <c r="K1624" t="s">
        <v>413</v>
      </c>
      <c r="L1624" s="81">
        <f>+Municipios!U521</f>
        <v>36.12087325510727</v>
      </c>
      <c r="M1624" s="13">
        <v>25398</v>
      </c>
      <c r="N1624" s="13" t="s">
        <v>1489</v>
      </c>
      <c r="O1624" s="13" t="s">
        <v>461</v>
      </c>
      <c r="P1624" s="13" t="s">
        <v>462</v>
      </c>
      <c r="Q1624" s="13" t="s">
        <v>1490</v>
      </c>
      <c r="T1624" t="s">
        <v>2804</v>
      </c>
      <c r="U1624" s="25">
        <f>+Municipios!P521</f>
        <v>71.79420799797856</v>
      </c>
      <c r="V1624" s="13">
        <v>25398</v>
      </c>
      <c r="W1624" s="13" t="s">
        <v>1489</v>
      </c>
      <c r="X1624" s="13" t="s">
        <v>461</v>
      </c>
      <c r="Y1624" s="13" t="s">
        <v>462</v>
      </c>
      <c r="Z1624" s="13" t="s">
        <v>1490</v>
      </c>
    </row>
    <row r="1625" spans="1:26">
      <c r="A1625" t="s">
        <v>412</v>
      </c>
      <c r="B1625" s="25">
        <f>+Municipios!P522</f>
        <v>52.731076450841236</v>
      </c>
      <c r="C1625" s="13">
        <v>15362</v>
      </c>
      <c r="D1625" s="13" t="s">
        <v>1491</v>
      </c>
      <c r="E1625" s="13" t="s">
        <v>498</v>
      </c>
      <c r="F1625" s="13" t="s">
        <v>499</v>
      </c>
      <c r="G1625" s="13" t="s">
        <v>1492</v>
      </c>
      <c r="K1625" t="s">
        <v>413</v>
      </c>
      <c r="L1625" s="81">
        <f>+Municipios!U522</f>
        <v>26.817203715234271</v>
      </c>
      <c r="M1625" s="13">
        <v>15362</v>
      </c>
      <c r="N1625" s="13" t="s">
        <v>1491</v>
      </c>
      <c r="O1625" s="13" t="s">
        <v>498</v>
      </c>
      <c r="P1625" s="13" t="s">
        <v>499</v>
      </c>
      <c r="Q1625" s="13" t="s">
        <v>1492</v>
      </c>
      <c r="T1625" t="s">
        <v>2804</v>
      </c>
      <c r="U1625" s="25">
        <f>+Municipios!P522</f>
        <v>52.731076450841236</v>
      </c>
      <c r="V1625" s="13">
        <v>15362</v>
      </c>
      <c r="W1625" s="13" t="s">
        <v>1491</v>
      </c>
      <c r="X1625" s="13" t="s">
        <v>498</v>
      </c>
      <c r="Y1625" s="13" t="s">
        <v>499</v>
      </c>
      <c r="Z1625" s="13" t="s">
        <v>1492</v>
      </c>
    </row>
    <row r="1626" spans="1:26">
      <c r="A1626" t="s">
        <v>412</v>
      </c>
      <c r="B1626" s="25">
        <f>+Municipios!P523</f>
        <v>49.394466097713881</v>
      </c>
      <c r="C1626" s="13">
        <v>47703</v>
      </c>
      <c r="D1626" s="13" t="s">
        <v>1493</v>
      </c>
      <c r="E1626" s="13" t="s">
        <v>638</v>
      </c>
      <c r="F1626" s="13" t="s">
        <v>639</v>
      </c>
      <c r="G1626" s="13" t="s">
        <v>1494</v>
      </c>
      <c r="K1626" t="s">
        <v>413</v>
      </c>
      <c r="L1626" s="81">
        <f>+Municipios!U523</f>
        <v>25.57180290442906</v>
      </c>
      <c r="M1626" s="13">
        <v>47703</v>
      </c>
      <c r="N1626" s="13" t="s">
        <v>1493</v>
      </c>
      <c r="O1626" s="13" t="s">
        <v>638</v>
      </c>
      <c r="P1626" s="13" t="s">
        <v>639</v>
      </c>
      <c r="Q1626" s="13" t="s">
        <v>1494</v>
      </c>
      <c r="T1626" t="s">
        <v>2804</v>
      </c>
      <c r="U1626" s="25">
        <f>+Municipios!P523</f>
        <v>49.394466097713881</v>
      </c>
      <c r="V1626" s="13">
        <v>47703</v>
      </c>
      <c r="W1626" s="13" t="s">
        <v>1493</v>
      </c>
      <c r="X1626" s="13" t="s">
        <v>638</v>
      </c>
      <c r="Y1626" s="13" t="s">
        <v>639</v>
      </c>
      <c r="Z1626" s="13" t="s">
        <v>1494</v>
      </c>
    </row>
    <row r="1627" spans="1:26">
      <c r="A1627" t="s">
        <v>412</v>
      </c>
      <c r="B1627" s="25">
        <f>+Municipios!P524</f>
        <v>48.704837517975434</v>
      </c>
      <c r="C1627" s="13">
        <v>68684</v>
      </c>
      <c r="D1627" s="13" t="s">
        <v>1495</v>
      </c>
      <c r="E1627" s="13" t="s">
        <v>431</v>
      </c>
      <c r="F1627" s="13" t="s">
        <v>432</v>
      </c>
      <c r="G1627" s="13" t="s">
        <v>1496</v>
      </c>
      <c r="K1627" t="s">
        <v>413</v>
      </c>
      <c r="L1627" s="81">
        <f>+Municipios!U524</f>
        <v>24.985689496451474</v>
      </c>
      <c r="M1627" s="13">
        <v>68684</v>
      </c>
      <c r="N1627" s="13" t="s">
        <v>1495</v>
      </c>
      <c r="O1627" s="13" t="s">
        <v>431</v>
      </c>
      <c r="P1627" s="13" t="s">
        <v>432</v>
      </c>
      <c r="Q1627" s="13" t="s">
        <v>1496</v>
      </c>
      <c r="T1627" t="s">
        <v>2804</v>
      </c>
      <c r="U1627" s="25">
        <f>+Municipios!P524</f>
        <v>48.704837517975434</v>
      </c>
      <c r="V1627" s="13">
        <v>68684</v>
      </c>
      <c r="W1627" s="13" t="s">
        <v>1495</v>
      </c>
      <c r="X1627" s="13" t="s">
        <v>431</v>
      </c>
      <c r="Y1627" s="13" t="s">
        <v>432</v>
      </c>
      <c r="Z1627" s="13" t="s">
        <v>1496</v>
      </c>
    </row>
    <row r="1628" spans="1:26">
      <c r="A1628" t="s">
        <v>412</v>
      </c>
      <c r="B1628" s="25">
        <f>+Municipios!P525</f>
        <v>35.649096919085949</v>
      </c>
      <c r="C1628" s="13">
        <v>47318</v>
      </c>
      <c r="D1628" s="13" t="s">
        <v>1497</v>
      </c>
      <c r="E1628" s="13" t="s">
        <v>638</v>
      </c>
      <c r="F1628" s="13" t="s">
        <v>639</v>
      </c>
      <c r="G1628" s="13" t="s">
        <v>1498</v>
      </c>
      <c r="K1628" t="s">
        <v>413</v>
      </c>
      <c r="L1628" s="81">
        <f>+Municipios!U525</f>
        <v>18.220836118778408</v>
      </c>
      <c r="M1628" s="13">
        <v>47318</v>
      </c>
      <c r="N1628" s="13" t="s">
        <v>1497</v>
      </c>
      <c r="O1628" s="13" t="s">
        <v>638</v>
      </c>
      <c r="P1628" s="13" t="s">
        <v>639</v>
      </c>
      <c r="Q1628" s="13" t="s">
        <v>1498</v>
      </c>
      <c r="T1628" t="s">
        <v>2804</v>
      </c>
      <c r="U1628" s="25">
        <f>+Municipios!P525</f>
        <v>35.649096919085949</v>
      </c>
      <c r="V1628" s="13">
        <v>47318</v>
      </c>
      <c r="W1628" s="13" t="s">
        <v>1497</v>
      </c>
      <c r="X1628" s="13" t="s">
        <v>638</v>
      </c>
      <c r="Y1628" s="13" t="s">
        <v>639</v>
      </c>
      <c r="Z1628" s="13" t="s">
        <v>1498</v>
      </c>
    </row>
    <row r="1629" spans="1:26">
      <c r="A1629" t="s">
        <v>412</v>
      </c>
      <c r="B1629" s="25">
        <f>+Municipios!P526</f>
        <v>65.37815909967955</v>
      </c>
      <c r="C1629" s="13">
        <v>25320</v>
      </c>
      <c r="D1629" s="13" t="s">
        <v>1499</v>
      </c>
      <c r="E1629" s="13" t="s">
        <v>461</v>
      </c>
      <c r="F1629" s="13" t="s">
        <v>462</v>
      </c>
      <c r="G1629" s="13" t="s">
        <v>1500</v>
      </c>
      <c r="K1629" t="s">
        <v>413</v>
      </c>
      <c r="L1629" s="81">
        <f>+Municipios!U526</f>
        <v>32.279641280401968</v>
      </c>
      <c r="M1629" s="13">
        <v>25320</v>
      </c>
      <c r="N1629" s="13" t="s">
        <v>1499</v>
      </c>
      <c r="O1629" s="13" t="s">
        <v>461</v>
      </c>
      <c r="P1629" s="13" t="s">
        <v>462</v>
      </c>
      <c r="Q1629" s="13" t="s">
        <v>1500</v>
      </c>
      <c r="T1629" t="s">
        <v>2804</v>
      </c>
      <c r="U1629" s="25">
        <f>+Municipios!P526</f>
        <v>65.37815909967955</v>
      </c>
      <c r="V1629" s="13">
        <v>25320</v>
      </c>
      <c r="W1629" s="13" t="s">
        <v>1499</v>
      </c>
      <c r="X1629" s="13" t="s">
        <v>461</v>
      </c>
      <c r="Y1629" s="13" t="s">
        <v>462</v>
      </c>
      <c r="Z1629" s="13" t="s">
        <v>1500</v>
      </c>
    </row>
    <row r="1630" spans="1:26">
      <c r="A1630" t="s">
        <v>412</v>
      </c>
      <c r="B1630" s="25">
        <f>+Municipios!P527</f>
        <v>51.571874792500637</v>
      </c>
      <c r="C1630" s="13">
        <v>52835</v>
      </c>
      <c r="D1630" s="13" t="s">
        <v>1501</v>
      </c>
      <c r="E1630" s="13" t="s">
        <v>672</v>
      </c>
      <c r="F1630" s="13" t="s">
        <v>673</v>
      </c>
      <c r="G1630" s="13" t="s">
        <v>1502</v>
      </c>
      <c r="K1630" t="s">
        <v>413</v>
      </c>
      <c r="L1630" s="81">
        <f>+Municipios!U527</f>
        <v>26.565320620171565</v>
      </c>
      <c r="M1630" s="13">
        <v>52835</v>
      </c>
      <c r="N1630" s="13" t="s">
        <v>1501</v>
      </c>
      <c r="O1630" s="13" t="s">
        <v>672</v>
      </c>
      <c r="P1630" s="13" t="s">
        <v>673</v>
      </c>
      <c r="Q1630" s="13" t="s">
        <v>1502</v>
      </c>
      <c r="T1630" t="s">
        <v>2804</v>
      </c>
      <c r="U1630" s="25">
        <f>+Municipios!P527</f>
        <v>51.571874792500637</v>
      </c>
      <c r="V1630" s="13">
        <v>52835</v>
      </c>
      <c r="W1630" s="13" t="s">
        <v>1501</v>
      </c>
      <c r="X1630" s="13" t="s">
        <v>672</v>
      </c>
      <c r="Y1630" s="13" t="s">
        <v>673</v>
      </c>
      <c r="Z1630" s="13" t="s">
        <v>1502</v>
      </c>
    </row>
    <row r="1631" spans="1:26">
      <c r="A1631" t="s">
        <v>412</v>
      </c>
      <c r="B1631" s="25">
        <f>+Municipios!P528</f>
        <v>69.972075596955207</v>
      </c>
      <c r="C1631" s="13">
        <v>15837</v>
      </c>
      <c r="D1631" s="13" t="s">
        <v>1503</v>
      </c>
      <c r="E1631" s="13" t="s">
        <v>498</v>
      </c>
      <c r="F1631" s="13" t="s">
        <v>499</v>
      </c>
      <c r="G1631" s="13" t="s">
        <v>1504</v>
      </c>
      <c r="K1631" t="s">
        <v>413</v>
      </c>
      <c r="L1631" s="81">
        <f>+Municipios!U528</f>
        <v>35.37796093522708</v>
      </c>
      <c r="M1631" s="13">
        <v>15837</v>
      </c>
      <c r="N1631" s="13" t="s">
        <v>1503</v>
      </c>
      <c r="O1631" s="13" t="s">
        <v>498</v>
      </c>
      <c r="P1631" s="13" t="s">
        <v>499</v>
      </c>
      <c r="Q1631" s="13" t="s">
        <v>1504</v>
      </c>
      <c r="T1631" t="s">
        <v>2804</v>
      </c>
      <c r="U1631" s="25">
        <f>+Municipios!P528</f>
        <v>69.972075596955207</v>
      </c>
      <c r="V1631" s="13">
        <v>15837</v>
      </c>
      <c r="W1631" s="13" t="s">
        <v>1503</v>
      </c>
      <c r="X1631" s="13" t="s">
        <v>498</v>
      </c>
      <c r="Y1631" s="13" t="s">
        <v>499</v>
      </c>
      <c r="Z1631" s="13" t="s">
        <v>1504</v>
      </c>
    </row>
    <row r="1632" spans="1:26">
      <c r="A1632" t="s">
        <v>412</v>
      </c>
      <c r="B1632" s="25">
        <f>+Municipios!P529</f>
        <v>58.905158119681232</v>
      </c>
      <c r="C1632" s="13">
        <v>44855</v>
      </c>
      <c r="D1632" s="13" t="s">
        <v>1505</v>
      </c>
      <c r="E1632" s="13" t="s">
        <v>933</v>
      </c>
      <c r="F1632" s="13" t="s">
        <v>934</v>
      </c>
      <c r="G1632" s="13" t="s">
        <v>1506</v>
      </c>
      <c r="K1632" t="s">
        <v>413</v>
      </c>
      <c r="L1632" s="81">
        <f>+Municipios!U529</f>
        <v>29.885741772722152</v>
      </c>
      <c r="M1632" s="13">
        <v>44855</v>
      </c>
      <c r="N1632" s="13" t="s">
        <v>1505</v>
      </c>
      <c r="O1632" s="13" t="s">
        <v>933</v>
      </c>
      <c r="P1632" s="13" t="s">
        <v>934</v>
      </c>
      <c r="Q1632" s="13" t="s">
        <v>1506</v>
      </c>
      <c r="T1632" t="s">
        <v>2804</v>
      </c>
      <c r="U1632" s="25">
        <f>+Municipios!P529</f>
        <v>58.905158119681232</v>
      </c>
      <c r="V1632" s="13">
        <v>44855</v>
      </c>
      <c r="W1632" s="13" t="s">
        <v>1505</v>
      </c>
      <c r="X1632" s="13" t="s">
        <v>933</v>
      </c>
      <c r="Y1632" s="13" t="s">
        <v>934</v>
      </c>
      <c r="Z1632" s="13" t="s">
        <v>1506</v>
      </c>
    </row>
    <row r="1633" spans="1:26">
      <c r="A1633" t="s">
        <v>412</v>
      </c>
      <c r="B1633" s="25">
        <f>+Municipios!P530</f>
        <v>63.769175367196837</v>
      </c>
      <c r="C1633" s="13">
        <v>17013</v>
      </c>
      <c r="D1633" s="13" t="s">
        <v>1507</v>
      </c>
      <c r="E1633" s="13" t="s">
        <v>506</v>
      </c>
      <c r="F1633" s="13" t="s">
        <v>507</v>
      </c>
      <c r="G1633" s="13" t="s">
        <v>1508</v>
      </c>
      <c r="K1633" t="s">
        <v>413</v>
      </c>
      <c r="L1633" s="81">
        <f>+Municipios!U530</f>
        <v>32.703363301888601</v>
      </c>
      <c r="M1633" s="13">
        <v>17013</v>
      </c>
      <c r="N1633" s="13" t="s">
        <v>1507</v>
      </c>
      <c r="O1633" s="13" t="s">
        <v>506</v>
      </c>
      <c r="P1633" s="13" t="s">
        <v>507</v>
      </c>
      <c r="Q1633" s="13" t="s">
        <v>1508</v>
      </c>
      <c r="T1633" t="s">
        <v>2804</v>
      </c>
      <c r="U1633" s="25">
        <f>+Municipios!P530</f>
        <v>63.769175367196837</v>
      </c>
      <c r="V1633" s="13">
        <v>17013</v>
      </c>
      <c r="W1633" s="13" t="s">
        <v>1507</v>
      </c>
      <c r="X1633" s="13" t="s">
        <v>506</v>
      </c>
      <c r="Y1633" s="13" t="s">
        <v>507</v>
      </c>
      <c r="Z1633" s="13" t="s">
        <v>1508</v>
      </c>
    </row>
    <row r="1634" spans="1:26">
      <c r="A1634" t="s">
        <v>412</v>
      </c>
      <c r="B1634" s="25">
        <f>+Municipios!P531</f>
        <v>60.449331815942429</v>
      </c>
      <c r="C1634" s="13">
        <v>68324</v>
      </c>
      <c r="D1634" s="13" t="s">
        <v>1509</v>
      </c>
      <c r="E1634" s="13" t="s">
        <v>431</v>
      </c>
      <c r="F1634" s="13" t="s">
        <v>432</v>
      </c>
      <c r="G1634" s="13" t="s">
        <v>1510</v>
      </c>
      <c r="K1634" t="s">
        <v>413</v>
      </c>
      <c r="L1634" s="81">
        <f>+Municipios!U531</f>
        <v>30.799914820244478</v>
      </c>
      <c r="M1634" s="13">
        <v>68324</v>
      </c>
      <c r="N1634" s="13" t="s">
        <v>1509</v>
      </c>
      <c r="O1634" s="13" t="s">
        <v>431</v>
      </c>
      <c r="P1634" s="13" t="s">
        <v>432</v>
      </c>
      <c r="Q1634" s="13" t="s">
        <v>1510</v>
      </c>
      <c r="T1634" t="s">
        <v>2804</v>
      </c>
      <c r="U1634" s="25">
        <f>+Municipios!P531</f>
        <v>60.449331815942429</v>
      </c>
      <c r="V1634" s="13">
        <v>68324</v>
      </c>
      <c r="W1634" s="13" t="s">
        <v>1509</v>
      </c>
      <c r="X1634" s="13" t="s">
        <v>431</v>
      </c>
      <c r="Y1634" s="13" t="s">
        <v>432</v>
      </c>
      <c r="Z1634" s="13" t="s">
        <v>1510</v>
      </c>
    </row>
    <row r="1635" spans="1:26">
      <c r="A1635" t="s">
        <v>412</v>
      </c>
      <c r="B1635" s="25">
        <f>+Municipios!P532</f>
        <v>48.930972147435</v>
      </c>
      <c r="C1635" s="13">
        <v>47692</v>
      </c>
      <c r="D1635" s="13" t="s">
        <v>1511</v>
      </c>
      <c r="E1635" s="13" t="s">
        <v>638</v>
      </c>
      <c r="F1635" s="13" t="s">
        <v>639</v>
      </c>
      <c r="G1635" s="13" t="s">
        <v>1512</v>
      </c>
      <c r="K1635" t="s">
        <v>413</v>
      </c>
      <c r="L1635" s="81">
        <f>+Municipios!U532</f>
        <v>25.046213430507422</v>
      </c>
      <c r="M1635" s="13">
        <v>47692</v>
      </c>
      <c r="N1635" s="13" t="s">
        <v>1511</v>
      </c>
      <c r="O1635" s="13" t="s">
        <v>638</v>
      </c>
      <c r="P1635" s="13" t="s">
        <v>639</v>
      </c>
      <c r="Q1635" s="13" t="s">
        <v>1512</v>
      </c>
      <c r="T1635" t="s">
        <v>2804</v>
      </c>
      <c r="U1635" s="25">
        <f>+Municipios!P532</f>
        <v>48.930972147435</v>
      </c>
      <c r="V1635" s="13">
        <v>47692</v>
      </c>
      <c r="W1635" s="13" t="s">
        <v>1511</v>
      </c>
      <c r="X1635" s="13" t="s">
        <v>638</v>
      </c>
      <c r="Y1635" s="13" t="s">
        <v>639</v>
      </c>
      <c r="Z1635" s="13" t="s">
        <v>1512</v>
      </c>
    </row>
    <row r="1636" spans="1:26">
      <c r="A1636" t="s">
        <v>412</v>
      </c>
      <c r="B1636" s="25">
        <f>+Municipios!P533</f>
        <v>48.970303039246403</v>
      </c>
      <c r="C1636" s="13">
        <v>52254</v>
      </c>
      <c r="D1636" s="13" t="s">
        <v>1513</v>
      </c>
      <c r="E1636" s="13" t="s">
        <v>672</v>
      </c>
      <c r="F1636" s="13" t="s">
        <v>673</v>
      </c>
      <c r="G1636" s="13" t="s">
        <v>1514</v>
      </c>
      <c r="K1636" t="s">
        <v>413</v>
      </c>
      <c r="L1636" s="81">
        <f>+Municipios!U533</f>
        <v>25.068944052150179</v>
      </c>
      <c r="M1636" s="13">
        <v>52254</v>
      </c>
      <c r="N1636" s="13" t="s">
        <v>1513</v>
      </c>
      <c r="O1636" s="13" t="s">
        <v>672</v>
      </c>
      <c r="P1636" s="13" t="s">
        <v>673</v>
      </c>
      <c r="Q1636" s="13" t="s">
        <v>1514</v>
      </c>
      <c r="T1636" t="s">
        <v>2804</v>
      </c>
      <c r="U1636" s="25">
        <f>+Municipios!P533</f>
        <v>48.970303039246403</v>
      </c>
      <c r="V1636" s="13">
        <v>52254</v>
      </c>
      <c r="W1636" s="13" t="s">
        <v>1513</v>
      </c>
      <c r="X1636" s="13" t="s">
        <v>672</v>
      </c>
      <c r="Y1636" s="13" t="s">
        <v>673</v>
      </c>
      <c r="Z1636" s="13" t="s">
        <v>1514</v>
      </c>
    </row>
    <row r="1637" spans="1:26">
      <c r="A1637" t="s">
        <v>412</v>
      </c>
      <c r="B1637" s="25">
        <f>+Municipios!P534</f>
        <v>55.591974731443976</v>
      </c>
      <c r="C1637" s="13">
        <v>15500</v>
      </c>
      <c r="D1637" s="13" t="s">
        <v>1515</v>
      </c>
      <c r="E1637" s="13" t="s">
        <v>498</v>
      </c>
      <c r="F1637" s="13" t="s">
        <v>499</v>
      </c>
      <c r="G1637" s="13" t="s">
        <v>1516</v>
      </c>
      <c r="K1637" t="s">
        <v>413</v>
      </c>
      <c r="L1637" s="81">
        <f>+Municipios!U534</f>
        <v>28.235926185650214</v>
      </c>
      <c r="M1637" s="13">
        <v>15500</v>
      </c>
      <c r="N1637" s="13" t="s">
        <v>1515</v>
      </c>
      <c r="O1637" s="13" t="s">
        <v>498</v>
      </c>
      <c r="P1637" s="13" t="s">
        <v>499</v>
      </c>
      <c r="Q1637" s="13" t="s">
        <v>1516</v>
      </c>
      <c r="T1637" t="s">
        <v>2804</v>
      </c>
      <c r="U1637" s="25">
        <f>+Municipios!P534</f>
        <v>55.591974731443976</v>
      </c>
      <c r="V1637" s="13">
        <v>15500</v>
      </c>
      <c r="W1637" s="13" t="s">
        <v>1515</v>
      </c>
      <c r="X1637" s="13" t="s">
        <v>498</v>
      </c>
      <c r="Y1637" s="13" t="s">
        <v>499</v>
      </c>
      <c r="Z1637" s="13" t="s">
        <v>1516</v>
      </c>
    </row>
    <row r="1638" spans="1:26">
      <c r="A1638" t="s">
        <v>412</v>
      </c>
      <c r="B1638" s="25">
        <f>+Municipios!P535</f>
        <v>51.006735765782544</v>
      </c>
      <c r="C1638" s="13">
        <v>5125</v>
      </c>
      <c r="D1638" s="13" t="s">
        <v>1517</v>
      </c>
      <c r="E1638" s="13" t="s">
        <v>435</v>
      </c>
      <c r="F1638" s="13" t="s">
        <v>436</v>
      </c>
      <c r="G1638" s="13" t="s">
        <v>1518</v>
      </c>
      <c r="K1638" t="s">
        <v>413</v>
      </c>
      <c r="L1638" s="81">
        <f>+Municipios!U535</f>
        <v>26.419322255680548</v>
      </c>
      <c r="M1638" s="13">
        <v>5125</v>
      </c>
      <c r="N1638" s="13" t="s">
        <v>1517</v>
      </c>
      <c r="O1638" s="13" t="s">
        <v>435</v>
      </c>
      <c r="P1638" s="13" t="s">
        <v>436</v>
      </c>
      <c r="Q1638" s="13" t="s">
        <v>1518</v>
      </c>
      <c r="T1638" t="s">
        <v>2804</v>
      </c>
      <c r="U1638" s="25">
        <f>+Municipios!P535</f>
        <v>51.006735765782544</v>
      </c>
      <c r="V1638" s="13">
        <v>5125</v>
      </c>
      <c r="W1638" s="13" t="s">
        <v>1517</v>
      </c>
      <c r="X1638" s="13" t="s">
        <v>435</v>
      </c>
      <c r="Y1638" s="13" t="s">
        <v>436</v>
      </c>
      <c r="Z1638" s="13" t="s">
        <v>1518</v>
      </c>
    </row>
    <row r="1639" spans="1:26">
      <c r="A1639" t="s">
        <v>412</v>
      </c>
      <c r="B1639" s="25">
        <f>+Municipios!P536</f>
        <v>49.494392253346874</v>
      </c>
      <c r="C1639" s="13">
        <v>5665</v>
      </c>
      <c r="D1639" s="13" t="s">
        <v>1519</v>
      </c>
      <c r="E1639" s="13" t="s">
        <v>435</v>
      </c>
      <c r="F1639" s="13" t="s">
        <v>436</v>
      </c>
      <c r="G1639" s="13" t="s">
        <v>1520</v>
      </c>
      <c r="K1639" t="s">
        <v>413</v>
      </c>
      <c r="L1639" s="81">
        <f>+Municipios!U536</f>
        <v>25.307387947841583</v>
      </c>
      <c r="M1639" s="13">
        <v>5665</v>
      </c>
      <c r="N1639" s="13" t="s">
        <v>1519</v>
      </c>
      <c r="O1639" s="13" t="s">
        <v>435</v>
      </c>
      <c r="P1639" s="13" t="s">
        <v>436</v>
      </c>
      <c r="Q1639" s="13" t="s">
        <v>1520</v>
      </c>
      <c r="T1639" t="s">
        <v>2804</v>
      </c>
      <c r="U1639" s="25">
        <f>+Municipios!P536</f>
        <v>49.494392253346874</v>
      </c>
      <c r="V1639" s="13">
        <v>5665</v>
      </c>
      <c r="W1639" s="13" t="s">
        <v>1519</v>
      </c>
      <c r="X1639" s="13" t="s">
        <v>435</v>
      </c>
      <c r="Y1639" s="13" t="s">
        <v>436</v>
      </c>
      <c r="Z1639" s="13" t="s">
        <v>1520</v>
      </c>
    </row>
    <row r="1640" spans="1:26">
      <c r="A1640" t="s">
        <v>412</v>
      </c>
      <c r="B1640" s="25">
        <f>+Municipios!P537</f>
        <v>53.812953045045703</v>
      </c>
      <c r="C1640" s="13">
        <v>15842</v>
      </c>
      <c r="D1640" s="13" t="s">
        <v>1521</v>
      </c>
      <c r="E1640" s="13" t="s">
        <v>498</v>
      </c>
      <c r="F1640" s="13" t="s">
        <v>499</v>
      </c>
      <c r="G1640" s="13" t="s">
        <v>1522</v>
      </c>
      <c r="K1640" t="s">
        <v>413</v>
      </c>
      <c r="L1640" s="81">
        <f>+Municipios!U537</f>
        <v>27.36888805552822</v>
      </c>
      <c r="M1640" s="13">
        <v>15842</v>
      </c>
      <c r="N1640" s="13" t="s">
        <v>1521</v>
      </c>
      <c r="O1640" s="13" t="s">
        <v>498</v>
      </c>
      <c r="P1640" s="13" t="s">
        <v>499</v>
      </c>
      <c r="Q1640" s="13" t="s">
        <v>1522</v>
      </c>
      <c r="T1640" t="s">
        <v>2804</v>
      </c>
      <c r="U1640" s="25">
        <f>+Municipios!P537</f>
        <v>53.812953045045703</v>
      </c>
      <c r="V1640" s="13">
        <v>15842</v>
      </c>
      <c r="W1640" s="13" t="s">
        <v>1521</v>
      </c>
      <c r="X1640" s="13" t="s">
        <v>498</v>
      </c>
      <c r="Y1640" s="13" t="s">
        <v>499</v>
      </c>
      <c r="Z1640" s="13" t="s">
        <v>1522</v>
      </c>
    </row>
    <row r="1641" spans="1:26">
      <c r="A1641" t="s">
        <v>412</v>
      </c>
      <c r="B1641" s="25">
        <f>+Municipios!P538</f>
        <v>53.513877799711651</v>
      </c>
      <c r="C1641" s="13">
        <v>15832</v>
      </c>
      <c r="D1641" s="13" t="s">
        <v>1523</v>
      </c>
      <c r="E1641" s="13" t="s">
        <v>498</v>
      </c>
      <c r="F1641" s="13" t="s">
        <v>499</v>
      </c>
      <c r="G1641" s="13" t="s">
        <v>1524</v>
      </c>
      <c r="K1641" t="s">
        <v>413</v>
      </c>
      <c r="L1641" s="81">
        <f>+Municipios!U538</f>
        <v>27.102683976567594</v>
      </c>
      <c r="M1641" s="13">
        <v>15832</v>
      </c>
      <c r="N1641" s="13" t="s">
        <v>1523</v>
      </c>
      <c r="O1641" s="13" t="s">
        <v>498</v>
      </c>
      <c r="P1641" s="13" t="s">
        <v>499</v>
      </c>
      <c r="Q1641" s="13" t="s">
        <v>1524</v>
      </c>
      <c r="T1641" t="s">
        <v>2804</v>
      </c>
      <c r="U1641" s="25">
        <f>+Municipios!P538</f>
        <v>53.513877799711651</v>
      </c>
      <c r="V1641" s="13">
        <v>15832</v>
      </c>
      <c r="W1641" s="13" t="s">
        <v>1523</v>
      </c>
      <c r="X1641" s="13" t="s">
        <v>498</v>
      </c>
      <c r="Y1641" s="13" t="s">
        <v>499</v>
      </c>
      <c r="Z1641" s="13" t="s">
        <v>1524</v>
      </c>
    </row>
    <row r="1642" spans="1:26">
      <c r="A1642" t="s">
        <v>412</v>
      </c>
      <c r="B1642" s="25">
        <f>+Municipios!P539</f>
        <v>47.691874486590144</v>
      </c>
      <c r="C1642" s="13">
        <v>5667</v>
      </c>
      <c r="D1642" s="13" t="s">
        <v>1525</v>
      </c>
      <c r="E1642" s="13" t="s">
        <v>435</v>
      </c>
      <c r="F1642" s="13" t="s">
        <v>436</v>
      </c>
      <c r="G1642" s="13" t="s">
        <v>1526</v>
      </c>
      <c r="K1642" t="s">
        <v>413</v>
      </c>
      <c r="L1642" s="81">
        <f>+Municipios!U539</f>
        <v>24.666696484656573</v>
      </c>
      <c r="M1642" s="13">
        <v>5667</v>
      </c>
      <c r="N1642" s="13" t="s">
        <v>1525</v>
      </c>
      <c r="O1642" s="13" t="s">
        <v>435</v>
      </c>
      <c r="P1642" s="13" t="s">
        <v>436</v>
      </c>
      <c r="Q1642" s="13" t="s">
        <v>1526</v>
      </c>
      <c r="T1642" t="s">
        <v>2804</v>
      </c>
      <c r="U1642" s="25">
        <f>+Municipios!P539</f>
        <v>47.691874486590144</v>
      </c>
      <c r="V1642" s="13">
        <v>5667</v>
      </c>
      <c r="W1642" s="13" t="s">
        <v>1525</v>
      </c>
      <c r="X1642" s="13" t="s">
        <v>435</v>
      </c>
      <c r="Y1642" s="13" t="s">
        <v>436</v>
      </c>
      <c r="Z1642" s="13" t="s">
        <v>1526</v>
      </c>
    </row>
    <row r="1643" spans="1:26">
      <c r="A1643" t="s">
        <v>412</v>
      </c>
      <c r="B1643" s="25">
        <f>+Municipios!P540</f>
        <v>59.096423674916991</v>
      </c>
      <c r="C1643" s="13">
        <v>76250</v>
      </c>
      <c r="D1643" s="13" t="s">
        <v>1527</v>
      </c>
      <c r="E1643" s="13" t="s">
        <v>454</v>
      </c>
      <c r="F1643" s="13" t="s">
        <v>455</v>
      </c>
      <c r="G1643" s="13" t="s">
        <v>1528</v>
      </c>
      <c r="K1643" t="s">
        <v>413</v>
      </c>
      <c r="L1643" s="81">
        <f>+Municipios!U540</f>
        <v>30.046976333996348</v>
      </c>
      <c r="M1643" s="13">
        <v>76250</v>
      </c>
      <c r="N1643" s="13" t="s">
        <v>1527</v>
      </c>
      <c r="O1643" s="13" t="s">
        <v>454</v>
      </c>
      <c r="P1643" s="13" t="s">
        <v>455</v>
      </c>
      <c r="Q1643" s="13" t="s">
        <v>1528</v>
      </c>
      <c r="T1643" t="s">
        <v>2804</v>
      </c>
      <c r="U1643" s="25">
        <f>+Municipios!P540</f>
        <v>59.096423674916991</v>
      </c>
      <c r="V1643" s="13">
        <v>76250</v>
      </c>
      <c r="W1643" s="13" t="s">
        <v>1527</v>
      </c>
      <c r="X1643" s="13" t="s">
        <v>454</v>
      </c>
      <c r="Y1643" s="13" t="s">
        <v>455</v>
      </c>
      <c r="Z1643" s="13" t="s">
        <v>1528</v>
      </c>
    </row>
    <row r="1644" spans="1:26">
      <c r="A1644" t="s">
        <v>412</v>
      </c>
      <c r="B1644" s="25">
        <f>+Municipios!P541</f>
        <v>53.063046942887496</v>
      </c>
      <c r="C1644" s="13">
        <v>25394</v>
      </c>
      <c r="D1644" s="13" t="s">
        <v>1529</v>
      </c>
      <c r="E1644" s="13" t="s">
        <v>461</v>
      </c>
      <c r="F1644" s="13" t="s">
        <v>462</v>
      </c>
      <c r="G1644" s="13" t="s">
        <v>1530</v>
      </c>
      <c r="K1644" t="s">
        <v>413</v>
      </c>
      <c r="L1644" s="81">
        <f>+Municipios!U541</f>
        <v>26.667586689611749</v>
      </c>
      <c r="M1644" s="13">
        <v>25394</v>
      </c>
      <c r="N1644" s="13" t="s">
        <v>1529</v>
      </c>
      <c r="O1644" s="13" t="s">
        <v>461</v>
      </c>
      <c r="P1644" s="13" t="s">
        <v>462</v>
      </c>
      <c r="Q1644" s="13" t="s">
        <v>1530</v>
      </c>
      <c r="T1644" t="s">
        <v>2804</v>
      </c>
      <c r="U1644" s="25">
        <f>+Municipios!P541</f>
        <v>53.063046942887496</v>
      </c>
      <c r="V1644" s="13">
        <v>25394</v>
      </c>
      <c r="W1644" s="13" t="s">
        <v>1529</v>
      </c>
      <c r="X1644" s="13" t="s">
        <v>461</v>
      </c>
      <c r="Y1644" s="13" t="s">
        <v>462</v>
      </c>
      <c r="Z1644" s="13" t="s">
        <v>1530</v>
      </c>
    </row>
    <row r="1645" spans="1:26">
      <c r="A1645" t="s">
        <v>412</v>
      </c>
      <c r="B1645" s="25">
        <f>+Municipios!P542</f>
        <v>60.647263071271993</v>
      </c>
      <c r="C1645" s="13">
        <v>25535</v>
      </c>
      <c r="D1645" s="13" t="s">
        <v>1531</v>
      </c>
      <c r="E1645" s="13" t="s">
        <v>461</v>
      </c>
      <c r="F1645" s="13" t="s">
        <v>462</v>
      </c>
      <c r="G1645" s="13" t="s">
        <v>1532</v>
      </c>
      <c r="K1645" t="s">
        <v>413</v>
      </c>
      <c r="L1645" s="81">
        <f>+Municipios!U542</f>
        <v>30.305924659360976</v>
      </c>
      <c r="M1645" s="13">
        <v>25535</v>
      </c>
      <c r="N1645" s="13" t="s">
        <v>1531</v>
      </c>
      <c r="O1645" s="13" t="s">
        <v>461</v>
      </c>
      <c r="P1645" s="13" t="s">
        <v>462</v>
      </c>
      <c r="Q1645" s="13" t="s">
        <v>1532</v>
      </c>
      <c r="T1645" t="s">
        <v>2804</v>
      </c>
      <c r="U1645" s="25">
        <f>+Municipios!P542</f>
        <v>60.647263071271993</v>
      </c>
      <c r="V1645" s="13">
        <v>25535</v>
      </c>
      <c r="W1645" s="13" t="s">
        <v>1531</v>
      </c>
      <c r="X1645" s="13" t="s">
        <v>461</v>
      </c>
      <c r="Y1645" s="13" t="s">
        <v>462</v>
      </c>
      <c r="Z1645" s="13" t="s">
        <v>1532</v>
      </c>
    </row>
    <row r="1646" spans="1:26">
      <c r="A1646" t="s">
        <v>412</v>
      </c>
      <c r="B1646" s="25">
        <f>+Municipios!P543</f>
        <v>44.576394326851705</v>
      </c>
      <c r="C1646" s="13">
        <v>73124</v>
      </c>
      <c r="D1646" s="13" t="s">
        <v>1533</v>
      </c>
      <c r="E1646" s="13" t="s">
        <v>595</v>
      </c>
      <c r="F1646" s="13" t="s">
        <v>596</v>
      </c>
      <c r="G1646" s="13" t="s">
        <v>1534</v>
      </c>
      <c r="K1646" t="s">
        <v>413</v>
      </c>
      <c r="L1646" s="81">
        <f>+Municipios!U543</f>
        <v>22.391797027073075</v>
      </c>
      <c r="M1646" s="13">
        <v>73124</v>
      </c>
      <c r="N1646" s="13" t="s">
        <v>1533</v>
      </c>
      <c r="O1646" s="13" t="s">
        <v>595</v>
      </c>
      <c r="P1646" s="13" t="s">
        <v>596</v>
      </c>
      <c r="Q1646" s="13" t="s">
        <v>1534</v>
      </c>
      <c r="T1646" t="s">
        <v>2804</v>
      </c>
      <c r="U1646" s="25">
        <f>+Municipios!P543</f>
        <v>44.576394326851705</v>
      </c>
      <c r="V1646" s="13">
        <v>73124</v>
      </c>
      <c r="W1646" s="13" t="s">
        <v>1533</v>
      </c>
      <c r="X1646" s="13" t="s">
        <v>595</v>
      </c>
      <c r="Y1646" s="13" t="s">
        <v>596</v>
      </c>
      <c r="Z1646" s="13" t="s">
        <v>1534</v>
      </c>
    </row>
    <row r="1647" spans="1:26">
      <c r="A1647" t="s">
        <v>412</v>
      </c>
      <c r="B1647" s="25">
        <f>+Municipios!P544</f>
        <v>43.455805179981994</v>
      </c>
      <c r="C1647" s="13">
        <v>68132</v>
      </c>
      <c r="D1647" s="13" t="s">
        <v>1535</v>
      </c>
      <c r="E1647" s="13" t="s">
        <v>431</v>
      </c>
      <c r="F1647" s="13" t="s">
        <v>432</v>
      </c>
      <c r="G1647" s="13" t="s">
        <v>1536</v>
      </c>
      <c r="K1647" t="s">
        <v>413</v>
      </c>
      <c r="L1647" s="81">
        <f>+Municipios!U544</f>
        <v>22.481567024545097</v>
      </c>
      <c r="M1647" s="13">
        <v>68132</v>
      </c>
      <c r="N1647" s="13" t="s">
        <v>1535</v>
      </c>
      <c r="O1647" s="13" t="s">
        <v>431</v>
      </c>
      <c r="P1647" s="13" t="s">
        <v>432</v>
      </c>
      <c r="Q1647" s="13" t="s">
        <v>1536</v>
      </c>
      <c r="T1647" t="s">
        <v>2804</v>
      </c>
      <c r="U1647" s="25">
        <f>+Municipios!P544</f>
        <v>43.455805179981994</v>
      </c>
      <c r="V1647" s="13">
        <v>68132</v>
      </c>
      <c r="W1647" s="13" t="s">
        <v>1535</v>
      </c>
      <c r="X1647" s="13" t="s">
        <v>431</v>
      </c>
      <c r="Y1647" s="13" t="s">
        <v>432</v>
      </c>
      <c r="Z1647" s="13" t="s">
        <v>1536</v>
      </c>
    </row>
    <row r="1648" spans="1:26">
      <c r="A1648" t="s">
        <v>412</v>
      </c>
      <c r="B1648" s="25">
        <f>+Municipios!P545</f>
        <v>48.227231445426753</v>
      </c>
      <c r="C1648" s="13">
        <v>68673</v>
      </c>
      <c r="D1648" s="13" t="s">
        <v>1537</v>
      </c>
      <c r="E1648" s="13" t="s">
        <v>431</v>
      </c>
      <c r="F1648" s="13" t="s">
        <v>432</v>
      </c>
      <c r="G1648" s="13" t="s">
        <v>1538</v>
      </c>
      <c r="K1648" t="s">
        <v>413</v>
      </c>
      <c r="L1648" s="81">
        <f>+Municipios!U545</f>
        <v>24.345546855585535</v>
      </c>
      <c r="M1648" s="13">
        <v>68673</v>
      </c>
      <c r="N1648" s="13" t="s">
        <v>1537</v>
      </c>
      <c r="O1648" s="13" t="s">
        <v>431</v>
      </c>
      <c r="P1648" s="13" t="s">
        <v>432</v>
      </c>
      <c r="Q1648" s="13" t="s">
        <v>1538</v>
      </c>
      <c r="T1648" t="s">
        <v>2804</v>
      </c>
      <c r="U1648" s="25">
        <f>+Municipios!P545</f>
        <v>48.227231445426753</v>
      </c>
      <c r="V1648" s="13">
        <v>68673</v>
      </c>
      <c r="W1648" s="13" t="s">
        <v>1537</v>
      </c>
      <c r="X1648" s="13" t="s">
        <v>431</v>
      </c>
      <c r="Y1648" s="13" t="s">
        <v>432</v>
      </c>
      <c r="Z1648" s="13" t="s">
        <v>1538</v>
      </c>
    </row>
    <row r="1649" spans="1:26">
      <c r="A1649" t="s">
        <v>412</v>
      </c>
      <c r="B1649" s="25">
        <f>+Municipios!P546</f>
        <v>61.351054652644478</v>
      </c>
      <c r="C1649" s="13">
        <v>20295</v>
      </c>
      <c r="D1649" s="13" t="s">
        <v>1539</v>
      </c>
      <c r="E1649" s="13" t="s">
        <v>893</v>
      </c>
      <c r="F1649" s="13" t="s">
        <v>894</v>
      </c>
      <c r="G1649" s="13" t="s">
        <v>1540</v>
      </c>
      <c r="K1649" t="s">
        <v>413</v>
      </c>
      <c r="L1649" s="81">
        <f>+Municipios!U546</f>
        <v>30.987883760502022</v>
      </c>
      <c r="M1649" s="13">
        <v>20295</v>
      </c>
      <c r="N1649" s="13" t="s">
        <v>1539</v>
      </c>
      <c r="O1649" s="13" t="s">
        <v>893</v>
      </c>
      <c r="P1649" s="13" t="s">
        <v>894</v>
      </c>
      <c r="Q1649" s="13" t="s">
        <v>1540</v>
      </c>
      <c r="T1649" t="s">
        <v>2804</v>
      </c>
      <c r="U1649" s="25">
        <f>+Municipios!P546</f>
        <v>61.351054652644478</v>
      </c>
      <c r="V1649" s="13">
        <v>20295</v>
      </c>
      <c r="W1649" s="13" t="s">
        <v>1539</v>
      </c>
      <c r="X1649" s="13" t="s">
        <v>893</v>
      </c>
      <c r="Y1649" s="13" t="s">
        <v>894</v>
      </c>
      <c r="Z1649" s="13" t="s">
        <v>1540</v>
      </c>
    </row>
    <row r="1650" spans="1:26">
      <c r="A1650" t="s">
        <v>412</v>
      </c>
      <c r="B1650" s="25">
        <f>+Municipios!P547</f>
        <v>53.208460861499901</v>
      </c>
      <c r="C1650" s="13">
        <v>41306</v>
      </c>
      <c r="D1650" s="13" t="s">
        <v>1541</v>
      </c>
      <c r="E1650" s="13" t="s">
        <v>676</v>
      </c>
      <c r="F1650" s="13" t="s">
        <v>677</v>
      </c>
      <c r="G1650" s="13" t="s">
        <v>1542</v>
      </c>
      <c r="K1650" t="s">
        <v>413</v>
      </c>
      <c r="L1650" s="81">
        <f>+Municipios!U547</f>
        <v>26.75466718947132</v>
      </c>
      <c r="M1650" s="13">
        <v>41306</v>
      </c>
      <c r="N1650" s="13" t="s">
        <v>1541</v>
      </c>
      <c r="O1650" s="13" t="s">
        <v>676</v>
      </c>
      <c r="P1650" s="13" t="s">
        <v>677</v>
      </c>
      <c r="Q1650" s="13" t="s">
        <v>1542</v>
      </c>
      <c r="T1650" t="s">
        <v>2804</v>
      </c>
      <c r="U1650" s="25">
        <f>+Municipios!P547</f>
        <v>53.208460861499901</v>
      </c>
      <c r="V1650" s="13">
        <v>41306</v>
      </c>
      <c r="W1650" s="13" t="s">
        <v>1541</v>
      </c>
      <c r="X1650" s="13" t="s">
        <v>676</v>
      </c>
      <c r="Y1650" s="13" t="s">
        <v>677</v>
      </c>
      <c r="Z1650" s="13" t="s">
        <v>1542</v>
      </c>
    </row>
    <row r="1651" spans="1:26">
      <c r="A1651" t="s">
        <v>412</v>
      </c>
      <c r="B1651" s="25">
        <f>+Municipios!P548</f>
        <v>49.054750592019012</v>
      </c>
      <c r="C1651" s="13">
        <v>5134</v>
      </c>
      <c r="D1651" s="13" t="s">
        <v>1543</v>
      </c>
      <c r="E1651" s="13" t="s">
        <v>435</v>
      </c>
      <c r="F1651" s="13" t="s">
        <v>436</v>
      </c>
      <c r="G1651" s="13" t="s">
        <v>1544</v>
      </c>
      <c r="K1651" t="s">
        <v>413</v>
      </c>
      <c r="L1651" s="81">
        <f>+Municipios!U548</f>
        <v>24.852920556062969</v>
      </c>
      <c r="M1651" s="13">
        <v>5134</v>
      </c>
      <c r="N1651" s="13" t="s">
        <v>1543</v>
      </c>
      <c r="O1651" s="13" t="s">
        <v>435</v>
      </c>
      <c r="P1651" s="13" t="s">
        <v>436</v>
      </c>
      <c r="Q1651" s="13" t="s">
        <v>1544</v>
      </c>
      <c r="T1651" t="s">
        <v>2804</v>
      </c>
      <c r="U1651" s="25">
        <f>+Municipios!P548</f>
        <v>49.054750592019012</v>
      </c>
      <c r="V1651" s="13">
        <v>5134</v>
      </c>
      <c r="W1651" s="13" t="s">
        <v>1543</v>
      </c>
      <c r="X1651" s="13" t="s">
        <v>435</v>
      </c>
      <c r="Y1651" s="13" t="s">
        <v>436</v>
      </c>
      <c r="Z1651" s="13" t="s">
        <v>1544</v>
      </c>
    </row>
    <row r="1652" spans="1:26">
      <c r="A1652" t="s">
        <v>412</v>
      </c>
      <c r="B1652" s="25">
        <f>+Municipios!P549</f>
        <v>53.600139605117477</v>
      </c>
      <c r="C1652" s="13">
        <v>41244</v>
      </c>
      <c r="D1652" s="13" t="s">
        <v>1545</v>
      </c>
      <c r="E1652" s="13" t="s">
        <v>676</v>
      </c>
      <c r="F1652" s="13" t="s">
        <v>677</v>
      </c>
      <c r="G1652" s="13" t="s">
        <v>1546</v>
      </c>
      <c r="K1652" t="s">
        <v>413</v>
      </c>
      <c r="L1652" s="81">
        <f>+Municipios!U549</f>
        <v>27.260066548699754</v>
      </c>
      <c r="M1652" s="13">
        <v>41244</v>
      </c>
      <c r="N1652" s="13" t="s">
        <v>1545</v>
      </c>
      <c r="O1652" s="13" t="s">
        <v>676</v>
      </c>
      <c r="P1652" s="13" t="s">
        <v>677</v>
      </c>
      <c r="Q1652" s="13" t="s">
        <v>1546</v>
      </c>
      <c r="T1652" t="s">
        <v>2804</v>
      </c>
      <c r="U1652" s="25">
        <f>+Municipios!P549</f>
        <v>53.600139605117477</v>
      </c>
      <c r="V1652" s="13">
        <v>41244</v>
      </c>
      <c r="W1652" s="13" t="s">
        <v>1545</v>
      </c>
      <c r="X1652" s="13" t="s">
        <v>676</v>
      </c>
      <c r="Y1652" s="13" t="s">
        <v>677</v>
      </c>
      <c r="Z1652" s="13" t="s">
        <v>1546</v>
      </c>
    </row>
    <row r="1653" spans="1:26">
      <c r="A1653" t="s">
        <v>412</v>
      </c>
      <c r="B1653" s="25">
        <f>+Municipios!P550</f>
        <v>56.792558507097006</v>
      </c>
      <c r="C1653" s="13">
        <v>5591</v>
      </c>
      <c r="D1653" s="13" t="s">
        <v>1547</v>
      </c>
      <c r="E1653" s="13" t="s">
        <v>435</v>
      </c>
      <c r="F1653" s="13" t="s">
        <v>436</v>
      </c>
      <c r="G1653" s="13" t="s">
        <v>1548</v>
      </c>
      <c r="K1653" t="s">
        <v>413</v>
      </c>
      <c r="L1653" s="81">
        <f>+Municipios!U550</f>
        <v>29.058463417806248</v>
      </c>
      <c r="M1653" s="13">
        <v>5591</v>
      </c>
      <c r="N1653" s="13" t="s">
        <v>1547</v>
      </c>
      <c r="O1653" s="13" t="s">
        <v>435</v>
      </c>
      <c r="P1653" s="13" t="s">
        <v>436</v>
      </c>
      <c r="Q1653" s="13" t="s">
        <v>1548</v>
      </c>
      <c r="T1653" t="s">
        <v>2804</v>
      </c>
      <c r="U1653" s="25">
        <f>+Municipios!P550</f>
        <v>56.792558507097006</v>
      </c>
      <c r="V1653" s="13">
        <v>5591</v>
      </c>
      <c r="W1653" s="13" t="s">
        <v>1547</v>
      </c>
      <c r="X1653" s="13" t="s">
        <v>435</v>
      </c>
      <c r="Y1653" s="13" t="s">
        <v>436</v>
      </c>
      <c r="Z1653" s="13" t="s">
        <v>1548</v>
      </c>
    </row>
    <row r="1654" spans="1:26">
      <c r="A1654" t="s">
        <v>412</v>
      </c>
      <c r="B1654" s="25">
        <f>+Municipios!P551</f>
        <v>51.488620625821639</v>
      </c>
      <c r="C1654" s="13">
        <v>5021</v>
      </c>
      <c r="D1654" s="13" t="s">
        <v>1549</v>
      </c>
      <c r="E1654" s="13" t="s">
        <v>435</v>
      </c>
      <c r="F1654" s="13" t="s">
        <v>436</v>
      </c>
      <c r="G1654" s="13" t="s">
        <v>1550</v>
      </c>
      <c r="K1654" t="s">
        <v>413</v>
      </c>
      <c r="L1654" s="81">
        <f>+Municipios!U551</f>
        <v>26.562163116403074</v>
      </c>
      <c r="M1654" s="13">
        <v>5021</v>
      </c>
      <c r="N1654" s="13" t="s">
        <v>1549</v>
      </c>
      <c r="O1654" s="13" t="s">
        <v>435</v>
      </c>
      <c r="P1654" s="13" t="s">
        <v>436</v>
      </c>
      <c r="Q1654" s="13" t="s">
        <v>1550</v>
      </c>
      <c r="T1654" t="s">
        <v>2804</v>
      </c>
      <c r="U1654" s="25">
        <f>+Municipios!P551</f>
        <v>51.488620625821639</v>
      </c>
      <c r="V1654" s="13">
        <v>5021</v>
      </c>
      <c r="W1654" s="13" t="s">
        <v>1549</v>
      </c>
      <c r="X1654" s="13" t="s">
        <v>435</v>
      </c>
      <c r="Y1654" s="13" t="s">
        <v>436</v>
      </c>
      <c r="Z1654" s="13" t="s">
        <v>1550</v>
      </c>
    </row>
    <row r="1655" spans="1:26">
      <c r="A1655" t="s">
        <v>412</v>
      </c>
      <c r="B1655" s="25">
        <f>+Municipios!P552</f>
        <v>59.422853969845143</v>
      </c>
      <c r="C1655" s="13">
        <v>25777</v>
      </c>
      <c r="D1655" s="13" t="s">
        <v>1551</v>
      </c>
      <c r="E1655" s="13" t="s">
        <v>461</v>
      </c>
      <c r="F1655" s="13" t="s">
        <v>462</v>
      </c>
      <c r="G1655" s="13" t="s">
        <v>1552</v>
      </c>
      <c r="K1655" t="s">
        <v>413</v>
      </c>
      <c r="L1655" s="81">
        <f>+Municipios!U552</f>
        <v>29.659550250641207</v>
      </c>
      <c r="M1655" s="13">
        <v>25777</v>
      </c>
      <c r="N1655" s="13" t="s">
        <v>1551</v>
      </c>
      <c r="O1655" s="13" t="s">
        <v>461</v>
      </c>
      <c r="P1655" s="13" t="s">
        <v>462</v>
      </c>
      <c r="Q1655" s="13" t="s">
        <v>1552</v>
      </c>
      <c r="T1655" t="s">
        <v>2804</v>
      </c>
      <c r="U1655" s="25">
        <f>+Municipios!P552</f>
        <v>59.422853969845143</v>
      </c>
      <c r="V1655" s="13">
        <v>25777</v>
      </c>
      <c r="W1655" s="13" t="s">
        <v>1551</v>
      </c>
      <c r="X1655" s="13" t="s">
        <v>461</v>
      </c>
      <c r="Y1655" s="13" t="s">
        <v>462</v>
      </c>
      <c r="Z1655" s="13" t="s">
        <v>1552</v>
      </c>
    </row>
    <row r="1656" spans="1:26">
      <c r="A1656" t="s">
        <v>412</v>
      </c>
      <c r="B1656" s="25">
        <f>+Municipios!P553</f>
        <v>56.022954199056784</v>
      </c>
      <c r="C1656" s="13">
        <v>13894</v>
      </c>
      <c r="D1656" s="13" t="s">
        <v>1553</v>
      </c>
      <c r="E1656" s="13" t="s">
        <v>480</v>
      </c>
      <c r="F1656" s="13" t="s">
        <v>481</v>
      </c>
      <c r="G1656" s="13" t="s">
        <v>1554</v>
      </c>
      <c r="K1656" t="s">
        <v>413</v>
      </c>
      <c r="L1656" s="81">
        <f>+Municipios!U553</f>
        <v>28.608112037332319</v>
      </c>
      <c r="M1656" s="13">
        <v>13894</v>
      </c>
      <c r="N1656" s="13" t="s">
        <v>1553</v>
      </c>
      <c r="O1656" s="13" t="s">
        <v>480</v>
      </c>
      <c r="P1656" s="13" t="s">
        <v>481</v>
      </c>
      <c r="Q1656" s="13" t="s">
        <v>1554</v>
      </c>
      <c r="T1656" t="s">
        <v>2804</v>
      </c>
      <c r="U1656" s="25">
        <f>+Municipios!P553</f>
        <v>56.022954199056784</v>
      </c>
      <c r="V1656" s="13">
        <v>13894</v>
      </c>
      <c r="W1656" s="13" t="s">
        <v>1553</v>
      </c>
      <c r="X1656" s="13" t="s">
        <v>480</v>
      </c>
      <c r="Y1656" s="13" t="s">
        <v>481</v>
      </c>
      <c r="Z1656" s="13" t="s">
        <v>1554</v>
      </c>
    </row>
    <row r="1657" spans="1:26">
      <c r="A1657" t="s">
        <v>412</v>
      </c>
      <c r="B1657" s="25">
        <f>+Municipios!P554</f>
        <v>58.053554889079422</v>
      </c>
      <c r="C1657" s="13">
        <v>5501</v>
      </c>
      <c r="D1657" s="13" t="s">
        <v>1555</v>
      </c>
      <c r="E1657" s="13" t="s">
        <v>435</v>
      </c>
      <c r="F1657" s="13" t="s">
        <v>436</v>
      </c>
      <c r="G1657" s="13" t="s">
        <v>1556</v>
      </c>
      <c r="K1657" t="s">
        <v>413</v>
      </c>
      <c r="L1657" s="81">
        <f>+Municipios!U554</f>
        <v>29.863438733199008</v>
      </c>
      <c r="M1657" s="13">
        <v>5501</v>
      </c>
      <c r="N1657" s="13" t="s">
        <v>1555</v>
      </c>
      <c r="O1657" s="13" t="s">
        <v>435</v>
      </c>
      <c r="P1657" s="13" t="s">
        <v>436</v>
      </c>
      <c r="Q1657" s="13" t="s">
        <v>1556</v>
      </c>
      <c r="T1657" t="s">
        <v>2804</v>
      </c>
      <c r="U1657" s="25">
        <f>+Municipios!P554</f>
        <v>58.053554889079422</v>
      </c>
      <c r="V1657" s="13">
        <v>5501</v>
      </c>
      <c r="W1657" s="13" t="s">
        <v>1555</v>
      </c>
      <c r="X1657" s="13" t="s">
        <v>435</v>
      </c>
      <c r="Y1657" s="13" t="s">
        <v>436</v>
      </c>
      <c r="Z1657" s="13" t="s">
        <v>1556</v>
      </c>
    </row>
    <row r="1658" spans="1:26">
      <c r="A1658" t="s">
        <v>412</v>
      </c>
      <c r="B1658" s="25">
        <f>+Municipios!P555</f>
        <v>57.229878339070183</v>
      </c>
      <c r="C1658" s="13">
        <v>52260</v>
      </c>
      <c r="D1658" s="13" t="s">
        <v>1557</v>
      </c>
      <c r="E1658" s="13" t="s">
        <v>672</v>
      </c>
      <c r="F1658" s="13" t="s">
        <v>673</v>
      </c>
      <c r="G1658" s="13" t="s">
        <v>1558</v>
      </c>
      <c r="K1658" t="s">
        <v>413</v>
      </c>
      <c r="L1658" s="81">
        <f>+Municipios!U555</f>
        <v>28.966983595429827</v>
      </c>
      <c r="M1658" s="13">
        <v>52260</v>
      </c>
      <c r="N1658" s="13" t="s">
        <v>1557</v>
      </c>
      <c r="O1658" s="13" t="s">
        <v>672</v>
      </c>
      <c r="P1658" s="13" t="s">
        <v>673</v>
      </c>
      <c r="Q1658" s="13" t="s">
        <v>1558</v>
      </c>
      <c r="T1658" t="s">
        <v>2804</v>
      </c>
      <c r="U1658" s="25">
        <f>+Municipios!P555</f>
        <v>57.229878339070183</v>
      </c>
      <c r="V1658" s="13">
        <v>52260</v>
      </c>
      <c r="W1658" s="13" t="s">
        <v>1557</v>
      </c>
      <c r="X1658" s="13" t="s">
        <v>672</v>
      </c>
      <c r="Y1658" s="13" t="s">
        <v>673</v>
      </c>
      <c r="Z1658" s="13" t="s">
        <v>1558</v>
      </c>
    </row>
    <row r="1659" spans="1:26">
      <c r="A1659" t="s">
        <v>412</v>
      </c>
      <c r="B1659" s="25">
        <f>+Municipios!P556</f>
        <v>51.72249091272765</v>
      </c>
      <c r="C1659" s="13">
        <v>25594</v>
      </c>
      <c r="D1659" s="13" t="s">
        <v>1559</v>
      </c>
      <c r="E1659" s="13" t="s">
        <v>461</v>
      </c>
      <c r="F1659" s="13" t="s">
        <v>462</v>
      </c>
      <c r="G1659" s="13" t="s">
        <v>1560</v>
      </c>
      <c r="K1659" t="s">
        <v>413</v>
      </c>
      <c r="L1659" s="81">
        <f>+Municipios!U556</f>
        <v>25.844213546281175</v>
      </c>
      <c r="M1659" s="13">
        <v>25594</v>
      </c>
      <c r="N1659" s="13" t="s">
        <v>1559</v>
      </c>
      <c r="O1659" s="13" t="s">
        <v>461</v>
      </c>
      <c r="P1659" s="13" t="s">
        <v>462</v>
      </c>
      <c r="Q1659" s="13" t="s">
        <v>1560</v>
      </c>
      <c r="T1659" t="s">
        <v>2804</v>
      </c>
      <c r="U1659" s="25">
        <f>+Municipios!P556</f>
        <v>51.72249091272765</v>
      </c>
      <c r="V1659" s="13">
        <v>25594</v>
      </c>
      <c r="W1659" s="13" t="s">
        <v>1559</v>
      </c>
      <c r="X1659" s="13" t="s">
        <v>461</v>
      </c>
      <c r="Y1659" s="13" t="s">
        <v>462</v>
      </c>
      <c r="Z1659" s="13" t="s">
        <v>1560</v>
      </c>
    </row>
    <row r="1660" spans="1:26">
      <c r="A1660" t="s">
        <v>412</v>
      </c>
      <c r="B1660" s="25">
        <f>+Municipios!P557</f>
        <v>62.817060457402491</v>
      </c>
      <c r="C1660" s="13">
        <v>41770</v>
      </c>
      <c r="D1660" s="13" t="s">
        <v>1561</v>
      </c>
      <c r="E1660" s="13" t="s">
        <v>676</v>
      </c>
      <c r="F1660" s="13" t="s">
        <v>677</v>
      </c>
      <c r="G1660" s="13" t="s">
        <v>1562</v>
      </c>
      <c r="K1660" t="s">
        <v>413</v>
      </c>
      <c r="L1660" s="81">
        <f>+Municipios!U557</f>
        <v>32.268686546011956</v>
      </c>
      <c r="M1660" s="13">
        <v>41770</v>
      </c>
      <c r="N1660" s="13" t="s">
        <v>1561</v>
      </c>
      <c r="O1660" s="13" t="s">
        <v>676</v>
      </c>
      <c r="P1660" s="13" t="s">
        <v>677</v>
      </c>
      <c r="Q1660" s="13" t="s">
        <v>1562</v>
      </c>
      <c r="T1660" t="s">
        <v>2804</v>
      </c>
      <c r="U1660" s="25">
        <f>+Municipios!P557</f>
        <v>62.817060457402491</v>
      </c>
      <c r="V1660" s="13">
        <v>41770</v>
      </c>
      <c r="W1660" s="13" t="s">
        <v>1561</v>
      </c>
      <c r="X1660" s="13" t="s">
        <v>676</v>
      </c>
      <c r="Y1660" s="13" t="s">
        <v>677</v>
      </c>
      <c r="Z1660" s="13" t="s">
        <v>1562</v>
      </c>
    </row>
    <row r="1661" spans="1:26">
      <c r="A1661" t="s">
        <v>412</v>
      </c>
      <c r="B1661" s="25">
        <f>+Municipios!P558</f>
        <v>46.161200031784162</v>
      </c>
      <c r="C1661" s="13">
        <v>54313</v>
      </c>
      <c r="D1661" s="13" t="s">
        <v>1563</v>
      </c>
      <c r="E1661" s="13" t="s">
        <v>517</v>
      </c>
      <c r="F1661" s="13" t="s">
        <v>518</v>
      </c>
      <c r="G1661" s="13" t="s">
        <v>1564</v>
      </c>
      <c r="K1661" t="s">
        <v>413</v>
      </c>
      <c r="L1661" s="81">
        <f>+Municipios!U558</f>
        <v>23.518968214506188</v>
      </c>
      <c r="M1661" s="13">
        <v>54313</v>
      </c>
      <c r="N1661" s="13" t="s">
        <v>1563</v>
      </c>
      <c r="O1661" s="13" t="s">
        <v>517</v>
      </c>
      <c r="P1661" s="13" t="s">
        <v>518</v>
      </c>
      <c r="Q1661" s="13" t="s">
        <v>1564</v>
      </c>
      <c r="T1661" t="s">
        <v>2804</v>
      </c>
      <c r="U1661" s="25">
        <f>+Municipios!P558</f>
        <v>46.161200031784162</v>
      </c>
      <c r="V1661" s="13">
        <v>54313</v>
      </c>
      <c r="W1661" s="13" t="s">
        <v>1563</v>
      </c>
      <c r="X1661" s="13" t="s">
        <v>517</v>
      </c>
      <c r="Y1661" s="13" t="s">
        <v>518</v>
      </c>
      <c r="Z1661" s="13" t="s">
        <v>1564</v>
      </c>
    </row>
    <row r="1662" spans="1:26">
      <c r="A1662" t="s">
        <v>412</v>
      </c>
      <c r="B1662" s="25">
        <f>+Municipios!P559</f>
        <v>67.061997295276043</v>
      </c>
      <c r="C1662" s="13">
        <v>76863</v>
      </c>
      <c r="D1662" s="13" t="s">
        <v>1565</v>
      </c>
      <c r="E1662" s="13" t="s">
        <v>454</v>
      </c>
      <c r="F1662" s="13" t="s">
        <v>455</v>
      </c>
      <c r="G1662" s="13" t="s">
        <v>1566</v>
      </c>
      <c r="K1662" t="s">
        <v>413</v>
      </c>
      <c r="L1662" s="81">
        <f>+Municipios!U559</f>
        <v>33.754352781342554</v>
      </c>
      <c r="M1662" s="13">
        <v>76863</v>
      </c>
      <c r="N1662" s="13" t="s">
        <v>1565</v>
      </c>
      <c r="O1662" s="13" t="s">
        <v>454</v>
      </c>
      <c r="P1662" s="13" t="s">
        <v>455</v>
      </c>
      <c r="Q1662" s="13" t="s">
        <v>1566</v>
      </c>
      <c r="T1662" t="s">
        <v>2804</v>
      </c>
      <c r="U1662" s="25">
        <f>+Municipios!P559</f>
        <v>67.061997295276043</v>
      </c>
      <c r="V1662" s="13">
        <v>76863</v>
      </c>
      <c r="W1662" s="13" t="s">
        <v>1565</v>
      </c>
      <c r="X1662" s="13" t="s">
        <v>454</v>
      </c>
      <c r="Y1662" s="13" t="s">
        <v>455</v>
      </c>
      <c r="Z1662" s="13" t="s">
        <v>1566</v>
      </c>
    </row>
    <row r="1663" spans="1:26">
      <c r="A1663" t="s">
        <v>412</v>
      </c>
      <c r="B1663" s="25">
        <f>+Municipios!P560</f>
        <v>67.001383586819642</v>
      </c>
      <c r="C1663" s="13">
        <v>81736</v>
      </c>
      <c r="D1663" s="13" t="s">
        <v>1567</v>
      </c>
      <c r="E1663" s="13" t="s">
        <v>1568</v>
      </c>
      <c r="F1663" s="13" t="s">
        <v>1569</v>
      </c>
      <c r="G1663" s="13" t="s">
        <v>1570</v>
      </c>
      <c r="K1663" t="s">
        <v>413</v>
      </c>
      <c r="L1663" s="81">
        <f>+Municipios!U560</f>
        <v>33.550686371548075</v>
      </c>
      <c r="M1663" s="13">
        <v>81736</v>
      </c>
      <c r="N1663" s="13" t="s">
        <v>1567</v>
      </c>
      <c r="O1663" s="13" t="s">
        <v>1568</v>
      </c>
      <c r="P1663" s="13" t="s">
        <v>1569</v>
      </c>
      <c r="Q1663" s="13" t="s">
        <v>1570</v>
      </c>
      <c r="T1663" t="s">
        <v>2804</v>
      </c>
      <c r="U1663" s="25">
        <f>+Municipios!P560</f>
        <v>67.001383586819642</v>
      </c>
      <c r="V1663" s="13">
        <v>81736</v>
      </c>
      <c r="W1663" s="13" t="s">
        <v>1567</v>
      </c>
      <c r="X1663" s="13" t="s">
        <v>1568</v>
      </c>
      <c r="Y1663" s="13" t="s">
        <v>1569</v>
      </c>
      <c r="Z1663" s="13" t="s">
        <v>1570</v>
      </c>
    </row>
    <row r="1664" spans="1:26">
      <c r="A1664" t="s">
        <v>412</v>
      </c>
      <c r="B1664" s="25">
        <f>+Municipios!P561</f>
        <v>56.111560693223538</v>
      </c>
      <c r="C1664" s="13">
        <v>19392</v>
      </c>
      <c r="D1664" s="13" t="s">
        <v>1571</v>
      </c>
      <c r="E1664" s="13" t="s">
        <v>557</v>
      </c>
      <c r="F1664" s="13" t="s">
        <v>558</v>
      </c>
      <c r="G1664" s="13" t="s">
        <v>1572</v>
      </c>
      <c r="K1664" t="s">
        <v>413</v>
      </c>
      <c r="L1664" s="81">
        <f>+Municipios!U561</f>
        <v>28.491429694800019</v>
      </c>
      <c r="M1664" s="13">
        <v>19392</v>
      </c>
      <c r="N1664" s="13" t="s">
        <v>1571</v>
      </c>
      <c r="O1664" s="13" t="s">
        <v>557</v>
      </c>
      <c r="P1664" s="13" t="s">
        <v>558</v>
      </c>
      <c r="Q1664" s="13" t="s">
        <v>1572</v>
      </c>
      <c r="T1664" t="s">
        <v>2804</v>
      </c>
      <c r="U1664" s="25">
        <f>+Municipios!P561</f>
        <v>56.111560693223538</v>
      </c>
      <c r="V1664" s="13">
        <v>19392</v>
      </c>
      <c r="W1664" s="13" t="s">
        <v>1571</v>
      </c>
      <c r="X1664" s="13" t="s">
        <v>557</v>
      </c>
      <c r="Y1664" s="13" t="s">
        <v>558</v>
      </c>
      <c r="Z1664" s="13" t="s">
        <v>1572</v>
      </c>
    </row>
    <row r="1665" spans="1:26">
      <c r="A1665" t="s">
        <v>412</v>
      </c>
      <c r="B1665" s="25">
        <f>+Municipios!P562</f>
        <v>61.963235504803556</v>
      </c>
      <c r="C1665" s="13">
        <v>15879</v>
      </c>
      <c r="D1665" s="13" t="s">
        <v>1573</v>
      </c>
      <c r="E1665" s="13" t="s">
        <v>498</v>
      </c>
      <c r="F1665" s="13" t="s">
        <v>499</v>
      </c>
      <c r="G1665" s="13" t="s">
        <v>1574</v>
      </c>
      <c r="K1665" t="s">
        <v>413</v>
      </c>
      <c r="L1665" s="81">
        <f>+Municipios!U562</f>
        <v>31.09091078349935</v>
      </c>
      <c r="M1665" s="13">
        <v>15879</v>
      </c>
      <c r="N1665" s="13" t="s">
        <v>1573</v>
      </c>
      <c r="O1665" s="13" t="s">
        <v>498</v>
      </c>
      <c r="P1665" s="13" t="s">
        <v>499</v>
      </c>
      <c r="Q1665" s="13" t="s">
        <v>1574</v>
      </c>
      <c r="T1665" t="s">
        <v>2804</v>
      </c>
      <c r="U1665" s="25">
        <f>+Municipios!P562</f>
        <v>61.963235504803556</v>
      </c>
      <c r="V1665" s="13">
        <v>15879</v>
      </c>
      <c r="W1665" s="13" t="s">
        <v>1573</v>
      </c>
      <c r="X1665" s="13" t="s">
        <v>498</v>
      </c>
      <c r="Y1665" s="13" t="s">
        <v>499</v>
      </c>
      <c r="Z1665" s="13" t="s">
        <v>1574</v>
      </c>
    </row>
    <row r="1666" spans="1:26">
      <c r="A1666" t="s">
        <v>412</v>
      </c>
      <c r="B1666" s="25">
        <f>+Municipios!P563</f>
        <v>45.690285632595874</v>
      </c>
      <c r="C1666" s="13">
        <v>5051</v>
      </c>
      <c r="D1666" s="13" t="s">
        <v>1575</v>
      </c>
      <c r="E1666" s="13" t="s">
        <v>435</v>
      </c>
      <c r="F1666" s="13" t="s">
        <v>436</v>
      </c>
      <c r="G1666" s="13" t="s">
        <v>1576</v>
      </c>
      <c r="K1666" t="s">
        <v>413</v>
      </c>
      <c r="L1666" s="81">
        <f>+Municipios!U563</f>
        <v>22.838876663296382</v>
      </c>
      <c r="M1666" s="13">
        <v>5051</v>
      </c>
      <c r="N1666" s="13" t="s">
        <v>1575</v>
      </c>
      <c r="O1666" s="13" t="s">
        <v>435</v>
      </c>
      <c r="P1666" s="13" t="s">
        <v>436</v>
      </c>
      <c r="Q1666" s="13" t="s">
        <v>1576</v>
      </c>
      <c r="T1666" t="s">
        <v>2804</v>
      </c>
      <c r="U1666" s="25">
        <f>+Municipios!P563</f>
        <v>45.690285632595874</v>
      </c>
      <c r="V1666" s="13">
        <v>5051</v>
      </c>
      <c r="W1666" s="13" t="s">
        <v>1575</v>
      </c>
      <c r="X1666" s="13" t="s">
        <v>435</v>
      </c>
      <c r="Y1666" s="13" t="s">
        <v>436</v>
      </c>
      <c r="Z1666" s="13" t="s">
        <v>1576</v>
      </c>
    </row>
    <row r="1667" spans="1:26">
      <c r="A1667" t="s">
        <v>412</v>
      </c>
      <c r="B1667" s="25">
        <f>+Municipios!P564</f>
        <v>45.743136857270649</v>
      </c>
      <c r="C1667" s="13">
        <v>73270</v>
      </c>
      <c r="D1667" s="13" t="s">
        <v>1577</v>
      </c>
      <c r="E1667" s="13" t="s">
        <v>595</v>
      </c>
      <c r="F1667" s="13" t="s">
        <v>596</v>
      </c>
      <c r="G1667" s="13" t="s">
        <v>1578</v>
      </c>
      <c r="K1667" t="s">
        <v>413</v>
      </c>
      <c r="L1667" s="81">
        <f>+Municipios!U564</f>
        <v>22.951637547838889</v>
      </c>
      <c r="M1667" s="13">
        <v>73270</v>
      </c>
      <c r="N1667" s="13" t="s">
        <v>1577</v>
      </c>
      <c r="O1667" s="13" t="s">
        <v>595</v>
      </c>
      <c r="P1667" s="13" t="s">
        <v>596</v>
      </c>
      <c r="Q1667" s="13" t="s">
        <v>1578</v>
      </c>
      <c r="T1667" t="s">
        <v>2804</v>
      </c>
      <c r="U1667" s="25">
        <f>+Municipios!P564</f>
        <v>45.743136857270649</v>
      </c>
      <c r="V1667" s="13">
        <v>73270</v>
      </c>
      <c r="W1667" s="13" t="s">
        <v>1577</v>
      </c>
      <c r="X1667" s="13" t="s">
        <v>595</v>
      </c>
      <c r="Y1667" s="13" t="s">
        <v>596</v>
      </c>
      <c r="Z1667" s="13" t="s">
        <v>1578</v>
      </c>
    </row>
    <row r="1668" spans="1:26">
      <c r="A1668" t="s">
        <v>412</v>
      </c>
      <c r="B1668" s="25">
        <f>+Municipios!P565</f>
        <v>64.532203048130825</v>
      </c>
      <c r="C1668" s="13">
        <v>47030</v>
      </c>
      <c r="D1668" s="13" t="s">
        <v>1579</v>
      </c>
      <c r="E1668" s="13" t="s">
        <v>638</v>
      </c>
      <c r="F1668" s="13" t="s">
        <v>639</v>
      </c>
      <c r="G1668" s="13" t="s">
        <v>1580</v>
      </c>
      <c r="K1668" t="s">
        <v>413</v>
      </c>
      <c r="L1668" s="81">
        <f>+Municipios!U565</f>
        <v>32.869024516065558</v>
      </c>
      <c r="M1668" s="13">
        <v>47030</v>
      </c>
      <c r="N1668" s="13" t="s">
        <v>1579</v>
      </c>
      <c r="O1668" s="13" t="s">
        <v>638</v>
      </c>
      <c r="P1668" s="13" t="s">
        <v>639</v>
      </c>
      <c r="Q1668" s="13" t="s">
        <v>1580</v>
      </c>
      <c r="T1668" t="s">
        <v>2804</v>
      </c>
      <c r="U1668" s="25">
        <f>+Municipios!P565</f>
        <v>64.532203048130825</v>
      </c>
      <c r="V1668" s="13">
        <v>47030</v>
      </c>
      <c r="W1668" s="13" t="s">
        <v>1579</v>
      </c>
      <c r="X1668" s="13" t="s">
        <v>638</v>
      </c>
      <c r="Y1668" s="13" t="s">
        <v>639</v>
      </c>
      <c r="Z1668" s="13" t="s">
        <v>1580</v>
      </c>
    </row>
    <row r="1669" spans="1:26">
      <c r="A1669" t="s">
        <v>412</v>
      </c>
      <c r="B1669" s="25">
        <f>+Municipios!P566</f>
        <v>50.43675286059775</v>
      </c>
      <c r="C1669" s="13">
        <v>47258</v>
      </c>
      <c r="D1669" s="13" t="s">
        <v>1581</v>
      </c>
      <c r="E1669" s="13" t="s">
        <v>638</v>
      </c>
      <c r="F1669" s="13" t="s">
        <v>639</v>
      </c>
      <c r="G1669" s="13" t="s">
        <v>1582</v>
      </c>
      <c r="K1669" t="s">
        <v>413</v>
      </c>
      <c r="L1669" s="81">
        <f>+Municipios!U566</f>
        <v>25.641793175096257</v>
      </c>
      <c r="M1669" s="13">
        <v>47258</v>
      </c>
      <c r="N1669" s="13" t="s">
        <v>1581</v>
      </c>
      <c r="O1669" s="13" t="s">
        <v>638</v>
      </c>
      <c r="P1669" s="13" t="s">
        <v>639</v>
      </c>
      <c r="Q1669" s="13" t="s">
        <v>1582</v>
      </c>
      <c r="T1669" t="s">
        <v>2804</v>
      </c>
      <c r="U1669" s="25">
        <f>+Municipios!P566</f>
        <v>50.43675286059775</v>
      </c>
      <c r="V1669" s="13">
        <v>47258</v>
      </c>
      <c r="W1669" s="13" t="s">
        <v>1581</v>
      </c>
      <c r="X1669" s="13" t="s">
        <v>638</v>
      </c>
      <c r="Y1669" s="13" t="s">
        <v>639</v>
      </c>
      <c r="Z1669" s="13" t="s">
        <v>1582</v>
      </c>
    </row>
    <row r="1670" spans="1:26">
      <c r="A1670" t="s">
        <v>412</v>
      </c>
      <c r="B1670" s="25">
        <f>+Municipios!P567</f>
        <v>59.117000962780821</v>
      </c>
      <c r="C1670" s="13">
        <v>68209</v>
      </c>
      <c r="D1670" s="13" t="s">
        <v>1583</v>
      </c>
      <c r="E1670" s="13" t="s">
        <v>431</v>
      </c>
      <c r="F1670" s="13" t="s">
        <v>432</v>
      </c>
      <c r="G1670" s="13" t="s">
        <v>1584</v>
      </c>
      <c r="K1670" t="s">
        <v>413</v>
      </c>
      <c r="L1670" s="81">
        <f>+Municipios!U567</f>
        <v>30.403104951581753</v>
      </c>
      <c r="M1670" s="13">
        <v>68209</v>
      </c>
      <c r="N1670" s="13" t="s">
        <v>1583</v>
      </c>
      <c r="O1670" s="13" t="s">
        <v>431</v>
      </c>
      <c r="P1670" s="13" t="s">
        <v>432</v>
      </c>
      <c r="Q1670" s="13" t="s">
        <v>1584</v>
      </c>
      <c r="T1670" t="s">
        <v>2804</v>
      </c>
      <c r="U1670" s="25">
        <f>+Municipios!P567</f>
        <v>59.117000962780821</v>
      </c>
      <c r="V1670" s="13">
        <v>68209</v>
      </c>
      <c r="W1670" s="13" t="s">
        <v>1583</v>
      </c>
      <c r="X1670" s="13" t="s">
        <v>431</v>
      </c>
      <c r="Y1670" s="13" t="s">
        <v>432</v>
      </c>
      <c r="Z1670" s="13" t="s">
        <v>1584</v>
      </c>
    </row>
    <row r="1671" spans="1:26">
      <c r="A1671" t="s">
        <v>412</v>
      </c>
      <c r="B1671" s="25">
        <f>+Municipios!P568</f>
        <v>61.810501204142042</v>
      </c>
      <c r="C1671" s="13">
        <v>15757</v>
      </c>
      <c r="D1671" s="13" t="s">
        <v>1585</v>
      </c>
      <c r="E1671" s="13" t="s">
        <v>498</v>
      </c>
      <c r="F1671" s="13" t="s">
        <v>499</v>
      </c>
      <c r="G1671" s="13" t="s">
        <v>1586</v>
      </c>
      <c r="K1671" t="s">
        <v>413</v>
      </c>
      <c r="L1671" s="81">
        <f>+Municipios!U568</f>
        <v>31.116939559148481</v>
      </c>
      <c r="M1671" s="13">
        <v>15757</v>
      </c>
      <c r="N1671" s="13" t="s">
        <v>1585</v>
      </c>
      <c r="O1671" s="13" t="s">
        <v>498</v>
      </c>
      <c r="P1671" s="13" t="s">
        <v>499</v>
      </c>
      <c r="Q1671" s="13" t="s">
        <v>1586</v>
      </c>
      <c r="T1671" t="s">
        <v>2804</v>
      </c>
      <c r="U1671" s="25">
        <f>+Municipios!P568</f>
        <v>61.810501204142042</v>
      </c>
      <c r="V1671" s="13">
        <v>15757</v>
      </c>
      <c r="W1671" s="13" t="s">
        <v>1585</v>
      </c>
      <c r="X1671" s="13" t="s">
        <v>498</v>
      </c>
      <c r="Y1671" s="13" t="s">
        <v>499</v>
      </c>
      <c r="Z1671" s="13" t="s">
        <v>1586</v>
      </c>
    </row>
    <row r="1672" spans="1:26">
      <c r="A1672" t="s">
        <v>412</v>
      </c>
      <c r="B1672" s="25">
        <f>+Municipios!P569</f>
        <v>57.540843374710477</v>
      </c>
      <c r="C1672" s="13">
        <v>73861</v>
      </c>
      <c r="D1672" s="13" t="s">
        <v>1587</v>
      </c>
      <c r="E1672" s="13" t="s">
        <v>595</v>
      </c>
      <c r="F1672" s="13" t="s">
        <v>596</v>
      </c>
      <c r="G1672" s="13" t="s">
        <v>1588</v>
      </c>
      <c r="K1672" t="s">
        <v>413</v>
      </c>
      <c r="L1672" s="81">
        <f>+Municipios!U569</f>
        <v>28.869343786184949</v>
      </c>
      <c r="M1672" s="13">
        <v>73861</v>
      </c>
      <c r="N1672" s="13" t="s">
        <v>1587</v>
      </c>
      <c r="O1672" s="13" t="s">
        <v>595</v>
      </c>
      <c r="P1672" s="13" t="s">
        <v>596</v>
      </c>
      <c r="Q1672" s="13" t="s">
        <v>1588</v>
      </c>
      <c r="T1672" t="s">
        <v>2804</v>
      </c>
      <c r="U1672" s="25">
        <f>+Municipios!P569</f>
        <v>57.540843374710477</v>
      </c>
      <c r="V1672" s="13">
        <v>73861</v>
      </c>
      <c r="W1672" s="13" t="s">
        <v>1587</v>
      </c>
      <c r="X1672" s="13" t="s">
        <v>595</v>
      </c>
      <c r="Y1672" s="13" t="s">
        <v>596</v>
      </c>
      <c r="Z1672" s="13" t="s">
        <v>1588</v>
      </c>
    </row>
    <row r="1673" spans="1:26">
      <c r="A1673" t="s">
        <v>412</v>
      </c>
      <c r="B1673" s="25">
        <f>+Municipios!P570</f>
        <v>47.657179343733304</v>
      </c>
      <c r="C1673" s="13">
        <v>47170</v>
      </c>
      <c r="D1673" s="13" t="s">
        <v>1589</v>
      </c>
      <c r="E1673" s="13" t="s">
        <v>638</v>
      </c>
      <c r="F1673" s="13" t="s">
        <v>639</v>
      </c>
      <c r="G1673" s="13" t="s">
        <v>1590</v>
      </c>
      <c r="K1673" t="s">
        <v>413</v>
      </c>
      <c r="L1673" s="81">
        <f>+Municipios!U570</f>
        <v>24.207625937630723</v>
      </c>
      <c r="M1673" s="13">
        <v>47170</v>
      </c>
      <c r="N1673" s="13" t="s">
        <v>1589</v>
      </c>
      <c r="O1673" s="13" t="s">
        <v>638</v>
      </c>
      <c r="P1673" s="13" t="s">
        <v>639</v>
      </c>
      <c r="Q1673" s="13" t="s">
        <v>1590</v>
      </c>
      <c r="T1673" t="s">
        <v>2804</v>
      </c>
      <c r="U1673" s="25">
        <f>+Municipios!P570</f>
        <v>47.657179343733304</v>
      </c>
      <c r="V1673" s="13">
        <v>47170</v>
      </c>
      <c r="W1673" s="13" t="s">
        <v>1589</v>
      </c>
      <c r="X1673" s="13" t="s">
        <v>638</v>
      </c>
      <c r="Y1673" s="13" t="s">
        <v>639</v>
      </c>
      <c r="Z1673" s="13" t="s">
        <v>1590</v>
      </c>
    </row>
    <row r="1674" spans="1:26">
      <c r="A1674" t="s">
        <v>412</v>
      </c>
      <c r="B1674" s="25">
        <f>+Municipios!P571</f>
        <v>60.413382596461119</v>
      </c>
      <c r="C1674" s="13">
        <v>25845</v>
      </c>
      <c r="D1674" s="13" t="s">
        <v>1591</v>
      </c>
      <c r="E1674" s="13" t="s">
        <v>461</v>
      </c>
      <c r="F1674" s="13" t="s">
        <v>462</v>
      </c>
      <c r="G1674" s="13" t="s">
        <v>1592</v>
      </c>
      <c r="K1674" t="s">
        <v>413</v>
      </c>
      <c r="L1674" s="81">
        <f>+Municipios!U571</f>
        <v>29.589831158783632</v>
      </c>
      <c r="M1674" s="13">
        <v>25845</v>
      </c>
      <c r="N1674" s="13" t="s">
        <v>1591</v>
      </c>
      <c r="O1674" s="13" t="s">
        <v>461</v>
      </c>
      <c r="P1674" s="13" t="s">
        <v>462</v>
      </c>
      <c r="Q1674" s="13" t="s">
        <v>1592</v>
      </c>
      <c r="T1674" t="s">
        <v>2804</v>
      </c>
      <c r="U1674" s="25">
        <f>+Municipios!P571</f>
        <v>60.413382596461119</v>
      </c>
      <c r="V1674" s="13">
        <v>25845</v>
      </c>
      <c r="W1674" s="13" t="s">
        <v>1591</v>
      </c>
      <c r="X1674" s="13" t="s">
        <v>461</v>
      </c>
      <c r="Y1674" s="13" t="s">
        <v>462</v>
      </c>
      <c r="Z1674" s="13" t="s">
        <v>1592</v>
      </c>
    </row>
    <row r="1675" spans="1:26">
      <c r="A1675" t="s">
        <v>412</v>
      </c>
      <c r="B1675" s="25">
        <f>+Municipios!P572</f>
        <v>57.549209166844335</v>
      </c>
      <c r="C1675" s="13">
        <v>41791</v>
      </c>
      <c r="D1675" s="13" t="s">
        <v>1593</v>
      </c>
      <c r="E1675" s="13" t="s">
        <v>676</v>
      </c>
      <c r="F1675" s="13" t="s">
        <v>677</v>
      </c>
      <c r="G1675" s="13" t="s">
        <v>1594</v>
      </c>
      <c r="K1675" t="s">
        <v>413</v>
      </c>
      <c r="L1675" s="81">
        <f>+Municipios!U572</f>
        <v>28.981757352314439</v>
      </c>
      <c r="M1675" s="13">
        <v>41791</v>
      </c>
      <c r="N1675" s="13" t="s">
        <v>1593</v>
      </c>
      <c r="O1675" s="13" t="s">
        <v>676</v>
      </c>
      <c r="P1675" s="13" t="s">
        <v>677</v>
      </c>
      <c r="Q1675" s="13" t="s">
        <v>1594</v>
      </c>
      <c r="T1675" t="s">
        <v>2804</v>
      </c>
      <c r="U1675" s="25">
        <f>+Municipios!P572</f>
        <v>57.549209166844335</v>
      </c>
      <c r="V1675" s="13">
        <v>41791</v>
      </c>
      <c r="W1675" s="13" t="s">
        <v>1593</v>
      </c>
      <c r="X1675" s="13" t="s">
        <v>676</v>
      </c>
      <c r="Y1675" s="13" t="s">
        <v>677</v>
      </c>
      <c r="Z1675" s="13" t="s">
        <v>1594</v>
      </c>
    </row>
    <row r="1676" spans="1:26">
      <c r="A1676" t="s">
        <v>412</v>
      </c>
      <c r="B1676" s="25">
        <f>+Municipios!P573</f>
        <v>53.391373366890079</v>
      </c>
      <c r="C1676" s="13">
        <v>20228</v>
      </c>
      <c r="D1676" s="13" t="s">
        <v>1595</v>
      </c>
      <c r="E1676" s="13" t="s">
        <v>893</v>
      </c>
      <c r="F1676" s="13" t="s">
        <v>894</v>
      </c>
      <c r="G1676" s="13" t="s">
        <v>1596</v>
      </c>
      <c r="K1676" t="s">
        <v>413</v>
      </c>
      <c r="L1676" s="81">
        <f>+Municipios!U573</f>
        <v>27.067554239734328</v>
      </c>
      <c r="M1676" s="13">
        <v>20228</v>
      </c>
      <c r="N1676" s="13" t="s">
        <v>1595</v>
      </c>
      <c r="O1676" s="13" t="s">
        <v>893</v>
      </c>
      <c r="P1676" s="13" t="s">
        <v>894</v>
      </c>
      <c r="Q1676" s="13" t="s">
        <v>1596</v>
      </c>
      <c r="T1676" t="s">
        <v>2804</v>
      </c>
      <c r="U1676" s="25">
        <f>+Municipios!P573</f>
        <v>53.391373366890079</v>
      </c>
      <c r="V1676" s="13">
        <v>20228</v>
      </c>
      <c r="W1676" s="13" t="s">
        <v>1595</v>
      </c>
      <c r="X1676" s="13" t="s">
        <v>893</v>
      </c>
      <c r="Y1676" s="13" t="s">
        <v>894</v>
      </c>
      <c r="Z1676" s="13" t="s">
        <v>1596</v>
      </c>
    </row>
    <row r="1677" spans="1:26">
      <c r="A1677" t="s">
        <v>412</v>
      </c>
      <c r="B1677" s="25">
        <f>+Municipios!P574</f>
        <v>48.44034727204383</v>
      </c>
      <c r="C1677" s="13">
        <v>5837</v>
      </c>
      <c r="D1677" s="13" t="s">
        <v>1597</v>
      </c>
      <c r="E1677" s="13" t="s">
        <v>435</v>
      </c>
      <c r="F1677" s="13" t="s">
        <v>436</v>
      </c>
      <c r="G1677" s="13" t="s">
        <v>1598</v>
      </c>
      <c r="K1677" t="s">
        <v>413</v>
      </c>
      <c r="L1677" s="81">
        <f>+Municipios!U574</f>
        <v>24.255169273612385</v>
      </c>
      <c r="M1677" s="13">
        <v>5837</v>
      </c>
      <c r="N1677" s="13" t="s">
        <v>1597</v>
      </c>
      <c r="O1677" s="13" t="s">
        <v>435</v>
      </c>
      <c r="P1677" s="13" t="s">
        <v>436</v>
      </c>
      <c r="Q1677" s="13" t="s">
        <v>1598</v>
      </c>
      <c r="T1677" t="s">
        <v>2804</v>
      </c>
      <c r="U1677" s="25">
        <f>+Municipios!P574</f>
        <v>48.44034727204383</v>
      </c>
      <c r="V1677" s="13">
        <v>5837</v>
      </c>
      <c r="W1677" s="13" t="s">
        <v>1597</v>
      </c>
      <c r="X1677" s="13" t="s">
        <v>435</v>
      </c>
      <c r="Y1677" s="13" t="s">
        <v>436</v>
      </c>
      <c r="Z1677" s="13" t="s">
        <v>1598</v>
      </c>
    </row>
    <row r="1678" spans="1:26">
      <c r="A1678" t="s">
        <v>412</v>
      </c>
      <c r="B1678" s="25">
        <f>+Municipios!P575</f>
        <v>55.192954726272013</v>
      </c>
      <c r="C1678" s="13">
        <v>15761</v>
      </c>
      <c r="D1678" s="13" t="s">
        <v>1599</v>
      </c>
      <c r="E1678" s="13" t="s">
        <v>498</v>
      </c>
      <c r="F1678" s="13" t="s">
        <v>499</v>
      </c>
      <c r="G1678" s="13" t="s">
        <v>1600</v>
      </c>
      <c r="K1678" t="s">
        <v>413</v>
      </c>
      <c r="L1678" s="81">
        <f>+Municipios!U575</f>
        <v>27.711800042619419</v>
      </c>
      <c r="M1678" s="13">
        <v>15761</v>
      </c>
      <c r="N1678" s="13" t="s">
        <v>1599</v>
      </c>
      <c r="O1678" s="13" t="s">
        <v>498</v>
      </c>
      <c r="P1678" s="13" t="s">
        <v>499</v>
      </c>
      <c r="Q1678" s="13" t="s">
        <v>1600</v>
      </c>
      <c r="T1678" t="s">
        <v>2804</v>
      </c>
      <c r="U1678" s="25">
        <f>+Municipios!P575</f>
        <v>55.192954726272013</v>
      </c>
      <c r="V1678" s="13">
        <v>15761</v>
      </c>
      <c r="W1678" s="13" t="s">
        <v>1599</v>
      </c>
      <c r="X1678" s="13" t="s">
        <v>498</v>
      </c>
      <c r="Y1678" s="13" t="s">
        <v>499</v>
      </c>
      <c r="Z1678" s="13" t="s">
        <v>1600</v>
      </c>
    </row>
    <row r="1679" spans="1:26">
      <c r="A1679" t="s">
        <v>412</v>
      </c>
      <c r="B1679" s="25">
        <f>+Municipios!P576</f>
        <v>78.354694278060393</v>
      </c>
      <c r="C1679" s="13">
        <v>44650</v>
      </c>
      <c r="D1679" s="13" t="s">
        <v>1601</v>
      </c>
      <c r="E1679" s="13" t="s">
        <v>933</v>
      </c>
      <c r="F1679" s="13" t="s">
        <v>934</v>
      </c>
      <c r="G1679" s="13" t="s">
        <v>1602</v>
      </c>
      <c r="K1679" t="s">
        <v>413</v>
      </c>
      <c r="L1679" s="81">
        <f>+Municipios!U576</f>
        <v>39.444448610229998</v>
      </c>
      <c r="M1679" s="13">
        <v>44650</v>
      </c>
      <c r="N1679" s="13" t="s">
        <v>1601</v>
      </c>
      <c r="O1679" s="13" t="s">
        <v>933</v>
      </c>
      <c r="P1679" s="13" t="s">
        <v>934</v>
      </c>
      <c r="Q1679" s="13" t="s">
        <v>1602</v>
      </c>
      <c r="T1679" t="s">
        <v>2804</v>
      </c>
      <c r="U1679" s="25">
        <f>+Municipios!P576</f>
        <v>78.354694278060393</v>
      </c>
      <c r="V1679" s="13">
        <v>44650</v>
      </c>
      <c r="W1679" s="13" t="s">
        <v>1601</v>
      </c>
      <c r="X1679" s="13" t="s">
        <v>933</v>
      </c>
      <c r="Y1679" s="13" t="s">
        <v>934</v>
      </c>
      <c r="Z1679" s="13" t="s">
        <v>1602</v>
      </c>
    </row>
    <row r="1680" spans="1:26">
      <c r="A1680" t="s">
        <v>412</v>
      </c>
      <c r="B1680" s="25">
        <f>+Municipios!P577</f>
        <v>61.728578134361676</v>
      </c>
      <c r="C1680" s="13">
        <v>68524</v>
      </c>
      <c r="D1680" s="13" t="s">
        <v>1603</v>
      </c>
      <c r="E1680" s="13" t="s">
        <v>431</v>
      </c>
      <c r="F1680" s="13" t="s">
        <v>432</v>
      </c>
      <c r="G1680" s="13" t="s">
        <v>1604</v>
      </c>
      <c r="K1680" t="s">
        <v>413</v>
      </c>
      <c r="L1680" s="81">
        <f>+Municipios!U577</f>
        <v>31.453217100801535</v>
      </c>
      <c r="M1680" s="13">
        <v>68524</v>
      </c>
      <c r="N1680" s="13" t="s">
        <v>1603</v>
      </c>
      <c r="O1680" s="13" t="s">
        <v>431</v>
      </c>
      <c r="P1680" s="13" t="s">
        <v>432</v>
      </c>
      <c r="Q1680" s="13" t="s">
        <v>1604</v>
      </c>
      <c r="T1680" t="s">
        <v>2804</v>
      </c>
      <c r="U1680" s="25">
        <f>+Municipios!P577</f>
        <v>61.728578134361676</v>
      </c>
      <c r="V1680" s="13">
        <v>68524</v>
      </c>
      <c r="W1680" s="13" t="s">
        <v>1603</v>
      </c>
      <c r="X1680" s="13" t="s">
        <v>431</v>
      </c>
      <c r="Y1680" s="13" t="s">
        <v>432</v>
      </c>
      <c r="Z1680" s="13" t="s">
        <v>1604</v>
      </c>
    </row>
    <row r="1681" spans="1:26">
      <c r="A1681" t="s">
        <v>412</v>
      </c>
      <c r="B1681" s="25">
        <f>+Municipios!P578</f>
        <v>55.534683116756291</v>
      </c>
      <c r="C1681" s="13">
        <v>41483</v>
      </c>
      <c r="D1681" s="13" t="s">
        <v>1605</v>
      </c>
      <c r="E1681" s="13" t="s">
        <v>676</v>
      </c>
      <c r="F1681" s="13" t="s">
        <v>677</v>
      </c>
      <c r="G1681" s="13" t="s">
        <v>1606</v>
      </c>
      <c r="K1681" t="s">
        <v>413</v>
      </c>
      <c r="L1681" s="81">
        <f>+Municipios!U578</f>
        <v>28.007197746997665</v>
      </c>
      <c r="M1681" s="13">
        <v>41483</v>
      </c>
      <c r="N1681" s="13" t="s">
        <v>1605</v>
      </c>
      <c r="O1681" s="13" t="s">
        <v>676</v>
      </c>
      <c r="P1681" s="13" t="s">
        <v>677</v>
      </c>
      <c r="Q1681" s="13" t="s">
        <v>1606</v>
      </c>
      <c r="T1681" t="s">
        <v>2804</v>
      </c>
      <c r="U1681" s="25">
        <f>+Municipios!P578</f>
        <v>55.534683116756291</v>
      </c>
      <c r="V1681" s="13">
        <v>41483</v>
      </c>
      <c r="W1681" s="13" t="s">
        <v>1605</v>
      </c>
      <c r="X1681" s="13" t="s">
        <v>676</v>
      </c>
      <c r="Y1681" s="13" t="s">
        <v>677</v>
      </c>
      <c r="Z1681" s="13" t="s">
        <v>1606</v>
      </c>
    </row>
    <row r="1682" spans="1:26">
      <c r="A1682" t="s">
        <v>412</v>
      </c>
      <c r="B1682" s="25">
        <f>+Municipios!P579</f>
        <v>55.147688872263785</v>
      </c>
      <c r="C1682" s="13">
        <v>15051</v>
      </c>
      <c r="D1682" s="13" t="s">
        <v>1607</v>
      </c>
      <c r="E1682" s="13" t="s">
        <v>498</v>
      </c>
      <c r="F1682" s="13" t="s">
        <v>499</v>
      </c>
      <c r="G1682" s="13" t="s">
        <v>1608</v>
      </c>
      <c r="K1682" t="s">
        <v>413</v>
      </c>
      <c r="L1682" s="81">
        <f>+Municipios!U579</f>
        <v>27.74367793402142</v>
      </c>
      <c r="M1682" s="13">
        <v>15051</v>
      </c>
      <c r="N1682" s="13" t="s">
        <v>1607</v>
      </c>
      <c r="O1682" s="13" t="s">
        <v>498</v>
      </c>
      <c r="P1682" s="13" t="s">
        <v>499</v>
      </c>
      <c r="Q1682" s="13" t="s">
        <v>1608</v>
      </c>
      <c r="T1682" t="s">
        <v>2804</v>
      </c>
      <c r="U1682" s="25">
        <f>+Municipios!P579</f>
        <v>55.147688872263785</v>
      </c>
      <c r="V1682" s="13">
        <v>15051</v>
      </c>
      <c r="W1682" s="13" t="s">
        <v>1607</v>
      </c>
      <c r="X1682" s="13" t="s">
        <v>498</v>
      </c>
      <c r="Y1682" s="13" t="s">
        <v>499</v>
      </c>
      <c r="Z1682" s="13" t="s">
        <v>1608</v>
      </c>
    </row>
    <row r="1683" spans="1:26">
      <c r="A1683" t="s">
        <v>412</v>
      </c>
      <c r="B1683" s="25">
        <f>+Municipios!P580</f>
        <v>57.207707507358862</v>
      </c>
      <c r="C1683" s="13">
        <v>13650</v>
      </c>
      <c r="D1683" s="13" t="s">
        <v>1609</v>
      </c>
      <c r="E1683" s="13" t="s">
        <v>480</v>
      </c>
      <c r="F1683" s="13" t="s">
        <v>481</v>
      </c>
      <c r="G1683" s="13" t="s">
        <v>1610</v>
      </c>
      <c r="K1683" t="s">
        <v>413</v>
      </c>
      <c r="L1683" s="81">
        <f>+Municipios!U580</f>
        <v>28.465196010353818</v>
      </c>
      <c r="M1683" s="13">
        <v>13650</v>
      </c>
      <c r="N1683" s="13" t="s">
        <v>1609</v>
      </c>
      <c r="O1683" s="13" t="s">
        <v>480</v>
      </c>
      <c r="P1683" s="13" t="s">
        <v>481</v>
      </c>
      <c r="Q1683" s="13" t="s">
        <v>1610</v>
      </c>
      <c r="T1683" t="s">
        <v>2804</v>
      </c>
      <c r="U1683" s="25">
        <f>+Municipios!P580</f>
        <v>57.207707507358862</v>
      </c>
      <c r="V1683" s="13">
        <v>13650</v>
      </c>
      <c r="W1683" s="13" t="s">
        <v>1609</v>
      </c>
      <c r="X1683" s="13" t="s">
        <v>480</v>
      </c>
      <c r="Y1683" s="13" t="s">
        <v>481</v>
      </c>
      <c r="Z1683" s="13" t="s">
        <v>1610</v>
      </c>
    </row>
    <row r="1684" spans="1:26">
      <c r="A1684" t="s">
        <v>412</v>
      </c>
      <c r="B1684" s="25">
        <f>+Municipios!P581</f>
        <v>44.091924617814598</v>
      </c>
      <c r="C1684" s="13">
        <v>70124</v>
      </c>
      <c r="D1684" s="13" t="s">
        <v>1611</v>
      </c>
      <c r="E1684" s="13" t="s">
        <v>494</v>
      </c>
      <c r="F1684" s="13" t="s">
        <v>495</v>
      </c>
      <c r="G1684" s="13" t="s">
        <v>1612</v>
      </c>
      <c r="K1684" t="s">
        <v>413</v>
      </c>
      <c r="L1684" s="81">
        <f>+Municipios!U581</f>
        <v>22.268595435790139</v>
      </c>
      <c r="M1684" s="13">
        <v>70124</v>
      </c>
      <c r="N1684" s="13" t="s">
        <v>1611</v>
      </c>
      <c r="O1684" s="13" t="s">
        <v>494</v>
      </c>
      <c r="P1684" s="13" t="s">
        <v>495</v>
      </c>
      <c r="Q1684" s="13" t="s">
        <v>1612</v>
      </c>
      <c r="T1684" t="s">
        <v>2804</v>
      </c>
      <c r="U1684" s="25">
        <f>+Municipios!P581</f>
        <v>44.091924617814598</v>
      </c>
      <c r="V1684" s="13">
        <v>70124</v>
      </c>
      <c r="W1684" s="13" t="s">
        <v>1611</v>
      </c>
      <c r="X1684" s="13" t="s">
        <v>494</v>
      </c>
      <c r="Y1684" s="13" t="s">
        <v>495</v>
      </c>
      <c r="Z1684" s="13" t="s">
        <v>1612</v>
      </c>
    </row>
    <row r="1685" spans="1:26">
      <c r="A1685" t="s">
        <v>412</v>
      </c>
      <c r="B1685" s="25">
        <f>+Municipios!P582</f>
        <v>53.471721112506884</v>
      </c>
      <c r="C1685" s="13">
        <v>19532</v>
      </c>
      <c r="D1685" s="13" t="s">
        <v>1613</v>
      </c>
      <c r="E1685" s="13" t="s">
        <v>557</v>
      </c>
      <c r="F1685" s="13" t="s">
        <v>558</v>
      </c>
      <c r="G1685" s="13" t="s">
        <v>1614</v>
      </c>
      <c r="K1685" t="s">
        <v>413</v>
      </c>
      <c r="L1685" s="81">
        <f>+Municipios!U582</f>
        <v>26.803845283477632</v>
      </c>
      <c r="M1685" s="13">
        <v>19532</v>
      </c>
      <c r="N1685" s="13" t="s">
        <v>1613</v>
      </c>
      <c r="O1685" s="13" t="s">
        <v>557</v>
      </c>
      <c r="P1685" s="13" t="s">
        <v>558</v>
      </c>
      <c r="Q1685" s="13" t="s">
        <v>1614</v>
      </c>
      <c r="T1685" t="s">
        <v>2804</v>
      </c>
      <c r="U1685" s="25">
        <f>+Municipios!P582</f>
        <v>53.471721112506884</v>
      </c>
      <c r="V1685" s="13">
        <v>19532</v>
      </c>
      <c r="W1685" s="13" t="s">
        <v>1613</v>
      </c>
      <c r="X1685" s="13" t="s">
        <v>557</v>
      </c>
      <c r="Y1685" s="13" t="s">
        <v>558</v>
      </c>
      <c r="Z1685" s="13" t="s">
        <v>1614</v>
      </c>
    </row>
    <row r="1686" spans="1:26">
      <c r="A1686" t="s">
        <v>412</v>
      </c>
      <c r="B1686" s="25">
        <f>+Municipios!P583</f>
        <v>55.752983235271884</v>
      </c>
      <c r="C1686" s="13">
        <v>15808</v>
      </c>
      <c r="D1686" s="13" t="s">
        <v>1615</v>
      </c>
      <c r="E1686" s="13" t="s">
        <v>498</v>
      </c>
      <c r="F1686" s="13" t="s">
        <v>499</v>
      </c>
      <c r="G1686" s="13" t="s">
        <v>1616</v>
      </c>
      <c r="K1686" t="s">
        <v>413</v>
      </c>
      <c r="L1686" s="81">
        <f>+Municipios!U583</f>
        <v>27.88694596954932</v>
      </c>
      <c r="M1686" s="13">
        <v>15808</v>
      </c>
      <c r="N1686" s="13" t="s">
        <v>1615</v>
      </c>
      <c r="O1686" s="13" t="s">
        <v>498</v>
      </c>
      <c r="P1686" s="13" t="s">
        <v>499</v>
      </c>
      <c r="Q1686" s="13" t="s">
        <v>1616</v>
      </c>
      <c r="T1686" t="s">
        <v>2804</v>
      </c>
      <c r="U1686" s="25">
        <f>+Municipios!P583</f>
        <v>55.752983235271884</v>
      </c>
      <c r="V1686" s="13">
        <v>15808</v>
      </c>
      <c r="W1686" s="13" t="s">
        <v>1615</v>
      </c>
      <c r="X1686" s="13" t="s">
        <v>498</v>
      </c>
      <c r="Y1686" s="13" t="s">
        <v>499</v>
      </c>
      <c r="Z1686" s="13" t="s">
        <v>1616</v>
      </c>
    </row>
    <row r="1687" spans="1:26">
      <c r="A1687" t="s">
        <v>412</v>
      </c>
      <c r="B1687" s="25">
        <f>+Municipios!P584</f>
        <v>63.208056854892575</v>
      </c>
      <c r="C1687" s="13">
        <v>25649</v>
      </c>
      <c r="D1687" s="13" t="s">
        <v>1617</v>
      </c>
      <c r="E1687" s="13" t="s">
        <v>461</v>
      </c>
      <c r="F1687" s="13" t="s">
        <v>462</v>
      </c>
      <c r="G1687" s="13" t="s">
        <v>1011</v>
      </c>
      <c r="K1687" t="s">
        <v>413</v>
      </c>
      <c r="L1687" s="81">
        <f>+Municipios!U584</f>
        <v>31.194093688849531</v>
      </c>
      <c r="M1687" s="13">
        <v>25649</v>
      </c>
      <c r="N1687" s="13" t="s">
        <v>1617</v>
      </c>
      <c r="O1687" s="13" t="s">
        <v>461</v>
      </c>
      <c r="P1687" s="13" t="s">
        <v>462</v>
      </c>
      <c r="Q1687" s="13" t="s">
        <v>1011</v>
      </c>
      <c r="T1687" t="s">
        <v>2804</v>
      </c>
      <c r="U1687" s="25">
        <f>+Municipios!P584</f>
        <v>63.208056854892575</v>
      </c>
      <c r="V1687" s="13">
        <v>25649</v>
      </c>
      <c r="W1687" s="13" t="s">
        <v>1617</v>
      </c>
      <c r="X1687" s="13" t="s">
        <v>461</v>
      </c>
      <c r="Y1687" s="13" t="s">
        <v>462</v>
      </c>
      <c r="Z1687" s="13" t="s">
        <v>1011</v>
      </c>
    </row>
    <row r="1688" spans="1:26">
      <c r="A1688" t="s">
        <v>412</v>
      </c>
      <c r="B1688" s="25">
        <f>+Municipios!P585</f>
        <v>61.419703298581858</v>
      </c>
      <c r="C1688" s="13">
        <v>15816</v>
      </c>
      <c r="D1688" s="13" t="s">
        <v>1618</v>
      </c>
      <c r="E1688" s="13" t="s">
        <v>498</v>
      </c>
      <c r="F1688" s="13" t="s">
        <v>499</v>
      </c>
      <c r="G1688" s="13" t="s">
        <v>1619</v>
      </c>
      <c r="K1688" t="s">
        <v>413</v>
      </c>
      <c r="L1688" s="81">
        <f>+Municipios!U585</f>
        <v>30.396513160237077</v>
      </c>
      <c r="M1688" s="13">
        <v>15816</v>
      </c>
      <c r="N1688" s="13" t="s">
        <v>1618</v>
      </c>
      <c r="O1688" s="13" t="s">
        <v>498</v>
      </c>
      <c r="P1688" s="13" t="s">
        <v>499</v>
      </c>
      <c r="Q1688" s="13" t="s">
        <v>1619</v>
      </c>
      <c r="T1688" t="s">
        <v>2804</v>
      </c>
      <c r="U1688" s="25">
        <f>+Municipios!P585</f>
        <v>61.419703298581858</v>
      </c>
      <c r="V1688" s="13">
        <v>15816</v>
      </c>
      <c r="W1688" s="13" t="s">
        <v>1618</v>
      </c>
      <c r="X1688" s="13" t="s">
        <v>498</v>
      </c>
      <c r="Y1688" s="13" t="s">
        <v>499</v>
      </c>
      <c r="Z1688" s="13" t="s">
        <v>1619</v>
      </c>
    </row>
    <row r="1689" spans="1:26">
      <c r="A1689" t="s">
        <v>412</v>
      </c>
      <c r="B1689" s="25">
        <f>+Municipios!P586</f>
        <v>55.801546742730551</v>
      </c>
      <c r="C1689" s="13">
        <v>15087</v>
      </c>
      <c r="D1689" s="13" t="s">
        <v>1620</v>
      </c>
      <c r="E1689" s="13" t="s">
        <v>498</v>
      </c>
      <c r="F1689" s="13" t="s">
        <v>499</v>
      </c>
      <c r="G1689" s="13" t="s">
        <v>997</v>
      </c>
      <c r="K1689" t="s">
        <v>413</v>
      </c>
      <c r="L1689" s="81">
        <f>+Municipios!U586</f>
        <v>27.749027346542722</v>
      </c>
      <c r="M1689" s="13">
        <v>15087</v>
      </c>
      <c r="N1689" s="13" t="s">
        <v>1620</v>
      </c>
      <c r="O1689" s="13" t="s">
        <v>498</v>
      </c>
      <c r="P1689" s="13" t="s">
        <v>499</v>
      </c>
      <c r="Q1689" s="13" t="s">
        <v>997</v>
      </c>
      <c r="T1689" t="s">
        <v>2804</v>
      </c>
      <c r="U1689" s="25">
        <f>+Municipios!P586</f>
        <v>55.801546742730551</v>
      </c>
      <c r="V1689" s="13">
        <v>15087</v>
      </c>
      <c r="W1689" s="13" t="s">
        <v>1620</v>
      </c>
      <c r="X1689" s="13" t="s">
        <v>498</v>
      </c>
      <c r="Y1689" s="13" t="s">
        <v>499</v>
      </c>
      <c r="Z1689" s="13" t="s">
        <v>997</v>
      </c>
    </row>
    <row r="1690" spans="1:26">
      <c r="A1690" t="s">
        <v>412</v>
      </c>
      <c r="B1690" s="25">
        <f>+Municipios!P587</f>
        <v>46.832929800410867</v>
      </c>
      <c r="C1690" s="13">
        <v>52215</v>
      </c>
      <c r="D1690" s="13" t="s">
        <v>1621</v>
      </c>
      <c r="E1690" s="13" t="s">
        <v>672</v>
      </c>
      <c r="F1690" s="13" t="s">
        <v>673</v>
      </c>
      <c r="G1690" s="13" t="s">
        <v>568</v>
      </c>
      <c r="K1690" t="s">
        <v>413</v>
      </c>
      <c r="L1690" s="81">
        <f>+Municipios!U587</f>
        <v>23.542677922098303</v>
      </c>
      <c r="M1690" s="13">
        <v>52215</v>
      </c>
      <c r="N1690" s="13" t="s">
        <v>1621</v>
      </c>
      <c r="O1690" s="13" t="s">
        <v>672</v>
      </c>
      <c r="P1690" s="13" t="s">
        <v>673</v>
      </c>
      <c r="Q1690" s="13" t="s">
        <v>568</v>
      </c>
      <c r="T1690" t="s">
        <v>2804</v>
      </c>
      <c r="U1690" s="25">
        <f>+Municipios!P587</f>
        <v>46.832929800410867</v>
      </c>
      <c r="V1690" s="13">
        <v>52215</v>
      </c>
      <c r="W1690" s="13" t="s">
        <v>1621</v>
      </c>
      <c r="X1690" s="13" t="s">
        <v>672</v>
      </c>
      <c r="Y1690" s="13" t="s">
        <v>673</v>
      </c>
      <c r="Z1690" s="13" t="s">
        <v>568</v>
      </c>
    </row>
    <row r="1691" spans="1:26">
      <c r="A1691" t="s">
        <v>412</v>
      </c>
      <c r="B1691" s="25">
        <f>+Municipios!P588</f>
        <v>50.126978516612432</v>
      </c>
      <c r="C1691" s="13">
        <v>15131</v>
      </c>
      <c r="D1691" s="13" t="s">
        <v>1622</v>
      </c>
      <c r="E1691" s="13" t="s">
        <v>498</v>
      </c>
      <c r="F1691" s="13" t="s">
        <v>499</v>
      </c>
      <c r="G1691" s="13" t="s">
        <v>507</v>
      </c>
      <c r="K1691" t="s">
        <v>413</v>
      </c>
      <c r="L1691" s="81">
        <f>+Municipios!U588</f>
        <v>24.447274603737338</v>
      </c>
      <c r="M1691" s="13">
        <v>15131</v>
      </c>
      <c r="N1691" s="13" t="s">
        <v>1622</v>
      </c>
      <c r="O1691" s="13" t="s">
        <v>498</v>
      </c>
      <c r="P1691" s="13" t="s">
        <v>499</v>
      </c>
      <c r="Q1691" s="13" t="s">
        <v>507</v>
      </c>
      <c r="T1691" t="s">
        <v>2804</v>
      </c>
      <c r="U1691" s="25">
        <f>+Municipios!P588</f>
        <v>50.126978516612432</v>
      </c>
      <c r="V1691" s="13">
        <v>15131</v>
      </c>
      <c r="W1691" s="13" t="s">
        <v>1622</v>
      </c>
      <c r="X1691" s="13" t="s">
        <v>498</v>
      </c>
      <c r="Y1691" s="13" t="s">
        <v>499</v>
      </c>
      <c r="Z1691" s="13" t="s">
        <v>507</v>
      </c>
    </row>
    <row r="1692" spans="1:26">
      <c r="A1692" t="s">
        <v>412</v>
      </c>
      <c r="B1692" s="25">
        <f>+Municipios!P589</f>
        <v>60.118805827453855</v>
      </c>
      <c r="C1692" s="13">
        <v>15380</v>
      </c>
      <c r="D1692" s="13" t="s">
        <v>1623</v>
      </c>
      <c r="E1692" s="13" t="s">
        <v>498</v>
      </c>
      <c r="F1692" s="13" t="s">
        <v>499</v>
      </c>
      <c r="G1692" s="13" t="s">
        <v>1624</v>
      </c>
      <c r="K1692" t="s">
        <v>413</v>
      </c>
      <c r="L1692" s="81">
        <f>+Municipios!U589</f>
        <v>29.791552636242692</v>
      </c>
      <c r="M1692" s="13">
        <v>15380</v>
      </c>
      <c r="N1692" s="13" t="s">
        <v>1623</v>
      </c>
      <c r="O1692" s="13" t="s">
        <v>498</v>
      </c>
      <c r="P1692" s="13" t="s">
        <v>499</v>
      </c>
      <c r="Q1692" s="13" t="s">
        <v>1624</v>
      </c>
      <c r="T1692" t="s">
        <v>2804</v>
      </c>
      <c r="U1692" s="25">
        <f>+Municipios!P589</f>
        <v>60.118805827453855</v>
      </c>
      <c r="V1692" s="13">
        <v>15380</v>
      </c>
      <c r="W1692" s="13" t="s">
        <v>1623</v>
      </c>
      <c r="X1692" s="13" t="s">
        <v>498</v>
      </c>
      <c r="Y1692" s="13" t="s">
        <v>499</v>
      </c>
      <c r="Z1692" s="13" t="s">
        <v>1624</v>
      </c>
    </row>
    <row r="1693" spans="1:26">
      <c r="A1693" t="s">
        <v>412</v>
      </c>
      <c r="B1693" s="25">
        <f>+Municipios!P590</f>
        <v>53.977819238172515</v>
      </c>
      <c r="C1693" s="13">
        <v>15810</v>
      </c>
      <c r="D1693" s="13" t="s">
        <v>1625</v>
      </c>
      <c r="E1693" s="13" t="s">
        <v>498</v>
      </c>
      <c r="F1693" s="13" t="s">
        <v>499</v>
      </c>
      <c r="G1693" s="13" t="s">
        <v>1626</v>
      </c>
      <c r="K1693" t="s">
        <v>413</v>
      </c>
      <c r="L1693" s="81">
        <f>+Municipios!U590</f>
        <v>26.584845595311599</v>
      </c>
      <c r="M1693" s="13">
        <v>15810</v>
      </c>
      <c r="N1693" s="13" t="s">
        <v>1625</v>
      </c>
      <c r="O1693" s="13" t="s">
        <v>498</v>
      </c>
      <c r="P1693" s="13" t="s">
        <v>499</v>
      </c>
      <c r="Q1693" s="13" t="s">
        <v>1626</v>
      </c>
      <c r="T1693" t="s">
        <v>2804</v>
      </c>
      <c r="U1693" s="25">
        <f>+Municipios!P590</f>
        <v>53.977819238172515</v>
      </c>
      <c r="V1693" s="13">
        <v>15810</v>
      </c>
      <c r="W1693" s="13" t="s">
        <v>1625</v>
      </c>
      <c r="X1693" s="13" t="s">
        <v>498</v>
      </c>
      <c r="Y1693" s="13" t="s">
        <v>499</v>
      </c>
      <c r="Z1693" s="13" t="s">
        <v>1626</v>
      </c>
    </row>
    <row r="1694" spans="1:26">
      <c r="A1694" t="s">
        <v>412</v>
      </c>
      <c r="B1694" s="25">
        <f>+Municipios!P591</f>
        <v>60.583151430272991</v>
      </c>
      <c r="C1694" s="13">
        <v>25324</v>
      </c>
      <c r="D1694" s="13" t="s">
        <v>1627</v>
      </c>
      <c r="E1694" s="13" t="s">
        <v>461</v>
      </c>
      <c r="F1694" s="13" t="s">
        <v>462</v>
      </c>
      <c r="G1694" s="13" t="s">
        <v>1628</v>
      </c>
      <c r="K1694" t="s">
        <v>413</v>
      </c>
      <c r="L1694" s="81">
        <f>+Municipios!U591</f>
        <v>30.026997701943642</v>
      </c>
      <c r="M1694" s="13">
        <v>25324</v>
      </c>
      <c r="N1694" s="13" t="s">
        <v>1627</v>
      </c>
      <c r="O1694" s="13" t="s">
        <v>461</v>
      </c>
      <c r="P1694" s="13" t="s">
        <v>462</v>
      </c>
      <c r="Q1694" s="13" t="s">
        <v>1628</v>
      </c>
      <c r="T1694" t="s">
        <v>2804</v>
      </c>
      <c r="U1694" s="25">
        <f>+Municipios!P591</f>
        <v>60.583151430272991</v>
      </c>
      <c r="V1694" s="13">
        <v>25324</v>
      </c>
      <c r="W1694" s="13" t="s">
        <v>1627</v>
      </c>
      <c r="X1694" s="13" t="s">
        <v>461</v>
      </c>
      <c r="Y1694" s="13" t="s">
        <v>462</v>
      </c>
      <c r="Z1694" s="13" t="s">
        <v>1628</v>
      </c>
    </row>
    <row r="1695" spans="1:26">
      <c r="A1695" t="s">
        <v>412</v>
      </c>
      <c r="B1695" s="25">
        <f>+Municipios!P592</f>
        <v>42.635439002033507</v>
      </c>
      <c r="C1695" s="13">
        <v>23090</v>
      </c>
      <c r="D1695" s="13" t="s">
        <v>1629</v>
      </c>
      <c r="E1695" s="13" t="s">
        <v>567</v>
      </c>
      <c r="F1695" s="13" t="s">
        <v>568</v>
      </c>
      <c r="G1695" s="13" t="s">
        <v>1630</v>
      </c>
      <c r="K1695" t="s">
        <v>413</v>
      </c>
      <c r="L1695" s="81">
        <f>+Municipios!U592</f>
        <v>21.25897573901787</v>
      </c>
      <c r="M1695" s="13">
        <v>23090</v>
      </c>
      <c r="N1695" s="13" t="s">
        <v>1629</v>
      </c>
      <c r="O1695" s="13" t="s">
        <v>567</v>
      </c>
      <c r="P1695" s="13" t="s">
        <v>568</v>
      </c>
      <c r="Q1695" s="13" t="s">
        <v>1630</v>
      </c>
      <c r="T1695" t="s">
        <v>2804</v>
      </c>
      <c r="U1695" s="25">
        <f>+Municipios!P592</f>
        <v>42.635439002033507</v>
      </c>
      <c r="V1695" s="13">
        <v>23090</v>
      </c>
      <c r="W1695" s="13" t="s">
        <v>1629</v>
      </c>
      <c r="X1695" s="13" t="s">
        <v>567</v>
      </c>
      <c r="Y1695" s="13" t="s">
        <v>568</v>
      </c>
      <c r="Z1695" s="13" t="s">
        <v>1630</v>
      </c>
    </row>
    <row r="1696" spans="1:26">
      <c r="A1696" t="s">
        <v>412</v>
      </c>
      <c r="B1696" s="25">
        <f>+Municipios!P593</f>
        <v>64.382879798571878</v>
      </c>
      <c r="C1696" s="13">
        <v>15696</v>
      </c>
      <c r="D1696" s="13" t="s">
        <v>1631</v>
      </c>
      <c r="E1696" s="13" t="s">
        <v>498</v>
      </c>
      <c r="F1696" s="13" t="s">
        <v>499</v>
      </c>
      <c r="G1696" s="13" t="s">
        <v>1632</v>
      </c>
      <c r="K1696" t="s">
        <v>413</v>
      </c>
      <c r="L1696" s="81">
        <f>+Municipios!U593</f>
        <v>31.942689541479552</v>
      </c>
      <c r="M1696" s="13">
        <v>15696</v>
      </c>
      <c r="N1696" s="13" t="s">
        <v>1631</v>
      </c>
      <c r="O1696" s="13" t="s">
        <v>498</v>
      </c>
      <c r="P1696" s="13" t="s">
        <v>499</v>
      </c>
      <c r="Q1696" s="13" t="s">
        <v>1632</v>
      </c>
      <c r="T1696" t="s">
        <v>2804</v>
      </c>
      <c r="U1696" s="25">
        <f>+Municipios!P593</f>
        <v>64.382879798571878</v>
      </c>
      <c r="V1696" s="13">
        <v>15696</v>
      </c>
      <c r="W1696" s="13" t="s">
        <v>1631</v>
      </c>
      <c r="X1696" s="13" t="s">
        <v>498</v>
      </c>
      <c r="Y1696" s="13" t="s">
        <v>499</v>
      </c>
      <c r="Z1696" s="13" t="s">
        <v>1632</v>
      </c>
    </row>
    <row r="1697" spans="1:26">
      <c r="A1697" t="s">
        <v>412</v>
      </c>
      <c r="B1697" s="25">
        <f>+Municipios!P594</f>
        <v>60.601796382120575</v>
      </c>
      <c r="C1697" s="13">
        <v>68266</v>
      </c>
      <c r="D1697" s="13" t="s">
        <v>1633</v>
      </c>
      <c r="E1697" s="13" t="s">
        <v>431</v>
      </c>
      <c r="F1697" s="13" t="s">
        <v>432</v>
      </c>
      <c r="G1697" s="13" t="s">
        <v>1634</v>
      </c>
      <c r="K1697" t="s">
        <v>413</v>
      </c>
      <c r="L1697" s="81">
        <f>+Municipios!U594</f>
        <v>30.463805986828344</v>
      </c>
      <c r="M1697" s="13">
        <v>68266</v>
      </c>
      <c r="N1697" s="13" t="s">
        <v>1633</v>
      </c>
      <c r="O1697" s="13" t="s">
        <v>431</v>
      </c>
      <c r="P1697" s="13" t="s">
        <v>432</v>
      </c>
      <c r="Q1697" s="13" t="s">
        <v>1634</v>
      </c>
      <c r="T1697" t="s">
        <v>2804</v>
      </c>
      <c r="U1697" s="25">
        <f>+Municipios!P594</f>
        <v>60.601796382120575</v>
      </c>
      <c r="V1697" s="13">
        <v>68266</v>
      </c>
      <c r="W1697" s="13" t="s">
        <v>1633</v>
      </c>
      <c r="X1697" s="13" t="s">
        <v>431</v>
      </c>
      <c r="Y1697" s="13" t="s">
        <v>432</v>
      </c>
      <c r="Z1697" s="13" t="s">
        <v>1634</v>
      </c>
    </row>
    <row r="1698" spans="1:26">
      <c r="A1698" t="s">
        <v>412</v>
      </c>
      <c r="B1698" s="25">
        <f>+Municipios!P595</f>
        <v>66.913663902319229</v>
      </c>
      <c r="C1698" s="13">
        <v>85440</v>
      </c>
      <c r="D1698" s="13" t="s">
        <v>1635</v>
      </c>
      <c r="E1698" s="13" t="s">
        <v>1351</v>
      </c>
      <c r="F1698" s="13" t="s">
        <v>1352</v>
      </c>
      <c r="G1698" s="13" t="s">
        <v>720</v>
      </c>
      <c r="K1698" t="s">
        <v>413</v>
      </c>
      <c r="L1698" s="81">
        <f>+Municipios!U595</f>
        <v>33.165974068727223</v>
      </c>
      <c r="M1698" s="13">
        <v>85440</v>
      </c>
      <c r="N1698" s="13" t="s">
        <v>1635</v>
      </c>
      <c r="O1698" s="13" t="s">
        <v>1351</v>
      </c>
      <c r="P1698" s="13" t="s">
        <v>1352</v>
      </c>
      <c r="Q1698" s="13" t="s">
        <v>720</v>
      </c>
      <c r="T1698" t="s">
        <v>2804</v>
      </c>
      <c r="U1698" s="25">
        <f>+Municipios!P595</f>
        <v>66.913663902319229</v>
      </c>
      <c r="V1698" s="13">
        <v>85440</v>
      </c>
      <c r="W1698" s="13" t="s">
        <v>1635</v>
      </c>
      <c r="X1698" s="13" t="s">
        <v>1351</v>
      </c>
      <c r="Y1698" s="13" t="s">
        <v>1352</v>
      </c>
      <c r="Z1698" s="13" t="s">
        <v>720</v>
      </c>
    </row>
    <row r="1699" spans="1:26">
      <c r="A1699" t="s">
        <v>412</v>
      </c>
      <c r="B1699" s="25">
        <f>+Municipios!P596</f>
        <v>44.653605504129402</v>
      </c>
      <c r="C1699" s="13">
        <v>54418</v>
      </c>
      <c r="D1699" s="13" t="s">
        <v>1636</v>
      </c>
      <c r="E1699" s="13" t="s">
        <v>517</v>
      </c>
      <c r="F1699" s="13" t="s">
        <v>518</v>
      </c>
      <c r="G1699" s="13" t="s">
        <v>1637</v>
      </c>
      <c r="K1699" t="s">
        <v>413</v>
      </c>
      <c r="L1699" s="81">
        <f>+Municipios!U596</f>
        <v>22.375754858668415</v>
      </c>
      <c r="M1699" s="13">
        <v>54418</v>
      </c>
      <c r="N1699" s="13" t="s">
        <v>1636</v>
      </c>
      <c r="O1699" s="13" t="s">
        <v>517</v>
      </c>
      <c r="P1699" s="13" t="s">
        <v>518</v>
      </c>
      <c r="Q1699" s="13" t="s">
        <v>1637</v>
      </c>
      <c r="T1699" t="s">
        <v>2804</v>
      </c>
      <c r="U1699" s="25">
        <f>+Municipios!P596</f>
        <v>44.653605504129402</v>
      </c>
      <c r="V1699" s="13">
        <v>54418</v>
      </c>
      <c r="W1699" s="13" t="s">
        <v>1636</v>
      </c>
      <c r="X1699" s="13" t="s">
        <v>517</v>
      </c>
      <c r="Y1699" s="13" t="s">
        <v>518</v>
      </c>
      <c r="Z1699" s="13" t="s">
        <v>1637</v>
      </c>
    </row>
    <row r="1700" spans="1:26">
      <c r="A1700" t="s">
        <v>412</v>
      </c>
      <c r="B1700" s="25">
        <f>+Municipios!P597</f>
        <v>62.219458255395899</v>
      </c>
      <c r="C1700" s="13">
        <v>15109</v>
      </c>
      <c r="D1700" s="13" t="s">
        <v>1638</v>
      </c>
      <c r="E1700" s="13" t="s">
        <v>498</v>
      </c>
      <c r="F1700" s="13" t="s">
        <v>499</v>
      </c>
      <c r="G1700" s="13" t="s">
        <v>1064</v>
      </c>
      <c r="K1700" t="s">
        <v>413</v>
      </c>
      <c r="L1700" s="81">
        <f>+Municipios!U597</f>
        <v>30.693214188605008</v>
      </c>
      <c r="M1700" s="13">
        <v>15109</v>
      </c>
      <c r="N1700" s="13" t="s">
        <v>1638</v>
      </c>
      <c r="O1700" s="13" t="s">
        <v>498</v>
      </c>
      <c r="P1700" s="13" t="s">
        <v>499</v>
      </c>
      <c r="Q1700" s="13" t="s">
        <v>1064</v>
      </c>
      <c r="T1700" t="s">
        <v>2804</v>
      </c>
      <c r="U1700" s="25">
        <f>+Municipios!P597</f>
        <v>62.219458255395899</v>
      </c>
      <c r="V1700" s="13">
        <v>15109</v>
      </c>
      <c r="W1700" s="13" t="s">
        <v>1638</v>
      </c>
      <c r="X1700" s="13" t="s">
        <v>498</v>
      </c>
      <c r="Y1700" s="13" t="s">
        <v>499</v>
      </c>
      <c r="Z1700" s="13" t="s">
        <v>1064</v>
      </c>
    </row>
    <row r="1701" spans="1:26">
      <c r="A1701" t="s">
        <v>412</v>
      </c>
      <c r="B1701" s="25">
        <f>+Municipios!P598</f>
        <v>54.750490398134787</v>
      </c>
      <c r="C1701" s="13">
        <v>15232</v>
      </c>
      <c r="D1701" s="13" t="s">
        <v>1639</v>
      </c>
      <c r="E1701" s="13" t="s">
        <v>498</v>
      </c>
      <c r="F1701" s="13" t="s">
        <v>499</v>
      </c>
      <c r="G1701" s="13" t="s">
        <v>1640</v>
      </c>
      <c r="K1701" t="s">
        <v>413</v>
      </c>
      <c r="L1701" s="81">
        <f>+Municipios!U598</f>
        <v>27.11388383485086</v>
      </c>
      <c r="M1701" s="13">
        <v>15232</v>
      </c>
      <c r="N1701" s="13" t="s">
        <v>1639</v>
      </c>
      <c r="O1701" s="13" t="s">
        <v>498</v>
      </c>
      <c r="P1701" s="13" t="s">
        <v>499</v>
      </c>
      <c r="Q1701" s="13" t="s">
        <v>1640</v>
      </c>
      <c r="T1701" t="s">
        <v>2804</v>
      </c>
      <c r="U1701" s="25">
        <f>+Municipios!P598</f>
        <v>54.750490398134787</v>
      </c>
      <c r="V1701" s="13">
        <v>15232</v>
      </c>
      <c r="W1701" s="13" t="s">
        <v>1639</v>
      </c>
      <c r="X1701" s="13" t="s">
        <v>498</v>
      </c>
      <c r="Y1701" s="13" t="s">
        <v>499</v>
      </c>
      <c r="Z1701" s="13" t="s">
        <v>1640</v>
      </c>
    </row>
    <row r="1702" spans="1:26">
      <c r="A1702" t="s">
        <v>412</v>
      </c>
      <c r="B1702" s="25">
        <f>+Municipios!P599</f>
        <v>65.76350175336546</v>
      </c>
      <c r="C1702" s="13">
        <v>41006</v>
      </c>
      <c r="D1702" s="13" t="s">
        <v>1641</v>
      </c>
      <c r="E1702" s="13" t="s">
        <v>676</v>
      </c>
      <c r="F1702" s="13" t="s">
        <v>677</v>
      </c>
      <c r="G1702" s="13" t="s">
        <v>1642</v>
      </c>
      <c r="K1702" t="s">
        <v>413</v>
      </c>
      <c r="L1702" s="81">
        <f>+Municipios!U599</f>
        <v>32.806615400531044</v>
      </c>
      <c r="M1702" s="13">
        <v>41006</v>
      </c>
      <c r="N1702" s="13" t="s">
        <v>1641</v>
      </c>
      <c r="O1702" s="13" t="s">
        <v>676</v>
      </c>
      <c r="P1702" s="13" t="s">
        <v>677</v>
      </c>
      <c r="Q1702" s="13" t="s">
        <v>1642</v>
      </c>
      <c r="T1702" t="s">
        <v>2804</v>
      </c>
      <c r="U1702" s="25">
        <f>+Municipios!P599</f>
        <v>65.76350175336546</v>
      </c>
      <c r="V1702" s="13">
        <v>41006</v>
      </c>
      <c r="W1702" s="13" t="s">
        <v>1641</v>
      </c>
      <c r="X1702" s="13" t="s">
        <v>676</v>
      </c>
      <c r="Y1702" s="13" t="s">
        <v>677</v>
      </c>
      <c r="Z1702" s="13" t="s">
        <v>1642</v>
      </c>
    </row>
    <row r="1703" spans="1:26">
      <c r="A1703" t="s">
        <v>412</v>
      </c>
      <c r="B1703" s="25">
        <f>+Municipios!P600</f>
        <v>46.938706334830002</v>
      </c>
      <c r="C1703" s="13">
        <v>19075</v>
      </c>
      <c r="D1703" s="13" t="s">
        <v>1643</v>
      </c>
      <c r="E1703" s="13" t="s">
        <v>557</v>
      </c>
      <c r="F1703" s="13" t="s">
        <v>558</v>
      </c>
      <c r="G1703" s="13" t="s">
        <v>1301</v>
      </c>
      <c r="K1703" t="s">
        <v>413</v>
      </c>
      <c r="L1703" s="81">
        <f>+Municipios!U600</f>
        <v>23.346909244229792</v>
      </c>
      <c r="M1703" s="13">
        <v>19075</v>
      </c>
      <c r="N1703" s="13" t="s">
        <v>1643</v>
      </c>
      <c r="O1703" s="13" t="s">
        <v>557</v>
      </c>
      <c r="P1703" s="13" t="s">
        <v>558</v>
      </c>
      <c r="Q1703" s="13" t="s">
        <v>1301</v>
      </c>
      <c r="T1703" t="s">
        <v>2804</v>
      </c>
      <c r="U1703" s="25">
        <f>+Municipios!P600</f>
        <v>46.938706334830002</v>
      </c>
      <c r="V1703" s="13">
        <v>19075</v>
      </c>
      <c r="W1703" s="13" t="s">
        <v>1643</v>
      </c>
      <c r="X1703" s="13" t="s">
        <v>557</v>
      </c>
      <c r="Y1703" s="13" t="s">
        <v>558</v>
      </c>
      <c r="Z1703" s="13" t="s">
        <v>1301</v>
      </c>
    </row>
    <row r="1704" spans="1:26">
      <c r="A1704" t="s">
        <v>412</v>
      </c>
      <c r="B1704" s="25">
        <f>+Municipios!P601</f>
        <v>60.356158664742551</v>
      </c>
      <c r="C1704" s="13">
        <v>25506</v>
      </c>
      <c r="D1704" s="13" t="s">
        <v>1644</v>
      </c>
      <c r="E1704" s="13" t="s">
        <v>461</v>
      </c>
      <c r="F1704" s="13" t="s">
        <v>462</v>
      </c>
      <c r="G1704" s="13" t="s">
        <v>953</v>
      </c>
      <c r="K1704" t="s">
        <v>413</v>
      </c>
      <c r="L1704" s="81">
        <f>+Municipios!U601</f>
        <v>29.656598009476049</v>
      </c>
      <c r="M1704" s="13">
        <v>25506</v>
      </c>
      <c r="N1704" s="13" t="s">
        <v>1644</v>
      </c>
      <c r="O1704" s="13" t="s">
        <v>461</v>
      </c>
      <c r="P1704" s="13" t="s">
        <v>462</v>
      </c>
      <c r="Q1704" s="13" t="s">
        <v>953</v>
      </c>
      <c r="T1704" t="s">
        <v>2804</v>
      </c>
      <c r="U1704" s="25">
        <f>+Municipios!P601</f>
        <v>60.356158664742551</v>
      </c>
      <c r="V1704" s="13">
        <v>25506</v>
      </c>
      <c r="W1704" s="13" t="s">
        <v>1644</v>
      </c>
      <c r="X1704" s="13" t="s">
        <v>461</v>
      </c>
      <c r="Y1704" s="13" t="s">
        <v>462</v>
      </c>
      <c r="Z1704" s="13" t="s">
        <v>953</v>
      </c>
    </row>
    <row r="1705" spans="1:26">
      <c r="A1705" t="s">
        <v>412</v>
      </c>
      <c r="B1705" s="25">
        <f>+Municipios!P602</f>
        <v>45.832270415165453</v>
      </c>
      <c r="C1705" s="13">
        <v>70265</v>
      </c>
      <c r="D1705" s="13" t="s">
        <v>1645</v>
      </c>
      <c r="E1705" s="13" t="s">
        <v>494</v>
      </c>
      <c r="F1705" s="13" t="s">
        <v>495</v>
      </c>
      <c r="G1705" s="13" t="s">
        <v>1646</v>
      </c>
      <c r="K1705" t="s">
        <v>413</v>
      </c>
      <c r="L1705" s="81">
        <f>+Municipios!U602</f>
        <v>22.9013847684128</v>
      </c>
      <c r="M1705" s="13">
        <v>70265</v>
      </c>
      <c r="N1705" s="13" t="s">
        <v>1645</v>
      </c>
      <c r="O1705" s="13" t="s">
        <v>494</v>
      </c>
      <c r="P1705" s="13" t="s">
        <v>495</v>
      </c>
      <c r="Q1705" s="13" t="s">
        <v>1646</v>
      </c>
      <c r="T1705" t="s">
        <v>2804</v>
      </c>
      <c r="U1705" s="25">
        <f>+Municipios!P602</f>
        <v>45.832270415165453</v>
      </c>
      <c r="V1705" s="13">
        <v>70265</v>
      </c>
      <c r="W1705" s="13" t="s">
        <v>1645</v>
      </c>
      <c r="X1705" s="13" t="s">
        <v>494</v>
      </c>
      <c r="Y1705" s="13" t="s">
        <v>495</v>
      </c>
      <c r="Z1705" s="13" t="s">
        <v>1646</v>
      </c>
    </row>
    <row r="1706" spans="1:26">
      <c r="A1706" t="s">
        <v>412</v>
      </c>
      <c r="B1706" s="25">
        <f>+Municipios!P603</f>
        <v>58.281926927917496</v>
      </c>
      <c r="C1706" s="13">
        <v>20238</v>
      </c>
      <c r="D1706" s="13" t="s">
        <v>1647</v>
      </c>
      <c r="E1706" s="13" t="s">
        <v>893</v>
      </c>
      <c r="F1706" s="13" t="s">
        <v>894</v>
      </c>
      <c r="G1706" s="13" t="s">
        <v>1648</v>
      </c>
      <c r="K1706" t="s">
        <v>413</v>
      </c>
      <c r="L1706" s="81">
        <f>+Municipios!U603</f>
        <v>28.979348533762273</v>
      </c>
      <c r="M1706" s="13">
        <v>20238</v>
      </c>
      <c r="N1706" s="13" t="s">
        <v>1647</v>
      </c>
      <c r="O1706" s="13" t="s">
        <v>893</v>
      </c>
      <c r="P1706" s="13" t="s">
        <v>894</v>
      </c>
      <c r="Q1706" s="13" t="s">
        <v>1648</v>
      </c>
      <c r="T1706" t="s">
        <v>2804</v>
      </c>
      <c r="U1706" s="25">
        <f>+Municipios!P603</f>
        <v>58.281926927917496</v>
      </c>
      <c r="V1706" s="13">
        <v>20238</v>
      </c>
      <c r="W1706" s="13" t="s">
        <v>1647</v>
      </c>
      <c r="X1706" s="13" t="s">
        <v>893</v>
      </c>
      <c r="Y1706" s="13" t="s">
        <v>894</v>
      </c>
      <c r="Z1706" s="13" t="s">
        <v>1648</v>
      </c>
    </row>
    <row r="1707" spans="1:26">
      <c r="A1707" t="s">
        <v>412</v>
      </c>
      <c r="B1707" s="25">
        <f>+Municipios!P604</f>
        <v>56.106040238742807</v>
      </c>
      <c r="C1707" s="13">
        <v>15114</v>
      </c>
      <c r="D1707" s="13" t="s">
        <v>1649</v>
      </c>
      <c r="E1707" s="13" t="s">
        <v>498</v>
      </c>
      <c r="F1707" s="13" t="s">
        <v>499</v>
      </c>
      <c r="G1707" s="13" t="s">
        <v>1650</v>
      </c>
      <c r="K1707" t="s">
        <v>413</v>
      </c>
      <c r="L1707" s="81">
        <f>+Municipios!U604</f>
        <v>28.06289659811857</v>
      </c>
      <c r="M1707" s="13">
        <v>15114</v>
      </c>
      <c r="N1707" s="13" t="s">
        <v>1649</v>
      </c>
      <c r="O1707" s="13" t="s">
        <v>498</v>
      </c>
      <c r="P1707" s="13" t="s">
        <v>499</v>
      </c>
      <c r="Q1707" s="13" t="s">
        <v>1650</v>
      </c>
      <c r="T1707" t="s">
        <v>2804</v>
      </c>
      <c r="U1707" s="25">
        <f>+Municipios!P604</f>
        <v>56.106040238742807</v>
      </c>
      <c r="V1707" s="13">
        <v>15114</v>
      </c>
      <c r="W1707" s="13" t="s">
        <v>1649</v>
      </c>
      <c r="X1707" s="13" t="s">
        <v>498</v>
      </c>
      <c r="Y1707" s="13" t="s">
        <v>499</v>
      </c>
      <c r="Z1707" s="13" t="s">
        <v>1650</v>
      </c>
    </row>
    <row r="1708" spans="1:26">
      <c r="A1708" t="s">
        <v>412</v>
      </c>
      <c r="B1708" s="25">
        <f>+Municipios!P605</f>
        <v>54.69385116890642</v>
      </c>
      <c r="C1708" s="13">
        <v>70429</v>
      </c>
      <c r="D1708" s="13" t="s">
        <v>1651</v>
      </c>
      <c r="E1708" s="13" t="s">
        <v>494</v>
      </c>
      <c r="F1708" s="13" t="s">
        <v>495</v>
      </c>
      <c r="G1708" s="13" t="s">
        <v>1652</v>
      </c>
      <c r="K1708" t="s">
        <v>413</v>
      </c>
      <c r="L1708" s="81">
        <f>+Municipios!U605</f>
        <v>26.987298938142551</v>
      </c>
      <c r="M1708" s="13">
        <v>70429</v>
      </c>
      <c r="N1708" s="13" t="s">
        <v>1651</v>
      </c>
      <c r="O1708" s="13" t="s">
        <v>494</v>
      </c>
      <c r="P1708" s="13" t="s">
        <v>495</v>
      </c>
      <c r="Q1708" s="13" t="s">
        <v>1652</v>
      </c>
      <c r="T1708" t="s">
        <v>2804</v>
      </c>
      <c r="U1708" s="25">
        <f>+Municipios!P605</f>
        <v>54.69385116890642</v>
      </c>
      <c r="V1708" s="13">
        <v>70429</v>
      </c>
      <c r="W1708" s="13" t="s">
        <v>1651</v>
      </c>
      <c r="X1708" s="13" t="s">
        <v>494</v>
      </c>
      <c r="Y1708" s="13" t="s">
        <v>495</v>
      </c>
      <c r="Z1708" s="13" t="s">
        <v>1652</v>
      </c>
    </row>
    <row r="1709" spans="1:26">
      <c r="A1709" t="s">
        <v>412</v>
      </c>
      <c r="B1709" s="25">
        <f>+Municipios!P606</f>
        <v>53.766357299490352</v>
      </c>
      <c r="C1709" s="13">
        <v>47745</v>
      </c>
      <c r="D1709" s="13" t="s">
        <v>1653</v>
      </c>
      <c r="E1709" s="13" t="s">
        <v>638</v>
      </c>
      <c r="F1709" s="13" t="s">
        <v>639</v>
      </c>
      <c r="G1709" s="13" t="s">
        <v>1654</v>
      </c>
      <c r="K1709" t="s">
        <v>413</v>
      </c>
      <c r="L1709" s="81">
        <f>+Municipios!U606</f>
        <v>26.637555419922283</v>
      </c>
      <c r="M1709" s="13">
        <v>47745</v>
      </c>
      <c r="N1709" s="13" t="s">
        <v>1653</v>
      </c>
      <c r="O1709" s="13" t="s">
        <v>638</v>
      </c>
      <c r="P1709" s="13" t="s">
        <v>639</v>
      </c>
      <c r="Q1709" s="13" t="s">
        <v>1654</v>
      </c>
      <c r="T1709" t="s">
        <v>2804</v>
      </c>
      <c r="U1709" s="25">
        <f>+Municipios!P606</f>
        <v>53.766357299490352</v>
      </c>
      <c r="V1709" s="13">
        <v>47745</v>
      </c>
      <c r="W1709" s="13" t="s">
        <v>1653</v>
      </c>
      <c r="X1709" s="13" t="s">
        <v>638</v>
      </c>
      <c r="Y1709" s="13" t="s">
        <v>639</v>
      </c>
      <c r="Z1709" s="13" t="s">
        <v>1654</v>
      </c>
    </row>
    <row r="1710" spans="1:26">
      <c r="A1710" t="s">
        <v>412</v>
      </c>
      <c r="B1710" s="25">
        <f>+Municipios!P607</f>
        <v>59.175721727205314</v>
      </c>
      <c r="C1710" s="13">
        <v>50226</v>
      </c>
      <c r="D1710" s="13" t="s">
        <v>1655</v>
      </c>
      <c r="E1710" s="13" t="s">
        <v>605</v>
      </c>
      <c r="F1710" s="13" t="s">
        <v>606</v>
      </c>
      <c r="G1710" s="13" t="s">
        <v>1656</v>
      </c>
      <c r="K1710" t="s">
        <v>413</v>
      </c>
      <c r="L1710" s="81">
        <f>+Municipios!U607</f>
        <v>28.60056680328708</v>
      </c>
      <c r="M1710" s="13">
        <v>50226</v>
      </c>
      <c r="N1710" s="13" t="s">
        <v>1655</v>
      </c>
      <c r="O1710" s="13" t="s">
        <v>605</v>
      </c>
      <c r="P1710" s="13" t="s">
        <v>606</v>
      </c>
      <c r="Q1710" s="13" t="s">
        <v>1656</v>
      </c>
      <c r="T1710" t="s">
        <v>2804</v>
      </c>
      <c r="U1710" s="25">
        <f>+Municipios!P607</f>
        <v>59.175721727205314</v>
      </c>
      <c r="V1710" s="13">
        <v>50226</v>
      </c>
      <c r="W1710" s="13" t="s">
        <v>1655</v>
      </c>
      <c r="X1710" s="13" t="s">
        <v>605</v>
      </c>
      <c r="Y1710" s="13" t="s">
        <v>606</v>
      </c>
      <c r="Z1710" s="13" t="s">
        <v>1656</v>
      </c>
    </row>
    <row r="1711" spans="1:26">
      <c r="A1711" t="s">
        <v>412</v>
      </c>
      <c r="B1711" s="25">
        <f>+Municipios!P608</f>
        <v>48.101994864267617</v>
      </c>
      <c r="C1711" s="13">
        <v>13440</v>
      </c>
      <c r="D1711" s="13" t="s">
        <v>1657</v>
      </c>
      <c r="E1711" s="13" t="s">
        <v>480</v>
      </c>
      <c r="F1711" s="13" t="s">
        <v>481</v>
      </c>
      <c r="G1711" s="13" t="s">
        <v>1658</v>
      </c>
      <c r="K1711" t="s">
        <v>413</v>
      </c>
      <c r="L1711" s="81">
        <f>+Municipios!U608</f>
        <v>23.727014657250155</v>
      </c>
      <c r="M1711" s="13">
        <v>13440</v>
      </c>
      <c r="N1711" s="13" t="s">
        <v>1657</v>
      </c>
      <c r="O1711" s="13" t="s">
        <v>480</v>
      </c>
      <c r="P1711" s="13" t="s">
        <v>481</v>
      </c>
      <c r="Q1711" s="13" t="s">
        <v>1658</v>
      </c>
      <c r="T1711" t="s">
        <v>2804</v>
      </c>
      <c r="U1711" s="25">
        <f>+Municipios!P608</f>
        <v>48.101994864267617</v>
      </c>
      <c r="V1711" s="13">
        <v>13440</v>
      </c>
      <c r="W1711" s="13" t="s">
        <v>1657</v>
      </c>
      <c r="X1711" s="13" t="s">
        <v>480</v>
      </c>
      <c r="Y1711" s="13" t="s">
        <v>481</v>
      </c>
      <c r="Z1711" s="13" t="s">
        <v>1658</v>
      </c>
    </row>
    <row r="1712" spans="1:26">
      <c r="A1712" t="s">
        <v>412</v>
      </c>
      <c r="B1712" s="25">
        <f>+Municipios!P609</f>
        <v>57.709670626776521</v>
      </c>
      <c r="C1712" s="13">
        <v>68500</v>
      </c>
      <c r="D1712" s="13" t="s">
        <v>1659</v>
      </c>
      <c r="E1712" s="13" t="s">
        <v>431</v>
      </c>
      <c r="F1712" s="13" t="s">
        <v>432</v>
      </c>
      <c r="G1712" s="13" t="s">
        <v>1660</v>
      </c>
      <c r="K1712" t="s">
        <v>413</v>
      </c>
      <c r="L1712" s="81">
        <f>+Municipios!U609</f>
        <v>28.540068701280568</v>
      </c>
      <c r="M1712" s="13">
        <v>68500</v>
      </c>
      <c r="N1712" s="13" t="s">
        <v>1659</v>
      </c>
      <c r="O1712" s="13" t="s">
        <v>431</v>
      </c>
      <c r="P1712" s="13" t="s">
        <v>432</v>
      </c>
      <c r="Q1712" s="13" t="s">
        <v>1660</v>
      </c>
      <c r="T1712" t="s">
        <v>2804</v>
      </c>
      <c r="U1712" s="25">
        <f>+Municipios!P609</f>
        <v>57.709670626776521</v>
      </c>
      <c r="V1712" s="13">
        <v>68500</v>
      </c>
      <c r="W1712" s="13" t="s">
        <v>1659</v>
      </c>
      <c r="X1712" s="13" t="s">
        <v>431</v>
      </c>
      <c r="Y1712" s="13" t="s">
        <v>432</v>
      </c>
      <c r="Z1712" s="13" t="s">
        <v>1660</v>
      </c>
    </row>
    <row r="1713" spans="1:26">
      <c r="A1713" t="s">
        <v>412</v>
      </c>
      <c r="B1713" s="25">
        <f>+Municipios!P610</f>
        <v>58.842159906945135</v>
      </c>
      <c r="C1713" s="13">
        <v>73504</v>
      </c>
      <c r="D1713" s="13" t="s">
        <v>1661</v>
      </c>
      <c r="E1713" s="13" t="s">
        <v>595</v>
      </c>
      <c r="F1713" s="13" t="s">
        <v>596</v>
      </c>
      <c r="G1713" s="13" t="s">
        <v>1662</v>
      </c>
      <c r="K1713" t="s">
        <v>413</v>
      </c>
      <c r="L1713" s="81">
        <f>+Municipios!U610</f>
        <v>29.298738651117031</v>
      </c>
      <c r="M1713" s="13">
        <v>73504</v>
      </c>
      <c r="N1713" s="13" t="s">
        <v>1661</v>
      </c>
      <c r="O1713" s="13" t="s">
        <v>595</v>
      </c>
      <c r="P1713" s="13" t="s">
        <v>596</v>
      </c>
      <c r="Q1713" s="13" t="s">
        <v>1662</v>
      </c>
      <c r="T1713" t="s">
        <v>2804</v>
      </c>
      <c r="U1713" s="25">
        <f>+Municipios!P610</f>
        <v>58.842159906945135</v>
      </c>
      <c r="V1713" s="13">
        <v>73504</v>
      </c>
      <c r="W1713" s="13" t="s">
        <v>1661</v>
      </c>
      <c r="X1713" s="13" t="s">
        <v>595</v>
      </c>
      <c r="Y1713" s="13" t="s">
        <v>596</v>
      </c>
      <c r="Z1713" s="13" t="s">
        <v>1662</v>
      </c>
    </row>
    <row r="1714" spans="1:26">
      <c r="A1714" t="s">
        <v>412</v>
      </c>
      <c r="B1714" s="25">
        <f>+Municipios!P611</f>
        <v>60.179702414073063</v>
      </c>
      <c r="C1714" s="13">
        <v>23855</v>
      </c>
      <c r="D1714" s="13" t="s">
        <v>1663</v>
      </c>
      <c r="E1714" s="13" t="s">
        <v>567</v>
      </c>
      <c r="F1714" s="13" t="s">
        <v>568</v>
      </c>
      <c r="G1714" s="13" t="s">
        <v>1664</v>
      </c>
      <c r="K1714" t="s">
        <v>413</v>
      </c>
      <c r="L1714" s="81">
        <f>+Municipios!U611</f>
        <v>29.813935526055644</v>
      </c>
      <c r="M1714" s="13">
        <v>23855</v>
      </c>
      <c r="N1714" s="13" t="s">
        <v>1663</v>
      </c>
      <c r="O1714" s="13" t="s">
        <v>567</v>
      </c>
      <c r="P1714" s="13" t="s">
        <v>568</v>
      </c>
      <c r="Q1714" s="13" t="s">
        <v>1664</v>
      </c>
      <c r="T1714" t="s">
        <v>2804</v>
      </c>
      <c r="U1714" s="25">
        <f>+Municipios!P611</f>
        <v>60.179702414073063</v>
      </c>
      <c r="V1714" s="13">
        <v>23855</v>
      </c>
      <c r="W1714" s="13" t="s">
        <v>1663</v>
      </c>
      <c r="X1714" s="13" t="s">
        <v>567</v>
      </c>
      <c r="Y1714" s="13" t="s">
        <v>568</v>
      </c>
      <c r="Z1714" s="13" t="s">
        <v>1664</v>
      </c>
    </row>
    <row r="1715" spans="1:26">
      <c r="A1715" t="s">
        <v>412</v>
      </c>
      <c r="B1715" s="25">
        <f>+Municipios!P612</f>
        <v>57.857948364740238</v>
      </c>
      <c r="C1715" s="13">
        <v>5819</v>
      </c>
      <c r="D1715" s="13" t="s">
        <v>1665</v>
      </c>
      <c r="E1715" s="13" t="s">
        <v>435</v>
      </c>
      <c r="F1715" s="13" t="s">
        <v>436</v>
      </c>
      <c r="G1715" s="13" t="s">
        <v>1666</v>
      </c>
      <c r="K1715" t="s">
        <v>413</v>
      </c>
      <c r="L1715" s="81">
        <f>+Municipios!U612</f>
        <v>28.090455248711621</v>
      </c>
      <c r="M1715" s="13">
        <v>5819</v>
      </c>
      <c r="N1715" s="13" t="s">
        <v>1665</v>
      </c>
      <c r="O1715" s="13" t="s">
        <v>435</v>
      </c>
      <c r="P1715" s="13" t="s">
        <v>436</v>
      </c>
      <c r="Q1715" s="13" t="s">
        <v>1666</v>
      </c>
      <c r="T1715" t="s">
        <v>2804</v>
      </c>
      <c r="U1715" s="25">
        <f>+Municipios!P612</f>
        <v>57.857948364740238</v>
      </c>
      <c r="V1715" s="13">
        <v>5819</v>
      </c>
      <c r="W1715" s="13" t="s">
        <v>1665</v>
      </c>
      <c r="X1715" s="13" t="s">
        <v>435</v>
      </c>
      <c r="Y1715" s="13" t="s">
        <v>436</v>
      </c>
      <c r="Z1715" s="13" t="s">
        <v>1666</v>
      </c>
    </row>
    <row r="1716" spans="1:26">
      <c r="A1716" t="s">
        <v>412</v>
      </c>
      <c r="B1716" s="25">
        <f>+Municipios!P613</f>
        <v>60.877727258552568</v>
      </c>
      <c r="C1716" s="13">
        <v>86001</v>
      </c>
      <c r="D1716" s="13" t="s">
        <v>1667</v>
      </c>
      <c r="E1716" s="13" t="s">
        <v>943</v>
      </c>
      <c r="F1716" s="13" t="s">
        <v>944</v>
      </c>
      <c r="G1716" s="13" t="s">
        <v>1668</v>
      </c>
      <c r="K1716" t="s">
        <v>413</v>
      </c>
      <c r="L1716" s="81">
        <f>+Municipios!U613</f>
        <v>30.176519229923759</v>
      </c>
      <c r="M1716" s="13">
        <v>86001</v>
      </c>
      <c r="N1716" s="13" t="s">
        <v>1667</v>
      </c>
      <c r="O1716" s="13" t="s">
        <v>943</v>
      </c>
      <c r="P1716" s="13" t="s">
        <v>944</v>
      </c>
      <c r="Q1716" s="13" t="s">
        <v>1668</v>
      </c>
      <c r="T1716" t="s">
        <v>2804</v>
      </c>
      <c r="U1716" s="25">
        <f>+Municipios!P613</f>
        <v>60.877727258552568</v>
      </c>
      <c r="V1716" s="13">
        <v>86001</v>
      </c>
      <c r="W1716" s="13" t="s">
        <v>1667</v>
      </c>
      <c r="X1716" s="13" t="s">
        <v>943</v>
      </c>
      <c r="Y1716" s="13" t="s">
        <v>944</v>
      </c>
      <c r="Z1716" s="13" t="s">
        <v>1668</v>
      </c>
    </row>
    <row r="1717" spans="1:26">
      <c r="A1717" t="s">
        <v>412</v>
      </c>
      <c r="B1717" s="25">
        <f>+Municipios!P614</f>
        <v>46.306954855024884</v>
      </c>
      <c r="C1717" s="13">
        <v>73217</v>
      </c>
      <c r="D1717" s="13" t="s">
        <v>1669</v>
      </c>
      <c r="E1717" s="13" t="s">
        <v>595</v>
      </c>
      <c r="F1717" s="13" t="s">
        <v>596</v>
      </c>
      <c r="G1717" s="13" t="s">
        <v>1670</v>
      </c>
      <c r="K1717" t="s">
        <v>413</v>
      </c>
      <c r="L1717" s="81">
        <f>+Municipios!U614</f>
        <v>22.899863168937991</v>
      </c>
      <c r="M1717" s="13">
        <v>73217</v>
      </c>
      <c r="N1717" s="13" t="s">
        <v>1669</v>
      </c>
      <c r="O1717" s="13" t="s">
        <v>595</v>
      </c>
      <c r="P1717" s="13" t="s">
        <v>596</v>
      </c>
      <c r="Q1717" s="13" t="s">
        <v>1670</v>
      </c>
      <c r="T1717" t="s">
        <v>2804</v>
      </c>
      <c r="U1717" s="25">
        <f>+Municipios!P614</f>
        <v>46.306954855024884</v>
      </c>
      <c r="V1717" s="13">
        <v>73217</v>
      </c>
      <c r="W1717" s="13" t="s">
        <v>1669</v>
      </c>
      <c r="X1717" s="13" t="s">
        <v>595</v>
      </c>
      <c r="Y1717" s="13" t="s">
        <v>596</v>
      </c>
      <c r="Z1717" s="13" t="s">
        <v>1670</v>
      </c>
    </row>
    <row r="1718" spans="1:26">
      <c r="A1718" t="s">
        <v>412</v>
      </c>
      <c r="B1718" s="25">
        <f>+Municipios!P615</f>
        <v>51.745790093142148</v>
      </c>
      <c r="C1718" s="13">
        <v>52258</v>
      </c>
      <c r="D1718" s="13" t="s">
        <v>1671</v>
      </c>
      <c r="E1718" s="13" t="s">
        <v>672</v>
      </c>
      <c r="F1718" s="13" t="s">
        <v>673</v>
      </c>
      <c r="G1718" s="13" t="s">
        <v>1672</v>
      </c>
      <c r="K1718" t="s">
        <v>413</v>
      </c>
      <c r="L1718" s="81">
        <f>+Municipios!U615</f>
        <v>25.437297175937069</v>
      </c>
      <c r="M1718" s="13">
        <v>52258</v>
      </c>
      <c r="N1718" s="13" t="s">
        <v>1671</v>
      </c>
      <c r="O1718" s="13" t="s">
        <v>672</v>
      </c>
      <c r="P1718" s="13" t="s">
        <v>673</v>
      </c>
      <c r="Q1718" s="13" t="s">
        <v>1672</v>
      </c>
      <c r="T1718" t="s">
        <v>2804</v>
      </c>
      <c r="U1718" s="25">
        <f>+Municipios!P615</f>
        <v>51.745790093142148</v>
      </c>
      <c r="V1718" s="13">
        <v>52258</v>
      </c>
      <c r="W1718" s="13" t="s">
        <v>1671</v>
      </c>
      <c r="X1718" s="13" t="s">
        <v>672</v>
      </c>
      <c r="Y1718" s="13" t="s">
        <v>673</v>
      </c>
      <c r="Z1718" s="13" t="s">
        <v>1672</v>
      </c>
    </row>
    <row r="1719" spans="1:26">
      <c r="A1719" t="s">
        <v>412</v>
      </c>
      <c r="B1719" s="25">
        <f>+Municipios!P616</f>
        <v>64.596805793298643</v>
      </c>
      <c r="C1719" s="13">
        <v>63690</v>
      </c>
      <c r="D1719" s="13" t="s">
        <v>1673</v>
      </c>
      <c r="E1719" s="13" t="s">
        <v>473</v>
      </c>
      <c r="F1719" s="13" t="s">
        <v>474</v>
      </c>
      <c r="G1719" s="13" t="s">
        <v>1674</v>
      </c>
      <c r="K1719" t="s">
        <v>413</v>
      </c>
      <c r="L1719" s="81">
        <f>+Municipios!U616</f>
        <v>31.739008616575337</v>
      </c>
      <c r="M1719" s="13">
        <v>63690</v>
      </c>
      <c r="N1719" s="13" t="s">
        <v>1673</v>
      </c>
      <c r="O1719" s="13" t="s">
        <v>473</v>
      </c>
      <c r="P1719" s="13" t="s">
        <v>474</v>
      </c>
      <c r="Q1719" s="13" t="s">
        <v>1674</v>
      </c>
      <c r="T1719" t="s">
        <v>2804</v>
      </c>
      <c r="U1719" s="25">
        <f>+Municipios!P616</f>
        <v>64.596805793298643</v>
      </c>
      <c r="V1719" s="13">
        <v>63690</v>
      </c>
      <c r="W1719" s="13" t="s">
        <v>1673</v>
      </c>
      <c r="X1719" s="13" t="s">
        <v>473</v>
      </c>
      <c r="Y1719" s="13" t="s">
        <v>474</v>
      </c>
      <c r="Z1719" s="13" t="s">
        <v>1674</v>
      </c>
    </row>
    <row r="1720" spans="1:26">
      <c r="A1720" t="s">
        <v>412</v>
      </c>
      <c r="B1720" s="25">
        <f>+Municipios!P617</f>
        <v>66.965002481317541</v>
      </c>
      <c r="C1720" s="13">
        <v>41349</v>
      </c>
      <c r="D1720" s="13" t="s">
        <v>1675</v>
      </c>
      <c r="E1720" s="13" t="s">
        <v>676</v>
      </c>
      <c r="F1720" s="13" t="s">
        <v>677</v>
      </c>
      <c r="G1720" s="13" t="s">
        <v>1676</v>
      </c>
      <c r="K1720" t="s">
        <v>413</v>
      </c>
      <c r="L1720" s="81">
        <f>+Municipios!U617</f>
        <v>33.200482048455783</v>
      </c>
      <c r="M1720" s="13">
        <v>41349</v>
      </c>
      <c r="N1720" s="13" t="s">
        <v>1675</v>
      </c>
      <c r="O1720" s="13" t="s">
        <v>676</v>
      </c>
      <c r="P1720" s="13" t="s">
        <v>677</v>
      </c>
      <c r="Q1720" s="13" t="s">
        <v>1676</v>
      </c>
      <c r="T1720" t="s">
        <v>2804</v>
      </c>
      <c r="U1720" s="25">
        <f>+Municipios!P617</f>
        <v>66.965002481317541</v>
      </c>
      <c r="V1720" s="13">
        <v>41349</v>
      </c>
      <c r="W1720" s="13" t="s">
        <v>1675</v>
      </c>
      <c r="X1720" s="13" t="s">
        <v>676</v>
      </c>
      <c r="Y1720" s="13" t="s">
        <v>677</v>
      </c>
      <c r="Z1720" s="13" t="s">
        <v>1676</v>
      </c>
    </row>
    <row r="1721" spans="1:26">
      <c r="A1721" t="s">
        <v>412</v>
      </c>
      <c r="B1721" s="25">
        <f>+Municipios!P618</f>
        <v>53.06034144680703</v>
      </c>
      <c r="C1721" s="13">
        <v>15185</v>
      </c>
      <c r="D1721" s="13" t="s">
        <v>1677</v>
      </c>
      <c r="E1721" s="13" t="s">
        <v>498</v>
      </c>
      <c r="F1721" s="13" t="s">
        <v>499</v>
      </c>
      <c r="G1721" s="13" t="s">
        <v>1678</v>
      </c>
      <c r="K1721" t="s">
        <v>413</v>
      </c>
      <c r="L1721" s="81">
        <f>+Municipios!U618</f>
        <v>25.768190100462327</v>
      </c>
      <c r="M1721" s="13">
        <v>15185</v>
      </c>
      <c r="N1721" s="13" t="s">
        <v>1677</v>
      </c>
      <c r="O1721" s="13" t="s">
        <v>498</v>
      </c>
      <c r="P1721" s="13" t="s">
        <v>499</v>
      </c>
      <c r="Q1721" s="13" t="s">
        <v>1678</v>
      </c>
      <c r="T1721" t="s">
        <v>2804</v>
      </c>
      <c r="U1721" s="25">
        <f>+Municipios!P618</f>
        <v>53.06034144680703</v>
      </c>
      <c r="V1721" s="13">
        <v>15185</v>
      </c>
      <c r="W1721" s="13" t="s">
        <v>1677</v>
      </c>
      <c r="X1721" s="13" t="s">
        <v>498</v>
      </c>
      <c r="Y1721" s="13" t="s">
        <v>499</v>
      </c>
      <c r="Z1721" s="13" t="s">
        <v>1678</v>
      </c>
    </row>
    <row r="1722" spans="1:26">
      <c r="A1722" t="s">
        <v>412</v>
      </c>
      <c r="B1722" s="25">
        <f>+Municipios!P619</f>
        <v>54.013140054222937</v>
      </c>
      <c r="C1722" s="13">
        <v>52678</v>
      </c>
      <c r="D1722" s="13" t="s">
        <v>1679</v>
      </c>
      <c r="E1722" s="13" t="s">
        <v>672</v>
      </c>
      <c r="F1722" s="13" t="s">
        <v>673</v>
      </c>
      <c r="G1722" s="13" t="s">
        <v>1680</v>
      </c>
      <c r="K1722" t="s">
        <v>413</v>
      </c>
      <c r="L1722" s="81">
        <f>+Municipios!U619</f>
        <v>26.525687810847575</v>
      </c>
      <c r="M1722" s="13">
        <v>52678</v>
      </c>
      <c r="N1722" s="13" t="s">
        <v>1679</v>
      </c>
      <c r="O1722" s="13" t="s">
        <v>672</v>
      </c>
      <c r="P1722" s="13" t="s">
        <v>673</v>
      </c>
      <c r="Q1722" s="13" t="s">
        <v>1680</v>
      </c>
      <c r="T1722" t="s">
        <v>2804</v>
      </c>
      <c r="U1722" s="25">
        <f>+Municipios!P619</f>
        <v>54.013140054222937</v>
      </c>
      <c r="V1722" s="13">
        <v>52678</v>
      </c>
      <c r="W1722" s="13" t="s">
        <v>1679</v>
      </c>
      <c r="X1722" s="13" t="s">
        <v>672</v>
      </c>
      <c r="Y1722" s="13" t="s">
        <v>673</v>
      </c>
      <c r="Z1722" s="13" t="s">
        <v>1680</v>
      </c>
    </row>
    <row r="1723" spans="1:26">
      <c r="A1723" t="s">
        <v>412</v>
      </c>
      <c r="B1723" s="25">
        <f>+Municipios!P620</f>
        <v>66.720317008967314</v>
      </c>
      <c r="C1723" s="13">
        <v>20517</v>
      </c>
      <c r="D1723" s="13" t="s">
        <v>1681</v>
      </c>
      <c r="E1723" s="13" t="s">
        <v>893</v>
      </c>
      <c r="F1723" s="13" t="s">
        <v>894</v>
      </c>
      <c r="G1723" s="13" t="s">
        <v>1682</v>
      </c>
      <c r="K1723" t="s">
        <v>413</v>
      </c>
      <c r="L1723" s="81">
        <f>+Municipios!U620</f>
        <v>32.823074796832486</v>
      </c>
      <c r="M1723" s="13">
        <v>20517</v>
      </c>
      <c r="N1723" s="13" t="s">
        <v>1681</v>
      </c>
      <c r="O1723" s="13" t="s">
        <v>893</v>
      </c>
      <c r="P1723" s="13" t="s">
        <v>894</v>
      </c>
      <c r="Q1723" s="13" t="s">
        <v>1682</v>
      </c>
      <c r="T1723" t="s">
        <v>2804</v>
      </c>
      <c r="U1723" s="25">
        <f>+Municipios!P620</f>
        <v>66.720317008967314</v>
      </c>
      <c r="V1723" s="13">
        <v>20517</v>
      </c>
      <c r="W1723" s="13" t="s">
        <v>1681</v>
      </c>
      <c r="X1723" s="13" t="s">
        <v>893</v>
      </c>
      <c r="Y1723" s="13" t="s">
        <v>894</v>
      </c>
      <c r="Z1723" s="13" t="s">
        <v>1682</v>
      </c>
    </row>
    <row r="1724" spans="1:26">
      <c r="A1724" t="s">
        <v>412</v>
      </c>
      <c r="B1724" s="25">
        <f>+Municipios!P621</f>
        <v>58.061219847605777</v>
      </c>
      <c r="C1724" s="13">
        <v>20013</v>
      </c>
      <c r="D1724" s="13" t="s">
        <v>1683</v>
      </c>
      <c r="E1724" s="13" t="s">
        <v>893</v>
      </c>
      <c r="F1724" s="13" t="s">
        <v>894</v>
      </c>
      <c r="G1724" s="13" t="s">
        <v>1684</v>
      </c>
      <c r="K1724" t="s">
        <v>413</v>
      </c>
      <c r="L1724" s="81">
        <f>+Municipios!U621</f>
        <v>28.505895576820915</v>
      </c>
      <c r="M1724" s="13">
        <v>20013</v>
      </c>
      <c r="N1724" s="13" t="s">
        <v>1683</v>
      </c>
      <c r="O1724" s="13" t="s">
        <v>893</v>
      </c>
      <c r="P1724" s="13" t="s">
        <v>894</v>
      </c>
      <c r="Q1724" s="13" t="s">
        <v>1684</v>
      </c>
      <c r="T1724" t="s">
        <v>2804</v>
      </c>
      <c r="U1724" s="25">
        <f>+Municipios!P621</f>
        <v>58.061219847605777</v>
      </c>
      <c r="V1724" s="13">
        <v>20013</v>
      </c>
      <c r="W1724" s="13" t="s">
        <v>1683</v>
      </c>
      <c r="X1724" s="13" t="s">
        <v>893</v>
      </c>
      <c r="Y1724" s="13" t="s">
        <v>894</v>
      </c>
      <c r="Z1724" s="13" t="s">
        <v>1684</v>
      </c>
    </row>
    <row r="1725" spans="1:26">
      <c r="A1725" t="s">
        <v>412</v>
      </c>
      <c r="B1725" s="25">
        <f>+Municipios!P622</f>
        <v>52.660367359695726</v>
      </c>
      <c r="C1725" s="13">
        <v>5044</v>
      </c>
      <c r="D1725" s="13" t="s">
        <v>1685</v>
      </c>
      <c r="E1725" s="13" t="s">
        <v>435</v>
      </c>
      <c r="F1725" s="13" t="s">
        <v>436</v>
      </c>
      <c r="G1725" s="13" t="s">
        <v>1686</v>
      </c>
      <c r="K1725" t="s">
        <v>413</v>
      </c>
      <c r="L1725" s="81">
        <f>+Municipios!U622</f>
        <v>26.232927092321418</v>
      </c>
      <c r="M1725" s="13">
        <v>5044</v>
      </c>
      <c r="N1725" s="13" t="s">
        <v>1685</v>
      </c>
      <c r="O1725" s="13" t="s">
        <v>435</v>
      </c>
      <c r="P1725" s="13" t="s">
        <v>436</v>
      </c>
      <c r="Q1725" s="13" t="s">
        <v>1686</v>
      </c>
      <c r="T1725" t="s">
        <v>2804</v>
      </c>
      <c r="U1725" s="25">
        <f>+Municipios!P622</f>
        <v>52.660367359695726</v>
      </c>
      <c r="V1725" s="13">
        <v>5044</v>
      </c>
      <c r="W1725" s="13" t="s">
        <v>1685</v>
      </c>
      <c r="X1725" s="13" t="s">
        <v>435</v>
      </c>
      <c r="Y1725" s="13" t="s">
        <v>436</v>
      </c>
      <c r="Z1725" s="13" t="s">
        <v>1686</v>
      </c>
    </row>
    <row r="1726" spans="1:26">
      <c r="A1726" t="s">
        <v>412</v>
      </c>
      <c r="B1726" s="25">
        <f>+Municipios!P623</f>
        <v>54.024280455398014</v>
      </c>
      <c r="C1726" s="13">
        <v>20570</v>
      </c>
      <c r="D1726" s="13" t="s">
        <v>1687</v>
      </c>
      <c r="E1726" s="13" t="s">
        <v>893</v>
      </c>
      <c r="F1726" s="13" t="s">
        <v>894</v>
      </c>
      <c r="G1726" s="13" t="s">
        <v>1688</v>
      </c>
      <c r="K1726" t="s">
        <v>413</v>
      </c>
      <c r="L1726" s="81">
        <f>+Municipios!U623</f>
        <v>26.998264168910566</v>
      </c>
      <c r="M1726" s="13">
        <v>20570</v>
      </c>
      <c r="N1726" s="13" t="s">
        <v>1687</v>
      </c>
      <c r="O1726" s="13" t="s">
        <v>893</v>
      </c>
      <c r="P1726" s="13" t="s">
        <v>894</v>
      </c>
      <c r="Q1726" s="13" t="s">
        <v>1688</v>
      </c>
      <c r="T1726" t="s">
        <v>2804</v>
      </c>
      <c r="U1726" s="25">
        <f>+Municipios!P623</f>
        <v>54.024280455398014</v>
      </c>
      <c r="V1726" s="13">
        <v>20570</v>
      </c>
      <c r="W1726" s="13" t="s">
        <v>1687</v>
      </c>
      <c r="X1726" s="13" t="s">
        <v>893</v>
      </c>
      <c r="Y1726" s="13" t="s">
        <v>894</v>
      </c>
      <c r="Z1726" s="13" t="s">
        <v>1688</v>
      </c>
    </row>
    <row r="1727" spans="1:26">
      <c r="A1727" t="s">
        <v>412</v>
      </c>
      <c r="B1727" s="25">
        <f>+Municipios!P624</f>
        <v>53.886519096346525</v>
      </c>
      <c r="C1727" s="13">
        <v>73678</v>
      </c>
      <c r="D1727" s="13" t="s">
        <v>1689</v>
      </c>
      <c r="E1727" s="13" t="s">
        <v>595</v>
      </c>
      <c r="F1727" s="13" t="s">
        <v>596</v>
      </c>
      <c r="G1727" s="13" t="s">
        <v>1690</v>
      </c>
      <c r="K1727" t="s">
        <v>413</v>
      </c>
      <c r="L1727" s="81">
        <f>+Municipios!U624</f>
        <v>26.682427660144342</v>
      </c>
      <c r="M1727" s="13">
        <v>73678</v>
      </c>
      <c r="N1727" s="13" t="s">
        <v>1689</v>
      </c>
      <c r="O1727" s="13" t="s">
        <v>595</v>
      </c>
      <c r="P1727" s="13" t="s">
        <v>596</v>
      </c>
      <c r="Q1727" s="13" t="s">
        <v>1690</v>
      </c>
      <c r="T1727" t="s">
        <v>2804</v>
      </c>
      <c r="U1727" s="25">
        <f>+Municipios!P624</f>
        <v>53.886519096346525</v>
      </c>
      <c r="V1727" s="13">
        <v>73678</v>
      </c>
      <c r="W1727" s="13" t="s">
        <v>1689</v>
      </c>
      <c r="X1727" s="13" t="s">
        <v>595</v>
      </c>
      <c r="Y1727" s="13" t="s">
        <v>596</v>
      </c>
      <c r="Z1727" s="13" t="s">
        <v>1690</v>
      </c>
    </row>
    <row r="1728" spans="1:26">
      <c r="A1728" t="s">
        <v>412</v>
      </c>
      <c r="B1728" s="25">
        <f>+Municipios!P625</f>
        <v>69.295872797184742</v>
      </c>
      <c r="C1728" s="13">
        <v>15215</v>
      </c>
      <c r="D1728" s="13" t="s">
        <v>1691</v>
      </c>
      <c r="E1728" s="13" t="s">
        <v>498</v>
      </c>
      <c r="F1728" s="13" t="s">
        <v>499</v>
      </c>
      <c r="G1728" s="13" t="s">
        <v>1692</v>
      </c>
      <c r="K1728" t="s">
        <v>413</v>
      </c>
      <c r="L1728" s="81">
        <f>+Municipios!U625</f>
        <v>33.798111435003229</v>
      </c>
      <c r="M1728" s="13">
        <v>15215</v>
      </c>
      <c r="N1728" s="13" t="s">
        <v>1691</v>
      </c>
      <c r="O1728" s="13" t="s">
        <v>498</v>
      </c>
      <c r="P1728" s="13" t="s">
        <v>499</v>
      </c>
      <c r="Q1728" s="13" t="s">
        <v>1692</v>
      </c>
      <c r="T1728" t="s">
        <v>2804</v>
      </c>
      <c r="U1728" s="25">
        <f>+Municipios!P625</f>
        <v>69.295872797184742</v>
      </c>
      <c r="V1728" s="13">
        <v>15215</v>
      </c>
      <c r="W1728" s="13" t="s">
        <v>1691</v>
      </c>
      <c r="X1728" s="13" t="s">
        <v>498</v>
      </c>
      <c r="Y1728" s="13" t="s">
        <v>499</v>
      </c>
      <c r="Z1728" s="13" t="s">
        <v>1692</v>
      </c>
    </row>
    <row r="1729" spans="1:26">
      <c r="A1729" t="s">
        <v>412</v>
      </c>
      <c r="B1729" s="25">
        <f>+Municipios!P626</f>
        <v>63.967203232572146</v>
      </c>
      <c r="C1729" s="13">
        <v>41020</v>
      </c>
      <c r="D1729" s="13" t="s">
        <v>1693</v>
      </c>
      <c r="E1729" s="13" t="s">
        <v>676</v>
      </c>
      <c r="F1729" s="13" t="s">
        <v>677</v>
      </c>
      <c r="G1729" s="13" t="s">
        <v>1694</v>
      </c>
      <c r="K1729" t="s">
        <v>413</v>
      </c>
      <c r="L1729" s="81">
        <f>+Municipios!U626</f>
        <v>31.213473731849056</v>
      </c>
      <c r="M1729" s="13">
        <v>41020</v>
      </c>
      <c r="N1729" s="13" t="s">
        <v>1693</v>
      </c>
      <c r="O1729" s="13" t="s">
        <v>676</v>
      </c>
      <c r="P1729" s="13" t="s">
        <v>677</v>
      </c>
      <c r="Q1729" s="13" t="s">
        <v>1694</v>
      </c>
      <c r="T1729" t="s">
        <v>2804</v>
      </c>
      <c r="U1729" s="25">
        <f>+Municipios!P626</f>
        <v>63.967203232572146</v>
      </c>
      <c r="V1729" s="13">
        <v>41020</v>
      </c>
      <c r="W1729" s="13" t="s">
        <v>1693</v>
      </c>
      <c r="X1729" s="13" t="s">
        <v>676</v>
      </c>
      <c r="Y1729" s="13" t="s">
        <v>677</v>
      </c>
      <c r="Z1729" s="13" t="s">
        <v>1694</v>
      </c>
    </row>
    <row r="1730" spans="1:26">
      <c r="A1730" t="s">
        <v>412</v>
      </c>
      <c r="B1730" s="25">
        <f>+Municipios!P627</f>
        <v>49.52529665309158</v>
      </c>
      <c r="C1730" s="13">
        <v>19100</v>
      </c>
      <c r="D1730" s="13" t="s">
        <v>1695</v>
      </c>
      <c r="E1730" s="13" t="s">
        <v>557</v>
      </c>
      <c r="F1730" s="13" t="s">
        <v>558</v>
      </c>
      <c r="G1730" s="13" t="s">
        <v>481</v>
      </c>
      <c r="K1730" t="s">
        <v>413</v>
      </c>
      <c r="L1730" s="81">
        <f>+Municipios!U627</f>
        <v>24.100535448777002</v>
      </c>
      <c r="M1730" s="13">
        <v>19100</v>
      </c>
      <c r="N1730" s="13" t="s">
        <v>1695</v>
      </c>
      <c r="O1730" s="13" t="s">
        <v>557</v>
      </c>
      <c r="P1730" s="13" t="s">
        <v>558</v>
      </c>
      <c r="Q1730" s="13" t="s">
        <v>481</v>
      </c>
      <c r="T1730" t="s">
        <v>2804</v>
      </c>
      <c r="U1730" s="25">
        <f>+Municipios!P627</f>
        <v>49.52529665309158</v>
      </c>
      <c r="V1730" s="13">
        <v>19100</v>
      </c>
      <c r="W1730" s="13" t="s">
        <v>1695</v>
      </c>
      <c r="X1730" s="13" t="s">
        <v>557</v>
      </c>
      <c r="Y1730" s="13" t="s">
        <v>558</v>
      </c>
      <c r="Z1730" s="13" t="s">
        <v>481</v>
      </c>
    </row>
    <row r="1731" spans="1:26">
      <c r="A1731" t="s">
        <v>412</v>
      </c>
      <c r="B1731" s="25">
        <f>+Municipios!P628</f>
        <v>74.758766919854807</v>
      </c>
      <c r="C1731" s="13">
        <v>15600</v>
      </c>
      <c r="D1731" s="13" t="s">
        <v>1696</v>
      </c>
      <c r="E1731" s="13" t="s">
        <v>498</v>
      </c>
      <c r="F1731" s="13" t="s">
        <v>499</v>
      </c>
      <c r="G1731" s="13" t="s">
        <v>1697</v>
      </c>
      <c r="K1731" t="s">
        <v>413</v>
      </c>
      <c r="L1731" s="81">
        <f>+Municipios!U628</f>
        <v>36.225370227208323</v>
      </c>
      <c r="M1731" s="13">
        <v>15600</v>
      </c>
      <c r="N1731" s="13" t="s">
        <v>1696</v>
      </c>
      <c r="O1731" s="13" t="s">
        <v>498</v>
      </c>
      <c r="P1731" s="13" t="s">
        <v>499</v>
      </c>
      <c r="Q1731" s="13" t="s">
        <v>1697</v>
      </c>
      <c r="T1731" t="s">
        <v>2804</v>
      </c>
      <c r="U1731" s="25">
        <f>+Municipios!P628</f>
        <v>74.758766919854807</v>
      </c>
      <c r="V1731" s="13">
        <v>15600</v>
      </c>
      <c r="W1731" s="13" t="s">
        <v>1696</v>
      </c>
      <c r="X1731" s="13" t="s">
        <v>498</v>
      </c>
      <c r="Y1731" s="13" t="s">
        <v>499</v>
      </c>
      <c r="Z1731" s="13" t="s">
        <v>1697</v>
      </c>
    </row>
    <row r="1732" spans="1:26">
      <c r="A1732" t="s">
        <v>412</v>
      </c>
      <c r="B1732" s="25">
        <f>+Municipios!P629</f>
        <v>56.002375850588209</v>
      </c>
      <c r="C1732" s="13">
        <v>5310</v>
      </c>
      <c r="D1732" s="13" t="s">
        <v>1698</v>
      </c>
      <c r="E1732" s="13" t="s">
        <v>435</v>
      </c>
      <c r="F1732" s="13" t="s">
        <v>436</v>
      </c>
      <c r="G1732" s="13" t="s">
        <v>1699</v>
      </c>
      <c r="K1732" t="s">
        <v>413</v>
      </c>
      <c r="L1732" s="81">
        <f>+Municipios!U629</f>
        <v>27.813199666088039</v>
      </c>
      <c r="M1732" s="13">
        <v>5310</v>
      </c>
      <c r="N1732" s="13" t="s">
        <v>1698</v>
      </c>
      <c r="O1732" s="13" t="s">
        <v>435</v>
      </c>
      <c r="P1732" s="13" t="s">
        <v>436</v>
      </c>
      <c r="Q1732" s="13" t="s">
        <v>1699</v>
      </c>
      <c r="T1732" t="s">
        <v>2804</v>
      </c>
      <c r="U1732" s="25">
        <f>+Municipios!P629</f>
        <v>56.002375850588209</v>
      </c>
      <c r="V1732" s="13">
        <v>5310</v>
      </c>
      <c r="W1732" s="13" t="s">
        <v>1698</v>
      </c>
      <c r="X1732" s="13" t="s">
        <v>435</v>
      </c>
      <c r="Y1732" s="13" t="s">
        <v>436</v>
      </c>
      <c r="Z1732" s="13" t="s">
        <v>1699</v>
      </c>
    </row>
    <row r="1733" spans="1:26">
      <c r="A1733" t="s">
        <v>412</v>
      </c>
      <c r="B1733" s="25">
        <f>+Municipios!P630</f>
        <v>59.795723450818613</v>
      </c>
      <c r="C1733" s="13">
        <v>5038</v>
      </c>
      <c r="D1733" s="13" t="s">
        <v>1700</v>
      </c>
      <c r="E1733" s="13" t="s">
        <v>435</v>
      </c>
      <c r="F1733" s="13" t="s">
        <v>436</v>
      </c>
      <c r="G1733" s="13" t="s">
        <v>1701</v>
      </c>
      <c r="K1733" t="s">
        <v>413</v>
      </c>
      <c r="L1733" s="81">
        <f>+Municipios!U630</f>
        <v>29.635171091132722</v>
      </c>
      <c r="M1733" s="13">
        <v>5038</v>
      </c>
      <c r="N1733" s="13" t="s">
        <v>1700</v>
      </c>
      <c r="O1733" s="13" t="s">
        <v>435</v>
      </c>
      <c r="P1733" s="13" t="s">
        <v>436</v>
      </c>
      <c r="Q1733" s="13" t="s">
        <v>1701</v>
      </c>
      <c r="T1733" t="s">
        <v>2804</v>
      </c>
      <c r="U1733" s="25">
        <f>+Municipios!P630</f>
        <v>59.795723450818613</v>
      </c>
      <c r="V1733" s="13">
        <v>5038</v>
      </c>
      <c r="W1733" s="13" t="s">
        <v>1700</v>
      </c>
      <c r="X1733" s="13" t="s">
        <v>435</v>
      </c>
      <c r="Y1733" s="13" t="s">
        <v>436</v>
      </c>
      <c r="Z1733" s="13" t="s">
        <v>1701</v>
      </c>
    </row>
    <row r="1734" spans="1:26">
      <c r="A1734" t="s">
        <v>412</v>
      </c>
      <c r="B1734" s="25">
        <f>+Municipios!P631</f>
        <v>45.313104951345125</v>
      </c>
      <c r="C1734" s="13">
        <v>8549</v>
      </c>
      <c r="D1734" s="13" t="s">
        <v>1702</v>
      </c>
      <c r="E1734" s="13" t="s">
        <v>442</v>
      </c>
      <c r="F1734" s="13" t="s">
        <v>443</v>
      </c>
      <c r="G1734" s="13" t="s">
        <v>1703</v>
      </c>
      <c r="K1734" t="s">
        <v>413</v>
      </c>
      <c r="L1734" s="81">
        <f>+Municipios!U631</f>
        <v>22.376346740055382</v>
      </c>
      <c r="M1734" s="13">
        <v>8549</v>
      </c>
      <c r="N1734" s="13" t="s">
        <v>1702</v>
      </c>
      <c r="O1734" s="13" t="s">
        <v>442</v>
      </c>
      <c r="P1734" s="13" t="s">
        <v>443</v>
      </c>
      <c r="Q1734" s="13" t="s">
        <v>1703</v>
      </c>
      <c r="T1734" t="s">
        <v>2804</v>
      </c>
      <c r="U1734" s="25">
        <f>+Municipios!P631</f>
        <v>45.313104951345125</v>
      </c>
      <c r="V1734" s="13">
        <v>8549</v>
      </c>
      <c r="W1734" s="13" t="s">
        <v>1702</v>
      </c>
      <c r="X1734" s="13" t="s">
        <v>442</v>
      </c>
      <c r="Y1734" s="13" t="s">
        <v>443</v>
      </c>
      <c r="Z1734" s="13" t="s">
        <v>1703</v>
      </c>
    </row>
    <row r="1735" spans="1:26">
      <c r="A1735" t="s">
        <v>412</v>
      </c>
      <c r="B1735" s="25">
        <f>+Municipios!P632</f>
        <v>53.768333713274721</v>
      </c>
      <c r="C1735" s="13">
        <v>19397</v>
      </c>
      <c r="D1735" s="13" t="s">
        <v>1704</v>
      </c>
      <c r="E1735" s="13" t="s">
        <v>557</v>
      </c>
      <c r="F1735" s="13" t="s">
        <v>558</v>
      </c>
      <c r="G1735" s="13" t="s">
        <v>876</v>
      </c>
      <c r="K1735" t="s">
        <v>413</v>
      </c>
      <c r="L1735" s="81">
        <f>+Municipios!U632</f>
        <v>26.355172821930182</v>
      </c>
      <c r="M1735" s="13">
        <v>19397</v>
      </c>
      <c r="N1735" s="13" t="s">
        <v>1704</v>
      </c>
      <c r="O1735" s="13" t="s">
        <v>557</v>
      </c>
      <c r="P1735" s="13" t="s">
        <v>558</v>
      </c>
      <c r="Q1735" s="13" t="s">
        <v>876</v>
      </c>
      <c r="T1735" t="s">
        <v>2804</v>
      </c>
      <c r="U1735" s="25">
        <f>+Municipios!P632</f>
        <v>53.768333713274721</v>
      </c>
      <c r="V1735" s="13">
        <v>19397</v>
      </c>
      <c r="W1735" s="13" t="s">
        <v>1704</v>
      </c>
      <c r="X1735" s="13" t="s">
        <v>557</v>
      </c>
      <c r="Y1735" s="13" t="s">
        <v>558</v>
      </c>
      <c r="Z1735" s="13" t="s">
        <v>876</v>
      </c>
    </row>
    <row r="1736" spans="1:26">
      <c r="A1736" t="s">
        <v>412</v>
      </c>
      <c r="B1736" s="25">
        <f>+Municipios!P633</f>
        <v>51.550264548412166</v>
      </c>
      <c r="C1736" s="13">
        <v>5647</v>
      </c>
      <c r="D1736" s="13" t="s">
        <v>1705</v>
      </c>
      <c r="E1736" s="13" t="s">
        <v>435</v>
      </c>
      <c r="F1736" s="13" t="s">
        <v>436</v>
      </c>
      <c r="G1736" s="13" t="s">
        <v>1706</v>
      </c>
      <c r="K1736" t="s">
        <v>413</v>
      </c>
      <c r="L1736" s="81">
        <f>+Municipios!U633</f>
        <v>25.512681304402101</v>
      </c>
      <c r="M1736" s="13">
        <v>5647</v>
      </c>
      <c r="N1736" s="13" t="s">
        <v>1705</v>
      </c>
      <c r="O1736" s="13" t="s">
        <v>435</v>
      </c>
      <c r="P1736" s="13" t="s">
        <v>436</v>
      </c>
      <c r="Q1736" s="13" t="s">
        <v>1706</v>
      </c>
      <c r="T1736" t="s">
        <v>2804</v>
      </c>
      <c r="U1736" s="25">
        <f>+Municipios!P633</f>
        <v>51.550264548412166</v>
      </c>
      <c r="V1736" s="13">
        <v>5647</v>
      </c>
      <c r="W1736" s="13" t="s">
        <v>1705</v>
      </c>
      <c r="X1736" s="13" t="s">
        <v>435</v>
      </c>
      <c r="Y1736" s="13" t="s">
        <v>436</v>
      </c>
      <c r="Z1736" s="13" t="s">
        <v>1706</v>
      </c>
    </row>
    <row r="1737" spans="1:26">
      <c r="A1737" t="s">
        <v>412</v>
      </c>
      <c r="B1737" s="25">
        <f>+Municipios!P634</f>
        <v>54.808400897146875</v>
      </c>
      <c r="C1737" s="13">
        <v>5579</v>
      </c>
      <c r="D1737" s="13" t="s">
        <v>1707</v>
      </c>
      <c r="E1737" s="13" t="s">
        <v>435</v>
      </c>
      <c r="F1737" s="13" t="s">
        <v>436</v>
      </c>
      <c r="G1737" s="13" t="s">
        <v>1708</v>
      </c>
      <c r="K1737" t="s">
        <v>413</v>
      </c>
      <c r="L1737" s="81">
        <f>+Municipios!U634</f>
        <v>26.651007113421322</v>
      </c>
      <c r="M1737" s="13">
        <v>5579</v>
      </c>
      <c r="N1737" s="13" t="s">
        <v>1707</v>
      </c>
      <c r="O1737" s="13" t="s">
        <v>435</v>
      </c>
      <c r="P1737" s="13" t="s">
        <v>436</v>
      </c>
      <c r="Q1737" s="13" t="s">
        <v>1708</v>
      </c>
      <c r="T1737" t="s">
        <v>2804</v>
      </c>
      <c r="U1737" s="25">
        <f>+Municipios!P634</f>
        <v>54.808400897146875</v>
      </c>
      <c r="V1737" s="13">
        <v>5579</v>
      </c>
      <c r="W1737" s="13" t="s">
        <v>1707</v>
      </c>
      <c r="X1737" s="13" t="s">
        <v>435</v>
      </c>
      <c r="Y1737" s="13" t="s">
        <v>436</v>
      </c>
      <c r="Z1737" s="13" t="s">
        <v>1708</v>
      </c>
    </row>
    <row r="1738" spans="1:26">
      <c r="A1738" t="s">
        <v>412</v>
      </c>
      <c r="B1738" s="25">
        <f>+Municipios!P635</f>
        <v>51.388930511469027</v>
      </c>
      <c r="C1738" s="13">
        <v>68370</v>
      </c>
      <c r="D1738" s="13" t="s">
        <v>1709</v>
      </c>
      <c r="E1738" s="13" t="s">
        <v>431</v>
      </c>
      <c r="F1738" s="13" t="s">
        <v>432</v>
      </c>
      <c r="G1738" s="13" t="s">
        <v>1710</v>
      </c>
      <c r="K1738" t="s">
        <v>413</v>
      </c>
      <c r="L1738" s="81">
        <f>+Municipios!U635</f>
        <v>25.594588486158347</v>
      </c>
      <c r="M1738" s="13">
        <v>68370</v>
      </c>
      <c r="N1738" s="13" t="s">
        <v>1709</v>
      </c>
      <c r="O1738" s="13" t="s">
        <v>431</v>
      </c>
      <c r="P1738" s="13" t="s">
        <v>432</v>
      </c>
      <c r="Q1738" s="13" t="s">
        <v>1710</v>
      </c>
      <c r="T1738" t="s">
        <v>2804</v>
      </c>
      <c r="U1738" s="25">
        <f>+Municipios!P635</f>
        <v>51.388930511469027</v>
      </c>
      <c r="V1738" s="13">
        <v>68370</v>
      </c>
      <c r="W1738" s="13" t="s">
        <v>1709</v>
      </c>
      <c r="X1738" s="13" t="s">
        <v>431</v>
      </c>
      <c r="Y1738" s="13" t="s">
        <v>432</v>
      </c>
      <c r="Z1738" s="13" t="s">
        <v>1710</v>
      </c>
    </row>
    <row r="1739" spans="1:26">
      <c r="A1739" t="s">
        <v>412</v>
      </c>
      <c r="B1739" s="25">
        <f>+Municipios!P636</f>
        <v>58.648621092589522</v>
      </c>
      <c r="C1739" s="13">
        <v>25335</v>
      </c>
      <c r="D1739" s="13" t="s">
        <v>1711</v>
      </c>
      <c r="E1739" s="13" t="s">
        <v>461</v>
      </c>
      <c r="F1739" s="13" t="s">
        <v>462</v>
      </c>
      <c r="G1739" s="13" t="s">
        <v>1712</v>
      </c>
      <c r="K1739" t="s">
        <v>413</v>
      </c>
      <c r="L1739" s="81">
        <f>+Municipios!U636</f>
        <v>27.635494633161301</v>
      </c>
      <c r="M1739" s="13">
        <v>25335</v>
      </c>
      <c r="N1739" s="13" t="s">
        <v>1711</v>
      </c>
      <c r="O1739" s="13" t="s">
        <v>461</v>
      </c>
      <c r="P1739" s="13" t="s">
        <v>462</v>
      </c>
      <c r="Q1739" s="13" t="s">
        <v>1712</v>
      </c>
      <c r="T1739" t="s">
        <v>2804</v>
      </c>
      <c r="U1739" s="25">
        <f>+Municipios!P636</f>
        <v>58.648621092589522</v>
      </c>
      <c r="V1739" s="13">
        <v>25335</v>
      </c>
      <c r="W1739" s="13" t="s">
        <v>1711</v>
      </c>
      <c r="X1739" s="13" t="s">
        <v>461</v>
      </c>
      <c r="Y1739" s="13" t="s">
        <v>462</v>
      </c>
      <c r="Z1739" s="13" t="s">
        <v>1712</v>
      </c>
    </row>
    <row r="1740" spans="1:26">
      <c r="A1740" t="s">
        <v>412</v>
      </c>
      <c r="B1740" s="25">
        <f>+Municipios!P637</f>
        <v>62.754418557837425</v>
      </c>
      <c r="C1740" s="13">
        <v>27001</v>
      </c>
      <c r="D1740" s="13" t="s">
        <v>1713</v>
      </c>
      <c r="E1740" s="13" t="s">
        <v>1714</v>
      </c>
      <c r="F1740" s="13" t="s">
        <v>1715</v>
      </c>
      <c r="G1740" s="13" t="s">
        <v>1716</v>
      </c>
      <c r="K1740" t="s">
        <v>413</v>
      </c>
      <c r="L1740" s="81">
        <f>+Municipios!U637</f>
        <v>30.663151786556551</v>
      </c>
      <c r="M1740" s="13">
        <v>27001</v>
      </c>
      <c r="N1740" s="13" t="s">
        <v>1713</v>
      </c>
      <c r="O1740" s="13" t="s">
        <v>1714</v>
      </c>
      <c r="P1740" s="13" t="s">
        <v>1715</v>
      </c>
      <c r="Q1740" s="13" t="s">
        <v>1716</v>
      </c>
      <c r="T1740" t="s">
        <v>2804</v>
      </c>
      <c r="U1740" s="25">
        <f>+Municipios!P637</f>
        <v>62.754418557837425</v>
      </c>
      <c r="V1740" s="13">
        <v>27001</v>
      </c>
      <c r="W1740" s="13" t="s">
        <v>1713</v>
      </c>
      <c r="X1740" s="13" t="s">
        <v>1714</v>
      </c>
      <c r="Y1740" s="13" t="s">
        <v>1715</v>
      </c>
      <c r="Z1740" s="13" t="s">
        <v>1716</v>
      </c>
    </row>
    <row r="1741" spans="1:26">
      <c r="A1741" t="s">
        <v>412</v>
      </c>
      <c r="B1741" s="25">
        <f>+Municipios!P638</f>
        <v>58.683299179198229</v>
      </c>
      <c r="C1741" s="13">
        <v>68368</v>
      </c>
      <c r="D1741" s="13" t="s">
        <v>1717</v>
      </c>
      <c r="E1741" s="13" t="s">
        <v>431</v>
      </c>
      <c r="F1741" s="13" t="s">
        <v>432</v>
      </c>
      <c r="G1741" s="13" t="s">
        <v>1718</v>
      </c>
      <c r="K1741" t="s">
        <v>413</v>
      </c>
      <c r="L1741" s="81">
        <f>+Municipios!U638</f>
        <v>28.593323622742773</v>
      </c>
      <c r="M1741" s="13">
        <v>68368</v>
      </c>
      <c r="N1741" s="13" t="s">
        <v>1717</v>
      </c>
      <c r="O1741" s="13" t="s">
        <v>431</v>
      </c>
      <c r="P1741" s="13" t="s">
        <v>432</v>
      </c>
      <c r="Q1741" s="13" t="s">
        <v>1718</v>
      </c>
      <c r="T1741" t="s">
        <v>2804</v>
      </c>
      <c r="U1741" s="25">
        <f>+Municipios!P638</f>
        <v>58.683299179198229</v>
      </c>
      <c r="V1741" s="13">
        <v>68368</v>
      </c>
      <c r="W1741" s="13" t="s">
        <v>1717</v>
      </c>
      <c r="X1741" s="13" t="s">
        <v>431</v>
      </c>
      <c r="Y1741" s="13" t="s">
        <v>432</v>
      </c>
      <c r="Z1741" s="13" t="s">
        <v>1718</v>
      </c>
    </row>
    <row r="1742" spans="1:26">
      <c r="A1742" t="s">
        <v>412</v>
      </c>
      <c r="B1742" s="25">
        <f>+Municipios!P639</f>
        <v>58.843704616969745</v>
      </c>
      <c r="C1742" s="13">
        <v>68322</v>
      </c>
      <c r="D1742" s="13" t="s">
        <v>1719</v>
      </c>
      <c r="E1742" s="13" t="s">
        <v>431</v>
      </c>
      <c r="F1742" s="13" t="s">
        <v>432</v>
      </c>
      <c r="G1742" s="13" t="s">
        <v>1720</v>
      </c>
      <c r="K1742" t="s">
        <v>413</v>
      </c>
      <c r="L1742" s="81">
        <f>+Municipios!U639</f>
        <v>28.931174988059492</v>
      </c>
      <c r="M1742" s="13">
        <v>68322</v>
      </c>
      <c r="N1742" s="13" t="s">
        <v>1719</v>
      </c>
      <c r="O1742" s="13" t="s">
        <v>431</v>
      </c>
      <c r="P1742" s="13" t="s">
        <v>432</v>
      </c>
      <c r="Q1742" s="13" t="s">
        <v>1720</v>
      </c>
      <c r="T1742" t="s">
        <v>2804</v>
      </c>
      <c r="U1742" s="25">
        <f>+Municipios!P639</f>
        <v>58.843704616969745</v>
      </c>
      <c r="V1742" s="13">
        <v>68322</v>
      </c>
      <c r="W1742" s="13" t="s">
        <v>1719</v>
      </c>
      <c r="X1742" s="13" t="s">
        <v>431</v>
      </c>
      <c r="Y1742" s="13" t="s">
        <v>432</v>
      </c>
      <c r="Z1742" s="13" t="s">
        <v>1720</v>
      </c>
    </row>
    <row r="1743" spans="1:26">
      <c r="A1743" t="s">
        <v>412</v>
      </c>
      <c r="B1743" s="25">
        <f>+Municipios!P640</f>
        <v>58.319924910045501</v>
      </c>
      <c r="C1743" s="13">
        <v>25258</v>
      </c>
      <c r="D1743" s="13" t="s">
        <v>1721</v>
      </c>
      <c r="E1743" s="13" t="s">
        <v>461</v>
      </c>
      <c r="F1743" s="13" t="s">
        <v>462</v>
      </c>
      <c r="G1743" s="13" t="s">
        <v>1722</v>
      </c>
      <c r="K1743" t="s">
        <v>413</v>
      </c>
      <c r="L1743" s="81">
        <f>+Municipios!U640</f>
        <v>27.947197482029853</v>
      </c>
      <c r="M1743" s="13">
        <v>25258</v>
      </c>
      <c r="N1743" s="13" t="s">
        <v>1721</v>
      </c>
      <c r="O1743" s="13" t="s">
        <v>461</v>
      </c>
      <c r="P1743" s="13" t="s">
        <v>462</v>
      </c>
      <c r="Q1743" s="13" t="s">
        <v>1722</v>
      </c>
      <c r="T1743" t="s">
        <v>2804</v>
      </c>
      <c r="U1743" s="25">
        <f>+Municipios!P640</f>
        <v>58.319924910045501</v>
      </c>
      <c r="V1743" s="13">
        <v>25258</v>
      </c>
      <c r="W1743" s="13" t="s">
        <v>1721</v>
      </c>
      <c r="X1743" s="13" t="s">
        <v>461</v>
      </c>
      <c r="Y1743" s="13" t="s">
        <v>462</v>
      </c>
      <c r="Z1743" s="13" t="s">
        <v>1722</v>
      </c>
    </row>
    <row r="1744" spans="1:26">
      <c r="A1744" t="s">
        <v>412</v>
      </c>
      <c r="B1744" s="25">
        <f>+Municipios!P641</f>
        <v>55.888345023622662</v>
      </c>
      <c r="C1744" s="13">
        <v>25436</v>
      </c>
      <c r="D1744" s="13" t="s">
        <v>1723</v>
      </c>
      <c r="E1744" s="13" t="s">
        <v>461</v>
      </c>
      <c r="F1744" s="13" t="s">
        <v>462</v>
      </c>
      <c r="G1744" s="13" t="s">
        <v>1724</v>
      </c>
      <c r="K1744" t="s">
        <v>413</v>
      </c>
      <c r="L1744" s="81">
        <f>+Municipios!U641</f>
        <v>26.618514596110817</v>
      </c>
      <c r="M1744" s="13">
        <v>25436</v>
      </c>
      <c r="N1744" s="13" t="s">
        <v>1723</v>
      </c>
      <c r="O1744" s="13" t="s">
        <v>461</v>
      </c>
      <c r="P1744" s="13" t="s">
        <v>462</v>
      </c>
      <c r="Q1744" s="13" t="s">
        <v>1724</v>
      </c>
      <c r="T1744" t="s">
        <v>2804</v>
      </c>
      <c r="U1744" s="25">
        <f>+Municipios!P641</f>
        <v>55.888345023622662</v>
      </c>
      <c r="V1744" s="13">
        <v>25436</v>
      </c>
      <c r="W1744" s="13" t="s">
        <v>1723</v>
      </c>
      <c r="X1744" s="13" t="s">
        <v>461</v>
      </c>
      <c r="Y1744" s="13" t="s">
        <v>462</v>
      </c>
      <c r="Z1744" s="13" t="s">
        <v>1724</v>
      </c>
    </row>
    <row r="1745" spans="1:26">
      <c r="A1745" t="s">
        <v>412</v>
      </c>
      <c r="B1745" s="25">
        <f>+Municipios!P642</f>
        <v>59.09631249954726</v>
      </c>
      <c r="C1745" s="13">
        <v>15226</v>
      </c>
      <c r="D1745" s="13" t="s">
        <v>1725</v>
      </c>
      <c r="E1745" s="13" t="s">
        <v>498</v>
      </c>
      <c r="F1745" s="13" t="s">
        <v>499</v>
      </c>
      <c r="G1745" s="13" t="s">
        <v>1726</v>
      </c>
      <c r="K1745" t="s">
        <v>413</v>
      </c>
      <c r="L1745" s="81">
        <f>+Municipios!U642</f>
        <v>28.683105970904407</v>
      </c>
      <c r="M1745" s="13">
        <v>15226</v>
      </c>
      <c r="N1745" s="13" t="s">
        <v>1725</v>
      </c>
      <c r="O1745" s="13" t="s">
        <v>498</v>
      </c>
      <c r="P1745" s="13" t="s">
        <v>499</v>
      </c>
      <c r="Q1745" s="13" t="s">
        <v>1726</v>
      </c>
      <c r="T1745" t="s">
        <v>2804</v>
      </c>
      <c r="U1745" s="25">
        <f>+Municipios!P642</f>
        <v>59.09631249954726</v>
      </c>
      <c r="V1745" s="13">
        <v>15226</v>
      </c>
      <c r="W1745" s="13" t="s">
        <v>1725</v>
      </c>
      <c r="X1745" s="13" t="s">
        <v>498</v>
      </c>
      <c r="Y1745" s="13" t="s">
        <v>499</v>
      </c>
      <c r="Z1745" s="13" t="s">
        <v>1726</v>
      </c>
    </row>
    <row r="1746" spans="1:26">
      <c r="A1746" t="s">
        <v>412</v>
      </c>
      <c r="B1746" s="25">
        <f>+Municipios!P643</f>
        <v>67.000140774916147</v>
      </c>
      <c r="C1746" s="13">
        <v>5206</v>
      </c>
      <c r="D1746" s="13" t="s">
        <v>1727</v>
      </c>
      <c r="E1746" s="13" t="s">
        <v>435</v>
      </c>
      <c r="F1746" s="13" t="s">
        <v>436</v>
      </c>
      <c r="G1746" s="13" t="s">
        <v>1728</v>
      </c>
      <c r="K1746" t="s">
        <v>413</v>
      </c>
      <c r="L1746" s="81">
        <f>+Municipios!U643</f>
        <v>33.106513101586309</v>
      </c>
      <c r="M1746" s="13">
        <v>5206</v>
      </c>
      <c r="N1746" s="13" t="s">
        <v>1727</v>
      </c>
      <c r="O1746" s="13" t="s">
        <v>435</v>
      </c>
      <c r="P1746" s="13" t="s">
        <v>436</v>
      </c>
      <c r="Q1746" s="13" t="s">
        <v>1728</v>
      </c>
      <c r="T1746" t="s">
        <v>2804</v>
      </c>
      <c r="U1746" s="25">
        <f>+Municipios!P643</f>
        <v>67.000140774916147</v>
      </c>
      <c r="V1746" s="13">
        <v>5206</v>
      </c>
      <c r="W1746" s="13" t="s">
        <v>1727</v>
      </c>
      <c r="X1746" s="13" t="s">
        <v>435</v>
      </c>
      <c r="Y1746" s="13" t="s">
        <v>436</v>
      </c>
      <c r="Z1746" s="13" t="s">
        <v>1728</v>
      </c>
    </row>
    <row r="1747" spans="1:26">
      <c r="A1747" t="s">
        <v>412</v>
      </c>
      <c r="B1747" s="25">
        <f>+Municipios!P644</f>
        <v>56.656333609183093</v>
      </c>
      <c r="C1747" s="13">
        <v>68770</v>
      </c>
      <c r="D1747" s="13" t="s">
        <v>1729</v>
      </c>
      <c r="E1747" s="13" t="s">
        <v>431</v>
      </c>
      <c r="F1747" s="13" t="s">
        <v>432</v>
      </c>
      <c r="G1747" s="13" t="s">
        <v>1730</v>
      </c>
      <c r="K1747" t="s">
        <v>413</v>
      </c>
      <c r="L1747" s="81">
        <f>+Municipios!U644</f>
        <v>27.380090683176491</v>
      </c>
      <c r="M1747" s="13">
        <v>68770</v>
      </c>
      <c r="N1747" s="13" t="s">
        <v>1729</v>
      </c>
      <c r="O1747" s="13" t="s">
        <v>431</v>
      </c>
      <c r="P1747" s="13" t="s">
        <v>432</v>
      </c>
      <c r="Q1747" s="13" t="s">
        <v>1730</v>
      </c>
      <c r="T1747" t="s">
        <v>2804</v>
      </c>
      <c r="U1747" s="25">
        <f>+Municipios!P644</f>
        <v>56.656333609183093</v>
      </c>
      <c r="V1747" s="13">
        <v>68770</v>
      </c>
      <c r="W1747" s="13" t="s">
        <v>1729</v>
      </c>
      <c r="X1747" s="13" t="s">
        <v>431</v>
      </c>
      <c r="Y1747" s="13" t="s">
        <v>432</v>
      </c>
      <c r="Z1747" s="13" t="s">
        <v>1730</v>
      </c>
    </row>
    <row r="1748" spans="1:26">
      <c r="A1748" t="s">
        <v>412</v>
      </c>
      <c r="B1748" s="25">
        <f>+Municipios!P645</f>
        <v>66.724296785203165</v>
      </c>
      <c r="C1748" s="13">
        <v>54520</v>
      </c>
      <c r="D1748" s="13" t="s">
        <v>1731</v>
      </c>
      <c r="E1748" s="13" t="s">
        <v>517</v>
      </c>
      <c r="F1748" s="13" t="s">
        <v>518</v>
      </c>
      <c r="G1748" s="13" t="s">
        <v>1732</v>
      </c>
      <c r="K1748" t="s">
        <v>413</v>
      </c>
      <c r="L1748" s="81">
        <f>+Municipios!U645</f>
        <v>32.687211518487949</v>
      </c>
      <c r="M1748" s="13">
        <v>54520</v>
      </c>
      <c r="N1748" s="13" t="s">
        <v>1731</v>
      </c>
      <c r="O1748" s="13" t="s">
        <v>517</v>
      </c>
      <c r="P1748" s="13" t="s">
        <v>518</v>
      </c>
      <c r="Q1748" s="13" t="s">
        <v>1732</v>
      </c>
      <c r="T1748" t="s">
        <v>2804</v>
      </c>
      <c r="U1748" s="25">
        <f>+Municipios!P645</f>
        <v>66.724296785203165</v>
      </c>
      <c r="V1748" s="13">
        <v>54520</v>
      </c>
      <c r="W1748" s="13" t="s">
        <v>1731</v>
      </c>
      <c r="X1748" s="13" t="s">
        <v>517</v>
      </c>
      <c r="Y1748" s="13" t="s">
        <v>518</v>
      </c>
      <c r="Z1748" s="13" t="s">
        <v>1732</v>
      </c>
    </row>
    <row r="1749" spans="1:26">
      <c r="A1749" t="s">
        <v>412</v>
      </c>
      <c r="B1749" s="25">
        <f>+Municipios!P646</f>
        <v>54.356115838232732</v>
      </c>
      <c r="C1749" s="13">
        <v>5490</v>
      </c>
      <c r="D1749" s="13" t="s">
        <v>1733</v>
      </c>
      <c r="E1749" s="13" t="s">
        <v>435</v>
      </c>
      <c r="F1749" s="13" t="s">
        <v>436</v>
      </c>
      <c r="G1749" s="13" t="s">
        <v>1734</v>
      </c>
      <c r="K1749" t="s">
        <v>413</v>
      </c>
      <c r="L1749" s="81">
        <f>+Municipios!U646</f>
        <v>26.183849611579621</v>
      </c>
      <c r="M1749" s="13">
        <v>5490</v>
      </c>
      <c r="N1749" s="13" t="s">
        <v>1733</v>
      </c>
      <c r="O1749" s="13" t="s">
        <v>435</v>
      </c>
      <c r="P1749" s="13" t="s">
        <v>436</v>
      </c>
      <c r="Q1749" s="13" t="s">
        <v>1734</v>
      </c>
      <c r="T1749" t="s">
        <v>2804</v>
      </c>
      <c r="U1749" s="25">
        <f>+Municipios!P646</f>
        <v>54.356115838232732</v>
      </c>
      <c r="V1749" s="13">
        <v>5490</v>
      </c>
      <c r="W1749" s="13" t="s">
        <v>1733</v>
      </c>
      <c r="X1749" s="13" t="s">
        <v>435</v>
      </c>
      <c r="Y1749" s="13" t="s">
        <v>436</v>
      </c>
      <c r="Z1749" s="13" t="s">
        <v>1734</v>
      </c>
    </row>
    <row r="1750" spans="1:26">
      <c r="A1750" t="s">
        <v>412</v>
      </c>
      <c r="B1750" s="25">
        <f>+Municipios!P647</f>
        <v>55.326936139631101</v>
      </c>
      <c r="C1750" s="13">
        <v>15296</v>
      </c>
      <c r="D1750" s="13" t="s">
        <v>1735</v>
      </c>
      <c r="E1750" s="13" t="s">
        <v>498</v>
      </c>
      <c r="F1750" s="13" t="s">
        <v>499</v>
      </c>
      <c r="G1750" s="13" t="s">
        <v>1736</v>
      </c>
      <c r="K1750" t="s">
        <v>413</v>
      </c>
      <c r="L1750" s="81">
        <f>+Municipios!U647</f>
        <v>26.539755816799115</v>
      </c>
      <c r="M1750" s="13">
        <v>15296</v>
      </c>
      <c r="N1750" s="13" t="s">
        <v>1735</v>
      </c>
      <c r="O1750" s="13" t="s">
        <v>498</v>
      </c>
      <c r="P1750" s="13" t="s">
        <v>499</v>
      </c>
      <c r="Q1750" s="13" t="s">
        <v>1736</v>
      </c>
      <c r="T1750" t="s">
        <v>2804</v>
      </c>
      <c r="U1750" s="25">
        <f>+Municipios!P647</f>
        <v>55.326936139631101</v>
      </c>
      <c r="V1750" s="13">
        <v>15296</v>
      </c>
      <c r="W1750" s="13" t="s">
        <v>1735</v>
      </c>
      <c r="X1750" s="13" t="s">
        <v>498</v>
      </c>
      <c r="Y1750" s="13" t="s">
        <v>499</v>
      </c>
      <c r="Z1750" s="13" t="s">
        <v>1736</v>
      </c>
    </row>
    <row r="1751" spans="1:26">
      <c r="A1751" t="s">
        <v>412</v>
      </c>
      <c r="B1751" s="25">
        <f>+Municipios!P648</f>
        <v>44.265889228209701</v>
      </c>
      <c r="C1751" s="13">
        <v>13580</v>
      </c>
      <c r="D1751" s="13" t="s">
        <v>1737</v>
      </c>
      <c r="E1751" s="13" t="s">
        <v>480</v>
      </c>
      <c r="F1751" s="13" t="s">
        <v>481</v>
      </c>
      <c r="G1751" s="13" t="s">
        <v>1738</v>
      </c>
      <c r="K1751" t="s">
        <v>413</v>
      </c>
      <c r="L1751" s="81">
        <f>+Municipios!U648</f>
        <v>21.722169689577314</v>
      </c>
      <c r="M1751" s="13">
        <v>13580</v>
      </c>
      <c r="N1751" s="13" t="s">
        <v>1737</v>
      </c>
      <c r="O1751" s="13" t="s">
        <v>480</v>
      </c>
      <c r="P1751" s="13" t="s">
        <v>481</v>
      </c>
      <c r="Q1751" s="13" t="s">
        <v>1738</v>
      </c>
      <c r="T1751" t="s">
        <v>2804</v>
      </c>
      <c r="U1751" s="25">
        <f>+Municipios!P648</f>
        <v>44.265889228209701</v>
      </c>
      <c r="V1751" s="13">
        <v>13580</v>
      </c>
      <c r="W1751" s="13" t="s">
        <v>1737</v>
      </c>
      <c r="X1751" s="13" t="s">
        <v>480</v>
      </c>
      <c r="Y1751" s="13" t="s">
        <v>481</v>
      </c>
      <c r="Z1751" s="13" t="s">
        <v>1738</v>
      </c>
    </row>
    <row r="1752" spans="1:26">
      <c r="A1752" t="s">
        <v>412</v>
      </c>
      <c r="B1752" s="25">
        <f>+Municipios!P649</f>
        <v>62.091280530756499</v>
      </c>
      <c r="C1752" s="13">
        <v>27810</v>
      </c>
      <c r="D1752" s="13" t="s">
        <v>1739</v>
      </c>
      <c r="E1752" s="13" t="s">
        <v>1714</v>
      </c>
      <c r="F1752" s="13" t="s">
        <v>1715</v>
      </c>
      <c r="G1752" s="13" t="s">
        <v>1740</v>
      </c>
      <c r="K1752" t="s">
        <v>413</v>
      </c>
      <c r="L1752" s="81">
        <f>+Municipios!U649</f>
        <v>30.179428364415791</v>
      </c>
      <c r="M1752" s="13">
        <v>27810</v>
      </c>
      <c r="N1752" s="13" t="s">
        <v>1739</v>
      </c>
      <c r="O1752" s="13" t="s">
        <v>1714</v>
      </c>
      <c r="P1752" s="13" t="s">
        <v>1715</v>
      </c>
      <c r="Q1752" s="13" t="s">
        <v>1740</v>
      </c>
      <c r="T1752" t="s">
        <v>2804</v>
      </c>
      <c r="U1752" s="25">
        <f>+Municipios!P649</f>
        <v>62.091280530756499</v>
      </c>
      <c r="V1752" s="13">
        <v>27810</v>
      </c>
      <c r="W1752" s="13" t="s">
        <v>1739</v>
      </c>
      <c r="X1752" s="13" t="s">
        <v>1714</v>
      </c>
      <c r="Y1752" s="13" t="s">
        <v>1715</v>
      </c>
      <c r="Z1752" s="13" t="s">
        <v>1740</v>
      </c>
    </row>
    <row r="1753" spans="1:26">
      <c r="A1753" t="s">
        <v>412</v>
      </c>
      <c r="B1753" s="25">
        <f>+Municipios!P650</f>
        <v>66.486676291214593</v>
      </c>
      <c r="C1753" s="13">
        <v>44110</v>
      </c>
      <c r="D1753" s="13" t="s">
        <v>1741</v>
      </c>
      <c r="E1753" s="13" t="s">
        <v>933</v>
      </c>
      <c r="F1753" s="13" t="s">
        <v>934</v>
      </c>
      <c r="G1753" s="13" t="s">
        <v>1742</v>
      </c>
      <c r="K1753" t="s">
        <v>413</v>
      </c>
      <c r="L1753" s="81">
        <f>+Municipios!U650</f>
        <v>31.661353240526982</v>
      </c>
      <c r="M1753" s="13">
        <v>44110</v>
      </c>
      <c r="N1753" s="13" t="s">
        <v>1741</v>
      </c>
      <c r="O1753" s="13" t="s">
        <v>933</v>
      </c>
      <c r="P1753" s="13" t="s">
        <v>934</v>
      </c>
      <c r="Q1753" s="13" t="s">
        <v>1742</v>
      </c>
      <c r="T1753" t="s">
        <v>2804</v>
      </c>
      <c r="U1753" s="25">
        <f>+Municipios!P650</f>
        <v>66.486676291214593</v>
      </c>
      <c r="V1753" s="13">
        <v>44110</v>
      </c>
      <c r="W1753" s="13" t="s">
        <v>1741</v>
      </c>
      <c r="X1753" s="13" t="s">
        <v>933</v>
      </c>
      <c r="Y1753" s="13" t="s">
        <v>934</v>
      </c>
      <c r="Z1753" s="13" t="s">
        <v>1742</v>
      </c>
    </row>
    <row r="1754" spans="1:26">
      <c r="A1754" t="s">
        <v>412</v>
      </c>
      <c r="B1754" s="25">
        <f>+Municipios!P651</f>
        <v>55.859116210392898</v>
      </c>
      <c r="C1754" s="13">
        <v>15442</v>
      </c>
      <c r="D1754" s="13" t="s">
        <v>1743</v>
      </c>
      <c r="E1754" s="13" t="s">
        <v>498</v>
      </c>
      <c r="F1754" s="13" t="s">
        <v>499</v>
      </c>
      <c r="G1754" s="13" t="s">
        <v>1744</v>
      </c>
      <c r="K1754" t="s">
        <v>413</v>
      </c>
      <c r="L1754" s="81">
        <f>+Municipios!U651</f>
        <v>26.907349210397239</v>
      </c>
      <c r="M1754" s="13">
        <v>15442</v>
      </c>
      <c r="N1754" s="13" t="s">
        <v>1743</v>
      </c>
      <c r="O1754" s="13" t="s">
        <v>498</v>
      </c>
      <c r="P1754" s="13" t="s">
        <v>499</v>
      </c>
      <c r="Q1754" s="13" t="s">
        <v>1744</v>
      </c>
      <c r="T1754" t="s">
        <v>2804</v>
      </c>
      <c r="U1754" s="25">
        <f>+Municipios!P651</f>
        <v>55.859116210392898</v>
      </c>
      <c r="V1754" s="13">
        <v>15442</v>
      </c>
      <c r="W1754" s="13" t="s">
        <v>1743</v>
      </c>
      <c r="X1754" s="13" t="s">
        <v>498</v>
      </c>
      <c r="Y1754" s="13" t="s">
        <v>499</v>
      </c>
      <c r="Z1754" s="13" t="s">
        <v>1744</v>
      </c>
    </row>
    <row r="1755" spans="1:26">
      <c r="A1755" t="s">
        <v>412</v>
      </c>
      <c r="B1755" s="25">
        <f>+Municipios!P652</f>
        <v>67.214614048195102</v>
      </c>
      <c r="C1755" s="13">
        <v>5113</v>
      </c>
      <c r="D1755" s="13" t="s">
        <v>1745</v>
      </c>
      <c r="E1755" s="13" t="s">
        <v>435</v>
      </c>
      <c r="F1755" s="13" t="s">
        <v>436</v>
      </c>
      <c r="G1755" s="13" t="s">
        <v>1746</v>
      </c>
      <c r="K1755" t="s">
        <v>413</v>
      </c>
      <c r="L1755" s="81">
        <f>+Municipios!U652</f>
        <v>33.466187351831323</v>
      </c>
      <c r="M1755" s="13">
        <v>5113</v>
      </c>
      <c r="N1755" s="13" t="s">
        <v>1745</v>
      </c>
      <c r="O1755" s="13" t="s">
        <v>435</v>
      </c>
      <c r="P1755" s="13" t="s">
        <v>436</v>
      </c>
      <c r="Q1755" s="13" t="s">
        <v>1746</v>
      </c>
      <c r="T1755" t="s">
        <v>2804</v>
      </c>
      <c r="U1755" s="25">
        <f>+Municipios!P652</f>
        <v>67.214614048195102</v>
      </c>
      <c r="V1755" s="13">
        <v>5113</v>
      </c>
      <c r="W1755" s="13" t="s">
        <v>1745</v>
      </c>
      <c r="X1755" s="13" t="s">
        <v>435</v>
      </c>
      <c r="Y1755" s="13" t="s">
        <v>436</v>
      </c>
      <c r="Z1755" s="13" t="s">
        <v>1746</v>
      </c>
    </row>
    <row r="1756" spans="1:26">
      <c r="A1756" t="s">
        <v>412</v>
      </c>
      <c r="B1756" s="25">
        <f>+Municipios!P653</f>
        <v>60.832627552902849</v>
      </c>
      <c r="C1756" s="13">
        <v>66456</v>
      </c>
      <c r="D1756" s="13" t="s">
        <v>1747</v>
      </c>
      <c r="E1756" s="13" t="s">
        <v>467</v>
      </c>
      <c r="F1756" s="13" t="s">
        <v>468</v>
      </c>
      <c r="G1756" s="13" t="s">
        <v>1748</v>
      </c>
      <c r="K1756" t="s">
        <v>413</v>
      </c>
      <c r="L1756" s="81">
        <f>+Municipios!U653</f>
        <v>29.667202986383099</v>
      </c>
      <c r="M1756" s="13">
        <v>66456</v>
      </c>
      <c r="N1756" s="13" t="s">
        <v>1747</v>
      </c>
      <c r="O1756" s="13" t="s">
        <v>467</v>
      </c>
      <c r="P1756" s="13" t="s">
        <v>468</v>
      </c>
      <c r="Q1756" s="13" t="s">
        <v>1748</v>
      </c>
      <c r="T1756" t="s">
        <v>2804</v>
      </c>
      <c r="U1756" s="25">
        <f>+Municipios!P653</f>
        <v>60.832627552902849</v>
      </c>
      <c r="V1756" s="13">
        <v>66456</v>
      </c>
      <c r="W1756" s="13" t="s">
        <v>1747</v>
      </c>
      <c r="X1756" s="13" t="s">
        <v>467</v>
      </c>
      <c r="Y1756" s="13" t="s">
        <v>468</v>
      </c>
      <c r="Z1756" s="13" t="s">
        <v>1748</v>
      </c>
    </row>
    <row r="1757" spans="1:26">
      <c r="A1757" t="s">
        <v>412</v>
      </c>
      <c r="B1757" s="25">
        <f>+Municipios!P654</f>
        <v>63.336937399317421</v>
      </c>
      <c r="C1757" s="13">
        <v>25572</v>
      </c>
      <c r="D1757" s="13" t="s">
        <v>1749</v>
      </c>
      <c r="E1757" s="13" t="s">
        <v>461</v>
      </c>
      <c r="F1757" s="13" t="s">
        <v>462</v>
      </c>
      <c r="G1757" s="13" t="s">
        <v>1750</v>
      </c>
      <c r="K1757" t="s">
        <v>413</v>
      </c>
      <c r="L1757" s="81">
        <f>+Municipios!U654</f>
        <v>29.862019595021117</v>
      </c>
      <c r="M1757" s="13">
        <v>25572</v>
      </c>
      <c r="N1757" s="13" t="s">
        <v>1749</v>
      </c>
      <c r="O1757" s="13" t="s">
        <v>461</v>
      </c>
      <c r="P1757" s="13" t="s">
        <v>462</v>
      </c>
      <c r="Q1757" s="13" t="s">
        <v>1750</v>
      </c>
      <c r="T1757" t="s">
        <v>2804</v>
      </c>
      <c r="U1757" s="25">
        <f>+Municipios!P654</f>
        <v>63.336937399317421</v>
      </c>
      <c r="V1757" s="13">
        <v>25572</v>
      </c>
      <c r="W1757" s="13" t="s">
        <v>1749</v>
      </c>
      <c r="X1757" s="13" t="s">
        <v>461</v>
      </c>
      <c r="Y1757" s="13" t="s">
        <v>462</v>
      </c>
      <c r="Z1757" s="13" t="s">
        <v>1750</v>
      </c>
    </row>
    <row r="1758" spans="1:26">
      <c r="A1758" t="s">
        <v>412</v>
      </c>
      <c r="B1758" s="25">
        <f>+Municipios!P655</f>
        <v>53.979356892642528</v>
      </c>
      <c r="C1758" s="13">
        <v>5660</v>
      </c>
      <c r="D1758" s="13" t="s">
        <v>1751</v>
      </c>
      <c r="E1758" s="13" t="s">
        <v>435</v>
      </c>
      <c r="F1758" s="13" t="s">
        <v>436</v>
      </c>
      <c r="G1758" s="13" t="s">
        <v>1690</v>
      </c>
      <c r="K1758" t="s">
        <v>413</v>
      </c>
      <c r="L1758" s="81">
        <f>+Municipios!U655</f>
        <v>25.713215060290874</v>
      </c>
      <c r="M1758" s="13">
        <v>5660</v>
      </c>
      <c r="N1758" s="13" t="s">
        <v>1751</v>
      </c>
      <c r="O1758" s="13" t="s">
        <v>435</v>
      </c>
      <c r="P1758" s="13" t="s">
        <v>436</v>
      </c>
      <c r="Q1758" s="13" t="s">
        <v>1690</v>
      </c>
      <c r="T1758" t="s">
        <v>2804</v>
      </c>
      <c r="U1758" s="25">
        <f>+Municipios!P655</f>
        <v>53.979356892642528</v>
      </c>
      <c r="V1758" s="13">
        <v>5660</v>
      </c>
      <c r="W1758" s="13" t="s">
        <v>1751</v>
      </c>
      <c r="X1758" s="13" t="s">
        <v>435</v>
      </c>
      <c r="Y1758" s="13" t="s">
        <v>436</v>
      </c>
      <c r="Z1758" s="13" t="s">
        <v>1690</v>
      </c>
    </row>
    <row r="1759" spans="1:26">
      <c r="A1759" t="s">
        <v>412</v>
      </c>
      <c r="B1759" s="25">
        <f>+Municipios!P656</f>
        <v>58.517391144500621</v>
      </c>
      <c r="C1759" s="13">
        <v>68689</v>
      </c>
      <c r="D1759" s="13" t="s">
        <v>1752</v>
      </c>
      <c r="E1759" s="13" t="s">
        <v>431</v>
      </c>
      <c r="F1759" s="13" t="s">
        <v>432</v>
      </c>
      <c r="G1759" s="13" t="s">
        <v>1753</v>
      </c>
      <c r="K1759" t="s">
        <v>413</v>
      </c>
      <c r="L1759" s="81">
        <f>+Municipios!U656</f>
        <v>28.442040894218394</v>
      </c>
      <c r="M1759" s="13">
        <v>68689</v>
      </c>
      <c r="N1759" s="13" t="s">
        <v>1752</v>
      </c>
      <c r="O1759" s="13" t="s">
        <v>431</v>
      </c>
      <c r="P1759" s="13" t="s">
        <v>432</v>
      </c>
      <c r="Q1759" s="13" t="s">
        <v>1753</v>
      </c>
      <c r="T1759" t="s">
        <v>2804</v>
      </c>
      <c r="U1759" s="25">
        <f>+Municipios!P656</f>
        <v>58.517391144500621</v>
      </c>
      <c r="V1759" s="13">
        <v>68689</v>
      </c>
      <c r="W1759" s="13" t="s">
        <v>1752</v>
      </c>
      <c r="X1759" s="13" t="s">
        <v>431</v>
      </c>
      <c r="Y1759" s="13" t="s">
        <v>432</v>
      </c>
      <c r="Z1759" s="13" t="s">
        <v>1753</v>
      </c>
    </row>
    <row r="1760" spans="1:26">
      <c r="A1760" t="s">
        <v>412</v>
      </c>
      <c r="B1760" s="25">
        <f>+Municipios!P657</f>
        <v>54.208431157998092</v>
      </c>
      <c r="C1760" s="13">
        <v>86757</v>
      </c>
      <c r="D1760" s="13" t="s">
        <v>1754</v>
      </c>
      <c r="E1760" s="13" t="s">
        <v>943</v>
      </c>
      <c r="F1760" s="13" t="s">
        <v>944</v>
      </c>
      <c r="G1760" s="13" t="s">
        <v>1755</v>
      </c>
      <c r="K1760" t="s">
        <v>413</v>
      </c>
      <c r="L1760" s="81">
        <f>+Municipios!U657</f>
        <v>26.097290417843418</v>
      </c>
      <c r="M1760" s="13">
        <v>86757</v>
      </c>
      <c r="N1760" s="13" t="s">
        <v>1754</v>
      </c>
      <c r="O1760" s="13" t="s">
        <v>943</v>
      </c>
      <c r="P1760" s="13" t="s">
        <v>944</v>
      </c>
      <c r="Q1760" s="13" t="s">
        <v>1755</v>
      </c>
      <c r="T1760" t="s">
        <v>2804</v>
      </c>
      <c r="U1760" s="25">
        <f>+Municipios!P657</f>
        <v>54.208431157998092</v>
      </c>
      <c r="V1760" s="13">
        <v>86757</v>
      </c>
      <c r="W1760" s="13" t="s">
        <v>1754</v>
      </c>
      <c r="X1760" s="13" t="s">
        <v>943</v>
      </c>
      <c r="Y1760" s="13" t="s">
        <v>944</v>
      </c>
      <c r="Z1760" s="13" t="s">
        <v>1755</v>
      </c>
    </row>
    <row r="1761" spans="1:26">
      <c r="A1761" t="s">
        <v>412</v>
      </c>
      <c r="B1761" s="25">
        <f>+Municipios!P658</f>
        <v>49.083691408036017</v>
      </c>
      <c r="C1761" s="13">
        <v>5628</v>
      </c>
      <c r="D1761" s="13" t="s">
        <v>1756</v>
      </c>
      <c r="E1761" s="13" t="s">
        <v>435</v>
      </c>
      <c r="F1761" s="13" t="s">
        <v>436</v>
      </c>
      <c r="G1761" s="13" t="s">
        <v>634</v>
      </c>
      <c r="K1761" t="s">
        <v>413</v>
      </c>
      <c r="L1761" s="81">
        <f>+Municipios!U658</f>
        <v>24.012523999728945</v>
      </c>
      <c r="M1761" s="13">
        <v>5628</v>
      </c>
      <c r="N1761" s="13" t="s">
        <v>1756</v>
      </c>
      <c r="O1761" s="13" t="s">
        <v>435</v>
      </c>
      <c r="P1761" s="13" t="s">
        <v>436</v>
      </c>
      <c r="Q1761" s="13" t="s">
        <v>634</v>
      </c>
      <c r="T1761" t="s">
        <v>2804</v>
      </c>
      <c r="U1761" s="25">
        <f>+Municipios!P658</f>
        <v>49.083691408036017</v>
      </c>
      <c r="V1761" s="13">
        <v>5628</v>
      </c>
      <c r="W1761" s="13" t="s">
        <v>1756</v>
      </c>
      <c r="X1761" s="13" t="s">
        <v>435</v>
      </c>
      <c r="Y1761" s="13" t="s">
        <v>436</v>
      </c>
      <c r="Z1761" s="13" t="s">
        <v>634</v>
      </c>
    </row>
    <row r="1762" spans="1:26">
      <c r="A1762" t="s">
        <v>412</v>
      </c>
      <c r="B1762" s="25">
        <f>+Municipios!P659</f>
        <v>67.197263604964718</v>
      </c>
      <c r="C1762" s="13">
        <v>25297</v>
      </c>
      <c r="D1762" s="13" t="s">
        <v>1757</v>
      </c>
      <c r="E1762" s="13" t="s">
        <v>461</v>
      </c>
      <c r="F1762" s="13" t="s">
        <v>462</v>
      </c>
      <c r="G1762" s="13" t="s">
        <v>1758</v>
      </c>
      <c r="K1762" t="s">
        <v>413</v>
      </c>
      <c r="L1762" s="81">
        <f>+Municipios!U659</f>
        <v>32.028113166206118</v>
      </c>
      <c r="M1762" s="13">
        <v>25297</v>
      </c>
      <c r="N1762" s="13" t="s">
        <v>1757</v>
      </c>
      <c r="O1762" s="13" t="s">
        <v>461</v>
      </c>
      <c r="P1762" s="13" t="s">
        <v>462</v>
      </c>
      <c r="Q1762" s="13" t="s">
        <v>1758</v>
      </c>
      <c r="T1762" t="s">
        <v>2804</v>
      </c>
      <c r="U1762" s="25">
        <f>+Municipios!P659</f>
        <v>67.197263604964718</v>
      </c>
      <c r="V1762" s="13">
        <v>25297</v>
      </c>
      <c r="W1762" s="13" t="s">
        <v>1757</v>
      </c>
      <c r="X1762" s="13" t="s">
        <v>461</v>
      </c>
      <c r="Y1762" s="13" t="s">
        <v>462</v>
      </c>
      <c r="Z1762" s="13" t="s">
        <v>1758</v>
      </c>
    </row>
    <row r="1763" spans="1:26">
      <c r="A1763" t="s">
        <v>412</v>
      </c>
      <c r="B1763" s="25">
        <f>+Municipios!P660</f>
        <v>55.04917402769459</v>
      </c>
      <c r="C1763" s="13">
        <v>76246</v>
      </c>
      <c r="D1763" s="13" t="s">
        <v>1759</v>
      </c>
      <c r="E1763" s="13" t="s">
        <v>454</v>
      </c>
      <c r="F1763" s="13" t="s">
        <v>455</v>
      </c>
      <c r="G1763" s="13" t="s">
        <v>1760</v>
      </c>
      <c r="K1763" t="s">
        <v>413</v>
      </c>
      <c r="L1763" s="81">
        <f>+Municipios!U660</f>
        <v>26.574586546181539</v>
      </c>
      <c r="M1763" s="13">
        <v>76246</v>
      </c>
      <c r="N1763" s="13" t="s">
        <v>1759</v>
      </c>
      <c r="O1763" s="13" t="s">
        <v>454</v>
      </c>
      <c r="P1763" s="13" t="s">
        <v>455</v>
      </c>
      <c r="Q1763" s="13" t="s">
        <v>1760</v>
      </c>
      <c r="T1763" t="s">
        <v>2804</v>
      </c>
      <c r="U1763" s="25">
        <f>+Municipios!P660</f>
        <v>55.04917402769459</v>
      </c>
      <c r="V1763" s="13">
        <v>76246</v>
      </c>
      <c r="W1763" s="13" t="s">
        <v>1759</v>
      </c>
      <c r="X1763" s="13" t="s">
        <v>454</v>
      </c>
      <c r="Y1763" s="13" t="s">
        <v>455</v>
      </c>
      <c r="Z1763" s="13" t="s">
        <v>1760</v>
      </c>
    </row>
    <row r="1764" spans="1:26">
      <c r="A1764" t="s">
        <v>412</v>
      </c>
      <c r="B1764" s="25">
        <f>+Municipios!P661</f>
        <v>58.024091685741936</v>
      </c>
      <c r="C1764" s="13">
        <v>5483</v>
      </c>
      <c r="D1764" s="13" t="s">
        <v>1761</v>
      </c>
      <c r="E1764" s="13" t="s">
        <v>435</v>
      </c>
      <c r="F1764" s="13" t="s">
        <v>436</v>
      </c>
      <c r="G1764" s="13" t="s">
        <v>673</v>
      </c>
      <c r="K1764" t="s">
        <v>413</v>
      </c>
      <c r="L1764" s="81">
        <f>+Municipios!U661</f>
        <v>28.200497183409489</v>
      </c>
      <c r="M1764" s="13">
        <v>5483</v>
      </c>
      <c r="N1764" s="13" t="s">
        <v>1761</v>
      </c>
      <c r="O1764" s="13" t="s">
        <v>435</v>
      </c>
      <c r="P1764" s="13" t="s">
        <v>436</v>
      </c>
      <c r="Q1764" s="13" t="s">
        <v>673</v>
      </c>
      <c r="T1764" t="s">
        <v>2804</v>
      </c>
      <c r="U1764" s="25">
        <f>+Municipios!P661</f>
        <v>58.024091685741936</v>
      </c>
      <c r="V1764" s="13">
        <v>5483</v>
      </c>
      <c r="W1764" s="13" t="s">
        <v>1761</v>
      </c>
      <c r="X1764" s="13" t="s">
        <v>435</v>
      </c>
      <c r="Y1764" s="13" t="s">
        <v>436</v>
      </c>
      <c r="Z1764" s="13" t="s">
        <v>673</v>
      </c>
    </row>
    <row r="1765" spans="1:26">
      <c r="A1765" t="s">
        <v>412</v>
      </c>
      <c r="B1765" s="25">
        <f>+Municipios!P662</f>
        <v>61.079509273785234</v>
      </c>
      <c r="C1765" s="13">
        <v>15676</v>
      </c>
      <c r="D1765" s="13" t="s">
        <v>1762</v>
      </c>
      <c r="E1765" s="13" t="s">
        <v>498</v>
      </c>
      <c r="F1765" s="13" t="s">
        <v>499</v>
      </c>
      <c r="G1765" s="13" t="s">
        <v>1763</v>
      </c>
      <c r="K1765" t="s">
        <v>413</v>
      </c>
      <c r="L1765" s="81">
        <f>+Municipios!U662</f>
        <v>29.286101524821355</v>
      </c>
      <c r="M1765" s="13">
        <v>15676</v>
      </c>
      <c r="N1765" s="13" t="s">
        <v>1762</v>
      </c>
      <c r="O1765" s="13" t="s">
        <v>498</v>
      </c>
      <c r="P1765" s="13" t="s">
        <v>499</v>
      </c>
      <c r="Q1765" s="13" t="s">
        <v>1763</v>
      </c>
      <c r="T1765" t="s">
        <v>2804</v>
      </c>
      <c r="U1765" s="25">
        <f>+Municipios!P662</f>
        <v>61.079509273785234</v>
      </c>
      <c r="V1765" s="13">
        <v>15676</v>
      </c>
      <c r="W1765" s="13" t="s">
        <v>1762</v>
      </c>
      <c r="X1765" s="13" t="s">
        <v>498</v>
      </c>
      <c r="Y1765" s="13" t="s">
        <v>499</v>
      </c>
      <c r="Z1765" s="13" t="s">
        <v>1763</v>
      </c>
    </row>
    <row r="1766" spans="1:26">
      <c r="A1766" t="s">
        <v>412</v>
      </c>
      <c r="B1766" s="25">
        <f>+Municipios!P663</f>
        <v>49.313831611101307</v>
      </c>
      <c r="C1766" s="13">
        <v>52227</v>
      </c>
      <c r="D1766" s="13" t="s">
        <v>1764</v>
      </c>
      <c r="E1766" s="13" t="s">
        <v>672</v>
      </c>
      <c r="F1766" s="13" t="s">
        <v>673</v>
      </c>
      <c r="G1766" s="13" t="s">
        <v>1765</v>
      </c>
      <c r="K1766" t="s">
        <v>413</v>
      </c>
      <c r="L1766" s="81">
        <f>+Municipios!U663</f>
        <v>24.011392186358055</v>
      </c>
      <c r="M1766" s="13">
        <v>52227</v>
      </c>
      <c r="N1766" s="13" t="s">
        <v>1764</v>
      </c>
      <c r="O1766" s="13" t="s">
        <v>672</v>
      </c>
      <c r="P1766" s="13" t="s">
        <v>673</v>
      </c>
      <c r="Q1766" s="13" t="s">
        <v>1765</v>
      </c>
      <c r="T1766" t="s">
        <v>2804</v>
      </c>
      <c r="U1766" s="25">
        <f>+Municipios!P663</f>
        <v>49.313831611101307</v>
      </c>
      <c r="V1766" s="13">
        <v>52227</v>
      </c>
      <c r="W1766" s="13" t="s">
        <v>1764</v>
      </c>
      <c r="X1766" s="13" t="s">
        <v>672</v>
      </c>
      <c r="Y1766" s="13" t="s">
        <v>673</v>
      </c>
      <c r="Z1766" s="13" t="s">
        <v>1765</v>
      </c>
    </row>
    <row r="1767" spans="1:26">
      <c r="A1767" t="s">
        <v>412</v>
      </c>
      <c r="B1767" s="25">
        <f>+Municipios!P664</f>
        <v>54.158373016333357</v>
      </c>
      <c r="C1767" s="13">
        <v>15248</v>
      </c>
      <c r="D1767" s="13" t="s">
        <v>1766</v>
      </c>
      <c r="E1767" s="13" t="s">
        <v>498</v>
      </c>
      <c r="F1767" s="13" t="s">
        <v>499</v>
      </c>
      <c r="G1767" s="13" t="s">
        <v>1767</v>
      </c>
      <c r="K1767" t="s">
        <v>413</v>
      </c>
      <c r="L1767" s="81">
        <f>+Municipios!U664</f>
        <v>26.054980732527817</v>
      </c>
      <c r="M1767" s="13">
        <v>15248</v>
      </c>
      <c r="N1767" s="13" t="s">
        <v>1766</v>
      </c>
      <c r="O1767" s="13" t="s">
        <v>498</v>
      </c>
      <c r="P1767" s="13" t="s">
        <v>499</v>
      </c>
      <c r="Q1767" s="13" t="s">
        <v>1767</v>
      </c>
      <c r="T1767" t="s">
        <v>2804</v>
      </c>
      <c r="U1767" s="25">
        <f>+Municipios!P664</f>
        <v>54.158373016333357</v>
      </c>
      <c r="V1767" s="13">
        <v>15248</v>
      </c>
      <c r="W1767" s="13" t="s">
        <v>1766</v>
      </c>
      <c r="X1767" s="13" t="s">
        <v>498</v>
      </c>
      <c r="Y1767" s="13" t="s">
        <v>499</v>
      </c>
      <c r="Z1767" s="13" t="s">
        <v>1767</v>
      </c>
    </row>
    <row r="1768" spans="1:26">
      <c r="A1768" t="s">
        <v>412</v>
      </c>
      <c r="B1768" s="25">
        <f>+Municipios!P665</f>
        <v>60.511446078721143</v>
      </c>
      <c r="C1768" s="13">
        <v>17541</v>
      </c>
      <c r="D1768" s="13" t="s">
        <v>1768</v>
      </c>
      <c r="E1768" s="13" t="s">
        <v>506</v>
      </c>
      <c r="F1768" s="13" t="s">
        <v>507</v>
      </c>
      <c r="G1768" s="13" t="s">
        <v>1769</v>
      </c>
      <c r="K1768" t="s">
        <v>413</v>
      </c>
      <c r="L1768" s="81">
        <f>+Municipios!U665</f>
        <v>29.218169747788714</v>
      </c>
      <c r="M1768" s="13">
        <v>17541</v>
      </c>
      <c r="N1768" s="13" t="s">
        <v>1768</v>
      </c>
      <c r="O1768" s="13" t="s">
        <v>506</v>
      </c>
      <c r="P1768" s="13" t="s">
        <v>507</v>
      </c>
      <c r="Q1768" s="13" t="s">
        <v>1769</v>
      </c>
      <c r="T1768" t="s">
        <v>2804</v>
      </c>
      <c r="U1768" s="25">
        <f>+Municipios!P665</f>
        <v>60.511446078721143</v>
      </c>
      <c r="V1768" s="13">
        <v>17541</v>
      </c>
      <c r="W1768" s="13" t="s">
        <v>1768</v>
      </c>
      <c r="X1768" s="13" t="s">
        <v>506</v>
      </c>
      <c r="Y1768" s="13" t="s">
        <v>507</v>
      </c>
      <c r="Z1768" s="13" t="s">
        <v>1769</v>
      </c>
    </row>
    <row r="1769" spans="1:26">
      <c r="A1769" t="s">
        <v>412</v>
      </c>
      <c r="B1769" s="25">
        <f>+Municipios!P666</f>
        <v>47.551573968816911</v>
      </c>
      <c r="C1769" s="13">
        <v>73152</v>
      </c>
      <c r="D1769" s="13" t="s">
        <v>1770</v>
      </c>
      <c r="E1769" s="13" t="s">
        <v>595</v>
      </c>
      <c r="F1769" s="13" t="s">
        <v>596</v>
      </c>
      <c r="G1769" s="13" t="s">
        <v>1771</v>
      </c>
      <c r="K1769" t="s">
        <v>413</v>
      </c>
      <c r="L1769" s="81">
        <f>+Municipios!U666</f>
        <v>22.968189718515951</v>
      </c>
      <c r="M1769" s="13">
        <v>73152</v>
      </c>
      <c r="N1769" s="13" t="s">
        <v>1770</v>
      </c>
      <c r="O1769" s="13" t="s">
        <v>595</v>
      </c>
      <c r="P1769" s="13" t="s">
        <v>596</v>
      </c>
      <c r="Q1769" s="13" t="s">
        <v>1771</v>
      </c>
      <c r="T1769" t="s">
        <v>2804</v>
      </c>
      <c r="U1769" s="25">
        <f>+Municipios!P666</f>
        <v>47.551573968816911</v>
      </c>
      <c r="V1769" s="13">
        <v>73152</v>
      </c>
      <c r="W1769" s="13" t="s">
        <v>1770</v>
      </c>
      <c r="X1769" s="13" t="s">
        <v>595</v>
      </c>
      <c r="Y1769" s="13" t="s">
        <v>596</v>
      </c>
      <c r="Z1769" s="13" t="s">
        <v>1771</v>
      </c>
    </row>
    <row r="1770" spans="1:26">
      <c r="A1770" t="s">
        <v>412</v>
      </c>
      <c r="B1770" s="25">
        <f>+Municipios!P667</f>
        <v>56.664601445340153</v>
      </c>
      <c r="C1770" s="13">
        <v>20750</v>
      </c>
      <c r="D1770" s="13" t="s">
        <v>1772</v>
      </c>
      <c r="E1770" s="13" t="s">
        <v>893</v>
      </c>
      <c r="F1770" s="13" t="s">
        <v>894</v>
      </c>
      <c r="G1770" s="13" t="s">
        <v>1773</v>
      </c>
      <c r="K1770" t="s">
        <v>413</v>
      </c>
      <c r="L1770" s="81">
        <f>+Municipios!U667</f>
        <v>27.78545851469071</v>
      </c>
      <c r="M1770" s="13">
        <v>20750</v>
      </c>
      <c r="N1770" s="13" t="s">
        <v>1772</v>
      </c>
      <c r="O1770" s="13" t="s">
        <v>893</v>
      </c>
      <c r="P1770" s="13" t="s">
        <v>894</v>
      </c>
      <c r="Q1770" s="13" t="s">
        <v>1773</v>
      </c>
      <c r="T1770" t="s">
        <v>2804</v>
      </c>
      <c r="U1770" s="25">
        <f>+Municipios!P667</f>
        <v>56.664601445340153</v>
      </c>
      <c r="V1770" s="13">
        <v>20750</v>
      </c>
      <c r="W1770" s="13" t="s">
        <v>1772</v>
      </c>
      <c r="X1770" s="13" t="s">
        <v>893</v>
      </c>
      <c r="Y1770" s="13" t="s">
        <v>894</v>
      </c>
      <c r="Z1770" s="13" t="s">
        <v>1773</v>
      </c>
    </row>
    <row r="1771" spans="1:26">
      <c r="A1771" t="s">
        <v>412</v>
      </c>
      <c r="B1771" s="25">
        <f>+Municipios!P668</f>
        <v>49.87953823596024</v>
      </c>
      <c r="C1771" s="13">
        <v>20032</v>
      </c>
      <c r="D1771" s="13" t="s">
        <v>1774</v>
      </c>
      <c r="E1771" s="13" t="s">
        <v>893</v>
      </c>
      <c r="F1771" s="13" t="s">
        <v>894</v>
      </c>
      <c r="G1771" s="13" t="s">
        <v>1775</v>
      </c>
      <c r="K1771" t="s">
        <v>413</v>
      </c>
      <c r="L1771" s="81">
        <f>+Municipios!U668</f>
        <v>24.01445783613115</v>
      </c>
      <c r="M1771" s="13">
        <v>20032</v>
      </c>
      <c r="N1771" s="13" t="s">
        <v>1774</v>
      </c>
      <c r="O1771" s="13" t="s">
        <v>893</v>
      </c>
      <c r="P1771" s="13" t="s">
        <v>894</v>
      </c>
      <c r="Q1771" s="13" t="s">
        <v>1775</v>
      </c>
      <c r="T1771" t="s">
        <v>2804</v>
      </c>
      <c r="U1771" s="25">
        <f>+Municipios!P668</f>
        <v>49.87953823596024</v>
      </c>
      <c r="V1771" s="13">
        <v>20032</v>
      </c>
      <c r="W1771" s="13" t="s">
        <v>1774</v>
      </c>
      <c r="X1771" s="13" t="s">
        <v>893</v>
      </c>
      <c r="Y1771" s="13" t="s">
        <v>894</v>
      </c>
      <c r="Z1771" s="13" t="s">
        <v>1775</v>
      </c>
    </row>
    <row r="1772" spans="1:26">
      <c r="A1772" t="s">
        <v>412</v>
      </c>
      <c r="B1772" s="25">
        <f>+Municipios!P669</f>
        <v>52.075738616333808</v>
      </c>
      <c r="C1772" s="13">
        <v>73055</v>
      </c>
      <c r="D1772" s="13" t="s">
        <v>1776</v>
      </c>
      <c r="E1772" s="13" t="s">
        <v>595</v>
      </c>
      <c r="F1772" s="13" t="s">
        <v>596</v>
      </c>
      <c r="G1772" s="13" t="s">
        <v>1777</v>
      </c>
      <c r="K1772" t="s">
        <v>413</v>
      </c>
      <c r="L1772" s="81">
        <f>+Municipios!U669</f>
        <v>24.874847762830978</v>
      </c>
      <c r="M1772" s="13">
        <v>73055</v>
      </c>
      <c r="N1772" s="13" t="s">
        <v>1776</v>
      </c>
      <c r="O1772" s="13" t="s">
        <v>595</v>
      </c>
      <c r="P1772" s="13" t="s">
        <v>596</v>
      </c>
      <c r="Q1772" s="13" t="s">
        <v>1777</v>
      </c>
      <c r="T1772" t="s">
        <v>2804</v>
      </c>
      <c r="U1772" s="25">
        <f>+Municipios!P669</f>
        <v>52.075738616333808</v>
      </c>
      <c r="V1772" s="13">
        <v>73055</v>
      </c>
      <c r="W1772" s="13" t="s">
        <v>1776</v>
      </c>
      <c r="X1772" s="13" t="s">
        <v>595</v>
      </c>
      <c r="Y1772" s="13" t="s">
        <v>596</v>
      </c>
      <c r="Z1772" s="13" t="s">
        <v>1777</v>
      </c>
    </row>
    <row r="1773" spans="1:26">
      <c r="A1773" t="s">
        <v>412</v>
      </c>
      <c r="B1773" s="25">
        <f>+Municipios!P670</f>
        <v>42.022055007043434</v>
      </c>
      <c r="C1773" s="13">
        <v>5658</v>
      </c>
      <c r="D1773" s="13" t="s">
        <v>1778</v>
      </c>
      <c r="E1773" s="13" t="s">
        <v>435</v>
      </c>
      <c r="F1773" s="13" t="s">
        <v>436</v>
      </c>
      <c r="G1773" s="13" t="s">
        <v>1779</v>
      </c>
      <c r="K1773" t="s">
        <v>413</v>
      </c>
      <c r="L1773" s="81">
        <f>+Municipios!U670</f>
        <v>20.556368104902102</v>
      </c>
      <c r="M1773" s="13">
        <v>5658</v>
      </c>
      <c r="N1773" s="13" t="s">
        <v>1778</v>
      </c>
      <c r="O1773" s="13" t="s">
        <v>435</v>
      </c>
      <c r="P1773" s="13" t="s">
        <v>436</v>
      </c>
      <c r="Q1773" s="13" t="s">
        <v>1779</v>
      </c>
      <c r="T1773" t="s">
        <v>2804</v>
      </c>
      <c r="U1773" s="25">
        <f>+Municipios!P670</f>
        <v>42.022055007043434</v>
      </c>
      <c r="V1773" s="13">
        <v>5658</v>
      </c>
      <c r="W1773" s="13" t="s">
        <v>1778</v>
      </c>
      <c r="X1773" s="13" t="s">
        <v>435</v>
      </c>
      <c r="Y1773" s="13" t="s">
        <v>436</v>
      </c>
      <c r="Z1773" s="13" t="s">
        <v>1779</v>
      </c>
    </row>
    <row r="1774" spans="1:26">
      <c r="A1774" t="s">
        <v>412</v>
      </c>
      <c r="B1774" s="25">
        <f>+Municipios!P671</f>
        <v>50.838628353923568</v>
      </c>
      <c r="C1774" s="13">
        <v>73624</v>
      </c>
      <c r="D1774" s="13" t="s">
        <v>1780</v>
      </c>
      <c r="E1774" s="13" t="s">
        <v>595</v>
      </c>
      <c r="F1774" s="13" t="s">
        <v>596</v>
      </c>
      <c r="G1774" s="13" t="s">
        <v>1781</v>
      </c>
      <c r="K1774" t="s">
        <v>413</v>
      </c>
      <c r="L1774" s="81">
        <f>+Municipios!U671</f>
        <v>24.499430273984999</v>
      </c>
      <c r="M1774" s="13">
        <v>73624</v>
      </c>
      <c r="N1774" s="13" t="s">
        <v>1780</v>
      </c>
      <c r="O1774" s="13" t="s">
        <v>595</v>
      </c>
      <c r="P1774" s="13" t="s">
        <v>596</v>
      </c>
      <c r="Q1774" s="13" t="s">
        <v>1781</v>
      </c>
      <c r="T1774" t="s">
        <v>2804</v>
      </c>
      <c r="U1774" s="25">
        <f>+Municipios!P671</f>
        <v>50.838628353923568</v>
      </c>
      <c r="V1774" s="13">
        <v>73624</v>
      </c>
      <c r="W1774" s="13" t="s">
        <v>1780</v>
      </c>
      <c r="X1774" s="13" t="s">
        <v>595</v>
      </c>
      <c r="Y1774" s="13" t="s">
        <v>596</v>
      </c>
      <c r="Z1774" s="13" t="s">
        <v>1781</v>
      </c>
    </row>
    <row r="1775" spans="1:26">
      <c r="A1775" t="s">
        <v>412</v>
      </c>
      <c r="B1775" s="25">
        <f>+Municipios!P672</f>
        <v>44.184005756524073</v>
      </c>
      <c r="C1775" s="13">
        <v>13212</v>
      </c>
      <c r="D1775" s="13" t="s">
        <v>1782</v>
      </c>
      <c r="E1775" s="13" t="s">
        <v>480</v>
      </c>
      <c r="F1775" s="13" t="s">
        <v>481</v>
      </c>
      <c r="G1775" s="13" t="s">
        <v>568</v>
      </c>
      <c r="K1775" t="s">
        <v>413</v>
      </c>
      <c r="L1775" s="81">
        <f>+Municipios!U672</f>
        <v>21.485513607959025</v>
      </c>
      <c r="M1775" s="13">
        <v>13212</v>
      </c>
      <c r="N1775" s="13" t="s">
        <v>1782</v>
      </c>
      <c r="O1775" s="13" t="s">
        <v>480</v>
      </c>
      <c r="P1775" s="13" t="s">
        <v>481</v>
      </c>
      <c r="Q1775" s="13" t="s">
        <v>568</v>
      </c>
      <c r="T1775" t="s">
        <v>2804</v>
      </c>
      <c r="U1775" s="25">
        <f>+Municipios!P672</f>
        <v>44.184005756524073</v>
      </c>
      <c r="V1775" s="13">
        <v>13212</v>
      </c>
      <c r="W1775" s="13" t="s">
        <v>1782</v>
      </c>
      <c r="X1775" s="13" t="s">
        <v>480</v>
      </c>
      <c r="Y1775" s="13" t="s">
        <v>481</v>
      </c>
      <c r="Z1775" s="13" t="s">
        <v>568</v>
      </c>
    </row>
    <row r="1776" spans="1:26">
      <c r="A1776" t="s">
        <v>412</v>
      </c>
      <c r="B1776" s="25">
        <f>+Municipios!P673</f>
        <v>58.666151784394337</v>
      </c>
      <c r="C1776" s="13">
        <v>5756</v>
      </c>
      <c r="D1776" s="13" t="s">
        <v>1783</v>
      </c>
      <c r="E1776" s="13" t="s">
        <v>435</v>
      </c>
      <c r="F1776" s="13" t="s">
        <v>436</v>
      </c>
      <c r="G1776" s="13" t="s">
        <v>1784</v>
      </c>
      <c r="K1776" t="s">
        <v>413</v>
      </c>
      <c r="L1776" s="81">
        <f>+Municipios!U673</f>
        <v>28.085444418209061</v>
      </c>
      <c r="M1776" s="13">
        <v>5756</v>
      </c>
      <c r="N1776" s="13" t="s">
        <v>1783</v>
      </c>
      <c r="O1776" s="13" t="s">
        <v>435</v>
      </c>
      <c r="P1776" s="13" t="s">
        <v>436</v>
      </c>
      <c r="Q1776" s="13" t="s">
        <v>1784</v>
      </c>
      <c r="T1776" t="s">
        <v>2804</v>
      </c>
      <c r="U1776" s="25">
        <f>+Municipios!P673</f>
        <v>58.666151784394337</v>
      </c>
      <c r="V1776" s="13">
        <v>5756</v>
      </c>
      <c r="W1776" s="13" t="s">
        <v>1783</v>
      </c>
      <c r="X1776" s="13" t="s">
        <v>435</v>
      </c>
      <c r="Y1776" s="13" t="s">
        <v>436</v>
      </c>
      <c r="Z1776" s="13" t="s">
        <v>1784</v>
      </c>
    </row>
    <row r="1777" spans="1:26">
      <c r="A1777" t="s">
        <v>412</v>
      </c>
      <c r="B1777" s="25">
        <f>+Municipios!P674</f>
        <v>57.450908694388758</v>
      </c>
      <c r="C1777" s="13">
        <v>73030</v>
      </c>
      <c r="D1777" s="13" t="s">
        <v>1785</v>
      </c>
      <c r="E1777" s="13" t="s">
        <v>595</v>
      </c>
      <c r="F1777" s="13" t="s">
        <v>596</v>
      </c>
      <c r="G1777" s="13" t="s">
        <v>1786</v>
      </c>
      <c r="K1777" t="s">
        <v>413</v>
      </c>
      <c r="L1777" s="81">
        <f>+Municipios!U674</f>
        <v>27.572900198812153</v>
      </c>
      <c r="M1777" s="13">
        <v>73030</v>
      </c>
      <c r="N1777" s="13" t="s">
        <v>1785</v>
      </c>
      <c r="O1777" s="13" t="s">
        <v>595</v>
      </c>
      <c r="P1777" s="13" t="s">
        <v>596</v>
      </c>
      <c r="Q1777" s="13" t="s">
        <v>1786</v>
      </c>
      <c r="T1777" t="s">
        <v>2804</v>
      </c>
      <c r="U1777" s="25">
        <f>+Municipios!P674</f>
        <v>57.450908694388758</v>
      </c>
      <c r="V1777" s="13">
        <v>73030</v>
      </c>
      <c r="W1777" s="13" t="s">
        <v>1785</v>
      </c>
      <c r="X1777" s="13" t="s">
        <v>595</v>
      </c>
      <c r="Y1777" s="13" t="s">
        <v>596</v>
      </c>
      <c r="Z1777" s="13" t="s">
        <v>1786</v>
      </c>
    </row>
    <row r="1778" spans="1:26">
      <c r="A1778" t="s">
        <v>412</v>
      </c>
      <c r="B1778" s="25">
        <f>+Municipios!P675</f>
        <v>46.733709376385463</v>
      </c>
      <c r="C1778" s="13">
        <v>15276</v>
      </c>
      <c r="D1778" s="13" t="s">
        <v>1787</v>
      </c>
      <c r="E1778" s="13" t="s">
        <v>498</v>
      </c>
      <c r="F1778" s="13" t="s">
        <v>499</v>
      </c>
      <c r="G1778" s="13" t="s">
        <v>1788</v>
      </c>
      <c r="K1778" t="s">
        <v>413</v>
      </c>
      <c r="L1778" s="81">
        <f>+Municipios!U675</f>
        <v>22.439717457097004</v>
      </c>
      <c r="M1778" s="13">
        <v>15276</v>
      </c>
      <c r="N1778" s="13" t="s">
        <v>1787</v>
      </c>
      <c r="O1778" s="13" t="s">
        <v>498</v>
      </c>
      <c r="P1778" s="13" t="s">
        <v>499</v>
      </c>
      <c r="Q1778" s="13" t="s">
        <v>1788</v>
      </c>
      <c r="T1778" t="s">
        <v>2804</v>
      </c>
      <c r="U1778" s="25">
        <f>+Municipios!P675</f>
        <v>46.733709376385463</v>
      </c>
      <c r="V1778" s="13">
        <v>15276</v>
      </c>
      <c r="W1778" s="13" t="s">
        <v>1787</v>
      </c>
      <c r="X1778" s="13" t="s">
        <v>498</v>
      </c>
      <c r="Y1778" s="13" t="s">
        <v>499</v>
      </c>
      <c r="Z1778" s="13" t="s">
        <v>1788</v>
      </c>
    </row>
    <row r="1779" spans="1:26">
      <c r="A1779" t="s">
        <v>412</v>
      </c>
      <c r="B1779" s="25">
        <f>+Municipios!P676</f>
        <v>56.961360070888617</v>
      </c>
      <c r="C1779" s="13">
        <v>76126</v>
      </c>
      <c r="D1779" s="13" t="s">
        <v>1789</v>
      </c>
      <c r="E1779" s="13" t="s">
        <v>454</v>
      </c>
      <c r="F1779" s="13" t="s">
        <v>455</v>
      </c>
      <c r="G1779" s="13" t="s">
        <v>1790</v>
      </c>
      <c r="K1779" t="s">
        <v>413</v>
      </c>
      <c r="L1779" s="81">
        <f>+Municipios!U676</f>
        <v>27.243306474506902</v>
      </c>
      <c r="M1779" s="13">
        <v>76126</v>
      </c>
      <c r="N1779" s="13" t="s">
        <v>1789</v>
      </c>
      <c r="O1779" s="13" t="s">
        <v>454</v>
      </c>
      <c r="P1779" s="13" t="s">
        <v>455</v>
      </c>
      <c r="Q1779" s="13" t="s">
        <v>1790</v>
      </c>
      <c r="T1779" t="s">
        <v>2804</v>
      </c>
      <c r="U1779" s="25">
        <f>+Municipios!P676</f>
        <v>56.961360070888617</v>
      </c>
      <c r="V1779" s="13">
        <v>76126</v>
      </c>
      <c r="W1779" s="13" t="s">
        <v>1789</v>
      </c>
      <c r="X1779" s="13" t="s">
        <v>454</v>
      </c>
      <c r="Y1779" s="13" t="s">
        <v>455</v>
      </c>
      <c r="Z1779" s="13" t="s">
        <v>1790</v>
      </c>
    </row>
    <row r="1780" spans="1:26">
      <c r="A1780" t="s">
        <v>412</v>
      </c>
      <c r="B1780" s="25">
        <f>+Municipios!P677</f>
        <v>66.167416690912276</v>
      </c>
      <c r="C1780" s="13">
        <v>47058</v>
      </c>
      <c r="D1780" s="13" t="s">
        <v>1791</v>
      </c>
      <c r="E1780" s="13" t="s">
        <v>638</v>
      </c>
      <c r="F1780" s="13" t="s">
        <v>639</v>
      </c>
      <c r="G1780" s="13" t="s">
        <v>1792</v>
      </c>
      <c r="K1780" t="s">
        <v>413</v>
      </c>
      <c r="L1780" s="81">
        <f>+Municipios!U677</f>
        <v>31.605323966434181</v>
      </c>
      <c r="M1780" s="13">
        <v>47058</v>
      </c>
      <c r="N1780" s="13" t="s">
        <v>1791</v>
      </c>
      <c r="O1780" s="13" t="s">
        <v>638</v>
      </c>
      <c r="P1780" s="13" t="s">
        <v>639</v>
      </c>
      <c r="Q1780" s="13" t="s">
        <v>1792</v>
      </c>
      <c r="T1780" t="s">
        <v>2804</v>
      </c>
      <c r="U1780" s="25">
        <f>+Municipios!P677</f>
        <v>66.167416690912276</v>
      </c>
      <c r="V1780" s="13">
        <v>47058</v>
      </c>
      <c r="W1780" s="13" t="s">
        <v>1791</v>
      </c>
      <c r="X1780" s="13" t="s">
        <v>638</v>
      </c>
      <c r="Y1780" s="13" t="s">
        <v>639</v>
      </c>
      <c r="Z1780" s="13" t="s">
        <v>1792</v>
      </c>
    </row>
    <row r="1781" spans="1:26">
      <c r="A1781" t="s">
        <v>412</v>
      </c>
      <c r="B1781" s="25">
        <f>+Municipios!P678</f>
        <v>57.704372453948032</v>
      </c>
      <c r="C1781" s="13">
        <v>15106</v>
      </c>
      <c r="D1781" s="13" t="s">
        <v>1793</v>
      </c>
      <c r="E1781" s="13" t="s">
        <v>498</v>
      </c>
      <c r="F1781" s="13" t="s">
        <v>499</v>
      </c>
      <c r="G1781" s="13" t="s">
        <v>1794</v>
      </c>
      <c r="K1781" t="s">
        <v>413</v>
      </c>
      <c r="L1781" s="81">
        <f>+Municipios!U678</f>
        <v>27.541629942766928</v>
      </c>
      <c r="M1781" s="13">
        <v>15106</v>
      </c>
      <c r="N1781" s="13" t="s">
        <v>1793</v>
      </c>
      <c r="O1781" s="13" t="s">
        <v>498</v>
      </c>
      <c r="P1781" s="13" t="s">
        <v>499</v>
      </c>
      <c r="Q1781" s="13" t="s">
        <v>1794</v>
      </c>
      <c r="T1781" t="s">
        <v>2804</v>
      </c>
      <c r="U1781" s="25">
        <f>+Municipios!P678</f>
        <v>57.704372453948032</v>
      </c>
      <c r="V1781" s="13">
        <v>15106</v>
      </c>
      <c r="W1781" s="13" t="s">
        <v>1793</v>
      </c>
      <c r="X1781" s="13" t="s">
        <v>498</v>
      </c>
      <c r="Y1781" s="13" t="s">
        <v>499</v>
      </c>
      <c r="Z1781" s="13" t="s">
        <v>1794</v>
      </c>
    </row>
    <row r="1782" spans="1:26">
      <c r="A1782" t="s">
        <v>412</v>
      </c>
      <c r="B1782" s="25">
        <f>+Municipios!P679</f>
        <v>68.418775689491341</v>
      </c>
      <c r="C1782" s="13">
        <v>25662</v>
      </c>
      <c r="D1782" s="13" t="s">
        <v>1795</v>
      </c>
      <c r="E1782" s="13" t="s">
        <v>461</v>
      </c>
      <c r="F1782" s="13" t="s">
        <v>462</v>
      </c>
      <c r="G1782" s="13" t="s">
        <v>1796</v>
      </c>
      <c r="K1782" t="s">
        <v>413</v>
      </c>
      <c r="L1782" s="81">
        <f>+Municipios!U679</f>
        <v>32.351953089945148</v>
      </c>
      <c r="M1782" s="13">
        <v>25662</v>
      </c>
      <c r="N1782" s="13" t="s">
        <v>1795</v>
      </c>
      <c r="O1782" s="13" t="s">
        <v>461</v>
      </c>
      <c r="P1782" s="13" t="s">
        <v>462</v>
      </c>
      <c r="Q1782" s="13" t="s">
        <v>1796</v>
      </c>
      <c r="T1782" t="s">
        <v>2804</v>
      </c>
      <c r="U1782" s="25">
        <f>+Municipios!P679</f>
        <v>68.418775689491341</v>
      </c>
      <c r="V1782" s="13">
        <v>25662</v>
      </c>
      <c r="W1782" s="13" t="s">
        <v>1795</v>
      </c>
      <c r="X1782" s="13" t="s">
        <v>461</v>
      </c>
      <c r="Y1782" s="13" t="s">
        <v>462</v>
      </c>
      <c r="Z1782" s="13" t="s">
        <v>1796</v>
      </c>
    </row>
    <row r="1783" spans="1:26">
      <c r="A1783" t="s">
        <v>412</v>
      </c>
      <c r="B1783" s="25">
        <f>+Municipios!P680</f>
        <v>68.530831076542441</v>
      </c>
      <c r="C1783" s="13">
        <v>15511</v>
      </c>
      <c r="D1783" s="13" t="s">
        <v>1797</v>
      </c>
      <c r="E1783" s="13" t="s">
        <v>498</v>
      </c>
      <c r="F1783" s="13" t="s">
        <v>499</v>
      </c>
      <c r="G1783" s="13" t="s">
        <v>1798</v>
      </c>
      <c r="K1783" t="s">
        <v>413</v>
      </c>
      <c r="L1783" s="81">
        <f>+Municipios!U680</f>
        <v>32.479995459633429</v>
      </c>
      <c r="M1783" s="13">
        <v>15511</v>
      </c>
      <c r="N1783" s="13" t="s">
        <v>1797</v>
      </c>
      <c r="O1783" s="13" t="s">
        <v>498</v>
      </c>
      <c r="P1783" s="13" t="s">
        <v>499</v>
      </c>
      <c r="Q1783" s="13" t="s">
        <v>1798</v>
      </c>
      <c r="T1783" t="s">
        <v>2804</v>
      </c>
      <c r="U1783" s="25">
        <f>+Municipios!P680</f>
        <v>68.530831076542441</v>
      </c>
      <c r="V1783" s="13">
        <v>15511</v>
      </c>
      <c r="W1783" s="13" t="s">
        <v>1797</v>
      </c>
      <c r="X1783" s="13" t="s">
        <v>498</v>
      </c>
      <c r="Y1783" s="13" t="s">
        <v>499</v>
      </c>
      <c r="Z1783" s="13" t="s">
        <v>1798</v>
      </c>
    </row>
    <row r="1784" spans="1:26">
      <c r="A1784" t="s">
        <v>412</v>
      </c>
      <c r="B1784" s="25">
        <f>+Municipios!P681</f>
        <v>47.48938229984315</v>
      </c>
      <c r="C1784" s="13">
        <v>5055</v>
      </c>
      <c r="D1784" s="13" t="s">
        <v>1799</v>
      </c>
      <c r="E1784" s="13" t="s">
        <v>435</v>
      </c>
      <c r="F1784" s="13" t="s">
        <v>436</v>
      </c>
      <c r="G1784" s="13" t="s">
        <v>1236</v>
      </c>
      <c r="K1784" t="s">
        <v>413</v>
      </c>
      <c r="L1784" s="81">
        <f>+Municipios!U681</f>
        <v>22.929922589870007</v>
      </c>
      <c r="M1784" s="13">
        <v>5055</v>
      </c>
      <c r="N1784" s="13" t="s">
        <v>1799</v>
      </c>
      <c r="O1784" s="13" t="s">
        <v>435</v>
      </c>
      <c r="P1784" s="13" t="s">
        <v>436</v>
      </c>
      <c r="Q1784" s="13" t="s">
        <v>1236</v>
      </c>
      <c r="T1784" t="s">
        <v>2804</v>
      </c>
      <c r="U1784" s="25">
        <f>+Municipios!P681</f>
        <v>47.48938229984315</v>
      </c>
      <c r="V1784" s="13">
        <v>5055</v>
      </c>
      <c r="W1784" s="13" t="s">
        <v>1799</v>
      </c>
      <c r="X1784" s="13" t="s">
        <v>435</v>
      </c>
      <c r="Y1784" s="13" t="s">
        <v>436</v>
      </c>
      <c r="Z1784" s="13" t="s">
        <v>1236</v>
      </c>
    </row>
    <row r="1785" spans="1:26">
      <c r="A1785" t="s">
        <v>412</v>
      </c>
      <c r="B1785" s="25">
        <f>+Municipios!P682</f>
        <v>56.42015255895901</v>
      </c>
      <c r="C1785" s="13">
        <v>15522</v>
      </c>
      <c r="D1785" s="13" t="s">
        <v>1800</v>
      </c>
      <c r="E1785" s="13" t="s">
        <v>498</v>
      </c>
      <c r="F1785" s="13" t="s">
        <v>499</v>
      </c>
      <c r="G1785" s="13" t="s">
        <v>1801</v>
      </c>
      <c r="K1785" t="s">
        <v>413</v>
      </c>
      <c r="L1785" s="81">
        <f>+Municipios!U682</f>
        <v>26.96320585647813</v>
      </c>
      <c r="M1785" s="13">
        <v>15522</v>
      </c>
      <c r="N1785" s="13" t="s">
        <v>1800</v>
      </c>
      <c r="O1785" s="13" t="s">
        <v>498</v>
      </c>
      <c r="P1785" s="13" t="s">
        <v>499</v>
      </c>
      <c r="Q1785" s="13" t="s">
        <v>1801</v>
      </c>
      <c r="T1785" t="s">
        <v>2804</v>
      </c>
      <c r="U1785" s="25">
        <f>+Municipios!P682</f>
        <v>56.42015255895901</v>
      </c>
      <c r="V1785" s="13">
        <v>15522</v>
      </c>
      <c r="W1785" s="13" t="s">
        <v>1800</v>
      </c>
      <c r="X1785" s="13" t="s">
        <v>498</v>
      </c>
      <c r="Y1785" s="13" t="s">
        <v>499</v>
      </c>
      <c r="Z1785" s="13" t="s">
        <v>1801</v>
      </c>
    </row>
    <row r="1786" spans="1:26">
      <c r="A1786" t="s">
        <v>412</v>
      </c>
      <c r="B1786" s="25">
        <f>+Municipios!P683</f>
        <v>56.842678231762477</v>
      </c>
      <c r="C1786" s="13">
        <v>68255</v>
      </c>
      <c r="D1786" s="13" t="s">
        <v>1802</v>
      </c>
      <c r="E1786" s="13" t="s">
        <v>431</v>
      </c>
      <c r="F1786" s="13" t="s">
        <v>432</v>
      </c>
      <c r="G1786" s="13" t="s">
        <v>1803</v>
      </c>
      <c r="K1786" t="s">
        <v>413</v>
      </c>
      <c r="L1786" s="81">
        <f>+Municipios!U683</f>
        <v>27.339726575371749</v>
      </c>
      <c r="M1786" s="13">
        <v>68255</v>
      </c>
      <c r="N1786" s="13" t="s">
        <v>1802</v>
      </c>
      <c r="O1786" s="13" t="s">
        <v>431</v>
      </c>
      <c r="P1786" s="13" t="s">
        <v>432</v>
      </c>
      <c r="Q1786" s="13" t="s">
        <v>1803</v>
      </c>
      <c r="T1786" t="s">
        <v>2804</v>
      </c>
      <c r="U1786" s="25">
        <f>+Municipios!P683</f>
        <v>56.842678231762477</v>
      </c>
      <c r="V1786" s="13">
        <v>68255</v>
      </c>
      <c r="W1786" s="13" t="s">
        <v>1802</v>
      </c>
      <c r="X1786" s="13" t="s">
        <v>431</v>
      </c>
      <c r="Y1786" s="13" t="s">
        <v>432</v>
      </c>
      <c r="Z1786" s="13" t="s">
        <v>1803</v>
      </c>
    </row>
    <row r="1787" spans="1:26">
      <c r="A1787" t="s">
        <v>412</v>
      </c>
      <c r="B1787" s="25">
        <f>+Municipios!P684</f>
        <v>47.393864740633163</v>
      </c>
      <c r="C1787" s="13">
        <v>47053</v>
      </c>
      <c r="D1787" s="13" t="s">
        <v>1804</v>
      </c>
      <c r="E1787" s="13" t="s">
        <v>638</v>
      </c>
      <c r="F1787" s="13" t="s">
        <v>639</v>
      </c>
      <c r="G1787" s="13" t="s">
        <v>1805</v>
      </c>
      <c r="K1787" t="s">
        <v>413</v>
      </c>
      <c r="L1787" s="81">
        <f>+Municipios!U684</f>
        <v>22.752012904334901</v>
      </c>
      <c r="M1787" s="13">
        <v>47053</v>
      </c>
      <c r="N1787" s="13" t="s">
        <v>1804</v>
      </c>
      <c r="O1787" s="13" t="s">
        <v>638</v>
      </c>
      <c r="P1787" s="13" t="s">
        <v>639</v>
      </c>
      <c r="Q1787" s="13" t="s">
        <v>1805</v>
      </c>
      <c r="T1787" t="s">
        <v>2804</v>
      </c>
      <c r="U1787" s="25">
        <f>+Municipios!P684</f>
        <v>47.393864740633163</v>
      </c>
      <c r="V1787" s="13">
        <v>47053</v>
      </c>
      <c r="W1787" s="13" t="s">
        <v>1804</v>
      </c>
      <c r="X1787" s="13" t="s">
        <v>638</v>
      </c>
      <c r="Y1787" s="13" t="s">
        <v>639</v>
      </c>
      <c r="Z1787" s="13" t="s">
        <v>1805</v>
      </c>
    </row>
    <row r="1788" spans="1:26">
      <c r="A1788" t="s">
        <v>412</v>
      </c>
      <c r="B1788" s="25">
        <f>+Municipios!P685</f>
        <v>57.762802141685455</v>
      </c>
      <c r="C1788" s="13">
        <v>52110</v>
      </c>
      <c r="D1788" s="13" t="s">
        <v>1806</v>
      </c>
      <c r="E1788" s="13" t="s">
        <v>672</v>
      </c>
      <c r="F1788" s="13" t="s">
        <v>673</v>
      </c>
      <c r="G1788" s="13" t="s">
        <v>1807</v>
      </c>
      <c r="K1788" t="s">
        <v>413</v>
      </c>
      <c r="L1788" s="81">
        <f>+Municipios!U685</f>
        <v>27.761525526426706</v>
      </c>
      <c r="M1788" s="13">
        <v>52110</v>
      </c>
      <c r="N1788" s="13" t="s">
        <v>1806</v>
      </c>
      <c r="O1788" s="13" t="s">
        <v>672</v>
      </c>
      <c r="P1788" s="13" t="s">
        <v>673</v>
      </c>
      <c r="Q1788" s="13" t="s">
        <v>1807</v>
      </c>
      <c r="T1788" t="s">
        <v>2804</v>
      </c>
      <c r="U1788" s="25">
        <f>+Municipios!P685</f>
        <v>57.762802141685455</v>
      </c>
      <c r="V1788" s="13">
        <v>52110</v>
      </c>
      <c r="W1788" s="13" t="s">
        <v>1806</v>
      </c>
      <c r="X1788" s="13" t="s">
        <v>672</v>
      </c>
      <c r="Y1788" s="13" t="s">
        <v>673</v>
      </c>
      <c r="Z1788" s="13" t="s">
        <v>1807</v>
      </c>
    </row>
    <row r="1789" spans="1:26">
      <c r="A1789" t="s">
        <v>412</v>
      </c>
      <c r="B1789" s="25">
        <f>+Municipios!P686</f>
        <v>64.435502342514539</v>
      </c>
      <c r="C1789" s="13">
        <v>20614</v>
      </c>
      <c r="D1789" s="13" t="s">
        <v>1808</v>
      </c>
      <c r="E1789" s="13" t="s">
        <v>893</v>
      </c>
      <c r="F1789" s="13" t="s">
        <v>894</v>
      </c>
      <c r="G1789" s="13" t="s">
        <v>1809</v>
      </c>
      <c r="K1789" t="s">
        <v>413</v>
      </c>
      <c r="L1789" s="81">
        <f>+Municipios!U686</f>
        <v>31.247909518547747</v>
      </c>
      <c r="M1789" s="13">
        <v>20614</v>
      </c>
      <c r="N1789" s="13" t="s">
        <v>1808</v>
      </c>
      <c r="O1789" s="13" t="s">
        <v>893</v>
      </c>
      <c r="P1789" s="13" t="s">
        <v>894</v>
      </c>
      <c r="Q1789" s="13" t="s">
        <v>1809</v>
      </c>
      <c r="T1789" t="s">
        <v>2804</v>
      </c>
      <c r="U1789" s="25">
        <f>+Municipios!P686</f>
        <v>64.435502342514539</v>
      </c>
      <c r="V1789" s="13">
        <v>20614</v>
      </c>
      <c r="W1789" s="13" t="s">
        <v>1808</v>
      </c>
      <c r="X1789" s="13" t="s">
        <v>893</v>
      </c>
      <c r="Y1789" s="13" t="s">
        <v>894</v>
      </c>
      <c r="Z1789" s="13" t="s">
        <v>1809</v>
      </c>
    </row>
    <row r="1790" spans="1:26">
      <c r="A1790" t="s">
        <v>412</v>
      </c>
      <c r="B1790" s="25">
        <f>+Municipios!P687</f>
        <v>40.566664006155037</v>
      </c>
      <c r="C1790" s="13">
        <v>47798</v>
      </c>
      <c r="D1790" s="13" t="s">
        <v>1810</v>
      </c>
      <c r="E1790" s="13" t="s">
        <v>638</v>
      </c>
      <c r="F1790" s="13" t="s">
        <v>639</v>
      </c>
      <c r="G1790" s="13" t="s">
        <v>1811</v>
      </c>
      <c r="K1790" t="s">
        <v>413</v>
      </c>
      <c r="L1790" s="81">
        <f>+Municipios!U687</f>
        <v>19.447213374605834</v>
      </c>
      <c r="M1790" s="13">
        <v>47798</v>
      </c>
      <c r="N1790" s="13" t="s">
        <v>1810</v>
      </c>
      <c r="O1790" s="13" t="s">
        <v>638</v>
      </c>
      <c r="P1790" s="13" t="s">
        <v>639</v>
      </c>
      <c r="Q1790" s="13" t="s">
        <v>1811</v>
      </c>
      <c r="T1790" t="s">
        <v>2804</v>
      </c>
      <c r="U1790" s="25">
        <f>+Municipios!P687</f>
        <v>40.566664006155037</v>
      </c>
      <c r="V1790" s="13">
        <v>47798</v>
      </c>
      <c r="W1790" s="13" t="s">
        <v>1810</v>
      </c>
      <c r="X1790" s="13" t="s">
        <v>638</v>
      </c>
      <c r="Y1790" s="13" t="s">
        <v>639</v>
      </c>
      <c r="Z1790" s="13" t="s">
        <v>1811</v>
      </c>
    </row>
    <row r="1791" spans="1:26">
      <c r="A1791" t="s">
        <v>412</v>
      </c>
      <c r="B1791" s="25">
        <f>+Municipios!P688</f>
        <v>52.22385622213578</v>
      </c>
      <c r="C1791" s="13">
        <v>20787</v>
      </c>
      <c r="D1791" s="13" t="s">
        <v>1812</v>
      </c>
      <c r="E1791" s="13" t="s">
        <v>893</v>
      </c>
      <c r="F1791" s="13" t="s">
        <v>894</v>
      </c>
      <c r="G1791" s="13" t="s">
        <v>1813</v>
      </c>
      <c r="K1791" t="s">
        <v>413</v>
      </c>
      <c r="L1791" s="81">
        <f>+Municipios!U688</f>
        <v>24.945015660089979</v>
      </c>
      <c r="M1791" s="13">
        <v>20787</v>
      </c>
      <c r="N1791" s="13" t="s">
        <v>1812</v>
      </c>
      <c r="O1791" s="13" t="s">
        <v>893</v>
      </c>
      <c r="P1791" s="13" t="s">
        <v>894</v>
      </c>
      <c r="Q1791" s="13" t="s">
        <v>1813</v>
      </c>
      <c r="T1791" t="s">
        <v>2804</v>
      </c>
      <c r="U1791" s="25">
        <f>+Municipios!P688</f>
        <v>52.22385622213578</v>
      </c>
      <c r="V1791" s="13">
        <v>20787</v>
      </c>
      <c r="W1791" s="13" t="s">
        <v>1812</v>
      </c>
      <c r="X1791" s="13" t="s">
        <v>893</v>
      </c>
      <c r="Y1791" s="13" t="s">
        <v>894</v>
      </c>
      <c r="Z1791" s="13" t="s">
        <v>1813</v>
      </c>
    </row>
    <row r="1792" spans="1:26">
      <c r="A1792" t="s">
        <v>412</v>
      </c>
      <c r="B1792" s="25">
        <f>+Municipios!P689</f>
        <v>50.847459833481281</v>
      </c>
      <c r="C1792" s="13">
        <v>73026</v>
      </c>
      <c r="D1792" s="13" t="s">
        <v>1814</v>
      </c>
      <c r="E1792" s="13" t="s">
        <v>595</v>
      </c>
      <c r="F1792" s="13" t="s">
        <v>596</v>
      </c>
      <c r="G1792" s="13" t="s">
        <v>1815</v>
      </c>
      <c r="K1792" t="s">
        <v>413</v>
      </c>
      <c r="L1792" s="81">
        <f>+Municipios!U689</f>
        <v>24.140601271859104</v>
      </c>
      <c r="M1792" s="13">
        <v>73026</v>
      </c>
      <c r="N1792" s="13" t="s">
        <v>1814</v>
      </c>
      <c r="O1792" s="13" t="s">
        <v>595</v>
      </c>
      <c r="P1792" s="13" t="s">
        <v>596</v>
      </c>
      <c r="Q1792" s="13" t="s">
        <v>1815</v>
      </c>
      <c r="T1792" t="s">
        <v>2804</v>
      </c>
      <c r="U1792" s="25">
        <f>+Municipios!P689</f>
        <v>50.847459833481281</v>
      </c>
      <c r="V1792" s="13">
        <v>73026</v>
      </c>
      <c r="W1792" s="13" t="s">
        <v>1814</v>
      </c>
      <c r="X1792" s="13" t="s">
        <v>595</v>
      </c>
      <c r="Y1792" s="13" t="s">
        <v>596</v>
      </c>
      <c r="Z1792" s="13" t="s">
        <v>1815</v>
      </c>
    </row>
    <row r="1793" spans="1:26">
      <c r="A1793" t="s">
        <v>412</v>
      </c>
      <c r="B1793" s="25">
        <f>+Municipios!P690</f>
        <v>71.280356999223287</v>
      </c>
      <c r="C1793" s="13">
        <v>15681</v>
      </c>
      <c r="D1793" s="13" t="s">
        <v>1816</v>
      </c>
      <c r="E1793" s="13" t="s">
        <v>498</v>
      </c>
      <c r="F1793" s="13" t="s">
        <v>499</v>
      </c>
      <c r="G1793" s="13" t="s">
        <v>1817</v>
      </c>
      <c r="K1793" t="s">
        <v>413</v>
      </c>
      <c r="L1793" s="81">
        <f>+Municipios!U690</f>
        <v>33.798374550124983</v>
      </c>
      <c r="M1793" s="13">
        <v>15681</v>
      </c>
      <c r="N1793" s="13" t="s">
        <v>1816</v>
      </c>
      <c r="O1793" s="13" t="s">
        <v>498</v>
      </c>
      <c r="P1793" s="13" t="s">
        <v>499</v>
      </c>
      <c r="Q1793" s="13" t="s">
        <v>1817</v>
      </c>
      <c r="T1793" t="s">
        <v>2804</v>
      </c>
      <c r="U1793" s="25">
        <f>+Municipios!P690</f>
        <v>71.280356999223287</v>
      </c>
      <c r="V1793" s="13">
        <v>15681</v>
      </c>
      <c r="W1793" s="13" t="s">
        <v>1816</v>
      </c>
      <c r="X1793" s="13" t="s">
        <v>498</v>
      </c>
      <c r="Y1793" s="13" t="s">
        <v>499</v>
      </c>
      <c r="Z1793" s="13" t="s">
        <v>1817</v>
      </c>
    </row>
    <row r="1794" spans="1:26">
      <c r="A1794" t="s">
        <v>412</v>
      </c>
      <c r="B1794" s="25">
        <f>+Municipios!P691</f>
        <v>53.326173757120628</v>
      </c>
      <c r="C1794" s="13">
        <v>73854</v>
      </c>
      <c r="D1794" s="13" t="s">
        <v>1818</v>
      </c>
      <c r="E1794" s="13" t="s">
        <v>595</v>
      </c>
      <c r="F1794" s="13" t="s">
        <v>596</v>
      </c>
      <c r="G1794" s="13" t="s">
        <v>1819</v>
      </c>
      <c r="K1794" t="s">
        <v>413</v>
      </c>
      <c r="L1794" s="81">
        <f>+Municipios!U691</f>
        <v>25.490545939114021</v>
      </c>
      <c r="M1794" s="13">
        <v>73854</v>
      </c>
      <c r="N1794" s="13" t="s">
        <v>1818</v>
      </c>
      <c r="O1794" s="13" t="s">
        <v>595</v>
      </c>
      <c r="P1794" s="13" t="s">
        <v>596</v>
      </c>
      <c r="Q1794" s="13" t="s">
        <v>1819</v>
      </c>
      <c r="T1794" t="s">
        <v>2804</v>
      </c>
      <c r="U1794" s="25">
        <f>+Municipios!P691</f>
        <v>53.326173757120628</v>
      </c>
      <c r="V1794" s="13">
        <v>73854</v>
      </c>
      <c r="W1794" s="13" t="s">
        <v>1818</v>
      </c>
      <c r="X1794" s="13" t="s">
        <v>595</v>
      </c>
      <c r="Y1794" s="13" t="s">
        <v>596</v>
      </c>
      <c r="Z1794" s="13" t="s">
        <v>1819</v>
      </c>
    </row>
    <row r="1795" spans="1:26">
      <c r="A1795" t="s">
        <v>412</v>
      </c>
      <c r="B1795" s="25">
        <f>+Municipios!P692</f>
        <v>61.020618555294959</v>
      </c>
      <c r="C1795" s="13">
        <v>73200</v>
      </c>
      <c r="D1795" s="13" t="s">
        <v>1820</v>
      </c>
      <c r="E1795" s="13" t="s">
        <v>595</v>
      </c>
      <c r="F1795" s="13" t="s">
        <v>596</v>
      </c>
      <c r="G1795" s="13" t="s">
        <v>1821</v>
      </c>
      <c r="K1795" t="s">
        <v>413</v>
      </c>
      <c r="L1795" s="81">
        <f>+Municipios!U692</f>
        <v>29.210995791815613</v>
      </c>
      <c r="M1795" s="13">
        <v>73200</v>
      </c>
      <c r="N1795" s="13" t="s">
        <v>1820</v>
      </c>
      <c r="O1795" s="13" t="s">
        <v>595</v>
      </c>
      <c r="P1795" s="13" t="s">
        <v>596</v>
      </c>
      <c r="Q1795" s="13" t="s">
        <v>1821</v>
      </c>
      <c r="T1795" t="s">
        <v>2804</v>
      </c>
      <c r="U1795" s="25">
        <f>+Municipios!P692</f>
        <v>61.020618555294959</v>
      </c>
      <c r="V1795" s="13">
        <v>73200</v>
      </c>
      <c r="W1795" s="13" t="s">
        <v>1820</v>
      </c>
      <c r="X1795" s="13" t="s">
        <v>595</v>
      </c>
      <c r="Y1795" s="13" t="s">
        <v>596</v>
      </c>
      <c r="Z1795" s="13" t="s">
        <v>1821</v>
      </c>
    </row>
    <row r="1796" spans="1:26">
      <c r="A1796" t="s">
        <v>412</v>
      </c>
      <c r="B1796" s="25">
        <f>+Municipios!P693</f>
        <v>60.149812461219526</v>
      </c>
      <c r="C1796" s="13">
        <v>41378</v>
      </c>
      <c r="D1796" s="13" t="s">
        <v>1822</v>
      </c>
      <c r="E1796" s="13" t="s">
        <v>676</v>
      </c>
      <c r="F1796" s="13" t="s">
        <v>677</v>
      </c>
      <c r="G1796" s="13" t="s">
        <v>1823</v>
      </c>
      <c r="K1796" t="s">
        <v>413</v>
      </c>
      <c r="L1796" s="81">
        <f>+Municipios!U693</f>
        <v>28.906625307189206</v>
      </c>
      <c r="M1796" s="13">
        <v>41378</v>
      </c>
      <c r="N1796" s="13" t="s">
        <v>1822</v>
      </c>
      <c r="O1796" s="13" t="s">
        <v>676</v>
      </c>
      <c r="P1796" s="13" t="s">
        <v>677</v>
      </c>
      <c r="Q1796" s="13" t="s">
        <v>1823</v>
      </c>
      <c r="T1796" t="s">
        <v>2804</v>
      </c>
      <c r="U1796" s="25">
        <f>+Municipios!P693</f>
        <v>60.149812461219526</v>
      </c>
      <c r="V1796" s="13">
        <v>41378</v>
      </c>
      <c r="W1796" s="13" t="s">
        <v>1822</v>
      </c>
      <c r="X1796" s="13" t="s">
        <v>676</v>
      </c>
      <c r="Y1796" s="13" t="s">
        <v>677</v>
      </c>
      <c r="Z1796" s="13" t="s">
        <v>1823</v>
      </c>
    </row>
    <row r="1797" spans="1:26">
      <c r="A1797" t="s">
        <v>412</v>
      </c>
      <c r="B1797" s="25">
        <f>+Municipios!P694</f>
        <v>62.037091824666703</v>
      </c>
      <c r="C1797" s="13">
        <v>25326</v>
      </c>
      <c r="D1797" s="13" t="s">
        <v>1824</v>
      </c>
      <c r="E1797" s="13" t="s">
        <v>461</v>
      </c>
      <c r="F1797" s="13" t="s">
        <v>462</v>
      </c>
      <c r="G1797" s="13" t="s">
        <v>1825</v>
      </c>
      <c r="K1797" t="s">
        <v>413</v>
      </c>
      <c r="L1797" s="81">
        <f>+Municipios!U694</f>
        <v>29.003899260293434</v>
      </c>
      <c r="M1797" s="13">
        <v>25326</v>
      </c>
      <c r="N1797" s="13" t="s">
        <v>1824</v>
      </c>
      <c r="O1797" s="13" t="s">
        <v>461</v>
      </c>
      <c r="P1797" s="13" t="s">
        <v>462</v>
      </c>
      <c r="Q1797" s="13" t="s">
        <v>1825</v>
      </c>
      <c r="T1797" t="s">
        <v>2804</v>
      </c>
      <c r="U1797" s="25">
        <f>+Municipios!P694</f>
        <v>62.037091824666703</v>
      </c>
      <c r="V1797" s="13">
        <v>25326</v>
      </c>
      <c r="W1797" s="13" t="s">
        <v>1824</v>
      </c>
      <c r="X1797" s="13" t="s">
        <v>461</v>
      </c>
      <c r="Y1797" s="13" t="s">
        <v>462</v>
      </c>
      <c r="Z1797" s="13" t="s">
        <v>1825</v>
      </c>
    </row>
    <row r="1798" spans="1:26">
      <c r="A1798" t="s">
        <v>412</v>
      </c>
      <c r="B1798" s="25">
        <f>+Municipios!P695</f>
        <v>57.389243273245519</v>
      </c>
      <c r="C1798" s="13">
        <v>50270</v>
      </c>
      <c r="D1798" s="13" t="s">
        <v>1826</v>
      </c>
      <c r="E1798" s="13" t="s">
        <v>605</v>
      </c>
      <c r="F1798" s="13" t="s">
        <v>606</v>
      </c>
      <c r="G1798" s="13" t="s">
        <v>1827</v>
      </c>
      <c r="K1798" t="s">
        <v>413</v>
      </c>
      <c r="L1798" s="81">
        <f>+Municipios!U695</f>
        <v>26.914456162286605</v>
      </c>
      <c r="M1798" s="13">
        <v>50270</v>
      </c>
      <c r="N1798" s="13" t="s">
        <v>1826</v>
      </c>
      <c r="O1798" s="13" t="s">
        <v>605</v>
      </c>
      <c r="P1798" s="13" t="s">
        <v>606</v>
      </c>
      <c r="Q1798" s="13" t="s">
        <v>1827</v>
      </c>
      <c r="T1798" t="s">
        <v>2804</v>
      </c>
      <c r="U1798" s="25">
        <f>+Municipios!P695</f>
        <v>57.389243273245519</v>
      </c>
      <c r="V1798" s="13">
        <v>50270</v>
      </c>
      <c r="W1798" s="13" t="s">
        <v>1826</v>
      </c>
      <c r="X1798" s="13" t="s">
        <v>605</v>
      </c>
      <c r="Y1798" s="13" t="s">
        <v>606</v>
      </c>
      <c r="Z1798" s="13" t="s">
        <v>1827</v>
      </c>
    </row>
    <row r="1799" spans="1:26">
      <c r="A1799" t="s">
        <v>412</v>
      </c>
      <c r="B1799" s="25">
        <f>+Municipios!P696</f>
        <v>46.82083502429392</v>
      </c>
      <c r="C1799" s="13">
        <v>5842</v>
      </c>
      <c r="D1799" s="13" t="s">
        <v>1828</v>
      </c>
      <c r="E1799" s="13" t="s">
        <v>435</v>
      </c>
      <c r="F1799" s="13" t="s">
        <v>436</v>
      </c>
      <c r="G1799" s="13" t="s">
        <v>1829</v>
      </c>
      <c r="K1799" t="s">
        <v>413</v>
      </c>
      <c r="L1799" s="81">
        <f>+Municipios!U696</f>
        <v>22.55624760838727</v>
      </c>
      <c r="M1799" s="13">
        <v>5842</v>
      </c>
      <c r="N1799" s="13" t="s">
        <v>1828</v>
      </c>
      <c r="O1799" s="13" t="s">
        <v>435</v>
      </c>
      <c r="P1799" s="13" t="s">
        <v>436</v>
      </c>
      <c r="Q1799" s="13" t="s">
        <v>1829</v>
      </c>
      <c r="T1799" t="s">
        <v>2804</v>
      </c>
      <c r="U1799" s="25">
        <f>+Municipios!P696</f>
        <v>46.82083502429392</v>
      </c>
      <c r="V1799" s="13">
        <v>5842</v>
      </c>
      <c r="W1799" s="13" t="s">
        <v>1828</v>
      </c>
      <c r="X1799" s="13" t="s">
        <v>435</v>
      </c>
      <c r="Y1799" s="13" t="s">
        <v>436</v>
      </c>
      <c r="Z1799" s="13" t="s">
        <v>1829</v>
      </c>
    </row>
    <row r="1800" spans="1:26">
      <c r="A1800" t="s">
        <v>412</v>
      </c>
      <c r="B1800" s="25">
        <f>+Municipios!P697</f>
        <v>69.959043608086915</v>
      </c>
      <c r="C1800" s="13">
        <v>41524</v>
      </c>
      <c r="D1800" s="13" t="s">
        <v>1830</v>
      </c>
      <c r="E1800" s="13" t="s">
        <v>676</v>
      </c>
      <c r="F1800" s="13" t="s">
        <v>677</v>
      </c>
      <c r="G1800" s="13" t="s">
        <v>1831</v>
      </c>
      <c r="K1800" t="s">
        <v>413</v>
      </c>
      <c r="L1800" s="81">
        <f>+Municipios!U697</f>
        <v>33.214571018366932</v>
      </c>
      <c r="M1800" s="13">
        <v>41524</v>
      </c>
      <c r="N1800" s="13" t="s">
        <v>1830</v>
      </c>
      <c r="O1800" s="13" t="s">
        <v>676</v>
      </c>
      <c r="P1800" s="13" t="s">
        <v>677</v>
      </c>
      <c r="Q1800" s="13" t="s">
        <v>1831</v>
      </c>
      <c r="T1800" t="s">
        <v>2804</v>
      </c>
      <c r="U1800" s="25">
        <f>+Municipios!P697</f>
        <v>69.959043608086915</v>
      </c>
      <c r="V1800" s="13">
        <v>41524</v>
      </c>
      <c r="W1800" s="13" t="s">
        <v>1830</v>
      </c>
      <c r="X1800" s="13" t="s">
        <v>676</v>
      </c>
      <c r="Y1800" s="13" t="s">
        <v>677</v>
      </c>
      <c r="Z1800" s="13" t="s">
        <v>1831</v>
      </c>
    </row>
    <row r="1801" spans="1:26">
      <c r="A1801" t="s">
        <v>412</v>
      </c>
      <c r="B1801" s="25">
        <f>+Municipios!P698</f>
        <v>63.496606072791614</v>
      </c>
      <c r="C1801" s="13">
        <v>20770</v>
      </c>
      <c r="D1801" s="13" t="s">
        <v>1832</v>
      </c>
      <c r="E1801" s="13" t="s">
        <v>893</v>
      </c>
      <c r="F1801" s="13" t="s">
        <v>894</v>
      </c>
      <c r="G1801" s="13" t="s">
        <v>1833</v>
      </c>
      <c r="K1801" t="s">
        <v>413</v>
      </c>
      <c r="L1801" s="81">
        <f>+Municipios!U698</f>
        <v>30.769813098205603</v>
      </c>
      <c r="M1801" s="13">
        <v>20770</v>
      </c>
      <c r="N1801" s="13" t="s">
        <v>1832</v>
      </c>
      <c r="O1801" s="13" t="s">
        <v>893</v>
      </c>
      <c r="P1801" s="13" t="s">
        <v>894</v>
      </c>
      <c r="Q1801" s="13" t="s">
        <v>1833</v>
      </c>
      <c r="T1801" t="s">
        <v>2804</v>
      </c>
      <c r="U1801" s="25">
        <f>+Municipios!P698</f>
        <v>63.496606072791614</v>
      </c>
      <c r="V1801" s="13">
        <v>20770</v>
      </c>
      <c r="W1801" s="13" t="s">
        <v>1832</v>
      </c>
      <c r="X1801" s="13" t="s">
        <v>893</v>
      </c>
      <c r="Y1801" s="13" t="s">
        <v>894</v>
      </c>
      <c r="Z1801" s="13" t="s">
        <v>1833</v>
      </c>
    </row>
    <row r="1802" spans="1:26">
      <c r="A1802" t="s">
        <v>412</v>
      </c>
      <c r="B1802" s="25">
        <f>+Municipios!P699</f>
        <v>57.169733791582701</v>
      </c>
      <c r="C1802" s="13">
        <v>15293</v>
      </c>
      <c r="D1802" s="13" t="s">
        <v>1834</v>
      </c>
      <c r="E1802" s="13" t="s">
        <v>498</v>
      </c>
      <c r="F1802" s="13" t="s">
        <v>499</v>
      </c>
      <c r="G1802" s="13" t="s">
        <v>1835</v>
      </c>
      <c r="K1802" t="s">
        <v>413</v>
      </c>
      <c r="L1802" s="81">
        <f>+Municipios!U699</f>
        <v>26.95925391265548</v>
      </c>
      <c r="M1802" s="13">
        <v>15293</v>
      </c>
      <c r="N1802" s="13" t="s">
        <v>1834</v>
      </c>
      <c r="O1802" s="13" t="s">
        <v>498</v>
      </c>
      <c r="P1802" s="13" t="s">
        <v>499</v>
      </c>
      <c r="Q1802" s="13" t="s">
        <v>1835</v>
      </c>
      <c r="T1802" t="s">
        <v>2804</v>
      </c>
      <c r="U1802" s="25">
        <f>+Municipios!P699</f>
        <v>57.169733791582701</v>
      </c>
      <c r="V1802" s="13">
        <v>15293</v>
      </c>
      <c r="W1802" s="13" t="s">
        <v>1834</v>
      </c>
      <c r="X1802" s="13" t="s">
        <v>498</v>
      </c>
      <c r="Y1802" s="13" t="s">
        <v>499</v>
      </c>
      <c r="Z1802" s="13" t="s">
        <v>1835</v>
      </c>
    </row>
    <row r="1803" spans="1:26">
      <c r="A1803" t="s">
        <v>412</v>
      </c>
      <c r="B1803" s="25">
        <f>+Municipios!P700</f>
        <v>52.088657684943122</v>
      </c>
      <c r="C1803" s="13">
        <v>73870</v>
      </c>
      <c r="D1803" s="13" t="s">
        <v>1836</v>
      </c>
      <c r="E1803" s="13" t="s">
        <v>595</v>
      </c>
      <c r="F1803" s="13" t="s">
        <v>596</v>
      </c>
      <c r="G1803" s="13" t="s">
        <v>1837</v>
      </c>
      <c r="K1803" t="s">
        <v>413</v>
      </c>
      <c r="L1803" s="81">
        <f>+Municipios!U700</f>
        <v>24.834394842650443</v>
      </c>
      <c r="M1803" s="13">
        <v>73870</v>
      </c>
      <c r="N1803" s="13" t="s">
        <v>1836</v>
      </c>
      <c r="O1803" s="13" t="s">
        <v>595</v>
      </c>
      <c r="P1803" s="13" t="s">
        <v>596</v>
      </c>
      <c r="Q1803" s="13" t="s">
        <v>1837</v>
      </c>
      <c r="T1803" t="s">
        <v>2804</v>
      </c>
      <c r="U1803" s="25">
        <f>+Municipios!P700</f>
        <v>52.088657684943122</v>
      </c>
      <c r="V1803" s="13">
        <v>73870</v>
      </c>
      <c r="W1803" s="13" t="s">
        <v>1836</v>
      </c>
      <c r="X1803" s="13" t="s">
        <v>595</v>
      </c>
      <c r="Y1803" s="13" t="s">
        <v>596</v>
      </c>
      <c r="Z1803" s="13" t="s">
        <v>1837</v>
      </c>
    </row>
    <row r="1804" spans="1:26">
      <c r="A1804" t="s">
        <v>412</v>
      </c>
      <c r="B1804" s="25">
        <f>+Municipios!P701</f>
        <v>57.011799152316982</v>
      </c>
      <c r="C1804" s="13">
        <v>76100</v>
      </c>
      <c r="D1804" s="13" t="s">
        <v>1838</v>
      </c>
      <c r="E1804" s="13" t="s">
        <v>454</v>
      </c>
      <c r="F1804" s="13" t="s">
        <v>455</v>
      </c>
      <c r="G1804" s="13" t="s">
        <v>481</v>
      </c>
      <c r="K1804" t="s">
        <v>413</v>
      </c>
      <c r="L1804" s="81">
        <f>+Municipios!U701</f>
        <v>27.056252008111016</v>
      </c>
      <c r="M1804" s="13">
        <v>76100</v>
      </c>
      <c r="N1804" s="13" t="s">
        <v>1838</v>
      </c>
      <c r="O1804" s="13" t="s">
        <v>454</v>
      </c>
      <c r="P1804" s="13" t="s">
        <v>455</v>
      </c>
      <c r="Q1804" s="13" t="s">
        <v>481</v>
      </c>
      <c r="T1804" t="s">
        <v>2804</v>
      </c>
      <c r="U1804" s="25">
        <f>+Municipios!P701</f>
        <v>57.011799152316982</v>
      </c>
      <c r="V1804" s="13">
        <v>76100</v>
      </c>
      <c r="W1804" s="13" t="s">
        <v>1838</v>
      </c>
      <c r="X1804" s="13" t="s">
        <v>454</v>
      </c>
      <c r="Y1804" s="13" t="s">
        <v>455</v>
      </c>
      <c r="Z1804" s="13" t="s">
        <v>481</v>
      </c>
    </row>
    <row r="1805" spans="1:26">
      <c r="A1805" t="s">
        <v>412</v>
      </c>
      <c r="B1805" s="25">
        <f>+Municipios!P702</f>
        <v>55.52456788939746</v>
      </c>
      <c r="C1805" s="13">
        <v>25426</v>
      </c>
      <c r="D1805" s="13" t="s">
        <v>1839</v>
      </c>
      <c r="E1805" s="13" t="s">
        <v>461</v>
      </c>
      <c r="F1805" s="13" t="s">
        <v>462</v>
      </c>
      <c r="G1805" s="13" t="s">
        <v>1840</v>
      </c>
      <c r="K1805" t="s">
        <v>413</v>
      </c>
      <c r="L1805" s="81">
        <f>+Municipios!U702</f>
        <v>26.066483245955503</v>
      </c>
      <c r="M1805" s="13">
        <v>25426</v>
      </c>
      <c r="N1805" s="13" t="s">
        <v>1839</v>
      </c>
      <c r="O1805" s="13" t="s">
        <v>461</v>
      </c>
      <c r="P1805" s="13" t="s">
        <v>462</v>
      </c>
      <c r="Q1805" s="13" t="s">
        <v>1840</v>
      </c>
      <c r="T1805" t="s">
        <v>2804</v>
      </c>
      <c r="U1805" s="25">
        <f>+Municipios!P702</f>
        <v>55.52456788939746</v>
      </c>
      <c r="V1805" s="13">
        <v>25426</v>
      </c>
      <c r="W1805" s="13" t="s">
        <v>1839</v>
      </c>
      <c r="X1805" s="13" t="s">
        <v>461</v>
      </c>
      <c r="Y1805" s="13" t="s">
        <v>462</v>
      </c>
      <c r="Z1805" s="13" t="s">
        <v>1840</v>
      </c>
    </row>
    <row r="1806" spans="1:26">
      <c r="A1806" t="s">
        <v>412</v>
      </c>
      <c r="B1806" s="25">
        <f>+Municipios!P703</f>
        <v>61.358850180499516</v>
      </c>
      <c r="C1806" s="13">
        <v>15401</v>
      </c>
      <c r="D1806" s="13" t="s">
        <v>1841</v>
      </c>
      <c r="E1806" s="13" t="s">
        <v>498</v>
      </c>
      <c r="F1806" s="13" t="s">
        <v>499</v>
      </c>
      <c r="G1806" s="13" t="s">
        <v>1276</v>
      </c>
      <c r="K1806" t="s">
        <v>413</v>
      </c>
      <c r="L1806" s="81">
        <f>+Municipios!U703</f>
        <v>29.308917668789768</v>
      </c>
      <c r="M1806" s="13">
        <v>15401</v>
      </c>
      <c r="N1806" s="13" t="s">
        <v>1841</v>
      </c>
      <c r="O1806" s="13" t="s">
        <v>498</v>
      </c>
      <c r="P1806" s="13" t="s">
        <v>499</v>
      </c>
      <c r="Q1806" s="13" t="s">
        <v>1276</v>
      </c>
      <c r="T1806" t="s">
        <v>2804</v>
      </c>
      <c r="U1806" s="25">
        <f>+Municipios!P703</f>
        <v>61.358850180499516</v>
      </c>
      <c r="V1806" s="13">
        <v>15401</v>
      </c>
      <c r="W1806" s="13" t="s">
        <v>1841</v>
      </c>
      <c r="X1806" s="13" t="s">
        <v>498</v>
      </c>
      <c r="Y1806" s="13" t="s">
        <v>499</v>
      </c>
      <c r="Z1806" s="13" t="s">
        <v>1276</v>
      </c>
    </row>
    <row r="1807" spans="1:26">
      <c r="A1807" t="s">
        <v>412</v>
      </c>
      <c r="B1807" s="25">
        <f>+Municipios!P704</f>
        <v>57.100730078096163</v>
      </c>
      <c r="C1807" s="13">
        <v>25279</v>
      </c>
      <c r="D1807" s="13" t="s">
        <v>1842</v>
      </c>
      <c r="E1807" s="13" t="s">
        <v>461</v>
      </c>
      <c r="F1807" s="13" t="s">
        <v>462</v>
      </c>
      <c r="G1807" s="13" t="s">
        <v>1843</v>
      </c>
      <c r="K1807" t="s">
        <v>413</v>
      </c>
      <c r="L1807" s="81">
        <f>+Municipios!U704</f>
        <v>26.694706485279671</v>
      </c>
      <c r="M1807" s="13">
        <v>25279</v>
      </c>
      <c r="N1807" s="13" t="s">
        <v>1842</v>
      </c>
      <c r="O1807" s="13" t="s">
        <v>461</v>
      </c>
      <c r="P1807" s="13" t="s">
        <v>462</v>
      </c>
      <c r="Q1807" s="13" t="s">
        <v>1843</v>
      </c>
      <c r="T1807" t="s">
        <v>2804</v>
      </c>
      <c r="U1807" s="25">
        <f>+Municipios!P704</f>
        <v>57.100730078096163</v>
      </c>
      <c r="V1807" s="13">
        <v>25279</v>
      </c>
      <c r="W1807" s="13" t="s">
        <v>1842</v>
      </c>
      <c r="X1807" s="13" t="s">
        <v>461</v>
      </c>
      <c r="Y1807" s="13" t="s">
        <v>462</v>
      </c>
      <c r="Z1807" s="13" t="s">
        <v>1843</v>
      </c>
    </row>
    <row r="1808" spans="1:26">
      <c r="A1808" t="s">
        <v>412</v>
      </c>
      <c r="B1808" s="25">
        <f>+Municipios!P705</f>
        <v>57.944831928119669</v>
      </c>
      <c r="C1808" s="13">
        <v>54398</v>
      </c>
      <c r="D1808" s="13" t="s">
        <v>1844</v>
      </c>
      <c r="E1808" s="13" t="s">
        <v>517</v>
      </c>
      <c r="F1808" s="13" t="s">
        <v>518</v>
      </c>
      <c r="G1808" s="13" t="s">
        <v>1845</v>
      </c>
      <c r="K1808" t="s">
        <v>413</v>
      </c>
      <c r="L1808" s="81">
        <f>+Municipios!U705</f>
        <v>27.644903635448532</v>
      </c>
      <c r="M1808" s="13">
        <v>54398</v>
      </c>
      <c r="N1808" s="13" t="s">
        <v>1844</v>
      </c>
      <c r="O1808" s="13" t="s">
        <v>517</v>
      </c>
      <c r="P1808" s="13" t="s">
        <v>518</v>
      </c>
      <c r="Q1808" s="13" t="s">
        <v>1845</v>
      </c>
      <c r="T1808" t="s">
        <v>2804</v>
      </c>
      <c r="U1808" s="25">
        <f>+Municipios!P705</f>
        <v>57.944831928119669</v>
      </c>
      <c r="V1808" s="13">
        <v>54398</v>
      </c>
      <c r="W1808" s="13" t="s">
        <v>1844</v>
      </c>
      <c r="X1808" s="13" t="s">
        <v>517</v>
      </c>
      <c r="Y1808" s="13" t="s">
        <v>518</v>
      </c>
      <c r="Z1808" s="13" t="s">
        <v>1845</v>
      </c>
    </row>
    <row r="1809" spans="1:26">
      <c r="A1809" t="s">
        <v>412</v>
      </c>
      <c r="B1809" s="25">
        <f>+Municipios!P706</f>
        <v>55.822175586682121</v>
      </c>
      <c r="C1809" s="13">
        <v>5150</v>
      </c>
      <c r="D1809" s="13" t="s">
        <v>1846</v>
      </c>
      <c r="E1809" s="13" t="s">
        <v>435</v>
      </c>
      <c r="F1809" s="13" t="s">
        <v>436</v>
      </c>
      <c r="G1809" s="13" t="s">
        <v>1847</v>
      </c>
      <c r="K1809" t="s">
        <v>413</v>
      </c>
      <c r="L1809" s="81">
        <f>+Municipios!U706</f>
        <v>26.725670565327796</v>
      </c>
      <c r="M1809" s="13">
        <v>5150</v>
      </c>
      <c r="N1809" s="13" t="s">
        <v>1846</v>
      </c>
      <c r="O1809" s="13" t="s">
        <v>435</v>
      </c>
      <c r="P1809" s="13" t="s">
        <v>436</v>
      </c>
      <c r="Q1809" s="13" t="s">
        <v>1847</v>
      </c>
      <c r="T1809" t="s">
        <v>2804</v>
      </c>
      <c r="U1809" s="25">
        <f>+Municipios!P706</f>
        <v>55.822175586682121</v>
      </c>
      <c r="V1809" s="13">
        <v>5150</v>
      </c>
      <c r="W1809" s="13" t="s">
        <v>1846</v>
      </c>
      <c r="X1809" s="13" t="s">
        <v>435</v>
      </c>
      <c r="Y1809" s="13" t="s">
        <v>436</v>
      </c>
      <c r="Z1809" s="13" t="s">
        <v>1847</v>
      </c>
    </row>
    <row r="1810" spans="1:26">
      <c r="A1810" t="s">
        <v>412</v>
      </c>
      <c r="B1810" s="25">
        <f>+Municipios!P707</f>
        <v>68.232976493451147</v>
      </c>
      <c r="C1810" s="13">
        <v>44090</v>
      </c>
      <c r="D1810" s="13" t="s">
        <v>1848</v>
      </c>
      <c r="E1810" s="13" t="s">
        <v>933</v>
      </c>
      <c r="F1810" s="13" t="s">
        <v>934</v>
      </c>
      <c r="G1810" s="13" t="s">
        <v>1849</v>
      </c>
      <c r="K1810" t="s">
        <v>413</v>
      </c>
      <c r="L1810" s="81">
        <f>+Municipios!U707</f>
        <v>32.900502061238953</v>
      </c>
      <c r="M1810" s="13">
        <v>44090</v>
      </c>
      <c r="N1810" s="13" t="s">
        <v>1848</v>
      </c>
      <c r="O1810" s="13" t="s">
        <v>933</v>
      </c>
      <c r="P1810" s="13" t="s">
        <v>934</v>
      </c>
      <c r="Q1810" s="13" t="s">
        <v>1849</v>
      </c>
      <c r="T1810" t="s">
        <v>2804</v>
      </c>
      <c r="U1810" s="25">
        <f>+Municipios!P707</f>
        <v>68.232976493451147</v>
      </c>
      <c r="V1810" s="13">
        <v>44090</v>
      </c>
      <c r="W1810" s="13" t="s">
        <v>1848</v>
      </c>
      <c r="X1810" s="13" t="s">
        <v>933</v>
      </c>
      <c r="Y1810" s="13" t="s">
        <v>934</v>
      </c>
      <c r="Z1810" s="13" t="s">
        <v>1849</v>
      </c>
    </row>
    <row r="1811" spans="1:26">
      <c r="A1811" t="s">
        <v>412</v>
      </c>
      <c r="B1811" s="25">
        <f>+Municipios!P708</f>
        <v>60.432438437423642</v>
      </c>
      <c r="C1811" s="13">
        <v>15325</v>
      </c>
      <c r="D1811" s="13" t="s">
        <v>1850</v>
      </c>
      <c r="E1811" s="13" t="s">
        <v>498</v>
      </c>
      <c r="F1811" s="13" t="s">
        <v>499</v>
      </c>
      <c r="G1811" s="13" t="s">
        <v>1851</v>
      </c>
      <c r="K1811" t="s">
        <v>413</v>
      </c>
      <c r="L1811" s="81">
        <f>+Municipios!U708</f>
        <v>28.802491599009695</v>
      </c>
      <c r="M1811" s="13">
        <v>15325</v>
      </c>
      <c r="N1811" s="13" t="s">
        <v>1850</v>
      </c>
      <c r="O1811" s="13" t="s">
        <v>498</v>
      </c>
      <c r="P1811" s="13" t="s">
        <v>499</v>
      </c>
      <c r="Q1811" s="13" t="s">
        <v>1851</v>
      </c>
      <c r="T1811" t="s">
        <v>2804</v>
      </c>
      <c r="U1811" s="25">
        <f>+Municipios!P708</f>
        <v>60.432438437423642</v>
      </c>
      <c r="V1811" s="13">
        <v>15325</v>
      </c>
      <c r="W1811" s="13" t="s">
        <v>1850</v>
      </c>
      <c r="X1811" s="13" t="s">
        <v>498</v>
      </c>
      <c r="Y1811" s="13" t="s">
        <v>499</v>
      </c>
      <c r="Z1811" s="13" t="s">
        <v>1851</v>
      </c>
    </row>
    <row r="1812" spans="1:26">
      <c r="A1812" t="s">
        <v>412</v>
      </c>
      <c r="B1812" s="25">
        <f>+Municipios!P709</f>
        <v>66.157649353631768</v>
      </c>
      <c r="C1812" s="13">
        <v>15537</v>
      </c>
      <c r="D1812" s="13" t="s">
        <v>1852</v>
      </c>
      <c r="E1812" s="13" t="s">
        <v>498</v>
      </c>
      <c r="F1812" s="13" t="s">
        <v>499</v>
      </c>
      <c r="G1812" s="13" t="s">
        <v>1853</v>
      </c>
      <c r="K1812" t="s">
        <v>413</v>
      </c>
      <c r="L1812" s="81">
        <f>+Municipios!U709</f>
        <v>31.359988576267423</v>
      </c>
      <c r="M1812" s="13">
        <v>15537</v>
      </c>
      <c r="N1812" s="13" t="s">
        <v>1852</v>
      </c>
      <c r="O1812" s="13" t="s">
        <v>498</v>
      </c>
      <c r="P1812" s="13" t="s">
        <v>499</v>
      </c>
      <c r="Q1812" s="13" t="s">
        <v>1853</v>
      </c>
      <c r="T1812" t="s">
        <v>2804</v>
      </c>
      <c r="U1812" s="25">
        <f>+Municipios!P709</f>
        <v>66.157649353631768</v>
      </c>
      <c r="V1812" s="13">
        <v>15537</v>
      </c>
      <c r="W1812" s="13" t="s">
        <v>1852</v>
      </c>
      <c r="X1812" s="13" t="s">
        <v>498</v>
      </c>
      <c r="Y1812" s="13" t="s">
        <v>499</v>
      </c>
      <c r="Z1812" s="13" t="s">
        <v>1853</v>
      </c>
    </row>
    <row r="1813" spans="1:26">
      <c r="A1813" t="s">
        <v>412</v>
      </c>
      <c r="B1813" s="25">
        <f>+Municipios!P710</f>
        <v>63.462318495550626</v>
      </c>
      <c r="C1813" s="13">
        <v>25154</v>
      </c>
      <c r="D1813" s="13" t="s">
        <v>1854</v>
      </c>
      <c r="E1813" s="13" t="s">
        <v>461</v>
      </c>
      <c r="F1813" s="13" t="s">
        <v>462</v>
      </c>
      <c r="G1813" s="13" t="s">
        <v>1855</v>
      </c>
      <c r="K1813" t="s">
        <v>413</v>
      </c>
      <c r="L1813" s="81">
        <f>+Municipios!U710</f>
        <v>29.478929266232896</v>
      </c>
      <c r="M1813" s="13">
        <v>25154</v>
      </c>
      <c r="N1813" s="13" t="s">
        <v>1854</v>
      </c>
      <c r="O1813" s="13" t="s">
        <v>461</v>
      </c>
      <c r="P1813" s="13" t="s">
        <v>462</v>
      </c>
      <c r="Q1813" s="13" t="s">
        <v>1855</v>
      </c>
      <c r="T1813" t="s">
        <v>2804</v>
      </c>
      <c r="U1813" s="25">
        <f>+Municipios!P710</f>
        <v>63.462318495550626</v>
      </c>
      <c r="V1813" s="13">
        <v>25154</v>
      </c>
      <c r="W1813" s="13" t="s">
        <v>1854</v>
      </c>
      <c r="X1813" s="13" t="s">
        <v>461</v>
      </c>
      <c r="Y1813" s="13" t="s">
        <v>462</v>
      </c>
      <c r="Z1813" s="13" t="s">
        <v>1855</v>
      </c>
    </row>
    <row r="1814" spans="1:26">
      <c r="A1814" t="s">
        <v>412</v>
      </c>
      <c r="B1814" s="25">
        <f>+Municipios!P711</f>
        <v>61.866653079366998</v>
      </c>
      <c r="C1814" s="13">
        <v>15572</v>
      </c>
      <c r="D1814" s="13" t="s">
        <v>1856</v>
      </c>
      <c r="E1814" s="13" t="s">
        <v>498</v>
      </c>
      <c r="F1814" s="13" t="s">
        <v>499</v>
      </c>
      <c r="G1814" s="13" t="s">
        <v>1857</v>
      </c>
      <c r="K1814" t="s">
        <v>413</v>
      </c>
      <c r="L1814" s="81">
        <f>+Municipios!U711</f>
        <v>29.323453902226163</v>
      </c>
      <c r="M1814" s="13">
        <v>15572</v>
      </c>
      <c r="N1814" s="13" t="s">
        <v>1856</v>
      </c>
      <c r="O1814" s="13" t="s">
        <v>498</v>
      </c>
      <c r="P1814" s="13" t="s">
        <v>499</v>
      </c>
      <c r="Q1814" s="13" t="s">
        <v>1857</v>
      </c>
      <c r="T1814" t="s">
        <v>2804</v>
      </c>
      <c r="U1814" s="25">
        <f>+Municipios!P711</f>
        <v>61.866653079366998</v>
      </c>
      <c r="V1814" s="13">
        <v>15572</v>
      </c>
      <c r="W1814" s="13" t="s">
        <v>1856</v>
      </c>
      <c r="X1814" s="13" t="s">
        <v>498</v>
      </c>
      <c r="Y1814" s="13" t="s">
        <v>499</v>
      </c>
      <c r="Z1814" s="13" t="s">
        <v>1857</v>
      </c>
    </row>
    <row r="1815" spans="1:26">
      <c r="A1815" t="s">
        <v>412</v>
      </c>
      <c r="B1815" s="25">
        <f>+Municipios!P712</f>
        <v>45.784775079298278</v>
      </c>
      <c r="C1815" s="13">
        <v>68686</v>
      </c>
      <c r="D1815" s="13" t="s">
        <v>1858</v>
      </c>
      <c r="E1815" s="13" t="s">
        <v>431</v>
      </c>
      <c r="F1815" s="13" t="s">
        <v>432</v>
      </c>
      <c r="G1815" s="13" t="s">
        <v>1755</v>
      </c>
      <c r="K1815" t="s">
        <v>413</v>
      </c>
      <c r="L1815" s="81">
        <f>+Municipios!U712</f>
        <v>21.735061009382797</v>
      </c>
      <c r="M1815" s="13">
        <v>68686</v>
      </c>
      <c r="N1815" s="13" t="s">
        <v>1858</v>
      </c>
      <c r="O1815" s="13" t="s">
        <v>431</v>
      </c>
      <c r="P1815" s="13" t="s">
        <v>432</v>
      </c>
      <c r="Q1815" s="13" t="s">
        <v>1755</v>
      </c>
      <c r="T1815" t="s">
        <v>2804</v>
      </c>
      <c r="U1815" s="25">
        <f>+Municipios!P712</f>
        <v>45.784775079298278</v>
      </c>
      <c r="V1815" s="13">
        <v>68686</v>
      </c>
      <c r="W1815" s="13" t="s">
        <v>1858</v>
      </c>
      <c r="X1815" s="13" t="s">
        <v>431</v>
      </c>
      <c r="Y1815" s="13" t="s">
        <v>432</v>
      </c>
      <c r="Z1815" s="13" t="s">
        <v>1755</v>
      </c>
    </row>
    <row r="1816" spans="1:26">
      <c r="A1816" t="s">
        <v>412</v>
      </c>
      <c r="B1816" s="25">
        <f>+Municipios!P713</f>
        <v>57.442964760159143</v>
      </c>
      <c r="C1816" s="13">
        <v>73675</v>
      </c>
      <c r="D1816" s="13" t="s">
        <v>1859</v>
      </c>
      <c r="E1816" s="13" t="s">
        <v>595</v>
      </c>
      <c r="F1816" s="13" t="s">
        <v>596</v>
      </c>
      <c r="G1816" s="13" t="s">
        <v>1860</v>
      </c>
      <c r="K1816" t="s">
        <v>413</v>
      </c>
      <c r="L1816" s="81">
        <f>+Municipios!U713</f>
        <v>27.342002560594516</v>
      </c>
      <c r="M1816" s="13">
        <v>73675</v>
      </c>
      <c r="N1816" s="13" t="s">
        <v>1859</v>
      </c>
      <c r="O1816" s="13" t="s">
        <v>595</v>
      </c>
      <c r="P1816" s="13" t="s">
        <v>596</v>
      </c>
      <c r="Q1816" s="13" t="s">
        <v>1860</v>
      </c>
      <c r="T1816" t="s">
        <v>2804</v>
      </c>
      <c r="U1816" s="25">
        <f>+Municipios!P713</f>
        <v>57.442964760159143</v>
      </c>
      <c r="V1816" s="13">
        <v>73675</v>
      </c>
      <c r="W1816" s="13" t="s">
        <v>1859</v>
      </c>
      <c r="X1816" s="13" t="s">
        <v>595</v>
      </c>
      <c r="Y1816" s="13" t="s">
        <v>596</v>
      </c>
      <c r="Z1816" s="13" t="s">
        <v>1860</v>
      </c>
    </row>
    <row r="1817" spans="1:26">
      <c r="A1817" t="s">
        <v>412</v>
      </c>
      <c r="B1817" s="25">
        <f>+Municipios!P714</f>
        <v>57.079058373476542</v>
      </c>
      <c r="C1817" s="13">
        <v>20621</v>
      </c>
      <c r="D1817" s="13" t="s">
        <v>1861</v>
      </c>
      <c r="E1817" s="13" t="s">
        <v>893</v>
      </c>
      <c r="F1817" s="13" t="s">
        <v>894</v>
      </c>
      <c r="G1817" s="13" t="s">
        <v>1862</v>
      </c>
      <c r="K1817" t="s">
        <v>413</v>
      </c>
      <c r="L1817" s="81">
        <f>+Municipios!U714</f>
        <v>27.396381003248351</v>
      </c>
      <c r="M1817" s="13">
        <v>20621</v>
      </c>
      <c r="N1817" s="13" t="s">
        <v>1861</v>
      </c>
      <c r="O1817" s="13" t="s">
        <v>893</v>
      </c>
      <c r="P1817" s="13" t="s">
        <v>894</v>
      </c>
      <c r="Q1817" s="13" t="s">
        <v>1862</v>
      </c>
      <c r="T1817" t="s">
        <v>2804</v>
      </c>
      <c r="U1817" s="25">
        <f>+Municipios!P714</f>
        <v>57.079058373476542</v>
      </c>
      <c r="V1817" s="13">
        <v>20621</v>
      </c>
      <c r="W1817" s="13" t="s">
        <v>1861</v>
      </c>
      <c r="X1817" s="13" t="s">
        <v>893</v>
      </c>
      <c r="Y1817" s="13" t="s">
        <v>894</v>
      </c>
      <c r="Z1817" s="13" t="s">
        <v>1862</v>
      </c>
    </row>
    <row r="1818" spans="1:26">
      <c r="A1818" t="s">
        <v>412</v>
      </c>
      <c r="B1818" s="25">
        <f>+Municipios!P715</f>
        <v>53.95065994047502</v>
      </c>
      <c r="C1818" s="13">
        <v>23079</v>
      </c>
      <c r="D1818" s="13" t="s">
        <v>1863</v>
      </c>
      <c r="E1818" s="13" t="s">
        <v>567</v>
      </c>
      <c r="F1818" s="13" t="s">
        <v>568</v>
      </c>
      <c r="G1818" s="13" t="s">
        <v>1064</v>
      </c>
      <c r="K1818" t="s">
        <v>413</v>
      </c>
      <c r="L1818" s="81">
        <f>+Municipios!U715</f>
        <v>25.738877423909734</v>
      </c>
      <c r="M1818" s="13">
        <v>23079</v>
      </c>
      <c r="N1818" s="13" t="s">
        <v>1863</v>
      </c>
      <c r="O1818" s="13" t="s">
        <v>567</v>
      </c>
      <c r="P1818" s="13" t="s">
        <v>568</v>
      </c>
      <c r="Q1818" s="13" t="s">
        <v>1064</v>
      </c>
      <c r="T1818" t="s">
        <v>2804</v>
      </c>
      <c r="U1818" s="25">
        <f>+Municipios!P715</f>
        <v>53.95065994047502</v>
      </c>
      <c r="V1818" s="13">
        <v>23079</v>
      </c>
      <c r="W1818" s="13" t="s">
        <v>1863</v>
      </c>
      <c r="X1818" s="13" t="s">
        <v>567</v>
      </c>
      <c r="Y1818" s="13" t="s">
        <v>568</v>
      </c>
      <c r="Z1818" s="13" t="s">
        <v>1064</v>
      </c>
    </row>
    <row r="1819" spans="1:26">
      <c r="A1819" t="s">
        <v>412</v>
      </c>
      <c r="B1819" s="25">
        <f>+Municipios!P716</f>
        <v>56.536153530250573</v>
      </c>
      <c r="C1819" s="13">
        <v>5736</v>
      </c>
      <c r="D1819" s="13" t="s">
        <v>1864</v>
      </c>
      <c r="E1819" s="13" t="s">
        <v>435</v>
      </c>
      <c r="F1819" s="13" t="s">
        <v>436</v>
      </c>
      <c r="G1819" s="13" t="s">
        <v>1865</v>
      </c>
      <c r="K1819" t="s">
        <v>413</v>
      </c>
      <c r="L1819" s="81">
        <f>+Municipios!U716</f>
        <v>27.271247703431673</v>
      </c>
      <c r="M1819" s="13">
        <v>5736</v>
      </c>
      <c r="N1819" s="13" t="s">
        <v>1864</v>
      </c>
      <c r="O1819" s="13" t="s">
        <v>435</v>
      </c>
      <c r="P1819" s="13" t="s">
        <v>436</v>
      </c>
      <c r="Q1819" s="13" t="s">
        <v>1865</v>
      </c>
      <c r="T1819" t="s">
        <v>2804</v>
      </c>
      <c r="U1819" s="25">
        <f>+Municipios!P716</f>
        <v>56.536153530250573</v>
      </c>
      <c r="V1819" s="13">
        <v>5736</v>
      </c>
      <c r="W1819" s="13" t="s">
        <v>1864</v>
      </c>
      <c r="X1819" s="13" t="s">
        <v>435</v>
      </c>
      <c r="Y1819" s="13" t="s">
        <v>436</v>
      </c>
      <c r="Z1819" s="13" t="s">
        <v>1865</v>
      </c>
    </row>
    <row r="1820" spans="1:26">
      <c r="A1820" t="s">
        <v>412</v>
      </c>
      <c r="B1820" s="25">
        <f>+Municipios!P717</f>
        <v>57.075742292830412</v>
      </c>
      <c r="C1820" s="13">
        <v>66572</v>
      </c>
      <c r="D1820" s="13" t="s">
        <v>1866</v>
      </c>
      <c r="E1820" s="13" t="s">
        <v>467</v>
      </c>
      <c r="F1820" s="13" t="s">
        <v>468</v>
      </c>
      <c r="G1820" s="13" t="s">
        <v>1867</v>
      </c>
      <c r="K1820" t="s">
        <v>413</v>
      </c>
      <c r="L1820" s="81">
        <f>+Municipios!U717</f>
        <v>27.387213251172188</v>
      </c>
      <c r="M1820" s="13">
        <v>66572</v>
      </c>
      <c r="N1820" s="13" t="s">
        <v>1866</v>
      </c>
      <c r="O1820" s="13" t="s">
        <v>467</v>
      </c>
      <c r="P1820" s="13" t="s">
        <v>468</v>
      </c>
      <c r="Q1820" s="13" t="s">
        <v>1867</v>
      </c>
      <c r="T1820" t="s">
        <v>2804</v>
      </c>
      <c r="U1820" s="25">
        <f>+Municipios!P717</f>
        <v>57.075742292830412</v>
      </c>
      <c r="V1820" s="13">
        <v>66572</v>
      </c>
      <c r="W1820" s="13" t="s">
        <v>1866</v>
      </c>
      <c r="X1820" s="13" t="s">
        <v>467</v>
      </c>
      <c r="Y1820" s="13" t="s">
        <v>468</v>
      </c>
      <c r="Z1820" s="13" t="s">
        <v>1867</v>
      </c>
    </row>
    <row r="1821" spans="1:26">
      <c r="A1821" t="s">
        <v>412</v>
      </c>
      <c r="B1821" s="25">
        <f>+Municipios!P718</f>
        <v>61.119899371963882</v>
      </c>
      <c r="C1821" s="13">
        <v>41013</v>
      </c>
      <c r="D1821" s="13" t="s">
        <v>1868</v>
      </c>
      <c r="E1821" s="13" t="s">
        <v>676</v>
      </c>
      <c r="F1821" s="13" t="s">
        <v>677</v>
      </c>
      <c r="G1821" s="13" t="s">
        <v>1869</v>
      </c>
      <c r="K1821" t="s">
        <v>413</v>
      </c>
      <c r="L1821" s="81">
        <f>+Municipios!U718</f>
        <v>29.027128551373274</v>
      </c>
      <c r="M1821" s="13">
        <v>41013</v>
      </c>
      <c r="N1821" s="13" t="s">
        <v>1868</v>
      </c>
      <c r="O1821" s="13" t="s">
        <v>676</v>
      </c>
      <c r="P1821" s="13" t="s">
        <v>677</v>
      </c>
      <c r="Q1821" s="13" t="s">
        <v>1869</v>
      </c>
      <c r="T1821" t="s">
        <v>2804</v>
      </c>
      <c r="U1821" s="25">
        <f>+Municipios!P718</f>
        <v>61.119899371963882</v>
      </c>
      <c r="V1821" s="13">
        <v>41013</v>
      </c>
      <c r="W1821" s="13" t="s">
        <v>1868</v>
      </c>
      <c r="X1821" s="13" t="s">
        <v>676</v>
      </c>
      <c r="Y1821" s="13" t="s">
        <v>677</v>
      </c>
      <c r="Z1821" s="13" t="s">
        <v>1869</v>
      </c>
    </row>
    <row r="1822" spans="1:26">
      <c r="A1822" t="s">
        <v>412</v>
      </c>
      <c r="B1822" s="25">
        <f>+Municipios!P719</f>
        <v>70.21013859551816</v>
      </c>
      <c r="C1822" s="13">
        <v>15097</v>
      </c>
      <c r="D1822" s="13" t="s">
        <v>1870</v>
      </c>
      <c r="E1822" s="13" t="s">
        <v>498</v>
      </c>
      <c r="F1822" s="13" t="s">
        <v>499</v>
      </c>
      <c r="G1822" s="13" t="s">
        <v>1871</v>
      </c>
      <c r="K1822" t="s">
        <v>413</v>
      </c>
      <c r="L1822" s="81">
        <f>+Municipios!U719</f>
        <v>33.139023599734479</v>
      </c>
      <c r="M1822" s="13">
        <v>15097</v>
      </c>
      <c r="N1822" s="13" t="s">
        <v>1870</v>
      </c>
      <c r="O1822" s="13" t="s">
        <v>498</v>
      </c>
      <c r="P1822" s="13" t="s">
        <v>499</v>
      </c>
      <c r="Q1822" s="13" t="s">
        <v>1871</v>
      </c>
      <c r="T1822" t="s">
        <v>2804</v>
      </c>
      <c r="U1822" s="25">
        <f>+Municipios!P719</f>
        <v>70.21013859551816</v>
      </c>
      <c r="V1822" s="13">
        <v>15097</v>
      </c>
      <c r="W1822" s="13" t="s">
        <v>1870</v>
      </c>
      <c r="X1822" s="13" t="s">
        <v>498</v>
      </c>
      <c r="Y1822" s="13" t="s">
        <v>499</v>
      </c>
      <c r="Z1822" s="13" t="s">
        <v>1871</v>
      </c>
    </row>
    <row r="1823" spans="1:26">
      <c r="A1823" t="s">
        <v>412</v>
      </c>
      <c r="B1823" s="25">
        <f>+Municipios!P720</f>
        <v>53.404841114630372</v>
      </c>
      <c r="C1823" s="13">
        <v>54480</v>
      </c>
      <c r="D1823" s="13" t="s">
        <v>1872</v>
      </c>
      <c r="E1823" s="13" t="s">
        <v>517</v>
      </c>
      <c r="F1823" s="13" t="s">
        <v>518</v>
      </c>
      <c r="G1823" s="13" t="s">
        <v>1873</v>
      </c>
      <c r="K1823" t="s">
        <v>413</v>
      </c>
      <c r="L1823" s="81">
        <f>+Municipios!U720</f>
        <v>25.392296626622354</v>
      </c>
      <c r="M1823" s="13">
        <v>54480</v>
      </c>
      <c r="N1823" s="13" t="s">
        <v>1872</v>
      </c>
      <c r="O1823" s="13" t="s">
        <v>517</v>
      </c>
      <c r="P1823" s="13" t="s">
        <v>518</v>
      </c>
      <c r="Q1823" s="13" t="s">
        <v>1873</v>
      </c>
      <c r="T1823" t="s">
        <v>2804</v>
      </c>
      <c r="U1823" s="25">
        <f>+Municipios!P720</f>
        <v>53.404841114630372</v>
      </c>
      <c r="V1823" s="13">
        <v>54480</v>
      </c>
      <c r="W1823" s="13" t="s">
        <v>1872</v>
      </c>
      <c r="X1823" s="13" t="s">
        <v>517</v>
      </c>
      <c r="Y1823" s="13" t="s">
        <v>518</v>
      </c>
      <c r="Z1823" s="13" t="s">
        <v>1873</v>
      </c>
    </row>
    <row r="1824" spans="1:26">
      <c r="A1824" t="s">
        <v>412</v>
      </c>
      <c r="B1824" s="25">
        <f>+Municipios!P721</f>
        <v>62.987615107896616</v>
      </c>
      <c r="C1824" s="13">
        <v>5250</v>
      </c>
      <c r="D1824" s="13" t="s">
        <v>1874</v>
      </c>
      <c r="E1824" s="13" t="s">
        <v>435</v>
      </c>
      <c r="F1824" s="13" t="s">
        <v>436</v>
      </c>
      <c r="G1824" s="13" t="s">
        <v>1875</v>
      </c>
      <c r="K1824" t="s">
        <v>413</v>
      </c>
      <c r="L1824" s="81">
        <f>+Municipios!U721</f>
        <v>30.104821740414259</v>
      </c>
      <c r="M1824" s="13">
        <v>5250</v>
      </c>
      <c r="N1824" s="13" t="s">
        <v>1874</v>
      </c>
      <c r="O1824" s="13" t="s">
        <v>435</v>
      </c>
      <c r="P1824" s="13" t="s">
        <v>436</v>
      </c>
      <c r="Q1824" s="13" t="s">
        <v>1875</v>
      </c>
      <c r="T1824" t="s">
        <v>2804</v>
      </c>
      <c r="U1824" s="25">
        <f>+Municipios!P721</f>
        <v>62.987615107896616</v>
      </c>
      <c r="V1824" s="13">
        <v>5250</v>
      </c>
      <c r="W1824" s="13" t="s">
        <v>1874</v>
      </c>
      <c r="X1824" s="13" t="s">
        <v>435</v>
      </c>
      <c r="Y1824" s="13" t="s">
        <v>436</v>
      </c>
      <c r="Z1824" s="13" t="s">
        <v>1875</v>
      </c>
    </row>
    <row r="1825" spans="1:26">
      <c r="A1825" t="s">
        <v>412</v>
      </c>
      <c r="B1825" s="25">
        <f>+Municipios!P722</f>
        <v>60.252532650125538</v>
      </c>
      <c r="C1825" s="13">
        <v>68669</v>
      </c>
      <c r="D1825" s="13" t="s">
        <v>1876</v>
      </c>
      <c r="E1825" s="13" t="s">
        <v>431</v>
      </c>
      <c r="F1825" s="13" t="s">
        <v>432</v>
      </c>
      <c r="G1825" s="13" t="s">
        <v>1877</v>
      </c>
      <c r="K1825" t="s">
        <v>413</v>
      </c>
      <c r="L1825" s="81">
        <f>+Municipios!U722</f>
        <v>28.523299188192528</v>
      </c>
      <c r="M1825" s="13">
        <v>68669</v>
      </c>
      <c r="N1825" s="13" t="s">
        <v>1876</v>
      </c>
      <c r="O1825" s="13" t="s">
        <v>431</v>
      </c>
      <c r="P1825" s="13" t="s">
        <v>432</v>
      </c>
      <c r="Q1825" s="13" t="s">
        <v>1877</v>
      </c>
      <c r="T1825" t="s">
        <v>2804</v>
      </c>
      <c r="U1825" s="25">
        <f>+Municipios!P722</f>
        <v>60.252532650125538</v>
      </c>
      <c r="V1825" s="13">
        <v>68669</v>
      </c>
      <c r="W1825" s="13" t="s">
        <v>1876</v>
      </c>
      <c r="X1825" s="13" t="s">
        <v>431</v>
      </c>
      <c r="Y1825" s="13" t="s">
        <v>432</v>
      </c>
      <c r="Z1825" s="13" t="s">
        <v>1877</v>
      </c>
    </row>
    <row r="1826" spans="1:26">
      <c r="A1826" t="s">
        <v>412</v>
      </c>
      <c r="B1826" s="25">
        <f>+Municipios!P723</f>
        <v>53.633689691725863</v>
      </c>
      <c r="C1826" s="13">
        <v>19355</v>
      </c>
      <c r="D1826" s="13" t="s">
        <v>1878</v>
      </c>
      <c r="E1826" s="13" t="s">
        <v>557</v>
      </c>
      <c r="F1826" s="13" t="s">
        <v>558</v>
      </c>
      <c r="G1826" s="13" t="s">
        <v>1879</v>
      </c>
      <c r="K1826" t="s">
        <v>413</v>
      </c>
      <c r="L1826" s="81">
        <f>+Municipios!U723</f>
        <v>25.308484918077372</v>
      </c>
      <c r="M1826" s="13">
        <v>19355</v>
      </c>
      <c r="N1826" s="13" t="s">
        <v>1878</v>
      </c>
      <c r="O1826" s="13" t="s">
        <v>557</v>
      </c>
      <c r="P1826" s="13" t="s">
        <v>558</v>
      </c>
      <c r="Q1826" s="13" t="s">
        <v>1879</v>
      </c>
      <c r="T1826" t="s">
        <v>2804</v>
      </c>
      <c r="U1826" s="25">
        <f>+Municipios!P723</f>
        <v>53.633689691725863</v>
      </c>
      <c r="V1826" s="13">
        <v>19355</v>
      </c>
      <c r="W1826" s="13" t="s">
        <v>1878</v>
      </c>
      <c r="X1826" s="13" t="s">
        <v>557</v>
      </c>
      <c r="Y1826" s="13" t="s">
        <v>558</v>
      </c>
      <c r="Z1826" s="13" t="s">
        <v>1879</v>
      </c>
    </row>
    <row r="1827" spans="1:26">
      <c r="A1827" t="s">
        <v>412</v>
      </c>
      <c r="B1827" s="25">
        <f>+Municipios!P724</f>
        <v>31.309925429739465</v>
      </c>
      <c r="C1827" s="13">
        <v>47541</v>
      </c>
      <c r="D1827" s="13" t="s">
        <v>1880</v>
      </c>
      <c r="E1827" s="13" t="s">
        <v>638</v>
      </c>
      <c r="F1827" s="13" t="s">
        <v>639</v>
      </c>
      <c r="G1827" s="13" t="s">
        <v>1881</v>
      </c>
      <c r="K1827" t="s">
        <v>413</v>
      </c>
      <c r="L1827" s="81">
        <f>+Municipios!U724</f>
        <v>15.007013054641764</v>
      </c>
      <c r="M1827" s="13">
        <v>47541</v>
      </c>
      <c r="N1827" s="13" t="s">
        <v>1880</v>
      </c>
      <c r="O1827" s="13" t="s">
        <v>638</v>
      </c>
      <c r="P1827" s="13" t="s">
        <v>639</v>
      </c>
      <c r="Q1827" s="13" t="s">
        <v>1881</v>
      </c>
      <c r="T1827" t="s">
        <v>2804</v>
      </c>
      <c r="U1827" s="25">
        <f>+Municipios!P724</f>
        <v>31.309925429739465</v>
      </c>
      <c r="V1827" s="13">
        <v>47541</v>
      </c>
      <c r="W1827" s="13" t="s">
        <v>1880</v>
      </c>
      <c r="X1827" s="13" t="s">
        <v>638</v>
      </c>
      <c r="Y1827" s="13" t="s">
        <v>639</v>
      </c>
      <c r="Z1827" s="13" t="s">
        <v>1881</v>
      </c>
    </row>
    <row r="1828" spans="1:26">
      <c r="A1828" t="s">
        <v>412</v>
      </c>
      <c r="B1828" s="25">
        <f>+Municipios!P725</f>
        <v>63.326507333510541</v>
      </c>
      <c r="C1828" s="13">
        <v>15455</v>
      </c>
      <c r="D1828" s="13" t="s">
        <v>1882</v>
      </c>
      <c r="E1828" s="13" t="s">
        <v>498</v>
      </c>
      <c r="F1828" s="13" t="s">
        <v>499</v>
      </c>
      <c r="G1828" s="13" t="s">
        <v>1883</v>
      </c>
      <c r="K1828" t="s">
        <v>413</v>
      </c>
      <c r="L1828" s="81">
        <f>+Municipios!U725</f>
        <v>29.831470485832291</v>
      </c>
      <c r="M1828" s="13">
        <v>15455</v>
      </c>
      <c r="N1828" s="13" t="s">
        <v>1882</v>
      </c>
      <c r="O1828" s="13" t="s">
        <v>498</v>
      </c>
      <c r="P1828" s="13" t="s">
        <v>499</v>
      </c>
      <c r="Q1828" s="13" t="s">
        <v>1883</v>
      </c>
      <c r="T1828" t="s">
        <v>2804</v>
      </c>
      <c r="U1828" s="25">
        <f>+Municipios!P725</f>
        <v>63.326507333510541</v>
      </c>
      <c r="V1828" s="13">
        <v>15455</v>
      </c>
      <c r="W1828" s="13" t="s">
        <v>1882</v>
      </c>
      <c r="X1828" s="13" t="s">
        <v>498</v>
      </c>
      <c r="Y1828" s="13" t="s">
        <v>499</v>
      </c>
      <c r="Z1828" s="13" t="s">
        <v>1883</v>
      </c>
    </row>
    <row r="1829" spans="1:26">
      <c r="A1829" t="s">
        <v>412</v>
      </c>
      <c r="B1829" s="25">
        <f>+Municipios!P726</f>
        <v>58.612314621464122</v>
      </c>
      <c r="C1829" s="13">
        <v>68320</v>
      </c>
      <c r="D1829" s="13" t="s">
        <v>1884</v>
      </c>
      <c r="E1829" s="13" t="s">
        <v>431</v>
      </c>
      <c r="F1829" s="13" t="s">
        <v>432</v>
      </c>
      <c r="G1829" s="13" t="s">
        <v>1323</v>
      </c>
      <c r="K1829" t="s">
        <v>413</v>
      </c>
      <c r="L1829" s="81">
        <f>+Municipios!U726</f>
        <v>27.587511879577555</v>
      </c>
      <c r="M1829" s="13">
        <v>68320</v>
      </c>
      <c r="N1829" s="13" t="s">
        <v>1884</v>
      </c>
      <c r="O1829" s="13" t="s">
        <v>431</v>
      </c>
      <c r="P1829" s="13" t="s">
        <v>432</v>
      </c>
      <c r="Q1829" s="13" t="s">
        <v>1323</v>
      </c>
      <c r="T1829" t="s">
        <v>2804</v>
      </c>
      <c r="U1829" s="25">
        <f>+Municipios!P726</f>
        <v>58.612314621464122</v>
      </c>
      <c r="V1829" s="13">
        <v>68320</v>
      </c>
      <c r="W1829" s="13" t="s">
        <v>1884</v>
      </c>
      <c r="X1829" s="13" t="s">
        <v>431</v>
      </c>
      <c r="Y1829" s="13" t="s">
        <v>432</v>
      </c>
      <c r="Z1829" s="13" t="s">
        <v>1323</v>
      </c>
    </row>
    <row r="1830" spans="1:26">
      <c r="A1830" t="s">
        <v>412</v>
      </c>
      <c r="B1830" s="25">
        <f>+Municipios!P727</f>
        <v>66.104295404992996</v>
      </c>
      <c r="C1830" s="13">
        <v>68167</v>
      </c>
      <c r="D1830" s="13" t="s">
        <v>1885</v>
      </c>
      <c r="E1830" s="13" t="s">
        <v>431</v>
      </c>
      <c r="F1830" s="13" t="s">
        <v>432</v>
      </c>
      <c r="G1830" s="13" t="s">
        <v>1886</v>
      </c>
      <c r="K1830" t="s">
        <v>413</v>
      </c>
      <c r="L1830" s="81">
        <f>+Municipios!U727</f>
        <v>31.754927694348467</v>
      </c>
      <c r="M1830" s="13">
        <v>68167</v>
      </c>
      <c r="N1830" s="13" t="s">
        <v>1885</v>
      </c>
      <c r="O1830" s="13" t="s">
        <v>431</v>
      </c>
      <c r="P1830" s="13" t="s">
        <v>432</v>
      </c>
      <c r="Q1830" s="13" t="s">
        <v>1886</v>
      </c>
      <c r="T1830" t="s">
        <v>2804</v>
      </c>
      <c r="U1830" s="25">
        <f>+Municipios!P727</f>
        <v>66.104295404992996</v>
      </c>
      <c r="V1830" s="13">
        <v>68167</v>
      </c>
      <c r="W1830" s="13" t="s">
        <v>1885</v>
      </c>
      <c r="X1830" s="13" t="s">
        <v>431</v>
      </c>
      <c r="Y1830" s="13" t="s">
        <v>432</v>
      </c>
      <c r="Z1830" s="13" t="s">
        <v>1886</v>
      </c>
    </row>
    <row r="1831" spans="1:26">
      <c r="A1831" t="s">
        <v>412</v>
      </c>
      <c r="B1831" s="25">
        <f>+Municipios!P728</f>
        <v>52.690077005642422</v>
      </c>
      <c r="C1831" s="13">
        <v>47460</v>
      </c>
      <c r="D1831" s="13" t="s">
        <v>1887</v>
      </c>
      <c r="E1831" s="13" t="s">
        <v>638</v>
      </c>
      <c r="F1831" s="13" t="s">
        <v>639</v>
      </c>
      <c r="G1831" s="13" t="s">
        <v>1888</v>
      </c>
      <c r="K1831" t="s">
        <v>413</v>
      </c>
      <c r="L1831" s="81">
        <f>+Municipios!U728</f>
        <v>25.079103756638528</v>
      </c>
      <c r="M1831" s="13">
        <v>47460</v>
      </c>
      <c r="N1831" s="13" t="s">
        <v>1887</v>
      </c>
      <c r="O1831" s="13" t="s">
        <v>638</v>
      </c>
      <c r="P1831" s="13" t="s">
        <v>639</v>
      </c>
      <c r="Q1831" s="13" t="s">
        <v>1888</v>
      </c>
      <c r="T1831" t="s">
        <v>2804</v>
      </c>
      <c r="U1831" s="25">
        <f>+Municipios!P728</f>
        <v>52.690077005642422</v>
      </c>
      <c r="V1831" s="13">
        <v>47460</v>
      </c>
      <c r="W1831" s="13" t="s">
        <v>1887</v>
      </c>
      <c r="X1831" s="13" t="s">
        <v>638</v>
      </c>
      <c r="Y1831" s="13" t="s">
        <v>639</v>
      </c>
      <c r="Z1831" s="13" t="s">
        <v>1888</v>
      </c>
    </row>
    <row r="1832" spans="1:26">
      <c r="A1832" t="s">
        <v>412</v>
      </c>
      <c r="B1832" s="25">
        <f>+Municipios!P729</f>
        <v>44.242523972565053</v>
      </c>
      <c r="C1832" s="13">
        <v>15022</v>
      </c>
      <c r="D1832" s="13" t="s">
        <v>1889</v>
      </c>
      <c r="E1832" s="13" t="s">
        <v>498</v>
      </c>
      <c r="F1832" s="13" t="s">
        <v>499</v>
      </c>
      <c r="G1832" s="13" t="s">
        <v>1890</v>
      </c>
      <c r="K1832" t="s">
        <v>413</v>
      </c>
      <c r="L1832" s="81">
        <f>+Municipios!U729</f>
        <v>20.647833067381615</v>
      </c>
      <c r="M1832" s="13">
        <v>15022</v>
      </c>
      <c r="N1832" s="13" t="s">
        <v>1889</v>
      </c>
      <c r="O1832" s="13" t="s">
        <v>498</v>
      </c>
      <c r="P1832" s="13" t="s">
        <v>499</v>
      </c>
      <c r="Q1832" s="13" t="s">
        <v>1890</v>
      </c>
      <c r="T1832" t="s">
        <v>2804</v>
      </c>
      <c r="U1832" s="25">
        <f>+Municipios!P729</f>
        <v>44.242523972565053</v>
      </c>
      <c r="V1832" s="13">
        <v>15022</v>
      </c>
      <c r="W1832" s="13" t="s">
        <v>1889</v>
      </c>
      <c r="X1832" s="13" t="s">
        <v>498</v>
      </c>
      <c r="Y1832" s="13" t="s">
        <v>499</v>
      </c>
      <c r="Z1832" s="13" t="s">
        <v>1890</v>
      </c>
    </row>
    <row r="1833" spans="1:26">
      <c r="A1833" t="s">
        <v>412</v>
      </c>
      <c r="B1833" s="25">
        <f>+Municipios!P730</f>
        <v>67.922882822215456</v>
      </c>
      <c r="C1833" s="13">
        <v>68271</v>
      </c>
      <c r="D1833" s="13" t="s">
        <v>1891</v>
      </c>
      <c r="E1833" s="13" t="s">
        <v>431</v>
      </c>
      <c r="F1833" s="13" t="s">
        <v>432</v>
      </c>
      <c r="G1833" s="13" t="s">
        <v>1892</v>
      </c>
      <c r="K1833" t="s">
        <v>413</v>
      </c>
      <c r="L1833" s="81">
        <f>+Municipios!U730</f>
        <v>31.818050895351153</v>
      </c>
      <c r="M1833" s="13">
        <v>68271</v>
      </c>
      <c r="N1833" s="13" t="s">
        <v>1891</v>
      </c>
      <c r="O1833" s="13" t="s">
        <v>431</v>
      </c>
      <c r="P1833" s="13" t="s">
        <v>432</v>
      </c>
      <c r="Q1833" s="13" t="s">
        <v>1892</v>
      </c>
      <c r="T1833" t="s">
        <v>2804</v>
      </c>
      <c r="U1833" s="25">
        <f>+Municipios!P730</f>
        <v>67.922882822215456</v>
      </c>
      <c r="V1833" s="13">
        <v>68271</v>
      </c>
      <c r="W1833" s="13" t="s">
        <v>1891</v>
      </c>
      <c r="X1833" s="13" t="s">
        <v>431</v>
      </c>
      <c r="Y1833" s="13" t="s">
        <v>432</v>
      </c>
      <c r="Z1833" s="13" t="s">
        <v>1892</v>
      </c>
    </row>
    <row r="1834" spans="1:26">
      <c r="A1834" t="s">
        <v>412</v>
      </c>
      <c r="B1834" s="25">
        <f>+Municipios!P731</f>
        <v>49.927011674327396</v>
      </c>
      <c r="C1834" s="13">
        <v>41676</v>
      </c>
      <c r="D1834" s="13" t="s">
        <v>1893</v>
      </c>
      <c r="E1834" s="13" t="s">
        <v>676</v>
      </c>
      <c r="F1834" s="13" t="s">
        <v>677</v>
      </c>
      <c r="G1834" s="13" t="s">
        <v>1894</v>
      </c>
      <c r="K1834" t="s">
        <v>413</v>
      </c>
      <c r="L1834" s="81">
        <f>+Municipios!U731</f>
        <v>23.52053335736219</v>
      </c>
      <c r="M1834" s="13">
        <v>41676</v>
      </c>
      <c r="N1834" s="13" t="s">
        <v>1893</v>
      </c>
      <c r="O1834" s="13" t="s">
        <v>676</v>
      </c>
      <c r="P1834" s="13" t="s">
        <v>677</v>
      </c>
      <c r="Q1834" s="13" t="s">
        <v>1894</v>
      </c>
      <c r="T1834" t="s">
        <v>2804</v>
      </c>
      <c r="U1834" s="25">
        <f>+Municipios!P731</f>
        <v>49.927011674327396</v>
      </c>
      <c r="V1834" s="13">
        <v>41676</v>
      </c>
      <c r="W1834" s="13" t="s">
        <v>1893</v>
      </c>
      <c r="X1834" s="13" t="s">
        <v>676</v>
      </c>
      <c r="Y1834" s="13" t="s">
        <v>677</v>
      </c>
      <c r="Z1834" s="13" t="s">
        <v>1894</v>
      </c>
    </row>
    <row r="1835" spans="1:26">
      <c r="A1835" t="s">
        <v>412</v>
      </c>
      <c r="B1835" s="25">
        <f>+Municipios!P732</f>
        <v>67.027007091442698</v>
      </c>
      <c r="C1835" s="13">
        <v>25299</v>
      </c>
      <c r="D1835" s="13" t="s">
        <v>1895</v>
      </c>
      <c r="E1835" s="13" t="s">
        <v>461</v>
      </c>
      <c r="F1835" s="13" t="s">
        <v>462</v>
      </c>
      <c r="G1835" s="13" t="s">
        <v>1896</v>
      </c>
      <c r="K1835" t="s">
        <v>413</v>
      </c>
      <c r="L1835" s="81">
        <f>+Municipios!U732</f>
        <v>31.1624664432583</v>
      </c>
      <c r="M1835" s="13">
        <v>25299</v>
      </c>
      <c r="N1835" s="13" t="s">
        <v>1895</v>
      </c>
      <c r="O1835" s="13" t="s">
        <v>461</v>
      </c>
      <c r="P1835" s="13" t="s">
        <v>462</v>
      </c>
      <c r="Q1835" s="13" t="s">
        <v>1896</v>
      </c>
      <c r="T1835" t="s">
        <v>2804</v>
      </c>
      <c r="U1835" s="25">
        <f>+Municipios!P732</f>
        <v>67.027007091442698</v>
      </c>
      <c r="V1835" s="13">
        <v>25299</v>
      </c>
      <c r="W1835" s="13" t="s">
        <v>1895</v>
      </c>
      <c r="X1835" s="13" t="s">
        <v>461</v>
      </c>
      <c r="Y1835" s="13" t="s">
        <v>462</v>
      </c>
      <c r="Z1835" s="13" t="s">
        <v>1896</v>
      </c>
    </row>
    <row r="1836" spans="1:26">
      <c r="A1836" t="s">
        <v>412</v>
      </c>
      <c r="B1836" s="25">
        <f>+Municipios!P733</f>
        <v>48.620427552594236</v>
      </c>
      <c r="C1836" s="13">
        <v>19450</v>
      </c>
      <c r="D1836" s="13" t="s">
        <v>1897</v>
      </c>
      <c r="E1836" s="13" t="s">
        <v>557</v>
      </c>
      <c r="F1836" s="13" t="s">
        <v>558</v>
      </c>
      <c r="G1836" s="13" t="s">
        <v>1898</v>
      </c>
      <c r="K1836" t="s">
        <v>413</v>
      </c>
      <c r="L1836" s="81">
        <f>+Municipios!U733</f>
        <v>23.148226231273444</v>
      </c>
      <c r="M1836" s="13">
        <v>19450</v>
      </c>
      <c r="N1836" s="13" t="s">
        <v>1897</v>
      </c>
      <c r="O1836" s="13" t="s">
        <v>557</v>
      </c>
      <c r="P1836" s="13" t="s">
        <v>558</v>
      </c>
      <c r="Q1836" s="13" t="s">
        <v>1898</v>
      </c>
      <c r="T1836" t="s">
        <v>2804</v>
      </c>
      <c r="U1836" s="25">
        <f>+Municipios!P733</f>
        <v>48.620427552594236</v>
      </c>
      <c r="V1836" s="13">
        <v>19450</v>
      </c>
      <c r="W1836" s="13" t="s">
        <v>1897</v>
      </c>
      <c r="X1836" s="13" t="s">
        <v>557</v>
      </c>
      <c r="Y1836" s="13" t="s">
        <v>558</v>
      </c>
      <c r="Z1836" s="13" t="s">
        <v>1898</v>
      </c>
    </row>
    <row r="1837" spans="1:26">
      <c r="A1837" t="s">
        <v>412</v>
      </c>
      <c r="B1837" s="25">
        <f>+Municipios!P734</f>
        <v>46.768633724612442</v>
      </c>
      <c r="C1837" s="13">
        <v>13248</v>
      </c>
      <c r="D1837" s="13" t="s">
        <v>1899</v>
      </c>
      <c r="E1837" s="13" t="s">
        <v>480</v>
      </c>
      <c r="F1837" s="13" t="s">
        <v>481</v>
      </c>
      <c r="G1837" s="13" t="s">
        <v>1900</v>
      </c>
      <c r="K1837" t="s">
        <v>413</v>
      </c>
      <c r="L1837" s="81">
        <f>+Municipios!U734</f>
        <v>22.213395100624968</v>
      </c>
      <c r="M1837" s="13">
        <v>13248</v>
      </c>
      <c r="N1837" s="13" t="s">
        <v>1899</v>
      </c>
      <c r="O1837" s="13" t="s">
        <v>480</v>
      </c>
      <c r="P1837" s="13" t="s">
        <v>481</v>
      </c>
      <c r="Q1837" s="13" t="s">
        <v>1900</v>
      </c>
      <c r="T1837" t="s">
        <v>2804</v>
      </c>
      <c r="U1837" s="25">
        <f>+Municipios!P734</f>
        <v>46.768633724612442</v>
      </c>
      <c r="V1837" s="13">
        <v>13248</v>
      </c>
      <c r="W1837" s="13" t="s">
        <v>1899</v>
      </c>
      <c r="X1837" s="13" t="s">
        <v>480</v>
      </c>
      <c r="Y1837" s="13" t="s">
        <v>481</v>
      </c>
      <c r="Z1837" s="13" t="s">
        <v>1900</v>
      </c>
    </row>
    <row r="1838" spans="1:26">
      <c r="A1838" t="s">
        <v>412</v>
      </c>
      <c r="B1838" s="25">
        <f>+Municipios!P735</f>
        <v>56.198173444921224</v>
      </c>
      <c r="C1838" s="13">
        <v>68121</v>
      </c>
      <c r="D1838" s="13" t="s">
        <v>1901</v>
      </c>
      <c r="E1838" s="13" t="s">
        <v>431</v>
      </c>
      <c r="F1838" s="13" t="s">
        <v>432</v>
      </c>
      <c r="G1838" s="13" t="s">
        <v>1902</v>
      </c>
      <c r="K1838" t="s">
        <v>413</v>
      </c>
      <c r="L1838" s="81">
        <f>+Municipios!U735</f>
        <v>26.846785352122744</v>
      </c>
      <c r="M1838" s="13">
        <v>68121</v>
      </c>
      <c r="N1838" s="13" t="s">
        <v>1901</v>
      </c>
      <c r="O1838" s="13" t="s">
        <v>431</v>
      </c>
      <c r="P1838" s="13" t="s">
        <v>432</v>
      </c>
      <c r="Q1838" s="13" t="s">
        <v>1902</v>
      </c>
      <c r="T1838" t="s">
        <v>2804</v>
      </c>
      <c r="U1838" s="25">
        <f>+Municipios!P735</f>
        <v>56.198173444921224</v>
      </c>
      <c r="V1838" s="13">
        <v>68121</v>
      </c>
      <c r="W1838" s="13" t="s">
        <v>1901</v>
      </c>
      <c r="X1838" s="13" t="s">
        <v>431</v>
      </c>
      <c r="Y1838" s="13" t="s">
        <v>432</v>
      </c>
      <c r="Z1838" s="13" t="s">
        <v>1902</v>
      </c>
    </row>
    <row r="1839" spans="1:26">
      <c r="A1839" t="s">
        <v>412</v>
      </c>
      <c r="B1839" s="25">
        <f>+Municipios!P736</f>
        <v>72.828680443355438</v>
      </c>
      <c r="C1839" s="13">
        <v>15763</v>
      </c>
      <c r="D1839" s="13" t="s">
        <v>1903</v>
      </c>
      <c r="E1839" s="13" t="s">
        <v>498</v>
      </c>
      <c r="F1839" s="13" t="s">
        <v>499</v>
      </c>
      <c r="G1839" s="13" t="s">
        <v>1904</v>
      </c>
      <c r="K1839" t="s">
        <v>413</v>
      </c>
      <c r="L1839" s="81">
        <f>+Municipios!U736</f>
        <v>33.744817033183786</v>
      </c>
      <c r="M1839" s="13">
        <v>15763</v>
      </c>
      <c r="N1839" s="13" t="s">
        <v>1903</v>
      </c>
      <c r="O1839" s="13" t="s">
        <v>498</v>
      </c>
      <c r="P1839" s="13" t="s">
        <v>499</v>
      </c>
      <c r="Q1839" s="13" t="s">
        <v>1904</v>
      </c>
      <c r="T1839" t="s">
        <v>2804</v>
      </c>
      <c r="U1839" s="25">
        <f>+Municipios!P736</f>
        <v>72.828680443355438</v>
      </c>
      <c r="V1839" s="13">
        <v>15763</v>
      </c>
      <c r="W1839" s="13" t="s">
        <v>1903</v>
      </c>
      <c r="X1839" s="13" t="s">
        <v>498</v>
      </c>
      <c r="Y1839" s="13" t="s">
        <v>499</v>
      </c>
      <c r="Z1839" s="13" t="s">
        <v>1904</v>
      </c>
    </row>
    <row r="1840" spans="1:26">
      <c r="A1840" t="s">
        <v>412</v>
      </c>
      <c r="B1840" s="25">
        <f>+Municipios!P737</f>
        <v>61.823569189107502</v>
      </c>
      <c r="C1840" s="13">
        <v>25168</v>
      </c>
      <c r="D1840" s="13" t="s">
        <v>1905</v>
      </c>
      <c r="E1840" s="13" t="s">
        <v>461</v>
      </c>
      <c r="F1840" s="13" t="s">
        <v>462</v>
      </c>
      <c r="G1840" s="13" t="s">
        <v>1906</v>
      </c>
      <c r="K1840" t="s">
        <v>413</v>
      </c>
      <c r="L1840" s="81">
        <f>+Municipios!U737</f>
        <v>28.643614260156387</v>
      </c>
      <c r="M1840" s="13">
        <v>25168</v>
      </c>
      <c r="N1840" s="13" t="s">
        <v>1905</v>
      </c>
      <c r="O1840" s="13" t="s">
        <v>461</v>
      </c>
      <c r="P1840" s="13" t="s">
        <v>462</v>
      </c>
      <c r="Q1840" s="13" t="s">
        <v>1906</v>
      </c>
      <c r="T1840" t="s">
        <v>2804</v>
      </c>
      <c r="U1840" s="25">
        <f>+Municipios!P737</f>
        <v>61.823569189107502</v>
      </c>
      <c r="V1840" s="13">
        <v>25168</v>
      </c>
      <c r="W1840" s="13" t="s">
        <v>1905</v>
      </c>
      <c r="X1840" s="13" t="s">
        <v>461</v>
      </c>
      <c r="Y1840" s="13" t="s">
        <v>462</v>
      </c>
      <c r="Z1840" s="13" t="s">
        <v>1906</v>
      </c>
    </row>
    <row r="1841" spans="1:26">
      <c r="A1841" t="s">
        <v>412</v>
      </c>
      <c r="B1841" s="25">
        <f>+Municipios!P738</f>
        <v>55.858599990373385</v>
      </c>
      <c r="C1841" s="13">
        <v>15531</v>
      </c>
      <c r="D1841" s="13" t="s">
        <v>1907</v>
      </c>
      <c r="E1841" s="13" t="s">
        <v>498</v>
      </c>
      <c r="F1841" s="13" t="s">
        <v>499</v>
      </c>
      <c r="G1841" s="13" t="s">
        <v>1908</v>
      </c>
      <c r="K1841" t="s">
        <v>413</v>
      </c>
      <c r="L1841" s="81">
        <f>+Municipios!U738</f>
        <v>26.015743233381439</v>
      </c>
      <c r="M1841" s="13">
        <v>15531</v>
      </c>
      <c r="N1841" s="13" t="s">
        <v>1907</v>
      </c>
      <c r="O1841" s="13" t="s">
        <v>498</v>
      </c>
      <c r="P1841" s="13" t="s">
        <v>499</v>
      </c>
      <c r="Q1841" s="13" t="s">
        <v>1908</v>
      </c>
      <c r="T1841" t="s">
        <v>2804</v>
      </c>
      <c r="U1841" s="25">
        <f>+Municipios!P738</f>
        <v>55.858599990373385</v>
      </c>
      <c r="V1841" s="13">
        <v>15531</v>
      </c>
      <c r="W1841" s="13" t="s">
        <v>1907</v>
      </c>
      <c r="X1841" s="13" t="s">
        <v>498</v>
      </c>
      <c r="Y1841" s="13" t="s">
        <v>499</v>
      </c>
      <c r="Z1841" s="13" t="s">
        <v>1908</v>
      </c>
    </row>
    <row r="1842" spans="1:26">
      <c r="A1842" t="s">
        <v>412</v>
      </c>
      <c r="B1842" s="25">
        <f>+Municipios!P739</f>
        <v>56.230228868048705</v>
      </c>
      <c r="C1842" s="13">
        <v>68895</v>
      </c>
      <c r="D1842" s="13" t="s">
        <v>1909</v>
      </c>
      <c r="E1842" s="13" t="s">
        <v>431</v>
      </c>
      <c r="F1842" s="13" t="s">
        <v>432</v>
      </c>
      <c r="G1842" s="13" t="s">
        <v>1910</v>
      </c>
      <c r="K1842" t="s">
        <v>413</v>
      </c>
      <c r="L1842" s="81">
        <f>+Municipios!U739</f>
        <v>26.6696855433716</v>
      </c>
      <c r="M1842" s="13">
        <v>68895</v>
      </c>
      <c r="N1842" s="13" t="s">
        <v>1909</v>
      </c>
      <c r="O1842" s="13" t="s">
        <v>431</v>
      </c>
      <c r="P1842" s="13" t="s">
        <v>432</v>
      </c>
      <c r="Q1842" s="13" t="s">
        <v>1910</v>
      </c>
      <c r="T1842" t="s">
        <v>2804</v>
      </c>
      <c r="U1842" s="25">
        <f>+Municipios!P739</f>
        <v>56.230228868048705</v>
      </c>
      <c r="V1842" s="13">
        <v>68895</v>
      </c>
      <c r="W1842" s="13" t="s">
        <v>1909</v>
      </c>
      <c r="X1842" s="13" t="s">
        <v>431</v>
      </c>
      <c r="Y1842" s="13" t="s">
        <v>432</v>
      </c>
      <c r="Z1842" s="13" t="s">
        <v>1910</v>
      </c>
    </row>
    <row r="1843" spans="1:26">
      <c r="A1843" t="s">
        <v>412</v>
      </c>
      <c r="B1843" s="25">
        <f>+Municipios!P740</f>
        <v>54.027661806587943</v>
      </c>
      <c r="C1843" s="13">
        <v>13030</v>
      </c>
      <c r="D1843" s="13" t="s">
        <v>1911</v>
      </c>
      <c r="E1843" s="13" t="s">
        <v>480</v>
      </c>
      <c r="F1843" s="13" t="s">
        <v>481</v>
      </c>
      <c r="G1843" s="13" t="s">
        <v>1912</v>
      </c>
      <c r="K1843" t="s">
        <v>413</v>
      </c>
      <c r="L1843" s="81">
        <f>+Municipios!U740</f>
        <v>25.24971805248078</v>
      </c>
      <c r="M1843" s="13">
        <v>13030</v>
      </c>
      <c r="N1843" s="13" t="s">
        <v>1911</v>
      </c>
      <c r="O1843" s="13" t="s">
        <v>480</v>
      </c>
      <c r="P1843" s="13" t="s">
        <v>481</v>
      </c>
      <c r="Q1843" s="13" t="s">
        <v>1912</v>
      </c>
      <c r="T1843" t="s">
        <v>2804</v>
      </c>
      <c r="U1843" s="25">
        <f>+Municipios!P740</f>
        <v>54.027661806587943</v>
      </c>
      <c r="V1843" s="13">
        <v>13030</v>
      </c>
      <c r="W1843" s="13" t="s">
        <v>1911</v>
      </c>
      <c r="X1843" s="13" t="s">
        <v>480</v>
      </c>
      <c r="Y1843" s="13" t="s">
        <v>481</v>
      </c>
      <c r="Z1843" s="13" t="s">
        <v>1912</v>
      </c>
    </row>
    <row r="1844" spans="1:26">
      <c r="A1844" t="s">
        <v>412</v>
      </c>
      <c r="B1844" s="25">
        <f>+Municipios!P741</f>
        <v>55.245835321538564</v>
      </c>
      <c r="C1844" s="13">
        <v>47707</v>
      </c>
      <c r="D1844" s="13" t="s">
        <v>1913</v>
      </c>
      <c r="E1844" s="13" t="s">
        <v>638</v>
      </c>
      <c r="F1844" s="13" t="s">
        <v>639</v>
      </c>
      <c r="G1844" s="13" t="s">
        <v>1914</v>
      </c>
      <c r="K1844" t="s">
        <v>413</v>
      </c>
      <c r="L1844" s="81">
        <f>+Municipios!U741</f>
        <v>26.080057618417438</v>
      </c>
      <c r="M1844" s="13">
        <v>47707</v>
      </c>
      <c r="N1844" s="13" t="s">
        <v>1913</v>
      </c>
      <c r="O1844" s="13" t="s">
        <v>638</v>
      </c>
      <c r="P1844" s="13" t="s">
        <v>639</v>
      </c>
      <c r="Q1844" s="13" t="s">
        <v>1914</v>
      </c>
      <c r="T1844" t="s">
        <v>2804</v>
      </c>
      <c r="U1844" s="25">
        <f>+Municipios!P741</f>
        <v>55.245835321538564</v>
      </c>
      <c r="V1844" s="13">
        <v>47707</v>
      </c>
      <c r="W1844" s="13" t="s">
        <v>1913</v>
      </c>
      <c r="X1844" s="13" t="s">
        <v>638</v>
      </c>
      <c r="Y1844" s="13" t="s">
        <v>639</v>
      </c>
      <c r="Z1844" s="13" t="s">
        <v>1914</v>
      </c>
    </row>
    <row r="1845" spans="1:26">
      <c r="A1845" t="s">
        <v>412</v>
      </c>
      <c r="B1845" s="25">
        <f>+Municipios!P742</f>
        <v>58.027684037280203</v>
      </c>
      <c r="C1845" s="13">
        <v>5890</v>
      </c>
      <c r="D1845" s="13" t="s">
        <v>1915</v>
      </c>
      <c r="E1845" s="13" t="s">
        <v>435</v>
      </c>
      <c r="F1845" s="13" t="s">
        <v>436</v>
      </c>
      <c r="G1845" s="13" t="s">
        <v>1916</v>
      </c>
      <c r="K1845" t="s">
        <v>413</v>
      </c>
      <c r="L1845" s="81">
        <f>+Municipios!U742</f>
        <v>28.112381499435049</v>
      </c>
      <c r="M1845" s="13">
        <v>5890</v>
      </c>
      <c r="N1845" s="13" t="s">
        <v>1915</v>
      </c>
      <c r="O1845" s="13" t="s">
        <v>435</v>
      </c>
      <c r="P1845" s="13" t="s">
        <v>436</v>
      </c>
      <c r="Q1845" s="13" t="s">
        <v>1916</v>
      </c>
      <c r="T1845" t="s">
        <v>2804</v>
      </c>
      <c r="U1845" s="25">
        <f>+Municipios!P742</f>
        <v>58.027684037280203</v>
      </c>
      <c r="V1845" s="13">
        <v>5890</v>
      </c>
      <c r="W1845" s="13" t="s">
        <v>1915</v>
      </c>
      <c r="X1845" s="13" t="s">
        <v>435</v>
      </c>
      <c r="Y1845" s="13" t="s">
        <v>436</v>
      </c>
      <c r="Z1845" s="13" t="s">
        <v>1916</v>
      </c>
    </row>
    <row r="1846" spans="1:26">
      <c r="A1846" t="s">
        <v>412</v>
      </c>
      <c r="B1846" s="25">
        <f>+Municipios!P743</f>
        <v>63.504982473471159</v>
      </c>
      <c r="C1846" s="13">
        <v>68615</v>
      </c>
      <c r="D1846" s="13" t="s">
        <v>1917</v>
      </c>
      <c r="E1846" s="13" t="s">
        <v>431</v>
      </c>
      <c r="F1846" s="13" t="s">
        <v>432</v>
      </c>
      <c r="G1846" s="13" t="s">
        <v>504</v>
      </c>
      <c r="K1846" t="s">
        <v>413</v>
      </c>
      <c r="L1846" s="81">
        <f>+Municipios!U743</f>
        <v>29.262858521913202</v>
      </c>
      <c r="M1846" s="13">
        <v>68615</v>
      </c>
      <c r="N1846" s="13" t="s">
        <v>1917</v>
      </c>
      <c r="O1846" s="13" t="s">
        <v>431</v>
      </c>
      <c r="P1846" s="13" t="s">
        <v>432</v>
      </c>
      <c r="Q1846" s="13" t="s">
        <v>504</v>
      </c>
      <c r="T1846" t="s">
        <v>2804</v>
      </c>
      <c r="U1846" s="25">
        <f>+Municipios!P743</f>
        <v>63.504982473471159</v>
      </c>
      <c r="V1846" s="13">
        <v>68615</v>
      </c>
      <c r="W1846" s="13" t="s">
        <v>1917</v>
      </c>
      <c r="X1846" s="13" t="s">
        <v>431</v>
      </c>
      <c r="Y1846" s="13" t="s">
        <v>432</v>
      </c>
      <c r="Z1846" s="13" t="s">
        <v>504</v>
      </c>
    </row>
    <row r="1847" spans="1:26">
      <c r="A1847" t="s">
        <v>412</v>
      </c>
      <c r="B1847" s="25">
        <f>+Municipios!P744</f>
        <v>60.34763565795393</v>
      </c>
      <c r="C1847" s="13">
        <v>63302</v>
      </c>
      <c r="D1847" s="13" t="s">
        <v>1918</v>
      </c>
      <c r="E1847" s="13" t="s">
        <v>473</v>
      </c>
      <c r="F1847" s="13" t="s">
        <v>474</v>
      </c>
      <c r="G1847" s="13" t="s">
        <v>1919</v>
      </c>
      <c r="K1847" t="s">
        <v>413</v>
      </c>
      <c r="L1847" s="81">
        <f>+Municipios!U744</f>
        <v>28.402823512831027</v>
      </c>
      <c r="M1847" s="13">
        <v>63302</v>
      </c>
      <c r="N1847" s="13" t="s">
        <v>1918</v>
      </c>
      <c r="O1847" s="13" t="s">
        <v>473</v>
      </c>
      <c r="P1847" s="13" t="s">
        <v>474</v>
      </c>
      <c r="Q1847" s="13" t="s">
        <v>1919</v>
      </c>
      <c r="T1847" t="s">
        <v>2804</v>
      </c>
      <c r="U1847" s="25">
        <f>+Municipios!P744</f>
        <v>60.34763565795393</v>
      </c>
      <c r="V1847" s="13">
        <v>63302</v>
      </c>
      <c r="W1847" s="13" t="s">
        <v>1918</v>
      </c>
      <c r="X1847" s="13" t="s">
        <v>473</v>
      </c>
      <c r="Y1847" s="13" t="s">
        <v>474</v>
      </c>
      <c r="Z1847" s="13" t="s">
        <v>1919</v>
      </c>
    </row>
    <row r="1848" spans="1:26">
      <c r="A1848" t="s">
        <v>412</v>
      </c>
      <c r="B1848" s="25">
        <f>+Municipios!P745</f>
        <v>61.600504223455196</v>
      </c>
      <c r="C1848" s="13">
        <v>54670</v>
      </c>
      <c r="D1848" s="13" t="s">
        <v>1920</v>
      </c>
      <c r="E1848" s="13" t="s">
        <v>517</v>
      </c>
      <c r="F1848" s="13" t="s">
        <v>518</v>
      </c>
      <c r="G1848" s="13" t="s">
        <v>1921</v>
      </c>
      <c r="K1848" t="s">
        <v>413</v>
      </c>
      <c r="L1848" s="81">
        <f>+Municipios!U745</f>
        <v>28.741394050607411</v>
      </c>
      <c r="M1848" s="13">
        <v>54670</v>
      </c>
      <c r="N1848" s="13" t="s">
        <v>1920</v>
      </c>
      <c r="O1848" s="13" t="s">
        <v>517</v>
      </c>
      <c r="P1848" s="13" t="s">
        <v>518</v>
      </c>
      <c r="Q1848" s="13" t="s">
        <v>1921</v>
      </c>
      <c r="T1848" t="s">
        <v>2804</v>
      </c>
      <c r="U1848" s="25">
        <f>+Municipios!P745</f>
        <v>61.600504223455196</v>
      </c>
      <c r="V1848" s="13">
        <v>54670</v>
      </c>
      <c r="W1848" s="13" t="s">
        <v>1920</v>
      </c>
      <c r="X1848" s="13" t="s">
        <v>517</v>
      </c>
      <c r="Y1848" s="13" t="s">
        <v>518</v>
      </c>
      <c r="Z1848" s="13" t="s">
        <v>1921</v>
      </c>
    </row>
    <row r="1849" spans="1:26">
      <c r="A1849" t="s">
        <v>412</v>
      </c>
      <c r="B1849" s="25">
        <f>+Municipios!P746</f>
        <v>63.689174214551727</v>
      </c>
      <c r="C1849" s="13">
        <v>41797</v>
      </c>
      <c r="D1849" s="13" t="s">
        <v>1922</v>
      </c>
      <c r="E1849" s="13" t="s">
        <v>676</v>
      </c>
      <c r="F1849" s="13" t="s">
        <v>677</v>
      </c>
      <c r="G1849" s="13" t="s">
        <v>1923</v>
      </c>
      <c r="K1849" t="s">
        <v>413</v>
      </c>
      <c r="L1849" s="81">
        <f>+Municipios!U746</f>
        <v>30.207297165366754</v>
      </c>
      <c r="M1849" s="13">
        <v>41797</v>
      </c>
      <c r="N1849" s="13" t="s">
        <v>1922</v>
      </c>
      <c r="O1849" s="13" t="s">
        <v>676</v>
      </c>
      <c r="P1849" s="13" t="s">
        <v>677</v>
      </c>
      <c r="Q1849" s="13" t="s">
        <v>1923</v>
      </c>
      <c r="T1849" t="s">
        <v>2804</v>
      </c>
      <c r="U1849" s="25">
        <f>+Municipios!P746</f>
        <v>63.689174214551727</v>
      </c>
      <c r="V1849" s="13">
        <v>41797</v>
      </c>
      <c r="W1849" s="13" t="s">
        <v>1922</v>
      </c>
      <c r="X1849" s="13" t="s">
        <v>676</v>
      </c>
      <c r="Y1849" s="13" t="s">
        <v>677</v>
      </c>
      <c r="Z1849" s="13" t="s">
        <v>1923</v>
      </c>
    </row>
    <row r="1850" spans="1:26">
      <c r="A1850" t="s">
        <v>412</v>
      </c>
      <c r="B1850" s="25">
        <f>+Municipios!P747</f>
        <v>65.063418923193893</v>
      </c>
      <c r="C1850" s="13">
        <v>50150</v>
      </c>
      <c r="D1850" s="13" t="s">
        <v>1924</v>
      </c>
      <c r="E1850" s="13" t="s">
        <v>605</v>
      </c>
      <c r="F1850" s="13" t="s">
        <v>606</v>
      </c>
      <c r="G1850" s="13" t="s">
        <v>1925</v>
      </c>
      <c r="K1850" t="s">
        <v>413</v>
      </c>
      <c r="L1850" s="81">
        <f>+Municipios!U747</f>
        <v>30.495365058326747</v>
      </c>
      <c r="M1850" s="13">
        <v>50150</v>
      </c>
      <c r="N1850" s="13" t="s">
        <v>1924</v>
      </c>
      <c r="O1850" s="13" t="s">
        <v>605</v>
      </c>
      <c r="P1850" s="13" t="s">
        <v>606</v>
      </c>
      <c r="Q1850" s="13" t="s">
        <v>1925</v>
      </c>
      <c r="T1850" t="s">
        <v>2804</v>
      </c>
      <c r="U1850" s="25">
        <f>+Municipios!P747</f>
        <v>65.063418923193893</v>
      </c>
      <c r="V1850" s="13">
        <v>50150</v>
      </c>
      <c r="W1850" s="13" t="s">
        <v>1924</v>
      </c>
      <c r="X1850" s="13" t="s">
        <v>605</v>
      </c>
      <c r="Y1850" s="13" t="s">
        <v>606</v>
      </c>
      <c r="Z1850" s="13" t="s">
        <v>1925</v>
      </c>
    </row>
    <row r="1851" spans="1:26">
      <c r="A1851" t="s">
        <v>412</v>
      </c>
      <c r="B1851" s="25">
        <f>+Municipios!P748</f>
        <v>58.350763776181466</v>
      </c>
      <c r="C1851" s="13">
        <v>5086</v>
      </c>
      <c r="D1851" s="13" t="s">
        <v>1926</v>
      </c>
      <c r="E1851" s="13" t="s">
        <v>435</v>
      </c>
      <c r="F1851" s="13" t="s">
        <v>436</v>
      </c>
      <c r="G1851" s="13" t="s">
        <v>1927</v>
      </c>
      <c r="K1851" t="s">
        <v>413</v>
      </c>
      <c r="L1851" s="81">
        <f>+Municipios!U748</f>
        <v>27.526031407258255</v>
      </c>
      <c r="M1851" s="13">
        <v>5086</v>
      </c>
      <c r="N1851" s="13" t="s">
        <v>1926</v>
      </c>
      <c r="O1851" s="13" t="s">
        <v>435</v>
      </c>
      <c r="P1851" s="13" t="s">
        <v>436</v>
      </c>
      <c r="Q1851" s="13" t="s">
        <v>1927</v>
      </c>
      <c r="T1851" t="s">
        <v>2804</v>
      </c>
      <c r="U1851" s="25">
        <f>+Municipios!P748</f>
        <v>58.350763776181466</v>
      </c>
      <c r="V1851" s="13">
        <v>5086</v>
      </c>
      <c r="W1851" s="13" t="s">
        <v>1926</v>
      </c>
      <c r="X1851" s="13" t="s">
        <v>435</v>
      </c>
      <c r="Y1851" s="13" t="s">
        <v>436</v>
      </c>
      <c r="Z1851" s="13" t="s">
        <v>1927</v>
      </c>
    </row>
    <row r="1852" spans="1:26">
      <c r="A1852" t="s">
        <v>412</v>
      </c>
      <c r="B1852" s="25">
        <f>+Municipios!P749</f>
        <v>61.015756011055338</v>
      </c>
      <c r="C1852" s="13">
        <v>86865</v>
      </c>
      <c r="D1852" s="13" t="s">
        <v>1928</v>
      </c>
      <c r="E1852" s="13" t="s">
        <v>943</v>
      </c>
      <c r="F1852" s="13" t="s">
        <v>944</v>
      </c>
      <c r="G1852" s="13" t="s">
        <v>1929</v>
      </c>
      <c r="K1852" t="s">
        <v>413</v>
      </c>
      <c r="L1852" s="81">
        <f>+Municipios!U749</f>
        <v>28.529504272423953</v>
      </c>
      <c r="M1852" s="13">
        <v>86865</v>
      </c>
      <c r="N1852" s="13" t="s">
        <v>1928</v>
      </c>
      <c r="O1852" s="13" t="s">
        <v>943</v>
      </c>
      <c r="P1852" s="13" t="s">
        <v>944</v>
      </c>
      <c r="Q1852" s="13" t="s">
        <v>1929</v>
      </c>
      <c r="T1852" t="s">
        <v>2804</v>
      </c>
      <c r="U1852" s="25">
        <f>+Municipios!P749</f>
        <v>61.015756011055338</v>
      </c>
      <c r="V1852" s="13">
        <v>86865</v>
      </c>
      <c r="W1852" s="13" t="s">
        <v>1928</v>
      </c>
      <c r="X1852" s="13" t="s">
        <v>943</v>
      </c>
      <c r="Y1852" s="13" t="s">
        <v>944</v>
      </c>
      <c r="Z1852" s="13" t="s">
        <v>1929</v>
      </c>
    </row>
    <row r="1853" spans="1:26">
      <c r="A1853" t="s">
        <v>412</v>
      </c>
      <c r="B1853" s="25">
        <f>+Municipios!P750</f>
        <v>53.235751733663108</v>
      </c>
      <c r="C1853" s="13">
        <v>47960</v>
      </c>
      <c r="D1853" s="13" t="s">
        <v>1930</v>
      </c>
      <c r="E1853" s="13" t="s">
        <v>638</v>
      </c>
      <c r="F1853" s="13" t="s">
        <v>639</v>
      </c>
      <c r="G1853" s="13" t="s">
        <v>1931</v>
      </c>
      <c r="K1853" t="s">
        <v>413</v>
      </c>
      <c r="L1853" s="81">
        <f>+Municipios!U750</f>
        <v>24.867685562819347</v>
      </c>
      <c r="M1853" s="13">
        <v>47960</v>
      </c>
      <c r="N1853" s="13" t="s">
        <v>1930</v>
      </c>
      <c r="O1853" s="13" t="s">
        <v>638</v>
      </c>
      <c r="P1853" s="13" t="s">
        <v>639</v>
      </c>
      <c r="Q1853" s="13" t="s">
        <v>1931</v>
      </c>
      <c r="T1853" t="s">
        <v>2804</v>
      </c>
      <c r="U1853" s="25">
        <f>+Municipios!P750</f>
        <v>53.235751733663108</v>
      </c>
      <c r="V1853" s="13">
        <v>47960</v>
      </c>
      <c r="W1853" s="13" t="s">
        <v>1930</v>
      </c>
      <c r="X1853" s="13" t="s">
        <v>638</v>
      </c>
      <c r="Y1853" s="13" t="s">
        <v>639</v>
      </c>
      <c r="Z1853" s="13" t="s">
        <v>1931</v>
      </c>
    </row>
    <row r="1854" spans="1:26">
      <c r="A1854" t="s">
        <v>412</v>
      </c>
      <c r="B1854" s="25">
        <f>+Municipios!P751</f>
        <v>64.710308920930345</v>
      </c>
      <c r="C1854" s="13">
        <v>25871</v>
      </c>
      <c r="D1854" s="13" t="s">
        <v>1932</v>
      </c>
      <c r="E1854" s="13" t="s">
        <v>461</v>
      </c>
      <c r="F1854" s="13" t="s">
        <v>462</v>
      </c>
      <c r="G1854" s="13" t="s">
        <v>1933</v>
      </c>
      <c r="K1854" t="s">
        <v>413</v>
      </c>
      <c r="L1854" s="81">
        <f>+Municipios!U751</f>
        <v>29.379192735481347</v>
      </c>
      <c r="M1854" s="13">
        <v>25871</v>
      </c>
      <c r="N1854" s="13" t="s">
        <v>1932</v>
      </c>
      <c r="O1854" s="13" t="s">
        <v>461</v>
      </c>
      <c r="P1854" s="13" t="s">
        <v>462</v>
      </c>
      <c r="Q1854" s="13" t="s">
        <v>1933</v>
      </c>
      <c r="T1854" t="s">
        <v>2804</v>
      </c>
      <c r="U1854" s="25">
        <f>+Municipios!P751</f>
        <v>64.710308920930345</v>
      </c>
      <c r="V1854" s="13">
        <v>25871</v>
      </c>
      <c r="W1854" s="13" t="s">
        <v>1932</v>
      </c>
      <c r="X1854" s="13" t="s">
        <v>461</v>
      </c>
      <c r="Y1854" s="13" t="s">
        <v>462</v>
      </c>
      <c r="Z1854" s="13" t="s">
        <v>1933</v>
      </c>
    </row>
    <row r="1855" spans="1:26">
      <c r="A1855" t="s">
        <v>412</v>
      </c>
      <c r="B1855" s="25">
        <f>+Municipios!P752</f>
        <v>55.015630087768798</v>
      </c>
      <c r="C1855" s="13">
        <v>54239</v>
      </c>
      <c r="D1855" s="13" t="s">
        <v>1934</v>
      </c>
      <c r="E1855" s="13" t="s">
        <v>517</v>
      </c>
      <c r="F1855" s="13" t="s">
        <v>518</v>
      </c>
      <c r="G1855" s="13" t="s">
        <v>1935</v>
      </c>
      <c r="K1855" t="s">
        <v>413</v>
      </c>
      <c r="L1855" s="81">
        <f>+Municipios!U752</f>
        <v>25.777337804444119</v>
      </c>
      <c r="M1855" s="13">
        <v>54239</v>
      </c>
      <c r="N1855" s="13" t="s">
        <v>1934</v>
      </c>
      <c r="O1855" s="13" t="s">
        <v>517</v>
      </c>
      <c r="P1855" s="13" t="s">
        <v>518</v>
      </c>
      <c r="Q1855" s="13" t="s">
        <v>1935</v>
      </c>
      <c r="T1855" t="s">
        <v>2804</v>
      </c>
      <c r="U1855" s="25">
        <f>+Municipios!P752</f>
        <v>55.015630087768798</v>
      </c>
      <c r="V1855" s="13">
        <v>54239</v>
      </c>
      <c r="W1855" s="13" t="s">
        <v>1934</v>
      </c>
      <c r="X1855" s="13" t="s">
        <v>517</v>
      </c>
      <c r="Y1855" s="13" t="s">
        <v>518</v>
      </c>
      <c r="Z1855" s="13" t="s">
        <v>1935</v>
      </c>
    </row>
    <row r="1856" spans="1:26">
      <c r="A1856" t="s">
        <v>412</v>
      </c>
      <c r="B1856" s="25">
        <f>+Municipios!P753</f>
        <v>51.300729684054161</v>
      </c>
      <c r="C1856" s="13">
        <v>25823</v>
      </c>
      <c r="D1856" s="13" t="s">
        <v>1936</v>
      </c>
      <c r="E1856" s="13" t="s">
        <v>461</v>
      </c>
      <c r="F1856" s="13" t="s">
        <v>462</v>
      </c>
      <c r="G1856" s="13" t="s">
        <v>1937</v>
      </c>
      <c r="K1856" t="s">
        <v>413</v>
      </c>
      <c r="L1856" s="81">
        <f>+Municipios!U753</f>
        <v>23.443447639737833</v>
      </c>
      <c r="M1856" s="13">
        <v>25823</v>
      </c>
      <c r="N1856" s="13" t="s">
        <v>1936</v>
      </c>
      <c r="O1856" s="13" t="s">
        <v>461</v>
      </c>
      <c r="P1856" s="13" t="s">
        <v>462</v>
      </c>
      <c r="Q1856" s="13" t="s">
        <v>1937</v>
      </c>
      <c r="T1856" t="s">
        <v>2804</v>
      </c>
      <c r="U1856" s="25">
        <f>+Municipios!P753</f>
        <v>51.300729684054161</v>
      </c>
      <c r="V1856" s="13">
        <v>25823</v>
      </c>
      <c r="W1856" s="13" t="s">
        <v>1936</v>
      </c>
      <c r="X1856" s="13" t="s">
        <v>461</v>
      </c>
      <c r="Y1856" s="13" t="s">
        <v>462</v>
      </c>
      <c r="Z1856" s="13" t="s">
        <v>1937</v>
      </c>
    </row>
    <row r="1857" spans="1:26">
      <c r="A1857" t="s">
        <v>412</v>
      </c>
      <c r="B1857" s="25">
        <f>+Municipios!P754</f>
        <v>56.07290658796137</v>
      </c>
      <c r="C1857" s="13">
        <v>68655</v>
      </c>
      <c r="D1857" s="13" t="s">
        <v>1938</v>
      </c>
      <c r="E1857" s="13" t="s">
        <v>431</v>
      </c>
      <c r="F1857" s="13" t="s">
        <v>432</v>
      </c>
      <c r="G1857" s="13" t="s">
        <v>1939</v>
      </c>
      <c r="K1857" t="s">
        <v>413</v>
      </c>
      <c r="L1857" s="81">
        <f>+Municipios!U754</f>
        <v>26.554089795957278</v>
      </c>
      <c r="M1857" s="13">
        <v>68655</v>
      </c>
      <c r="N1857" s="13" t="s">
        <v>1938</v>
      </c>
      <c r="O1857" s="13" t="s">
        <v>431</v>
      </c>
      <c r="P1857" s="13" t="s">
        <v>432</v>
      </c>
      <c r="Q1857" s="13" t="s">
        <v>1939</v>
      </c>
      <c r="T1857" t="s">
        <v>2804</v>
      </c>
      <c r="U1857" s="25">
        <f>+Municipios!P754</f>
        <v>56.07290658796137</v>
      </c>
      <c r="V1857" s="13">
        <v>68655</v>
      </c>
      <c r="W1857" s="13" t="s">
        <v>1938</v>
      </c>
      <c r="X1857" s="13" t="s">
        <v>431</v>
      </c>
      <c r="Y1857" s="13" t="s">
        <v>432</v>
      </c>
      <c r="Z1857" s="13" t="s">
        <v>1939</v>
      </c>
    </row>
    <row r="1858" spans="1:26">
      <c r="A1858" t="s">
        <v>412</v>
      </c>
      <c r="B1858" s="25">
        <f>+Municipios!P755</f>
        <v>66.818664737929964</v>
      </c>
      <c r="C1858" s="13">
        <v>13074</v>
      </c>
      <c r="D1858" s="13" t="s">
        <v>1940</v>
      </c>
      <c r="E1858" s="13" t="s">
        <v>480</v>
      </c>
      <c r="F1858" s="13" t="s">
        <v>481</v>
      </c>
      <c r="G1858" s="13" t="s">
        <v>1941</v>
      </c>
      <c r="K1858" t="s">
        <v>413</v>
      </c>
      <c r="L1858" s="81">
        <f>+Municipios!U755</f>
        <v>31.618436959879922</v>
      </c>
      <c r="M1858" s="13">
        <v>13074</v>
      </c>
      <c r="N1858" s="13" t="s">
        <v>1940</v>
      </c>
      <c r="O1858" s="13" t="s">
        <v>480</v>
      </c>
      <c r="P1858" s="13" t="s">
        <v>481</v>
      </c>
      <c r="Q1858" s="13" t="s">
        <v>1941</v>
      </c>
      <c r="T1858" t="s">
        <v>2804</v>
      </c>
      <c r="U1858" s="25">
        <f>+Municipios!P755</f>
        <v>66.818664737929964</v>
      </c>
      <c r="V1858" s="13">
        <v>13074</v>
      </c>
      <c r="W1858" s="13" t="s">
        <v>1940</v>
      </c>
      <c r="X1858" s="13" t="s">
        <v>480</v>
      </c>
      <c r="Y1858" s="13" t="s">
        <v>481</v>
      </c>
      <c r="Z1858" s="13" t="s">
        <v>1941</v>
      </c>
    </row>
    <row r="1859" spans="1:26">
      <c r="A1859" t="s">
        <v>412</v>
      </c>
      <c r="B1859" s="25">
        <f>+Municipios!P756</f>
        <v>50.751509952371066</v>
      </c>
      <c r="C1859" s="13">
        <v>20178</v>
      </c>
      <c r="D1859" s="13" t="s">
        <v>1942</v>
      </c>
      <c r="E1859" s="13" t="s">
        <v>893</v>
      </c>
      <c r="F1859" s="13" t="s">
        <v>894</v>
      </c>
      <c r="G1859" s="13" t="s">
        <v>1943</v>
      </c>
      <c r="K1859" t="s">
        <v>413</v>
      </c>
      <c r="L1859" s="81">
        <f>+Municipios!U756</f>
        <v>23.838728011975125</v>
      </c>
      <c r="M1859" s="13">
        <v>20178</v>
      </c>
      <c r="N1859" s="13" t="s">
        <v>1942</v>
      </c>
      <c r="O1859" s="13" t="s">
        <v>893</v>
      </c>
      <c r="P1859" s="13" t="s">
        <v>894</v>
      </c>
      <c r="Q1859" s="13" t="s">
        <v>1943</v>
      </c>
      <c r="T1859" t="s">
        <v>2804</v>
      </c>
      <c r="U1859" s="25">
        <f>+Municipios!P756</f>
        <v>50.751509952371066</v>
      </c>
      <c r="V1859" s="13">
        <v>20178</v>
      </c>
      <c r="W1859" s="13" t="s">
        <v>1942</v>
      </c>
      <c r="X1859" s="13" t="s">
        <v>893</v>
      </c>
      <c r="Y1859" s="13" t="s">
        <v>894</v>
      </c>
      <c r="Z1859" s="13" t="s">
        <v>1943</v>
      </c>
    </row>
    <row r="1860" spans="1:26">
      <c r="A1860" t="s">
        <v>412</v>
      </c>
      <c r="B1860" s="25">
        <f>+Municipios!P757</f>
        <v>60.754994569685465</v>
      </c>
      <c r="C1860" s="13">
        <v>5854</v>
      </c>
      <c r="D1860" s="13" t="s">
        <v>1944</v>
      </c>
      <c r="E1860" s="13" t="s">
        <v>435</v>
      </c>
      <c r="F1860" s="13" t="s">
        <v>436</v>
      </c>
      <c r="G1860" s="13" t="s">
        <v>1945</v>
      </c>
      <c r="K1860" t="s">
        <v>413</v>
      </c>
      <c r="L1860" s="81">
        <f>+Municipios!U757</f>
        <v>28.767364312999415</v>
      </c>
      <c r="M1860" s="13">
        <v>5854</v>
      </c>
      <c r="N1860" s="13" t="s">
        <v>1944</v>
      </c>
      <c r="O1860" s="13" t="s">
        <v>435</v>
      </c>
      <c r="P1860" s="13" t="s">
        <v>436</v>
      </c>
      <c r="Q1860" s="13" t="s">
        <v>1945</v>
      </c>
      <c r="T1860" t="s">
        <v>2804</v>
      </c>
      <c r="U1860" s="25">
        <f>+Municipios!P757</f>
        <v>60.754994569685465</v>
      </c>
      <c r="V1860" s="13">
        <v>5854</v>
      </c>
      <c r="W1860" s="13" t="s">
        <v>1944</v>
      </c>
      <c r="X1860" s="13" t="s">
        <v>435</v>
      </c>
      <c r="Y1860" s="13" t="s">
        <v>436</v>
      </c>
      <c r="Z1860" s="13" t="s">
        <v>1945</v>
      </c>
    </row>
    <row r="1861" spans="1:26">
      <c r="A1861" t="s">
        <v>412</v>
      </c>
      <c r="B1861" s="25">
        <f>+Municipios!P758</f>
        <v>56.70070173372099</v>
      </c>
      <c r="C1861" s="13">
        <v>19760</v>
      </c>
      <c r="D1861" s="13" t="s">
        <v>1946</v>
      </c>
      <c r="E1861" s="13" t="s">
        <v>557</v>
      </c>
      <c r="F1861" s="13" t="s">
        <v>558</v>
      </c>
      <c r="G1861" s="13" t="s">
        <v>1947</v>
      </c>
      <c r="K1861" t="s">
        <v>413</v>
      </c>
      <c r="L1861" s="81">
        <f>+Municipios!U758</f>
        <v>26.38508388224577</v>
      </c>
      <c r="M1861" s="13">
        <v>19760</v>
      </c>
      <c r="N1861" s="13" t="s">
        <v>1946</v>
      </c>
      <c r="O1861" s="13" t="s">
        <v>557</v>
      </c>
      <c r="P1861" s="13" t="s">
        <v>558</v>
      </c>
      <c r="Q1861" s="13" t="s">
        <v>1947</v>
      </c>
      <c r="T1861" t="s">
        <v>2804</v>
      </c>
      <c r="U1861" s="25">
        <f>+Municipios!P758</f>
        <v>56.70070173372099</v>
      </c>
      <c r="V1861" s="13">
        <v>19760</v>
      </c>
      <c r="W1861" s="13" t="s">
        <v>1946</v>
      </c>
      <c r="X1861" s="13" t="s">
        <v>557</v>
      </c>
      <c r="Y1861" s="13" t="s">
        <v>558</v>
      </c>
      <c r="Z1861" s="13" t="s">
        <v>1947</v>
      </c>
    </row>
    <row r="1862" spans="1:26">
      <c r="A1862" t="s">
        <v>412</v>
      </c>
      <c r="B1862" s="25">
        <f>+Municipios!P759</f>
        <v>52.830759550556394</v>
      </c>
      <c r="C1862" s="13">
        <v>44847</v>
      </c>
      <c r="D1862" s="13" t="s">
        <v>1948</v>
      </c>
      <c r="E1862" s="13" t="s">
        <v>933</v>
      </c>
      <c r="F1862" s="13" t="s">
        <v>934</v>
      </c>
      <c r="G1862" s="13" t="s">
        <v>1949</v>
      </c>
      <c r="K1862" t="s">
        <v>413</v>
      </c>
      <c r="L1862" s="81">
        <f>+Municipios!U759</f>
        <v>24.297782598011668</v>
      </c>
      <c r="M1862" s="13">
        <v>44847</v>
      </c>
      <c r="N1862" s="13" t="s">
        <v>1948</v>
      </c>
      <c r="O1862" s="13" t="s">
        <v>933</v>
      </c>
      <c r="P1862" s="13" t="s">
        <v>934</v>
      </c>
      <c r="Q1862" s="13" t="s">
        <v>1949</v>
      </c>
      <c r="T1862" t="s">
        <v>2804</v>
      </c>
      <c r="U1862" s="25">
        <f>+Municipios!P759</f>
        <v>52.830759550556394</v>
      </c>
      <c r="V1862" s="13">
        <v>44847</v>
      </c>
      <c r="W1862" s="13" t="s">
        <v>1948</v>
      </c>
      <c r="X1862" s="13" t="s">
        <v>933</v>
      </c>
      <c r="Y1862" s="13" t="s">
        <v>934</v>
      </c>
      <c r="Z1862" s="13" t="s">
        <v>1949</v>
      </c>
    </row>
    <row r="1863" spans="1:26">
      <c r="A1863" t="s">
        <v>412</v>
      </c>
      <c r="B1863" s="25">
        <f>+Municipios!P760</f>
        <v>59.170347737713655</v>
      </c>
      <c r="C1863" s="13">
        <v>13667</v>
      </c>
      <c r="D1863" s="13" t="s">
        <v>1950</v>
      </c>
      <c r="E1863" s="13" t="s">
        <v>480</v>
      </c>
      <c r="F1863" s="13" t="s">
        <v>481</v>
      </c>
      <c r="G1863" s="13" t="s">
        <v>1951</v>
      </c>
      <c r="K1863" t="s">
        <v>413</v>
      </c>
      <c r="L1863" s="81">
        <f>+Municipios!U760</f>
        <v>27.57685947345054</v>
      </c>
      <c r="M1863" s="13">
        <v>13667</v>
      </c>
      <c r="N1863" s="13" t="s">
        <v>1950</v>
      </c>
      <c r="O1863" s="13" t="s">
        <v>480</v>
      </c>
      <c r="P1863" s="13" t="s">
        <v>481</v>
      </c>
      <c r="Q1863" s="13" t="s">
        <v>1951</v>
      </c>
      <c r="T1863" t="s">
        <v>2804</v>
      </c>
      <c r="U1863" s="25">
        <f>+Municipios!P760</f>
        <v>59.170347737713655</v>
      </c>
      <c r="V1863" s="13">
        <v>13667</v>
      </c>
      <c r="W1863" s="13" t="s">
        <v>1950</v>
      </c>
      <c r="X1863" s="13" t="s">
        <v>480</v>
      </c>
      <c r="Y1863" s="13" t="s">
        <v>481</v>
      </c>
      <c r="Z1863" s="13" t="s">
        <v>1951</v>
      </c>
    </row>
    <row r="1864" spans="1:26">
      <c r="A1864" t="s">
        <v>412</v>
      </c>
      <c r="B1864" s="25">
        <f>+Municipios!P761</f>
        <v>59.241755933595911</v>
      </c>
      <c r="C1864" s="13">
        <v>20175</v>
      </c>
      <c r="D1864" s="13" t="s">
        <v>1952</v>
      </c>
      <c r="E1864" s="13" t="s">
        <v>893</v>
      </c>
      <c r="F1864" s="13" t="s">
        <v>894</v>
      </c>
      <c r="G1864" s="13" t="s">
        <v>1953</v>
      </c>
      <c r="K1864" t="s">
        <v>413</v>
      </c>
      <c r="L1864" s="81">
        <f>+Municipios!U761</f>
        <v>27.458123687107154</v>
      </c>
      <c r="M1864" s="13">
        <v>20175</v>
      </c>
      <c r="N1864" s="13" t="s">
        <v>1952</v>
      </c>
      <c r="O1864" s="13" t="s">
        <v>893</v>
      </c>
      <c r="P1864" s="13" t="s">
        <v>894</v>
      </c>
      <c r="Q1864" s="13" t="s">
        <v>1953</v>
      </c>
      <c r="T1864" t="s">
        <v>2804</v>
      </c>
      <c r="U1864" s="25">
        <f>+Municipios!P761</f>
        <v>59.241755933595911</v>
      </c>
      <c r="V1864" s="13">
        <v>20175</v>
      </c>
      <c r="W1864" s="13" t="s">
        <v>1952</v>
      </c>
      <c r="X1864" s="13" t="s">
        <v>893</v>
      </c>
      <c r="Y1864" s="13" t="s">
        <v>894</v>
      </c>
      <c r="Z1864" s="13" t="s">
        <v>1953</v>
      </c>
    </row>
    <row r="1865" spans="1:26">
      <c r="A1865" t="s">
        <v>412</v>
      </c>
      <c r="B1865" s="25">
        <f>+Municipios!P762</f>
        <v>56.318348985776751</v>
      </c>
      <c r="C1865" s="13">
        <v>63548</v>
      </c>
      <c r="D1865" s="13" t="s">
        <v>1954</v>
      </c>
      <c r="E1865" s="13" t="s">
        <v>473</v>
      </c>
      <c r="F1865" s="13" t="s">
        <v>474</v>
      </c>
      <c r="G1865" s="13" t="s">
        <v>1955</v>
      </c>
      <c r="K1865" t="s">
        <v>413</v>
      </c>
      <c r="L1865" s="81">
        <f>+Municipios!U762</f>
        <v>26.018913320805488</v>
      </c>
      <c r="M1865" s="13">
        <v>63548</v>
      </c>
      <c r="N1865" s="13" t="s">
        <v>1954</v>
      </c>
      <c r="O1865" s="13" t="s">
        <v>473</v>
      </c>
      <c r="P1865" s="13" t="s">
        <v>474</v>
      </c>
      <c r="Q1865" s="13" t="s">
        <v>1955</v>
      </c>
      <c r="T1865" t="s">
        <v>2804</v>
      </c>
      <c r="U1865" s="25">
        <f>+Municipios!P762</f>
        <v>56.318348985776751</v>
      </c>
      <c r="V1865" s="13">
        <v>63548</v>
      </c>
      <c r="W1865" s="13" t="s">
        <v>1954</v>
      </c>
      <c r="X1865" s="13" t="s">
        <v>473</v>
      </c>
      <c r="Y1865" s="13" t="s">
        <v>474</v>
      </c>
      <c r="Z1865" s="13" t="s">
        <v>1955</v>
      </c>
    </row>
    <row r="1866" spans="1:26">
      <c r="A1866" t="s">
        <v>412</v>
      </c>
      <c r="B1866" s="25">
        <f>+Municipios!P763</f>
        <v>68.067707612848778</v>
      </c>
      <c r="C1866" s="13">
        <v>23682</v>
      </c>
      <c r="D1866" s="13" t="s">
        <v>1956</v>
      </c>
      <c r="E1866" s="13" t="s">
        <v>567</v>
      </c>
      <c r="F1866" s="13" t="s">
        <v>568</v>
      </c>
      <c r="G1866" s="13" t="s">
        <v>1957</v>
      </c>
      <c r="K1866" t="s">
        <v>413</v>
      </c>
      <c r="L1866" s="81">
        <f>+Municipios!U763</f>
        <v>31.912829501365763</v>
      </c>
      <c r="M1866" s="13">
        <v>23682</v>
      </c>
      <c r="N1866" s="13" t="s">
        <v>1956</v>
      </c>
      <c r="O1866" s="13" t="s">
        <v>567</v>
      </c>
      <c r="P1866" s="13" t="s">
        <v>568</v>
      </c>
      <c r="Q1866" s="13" t="s">
        <v>1957</v>
      </c>
      <c r="T1866" t="s">
        <v>2804</v>
      </c>
      <c r="U1866" s="25">
        <f>+Municipios!P763</f>
        <v>68.067707612848778</v>
      </c>
      <c r="V1866" s="13">
        <v>23682</v>
      </c>
      <c r="W1866" s="13" t="s">
        <v>1956</v>
      </c>
      <c r="X1866" s="13" t="s">
        <v>567</v>
      </c>
      <c r="Y1866" s="13" t="s">
        <v>568</v>
      </c>
      <c r="Z1866" s="13" t="s">
        <v>1957</v>
      </c>
    </row>
    <row r="1867" spans="1:26">
      <c r="A1867" t="s">
        <v>412</v>
      </c>
      <c r="B1867" s="25">
        <f>+Municipios!P764</f>
        <v>31.650208320478413</v>
      </c>
      <c r="C1867" s="13">
        <v>47605</v>
      </c>
      <c r="D1867" s="13" t="s">
        <v>1958</v>
      </c>
      <c r="E1867" s="13" t="s">
        <v>638</v>
      </c>
      <c r="F1867" s="13" t="s">
        <v>639</v>
      </c>
      <c r="G1867" s="13" t="s">
        <v>1959</v>
      </c>
      <c r="K1867" t="s">
        <v>413</v>
      </c>
      <c r="L1867" s="81">
        <f>+Municipios!U764</f>
        <v>14.915802231110517</v>
      </c>
      <c r="M1867" s="13">
        <v>47605</v>
      </c>
      <c r="N1867" s="13" t="s">
        <v>1958</v>
      </c>
      <c r="O1867" s="13" t="s">
        <v>638</v>
      </c>
      <c r="P1867" s="13" t="s">
        <v>639</v>
      </c>
      <c r="Q1867" s="13" t="s">
        <v>1959</v>
      </c>
      <c r="T1867" t="s">
        <v>2804</v>
      </c>
      <c r="U1867" s="25">
        <f>+Municipios!P764</f>
        <v>31.650208320478413</v>
      </c>
      <c r="V1867" s="13">
        <v>47605</v>
      </c>
      <c r="W1867" s="13" t="s">
        <v>1958</v>
      </c>
      <c r="X1867" s="13" t="s">
        <v>638</v>
      </c>
      <c r="Y1867" s="13" t="s">
        <v>639</v>
      </c>
      <c r="Z1867" s="13" t="s">
        <v>1959</v>
      </c>
    </row>
    <row r="1868" spans="1:26">
      <c r="A1868" t="s">
        <v>412</v>
      </c>
      <c r="B1868" s="25">
        <f>+Municipios!P765</f>
        <v>56.126585483060502</v>
      </c>
      <c r="C1868" s="13">
        <v>5649</v>
      </c>
      <c r="D1868" s="13" t="s">
        <v>1960</v>
      </c>
      <c r="E1868" s="13" t="s">
        <v>435</v>
      </c>
      <c r="F1868" s="13" t="s">
        <v>436</v>
      </c>
      <c r="G1868" s="13" t="s">
        <v>1171</v>
      </c>
      <c r="K1868" t="s">
        <v>413</v>
      </c>
      <c r="L1868" s="81">
        <f>+Municipios!U765</f>
        <v>26.130932436684176</v>
      </c>
      <c r="M1868" s="13">
        <v>5649</v>
      </c>
      <c r="N1868" s="13" t="s">
        <v>1960</v>
      </c>
      <c r="O1868" s="13" t="s">
        <v>435</v>
      </c>
      <c r="P1868" s="13" t="s">
        <v>436</v>
      </c>
      <c r="Q1868" s="13" t="s">
        <v>1171</v>
      </c>
      <c r="T1868" t="s">
        <v>2804</v>
      </c>
      <c r="U1868" s="25">
        <f>+Municipios!P765</f>
        <v>56.126585483060502</v>
      </c>
      <c r="V1868" s="13">
        <v>5649</v>
      </c>
      <c r="W1868" s="13" t="s">
        <v>1960</v>
      </c>
      <c r="X1868" s="13" t="s">
        <v>435</v>
      </c>
      <c r="Y1868" s="13" t="s">
        <v>436</v>
      </c>
      <c r="Z1868" s="13" t="s">
        <v>1171</v>
      </c>
    </row>
    <row r="1869" spans="1:26">
      <c r="A1869" t="s">
        <v>412</v>
      </c>
      <c r="B1869" s="25">
        <f>+Municipios!P766</f>
        <v>64.278500376724153</v>
      </c>
      <c r="C1869" s="13">
        <v>54377</v>
      </c>
      <c r="D1869" s="13" t="s">
        <v>1961</v>
      </c>
      <c r="E1869" s="13" t="s">
        <v>517</v>
      </c>
      <c r="F1869" s="13" t="s">
        <v>518</v>
      </c>
      <c r="G1869" s="13" t="s">
        <v>1962</v>
      </c>
      <c r="K1869" t="s">
        <v>413</v>
      </c>
      <c r="L1869" s="81">
        <f>+Municipios!U766</f>
        <v>29.832333290049128</v>
      </c>
      <c r="M1869" s="13">
        <v>54377</v>
      </c>
      <c r="N1869" s="13" t="s">
        <v>1961</v>
      </c>
      <c r="O1869" s="13" t="s">
        <v>517</v>
      </c>
      <c r="P1869" s="13" t="s">
        <v>518</v>
      </c>
      <c r="Q1869" s="13" t="s">
        <v>1962</v>
      </c>
      <c r="T1869" t="s">
        <v>2804</v>
      </c>
      <c r="U1869" s="25">
        <f>+Municipios!P766</f>
        <v>64.278500376724153</v>
      </c>
      <c r="V1869" s="13">
        <v>54377</v>
      </c>
      <c r="W1869" s="13" t="s">
        <v>1961</v>
      </c>
      <c r="X1869" s="13" t="s">
        <v>517</v>
      </c>
      <c r="Y1869" s="13" t="s">
        <v>518</v>
      </c>
      <c r="Z1869" s="13" t="s">
        <v>1962</v>
      </c>
    </row>
    <row r="1870" spans="1:26">
      <c r="A1870" t="s">
        <v>412</v>
      </c>
      <c r="B1870" s="25">
        <f>+Municipios!P767</f>
        <v>43.839631691253871</v>
      </c>
      <c r="C1870" s="13">
        <v>5425</v>
      </c>
      <c r="D1870" s="13" t="s">
        <v>1963</v>
      </c>
      <c r="E1870" s="13" t="s">
        <v>435</v>
      </c>
      <c r="F1870" s="13" t="s">
        <v>436</v>
      </c>
      <c r="G1870" s="13" t="s">
        <v>1964</v>
      </c>
      <c r="K1870" t="s">
        <v>413</v>
      </c>
      <c r="L1870" s="81">
        <f>+Municipios!U767</f>
        <v>20.088870421593562</v>
      </c>
      <c r="M1870" s="13">
        <v>5425</v>
      </c>
      <c r="N1870" s="13" t="s">
        <v>1963</v>
      </c>
      <c r="O1870" s="13" t="s">
        <v>435</v>
      </c>
      <c r="P1870" s="13" t="s">
        <v>436</v>
      </c>
      <c r="Q1870" s="13" t="s">
        <v>1964</v>
      </c>
      <c r="T1870" t="s">
        <v>2804</v>
      </c>
      <c r="U1870" s="25">
        <f>+Municipios!P767</f>
        <v>43.839631691253871</v>
      </c>
      <c r="V1870" s="13">
        <v>5425</v>
      </c>
      <c r="W1870" s="13" t="s">
        <v>1963</v>
      </c>
      <c r="X1870" s="13" t="s">
        <v>435</v>
      </c>
      <c r="Y1870" s="13" t="s">
        <v>436</v>
      </c>
      <c r="Z1870" s="13" t="s">
        <v>1964</v>
      </c>
    </row>
    <row r="1871" spans="1:26">
      <c r="A1871" t="s">
        <v>412</v>
      </c>
      <c r="B1871" s="25">
        <f>+Municipios!P768</f>
        <v>59.117256407184897</v>
      </c>
      <c r="C1871" s="13">
        <v>17662</v>
      </c>
      <c r="D1871" s="13" t="s">
        <v>1965</v>
      </c>
      <c r="E1871" s="13" t="s">
        <v>506</v>
      </c>
      <c r="F1871" s="13" t="s">
        <v>507</v>
      </c>
      <c r="G1871" s="13" t="s">
        <v>1966</v>
      </c>
      <c r="K1871" t="s">
        <v>413</v>
      </c>
      <c r="L1871" s="81">
        <f>+Municipios!U768</f>
        <v>26.968700510043984</v>
      </c>
      <c r="M1871" s="13">
        <v>17662</v>
      </c>
      <c r="N1871" s="13" t="s">
        <v>1965</v>
      </c>
      <c r="O1871" s="13" t="s">
        <v>506</v>
      </c>
      <c r="P1871" s="13" t="s">
        <v>507</v>
      </c>
      <c r="Q1871" s="13" t="s">
        <v>1966</v>
      </c>
      <c r="T1871" t="s">
        <v>2804</v>
      </c>
      <c r="U1871" s="25">
        <f>+Municipios!P768</f>
        <v>59.117256407184897</v>
      </c>
      <c r="V1871" s="13">
        <v>17662</v>
      </c>
      <c r="W1871" s="13" t="s">
        <v>1965</v>
      </c>
      <c r="X1871" s="13" t="s">
        <v>506</v>
      </c>
      <c r="Y1871" s="13" t="s">
        <v>507</v>
      </c>
      <c r="Z1871" s="13" t="s">
        <v>1966</v>
      </c>
    </row>
    <row r="1872" spans="1:26">
      <c r="A1872" t="s">
        <v>412</v>
      </c>
      <c r="B1872" s="25">
        <f>+Municipios!P769</f>
        <v>53.509277941779231</v>
      </c>
      <c r="C1872" s="13">
        <v>68820</v>
      </c>
      <c r="D1872" s="13" t="s">
        <v>1967</v>
      </c>
      <c r="E1872" s="13" t="s">
        <v>431</v>
      </c>
      <c r="F1872" s="13" t="s">
        <v>432</v>
      </c>
      <c r="G1872" s="13" t="s">
        <v>1968</v>
      </c>
      <c r="K1872" t="s">
        <v>413</v>
      </c>
      <c r="L1872" s="81">
        <f>+Municipios!U769</f>
        <v>24.784123074570079</v>
      </c>
      <c r="M1872" s="13">
        <v>68820</v>
      </c>
      <c r="N1872" s="13" t="s">
        <v>1967</v>
      </c>
      <c r="O1872" s="13" t="s">
        <v>431</v>
      </c>
      <c r="P1872" s="13" t="s">
        <v>432</v>
      </c>
      <c r="Q1872" s="13" t="s">
        <v>1968</v>
      </c>
      <c r="T1872" t="s">
        <v>2804</v>
      </c>
      <c r="U1872" s="25">
        <f>+Municipios!P769</f>
        <v>53.509277941779231</v>
      </c>
      <c r="V1872" s="13">
        <v>68820</v>
      </c>
      <c r="W1872" s="13" t="s">
        <v>1967</v>
      </c>
      <c r="X1872" s="13" t="s">
        <v>431</v>
      </c>
      <c r="Y1872" s="13" t="s">
        <v>432</v>
      </c>
      <c r="Z1872" s="13" t="s">
        <v>1968</v>
      </c>
    </row>
    <row r="1873" spans="1:26">
      <c r="A1873" t="s">
        <v>412</v>
      </c>
      <c r="B1873" s="25">
        <f>+Municipios!P770</f>
        <v>54.627604097446827</v>
      </c>
      <c r="C1873" s="13">
        <v>68211</v>
      </c>
      <c r="D1873" s="13" t="s">
        <v>1969</v>
      </c>
      <c r="E1873" s="13" t="s">
        <v>431</v>
      </c>
      <c r="F1873" s="13" t="s">
        <v>432</v>
      </c>
      <c r="G1873" s="13" t="s">
        <v>1970</v>
      </c>
      <c r="K1873" t="s">
        <v>413</v>
      </c>
      <c r="L1873" s="81">
        <f>+Municipios!U770</f>
        <v>25.523701122738466</v>
      </c>
      <c r="M1873" s="13">
        <v>68211</v>
      </c>
      <c r="N1873" s="13" t="s">
        <v>1969</v>
      </c>
      <c r="O1873" s="13" t="s">
        <v>431</v>
      </c>
      <c r="P1873" s="13" t="s">
        <v>432</v>
      </c>
      <c r="Q1873" s="13" t="s">
        <v>1970</v>
      </c>
      <c r="T1873" t="s">
        <v>2804</v>
      </c>
      <c r="U1873" s="25">
        <f>+Municipios!P770</f>
        <v>54.627604097446827</v>
      </c>
      <c r="V1873" s="13">
        <v>68211</v>
      </c>
      <c r="W1873" s="13" t="s">
        <v>1969</v>
      </c>
      <c r="X1873" s="13" t="s">
        <v>431</v>
      </c>
      <c r="Y1873" s="13" t="s">
        <v>432</v>
      </c>
      <c r="Z1873" s="13" t="s">
        <v>1970</v>
      </c>
    </row>
    <row r="1874" spans="1:26">
      <c r="A1874" t="s">
        <v>412</v>
      </c>
      <c r="B1874" s="25">
        <f>+Municipios!P771</f>
        <v>61.366063107878603</v>
      </c>
      <c r="C1874" s="13">
        <v>73168</v>
      </c>
      <c r="D1874" s="13" t="s">
        <v>1971</v>
      </c>
      <c r="E1874" s="13" t="s">
        <v>595</v>
      </c>
      <c r="F1874" s="13" t="s">
        <v>596</v>
      </c>
      <c r="G1874" s="13" t="s">
        <v>1972</v>
      </c>
      <c r="K1874" t="s">
        <v>413</v>
      </c>
      <c r="L1874" s="81">
        <f>+Municipios!U771</f>
        <v>28.231272346015057</v>
      </c>
      <c r="M1874" s="13">
        <v>73168</v>
      </c>
      <c r="N1874" s="13" t="s">
        <v>1971</v>
      </c>
      <c r="O1874" s="13" t="s">
        <v>595</v>
      </c>
      <c r="P1874" s="13" t="s">
        <v>596</v>
      </c>
      <c r="Q1874" s="13" t="s">
        <v>1972</v>
      </c>
      <c r="T1874" t="s">
        <v>2804</v>
      </c>
      <c r="U1874" s="25">
        <f>+Municipios!P771</f>
        <v>61.366063107878603</v>
      </c>
      <c r="V1874" s="13">
        <v>73168</v>
      </c>
      <c r="W1874" s="13" t="s">
        <v>1971</v>
      </c>
      <c r="X1874" s="13" t="s">
        <v>595</v>
      </c>
      <c r="Y1874" s="13" t="s">
        <v>596</v>
      </c>
      <c r="Z1874" s="13" t="s">
        <v>1972</v>
      </c>
    </row>
    <row r="1875" spans="1:26">
      <c r="A1875" t="s">
        <v>412</v>
      </c>
      <c r="B1875" s="25">
        <f>+Municipios!P772</f>
        <v>53.03677511929704</v>
      </c>
      <c r="C1875" s="13">
        <v>47551</v>
      </c>
      <c r="D1875" s="13" t="s">
        <v>1973</v>
      </c>
      <c r="E1875" s="13" t="s">
        <v>638</v>
      </c>
      <c r="F1875" s="13" t="s">
        <v>639</v>
      </c>
      <c r="G1875" s="13" t="s">
        <v>1974</v>
      </c>
      <c r="K1875" t="s">
        <v>413</v>
      </c>
      <c r="L1875" s="81">
        <f>+Municipios!U772</f>
        <v>24.45402920978907</v>
      </c>
      <c r="M1875" s="13">
        <v>47551</v>
      </c>
      <c r="N1875" s="13" t="s">
        <v>1973</v>
      </c>
      <c r="O1875" s="13" t="s">
        <v>638</v>
      </c>
      <c r="P1875" s="13" t="s">
        <v>639</v>
      </c>
      <c r="Q1875" s="13" t="s">
        <v>1974</v>
      </c>
      <c r="T1875" t="s">
        <v>2804</v>
      </c>
      <c r="U1875" s="25">
        <f>+Municipios!P772</f>
        <v>53.03677511929704</v>
      </c>
      <c r="V1875" s="13">
        <v>47551</v>
      </c>
      <c r="W1875" s="13" t="s">
        <v>1973</v>
      </c>
      <c r="X1875" s="13" t="s">
        <v>638</v>
      </c>
      <c r="Y1875" s="13" t="s">
        <v>639</v>
      </c>
      <c r="Z1875" s="13" t="s">
        <v>1974</v>
      </c>
    </row>
    <row r="1876" spans="1:26">
      <c r="A1876" t="s">
        <v>412</v>
      </c>
      <c r="B1876" s="25">
        <f>+Municipios!P773</f>
        <v>56.041834998408333</v>
      </c>
      <c r="C1876" s="13">
        <v>15317</v>
      </c>
      <c r="D1876" s="13" t="s">
        <v>1975</v>
      </c>
      <c r="E1876" s="13" t="s">
        <v>498</v>
      </c>
      <c r="F1876" s="13" t="s">
        <v>499</v>
      </c>
      <c r="G1876" s="13" t="s">
        <v>1976</v>
      </c>
      <c r="K1876" t="s">
        <v>413</v>
      </c>
      <c r="L1876" s="81">
        <f>+Municipios!U773</f>
        <v>25.556610269703686</v>
      </c>
      <c r="M1876" s="13">
        <v>15317</v>
      </c>
      <c r="N1876" s="13" t="s">
        <v>1975</v>
      </c>
      <c r="O1876" s="13" t="s">
        <v>498</v>
      </c>
      <c r="P1876" s="13" t="s">
        <v>499</v>
      </c>
      <c r="Q1876" s="13" t="s">
        <v>1976</v>
      </c>
      <c r="T1876" t="s">
        <v>2804</v>
      </c>
      <c r="U1876" s="25">
        <f>+Municipios!P773</f>
        <v>56.041834998408333</v>
      </c>
      <c r="V1876" s="13">
        <v>15317</v>
      </c>
      <c r="W1876" s="13" t="s">
        <v>1975</v>
      </c>
      <c r="X1876" s="13" t="s">
        <v>498</v>
      </c>
      <c r="Y1876" s="13" t="s">
        <v>499</v>
      </c>
      <c r="Z1876" s="13" t="s">
        <v>1976</v>
      </c>
    </row>
    <row r="1877" spans="1:26">
      <c r="A1877" t="s">
        <v>412</v>
      </c>
      <c r="B1877" s="25">
        <f>+Municipios!P774</f>
        <v>65.940401696740551</v>
      </c>
      <c r="C1877" s="13">
        <v>50318</v>
      </c>
      <c r="D1877" s="13" t="s">
        <v>1977</v>
      </c>
      <c r="E1877" s="13" t="s">
        <v>605</v>
      </c>
      <c r="F1877" s="13" t="s">
        <v>606</v>
      </c>
      <c r="G1877" s="13" t="s">
        <v>1498</v>
      </c>
      <c r="K1877" t="s">
        <v>413</v>
      </c>
      <c r="L1877" s="81">
        <f>+Municipios!U774</f>
        <v>30.118888167280918</v>
      </c>
      <c r="M1877" s="13">
        <v>50318</v>
      </c>
      <c r="N1877" s="13" t="s">
        <v>1977</v>
      </c>
      <c r="O1877" s="13" t="s">
        <v>605</v>
      </c>
      <c r="P1877" s="13" t="s">
        <v>606</v>
      </c>
      <c r="Q1877" s="13" t="s">
        <v>1498</v>
      </c>
      <c r="T1877" t="s">
        <v>2804</v>
      </c>
      <c r="U1877" s="25">
        <f>+Municipios!P774</f>
        <v>65.940401696740551</v>
      </c>
      <c r="V1877" s="13">
        <v>50318</v>
      </c>
      <c r="W1877" s="13" t="s">
        <v>1977</v>
      </c>
      <c r="X1877" s="13" t="s">
        <v>605</v>
      </c>
      <c r="Y1877" s="13" t="s">
        <v>606</v>
      </c>
      <c r="Z1877" s="13" t="s">
        <v>1498</v>
      </c>
    </row>
    <row r="1878" spans="1:26">
      <c r="A1878" t="s">
        <v>412</v>
      </c>
      <c r="B1878" s="25">
        <f>+Municipios!P775</f>
        <v>66.615622659691468</v>
      </c>
      <c r="C1878" s="13">
        <v>15790</v>
      </c>
      <c r="D1878" s="13" t="s">
        <v>1978</v>
      </c>
      <c r="E1878" s="13" t="s">
        <v>498</v>
      </c>
      <c r="F1878" s="13" t="s">
        <v>499</v>
      </c>
      <c r="G1878" s="13" t="s">
        <v>1979</v>
      </c>
      <c r="K1878" t="s">
        <v>413</v>
      </c>
      <c r="L1878" s="81">
        <f>+Municipios!U775</f>
        <v>30.573499670430742</v>
      </c>
      <c r="M1878" s="13">
        <v>15790</v>
      </c>
      <c r="N1878" s="13" t="s">
        <v>1978</v>
      </c>
      <c r="O1878" s="13" t="s">
        <v>498</v>
      </c>
      <c r="P1878" s="13" t="s">
        <v>499</v>
      </c>
      <c r="Q1878" s="13" t="s">
        <v>1979</v>
      </c>
      <c r="T1878" t="s">
        <v>2804</v>
      </c>
      <c r="U1878" s="25">
        <f>+Municipios!P775</f>
        <v>66.615622659691468</v>
      </c>
      <c r="V1878" s="13">
        <v>15790</v>
      </c>
      <c r="W1878" s="13" t="s">
        <v>1978</v>
      </c>
      <c r="X1878" s="13" t="s">
        <v>498</v>
      </c>
      <c r="Y1878" s="13" t="s">
        <v>499</v>
      </c>
      <c r="Z1878" s="13" t="s">
        <v>1979</v>
      </c>
    </row>
    <row r="1879" spans="1:26">
      <c r="A1879" t="s">
        <v>412</v>
      </c>
      <c r="B1879" s="25">
        <f>+Municipios!P776</f>
        <v>55.730752199864803</v>
      </c>
      <c r="C1879" s="13">
        <v>41357</v>
      </c>
      <c r="D1879" s="13" t="s">
        <v>1980</v>
      </c>
      <c r="E1879" s="13" t="s">
        <v>676</v>
      </c>
      <c r="F1879" s="13" t="s">
        <v>677</v>
      </c>
      <c r="G1879" s="13" t="s">
        <v>1981</v>
      </c>
      <c r="K1879" t="s">
        <v>413</v>
      </c>
      <c r="L1879" s="81">
        <f>+Municipios!U776</f>
        <v>25.650429744857501</v>
      </c>
      <c r="M1879" s="13">
        <v>41357</v>
      </c>
      <c r="N1879" s="13" t="s">
        <v>1980</v>
      </c>
      <c r="O1879" s="13" t="s">
        <v>676</v>
      </c>
      <c r="P1879" s="13" t="s">
        <v>677</v>
      </c>
      <c r="Q1879" s="13" t="s">
        <v>1981</v>
      </c>
      <c r="T1879" t="s">
        <v>2804</v>
      </c>
      <c r="U1879" s="25">
        <f>+Municipios!P776</f>
        <v>55.730752199864803</v>
      </c>
      <c r="V1879" s="13">
        <v>41357</v>
      </c>
      <c r="W1879" s="13" t="s">
        <v>1980</v>
      </c>
      <c r="X1879" s="13" t="s">
        <v>676</v>
      </c>
      <c r="Y1879" s="13" t="s">
        <v>677</v>
      </c>
      <c r="Z1879" s="13" t="s">
        <v>1981</v>
      </c>
    </row>
    <row r="1880" spans="1:26">
      <c r="A1880" t="s">
        <v>412</v>
      </c>
      <c r="B1880" s="25">
        <f>+Municipios!P777</f>
        <v>44.871906292405995</v>
      </c>
      <c r="C1880" s="13">
        <v>5790</v>
      </c>
      <c r="D1880" s="13" t="s">
        <v>1982</v>
      </c>
      <c r="E1880" s="13" t="s">
        <v>435</v>
      </c>
      <c r="F1880" s="13" t="s">
        <v>436</v>
      </c>
      <c r="G1880" s="13" t="s">
        <v>1983</v>
      </c>
      <c r="K1880" t="s">
        <v>413</v>
      </c>
      <c r="L1880" s="81">
        <f>+Municipios!U777</f>
        <v>20.766181381401104</v>
      </c>
      <c r="M1880" s="13">
        <v>5790</v>
      </c>
      <c r="N1880" s="13" t="s">
        <v>1982</v>
      </c>
      <c r="O1880" s="13" t="s">
        <v>435</v>
      </c>
      <c r="P1880" s="13" t="s">
        <v>436</v>
      </c>
      <c r="Q1880" s="13" t="s">
        <v>1983</v>
      </c>
      <c r="T1880" t="s">
        <v>2804</v>
      </c>
      <c r="U1880" s="25">
        <f>+Municipios!P777</f>
        <v>44.871906292405995</v>
      </c>
      <c r="V1880" s="13">
        <v>5790</v>
      </c>
      <c r="W1880" s="13" t="s">
        <v>1982</v>
      </c>
      <c r="X1880" s="13" t="s">
        <v>435</v>
      </c>
      <c r="Y1880" s="13" t="s">
        <v>436</v>
      </c>
      <c r="Z1880" s="13" t="s">
        <v>1983</v>
      </c>
    </row>
    <row r="1881" spans="1:26">
      <c r="A1881" t="s">
        <v>412</v>
      </c>
      <c r="B1881" s="25">
        <f>+Municipios!P778</f>
        <v>55.004577036329565</v>
      </c>
      <c r="C1881" s="13">
        <v>68169</v>
      </c>
      <c r="D1881" s="13" t="s">
        <v>1984</v>
      </c>
      <c r="E1881" s="13" t="s">
        <v>431</v>
      </c>
      <c r="F1881" s="13" t="s">
        <v>432</v>
      </c>
      <c r="G1881" s="13" t="s">
        <v>1985</v>
      </c>
      <c r="K1881" t="s">
        <v>413</v>
      </c>
      <c r="L1881" s="81">
        <f>+Municipios!U778</f>
        <v>25.707848144514752</v>
      </c>
      <c r="M1881" s="13">
        <v>68169</v>
      </c>
      <c r="N1881" s="13" t="s">
        <v>1984</v>
      </c>
      <c r="O1881" s="13" t="s">
        <v>431</v>
      </c>
      <c r="P1881" s="13" t="s">
        <v>432</v>
      </c>
      <c r="Q1881" s="13" t="s">
        <v>1985</v>
      </c>
      <c r="T1881" t="s">
        <v>2804</v>
      </c>
      <c r="U1881" s="25">
        <f>+Municipios!P778</f>
        <v>55.004577036329565</v>
      </c>
      <c r="V1881" s="13">
        <v>68169</v>
      </c>
      <c r="W1881" s="13" t="s">
        <v>1984</v>
      </c>
      <c r="X1881" s="13" t="s">
        <v>431</v>
      </c>
      <c r="Y1881" s="13" t="s">
        <v>432</v>
      </c>
      <c r="Z1881" s="13" t="s">
        <v>1985</v>
      </c>
    </row>
    <row r="1882" spans="1:26">
      <c r="A1882" t="s">
        <v>412</v>
      </c>
      <c r="B1882" s="25">
        <f>+Municipios!P779</f>
        <v>50.528931109114396</v>
      </c>
      <c r="C1882" s="13">
        <v>5495</v>
      </c>
      <c r="D1882" s="13" t="s">
        <v>1986</v>
      </c>
      <c r="E1882" s="13" t="s">
        <v>435</v>
      </c>
      <c r="F1882" s="13" t="s">
        <v>436</v>
      </c>
      <c r="G1882" s="13" t="s">
        <v>1987</v>
      </c>
      <c r="K1882" t="s">
        <v>413</v>
      </c>
      <c r="L1882" s="81">
        <f>+Municipios!U779</f>
        <v>23.46028261322698</v>
      </c>
      <c r="M1882" s="13">
        <v>5495</v>
      </c>
      <c r="N1882" s="13" t="s">
        <v>1986</v>
      </c>
      <c r="O1882" s="13" t="s">
        <v>435</v>
      </c>
      <c r="P1882" s="13" t="s">
        <v>436</v>
      </c>
      <c r="Q1882" s="13" t="s">
        <v>1987</v>
      </c>
      <c r="T1882" t="s">
        <v>2804</v>
      </c>
      <c r="U1882" s="25">
        <f>+Municipios!P779</f>
        <v>50.528931109114396</v>
      </c>
      <c r="V1882" s="13">
        <v>5495</v>
      </c>
      <c r="W1882" s="13" t="s">
        <v>1986</v>
      </c>
      <c r="X1882" s="13" t="s">
        <v>435</v>
      </c>
      <c r="Y1882" s="13" t="s">
        <v>436</v>
      </c>
      <c r="Z1882" s="13" t="s">
        <v>1987</v>
      </c>
    </row>
    <row r="1883" spans="1:26">
      <c r="A1883" t="s">
        <v>412</v>
      </c>
      <c r="B1883" s="25">
        <f>+Municipios!P780</f>
        <v>64.442319059711423</v>
      </c>
      <c r="C1883" s="13">
        <v>54250</v>
      </c>
      <c r="D1883" s="13" t="s">
        <v>1988</v>
      </c>
      <c r="E1883" s="13" t="s">
        <v>517</v>
      </c>
      <c r="F1883" s="13" t="s">
        <v>518</v>
      </c>
      <c r="G1883" s="13" t="s">
        <v>1989</v>
      </c>
      <c r="K1883" t="s">
        <v>413</v>
      </c>
      <c r="L1883" s="81">
        <f>+Municipios!U780</f>
        <v>30.310469219542224</v>
      </c>
      <c r="M1883" s="13">
        <v>54250</v>
      </c>
      <c r="N1883" s="13" t="s">
        <v>1988</v>
      </c>
      <c r="O1883" s="13" t="s">
        <v>517</v>
      </c>
      <c r="P1883" s="13" t="s">
        <v>518</v>
      </c>
      <c r="Q1883" s="13" t="s">
        <v>1989</v>
      </c>
      <c r="T1883" t="s">
        <v>2804</v>
      </c>
      <c r="U1883" s="25">
        <f>+Municipios!P780</f>
        <v>64.442319059711423</v>
      </c>
      <c r="V1883" s="13">
        <v>54250</v>
      </c>
      <c r="W1883" s="13" t="s">
        <v>1988</v>
      </c>
      <c r="X1883" s="13" t="s">
        <v>517</v>
      </c>
      <c r="Y1883" s="13" t="s">
        <v>518</v>
      </c>
      <c r="Z1883" s="13" t="s">
        <v>1989</v>
      </c>
    </row>
    <row r="1884" spans="1:26">
      <c r="A1884" t="s">
        <v>412</v>
      </c>
      <c r="B1884" s="25">
        <f>+Municipios!P781</f>
        <v>51.247804992374462</v>
      </c>
      <c r="C1884" s="13">
        <v>73770</v>
      </c>
      <c r="D1884" s="13" t="s">
        <v>1990</v>
      </c>
      <c r="E1884" s="13" t="s">
        <v>595</v>
      </c>
      <c r="F1884" s="13" t="s">
        <v>596</v>
      </c>
      <c r="G1884" s="13" t="s">
        <v>1087</v>
      </c>
      <c r="K1884" t="s">
        <v>413</v>
      </c>
      <c r="L1884" s="81">
        <f>+Municipios!U781</f>
        <v>23.636799681945224</v>
      </c>
      <c r="M1884" s="13">
        <v>73770</v>
      </c>
      <c r="N1884" s="13" t="s">
        <v>1990</v>
      </c>
      <c r="O1884" s="13" t="s">
        <v>595</v>
      </c>
      <c r="P1884" s="13" t="s">
        <v>596</v>
      </c>
      <c r="Q1884" s="13" t="s">
        <v>1087</v>
      </c>
      <c r="T1884" t="s">
        <v>2804</v>
      </c>
      <c r="U1884" s="25">
        <f>+Municipios!P781</f>
        <v>51.247804992374462</v>
      </c>
      <c r="V1884" s="13">
        <v>73770</v>
      </c>
      <c r="W1884" s="13" t="s">
        <v>1990</v>
      </c>
      <c r="X1884" s="13" t="s">
        <v>595</v>
      </c>
      <c r="Y1884" s="13" t="s">
        <v>596</v>
      </c>
      <c r="Z1884" s="13" t="s">
        <v>1087</v>
      </c>
    </row>
    <row r="1885" spans="1:26">
      <c r="A1885" t="s">
        <v>412</v>
      </c>
      <c r="B1885" s="25">
        <f>+Municipios!P782</f>
        <v>49.188875561765094</v>
      </c>
      <c r="C1885" s="13">
        <v>52405</v>
      </c>
      <c r="D1885" s="13" t="s">
        <v>1991</v>
      </c>
      <c r="E1885" s="13" t="s">
        <v>672</v>
      </c>
      <c r="F1885" s="13" t="s">
        <v>673</v>
      </c>
      <c r="G1885" s="13" t="s">
        <v>1992</v>
      </c>
      <c r="K1885" t="s">
        <v>413</v>
      </c>
      <c r="L1885" s="81">
        <f>+Municipios!U782</f>
        <v>22.509220831783086</v>
      </c>
      <c r="M1885" s="13">
        <v>52405</v>
      </c>
      <c r="N1885" s="13" t="s">
        <v>1991</v>
      </c>
      <c r="O1885" s="13" t="s">
        <v>672</v>
      </c>
      <c r="P1885" s="13" t="s">
        <v>673</v>
      </c>
      <c r="Q1885" s="13" t="s">
        <v>1992</v>
      </c>
      <c r="T1885" t="s">
        <v>2804</v>
      </c>
      <c r="U1885" s="25">
        <f>+Municipios!P782</f>
        <v>49.188875561765094</v>
      </c>
      <c r="V1885" s="13">
        <v>52405</v>
      </c>
      <c r="W1885" s="13" t="s">
        <v>1991</v>
      </c>
      <c r="X1885" s="13" t="s">
        <v>672</v>
      </c>
      <c r="Y1885" s="13" t="s">
        <v>673</v>
      </c>
      <c r="Z1885" s="13" t="s">
        <v>1992</v>
      </c>
    </row>
    <row r="1886" spans="1:26">
      <c r="A1886" t="s">
        <v>412</v>
      </c>
      <c r="B1886" s="25">
        <f>+Municipios!P783</f>
        <v>52.172291777162037</v>
      </c>
      <c r="C1886" s="13">
        <v>23580</v>
      </c>
      <c r="D1886" s="13" t="s">
        <v>1993</v>
      </c>
      <c r="E1886" s="13" t="s">
        <v>567</v>
      </c>
      <c r="F1886" s="13" t="s">
        <v>568</v>
      </c>
      <c r="G1886" s="13" t="s">
        <v>1994</v>
      </c>
      <c r="K1886" t="s">
        <v>413</v>
      </c>
      <c r="L1886" s="81">
        <f>+Municipios!U783</f>
        <v>24.082705017863383</v>
      </c>
      <c r="M1886" s="13">
        <v>23580</v>
      </c>
      <c r="N1886" s="13" t="s">
        <v>1993</v>
      </c>
      <c r="O1886" s="13" t="s">
        <v>567</v>
      </c>
      <c r="P1886" s="13" t="s">
        <v>568</v>
      </c>
      <c r="Q1886" s="13" t="s">
        <v>1994</v>
      </c>
      <c r="T1886" t="s">
        <v>2804</v>
      </c>
      <c r="U1886" s="25">
        <f>+Municipios!P783</f>
        <v>52.172291777162037</v>
      </c>
      <c r="V1886" s="13">
        <v>23580</v>
      </c>
      <c r="W1886" s="13" t="s">
        <v>1993</v>
      </c>
      <c r="X1886" s="13" t="s">
        <v>567</v>
      </c>
      <c r="Y1886" s="13" t="s">
        <v>568</v>
      </c>
      <c r="Z1886" s="13" t="s">
        <v>1994</v>
      </c>
    </row>
    <row r="1887" spans="1:26">
      <c r="A1887" t="s">
        <v>412</v>
      </c>
      <c r="B1887" s="25">
        <f>+Municipios!P784</f>
        <v>59.294230849268089</v>
      </c>
      <c r="C1887" s="13">
        <v>19050</v>
      </c>
      <c r="D1887" s="13" t="s">
        <v>1995</v>
      </c>
      <c r="E1887" s="13" t="s">
        <v>557</v>
      </c>
      <c r="F1887" s="13" t="s">
        <v>558</v>
      </c>
      <c r="G1887" s="13" t="s">
        <v>1236</v>
      </c>
      <c r="K1887" t="s">
        <v>413</v>
      </c>
      <c r="L1887" s="81">
        <f>+Municipios!U784</f>
        <v>27.207767297507484</v>
      </c>
      <c r="M1887" s="13">
        <v>19050</v>
      </c>
      <c r="N1887" s="13" t="s">
        <v>1995</v>
      </c>
      <c r="O1887" s="13" t="s">
        <v>557</v>
      </c>
      <c r="P1887" s="13" t="s">
        <v>558</v>
      </c>
      <c r="Q1887" s="13" t="s">
        <v>1236</v>
      </c>
      <c r="T1887" t="s">
        <v>2804</v>
      </c>
      <c r="U1887" s="25">
        <f>+Municipios!P784</f>
        <v>59.294230849268089</v>
      </c>
      <c r="V1887" s="13">
        <v>19050</v>
      </c>
      <c r="W1887" s="13" t="s">
        <v>1995</v>
      </c>
      <c r="X1887" s="13" t="s">
        <v>557</v>
      </c>
      <c r="Y1887" s="13" t="s">
        <v>558</v>
      </c>
      <c r="Z1887" s="13" t="s">
        <v>1236</v>
      </c>
    </row>
    <row r="1888" spans="1:26">
      <c r="A1888" t="s">
        <v>412</v>
      </c>
      <c r="B1888" s="25">
        <f>+Municipios!P785</f>
        <v>46.79332850623868</v>
      </c>
      <c r="C1888" s="13">
        <v>68444</v>
      </c>
      <c r="D1888" s="13" t="s">
        <v>1996</v>
      </c>
      <c r="E1888" s="13" t="s">
        <v>431</v>
      </c>
      <c r="F1888" s="13" t="s">
        <v>432</v>
      </c>
      <c r="G1888" s="13" t="s">
        <v>1997</v>
      </c>
      <c r="K1888" t="s">
        <v>413</v>
      </c>
      <c r="L1888" s="81">
        <f>+Municipios!U785</f>
        <v>21.74331659326814</v>
      </c>
      <c r="M1888" s="13">
        <v>68444</v>
      </c>
      <c r="N1888" s="13" t="s">
        <v>1996</v>
      </c>
      <c r="O1888" s="13" t="s">
        <v>431</v>
      </c>
      <c r="P1888" s="13" t="s">
        <v>432</v>
      </c>
      <c r="Q1888" s="13" t="s">
        <v>1997</v>
      </c>
      <c r="T1888" t="s">
        <v>2804</v>
      </c>
      <c r="U1888" s="25">
        <f>+Municipios!P785</f>
        <v>46.79332850623868</v>
      </c>
      <c r="V1888" s="13">
        <v>68444</v>
      </c>
      <c r="W1888" s="13" t="s">
        <v>1996</v>
      </c>
      <c r="X1888" s="13" t="s">
        <v>431</v>
      </c>
      <c r="Y1888" s="13" t="s">
        <v>432</v>
      </c>
      <c r="Z1888" s="13" t="s">
        <v>1997</v>
      </c>
    </row>
    <row r="1889" spans="1:26">
      <c r="A1889" t="s">
        <v>412</v>
      </c>
      <c r="B1889" s="25">
        <f>+Municipios!P786</f>
        <v>55.843923202573052</v>
      </c>
      <c r="C1889" s="13">
        <v>68575</v>
      </c>
      <c r="D1889" s="13" t="s">
        <v>1998</v>
      </c>
      <c r="E1889" s="13" t="s">
        <v>431</v>
      </c>
      <c r="F1889" s="13" t="s">
        <v>432</v>
      </c>
      <c r="G1889" s="13" t="s">
        <v>1999</v>
      </c>
      <c r="K1889" t="s">
        <v>413</v>
      </c>
      <c r="L1889" s="81">
        <f>+Municipios!U786</f>
        <v>25.844165701385922</v>
      </c>
      <c r="M1889" s="13">
        <v>68575</v>
      </c>
      <c r="N1889" s="13" t="s">
        <v>1998</v>
      </c>
      <c r="O1889" s="13" t="s">
        <v>431</v>
      </c>
      <c r="P1889" s="13" t="s">
        <v>432</v>
      </c>
      <c r="Q1889" s="13" t="s">
        <v>1999</v>
      </c>
      <c r="T1889" t="s">
        <v>2804</v>
      </c>
      <c r="U1889" s="25">
        <f>+Municipios!P786</f>
        <v>55.843923202573052</v>
      </c>
      <c r="V1889" s="13">
        <v>68575</v>
      </c>
      <c r="W1889" s="13" t="s">
        <v>1998</v>
      </c>
      <c r="X1889" s="13" t="s">
        <v>431</v>
      </c>
      <c r="Y1889" s="13" t="s">
        <v>432</v>
      </c>
      <c r="Z1889" s="13" t="s">
        <v>1999</v>
      </c>
    </row>
    <row r="1890" spans="1:26">
      <c r="A1890" t="s">
        <v>412</v>
      </c>
      <c r="B1890" s="25">
        <f>+Municipios!P787</f>
        <v>50.769670907568575</v>
      </c>
      <c r="C1890" s="13">
        <v>68867</v>
      </c>
      <c r="D1890" s="13" t="s">
        <v>2000</v>
      </c>
      <c r="E1890" s="13" t="s">
        <v>431</v>
      </c>
      <c r="F1890" s="13" t="s">
        <v>432</v>
      </c>
      <c r="G1890" s="13" t="s">
        <v>2001</v>
      </c>
      <c r="K1890" t="s">
        <v>413</v>
      </c>
      <c r="L1890" s="81">
        <f>+Municipios!U787</f>
        <v>23.205046329785688</v>
      </c>
      <c r="M1890" s="13">
        <v>68867</v>
      </c>
      <c r="N1890" s="13" t="s">
        <v>2000</v>
      </c>
      <c r="O1890" s="13" t="s">
        <v>431</v>
      </c>
      <c r="P1890" s="13" t="s">
        <v>432</v>
      </c>
      <c r="Q1890" s="13" t="s">
        <v>2001</v>
      </c>
      <c r="T1890" t="s">
        <v>2804</v>
      </c>
      <c r="U1890" s="25">
        <f>+Municipios!P787</f>
        <v>50.769670907568575</v>
      </c>
      <c r="V1890" s="13">
        <v>68867</v>
      </c>
      <c r="W1890" s="13" t="s">
        <v>2000</v>
      </c>
      <c r="X1890" s="13" t="s">
        <v>431</v>
      </c>
      <c r="Y1890" s="13" t="s">
        <v>432</v>
      </c>
      <c r="Z1890" s="13" t="s">
        <v>2001</v>
      </c>
    </row>
    <row r="1891" spans="1:26">
      <c r="A1891" t="s">
        <v>412</v>
      </c>
      <c r="B1891" s="25">
        <f>+Municipios!P788</f>
        <v>61.064908010588503</v>
      </c>
      <c r="C1891" s="13">
        <v>15542</v>
      </c>
      <c r="D1891" s="13" t="s">
        <v>2002</v>
      </c>
      <c r="E1891" s="13" t="s">
        <v>498</v>
      </c>
      <c r="F1891" s="13" t="s">
        <v>499</v>
      </c>
      <c r="G1891" s="13" t="s">
        <v>2003</v>
      </c>
      <c r="K1891" t="s">
        <v>413</v>
      </c>
      <c r="L1891" s="81">
        <f>+Municipios!U788</f>
        <v>27.91295697216956</v>
      </c>
      <c r="M1891" s="13">
        <v>15542</v>
      </c>
      <c r="N1891" s="13" t="s">
        <v>2002</v>
      </c>
      <c r="O1891" s="13" t="s">
        <v>498</v>
      </c>
      <c r="P1891" s="13" t="s">
        <v>499</v>
      </c>
      <c r="Q1891" s="13" t="s">
        <v>2003</v>
      </c>
      <c r="T1891" t="s">
        <v>2804</v>
      </c>
      <c r="U1891" s="25">
        <f>+Municipios!P788</f>
        <v>61.064908010588503</v>
      </c>
      <c r="V1891" s="13">
        <v>15542</v>
      </c>
      <c r="W1891" s="13" t="s">
        <v>2002</v>
      </c>
      <c r="X1891" s="13" t="s">
        <v>498</v>
      </c>
      <c r="Y1891" s="13" t="s">
        <v>499</v>
      </c>
      <c r="Z1891" s="13" t="s">
        <v>2003</v>
      </c>
    </row>
    <row r="1892" spans="1:26">
      <c r="A1892" t="s">
        <v>412</v>
      </c>
      <c r="B1892" s="25">
        <f>+Municipios!P789</f>
        <v>54.674789383895828</v>
      </c>
      <c r="C1892" s="13">
        <v>68013</v>
      </c>
      <c r="D1892" s="13" t="s">
        <v>2004</v>
      </c>
      <c r="E1892" s="13" t="s">
        <v>431</v>
      </c>
      <c r="F1892" s="13" t="s">
        <v>432</v>
      </c>
      <c r="G1892" s="13" t="s">
        <v>2005</v>
      </c>
      <c r="K1892" t="s">
        <v>413</v>
      </c>
      <c r="L1892" s="81">
        <f>+Municipios!U789</f>
        <v>24.799528816641399</v>
      </c>
      <c r="M1892" s="13">
        <v>68013</v>
      </c>
      <c r="N1892" s="13" t="s">
        <v>2004</v>
      </c>
      <c r="O1892" s="13" t="s">
        <v>431</v>
      </c>
      <c r="P1892" s="13" t="s">
        <v>432</v>
      </c>
      <c r="Q1892" s="13" t="s">
        <v>2005</v>
      </c>
      <c r="T1892" t="s">
        <v>2804</v>
      </c>
      <c r="U1892" s="25">
        <f>+Municipios!P789</f>
        <v>54.674789383895828</v>
      </c>
      <c r="V1892" s="13">
        <v>68013</v>
      </c>
      <c r="W1892" s="13" t="s">
        <v>2004</v>
      </c>
      <c r="X1892" s="13" t="s">
        <v>431</v>
      </c>
      <c r="Y1892" s="13" t="s">
        <v>432</v>
      </c>
      <c r="Z1892" s="13" t="s">
        <v>2005</v>
      </c>
    </row>
    <row r="1893" spans="1:26">
      <c r="A1893" t="s">
        <v>412</v>
      </c>
      <c r="B1893" s="25">
        <f>+Municipios!P790</f>
        <v>60.299810369775869</v>
      </c>
      <c r="C1893" s="13">
        <v>27787</v>
      </c>
      <c r="D1893" s="13" t="s">
        <v>2006</v>
      </c>
      <c r="E1893" s="13" t="s">
        <v>1714</v>
      </c>
      <c r="F1893" s="13" t="s">
        <v>1715</v>
      </c>
      <c r="G1893" s="13" t="s">
        <v>2007</v>
      </c>
      <c r="K1893" t="s">
        <v>413</v>
      </c>
      <c r="L1893" s="81">
        <f>+Municipios!U790</f>
        <v>27.563664937095492</v>
      </c>
      <c r="M1893" s="13">
        <v>27787</v>
      </c>
      <c r="N1893" s="13" t="s">
        <v>2006</v>
      </c>
      <c r="O1893" s="13" t="s">
        <v>1714</v>
      </c>
      <c r="P1893" s="13" t="s">
        <v>1715</v>
      </c>
      <c r="Q1893" s="13" t="s">
        <v>2007</v>
      </c>
      <c r="T1893" t="s">
        <v>2804</v>
      </c>
      <c r="U1893" s="25">
        <f>+Municipios!P790</f>
        <v>60.299810369775869</v>
      </c>
      <c r="V1893" s="13">
        <v>27787</v>
      </c>
      <c r="W1893" s="13" t="s">
        <v>2006</v>
      </c>
      <c r="X1893" s="13" t="s">
        <v>1714</v>
      </c>
      <c r="Y1893" s="13" t="s">
        <v>1715</v>
      </c>
      <c r="Z1893" s="13" t="s">
        <v>2007</v>
      </c>
    </row>
    <row r="1894" spans="1:26">
      <c r="A1894" t="s">
        <v>412</v>
      </c>
      <c r="B1894" s="25">
        <f>+Municipios!P791</f>
        <v>60.919145333578911</v>
      </c>
      <c r="C1894" s="13">
        <v>15822</v>
      </c>
      <c r="D1894" s="13" t="s">
        <v>2008</v>
      </c>
      <c r="E1894" s="13" t="s">
        <v>498</v>
      </c>
      <c r="F1894" s="13" t="s">
        <v>499</v>
      </c>
      <c r="G1894" s="13" t="s">
        <v>2009</v>
      </c>
      <c r="K1894" t="s">
        <v>413</v>
      </c>
      <c r="L1894" s="81">
        <f>+Municipios!U791</f>
        <v>27.622523781381133</v>
      </c>
      <c r="M1894" s="13">
        <v>15822</v>
      </c>
      <c r="N1894" s="13" t="s">
        <v>2008</v>
      </c>
      <c r="O1894" s="13" t="s">
        <v>498</v>
      </c>
      <c r="P1894" s="13" t="s">
        <v>499</v>
      </c>
      <c r="Q1894" s="13" t="s">
        <v>2009</v>
      </c>
      <c r="T1894" t="s">
        <v>2804</v>
      </c>
      <c r="U1894" s="25">
        <f>+Municipios!P791</f>
        <v>60.919145333578911</v>
      </c>
      <c r="V1894" s="13">
        <v>15822</v>
      </c>
      <c r="W1894" s="13" t="s">
        <v>2008</v>
      </c>
      <c r="X1894" s="13" t="s">
        <v>498</v>
      </c>
      <c r="Y1894" s="13" t="s">
        <v>499</v>
      </c>
      <c r="Z1894" s="13" t="s">
        <v>2009</v>
      </c>
    </row>
    <row r="1895" spans="1:26">
      <c r="A1895" t="s">
        <v>412</v>
      </c>
      <c r="B1895" s="25">
        <f>+Municipios!P792</f>
        <v>74.171300293578412</v>
      </c>
      <c r="C1895" s="13">
        <v>85010</v>
      </c>
      <c r="D1895" s="13" t="s">
        <v>2010</v>
      </c>
      <c r="E1895" s="13" t="s">
        <v>1351</v>
      </c>
      <c r="F1895" s="13" t="s">
        <v>1352</v>
      </c>
      <c r="G1895" s="13" t="s">
        <v>2011</v>
      </c>
      <c r="K1895" t="s">
        <v>413</v>
      </c>
      <c r="L1895" s="81">
        <f>+Municipios!U792</f>
        <v>33.71607640826165</v>
      </c>
      <c r="M1895" s="13">
        <v>85010</v>
      </c>
      <c r="N1895" s="13" t="s">
        <v>2010</v>
      </c>
      <c r="O1895" s="13" t="s">
        <v>1351</v>
      </c>
      <c r="P1895" s="13" t="s">
        <v>1352</v>
      </c>
      <c r="Q1895" s="13" t="s">
        <v>2011</v>
      </c>
      <c r="T1895" t="s">
        <v>2804</v>
      </c>
      <c r="U1895" s="25">
        <f>+Municipios!P792</f>
        <v>74.171300293578412</v>
      </c>
      <c r="V1895" s="13">
        <v>85010</v>
      </c>
      <c r="W1895" s="13" t="s">
        <v>2010</v>
      </c>
      <c r="X1895" s="13" t="s">
        <v>1351</v>
      </c>
      <c r="Y1895" s="13" t="s">
        <v>1352</v>
      </c>
      <c r="Z1895" s="13" t="s">
        <v>2011</v>
      </c>
    </row>
    <row r="1896" spans="1:26">
      <c r="A1896" t="s">
        <v>412</v>
      </c>
      <c r="B1896" s="25">
        <f>+Municipios!P793</f>
        <v>57.381100531471176</v>
      </c>
      <c r="C1896" s="13">
        <v>15580</v>
      </c>
      <c r="D1896" s="13" t="s">
        <v>2012</v>
      </c>
      <c r="E1896" s="13" t="s">
        <v>498</v>
      </c>
      <c r="F1896" s="13" t="s">
        <v>499</v>
      </c>
      <c r="G1896" s="13" t="s">
        <v>2013</v>
      </c>
      <c r="K1896" t="s">
        <v>413</v>
      </c>
      <c r="L1896" s="81">
        <f>+Municipios!U793</f>
        <v>26.034767042149987</v>
      </c>
      <c r="M1896" s="13">
        <v>15580</v>
      </c>
      <c r="N1896" s="13" t="s">
        <v>2012</v>
      </c>
      <c r="O1896" s="13" t="s">
        <v>498</v>
      </c>
      <c r="P1896" s="13" t="s">
        <v>499</v>
      </c>
      <c r="Q1896" s="13" t="s">
        <v>2013</v>
      </c>
      <c r="T1896" t="s">
        <v>2804</v>
      </c>
      <c r="U1896" s="25">
        <f>+Municipios!P793</f>
        <v>57.381100531471176</v>
      </c>
      <c r="V1896" s="13">
        <v>15580</v>
      </c>
      <c r="W1896" s="13" t="s">
        <v>2012</v>
      </c>
      <c r="X1896" s="13" t="s">
        <v>498</v>
      </c>
      <c r="Y1896" s="13" t="s">
        <v>499</v>
      </c>
      <c r="Z1896" s="13" t="s">
        <v>2013</v>
      </c>
    </row>
    <row r="1897" spans="1:26">
      <c r="A1897" t="s">
        <v>412</v>
      </c>
      <c r="B1897" s="25">
        <f>+Municipios!P794</f>
        <v>63.935857665019107</v>
      </c>
      <c r="C1897" s="13">
        <v>41016</v>
      </c>
      <c r="D1897" s="13" t="s">
        <v>2014</v>
      </c>
      <c r="E1897" s="13" t="s">
        <v>676</v>
      </c>
      <c r="F1897" s="13" t="s">
        <v>677</v>
      </c>
      <c r="G1897" s="13" t="s">
        <v>2015</v>
      </c>
      <c r="K1897" t="s">
        <v>413</v>
      </c>
      <c r="L1897" s="81">
        <f>+Municipios!U794</f>
        <v>29.26710986692774</v>
      </c>
      <c r="M1897" s="13">
        <v>41016</v>
      </c>
      <c r="N1897" s="13" t="s">
        <v>2014</v>
      </c>
      <c r="O1897" s="13" t="s">
        <v>676</v>
      </c>
      <c r="P1897" s="13" t="s">
        <v>677</v>
      </c>
      <c r="Q1897" s="13" t="s">
        <v>2015</v>
      </c>
      <c r="T1897" t="s">
        <v>2804</v>
      </c>
      <c r="U1897" s="25">
        <f>+Municipios!P794</f>
        <v>63.935857665019107</v>
      </c>
      <c r="V1897" s="13">
        <v>41016</v>
      </c>
      <c r="W1897" s="13" t="s">
        <v>2014</v>
      </c>
      <c r="X1897" s="13" t="s">
        <v>676</v>
      </c>
      <c r="Y1897" s="13" t="s">
        <v>677</v>
      </c>
      <c r="Z1897" s="13" t="s">
        <v>2015</v>
      </c>
    </row>
    <row r="1898" spans="1:26">
      <c r="A1898" t="s">
        <v>412</v>
      </c>
      <c r="B1898" s="25">
        <f>+Municipios!P795</f>
        <v>63.001559321197</v>
      </c>
      <c r="C1898" s="13">
        <v>68235</v>
      </c>
      <c r="D1898" s="13" t="s">
        <v>2016</v>
      </c>
      <c r="E1898" s="13" t="s">
        <v>431</v>
      </c>
      <c r="F1898" s="13" t="s">
        <v>432</v>
      </c>
      <c r="G1898" s="13" t="s">
        <v>2017</v>
      </c>
      <c r="K1898" t="s">
        <v>413</v>
      </c>
      <c r="L1898" s="81">
        <f>+Municipios!U795</f>
        <v>29.221661333061878</v>
      </c>
      <c r="M1898" s="13">
        <v>68235</v>
      </c>
      <c r="N1898" s="13" t="s">
        <v>2016</v>
      </c>
      <c r="O1898" s="13" t="s">
        <v>431</v>
      </c>
      <c r="P1898" s="13" t="s">
        <v>432</v>
      </c>
      <c r="Q1898" s="13" t="s">
        <v>2017</v>
      </c>
      <c r="T1898" t="s">
        <v>2804</v>
      </c>
      <c r="U1898" s="25">
        <f>+Municipios!P795</f>
        <v>63.001559321197</v>
      </c>
      <c r="V1898" s="13">
        <v>68235</v>
      </c>
      <c r="W1898" s="13" t="s">
        <v>2016</v>
      </c>
      <c r="X1898" s="13" t="s">
        <v>431</v>
      </c>
      <c r="Y1898" s="13" t="s">
        <v>432</v>
      </c>
      <c r="Z1898" s="13" t="s">
        <v>2017</v>
      </c>
    </row>
    <row r="1899" spans="1:26">
      <c r="A1899" t="s">
        <v>412</v>
      </c>
      <c r="B1899" s="25">
        <f>+Municipios!P796</f>
        <v>62.950782094621303</v>
      </c>
      <c r="C1899" s="13">
        <v>5858</v>
      </c>
      <c r="D1899" s="13" t="s">
        <v>2018</v>
      </c>
      <c r="E1899" s="13" t="s">
        <v>435</v>
      </c>
      <c r="F1899" s="13" t="s">
        <v>436</v>
      </c>
      <c r="G1899" s="13" t="s">
        <v>2019</v>
      </c>
      <c r="K1899" t="s">
        <v>413</v>
      </c>
      <c r="L1899" s="81">
        <f>+Municipios!U796</f>
        <v>29.0732019564193</v>
      </c>
      <c r="M1899" s="13">
        <v>5858</v>
      </c>
      <c r="N1899" s="13" t="s">
        <v>2018</v>
      </c>
      <c r="O1899" s="13" t="s">
        <v>435</v>
      </c>
      <c r="P1899" s="13" t="s">
        <v>436</v>
      </c>
      <c r="Q1899" s="13" t="s">
        <v>2019</v>
      </c>
      <c r="T1899" t="s">
        <v>2804</v>
      </c>
      <c r="U1899" s="25">
        <f>+Municipios!P796</f>
        <v>62.950782094621303</v>
      </c>
      <c r="V1899" s="13">
        <v>5858</v>
      </c>
      <c r="W1899" s="13" t="s">
        <v>2018</v>
      </c>
      <c r="X1899" s="13" t="s">
        <v>435</v>
      </c>
      <c r="Y1899" s="13" t="s">
        <v>436</v>
      </c>
      <c r="Z1899" s="13" t="s">
        <v>2019</v>
      </c>
    </row>
    <row r="1900" spans="1:26">
      <c r="A1900" t="s">
        <v>412</v>
      </c>
      <c r="B1900" s="25">
        <f>+Municipios!P797</f>
        <v>65.881850729558906</v>
      </c>
      <c r="C1900" s="13">
        <v>15368</v>
      </c>
      <c r="D1900" s="13" t="s">
        <v>2020</v>
      </c>
      <c r="E1900" s="13" t="s">
        <v>498</v>
      </c>
      <c r="F1900" s="13" t="s">
        <v>499</v>
      </c>
      <c r="G1900" s="13" t="s">
        <v>1234</v>
      </c>
      <c r="K1900" t="s">
        <v>413</v>
      </c>
      <c r="L1900" s="81">
        <f>+Municipios!U797</f>
        <v>30.000556736812786</v>
      </c>
      <c r="M1900" s="13">
        <v>15368</v>
      </c>
      <c r="N1900" s="13" t="s">
        <v>2020</v>
      </c>
      <c r="O1900" s="13" t="s">
        <v>498</v>
      </c>
      <c r="P1900" s="13" t="s">
        <v>499</v>
      </c>
      <c r="Q1900" s="13" t="s">
        <v>1234</v>
      </c>
      <c r="T1900" t="s">
        <v>2804</v>
      </c>
      <c r="U1900" s="25">
        <f>+Municipios!P797</f>
        <v>65.881850729558906</v>
      </c>
      <c r="V1900" s="13">
        <v>15368</v>
      </c>
      <c r="W1900" s="13" t="s">
        <v>2020</v>
      </c>
      <c r="X1900" s="13" t="s">
        <v>498</v>
      </c>
      <c r="Y1900" s="13" t="s">
        <v>499</v>
      </c>
      <c r="Z1900" s="13" t="s">
        <v>1234</v>
      </c>
    </row>
    <row r="1901" spans="1:26">
      <c r="A1901" t="s">
        <v>412</v>
      </c>
      <c r="B1901" s="25">
        <f>+Municipios!P798</f>
        <v>67.080213211940929</v>
      </c>
      <c r="C1901" s="13">
        <v>27205</v>
      </c>
      <c r="D1901" s="13" t="s">
        <v>2021</v>
      </c>
      <c r="E1901" s="13" t="s">
        <v>1714</v>
      </c>
      <c r="F1901" s="13" t="s">
        <v>1715</v>
      </c>
      <c r="G1901" s="13" t="s">
        <v>2022</v>
      </c>
      <c r="K1901" t="s">
        <v>413</v>
      </c>
      <c r="L1901" s="81">
        <f>+Municipios!U798</f>
        <v>30.372443354813377</v>
      </c>
      <c r="M1901" s="13">
        <v>27205</v>
      </c>
      <c r="N1901" s="13" t="s">
        <v>2021</v>
      </c>
      <c r="O1901" s="13" t="s">
        <v>1714</v>
      </c>
      <c r="P1901" s="13" t="s">
        <v>1715</v>
      </c>
      <c r="Q1901" s="13" t="s">
        <v>2022</v>
      </c>
      <c r="T1901" t="s">
        <v>2804</v>
      </c>
      <c r="U1901" s="25">
        <f>+Municipios!P798</f>
        <v>67.080213211940929</v>
      </c>
      <c r="V1901" s="13">
        <v>27205</v>
      </c>
      <c r="W1901" s="13" t="s">
        <v>2021</v>
      </c>
      <c r="X1901" s="13" t="s">
        <v>1714</v>
      </c>
      <c r="Y1901" s="13" t="s">
        <v>1715</v>
      </c>
      <c r="Z1901" s="13" t="s">
        <v>2022</v>
      </c>
    </row>
    <row r="1902" spans="1:26">
      <c r="A1902" t="s">
        <v>412</v>
      </c>
      <c r="B1902" s="25">
        <f>+Municipios!P799</f>
        <v>57.153076979468054</v>
      </c>
      <c r="C1902" s="13">
        <v>17495</v>
      </c>
      <c r="D1902" s="13" t="s">
        <v>2023</v>
      </c>
      <c r="E1902" s="13" t="s">
        <v>506</v>
      </c>
      <c r="F1902" s="13" t="s">
        <v>507</v>
      </c>
      <c r="G1902" s="13" t="s">
        <v>2024</v>
      </c>
      <c r="K1902" t="s">
        <v>413</v>
      </c>
      <c r="L1902" s="81">
        <f>+Municipios!U799</f>
        <v>25.941809359114615</v>
      </c>
      <c r="M1902" s="13">
        <v>17495</v>
      </c>
      <c r="N1902" s="13" t="s">
        <v>2023</v>
      </c>
      <c r="O1902" s="13" t="s">
        <v>506</v>
      </c>
      <c r="P1902" s="13" t="s">
        <v>507</v>
      </c>
      <c r="Q1902" s="13" t="s">
        <v>2024</v>
      </c>
      <c r="T1902" t="s">
        <v>2804</v>
      </c>
      <c r="U1902" s="25">
        <f>+Municipios!P799</f>
        <v>57.153076979468054</v>
      </c>
      <c r="V1902" s="13">
        <v>17495</v>
      </c>
      <c r="W1902" s="13" t="s">
        <v>2023</v>
      </c>
      <c r="X1902" s="13" t="s">
        <v>506</v>
      </c>
      <c r="Y1902" s="13" t="s">
        <v>507</v>
      </c>
      <c r="Z1902" s="13" t="s">
        <v>2024</v>
      </c>
    </row>
    <row r="1903" spans="1:26">
      <c r="A1903" t="s">
        <v>412</v>
      </c>
      <c r="B1903" s="25">
        <f>+Municipios!P800</f>
        <v>49.536073217344935</v>
      </c>
      <c r="C1903" s="13">
        <v>23068</v>
      </c>
      <c r="D1903" s="13" t="s">
        <v>2025</v>
      </c>
      <c r="E1903" s="13" t="s">
        <v>567</v>
      </c>
      <c r="F1903" s="13" t="s">
        <v>568</v>
      </c>
      <c r="G1903" s="13" t="s">
        <v>2026</v>
      </c>
      <c r="K1903" t="s">
        <v>413</v>
      </c>
      <c r="L1903" s="81">
        <f>+Municipios!U800</f>
        <v>22.748007826905734</v>
      </c>
      <c r="M1903" s="13">
        <v>23068</v>
      </c>
      <c r="N1903" s="13" t="s">
        <v>2025</v>
      </c>
      <c r="O1903" s="13" t="s">
        <v>567</v>
      </c>
      <c r="P1903" s="13" t="s">
        <v>568</v>
      </c>
      <c r="Q1903" s="13" t="s">
        <v>2026</v>
      </c>
      <c r="T1903" t="s">
        <v>2804</v>
      </c>
      <c r="U1903" s="25">
        <f>+Municipios!P800</f>
        <v>49.536073217344935</v>
      </c>
      <c r="V1903" s="13">
        <v>23068</v>
      </c>
      <c r="W1903" s="13" t="s">
        <v>2025</v>
      </c>
      <c r="X1903" s="13" t="s">
        <v>567</v>
      </c>
      <c r="Y1903" s="13" t="s">
        <v>568</v>
      </c>
      <c r="Z1903" s="13" t="s">
        <v>2026</v>
      </c>
    </row>
    <row r="1904" spans="1:26">
      <c r="A1904" t="s">
        <v>412</v>
      </c>
      <c r="B1904" s="25">
        <f>+Municipios!P801</f>
        <v>43.46348924907771</v>
      </c>
      <c r="C1904" s="13">
        <v>70678</v>
      </c>
      <c r="D1904" s="13" t="s">
        <v>2027</v>
      </c>
      <c r="E1904" s="13" t="s">
        <v>494</v>
      </c>
      <c r="F1904" s="13" t="s">
        <v>495</v>
      </c>
      <c r="G1904" s="13" t="s">
        <v>2028</v>
      </c>
      <c r="K1904" t="s">
        <v>413</v>
      </c>
      <c r="L1904" s="81">
        <f>+Municipios!U801</f>
        <v>19.976143568494138</v>
      </c>
      <c r="M1904" s="13">
        <v>70678</v>
      </c>
      <c r="N1904" s="13" t="s">
        <v>2027</v>
      </c>
      <c r="O1904" s="13" t="s">
        <v>494</v>
      </c>
      <c r="P1904" s="13" t="s">
        <v>495</v>
      </c>
      <c r="Q1904" s="13" t="s">
        <v>2028</v>
      </c>
      <c r="T1904" t="s">
        <v>2804</v>
      </c>
      <c r="U1904" s="25">
        <f>+Municipios!P801</f>
        <v>43.46348924907771</v>
      </c>
      <c r="V1904" s="13">
        <v>70678</v>
      </c>
      <c r="W1904" s="13" t="s">
        <v>2027</v>
      </c>
      <c r="X1904" s="13" t="s">
        <v>494</v>
      </c>
      <c r="Y1904" s="13" t="s">
        <v>495</v>
      </c>
      <c r="Z1904" s="13" t="s">
        <v>2028</v>
      </c>
    </row>
    <row r="1905" spans="1:26">
      <c r="A1905" t="s">
        <v>412</v>
      </c>
      <c r="B1905" s="25">
        <f>+Municipios!P802</f>
        <v>57.682607335804292</v>
      </c>
      <c r="C1905" s="13">
        <v>15090</v>
      </c>
      <c r="D1905" s="13" t="s">
        <v>2029</v>
      </c>
      <c r="E1905" s="13" t="s">
        <v>498</v>
      </c>
      <c r="F1905" s="13" t="s">
        <v>499</v>
      </c>
      <c r="G1905" s="13" t="s">
        <v>2030</v>
      </c>
      <c r="K1905" t="s">
        <v>413</v>
      </c>
      <c r="L1905" s="81">
        <f>+Municipios!U802</f>
        <v>26.261311558971808</v>
      </c>
      <c r="M1905" s="13">
        <v>15090</v>
      </c>
      <c r="N1905" s="13" t="s">
        <v>2029</v>
      </c>
      <c r="O1905" s="13" t="s">
        <v>498</v>
      </c>
      <c r="P1905" s="13" t="s">
        <v>499</v>
      </c>
      <c r="Q1905" s="13" t="s">
        <v>2030</v>
      </c>
      <c r="T1905" t="s">
        <v>2804</v>
      </c>
      <c r="U1905" s="25">
        <f>+Municipios!P802</f>
        <v>57.682607335804292</v>
      </c>
      <c r="V1905" s="13">
        <v>15090</v>
      </c>
      <c r="W1905" s="13" t="s">
        <v>2029</v>
      </c>
      <c r="X1905" s="13" t="s">
        <v>498</v>
      </c>
      <c r="Y1905" s="13" t="s">
        <v>499</v>
      </c>
      <c r="Z1905" s="13" t="s">
        <v>2030</v>
      </c>
    </row>
    <row r="1906" spans="1:26">
      <c r="A1906" t="s">
        <v>412</v>
      </c>
      <c r="B1906" s="25">
        <f>+Municipios!P803</f>
        <v>54.848834391030579</v>
      </c>
      <c r="C1906" s="13">
        <v>73547</v>
      </c>
      <c r="D1906" s="13" t="s">
        <v>2031</v>
      </c>
      <c r="E1906" s="13" t="s">
        <v>595</v>
      </c>
      <c r="F1906" s="13" t="s">
        <v>596</v>
      </c>
      <c r="G1906" s="13" t="s">
        <v>2032</v>
      </c>
      <c r="K1906" t="s">
        <v>413</v>
      </c>
      <c r="L1906" s="81">
        <f>+Municipios!U803</f>
        <v>25.176086196492598</v>
      </c>
      <c r="M1906" s="13">
        <v>73547</v>
      </c>
      <c r="N1906" s="13" t="s">
        <v>2031</v>
      </c>
      <c r="O1906" s="13" t="s">
        <v>595</v>
      </c>
      <c r="P1906" s="13" t="s">
        <v>596</v>
      </c>
      <c r="Q1906" s="13" t="s">
        <v>2032</v>
      </c>
      <c r="T1906" t="s">
        <v>2804</v>
      </c>
      <c r="U1906" s="25">
        <f>+Municipios!P803</f>
        <v>54.848834391030579</v>
      </c>
      <c r="V1906" s="13">
        <v>73547</v>
      </c>
      <c r="W1906" s="13" t="s">
        <v>2031</v>
      </c>
      <c r="X1906" s="13" t="s">
        <v>595</v>
      </c>
      <c r="Y1906" s="13" t="s">
        <v>596</v>
      </c>
      <c r="Z1906" s="13" t="s">
        <v>2032</v>
      </c>
    </row>
    <row r="1907" spans="1:26">
      <c r="A1907" t="s">
        <v>412</v>
      </c>
      <c r="B1907" s="25">
        <f>+Municipios!P804</f>
        <v>66.289817765896032</v>
      </c>
      <c r="C1907" s="13">
        <v>68020</v>
      </c>
      <c r="D1907" s="13" t="s">
        <v>2033</v>
      </c>
      <c r="E1907" s="13" t="s">
        <v>431</v>
      </c>
      <c r="F1907" s="13" t="s">
        <v>432</v>
      </c>
      <c r="G1907" s="13" t="s">
        <v>1268</v>
      </c>
      <c r="K1907" t="s">
        <v>413</v>
      </c>
      <c r="L1907" s="81">
        <f>+Municipios!U804</f>
        <v>30.090285499465018</v>
      </c>
      <c r="M1907" s="13">
        <v>68020</v>
      </c>
      <c r="N1907" s="13" t="s">
        <v>2033</v>
      </c>
      <c r="O1907" s="13" t="s">
        <v>431</v>
      </c>
      <c r="P1907" s="13" t="s">
        <v>432</v>
      </c>
      <c r="Q1907" s="13" t="s">
        <v>1268</v>
      </c>
      <c r="T1907" t="s">
        <v>2804</v>
      </c>
      <c r="U1907" s="25">
        <f>+Municipios!P804</f>
        <v>66.289817765896032</v>
      </c>
      <c r="V1907" s="13">
        <v>68020</v>
      </c>
      <c r="W1907" s="13" t="s">
        <v>2033</v>
      </c>
      <c r="X1907" s="13" t="s">
        <v>431</v>
      </c>
      <c r="Y1907" s="13" t="s">
        <v>432</v>
      </c>
      <c r="Z1907" s="13" t="s">
        <v>1268</v>
      </c>
    </row>
    <row r="1908" spans="1:26">
      <c r="A1908" t="s">
        <v>412</v>
      </c>
      <c r="B1908" s="25">
        <f>+Municipios!P805</f>
        <v>68.429247602887074</v>
      </c>
      <c r="C1908" s="13">
        <v>41885</v>
      </c>
      <c r="D1908" s="13" t="s">
        <v>2034</v>
      </c>
      <c r="E1908" s="13" t="s">
        <v>676</v>
      </c>
      <c r="F1908" s="13" t="s">
        <v>677</v>
      </c>
      <c r="G1908" s="13" t="s">
        <v>2035</v>
      </c>
      <c r="K1908" t="s">
        <v>413</v>
      </c>
      <c r="L1908" s="81">
        <f>+Municipios!U805</f>
        <v>31.124883849470507</v>
      </c>
      <c r="M1908" s="13">
        <v>41885</v>
      </c>
      <c r="N1908" s="13" t="s">
        <v>2034</v>
      </c>
      <c r="O1908" s="13" t="s">
        <v>676</v>
      </c>
      <c r="P1908" s="13" t="s">
        <v>677</v>
      </c>
      <c r="Q1908" s="13" t="s">
        <v>2035</v>
      </c>
      <c r="T1908" t="s">
        <v>2804</v>
      </c>
      <c r="U1908" s="25">
        <f>+Municipios!P805</f>
        <v>68.429247602887074</v>
      </c>
      <c r="V1908" s="13">
        <v>41885</v>
      </c>
      <c r="W1908" s="13" t="s">
        <v>2034</v>
      </c>
      <c r="X1908" s="13" t="s">
        <v>676</v>
      </c>
      <c r="Y1908" s="13" t="s">
        <v>677</v>
      </c>
      <c r="Z1908" s="13" t="s">
        <v>2035</v>
      </c>
    </row>
    <row r="1909" spans="1:26">
      <c r="A1909" t="s">
        <v>412</v>
      </c>
      <c r="B1909" s="25">
        <f>+Municipios!P806</f>
        <v>59.695786227663064</v>
      </c>
      <c r="C1909" s="13">
        <v>54003</v>
      </c>
      <c r="D1909" s="13" t="s">
        <v>2036</v>
      </c>
      <c r="E1909" s="13" t="s">
        <v>517</v>
      </c>
      <c r="F1909" s="13" t="s">
        <v>518</v>
      </c>
      <c r="G1909" s="13" t="s">
        <v>2037</v>
      </c>
      <c r="K1909" t="s">
        <v>413</v>
      </c>
      <c r="L1909" s="81">
        <f>+Municipios!U806</f>
        <v>27.273680900749927</v>
      </c>
      <c r="M1909" s="13">
        <v>54003</v>
      </c>
      <c r="N1909" s="13" t="s">
        <v>2036</v>
      </c>
      <c r="O1909" s="13" t="s">
        <v>517</v>
      </c>
      <c r="P1909" s="13" t="s">
        <v>518</v>
      </c>
      <c r="Q1909" s="13" t="s">
        <v>2037</v>
      </c>
      <c r="T1909" t="s">
        <v>2804</v>
      </c>
      <c r="U1909" s="25">
        <f>+Municipios!P806</f>
        <v>59.695786227663064</v>
      </c>
      <c r="V1909" s="13">
        <v>54003</v>
      </c>
      <c r="W1909" s="13" t="s">
        <v>2036</v>
      </c>
      <c r="X1909" s="13" t="s">
        <v>517</v>
      </c>
      <c r="Y1909" s="13" t="s">
        <v>518</v>
      </c>
      <c r="Z1909" s="13" t="s">
        <v>2037</v>
      </c>
    </row>
    <row r="1910" spans="1:26">
      <c r="A1910" t="s">
        <v>412</v>
      </c>
      <c r="B1910" s="25">
        <f>+Municipios!P807</f>
        <v>60.693671160264927</v>
      </c>
      <c r="C1910" s="13">
        <v>52560</v>
      </c>
      <c r="D1910" s="13" t="s">
        <v>2038</v>
      </c>
      <c r="E1910" s="13" t="s">
        <v>672</v>
      </c>
      <c r="F1910" s="13" t="s">
        <v>673</v>
      </c>
      <c r="G1910" s="13" t="s">
        <v>2039</v>
      </c>
      <c r="K1910" t="s">
        <v>413</v>
      </c>
      <c r="L1910" s="81">
        <f>+Municipios!U807</f>
        <v>27.521221743252575</v>
      </c>
      <c r="M1910" s="13">
        <v>52560</v>
      </c>
      <c r="N1910" s="13" t="s">
        <v>2038</v>
      </c>
      <c r="O1910" s="13" t="s">
        <v>672</v>
      </c>
      <c r="P1910" s="13" t="s">
        <v>673</v>
      </c>
      <c r="Q1910" s="13" t="s">
        <v>2039</v>
      </c>
      <c r="T1910" t="s">
        <v>2804</v>
      </c>
      <c r="U1910" s="25">
        <f>+Municipios!P807</f>
        <v>60.693671160264927</v>
      </c>
      <c r="V1910" s="13">
        <v>52560</v>
      </c>
      <c r="W1910" s="13" t="s">
        <v>2038</v>
      </c>
      <c r="X1910" s="13" t="s">
        <v>672</v>
      </c>
      <c r="Y1910" s="13" t="s">
        <v>673</v>
      </c>
      <c r="Z1910" s="13" t="s">
        <v>2039</v>
      </c>
    </row>
    <row r="1911" spans="1:26">
      <c r="A1911" t="s">
        <v>412</v>
      </c>
      <c r="B1911" s="25">
        <f>+Municipios!P808</f>
        <v>66.967997162118053</v>
      </c>
      <c r="C1911" s="13">
        <v>44420</v>
      </c>
      <c r="D1911" s="13" t="s">
        <v>2040</v>
      </c>
      <c r="E1911" s="13" t="s">
        <v>933</v>
      </c>
      <c r="F1911" s="13" t="s">
        <v>934</v>
      </c>
      <c r="G1911" s="13" t="s">
        <v>2041</v>
      </c>
      <c r="K1911" t="s">
        <v>413</v>
      </c>
      <c r="L1911" s="81">
        <f>+Municipios!U808</f>
        <v>30.635090957967336</v>
      </c>
      <c r="M1911" s="13">
        <v>44420</v>
      </c>
      <c r="N1911" s="13" t="s">
        <v>2040</v>
      </c>
      <c r="O1911" s="13" t="s">
        <v>933</v>
      </c>
      <c r="P1911" s="13" t="s">
        <v>934</v>
      </c>
      <c r="Q1911" s="13" t="s">
        <v>2041</v>
      </c>
      <c r="T1911" t="s">
        <v>2804</v>
      </c>
      <c r="U1911" s="25">
        <f>+Municipios!P808</f>
        <v>66.967997162118053</v>
      </c>
      <c r="V1911" s="13">
        <v>44420</v>
      </c>
      <c r="W1911" s="13" t="s">
        <v>2040</v>
      </c>
      <c r="X1911" s="13" t="s">
        <v>933</v>
      </c>
      <c r="Y1911" s="13" t="s">
        <v>934</v>
      </c>
      <c r="Z1911" s="13" t="s">
        <v>2041</v>
      </c>
    </row>
    <row r="1912" spans="1:26">
      <c r="A1912" t="s">
        <v>412</v>
      </c>
      <c r="B1912" s="25">
        <f>+Municipios!P809</f>
        <v>57.928335799026385</v>
      </c>
      <c r="C1912" s="13">
        <v>15218</v>
      </c>
      <c r="D1912" s="13" t="s">
        <v>2042</v>
      </c>
      <c r="E1912" s="13" t="s">
        <v>498</v>
      </c>
      <c r="F1912" s="13" t="s">
        <v>499</v>
      </c>
      <c r="G1912" s="13" t="s">
        <v>2043</v>
      </c>
      <c r="K1912" t="s">
        <v>413</v>
      </c>
      <c r="L1912" s="81">
        <f>+Municipios!U809</f>
        <v>26.34843617993852</v>
      </c>
      <c r="M1912" s="13">
        <v>15218</v>
      </c>
      <c r="N1912" s="13" t="s">
        <v>2042</v>
      </c>
      <c r="O1912" s="13" t="s">
        <v>498</v>
      </c>
      <c r="P1912" s="13" t="s">
        <v>499</v>
      </c>
      <c r="Q1912" s="13" t="s">
        <v>2043</v>
      </c>
      <c r="T1912" t="s">
        <v>2804</v>
      </c>
      <c r="U1912" s="25">
        <f>+Municipios!P809</f>
        <v>57.928335799026385</v>
      </c>
      <c r="V1912" s="13">
        <v>15218</v>
      </c>
      <c r="W1912" s="13" t="s">
        <v>2042</v>
      </c>
      <c r="X1912" s="13" t="s">
        <v>498</v>
      </c>
      <c r="Y1912" s="13" t="s">
        <v>499</v>
      </c>
      <c r="Z1912" s="13" t="s">
        <v>2043</v>
      </c>
    </row>
    <row r="1913" spans="1:26">
      <c r="A1913" t="s">
        <v>412</v>
      </c>
      <c r="B1913" s="25">
        <f>+Municipios!P810</f>
        <v>52.32764332688253</v>
      </c>
      <c r="C1913" s="13">
        <v>73347</v>
      </c>
      <c r="D1913" s="13" t="s">
        <v>2044</v>
      </c>
      <c r="E1913" s="13" t="s">
        <v>595</v>
      </c>
      <c r="F1913" s="13" t="s">
        <v>596</v>
      </c>
      <c r="G1913" s="13" t="s">
        <v>2045</v>
      </c>
      <c r="K1913" t="s">
        <v>413</v>
      </c>
      <c r="L1913" s="81">
        <f>+Municipios!U810</f>
        <v>23.483203857630848</v>
      </c>
      <c r="M1913" s="13">
        <v>73347</v>
      </c>
      <c r="N1913" s="13" t="s">
        <v>2044</v>
      </c>
      <c r="O1913" s="13" t="s">
        <v>595</v>
      </c>
      <c r="P1913" s="13" t="s">
        <v>596</v>
      </c>
      <c r="Q1913" s="13" t="s">
        <v>2045</v>
      </c>
      <c r="T1913" t="s">
        <v>2804</v>
      </c>
      <c r="U1913" s="25">
        <f>+Municipios!P810</f>
        <v>52.32764332688253</v>
      </c>
      <c r="V1913" s="13">
        <v>73347</v>
      </c>
      <c r="W1913" s="13" t="s">
        <v>2044</v>
      </c>
      <c r="X1913" s="13" t="s">
        <v>595</v>
      </c>
      <c r="Y1913" s="13" t="s">
        <v>596</v>
      </c>
      <c r="Z1913" s="13" t="s">
        <v>2045</v>
      </c>
    </row>
    <row r="1914" spans="1:26">
      <c r="A1914" t="s">
        <v>412</v>
      </c>
      <c r="B1914" s="25">
        <f>+Municipios!P811</f>
        <v>59.832886888479372</v>
      </c>
      <c r="C1914" s="13">
        <v>5031</v>
      </c>
      <c r="D1914" s="13" t="s">
        <v>2046</v>
      </c>
      <c r="E1914" s="13" t="s">
        <v>435</v>
      </c>
      <c r="F1914" s="13" t="s">
        <v>436</v>
      </c>
      <c r="G1914" s="13" t="s">
        <v>2047</v>
      </c>
      <c r="K1914" t="s">
        <v>413</v>
      </c>
      <c r="L1914" s="81">
        <f>+Municipios!U811</f>
        <v>27.66310787661476</v>
      </c>
      <c r="M1914" s="13">
        <v>5031</v>
      </c>
      <c r="N1914" s="13" t="s">
        <v>2046</v>
      </c>
      <c r="O1914" s="13" t="s">
        <v>435</v>
      </c>
      <c r="P1914" s="13" t="s">
        <v>436</v>
      </c>
      <c r="Q1914" s="13" t="s">
        <v>2047</v>
      </c>
      <c r="T1914" t="s">
        <v>2804</v>
      </c>
      <c r="U1914" s="25">
        <f>+Municipios!P811</f>
        <v>59.832886888479372</v>
      </c>
      <c r="V1914" s="13">
        <v>5031</v>
      </c>
      <c r="W1914" s="13" t="s">
        <v>2046</v>
      </c>
      <c r="X1914" s="13" t="s">
        <v>435</v>
      </c>
      <c r="Y1914" s="13" t="s">
        <v>436</v>
      </c>
      <c r="Z1914" s="13" t="s">
        <v>2047</v>
      </c>
    </row>
    <row r="1915" spans="1:26">
      <c r="A1915" t="s">
        <v>412</v>
      </c>
      <c r="B1915" s="25">
        <f>+Municipios!P812</f>
        <v>58.029250523210294</v>
      </c>
      <c r="C1915" s="13">
        <v>73563</v>
      </c>
      <c r="D1915" s="13" t="s">
        <v>2048</v>
      </c>
      <c r="E1915" s="13" t="s">
        <v>595</v>
      </c>
      <c r="F1915" s="13" t="s">
        <v>596</v>
      </c>
      <c r="G1915" s="13" t="s">
        <v>2049</v>
      </c>
      <c r="K1915" t="s">
        <v>413</v>
      </c>
      <c r="L1915" s="81">
        <f>+Municipios!U812</f>
        <v>26.38232617033108</v>
      </c>
      <c r="M1915" s="13">
        <v>73563</v>
      </c>
      <c r="N1915" s="13" t="s">
        <v>2048</v>
      </c>
      <c r="O1915" s="13" t="s">
        <v>595</v>
      </c>
      <c r="P1915" s="13" t="s">
        <v>596</v>
      </c>
      <c r="Q1915" s="13" t="s">
        <v>2049</v>
      </c>
      <c r="T1915" t="s">
        <v>2804</v>
      </c>
      <c r="U1915" s="25">
        <f>+Municipios!P812</f>
        <v>58.029250523210294</v>
      </c>
      <c r="V1915" s="13">
        <v>73563</v>
      </c>
      <c r="W1915" s="13" t="s">
        <v>2048</v>
      </c>
      <c r="X1915" s="13" t="s">
        <v>595</v>
      </c>
      <c r="Y1915" s="13" t="s">
        <v>596</v>
      </c>
      <c r="Z1915" s="13" t="s">
        <v>2049</v>
      </c>
    </row>
    <row r="1916" spans="1:26">
      <c r="A1916" t="s">
        <v>412</v>
      </c>
      <c r="B1916" s="25">
        <f>+Municipios!P813</f>
        <v>71.733602236969716</v>
      </c>
      <c r="C1916" s="13">
        <v>15425</v>
      </c>
      <c r="D1916" s="13" t="s">
        <v>2050</v>
      </c>
      <c r="E1916" s="13" t="s">
        <v>498</v>
      </c>
      <c r="F1916" s="13" t="s">
        <v>499</v>
      </c>
      <c r="G1916" s="13" t="s">
        <v>2051</v>
      </c>
      <c r="K1916" t="s">
        <v>413</v>
      </c>
      <c r="L1916" s="81">
        <f>+Municipios!U813</f>
        <v>32.60598921409462</v>
      </c>
      <c r="M1916" s="13">
        <v>15425</v>
      </c>
      <c r="N1916" s="13" t="s">
        <v>2050</v>
      </c>
      <c r="O1916" s="13" t="s">
        <v>498</v>
      </c>
      <c r="P1916" s="13" t="s">
        <v>499</v>
      </c>
      <c r="Q1916" s="13" t="s">
        <v>2051</v>
      </c>
      <c r="T1916" t="s">
        <v>2804</v>
      </c>
      <c r="U1916" s="25">
        <f>+Municipios!P813</f>
        <v>71.733602236969716</v>
      </c>
      <c r="V1916" s="13">
        <v>15425</v>
      </c>
      <c r="W1916" s="13" t="s">
        <v>2050</v>
      </c>
      <c r="X1916" s="13" t="s">
        <v>498</v>
      </c>
      <c r="Y1916" s="13" t="s">
        <v>499</v>
      </c>
      <c r="Z1916" s="13" t="s">
        <v>2051</v>
      </c>
    </row>
    <row r="1917" spans="1:26">
      <c r="A1917" t="s">
        <v>412</v>
      </c>
      <c r="B1917" s="25">
        <f>+Municipios!P814</f>
        <v>62.829170083255576</v>
      </c>
      <c r="C1917" s="13">
        <v>41518</v>
      </c>
      <c r="D1917" s="13" t="s">
        <v>2052</v>
      </c>
      <c r="E1917" s="13" t="s">
        <v>676</v>
      </c>
      <c r="F1917" s="13" t="s">
        <v>677</v>
      </c>
      <c r="G1917" s="13" t="s">
        <v>2053</v>
      </c>
      <c r="K1917" t="s">
        <v>413</v>
      </c>
      <c r="L1917" s="81">
        <f>+Municipios!U814</f>
        <v>28.938994518448769</v>
      </c>
      <c r="M1917" s="13">
        <v>41518</v>
      </c>
      <c r="N1917" s="13" t="s">
        <v>2052</v>
      </c>
      <c r="O1917" s="13" t="s">
        <v>676</v>
      </c>
      <c r="P1917" s="13" t="s">
        <v>677</v>
      </c>
      <c r="Q1917" s="13" t="s">
        <v>2053</v>
      </c>
      <c r="T1917" t="s">
        <v>2804</v>
      </c>
      <c r="U1917" s="25">
        <f>+Municipios!P814</f>
        <v>62.829170083255576</v>
      </c>
      <c r="V1917" s="13">
        <v>41518</v>
      </c>
      <c r="W1917" s="13" t="s">
        <v>2052</v>
      </c>
      <c r="X1917" s="13" t="s">
        <v>676</v>
      </c>
      <c r="Y1917" s="13" t="s">
        <v>677</v>
      </c>
      <c r="Z1917" s="13" t="s">
        <v>2053</v>
      </c>
    </row>
    <row r="1918" spans="1:26">
      <c r="A1918" t="s">
        <v>412</v>
      </c>
      <c r="B1918" s="25">
        <f>+Municipios!P815</f>
        <v>57.989094652991078</v>
      </c>
      <c r="C1918" s="13">
        <v>41026</v>
      </c>
      <c r="D1918" s="13" t="s">
        <v>2054</v>
      </c>
      <c r="E1918" s="13" t="s">
        <v>676</v>
      </c>
      <c r="F1918" s="13" t="s">
        <v>677</v>
      </c>
      <c r="G1918" s="13" t="s">
        <v>2055</v>
      </c>
      <c r="K1918" t="s">
        <v>413</v>
      </c>
      <c r="L1918" s="81">
        <f>+Municipios!U815</f>
        <v>26.523076089108994</v>
      </c>
      <c r="M1918" s="13">
        <v>41026</v>
      </c>
      <c r="N1918" s="13" t="s">
        <v>2054</v>
      </c>
      <c r="O1918" s="13" t="s">
        <v>676</v>
      </c>
      <c r="P1918" s="13" t="s">
        <v>677</v>
      </c>
      <c r="Q1918" s="13" t="s">
        <v>2055</v>
      </c>
      <c r="T1918" t="s">
        <v>2804</v>
      </c>
      <c r="U1918" s="25">
        <f>+Municipios!P815</f>
        <v>57.989094652991078</v>
      </c>
      <c r="V1918" s="13">
        <v>41026</v>
      </c>
      <c r="W1918" s="13" t="s">
        <v>2054</v>
      </c>
      <c r="X1918" s="13" t="s">
        <v>676</v>
      </c>
      <c r="Y1918" s="13" t="s">
        <v>677</v>
      </c>
      <c r="Z1918" s="13" t="s">
        <v>2055</v>
      </c>
    </row>
    <row r="1919" spans="1:26">
      <c r="A1919" t="s">
        <v>412</v>
      </c>
      <c r="B1919" s="25">
        <f>+Municipios!P816</f>
        <v>54.932008224623445</v>
      </c>
      <c r="C1919" s="13">
        <v>15212</v>
      </c>
      <c r="D1919" s="13" t="s">
        <v>2056</v>
      </c>
      <c r="E1919" s="13" t="s">
        <v>498</v>
      </c>
      <c r="F1919" s="13" t="s">
        <v>499</v>
      </c>
      <c r="G1919" s="13" t="s">
        <v>2057</v>
      </c>
      <c r="K1919" t="s">
        <v>413</v>
      </c>
      <c r="L1919" s="81">
        <f>+Municipios!U816</f>
        <v>24.520419337648018</v>
      </c>
      <c r="M1919" s="13">
        <v>15212</v>
      </c>
      <c r="N1919" s="13" t="s">
        <v>2056</v>
      </c>
      <c r="O1919" s="13" t="s">
        <v>498</v>
      </c>
      <c r="P1919" s="13" t="s">
        <v>499</v>
      </c>
      <c r="Q1919" s="13" t="s">
        <v>2057</v>
      </c>
      <c r="T1919" t="s">
        <v>2804</v>
      </c>
      <c r="U1919" s="25">
        <f>+Municipios!P816</f>
        <v>54.932008224623445</v>
      </c>
      <c r="V1919" s="13">
        <v>15212</v>
      </c>
      <c r="W1919" s="13" t="s">
        <v>2056</v>
      </c>
      <c r="X1919" s="13" t="s">
        <v>498</v>
      </c>
      <c r="Y1919" s="13" t="s">
        <v>499</v>
      </c>
      <c r="Z1919" s="13" t="s">
        <v>2057</v>
      </c>
    </row>
    <row r="1920" spans="1:26">
      <c r="A1920" t="s">
        <v>412</v>
      </c>
      <c r="B1920" s="25">
        <f>+Municipios!P817</f>
        <v>38.684835725934676</v>
      </c>
      <c r="C1920" s="13">
        <v>13006</v>
      </c>
      <c r="D1920" s="13" t="s">
        <v>2058</v>
      </c>
      <c r="E1920" s="13" t="s">
        <v>480</v>
      </c>
      <c r="F1920" s="13" t="s">
        <v>481</v>
      </c>
      <c r="G1920" s="13" t="s">
        <v>2059</v>
      </c>
      <c r="K1920" t="s">
        <v>413</v>
      </c>
      <c r="L1920" s="81">
        <f>+Municipios!U817</f>
        <v>17.668035123513437</v>
      </c>
      <c r="M1920" s="13">
        <v>13006</v>
      </c>
      <c r="N1920" s="13" t="s">
        <v>2058</v>
      </c>
      <c r="O1920" s="13" t="s">
        <v>480</v>
      </c>
      <c r="P1920" s="13" t="s">
        <v>481</v>
      </c>
      <c r="Q1920" s="13" t="s">
        <v>2059</v>
      </c>
      <c r="T1920" t="s">
        <v>2804</v>
      </c>
      <c r="U1920" s="25">
        <f>+Municipios!P817</f>
        <v>38.684835725934676</v>
      </c>
      <c r="V1920" s="13">
        <v>13006</v>
      </c>
      <c r="W1920" s="13" t="s">
        <v>2058</v>
      </c>
      <c r="X1920" s="13" t="s">
        <v>480</v>
      </c>
      <c r="Y1920" s="13" t="s">
        <v>481</v>
      </c>
      <c r="Z1920" s="13" t="s">
        <v>2059</v>
      </c>
    </row>
    <row r="1921" spans="1:26">
      <c r="A1921" t="s">
        <v>412</v>
      </c>
      <c r="B1921" s="25">
        <f>+Municipios!P818</f>
        <v>63.654801460219517</v>
      </c>
      <c r="C1921" s="13">
        <v>41799</v>
      </c>
      <c r="D1921" s="13" t="s">
        <v>2060</v>
      </c>
      <c r="E1921" s="13" t="s">
        <v>676</v>
      </c>
      <c r="F1921" s="13" t="s">
        <v>677</v>
      </c>
      <c r="G1921" s="13" t="s">
        <v>2061</v>
      </c>
      <c r="K1921" t="s">
        <v>413</v>
      </c>
      <c r="L1921" s="81">
        <f>+Municipios!U818</f>
        <v>28.928882000860813</v>
      </c>
      <c r="M1921" s="13">
        <v>41799</v>
      </c>
      <c r="N1921" s="13" t="s">
        <v>2060</v>
      </c>
      <c r="O1921" s="13" t="s">
        <v>676</v>
      </c>
      <c r="P1921" s="13" t="s">
        <v>677</v>
      </c>
      <c r="Q1921" s="13" t="s">
        <v>2061</v>
      </c>
      <c r="T1921" t="s">
        <v>2804</v>
      </c>
      <c r="U1921" s="25">
        <f>+Municipios!P818</f>
        <v>63.654801460219517</v>
      </c>
      <c r="V1921" s="13">
        <v>41799</v>
      </c>
      <c r="W1921" s="13" t="s">
        <v>2060</v>
      </c>
      <c r="X1921" s="13" t="s">
        <v>676</v>
      </c>
      <c r="Y1921" s="13" t="s">
        <v>677</v>
      </c>
      <c r="Z1921" s="13" t="s">
        <v>2061</v>
      </c>
    </row>
    <row r="1922" spans="1:26">
      <c r="A1922" t="s">
        <v>412</v>
      </c>
      <c r="B1922" s="25">
        <f>+Municipios!P819</f>
        <v>52.382182259269236</v>
      </c>
      <c r="C1922" s="13">
        <v>19517</v>
      </c>
      <c r="D1922" s="13" t="s">
        <v>2062</v>
      </c>
      <c r="E1922" s="13" t="s">
        <v>557</v>
      </c>
      <c r="F1922" s="13" t="s">
        <v>558</v>
      </c>
      <c r="G1922" s="13" t="s">
        <v>2063</v>
      </c>
      <c r="K1922" t="s">
        <v>413</v>
      </c>
      <c r="L1922" s="81">
        <f>+Municipios!U819</f>
        <v>24.081064717023409</v>
      </c>
      <c r="M1922" s="13">
        <v>19517</v>
      </c>
      <c r="N1922" s="13" t="s">
        <v>2062</v>
      </c>
      <c r="O1922" s="13" t="s">
        <v>557</v>
      </c>
      <c r="P1922" s="13" t="s">
        <v>558</v>
      </c>
      <c r="Q1922" s="13" t="s">
        <v>2063</v>
      </c>
      <c r="T1922" t="s">
        <v>2804</v>
      </c>
      <c r="U1922" s="25">
        <f>+Municipios!P819</f>
        <v>52.382182259269236</v>
      </c>
      <c r="V1922" s="13">
        <v>19517</v>
      </c>
      <c r="W1922" s="13" t="s">
        <v>2062</v>
      </c>
      <c r="X1922" s="13" t="s">
        <v>557</v>
      </c>
      <c r="Y1922" s="13" t="s">
        <v>558</v>
      </c>
      <c r="Z1922" s="13" t="s">
        <v>2063</v>
      </c>
    </row>
    <row r="1923" spans="1:26">
      <c r="A1923" t="s">
        <v>412</v>
      </c>
      <c r="B1923" s="25">
        <f>+Municipios!P820</f>
        <v>57.08517848304227</v>
      </c>
      <c r="C1923" s="13">
        <v>47720</v>
      </c>
      <c r="D1923" s="13" t="s">
        <v>2064</v>
      </c>
      <c r="E1923" s="13" t="s">
        <v>638</v>
      </c>
      <c r="F1923" s="13" t="s">
        <v>639</v>
      </c>
      <c r="G1923" s="13" t="s">
        <v>2065</v>
      </c>
      <c r="K1923" t="s">
        <v>413</v>
      </c>
      <c r="L1923" s="81">
        <f>+Municipios!U820</f>
        <v>25.748090535237669</v>
      </c>
      <c r="M1923" s="13">
        <v>47720</v>
      </c>
      <c r="N1923" s="13" t="s">
        <v>2064</v>
      </c>
      <c r="O1923" s="13" t="s">
        <v>638</v>
      </c>
      <c r="P1923" s="13" t="s">
        <v>639</v>
      </c>
      <c r="Q1923" s="13" t="s">
        <v>2065</v>
      </c>
      <c r="T1923" t="s">
        <v>2804</v>
      </c>
      <c r="U1923" s="25">
        <f>+Municipios!P820</f>
        <v>57.08517848304227</v>
      </c>
      <c r="V1923" s="13">
        <v>47720</v>
      </c>
      <c r="W1923" s="13" t="s">
        <v>2064</v>
      </c>
      <c r="X1923" s="13" t="s">
        <v>638</v>
      </c>
      <c r="Y1923" s="13" t="s">
        <v>639</v>
      </c>
      <c r="Z1923" s="13" t="s">
        <v>2065</v>
      </c>
    </row>
    <row r="1924" spans="1:26">
      <c r="A1924" t="s">
        <v>412</v>
      </c>
      <c r="B1924" s="25">
        <f>+Municipios!P821</f>
        <v>46.356762215528356</v>
      </c>
      <c r="C1924" s="13">
        <v>47545</v>
      </c>
      <c r="D1924" s="13" t="s">
        <v>2066</v>
      </c>
      <c r="E1924" s="13" t="s">
        <v>638</v>
      </c>
      <c r="F1924" s="13" t="s">
        <v>639</v>
      </c>
      <c r="G1924" s="13" t="s">
        <v>2067</v>
      </c>
      <c r="K1924" t="s">
        <v>413</v>
      </c>
      <c r="L1924" s="81">
        <f>+Municipios!U821</f>
        <v>21.16963345866909</v>
      </c>
      <c r="M1924" s="13">
        <v>47545</v>
      </c>
      <c r="N1924" s="13" t="s">
        <v>2066</v>
      </c>
      <c r="O1924" s="13" t="s">
        <v>638</v>
      </c>
      <c r="P1924" s="13" t="s">
        <v>639</v>
      </c>
      <c r="Q1924" s="13" t="s">
        <v>2067</v>
      </c>
      <c r="T1924" t="s">
        <v>2804</v>
      </c>
      <c r="U1924" s="25">
        <f>+Municipios!P821</f>
        <v>46.356762215528356</v>
      </c>
      <c r="V1924" s="13">
        <v>47545</v>
      </c>
      <c r="W1924" s="13" t="s">
        <v>2066</v>
      </c>
      <c r="X1924" s="13" t="s">
        <v>638</v>
      </c>
      <c r="Y1924" s="13" t="s">
        <v>639</v>
      </c>
      <c r="Z1924" s="13" t="s">
        <v>2067</v>
      </c>
    </row>
    <row r="1925" spans="1:26">
      <c r="A1925" t="s">
        <v>412</v>
      </c>
      <c r="B1925" s="25">
        <f>+Municipios!P822</f>
        <v>59.372094975697962</v>
      </c>
      <c r="C1925" s="13">
        <v>25148</v>
      </c>
      <c r="D1925" s="13" t="s">
        <v>2068</v>
      </c>
      <c r="E1925" s="13" t="s">
        <v>461</v>
      </c>
      <c r="F1925" s="13" t="s">
        <v>462</v>
      </c>
      <c r="G1925" s="13" t="s">
        <v>2069</v>
      </c>
      <c r="K1925" t="s">
        <v>413</v>
      </c>
      <c r="L1925" s="81">
        <f>+Municipios!U822</f>
        <v>25.921928956976455</v>
      </c>
      <c r="M1925" s="13">
        <v>25148</v>
      </c>
      <c r="N1925" s="13" t="s">
        <v>2068</v>
      </c>
      <c r="O1925" s="13" t="s">
        <v>461</v>
      </c>
      <c r="P1925" s="13" t="s">
        <v>462</v>
      </c>
      <c r="Q1925" s="13" t="s">
        <v>2069</v>
      </c>
      <c r="T1925" t="s">
        <v>2804</v>
      </c>
      <c r="U1925" s="25">
        <f>+Municipios!P822</f>
        <v>59.372094975697962</v>
      </c>
      <c r="V1925" s="13">
        <v>25148</v>
      </c>
      <c r="W1925" s="13" t="s">
        <v>2068</v>
      </c>
      <c r="X1925" s="13" t="s">
        <v>461</v>
      </c>
      <c r="Y1925" s="13" t="s">
        <v>462</v>
      </c>
      <c r="Z1925" s="13" t="s">
        <v>2069</v>
      </c>
    </row>
    <row r="1926" spans="1:26">
      <c r="A1926" t="s">
        <v>412</v>
      </c>
      <c r="B1926" s="25">
        <f>+Municipios!P823</f>
        <v>75.752084615454208</v>
      </c>
      <c r="C1926" s="13">
        <v>20383</v>
      </c>
      <c r="D1926" s="13" t="s">
        <v>2070</v>
      </c>
      <c r="E1926" s="13" t="s">
        <v>893</v>
      </c>
      <c r="F1926" s="13" t="s">
        <v>894</v>
      </c>
      <c r="G1926" s="13" t="s">
        <v>2071</v>
      </c>
      <c r="K1926" t="s">
        <v>413</v>
      </c>
      <c r="L1926" s="81">
        <f>+Municipios!U823</f>
        <v>34.326936143811871</v>
      </c>
      <c r="M1926" s="13">
        <v>20383</v>
      </c>
      <c r="N1926" s="13" t="s">
        <v>2070</v>
      </c>
      <c r="O1926" s="13" t="s">
        <v>893</v>
      </c>
      <c r="P1926" s="13" t="s">
        <v>894</v>
      </c>
      <c r="Q1926" s="13" t="s">
        <v>2071</v>
      </c>
      <c r="T1926" t="s">
        <v>2804</v>
      </c>
      <c r="U1926" s="25">
        <f>+Municipios!P823</f>
        <v>75.752084615454208</v>
      </c>
      <c r="V1926" s="13">
        <v>20383</v>
      </c>
      <c r="W1926" s="13" t="s">
        <v>2070</v>
      </c>
      <c r="X1926" s="13" t="s">
        <v>893</v>
      </c>
      <c r="Y1926" s="13" t="s">
        <v>894</v>
      </c>
      <c r="Z1926" s="13" t="s">
        <v>2071</v>
      </c>
    </row>
    <row r="1927" spans="1:26">
      <c r="A1927" t="s">
        <v>412</v>
      </c>
      <c r="B1927" s="25">
        <f>+Municipios!P824</f>
        <v>62.740756390458166</v>
      </c>
      <c r="C1927" s="13">
        <v>41668</v>
      </c>
      <c r="D1927" s="13" t="s">
        <v>2072</v>
      </c>
      <c r="E1927" s="13" t="s">
        <v>676</v>
      </c>
      <c r="F1927" s="13" t="s">
        <v>677</v>
      </c>
      <c r="G1927" s="13" t="s">
        <v>2073</v>
      </c>
      <c r="K1927" t="s">
        <v>413</v>
      </c>
      <c r="L1927" s="81">
        <f>+Municipios!U824</f>
        <v>28.43876088721936</v>
      </c>
      <c r="M1927" s="13">
        <v>41668</v>
      </c>
      <c r="N1927" s="13" t="s">
        <v>2072</v>
      </c>
      <c r="O1927" s="13" t="s">
        <v>676</v>
      </c>
      <c r="P1927" s="13" t="s">
        <v>677</v>
      </c>
      <c r="Q1927" s="13" t="s">
        <v>2073</v>
      </c>
      <c r="T1927" t="s">
        <v>2804</v>
      </c>
      <c r="U1927" s="25">
        <f>+Municipios!P824</f>
        <v>62.740756390458166</v>
      </c>
      <c r="V1927" s="13">
        <v>41668</v>
      </c>
      <c r="W1927" s="13" t="s">
        <v>2072</v>
      </c>
      <c r="X1927" s="13" t="s">
        <v>676</v>
      </c>
      <c r="Y1927" s="13" t="s">
        <v>677</v>
      </c>
      <c r="Z1927" s="13" t="s">
        <v>2073</v>
      </c>
    </row>
    <row r="1928" spans="1:26">
      <c r="A1928" t="s">
        <v>412</v>
      </c>
      <c r="B1928" s="25">
        <f>+Municipios!P825</f>
        <v>57.265941703532945</v>
      </c>
      <c r="C1928" s="13">
        <v>15673</v>
      </c>
      <c r="D1928" s="13" t="s">
        <v>2074</v>
      </c>
      <c r="E1928" s="13" t="s">
        <v>498</v>
      </c>
      <c r="F1928" s="13" t="s">
        <v>499</v>
      </c>
      <c r="G1928" s="13" t="s">
        <v>2075</v>
      </c>
      <c r="K1928" t="s">
        <v>413</v>
      </c>
      <c r="L1928" s="81">
        <f>+Municipios!U825</f>
        <v>25.775463021352436</v>
      </c>
      <c r="M1928" s="13">
        <v>15673</v>
      </c>
      <c r="N1928" s="13" t="s">
        <v>2074</v>
      </c>
      <c r="O1928" s="13" t="s">
        <v>498</v>
      </c>
      <c r="P1928" s="13" t="s">
        <v>499</v>
      </c>
      <c r="Q1928" s="13" t="s">
        <v>2075</v>
      </c>
      <c r="T1928" t="s">
        <v>2804</v>
      </c>
      <c r="U1928" s="25">
        <f>+Municipios!P825</f>
        <v>57.265941703532945</v>
      </c>
      <c r="V1928" s="13">
        <v>15673</v>
      </c>
      <c r="W1928" s="13" t="s">
        <v>2074</v>
      </c>
      <c r="X1928" s="13" t="s">
        <v>498</v>
      </c>
      <c r="Y1928" s="13" t="s">
        <v>499</v>
      </c>
      <c r="Z1928" s="13" t="s">
        <v>2075</v>
      </c>
    </row>
    <row r="1929" spans="1:26">
      <c r="A1929" t="s">
        <v>412</v>
      </c>
      <c r="B1929" s="25">
        <f>+Municipios!P826</f>
        <v>41.117538432359765</v>
      </c>
      <c r="C1929" s="13">
        <v>13549</v>
      </c>
      <c r="D1929" s="13" t="s">
        <v>2076</v>
      </c>
      <c r="E1929" s="13" t="s">
        <v>480</v>
      </c>
      <c r="F1929" s="13" t="s">
        <v>481</v>
      </c>
      <c r="G1929" s="13" t="s">
        <v>2077</v>
      </c>
      <c r="K1929" t="s">
        <v>413</v>
      </c>
      <c r="L1929" s="81">
        <f>+Municipios!U826</f>
        <v>18.579011109164355</v>
      </c>
      <c r="M1929" s="13">
        <v>13549</v>
      </c>
      <c r="N1929" s="13" t="s">
        <v>2076</v>
      </c>
      <c r="O1929" s="13" t="s">
        <v>480</v>
      </c>
      <c r="P1929" s="13" t="s">
        <v>481</v>
      </c>
      <c r="Q1929" s="13" t="s">
        <v>2077</v>
      </c>
      <c r="T1929" t="s">
        <v>2804</v>
      </c>
      <c r="U1929" s="25">
        <f>+Municipios!P826</f>
        <v>41.117538432359765</v>
      </c>
      <c r="V1929" s="13">
        <v>13549</v>
      </c>
      <c r="W1929" s="13" t="s">
        <v>2076</v>
      </c>
      <c r="X1929" s="13" t="s">
        <v>480</v>
      </c>
      <c r="Y1929" s="13" t="s">
        <v>481</v>
      </c>
      <c r="Z1929" s="13" t="s">
        <v>2077</v>
      </c>
    </row>
    <row r="1930" spans="1:26">
      <c r="A1930" t="s">
        <v>412</v>
      </c>
      <c r="B1930" s="25">
        <f>+Municipios!P827</f>
        <v>43.930160510127465</v>
      </c>
      <c r="C1930" s="13">
        <v>15172</v>
      </c>
      <c r="D1930" s="13" t="s">
        <v>2078</v>
      </c>
      <c r="E1930" s="13" t="s">
        <v>498</v>
      </c>
      <c r="F1930" s="13" t="s">
        <v>499</v>
      </c>
      <c r="G1930" s="13" t="s">
        <v>2079</v>
      </c>
      <c r="K1930" t="s">
        <v>413</v>
      </c>
      <c r="L1930" s="81">
        <f>+Municipios!U827</f>
        <v>19.615317673927567</v>
      </c>
      <c r="M1930" s="13">
        <v>15172</v>
      </c>
      <c r="N1930" s="13" t="s">
        <v>2078</v>
      </c>
      <c r="O1930" s="13" t="s">
        <v>498</v>
      </c>
      <c r="P1930" s="13" t="s">
        <v>499</v>
      </c>
      <c r="Q1930" s="13" t="s">
        <v>2079</v>
      </c>
      <c r="T1930" t="s">
        <v>2804</v>
      </c>
      <c r="U1930" s="25">
        <f>+Municipios!P827</f>
        <v>43.930160510127465</v>
      </c>
      <c r="V1930" s="13">
        <v>15172</v>
      </c>
      <c r="W1930" s="13" t="s">
        <v>2078</v>
      </c>
      <c r="X1930" s="13" t="s">
        <v>498</v>
      </c>
      <c r="Y1930" s="13" t="s">
        <v>499</v>
      </c>
      <c r="Z1930" s="13" t="s">
        <v>2079</v>
      </c>
    </row>
    <row r="1931" spans="1:26">
      <c r="A1931" t="s">
        <v>412</v>
      </c>
      <c r="B1931" s="25">
        <f>+Municipios!P828</f>
        <v>67.18981023805209</v>
      </c>
      <c r="C1931" s="13">
        <v>54109</v>
      </c>
      <c r="D1931" s="13" t="s">
        <v>2080</v>
      </c>
      <c r="E1931" s="13" t="s">
        <v>517</v>
      </c>
      <c r="F1931" s="13" t="s">
        <v>518</v>
      </c>
      <c r="G1931" s="13" t="s">
        <v>2081</v>
      </c>
      <c r="K1931" t="s">
        <v>413</v>
      </c>
      <c r="L1931" s="81">
        <f>+Municipios!U828</f>
        <v>30.646936810976644</v>
      </c>
      <c r="M1931" s="13">
        <v>54109</v>
      </c>
      <c r="N1931" s="13" t="s">
        <v>2080</v>
      </c>
      <c r="O1931" s="13" t="s">
        <v>517</v>
      </c>
      <c r="P1931" s="13" t="s">
        <v>518</v>
      </c>
      <c r="Q1931" s="13" t="s">
        <v>2081</v>
      </c>
      <c r="T1931" t="s">
        <v>2804</v>
      </c>
      <c r="U1931" s="25">
        <f>+Municipios!P828</f>
        <v>67.18981023805209</v>
      </c>
      <c r="V1931" s="13">
        <v>54109</v>
      </c>
      <c r="W1931" s="13" t="s">
        <v>2080</v>
      </c>
      <c r="X1931" s="13" t="s">
        <v>517</v>
      </c>
      <c r="Y1931" s="13" t="s">
        <v>518</v>
      </c>
      <c r="Z1931" s="13" t="s">
        <v>2081</v>
      </c>
    </row>
    <row r="1932" spans="1:26">
      <c r="A1932" t="s">
        <v>412</v>
      </c>
      <c r="B1932" s="25">
        <f>+Municipios!P829</f>
        <v>53.800138523067602</v>
      </c>
      <c r="C1932" s="13">
        <v>73043</v>
      </c>
      <c r="D1932" s="13" t="s">
        <v>2082</v>
      </c>
      <c r="E1932" s="13" t="s">
        <v>595</v>
      </c>
      <c r="F1932" s="13" t="s">
        <v>596</v>
      </c>
      <c r="G1932" s="13" t="s">
        <v>2083</v>
      </c>
      <c r="K1932" t="s">
        <v>413</v>
      </c>
      <c r="L1932" s="81">
        <f>+Municipios!U829</f>
        <v>24.320056577184587</v>
      </c>
      <c r="M1932" s="13">
        <v>73043</v>
      </c>
      <c r="N1932" s="13" t="s">
        <v>2082</v>
      </c>
      <c r="O1932" s="13" t="s">
        <v>595</v>
      </c>
      <c r="P1932" s="13" t="s">
        <v>596</v>
      </c>
      <c r="Q1932" s="13" t="s">
        <v>2083</v>
      </c>
      <c r="T1932" t="s">
        <v>2804</v>
      </c>
      <c r="U1932" s="25">
        <f>+Municipios!P829</f>
        <v>53.800138523067602</v>
      </c>
      <c r="V1932" s="13">
        <v>73043</v>
      </c>
      <c r="W1932" s="13" t="s">
        <v>2082</v>
      </c>
      <c r="X1932" s="13" t="s">
        <v>595</v>
      </c>
      <c r="Y1932" s="13" t="s">
        <v>596</v>
      </c>
      <c r="Z1932" s="13" t="s">
        <v>2083</v>
      </c>
    </row>
    <row r="1933" spans="1:26">
      <c r="A1933" t="s">
        <v>412</v>
      </c>
      <c r="B1933" s="25">
        <f>+Municipios!P830</f>
        <v>60.213428795531257</v>
      </c>
      <c r="C1933" s="13">
        <v>54743</v>
      </c>
      <c r="D1933" s="13" t="s">
        <v>2084</v>
      </c>
      <c r="E1933" s="13" t="s">
        <v>517</v>
      </c>
      <c r="F1933" s="13" t="s">
        <v>518</v>
      </c>
      <c r="G1933" s="13" t="s">
        <v>2085</v>
      </c>
      <c r="K1933" t="s">
        <v>413</v>
      </c>
      <c r="L1933" s="81">
        <f>+Municipios!U830</f>
        <v>26.561281718706869</v>
      </c>
      <c r="M1933" s="13">
        <v>54743</v>
      </c>
      <c r="N1933" s="13" t="s">
        <v>2084</v>
      </c>
      <c r="O1933" s="13" t="s">
        <v>517</v>
      </c>
      <c r="P1933" s="13" t="s">
        <v>518</v>
      </c>
      <c r="Q1933" s="13" t="s">
        <v>2085</v>
      </c>
      <c r="T1933" t="s">
        <v>2804</v>
      </c>
      <c r="U1933" s="25">
        <f>+Municipios!P830</f>
        <v>60.213428795531257</v>
      </c>
      <c r="V1933" s="13">
        <v>54743</v>
      </c>
      <c r="W1933" s="13" t="s">
        <v>2084</v>
      </c>
      <c r="X1933" s="13" t="s">
        <v>517</v>
      </c>
      <c r="Y1933" s="13" t="s">
        <v>518</v>
      </c>
      <c r="Z1933" s="13" t="s">
        <v>2085</v>
      </c>
    </row>
    <row r="1934" spans="1:26">
      <c r="A1934" t="s">
        <v>412</v>
      </c>
      <c r="B1934" s="25">
        <f>+Municipios!P831</f>
        <v>62.731320806178914</v>
      </c>
      <c r="C1934" s="13">
        <v>54125</v>
      </c>
      <c r="D1934" s="13" t="s">
        <v>2086</v>
      </c>
      <c r="E1934" s="13" t="s">
        <v>517</v>
      </c>
      <c r="F1934" s="13" t="s">
        <v>518</v>
      </c>
      <c r="G1934" s="13" t="s">
        <v>2087</v>
      </c>
      <c r="K1934" t="s">
        <v>413</v>
      </c>
      <c r="L1934" s="81">
        <f>+Municipios!U831</f>
        <v>28.420525160583956</v>
      </c>
      <c r="M1934" s="13">
        <v>54125</v>
      </c>
      <c r="N1934" s="13" t="s">
        <v>2086</v>
      </c>
      <c r="O1934" s="13" t="s">
        <v>517</v>
      </c>
      <c r="P1934" s="13" t="s">
        <v>518</v>
      </c>
      <c r="Q1934" s="13" t="s">
        <v>2087</v>
      </c>
      <c r="T1934" t="s">
        <v>2804</v>
      </c>
      <c r="U1934" s="25">
        <f>+Municipios!P831</f>
        <v>62.731320806178914</v>
      </c>
      <c r="V1934" s="13">
        <v>54125</v>
      </c>
      <c r="W1934" s="13" t="s">
        <v>2086</v>
      </c>
      <c r="X1934" s="13" t="s">
        <v>517</v>
      </c>
      <c r="Y1934" s="13" t="s">
        <v>518</v>
      </c>
      <c r="Z1934" s="13" t="s">
        <v>2087</v>
      </c>
    </row>
    <row r="1935" spans="1:26">
      <c r="A1935" t="s">
        <v>412</v>
      </c>
      <c r="B1935" s="25">
        <f>+Municipios!P832</f>
        <v>55.095895118701065</v>
      </c>
      <c r="C1935" s="13">
        <v>54344</v>
      </c>
      <c r="D1935" s="13" t="s">
        <v>2088</v>
      </c>
      <c r="E1935" s="13" t="s">
        <v>517</v>
      </c>
      <c r="F1935" s="13" t="s">
        <v>518</v>
      </c>
      <c r="G1935" s="13" t="s">
        <v>2089</v>
      </c>
      <c r="K1935" t="s">
        <v>413</v>
      </c>
      <c r="L1935" s="81">
        <f>+Municipios!U832</f>
        <v>24.654644852755919</v>
      </c>
      <c r="M1935" s="13">
        <v>54344</v>
      </c>
      <c r="N1935" s="13" t="s">
        <v>2088</v>
      </c>
      <c r="O1935" s="13" t="s">
        <v>517</v>
      </c>
      <c r="P1935" s="13" t="s">
        <v>518</v>
      </c>
      <c r="Q1935" s="13" t="s">
        <v>2089</v>
      </c>
      <c r="T1935" t="s">
        <v>2804</v>
      </c>
      <c r="U1935" s="25">
        <f>+Municipios!P832</f>
        <v>55.095895118701065</v>
      </c>
      <c r="V1935" s="13">
        <v>54344</v>
      </c>
      <c r="W1935" s="13" t="s">
        <v>2088</v>
      </c>
      <c r="X1935" s="13" t="s">
        <v>517</v>
      </c>
      <c r="Y1935" s="13" t="s">
        <v>518</v>
      </c>
      <c r="Z1935" s="13" t="s">
        <v>2089</v>
      </c>
    </row>
    <row r="1936" spans="1:26">
      <c r="A1936" t="s">
        <v>412</v>
      </c>
      <c r="B1936" s="25">
        <f>+Municipios!P833</f>
        <v>50.224859546316225</v>
      </c>
      <c r="C1936" s="13">
        <v>68160</v>
      </c>
      <c r="D1936" s="13" t="s">
        <v>2090</v>
      </c>
      <c r="E1936" s="13" t="s">
        <v>431</v>
      </c>
      <c r="F1936" s="13" t="s">
        <v>432</v>
      </c>
      <c r="G1936" s="13" t="s">
        <v>2091</v>
      </c>
      <c r="K1936" t="s">
        <v>413</v>
      </c>
      <c r="L1936" s="81">
        <f>+Municipios!U833</f>
        <v>22.839639158765287</v>
      </c>
      <c r="M1936" s="13">
        <v>68160</v>
      </c>
      <c r="N1936" s="13" t="s">
        <v>2090</v>
      </c>
      <c r="O1936" s="13" t="s">
        <v>431</v>
      </c>
      <c r="P1936" s="13" t="s">
        <v>432</v>
      </c>
      <c r="Q1936" s="13" t="s">
        <v>2091</v>
      </c>
      <c r="T1936" t="s">
        <v>2804</v>
      </c>
      <c r="U1936" s="25">
        <f>+Municipios!P833</f>
        <v>50.224859546316225</v>
      </c>
      <c r="V1936" s="13">
        <v>68160</v>
      </c>
      <c r="W1936" s="13" t="s">
        <v>2090</v>
      </c>
      <c r="X1936" s="13" t="s">
        <v>431</v>
      </c>
      <c r="Y1936" s="13" t="s">
        <v>432</v>
      </c>
      <c r="Z1936" s="13" t="s">
        <v>2091</v>
      </c>
    </row>
    <row r="1937" spans="1:26">
      <c r="A1937" t="s">
        <v>412</v>
      </c>
      <c r="B1937" s="25">
        <f>+Municipios!P834</f>
        <v>59.548037297489998</v>
      </c>
      <c r="C1937" s="13">
        <v>5107</v>
      </c>
      <c r="D1937" s="13" t="s">
        <v>2092</v>
      </c>
      <c r="E1937" s="13" t="s">
        <v>435</v>
      </c>
      <c r="F1937" s="13" t="s">
        <v>436</v>
      </c>
      <c r="G1937" s="13" t="s">
        <v>1794</v>
      </c>
      <c r="K1937" t="s">
        <v>413</v>
      </c>
      <c r="L1937" s="81">
        <f>+Municipios!U834</f>
        <v>26.813314734781262</v>
      </c>
      <c r="M1937" s="13">
        <v>5107</v>
      </c>
      <c r="N1937" s="13" t="s">
        <v>2092</v>
      </c>
      <c r="O1937" s="13" t="s">
        <v>435</v>
      </c>
      <c r="P1937" s="13" t="s">
        <v>436</v>
      </c>
      <c r="Q1937" s="13" t="s">
        <v>1794</v>
      </c>
      <c r="T1937" t="s">
        <v>2804</v>
      </c>
      <c r="U1937" s="25">
        <f>+Municipios!P834</f>
        <v>59.548037297489998</v>
      </c>
      <c r="V1937" s="13">
        <v>5107</v>
      </c>
      <c r="W1937" s="13" t="s">
        <v>2092</v>
      </c>
      <c r="X1937" s="13" t="s">
        <v>435</v>
      </c>
      <c r="Y1937" s="13" t="s">
        <v>436</v>
      </c>
      <c r="Z1937" s="13" t="s">
        <v>1794</v>
      </c>
    </row>
    <row r="1938" spans="1:26">
      <c r="A1938" t="s">
        <v>412</v>
      </c>
      <c r="B1938" s="25">
        <f>+Municipios!P835</f>
        <v>61.031288701995287</v>
      </c>
      <c r="C1938" s="13">
        <v>68245</v>
      </c>
      <c r="D1938" s="13" t="s">
        <v>2093</v>
      </c>
      <c r="E1938" s="13" t="s">
        <v>431</v>
      </c>
      <c r="F1938" s="13" t="s">
        <v>432</v>
      </c>
      <c r="G1938" s="13" t="s">
        <v>2094</v>
      </c>
      <c r="K1938" t="s">
        <v>413</v>
      </c>
      <c r="L1938" s="81">
        <f>+Municipios!U835</f>
        <v>27.396332398918979</v>
      </c>
      <c r="M1938" s="13">
        <v>68245</v>
      </c>
      <c r="N1938" s="13" t="s">
        <v>2093</v>
      </c>
      <c r="O1938" s="13" t="s">
        <v>431</v>
      </c>
      <c r="P1938" s="13" t="s">
        <v>432</v>
      </c>
      <c r="Q1938" s="13" t="s">
        <v>2094</v>
      </c>
      <c r="T1938" t="s">
        <v>2804</v>
      </c>
      <c r="U1938" s="25">
        <f>+Municipios!P835</f>
        <v>61.031288701995287</v>
      </c>
      <c r="V1938" s="13">
        <v>68245</v>
      </c>
      <c r="W1938" s="13" t="s">
        <v>2093</v>
      </c>
      <c r="X1938" s="13" t="s">
        <v>431</v>
      </c>
      <c r="Y1938" s="13" t="s">
        <v>432</v>
      </c>
      <c r="Z1938" s="13" t="s">
        <v>2094</v>
      </c>
    </row>
    <row r="1939" spans="1:26">
      <c r="A1939" t="s">
        <v>412</v>
      </c>
      <c r="B1939" s="25">
        <f>+Municipios!P836</f>
        <v>59.05215762692464</v>
      </c>
      <c r="C1939" s="13">
        <v>25518</v>
      </c>
      <c r="D1939" s="13" t="s">
        <v>2095</v>
      </c>
      <c r="E1939" s="13" t="s">
        <v>461</v>
      </c>
      <c r="F1939" s="13" t="s">
        <v>462</v>
      </c>
      <c r="G1939" s="13" t="s">
        <v>2096</v>
      </c>
      <c r="K1939" t="s">
        <v>413</v>
      </c>
      <c r="L1939" s="81">
        <f>+Municipios!U836</f>
        <v>25.71980759665249</v>
      </c>
      <c r="M1939" s="13">
        <v>25518</v>
      </c>
      <c r="N1939" s="13" t="s">
        <v>2095</v>
      </c>
      <c r="O1939" s="13" t="s">
        <v>461</v>
      </c>
      <c r="P1939" s="13" t="s">
        <v>462</v>
      </c>
      <c r="Q1939" s="13" t="s">
        <v>2096</v>
      </c>
      <c r="T1939" t="s">
        <v>2804</v>
      </c>
      <c r="U1939" s="25">
        <f>+Municipios!P836</f>
        <v>59.05215762692464</v>
      </c>
      <c r="V1939" s="13">
        <v>25518</v>
      </c>
      <c r="W1939" s="13" t="s">
        <v>2095</v>
      </c>
      <c r="X1939" s="13" t="s">
        <v>461</v>
      </c>
      <c r="Y1939" s="13" t="s">
        <v>462</v>
      </c>
      <c r="Z1939" s="13" t="s">
        <v>2096</v>
      </c>
    </row>
    <row r="1940" spans="1:26">
      <c r="A1940" t="s">
        <v>412</v>
      </c>
      <c r="B1940" s="25">
        <f>+Municipios!P837</f>
        <v>73.244544838627348</v>
      </c>
      <c r="C1940" s="13">
        <v>85162</v>
      </c>
      <c r="D1940" s="13" t="s">
        <v>2097</v>
      </c>
      <c r="E1940" s="13" t="s">
        <v>1351</v>
      </c>
      <c r="F1940" s="13" t="s">
        <v>1352</v>
      </c>
      <c r="G1940" s="13" t="s">
        <v>2098</v>
      </c>
      <c r="K1940" t="s">
        <v>413</v>
      </c>
      <c r="L1940" s="81">
        <f>+Municipios!U837</f>
        <v>32.712760033379197</v>
      </c>
      <c r="M1940" s="13">
        <v>85162</v>
      </c>
      <c r="N1940" s="13" t="s">
        <v>2097</v>
      </c>
      <c r="O1940" s="13" t="s">
        <v>1351</v>
      </c>
      <c r="P1940" s="13" t="s">
        <v>1352</v>
      </c>
      <c r="Q1940" s="13" t="s">
        <v>2098</v>
      </c>
      <c r="T1940" t="s">
        <v>2804</v>
      </c>
      <c r="U1940" s="25">
        <f>+Municipios!P837</f>
        <v>73.244544838627348</v>
      </c>
      <c r="V1940" s="13">
        <v>85162</v>
      </c>
      <c r="W1940" s="13" t="s">
        <v>2097</v>
      </c>
      <c r="X1940" s="13" t="s">
        <v>1351</v>
      </c>
      <c r="Y1940" s="13" t="s">
        <v>1352</v>
      </c>
      <c r="Z1940" s="13" t="s">
        <v>2098</v>
      </c>
    </row>
    <row r="1941" spans="1:26">
      <c r="A1941" t="s">
        <v>412</v>
      </c>
      <c r="B1941" s="25">
        <f>+Municipios!P838</f>
        <v>60.488709440146565</v>
      </c>
      <c r="C1941" s="13">
        <v>52573</v>
      </c>
      <c r="D1941" s="13" t="s">
        <v>2099</v>
      </c>
      <c r="E1941" s="13" t="s">
        <v>672</v>
      </c>
      <c r="F1941" s="13" t="s">
        <v>673</v>
      </c>
      <c r="G1941" s="13" t="s">
        <v>2100</v>
      </c>
      <c r="K1941" t="s">
        <v>413</v>
      </c>
      <c r="L1941" s="81">
        <f>+Municipios!U838</f>
        <v>27.005632297918986</v>
      </c>
      <c r="M1941" s="13">
        <v>52573</v>
      </c>
      <c r="N1941" s="13" t="s">
        <v>2099</v>
      </c>
      <c r="O1941" s="13" t="s">
        <v>672</v>
      </c>
      <c r="P1941" s="13" t="s">
        <v>673</v>
      </c>
      <c r="Q1941" s="13" t="s">
        <v>2100</v>
      </c>
      <c r="T1941" t="s">
        <v>2804</v>
      </c>
      <c r="U1941" s="25">
        <f>+Municipios!P838</f>
        <v>60.488709440146565</v>
      </c>
      <c r="V1941" s="13">
        <v>52573</v>
      </c>
      <c r="W1941" s="13" t="s">
        <v>2099</v>
      </c>
      <c r="X1941" s="13" t="s">
        <v>672</v>
      </c>
      <c r="Y1941" s="13" t="s">
        <v>673</v>
      </c>
      <c r="Z1941" s="13" t="s">
        <v>2100</v>
      </c>
    </row>
    <row r="1942" spans="1:26">
      <c r="A1942" t="s">
        <v>412</v>
      </c>
      <c r="B1942" s="25">
        <f>+Municipios!P839</f>
        <v>71.251564420930222</v>
      </c>
      <c r="C1942" s="13">
        <v>54223</v>
      </c>
      <c r="D1942" s="13" t="s">
        <v>2101</v>
      </c>
      <c r="E1942" s="13" t="s">
        <v>517</v>
      </c>
      <c r="F1942" s="13" t="s">
        <v>518</v>
      </c>
      <c r="G1942" s="13" t="s">
        <v>2102</v>
      </c>
      <c r="K1942" t="s">
        <v>413</v>
      </c>
      <c r="L1942" s="81">
        <f>+Municipios!U839</f>
        <v>31.84984048796262</v>
      </c>
      <c r="M1942" s="13">
        <v>54223</v>
      </c>
      <c r="N1942" s="13" t="s">
        <v>2101</v>
      </c>
      <c r="O1942" s="13" t="s">
        <v>517</v>
      </c>
      <c r="P1942" s="13" t="s">
        <v>518</v>
      </c>
      <c r="Q1942" s="13" t="s">
        <v>2102</v>
      </c>
      <c r="T1942" t="s">
        <v>2804</v>
      </c>
      <c r="U1942" s="25">
        <f>+Municipios!P839</f>
        <v>71.251564420930222</v>
      </c>
      <c r="V1942" s="13">
        <v>54223</v>
      </c>
      <c r="W1942" s="13" t="s">
        <v>2101</v>
      </c>
      <c r="X1942" s="13" t="s">
        <v>517</v>
      </c>
      <c r="Y1942" s="13" t="s">
        <v>518</v>
      </c>
      <c r="Z1942" s="13" t="s">
        <v>2102</v>
      </c>
    </row>
    <row r="1943" spans="1:26">
      <c r="A1943" t="s">
        <v>412</v>
      </c>
      <c r="B1943" s="25">
        <f>+Municipios!P840</f>
        <v>64.253031392447113</v>
      </c>
      <c r="C1943" s="13">
        <v>68464</v>
      </c>
      <c r="D1943" s="13" t="s">
        <v>2103</v>
      </c>
      <c r="E1943" s="13" t="s">
        <v>431</v>
      </c>
      <c r="F1943" s="13" t="s">
        <v>432</v>
      </c>
      <c r="G1943" s="13" t="s">
        <v>2104</v>
      </c>
      <c r="K1943" t="s">
        <v>413</v>
      </c>
      <c r="L1943" s="81">
        <f>+Municipios!U840</f>
        <v>29.33590892531959</v>
      </c>
      <c r="M1943" s="13">
        <v>68464</v>
      </c>
      <c r="N1943" s="13" t="s">
        <v>2103</v>
      </c>
      <c r="O1943" s="13" t="s">
        <v>431</v>
      </c>
      <c r="P1943" s="13" t="s">
        <v>432</v>
      </c>
      <c r="Q1943" s="13" t="s">
        <v>2104</v>
      </c>
      <c r="T1943" t="s">
        <v>2804</v>
      </c>
      <c r="U1943" s="25">
        <f>+Municipios!P840</f>
        <v>64.253031392447113</v>
      </c>
      <c r="V1943" s="13">
        <v>68464</v>
      </c>
      <c r="W1943" s="13" t="s">
        <v>2103</v>
      </c>
      <c r="X1943" s="13" t="s">
        <v>431</v>
      </c>
      <c r="Y1943" s="13" t="s">
        <v>432</v>
      </c>
      <c r="Z1943" s="13" t="s">
        <v>2104</v>
      </c>
    </row>
    <row r="1944" spans="1:26">
      <c r="A1944" t="s">
        <v>412</v>
      </c>
      <c r="B1944" s="25">
        <f>+Municipios!P841</f>
        <v>50.914847917087712</v>
      </c>
      <c r="C1944" s="13">
        <v>52385</v>
      </c>
      <c r="D1944" s="13" t="s">
        <v>2105</v>
      </c>
      <c r="E1944" s="13" t="s">
        <v>672</v>
      </c>
      <c r="F1944" s="13" t="s">
        <v>673</v>
      </c>
      <c r="G1944" s="13" t="s">
        <v>2106</v>
      </c>
      <c r="K1944" t="s">
        <v>413</v>
      </c>
      <c r="L1944" s="81">
        <f>+Municipios!U841</f>
        <v>22.780658159427364</v>
      </c>
      <c r="M1944" s="13">
        <v>52385</v>
      </c>
      <c r="N1944" s="13" t="s">
        <v>2105</v>
      </c>
      <c r="O1944" s="13" t="s">
        <v>672</v>
      </c>
      <c r="P1944" s="13" t="s">
        <v>673</v>
      </c>
      <c r="Q1944" s="13" t="s">
        <v>2106</v>
      </c>
      <c r="T1944" t="s">
        <v>2804</v>
      </c>
      <c r="U1944" s="25">
        <f>+Municipios!P841</f>
        <v>50.914847917087712</v>
      </c>
      <c r="V1944" s="13">
        <v>52385</v>
      </c>
      <c r="W1944" s="13" t="s">
        <v>2105</v>
      </c>
      <c r="X1944" s="13" t="s">
        <v>672</v>
      </c>
      <c r="Y1944" s="13" t="s">
        <v>673</v>
      </c>
      <c r="Z1944" s="13" t="s">
        <v>2106</v>
      </c>
    </row>
    <row r="1945" spans="1:26">
      <c r="A1945" t="s">
        <v>412</v>
      </c>
      <c r="B1945" s="25">
        <f>+Municipios!P842</f>
        <v>58.681506176008057</v>
      </c>
      <c r="C1945" s="13">
        <v>68468</v>
      </c>
      <c r="D1945" s="13" t="s">
        <v>2107</v>
      </c>
      <c r="E1945" s="13" t="s">
        <v>431</v>
      </c>
      <c r="F1945" s="13" t="s">
        <v>432</v>
      </c>
      <c r="G1945" s="13" t="s">
        <v>2108</v>
      </c>
      <c r="K1945" t="s">
        <v>413</v>
      </c>
      <c r="L1945" s="81">
        <f>+Municipios!U842</f>
        <v>26.588687797592545</v>
      </c>
      <c r="M1945" s="13">
        <v>68468</v>
      </c>
      <c r="N1945" s="13" t="s">
        <v>2107</v>
      </c>
      <c r="O1945" s="13" t="s">
        <v>431</v>
      </c>
      <c r="P1945" s="13" t="s">
        <v>432</v>
      </c>
      <c r="Q1945" s="13" t="s">
        <v>2108</v>
      </c>
      <c r="T1945" t="s">
        <v>2804</v>
      </c>
      <c r="U1945" s="25">
        <f>+Municipios!P842</f>
        <v>58.681506176008057</v>
      </c>
      <c r="V1945" s="13">
        <v>68468</v>
      </c>
      <c r="W1945" s="13" t="s">
        <v>2107</v>
      </c>
      <c r="X1945" s="13" t="s">
        <v>431</v>
      </c>
      <c r="Y1945" s="13" t="s">
        <v>432</v>
      </c>
      <c r="Z1945" s="13" t="s">
        <v>2108</v>
      </c>
    </row>
    <row r="1946" spans="1:26">
      <c r="A1946" t="s">
        <v>412</v>
      </c>
      <c r="B1946" s="25">
        <f>+Municipios!P843</f>
        <v>64.472015477030126</v>
      </c>
      <c r="C1946" s="13">
        <v>41660</v>
      </c>
      <c r="D1946" s="13" t="s">
        <v>2109</v>
      </c>
      <c r="E1946" s="13" t="s">
        <v>676</v>
      </c>
      <c r="F1946" s="13" t="s">
        <v>677</v>
      </c>
      <c r="G1946" s="13" t="s">
        <v>2110</v>
      </c>
      <c r="K1946" t="s">
        <v>413</v>
      </c>
      <c r="L1946" s="81">
        <f>+Municipios!U843</f>
        <v>28.664878390980121</v>
      </c>
      <c r="M1946" s="13">
        <v>41660</v>
      </c>
      <c r="N1946" s="13" t="s">
        <v>2109</v>
      </c>
      <c r="O1946" s="13" t="s">
        <v>676</v>
      </c>
      <c r="P1946" s="13" t="s">
        <v>677</v>
      </c>
      <c r="Q1946" s="13" t="s">
        <v>2110</v>
      </c>
      <c r="T1946" t="s">
        <v>2804</v>
      </c>
      <c r="U1946" s="25">
        <f>+Municipios!P843</f>
        <v>64.472015477030126</v>
      </c>
      <c r="V1946" s="13">
        <v>41660</v>
      </c>
      <c r="W1946" s="13" t="s">
        <v>2109</v>
      </c>
      <c r="X1946" s="13" t="s">
        <v>676</v>
      </c>
      <c r="Y1946" s="13" t="s">
        <v>677</v>
      </c>
      <c r="Z1946" s="13" t="s">
        <v>2110</v>
      </c>
    </row>
    <row r="1947" spans="1:26">
      <c r="A1947" t="s">
        <v>412</v>
      </c>
      <c r="B1947" s="25">
        <f>+Municipios!P844</f>
        <v>45.90287891514285</v>
      </c>
      <c r="C1947" s="13">
        <v>73686</v>
      </c>
      <c r="D1947" s="13" t="s">
        <v>2111</v>
      </c>
      <c r="E1947" s="13" t="s">
        <v>595</v>
      </c>
      <c r="F1947" s="13" t="s">
        <v>596</v>
      </c>
      <c r="G1947" s="13" t="s">
        <v>2112</v>
      </c>
      <c r="K1947" t="s">
        <v>413</v>
      </c>
      <c r="L1947" s="81">
        <f>+Municipios!U844</f>
        <v>20.614971919028786</v>
      </c>
      <c r="M1947" s="13">
        <v>73686</v>
      </c>
      <c r="N1947" s="13" t="s">
        <v>2111</v>
      </c>
      <c r="O1947" s="13" t="s">
        <v>595</v>
      </c>
      <c r="P1947" s="13" t="s">
        <v>596</v>
      </c>
      <c r="Q1947" s="13" t="s">
        <v>2112</v>
      </c>
      <c r="T1947" t="s">
        <v>2804</v>
      </c>
      <c r="U1947" s="25">
        <f>+Municipios!P844</f>
        <v>45.90287891514285</v>
      </c>
      <c r="V1947" s="13">
        <v>73686</v>
      </c>
      <c r="W1947" s="13" t="s">
        <v>2111</v>
      </c>
      <c r="X1947" s="13" t="s">
        <v>595</v>
      </c>
      <c r="Y1947" s="13" t="s">
        <v>596</v>
      </c>
      <c r="Z1947" s="13" t="s">
        <v>2112</v>
      </c>
    </row>
    <row r="1948" spans="1:26">
      <c r="A1948" t="s">
        <v>412</v>
      </c>
      <c r="B1948" s="25">
        <f>+Municipios!P845</f>
        <v>54.363170848394375</v>
      </c>
      <c r="C1948" s="13">
        <v>54385</v>
      </c>
      <c r="D1948" s="13" t="s">
        <v>2113</v>
      </c>
      <c r="E1948" s="13" t="s">
        <v>517</v>
      </c>
      <c r="F1948" s="13" t="s">
        <v>518</v>
      </c>
      <c r="G1948" s="13" t="s">
        <v>2114</v>
      </c>
      <c r="K1948" t="s">
        <v>413</v>
      </c>
      <c r="L1948" s="81">
        <f>+Municipios!U845</f>
        <v>24.079242324150194</v>
      </c>
      <c r="M1948" s="13">
        <v>54385</v>
      </c>
      <c r="N1948" s="13" t="s">
        <v>2113</v>
      </c>
      <c r="O1948" s="13" t="s">
        <v>517</v>
      </c>
      <c r="P1948" s="13" t="s">
        <v>518</v>
      </c>
      <c r="Q1948" s="13" t="s">
        <v>2114</v>
      </c>
      <c r="T1948" t="s">
        <v>2804</v>
      </c>
      <c r="U1948" s="25">
        <f>+Municipios!P845</f>
        <v>54.363170848394375</v>
      </c>
      <c r="V1948" s="13">
        <v>54385</v>
      </c>
      <c r="W1948" s="13" t="s">
        <v>2113</v>
      </c>
      <c r="X1948" s="13" t="s">
        <v>517</v>
      </c>
      <c r="Y1948" s="13" t="s">
        <v>518</v>
      </c>
      <c r="Z1948" s="13" t="s">
        <v>2114</v>
      </c>
    </row>
    <row r="1949" spans="1:26">
      <c r="A1949" t="s">
        <v>412</v>
      </c>
      <c r="B1949" s="25">
        <f>+Municipios!P846</f>
        <v>53.037423565521223</v>
      </c>
      <c r="C1949" s="13">
        <v>54680</v>
      </c>
      <c r="D1949" s="13" t="s">
        <v>2115</v>
      </c>
      <c r="E1949" s="13" t="s">
        <v>517</v>
      </c>
      <c r="F1949" s="13" t="s">
        <v>518</v>
      </c>
      <c r="G1949" s="13" t="s">
        <v>2116</v>
      </c>
      <c r="K1949" t="s">
        <v>413</v>
      </c>
      <c r="L1949" s="81">
        <f>+Municipios!U846</f>
        <v>23.981521124501732</v>
      </c>
      <c r="M1949" s="13">
        <v>54680</v>
      </c>
      <c r="N1949" s="13" t="s">
        <v>2115</v>
      </c>
      <c r="O1949" s="13" t="s">
        <v>517</v>
      </c>
      <c r="P1949" s="13" t="s">
        <v>518</v>
      </c>
      <c r="Q1949" s="13" t="s">
        <v>2116</v>
      </c>
      <c r="T1949" t="s">
        <v>2804</v>
      </c>
      <c r="U1949" s="25">
        <f>+Municipios!P846</f>
        <v>53.037423565521223</v>
      </c>
      <c r="V1949" s="13">
        <v>54680</v>
      </c>
      <c r="W1949" s="13" t="s">
        <v>2115</v>
      </c>
      <c r="X1949" s="13" t="s">
        <v>517</v>
      </c>
      <c r="Y1949" s="13" t="s">
        <v>518</v>
      </c>
      <c r="Z1949" s="13" t="s">
        <v>2116</v>
      </c>
    </row>
    <row r="1950" spans="1:26">
      <c r="A1950" t="s">
        <v>412</v>
      </c>
      <c r="B1950" s="25">
        <f>+Municipios!P847</f>
        <v>41.551562840989753</v>
      </c>
      <c r="C1950" s="13">
        <v>73483</v>
      </c>
      <c r="D1950" s="13" t="s">
        <v>2117</v>
      </c>
      <c r="E1950" s="13" t="s">
        <v>595</v>
      </c>
      <c r="F1950" s="13" t="s">
        <v>596</v>
      </c>
      <c r="G1950" s="13" t="s">
        <v>2118</v>
      </c>
      <c r="K1950" t="s">
        <v>413</v>
      </c>
      <c r="L1950" s="81">
        <f>+Municipios!U847</f>
        <v>18.744801554859741</v>
      </c>
      <c r="M1950" s="13">
        <v>73483</v>
      </c>
      <c r="N1950" s="13" t="s">
        <v>2117</v>
      </c>
      <c r="O1950" s="13" t="s">
        <v>595</v>
      </c>
      <c r="P1950" s="13" t="s">
        <v>596</v>
      </c>
      <c r="Q1950" s="13" t="s">
        <v>2118</v>
      </c>
      <c r="T1950" t="s">
        <v>2804</v>
      </c>
      <c r="U1950" s="25">
        <f>+Municipios!P847</f>
        <v>41.551562840989753</v>
      </c>
      <c r="V1950" s="13">
        <v>73483</v>
      </c>
      <c r="W1950" s="13" t="s">
        <v>2117</v>
      </c>
      <c r="X1950" s="13" t="s">
        <v>595</v>
      </c>
      <c r="Y1950" s="13" t="s">
        <v>596</v>
      </c>
      <c r="Z1950" s="13" t="s">
        <v>2118</v>
      </c>
    </row>
    <row r="1951" spans="1:26">
      <c r="A1951" t="s">
        <v>412</v>
      </c>
      <c r="B1951" s="25">
        <f>+Municipios!P848</f>
        <v>53.70953180884247</v>
      </c>
      <c r="C1951" s="13">
        <v>54051</v>
      </c>
      <c r="D1951" s="13" t="s">
        <v>2119</v>
      </c>
      <c r="E1951" s="13" t="s">
        <v>517</v>
      </c>
      <c r="F1951" s="13" t="s">
        <v>518</v>
      </c>
      <c r="G1951" s="13" t="s">
        <v>2120</v>
      </c>
      <c r="K1951" t="s">
        <v>413</v>
      </c>
      <c r="L1951" s="81">
        <f>+Municipios!U848</f>
        <v>24.012447443082252</v>
      </c>
      <c r="M1951" s="13">
        <v>54051</v>
      </c>
      <c r="N1951" s="13" t="s">
        <v>2119</v>
      </c>
      <c r="O1951" s="13" t="s">
        <v>517</v>
      </c>
      <c r="P1951" s="13" t="s">
        <v>518</v>
      </c>
      <c r="Q1951" s="13" t="s">
        <v>2120</v>
      </c>
      <c r="T1951" t="s">
        <v>2804</v>
      </c>
      <c r="U1951" s="25">
        <f>+Municipios!P848</f>
        <v>53.70953180884247</v>
      </c>
      <c r="V1951" s="13">
        <v>54051</v>
      </c>
      <c r="W1951" s="13" t="s">
        <v>2119</v>
      </c>
      <c r="X1951" s="13" t="s">
        <v>517</v>
      </c>
      <c r="Y1951" s="13" t="s">
        <v>518</v>
      </c>
      <c r="Z1951" s="13" t="s">
        <v>2120</v>
      </c>
    </row>
    <row r="1952" spans="1:26">
      <c r="A1952" t="s">
        <v>412</v>
      </c>
      <c r="B1952" s="25">
        <f>+Municipios!P849</f>
        <v>48.131994606610945</v>
      </c>
      <c r="C1952" s="13">
        <v>25580</v>
      </c>
      <c r="D1952" s="13" t="s">
        <v>2121</v>
      </c>
      <c r="E1952" s="13" t="s">
        <v>461</v>
      </c>
      <c r="F1952" s="13" t="s">
        <v>462</v>
      </c>
      <c r="G1952" s="13" t="s">
        <v>2122</v>
      </c>
      <c r="K1952" t="s">
        <v>413</v>
      </c>
      <c r="L1952" s="81">
        <f>+Municipios!U849</f>
        <v>21.271326874283506</v>
      </c>
      <c r="M1952" s="13">
        <v>25580</v>
      </c>
      <c r="N1952" s="13" t="s">
        <v>2121</v>
      </c>
      <c r="O1952" s="13" t="s">
        <v>461</v>
      </c>
      <c r="P1952" s="13" t="s">
        <v>462</v>
      </c>
      <c r="Q1952" s="13" t="s">
        <v>2122</v>
      </c>
      <c r="T1952" t="s">
        <v>2804</v>
      </c>
      <c r="U1952" s="25">
        <f>+Municipios!P849</f>
        <v>48.131994606610945</v>
      </c>
      <c r="V1952" s="13">
        <v>25580</v>
      </c>
      <c r="W1952" s="13" t="s">
        <v>2121</v>
      </c>
      <c r="X1952" s="13" t="s">
        <v>461</v>
      </c>
      <c r="Y1952" s="13" t="s">
        <v>462</v>
      </c>
      <c r="Z1952" s="13" t="s">
        <v>2122</v>
      </c>
    </row>
    <row r="1953" spans="1:26">
      <c r="A1953" t="s">
        <v>412</v>
      </c>
      <c r="B1953" s="25">
        <f>+Municipios!P850</f>
        <v>51.866639788449554</v>
      </c>
      <c r="C1953" s="13">
        <v>52520</v>
      </c>
      <c r="D1953" s="13" t="s">
        <v>2123</v>
      </c>
      <c r="E1953" s="13" t="s">
        <v>672</v>
      </c>
      <c r="F1953" s="13" t="s">
        <v>673</v>
      </c>
      <c r="G1953" s="13" t="s">
        <v>2124</v>
      </c>
      <c r="K1953" t="s">
        <v>413</v>
      </c>
      <c r="L1953" s="81">
        <f>+Municipios!U850</f>
        <v>23.321458888429735</v>
      </c>
      <c r="M1953" s="13">
        <v>52520</v>
      </c>
      <c r="N1953" s="13" t="s">
        <v>2123</v>
      </c>
      <c r="O1953" s="13" t="s">
        <v>672</v>
      </c>
      <c r="P1953" s="13" t="s">
        <v>673</v>
      </c>
      <c r="Q1953" s="13" t="s">
        <v>2124</v>
      </c>
      <c r="T1953" t="s">
        <v>2804</v>
      </c>
      <c r="U1953" s="25">
        <f>+Municipios!P850</f>
        <v>51.866639788449554</v>
      </c>
      <c r="V1953" s="13">
        <v>52520</v>
      </c>
      <c r="W1953" s="13" t="s">
        <v>2123</v>
      </c>
      <c r="X1953" s="13" t="s">
        <v>672</v>
      </c>
      <c r="Y1953" s="13" t="s">
        <v>673</v>
      </c>
      <c r="Z1953" s="13" t="s">
        <v>2124</v>
      </c>
    </row>
    <row r="1954" spans="1:26">
      <c r="A1954" t="s">
        <v>412</v>
      </c>
      <c r="B1954" s="25">
        <f>+Municipios!P851</f>
        <v>59.768812343491732</v>
      </c>
      <c r="C1954" s="13">
        <v>19585</v>
      </c>
      <c r="D1954" s="13" t="s">
        <v>2125</v>
      </c>
      <c r="E1954" s="13" t="s">
        <v>557</v>
      </c>
      <c r="F1954" s="13" t="s">
        <v>558</v>
      </c>
      <c r="G1954" s="13" t="s">
        <v>2126</v>
      </c>
      <c r="K1954" t="s">
        <v>413</v>
      </c>
      <c r="L1954" s="81">
        <f>+Municipios!U851</f>
        <v>28.751491783995178</v>
      </c>
      <c r="M1954" s="13">
        <v>19585</v>
      </c>
      <c r="N1954" s="13" t="s">
        <v>2125</v>
      </c>
      <c r="O1954" s="13" t="s">
        <v>557</v>
      </c>
      <c r="P1954" s="13" t="s">
        <v>558</v>
      </c>
      <c r="Q1954" s="13" t="s">
        <v>2126</v>
      </c>
      <c r="T1954" t="s">
        <v>2804</v>
      </c>
      <c r="U1954" s="25">
        <f>+Municipios!P851</f>
        <v>59.768812343491732</v>
      </c>
      <c r="V1954" s="13">
        <v>19585</v>
      </c>
      <c r="W1954" s="13" t="s">
        <v>2125</v>
      </c>
      <c r="X1954" s="13" t="s">
        <v>557</v>
      </c>
      <c r="Y1954" s="13" t="s">
        <v>558</v>
      </c>
      <c r="Z1954" s="13" t="s">
        <v>2126</v>
      </c>
    </row>
    <row r="1955" spans="1:26">
      <c r="A1955" t="s">
        <v>412</v>
      </c>
      <c r="B1955" s="25">
        <f>+Municipios!P852</f>
        <v>58.500334234090673</v>
      </c>
      <c r="C1955" s="13">
        <v>5585</v>
      </c>
      <c r="D1955" s="13" t="s">
        <v>2127</v>
      </c>
      <c r="E1955" s="13" t="s">
        <v>435</v>
      </c>
      <c r="F1955" s="13" t="s">
        <v>436</v>
      </c>
      <c r="G1955" s="13" t="s">
        <v>2128</v>
      </c>
      <c r="K1955" t="s">
        <v>413</v>
      </c>
      <c r="L1955" s="81">
        <f>+Municipios!U852</f>
        <v>26.849361172997295</v>
      </c>
      <c r="M1955" s="13">
        <v>5585</v>
      </c>
      <c r="N1955" s="13" t="s">
        <v>2127</v>
      </c>
      <c r="O1955" s="13" t="s">
        <v>435</v>
      </c>
      <c r="P1955" s="13" t="s">
        <v>436</v>
      </c>
      <c r="Q1955" s="13" t="s">
        <v>2128</v>
      </c>
      <c r="T1955" t="s">
        <v>2804</v>
      </c>
      <c r="U1955" s="25">
        <f>+Municipios!P852</f>
        <v>58.500334234090673</v>
      </c>
      <c r="V1955" s="13">
        <v>5585</v>
      </c>
      <c r="W1955" s="13" t="s">
        <v>2127</v>
      </c>
      <c r="X1955" s="13" t="s">
        <v>435</v>
      </c>
      <c r="Y1955" s="13" t="s">
        <v>436</v>
      </c>
      <c r="Z1955" s="13" t="s">
        <v>2128</v>
      </c>
    </row>
    <row r="1956" spans="1:26">
      <c r="A1956" t="s">
        <v>412</v>
      </c>
      <c r="B1956" s="25">
        <f>+Municipios!P853</f>
        <v>51.290814664655343</v>
      </c>
      <c r="C1956" s="13">
        <v>54660</v>
      </c>
      <c r="D1956" s="13" t="s">
        <v>2129</v>
      </c>
      <c r="E1956" s="13" t="s">
        <v>517</v>
      </c>
      <c r="F1956" s="13" t="s">
        <v>518</v>
      </c>
      <c r="G1956" s="13" t="s">
        <v>2130</v>
      </c>
      <c r="K1956" t="s">
        <v>413</v>
      </c>
      <c r="L1956" s="81">
        <f>+Municipios!U853</f>
        <v>22.920882539930361</v>
      </c>
      <c r="M1956" s="13">
        <v>54660</v>
      </c>
      <c r="N1956" s="13" t="s">
        <v>2129</v>
      </c>
      <c r="O1956" s="13" t="s">
        <v>517</v>
      </c>
      <c r="P1956" s="13" t="s">
        <v>518</v>
      </c>
      <c r="Q1956" s="13" t="s">
        <v>2130</v>
      </c>
      <c r="T1956" t="s">
        <v>2804</v>
      </c>
      <c r="U1956" s="25">
        <f>+Municipios!P853</f>
        <v>51.290814664655343</v>
      </c>
      <c r="V1956" s="13">
        <v>54660</v>
      </c>
      <c r="W1956" s="13" t="s">
        <v>2129</v>
      </c>
      <c r="X1956" s="13" t="s">
        <v>517</v>
      </c>
      <c r="Y1956" s="13" t="s">
        <v>518</v>
      </c>
      <c r="Z1956" s="13" t="s">
        <v>2130</v>
      </c>
    </row>
    <row r="1957" spans="1:26">
      <c r="A1957" t="s">
        <v>412</v>
      </c>
      <c r="B1957" s="25">
        <f>+Municipios!P854</f>
        <v>51.778183349042678</v>
      </c>
      <c r="C1957" s="13">
        <v>68318</v>
      </c>
      <c r="D1957" s="13" t="s">
        <v>2131</v>
      </c>
      <c r="E1957" s="13" t="s">
        <v>431</v>
      </c>
      <c r="F1957" s="13" t="s">
        <v>432</v>
      </c>
      <c r="G1957" s="13" t="s">
        <v>2132</v>
      </c>
      <c r="K1957" t="s">
        <v>413</v>
      </c>
      <c r="L1957" s="81">
        <f>+Municipios!U854</f>
        <v>23.747729385200639</v>
      </c>
      <c r="M1957" s="13">
        <v>68318</v>
      </c>
      <c r="N1957" s="13" t="s">
        <v>2131</v>
      </c>
      <c r="O1957" s="13" t="s">
        <v>431</v>
      </c>
      <c r="P1957" s="13" t="s">
        <v>432</v>
      </c>
      <c r="Q1957" s="13" t="s">
        <v>2132</v>
      </c>
      <c r="T1957" t="s">
        <v>2804</v>
      </c>
      <c r="U1957" s="25">
        <f>+Municipios!P854</f>
        <v>51.778183349042678</v>
      </c>
      <c r="V1957" s="13">
        <v>68318</v>
      </c>
      <c r="W1957" s="13" t="s">
        <v>2131</v>
      </c>
      <c r="X1957" s="13" t="s">
        <v>431</v>
      </c>
      <c r="Y1957" s="13" t="s">
        <v>432</v>
      </c>
      <c r="Z1957" s="13" t="s">
        <v>2132</v>
      </c>
    </row>
    <row r="1958" spans="1:26">
      <c r="A1958" t="s">
        <v>412</v>
      </c>
      <c r="B1958" s="25">
        <f>+Municipios!P855</f>
        <v>58.586212013093089</v>
      </c>
      <c r="C1958" s="13">
        <v>23807</v>
      </c>
      <c r="D1958" s="13" t="s">
        <v>2133</v>
      </c>
      <c r="E1958" s="13" t="s">
        <v>567</v>
      </c>
      <c r="F1958" s="13" t="s">
        <v>568</v>
      </c>
      <c r="G1958" s="13" t="s">
        <v>2134</v>
      </c>
      <c r="K1958" t="s">
        <v>413</v>
      </c>
      <c r="L1958" s="81">
        <f>+Municipios!U855</f>
        <v>26.465745566228751</v>
      </c>
      <c r="M1958" s="13">
        <v>23807</v>
      </c>
      <c r="N1958" s="13" t="s">
        <v>2133</v>
      </c>
      <c r="O1958" s="13" t="s">
        <v>567</v>
      </c>
      <c r="P1958" s="13" t="s">
        <v>568</v>
      </c>
      <c r="Q1958" s="13" t="s">
        <v>2134</v>
      </c>
      <c r="T1958" t="s">
        <v>2804</v>
      </c>
      <c r="U1958" s="25">
        <f>+Municipios!P855</f>
        <v>58.586212013093089</v>
      </c>
      <c r="V1958" s="13">
        <v>23807</v>
      </c>
      <c r="W1958" s="13" t="s">
        <v>2133</v>
      </c>
      <c r="X1958" s="13" t="s">
        <v>567</v>
      </c>
      <c r="Y1958" s="13" t="s">
        <v>568</v>
      </c>
      <c r="Z1958" s="13" t="s">
        <v>2134</v>
      </c>
    </row>
    <row r="1959" spans="1:26">
      <c r="A1959" t="s">
        <v>412</v>
      </c>
      <c r="B1959" s="25">
        <f>+Municipios!P856</f>
        <v>43.020036487986097</v>
      </c>
      <c r="C1959" s="13">
        <v>13490</v>
      </c>
      <c r="D1959" s="13" t="s">
        <v>2135</v>
      </c>
      <c r="E1959" s="13" t="s">
        <v>480</v>
      </c>
      <c r="F1959" s="13" t="s">
        <v>481</v>
      </c>
      <c r="G1959" s="13" t="s">
        <v>2136</v>
      </c>
      <c r="K1959" t="s">
        <v>413</v>
      </c>
      <c r="L1959" s="81">
        <f>+Municipios!U856</f>
        <v>19.627577557974242</v>
      </c>
      <c r="M1959" s="13">
        <v>13490</v>
      </c>
      <c r="N1959" s="13" t="s">
        <v>2135</v>
      </c>
      <c r="O1959" s="13" t="s">
        <v>480</v>
      </c>
      <c r="P1959" s="13" t="s">
        <v>481</v>
      </c>
      <c r="Q1959" s="13" t="s">
        <v>2136</v>
      </c>
      <c r="T1959" t="s">
        <v>2804</v>
      </c>
      <c r="U1959" s="25">
        <f>+Municipios!P856</f>
        <v>43.020036487986097</v>
      </c>
      <c r="V1959" s="13">
        <v>13490</v>
      </c>
      <c r="W1959" s="13" t="s">
        <v>2135</v>
      </c>
      <c r="X1959" s="13" t="s">
        <v>480</v>
      </c>
      <c r="Y1959" s="13" t="s">
        <v>481</v>
      </c>
      <c r="Z1959" s="13" t="s">
        <v>2136</v>
      </c>
    </row>
    <row r="1960" spans="1:26">
      <c r="A1960" t="s">
        <v>412</v>
      </c>
      <c r="B1960" s="25">
        <f>+Municipios!P857</f>
        <v>49.850830521385404</v>
      </c>
      <c r="C1960" s="13">
        <v>73226</v>
      </c>
      <c r="D1960" s="13" t="s">
        <v>2137</v>
      </c>
      <c r="E1960" s="13" t="s">
        <v>595</v>
      </c>
      <c r="F1960" s="13" t="s">
        <v>596</v>
      </c>
      <c r="G1960" s="13" t="s">
        <v>2138</v>
      </c>
      <c r="K1960" t="s">
        <v>413</v>
      </c>
      <c r="L1960" s="81">
        <f>+Municipios!U857</f>
        <v>22.284120576336644</v>
      </c>
      <c r="M1960" s="13">
        <v>73226</v>
      </c>
      <c r="N1960" s="13" t="s">
        <v>2137</v>
      </c>
      <c r="O1960" s="13" t="s">
        <v>595</v>
      </c>
      <c r="P1960" s="13" t="s">
        <v>596</v>
      </c>
      <c r="Q1960" s="13" t="s">
        <v>2138</v>
      </c>
      <c r="T1960" t="s">
        <v>2804</v>
      </c>
      <c r="U1960" s="25">
        <f>+Municipios!P857</f>
        <v>49.850830521385404</v>
      </c>
      <c r="V1960" s="13">
        <v>73226</v>
      </c>
      <c r="W1960" s="13" t="s">
        <v>2137</v>
      </c>
      <c r="X1960" s="13" t="s">
        <v>595</v>
      </c>
      <c r="Y1960" s="13" t="s">
        <v>596</v>
      </c>
      <c r="Z1960" s="13" t="s">
        <v>2138</v>
      </c>
    </row>
    <row r="1961" spans="1:26">
      <c r="A1961" t="s">
        <v>412</v>
      </c>
      <c r="B1961" s="25">
        <f>+Municipios!P858</f>
        <v>58.104150546537547</v>
      </c>
      <c r="C1961" s="13">
        <v>5652</v>
      </c>
      <c r="D1961" s="13" t="s">
        <v>2139</v>
      </c>
      <c r="E1961" s="13" t="s">
        <v>435</v>
      </c>
      <c r="F1961" s="13" t="s">
        <v>436</v>
      </c>
      <c r="G1961" s="13" t="s">
        <v>975</v>
      </c>
      <c r="K1961" t="s">
        <v>413</v>
      </c>
      <c r="L1961" s="81">
        <f>+Municipios!U858</f>
        <v>26.020824256257768</v>
      </c>
      <c r="M1961" s="13">
        <v>5652</v>
      </c>
      <c r="N1961" s="13" t="s">
        <v>2139</v>
      </c>
      <c r="O1961" s="13" t="s">
        <v>435</v>
      </c>
      <c r="P1961" s="13" t="s">
        <v>436</v>
      </c>
      <c r="Q1961" s="13" t="s">
        <v>975</v>
      </c>
      <c r="T1961" t="s">
        <v>2804</v>
      </c>
      <c r="U1961" s="25">
        <f>+Municipios!P858</f>
        <v>58.104150546537547</v>
      </c>
      <c r="V1961" s="13">
        <v>5652</v>
      </c>
      <c r="W1961" s="13" t="s">
        <v>2139</v>
      </c>
      <c r="X1961" s="13" t="s">
        <v>435</v>
      </c>
      <c r="Y1961" s="13" t="s">
        <v>436</v>
      </c>
      <c r="Z1961" s="13" t="s">
        <v>975</v>
      </c>
    </row>
    <row r="1962" spans="1:26">
      <c r="A1962" t="s">
        <v>412</v>
      </c>
      <c r="B1962" s="25">
        <f>+Municipios!P859</f>
        <v>56.194996441391403</v>
      </c>
      <c r="C1962" s="13">
        <v>15236</v>
      </c>
      <c r="D1962" s="13" t="s">
        <v>2140</v>
      </c>
      <c r="E1962" s="13" t="s">
        <v>498</v>
      </c>
      <c r="F1962" s="13" t="s">
        <v>499</v>
      </c>
      <c r="G1962" s="13" t="s">
        <v>2141</v>
      </c>
      <c r="K1962" t="s">
        <v>413</v>
      </c>
      <c r="L1962" s="81">
        <f>+Municipios!U859</f>
        <v>25.05821258433312</v>
      </c>
      <c r="M1962" s="13">
        <v>15236</v>
      </c>
      <c r="N1962" s="13" t="s">
        <v>2140</v>
      </c>
      <c r="O1962" s="13" t="s">
        <v>498</v>
      </c>
      <c r="P1962" s="13" t="s">
        <v>499</v>
      </c>
      <c r="Q1962" s="13" t="s">
        <v>2141</v>
      </c>
      <c r="T1962" t="s">
        <v>2804</v>
      </c>
      <c r="U1962" s="25">
        <f>+Municipios!P859</f>
        <v>56.194996441391403</v>
      </c>
      <c r="V1962" s="13">
        <v>15236</v>
      </c>
      <c r="W1962" s="13" t="s">
        <v>2140</v>
      </c>
      <c r="X1962" s="13" t="s">
        <v>498</v>
      </c>
      <c r="Y1962" s="13" t="s">
        <v>499</v>
      </c>
      <c r="Z1962" s="13" t="s">
        <v>2141</v>
      </c>
    </row>
    <row r="1963" spans="1:26">
      <c r="A1963" t="s">
        <v>412</v>
      </c>
      <c r="B1963" s="25">
        <f>+Municipios!P860</f>
        <v>53.412182386855491</v>
      </c>
      <c r="C1963" s="13">
        <v>19693</v>
      </c>
      <c r="D1963" s="13" t="s">
        <v>2142</v>
      </c>
      <c r="E1963" s="13" t="s">
        <v>557</v>
      </c>
      <c r="F1963" s="13" t="s">
        <v>558</v>
      </c>
      <c r="G1963" s="13" t="s">
        <v>2143</v>
      </c>
      <c r="K1963" t="s">
        <v>413</v>
      </c>
      <c r="L1963" s="81">
        <f>+Municipios!U860</f>
        <v>23.563373976623708</v>
      </c>
      <c r="M1963" s="13">
        <v>19693</v>
      </c>
      <c r="N1963" s="13" t="s">
        <v>2142</v>
      </c>
      <c r="O1963" s="13" t="s">
        <v>557</v>
      </c>
      <c r="P1963" s="13" t="s">
        <v>558</v>
      </c>
      <c r="Q1963" s="13" t="s">
        <v>2143</v>
      </c>
      <c r="T1963" t="s">
        <v>2804</v>
      </c>
      <c r="U1963" s="25">
        <f>+Municipios!P860</f>
        <v>53.412182386855491</v>
      </c>
      <c r="V1963" s="13">
        <v>19693</v>
      </c>
      <c r="W1963" s="13" t="s">
        <v>2142</v>
      </c>
      <c r="X1963" s="13" t="s">
        <v>557</v>
      </c>
      <c r="Y1963" s="13" t="s">
        <v>558</v>
      </c>
      <c r="Z1963" s="13" t="s">
        <v>2143</v>
      </c>
    </row>
    <row r="1964" spans="1:26">
      <c r="A1964" t="s">
        <v>412</v>
      </c>
      <c r="B1964" s="25">
        <f>+Municipios!P861</f>
        <v>56.197733697414961</v>
      </c>
      <c r="C1964" s="13">
        <v>5895</v>
      </c>
      <c r="D1964" s="13" t="s">
        <v>2144</v>
      </c>
      <c r="E1964" s="13" t="s">
        <v>435</v>
      </c>
      <c r="F1964" s="13" t="s">
        <v>436</v>
      </c>
      <c r="G1964" s="13" t="s">
        <v>2145</v>
      </c>
      <c r="K1964" t="s">
        <v>413</v>
      </c>
      <c r="L1964" s="81">
        <f>+Municipios!U861</f>
        <v>25.184210923671714</v>
      </c>
      <c r="M1964" s="13">
        <v>5895</v>
      </c>
      <c r="N1964" s="13" t="s">
        <v>2144</v>
      </c>
      <c r="O1964" s="13" t="s">
        <v>435</v>
      </c>
      <c r="P1964" s="13" t="s">
        <v>436</v>
      </c>
      <c r="Q1964" s="13" t="s">
        <v>2145</v>
      </c>
      <c r="T1964" t="s">
        <v>2804</v>
      </c>
      <c r="U1964" s="25">
        <f>+Municipios!P861</f>
        <v>56.197733697414961</v>
      </c>
      <c r="V1964" s="13">
        <v>5895</v>
      </c>
      <c r="W1964" s="13" t="s">
        <v>2144</v>
      </c>
      <c r="X1964" s="13" t="s">
        <v>435</v>
      </c>
      <c r="Y1964" s="13" t="s">
        <v>436</v>
      </c>
      <c r="Z1964" s="13" t="s">
        <v>2145</v>
      </c>
    </row>
    <row r="1965" spans="1:26">
      <c r="A1965" t="s">
        <v>412</v>
      </c>
      <c r="B1965" s="25">
        <f>+Municipios!P862</f>
        <v>52.802844648224465</v>
      </c>
      <c r="C1965" s="13">
        <v>54206</v>
      </c>
      <c r="D1965" s="13" t="s">
        <v>2146</v>
      </c>
      <c r="E1965" s="13" t="s">
        <v>517</v>
      </c>
      <c r="F1965" s="13" t="s">
        <v>518</v>
      </c>
      <c r="G1965" s="13" t="s">
        <v>2147</v>
      </c>
      <c r="K1965" t="s">
        <v>413</v>
      </c>
      <c r="L1965" s="81">
        <f>+Municipios!U862</f>
        <v>23.453761940682032</v>
      </c>
      <c r="M1965" s="13">
        <v>54206</v>
      </c>
      <c r="N1965" s="13" t="s">
        <v>2146</v>
      </c>
      <c r="O1965" s="13" t="s">
        <v>517</v>
      </c>
      <c r="P1965" s="13" t="s">
        <v>518</v>
      </c>
      <c r="Q1965" s="13" t="s">
        <v>2147</v>
      </c>
      <c r="T1965" t="s">
        <v>2804</v>
      </c>
      <c r="U1965" s="25">
        <f>+Municipios!P862</f>
        <v>52.802844648224465</v>
      </c>
      <c r="V1965" s="13">
        <v>54206</v>
      </c>
      <c r="W1965" s="13" t="s">
        <v>2146</v>
      </c>
      <c r="X1965" s="13" t="s">
        <v>517</v>
      </c>
      <c r="Y1965" s="13" t="s">
        <v>518</v>
      </c>
      <c r="Z1965" s="13" t="s">
        <v>2147</v>
      </c>
    </row>
    <row r="1966" spans="1:26">
      <c r="A1966" t="s">
        <v>412</v>
      </c>
      <c r="B1966" s="25">
        <f>+Municipios!P863</f>
        <v>60.846518816097301</v>
      </c>
      <c r="C1966" s="13">
        <v>19256</v>
      </c>
      <c r="D1966" s="13" t="s">
        <v>2148</v>
      </c>
      <c r="E1966" s="13" t="s">
        <v>557</v>
      </c>
      <c r="F1966" s="13" t="s">
        <v>558</v>
      </c>
      <c r="G1966" s="13" t="s">
        <v>1558</v>
      </c>
      <c r="K1966" t="s">
        <v>413</v>
      </c>
      <c r="L1966" s="81">
        <f>+Municipios!U863</f>
        <v>26.952459227554058</v>
      </c>
      <c r="M1966" s="13">
        <v>19256</v>
      </c>
      <c r="N1966" s="13" t="s">
        <v>2148</v>
      </c>
      <c r="O1966" s="13" t="s">
        <v>557</v>
      </c>
      <c r="P1966" s="13" t="s">
        <v>558</v>
      </c>
      <c r="Q1966" s="13" t="s">
        <v>1558</v>
      </c>
      <c r="T1966" t="s">
        <v>2804</v>
      </c>
      <c r="U1966" s="25">
        <f>+Municipios!P863</f>
        <v>60.846518816097301</v>
      </c>
      <c r="V1966" s="13">
        <v>19256</v>
      </c>
      <c r="W1966" s="13" t="s">
        <v>2148</v>
      </c>
      <c r="X1966" s="13" t="s">
        <v>557</v>
      </c>
      <c r="Y1966" s="13" t="s">
        <v>558</v>
      </c>
      <c r="Z1966" s="13" t="s">
        <v>1558</v>
      </c>
    </row>
    <row r="1967" spans="1:26">
      <c r="A1967" t="s">
        <v>412</v>
      </c>
      <c r="B1967" s="25">
        <f>+Municipios!P864</f>
        <v>46.756732687390652</v>
      </c>
      <c r="C1967" s="13">
        <v>5142</v>
      </c>
      <c r="D1967" s="13" t="s">
        <v>2149</v>
      </c>
      <c r="E1967" s="13" t="s">
        <v>435</v>
      </c>
      <c r="F1967" s="13" t="s">
        <v>436</v>
      </c>
      <c r="G1967" s="13" t="s">
        <v>2150</v>
      </c>
      <c r="K1967" t="s">
        <v>413</v>
      </c>
      <c r="L1967" s="81">
        <f>+Municipios!U864</f>
        <v>20.798530206378256</v>
      </c>
      <c r="M1967" s="13">
        <v>5142</v>
      </c>
      <c r="N1967" s="13" t="s">
        <v>2149</v>
      </c>
      <c r="O1967" s="13" t="s">
        <v>435</v>
      </c>
      <c r="P1967" s="13" t="s">
        <v>436</v>
      </c>
      <c r="Q1967" s="13" t="s">
        <v>2150</v>
      </c>
      <c r="T1967" t="s">
        <v>2804</v>
      </c>
      <c r="U1967" s="25">
        <f>+Municipios!P864</f>
        <v>46.756732687390652</v>
      </c>
      <c r="V1967" s="13">
        <v>5142</v>
      </c>
      <c r="W1967" s="13" t="s">
        <v>2149</v>
      </c>
      <c r="X1967" s="13" t="s">
        <v>435</v>
      </c>
      <c r="Y1967" s="13" t="s">
        <v>436</v>
      </c>
      <c r="Z1967" s="13" t="s">
        <v>2150</v>
      </c>
    </row>
    <row r="1968" spans="1:26">
      <c r="A1968" t="s">
        <v>412</v>
      </c>
      <c r="B1968" s="25">
        <f>+Municipios!P865</f>
        <v>53.289131150064534</v>
      </c>
      <c r="C1968" s="13">
        <v>50287</v>
      </c>
      <c r="D1968" s="13" t="s">
        <v>2151</v>
      </c>
      <c r="E1968" s="13" t="s">
        <v>605</v>
      </c>
      <c r="F1968" s="13" t="s">
        <v>606</v>
      </c>
      <c r="G1968" s="13" t="s">
        <v>2152</v>
      </c>
      <c r="K1968" t="s">
        <v>413</v>
      </c>
      <c r="L1968" s="81">
        <f>+Municipios!U865</f>
        <v>23.206471429654496</v>
      </c>
      <c r="M1968" s="13">
        <v>50287</v>
      </c>
      <c r="N1968" s="13" t="s">
        <v>2151</v>
      </c>
      <c r="O1968" s="13" t="s">
        <v>605</v>
      </c>
      <c r="P1968" s="13" t="s">
        <v>606</v>
      </c>
      <c r="Q1968" s="13" t="s">
        <v>2152</v>
      </c>
      <c r="T1968" t="s">
        <v>2804</v>
      </c>
      <c r="U1968" s="25">
        <f>+Municipios!P865</f>
        <v>53.289131150064534</v>
      </c>
      <c r="V1968" s="13">
        <v>50287</v>
      </c>
      <c r="W1968" s="13" t="s">
        <v>2151</v>
      </c>
      <c r="X1968" s="13" t="s">
        <v>605</v>
      </c>
      <c r="Y1968" s="13" t="s">
        <v>606</v>
      </c>
      <c r="Z1968" s="13" t="s">
        <v>2152</v>
      </c>
    </row>
    <row r="1969" spans="1:26">
      <c r="A1969" t="s">
        <v>412</v>
      </c>
      <c r="B1969" s="25">
        <f>+Municipios!P866</f>
        <v>33.250439011809277</v>
      </c>
      <c r="C1969" s="13">
        <v>70771</v>
      </c>
      <c r="D1969" s="13" t="s">
        <v>2153</v>
      </c>
      <c r="E1969" s="13" t="s">
        <v>494</v>
      </c>
      <c r="F1969" s="13" t="s">
        <v>495</v>
      </c>
      <c r="G1969" s="13" t="s">
        <v>495</v>
      </c>
      <c r="K1969" t="s">
        <v>413</v>
      </c>
      <c r="L1969" s="81">
        <f>+Municipios!U866</f>
        <v>14.824100046369777</v>
      </c>
      <c r="M1969" s="13">
        <v>70771</v>
      </c>
      <c r="N1969" s="13" t="s">
        <v>2153</v>
      </c>
      <c r="O1969" s="13" t="s">
        <v>494</v>
      </c>
      <c r="P1969" s="13" t="s">
        <v>495</v>
      </c>
      <c r="Q1969" s="13" t="s">
        <v>495</v>
      </c>
      <c r="T1969" t="s">
        <v>2804</v>
      </c>
      <c r="U1969" s="25">
        <f>+Municipios!P866</f>
        <v>33.250439011809277</v>
      </c>
      <c r="V1969" s="13">
        <v>70771</v>
      </c>
      <c r="W1969" s="13" t="s">
        <v>2153</v>
      </c>
      <c r="X1969" s="13" t="s">
        <v>494</v>
      </c>
      <c r="Y1969" s="13" t="s">
        <v>495</v>
      </c>
      <c r="Z1969" s="13" t="s">
        <v>495</v>
      </c>
    </row>
    <row r="1970" spans="1:26">
      <c r="A1970" t="s">
        <v>412</v>
      </c>
      <c r="B1970" s="25">
        <f>+Municipios!P867</f>
        <v>47.949535661429373</v>
      </c>
      <c r="C1970" s="13">
        <v>13268</v>
      </c>
      <c r="D1970" s="13" t="s">
        <v>2154</v>
      </c>
      <c r="E1970" s="13" t="s">
        <v>480</v>
      </c>
      <c r="F1970" s="13" t="s">
        <v>481</v>
      </c>
      <c r="G1970" s="13" t="s">
        <v>1722</v>
      </c>
      <c r="K1970" t="s">
        <v>413</v>
      </c>
      <c r="L1970" s="81">
        <f>+Municipios!U867</f>
        <v>21.25670645696313</v>
      </c>
      <c r="M1970" s="13">
        <v>13268</v>
      </c>
      <c r="N1970" s="13" t="s">
        <v>2154</v>
      </c>
      <c r="O1970" s="13" t="s">
        <v>480</v>
      </c>
      <c r="P1970" s="13" t="s">
        <v>481</v>
      </c>
      <c r="Q1970" s="13" t="s">
        <v>1722</v>
      </c>
      <c r="T1970" t="s">
        <v>2804</v>
      </c>
      <c r="U1970" s="25">
        <f>+Municipios!P867</f>
        <v>47.949535661429373</v>
      </c>
      <c r="V1970" s="13">
        <v>13268</v>
      </c>
      <c r="W1970" s="13" t="s">
        <v>2154</v>
      </c>
      <c r="X1970" s="13" t="s">
        <v>480</v>
      </c>
      <c r="Y1970" s="13" t="s">
        <v>481</v>
      </c>
      <c r="Z1970" s="13" t="s">
        <v>1722</v>
      </c>
    </row>
    <row r="1971" spans="1:26">
      <c r="A1971" t="s">
        <v>412</v>
      </c>
      <c r="B1971" s="25">
        <f>+Municipios!P868</f>
        <v>70.378213136158266</v>
      </c>
      <c r="C1971" s="13">
        <v>20045</v>
      </c>
      <c r="D1971" s="13" t="s">
        <v>2155</v>
      </c>
      <c r="E1971" s="13" t="s">
        <v>893</v>
      </c>
      <c r="F1971" s="13" t="s">
        <v>894</v>
      </c>
      <c r="G1971" s="13" t="s">
        <v>2156</v>
      </c>
      <c r="K1971" t="s">
        <v>413</v>
      </c>
      <c r="L1971" s="81">
        <f>+Municipios!U868</f>
        <v>31.614916487418167</v>
      </c>
      <c r="M1971" s="13">
        <v>20045</v>
      </c>
      <c r="N1971" s="13" t="s">
        <v>2155</v>
      </c>
      <c r="O1971" s="13" t="s">
        <v>893</v>
      </c>
      <c r="P1971" s="13" t="s">
        <v>894</v>
      </c>
      <c r="Q1971" s="13" t="s">
        <v>2156</v>
      </c>
      <c r="T1971" t="s">
        <v>2804</v>
      </c>
      <c r="U1971" s="25">
        <f>+Municipios!P868</f>
        <v>70.378213136158266</v>
      </c>
      <c r="V1971" s="13">
        <v>20045</v>
      </c>
      <c r="W1971" s="13" t="s">
        <v>2155</v>
      </c>
      <c r="X1971" s="13" t="s">
        <v>893</v>
      </c>
      <c r="Y1971" s="13" t="s">
        <v>894</v>
      </c>
      <c r="Z1971" s="13" t="s">
        <v>2156</v>
      </c>
    </row>
    <row r="1972" spans="1:26">
      <c r="A1972" t="s">
        <v>412</v>
      </c>
      <c r="B1972" s="25">
        <f>+Municipios!P869</f>
        <v>56.277639530516986</v>
      </c>
      <c r="C1972" s="13">
        <v>5885</v>
      </c>
      <c r="D1972" s="13" t="s">
        <v>2157</v>
      </c>
      <c r="E1972" s="13" t="s">
        <v>435</v>
      </c>
      <c r="F1972" s="13" t="s">
        <v>436</v>
      </c>
      <c r="G1972" s="13" t="s">
        <v>2158</v>
      </c>
      <c r="K1972" t="s">
        <v>413</v>
      </c>
      <c r="L1972" s="81">
        <f>+Municipios!U869</f>
        <v>25.043952839259678</v>
      </c>
      <c r="M1972" s="13">
        <v>5885</v>
      </c>
      <c r="N1972" s="13" t="s">
        <v>2157</v>
      </c>
      <c r="O1972" s="13" t="s">
        <v>435</v>
      </c>
      <c r="P1972" s="13" t="s">
        <v>436</v>
      </c>
      <c r="Q1972" s="13" t="s">
        <v>2158</v>
      </c>
      <c r="T1972" t="s">
        <v>2804</v>
      </c>
      <c r="U1972" s="25">
        <f>+Municipios!P869</f>
        <v>56.277639530516986</v>
      </c>
      <c r="V1972" s="13">
        <v>5885</v>
      </c>
      <c r="W1972" s="13" t="s">
        <v>2157</v>
      </c>
      <c r="X1972" s="13" t="s">
        <v>435</v>
      </c>
      <c r="Y1972" s="13" t="s">
        <v>436</v>
      </c>
      <c r="Z1972" s="13" t="s">
        <v>2158</v>
      </c>
    </row>
    <row r="1973" spans="1:26">
      <c r="A1973" t="s">
        <v>412</v>
      </c>
      <c r="B1973" s="25">
        <f>+Municipios!P870</f>
        <v>56.094968239445294</v>
      </c>
      <c r="C1973" s="13">
        <v>73067</v>
      </c>
      <c r="D1973" s="13" t="s">
        <v>2159</v>
      </c>
      <c r="E1973" s="13" t="s">
        <v>595</v>
      </c>
      <c r="F1973" s="13" t="s">
        <v>596</v>
      </c>
      <c r="G1973" s="13" t="s">
        <v>2160</v>
      </c>
      <c r="K1973" t="s">
        <v>413</v>
      </c>
      <c r="L1973" s="81">
        <f>+Municipios!U870</f>
        <v>24.915707854190611</v>
      </c>
      <c r="M1973" s="13">
        <v>73067</v>
      </c>
      <c r="N1973" s="13" t="s">
        <v>2159</v>
      </c>
      <c r="O1973" s="13" t="s">
        <v>595</v>
      </c>
      <c r="P1973" s="13" t="s">
        <v>596</v>
      </c>
      <c r="Q1973" s="13" t="s">
        <v>2160</v>
      </c>
      <c r="T1973" t="s">
        <v>2804</v>
      </c>
      <c r="U1973" s="25">
        <f>+Municipios!P870</f>
        <v>56.094968239445294</v>
      </c>
      <c r="V1973" s="13">
        <v>73067</v>
      </c>
      <c r="W1973" s="13" t="s">
        <v>2159</v>
      </c>
      <c r="X1973" s="13" t="s">
        <v>595</v>
      </c>
      <c r="Y1973" s="13" t="s">
        <v>596</v>
      </c>
      <c r="Z1973" s="13" t="s">
        <v>2160</v>
      </c>
    </row>
    <row r="1974" spans="1:26">
      <c r="A1974" t="s">
        <v>412</v>
      </c>
      <c r="B1974" s="25">
        <f>+Municipios!P871</f>
        <v>69.31024857395991</v>
      </c>
      <c r="C1974" s="13">
        <v>27495</v>
      </c>
      <c r="D1974" s="13" t="s">
        <v>2161</v>
      </c>
      <c r="E1974" s="13" t="s">
        <v>1714</v>
      </c>
      <c r="F1974" s="13" t="s">
        <v>1715</v>
      </c>
      <c r="G1974" s="13" t="s">
        <v>2162</v>
      </c>
      <c r="K1974" t="s">
        <v>413</v>
      </c>
      <c r="L1974" s="81">
        <f>+Municipios!U871</f>
        <v>30.863257345477251</v>
      </c>
      <c r="M1974" s="13">
        <v>27495</v>
      </c>
      <c r="N1974" s="13" t="s">
        <v>2161</v>
      </c>
      <c r="O1974" s="13" t="s">
        <v>1714</v>
      </c>
      <c r="P1974" s="13" t="s">
        <v>1715</v>
      </c>
      <c r="Q1974" s="13" t="s">
        <v>2162</v>
      </c>
      <c r="T1974" t="s">
        <v>2804</v>
      </c>
      <c r="U1974" s="25">
        <f>+Municipios!P871</f>
        <v>69.31024857395991</v>
      </c>
      <c r="V1974" s="13">
        <v>27495</v>
      </c>
      <c r="W1974" s="13" t="s">
        <v>2161</v>
      </c>
      <c r="X1974" s="13" t="s">
        <v>1714</v>
      </c>
      <c r="Y1974" s="13" t="s">
        <v>1715</v>
      </c>
      <c r="Z1974" s="13" t="s">
        <v>2162</v>
      </c>
    </row>
    <row r="1975" spans="1:26">
      <c r="A1975" t="s">
        <v>412</v>
      </c>
      <c r="B1975" s="25">
        <f>+Municipios!P872</f>
        <v>49.251808412322923</v>
      </c>
      <c r="C1975" s="13">
        <v>13810</v>
      </c>
      <c r="D1975" s="13" t="s">
        <v>2163</v>
      </c>
      <c r="E1975" s="13" t="s">
        <v>480</v>
      </c>
      <c r="F1975" s="13" t="s">
        <v>481</v>
      </c>
      <c r="G1975" s="13" t="s">
        <v>2164</v>
      </c>
      <c r="K1975" t="s">
        <v>413</v>
      </c>
      <c r="L1975" s="81">
        <f>+Municipios!U872</f>
        <v>21.642590939824263</v>
      </c>
      <c r="M1975" s="13">
        <v>13810</v>
      </c>
      <c r="N1975" s="13" t="s">
        <v>2163</v>
      </c>
      <c r="O1975" s="13" t="s">
        <v>480</v>
      </c>
      <c r="P1975" s="13" t="s">
        <v>481</v>
      </c>
      <c r="Q1975" s="13" t="s">
        <v>2164</v>
      </c>
      <c r="T1975" t="s">
        <v>2804</v>
      </c>
      <c r="U1975" s="25">
        <f>+Municipios!P872</f>
        <v>49.251808412322923</v>
      </c>
      <c r="V1975" s="13">
        <v>13810</v>
      </c>
      <c r="W1975" s="13" t="s">
        <v>2163</v>
      </c>
      <c r="X1975" s="13" t="s">
        <v>480</v>
      </c>
      <c r="Y1975" s="13" t="s">
        <v>481</v>
      </c>
      <c r="Z1975" s="13" t="s">
        <v>2164</v>
      </c>
    </row>
    <row r="1976" spans="1:26">
      <c r="A1976" t="s">
        <v>412</v>
      </c>
      <c r="B1976" s="25">
        <f>+Municipios!P873</f>
        <v>52.491912864458783</v>
      </c>
      <c r="C1976" s="13">
        <v>52256</v>
      </c>
      <c r="D1976" s="13" t="s">
        <v>2165</v>
      </c>
      <c r="E1976" s="13" t="s">
        <v>672</v>
      </c>
      <c r="F1976" s="13" t="s">
        <v>673</v>
      </c>
      <c r="G1976" s="13" t="s">
        <v>2166</v>
      </c>
      <c r="K1976" t="s">
        <v>413</v>
      </c>
      <c r="L1976" s="81">
        <f>+Municipios!U873</f>
        <v>23.231755176778517</v>
      </c>
      <c r="M1976" s="13">
        <v>52256</v>
      </c>
      <c r="N1976" s="13" t="s">
        <v>2165</v>
      </c>
      <c r="O1976" s="13" t="s">
        <v>672</v>
      </c>
      <c r="P1976" s="13" t="s">
        <v>673</v>
      </c>
      <c r="Q1976" s="13" t="s">
        <v>2166</v>
      </c>
      <c r="T1976" t="s">
        <v>2804</v>
      </c>
      <c r="U1976" s="25">
        <f>+Municipios!P873</f>
        <v>52.491912864458783</v>
      </c>
      <c r="V1976" s="13">
        <v>52256</v>
      </c>
      <c r="W1976" s="13" t="s">
        <v>2165</v>
      </c>
      <c r="X1976" s="13" t="s">
        <v>672</v>
      </c>
      <c r="Y1976" s="13" t="s">
        <v>673</v>
      </c>
      <c r="Z1976" s="13" t="s">
        <v>2166</v>
      </c>
    </row>
    <row r="1977" spans="1:26">
      <c r="A1977" t="s">
        <v>412</v>
      </c>
      <c r="B1977" s="25">
        <f>+Municipios!P874</f>
        <v>55.480179468856832</v>
      </c>
      <c r="C1977" s="13">
        <v>17867</v>
      </c>
      <c r="D1977" s="13" t="s">
        <v>2167</v>
      </c>
      <c r="E1977" s="13" t="s">
        <v>506</v>
      </c>
      <c r="F1977" s="13" t="s">
        <v>507</v>
      </c>
      <c r="G1977" s="13" t="s">
        <v>2168</v>
      </c>
      <c r="K1977" t="s">
        <v>413</v>
      </c>
      <c r="L1977" s="81">
        <f>+Municipios!U874</f>
        <v>24.303740279254036</v>
      </c>
      <c r="M1977" s="13">
        <v>17867</v>
      </c>
      <c r="N1977" s="13" t="s">
        <v>2167</v>
      </c>
      <c r="O1977" s="13" t="s">
        <v>506</v>
      </c>
      <c r="P1977" s="13" t="s">
        <v>507</v>
      </c>
      <c r="Q1977" s="13" t="s">
        <v>2168</v>
      </c>
      <c r="T1977" t="s">
        <v>2804</v>
      </c>
      <c r="U1977" s="25">
        <f>+Municipios!P874</f>
        <v>55.480179468856832</v>
      </c>
      <c r="V1977" s="13">
        <v>17867</v>
      </c>
      <c r="W1977" s="13" t="s">
        <v>2167</v>
      </c>
      <c r="X1977" s="13" t="s">
        <v>506</v>
      </c>
      <c r="Y1977" s="13" t="s">
        <v>507</v>
      </c>
      <c r="Z1977" s="13" t="s">
        <v>2168</v>
      </c>
    </row>
    <row r="1978" spans="1:26">
      <c r="A1978" t="s">
        <v>412</v>
      </c>
      <c r="B1978" s="25">
        <f>+Municipios!P875</f>
        <v>65.941113112783682</v>
      </c>
      <c r="C1978" s="13">
        <v>25653</v>
      </c>
      <c r="D1978" s="13" t="s">
        <v>2169</v>
      </c>
      <c r="E1978" s="13" t="s">
        <v>461</v>
      </c>
      <c r="F1978" s="13" t="s">
        <v>462</v>
      </c>
      <c r="G1978" s="13" t="s">
        <v>1470</v>
      </c>
      <c r="K1978" t="s">
        <v>413</v>
      </c>
      <c r="L1978" s="81">
        <f>+Municipios!U875</f>
        <v>28.298393982956274</v>
      </c>
      <c r="M1978" s="13">
        <v>25653</v>
      </c>
      <c r="N1978" s="13" t="s">
        <v>2169</v>
      </c>
      <c r="O1978" s="13" t="s">
        <v>461</v>
      </c>
      <c r="P1978" s="13" t="s">
        <v>462</v>
      </c>
      <c r="Q1978" s="13" t="s">
        <v>1470</v>
      </c>
      <c r="T1978" t="s">
        <v>2804</v>
      </c>
      <c r="U1978" s="25">
        <f>+Municipios!P875</f>
        <v>65.941113112783682</v>
      </c>
      <c r="V1978" s="13">
        <v>25653</v>
      </c>
      <c r="W1978" s="13" t="s">
        <v>2169</v>
      </c>
      <c r="X1978" s="13" t="s">
        <v>461</v>
      </c>
      <c r="Y1978" s="13" t="s">
        <v>462</v>
      </c>
      <c r="Z1978" s="13" t="s">
        <v>1470</v>
      </c>
    </row>
    <row r="1979" spans="1:26">
      <c r="A1979" t="s">
        <v>412</v>
      </c>
      <c r="B1979" s="25">
        <f>+Municipios!P876</f>
        <v>56.888822565643125</v>
      </c>
      <c r="C1979" s="13">
        <v>86760</v>
      </c>
      <c r="D1979" s="13" t="s">
        <v>2170</v>
      </c>
      <c r="E1979" s="13" t="s">
        <v>943</v>
      </c>
      <c r="F1979" s="13" t="s">
        <v>944</v>
      </c>
      <c r="G1979" s="13" t="s">
        <v>2116</v>
      </c>
      <c r="K1979" t="s">
        <v>413</v>
      </c>
      <c r="L1979" s="81">
        <f>+Municipios!U876</f>
        <v>24.712876309929722</v>
      </c>
      <c r="M1979" s="13">
        <v>86760</v>
      </c>
      <c r="N1979" s="13" t="s">
        <v>2170</v>
      </c>
      <c r="O1979" s="13" t="s">
        <v>943</v>
      </c>
      <c r="P1979" s="13" t="s">
        <v>944</v>
      </c>
      <c r="Q1979" s="13" t="s">
        <v>2116</v>
      </c>
      <c r="T1979" t="s">
        <v>2804</v>
      </c>
      <c r="U1979" s="25">
        <f>+Municipios!P876</f>
        <v>56.888822565643125</v>
      </c>
      <c r="V1979" s="13">
        <v>86760</v>
      </c>
      <c r="W1979" s="13" t="s">
        <v>2170</v>
      </c>
      <c r="X1979" s="13" t="s">
        <v>943</v>
      </c>
      <c r="Y1979" s="13" t="s">
        <v>944</v>
      </c>
      <c r="Z1979" s="13" t="s">
        <v>2116</v>
      </c>
    </row>
    <row r="1980" spans="1:26">
      <c r="A1980" t="s">
        <v>412</v>
      </c>
      <c r="B1980" s="25">
        <f>+Municipios!P877</f>
        <v>50.924866939232096</v>
      </c>
      <c r="C1980" s="13">
        <v>54128</v>
      </c>
      <c r="D1980" s="13" t="s">
        <v>2171</v>
      </c>
      <c r="E1980" s="13" t="s">
        <v>517</v>
      </c>
      <c r="F1980" s="13" t="s">
        <v>518</v>
      </c>
      <c r="G1980" s="13" t="s">
        <v>2172</v>
      </c>
      <c r="K1980" t="s">
        <v>413</v>
      </c>
      <c r="L1980" s="81">
        <f>+Municipios!U877</f>
        <v>22.128222499404991</v>
      </c>
      <c r="M1980" s="13">
        <v>54128</v>
      </c>
      <c r="N1980" s="13" t="s">
        <v>2171</v>
      </c>
      <c r="O1980" s="13" t="s">
        <v>517</v>
      </c>
      <c r="P1980" s="13" t="s">
        <v>518</v>
      </c>
      <c r="Q1980" s="13" t="s">
        <v>2172</v>
      </c>
      <c r="T1980" t="s">
        <v>2804</v>
      </c>
      <c r="U1980" s="25">
        <f>+Municipios!P877</f>
        <v>50.924866939232096</v>
      </c>
      <c r="V1980" s="13">
        <v>54128</v>
      </c>
      <c r="W1980" s="13" t="s">
        <v>2171</v>
      </c>
      <c r="X1980" s="13" t="s">
        <v>517</v>
      </c>
      <c r="Y1980" s="13" t="s">
        <v>518</v>
      </c>
      <c r="Z1980" s="13" t="s">
        <v>2172</v>
      </c>
    </row>
    <row r="1981" spans="1:26">
      <c r="A1981" t="s">
        <v>412</v>
      </c>
      <c r="B1981" s="25">
        <f>+Municipios!P878</f>
        <v>55.308977094772246</v>
      </c>
      <c r="C1981" s="13">
        <v>86568</v>
      </c>
      <c r="D1981" s="13" t="s">
        <v>2173</v>
      </c>
      <c r="E1981" s="13" t="s">
        <v>943</v>
      </c>
      <c r="F1981" s="13" t="s">
        <v>944</v>
      </c>
      <c r="G1981" s="13" t="s">
        <v>2174</v>
      </c>
      <c r="K1981" t="s">
        <v>413</v>
      </c>
      <c r="L1981" s="81">
        <f>+Municipios!U878</f>
        <v>24.224309643343542</v>
      </c>
      <c r="M1981" s="13">
        <v>86568</v>
      </c>
      <c r="N1981" s="13" t="s">
        <v>2173</v>
      </c>
      <c r="O1981" s="13" t="s">
        <v>943</v>
      </c>
      <c r="P1981" s="13" t="s">
        <v>944</v>
      </c>
      <c r="Q1981" s="13" t="s">
        <v>2174</v>
      </c>
      <c r="T1981" t="s">
        <v>2804</v>
      </c>
      <c r="U1981" s="25">
        <f>+Municipios!P878</f>
        <v>55.308977094772246</v>
      </c>
      <c r="V1981" s="13">
        <v>86568</v>
      </c>
      <c r="W1981" s="13" t="s">
        <v>2173</v>
      </c>
      <c r="X1981" s="13" t="s">
        <v>943</v>
      </c>
      <c r="Y1981" s="13" t="s">
        <v>944</v>
      </c>
      <c r="Z1981" s="13" t="s">
        <v>2174</v>
      </c>
    </row>
    <row r="1982" spans="1:26">
      <c r="A1982" t="s">
        <v>412</v>
      </c>
      <c r="B1982" s="25">
        <f>+Municipios!P879</f>
        <v>49.489879417770936</v>
      </c>
      <c r="C1982" s="13">
        <v>25372</v>
      </c>
      <c r="D1982" s="13" t="s">
        <v>2175</v>
      </c>
      <c r="E1982" s="13" t="s">
        <v>461</v>
      </c>
      <c r="F1982" s="13" t="s">
        <v>462</v>
      </c>
      <c r="G1982" s="13" t="s">
        <v>2176</v>
      </c>
      <c r="K1982" t="s">
        <v>413</v>
      </c>
      <c r="L1982" s="81">
        <f>+Municipios!U879</f>
        <v>20.715238746995059</v>
      </c>
      <c r="M1982" s="13">
        <v>25372</v>
      </c>
      <c r="N1982" s="13" t="s">
        <v>2175</v>
      </c>
      <c r="O1982" s="13" t="s">
        <v>461</v>
      </c>
      <c r="P1982" s="13" t="s">
        <v>462</v>
      </c>
      <c r="Q1982" s="13" t="s">
        <v>2176</v>
      </c>
      <c r="T1982" t="s">
        <v>2804</v>
      </c>
      <c r="U1982" s="25">
        <f>+Municipios!P879</f>
        <v>49.489879417770936</v>
      </c>
      <c r="V1982" s="13">
        <v>25372</v>
      </c>
      <c r="W1982" s="13" t="s">
        <v>2175</v>
      </c>
      <c r="X1982" s="13" t="s">
        <v>461</v>
      </c>
      <c r="Y1982" s="13" t="s">
        <v>462</v>
      </c>
      <c r="Z1982" s="13" t="s">
        <v>2176</v>
      </c>
    </row>
    <row r="1983" spans="1:26">
      <c r="A1983" t="s">
        <v>412</v>
      </c>
      <c r="B1983" s="25">
        <f>+Municipios!P880</f>
        <v>56.211423440895061</v>
      </c>
      <c r="C1983" s="13">
        <v>15723</v>
      </c>
      <c r="D1983" s="13" t="s">
        <v>2177</v>
      </c>
      <c r="E1983" s="13" t="s">
        <v>498</v>
      </c>
      <c r="F1983" s="13" t="s">
        <v>499</v>
      </c>
      <c r="G1983" s="13" t="s">
        <v>2178</v>
      </c>
      <c r="K1983" t="s">
        <v>413</v>
      </c>
      <c r="L1983" s="81">
        <f>+Municipios!U880</f>
        <v>24.248447613996866</v>
      </c>
      <c r="M1983" s="13">
        <v>15723</v>
      </c>
      <c r="N1983" s="13" t="s">
        <v>2177</v>
      </c>
      <c r="O1983" s="13" t="s">
        <v>498</v>
      </c>
      <c r="P1983" s="13" t="s">
        <v>499</v>
      </c>
      <c r="Q1983" s="13" t="s">
        <v>2178</v>
      </c>
      <c r="T1983" t="s">
        <v>2804</v>
      </c>
      <c r="U1983" s="25">
        <f>+Municipios!P880</f>
        <v>56.211423440895061</v>
      </c>
      <c r="V1983" s="13">
        <v>15723</v>
      </c>
      <c r="W1983" s="13" t="s">
        <v>2177</v>
      </c>
      <c r="X1983" s="13" t="s">
        <v>498</v>
      </c>
      <c r="Y1983" s="13" t="s">
        <v>499</v>
      </c>
      <c r="Z1983" s="13" t="s">
        <v>2178</v>
      </c>
    </row>
    <row r="1984" spans="1:26">
      <c r="A1984" t="s">
        <v>412</v>
      </c>
      <c r="B1984" s="25">
        <f>+Municipios!P881</f>
        <v>56.535701038222896</v>
      </c>
      <c r="C1984" s="13">
        <v>68385</v>
      </c>
      <c r="D1984" s="13" t="s">
        <v>2179</v>
      </c>
      <c r="E1984" s="13" t="s">
        <v>431</v>
      </c>
      <c r="F1984" s="13" t="s">
        <v>432</v>
      </c>
      <c r="G1984" s="13" t="s">
        <v>2180</v>
      </c>
      <c r="K1984" t="s">
        <v>413</v>
      </c>
      <c r="L1984" s="81">
        <f>+Municipios!U881</f>
        <v>24.654684773693461</v>
      </c>
      <c r="M1984" s="13">
        <v>68385</v>
      </c>
      <c r="N1984" s="13" t="s">
        <v>2179</v>
      </c>
      <c r="O1984" s="13" t="s">
        <v>431</v>
      </c>
      <c r="P1984" s="13" t="s">
        <v>432</v>
      </c>
      <c r="Q1984" s="13" t="s">
        <v>2180</v>
      </c>
      <c r="T1984" t="s">
        <v>2804</v>
      </c>
      <c r="U1984" s="25">
        <f>+Municipios!P881</f>
        <v>56.535701038222896</v>
      </c>
      <c r="V1984" s="13">
        <v>68385</v>
      </c>
      <c r="W1984" s="13" t="s">
        <v>2179</v>
      </c>
      <c r="X1984" s="13" t="s">
        <v>431</v>
      </c>
      <c r="Y1984" s="13" t="s">
        <v>432</v>
      </c>
      <c r="Z1984" s="13" t="s">
        <v>2180</v>
      </c>
    </row>
    <row r="1985" spans="1:26">
      <c r="A1985" t="s">
        <v>412</v>
      </c>
      <c r="B1985" s="25">
        <f>+Municipios!P882</f>
        <v>47.243772908784464</v>
      </c>
      <c r="C1985" s="13">
        <v>5284</v>
      </c>
      <c r="D1985" s="13" t="s">
        <v>2181</v>
      </c>
      <c r="E1985" s="13" t="s">
        <v>435</v>
      </c>
      <c r="F1985" s="13" t="s">
        <v>436</v>
      </c>
      <c r="G1985" s="13" t="s">
        <v>2182</v>
      </c>
      <c r="K1985" t="s">
        <v>413</v>
      </c>
      <c r="L1985" s="81">
        <f>+Municipios!U882</f>
        <v>20.669105919338556</v>
      </c>
      <c r="M1985" s="13">
        <v>5284</v>
      </c>
      <c r="N1985" s="13" t="s">
        <v>2181</v>
      </c>
      <c r="O1985" s="13" t="s">
        <v>435</v>
      </c>
      <c r="P1985" s="13" t="s">
        <v>436</v>
      </c>
      <c r="Q1985" s="13" t="s">
        <v>2182</v>
      </c>
      <c r="T1985" t="s">
        <v>2804</v>
      </c>
      <c r="U1985" s="25">
        <f>+Municipios!P882</f>
        <v>47.243772908784464</v>
      </c>
      <c r="V1985" s="13">
        <v>5284</v>
      </c>
      <c r="W1985" s="13" t="s">
        <v>2181</v>
      </c>
      <c r="X1985" s="13" t="s">
        <v>435</v>
      </c>
      <c r="Y1985" s="13" t="s">
        <v>436</v>
      </c>
      <c r="Z1985" s="13" t="s">
        <v>2182</v>
      </c>
    </row>
    <row r="1986" spans="1:26">
      <c r="A1986" t="s">
        <v>412</v>
      </c>
      <c r="B1986" s="25">
        <f>+Municipios!P883</f>
        <v>60.845432796494009</v>
      </c>
      <c r="C1986" s="13">
        <v>15897</v>
      </c>
      <c r="D1986" s="13" t="s">
        <v>2183</v>
      </c>
      <c r="E1986" s="13" t="s">
        <v>498</v>
      </c>
      <c r="F1986" s="13" t="s">
        <v>499</v>
      </c>
      <c r="G1986" s="13" t="s">
        <v>2184</v>
      </c>
      <c r="K1986" t="s">
        <v>413</v>
      </c>
      <c r="L1986" s="81">
        <f>+Municipios!U883</f>
        <v>26.238902326660046</v>
      </c>
      <c r="M1986" s="13">
        <v>15897</v>
      </c>
      <c r="N1986" s="13" t="s">
        <v>2183</v>
      </c>
      <c r="O1986" s="13" t="s">
        <v>498</v>
      </c>
      <c r="P1986" s="13" t="s">
        <v>499</v>
      </c>
      <c r="Q1986" s="13" t="s">
        <v>2184</v>
      </c>
      <c r="T1986" t="s">
        <v>2804</v>
      </c>
      <c r="U1986" s="25">
        <f>+Municipios!P883</f>
        <v>60.845432796494009</v>
      </c>
      <c r="V1986" s="13">
        <v>15897</v>
      </c>
      <c r="W1986" s="13" t="s">
        <v>2183</v>
      </c>
      <c r="X1986" s="13" t="s">
        <v>498</v>
      </c>
      <c r="Y1986" s="13" t="s">
        <v>499</v>
      </c>
      <c r="Z1986" s="13" t="s">
        <v>2184</v>
      </c>
    </row>
    <row r="1987" spans="1:26">
      <c r="A1987" t="s">
        <v>412</v>
      </c>
      <c r="B1987" s="25">
        <f>+Municipios!P884</f>
        <v>50.383817753927062</v>
      </c>
      <c r="C1987" s="13">
        <v>68425</v>
      </c>
      <c r="D1987" s="13" t="s">
        <v>2185</v>
      </c>
      <c r="E1987" s="13" t="s">
        <v>431</v>
      </c>
      <c r="F1987" s="13" t="s">
        <v>432</v>
      </c>
      <c r="G1987" s="13" t="s">
        <v>2186</v>
      </c>
      <c r="K1987" t="s">
        <v>413</v>
      </c>
      <c r="L1987" s="81">
        <f>+Municipios!U884</f>
        <v>22.113433380540826</v>
      </c>
      <c r="M1987" s="13">
        <v>68425</v>
      </c>
      <c r="N1987" s="13" t="s">
        <v>2185</v>
      </c>
      <c r="O1987" s="13" t="s">
        <v>431</v>
      </c>
      <c r="P1987" s="13" t="s">
        <v>432</v>
      </c>
      <c r="Q1987" s="13" t="s">
        <v>2186</v>
      </c>
      <c r="T1987" t="s">
        <v>2804</v>
      </c>
      <c r="U1987" s="25">
        <f>+Municipios!P884</f>
        <v>50.383817753927062</v>
      </c>
      <c r="V1987" s="13">
        <v>68425</v>
      </c>
      <c r="W1987" s="13" t="s">
        <v>2185</v>
      </c>
      <c r="X1987" s="13" t="s">
        <v>431</v>
      </c>
      <c r="Y1987" s="13" t="s">
        <v>432</v>
      </c>
      <c r="Z1987" s="13" t="s">
        <v>2186</v>
      </c>
    </row>
    <row r="1988" spans="1:26">
      <c r="A1988" t="s">
        <v>412</v>
      </c>
      <c r="B1988" s="25">
        <f>+Municipios!P885</f>
        <v>57.816331146634639</v>
      </c>
      <c r="C1988" s="13">
        <v>54720</v>
      </c>
      <c r="D1988" s="13" t="s">
        <v>2187</v>
      </c>
      <c r="E1988" s="13" t="s">
        <v>517</v>
      </c>
      <c r="F1988" s="13" t="s">
        <v>518</v>
      </c>
      <c r="G1988" s="13" t="s">
        <v>2188</v>
      </c>
      <c r="K1988" t="s">
        <v>413</v>
      </c>
      <c r="L1988" s="81">
        <f>+Municipios!U885</f>
        <v>25.097352501588755</v>
      </c>
      <c r="M1988" s="13">
        <v>54720</v>
      </c>
      <c r="N1988" s="13" t="s">
        <v>2187</v>
      </c>
      <c r="O1988" s="13" t="s">
        <v>517</v>
      </c>
      <c r="P1988" s="13" t="s">
        <v>518</v>
      </c>
      <c r="Q1988" s="13" t="s">
        <v>2188</v>
      </c>
      <c r="T1988" t="s">
        <v>2804</v>
      </c>
      <c r="U1988" s="25">
        <f>+Municipios!P885</f>
        <v>57.816331146634639</v>
      </c>
      <c r="V1988" s="13">
        <v>54720</v>
      </c>
      <c r="W1988" s="13" t="s">
        <v>2187</v>
      </c>
      <c r="X1988" s="13" t="s">
        <v>517</v>
      </c>
      <c r="Y1988" s="13" t="s">
        <v>518</v>
      </c>
      <c r="Z1988" s="13" t="s">
        <v>2188</v>
      </c>
    </row>
    <row r="1989" spans="1:26">
      <c r="A1989" t="s">
        <v>412</v>
      </c>
      <c r="B1989" s="25">
        <f>+Municipios!P886</f>
        <v>57.919736510103988</v>
      </c>
      <c r="C1989" s="13">
        <v>54810</v>
      </c>
      <c r="D1989" s="13" t="s">
        <v>2189</v>
      </c>
      <c r="E1989" s="13" t="s">
        <v>517</v>
      </c>
      <c r="F1989" s="13" t="s">
        <v>518</v>
      </c>
      <c r="G1989" s="13" t="s">
        <v>2190</v>
      </c>
      <c r="K1989" t="s">
        <v>413</v>
      </c>
      <c r="L1989" s="81">
        <f>+Municipios!U886</f>
        <v>25.505560206637508</v>
      </c>
      <c r="M1989" s="13">
        <v>54810</v>
      </c>
      <c r="N1989" s="13" t="s">
        <v>2189</v>
      </c>
      <c r="O1989" s="13" t="s">
        <v>517</v>
      </c>
      <c r="P1989" s="13" t="s">
        <v>518</v>
      </c>
      <c r="Q1989" s="13" t="s">
        <v>2190</v>
      </c>
      <c r="T1989" t="s">
        <v>2804</v>
      </c>
      <c r="U1989" s="25">
        <f>+Municipios!P886</f>
        <v>57.919736510103988</v>
      </c>
      <c r="V1989" s="13">
        <v>54810</v>
      </c>
      <c r="W1989" s="13" t="s">
        <v>2189</v>
      </c>
      <c r="X1989" s="13" t="s">
        <v>517</v>
      </c>
      <c r="Y1989" s="13" t="s">
        <v>518</v>
      </c>
      <c r="Z1989" s="13" t="s">
        <v>2190</v>
      </c>
    </row>
    <row r="1990" spans="1:26">
      <c r="A1990" t="s">
        <v>412</v>
      </c>
      <c r="B1990" s="25">
        <f>+Municipios!P887</f>
        <v>56.111936380355019</v>
      </c>
      <c r="C1990" s="13">
        <v>68397</v>
      </c>
      <c r="D1990" s="13" t="s">
        <v>2191</v>
      </c>
      <c r="E1990" s="13" t="s">
        <v>431</v>
      </c>
      <c r="F1990" s="13" t="s">
        <v>432</v>
      </c>
      <c r="G1990" s="13" t="s">
        <v>1862</v>
      </c>
      <c r="K1990" t="s">
        <v>413</v>
      </c>
      <c r="L1990" s="81">
        <f>+Municipios!U887</f>
        <v>24.102517288389873</v>
      </c>
      <c r="M1990" s="13">
        <v>68397</v>
      </c>
      <c r="N1990" s="13" t="s">
        <v>2191</v>
      </c>
      <c r="O1990" s="13" t="s">
        <v>431</v>
      </c>
      <c r="P1990" s="13" t="s">
        <v>432</v>
      </c>
      <c r="Q1990" s="13" t="s">
        <v>1862</v>
      </c>
      <c r="T1990" t="s">
        <v>2804</v>
      </c>
      <c r="U1990" s="25">
        <f>+Municipios!P887</f>
        <v>56.111936380355019</v>
      </c>
      <c r="V1990" s="13">
        <v>68397</v>
      </c>
      <c r="W1990" s="13" t="s">
        <v>2191</v>
      </c>
      <c r="X1990" s="13" t="s">
        <v>431</v>
      </c>
      <c r="Y1990" s="13" t="s">
        <v>432</v>
      </c>
      <c r="Z1990" s="13" t="s">
        <v>1862</v>
      </c>
    </row>
    <row r="1991" spans="1:26">
      <c r="A1991" t="s">
        <v>412</v>
      </c>
      <c r="B1991" s="25">
        <f>+Municipios!P888</f>
        <v>50.681572217866531</v>
      </c>
      <c r="C1991" s="13">
        <v>27006</v>
      </c>
      <c r="D1991" s="13" t="s">
        <v>2192</v>
      </c>
      <c r="E1991" s="13" t="s">
        <v>1714</v>
      </c>
      <c r="F1991" s="13" t="s">
        <v>1715</v>
      </c>
      <c r="G1991" s="13" t="s">
        <v>2193</v>
      </c>
      <c r="K1991" t="s">
        <v>413</v>
      </c>
      <c r="L1991" s="81">
        <f>+Municipios!U888</f>
        <v>22.02357235360958</v>
      </c>
      <c r="M1991" s="13">
        <v>27006</v>
      </c>
      <c r="N1991" s="13" t="s">
        <v>2192</v>
      </c>
      <c r="O1991" s="13" t="s">
        <v>1714</v>
      </c>
      <c r="P1991" s="13" t="s">
        <v>1715</v>
      </c>
      <c r="Q1991" s="13" t="s">
        <v>2193</v>
      </c>
      <c r="T1991" t="s">
        <v>2804</v>
      </c>
      <c r="U1991" s="25">
        <f>+Municipios!P888</f>
        <v>50.681572217866531</v>
      </c>
      <c r="V1991" s="13">
        <v>27006</v>
      </c>
      <c r="W1991" s="13" t="s">
        <v>2192</v>
      </c>
      <c r="X1991" s="13" t="s">
        <v>1714</v>
      </c>
      <c r="Y1991" s="13" t="s">
        <v>1715</v>
      </c>
      <c r="Z1991" s="13" t="s">
        <v>2193</v>
      </c>
    </row>
    <row r="1992" spans="1:26">
      <c r="A1992" t="s">
        <v>412</v>
      </c>
      <c r="B1992" s="25">
        <f>+Municipios!P889</f>
        <v>57.629252024614367</v>
      </c>
      <c r="C1992" s="13">
        <v>54800</v>
      </c>
      <c r="D1992" s="13" t="s">
        <v>2194</v>
      </c>
      <c r="E1992" s="13" t="s">
        <v>517</v>
      </c>
      <c r="F1992" s="13" t="s">
        <v>518</v>
      </c>
      <c r="G1992" s="13" t="s">
        <v>2195</v>
      </c>
      <c r="K1992" t="s">
        <v>413</v>
      </c>
      <c r="L1992" s="81">
        <f>+Municipios!U889</f>
        <v>24.95249760416073</v>
      </c>
      <c r="M1992" s="13">
        <v>54800</v>
      </c>
      <c r="N1992" s="13" t="s">
        <v>2194</v>
      </c>
      <c r="O1992" s="13" t="s">
        <v>517</v>
      </c>
      <c r="P1992" s="13" t="s">
        <v>518</v>
      </c>
      <c r="Q1992" s="13" t="s">
        <v>2195</v>
      </c>
      <c r="T1992" t="s">
        <v>2804</v>
      </c>
      <c r="U1992" s="25">
        <f>+Municipios!P889</f>
        <v>57.629252024614367</v>
      </c>
      <c r="V1992" s="13">
        <v>54800</v>
      </c>
      <c r="W1992" s="13" t="s">
        <v>2194</v>
      </c>
      <c r="X1992" s="13" t="s">
        <v>517</v>
      </c>
      <c r="Y1992" s="13" t="s">
        <v>518</v>
      </c>
      <c r="Z1992" s="13" t="s">
        <v>2195</v>
      </c>
    </row>
    <row r="1993" spans="1:26">
      <c r="A1993" t="s">
        <v>412</v>
      </c>
      <c r="B1993" s="25">
        <f>+Municipios!P890</f>
        <v>54.004082221513514</v>
      </c>
      <c r="C1993" s="13">
        <v>15092</v>
      </c>
      <c r="D1993" s="13" t="s">
        <v>2196</v>
      </c>
      <c r="E1993" s="13" t="s">
        <v>498</v>
      </c>
      <c r="F1993" s="13" t="s">
        <v>499</v>
      </c>
      <c r="G1993" s="13" t="s">
        <v>2197</v>
      </c>
      <c r="K1993" t="s">
        <v>413</v>
      </c>
      <c r="L1993" s="81">
        <f>+Municipios!U890</f>
        <v>22.939984102208893</v>
      </c>
      <c r="M1993" s="13">
        <v>15092</v>
      </c>
      <c r="N1993" s="13" t="s">
        <v>2196</v>
      </c>
      <c r="O1993" s="13" t="s">
        <v>498</v>
      </c>
      <c r="P1993" s="13" t="s">
        <v>499</v>
      </c>
      <c r="Q1993" s="13" t="s">
        <v>2197</v>
      </c>
      <c r="T1993" t="s">
        <v>2804</v>
      </c>
      <c r="U1993" s="25">
        <f>+Municipios!P890</f>
        <v>54.004082221513514</v>
      </c>
      <c r="V1993" s="13">
        <v>15092</v>
      </c>
      <c r="W1993" s="13" t="s">
        <v>2196</v>
      </c>
      <c r="X1993" s="13" t="s">
        <v>498</v>
      </c>
      <c r="Y1993" s="13" t="s">
        <v>499</v>
      </c>
      <c r="Z1993" s="13" t="s">
        <v>2197</v>
      </c>
    </row>
    <row r="1994" spans="1:26">
      <c r="A1994" t="s">
        <v>412</v>
      </c>
      <c r="B1994" s="25">
        <f>+Municipios!P891</f>
        <v>62.74979079216574</v>
      </c>
      <c r="C1994" s="13">
        <v>41801</v>
      </c>
      <c r="D1994" s="13" t="s">
        <v>2198</v>
      </c>
      <c r="E1994" s="13" t="s">
        <v>676</v>
      </c>
      <c r="F1994" s="13" t="s">
        <v>677</v>
      </c>
      <c r="G1994" s="13" t="s">
        <v>2199</v>
      </c>
      <c r="K1994" t="s">
        <v>413</v>
      </c>
      <c r="L1994" s="81">
        <f>+Municipios!U891</f>
        <v>27.008743727858242</v>
      </c>
      <c r="M1994" s="13">
        <v>41801</v>
      </c>
      <c r="N1994" s="13" t="s">
        <v>2198</v>
      </c>
      <c r="O1994" s="13" t="s">
        <v>676</v>
      </c>
      <c r="P1994" s="13" t="s">
        <v>677</v>
      </c>
      <c r="Q1994" s="13" t="s">
        <v>2199</v>
      </c>
      <c r="T1994" t="s">
        <v>2804</v>
      </c>
      <c r="U1994" s="25">
        <f>+Municipios!P891</f>
        <v>62.74979079216574</v>
      </c>
      <c r="V1994" s="13">
        <v>41801</v>
      </c>
      <c r="W1994" s="13" t="s">
        <v>2198</v>
      </c>
      <c r="X1994" s="13" t="s">
        <v>676</v>
      </c>
      <c r="Y1994" s="13" t="s">
        <v>677</v>
      </c>
      <c r="Z1994" s="13" t="s">
        <v>2199</v>
      </c>
    </row>
    <row r="1995" spans="1:26">
      <c r="A1995" t="s">
        <v>412</v>
      </c>
      <c r="B1995" s="25">
        <f>+Municipios!P892</f>
        <v>65.764287635031167</v>
      </c>
      <c r="C1995" s="13">
        <v>68377</v>
      </c>
      <c r="D1995" s="13" t="s">
        <v>2200</v>
      </c>
      <c r="E1995" s="13" t="s">
        <v>431</v>
      </c>
      <c r="F1995" s="13" t="s">
        <v>432</v>
      </c>
      <c r="G1995" s="13" t="s">
        <v>2201</v>
      </c>
      <c r="K1995" t="s">
        <v>413</v>
      </c>
      <c r="L1995" s="81">
        <f>+Municipios!U892</f>
        <v>28.18088106367021</v>
      </c>
      <c r="M1995" s="13">
        <v>68377</v>
      </c>
      <c r="N1995" s="13" t="s">
        <v>2200</v>
      </c>
      <c r="O1995" s="13" t="s">
        <v>431</v>
      </c>
      <c r="P1995" s="13" t="s">
        <v>432</v>
      </c>
      <c r="Q1995" s="13" t="s">
        <v>2201</v>
      </c>
      <c r="T1995" t="s">
        <v>2804</v>
      </c>
      <c r="U1995" s="25">
        <f>+Municipios!P892</f>
        <v>65.764287635031167</v>
      </c>
      <c r="V1995" s="13">
        <v>68377</v>
      </c>
      <c r="W1995" s="13" t="s">
        <v>2200</v>
      </c>
      <c r="X1995" s="13" t="s">
        <v>431</v>
      </c>
      <c r="Y1995" s="13" t="s">
        <v>432</v>
      </c>
      <c r="Z1995" s="13" t="s">
        <v>2201</v>
      </c>
    </row>
    <row r="1996" spans="1:26">
      <c r="A1996" t="s">
        <v>412</v>
      </c>
      <c r="B1996" s="25">
        <f>+Municipios!P893</f>
        <v>56.813071374883393</v>
      </c>
      <c r="C1996" s="13">
        <v>52540</v>
      </c>
      <c r="D1996" s="13" t="s">
        <v>2202</v>
      </c>
      <c r="E1996" s="13" t="s">
        <v>672</v>
      </c>
      <c r="F1996" s="13" t="s">
        <v>673</v>
      </c>
      <c r="G1996" s="13" t="s">
        <v>2203</v>
      </c>
      <c r="K1996" t="s">
        <v>413</v>
      </c>
      <c r="L1996" s="81">
        <f>+Municipios!U893</f>
        <v>24.391700222362296</v>
      </c>
      <c r="M1996" s="13">
        <v>52540</v>
      </c>
      <c r="N1996" s="13" t="s">
        <v>2202</v>
      </c>
      <c r="O1996" s="13" t="s">
        <v>672</v>
      </c>
      <c r="P1996" s="13" t="s">
        <v>673</v>
      </c>
      <c r="Q1996" s="13" t="s">
        <v>2203</v>
      </c>
      <c r="T1996" t="s">
        <v>2804</v>
      </c>
      <c r="U1996" s="25">
        <f>+Municipios!P893</f>
        <v>56.813071374883393</v>
      </c>
      <c r="V1996" s="13">
        <v>52540</v>
      </c>
      <c r="W1996" s="13" t="s">
        <v>2202</v>
      </c>
      <c r="X1996" s="13" t="s">
        <v>672</v>
      </c>
      <c r="Y1996" s="13" t="s">
        <v>673</v>
      </c>
      <c r="Z1996" s="13" t="s">
        <v>2203</v>
      </c>
    </row>
    <row r="1997" spans="1:26">
      <c r="A1997" t="s">
        <v>412</v>
      </c>
      <c r="B1997" s="25">
        <f>+Municipios!P894</f>
        <v>52.346331292367807</v>
      </c>
      <c r="C1997" s="13">
        <v>68176</v>
      </c>
      <c r="D1997" s="13" t="s">
        <v>2204</v>
      </c>
      <c r="E1997" s="13" t="s">
        <v>431</v>
      </c>
      <c r="F1997" s="13" t="s">
        <v>432</v>
      </c>
      <c r="G1997" s="13" t="s">
        <v>2205</v>
      </c>
      <c r="K1997" t="s">
        <v>413</v>
      </c>
      <c r="L1997" s="81">
        <f>+Municipios!U894</f>
        <v>22.964688775435839</v>
      </c>
      <c r="M1997" s="13">
        <v>68176</v>
      </c>
      <c r="N1997" s="13" t="s">
        <v>2204</v>
      </c>
      <c r="O1997" s="13" t="s">
        <v>431</v>
      </c>
      <c r="P1997" s="13" t="s">
        <v>432</v>
      </c>
      <c r="Q1997" s="13" t="s">
        <v>2205</v>
      </c>
      <c r="T1997" t="s">
        <v>2804</v>
      </c>
      <c r="U1997" s="25">
        <f>+Municipios!P894</f>
        <v>52.346331292367807</v>
      </c>
      <c r="V1997" s="13">
        <v>68176</v>
      </c>
      <c r="W1997" s="13" t="s">
        <v>2204</v>
      </c>
      <c r="X1997" s="13" t="s">
        <v>431</v>
      </c>
      <c r="Y1997" s="13" t="s">
        <v>432</v>
      </c>
      <c r="Z1997" s="13" t="s">
        <v>2205</v>
      </c>
    </row>
    <row r="1998" spans="1:26">
      <c r="A1998" t="s">
        <v>412</v>
      </c>
      <c r="B1998" s="25">
        <f>+Municipios!P895</f>
        <v>53.027375478603425</v>
      </c>
      <c r="C1998" s="13">
        <v>52699</v>
      </c>
      <c r="D1998" s="13" t="s">
        <v>2206</v>
      </c>
      <c r="E1998" s="13" t="s">
        <v>672</v>
      </c>
      <c r="F1998" s="13" t="s">
        <v>673</v>
      </c>
      <c r="G1998" s="13" t="s">
        <v>2207</v>
      </c>
      <c r="K1998" t="s">
        <v>413</v>
      </c>
      <c r="L1998" s="81">
        <f>+Municipios!U895</f>
        <v>22.644930597924684</v>
      </c>
      <c r="M1998" s="13">
        <v>52699</v>
      </c>
      <c r="N1998" s="13" t="s">
        <v>2206</v>
      </c>
      <c r="O1998" s="13" t="s">
        <v>672</v>
      </c>
      <c r="P1998" s="13" t="s">
        <v>673</v>
      </c>
      <c r="Q1998" s="13" t="s">
        <v>2207</v>
      </c>
      <c r="T1998" t="s">
        <v>2804</v>
      </c>
      <c r="U1998" s="25">
        <f>+Municipios!P895</f>
        <v>53.027375478603425</v>
      </c>
      <c r="V1998" s="13">
        <v>52699</v>
      </c>
      <c r="W1998" s="13" t="s">
        <v>2206</v>
      </c>
      <c r="X1998" s="13" t="s">
        <v>672</v>
      </c>
      <c r="Y1998" s="13" t="s">
        <v>673</v>
      </c>
      <c r="Z1998" s="13" t="s">
        <v>2207</v>
      </c>
    </row>
    <row r="1999" spans="1:26">
      <c r="A1999" t="s">
        <v>412</v>
      </c>
      <c r="B1999" s="25">
        <f>+Municipios!P896</f>
        <v>56.167199785975683</v>
      </c>
      <c r="C1999" s="13">
        <v>5120</v>
      </c>
      <c r="D1999" s="13" t="s">
        <v>2208</v>
      </c>
      <c r="E1999" s="13" t="s">
        <v>435</v>
      </c>
      <c r="F1999" s="13" t="s">
        <v>436</v>
      </c>
      <c r="G1999" s="13" t="s">
        <v>2209</v>
      </c>
      <c r="K1999" t="s">
        <v>413</v>
      </c>
      <c r="L1999" s="81">
        <f>+Municipios!U896</f>
        <v>24.072505693581558</v>
      </c>
      <c r="M1999" s="13">
        <v>5120</v>
      </c>
      <c r="N1999" s="13" t="s">
        <v>2208</v>
      </c>
      <c r="O1999" s="13" t="s">
        <v>435</v>
      </c>
      <c r="P1999" s="13" t="s">
        <v>436</v>
      </c>
      <c r="Q1999" s="13" t="s">
        <v>2209</v>
      </c>
      <c r="T1999" t="s">
        <v>2804</v>
      </c>
      <c r="U1999" s="25">
        <f>+Municipios!P896</f>
        <v>56.167199785975683</v>
      </c>
      <c r="V1999" s="13">
        <v>5120</v>
      </c>
      <c r="W1999" s="13" t="s">
        <v>2208</v>
      </c>
      <c r="X1999" s="13" t="s">
        <v>435</v>
      </c>
      <c r="Y1999" s="13" t="s">
        <v>436</v>
      </c>
      <c r="Z1999" s="13" t="s">
        <v>2209</v>
      </c>
    </row>
    <row r="2000" spans="1:26">
      <c r="A2000" t="s">
        <v>412</v>
      </c>
      <c r="B2000" s="25">
        <f>+Municipios!P897</f>
        <v>58.832201540453312</v>
      </c>
      <c r="C2000" s="13">
        <v>52287</v>
      </c>
      <c r="D2000" s="13" t="s">
        <v>2210</v>
      </c>
      <c r="E2000" s="13" t="s">
        <v>672</v>
      </c>
      <c r="F2000" s="13" t="s">
        <v>673</v>
      </c>
      <c r="G2000" s="13" t="s">
        <v>2211</v>
      </c>
      <c r="K2000" t="s">
        <v>413</v>
      </c>
      <c r="L2000" s="81">
        <f>+Municipios!U897</f>
        <v>25.264859988571473</v>
      </c>
      <c r="M2000" s="13">
        <v>52287</v>
      </c>
      <c r="N2000" s="13" t="s">
        <v>2210</v>
      </c>
      <c r="O2000" s="13" t="s">
        <v>672</v>
      </c>
      <c r="P2000" s="13" t="s">
        <v>673</v>
      </c>
      <c r="Q2000" s="13" t="s">
        <v>2211</v>
      </c>
      <c r="T2000" t="s">
        <v>2804</v>
      </c>
      <c r="U2000" s="25">
        <f>+Municipios!P897</f>
        <v>58.832201540453312</v>
      </c>
      <c r="V2000" s="13">
        <v>52287</v>
      </c>
      <c r="W2000" s="13" t="s">
        <v>2210</v>
      </c>
      <c r="X2000" s="13" t="s">
        <v>672</v>
      </c>
      <c r="Y2000" s="13" t="s">
        <v>673</v>
      </c>
      <c r="Z2000" s="13" t="s">
        <v>2211</v>
      </c>
    </row>
    <row r="2001" spans="1:26">
      <c r="A2001" t="s">
        <v>412</v>
      </c>
      <c r="B2001" s="25">
        <f>+Municipios!P898</f>
        <v>64.750256156511512</v>
      </c>
      <c r="C2001" s="13">
        <v>15403</v>
      </c>
      <c r="D2001" s="204" t="s">
        <v>2212</v>
      </c>
      <c r="E2001" s="13" t="s">
        <v>498</v>
      </c>
      <c r="F2001" s="13" t="s">
        <v>499</v>
      </c>
      <c r="G2001" s="13" t="s">
        <v>2213</v>
      </c>
      <c r="K2001" t="s">
        <v>413</v>
      </c>
      <c r="L2001" s="81">
        <f>+Municipios!U898</f>
        <v>27.354970472488095</v>
      </c>
      <c r="M2001" s="13">
        <v>15403</v>
      </c>
      <c r="N2001" s="204" t="s">
        <v>2212</v>
      </c>
      <c r="O2001" s="13" t="s">
        <v>498</v>
      </c>
      <c r="P2001" s="13" t="s">
        <v>499</v>
      </c>
      <c r="Q2001" s="13" t="s">
        <v>2213</v>
      </c>
      <c r="T2001" t="s">
        <v>2804</v>
      </c>
      <c r="U2001" s="25">
        <f>+Municipios!P898</f>
        <v>64.750256156511512</v>
      </c>
      <c r="V2001" s="13">
        <v>15403</v>
      </c>
      <c r="W2001" s="204" t="s">
        <v>2212</v>
      </c>
      <c r="X2001" s="13" t="s">
        <v>498</v>
      </c>
      <c r="Y2001" s="13" t="s">
        <v>499</v>
      </c>
      <c r="Z2001" s="13" t="s">
        <v>2213</v>
      </c>
    </row>
    <row r="2002" spans="1:26">
      <c r="A2002" t="s">
        <v>412</v>
      </c>
      <c r="B2002" s="25">
        <f>+Municipios!P899</f>
        <v>41.554554027382963</v>
      </c>
      <c r="C2002" s="13">
        <v>13655</v>
      </c>
      <c r="D2002" s="13" t="s">
        <v>2214</v>
      </c>
      <c r="E2002" s="13" t="s">
        <v>480</v>
      </c>
      <c r="F2002" s="13" t="s">
        <v>481</v>
      </c>
      <c r="G2002" s="13" t="s">
        <v>2215</v>
      </c>
      <c r="K2002" t="s">
        <v>413</v>
      </c>
      <c r="L2002" s="81">
        <f>+Municipios!U899</f>
        <v>17.795823885607614</v>
      </c>
      <c r="M2002" s="13">
        <v>13655</v>
      </c>
      <c r="N2002" s="13" t="s">
        <v>2214</v>
      </c>
      <c r="O2002" s="13" t="s">
        <v>480</v>
      </c>
      <c r="P2002" s="13" t="s">
        <v>481</v>
      </c>
      <c r="Q2002" s="13" t="s">
        <v>2215</v>
      </c>
      <c r="T2002" t="s">
        <v>2804</v>
      </c>
      <c r="U2002" s="25">
        <f>+Municipios!P899</f>
        <v>41.554554027382963</v>
      </c>
      <c r="V2002" s="13">
        <v>13655</v>
      </c>
      <c r="W2002" s="13" t="s">
        <v>2214</v>
      </c>
      <c r="X2002" s="13" t="s">
        <v>480</v>
      </c>
      <c r="Y2002" s="13" t="s">
        <v>481</v>
      </c>
      <c r="Z2002" s="13" t="s">
        <v>2215</v>
      </c>
    </row>
    <row r="2003" spans="1:26">
      <c r="A2003" t="s">
        <v>412</v>
      </c>
      <c r="B2003" s="25">
        <f>+Municipios!P900</f>
        <v>57.038712802669693</v>
      </c>
      <c r="C2003" s="13">
        <v>50110</v>
      </c>
      <c r="D2003" s="13" t="s">
        <v>2216</v>
      </c>
      <c r="E2003" s="13" t="s">
        <v>605</v>
      </c>
      <c r="F2003" s="13" t="s">
        <v>606</v>
      </c>
      <c r="G2003" s="13" t="s">
        <v>2217</v>
      </c>
      <c r="K2003" t="s">
        <v>413</v>
      </c>
      <c r="L2003" s="81">
        <f>+Municipios!U900</f>
        <v>24.517122730603344</v>
      </c>
      <c r="M2003" s="13">
        <v>50110</v>
      </c>
      <c r="N2003" s="13" t="s">
        <v>2216</v>
      </c>
      <c r="O2003" s="13" t="s">
        <v>605</v>
      </c>
      <c r="P2003" s="13" t="s">
        <v>606</v>
      </c>
      <c r="Q2003" s="13" t="s">
        <v>2217</v>
      </c>
      <c r="T2003" t="s">
        <v>2804</v>
      </c>
      <c r="U2003" s="25">
        <f>+Municipios!P900</f>
        <v>57.038712802669693</v>
      </c>
      <c r="V2003" s="13">
        <v>50110</v>
      </c>
      <c r="W2003" s="13" t="s">
        <v>2216</v>
      </c>
      <c r="X2003" s="13" t="s">
        <v>605</v>
      </c>
      <c r="Y2003" s="13" t="s">
        <v>606</v>
      </c>
      <c r="Z2003" s="13" t="s">
        <v>2217</v>
      </c>
    </row>
    <row r="2004" spans="1:26">
      <c r="A2004" t="s">
        <v>412</v>
      </c>
      <c r="B2004" s="25">
        <f>+Municipios!P901</f>
        <v>59.919666227097011</v>
      </c>
      <c r="C2004" s="13">
        <v>68207</v>
      </c>
      <c r="D2004" s="13" t="s">
        <v>2218</v>
      </c>
      <c r="E2004" s="13" t="s">
        <v>431</v>
      </c>
      <c r="F2004" s="13" t="s">
        <v>432</v>
      </c>
      <c r="G2004" s="13" t="s">
        <v>1728</v>
      </c>
      <c r="K2004" t="s">
        <v>413</v>
      </c>
      <c r="L2004" s="81">
        <f>+Municipios!U901</f>
        <v>25.753175752121226</v>
      </c>
      <c r="M2004" s="13">
        <v>68207</v>
      </c>
      <c r="N2004" s="13" t="s">
        <v>2218</v>
      </c>
      <c r="O2004" s="13" t="s">
        <v>431</v>
      </c>
      <c r="P2004" s="13" t="s">
        <v>432</v>
      </c>
      <c r="Q2004" s="13" t="s">
        <v>1728</v>
      </c>
      <c r="T2004" t="s">
        <v>2804</v>
      </c>
      <c r="U2004" s="25">
        <f>+Municipios!P901</f>
        <v>59.919666227097011</v>
      </c>
      <c r="V2004" s="13">
        <v>68207</v>
      </c>
      <c r="W2004" s="13" t="s">
        <v>2218</v>
      </c>
      <c r="X2004" s="13" t="s">
        <v>431</v>
      </c>
      <c r="Y2004" s="13" t="s">
        <v>432</v>
      </c>
      <c r="Z2004" s="13" t="s">
        <v>1728</v>
      </c>
    </row>
    <row r="2005" spans="1:26">
      <c r="A2005" t="s">
        <v>412</v>
      </c>
      <c r="B2005" s="25">
        <f>+Municipios!P902</f>
        <v>53.117137341172452</v>
      </c>
      <c r="C2005" s="13">
        <v>52490</v>
      </c>
      <c r="D2005" s="13" t="s">
        <v>2219</v>
      </c>
      <c r="E2005" s="13" t="s">
        <v>672</v>
      </c>
      <c r="F2005" s="13" t="s">
        <v>673</v>
      </c>
      <c r="G2005" s="13" t="s">
        <v>2220</v>
      </c>
      <c r="K2005" t="s">
        <v>413</v>
      </c>
      <c r="L2005" s="81">
        <f>+Municipios!U902</f>
        <v>22.88861192241006</v>
      </c>
      <c r="M2005" s="13">
        <v>52490</v>
      </c>
      <c r="N2005" s="13" t="s">
        <v>2219</v>
      </c>
      <c r="O2005" s="13" t="s">
        <v>672</v>
      </c>
      <c r="P2005" s="13" t="s">
        <v>673</v>
      </c>
      <c r="Q2005" s="13" t="s">
        <v>2220</v>
      </c>
      <c r="T2005" t="s">
        <v>2804</v>
      </c>
      <c r="U2005" s="25">
        <f>+Municipios!P902</f>
        <v>53.117137341172452</v>
      </c>
      <c r="V2005" s="13">
        <v>52490</v>
      </c>
      <c r="W2005" s="13" t="s">
        <v>2219</v>
      </c>
      <c r="X2005" s="13" t="s">
        <v>672</v>
      </c>
      <c r="Y2005" s="13" t="s">
        <v>673</v>
      </c>
      <c r="Z2005" s="13" t="s">
        <v>2220</v>
      </c>
    </row>
    <row r="2006" spans="1:26">
      <c r="A2006" t="s">
        <v>412</v>
      </c>
      <c r="B2006" s="25">
        <f>+Municipios!P903</f>
        <v>56.773952319836425</v>
      </c>
      <c r="C2006" s="13">
        <v>52612</v>
      </c>
      <c r="D2006" s="13" t="s">
        <v>2221</v>
      </c>
      <c r="E2006" s="13" t="s">
        <v>672</v>
      </c>
      <c r="F2006" s="13" t="s">
        <v>673</v>
      </c>
      <c r="G2006" s="13" t="s">
        <v>862</v>
      </c>
      <c r="K2006" t="s">
        <v>413</v>
      </c>
      <c r="L2006" s="81">
        <f>+Municipios!U903</f>
        <v>24.723535733631543</v>
      </c>
      <c r="M2006" s="13">
        <v>52612</v>
      </c>
      <c r="N2006" s="13" t="s">
        <v>2221</v>
      </c>
      <c r="O2006" s="13" t="s">
        <v>672</v>
      </c>
      <c r="P2006" s="13" t="s">
        <v>673</v>
      </c>
      <c r="Q2006" s="13" t="s">
        <v>862</v>
      </c>
      <c r="T2006" t="s">
        <v>2804</v>
      </c>
      <c r="U2006" s="25">
        <f>+Municipios!P903</f>
        <v>56.773952319836425</v>
      </c>
      <c r="V2006" s="13">
        <v>52612</v>
      </c>
      <c r="W2006" s="13" t="s">
        <v>2221</v>
      </c>
      <c r="X2006" s="13" t="s">
        <v>672</v>
      </c>
      <c r="Y2006" s="13" t="s">
        <v>673</v>
      </c>
      <c r="Z2006" s="13" t="s">
        <v>862</v>
      </c>
    </row>
    <row r="2007" spans="1:26">
      <c r="A2007" t="s">
        <v>412</v>
      </c>
      <c r="B2007" s="25">
        <f>+Municipios!P904</f>
        <v>53.561707478432147</v>
      </c>
      <c r="C2007" s="13">
        <v>5543</v>
      </c>
      <c r="D2007" s="13" t="s">
        <v>2222</v>
      </c>
      <c r="E2007" s="13" t="s">
        <v>435</v>
      </c>
      <c r="F2007" s="13" t="s">
        <v>436</v>
      </c>
      <c r="G2007" s="13" t="s">
        <v>2223</v>
      </c>
      <c r="K2007" t="s">
        <v>413</v>
      </c>
      <c r="L2007" s="81">
        <f>+Municipios!U904</f>
        <v>23.042665369460718</v>
      </c>
      <c r="M2007" s="13">
        <v>5543</v>
      </c>
      <c r="N2007" s="13" t="s">
        <v>2222</v>
      </c>
      <c r="O2007" s="13" t="s">
        <v>435</v>
      </c>
      <c r="P2007" s="13" t="s">
        <v>436</v>
      </c>
      <c r="Q2007" s="13" t="s">
        <v>2223</v>
      </c>
      <c r="T2007" t="s">
        <v>2804</v>
      </c>
      <c r="U2007" s="25">
        <f>+Municipios!P904</f>
        <v>53.561707478432147</v>
      </c>
      <c r="V2007" s="13">
        <v>5543</v>
      </c>
      <c r="W2007" s="13" t="s">
        <v>2222</v>
      </c>
      <c r="X2007" s="13" t="s">
        <v>435</v>
      </c>
      <c r="Y2007" s="13" t="s">
        <v>436</v>
      </c>
      <c r="Z2007" s="13" t="s">
        <v>2223</v>
      </c>
    </row>
    <row r="2008" spans="1:26">
      <c r="A2008" t="s">
        <v>412</v>
      </c>
      <c r="B2008" s="25">
        <f>+Municipios!P905</f>
        <v>59.13624070417238</v>
      </c>
      <c r="C2008" s="13">
        <v>15507</v>
      </c>
      <c r="D2008" s="13" t="s">
        <v>2224</v>
      </c>
      <c r="E2008" s="13" t="s">
        <v>498</v>
      </c>
      <c r="F2008" s="13" t="s">
        <v>499</v>
      </c>
      <c r="G2008" s="13" t="s">
        <v>2225</v>
      </c>
      <c r="K2008" t="s">
        <v>413</v>
      </c>
      <c r="L2008" s="81">
        <f>+Municipios!U905</f>
        <v>25.036066028733106</v>
      </c>
      <c r="M2008" s="13">
        <v>15507</v>
      </c>
      <c r="N2008" s="13" t="s">
        <v>2224</v>
      </c>
      <c r="O2008" s="13" t="s">
        <v>498</v>
      </c>
      <c r="P2008" s="13" t="s">
        <v>499</v>
      </c>
      <c r="Q2008" s="13" t="s">
        <v>2225</v>
      </c>
      <c r="T2008" t="s">
        <v>2804</v>
      </c>
      <c r="U2008" s="25">
        <f>+Municipios!P905</f>
        <v>59.13624070417238</v>
      </c>
      <c r="V2008" s="13">
        <v>15507</v>
      </c>
      <c r="W2008" s="13" t="s">
        <v>2224</v>
      </c>
      <c r="X2008" s="13" t="s">
        <v>498</v>
      </c>
      <c r="Y2008" s="13" t="s">
        <v>499</v>
      </c>
      <c r="Z2008" s="13" t="s">
        <v>2225</v>
      </c>
    </row>
    <row r="2009" spans="1:26">
      <c r="A2009" t="s">
        <v>412</v>
      </c>
      <c r="B2009" s="25">
        <f>+Municipios!P906</f>
        <v>56.681127702378333</v>
      </c>
      <c r="C2009" s="13">
        <v>27580</v>
      </c>
      <c r="D2009" s="13" t="s">
        <v>2226</v>
      </c>
      <c r="E2009" s="13" t="s">
        <v>1714</v>
      </c>
      <c r="F2009" s="13" t="s">
        <v>1715</v>
      </c>
      <c r="G2009" s="13" t="s">
        <v>2227</v>
      </c>
      <c r="K2009" t="s">
        <v>413</v>
      </c>
      <c r="L2009" s="81">
        <f>+Municipios!U906</f>
        <v>24.268505908027155</v>
      </c>
      <c r="M2009" s="13">
        <v>27580</v>
      </c>
      <c r="N2009" s="13" t="s">
        <v>2226</v>
      </c>
      <c r="O2009" s="13" t="s">
        <v>1714</v>
      </c>
      <c r="P2009" s="13" t="s">
        <v>1715</v>
      </c>
      <c r="Q2009" s="13" t="s">
        <v>2227</v>
      </c>
      <c r="T2009" t="s">
        <v>2804</v>
      </c>
      <c r="U2009" s="25">
        <f>+Municipios!P906</f>
        <v>56.681127702378333</v>
      </c>
      <c r="V2009" s="13">
        <v>27580</v>
      </c>
      <c r="W2009" s="13" t="s">
        <v>2226</v>
      </c>
      <c r="X2009" s="13" t="s">
        <v>1714</v>
      </c>
      <c r="Y2009" s="13" t="s">
        <v>1715</v>
      </c>
      <c r="Z2009" s="13" t="s">
        <v>2227</v>
      </c>
    </row>
    <row r="2010" spans="1:26">
      <c r="A2010" t="s">
        <v>412</v>
      </c>
      <c r="B2010" s="25">
        <f>+Municipios!P907</f>
        <v>53.520348830178307</v>
      </c>
      <c r="C2010" s="13">
        <v>15839</v>
      </c>
      <c r="D2010" s="13" t="s">
        <v>2228</v>
      </c>
      <c r="E2010" s="13" t="s">
        <v>498</v>
      </c>
      <c r="F2010" s="13" t="s">
        <v>499</v>
      </c>
      <c r="G2010" s="13" t="s">
        <v>2229</v>
      </c>
      <c r="K2010" t="s">
        <v>413</v>
      </c>
      <c r="L2010" s="81">
        <f>+Municipios!U907</f>
        <v>22.606794845117335</v>
      </c>
      <c r="M2010" s="13">
        <v>15839</v>
      </c>
      <c r="N2010" s="13" t="s">
        <v>2228</v>
      </c>
      <c r="O2010" s="13" t="s">
        <v>498</v>
      </c>
      <c r="P2010" s="13" t="s">
        <v>499</v>
      </c>
      <c r="Q2010" s="13" t="s">
        <v>2229</v>
      </c>
      <c r="T2010" t="s">
        <v>2804</v>
      </c>
      <c r="U2010" s="25">
        <f>+Municipios!P907</f>
        <v>53.520348830178307</v>
      </c>
      <c r="V2010" s="13">
        <v>15839</v>
      </c>
      <c r="W2010" s="13" t="s">
        <v>2228</v>
      </c>
      <c r="X2010" s="13" t="s">
        <v>498</v>
      </c>
      <c r="Y2010" s="13" t="s">
        <v>499</v>
      </c>
      <c r="Z2010" s="13" t="s">
        <v>2229</v>
      </c>
    </row>
    <row r="2011" spans="1:26">
      <c r="A2011" t="s">
        <v>412</v>
      </c>
      <c r="B2011" s="25">
        <f>+Municipios!P908</f>
        <v>49.132912359522535</v>
      </c>
      <c r="C2011" s="13">
        <v>86885</v>
      </c>
      <c r="D2011" s="13" t="s">
        <v>2230</v>
      </c>
      <c r="E2011" s="13" t="s">
        <v>943</v>
      </c>
      <c r="F2011" s="13" t="s">
        <v>944</v>
      </c>
      <c r="G2011" s="13" t="s">
        <v>2231</v>
      </c>
      <c r="K2011" t="s">
        <v>413</v>
      </c>
      <c r="L2011" s="81">
        <f>+Municipios!U908</f>
        <v>20.785530115114767</v>
      </c>
      <c r="M2011" s="13">
        <v>86885</v>
      </c>
      <c r="N2011" s="13" t="s">
        <v>2230</v>
      </c>
      <c r="O2011" s="13" t="s">
        <v>943</v>
      </c>
      <c r="P2011" s="13" t="s">
        <v>944</v>
      </c>
      <c r="Q2011" s="13" t="s">
        <v>2231</v>
      </c>
      <c r="T2011" t="s">
        <v>2804</v>
      </c>
      <c r="U2011" s="25">
        <f>+Municipios!P908</f>
        <v>49.132912359522535</v>
      </c>
      <c r="V2011" s="13">
        <v>86885</v>
      </c>
      <c r="W2011" s="13" t="s">
        <v>2230</v>
      </c>
      <c r="X2011" s="13" t="s">
        <v>943</v>
      </c>
      <c r="Y2011" s="13" t="s">
        <v>944</v>
      </c>
      <c r="Z2011" s="13" t="s">
        <v>2231</v>
      </c>
    </row>
    <row r="2012" spans="1:26">
      <c r="A2012" t="s">
        <v>412</v>
      </c>
      <c r="B2012" s="25">
        <f>+Municipios!P909</f>
        <v>62.394533410727249</v>
      </c>
      <c r="C2012" s="13">
        <v>68092</v>
      </c>
      <c r="D2012" s="13" t="s">
        <v>2232</v>
      </c>
      <c r="E2012" s="13" t="s">
        <v>431</v>
      </c>
      <c r="F2012" s="13" t="s">
        <v>432</v>
      </c>
      <c r="G2012" s="13" t="s">
        <v>1359</v>
      </c>
      <c r="K2012" t="s">
        <v>413</v>
      </c>
      <c r="L2012" s="81">
        <f>+Municipios!U909</f>
        <v>26.939403629779566</v>
      </c>
      <c r="M2012" s="13">
        <v>68092</v>
      </c>
      <c r="N2012" s="13" t="s">
        <v>2232</v>
      </c>
      <c r="O2012" s="13" t="s">
        <v>431</v>
      </c>
      <c r="P2012" s="13" t="s">
        <v>432</v>
      </c>
      <c r="Q2012" s="13" t="s">
        <v>1359</v>
      </c>
      <c r="T2012" t="s">
        <v>2804</v>
      </c>
      <c r="U2012" s="25">
        <f>+Municipios!P909</f>
        <v>62.394533410727249</v>
      </c>
      <c r="V2012" s="13">
        <v>68092</v>
      </c>
      <c r="W2012" s="13" t="s">
        <v>2232</v>
      </c>
      <c r="X2012" s="13" t="s">
        <v>431</v>
      </c>
      <c r="Y2012" s="13" t="s">
        <v>432</v>
      </c>
      <c r="Z2012" s="13" t="s">
        <v>1359</v>
      </c>
    </row>
    <row r="2013" spans="1:26">
      <c r="A2013" t="s">
        <v>412</v>
      </c>
      <c r="B2013" s="25">
        <f>+Municipios!P910</f>
        <v>55.714313712853333</v>
      </c>
      <c r="C2013" s="13">
        <v>68162</v>
      </c>
      <c r="D2013" s="13" t="s">
        <v>2233</v>
      </c>
      <c r="E2013" s="13" t="s">
        <v>431</v>
      </c>
      <c r="F2013" s="13" t="s">
        <v>432</v>
      </c>
      <c r="G2013" s="13" t="s">
        <v>2234</v>
      </c>
      <c r="K2013" t="s">
        <v>413</v>
      </c>
      <c r="L2013" s="81">
        <f>+Municipios!U910</f>
        <v>23.857769140402585</v>
      </c>
      <c r="M2013" s="13">
        <v>68162</v>
      </c>
      <c r="N2013" s="13" t="s">
        <v>2233</v>
      </c>
      <c r="O2013" s="13" t="s">
        <v>431</v>
      </c>
      <c r="P2013" s="13" t="s">
        <v>432</v>
      </c>
      <c r="Q2013" s="13" t="s">
        <v>2234</v>
      </c>
      <c r="T2013" t="s">
        <v>2804</v>
      </c>
      <c r="U2013" s="25">
        <f>+Municipios!P910</f>
        <v>55.714313712853333</v>
      </c>
      <c r="V2013" s="13">
        <v>68162</v>
      </c>
      <c r="W2013" s="13" t="s">
        <v>2233</v>
      </c>
      <c r="X2013" s="13" t="s">
        <v>431</v>
      </c>
      <c r="Y2013" s="13" t="s">
        <v>432</v>
      </c>
      <c r="Z2013" s="13" t="s">
        <v>2234</v>
      </c>
    </row>
    <row r="2014" spans="1:26">
      <c r="A2014" t="s">
        <v>412</v>
      </c>
      <c r="B2014" s="25">
        <f>+Municipios!P911</f>
        <v>51.910136523145638</v>
      </c>
      <c r="C2014" s="13">
        <v>5480</v>
      </c>
      <c r="D2014" s="13" t="s">
        <v>2235</v>
      </c>
      <c r="E2014" s="13" t="s">
        <v>435</v>
      </c>
      <c r="F2014" s="13" t="s">
        <v>436</v>
      </c>
      <c r="G2014" s="13" t="s">
        <v>2236</v>
      </c>
      <c r="K2014" t="s">
        <v>413</v>
      </c>
      <c r="L2014" s="81">
        <f>+Municipios!U911</f>
        <v>21.865786642092953</v>
      </c>
      <c r="M2014" s="13">
        <v>5480</v>
      </c>
      <c r="N2014" s="13" t="s">
        <v>2235</v>
      </c>
      <c r="O2014" s="13" t="s">
        <v>435</v>
      </c>
      <c r="P2014" s="13" t="s">
        <v>436</v>
      </c>
      <c r="Q2014" s="13" t="s">
        <v>2236</v>
      </c>
      <c r="T2014" t="s">
        <v>2804</v>
      </c>
      <c r="U2014" s="25">
        <f>+Municipios!P911</f>
        <v>51.910136523145638</v>
      </c>
      <c r="V2014" s="13">
        <v>5480</v>
      </c>
      <c r="W2014" s="13" t="s">
        <v>2235</v>
      </c>
      <c r="X2014" s="13" t="s">
        <v>435</v>
      </c>
      <c r="Y2014" s="13" t="s">
        <v>436</v>
      </c>
      <c r="Z2014" s="13" t="s">
        <v>2236</v>
      </c>
    </row>
    <row r="2015" spans="1:26">
      <c r="A2015" t="s">
        <v>412</v>
      </c>
      <c r="B2015" s="25">
        <f>+Municipios!P912</f>
        <v>57.240631176371906</v>
      </c>
      <c r="C2015" s="13">
        <v>25839</v>
      </c>
      <c r="D2015" s="13" t="s">
        <v>2237</v>
      </c>
      <c r="E2015" s="13" t="s">
        <v>461</v>
      </c>
      <c r="F2015" s="13" t="s">
        <v>462</v>
      </c>
      <c r="G2015" s="13" t="s">
        <v>2238</v>
      </c>
      <c r="K2015" t="s">
        <v>413</v>
      </c>
      <c r="L2015" s="81">
        <f>+Municipios!U912</f>
        <v>23.843670902128196</v>
      </c>
      <c r="M2015" s="13">
        <v>25839</v>
      </c>
      <c r="N2015" s="13" t="s">
        <v>2237</v>
      </c>
      <c r="O2015" s="13" t="s">
        <v>461</v>
      </c>
      <c r="P2015" s="13" t="s">
        <v>462</v>
      </c>
      <c r="Q2015" s="13" t="s">
        <v>2238</v>
      </c>
      <c r="T2015" t="s">
        <v>2804</v>
      </c>
      <c r="U2015" s="25">
        <f>+Municipios!P912</f>
        <v>57.240631176371906</v>
      </c>
      <c r="V2015" s="13">
        <v>25839</v>
      </c>
      <c r="W2015" s="13" t="s">
        <v>2237</v>
      </c>
      <c r="X2015" s="13" t="s">
        <v>461</v>
      </c>
      <c r="Y2015" s="13" t="s">
        <v>462</v>
      </c>
      <c r="Z2015" s="13" t="s">
        <v>2238</v>
      </c>
    </row>
    <row r="2016" spans="1:26">
      <c r="A2016" t="s">
        <v>412</v>
      </c>
      <c r="B2016" s="25">
        <f>+Municipios!P913</f>
        <v>58.715780989094249</v>
      </c>
      <c r="C2016" s="13">
        <v>27361</v>
      </c>
      <c r="D2016" s="13" t="s">
        <v>2239</v>
      </c>
      <c r="E2016" s="13" t="s">
        <v>1714</v>
      </c>
      <c r="F2016" s="13" t="s">
        <v>1715</v>
      </c>
      <c r="G2016" s="13" t="s">
        <v>2240</v>
      </c>
      <c r="K2016" t="s">
        <v>413</v>
      </c>
      <c r="L2016" s="81">
        <f>+Municipios!U913</f>
        <v>25.189974493761451</v>
      </c>
      <c r="M2016" s="13">
        <v>27361</v>
      </c>
      <c r="N2016" s="13" t="s">
        <v>2239</v>
      </c>
      <c r="O2016" s="13" t="s">
        <v>1714</v>
      </c>
      <c r="P2016" s="13" t="s">
        <v>1715</v>
      </c>
      <c r="Q2016" s="13" t="s">
        <v>2240</v>
      </c>
      <c r="T2016" t="s">
        <v>2804</v>
      </c>
      <c r="U2016" s="25">
        <f>+Municipios!P913</f>
        <v>58.715780989094249</v>
      </c>
      <c r="V2016" s="13">
        <v>27361</v>
      </c>
      <c r="W2016" s="13" t="s">
        <v>2239</v>
      </c>
      <c r="X2016" s="13" t="s">
        <v>1714</v>
      </c>
      <c r="Y2016" s="13" t="s">
        <v>1715</v>
      </c>
      <c r="Z2016" s="13" t="s">
        <v>2240</v>
      </c>
    </row>
    <row r="2017" spans="1:26">
      <c r="A2017" t="s">
        <v>412</v>
      </c>
      <c r="B2017" s="25">
        <f>+Municipios!P914</f>
        <v>62.616267845777529</v>
      </c>
      <c r="C2017" s="13">
        <v>41872</v>
      </c>
      <c r="D2017" s="13" t="s">
        <v>2241</v>
      </c>
      <c r="E2017" s="13" t="s">
        <v>676</v>
      </c>
      <c r="F2017" s="13" t="s">
        <v>677</v>
      </c>
      <c r="G2017" s="13" t="s">
        <v>2242</v>
      </c>
      <c r="K2017" t="s">
        <v>413</v>
      </c>
      <c r="L2017" s="81">
        <f>+Municipios!U914</f>
        <v>26.364551045914116</v>
      </c>
      <c r="M2017" s="13">
        <v>41872</v>
      </c>
      <c r="N2017" s="13" t="s">
        <v>2241</v>
      </c>
      <c r="O2017" s="13" t="s">
        <v>676</v>
      </c>
      <c r="P2017" s="13" t="s">
        <v>677</v>
      </c>
      <c r="Q2017" s="13" t="s">
        <v>2242</v>
      </c>
      <c r="T2017" t="s">
        <v>2804</v>
      </c>
      <c r="U2017" s="25">
        <f>+Municipios!P914</f>
        <v>62.616267845777529</v>
      </c>
      <c r="V2017" s="13">
        <v>41872</v>
      </c>
      <c r="W2017" s="13" t="s">
        <v>2241</v>
      </c>
      <c r="X2017" s="13" t="s">
        <v>676</v>
      </c>
      <c r="Y2017" s="13" t="s">
        <v>677</v>
      </c>
      <c r="Z2017" s="13" t="s">
        <v>2242</v>
      </c>
    </row>
    <row r="2018" spans="1:26">
      <c r="A2018" t="s">
        <v>412</v>
      </c>
      <c r="B2018" s="25">
        <f>+Municipios!P915</f>
        <v>58.452510289467035</v>
      </c>
      <c r="C2018" s="13">
        <v>52079</v>
      </c>
      <c r="D2018" s="13" t="s">
        <v>2243</v>
      </c>
      <c r="E2018" s="13" t="s">
        <v>672</v>
      </c>
      <c r="F2018" s="13" t="s">
        <v>673</v>
      </c>
      <c r="G2018" s="13" t="s">
        <v>2244</v>
      </c>
      <c r="K2018" t="s">
        <v>413</v>
      </c>
      <c r="L2018" s="81">
        <f>+Municipios!U915</f>
        <v>25.123292179992582</v>
      </c>
      <c r="M2018" s="13">
        <v>52079</v>
      </c>
      <c r="N2018" s="13" t="s">
        <v>2243</v>
      </c>
      <c r="O2018" s="13" t="s">
        <v>672</v>
      </c>
      <c r="P2018" s="13" t="s">
        <v>673</v>
      </c>
      <c r="Q2018" s="13" t="s">
        <v>2244</v>
      </c>
      <c r="T2018" t="s">
        <v>2804</v>
      </c>
      <c r="U2018" s="25">
        <f>+Municipios!P915</f>
        <v>58.452510289467035</v>
      </c>
      <c r="V2018" s="13">
        <v>52079</v>
      </c>
      <c r="W2018" s="13" t="s">
        <v>2243</v>
      </c>
      <c r="X2018" s="13" t="s">
        <v>672</v>
      </c>
      <c r="Y2018" s="13" t="s">
        <v>673</v>
      </c>
      <c r="Z2018" s="13" t="s">
        <v>2244</v>
      </c>
    </row>
    <row r="2019" spans="1:26">
      <c r="A2019" t="s">
        <v>412</v>
      </c>
      <c r="B2019" s="25">
        <f>+Municipios!P916</f>
        <v>57.906210396084568</v>
      </c>
      <c r="C2019" s="13">
        <v>27135</v>
      </c>
      <c r="D2019" s="13" t="s">
        <v>2245</v>
      </c>
      <c r="E2019" s="13" t="s">
        <v>1714</v>
      </c>
      <c r="F2019" s="13" t="s">
        <v>1715</v>
      </c>
      <c r="G2019" s="13" t="s">
        <v>2246</v>
      </c>
      <c r="K2019" t="s">
        <v>413</v>
      </c>
      <c r="L2019" s="81">
        <f>+Municipios!U916</f>
        <v>24.373589171814427</v>
      </c>
      <c r="M2019" s="13">
        <v>27135</v>
      </c>
      <c r="N2019" s="13" t="s">
        <v>2245</v>
      </c>
      <c r="O2019" s="13" t="s">
        <v>1714</v>
      </c>
      <c r="P2019" s="13" t="s">
        <v>1715</v>
      </c>
      <c r="Q2019" s="13" t="s">
        <v>2246</v>
      </c>
      <c r="T2019" t="s">
        <v>2804</v>
      </c>
      <c r="U2019" s="25">
        <f>+Municipios!P916</f>
        <v>57.906210396084568</v>
      </c>
      <c r="V2019" s="13">
        <v>27135</v>
      </c>
      <c r="W2019" s="13" t="s">
        <v>2245</v>
      </c>
      <c r="X2019" s="13" t="s">
        <v>1714</v>
      </c>
      <c r="Y2019" s="13" t="s">
        <v>1715</v>
      </c>
      <c r="Z2019" s="13" t="s">
        <v>2246</v>
      </c>
    </row>
    <row r="2020" spans="1:26">
      <c r="A2020" t="s">
        <v>412</v>
      </c>
      <c r="B2020" s="25">
        <f>+Municipios!P917</f>
        <v>54.118148014349259</v>
      </c>
      <c r="C2020" s="13">
        <v>68682</v>
      </c>
      <c r="D2020" s="13" t="s">
        <v>2247</v>
      </c>
      <c r="E2020" s="13" t="s">
        <v>431</v>
      </c>
      <c r="F2020" s="13" t="s">
        <v>432</v>
      </c>
      <c r="G2020" s="13" t="s">
        <v>2248</v>
      </c>
      <c r="K2020" t="s">
        <v>413</v>
      </c>
      <c r="L2020" s="81">
        <f>+Municipios!U917</f>
        <v>23.278368948436853</v>
      </c>
      <c r="M2020" s="13">
        <v>68682</v>
      </c>
      <c r="N2020" s="13" t="s">
        <v>2247</v>
      </c>
      <c r="O2020" s="13" t="s">
        <v>431</v>
      </c>
      <c r="P2020" s="13" t="s">
        <v>432</v>
      </c>
      <c r="Q2020" s="13" t="s">
        <v>2248</v>
      </c>
      <c r="T2020" t="s">
        <v>2804</v>
      </c>
      <c r="U2020" s="25">
        <f>+Municipios!P917</f>
        <v>54.118148014349259</v>
      </c>
      <c r="V2020" s="13">
        <v>68682</v>
      </c>
      <c r="W2020" s="13" t="s">
        <v>2247</v>
      </c>
      <c r="X2020" s="13" t="s">
        <v>431</v>
      </c>
      <c r="Y2020" s="13" t="s">
        <v>432</v>
      </c>
      <c r="Z2020" s="13" t="s">
        <v>2248</v>
      </c>
    </row>
    <row r="2021" spans="1:26">
      <c r="A2021" t="s">
        <v>412</v>
      </c>
      <c r="B2021" s="25">
        <f>+Municipios!P918</f>
        <v>56.415148174249623</v>
      </c>
      <c r="C2021" s="13">
        <v>15047</v>
      </c>
      <c r="D2021" s="13" t="s">
        <v>2249</v>
      </c>
      <c r="E2021" s="13" t="s">
        <v>498</v>
      </c>
      <c r="F2021" s="13" t="s">
        <v>499</v>
      </c>
      <c r="G2021" s="13" t="s">
        <v>2250</v>
      </c>
      <c r="K2021" t="s">
        <v>413</v>
      </c>
      <c r="L2021" s="81">
        <f>+Municipios!U918</f>
        <v>23.608411532538181</v>
      </c>
      <c r="M2021" s="13">
        <v>15047</v>
      </c>
      <c r="N2021" s="13" t="s">
        <v>2249</v>
      </c>
      <c r="O2021" s="13" t="s">
        <v>498</v>
      </c>
      <c r="P2021" s="13" t="s">
        <v>499</v>
      </c>
      <c r="Q2021" s="13" t="s">
        <v>2250</v>
      </c>
      <c r="T2021" t="s">
        <v>2804</v>
      </c>
      <c r="U2021" s="25">
        <f>+Municipios!P918</f>
        <v>56.415148174249623</v>
      </c>
      <c r="V2021" s="13">
        <v>15047</v>
      </c>
      <c r="W2021" s="13" t="s">
        <v>2249</v>
      </c>
      <c r="X2021" s="13" t="s">
        <v>498</v>
      </c>
      <c r="Y2021" s="13" t="s">
        <v>499</v>
      </c>
      <c r="Z2021" s="13" t="s">
        <v>2250</v>
      </c>
    </row>
    <row r="2022" spans="1:26">
      <c r="A2022" t="s">
        <v>412</v>
      </c>
      <c r="B2022" s="25">
        <f>+Municipios!P919</f>
        <v>52.090016389356904</v>
      </c>
      <c r="C2022" s="13">
        <v>68152</v>
      </c>
      <c r="D2022" s="13" t="s">
        <v>2251</v>
      </c>
      <c r="E2022" s="13" t="s">
        <v>431</v>
      </c>
      <c r="F2022" s="13" t="s">
        <v>432</v>
      </c>
      <c r="G2022" s="13" t="s">
        <v>2252</v>
      </c>
      <c r="K2022" t="s">
        <v>413</v>
      </c>
      <c r="L2022" s="81">
        <f>+Municipios!U919</f>
        <v>22.223718045754939</v>
      </c>
      <c r="M2022" s="13">
        <v>68152</v>
      </c>
      <c r="N2022" s="13" t="s">
        <v>2251</v>
      </c>
      <c r="O2022" s="13" t="s">
        <v>431</v>
      </c>
      <c r="P2022" s="13" t="s">
        <v>432</v>
      </c>
      <c r="Q2022" s="13" t="s">
        <v>2252</v>
      </c>
      <c r="T2022" t="s">
        <v>2804</v>
      </c>
      <c r="U2022" s="25">
        <f>+Municipios!P919</f>
        <v>52.090016389356904</v>
      </c>
      <c r="V2022" s="13">
        <v>68152</v>
      </c>
      <c r="W2022" s="13" t="s">
        <v>2251</v>
      </c>
      <c r="X2022" s="13" t="s">
        <v>431</v>
      </c>
      <c r="Y2022" s="13" t="s">
        <v>432</v>
      </c>
      <c r="Z2022" s="13" t="s">
        <v>2252</v>
      </c>
    </row>
    <row r="2023" spans="1:26">
      <c r="A2023" t="s">
        <v>412</v>
      </c>
      <c r="B2023" s="25">
        <f>+Municipios!P920</f>
        <v>67.722514398627183</v>
      </c>
      <c r="C2023" s="13">
        <v>27450</v>
      </c>
      <c r="D2023" s="13" t="s">
        <v>2253</v>
      </c>
      <c r="E2023" s="13" t="s">
        <v>1714</v>
      </c>
      <c r="F2023" s="13" t="s">
        <v>1715</v>
      </c>
      <c r="G2023" s="13" t="s">
        <v>2254</v>
      </c>
      <c r="K2023" t="s">
        <v>413</v>
      </c>
      <c r="L2023" s="81">
        <f>+Municipios!U920</f>
        <v>28.417480350625866</v>
      </c>
      <c r="M2023" s="13">
        <v>27450</v>
      </c>
      <c r="N2023" s="13" t="s">
        <v>2253</v>
      </c>
      <c r="O2023" s="13" t="s">
        <v>1714</v>
      </c>
      <c r="P2023" s="13" t="s">
        <v>1715</v>
      </c>
      <c r="Q2023" s="13" t="s">
        <v>2254</v>
      </c>
      <c r="T2023" t="s">
        <v>2804</v>
      </c>
      <c r="U2023" s="25">
        <f>+Municipios!P920</f>
        <v>67.722514398627183</v>
      </c>
      <c r="V2023" s="13">
        <v>27450</v>
      </c>
      <c r="W2023" s="13" t="s">
        <v>2253</v>
      </c>
      <c r="X2023" s="13" t="s">
        <v>1714</v>
      </c>
      <c r="Y2023" s="13" t="s">
        <v>1715</v>
      </c>
      <c r="Z2023" s="13" t="s">
        <v>2254</v>
      </c>
    </row>
    <row r="2024" spans="1:26">
      <c r="A2024" t="s">
        <v>412</v>
      </c>
      <c r="B2024" s="25">
        <f>+Municipios!P921</f>
        <v>66.298929294324367</v>
      </c>
      <c r="C2024" s="13">
        <v>81300</v>
      </c>
      <c r="D2024" s="13" t="s">
        <v>2255</v>
      </c>
      <c r="E2024" s="13" t="s">
        <v>1568</v>
      </c>
      <c r="F2024" s="13" t="s">
        <v>1569</v>
      </c>
      <c r="G2024" s="13" t="s">
        <v>2256</v>
      </c>
      <c r="K2024" t="s">
        <v>413</v>
      </c>
      <c r="L2024" s="81">
        <f>+Municipios!U921</f>
        <v>27.163762881565813</v>
      </c>
      <c r="M2024" s="13">
        <v>81300</v>
      </c>
      <c r="N2024" s="13" t="s">
        <v>2255</v>
      </c>
      <c r="O2024" s="13" t="s">
        <v>1568</v>
      </c>
      <c r="P2024" s="13" t="s">
        <v>1569</v>
      </c>
      <c r="Q2024" s="13" t="s">
        <v>2256</v>
      </c>
      <c r="T2024" t="s">
        <v>2804</v>
      </c>
      <c r="U2024" s="25">
        <f>+Municipios!P921</f>
        <v>66.298929294324367</v>
      </c>
      <c r="V2024" s="13">
        <v>81300</v>
      </c>
      <c r="W2024" s="13" t="s">
        <v>2255</v>
      </c>
      <c r="X2024" s="13" t="s">
        <v>1568</v>
      </c>
      <c r="Y2024" s="13" t="s">
        <v>1569</v>
      </c>
      <c r="Z2024" s="13" t="s">
        <v>2256</v>
      </c>
    </row>
    <row r="2025" spans="1:26">
      <c r="A2025" t="s">
        <v>412</v>
      </c>
      <c r="B2025" s="25">
        <f>+Municipios!P922</f>
        <v>53.691214732939628</v>
      </c>
      <c r="C2025" s="13">
        <v>47660</v>
      </c>
      <c r="D2025" s="13" t="s">
        <v>2257</v>
      </c>
      <c r="E2025" s="13" t="s">
        <v>638</v>
      </c>
      <c r="F2025" s="13" t="s">
        <v>639</v>
      </c>
      <c r="G2025" s="13" t="s">
        <v>2258</v>
      </c>
      <c r="K2025" t="s">
        <v>413</v>
      </c>
      <c r="L2025" s="81">
        <f>+Municipios!U922</f>
        <v>22.485976393356321</v>
      </c>
      <c r="M2025" s="13">
        <v>47660</v>
      </c>
      <c r="N2025" s="13" t="s">
        <v>2257</v>
      </c>
      <c r="O2025" s="13" t="s">
        <v>638</v>
      </c>
      <c r="P2025" s="13" t="s">
        <v>639</v>
      </c>
      <c r="Q2025" s="13" t="s">
        <v>2258</v>
      </c>
      <c r="T2025" t="s">
        <v>2804</v>
      </c>
      <c r="U2025" s="25">
        <f>+Municipios!P922</f>
        <v>53.691214732939628</v>
      </c>
      <c r="V2025" s="13">
        <v>47660</v>
      </c>
      <c r="W2025" s="13" t="s">
        <v>2257</v>
      </c>
      <c r="X2025" s="13" t="s">
        <v>638</v>
      </c>
      <c r="Y2025" s="13" t="s">
        <v>639</v>
      </c>
      <c r="Z2025" s="13" t="s">
        <v>2258</v>
      </c>
    </row>
    <row r="2026" spans="1:26">
      <c r="A2026" t="s">
        <v>412</v>
      </c>
      <c r="B2026" s="25">
        <f>+Municipios!P923</f>
        <v>60.364729365325701</v>
      </c>
      <c r="C2026" s="13">
        <v>5234</v>
      </c>
      <c r="D2026" s="13" t="s">
        <v>2259</v>
      </c>
      <c r="E2026" s="13" t="s">
        <v>435</v>
      </c>
      <c r="F2026" s="13" t="s">
        <v>436</v>
      </c>
      <c r="G2026" s="13" t="s">
        <v>2260</v>
      </c>
      <c r="K2026" t="s">
        <v>413</v>
      </c>
      <c r="L2026" s="81">
        <f>+Municipios!U923</f>
        <v>25.587195084180898</v>
      </c>
      <c r="M2026" s="13">
        <v>5234</v>
      </c>
      <c r="N2026" s="13" t="s">
        <v>2259</v>
      </c>
      <c r="O2026" s="13" t="s">
        <v>435</v>
      </c>
      <c r="P2026" s="13" t="s">
        <v>436</v>
      </c>
      <c r="Q2026" s="13" t="s">
        <v>2260</v>
      </c>
      <c r="T2026" t="s">
        <v>2804</v>
      </c>
      <c r="U2026" s="25">
        <f>+Municipios!P923</f>
        <v>60.364729365325701</v>
      </c>
      <c r="V2026" s="13">
        <v>5234</v>
      </c>
      <c r="W2026" s="13" t="s">
        <v>2259</v>
      </c>
      <c r="X2026" s="13" t="s">
        <v>435</v>
      </c>
      <c r="Y2026" s="13" t="s">
        <v>436</v>
      </c>
      <c r="Z2026" s="13" t="s">
        <v>2260</v>
      </c>
    </row>
    <row r="2027" spans="1:26">
      <c r="A2027" t="s">
        <v>412</v>
      </c>
      <c r="B2027" s="25">
        <f>+Municipios!P924</f>
        <v>56.018201047280364</v>
      </c>
      <c r="C2027" s="13">
        <v>27050</v>
      </c>
      <c r="D2027" s="13" t="s">
        <v>2261</v>
      </c>
      <c r="E2027" s="13" t="s">
        <v>1714</v>
      </c>
      <c r="F2027" s="13" t="s">
        <v>1715</v>
      </c>
      <c r="G2027" s="13" t="s">
        <v>2262</v>
      </c>
      <c r="K2027" t="s">
        <v>413</v>
      </c>
      <c r="L2027" s="81">
        <f>+Municipios!U924</f>
        <v>23.42861224309755</v>
      </c>
      <c r="M2027" s="13">
        <v>27050</v>
      </c>
      <c r="N2027" s="13" t="s">
        <v>2261</v>
      </c>
      <c r="O2027" s="13" t="s">
        <v>1714</v>
      </c>
      <c r="P2027" s="13" t="s">
        <v>1715</v>
      </c>
      <c r="Q2027" s="13" t="s">
        <v>2262</v>
      </c>
      <c r="T2027" t="s">
        <v>2804</v>
      </c>
      <c r="U2027" s="25">
        <f>+Municipios!P924</f>
        <v>56.018201047280364</v>
      </c>
      <c r="V2027" s="13">
        <v>27050</v>
      </c>
      <c r="W2027" s="13" t="s">
        <v>2261</v>
      </c>
      <c r="X2027" s="13" t="s">
        <v>1714</v>
      </c>
      <c r="Y2027" s="13" t="s">
        <v>1715</v>
      </c>
      <c r="Z2027" s="13" t="s">
        <v>2262</v>
      </c>
    </row>
    <row r="2028" spans="1:26">
      <c r="A2028" t="s">
        <v>412</v>
      </c>
      <c r="B2028" s="25">
        <f>+Municipios!P925</f>
        <v>51.293046635183131</v>
      </c>
      <c r="C2028" s="13">
        <v>86320</v>
      </c>
      <c r="D2028" s="13" t="s">
        <v>2263</v>
      </c>
      <c r="E2028" s="13" t="s">
        <v>943</v>
      </c>
      <c r="F2028" s="13" t="s">
        <v>944</v>
      </c>
      <c r="G2028" s="13" t="s">
        <v>2264</v>
      </c>
      <c r="K2028" t="s">
        <v>413</v>
      </c>
      <c r="L2028" s="81">
        <f>+Municipios!U925</f>
        <v>21.431033945900186</v>
      </c>
      <c r="M2028" s="13">
        <v>86320</v>
      </c>
      <c r="N2028" s="13" t="s">
        <v>2263</v>
      </c>
      <c r="O2028" s="13" t="s">
        <v>943</v>
      </c>
      <c r="P2028" s="13" t="s">
        <v>944</v>
      </c>
      <c r="Q2028" s="13" t="s">
        <v>2264</v>
      </c>
      <c r="T2028" t="s">
        <v>2804</v>
      </c>
      <c r="U2028" s="25">
        <f>+Municipios!P925</f>
        <v>51.293046635183131</v>
      </c>
      <c r="V2028" s="13">
        <v>86320</v>
      </c>
      <c r="W2028" s="13" t="s">
        <v>2263</v>
      </c>
      <c r="X2028" s="13" t="s">
        <v>943</v>
      </c>
      <c r="Y2028" s="13" t="s">
        <v>944</v>
      </c>
      <c r="Z2028" s="13" t="s">
        <v>2264</v>
      </c>
    </row>
    <row r="2029" spans="1:26">
      <c r="A2029" t="s">
        <v>412</v>
      </c>
      <c r="B2029" s="25">
        <f>+Municipios!P926</f>
        <v>46.642429571217662</v>
      </c>
      <c r="C2029" s="13">
        <v>15774</v>
      </c>
      <c r="D2029" s="13" t="s">
        <v>2265</v>
      </c>
      <c r="E2029" s="13" t="s">
        <v>498</v>
      </c>
      <c r="F2029" s="13" t="s">
        <v>499</v>
      </c>
      <c r="G2029" s="13" t="s">
        <v>2266</v>
      </c>
      <c r="K2029" t="s">
        <v>413</v>
      </c>
      <c r="L2029" s="81">
        <f>+Municipios!U926</f>
        <v>19.540897109223998</v>
      </c>
      <c r="M2029" s="13">
        <v>15774</v>
      </c>
      <c r="N2029" s="13" t="s">
        <v>2265</v>
      </c>
      <c r="O2029" s="13" t="s">
        <v>498</v>
      </c>
      <c r="P2029" s="13" t="s">
        <v>499</v>
      </c>
      <c r="Q2029" s="13" t="s">
        <v>2266</v>
      </c>
      <c r="T2029" t="s">
        <v>2804</v>
      </c>
      <c r="U2029" s="25">
        <f>+Municipios!P926</f>
        <v>46.642429571217662</v>
      </c>
      <c r="V2029" s="13">
        <v>15774</v>
      </c>
      <c r="W2029" s="13" t="s">
        <v>2265</v>
      </c>
      <c r="X2029" s="13" t="s">
        <v>498</v>
      </c>
      <c r="Y2029" s="13" t="s">
        <v>499</v>
      </c>
      <c r="Z2029" s="13" t="s">
        <v>2266</v>
      </c>
    </row>
    <row r="2030" spans="1:26">
      <c r="A2030" t="s">
        <v>412</v>
      </c>
      <c r="B2030" s="25">
        <f>+Municipios!P927</f>
        <v>53.527922982359883</v>
      </c>
      <c r="C2030" s="13">
        <v>68773</v>
      </c>
      <c r="D2030" s="13" t="s">
        <v>2267</v>
      </c>
      <c r="E2030" s="13" t="s">
        <v>431</v>
      </c>
      <c r="F2030" s="13" t="s">
        <v>432</v>
      </c>
      <c r="G2030" s="13" t="s">
        <v>495</v>
      </c>
      <c r="K2030" t="s">
        <v>413</v>
      </c>
      <c r="L2030" s="81">
        <f>+Municipios!U927</f>
        <v>22.304578317799212</v>
      </c>
      <c r="M2030" s="13">
        <v>68773</v>
      </c>
      <c r="N2030" s="13" t="s">
        <v>2267</v>
      </c>
      <c r="O2030" s="13" t="s">
        <v>431</v>
      </c>
      <c r="P2030" s="13" t="s">
        <v>432</v>
      </c>
      <c r="Q2030" s="13" t="s">
        <v>495</v>
      </c>
      <c r="T2030" t="s">
        <v>2804</v>
      </c>
      <c r="U2030" s="25">
        <f>+Municipios!P927</f>
        <v>53.527922982359883</v>
      </c>
      <c r="V2030" s="13">
        <v>68773</v>
      </c>
      <c r="W2030" s="13" t="s">
        <v>2267</v>
      </c>
      <c r="X2030" s="13" t="s">
        <v>431</v>
      </c>
      <c r="Y2030" s="13" t="s">
        <v>432</v>
      </c>
      <c r="Z2030" s="13" t="s">
        <v>495</v>
      </c>
    </row>
    <row r="2031" spans="1:26">
      <c r="A2031" t="s">
        <v>412</v>
      </c>
      <c r="B2031" s="25">
        <f>+Municipios!P928</f>
        <v>60.480780146902106</v>
      </c>
      <c r="C2031" s="13">
        <v>50680</v>
      </c>
      <c r="D2031" s="13" t="s">
        <v>2268</v>
      </c>
      <c r="E2031" s="13" t="s">
        <v>605</v>
      </c>
      <c r="F2031" s="13" t="s">
        <v>606</v>
      </c>
      <c r="G2031" s="13" t="s">
        <v>2269</v>
      </c>
      <c r="K2031" t="s">
        <v>413</v>
      </c>
      <c r="L2031" s="81">
        <f>+Municipios!U928</f>
        <v>25.247504439868809</v>
      </c>
      <c r="M2031" s="13">
        <v>50680</v>
      </c>
      <c r="N2031" s="13" t="s">
        <v>2268</v>
      </c>
      <c r="O2031" s="13" t="s">
        <v>605</v>
      </c>
      <c r="P2031" s="13" t="s">
        <v>606</v>
      </c>
      <c r="Q2031" s="13" t="s">
        <v>2269</v>
      </c>
      <c r="T2031" t="s">
        <v>2804</v>
      </c>
      <c r="U2031" s="25">
        <f>+Municipios!P928</f>
        <v>60.480780146902106</v>
      </c>
      <c r="V2031" s="13">
        <v>50680</v>
      </c>
      <c r="W2031" s="13" t="s">
        <v>2268</v>
      </c>
      <c r="X2031" s="13" t="s">
        <v>605</v>
      </c>
      <c r="Y2031" s="13" t="s">
        <v>606</v>
      </c>
      <c r="Z2031" s="13" t="s">
        <v>2269</v>
      </c>
    </row>
    <row r="2032" spans="1:26">
      <c r="A2032" t="s">
        <v>412</v>
      </c>
      <c r="B2032" s="25">
        <f>+Municipios!P929</f>
        <v>49.509457095503372</v>
      </c>
      <c r="C2032" s="13">
        <v>52435</v>
      </c>
      <c r="D2032" s="13" t="s">
        <v>2270</v>
      </c>
      <c r="E2032" s="13" t="s">
        <v>672</v>
      </c>
      <c r="F2032" s="13" t="s">
        <v>673</v>
      </c>
      <c r="G2032" s="13" t="s">
        <v>2271</v>
      </c>
      <c r="K2032" t="s">
        <v>413</v>
      </c>
      <c r="L2032" s="81">
        <f>+Municipios!U929</f>
        <v>20.567793552848975</v>
      </c>
      <c r="M2032" s="13">
        <v>52435</v>
      </c>
      <c r="N2032" s="13" t="s">
        <v>2270</v>
      </c>
      <c r="O2032" s="13" t="s">
        <v>672</v>
      </c>
      <c r="P2032" s="13" t="s">
        <v>673</v>
      </c>
      <c r="Q2032" s="13" t="s">
        <v>2271</v>
      </c>
      <c r="T2032" t="s">
        <v>2804</v>
      </c>
      <c r="U2032" s="25">
        <f>+Municipios!P929</f>
        <v>49.509457095503372</v>
      </c>
      <c r="V2032" s="13">
        <v>52435</v>
      </c>
      <c r="W2032" s="13" t="s">
        <v>2270</v>
      </c>
      <c r="X2032" s="13" t="s">
        <v>672</v>
      </c>
      <c r="Y2032" s="13" t="s">
        <v>673</v>
      </c>
      <c r="Z2032" s="13" t="s">
        <v>2271</v>
      </c>
    </row>
    <row r="2033" spans="1:26">
      <c r="A2033" t="s">
        <v>412</v>
      </c>
      <c r="B2033" s="25">
        <f>+Municipios!P930</f>
        <v>54.668569511309762</v>
      </c>
      <c r="C2033" s="13">
        <v>68344</v>
      </c>
      <c r="D2033" s="13" t="s">
        <v>2272</v>
      </c>
      <c r="E2033" s="13" t="s">
        <v>431</v>
      </c>
      <c r="F2033" s="13" t="s">
        <v>432</v>
      </c>
      <c r="G2033" s="13" t="s">
        <v>2273</v>
      </c>
      <c r="K2033" t="s">
        <v>413</v>
      </c>
      <c r="L2033" s="81">
        <f>+Municipios!U930</f>
        <v>23.337954995324356</v>
      </c>
      <c r="M2033" s="13">
        <v>68344</v>
      </c>
      <c r="N2033" s="13" t="s">
        <v>2272</v>
      </c>
      <c r="O2033" s="13" t="s">
        <v>431</v>
      </c>
      <c r="P2033" s="13" t="s">
        <v>432</v>
      </c>
      <c r="Q2033" s="13" t="s">
        <v>2273</v>
      </c>
      <c r="T2033" t="s">
        <v>2804</v>
      </c>
      <c r="U2033" s="25">
        <f>+Municipios!P930</f>
        <v>54.668569511309762</v>
      </c>
      <c r="V2033" s="13">
        <v>68344</v>
      </c>
      <c r="W2033" s="13" t="s">
        <v>2272</v>
      </c>
      <c r="X2033" s="13" t="s">
        <v>431</v>
      </c>
      <c r="Y2033" s="13" t="s">
        <v>432</v>
      </c>
      <c r="Z2033" s="13" t="s">
        <v>2273</v>
      </c>
    </row>
    <row r="2034" spans="1:26">
      <c r="A2034" t="s">
        <v>412</v>
      </c>
      <c r="B2034" s="25">
        <f>+Municipios!P931</f>
        <v>55.581802688303789</v>
      </c>
      <c r="C2034" s="13">
        <v>25086</v>
      </c>
      <c r="D2034" s="13" t="s">
        <v>2274</v>
      </c>
      <c r="E2034" s="13" t="s">
        <v>461</v>
      </c>
      <c r="F2034" s="13" t="s">
        <v>462</v>
      </c>
      <c r="G2034" s="13" t="s">
        <v>2275</v>
      </c>
      <c r="K2034" t="s">
        <v>413</v>
      </c>
      <c r="L2034" s="81">
        <f>+Municipios!U931</f>
        <v>22.650940243666927</v>
      </c>
      <c r="M2034" s="13">
        <v>25086</v>
      </c>
      <c r="N2034" s="13" t="s">
        <v>2274</v>
      </c>
      <c r="O2034" s="13" t="s">
        <v>461</v>
      </c>
      <c r="P2034" s="13" t="s">
        <v>462</v>
      </c>
      <c r="Q2034" s="13" t="s">
        <v>2275</v>
      </c>
      <c r="T2034" t="s">
        <v>2804</v>
      </c>
      <c r="U2034" s="25">
        <f>+Municipios!P931</f>
        <v>55.581802688303789</v>
      </c>
      <c r="V2034" s="13">
        <v>25086</v>
      </c>
      <c r="W2034" s="13" t="s">
        <v>2274</v>
      </c>
      <c r="X2034" s="13" t="s">
        <v>461</v>
      </c>
      <c r="Y2034" s="13" t="s">
        <v>462</v>
      </c>
      <c r="Z2034" s="13" t="s">
        <v>2275</v>
      </c>
    </row>
    <row r="2035" spans="1:26">
      <c r="A2035" t="s">
        <v>412</v>
      </c>
      <c r="B2035" s="25">
        <f>+Municipios!P932</f>
        <v>54.129023887763992</v>
      </c>
      <c r="C2035" s="13">
        <v>13042</v>
      </c>
      <c r="D2035" s="13" t="s">
        <v>2276</v>
      </c>
      <c r="E2035" s="13" t="s">
        <v>480</v>
      </c>
      <c r="F2035" s="13" t="s">
        <v>481</v>
      </c>
      <c r="G2035" s="13" t="s">
        <v>2277</v>
      </c>
      <c r="K2035" t="s">
        <v>413</v>
      </c>
      <c r="L2035" s="81">
        <f>+Municipios!U932</f>
        <v>22.987961406414545</v>
      </c>
      <c r="M2035" s="13">
        <v>13042</v>
      </c>
      <c r="N2035" s="13" t="s">
        <v>2276</v>
      </c>
      <c r="O2035" s="13" t="s">
        <v>480</v>
      </c>
      <c r="P2035" s="13" t="s">
        <v>481</v>
      </c>
      <c r="Q2035" s="13" t="s">
        <v>2277</v>
      </c>
      <c r="T2035" t="s">
        <v>2804</v>
      </c>
      <c r="U2035" s="25">
        <f>+Municipios!P932</f>
        <v>54.129023887763992</v>
      </c>
      <c r="V2035" s="13">
        <v>13042</v>
      </c>
      <c r="W2035" s="13" t="s">
        <v>2276</v>
      </c>
      <c r="X2035" s="13" t="s">
        <v>480</v>
      </c>
      <c r="Y2035" s="13" t="s">
        <v>481</v>
      </c>
      <c r="Z2035" s="13" t="s">
        <v>2277</v>
      </c>
    </row>
    <row r="2036" spans="1:26">
      <c r="A2036" t="s">
        <v>412</v>
      </c>
      <c r="B2036" s="25">
        <f>+Municipios!P933</f>
        <v>65.472904156051115</v>
      </c>
      <c r="C2036" s="13">
        <v>68296</v>
      </c>
      <c r="D2036" s="13" t="s">
        <v>2278</v>
      </c>
      <c r="E2036" s="13" t="s">
        <v>431</v>
      </c>
      <c r="F2036" s="13" t="s">
        <v>432</v>
      </c>
      <c r="G2036" s="13" t="s">
        <v>2279</v>
      </c>
      <c r="K2036" t="s">
        <v>413</v>
      </c>
      <c r="L2036" s="81">
        <f>+Municipios!U933</f>
        <v>27.592045290197184</v>
      </c>
      <c r="M2036" s="13">
        <v>68296</v>
      </c>
      <c r="N2036" s="13" t="s">
        <v>2278</v>
      </c>
      <c r="O2036" s="13" t="s">
        <v>431</v>
      </c>
      <c r="P2036" s="13" t="s">
        <v>432</v>
      </c>
      <c r="Q2036" s="13" t="s">
        <v>2279</v>
      </c>
      <c r="T2036" t="s">
        <v>2804</v>
      </c>
      <c r="U2036" s="25">
        <f>+Municipios!P933</f>
        <v>65.472904156051115</v>
      </c>
      <c r="V2036" s="13">
        <v>68296</v>
      </c>
      <c r="W2036" s="13" t="s">
        <v>2278</v>
      </c>
      <c r="X2036" s="13" t="s">
        <v>431</v>
      </c>
      <c r="Y2036" s="13" t="s">
        <v>432</v>
      </c>
      <c r="Z2036" s="13" t="s">
        <v>2279</v>
      </c>
    </row>
    <row r="2037" spans="1:26">
      <c r="A2037" t="s">
        <v>412</v>
      </c>
      <c r="B2037" s="25">
        <f>+Municipios!P934</f>
        <v>61.280869581734194</v>
      </c>
      <c r="C2037" s="13">
        <v>25368</v>
      </c>
      <c r="D2037" s="13" t="s">
        <v>2280</v>
      </c>
      <c r="E2037" s="13" t="s">
        <v>461</v>
      </c>
      <c r="F2037" s="13" t="s">
        <v>462</v>
      </c>
      <c r="G2037" s="13" t="s">
        <v>2281</v>
      </c>
      <c r="K2037" t="s">
        <v>413</v>
      </c>
      <c r="L2037" s="81">
        <f>+Municipios!U934</f>
        <v>24.840647447056742</v>
      </c>
      <c r="M2037" s="13">
        <v>25368</v>
      </c>
      <c r="N2037" s="13" t="s">
        <v>2280</v>
      </c>
      <c r="O2037" s="13" t="s">
        <v>461</v>
      </c>
      <c r="P2037" s="13" t="s">
        <v>462</v>
      </c>
      <c r="Q2037" s="13" t="s">
        <v>2281</v>
      </c>
      <c r="T2037" t="s">
        <v>2804</v>
      </c>
      <c r="U2037" s="25">
        <f>+Municipios!P934</f>
        <v>61.280869581734194</v>
      </c>
      <c r="V2037" s="13">
        <v>25368</v>
      </c>
      <c r="W2037" s="13" t="s">
        <v>2280</v>
      </c>
      <c r="X2037" s="13" t="s">
        <v>461</v>
      </c>
      <c r="Y2037" s="13" t="s">
        <v>462</v>
      </c>
      <c r="Z2037" s="13" t="s">
        <v>2281</v>
      </c>
    </row>
    <row r="2038" spans="1:26">
      <c r="A2038" t="s">
        <v>412</v>
      </c>
      <c r="B2038" s="25">
        <f>+Municipios!P935</f>
        <v>51.843475029307726</v>
      </c>
      <c r="C2038" s="13">
        <v>86569</v>
      </c>
      <c r="D2038" s="13" t="s">
        <v>2282</v>
      </c>
      <c r="E2038" s="13" t="s">
        <v>943</v>
      </c>
      <c r="F2038" s="13" t="s">
        <v>944</v>
      </c>
      <c r="G2038" s="13" t="s">
        <v>2283</v>
      </c>
      <c r="K2038" t="s">
        <v>413</v>
      </c>
      <c r="L2038" s="81">
        <f>+Municipios!U935</f>
        <v>21.745305674855363</v>
      </c>
      <c r="M2038" s="13">
        <v>86569</v>
      </c>
      <c r="N2038" s="13" t="s">
        <v>2282</v>
      </c>
      <c r="O2038" s="13" t="s">
        <v>943</v>
      </c>
      <c r="P2038" s="13" t="s">
        <v>944</v>
      </c>
      <c r="Q2038" s="13" t="s">
        <v>2283</v>
      </c>
      <c r="T2038" t="s">
        <v>2804</v>
      </c>
      <c r="U2038" s="25">
        <f>+Municipios!P935</f>
        <v>51.843475029307726</v>
      </c>
      <c r="V2038" s="13">
        <v>86569</v>
      </c>
      <c r="W2038" s="13" t="s">
        <v>2282</v>
      </c>
      <c r="X2038" s="13" t="s">
        <v>943</v>
      </c>
      <c r="Y2038" s="13" t="s">
        <v>944</v>
      </c>
      <c r="Z2038" s="13" t="s">
        <v>2283</v>
      </c>
    </row>
    <row r="2039" spans="1:26">
      <c r="A2039" t="s">
        <v>412</v>
      </c>
      <c r="B2039" s="25">
        <f>+Municipios!P936</f>
        <v>57.480629244194361</v>
      </c>
      <c r="C2039" s="13">
        <v>5604</v>
      </c>
      <c r="D2039" s="13" t="s">
        <v>2284</v>
      </c>
      <c r="E2039" s="13" t="s">
        <v>435</v>
      </c>
      <c r="F2039" s="13" t="s">
        <v>436</v>
      </c>
      <c r="G2039" s="13" t="s">
        <v>2285</v>
      </c>
      <c r="K2039" t="s">
        <v>413</v>
      </c>
      <c r="L2039" s="81">
        <f>+Municipios!U936</f>
        <v>24.913984569640611</v>
      </c>
      <c r="M2039" s="13">
        <v>5604</v>
      </c>
      <c r="N2039" s="13" t="s">
        <v>2284</v>
      </c>
      <c r="O2039" s="13" t="s">
        <v>435</v>
      </c>
      <c r="P2039" s="13" t="s">
        <v>436</v>
      </c>
      <c r="Q2039" s="13" t="s">
        <v>2285</v>
      </c>
      <c r="T2039" t="s">
        <v>2804</v>
      </c>
      <c r="U2039" s="25">
        <f>+Municipios!P936</f>
        <v>57.480629244194361</v>
      </c>
      <c r="V2039" s="13">
        <v>5604</v>
      </c>
      <c r="W2039" s="13" t="s">
        <v>2284</v>
      </c>
      <c r="X2039" s="13" t="s">
        <v>435</v>
      </c>
      <c r="Y2039" s="13" t="s">
        <v>436</v>
      </c>
      <c r="Z2039" s="13" t="s">
        <v>2285</v>
      </c>
    </row>
    <row r="2040" spans="1:26">
      <c r="A2040" t="s">
        <v>412</v>
      </c>
      <c r="B2040" s="25">
        <f>+Municipios!P937</f>
        <v>56.552664632969083</v>
      </c>
      <c r="C2040" s="13">
        <v>15244</v>
      </c>
      <c r="D2040" s="13" t="s">
        <v>2286</v>
      </c>
      <c r="E2040" s="13" t="s">
        <v>498</v>
      </c>
      <c r="F2040" s="13" t="s">
        <v>499</v>
      </c>
      <c r="G2040" s="13" t="s">
        <v>2287</v>
      </c>
      <c r="K2040" t="s">
        <v>413</v>
      </c>
      <c r="L2040" s="81">
        <f>+Municipios!U937</f>
        <v>23.488111365306619</v>
      </c>
      <c r="M2040" s="13">
        <v>15244</v>
      </c>
      <c r="N2040" s="13" t="s">
        <v>2286</v>
      </c>
      <c r="O2040" s="13" t="s">
        <v>498</v>
      </c>
      <c r="P2040" s="13" t="s">
        <v>499</v>
      </c>
      <c r="Q2040" s="13" t="s">
        <v>2287</v>
      </c>
      <c r="T2040" t="s">
        <v>2804</v>
      </c>
      <c r="U2040" s="25">
        <f>+Municipios!P937</f>
        <v>56.552664632969083</v>
      </c>
      <c r="V2040" s="13">
        <v>15244</v>
      </c>
      <c r="W2040" s="13" t="s">
        <v>2286</v>
      </c>
      <c r="X2040" s="13" t="s">
        <v>498</v>
      </c>
      <c r="Y2040" s="13" t="s">
        <v>499</v>
      </c>
      <c r="Z2040" s="13" t="s">
        <v>2287</v>
      </c>
    </row>
    <row r="2041" spans="1:26">
      <c r="A2041" t="s">
        <v>412</v>
      </c>
      <c r="B2041" s="25">
        <f>+Municipios!P938</f>
        <v>65.272944614286416</v>
      </c>
      <c r="C2041" s="13">
        <v>81065</v>
      </c>
      <c r="D2041" s="13" t="s">
        <v>2288</v>
      </c>
      <c r="E2041" s="13" t="s">
        <v>1568</v>
      </c>
      <c r="F2041" s="13" t="s">
        <v>1569</v>
      </c>
      <c r="G2041" s="13" t="s">
        <v>2289</v>
      </c>
      <c r="K2041" t="s">
        <v>413</v>
      </c>
      <c r="L2041" s="81">
        <f>+Municipios!U938</f>
        <v>26.528810761562212</v>
      </c>
      <c r="M2041" s="13">
        <v>81065</v>
      </c>
      <c r="N2041" s="13" t="s">
        <v>2288</v>
      </c>
      <c r="O2041" s="13" t="s">
        <v>1568</v>
      </c>
      <c r="P2041" s="13" t="s">
        <v>1569</v>
      </c>
      <c r="Q2041" s="13" t="s">
        <v>2289</v>
      </c>
      <c r="T2041" t="s">
        <v>2804</v>
      </c>
      <c r="U2041" s="25">
        <f>+Municipios!P938</f>
        <v>65.272944614286416</v>
      </c>
      <c r="V2041" s="13">
        <v>81065</v>
      </c>
      <c r="W2041" s="13" t="s">
        <v>2288</v>
      </c>
      <c r="X2041" s="13" t="s">
        <v>1568</v>
      </c>
      <c r="Y2041" s="13" t="s">
        <v>1569</v>
      </c>
      <c r="Z2041" s="13" t="s">
        <v>2289</v>
      </c>
    </row>
    <row r="2042" spans="1:26">
      <c r="A2042" t="s">
        <v>412</v>
      </c>
      <c r="B2042" s="25">
        <f>+Municipios!P939</f>
        <v>50.561153218567945</v>
      </c>
      <c r="C2042" s="13">
        <v>73236</v>
      </c>
      <c r="D2042" s="13" t="s">
        <v>2290</v>
      </c>
      <c r="E2042" s="13" t="s">
        <v>595</v>
      </c>
      <c r="F2042" s="13" t="s">
        <v>596</v>
      </c>
      <c r="G2042" s="13" t="s">
        <v>2291</v>
      </c>
      <c r="K2042" t="s">
        <v>413</v>
      </c>
      <c r="L2042" s="81">
        <f>+Municipios!U939</f>
        <v>21.086543577547292</v>
      </c>
      <c r="M2042" s="13">
        <v>73236</v>
      </c>
      <c r="N2042" s="13" t="s">
        <v>2290</v>
      </c>
      <c r="O2042" s="13" t="s">
        <v>595</v>
      </c>
      <c r="P2042" s="13" t="s">
        <v>596</v>
      </c>
      <c r="Q2042" s="13" t="s">
        <v>2291</v>
      </c>
      <c r="T2042" t="s">
        <v>2804</v>
      </c>
      <c r="U2042" s="25">
        <f>+Municipios!P939</f>
        <v>50.561153218567945</v>
      </c>
      <c r="V2042" s="13">
        <v>73236</v>
      </c>
      <c r="W2042" s="13" t="s">
        <v>2290</v>
      </c>
      <c r="X2042" s="13" t="s">
        <v>595</v>
      </c>
      <c r="Y2042" s="13" t="s">
        <v>596</v>
      </c>
      <c r="Z2042" s="13" t="s">
        <v>2291</v>
      </c>
    </row>
    <row r="2043" spans="1:26">
      <c r="A2043" t="s">
        <v>412</v>
      </c>
      <c r="B2043" s="25">
        <f>+Municipios!P940</f>
        <v>52.556409313451326</v>
      </c>
      <c r="C2043" s="13">
        <v>13473</v>
      </c>
      <c r="D2043" s="13" t="s">
        <v>2292</v>
      </c>
      <c r="E2043" s="13" t="s">
        <v>480</v>
      </c>
      <c r="F2043" s="13" t="s">
        <v>481</v>
      </c>
      <c r="G2043" s="13" t="s">
        <v>1157</v>
      </c>
      <c r="K2043" t="s">
        <v>413</v>
      </c>
      <c r="L2043" s="81">
        <f>+Municipios!U940</f>
        <v>19.12178026977119</v>
      </c>
      <c r="M2043" s="13">
        <v>13473</v>
      </c>
      <c r="N2043" s="13" t="s">
        <v>2292</v>
      </c>
      <c r="O2043" s="13" t="s">
        <v>480</v>
      </c>
      <c r="P2043" s="13" t="s">
        <v>481</v>
      </c>
      <c r="Q2043" s="13" t="s">
        <v>1157</v>
      </c>
      <c r="T2043" t="s">
        <v>2804</v>
      </c>
      <c r="U2043" s="25">
        <f>+Municipios!P940</f>
        <v>52.556409313451326</v>
      </c>
      <c r="V2043" s="13">
        <v>13473</v>
      </c>
      <c r="W2043" s="13" t="s">
        <v>2292</v>
      </c>
      <c r="X2043" s="13" t="s">
        <v>480</v>
      </c>
      <c r="Y2043" s="13" t="s">
        <v>481</v>
      </c>
      <c r="Z2043" s="13" t="s">
        <v>1157</v>
      </c>
    </row>
    <row r="2044" spans="1:26">
      <c r="A2044" t="s">
        <v>412</v>
      </c>
      <c r="B2044" s="25">
        <f>+Municipios!P941</f>
        <v>51.714786406472449</v>
      </c>
      <c r="C2044" s="13">
        <v>18205</v>
      </c>
      <c r="D2044" s="13" t="s">
        <v>2293</v>
      </c>
      <c r="E2044" s="13" t="s">
        <v>1463</v>
      </c>
      <c r="F2044" s="13" t="s">
        <v>1464</v>
      </c>
      <c r="G2044" s="13" t="s">
        <v>2294</v>
      </c>
      <c r="K2044" t="s">
        <v>413</v>
      </c>
      <c r="L2044" s="81">
        <f>+Municipios!U941</f>
        <v>21.531556230984322</v>
      </c>
      <c r="M2044" s="13">
        <v>18205</v>
      </c>
      <c r="N2044" s="13" t="s">
        <v>2293</v>
      </c>
      <c r="O2044" s="13" t="s">
        <v>1463</v>
      </c>
      <c r="P2044" s="13" t="s">
        <v>1464</v>
      </c>
      <c r="Q2044" s="13" t="s">
        <v>2294</v>
      </c>
      <c r="T2044" t="s">
        <v>2804</v>
      </c>
      <c r="U2044" s="25">
        <f>+Municipios!P941</f>
        <v>51.714786406472449</v>
      </c>
      <c r="V2044" s="13">
        <v>18205</v>
      </c>
      <c r="W2044" s="13" t="s">
        <v>2293</v>
      </c>
      <c r="X2044" s="13" t="s">
        <v>1463</v>
      </c>
      <c r="Y2044" s="13" t="s">
        <v>1464</v>
      </c>
      <c r="Z2044" s="13" t="s">
        <v>2294</v>
      </c>
    </row>
    <row r="2045" spans="1:26">
      <c r="A2045" t="s">
        <v>412</v>
      </c>
      <c r="B2045" s="25">
        <f>+Municipios!P942</f>
        <v>51.499838641642128</v>
      </c>
      <c r="C2045" s="13">
        <v>13670</v>
      </c>
      <c r="D2045" s="13" t="s">
        <v>2295</v>
      </c>
      <c r="E2045" s="13" t="s">
        <v>480</v>
      </c>
      <c r="F2045" s="13" t="s">
        <v>481</v>
      </c>
      <c r="G2045" s="13" t="s">
        <v>1032</v>
      </c>
      <c r="K2045" t="s">
        <v>413</v>
      </c>
      <c r="L2045" s="81">
        <f>+Municipios!U942</f>
        <v>21.377960737454323</v>
      </c>
      <c r="M2045" s="13">
        <v>13670</v>
      </c>
      <c r="N2045" s="13" t="s">
        <v>2295</v>
      </c>
      <c r="O2045" s="13" t="s">
        <v>480</v>
      </c>
      <c r="P2045" s="13" t="s">
        <v>481</v>
      </c>
      <c r="Q2045" s="13" t="s">
        <v>1032</v>
      </c>
      <c r="T2045" t="s">
        <v>2804</v>
      </c>
      <c r="U2045" s="25">
        <f>+Municipios!P942</f>
        <v>51.499838641642128</v>
      </c>
      <c r="V2045" s="13">
        <v>13670</v>
      </c>
      <c r="W2045" s="13" t="s">
        <v>2295</v>
      </c>
      <c r="X2045" s="13" t="s">
        <v>480</v>
      </c>
      <c r="Y2045" s="13" t="s">
        <v>481</v>
      </c>
      <c r="Z2045" s="13" t="s">
        <v>1032</v>
      </c>
    </row>
    <row r="2046" spans="1:26">
      <c r="A2046" t="s">
        <v>412</v>
      </c>
      <c r="B2046" s="25">
        <f>+Municipios!P943</f>
        <v>58.646976315032852</v>
      </c>
      <c r="C2046" s="13">
        <v>15660</v>
      </c>
      <c r="D2046" s="13" t="s">
        <v>2296</v>
      </c>
      <c r="E2046" s="13" t="s">
        <v>498</v>
      </c>
      <c r="F2046" s="13" t="s">
        <v>499</v>
      </c>
      <c r="G2046" s="13" t="s">
        <v>2297</v>
      </c>
      <c r="K2046" t="s">
        <v>413</v>
      </c>
      <c r="L2046" s="81">
        <f>+Municipios!U943</f>
        <v>24.068221837008647</v>
      </c>
      <c r="M2046" s="13">
        <v>15660</v>
      </c>
      <c r="N2046" s="13" t="s">
        <v>2296</v>
      </c>
      <c r="O2046" s="13" t="s">
        <v>498</v>
      </c>
      <c r="P2046" s="13" t="s">
        <v>499</v>
      </c>
      <c r="Q2046" s="13" t="s">
        <v>2297</v>
      </c>
      <c r="T2046" t="s">
        <v>2804</v>
      </c>
      <c r="U2046" s="25">
        <f>+Municipios!P943</f>
        <v>58.646976315032852</v>
      </c>
      <c r="V2046" s="13">
        <v>15660</v>
      </c>
      <c r="W2046" s="13" t="s">
        <v>2296</v>
      </c>
      <c r="X2046" s="13" t="s">
        <v>498</v>
      </c>
      <c r="Y2046" s="13" t="s">
        <v>499</v>
      </c>
      <c r="Z2046" s="13" t="s">
        <v>2297</v>
      </c>
    </row>
    <row r="2047" spans="1:26">
      <c r="A2047" t="s">
        <v>412</v>
      </c>
      <c r="B2047" s="25">
        <f>+Municipios!P944</f>
        <v>52.701620644294003</v>
      </c>
      <c r="C2047" s="13">
        <v>18247</v>
      </c>
      <c r="D2047" s="13" t="s">
        <v>2298</v>
      </c>
      <c r="E2047" s="13" t="s">
        <v>1463</v>
      </c>
      <c r="F2047" s="13" t="s">
        <v>1464</v>
      </c>
      <c r="G2047" s="13" t="s">
        <v>2299</v>
      </c>
      <c r="K2047" t="s">
        <v>413</v>
      </c>
      <c r="L2047" s="81">
        <f>+Municipios!U944</f>
        <v>21.943435440938643</v>
      </c>
      <c r="M2047" s="13">
        <v>18247</v>
      </c>
      <c r="N2047" s="13" t="s">
        <v>2298</v>
      </c>
      <c r="O2047" s="13" t="s">
        <v>1463</v>
      </c>
      <c r="P2047" s="13" t="s">
        <v>1464</v>
      </c>
      <c r="Q2047" s="13" t="s">
        <v>2299</v>
      </c>
      <c r="T2047" t="s">
        <v>2804</v>
      </c>
      <c r="U2047" s="25">
        <f>+Municipios!P944</f>
        <v>52.701620644294003</v>
      </c>
      <c r="V2047" s="13">
        <v>18247</v>
      </c>
      <c r="W2047" s="13" t="s">
        <v>2298</v>
      </c>
      <c r="X2047" s="13" t="s">
        <v>1463</v>
      </c>
      <c r="Y2047" s="13" t="s">
        <v>1464</v>
      </c>
      <c r="Z2047" s="13" t="s">
        <v>2299</v>
      </c>
    </row>
    <row r="2048" spans="1:26">
      <c r="A2048" t="s">
        <v>412</v>
      </c>
      <c r="B2048" s="25">
        <f>+Municipios!P945</f>
        <v>50.359813782803599</v>
      </c>
      <c r="C2048" s="13">
        <v>73555</v>
      </c>
      <c r="D2048" s="13" t="s">
        <v>2300</v>
      </c>
      <c r="E2048" s="13" t="s">
        <v>595</v>
      </c>
      <c r="F2048" s="13" t="s">
        <v>596</v>
      </c>
      <c r="G2048" s="13" t="s">
        <v>2301</v>
      </c>
      <c r="K2048" t="s">
        <v>413</v>
      </c>
      <c r="L2048" s="81">
        <f>+Municipios!U945</f>
        <v>20.799223327514646</v>
      </c>
      <c r="M2048" s="13">
        <v>73555</v>
      </c>
      <c r="N2048" s="13" t="s">
        <v>2300</v>
      </c>
      <c r="O2048" s="13" t="s">
        <v>595</v>
      </c>
      <c r="P2048" s="13" t="s">
        <v>596</v>
      </c>
      <c r="Q2048" s="13" t="s">
        <v>2301</v>
      </c>
      <c r="T2048" t="s">
        <v>2804</v>
      </c>
      <c r="U2048" s="25">
        <f>+Municipios!P945</f>
        <v>50.359813782803599</v>
      </c>
      <c r="V2048" s="13">
        <v>73555</v>
      </c>
      <c r="W2048" s="13" t="s">
        <v>2300</v>
      </c>
      <c r="X2048" s="13" t="s">
        <v>595</v>
      </c>
      <c r="Y2048" s="13" t="s">
        <v>596</v>
      </c>
      <c r="Z2048" s="13" t="s">
        <v>2301</v>
      </c>
    </row>
    <row r="2049" spans="1:26">
      <c r="A2049" t="s">
        <v>412</v>
      </c>
      <c r="B2049" s="25">
        <f>+Municipios!P946</f>
        <v>57.343056140330333</v>
      </c>
      <c r="C2049" s="13">
        <v>25120</v>
      </c>
      <c r="D2049" s="13" t="s">
        <v>2302</v>
      </c>
      <c r="E2049" s="13" t="s">
        <v>461</v>
      </c>
      <c r="F2049" s="13" t="s">
        <v>462</v>
      </c>
      <c r="G2049" s="13" t="s">
        <v>1902</v>
      </c>
      <c r="K2049" t="s">
        <v>413</v>
      </c>
      <c r="L2049" s="81">
        <f>+Municipios!U946</f>
        <v>23.216001922956796</v>
      </c>
      <c r="M2049" s="13">
        <v>25120</v>
      </c>
      <c r="N2049" s="13" t="s">
        <v>2302</v>
      </c>
      <c r="O2049" s="13" t="s">
        <v>461</v>
      </c>
      <c r="P2049" s="13" t="s">
        <v>462</v>
      </c>
      <c r="Q2049" s="13" t="s">
        <v>1902</v>
      </c>
      <c r="T2049" t="s">
        <v>2804</v>
      </c>
      <c r="U2049" s="25">
        <f>+Municipios!P946</f>
        <v>57.343056140330333</v>
      </c>
      <c r="V2049" s="13">
        <v>25120</v>
      </c>
      <c r="W2049" s="13" t="s">
        <v>2302</v>
      </c>
      <c r="X2049" s="13" t="s">
        <v>461</v>
      </c>
      <c r="Y2049" s="13" t="s">
        <v>462</v>
      </c>
      <c r="Z2049" s="13" t="s">
        <v>1902</v>
      </c>
    </row>
    <row r="2050" spans="1:26">
      <c r="A2050" t="s">
        <v>412</v>
      </c>
      <c r="B2050" s="25">
        <f>+Municipios!P947</f>
        <v>64.097396900072553</v>
      </c>
      <c r="C2050" s="13">
        <v>27160</v>
      </c>
      <c r="D2050" s="13" t="s">
        <v>2303</v>
      </c>
      <c r="E2050" s="13" t="s">
        <v>1714</v>
      </c>
      <c r="F2050" s="13" t="s">
        <v>1715</v>
      </c>
      <c r="G2050" s="13" t="s">
        <v>2304</v>
      </c>
      <c r="K2050" t="s">
        <v>413</v>
      </c>
      <c r="L2050" s="81">
        <f>+Municipios!U947</f>
        <v>26.428343571971556</v>
      </c>
      <c r="M2050" s="13">
        <v>27160</v>
      </c>
      <c r="N2050" s="13" t="s">
        <v>2303</v>
      </c>
      <c r="O2050" s="13" t="s">
        <v>1714</v>
      </c>
      <c r="P2050" s="13" t="s">
        <v>1715</v>
      </c>
      <c r="Q2050" s="13" t="s">
        <v>2304</v>
      </c>
      <c r="T2050" t="s">
        <v>2804</v>
      </c>
      <c r="U2050" s="25">
        <f>+Municipios!P947</f>
        <v>64.097396900072553</v>
      </c>
      <c r="V2050" s="13">
        <v>27160</v>
      </c>
      <c r="W2050" s="13" t="s">
        <v>2303</v>
      </c>
      <c r="X2050" s="13" t="s">
        <v>1714</v>
      </c>
      <c r="Y2050" s="13" t="s">
        <v>1715</v>
      </c>
      <c r="Z2050" s="13" t="s">
        <v>2304</v>
      </c>
    </row>
    <row r="2051" spans="1:26">
      <c r="A2051" t="s">
        <v>412</v>
      </c>
      <c r="B2051" s="25">
        <f>+Municipios!P948</f>
        <v>65.167151099674001</v>
      </c>
      <c r="C2051" s="13">
        <v>68705</v>
      </c>
      <c r="D2051" s="13" t="s">
        <v>2305</v>
      </c>
      <c r="E2051" s="13" t="s">
        <v>431</v>
      </c>
      <c r="F2051" s="13" t="s">
        <v>432</v>
      </c>
      <c r="G2051" s="13" t="s">
        <v>829</v>
      </c>
      <c r="K2051" t="s">
        <v>413</v>
      </c>
      <c r="L2051" s="81">
        <f>+Municipios!U948</f>
        <v>28.087200221382247</v>
      </c>
      <c r="M2051" s="13">
        <v>68705</v>
      </c>
      <c r="N2051" s="13" t="s">
        <v>2305</v>
      </c>
      <c r="O2051" s="13" t="s">
        <v>431</v>
      </c>
      <c r="P2051" s="13" t="s">
        <v>432</v>
      </c>
      <c r="Q2051" s="13" t="s">
        <v>829</v>
      </c>
      <c r="T2051" t="s">
        <v>2804</v>
      </c>
      <c r="U2051" s="25">
        <f>+Municipios!P948</f>
        <v>65.167151099674001</v>
      </c>
      <c r="V2051" s="13">
        <v>68705</v>
      </c>
      <c r="W2051" s="13" t="s">
        <v>2305</v>
      </c>
      <c r="X2051" s="13" t="s">
        <v>431</v>
      </c>
      <c r="Y2051" s="13" t="s">
        <v>432</v>
      </c>
      <c r="Z2051" s="13" t="s">
        <v>829</v>
      </c>
    </row>
    <row r="2052" spans="1:26">
      <c r="A2052" t="s">
        <v>412</v>
      </c>
      <c r="B2052" s="25">
        <f>+Municipios!P949</f>
        <v>69.505572997520545</v>
      </c>
      <c r="C2052" s="13">
        <v>25885</v>
      </c>
      <c r="D2052" s="13" t="s">
        <v>2306</v>
      </c>
      <c r="E2052" s="13" t="s">
        <v>461</v>
      </c>
      <c r="F2052" s="13" t="s">
        <v>462</v>
      </c>
      <c r="G2052" s="13" t="s">
        <v>2307</v>
      </c>
      <c r="K2052" t="s">
        <v>413</v>
      </c>
      <c r="L2052" s="81">
        <f>+Municipios!U949</f>
        <v>27.470954155019221</v>
      </c>
      <c r="M2052" s="13">
        <v>25885</v>
      </c>
      <c r="N2052" s="13" t="s">
        <v>2306</v>
      </c>
      <c r="O2052" s="13" t="s">
        <v>461</v>
      </c>
      <c r="P2052" s="13" t="s">
        <v>462</v>
      </c>
      <c r="Q2052" s="13" t="s">
        <v>2307</v>
      </c>
      <c r="T2052" t="s">
        <v>2804</v>
      </c>
      <c r="U2052" s="25">
        <f>+Municipios!P949</f>
        <v>69.505572997520545</v>
      </c>
      <c r="V2052" s="13">
        <v>25885</v>
      </c>
      <c r="W2052" s="13" t="s">
        <v>2306</v>
      </c>
      <c r="X2052" s="13" t="s">
        <v>461</v>
      </c>
      <c r="Y2052" s="13" t="s">
        <v>462</v>
      </c>
      <c r="Z2052" s="13" t="s">
        <v>2307</v>
      </c>
    </row>
    <row r="2053" spans="1:26">
      <c r="A2053" t="s">
        <v>412</v>
      </c>
      <c r="B2053" s="25">
        <f>+Municipios!P950</f>
        <v>56.061433676262233</v>
      </c>
      <c r="C2053" s="13">
        <v>50251</v>
      </c>
      <c r="D2053" s="13" t="s">
        <v>2308</v>
      </c>
      <c r="E2053" s="13" t="s">
        <v>605</v>
      </c>
      <c r="F2053" s="13" t="s">
        <v>606</v>
      </c>
      <c r="G2053" s="13" t="s">
        <v>2309</v>
      </c>
      <c r="K2053" t="s">
        <v>413</v>
      </c>
      <c r="L2053" s="81">
        <f>+Municipios!U950</f>
        <v>22.711472061328546</v>
      </c>
      <c r="M2053" s="13">
        <v>50251</v>
      </c>
      <c r="N2053" s="13" t="s">
        <v>2308</v>
      </c>
      <c r="O2053" s="13" t="s">
        <v>605</v>
      </c>
      <c r="P2053" s="13" t="s">
        <v>606</v>
      </c>
      <c r="Q2053" s="13" t="s">
        <v>2309</v>
      </c>
      <c r="T2053" t="s">
        <v>2804</v>
      </c>
      <c r="U2053" s="25">
        <f>+Municipios!P950</f>
        <v>56.061433676262233</v>
      </c>
      <c r="V2053" s="13">
        <v>50251</v>
      </c>
      <c r="W2053" s="13" t="s">
        <v>2308</v>
      </c>
      <c r="X2053" s="13" t="s">
        <v>605</v>
      </c>
      <c r="Y2053" s="13" t="s">
        <v>606</v>
      </c>
      <c r="Z2053" s="13" t="s">
        <v>2309</v>
      </c>
    </row>
    <row r="2054" spans="1:26">
      <c r="A2054" t="s">
        <v>412</v>
      </c>
      <c r="B2054" s="25">
        <f>+Municipios!P951</f>
        <v>59.413948699561317</v>
      </c>
      <c r="C2054" s="13">
        <v>5040</v>
      </c>
      <c r="D2054" s="13" t="s">
        <v>2310</v>
      </c>
      <c r="E2054" s="13" t="s">
        <v>435</v>
      </c>
      <c r="F2054" s="13" t="s">
        <v>436</v>
      </c>
      <c r="G2054" s="13" t="s">
        <v>2311</v>
      </c>
      <c r="K2054" t="s">
        <v>413</v>
      </c>
      <c r="L2054" s="81">
        <f>+Municipios!U951</f>
        <v>24.882992898114217</v>
      </c>
      <c r="M2054" s="13">
        <v>5040</v>
      </c>
      <c r="N2054" s="13" t="s">
        <v>2310</v>
      </c>
      <c r="O2054" s="13" t="s">
        <v>435</v>
      </c>
      <c r="P2054" s="13" t="s">
        <v>436</v>
      </c>
      <c r="Q2054" s="13" t="s">
        <v>2311</v>
      </c>
      <c r="T2054" t="s">
        <v>2804</v>
      </c>
      <c r="U2054" s="25">
        <f>+Municipios!P951</f>
        <v>59.413948699561317</v>
      </c>
      <c r="V2054" s="13">
        <v>5040</v>
      </c>
      <c r="W2054" s="13" t="s">
        <v>2310</v>
      </c>
      <c r="X2054" s="13" t="s">
        <v>435</v>
      </c>
      <c r="Y2054" s="13" t="s">
        <v>436</v>
      </c>
      <c r="Z2054" s="13" t="s">
        <v>2311</v>
      </c>
    </row>
    <row r="2055" spans="1:26">
      <c r="A2055" t="s">
        <v>412</v>
      </c>
      <c r="B2055" s="25">
        <f>+Municipios!P952</f>
        <v>43.426360496115748</v>
      </c>
      <c r="C2055" s="13">
        <v>5847</v>
      </c>
      <c r="D2055" s="13" t="s">
        <v>2312</v>
      </c>
      <c r="E2055" s="13" t="s">
        <v>435</v>
      </c>
      <c r="F2055" s="13" t="s">
        <v>436</v>
      </c>
      <c r="G2055" s="13" t="s">
        <v>2313</v>
      </c>
      <c r="K2055" t="s">
        <v>413</v>
      </c>
      <c r="L2055" s="81">
        <f>+Municipios!U952</f>
        <v>17.973305182770869</v>
      </c>
      <c r="M2055" s="13">
        <v>5847</v>
      </c>
      <c r="N2055" s="13" t="s">
        <v>2312</v>
      </c>
      <c r="O2055" s="13" t="s">
        <v>435</v>
      </c>
      <c r="P2055" s="13" t="s">
        <v>436</v>
      </c>
      <c r="Q2055" s="13" t="s">
        <v>2313</v>
      </c>
      <c r="T2055" t="s">
        <v>2804</v>
      </c>
      <c r="U2055" s="25">
        <f>+Municipios!P952</f>
        <v>43.426360496115748</v>
      </c>
      <c r="V2055" s="13">
        <v>5847</v>
      </c>
      <c r="W2055" s="13" t="s">
        <v>2312</v>
      </c>
      <c r="X2055" s="13" t="s">
        <v>435</v>
      </c>
      <c r="Y2055" s="13" t="s">
        <v>436</v>
      </c>
      <c r="Z2055" s="13" t="s">
        <v>2313</v>
      </c>
    </row>
    <row r="2056" spans="1:26">
      <c r="A2056" t="s">
        <v>412</v>
      </c>
      <c r="B2056" s="25">
        <f>+Municipios!P953</f>
        <v>60.354736797484776</v>
      </c>
      <c r="C2056" s="13">
        <v>15720</v>
      </c>
      <c r="D2056" s="13" t="s">
        <v>2314</v>
      </c>
      <c r="E2056" s="13" t="s">
        <v>498</v>
      </c>
      <c r="F2056" s="13" t="s">
        <v>499</v>
      </c>
      <c r="G2056" s="13" t="s">
        <v>2315</v>
      </c>
      <c r="K2056" t="s">
        <v>413</v>
      </c>
      <c r="L2056" s="81">
        <f>+Municipios!U953</f>
        <v>24.350889361280405</v>
      </c>
      <c r="M2056" s="13">
        <v>15720</v>
      </c>
      <c r="N2056" s="13" t="s">
        <v>2314</v>
      </c>
      <c r="O2056" s="13" t="s">
        <v>498</v>
      </c>
      <c r="P2056" s="13" t="s">
        <v>499</v>
      </c>
      <c r="Q2056" s="13" t="s">
        <v>2315</v>
      </c>
      <c r="T2056" t="s">
        <v>2804</v>
      </c>
      <c r="U2056" s="25">
        <f>+Municipios!P953</f>
        <v>60.354736797484776</v>
      </c>
      <c r="V2056" s="13">
        <v>15720</v>
      </c>
      <c r="W2056" s="13" t="s">
        <v>2314</v>
      </c>
      <c r="X2056" s="13" t="s">
        <v>498</v>
      </c>
      <c r="Y2056" s="13" t="s">
        <v>499</v>
      </c>
      <c r="Z2056" s="13" t="s">
        <v>2315</v>
      </c>
    </row>
    <row r="2057" spans="1:26">
      <c r="A2057" t="s">
        <v>412</v>
      </c>
      <c r="B2057" s="25">
        <f>+Municipios!P954</f>
        <v>65.269033930171119</v>
      </c>
      <c r="C2057" s="13">
        <v>5893</v>
      </c>
      <c r="D2057" s="13" t="s">
        <v>2316</v>
      </c>
      <c r="E2057" s="13" t="s">
        <v>435</v>
      </c>
      <c r="F2057" s="13" t="s">
        <v>436</v>
      </c>
      <c r="G2057" s="13" t="s">
        <v>2317</v>
      </c>
      <c r="K2057" t="s">
        <v>413</v>
      </c>
      <c r="L2057" s="81">
        <f>+Municipios!U954</f>
        <v>27.106713500837785</v>
      </c>
      <c r="M2057" s="13">
        <v>5893</v>
      </c>
      <c r="N2057" s="13" t="s">
        <v>2316</v>
      </c>
      <c r="O2057" s="13" t="s">
        <v>435</v>
      </c>
      <c r="P2057" s="13" t="s">
        <v>436</v>
      </c>
      <c r="Q2057" s="13" t="s">
        <v>2317</v>
      </c>
      <c r="T2057" t="s">
        <v>2804</v>
      </c>
      <c r="U2057" s="25">
        <f>+Municipios!P954</f>
        <v>65.269033930171119</v>
      </c>
      <c r="V2057" s="13">
        <v>5893</v>
      </c>
      <c r="W2057" s="13" t="s">
        <v>2316</v>
      </c>
      <c r="X2057" s="13" t="s">
        <v>435</v>
      </c>
      <c r="Y2057" s="13" t="s">
        <v>436</v>
      </c>
      <c r="Z2057" s="13" t="s">
        <v>2317</v>
      </c>
    </row>
    <row r="2058" spans="1:26">
      <c r="A2058" t="s">
        <v>412</v>
      </c>
      <c r="B2058" s="25">
        <f>+Municipios!P955</f>
        <v>63.761335475564067</v>
      </c>
      <c r="C2058" s="13">
        <v>85263</v>
      </c>
      <c r="D2058" s="13" t="s">
        <v>2318</v>
      </c>
      <c r="E2058" s="13" t="s">
        <v>1351</v>
      </c>
      <c r="F2058" s="13" t="s">
        <v>1352</v>
      </c>
      <c r="G2058" s="13" t="s">
        <v>2319</v>
      </c>
      <c r="K2058" t="s">
        <v>413</v>
      </c>
      <c r="L2058" s="81">
        <f>+Municipios!U955</f>
        <v>26.380071459774548</v>
      </c>
      <c r="M2058" s="13">
        <v>85263</v>
      </c>
      <c r="N2058" s="13" t="s">
        <v>2318</v>
      </c>
      <c r="O2058" s="13" t="s">
        <v>1351</v>
      </c>
      <c r="P2058" s="13" t="s">
        <v>1352</v>
      </c>
      <c r="Q2058" s="13" t="s">
        <v>2319</v>
      </c>
      <c r="T2058" t="s">
        <v>2804</v>
      </c>
      <c r="U2058" s="25">
        <f>+Municipios!P955</f>
        <v>63.761335475564067</v>
      </c>
      <c r="V2058" s="13">
        <v>85263</v>
      </c>
      <c r="W2058" s="13" t="s">
        <v>2318</v>
      </c>
      <c r="X2058" s="13" t="s">
        <v>1351</v>
      </c>
      <c r="Y2058" s="13" t="s">
        <v>1352</v>
      </c>
      <c r="Z2058" s="13" t="s">
        <v>2319</v>
      </c>
    </row>
    <row r="2059" spans="1:26">
      <c r="A2059" t="s">
        <v>412</v>
      </c>
      <c r="B2059" s="25">
        <f>+Municipios!P956</f>
        <v>62.238392999552815</v>
      </c>
      <c r="C2059" s="13">
        <v>68250</v>
      </c>
      <c r="D2059" s="13" t="s">
        <v>2320</v>
      </c>
      <c r="E2059" s="13" t="s">
        <v>431</v>
      </c>
      <c r="F2059" s="13" t="s">
        <v>432</v>
      </c>
      <c r="G2059" s="13" t="s">
        <v>1722</v>
      </c>
      <c r="K2059" t="s">
        <v>413</v>
      </c>
      <c r="L2059" s="81">
        <f>+Municipios!U956</f>
        <v>25.4225782930816</v>
      </c>
      <c r="M2059" s="13">
        <v>68250</v>
      </c>
      <c r="N2059" s="13" t="s">
        <v>2320</v>
      </c>
      <c r="O2059" s="13" t="s">
        <v>431</v>
      </c>
      <c r="P2059" s="13" t="s">
        <v>432</v>
      </c>
      <c r="Q2059" s="13" t="s">
        <v>1722</v>
      </c>
      <c r="T2059" t="s">
        <v>2804</v>
      </c>
      <c r="U2059" s="25">
        <f>+Municipios!P956</f>
        <v>62.238392999552815</v>
      </c>
      <c r="V2059" s="13">
        <v>68250</v>
      </c>
      <c r="W2059" s="13" t="s">
        <v>2320</v>
      </c>
      <c r="X2059" s="13" t="s">
        <v>431</v>
      </c>
      <c r="Y2059" s="13" t="s">
        <v>432</v>
      </c>
      <c r="Z2059" s="13" t="s">
        <v>1722</v>
      </c>
    </row>
    <row r="2060" spans="1:26">
      <c r="A2060" t="s">
        <v>412</v>
      </c>
      <c r="B2060" s="25">
        <f>+Municipios!P957</f>
        <v>57.387996485435728</v>
      </c>
      <c r="C2060" s="13">
        <v>27245</v>
      </c>
      <c r="D2060" s="13" t="s">
        <v>2321</v>
      </c>
      <c r="E2060" s="13" t="s">
        <v>1714</v>
      </c>
      <c r="F2060" s="13" t="s">
        <v>1715</v>
      </c>
      <c r="G2060" s="13" t="s">
        <v>2322</v>
      </c>
      <c r="K2060" t="s">
        <v>413</v>
      </c>
      <c r="L2060" s="81">
        <f>+Municipios!U957</f>
        <v>23.379177088415993</v>
      </c>
      <c r="M2060" s="13">
        <v>27245</v>
      </c>
      <c r="N2060" s="13" t="s">
        <v>2321</v>
      </c>
      <c r="O2060" s="13" t="s">
        <v>1714</v>
      </c>
      <c r="P2060" s="13" t="s">
        <v>1715</v>
      </c>
      <c r="Q2060" s="13" t="s">
        <v>2322</v>
      </c>
      <c r="T2060" t="s">
        <v>2804</v>
      </c>
      <c r="U2060" s="25">
        <f>+Municipios!P957</f>
        <v>57.387996485435728</v>
      </c>
      <c r="V2060" s="13">
        <v>27245</v>
      </c>
      <c r="W2060" s="13" t="s">
        <v>2321</v>
      </c>
      <c r="X2060" s="13" t="s">
        <v>1714</v>
      </c>
      <c r="Y2060" s="13" t="s">
        <v>1715</v>
      </c>
      <c r="Z2060" s="13" t="s">
        <v>2322</v>
      </c>
    </row>
    <row r="2061" spans="1:26">
      <c r="A2061" t="s">
        <v>412</v>
      </c>
      <c r="B2061" s="25">
        <f>+Municipios!P958</f>
        <v>40.388433466014646</v>
      </c>
      <c r="C2061" s="13">
        <v>73873</v>
      </c>
      <c r="D2061" s="13" t="s">
        <v>2323</v>
      </c>
      <c r="E2061" s="13" t="s">
        <v>595</v>
      </c>
      <c r="F2061" s="13" t="s">
        <v>596</v>
      </c>
      <c r="G2061" s="13" t="s">
        <v>2324</v>
      </c>
      <c r="K2061" t="s">
        <v>413</v>
      </c>
      <c r="L2061" s="81">
        <f>+Municipios!U958</f>
        <v>16.590547632682263</v>
      </c>
      <c r="M2061" s="13">
        <v>73873</v>
      </c>
      <c r="N2061" s="13" t="s">
        <v>2323</v>
      </c>
      <c r="O2061" s="13" t="s">
        <v>595</v>
      </c>
      <c r="P2061" s="13" t="s">
        <v>596</v>
      </c>
      <c r="Q2061" s="13" t="s">
        <v>2324</v>
      </c>
      <c r="T2061" t="s">
        <v>2804</v>
      </c>
      <c r="U2061" s="25">
        <f>+Municipios!P958</f>
        <v>40.388433466014646</v>
      </c>
      <c r="V2061" s="13">
        <v>73873</v>
      </c>
      <c r="W2061" s="13" t="s">
        <v>2323</v>
      </c>
      <c r="X2061" s="13" t="s">
        <v>595</v>
      </c>
      <c r="Y2061" s="13" t="s">
        <v>596</v>
      </c>
      <c r="Z2061" s="13" t="s">
        <v>2324</v>
      </c>
    </row>
    <row r="2062" spans="1:26">
      <c r="A2062" t="s">
        <v>412</v>
      </c>
      <c r="B2062" s="25">
        <f>+Municipios!P959</f>
        <v>61.991621925373522</v>
      </c>
      <c r="C2062" s="13">
        <v>27073</v>
      </c>
      <c r="D2062" s="13" t="s">
        <v>2325</v>
      </c>
      <c r="E2062" s="13" t="s">
        <v>1714</v>
      </c>
      <c r="F2062" s="13" t="s">
        <v>1715</v>
      </c>
      <c r="G2062" s="13" t="s">
        <v>2326</v>
      </c>
      <c r="K2062" t="s">
        <v>413</v>
      </c>
      <c r="L2062" s="81">
        <f>+Municipios!U959</f>
        <v>25.69504243016139</v>
      </c>
      <c r="M2062" s="13">
        <v>27073</v>
      </c>
      <c r="N2062" s="13" t="s">
        <v>2325</v>
      </c>
      <c r="O2062" s="13" t="s">
        <v>1714</v>
      </c>
      <c r="P2062" s="13" t="s">
        <v>1715</v>
      </c>
      <c r="Q2062" s="13" t="s">
        <v>2326</v>
      </c>
      <c r="T2062" t="s">
        <v>2804</v>
      </c>
      <c r="U2062" s="25">
        <f>+Municipios!P959</f>
        <v>61.991621925373522</v>
      </c>
      <c r="V2062" s="13">
        <v>27073</v>
      </c>
      <c r="W2062" s="13" t="s">
        <v>2325</v>
      </c>
      <c r="X2062" s="13" t="s">
        <v>1714</v>
      </c>
      <c r="Y2062" s="13" t="s">
        <v>1715</v>
      </c>
      <c r="Z2062" s="13" t="s">
        <v>2326</v>
      </c>
    </row>
    <row r="2063" spans="1:26">
      <c r="A2063" t="s">
        <v>412</v>
      </c>
      <c r="B2063" s="25">
        <f>+Municipios!P960</f>
        <v>46.492091697505273</v>
      </c>
      <c r="C2063" s="13">
        <v>68780</v>
      </c>
      <c r="D2063" s="13" t="s">
        <v>2327</v>
      </c>
      <c r="E2063" s="13" t="s">
        <v>431</v>
      </c>
      <c r="F2063" s="13" t="s">
        <v>432</v>
      </c>
      <c r="G2063" s="13" t="s">
        <v>2328</v>
      </c>
      <c r="K2063" t="s">
        <v>413</v>
      </c>
      <c r="L2063" s="81">
        <f>+Municipios!U960</f>
        <v>19.32857328312679</v>
      </c>
      <c r="M2063" s="13">
        <v>68780</v>
      </c>
      <c r="N2063" s="13" t="s">
        <v>2327</v>
      </c>
      <c r="O2063" s="13" t="s">
        <v>431</v>
      </c>
      <c r="P2063" s="13" t="s">
        <v>432</v>
      </c>
      <c r="Q2063" s="13" t="s">
        <v>2328</v>
      </c>
      <c r="T2063" t="s">
        <v>2804</v>
      </c>
      <c r="U2063" s="25">
        <f>+Municipios!P960</f>
        <v>46.492091697505273</v>
      </c>
      <c r="V2063" s="13">
        <v>68780</v>
      </c>
      <c r="W2063" s="13" t="s">
        <v>2327</v>
      </c>
      <c r="X2063" s="13" t="s">
        <v>431</v>
      </c>
      <c r="Y2063" s="13" t="s">
        <v>432</v>
      </c>
      <c r="Z2063" s="13" t="s">
        <v>2328</v>
      </c>
    </row>
    <row r="2064" spans="1:26">
      <c r="A2064" t="s">
        <v>412</v>
      </c>
      <c r="B2064" s="25">
        <f>+Municipios!P961</f>
        <v>40.446492150973569</v>
      </c>
      <c r="C2064" s="13">
        <v>27800</v>
      </c>
      <c r="D2064" s="13" t="s">
        <v>2329</v>
      </c>
      <c r="E2064" s="13" t="s">
        <v>1714</v>
      </c>
      <c r="F2064" s="13" t="s">
        <v>1715</v>
      </c>
      <c r="G2064" s="13" t="s">
        <v>2330</v>
      </c>
      <c r="K2064" t="s">
        <v>413</v>
      </c>
      <c r="L2064" s="81">
        <f>+Municipios!U961</f>
        <v>16.167627772019038</v>
      </c>
      <c r="M2064" s="13">
        <v>27800</v>
      </c>
      <c r="N2064" s="13" t="s">
        <v>2329</v>
      </c>
      <c r="O2064" s="13" t="s">
        <v>1714</v>
      </c>
      <c r="P2064" s="13" t="s">
        <v>1715</v>
      </c>
      <c r="Q2064" s="13" t="s">
        <v>2330</v>
      </c>
      <c r="T2064" t="s">
        <v>2804</v>
      </c>
      <c r="U2064" s="25">
        <f>+Municipios!P961</f>
        <v>40.446492150973569</v>
      </c>
      <c r="V2064" s="13">
        <v>27800</v>
      </c>
      <c r="W2064" s="13" t="s">
        <v>2329</v>
      </c>
      <c r="X2064" s="13" t="s">
        <v>1714</v>
      </c>
      <c r="Y2064" s="13" t="s">
        <v>1715</v>
      </c>
      <c r="Z2064" s="13" t="s">
        <v>2330</v>
      </c>
    </row>
    <row r="2065" spans="1:26">
      <c r="A2065" t="s">
        <v>412</v>
      </c>
      <c r="B2065" s="25">
        <f>+Municipios!P962</f>
        <v>43.081657175936741</v>
      </c>
      <c r="C2065" s="13">
        <v>86755</v>
      </c>
      <c r="D2065" s="13" t="s">
        <v>2331</v>
      </c>
      <c r="E2065" s="13" t="s">
        <v>943</v>
      </c>
      <c r="F2065" s="13" t="s">
        <v>944</v>
      </c>
      <c r="G2065" s="13" t="s">
        <v>975</v>
      </c>
      <c r="K2065" t="s">
        <v>413</v>
      </c>
      <c r="L2065" s="81">
        <f>+Municipios!U962</f>
        <v>17.313279307233277</v>
      </c>
      <c r="M2065" s="13">
        <v>86755</v>
      </c>
      <c r="N2065" s="13" t="s">
        <v>2331</v>
      </c>
      <c r="O2065" s="13" t="s">
        <v>943</v>
      </c>
      <c r="P2065" s="13" t="s">
        <v>944</v>
      </c>
      <c r="Q2065" s="13" t="s">
        <v>975</v>
      </c>
      <c r="T2065" t="s">
        <v>2804</v>
      </c>
      <c r="U2065" s="25">
        <f>+Municipios!P962</f>
        <v>43.081657175936741</v>
      </c>
      <c r="V2065" s="13">
        <v>86755</v>
      </c>
      <c r="W2065" s="13" t="s">
        <v>2331</v>
      </c>
      <c r="X2065" s="13" t="s">
        <v>943</v>
      </c>
      <c r="Y2065" s="13" t="s">
        <v>944</v>
      </c>
      <c r="Z2065" s="13" t="s">
        <v>975</v>
      </c>
    </row>
    <row r="2066" spans="1:26">
      <c r="A2066" t="s">
        <v>412</v>
      </c>
      <c r="B2066" s="25">
        <f>+Municipios!P963</f>
        <v>56.942374278798439</v>
      </c>
      <c r="C2066" s="13">
        <v>15464</v>
      </c>
      <c r="D2066" s="13" t="s">
        <v>2332</v>
      </c>
      <c r="E2066" s="13" t="s">
        <v>498</v>
      </c>
      <c r="F2066" s="13" t="s">
        <v>499</v>
      </c>
      <c r="G2066" s="13" t="s">
        <v>2333</v>
      </c>
      <c r="K2066" t="s">
        <v>413</v>
      </c>
      <c r="L2066" s="81">
        <f>+Municipios!U963</f>
        <v>22.858461718579278</v>
      </c>
      <c r="M2066" s="13">
        <v>15464</v>
      </c>
      <c r="N2066" s="13" t="s">
        <v>2332</v>
      </c>
      <c r="O2066" s="13" t="s">
        <v>498</v>
      </c>
      <c r="P2066" s="13" t="s">
        <v>499</v>
      </c>
      <c r="Q2066" s="13" t="s">
        <v>2333</v>
      </c>
      <c r="T2066" t="s">
        <v>2804</v>
      </c>
      <c r="U2066" s="25">
        <f>+Municipios!P963</f>
        <v>56.942374278798439</v>
      </c>
      <c r="V2066" s="13">
        <v>15464</v>
      </c>
      <c r="W2066" s="13" t="s">
        <v>2332</v>
      </c>
      <c r="X2066" s="13" t="s">
        <v>498</v>
      </c>
      <c r="Y2066" s="13" t="s">
        <v>499</v>
      </c>
      <c r="Z2066" s="13" t="s">
        <v>2333</v>
      </c>
    </row>
    <row r="2067" spans="1:26">
      <c r="A2067" t="s">
        <v>412</v>
      </c>
      <c r="B2067" s="25">
        <f>+Municipios!P964</f>
        <v>70.374917520506287</v>
      </c>
      <c r="C2067" s="13">
        <v>68745</v>
      </c>
      <c r="D2067" s="13" t="s">
        <v>2334</v>
      </c>
      <c r="E2067" s="13" t="s">
        <v>431</v>
      </c>
      <c r="F2067" s="13" t="s">
        <v>432</v>
      </c>
      <c r="G2067" s="13" t="s">
        <v>2335</v>
      </c>
      <c r="K2067" t="s">
        <v>413</v>
      </c>
      <c r="L2067" s="81">
        <f>+Municipios!U964</f>
        <v>29.22899230367166</v>
      </c>
      <c r="M2067" s="13">
        <v>68745</v>
      </c>
      <c r="N2067" s="13" t="s">
        <v>2334</v>
      </c>
      <c r="O2067" s="13" t="s">
        <v>431</v>
      </c>
      <c r="P2067" s="13" t="s">
        <v>432</v>
      </c>
      <c r="Q2067" s="13" t="s">
        <v>2335</v>
      </c>
      <c r="T2067" t="s">
        <v>2804</v>
      </c>
      <c r="U2067" s="25">
        <f>+Municipios!P964</f>
        <v>70.374917520506287</v>
      </c>
      <c r="V2067" s="13">
        <v>68745</v>
      </c>
      <c r="W2067" s="13" t="s">
        <v>2334</v>
      </c>
      <c r="X2067" s="13" t="s">
        <v>431</v>
      </c>
      <c r="Y2067" s="13" t="s">
        <v>432</v>
      </c>
      <c r="Z2067" s="13" t="s">
        <v>2335</v>
      </c>
    </row>
    <row r="2068" spans="1:26">
      <c r="A2068" t="s">
        <v>412</v>
      </c>
      <c r="B2068" s="25">
        <f>+Municipios!P965</f>
        <v>35.01731470008739</v>
      </c>
      <c r="C2068" s="13">
        <v>52473</v>
      </c>
      <c r="D2068" s="13" t="s">
        <v>2336</v>
      </c>
      <c r="E2068" s="13" t="s">
        <v>672</v>
      </c>
      <c r="F2068" s="13" t="s">
        <v>673</v>
      </c>
      <c r="G2068" s="13" t="s">
        <v>492</v>
      </c>
      <c r="K2068" t="s">
        <v>413</v>
      </c>
      <c r="L2068" s="81">
        <f>+Municipios!U965</f>
        <v>14.179461312482736</v>
      </c>
      <c r="M2068" s="13">
        <v>52473</v>
      </c>
      <c r="N2068" s="13" t="s">
        <v>2336</v>
      </c>
      <c r="O2068" s="13" t="s">
        <v>672</v>
      </c>
      <c r="P2068" s="13" t="s">
        <v>673</v>
      </c>
      <c r="Q2068" s="13" t="s">
        <v>492</v>
      </c>
      <c r="T2068" t="s">
        <v>2804</v>
      </c>
      <c r="U2068" s="25">
        <f>+Municipios!P965</f>
        <v>35.01731470008739</v>
      </c>
      <c r="V2068" s="13">
        <v>52473</v>
      </c>
      <c r="W2068" s="13" t="s">
        <v>2336</v>
      </c>
      <c r="X2068" s="13" t="s">
        <v>672</v>
      </c>
      <c r="Y2068" s="13" t="s">
        <v>673</v>
      </c>
      <c r="Z2068" s="13" t="s">
        <v>492</v>
      </c>
    </row>
    <row r="2069" spans="1:26">
      <c r="A2069" t="s">
        <v>412</v>
      </c>
      <c r="B2069" s="25">
        <f>+Municipios!P966</f>
        <v>40.191822329687909</v>
      </c>
      <c r="C2069" s="13">
        <v>13600</v>
      </c>
      <c r="D2069" s="13" t="s">
        <v>2337</v>
      </c>
      <c r="E2069" s="13" t="s">
        <v>480</v>
      </c>
      <c r="F2069" s="13" t="s">
        <v>481</v>
      </c>
      <c r="G2069" s="13" t="s">
        <v>2338</v>
      </c>
      <c r="K2069" t="s">
        <v>413</v>
      </c>
      <c r="L2069" s="81">
        <f>+Municipios!U966</f>
        <v>16.588486647192422</v>
      </c>
      <c r="M2069" s="13">
        <v>13600</v>
      </c>
      <c r="N2069" s="13" t="s">
        <v>2337</v>
      </c>
      <c r="O2069" s="13" t="s">
        <v>480</v>
      </c>
      <c r="P2069" s="13" t="s">
        <v>481</v>
      </c>
      <c r="Q2069" s="13" t="s">
        <v>2338</v>
      </c>
      <c r="T2069" t="s">
        <v>2804</v>
      </c>
      <c r="U2069" s="25">
        <f>+Municipios!P966</f>
        <v>40.191822329687909</v>
      </c>
      <c r="V2069" s="13">
        <v>13600</v>
      </c>
      <c r="W2069" s="13" t="s">
        <v>2337</v>
      </c>
      <c r="X2069" s="13" t="s">
        <v>480</v>
      </c>
      <c r="Y2069" s="13" t="s">
        <v>481</v>
      </c>
      <c r="Z2069" s="13" t="s">
        <v>2338</v>
      </c>
    </row>
    <row r="2070" spans="1:26">
      <c r="A2070" t="s">
        <v>412</v>
      </c>
      <c r="B2070" s="25">
        <f>+Municipios!P967</f>
        <v>57.27074377540827</v>
      </c>
      <c r="C2070" s="13">
        <v>68190</v>
      </c>
      <c r="D2070" s="13" t="s">
        <v>2339</v>
      </c>
      <c r="E2070" s="13" t="s">
        <v>431</v>
      </c>
      <c r="F2070" s="13" t="s">
        <v>432</v>
      </c>
      <c r="G2070" s="13" t="s">
        <v>2340</v>
      </c>
      <c r="K2070" t="s">
        <v>413</v>
      </c>
      <c r="L2070" s="81">
        <f>+Municipios!U967</f>
        <v>23.157449588160194</v>
      </c>
      <c r="M2070" s="13">
        <v>68190</v>
      </c>
      <c r="N2070" s="13" t="s">
        <v>2339</v>
      </c>
      <c r="O2070" s="13" t="s">
        <v>431</v>
      </c>
      <c r="P2070" s="13" t="s">
        <v>432</v>
      </c>
      <c r="Q2070" s="13" t="s">
        <v>2340</v>
      </c>
      <c r="T2070" t="s">
        <v>2804</v>
      </c>
      <c r="U2070" s="25">
        <f>+Municipios!P967</f>
        <v>57.27074377540827</v>
      </c>
      <c r="V2070" s="13">
        <v>68190</v>
      </c>
      <c r="W2070" s="13" t="s">
        <v>2339</v>
      </c>
      <c r="X2070" s="13" t="s">
        <v>431</v>
      </c>
      <c r="Y2070" s="13" t="s">
        <v>432</v>
      </c>
      <c r="Z2070" s="13" t="s">
        <v>2340</v>
      </c>
    </row>
    <row r="2071" spans="1:26">
      <c r="A2071" t="s">
        <v>412</v>
      </c>
      <c r="B2071" s="25">
        <f>+Municipios!P968</f>
        <v>63.097552387125596</v>
      </c>
      <c r="C2071" s="13">
        <v>50400</v>
      </c>
      <c r="D2071" s="13" t="s">
        <v>2341</v>
      </c>
      <c r="E2071" s="13" t="s">
        <v>605</v>
      </c>
      <c r="F2071" s="13" t="s">
        <v>606</v>
      </c>
      <c r="G2071" s="13" t="s">
        <v>2342</v>
      </c>
      <c r="K2071" t="s">
        <v>413</v>
      </c>
      <c r="L2071" s="81">
        <f>+Municipios!U968</f>
        <v>25.249923861915072</v>
      </c>
      <c r="M2071" s="13">
        <v>50400</v>
      </c>
      <c r="N2071" s="13" t="s">
        <v>2341</v>
      </c>
      <c r="O2071" s="13" t="s">
        <v>605</v>
      </c>
      <c r="P2071" s="13" t="s">
        <v>606</v>
      </c>
      <c r="Q2071" s="13" t="s">
        <v>2342</v>
      </c>
      <c r="T2071" t="s">
        <v>2804</v>
      </c>
      <c r="U2071" s="25">
        <f>+Municipios!P968</f>
        <v>63.097552387125596</v>
      </c>
      <c r="V2071" s="13">
        <v>50400</v>
      </c>
      <c r="W2071" s="13" t="s">
        <v>2341</v>
      </c>
      <c r="X2071" s="13" t="s">
        <v>605</v>
      </c>
      <c r="Y2071" s="13" t="s">
        <v>606</v>
      </c>
      <c r="Z2071" s="13" t="s">
        <v>2342</v>
      </c>
    </row>
    <row r="2072" spans="1:26">
      <c r="A2072" t="s">
        <v>412</v>
      </c>
      <c r="B2072" s="25">
        <f>+Municipios!P969</f>
        <v>54.306643556205159</v>
      </c>
      <c r="C2072" s="13">
        <v>54871</v>
      </c>
      <c r="D2072" s="13" t="s">
        <v>2343</v>
      </c>
      <c r="E2072" s="13" t="s">
        <v>517</v>
      </c>
      <c r="F2072" s="13" t="s">
        <v>518</v>
      </c>
      <c r="G2072" s="13" t="s">
        <v>2344</v>
      </c>
      <c r="K2072" t="s">
        <v>413</v>
      </c>
      <c r="L2072" s="81">
        <f>+Municipios!U969</f>
        <v>21.8500213664102</v>
      </c>
      <c r="M2072" s="13">
        <v>54871</v>
      </c>
      <c r="N2072" s="13" t="s">
        <v>2343</v>
      </c>
      <c r="O2072" s="13" t="s">
        <v>517</v>
      </c>
      <c r="P2072" s="13" t="s">
        <v>518</v>
      </c>
      <c r="Q2072" s="13" t="s">
        <v>2344</v>
      </c>
      <c r="T2072" t="s">
        <v>2804</v>
      </c>
      <c r="U2072" s="25">
        <f>+Municipios!P969</f>
        <v>54.306643556205159</v>
      </c>
      <c r="V2072" s="13">
        <v>54871</v>
      </c>
      <c r="W2072" s="13" t="s">
        <v>2343</v>
      </c>
      <c r="X2072" s="13" t="s">
        <v>517</v>
      </c>
      <c r="Y2072" s="13" t="s">
        <v>518</v>
      </c>
      <c r="Z2072" s="13" t="s">
        <v>2344</v>
      </c>
    </row>
    <row r="2073" spans="1:26">
      <c r="A2073" t="s">
        <v>412</v>
      </c>
      <c r="B2073" s="25">
        <f>+Municipios!P970</f>
        <v>48.877475675613937</v>
      </c>
      <c r="C2073" s="13">
        <v>27025</v>
      </c>
      <c r="D2073" s="13" t="s">
        <v>2345</v>
      </c>
      <c r="E2073" s="13" t="s">
        <v>1714</v>
      </c>
      <c r="F2073" s="13" t="s">
        <v>1715</v>
      </c>
      <c r="G2073" s="13" t="s">
        <v>2346</v>
      </c>
      <c r="K2073" t="s">
        <v>413</v>
      </c>
      <c r="L2073" s="81">
        <f>+Municipios!U970</f>
        <v>19.633000460415332</v>
      </c>
      <c r="M2073" s="13">
        <v>27025</v>
      </c>
      <c r="N2073" s="13" t="s">
        <v>2345</v>
      </c>
      <c r="O2073" s="13" t="s">
        <v>1714</v>
      </c>
      <c r="P2073" s="13" t="s">
        <v>1715</v>
      </c>
      <c r="Q2073" s="13" t="s">
        <v>2346</v>
      </c>
      <c r="T2073" t="s">
        <v>2804</v>
      </c>
      <c r="U2073" s="25">
        <f>+Municipios!P970</f>
        <v>48.877475675613937</v>
      </c>
      <c r="V2073" s="13">
        <v>27025</v>
      </c>
      <c r="W2073" s="13" t="s">
        <v>2345</v>
      </c>
      <c r="X2073" s="13" t="s">
        <v>1714</v>
      </c>
      <c r="Y2073" s="13" t="s">
        <v>1715</v>
      </c>
      <c r="Z2073" s="13" t="s">
        <v>2346</v>
      </c>
    </row>
    <row r="2074" spans="1:26">
      <c r="A2074" t="s">
        <v>412</v>
      </c>
      <c r="B2074" s="25">
        <f>+Municipios!P971</f>
        <v>50.103775266512869</v>
      </c>
      <c r="C2074" s="13">
        <v>13744</v>
      </c>
      <c r="D2074" s="13" t="s">
        <v>2347</v>
      </c>
      <c r="E2074" s="13" t="s">
        <v>480</v>
      </c>
      <c r="F2074" s="13" t="s">
        <v>481</v>
      </c>
      <c r="G2074" s="13" t="s">
        <v>2348</v>
      </c>
      <c r="K2074" t="s">
        <v>413</v>
      </c>
      <c r="L2074" s="81">
        <f>+Municipios!U971</f>
        <v>20.084625257057393</v>
      </c>
      <c r="M2074" s="13">
        <v>13744</v>
      </c>
      <c r="N2074" s="13" t="s">
        <v>2347</v>
      </c>
      <c r="O2074" s="13" t="s">
        <v>480</v>
      </c>
      <c r="P2074" s="13" t="s">
        <v>481</v>
      </c>
      <c r="Q2074" s="13" t="s">
        <v>2348</v>
      </c>
      <c r="T2074" t="s">
        <v>2804</v>
      </c>
      <c r="U2074" s="25">
        <f>+Municipios!P971</f>
        <v>50.103775266512869</v>
      </c>
      <c r="V2074" s="13">
        <v>13744</v>
      </c>
      <c r="W2074" s="13" t="s">
        <v>2347</v>
      </c>
      <c r="X2074" s="13" t="s">
        <v>480</v>
      </c>
      <c r="Y2074" s="13" t="s">
        <v>481</v>
      </c>
      <c r="Z2074" s="13" t="s">
        <v>2348</v>
      </c>
    </row>
    <row r="2075" spans="1:26">
      <c r="A2075" t="s">
        <v>412</v>
      </c>
      <c r="B2075" s="25">
        <f>+Municipios!P972</f>
        <v>46.317149365488902</v>
      </c>
      <c r="C2075" s="13">
        <v>52390</v>
      </c>
      <c r="D2075" s="13" t="s">
        <v>2349</v>
      </c>
      <c r="E2075" s="13" t="s">
        <v>672</v>
      </c>
      <c r="F2075" s="13" t="s">
        <v>673</v>
      </c>
      <c r="G2075" s="13" t="s">
        <v>2350</v>
      </c>
      <c r="K2075" t="s">
        <v>413</v>
      </c>
      <c r="L2075" s="81">
        <f>+Municipios!U972</f>
        <v>18.826333751708063</v>
      </c>
      <c r="M2075" s="13">
        <v>52390</v>
      </c>
      <c r="N2075" s="13" t="s">
        <v>2349</v>
      </c>
      <c r="O2075" s="13" t="s">
        <v>672</v>
      </c>
      <c r="P2075" s="13" t="s">
        <v>673</v>
      </c>
      <c r="Q2075" s="13" t="s">
        <v>2350</v>
      </c>
      <c r="T2075" t="s">
        <v>2804</v>
      </c>
      <c r="U2075" s="25">
        <f>+Municipios!P972</f>
        <v>46.317149365488902</v>
      </c>
      <c r="V2075" s="13">
        <v>52390</v>
      </c>
      <c r="W2075" s="13" t="s">
        <v>2349</v>
      </c>
      <c r="X2075" s="13" t="s">
        <v>672</v>
      </c>
      <c r="Y2075" s="13" t="s">
        <v>673</v>
      </c>
      <c r="Z2075" s="13" t="s">
        <v>2350</v>
      </c>
    </row>
    <row r="2076" spans="1:26">
      <c r="A2076" t="s">
        <v>412</v>
      </c>
      <c r="B2076" s="25">
        <f>+Municipios!P973</f>
        <v>57.02607645193666</v>
      </c>
      <c r="C2076" s="13">
        <v>18256</v>
      </c>
      <c r="D2076" s="13" t="s">
        <v>2351</v>
      </c>
      <c r="E2076" s="13" t="s">
        <v>1463</v>
      </c>
      <c r="F2076" s="13" t="s">
        <v>1464</v>
      </c>
      <c r="G2076" s="13" t="s">
        <v>2352</v>
      </c>
      <c r="K2076" t="s">
        <v>413</v>
      </c>
      <c r="L2076" s="81">
        <f>+Municipios!U973</f>
        <v>23.195749299633313</v>
      </c>
      <c r="M2076" s="13">
        <v>18256</v>
      </c>
      <c r="N2076" s="13" t="s">
        <v>2351</v>
      </c>
      <c r="O2076" s="13" t="s">
        <v>1463</v>
      </c>
      <c r="P2076" s="13" t="s">
        <v>1464</v>
      </c>
      <c r="Q2076" s="13" t="s">
        <v>2352</v>
      </c>
      <c r="T2076" t="s">
        <v>2804</v>
      </c>
      <c r="U2076" s="25">
        <f>+Municipios!P973</f>
        <v>57.02607645193666</v>
      </c>
      <c r="V2076" s="13">
        <v>18256</v>
      </c>
      <c r="W2076" s="13" t="s">
        <v>2351</v>
      </c>
      <c r="X2076" s="13" t="s">
        <v>1463</v>
      </c>
      <c r="Y2076" s="13" t="s">
        <v>1464</v>
      </c>
      <c r="Z2076" s="13" t="s">
        <v>2352</v>
      </c>
    </row>
    <row r="2077" spans="1:26">
      <c r="A2077" t="s">
        <v>412</v>
      </c>
      <c r="B2077" s="25">
        <f>+Municipios!P974</f>
        <v>67.747368445649997</v>
      </c>
      <c r="C2077" s="13">
        <v>13688</v>
      </c>
      <c r="D2077" s="13" t="s">
        <v>2353</v>
      </c>
      <c r="E2077" s="13" t="s">
        <v>480</v>
      </c>
      <c r="F2077" s="13" t="s">
        <v>481</v>
      </c>
      <c r="G2077" s="13" t="s">
        <v>2354</v>
      </c>
      <c r="K2077" t="s">
        <v>413</v>
      </c>
      <c r="L2077" s="81">
        <f>+Municipios!U974</f>
        <v>27.163775759305363</v>
      </c>
      <c r="M2077" s="13">
        <v>13688</v>
      </c>
      <c r="N2077" s="13" t="s">
        <v>2353</v>
      </c>
      <c r="O2077" s="13" t="s">
        <v>480</v>
      </c>
      <c r="P2077" s="13" t="s">
        <v>481</v>
      </c>
      <c r="Q2077" s="13" t="s">
        <v>2354</v>
      </c>
      <c r="T2077" t="s">
        <v>2804</v>
      </c>
      <c r="U2077" s="25">
        <f>+Municipios!P974</f>
        <v>67.747368445649997</v>
      </c>
      <c r="V2077" s="13">
        <v>13688</v>
      </c>
      <c r="W2077" s="13" t="s">
        <v>2353</v>
      </c>
      <c r="X2077" s="13" t="s">
        <v>480</v>
      </c>
      <c r="Y2077" s="13" t="s">
        <v>481</v>
      </c>
      <c r="Z2077" s="13" t="s">
        <v>2354</v>
      </c>
    </row>
    <row r="2078" spans="1:26">
      <c r="A2078" t="s">
        <v>412</v>
      </c>
      <c r="B2078" s="25">
        <f>+Municipios!P975</f>
        <v>54.262125760716835</v>
      </c>
      <c r="C2078" s="13">
        <v>15621</v>
      </c>
      <c r="D2078" s="13" t="s">
        <v>2355</v>
      </c>
      <c r="E2078" s="13" t="s">
        <v>498</v>
      </c>
      <c r="F2078" s="13" t="s">
        <v>499</v>
      </c>
      <c r="G2078" s="13" t="s">
        <v>2356</v>
      </c>
      <c r="K2078" t="s">
        <v>413</v>
      </c>
      <c r="L2078" s="81">
        <f>+Municipios!U975</f>
        <v>21.773410605038983</v>
      </c>
      <c r="M2078" s="13">
        <v>15621</v>
      </c>
      <c r="N2078" s="13" t="s">
        <v>2355</v>
      </c>
      <c r="O2078" s="13" t="s">
        <v>498</v>
      </c>
      <c r="P2078" s="13" t="s">
        <v>499</v>
      </c>
      <c r="Q2078" s="13" t="s">
        <v>2356</v>
      </c>
      <c r="T2078" t="s">
        <v>2804</v>
      </c>
      <c r="U2078" s="25">
        <f>+Municipios!P975</f>
        <v>54.262125760716835</v>
      </c>
      <c r="V2078" s="13">
        <v>15621</v>
      </c>
      <c r="W2078" s="13" t="s">
        <v>2355</v>
      </c>
      <c r="X2078" s="13" t="s">
        <v>498</v>
      </c>
      <c r="Y2078" s="13" t="s">
        <v>499</v>
      </c>
      <c r="Z2078" s="13" t="s">
        <v>2356</v>
      </c>
    </row>
    <row r="2079" spans="1:26">
      <c r="A2079" t="s">
        <v>412</v>
      </c>
      <c r="B2079" s="25">
        <f>+Municipios!P976</f>
        <v>62.201841887628682</v>
      </c>
      <c r="C2079" s="13">
        <v>52233</v>
      </c>
      <c r="D2079" s="13" t="s">
        <v>2357</v>
      </c>
      <c r="E2079" s="13" t="s">
        <v>672</v>
      </c>
      <c r="F2079" s="13" t="s">
        <v>673</v>
      </c>
      <c r="G2079" s="13" t="s">
        <v>2358</v>
      </c>
      <c r="K2079" t="s">
        <v>413</v>
      </c>
      <c r="L2079" s="81">
        <f>+Municipios!U976</f>
        <v>25.009854646976137</v>
      </c>
      <c r="M2079" s="13">
        <v>52233</v>
      </c>
      <c r="N2079" s="13" t="s">
        <v>2357</v>
      </c>
      <c r="O2079" s="13" t="s">
        <v>672</v>
      </c>
      <c r="P2079" s="13" t="s">
        <v>673</v>
      </c>
      <c r="Q2079" s="13" t="s">
        <v>2358</v>
      </c>
      <c r="T2079" t="s">
        <v>2804</v>
      </c>
      <c r="U2079" s="25">
        <f>+Municipios!P976</f>
        <v>62.201841887628682</v>
      </c>
      <c r="V2079" s="13">
        <v>52233</v>
      </c>
      <c r="W2079" s="13" t="s">
        <v>2357</v>
      </c>
      <c r="X2079" s="13" t="s">
        <v>672</v>
      </c>
      <c r="Y2079" s="13" t="s">
        <v>673</v>
      </c>
      <c r="Z2079" s="13" t="s">
        <v>2358</v>
      </c>
    </row>
    <row r="2080" spans="1:26">
      <c r="A2080" t="s">
        <v>412</v>
      </c>
      <c r="B2080" s="25">
        <f>+Municipios!P977</f>
        <v>58.715803339455334</v>
      </c>
      <c r="C2080" s="13">
        <v>68101</v>
      </c>
      <c r="D2080" s="13" t="s">
        <v>2359</v>
      </c>
      <c r="E2080" s="13" t="s">
        <v>431</v>
      </c>
      <c r="F2080" s="13" t="s">
        <v>432</v>
      </c>
      <c r="G2080" s="13" t="s">
        <v>481</v>
      </c>
      <c r="K2080" t="s">
        <v>413</v>
      </c>
      <c r="L2080" s="81">
        <f>+Municipios!U977</f>
        <v>23.564046197505224</v>
      </c>
      <c r="M2080" s="13">
        <v>68101</v>
      </c>
      <c r="N2080" s="13" t="s">
        <v>2359</v>
      </c>
      <c r="O2080" s="13" t="s">
        <v>431</v>
      </c>
      <c r="P2080" s="13" t="s">
        <v>432</v>
      </c>
      <c r="Q2080" s="13" t="s">
        <v>481</v>
      </c>
      <c r="T2080" t="s">
        <v>2804</v>
      </c>
      <c r="U2080" s="25">
        <f>+Municipios!P977</f>
        <v>58.715803339455334</v>
      </c>
      <c r="V2080" s="13">
        <v>68101</v>
      </c>
      <c r="W2080" s="13" t="s">
        <v>2359</v>
      </c>
      <c r="X2080" s="13" t="s">
        <v>431</v>
      </c>
      <c r="Y2080" s="13" t="s">
        <v>432</v>
      </c>
      <c r="Z2080" s="13" t="s">
        <v>481</v>
      </c>
    </row>
    <row r="2081" spans="1:26">
      <c r="A2081" t="s">
        <v>412</v>
      </c>
      <c r="B2081" s="25">
        <f>+Municipios!P978</f>
        <v>58.698174962423224</v>
      </c>
      <c r="C2081" s="13">
        <v>68573</v>
      </c>
      <c r="D2081" s="13" t="s">
        <v>2360</v>
      </c>
      <c r="E2081" s="13" t="s">
        <v>431</v>
      </c>
      <c r="F2081" s="13" t="s">
        <v>432</v>
      </c>
      <c r="G2081" s="13" t="s">
        <v>2361</v>
      </c>
      <c r="K2081" t="s">
        <v>413</v>
      </c>
      <c r="L2081" s="81">
        <f>+Municipios!U978</f>
        <v>24.211457339247019</v>
      </c>
      <c r="M2081" s="13">
        <v>68573</v>
      </c>
      <c r="N2081" s="13" t="s">
        <v>2360</v>
      </c>
      <c r="O2081" s="13" t="s">
        <v>431</v>
      </c>
      <c r="P2081" s="13" t="s">
        <v>432</v>
      </c>
      <c r="Q2081" s="13" t="s">
        <v>2361</v>
      </c>
      <c r="T2081" t="s">
        <v>2804</v>
      </c>
      <c r="U2081" s="25">
        <f>+Municipios!P978</f>
        <v>58.698174962423224</v>
      </c>
      <c r="V2081" s="13">
        <v>68573</v>
      </c>
      <c r="W2081" s="13" t="s">
        <v>2360</v>
      </c>
      <c r="X2081" s="13" t="s">
        <v>431</v>
      </c>
      <c r="Y2081" s="13" t="s">
        <v>432</v>
      </c>
      <c r="Z2081" s="13" t="s">
        <v>2361</v>
      </c>
    </row>
    <row r="2082" spans="1:26">
      <c r="A2082" t="s">
        <v>412</v>
      </c>
      <c r="B2082" s="25">
        <f>+Municipios!P979</f>
        <v>54.844201415300773</v>
      </c>
      <c r="C2082" s="13">
        <v>54820</v>
      </c>
      <c r="D2082" s="13" t="s">
        <v>2362</v>
      </c>
      <c r="E2082" s="13" t="s">
        <v>517</v>
      </c>
      <c r="F2082" s="13" t="s">
        <v>518</v>
      </c>
      <c r="G2082" s="13" t="s">
        <v>1666</v>
      </c>
      <c r="K2082" t="s">
        <v>413</v>
      </c>
      <c r="L2082" s="81">
        <f>+Municipios!U979</f>
        <v>22.123263252952995</v>
      </c>
      <c r="M2082" s="13">
        <v>54820</v>
      </c>
      <c r="N2082" s="13" t="s">
        <v>2362</v>
      </c>
      <c r="O2082" s="13" t="s">
        <v>517</v>
      </c>
      <c r="P2082" s="13" t="s">
        <v>518</v>
      </c>
      <c r="Q2082" s="13" t="s">
        <v>1666</v>
      </c>
      <c r="T2082" t="s">
        <v>2804</v>
      </c>
      <c r="U2082" s="25">
        <f>+Municipios!P979</f>
        <v>54.844201415300773</v>
      </c>
      <c r="V2082" s="13">
        <v>54820</v>
      </c>
      <c r="W2082" s="13" t="s">
        <v>2362</v>
      </c>
      <c r="X2082" s="13" t="s">
        <v>517</v>
      </c>
      <c r="Y2082" s="13" t="s">
        <v>518</v>
      </c>
      <c r="Z2082" s="13" t="s">
        <v>1666</v>
      </c>
    </row>
    <row r="2083" spans="1:26">
      <c r="A2083" t="s">
        <v>412</v>
      </c>
      <c r="B2083" s="25">
        <f>+Municipios!P980</f>
        <v>55.206704369480569</v>
      </c>
      <c r="C2083" s="13">
        <v>73461</v>
      </c>
      <c r="D2083" s="13" t="s">
        <v>2363</v>
      </c>
      <c r="E2083" s="13" t="s">
        <v>595</v>
      </c>
      <c r="F2083" s="13" t="s">
        <v>596</v>
      </c>
      <c r="G2083" s="13" t="s">
        <v>2364</v>
      </c>
      <c r="K2083" t="s">
        <v>413</v>
      </c>
      <c r="L2083" s="81">
        <f>+Municipios!U980</f>
        <v>22.056718347179071</v>
      </c>
      <c r="M2083" s="13">
        <v>73461</v>
      </c>
      <c r="N2083" s="13" t="s">
        <v>2363</v>
      </c>
      <c r="O2083" s="13" t="s">
        <v>595</v>
      </c>
      <c r="P2083" s="13" t="s">
        <v>596</v>
      </c>
      <c r="Q2083" s="13" t="s">
        <v>2364</v>
      </c>
      <c r="T2083" t="s">
        <v>2804</v>
      </c>
      <c r="U2083" s="25">
        <f>+Municipios!P980</f>
        <v>55.206704369480569</v>
      </c>
      <c r="V2083" s="13">
        <v>73461</v>
      </c>
      <c r="W2083" s="13" t="s">
        <v>2363</v>
      </c>
      <c r="X2083" s="13" t="s">
        <v>595</v>
      </c>
      <c r="Y2083" s="13" t="s">
        <v>596</v>
      </c>
      <c r="Z2083" s="13" t="s">
        <v>2364</v>
      </c>
    </row>
    <row r="2084" spans="1:26">
      <c r="A2084" t="s">
        <v>412</v>
      </c>
      <c r="B2084" s="25">
        <f>+Municipios!P981</f>
        <v>59.163964084771138</v>
      </c>
      <c r="C2084" s="13">
        <v>25293</v>
      </c>
      <c r="D2084" s="13" t="s">
        <v>2365</v>
      </c>
      <c r="E2084" s="13" t="s">
        <v>461</v>
      </c>
      <c r="F2084" s="13" t="s">
        <v>462</v>
      </c>
      <c r="G2084" s="13" t="s">
        <v>2366</v>
      </c>
      <c r="K2084" t="s">
        <v>413</v>
      </c>
      <c r="L2084" s="81">
        <f>+Municipios!U981</f>
        <v>23.388831411974735</v>
      </c>
      <c r="M2084" s="13">
        <v>25293</v>
      </c>
      <c r="N2084" s="13" t="s">
        <v>2365</v>
      </c>
      <c r="O2084" s="13" t="s">
        <v>461</v>
      </c>
      <c r="P2084" s="13" t="s">
        <v>462</v>
      </c>
      <c r="Q2084" s="13" t="s">
        <v>2366</v>
      </c>
      <c r="T2084" t="s">
        <v>2804</v>
      </c>
      <c r="U2084" s="25">
        <f>+Municipios!P981</f>
        <v>59.163964084771138</v>
      </c>
      <c r="V2084" s="13">
        <v>25293</v>
      </c>
      <c r="W2084" s="13" t="s">
        <v>2365</v>
      </c>
      <c r="X2084" s="13" t="s">
        <v>461</v>
      </c>
      <c r="Y2084" s="13" t="s">
        <v>462</v>
      </c>
      <c r="Z2084" s="13" t="s">
        <v>2366</v>
      </c>
    </row>
    <row r="2085" spans="1:26">
      <c r="A2085" t="s">
        <v>412</v>
      </c>
      <c r="B2085" s="25">
        <f>+Municipios!P982</f>
        <v>51.38164043781893</v>
      </c>
      <c r="C2085" s="13">
        <v>15667</v>
      </c>
      <c r="D2085" s="13" t="s">
        <v>2367</v>
      </c>
      <c r="E2085" s="13" t="s">
        <v>498</v>
      </c>
      <c r="F2085" s="13" t="s">
        <v>499</v>
      </c>
      <c r="G2085" s="13" t="s">
        <v>2368</v>
      </c>
      <c r="K2085" t="s">
        <v>413</v>
      </c>
      <c r="L2085" s="81">
        <f>+Municipios!U982</f>
        <v>20.254164365420394</v>
      </c>
      <c r="M2085" s="13">
        <v>15667</v>
      </c>
      <c r="N2085" s="13" t="s">
        <v>2367</v>
      </c>
      <c r="O2085" s="13" t="s">
        <v>498</v>
      </c>
      <c r="P2085" s="13" t="s">
        <v>499</v>
      </c>
      <c r="Q2085" s="13" t="s">
        <v>2368</v>
      </c>
      <c r="T2085" t="s">
        <v>2804</v>
      </c>
      <c r="U2085" s="25">
        <f>+Municipios!P982</f>
        <v>51.38164043781893</v>
      </c>
      <c r="V2085" s="13">
        <v>15667</v>
      </c>
      <c r="W2085" s="13" t="s">
        <v>2367</v>
      </c>
      <c r="X2085" s="13" t="s">
        <v>498</v>
      </c>
      <c r="Y2085" s="13" t="s">
        <v>499</v>
      </c>
      <c r="Z2085" s="13" t="s">
        <v>2368</v>
      </c>
    </row>
    <row r="2086" spans="1:26">
      <c r="A2086" t="s">
        <v>412</v>
      </c>
      <c r="B2086" s="25">
        <f>+Municipios!P983</f>
        <v>60.210316069791752</v>
      </c>
      <c r="C2086" s="13">
        <v>25530</v>
      </c>
      <c r="D2086" s="13" t="s">
        <v>2369</v>
      </c>
      <c r="E2086" s="13" t="s">
        <v>461</v>
      </c>
      <c r="F2086" s="13" t="s">
        <v>462</v>
      </c>
      <c r="G2086" s="13" t="s">
        <v>2370</v>
      </c>
      <c r="K2086" t="s">
        <v>413</v>
      </c>
      <c r="L2086" s="81">
        <f>+Municipios!U983</f>
        <v>23.14009806245345</v>
      </c>
      <c r="M2086" s="13">
        <v>25530</v>
      </c>
      <c r="N2086" s="13" t="s">
        <v>2369</v>
      </c>
      <c r="O2086" s="13" t="s">
        <v>461</v>
      </c>
      <c r="P2086" s="13" t="s">
        <v>462</v>
      </c>
      <c r="Q2086" s="13" t="s">
        <v>2370</v>
      </c>
      <c r="T2086" t="s">
        <v>2804</v>
      </c>
      <c r="U2086" s="25">
        <f>+Municipios!P983</f>
        <v>60.210316069791752</v>
      </c>
      <c r="V2086" s="13">
        <v>25530</v>
      </c>
      <c r="W2086" s="13" t="s">
        <v>2369</v>
      </c>
      <c r="X2086" s="13" t="s">
        <v>461</v>
      </c>
      <c r="Y2086" s="13" t="s">
        <v>462</v>
      </c>
      <c r="Z2086" s="13" t="s">
        <v>2370</v>
      </c>
    </row>
    <row r="2087" spans="1:26">
      <c r="A2087" t="s">
        <v>412</v>
      </c>
      <c r="B2087" s="25">
        <f>+Municipios!P984</f>
        <v>54.032772895011945</v>
      </c>
      <c r="C2087" s="13">
        <v>54174</v>
      </c>
      <c r="D2087" s="13" t="s">
        <v>2371</v>
      </c>
      <c r="E2087" s="13" t="s">
        <v>517</v>
      </c>
      <c r="F2087" s="13" t="s">
        <v>518</v>
      </c>
      <c r="G2087" s="13" t="s">
        <v>2372</v>
      </c>
      <c r="K2087" t="s">
        <v>413</v>
      </c>
      <c r="L2087" s="81">
        <f>+Municipios!U984</f>
        <v>21.69132311349702</v>
      </c>
      <c r="M2087" s="13">
        <v>54174</v>
      </c>
      <c r="N2087" s="13" t="s">
        <v>2371</v>
      </c>
      <c r="O2087" s="13" t="s">
        <v>517</v>
      </c>
      <c r="P2087" s="13" t="s">
        <v>518</v>
      </c>
      <c r="Q2087" s="13" t="s">
        <v>2372</v>
      </c>
      <c r="T2087" t="s">
        <v>2804</v>
      </c>
      <c r="U2087" s="25">
        <f>+Municipios!P984</f>
        <v>54.032772895011945</v>
      </c>
      <c r="V2087" s="13">
        <v>54174</v>
      </c>
      <c r="W2087" s="13" t="s">
        <v>2371</v>
      </c>
      <c r="X2087" s="13" t="s">
        <v>517</v>
      </c>
      <c r="Y2087" s="13" t="s">
        <v>518</v>
      </c>
      <c r="Z2087" s="13" t="s">
        <v>2372</v>
      </c>
    </row>
    <row r="2088" spans="1:26">
      <c r="A2088" t="s">
        <v>412</v>
      </c>
      <c r="B2088" s="25">
        <f>+Municipios!P985</f>
        <v>64.48065286452983</v>
      </c>
      <c r="C2088" s="13">
        <v>41078</v>
      </c>
      <c r="D2088" s="13" t="s">
        <v>2373</v>
      </c>
      <c r="E2088" s="13" t="s">
        <v>676</v>
      </c>
      <c r="F2088" s="13" t="s">
        <v>677</v>
      </c>
      <c r="G2088" s="13" t="s">
        <v>2374</v>
      </c>
      <c r="K2088" t="s">
        <v>413</v>
      </c>
      <c r="L2088" s="81">
        <f>+Municipios!U985</f>
        <v>25.495298788749366</v>
      </c>
      <c r="M2088" s="13">
        <v>41078</v>
      </c>
      <c r="N2088" s="13" t="s">
        <v>2373</v>
      </c>
      <c r="O2088" s="13" t="s">
        <v>676</v>
      </c>
      <c r="P2088" s="13" t="s">
        <v>677</v>
      </c>
      <c r="Q2088" s="13" t="s">
        <v>2374</v>
      </c>
      <c r="T2088" t="s">
        <v>2804</v>
      </c>
      <c r="U2088" s="25">
        <f>+Municipios!P985</f>
        <v>64.48065286452983</v>
      </c>
      <c r="V2088" s="13">
        <v>41078</v>
      </c>
      <c r="W2088" s="13" t="s">
        <v>2373</v>
      </c>
      <c r="X2088" s="13" t="s">
        <v>676</v>
      </c>
      <c r="Y2088" s="13" t="s">
        <v>677</v>
      </c>
      <c r="Z2088" s="13" t="s">
        <v>2374</v>
      </c>
    </row>
    <row r="2089" spans="1:26">
      <c r="A2089" t="s">
        <v>412</v>
      </c>
      <c r="B2089" s="25">
        <f>+Municipios!P986</f>
        <v>41.563734083817124</v>
      </c>
      <c r="C2089" s="13">
        <v>27413</v>
      </c>
      <c r="D2089" s="13" t="s">
        <v>2375</v>
      </c>
      <c r="E2089" s="13" t="s">
        <v>1714</v>
      </c>
      <c r="F2089" s="13" t="s">
        <v>1715</v>
      </c>
      <c r="G2089" s="13" t="s">
        <v>2376</v>
      </c>
      <c r="K2089" t="s">
        <v>413</v>
      </c>
      <c r="L2089" s="81">
        <f>+Municipios!U986</f>
        <v>16.628665380238267</v>
      </c>
      <c r="M2089" s="13">
        <v>27413</v>
      </c>
      <c r="N2089" s="13" t="s">
        <v>2375</v>
      </c>
      <c r="O2089" s="13" t="s">
        <v>1714</v>
      </c>
      <c r="P2089" s="13" t="s">
        <v>1715</v>
      </c>
      <c r="Q2089" s="13" t="s">
        <v>2376</v>
      </c>
      <c r="T2089" t="s">
        <v>2804</v>
      </c>
      <c r="U2089" s="25">
        <f>+Municipios!P986</f>
        <v>41.563734083817124</v>
      </c>
      <c r="V2089" s="13">
        <v>27413</v>
      </c>
      <c r="W2089" s="13" t="s">
        <v>2375</v>
      </c>
      <c r="X2089" s="13" t="s">
        <v>1714</v>
      </c>
      <c r="Y2089" s="13" t="s">
        <v>1715</v>
      </c>
      <c r="Z2089" s="13" t="s">
        <v>2376</v>
      </c>
    </row>
    <row r="2090" spans="1:26">
      <c r="A2090" t="s">
        <v>412</v>
      </c>
      <c r="B2090" s="25">
        <f>+Municipios!P987</f>
        <v>63.737263610593921</v>
      </c>
      <c r="C2090" s="13">
        <v>15690</v>
      </c>
      <c r="D2090" s="13" t="s">
        <v>2377</v>
      </c>
      <c r="E2090" s="13" t="s">
        <v>498</v>
      </c>
      <c r="F2090" s="13" t="s">
        <v>499</v>
      </c>
      <c r="G2090" s="13" t="s">
        <v>1894</v>
      </c>
      <c r="K2090" t="s">
        <v>413</v>
      </c>
      <c r="L2090" s="81">
        <f>+Municipios!U987</f>
        <v>25.313538222077334</v>
      </c>
      <c r="M2090" s="13">
        <v>15690</v>
      </c>
      <c r="N2090" s="13" t="s">
        <v>2377</v>
      </c>
      <c r="O2090" s="13" t="s">
        <v>498</v>
      </c>
      <c r="P2090" s="13" t="s">
        <v>499</v>
      </c>
      <c r="Q2090" s="13" t="s">
        <v>1894</v>
      </c>
      <c r="T2090" t="s">
        <v>2804</v>
      </c>
      <c r="U2090" s="25">
        <f>+Municipios!P987</f>
        <v>63.737263610593921</v>
      </c>
      <c r="V2090" s="13">
        <v>15690</v>
      </c>
      <c r="W2090" s="13" t="s">
        <v>2377</v>
      </c>
      <c r="X2090" s="13" t="s">
        <v>498</v>
      </c>
      <c r="Y2090" s="13" t="s">
        <v>499</v>
      </c>
      <c r="Z2090" s="13" t="s">
        <v>1894</v>
      </c>
    </row>
    <row r="2091" spans="1:26">
      <c r="A2091" t="s">
        <v>412</v>
      </c>
      <c r="B2091" s="25">
        <f>+Municipios!P988</f>
        <v>58.3208361773371</v>
      </c>
      <c r="C2091" s="13">
        <v>81001</v>
      </c>
      <c r="D2091" s="13" t="s">
        <v>2378</v>
      </c>
      <c r="E2091" s="13" t="s">
        <v>1568</v>
      </c>
      <c r="F2091" s="13" t="s">
        <v>1569</v>
      </c>
      <c r="G2091" s="13" t="s">
        <v>1569</v>
      </c>
      <c r="K2091" t="s">
        <v>413</v>
      </c>
      <c r="L2091" s="81">
        <f>+Municipios!U988</f>
        <v>22.866457302665275</v>
      </c>
      <c r="M2091" s="13">
        <v>81001</v>
      </c>
      <c r="N2091" s="13" t="s">
        <v>2378</v>
      </c>
      <c r="O2091" s="13" t="s">
        <v>1568</v>
      </c>
      <c r="P2091" s="13" t="s">
        <v>1569</v>
      </c>
      <c r="Q2091" s="13" t="s">
        <v>1569</v>
      </c>
      <c r="T2091" t="s">
        <v>2804</v>
      </c>
      <c r="U2091" s="25">
        <f>+Municipios!P988</f>
        <v>58.3208361773371</v>
      </c>
      <c r="V2091" s="13">
        <v>81001</v>
      </c>
      <c r="W2091" s="13" t="s">
        <v>2378</v>
      </c>
      <c r="X2091" s="13" t="s">
        <v>1568</v>
      </c>
      <c r="Y2091" s="13" t="s">
        <v>1569</v>
      </c>
      <c r="Z2091" s="13" t="s">
        <v>1569</v>
      </c>
    </row>
    <row r="2092" spans="1:26">
      <c r="A2092" t="s">
        <v>412</v>
      </c>
      <c r="B2092" s="25">
        <f>+Municipios!P989</f>
        <v>40.552527293605522</v>
      </c>
      <c r="C2092" s="13">
        <v>5004</v>
      </c>
      <c r="D2092" s="13" t="s">
        <v>2379</v>
      </c>
      <c r="E2092" s="13" t="s">
        <v>435</v>
      </c>
      <c r="F2092" s="13" t="s">
        <v>436</v>
      </c>
      <c r="G2092" s="13" t="s">
        <v>2380</v>
      </c>
      <c r="K2092" t="s">
        <v>413</v>
      </c>
      <c r="L2092" s="81">
        <f>+Municipios!U989</f>
        <v>16.216073427170464</v>
      </c>
      <c r="M2092" s="13">
        <v>5004</v>
      </c>
      <c r="N2092" s="13" t="s">
        <v>2379</v>
      </c>
      <c r="O2092" s="13" t="s">
        <v>435</v>
      </c>
      <c r="P2092" s="13" t="s">
        <v>436</v>
      </c>
      <c r="Q2092" s="13" t="s">
        <v>2380</v>
      </c>
      <c r="T2092" t="s">
        <v>2804</v>
      </c>
      <c r="U2092" s="25">
        <f>+Municipios!P989</f>
        <v>40.552527293605522</v>
      </c>
      <c r="V2092" s="13">
        <v>5004</v>
      </c>
      <c r="W2092" s="13" t="s">
        <v>2379</v>
      </c>
      <c r="X2092" s="13" t="s">
        <v>435</v>
      </c>
      <c r="Y2092" s="13" t="s">
        <v>436</v>
      </c>
      <c r="Z2092" s="13" t="s">
        <v>2380</v>
      </c>
    </row>
    <row r="2093" spans="1:26">
      <c r="A2093" t="s">
        <v>412</v>
      </c>
      <c r="B2093" s="25">
        <f>+Municipios!P990</f>
        <v>70.743460385492597</v>
      </c>
      <c r="C2093" s="13">
        <v>27600</v>
      </c>
      <c r="D2093" s="13" t="s">
        <v>2381</v>
      </c>
      <c r="E2093" s="13" t="s">
        <v>1714</v>
      </c>
      <c r="F2093" s="13" t="s">
        <v>1715</v>
      </c>
      <c r="G2093" s="13" t="s">
        <v>2382</v>
      </c>
      <c r="K2093" t="s">
        <v>413</v>
      </c>
      <c r="L2093" s="81">
        <f>+Municipios!U990</f>
        <v>27.770802746452883</v>
      </c>
      <c r="M2093" s="13">
        <v>27600</v>
      </c>
      <c r="N2093" s="13" t="s">
        <v>2381</v>
      </c>
      <c r="O2093" s="13" t="s">
        <v>1714</v>
      </c>
      <c r="P2093" s="13" t="s">
        <v>1715</v>
      </c>
      <c r="Q2093" s="13" t="s">
        <v>2382</v>
      </c>
      <c r="T2093" t="s">
        <v>2804</v>
      </c>
      <c r="U2093" s="25">
        <f>+Municipios!P990</f>
        <v>70.743460385492597</v>
      </c>
      <c r="V2093" s="13">
        <v>27600</v>
      </c>
      <c r="W2093" s="13" t="s">
        <v>2381</v>
      </c>
      <c r="X2093" s="13" t="s">
        <v>1714</v>
      </c>
      <c r="Y2093" s="13" t="s">
        <v>1715</v>
      </c>
      <c r="Z2093" s="13" t="s">
        <v>2382</v>
      </c>
    </row>
    <row r="2094" spans="1:26">
      <c r="A2094" t="s">
        <v>412</v>
      </c>
      <c r="B2094" s="25">
        <f>+Municipios!P991</f>
        <v>60.120102623845696</v>
      </c>
      <c r="C2094" s="13">
        <v>15755</v>
      </c>
      <c r="D2094" s="13" t="s">
        <v>2383</v>
      </c>
      <c r="E2094" s="13" t="s">
        <v>498</v>
      </c>
      <c r="F2094" s="13" t="s">
        <v>499</v>
      </c>
      <c r="G2094" s="13" t="s">
        <v>2384</v>
      </c>
      <c r="K2094" t="s">
        <v>413</v>
      </c>
      <c r="L2094" s="81">
        <f>+Municipios!U991</f>
        <v>23.682357030511149</v>
      </c>
      <c r="M2094" s="13">
        <v>15755</v>
      </c>
      <c r="N2094" s="13" t="s">
        <v>2383</v>
      </c>
      <c r="O2094" s="13" t="s">
        <v>498</v>
      </c>
      <c r="P2094" s="13" t="s">
        <v>499</v>
      </c>
      <c r="Q2094" s="13" t="s">
        <v>2384</v>
      </c>
      <c r="T2094" t="s">
        <v>2804</v>
      </c>
      <c r="U2094" s="25">
        <f>+Municipios!P991</f>
        <v>60.120102623845696</v>
      </c>
      <c r="V2094" s="13">
        <v>15755</v>
      </c>
      <c r="W2094" s="13" t="s">
        <v>2383</v>
      </c>
      <c r="X2094" s="13" t="s">
        <v>498</v>
      </c>
      <c r="Y2094" s="13" t="s">
        <v>499</v>
      </c>
      <c r="Z2094" s="13" t="s">
        <v>2384</v>
      </c>
    </row>
    <row r="2095" spans="1:26">
      <c r="A2095" t="s">
        <v>412</v>
      </c>
      <c r="B2095" s="25">
        <f>+Municipios!P992</f>
        <v>58.979039660780373</v>
      </c>
      <c r="C2095" s="13">
        <v>73616</v>
      </c>
      <c r="D2095" s="13" t="s">
        <v>2385</v>
      </c>
      <c r="E2095" s="13" t="s">
        <v>595</v>
      </c>
      <c r="F2095" s="13" t="s">
        <v>596</v>
      </c>
      <c r="G2095" s="13" t="s">
        <v>2386</v>
      </c>
      <c r="K2095" t="s">
        <v>413</v>
      </c>
      <c r="L2095" s="81">
        <f>+Municipios!U992</f>
        <v>23.339637168169126</v>
      </c>
      <c r="M2095" s="13">
        <v>73616</v>
      </c>
      <c r="N2095" s="13" t="s">
        <v>2385</v>
      </c>
      <c r="O2095" s="13" t="s">
        <v>595</v>
      </c>
      <c r="P2095" s="13" t="s">
        <v>596</v>
      </c>
      <c r="Q2095" s="13" t="s">
        <v>2386</v>
      </c>
      <c r="T2095" t="s">
        <v>2804</v>
      </c>
      <c r="U2095" s="25">
        <f>+Municipios!P992</f>
        <v>58.979039660780373</v>
      </c>
      <c r="V2095" s="13">
        <v>73616</v>
      </c>
      <c r="W2095" s="13" t="s">
        <v>2385</v>
      </c>
      <c r="X2095" s="13" t="s">
        <v>595</v>
      </c>
      <c r="Y2095" s="13" t="s">
        <v>596</v>
      </c>
      <c r="Z2095" s="13" t="s">
        <v>2386</v>
      </c>
    </row>
    <row r="2096" spans="1:26">
      <c r="A2096" t="s">
        <v>412</v>
      </c>
      <c r="B2096" s="25">
        <f>+Municipios!P993</f>
        <v>64.797250625986095</v>
      </c>
      <c r="C2096" s="13">
        <v>27075</v>
      </c>
      <c r="D2096" s="13" t="s">
        <v>2387</v>
      </c>
      <c r="E2096" s="13" t="s">
        <v>1714</v>
      </c>
      <c r="F2096" s="13" t="s">
        <v>1715</v>
      </c>
      <c r="G2096" s="13" t="s">
        <v>2388</v>
      </c>
      <c r="K2096" t="s">
        <v>413</v>
      </c>
      <c r="L2096" s="81">
        <f>+Municipios!U993</f>
        <v>25.296188059826424</v>
      </c>
      <c r="M2096" s="13">
        <v>27075</v>
      </c>
      <c r="N2096" s="13" t="s">
        <v>2387</v>
      </c>
      <c r="O2096" s="13" t="s">
        <v>1714</v>
      </c>
      <c r="P2096" s="13" t="s">
        <v>1715</v>
      </c>
      <c r="Q2096" s="13" t="s">
        <v>2388</v>
      </c>
      <c r="T2096" t="s">
        <v>2804</v>
      </c>
      <c r="U2096" s="25">
        <f>+Municipios!P993</f>
        <v>64.797250625986095</v>
      </c>
      <c r="V2096" s="13">
        <v>27075</v>
      </c>
      <c r="W2096" s="13" t="s">
        <v>2387</v>
      </c>
      <c r="X2096" s="13" t="s">
        <v>1714</v>
      </c>
      <c r="Y2096" s="13" t="s">
        <v>1715</v>
      </c>
      <c r="Z2096" s="13" t="s">
        <v>2388</v>
      </c>
    </row>
    <row r="2097" spans="1:26">
      <c r="A2097" t="s">
        <v>412</v>
      </c>
      <c r="B2097" s="25">
        <f>+Municipios!P994</f>
        <v>69.418392403008582</v>
      </c>
      <c r="C2097" s="13">
        <v>85410</v>
      </c>
      <c r="D2097" s="13" t="s">
        <v>2389</v>
      </c>
      <c r="E2097" s="13" t="s">
        <v>1351</v>
      </c>
      <c r="F2097" s="13" t="s">
        <v>1352</v>
      </c>
      <c r="G2097" s="13" t="s">
        <v>2390</v>
      </c>
      <c r="K2097" t="s">
        <v>413</v>
      </c>
      <c r="L2097" s="81">
        <f>+Municipios!U994</f>
        <v>27.046658963339087</v>
      </c>
      <c r="M2097" s="13">
        <v>85410</v>
      </c>
      <c r="N2097" s="13" t="s">
        <v>2389</v>
      </c>
      <c r="O2097" s="13" t="s">
        <v>1351</v>
      </c>
      <c r="P2097" s="13" t="s">
        <v>1352</v>
      </c>
      <c r="Q2097" s="13" t="s">
        <v>2390</v>
      </c>
      <c r="T2097" t="s">
        <v>2804</v>
      </c>
      <c r="U2097" s="25">
        <f>+Municipios!P994</f>
        <v>69.418392403008582</v>
      </c>
      <c r="V2097" s="13">
        <v>85410</v>
      </c>
      <c r="W2097" s="13" t="s">
        <v>2389</v>
      </c>
      <c r="X2097" s="13" t="s">
        <v>1351</v>
      </c>
      <c r="Y2097" s="13" t="s">
        <v>1352</v>
      </c>
      <c r="Z2097" s="13" t="s">
        <v>2390</v>
      </c>
    </row>
    <row r="2098" spans="1:26">
      <c r="A2098" t="s">
        <v>412</v>
      </c>
      <c r="B2098" s="25">
        <f>+Municipios!P995</f>
        <v>58.5867985446841</v>
      </c>
      <c r="C2098" s="13">
        <v>15183</v>
      </c>
      <c r="D2098" s="13" t="s">
        <v>2391</v>
      </c>
      <c r="E2098" s="13" t="s">
        <v>498</v>
      </c>
      <c r="F2098" s="13" t="s">
        <v>499</v>
      </c>
      <c r="G2098" s="13" t="s">
        <v>2392</v>
      </c>
      <c r="K2098" t="s">
        <v>413</v>
      </c>
      <c r="L2098" s="81">
        <f>+Municipios!U995</f>
        <v>22.840092683473735</v>
      </c>
      <c r="M2098" s="13">
        <v>15183</v>
      </c>
      <c r="N2098" s="13" t="s">
        <v>2391</v>
      </c>
      <c r="O2098" s="13" t="s">
        <v>498</v>
      </c>
      <c r="P2098" s="13" t="s">
        <v>499</v>
      </c>
      <c r="Q2098" s="13" t="s">
        <v>2392</v>
      </c>
      <c r="T2098" t="s">
        <v>2804</v>
      </c>
      <c r="U2098" s="25">
        <f>+Municipios!P995</f>
        <v>58.5867985446841</v>
      </c>
      <c r="V2098" s="13">
        <v>15183</v>
      </c>
      <c r="W2098" s="13" t="s">
        <v>2391</v>
      </c>
      <c r="X2098" s="13" t="s">
        <v>498</v>
      </c>
      <c r="Y2098" s="13" t="s">
        <v>499</v>
      </c>
      <c r="Z2098" s="13" t="s">
        <v>2392</v>
      </c>
    </row>
    <row r="2099" spans="1:26">
      <c r="A2099" t="s">
        <v>412</v>
      </c>
      <c r="B2099" s="25">
        <f>+Municipios!P996</f>
        <v>58.462627884801918</v>
      </c>
      <c r="C2099" s="13">
        <v>27430</v>
      </c>
      <c r="D2099" s="13" t="s">
        <v>2393</v>
      </c>
      <c r="E2099" s="13" t="s">
        <v>1714</v>
      </c>
      <c r="F2099" s="13" t="s">
        <v>1715</v>
      </c>
      <c r="G2099" s="13" t="s">
        <v>2394</v>
      </c>
      <c r="K2099" t="s">
        <v>413</v>
      </c>
      <c r="L2099" s="81">
        <f>+Municipios!U996</f>
        <v>22.861054953164178</v>
      </c>
      <c r="M2099" s="13">
        <v>27430</v>
      </c>
      <c r="N2099" s="13" t="s">
        <v>2393</v>
      </c>
      <c r="O2099" s="13" t="s">
        <v>1714</v>
      </c>
      <c r="P2099" s="13" t="s">
        <v>1715</v>
      </c>
      <c r="Q2099" s="13" t="s">
        <v>2394</v>
      </c>
      <c r="T2099" t="s">
        <v>2804</v>
      </c>
      <c r="U2099" s="25">
        <f>+Municipios!P996</f>
        <v>58.462627884801918</v>
      </c>
      <c r="V2099" s="13">
        <v>27430</v>
      </c>
      <c r="W2099" s="13" t="s">
        <v>2393</v>
      </c>
      <c r="X2099" s="13" t="s">
        <v>1714</v>
      </c>
      <c r="Y2099" s="13" t="s">
        <v>1715</v>
      </c>
      <c r="Z2099" s="13" t="s">
        <v>2394</v>
      </c>
    </row>
    <row r="2100" spans="1:26">
      <c r="A2100" t="s">
        <v>412</v>
      </c>
      <c r="B2100" s="25">
        <f>+Municipios!P997</f>
        <v>50.744485164209429</v>
      </c>
      <c r="C2100" s="13">
        <v>73024</v>
      </c>
      <c r="D2100" s="13" t="s">
        <v>2395</v>
      </c>
      <c r="E2100" s="13" t="s">
        <v>595</v>
      </c>
      <c r="F2100" s="13" t="s">
        <v>596</v>
      </c>
      <c r="G2100" s="13" t="s">
        <v>2396</v>
      </c>
      <c r="K2100" t="s">
        <v>413</v>
      </c>
      <c r="L2100" s="81">
        <f>+Municipios!U997</f>
        <v>19.83912288379549</v>
      </c>
      <c r="M2100" s="13">
        <v>73024</v>
      </c>
      <c r="N2100" s="13" t="s">
        <v>2395</v>
      </c>
      <c r="O2100" s="13" t="s">
        <v>595</v>
      </c>
      <c r="P2100" s="13" t="s">
        <v>596</v>
      </c>
      <c r="Q2100" s="13" t="s">
        <v>2396</v>
      </c>
      <c r="T2100" t="s">
        <v>2804</v>
      </c>
      <c r="U2100" s="25">
        <f>+Municipios!P997</f>
        <v>50.744485164209429</v>
      </c>
      <c r="V2100" s="13">
        <v>73024</v>
      </c>
      <c r="W2100" s="13" t="s">
        <v>2395</v>
      </c>
      <c r="X2100" s="13" t="s">
        <v>595</v>
      </c>
      <c r="Y2100" s="13" t="s">
        <v>596</v>
      </c>
      <c r="Z2100" s="13" t="s">
        <v>2396</v>
      </c>
    </row>
    <row r="2101" spans="1:26">
      <c r="A2101" t="s">
        <v>412</v>
      </c>
      <c r="B2101" s="25">
        <f>+Municipios!P998</f>
        <v>51.456754624243246</v>
      </c>
      <c r="C2101" s="13">
        <v>52427</v>
      </c>
      <c r="D2101" s="13" t="s">
        <v>2397</v>
      </c>
      <c r="E2101" s="13" t="s">
        <v>672</v>
      </c>
      <c r="F2101" s="13" t="s">
        <v>673</v>
      </c>
      <c r="G2101" s="13" t="s">
        <v>2398</v>
      </c>
      <c r="K2101" t="s">
        <v>413</v>
      </c>
      <c r="L2101" s="81">
        <f>+Municipios!U998</f>
        <v>20.209636145240268</v>
      </c>
      <c r="M2101" s="13">
        <v>52427</v>
      </c>
      <c r="N2101" s="13" t="s">
        <v>2397</v>
      </c>
      <c r="O2101" s="13" t="s">
        <v>672</v>
      </c>
      <c r="P2101" s="13" t="s">
        <v>673</v>
      </c>
      <c r="Q2101" s="13" t="s">
        <v>2398</v>
      </c>
      <c r="T2101" t="s">
        <v>2804</v>
      </c>
      <c r="U2101" s="25">
        <f>+Municipios!P998</f>
        <v>51.456754624243246</v>
      </c>
      <c r="V2101" s="13">
        <v>52427</v>
      </c>
      <c r="W2101" s="13" t="s">
        <v>2397</v>
      </c>
      <c r="X2101" s="13" t="s">
        <v>672</v>
      </c>
      <c r="Y2101" s="13" t="s">
        <v>673</v>
      </c>
      <c r="Z2101" s="13" t="s">
        <v>2398</v>
      </c>
    </row>
    <row r="2102" spans="1:26">
      <c r="A2102" t="s">
        <v>412</v>
      </c>
      <c r="B2102" s="25">
        <f>+Municipios!P999</f>
        <v>68.007727068021381</v>
      </c>
      <c r="C2102" s="13">
        <v>13160</v>
      </c>
      <c r="D2102" s="13" t="s">
        <v>2399</v>
      </c>
      <c r="E2102" s="13" t="s">
        <v>480</v>
      </c>
      <c r="F2102" s="13" t="s">
        <v>481</v>
      </c>
      <c r="G2102" s="13" t="s">
        <v>2400</v>
      </c>
      <c r="K2102" t="s">
        <v>413</v>
      </c>
      <c r="L2102" s="81">
        <f>+Municipios!U999</f>
        <v>26.313961514995096</v>
      </c>
      <c r="M2102" s="13">
        <v>13160</v>
      </c>
      <c r="N2102" s="13" t="s">
        <v>2399</v>
      </c>
      <c r="O2102" s="13" t="s">
        <v>480</v>
      </c>
      <c r="P2102" s="13" t="s">
        <v>481</v>
      </c>
      <c r="Q2102" s="13" t="s">
        <v>2400</v>
      </c>
      <c r="T2102" t="s">
        <v>2804</v>
      </c>
      <c r="U2102" s="25">
        <f>+Municipios!P999</f>
        <v>68.007727068021381</v>
      </c>
      <c r="V2102" s="13">
        <v>13160</v>
      </c>
      <c r="W2102" s="13" t="s">
        <v>2399</v>
      </c>
      <c r="X2102" s="13" t="s">
        <v>480</v>
      </c>
      <c r="Y2102" s="13" t="s">
        <v>481</v>
      </c>
      <c r="Z2102" s="13" t="s">
        <v>2400</v>
      </c>
    </row>
    <row r="2103" spans="1:26">
      <c r="A2103" t="s">
        <v>412</v>
      </c>
      <c r="B2103" s="25">
        <f>+Municipios!P1000</f>
        <v>56.648201370639995</v>
      </c>
      <c r="C2103" s="13">
        <v>5361</v>
      </c>
      <c r="D2103" s="13" t="s">
        <v>2401</v>
      </c>
      <c r="E2103" s="13" t="s">
        <v>435</v>
      </c>
      <c r="F2103" s="13" t="s">
        <v>436</v>
      </c>
      <c r="G2103" s="13" t="s">
        <v>2402</v>
      </c>
      <c r="K2103" t="s">
        <v>413</v>
      </c>
      <c r="L2103" s="81">
        <f>+Municipios!U1000</f>
        <v>22.160261893046101</v>
      </c>
      <c r="M2103" s="13">
        <v>5361</v>
      </c>
      <c r="N2103" s="13" t="s">
        <v>2401</v>
      </c>
      <c r="O2103" s="13" t="s">
        <v>435</v>
      </c>
      <c r="P2103" s="13" t="s">
        <v>436</v>
      </c>
      <c r="Q2103" s="13" t="s">
        <v>2402</v>
      </c>
      <c r="T2103" t="s">
        <v>2804</v>
      </c>
      <c r="U2103" s="25">
        <f>+Municipios!P1000</f>
        <v>56.648201370639995</v>
      </c>
      <c r="V2103" s="13">
        <v>5361</v>
      </c>
      <c r="W2103" s="13" t="s">
        <v>2401</v>
      </c>
      <c r="X2103" s="13" t="s">
        <v>435</v>
      </c>
      <c r="Y2103" s="13" t="s">
        <v>436</v>
      </c>
      <c r="Z2103" s="13" t="s">
        <v>2402</v>
      </c>
    </row>
    <row r="2104" spans="1:26">
      <c r="A2104" t="s">
        <v>412</v>
      </c>
      <c r="B2104" s="25">
        <f>+Municipios!P1001</f>
        <v>70.73703193324171</v>
      </c>
      <c r="C2104" s="13">
        <v>85300</v>
      </c>
      <c r="D2104" s="13" t="s">
        <v>2403</v>
      </c>
      <c r="E2104" s="13" t="s">
        <v>1351</v>
      </c>
      <c r="F2104" s="13" t="s">
        <v>1352</v>
      </c>
      <c r="G2104" s="13" t="s">
        <v>634</v>
      </c>
      <c r="K2104" t="s">
        <v>413</v>
      </c>
      <c r="L2104" s="81">
        <f>+Municipios!U1001</f>
        <v>26.962298157859315</v>
      </c>
      <c r="M2104" s="13">
        <v>85300</v>
      </c>
      <c r="N2104" s="13" t="s">
        <v>2403</v>
      </c>
      <c r="O2104" s="13" t="s">
        <v>1351</v>
      </c>
      <c r="P2104" s="13" t="s">
        <v>1352</v>
      </c>
      <c r="Q2104" s="13" t="s">
        <v>634</v>
      </c>
      <c r="T2104" t="s">
        <v>2804</v>
      </c>
      <c r="U2104" s="25">
        <f>+Municipios!P1001</f>
        <v>70.73703193324171</v>
      </c>
      <c r="V2104" s="13">
        <v>85300</v>
      </c>
      <c r="W2104" s="13" t="s">
        <v>2403</v>
      </c>
      <c r="X2104" s="13" t="s">
        <v>1351</v>
      </c>
      <c r="Y2104" s="13" t="s">
        <v>1352</v>
      </c>
      <c r="Z2104" s="13" t="s">
        <v>634</v>
      </c>
    </row>
    <row r="2105" spans="1:26">
      <c r="A2105" t="s">
        <v>412</v>
      </c>
      <c r="B2105" s="25">
        <f>+Municipios!P1002</f>
        <v>50.701637727681941</v>
      </c>
      <c r="C2105" s="13">
        <v>18785</v>
      </c>
      <c r="D2105" s="13" t="s">
        <v>2404</v>
      </c>
      <c r="E2105" s="13" t="s">
        <v>1463</v>
      </c>
      <c r="F2105" s="13" t="s">
        <v>1464</v>
      </c>
      <c r="G2105" s="13" t="s">
        <v>2405</v>
      </c>
      <c r="K2105" t="s">
        <v>413</v>
      </c>
      <c r="L2105" s="81">
        <f>+Municipios!U1002</f>
        <v>19.643230657471676</v>
      </c>
      <c r="M2105" s="13">
        <v>18785</v>
      </c>
      <c r="N2105" s="13" t="s">
        <v>2404</v>
      </c>
      <c r="O2105" s="13" t="s">
        <v>1463</v>
      </c>
      <c r="P2105" s="13" t="s">
        <v>1464</v>
      </c>
      <c r="Q2105" s="13" t="s">
        <v>2405</v>
      </c>
      <c r="T2105" t="s">
        <v>2804</v>
      </c>
      <c r="U2105" s="25">
        <f>+Municipios!P1002</f>
        <v>50.701637727681941</v>
      </c>
      <c r="V2105" s="13">
        <v>18785</v>
      </c>
      <c r="W2105" s="13" t="s">
        <v>2404</v>
      </c>
      <c r="X2105" s="13" t="s">
        <v>1463</v>
      </c>
      <c r="Y2105" s="13" t="s">
        <v>1464</v>
      </c>
      <c r="Z2105" s="13" t="s">
        <v>2405</v>
      </c>
    </row>
    <row r="2106" spans="1:26">
      <c r="A2106" t="s">
        <v>412</v>
      </c>
      <c r="B2106" s="25">
        <f>+Municipios!P1003</f>
        <v>52.159873001517667</v>
      </c>
      <c r="C2106" s="13">
        <v>15135</v>
      </c>
      <c r="D2106" s="13" t="s">
        <v>2406</v>
      </c>
      <c r="E2106" s="13" t="s">
        <v>498</v>
      </c>
      <c r="F2106" s="13" t="s">
        <v>499</v>
      </c>
      <c r="G2106" s="13" t="s">
        <v>2407</v>
      </c>
      <c r="K2106" t="s">
        <v>413</v>
      </c>
      <c r="L2106" s="81">
        <f>+Municipios!U1003</f>
        <v>19.938544323274193</v>
      </c>
      <c r="M2106" s="13">
        <v>15135</v>
      </c>
      <c r="N2106" s="13" t="s">
        <v>2406</v>
      </c>
      <c r="O2106" s="13" t="s">
        <v>498</v>
      </c>
      <c r="P2106" s="13" t="s">
        <v>499</v>
      </c>
      <c r="Q2106" s="13" t="s">
        <v>2407</v>
      </c>
      <c r="T2106" t="s">
        <v>2804</v>
      </c>
      <c r="U2106" s="25">
        <f>+Municipios!P1003</f>
        <v>52.159873001517667</v>
      </c>
      <c r="V2106" s="13">
        <v>15135</v>
      </c>
      <c r="W2106" s="13" t="s">
        <v>2406</v>
      </c>
      <c r="X2106" s="13" t="s">
        <v>498</v>
      </c>
      <c r="Y2106" s="13" t="s">
        <v>499</v>
      </c>
      <c r="Z2106" s="13" t="s">
        <v>2407</v>
      </c>
    </row>
    <row r="2107" spans="1:26">
      <c r="A2107" t="s">
        <v>412</v>
      </c>
      <c r="B2107" s="25">
        <f>+Municipios!P1004</f>
        <v>63.245099414099514</v>
      </c>
      <c r="C2107" s="13">
        <v>68217</v>
      </c>
      <c r="D2107" s="13" t="s">
        <v>2408</v>
      </c>
      <c r="E2107" s="13" t="s">
        <v>431</v>
      </c>
      <c r="F2107" s="13" t="s">
        <v>432</v>
      </c>
      <c r="G2107" s="13" t="s">
        <v>2409</v>
      </c>
      <c r="K2107" t="s">
        <v>413</v>
      </c>
      <c r="L2107" s="81">
        <f>+Municipios!U1004</f>
        <v>24.677625739061149</v>
      </c>
      <c r="M2107" s="13">
        <v>68217</v>
      </c>
      <c r="N2107" s="13" t="s">
        <v>2408</v>
      </c>
      <c r="O2107" s="13" t="s">
        <v>431</v>
      </c>
      <c r="P2107" s="13" t="s">
        <v>432</v>
      </c>
      <c r="Q2107" s="13" t="s">
        <v>2409</v>
      </c>
      <c r="T2107" t="s">
        <v>2804</v>
      </c>
      <c r="U2107" s="25">
        <f>+Municipios!P1004</f>
        <v>63.245099414099514</v>
      </c>
      <c r="V2107" s="13">
        <v>68217</v>
      </c>
      <c r="W2107" s="13" t="s">
        <v>2408</v>
      </c>
      <c r="X2107" s="13" t="s">
        <v>431</v>
      </c>
      <c r="Y2107" s="13" t="s">
        <v>432</v>
      </c>
      <c r="Z2107" s="13" t="s">
        <v>2409</v>
      </c>
    </row>
    <row r="2108" spans="1:26">
      <c r="A2108" t="s">
        <v>412</v>
      </c>
      <c r="B2108" s="25">
        <f>+Municipios!P1005</f>
        <v>75.734491646419144</v>
      </c>
      <c r="C2108" s="13">
        <v>25339</v>
      </c>
      <c r="D2108" s="13" t="s">
        <v>2410</v>
      </c>
      <c r="E2108" s="13" t="s">
        <v>461</v>
      </c>
      <c r="F2108" s="13" t="s">
        <v>462</v>
      </c>
      <c r="G2108" s="13" t="s">
        <v>2411</v>
      </c>
      <c r="K2108" t="s">
        <v>413</v>
      </c>
      <c r="L2108" s="81">
        <f>+Municipios!U1005</f>
        <v>28.433679740321903</v>
      </c>
      <c r="M2108" s="13">
        <v>25339</v>
      </c>
      <c r="N2108" s="13" t="s">
        <v>2410</v>
      </c>
      <c r="O2108" s="13" t="s">
        <v>461</v>
      </c>
      <c r="P2108" s="13" t="s">
        <v>462</v>
      </c>
      <c r="Q2108" s="13" t="s">
        <v>2411</v>
      </c>
      <c r="T2108" t="s">
        <v>2804</v>
      </c>
      <c r="U2108" s="25">
        <f>+Municipios!P1005</f>
        <v>75.734491646419144</v>
      </c>
      <c r="V2108" s="13">
        <v>25339</v>
      </c>
      <c r="W2108" s="13" t="s">
        <v>2410</v>
      </c>
      <c r="X2108" s="13" t="s">
        <v>461</v>
      </c>
      <c r="Y2108" s="13" t="s">
        <v>462</v>
      </c>
      <c r="Z2108" s="13" t="s">
        <v>2411</v>
      </c>
    </row>
    <row r="2109" spans="1:26">
      <c r="A2109" t="s">
        <v>412</v>
      </c>
      <c r="B2109" s="25">
        <f>+Municipios!P1006</f>
        <v>61.905274720816109</v>
      </c>
      <c r="C2109" s="13">
        <v>27491</v>
      </c>
      <c r="D2109" s="13" t="s">
        <v>2412</v>
      </c>
      <c r="E2109" s="13" t="s">
        <v>1714</v>
      </c>
      <c r="F2109" s="13" t="s">
        <v>1715</v>
      </c>
      <c r="G2109" s="13" t="s">
        <v>2413</v>
      </c>
      <c r="K2109" t="s">
        <v>413</v>
      </c>
      <c r="L2109" s="81">
        <f>+Municipios!U1006</f>
        <v>23.640038420200128</v>
      </c>
      <c r="M2109" s="13">
        <v>27491</v>
      </c>
      <c r="N2109" s="13" t="s">
        <v>2412</v>
      </c>
      <c r="O2109" s="13" t="s">
        <v>1714</v>
      </c>
      <c r="P2109" s="13" t="s">
        <v>1715</v>
      </c>
      <c r="Q2109" s="13" t="s">
        <v>2413</v>
      </c>
      <c r="T2109" t="s">
        <v>2804</v>
      </c>
      <c r="U2109" s="25">
        <f>+Municipios!P1006</f>
        <v>61.905274720816109</v>
      </c>
      <c r="V2109" s="13">
        <v>27491</v>
      </c>
      <c r="W2109" s="13" t="s">
        <v>2412</v>
      </c>
      <c r="X2109" s="13" t="s">
        <v>1714</v>
      </c>
      <c r="Y2109" s="13" t="s">
        <v>1715</v>
      </c>
      <c r="Z2109" s="13" t="s">
        <v>2413</v>
      </c>
    </row>
    <row r="2110" spans="1:26">
      <c r="A2110" t="s">
        <v>412</v>
      </c>
      <c r="B2110" s="25">
        <f>+Municipios!P1007</f>
        <v>55.371618603266157</v>
      </c>
      <c r="C2110" s="13">
        <v>18029</v>
      </c>
      <c r="D2110" s="13" t="s">
        <v>2414</v>
      </c>
      <c r="E2110" s="13" t="s">
        <v>1463</v>
      </c>
      <c r="F2110" s="13" t="s">
        <v>1464</v>
      </c>
      <c r="G2110" s="13" t="s">
        <v>1268</v>
      </c>
      <c r="K2110" t="s">
        <v>413</v>
      </c>
      <c r="L2110" s="81">
        <f>+Municipios!U1007</f>
        <v>21.410474743159323</v>
      </c>
      <c r="M2110" s="13">
        <v>18029</v>
      </c>
      <c r="N2110" s="13" t="s">
        <v>2414</v>
      </c>
      <c r="O2110" s="13" t="s">
        <v>1463</v>
      </c>
      <c r="P2110" s="13" t="s">
        <v>1464</v>
      </c>
      <c r="Q2110" s="13" t="s">
        <v>1268</v>
      </c>
      <c r="T2110" t="s">
        <v>2804</v>
      </c>
      <c r="U2110" s="25">
        <f>+Municipios!P1007</f>
        <v>55.371618603266157</v>
      </c>
      <c r="V2110" s="13">
        <v>18029</v>
      </c>
      <c r="W2110" s="13" t="s">
        <v>2414</v>
      </c>
      <c r="X2110" s="13" t="s">
        <v>1463</v>
      </c>
      <c r="Y2110" s="13" t="s">
        <v>1464</v>
      </c>
      <c r="Z2110" s="13" t="s">
        <v>1268</v>
      </c>
    </row>
    <row r="2111" spans="1:26">
      <c r="A2111" t="s">
        <v>412</v>
      </c>
      <c r="B2111" s="25">
        <f>+Municipios!P1008</f>
        <v>59.853995223453552</v>
      </c>
      <c r="C2111" s="13">
        <v>15514</v>
      </c>
      <c r="D2111" s="13" t="s">
        <v>2415</v>
      </c>
      <c r="E2111" s="13" t="s">
        <v>498</v>
      </c>
      <c r="F2111" s="13" t="s">
        <v>499</v>
      </c>
      <c r="G2111" s="13" t="s">
        <v>2063</v>
      </c>
      <c r="K2111" t="s">
        <v>413</v>
      </c>
      <c r="L2111" s="81">
        <f>+Municipios!U1008</f>
        <v>22.77224944246111</v>
      </c>
      <c r="M2111" s="13">
        <v>15514</v>
      </c>
      <c r="N2111" s="13" t="s">
        <v>2415</v>
      </c>
      <c r="O2111" s="13" t="s">
        <v>498</v>
      </c>
      <c r="P2111" s="13" t="s">
        <v>499</v>
      </c>
      <c r="Q2111" s="13" t="s">
        <v>2063</v>
      </c>
      <c r="T2111" t="s">
        <v>2804</v>
      </c>
      <c r="U2111" s="25">
        <f>+Municipios!P1008</f>
        <v>59.853995223453552</v>
      </c>
      <c r="V2111" s="13">
        <v>15514</v>
      </c>
      <c r="W2111" s="13" t="s">
        <v>2415</v>
      </c>
      <c r="X2111" s="13" t="s">
        <v>498</v>
      </c>
      <c r="Y2111" s="13" t="s">
        <v>499</v>
      </c>
      <c r="Z2111" s="13" t="s">
        <v>2063</v>
      </c>
    </row>
    <row r="2112" spans="1:26">
      <c r="A2112" t="s">
        <v>412</v>
      </c>
      <c r="B2112" s="25">
        <f>+Municipios!P1009</f>
        <v>66.119875390313794</v>
      </c>
      <c r="C2112" s="13">
        <v>19809</v>
      </c>
      <c r="D2112" s="13" t="s">
        <v>2416</v>
      </c>
      <c r="E2112" s="13" t="s">
        <v>557</v>
      </c>
      <c r="F2112" s="13" t="s">
        <v>558</v>
      </c>
      <c r="G2112" s="13" t="s">
        <v>2417</v>
      </c>
      <c r="K2112" t="s">
        <v>413</v>
      </c>
      <c r="L2112" s="81">
        <f>+Municipios!U1009</f>
        <v>25.41241052958625</v>
      </c>
      <c r="M2112" s="13">
        <v>19809</v>
      </c>
      <c r="N2112" s="13" t="s">
        <v>2416</v>
      </c>
      <c r="O2112" s="13" t="s">
        <v>557</v>
      </c>
      <c r="P2112" s="13" t="s">
        <v>558</v>
      </c>
      <c r="Q2112" s="13" t="s">
        <v>2417</v>
      </c>
      <c r="T2112" t="s">
        <v>2804</v>
      </c>
      <c r="U2112" s="25">
        <f>+Municipios!P1009</f>
        <v>66.119875390313794</v>
      </c>
      <c r="V2112" s="13">
        <v>19809</v>
      </c>
      <c r="W2112" s="13" t="s">
        <v>2416</v>
      </c>
      <c r="X2112" s="13" t="s">
        <v>557</v>
      </c>
      <c r="Y2112" s="13" t="s">
        <v>558</v>
      </c>
      <c r="Z2112" s="13" t="s">
        <v>2417</v>
      </c>
    </row>
    <row r="2113" spans="1:26">
      <c r="A2113" t="s">
        <v>412</v>
      </c>
      <c r="B2113" s="25">
        <f>+Municipios!P1010</f>
        <v>47.160532552134477</v>
      </c>
      <c r="C2113" s="13">
        <v>68720</v>
      </c>
      <c r="D2113" s="13" t="s">
        <v>2418</v>
      </c>
      <c r="E2113" s="13" t="s">
        <v>431</v>
      </c>
      <c r="F2113" s="13" t="s">
        <v>432</v>
      </c>
      <c r="G2113" s="13" t="s">
        <v>2419</v>
      </c>
      <c r="K2113" t="s">
        <v>413</v>
      </c>
      <c r="L2113" s="81">
        <f>+Municipios!U1010</f>
        <v>17.949087999096637</v>
      </c>
      <c r="M2113" s="13">
        <v>68720</v>
      </c>
      <c r="N2113" s="13" t="s">
        <v>2418</v>
      </c>
      <c r="O2113" s="13" t="s">
        <v>431</v>
      </c>
      <c r="P2113" s="13" t="s">
        <v>432</v>
      </c>
      <c r="Q2113" s="13" t="s">
        <v>2419</v>
      </c>
      <c r="T2113" t="s">
        <v>2804</v>
      </c>
      <c r="U2113" s="25">
        <f>+Municipios!P1010</f>
        <v>47.160532552134477</v>
      </c>
      <c r="V2113" s="13">
        <v>68720</v>
      </c>
      <c r="W2113" s="13" t="s">
        <v>2418</v>
      </c>
      <c r="X2113" s="13" t="s">
        <v>431</v>
      </c>
      <c r="Y2113" s="13" t="s">
        <v>432</v>
      </c>
      <c r="Z2113" s="13" t="s">
        <v>2419</v>
      </c>
    </row>
    <row r="2114" spans="1:26">
      <c r="A2114" t="s">
        <v>412</v>
      </c>
      <c r="B2114" s="25">
        <f>+Municipios!P1011</f>
        <v>53.411377101173507</v>
      </c>
      <c r="C2114" s="13">
        <v>68502</v>
      </c>
      <c r="D2114" s="13" t="s">
        <v>2420</v>
      </c>
      <c r="E2114" s="13" t="s">
        <v>431</v>
      </c>
      <c r="F2114" s="13" t="s">
        <v>432</v>
      </c>
      <c r="G2114" s="13" t="s">
        <v>2421</v>
      </c>
      <c r="K2114" t="s">
        <v>413</v>
      </c>
      <c r="L2114" s="81">
        <f>+Municipios!U1011</f>
        <v>20.730962362958152</v>
      </c>
      <c r="M2114" s="13">
        <v>68502</v>
      </c>
      <c r="N2114" s="13" t="s">
        <v>2420</v>
      </c>
      <c r="O2114" s="13" t="s">
        <v>431</v>
      </c>
      <c r="P2114" s="13" t="s">
        <v>432</v>
      </c>
      <c r="Q2114" s="13" t="s">
        <v>2421</v>
      </c>
      <c r="T2114" t="s">
        <v>2804</v>
      </c>
      <c r="U2114" s="25">
        <f>+Municipios!P1011</f>
        <v>53.411377101173507</v>
      </c>
      <c r="V2114" s="13">
        <v>68502</v>
      </c>
      <c r="W2114" s="13" t="s">
        <v>2420</v>
      </c>
      <c r="X2114" s="13" t="s">
        <v>431</v>
      </c>
      <c r="Y2114" s="13" t="s">
        <v>432</v>
      </c>
      <c r="Z2114" s="13" t="s">
        <v>2421</v>
      </c>
    </row>
    <row r="2115" spans="1:26">
      <c r="A2115" t="s">
        <v>412</v>
      </c>
      <c r="B2115" s="25">
        <f>+Municipios!P1012</f>
        <v>56.787586525502959</v>
      </c>
      <c r="C2115" s="13">
        <v>52418</v>
      </c>
      <c r="D2115" s="13" t="s">
        <v>2422</v>
      </c>
      <c r="E2115" s="13" t="s">
        <v>672</v>
      </c>
      <c r="F2115" s="13" t="s">
        <v>673</v>
      </c>
      <c r="G2115" s="13" t="s">
        <v>2423</v>
      </c>
      <c r="K2115" t="s">
        <v>413</v>
      </c>
      <c r="L2115" s="81">
        <f>+Municipios!U1012</f>
        <v>21.485547619410653</v>
      </c>
      <c r="M2115" s="13">
        <v>52418</v>
      </c>
      <c r="N2115" s="13" t="s">
        <v>2422</v>
      </c>
      <c r="O2115" s="13" t="s">
        <v>672</v>
      </c>
      <c r="P2115" s="13" t="s">
        <v>673</v>
      </c>
      <c r="Q2115" s="13" t="s">
        <v>2423</v>
      </c>
      <c r="T2115" t="s">
        <v>2804</v>
      </c>
      <c r="U2115" s="25">
        <f>+Municipios!P1012</f>
        <v>56.787586525502959</v>
      </c>
      <c r="V2115" s="13">
        <v>52418</v>
      </c>
      <c r="W2115" s="13" t="s">
        <v>2422</v>
      </c>
      <c r="X2115" s="13" t="s">
        <v>672</v>
      </c>
      <c r="Y2115" s="13" t="s">
        <v>673</v>
      </c>
      <c r="Z2115" s="13" t="s">
        <v>2423</v>
      </c>
    </row>
    <row r="2116" spans="1:26">
      <c r="A2116" t="s">
        <v>412</v>
      </c>
      <c r="B2116" s="25">
        <f>+Municipios!P1013</f>
        <v>56.913238246902736</v>
      </c>
      <c r="C2116" s="13">
        <v>18610</v>
      </c>
      <c r="D2116" s="13" t="s">
        <v>2424</v>
      </c>
      <c r="E2116" s="13" t="s">
        <v>1463</v>
      </c>
      <c r="F2116" s="13" t="s">
        <v>1464</v>
      </c>
      <c r="G2116" s="13" t="s">
        <v>2425</v>
      </c>
      <c r="K2116" t="s">
        <v>413</v>
      </c>
      <c r="L2116" s="81">
        <f>+Municipios!U1013</f>
        <v>21.529474528982501</v>
      </c>
      <c r="M2116" s="13">
        <v>18610</v>
      </c>
      <c r="N2116" s="13" t="s">
        <v>2424</v>
      </c>
      <c r="O2116" s="13" t="s">
        <v>1463</v>
      </c>
      <c r="P2116" s="13" t="s">
        <v>1464</v>
      </c>
      <c r="Q2116" s="13" t="s">
        <v>2425</v>
      </c>
      <c r="T2116" t="s">
        <v>2804</v>
      </c>
      <c r="U2116" s="25">
        <f>+Municipios!P1013</f>
        <v>56.913238246902736</v>
      </c>
      <c r="V2116" s="13">
        <v>18610</v>
      </c>
      <c r="W2116" s="13" t="s">
        <v>2424</v>
      </c>
      <c r="X2116" s="13" t="s">
        <v>1463</v>
      </c>
      <c r="Y2116" s="13" t="s">
        <v>1464</v>
      </c>
      <c r="Z2116" s="13" t="s">
        <v>2425</v>
      </c>
    </row>
    <row r="2117" spans="1:26">
      <c r="A2117" t="s">
        <v>412</v>
      </c>
      <c r="B2117" s="25">
        <f>+Municipios!P1014</f>
        <v>66.1792817497942</v>
      </c>
      <c r="C2117" s="13">
        <v>54245</v>
      </c>
      <c r="D2117" s="13" t="s">
        <v>2426</v>
      </c>
      <c r="E2117" s="13" t="s">
        <v>517</v>
      </c>
      <c r="F2117" s="13" t="s">
        <v>518</v>
      </c>
      <c r="G2117" s="13" t="s">
        <v>2427</v>
      </c>
      <c r="K2117" t="s">
        <v>413</v>
      </c>
      <c r="L2117" s="81">
        <f>+Municipios!U1014</f>
        <v>24.893832285014589</v>
      </c>
      <c r="M2117" s="13">
        <v>54245</v>
      </c>
      <c r="N2117" s="13" t="s">
        <v>2426</v>
      </c>
      <c r="O2117" s="13" t="s">
        <v>517</v>
      </c>
      <c r="P2117" s="13" t="s">
        <v>518</v>
      </c>
      <c r="Q2117" s="13" t="s">
        <v>2427</v>
      </c>
      <c r="T2117" t="s">
        <v>2804</v>
      </c>
      <c r="U2117" s="25">
        <f>+Municipios!P1014</f>
        <v>66.1792817497942</v>
      </c>
      <c r="V2117" s="13">
        <v>54245</v>
      </c>
      <c r="W2117" s="13" t="s">
        <v>2426</v>
      </c>
      <c r="X2117" s="13" t="s">
        <v>517</v>
      </c>
      <c r="Y2117" s="13" t="s">
        <v>518</v>
      </c>
      <c r="Z2117" s="13" t="s">
        <v>2427</v>
      </c>
    </row>
    <row r="2118" spans="1:26">
      <c r="A2118" t="s">
        <v>412</v>
      </c>
      <c r="B2118" s="25">
        <f>+Municipios!P1015</f>
        <v>47.96736519642127</v>
      </c>
      <c r="C2118" s="13">
        <v>18094</v>
      </c>
      <c r="D2118" s="13" t="s">
        <v>2428</v>
      </c>
      <c r="E2118" s="13" t="s">
        <v>1463</v>
      </c>
      <c r="F2118" s="13" t="s">
        <v>1464</v>
      </c>
      <c r="G2118" s="13" t="s">
        <v>2429</v>
      </c>
      <c r="K2118" t="s">
        <v>413</v>
      </c>
      <c r="L2118" s="81">
        <f>+Municipios!U1015</f>
        <v>18.004846851543427</v>
      </c>
      <c r="M2118" s="13">
        <v>18094</v>
      </c>
      <c r="N2118" s="13" t="s">
        <v>2428</v>
      </c>
      <c r="O2118" s="13" t="s">
        <v>1463</v>
      </c>
      <c r="P2118" s="13" t="s">
        <v>1464</v>
      </c>
      <c r="Q2118" s="13" t="s">
        <v>2429</v>
      </c>
      <c r="T2118" t="s">
        <v>2804</v>
      </c>
      <c r="U2118" s="25">
        <f>+Municipios!P1015</f>
        <v>47.96736519642127</v>
      </c>
      <c r="V2118" s="13">
        <v>18094</v>
      </c>
      <c r="W2118" s="13" t="s">
        <v>2428</v>
      </c>
      <c r="X2118" s="13" t="s">
        <v>1463</v>
      </c>
      <c r="Y2118" s="13" t="s">
        <v>1464</v>
      </c>
      <c r="Z2118" s="13" t="s">
        <v>2429</v>
      </c>
    </row>
    <row r="2119" spans="1:26">
      <c r="A2119" t="s">
        <v>412</v>
      </c>
      <c r="B2119" s="25">
        <f>+Municipios!P1016</f>
        <v>52.712000438634377</v>
      </c>
      <c r="C2119" s="13">
        <v>19318</v>
      </c>
      <c r="D2119" s="13" t="s">
        <v>2430</v>
      </c>
      <c r="E2119" s="13" t="s">
        <v>557</v>
      </c>
      <c r="F2119" s="13" t="s">
        <v>558</v>
      </c>
      <c r="G2119" s="13" t="s">
        <v>2431</v>
      </c>
      <c r="K2119" t="s">
        <v>413</v>
      </c>
      <c r="L2119" s="81">
        <f>+Municipios!U1016</f>
        <v>19.654527390500405</v>
      </c>
      <c r="M2119" s="13">
        <v>19318</v>
      </c>
      <c r="N2119" s="13" t="s">
        <v>2430</v>
      </c>
      <c r="O2119" s="13" t="s">
        <v>557</v>
      </c>
      <c r="P2119" s="13" t="s">
        <v>558</v>
      </c>
      <c r="Q2119" s="13" t="s">
        <v>2431</v>
      </c>
      <c r="T2119" t="s">
        <v>2804</v>
      </c>
      <c r="U2119" s="25">
        <f>+Municipios!P1016</f>
        <v>52.712000438634377</v>
      </c>
      <c r="V2119" s="13">
        <v>19318</v>
      </c>
      <c r="W2119" s="13" t="s">
        <v>2430</v>
      </c>
      <c r="X2119" s="13" t="s">
        <v>557</v>
      </c>
      <c r="Y2119" s="13" t="s">
        <v>558</v>
      </c>
      <c r="Z2119" s="13" t="s">
        <v>2431</v>
      </c>
    </row>
    <row r="2120" spans="1:26">
      <c r="A2120" t="s">
        <v>412</v>
      </c>
      <c r="B2120" s="25">
        <f>+Municipios!P1017</f>
        <v>56.494191251796295</v>
      </c>
      <c r="C2120" s="13">
        <v>27077</v>
      </c>
      <c r="D2120" s="13" t="s">
        <v>2432</v>
      </c>
      <c r="E2120" s="13" t="s">
        <v>1714</v>
      </c>
      <c r="F2120" s="13" t="s">
        <v>1715</v>
      </c>
      <c r="G2120" s="13" t="s">
        <v>2433</v>
      </c>
      <c r="K2120" t="s">
        <v>413</v>
      </c>
      <c r="L2120" s="81">
        <f>+Municipios!U1017</f>
        <v>21.17402383114235</v>
      </c>
      <c r="M2120" s="13">
        <v>27077</v>
      </c>
      <c r="N2120" s="13" t="s">
        <v>2432</v>
      </c>
      <c r="O2120" s="13" t="s">
        <v>1714</v>
      </c>
      <c r="P2120" s="13" t="s">
        <v>1715</v>
      </c>
      <c r="Q2120" s="13" t="s">
        <v>2433</v>
      </c>
      <c r="T2120" t="s">
        <v>2804</v>
      </c>
      <c r="U2120" s="25">
        <f>+Municipios!P1017</f>
        <v>56.494191251796295</v>
      </c>
      <c r="V2120" s="13">
        <v>27077</v>
      </c>
      <c r="W2120" s="13" t="s">
        <v>2432</v>
      </c>
      <c r="X2120" s="13" t="s">
        <v>1714</v>
      </c>
      <c r="Y2120" s="13" t="s">
        <v>1715</v>
      </c>
      <c r="Z2120" s="13" t="s">
        <v>2433</v>
      </c>
    </row>
    <row r="2121" spans="1:26">
      <c r="A2121" t="s">
        <v>412</v>
      </c>
      <c r="B2121" s="25">
        <f>+Municipios!P1018</f>
        <v>59.140471334645554</v>
      </c>
      <c r="C2121" s="13">
        <v>85279</v>
      </c>
      <c r="D2121" s="13" t="s">
        <v>2434</v>
      </c>
      <c r="E2121" s="13" t="s">
        <v>1351</v>
      </c>
      <c r="F2121" s="13" t="s">
        <v>1352</v>
      </c>
      <c r="G2121" s="13" t="s">
        <v>2435</v>
      </c>
      <c r="K2121" t="s">
        <v>413</v>
      </c>
      <c r="L2121" s="81">
        <f>+Municipios!U1018</f>
        <v>22.348083829280959</v>
      </c>
      <c r="M2121" s="13">
        <v>85279</v>
      </c>
      <c r="N2121" s="13" t="s">
        <v>2434</v>
      </c>
      <c r="O2121" s="13" t="s">
        <v>1351</v>
      </c>
      <c r="P2121" s="13" t="s">
        <v>1352</v>
      </c>
      <c r="Q2121" s="13" t="s">
        <v>2435</v>
      </c>
      <c r="T2121" t="s">
        <v>2804</v>
      </c>
      <c r="U2121" s="25">
        <f>+Municipios!P1018</f>
        <v>59.140471334645554</v>
      </c>
      <c r="V2121" s="13">
        <v>85279</v>
      </c>
      <c r="W2121" s="13" t="s">
        <v>2434</v>
      </c>
      <c r="X2121" s="13" t="s">
        <v>1351</v>
      </c>
      <c r="Y2121" s="13" t="s">
        <v>1352</v>
      </c>
      <c r="Z2121" s="13" t="s">
        <v>2435</v>
      </c>
    </row>
    <row r="2122" spans="1:26">
      <c r="A2122" t="s">
        <v>412</v>
      </c>
      <c r="B2122" s="25">
        <f>+Municipios!P1019</f>
        <v>45.472541459661194</v>
      </c>
      <c r="C2122" s="13">
        <v>52696</v>
      </c>
      <c r="D2122" s="13" t="s">
        <v>2436</v>
      </c>
      <c r="E2122" s="13" t="s">
        <v>672</v>
      </c>
      <c r="F2122" s="13" t="s">
        <v>673</v>
      </c>
      <c r="G2122" s="13" t="s">
        <v>829</v>
      </c>
      <c r="K2122" t="s">
        <v>413</v>
      </c>
      <c r="L2122" s="81">
        <f>+Municipios!U1019</f>
        <v>16.943389435628255</v>
      </c>
      <c r="M2122" s="13">
        <v>52696</v>
      </c>
      <c r="N2122" s="13" t="s">
        <v>2436</v>
      </c>
      <c r="O2122" s="13" t="s">
        <v>672</v>
      </c>
      <c r="P2122" s="13" t="s">
        <v>673</v>
      </c>
      <c r="Q2122" s="13" t="s">
        <v>829</v>
      </c>
      <c r="T2122" t="s">
        <v>2804</v>
      </c>
      <c r="U2122" s="25">
        <f>+Municipios!P1019</f>
        <v>45.472541459661194</v>
      </c>
      <c r="V2122" s="13">
        <v>52696</v>
      </c>
      <c r="W2122" s="13" t="s">
        <v>2436</v>
      </c>
      <c r="X2122" s="13" t="s">
        <v>672</v>
      </c>
      <c r="Y2122" s="13" t="s">
        <v>673</v>
      </c>
      <c r="Z2122" s="13" t="s">
        <v>829</v>
      </c>
    </row>
    <row r="2123" spans="1:26">
      <c r="A2123" t="s">
        <v>412</v>
      </c>
      <c r="B2123" s="25">
        <f>+Municipios!P1020</f>
        <v>52.07167356766081</v>
      </c>
      <c r="C2123" s="13">
        <v>25438</v>
      </c>
      <c r="D2123" s="13" t="s">
        <v>2437</v>
      </c>
      <c r="E2123" s="13" t="s">
        <v>461</v>
      </c>
      <c r="F2123" s="13" t="s">
        <v>462</v>
      </c>
      <c r="G2123" s="13" t="s">
        <v>2438</v>
      </c>
      <c r="K2123" t="s">
        <v>413</v>
      </c>
      <c r="L2123" s="81">
        <f>+Municipios!U1020</f>
        <v>18.791670617212134</v>
      </c>
      <c r="M2123" s="13">
        <v>25438</v>
      </c>
      <c r="N2123" s="13" t="s">
        <v>2437</v>
      </c>
      <c r="O2123" s="13" t="s">
        <v>461</v>
      </c>
      <c r="P2123" s="13" t="s">
        <v>462</v>
      </c>
      <c r="Q2123" s="13" t="s">
        <v>2438</v>
      </c>
      <c r="T2123" t="s">
        <v>2804</v>
      </c>
      <c r="U2123" s="25">
        <f>+Municipios!P1020</f>
        <v>52.07167356766081</v>
      </c>
      <c r="V2123" s="13">
        <v>25438</v>
      </c>
      <c r="W2123" s="13" t="s">
        <v>2437</v>
      </c>
      <c r="X2123" s="13" t="s">
        <v>461</v>
      </c>
      <c r="Y2123" s="13" t="s">
        <v>462</v>
      </c>
      <c r="Z2123" s="13" t="s">
        <v>2438</v>
      </c>
    </row>
    <row r="2124" spans="1:26">
      <c r="A2124" t="s">
        <v>412</v>
      </c>
      <c r="B2124" s="25">
        <f>+Municipios!P1021</f>
        <v>50.488860043225657</v>
      </c>
      <c r="C2124" s="13">
        <v>18410</v>
      </c>
      <c r="D2124" s="13" t="s">
        <v>2439</v>
      </c>
      <c r="E2124" s="13" t="s">
        <v>1463</v>
      </c>
      <c r="F2124" s="13" t="s">
        <v>1464</v>
      </c>
      <c r="G2124" s="13" t="s">
        <v>2440</v>
      </c>
      <c r="K2124" t="s">
        <v>413</v>
      </c>
      <c r="L2124" s="81">
        <f>+Municipios!U1021</f>
        <v>18.81482136362354</v>
      </c>
      <c r="M2124" s="13">
        <v>18410</v>
      </c>
      <c r="N2124" s="13" t="s">
        <v>2439</v>
      </c>
      <c r="O2124" s="13" t="s">
        <v>1463</v>
      </c>
      <c r="P2124" s="13" t="s">
        <v>1464</v>
      </c>
      <c r="Q2124" s="13" t="s">
        <v>2440</v>
      </c>
      <c r="T2124" t="s">
        <v>2804</v>
      </c>
      <c r="U2124" s="25">
        <f>+Municipios!P1021</f>
        <v>50.488860043225657</v>
      </c>
      <c r="V2124" s="13">
        <v>18410</v>
      </c>
      <c r="W2124" s="13" t="s">
        <v>2439</v>
      </c>
      <c r="X2124" s="13" t="s">
        <v>1463</v>
      </c>
      <c r="Y2124" s="13" t="s">
        <v>1464</v>
      </c>
      <c r="Z2124" s="13" t="s">
        <v>2440</v>
      </c>
    </row>
    <row r="2125" spans="1:26">
      <c r="A2125" t="s">
        <v>412</v>
      </c>
      <c r="B2125" s="25">
        <f>+Municipios!P1022</f>
        <v>62.690479154058053</v>
      </c>
      <c r="C2125" s="13">
        <v>81794</v>
      </c>
      <c r="D2125" s="13" t="s">
        <v>2441</v>
      </c>
      <c r="E2125" s="13" t="s">
        <v>1568</v>
      </c>
      <c r="F2125" s="13" t="s">
        <v>1569</v>
      </c>
      <c r="G2125" s="13" t="s">
        <v>2442</v>
      </c>
      <c r="K2125" t="s">
        <v>413</v>
      </c>
      <c r="L2125" s="81">
        <f>+Municipios!U1022</f>
        <v>22.542939413420765</v>
      </c>
      <c r="M2125" s="13">
        <v>81794</v>
      </c>
      <c r="N2125" s="13" t="s">
        <v>2441</v>
      </c>
      <c r="O2125" s="13" t="s">
        <v>1568</v>
      </c>
      <c r="P2125" s="13" t="s">
        <v>1569</v>
      </c>
      <c r="Q2125" s="13" t="s">
        <v>2442</v>
      </c>
      <c r="T2125" t="s">
        <v>2804</v>
      </c>
      <c r="U2125" s="25">
        <f>+Municipios!P1022</f>
        <v>62.690479154058053</v>
      </c>
      <c r="V2125" s="13">
        <v>81794</v>
      </c>
      <c r="W2125" s="13" t="s">
        <v>2441</v>
      </c>
      <c r="X2125" s="13" t="s">
        <v>1568</v>
      </c>
      <c r="Y2125" s="13" t="s">
        <v>1569</v>
      </c>
      <c r="Z2125" s="13" t="s">
        <v>2442</v>
      </c>
    </row>
    <row r="2126" spans="1:26">
      <c r="A2126" t="s">
        <v>412</v>
      </c>
      <c r="B2126" s="25">
        <f>+Municipios!P1023</f>
        <v>61.79145311319369</v>
      </c>
      <c r="C2126" s="13">
        <v>50683</v>
      </c>
      <c r="D2126" s="13" t="s">
        <v>2443</v>
      </c>
      <c r="E2126" s="13" t="s">
        <v>605</v>
      </c>
      <c r="F2126" s="13" t="s">
        <v>606</v>
      </c>
      <c r="G2126" s="13" t="s">
        <v>2444</v>
      </c>
      <c r="K2126" t="s">
        <v>413</v>
      </c>
      <c r="L2126" s="81">
        <f>+Municipios!U1023</f>
        <v>22.304073261599328</v>
      </c>
      <c r="M2126" s="13">
        <v>50683</v>
      </c>
      <c r="N2126" s="13" t="s">
        <v>2443</v>
      </c>
      <c r="O2126" s="13" t="s">
        <v>605</v>
      </c>
      <c r="P2126" s="13" t="s">
        <v>606</v>
      </c>
      <c r="Q2126" s="13" t="s">
        <v>2444</v>
      </c>
      <c r="T2126" t="s">
        <v>2804</v>
      </c>
      <c r="U2126" s="25">
        <f>+Municipios!P1023</f>
        <v>61.79145311319369</v>
      </c>
      <c r="V2126" s="13">
        <v>50683</v>
      </c>
      <c r="W2126" s="13" t="s">
        <v>2443</v>
      </c>
      <c r="X2126" s="13" t="s">
        <v>605</v>
      </c>
      <c r="Y2126" s="13" t="s">
        <v>606</v>
      </c>
      <c r="Z2126" s="13" t="s">
        <v>2444</v>
      </c>
    </row>
    <row r="2127" spans="1:26">
      <c r="A2127" t="s">
        <v>412</v>
      </c>
      <c r="B2127" s="25">
        <f>+Municipios!P1024</f>
        <v>64.935095195897219</v>
      </c>
      <c r="C2127" s="13">
        <v>15223</v>
      </c>
      <c r="D2127" s="13" t="s">
        <v>2445</v>
      </c>
      <c r="E2127" s="13" t="s">
        <v>498</v>
      </c>
      <c r="F2127" s="13" t="s">
        <v>499</v>
      </c>
      <c r="G2127" s="13" t="s">
        <v>2446</v>
      </c>
      <c r="K2127" t="s">
        <v>413</v>
      </c>
      <c r="L2127" s="81">
        <f>+Municipios!U1024</f>
        <v>24.855743879184711</v>
      </c>
      <c r="M2127" s="13">
        <v>15223</v>
      </c>
      <c r="N2127" s="13" t="s">
        <v>2445</v>
      </c>
      <c r="O2127" s="13" t="s">
        <v>498</v>
      </c>
      <c r="P2127" s="13" t="s">
        <v>499</v>
      </c>
      <c r="Q2127" s="13" t="s">
        <v>2446</v>
      </c>
      <c r="T2127" t="s">
        <v>2804</v>
      </c>
      <c r="U2127" s="25">
        <f>+Municipios!P1024</f>
        <v>64.935095195897219</v>
      </c>
      <c r="V2127" s="13">
        <v>15223</v>
      </c>
      <c r="W2127" s="13" t="s">
        <v>2445</v>
      </c>
      <c r="X2127" s="13" t="s">
        <v>498</v>
      </c>
      <c r="Y2127" s="13" t="s">
        <v>499</v>
      </c>
      <c r="Z2127" s="13" t="s">
        <v>2446</v>
      </c>
    </row>
    <row r="2128" spans="1:26">
      <c r="A2128" t="s">
        <v>412</v>
      </c>
      <c r="B2128" s="25">
        <f>+Municipios!P1025</f>
        <v>50.697208305658464</v>
      </c>
      <c r="C2128" s="13">
        <v>15518</v>
      </c>
      <c r="D2128" s="13" t="s">
        <v>2447</v>
      </c>
      <c r="E2128" s="13" t="s">
        <v>498</v>
      </c>
      <c r="F2128" s="13" t="s">
        <v>499</v>
      </c>
      <c r="G2128" s="13" t="s">
        <v>2448</v>
      </c>
      <c r="K2128" t="s">
        <v>413</v>
      </c>
      <c r="L2128" s="81">
        <f>+Municipios!U1025</f>
        <v>18.193498255601309</v>
      </c>
      <c r="M2128" s="13">
        <v>15518</v>
      </c>
      <c r="N2128" s="13" t="s">
        <v>2447</v>
      </c>
      <c r="O2128" s="13" t="s">
        <v>498</v>
      </c>
      <c r="P2128" s="13" t="s">
        <v>499</v>
      </c>
      <c r="Q2128" s="13" t="s">
        <v>2448</v>
      </c>
      <c r="T2128" t="s">
        <v>2804</v>
      </c>
      <c r="U2128" s="25">
        <f>+Municipios!P1025</f>
        <v>50.697208305658464</v>
      </c>
      <c r="V2128" s="13">
        <v>15518</v>
      </c>
      <c r="W2128" s="13" t="s">
        <v>2447</v>
      </c>
      <c r="X2128" s="13" t="s">
        <v>498</v>
      </c>
      <c r="Y2128" s="13" t="s">
        <v>499</v>
      </c>
      <c r="Z2128" s="13" t="s">
        <v>2448</v>
      </c>
    </row>
    <row r="2129" spans="1:26">
      <c r="A2129" t="s">
        <v>412</v>
      </c>
      <c r="B2129" s="25">
        <f>+Municipios!P1026</f>
        <v>53.138757795331614</v>
      </c>
      <c r="C2129" s="13">
        <v>85225</v>
      </c>
      <c r="D2129" s="13" t="s">
        <v>2449</v>
      </c>
      <c r="E2129" s="13" t="s">
        <v>1351</v>
      </c>
      <c r="F2129" s="13" t="s">
        <v>1352</v>
      </c>
      <c r="G2129" s="13" t="s">
        <v>2450</v>
      </c>
      <c r="K2129" t="s">
        <v>413</v>
      </c>
      <c r="L2129" s="81">
        <f>+Municipios!U1026</f>
        <v>19.356402734066091</v>
      </c>
      <c r="M2129" s="13">
        <v>85225</v>
      </c>
      <c r="N2129" s="13" t="s">
        <v>2449</v>
      </c>
      <c r="O2129" s="13" t="s">
        <v>1351</v>
      </c>
      <c r="P2129" s="13" t="s">
        <v>1352</v>
      </c>
      <c r="Q2129" s="13" t="s">
        <v>2450</v>
      </c>
      <c r="T2129" t="s">
        <v>2804</v>
      </c>
      <c r="U2129" s="25">
        <f>+Municipios!P1026</f>
        <v>53.138757795331614</v>
      </c>
      <c r="V2129" s="13">
        <v>85225</v>
      </c>
      <c r="W2129" s="13" t="s">
        <v>2449</v>
      </c>
      <c r="X2129" s="13" t="s">
        <v>1351</v>
      </c>
      <c r="Y2129" s="13" t="s">
        <v>1352</v>
      </c>
      <c r="Z2129" s="13" t="s">
        <v>2450</v>
      </c>
    </row>
    <row r="2130" spans="1:26">
      <c r="A2130" t="s">
        <v>412</v>
      </c>
      <c r="B2130" s="25">
        <f>+Municipios!P1027</f>
        <v>51.751280030400366</v>
      </c>
      <c r="C2130" s="13">
        <v>68298</v>
      </c>
      <c r="D2130" s="13" t="s">
        <v>2451</v>
      </c>
      <c r="E2130" s="13" t="s">
        <v>431</v>
      </c>
      <c r="F2130" s="13" t="s">
        <v>432</v>
      </c>
      <c r="G2130" s="13" t="s">
        <v>2452</v>
      </c>
      <c r="K2130" t="s">
        <v>413</v>
      </c>
      <c r="L2130" s="81">
        <f>+Municipios!U1027</f>
        <v>18.83474035413785</v>
      </c>
      <c r="M2130" s="13">
        <v>68298</v>
      </c>
      <c r="N2130" s="13" t="s">
        <v>2451</v>
      </c>
      <c r="O2130" s="13" t="s">
        <v>431</v>
      </c>
      <c r="P2130" s="13" t="s">
        <v>432</v>
      </c>
      <c r="Q2130" s="13" t="s">
        <v>2452</v>
      </c>
      <c r="T2130" t="s">
        <v>2804</v>
      </c>
      <c r="U2130" s="25">
        <f>+Municipios!P1027</f>
        <v>51.751280030400366</v>
      </c>
      <c r="V2130" s="13">
        <v>68298</v>
      </c>
      <c r="W2130" s="13" t="s">
        <v>2451</v>
      </c>
      <c r="X2130" s="13" t="s">
        <v>431</v>
      </c>
      <c r="Y2130" s="13" t="s">
        <v>432</v>
      </c>
      <c r="Z2130" s="13" t="s">
        <v>2452</v>
      </c>
    </row>
    <row r="2131" spans="1:26">
      <c r="A2131" t="s">
        <v>412</v>
      </c>
      <c r="B2131" s="25">
        <f>+Municipios!P1028</f>
        <v>49.626545211784233</v>
      </c>
      <c r="C2131" s="13">
        <v>17446</v>
      </c>
      <c r="D2131" s="13" t="s">
        <v>2453</v>
      </c>
      <c r="E2131" s="13" t="s">
        <v>506</v>
      </c>
      <c r="F2131" s="13" t="s">
        <v>507</v>
      </c>
      <c r="G2131" s="13" t="s">
        <v>2454</v>
      </c>
      <c r="K2131" t="s">
        <v>413</v>
      </c>
      <c r="L2131" s="81">
        <f>+Municipios!U1028</f>
        <v>18.211673230535645</v>
      </c>
      <c r="M2131" s="13">
        <v>17446</v>
      </c>
      <c r="N2131" s="13" t="s">
        <v>2453</v>
      </c>
      <c r="O2131" s="13" t="s">
        <v>506</v>
      </c>
      <c r="P2131" s="13" t="s">
        <v>507</v>
      </c>
      <c r="Q2131" s="13" t="s">
        <v>2454</v>
      </c>
      <c r="T2131" t="s">
        <v>2804</v>
      </c>
      <c r="U2131" s="25">
        <f>+Municipios!P1028</f>
        <v>49.626545211784233</v>
      </c>
      <c r="V2131" s="13">
        <v>17446</v>
      </c>
      <c r="W2131" s="13" t="s">
        <v>2453</v>
      </c>
      <c r="X2131" s="13" t="s">
        <v>506</v>
      </c>
      <c r="Y2131" s="13" t="s">
        <v>507</v>
      </c>
      <c r="Z2131" s="13" t="s">
        <v>2454</v>
      </c>
    </row>
    <row r="2132" spans="1:26">
      <c r="A2132" t="s">
        <v>412</v>
      </c>
      <c r="B2132" s="25">
        <f>+Municipios!P1029</f>
        <v>53.544877778402238</v>
      </c>
      <c r="C2132" s="13">
        <v>73622</v>
      </c>
      <c r="D2132" s="13" t="s">
        <v>2455</v>
      </c>
      <c r="E2132" s="13" t="s">
        <v>595</v>
      </c>
      <c r="F2132" s="13" t="s">
        <v>596</v>
      </c>
      <c r="G2132" s="13" t="s">
        <v>2456</v>
      </c>
      <c r="K2132" t="s">
        <v>413</v>
      </c>
      <c r="L2132" s="81">
        <f>+Municipios!U1029</f>
        <v>19.644321268099628</v>
      </c>
      <c r="M2132" s="13">
        <v>73622</v>
      </c>
      <c r="N2132" s="13" t="s">
        <v>2455</v>
      </c>
      <c r="O2132" s="13" t="s">
        <v>595</v>
      </c>
      <c r="P2132" s="13" t="s">
        <v>596</v>
      </c>
      <c r="Q2132" s="13" t="s">
        <v>2456</v>
      </c>
      <c r="T2132" t="s">
        <v>2804</v>
      </c>
      <c r="U2132" s="25">
        <f>+Municipios!P1029</f>
        <v>53.544877778402238</v>
      </c>
      <c r="V2132" s="13">
        <v>73622</v>
      </c>
      <c r="W2132" s="13" t="s">
        <v>2455</v>
      </c>
      <c r="X2132" s="13" t="s">
        <v>595</v>
      </c>
      <c r="Y2132" s="13" t="s">
        <v>596</v>
      </c>
      <c r="Z2132" s="13" t="s">
        <v>2456</v>
      </c>
    </row>
    <row r="2133" spans="1:26">
      <c r="A2133" t="s">
        <v>412</v>
      </c>
      <c r="B2133" s="25">
        <f>+Municipios!P1030</f>
        <v>55.515351654453752</v>
      </c>
      <c r="C2133" s="13">
        <v>18479</v>
      </c>
      <c r="D2133" s="13" t="s">
        <v>2457</v>
      </c>
      <c r="E2133" s="13" t="s">
        <v>1463</v>
      </c>
      <c r="F2133" s="13" t="s">
        <v>1464</v>
      </c>
      <c r="G2133" s="13" t="s">
        <v>2458</v>
      </c>
      <c r="K2133" t="s">
        <v>413</v>
      </c>
      <c r="L2133" s="81">
        <f>+Municipios!U1030</f>
        <v>20.382382509515217</v>
      </c>
      <c r="M2133" s="13">
        <v>18479</v>
      </c>
      <c r="N2133" s="13" t="s">
        <v>2457</v>
      </c>
      <c r="O2133" s="13" t="s">
        <v>1463</v>
      </c>
      <c r="P2133" s="13" t="s">
        <v>1464</v>
      </c>
      <c r="Q2133" s="13" t="s">
        <v>2458</v>
      </c>
      <c r="T2133" t="s">
        <v>2804</v>
      </c>
      <c r="U2133" s="25">
        <f>+Municipios!P1030</f>
        <v>55.515351654453752</v>
      </c>
      <c r="V2133" s="13">
        <v>18479</v>
      </c>
      <c r="W2133" s="13" t="s">
        <v>2457</v>
      </c>
      <c r="X2133" s="13" t="s">
        <v>1463</v>
      </c>
      <c r="Y2133" s="13" t="s">
        <v>1464</v>
      </c>
      <c r="Z2133" s="13" t="s">
        <v>2458</v>
      </c>
    </row>
    <row r="2134" spans="1:26">
      <c r="A2134" t="s">
        <v>412</v>
      </c>
      <c r="B2134" s="25">
        <f>+Municipios!P1031</f>
        <v>55.428836730978134</v>
      </c>
      <c r="C2134" s="13">
        <v>27615</v>
      </c>
      <c r="D2134" s="13" t="s">
        <v>2459</v>
      </c>
      <c r="E2134" s="13" t="s">
        <v>1714</v>
      </c>
      <c r="F2134" s="13" t="s">
        <v>1715</v>
      </c>
      <c r="G2134" s="13" t="s">
        <v>855</v>
      </c>
      <c r="K2134" t="s">
        <v>413</v>
      </c>
      <c r="L2134" s="81">
        <f>+Municipios!U1031</f>
        <v>17.420275873545112</v>
      </c>
      <c r="M2134" s="13">
        <v>27615</v>
      </c>
      <c r="N2134" s="13" t="s">
        <v>2459</v>
      </c>
      <c r="O2134" s="13" t="s">
        <v>1714</v>
      </c>
      <c r="P2134" s="13" t="s">
        <v>1715</v>
      </c>
      <c r="Q2134" s="13" t="s">
        <v>855</v>
      </c>
      <c r="T2134" t="s">
        <v>2804</v>
      </c>
      <c r="U2134" s="25">
        <f>+Municipios!P1031</f>
        <v>55.428836730978134</v>
      </c>
      <c r="V2134" s="13">
        <v>27615</v>
      </c>
      <c r="W2134" s="13" t="s">
        <v>2459</v>
      </c>
      <c r="X2134" s="13" t="s">
        <v>1714</v>
      </c>
      <c r="Y2134" s="13" t="s">
        <v>1715</v>
      </c>
      <c r="Z2134" s="13" t="s">
        <v>855</v>
      </c>
    </row>
    <row r="2135" spans="1:26">
      <c r="A2135" t="s">
        <v>412</v>
      </c>
      <c r="B2135" s="25">
        <f>+Municipios!P1032</f>
        <v>64.176999550943989</v>
      </c>
      <c r="C2135" s="13">
        <v>27425</v>
      </c>
      <c r="D2135" s="13" t="s">
        <v>2460</v>
      </c>
      <c r="E2135" s="13" t="s">
        <v>1714</v>
      </c>
      <c r="F2135" s="13" t="s">
        <v>1715</v>
      </c>
      <c r="G2135" s="13" t="s">
        <v>2461</v>
      </c>
      <c r="K2135" t="s">
        <v>413</v>
      </c>
      <c r="L2135" s="81">
        <f>+Municipios!U1032</f>
        <v>22.832575271908539</v>
      </c>
      <c r="M2135" s="13">
        <v>27425</v>
      </c>
      <c r="N2135" s="13" t="s">
        <v>2460</v>
      </c>
      <c r="O2135" s="13" t="s">
        <v>1714</v>
      </c>
      <c r="P2135" s="13" t="s">
        <v>1715</v>
      </c>
      <c r="Q2135" s="13" t="s">
        <v>2461</v>
      </c>
      <c r="T2135" t="s">
        <v>2804</v>
      </c>
      <c r="U2135" s="25">
        <f>+Municipios!P1032</f>
        <v>64.176999550943989</v>
      </c>
      <c r="V2135" s="13">
        <v>27425</v>
      </c>
      <c r="W2135" s="13" t="s">
        <v>2460</v>
      </c>
      <c r="X2135" s="13" t="s">
        <v>1714</v>
      </c>
      <c r="Y2135" s="13" t="s">
        <v>1715</v>
      </c>
      <c r="Z2135" s="13" t="s">
        <v>2461</v>
      </c>
    </row>
    <row r="2136" spans="1:26">
      <c r="A2136" t="s">
        <v>412</v>
      </c>
      <c r="B2136" s="25">
        <f>+Municipios!P1033</f>
        <v>54.441079923314959</v>
      </c>
      <c r="C2136" s="13">
        <v>19533</v>
      </c>
      <c r="D2136" s="13" t="s">
        <v>2462</v>
      </c>
      <c r="E2136" s="13" t="s">
        <v>557</v>
      </c>
      <c r="F2136" s="13" t="s">
        <v>558</v>
      </c>
      <c r="G2136" s="13" t="s">
        <v>2463</v>
      </c>
      <c r="K2136" t="s">
        <v>413</v>
      </c>
      <c r="L2136" s="81">
        <f>+Municipios!U1033</f>
        <v>19.833690175084417</v>
      </c>
      <c r="M2136" s="13">
        <v>19533</v>
      </c>
      <c r="N2136" s="13" t="s">
        <v>2462</v>
      </c>
      <c r="O2136" s="13" t="s">
        <v>557</v>
      </c>
      <c r="P2136" s="13" t="s">
        <v>558</v>
      </c>
      <c r="Q2136" s="13" t="s">
        <v>2463</v>
      </c>
      <c r="T2136" t="s">
        <v>2804</v>
      </c>
      <c r="U2136" s="25">
        <f>+Municipios!P1033</f>
        <v>54.441079923314959</v>
      </c>
      <c r="V2136" s="13">
        <v>19533</v>
      </c>
      <c r="W2136" s="13" t="s">
        <v>2462</v>
      </c>
      <c r="X2136" s="13" t="s">
        <v>557</v>
      </c>
      <c r="Y2136" s="13" t="s">
        <v>558</v>
      </c>
      <c r="Z2136" s="13" t="s">
        <v>2463</v>
      </c>
    </row>
    <row r="2137" spans="1:26">
      <c r="A2137" t="s">
        <v>412</v>
      </c>
      <c r="B2137" s="25">
        <f>+Municipios!P1034</f>
        <v>52.693049209166816</v>
      </c>
      <c r="C2137" s="13">
        <v>85015</v>
      </c>
      <c r="D2137" s="13" t="s">
        <v>2464</v>
      </c>
      <c r="E2137" s="13" t="s">
        <v>1351</v>
      </c>
      <c r="F2137" s="13" t="s">
        <v>1352</v>
      </c>
      <c r="G2137" s="13" t="s">
        <v>2465</v>
      </c>
      <c r="K2137" t="s">
        <v>413</v>
      </c>
      <c r="L2137" s="81">
        <f>+Municipios!U1034</f>
        <v>19.439199061891607</v>
      </c>
      <c r="M2137" s="13">
        <v>85015</v>
      </c>
      <c r="N2137" s="13" t="s">
        <v>2464</v>
      </c>
      <c r="O2137" s="13" t="s">
        <v>1351</v>
      </c>
      <c r="P2137" s="13" t="s">
        <v>1352</v>
      </c>
      <c r="Q2137" s="13" t="s">
        <v>2465</v>
      </c>
      <c r="T2137" t="s">
        <v>2804</v>
      </c>
      <c r="U2137" s="25">
        <f>+Municipios!P1034</f>
        <v>52.693049209166816</v>
      </c>
      <c r="V2137" s="13">
        <v>85015</v>
      </c>
      <c r="W2137" s="13" t="s">
        <v>2464</v>
      </c>
      <c r="X2137" s="13" t="s">
        <v>1351</v>
      </c>
      <c r="Y2137" s="13" t="s">
        <v>1352</v>
      </c>
      <c r="Z2137" s="13" t="s">
        <v>2465</v>
      </c>
    </row>
    <row r="2138" spans="1:26">
      <c r="A2138" t="s">
        <v>412</v>
      </c>
      <c r="B2138" s="25">
        <f>+Municipios!P1035</f>
        <v>46.400477635130073</v>
      </c>
      <c r="C2138" s="13">
        <v>13458</v>
      </c>
      <c r="D2138" s="13" t="s">
        <v>2466</v>
      </c>
      <c r="E2138" s="13" t="s">
        <v>480</v>
      </c>
      <c r="F2138" s="13" t="s">
        <v>481</v>
      </c>
      <c r="G2138" s="13" t="s">
        <v>2467</v>
      </c>
      <c r="K2138" t="s">
        <v>413</v>
      </c>
      <c r="L2138" s="81">
        <f>+Municipios!U1035</f>
        <v>16.538092902910254</v>
      </c>
      <c r="M2138" s="13">
        <v>13458</v>
      </c>
      <c r="N2138" s="13" t="s">
        <v>2466</v>
      </c>
      <c r="O2138" s="13" t="s">
        <v>480</v>
      </c>
      <c r="P2138" s="13" t="s">
        <v>481</v>
      </c>
      <c r="Q2138" s="13" t="s">
        <v>2467</v>
      </c>
      <c r="T2138" t="s">
        <v>2804</v>
      </c>
      <c r="U2138" s="25">
        <f>+Municipios!P1035</f>
        <v>46.400477635130073</v>
      </c>
      <c r="V2138" s="13">
        <v>13458</v>
      </c>
      <c r="W2138" s="13" t="s">
        <v>2466</v>
      </c>
      <c r="X2138" s="13" t="s">
        <v>480</v>
      </c>
      <c r="Y2138" s="13" t="s">
        <v>481</v>
      </c>
      <c r="Z2138" s="13" t="s">
        <v>2467</v>
      </c>
    </row>
    <row r="2139" spans="1:26">
      <c r="A2139" t="s">
        <v>412</v>
      </c>
      <c r="B2139" s="25">
        <f>+Municipios!P1036</f>
        <v>63.25596936599689</v>
      </c>
      <c r="C2139" s="13">
        <v>68264</v>
      </c>
      <c r="D2139" s="13" t="s">
        <v>2468</v>
      </c>
      <c r="E2139" s="13" t="s">
        <v>431</v>
      </c>
      <c r="F2139" s="13" t="s">
        <v>432</v>
      </c>
      <c r="G2139" s="13" t="s">
        <v>2469</v>
      </c>
      <c r="K2139" t="s">
        <v>413</v>
      </c>
      <c r="L2139" s="81">
        <f>+Municipios!U1036</f>
        <v>23.221780595742505</v>
      </c>
      <c r="M2139" s="13">
        <v>68264</v>
      </c>
      <c r="N2139" s="13" t="s">
        <v>2468</v>
      </c>
      <c r="O2139" s="13" t="s">
        <v>431</v>
      </c>
      <c r="P2139" s="13" t="s">
        <v>432</v>
      </c>
      <c r="Q2139" s="13" t="s">
        <v>2469</v>
      </c>
      <c r="T2139" t="s">
        <v>2804</v>
      </c>
      <c r="U2139" s="25">
        <f>+Municipios!P1036</f>
        <v>63.25596936599689</v>
      </c>
      <c r="V2139" s="13">
        <v>68264</v>
      </c>
      <c r="W2139" s="13" t="s">
        <v>2468</v>
      </c>
      <c r="X2139" s="13" t="s">
        <v>431</v>
      </c>
      <c r="Y2139" s="13" t="s">
        <v>432</v>
      </c>
      <c r="Z2139" s="13" t="s">
        <v>2469</v>
      </c>
    </row>
    <row r="2140" spans="1:26">
      <c r="A2140" t="s">
        <v>412</v>
      </c>
      <c r="B2140" s="25">
        <f>+Municipios!P1037</f>
        <v>54.508882554792528</v>
      </c>
      <c r="C2140" s="13">
        <v>86571</v>
      </c>
      <c r="D2140" s="13" t="s">
        <v>2470</v>
      </c>
      <c r="E2140" s="13" t="s">
        <v>943</v>
      </c>
      <c r="F2140" s="13" t="s">
        <v>944</v>
      </c>
      <c r="G2140" s="13" t="s">
        <v>2471</v>
      </c>
      <c r="K2140" t="s">
        <v>413</v>
      </c>
      <c r="L2140" s="81">
        <f>+Municipios!U1037</f>
        <v>20.021420864051159</v>
      </c>
      <c r="M2140" s="13">
        <v>86571</v>
      </c>
      <c r="N2140" s="13" t="s">
        <v>2470</v>
      </c>
      <c r="O2140" s="13" t="s">
        <v>943</v>
      </c>
      <c r="P2140" s="13" t="s">
        <v>944</v>
      </c>
      <c r="Q2140" s="13" t="s">
        <v>2471</v>
      </c>
      <c r="T2140" t="s">
        <v>2804</v>
      </c>
      <c r="U2140" s="25">
        <f>+Municipios!P1037</f>
        <v>54.508882554792528</v>
      </c>
      <c r="V2140" s="13">
        <v>86571</v>
      </c>
      <c r="W2140" s="13" t="s">
        <v>2470</v>
      </c>
      <c r="X2140" s="13" t="s">
        <v>943</v>
      </c>
      <c r="Y2140" s="13" t="s">
        <v>944</v>
      </c>
      <c r="Z2140" s="13" t="s">
        <v>2471</v>
      </c>
    </row>
    <row r="2141" spans="1:26">
      <c r="A2141" t="s">
        <v>412</v>
      </c>
      <c r="B2141" s="25">
        <f>+Municipios!P1038</f>
        <v>57.35176144030828</v>
      </c>
      <c r="C2141" s="13">
        <v>50223</v>
      </c>
      <c r="D2141" s="13" t="s">
        <v>2472</v>
      </c>
      <c r="E2141" s="13" t="s">
        <v>605</v>
      </c>
      <c r="F2141" s="13" t="s">
        <v>606</v>
      </c>
      <c r="G2141" s="13" t="s">
        <v>2473</v>
      </c>
      <c r="K2141" t="s">
        <v>413</v>
      </c>
      <c r="L2141" s="81">
        <f>+Municipios!U1038</f>
        <v>20.197551271832683</v>
      </c>
      <c r="M2141" s="13">
        <v>50223</v>
      </c>
      <c r="N2141" s="13" t="s">
        <v>2472</v>
      </c>
      <c r="O2141" s="13" t="s">
        <v>605</v>
      </c>
      <c r="P2141" s="13" t="s">
        <v>606</v>
      </c>
      <c r="Q2141" s="13" t="s">
        <v>2473</v>
      </c>
      <c r="T2141" t="s">
        <v>2804</v>
      </c>
      <c r="U2141" s="25">
        <f>+Municipios!P1038</f>
        <v>57.35176144030828</v>
      </c>
      <c r="V2141" s="13">
        <v>50223</v>
      </c>
      <c r="W2141" s="13" t="s">
        <v>2472</v>
      </c>
      <c r="X2141" s="13" t="s">
        <v>605</v>
      </c>
      <c r="Y2141" s="13" t="s">
        <v>606</v>
      </c>
      <c r="Z2141" s="13" t="s">
        <v>2473</v>
      </c>
    </row>
    <row r="2142" spans="1:26">
      <c r="A2142" t="s">
        <v>412</v>
      </c>
      <c r="B2142" s="25">
        <f>+Municipios!P1039</f>
        <v>64.99391692250336</v>
      </c>
      <c r="C2142" s="13">
        <v>50124</v>
      </c>
      <c r="D2142" s="13" t="s">
        <v>2474</v>
      </c>
      <c r="E2142" s="13" t="s">
        <v>605</v>
      </c>
      <c r="F2142" s="13" t="s">
        <v>606</v>
      </c>
      <c r="G2142" s="13" t="s">
        <v>2475</v>
      </c>
      <c r="K2142" t="s">
        <v>413</v>
      </c>
      <c r="L2142" s="81">
        <f>+Municipios!U1039</f>
        <v>23.143537330839226</v>
      </c>
      <c r="M2142" s="13">
        <v>50124</v>
      </c>
      <c r="N2142" s="13" t="s">
        <v>2474</v>
      </c>
      <c r="O2142" s="13" t="s">
        <v>605</v>
      </c>
      <c r="P2142" s="13" t="s">
        <v>606</v>
      </c>
      <c r="Q2142" s="13" t="s">
        <v>2475</v>
      </c>
      <c r="T2142" t="s">
        <v>2804</v>
      </c>
      <c r="U2142" s="25">
        <f>+Municipios!P1039</f>
        <v>64.99391692250336</v>
      </c>
      <c r="V2142" s="13">
        <v>50124</v>
      </c>
      <c r="W2142" s="13" t="s">
        <v>2474</v>
      </c>
      <c r="X2142" s="13" t="s">
        <v>605</v>
      </c>
      <c r="Y2142" s="13" t="s">
        <v>606</v>
      </c>
      <c r="Z2142" s="13" t="s">
        <v>2475</v>
      </c>
    </row>
    <row r="2143" spans="1:26">
      <c r="A2143" t="s">
        <v>412</v>
      </c>
      <c r="B2143" s="25">
        <f>+Municipios!P1040</f>
        <v>42.967881594034793</v>
      </c>
      <c r="C2143" s="13">
        <v>50245</v>
      </c>
      <c r="D2143" s="13" t="s">
        <v>2476</v>
      </c>
      <c r="E2143" s="13" t="s">
        <v>605</v>
      </c>
      <c r="F2143" s="13" t="s">
        <v>606</v>
      </c>
      <c r="G2143" s="13" t="s">
        <v>2477</v>
      </c>
      <c r="K2143" t="s">
        <v>413</v>
      </c>
      <c r="L2143" s="81">
        <f>+Municipios!U1040</f>
        <v>15.517746089747964</v>
      </c>
      <c r="M2143" s="13">
        <v>50245</v>
      </c>
      <c r="N2143" s="13" t="s">
        <v>2476</v>
      </c>
      <c r="O2143" s="13" t="s">
        <v>605</v>
      </c>
      <c r="P2143" s="13" t="s">
        <v>606</v>
      </c>
      <c r="Q2143" s="13" t="s">
        <v>2477</v>
      </c>
      <c r="T2143" t="s">
        <v>2804</v>
      </c>
      <c r="U2143" s="25">
        <f>+Municipios!P1040</f>
        <v>42.967881594034793</v>
      </c>
      <c r="V2143" s="13">
        <v>50245</v>
      </c>
      <c r="W2143" s="13" t="s">
        <v>2476</v>
      </c>
      <c r="X2143" s="13" t="s">
        <v>605</v>
      </c>
      <c r="Y2143" s="13" t="s">
        <v>606</v>
      </c>
      <c r="Z2143" s="13" t="s">
        <v>2477</v>
      </c>
    </row>
    <row r="2144" spans="1:26">
      <c r="A2144" t="s">
        <v>412</v>
      </c>
      <c r="B2144" s="25">
        <f>+Municipios!P1041</f>
        <v>49.401756418988498</v>
      </c>
      <c r="C2144" s="13">
        <v>52250</v>
      </c>
      <c r="D2144" s="13" t="s">
        <v>2478</v>
      </c>
      <c r="E2144" s="13" t="s">
        <v>672</v>
      </c>
      <c r="F2144" s="13" t="s">
        <v>673</v>
      </c>
      <c r="G2144" s="13" t="s">
        <v>2479</v>
      </c>
      <c r="K2144" t="s">
        <v>413</v>
      </c>
      <c r="L2144" s="81">
        <f>+Municipios!U1041</f>
        <v>17.526760671013946</v>
      </c>
      <c r="M2144" s="13">
        <v>52250</v>
      </c>
      <c r="N2144" s="13" t="s">
        <v>2478</v>
      </c>
      <c r="O2144" s="13" t="s">
        <v>672</v>
      </c>
      <c r="P2144" s="13" t="s">
        <v>673</v>
      </c>
      <c r="Q2144" s="13" t="s">
        <v>2479</v>
      </c>
      <c r="T2144" t="s">
        <v>2804</v>
      </c>
      <c r="U2144" s="25">
        <f>+Municipios!P1041</f>
        <v>49.401756418988498</v>
      </c>
      <c r="V2144" s="13">
        <v>52250</v>
      </c>
      <c r="W2144" s="13" t="s">
        <v>2478</v>
      </c>
      <c r="X2144" s="13" t="s">
        <v>672</v>
      </c>
      <c r="Y2144" s="13" t="s">
        <v>673</v>
      </c>
      <c r="Z2144" s="13" t="s">
        <v>2479</v>
      </c>
    </row>
    <row r="2145" spans="1:26">
      <c r="A2145" t="s">
        <v>412</v>
      </c>
      <c r="B2145" s="25">
        <f>+Municipios!P1042</f>
        <v>51.96193432220366</v>
      </c>
      <c r="C2145" s="13">
        <v>52621</v>
      </c>
      <c r="D2145" s="13" t="s">
        <v>2480</v>
      </c>
      <c r="E2145" s="13" t="s">
        <v>672</v>
      </c>
      <c r="F2145" s="13" t="s">
        <v>673</v>
      </c>
      <c r="G2145" s="13" t="s">
        <v>2481</v>
      </c>
      <c r="K2145" t="s">
        <v>413</v>
      </c>
      <c r="L2145" s="81">
        <f>+Municipios!U1042</f>
        <v>18.247808265492516</v>
      </c>
      <c r="M2145" s="13">
        <v>52621</v>
      </c>
      <c r="N2145" s="13" t="s">
        <v>2480</v>
      </c>
      <c r="O2145" s="13" t="s">
        <v>672</v>
      </c>
      <c r="P2145" s="13" t="s">
        <v>673</v>
      </c>
      <c r="Q2145" s="13" t="s">
        <v>2481</v>
      </c>
      <c r="T2145" t="s">
        <v>2804</v>
      </c>
      <c r="U2145" s="25">
        <f>+Municipios!P1042</f>
        <v>51.96193432220366</v>
      </c>
      <c r="V2145" s="13">
        <v>52621</v>
      </c>
      <c r="W2145" s="13" t="s">
        <v>2480</v>
      </c>
      <c r="X2145" s="13" t="s">
        <v>672</v>
      </c>
      <c r="Y2145" s="13" t="s">
        <v>673</v>
      </c>
      <c r="Z2145" s="13" t="s">
        <v>2481</v>
      </c>
    </row>
    <row r="2146" spans="1:26">
      <c r="A2146" t="s">
        <v>412</v>
      </c>
      <c r="B2146" s="25">
        <f>+Municipios!P1043</f>
        <v>59.416247082301673</v>
      </c>
      <c r="C2146" s="13">
        <v>27150</v>
      </c>
      <c r="D2146" s="13" t="s">
        <v>2482</v>
      </c>
      <c r="E2146" s="13" t="s">
        <v>1714</v>
      </c>
      <c r="F2146" s="13" t="s">
        <v>1715</v>
      </c>
      <c r="G2146" s="13" t="s">
        <v>2483</v>
      </c>
      <c r="K2146" t="s">
        <v>413</v>
      </c>
      <c r="L2146" s="81">
        <f>+Municipios!U1043</f>
        <v>21.053085132023512</v>
      </c>
      <c r="M2146" s="13">
        <v>27150</v>
      </c>
      <c r="N2146" s="13" t="s">
        <v>2482</v>
      </c>
      <c r="O2146" s="13" t="s">
        <v>1714</v>
      </c>
      <c r="P2146" s="13" t="s">
        <v>1715</v>
      </c>
      <c r="Q2146" s="13" t="s">
        <v>2483</v>
      </c>
      <c r="T2146" t="s">
        <v>2804</v>
      </c>
      <c r="U2146" s="25">
        <f>+Municipios!P1043</f>
        <v>59.416247082301673</v>
      </c>
      <c r="V2146" s="13">
        <v>27150</v>
      </c>
      <c r="W2146" s="13" t="s">
        <v>2482</v>
      </c>
      <c r="X2146" s="13" t="s">
        <v>1714</v>
      </c>
      <c r="Y2146" s="13" t="s">
        <v>1715</v>
      </c>
      <c r="Z2146" s="13" t="s">
        <v>2483</v>
      </c>
    </row>
    <row r="2147" spans="1:26">
      <c r="A2147" t="s">
        <v>412</v>
      </c>
      <c r="B2147" s="25">
        <f>+Municipios!P1044</f>
        <v>56.714654939494665</v>
      </c>
      <c r="C2147" s="13">
        <v>18460</v>
      </c>
      <c r="D2147" s="13" t="s">
        <v>2484</v>
      </c>
      <c r="E2147" s="13" t="s">
        <v>1463</v>
      </c>
      <c r="F2147" s="13" t="s">
        <v>1464</v>
      </c>
      <c r="G2147" s="13" t="s">
        <v>2485</v>
      </c>
      <c r="K2147" t="s">
        <v>413</v>
      </c>
      <c r="L2147" s="81">
        <f>+Municipios!U1044</f>
        <v>20.235427518193479</v>
      </c>
      <c r="M2147" s="13">
        <v>18460</v>
      </c>
      <c r="N2147" s="13" t="s">
        <v>2484</v>
      </c>
      <c r="O2147" s="13" t="s">
        <v>1463</v>
      </c>
      <c r="P2147" s="13" t="s">
        <v>1464</v>
      </c>
      <c r="Q2147" s="13" t="s">
        <v>2485</v>
      </c>
      <c r="T2147" t="s">
        <v>2804</v>
      </c>
      <c r="U2147" s="25">
        <f>+Municipios!P1044</f>
        <v>56.714654939494665</v>
      </c>
      <c r="V2147" s="13">
        <v>18460</v>
      </c>
      <c r="W2147" s="13" t="s">
        <v>2484</v>
      </c>
      <c r="X2147" s="13" t="s">
        <v>1463</v>
      </c>
      <c r="Y2147" s="13" t="s">
        <v>1464</v>
      </c>
      <c r="Z2147" s="13" t="s">
        <v>2485</v>
      </c>
    </row>
    <row r="2148" spans="1:26">
      <c r="A2148" t="s">
        <v>412</v>
      </c>
      <c r="B2148" s="25">
        <f>+Municipios!P1045</f>
        <v>61.572383727552491</v>
      </c>
      <c r="C2148" s="13">
        <v>85315</v>
      </c>
      <c r="D2148" s="13" t="s">
        <v>2486</v>
      </c>
      <c r="E2148" s="13" t="s">
        <v>1351</v>
      </c>
      <c r="F2148" s="13" t="s">
        <v>1352</v>
      </c>
      <c r="G2148" s="13" t="s">
        <v>2487</v>
      </c>
      <c r="K2148" t="s">
        <v>413</v>
      </c>
      <c r="L2148" s="81">
        <f>+Municipios!U1045</f>
        <v>21.098142763042986</v>
      </c>
      <c r="M2148" s="13">
        <v>85315</v>
      </c>
      <c r="N2148" s="13" t="s">
        <v>2486</v>
      </c>
      <c r="O2148" s="13" t="s">
        <v>1351</v>
      </c>
      <c r="P2148" s="13" t="s">
        <v>1352</v>
      </c>
      <c r="Q2148" s="13" t="s">
        <v>2487</v>
      </c>
      <c r="T2148" t="s">
        <v>2804</v>
      </c>
      <c r="U2148" s="25">
        <f>+Municipios!P1045</f>
        <v>61.572383727552491</v>
      </c>
      <c r="V2148" s="13">
        <v>85315</v>
      </c>
      <c r="W2148" s="13" t="s">
        <v>2486</v>
      </c>
      <c r="X2148" s="13" t="s">
        <v>1351</v>
      </c>
      <c r="Y2148" s="13" t="s">
        <v>1352</v>
      </c>
      <c r="Z2148" s="13" t="s">
        <v>2487</v>
      </c>
    </row>
    <row r="2149" spans="1:26">
      <c r="A2149" t="s">
        <v>412</v>
      </c>
      <c r="B2149" s="25">
        <f>+Municipios!P1046</f>
        <v>66.354224363438661</v>
      </c>
      <c r="C2149" s="13">
        <v>15377</v>
      </c>
      <c r="D2149" s="13" t="s">
        <v>2488</v>
      </c>
      <c r="E2149" s="13" t="s">
        <v>498</v>
      </c>
      <c r="F2149" s="13" t="s">
        <v>499</v>
      </c>
      <c r="G2149" s="13" t="s">
        <v>2489</v>
      </c>
      <c r="K2149" t="s">
        <v>413</v>
      </c>
      <c r="L2149" s="81">
        <f>+Municipios!U1046</f>
        <v>23.136780965486874</v>
      </c>
      <c r="M2149" s="13">
        <v>15377</v>
      </c>
      <c r="N2149" s="13" t="s">
        <v>2488</v>
      </c>
      <c r="O2149" s="13" t="s">
        <v>498</v>
      </c>
      <c r="P2149" s="13" t="s">
        <v>499</v>
      </c>
      <c r="Q2149" s="13" t="s">
        <v>2489</v>
      </c>
      <c r="T2149" t="s">
        <v>2804</v>
      </c>
      <c r="U2149" s="25">
        <f>+Municipios!P1046</f>
        <v>66.354224363438661</v>
      </c>
      <c r="V2149" s="13">
        <v>15377</v>
      </c>
      <c r="W2149" s="13" t="s">
        <v>2488</v>
      </c>
      <c r="X2149" s="13" t="s">
        <v>498</v>
      </c>
      <c r="Y2149" s="13" t="s">
        <v>499</v>
      </c>
      <c r="Z2149" s="13" t="s">
        <v>2489</v>
      </c>
    </row>
    <row r="2150" spans="1:26">
      <c r="A2150" t="s">
        <v>412</v>
      </c>
      <c r="B2150" s="25">
        <f>+Municipios!P1047</f>
        <v>42.789698140188932</v>
      </c>
      <c r="C2150" s="13">
        <v>50686</v>
      </c>
      <c r="D2150" s="13" t="s">
        <v>2490</v>
      </c>
      <c r="E2150" s="13" t="s">
        <v>605</v>
      </c>
      <c r="F2150" s="13" t="s">
        <v>606</v>
      </c>
      <c r="G2150" s="13" t="s">
        <v>2491</v>
      </c>
      <c r="K2150" t="s">
        <v>413</v>
      </c>
      <c r="L2150" s="81">
        <f>+Municipios!U1047</f>
        <v>14.721020539651837</v>
      </c>
      <c r="M2150" s="13">
        <v>50686</v>
      </c>
      <c r="N2150" s="13" t="s">
        <v>2490</v>
      </c>
      <c r="O2150" s="13" t="s">
        <v>605</v>
      </c>
      <c r="P2150" s="13" t="s">
        <v>606</v>
      </c>
      <c r="Q2150" s="13" t="s">
        <v>2491</v>
      </c>
      <c r="T2150" t="s">
        <v>2804</v>
      </c>
      <c r="U2150" s="25">
        <f>+Municipios!P1047</f>
        <v>42.789698140188932</v>
      </c>
      <c r="V2150" s="13">
        <v>50686</v>
      </c>
      <c r="W2150" s="13" t="s">
        <v>2490</v>
      </c>
      <c r="X2150" s="13" t="s">
        <v>605</v>
      </c>
      <c r="Y2150" s="13" t="s">
        <v>606</v>
      </c>
      <c r="Z2150" s="13" t="s">
        <v>2491</v>
      </c>
    </row>
    <row r="2151" spans="1:26">
      <c r="A2151" t="s">
        <v>412</v>
      </c>
      <c r="B2151" s="25">
        <f>+Municipios!P1048</f>
        <v>58.426871788473768</v>
      </c>
      <c r="C2151" s="13">
        <v>85136</v>
      </c>
      <c r="D2151" s="13" t="s">
        <v>2492</v>
      </c>
      <c r="E2151" s="13" t="s">
        <v>1351</v>
      </c>
      <c r="F2151" s="13" t="s">
        <v>1352</v>
      </c>
      <c r="G2151" s="13" t="s">
        <v>2493</v>
      </c>
      <c r="K2151" t="s">
        <v>413</v>
      </c>
      <c r="L2151" s="81">
        <f>+Municipios!U1048</f>
        <v>20.440700943710105</v>
      </c>
      <c r="M2151" s="13">
        <v>85136</v>
      </c>
      <c r="N2151" s="13" t="s">
        <v>2492</v>
      </c>
      <c r="O2151" s="13" t="s">
        <v>1351</v>
      </c>
      <c r="P2151" s="13" t="s">
        <v>1352</v>
      </c>
      <c r="Q2151" s="13" t="s">
        <v>2493</v>
      </c>
      <c r="T2151" t="s">
        <v>2804</v>
      </c>
      <c r="U2151" s="25">
        <f>+Municipios!P1048</f>
        <v>58.426871788473768</v>
      </c>
      <c r="V2151" s="13">
        <v>85136</v>
      </c>
      <c r="W2151" s="13" t="s">
        <v>2492</v>
      </c>
      <c r="X2151" s="13" t="s">
        <v>1351</v>
      </c>
      <c r="Y2151" s="13" t="s">
        <v>1352</v>
      </c>
      <c r="Z2151" s="13" t="s">
        <v>2493</v>
      </c>
    </row>
    <row r="2152" spans="1:26">
      <c r="A2152" t="s">
        <v>412</v>
      </c>
      <c r="B2152" s="25">
        <f>+Municipios!P1049</f>
        <v>60.112811495326994</v>
      </c>
      <c r="C2152" s="13">
        <v>50450</v>
      </c>
      <c r="D2152" s="13" t="s">
        <v>2494</v>
      </c>
      <c r="E2152" s="13" t="s">
        <v>605</v>
      </c>
      <c r="F2152" s="13" t="s">
        <v>606</v>
      </c>
      <c r="G2152" s="13" t="s">
        <v>2495</v>
      </c>
      <c r="K2152" t="s">
        <v>413</v>
      </c>
      <c r="L2152" s="81">
        <f>+Municipios!U1049</f>
        <v>20.161999867937951</v>
      </c>
      <c r="M2152" s="13">
        <v>50450</v>
      </c>
      <c r="N2152" s="13" t="s">
        <v>2494</v>
      </c>
      <c r="O2152" s="13" t="s">
        <v>605</v>
      </c>
      <c r="P2152" s="13" t="s">
        <v>606</v>
      </c>
      <c r="Q2152" s="13" t="s">
        <v>2495</v>
      </c>
      <c r="T2152" t="s">
        <v>2804</v>
      </c>
      <c r="U2152" s="25">
        <f>+Municipios!P1049</f>
        <v>60.112811495326994</v>
      </c>
      <c r="V2152" s="13">
        <v>50450</v>
      </c>
      <c r="W2152" s="13" t="s">
        <v>2494</v>
      </c>
      <c r="X2152" s="13" t="s">
        <v>605</v>
      </c>
      <c r="Y2152" s="13" t="s">
        <v>606</v>
      </c>
      <c r="Z2152" s="13" t="s">
        <v>2495</v>
      </c>
    </row>
    <row r="2153" spans="1:26">
      <c r="A2153" t="s">
        <v>412</v>
      </c>
      <c r="B2153" s="25">
        <f>+Municipios!P1050</f>
        <v>44.472107489037512</v>
      </c>
      <c r="C2153" s="13">
        <v>15180</v>
      </c>
      <c r="D2153" s="13" t="s">
        <v>2496</v>
      </c>
      <c r="E2153" s="13" t="s">
        <v>498</v>
      </c>
      <c r="F2153" s="13" t="s">
        <v>499</v>
      </c>
      <c r="G2153" s="13" t="s">
        <v>2497</v>
      </c>
      <c r="K2153" t="s">
        <v>413</v>
      </c>
      <c r="L2153" s="81">
        <f>+Municipios!U1050</f>
        <v>15.119729415235701</v>
      </c>
      <c r="M2153" s="13">
        <v>15180</v>
      </c>
      <c r="N2153" s="13" t="s">
        <v>2496</v>
      </c>
      <c r="O2153" s="13" t="s">
        <v>498</v>
      </c>
      <c r="P2153" s="13" t="s">
        <v>499</v>
      </c>
      <c r="Q2153" s="13" t="s">
        <v>2497</v>
      </c>
      <c r="T2153" t="s">
        <v>2804</v>
      </c>
      <c r="U2153" s="25">
        <f>+Municipios!P1050</f>
        <v>44.472107489037512</v>
      </c>
      <c r="V2153" s="13">
        <v>15180</v>
      </c>
      <c r="W2153" s="13" t="s">
        <v>2496</v>
      </c>
      <c r="X2153" s="13" t="s">
        <v>498</v>
      </c>
      <c r="Y2153" s="13" t="s">
        <v>499</v>
      </c>
      <c r="Z2153" s="13" t="s">
        <v>2497</v>
      </c>
    </row>
    <row r="2154" spans="1:26">
      <c r="A2154" t="s">
        <v>412</v>
      </c>
      <c r="B2154" s="25">
        <f>+Municipios!P1051</f>
        <v>46.477435050288868</v>
      </c>
      <c r="C2154" s="13">
        <v>5873</v>
      </c>
      <c r="D2154" s="13" t="s">
        <v>2498</v>
      </c>
      <c r="E2154" s="13" t="s">
        <v>435</v>
      </c>
      <c r="F2154" s="13" t="s">
        <v>436</v>
      </c>
      <c r="G2154" s="13" t="s">
        <v>2499</v>
      </c>
      <c r="K2154" t="s">
        <v>413</v>
      </c>
      <c r="L2154" s="81">
        <f>+Municipios!U1051</f>
        <v>16.38862042896973</v>
      </c>
      <c r="M2154" s="13">
        <v>5873</v>
      </c>
      <c r="N2154" s="13" t="s">
        <v>2498</v>
      </c>
      <c r="O2154" s="13" t="s">
        <v>435</v>
      </c>
      <c r="P2154" s="13" t="s">
        <v>436</v>
      </c>
      <c r="Q2154" s="13" t="s">
        <v>2499</v>
      </c>
      <c r="T2154" t="s">
        <v>2804</v>
      </c>
      <c r="U2154" s="25">
        <f>+Municipios!P1051</f>
        <v>46.477435050288868</v>
      </c>
      <c r="V2154" s="13">
        <v>5873</v>
      </c>
      <c r="W2154" s="13" t="s">
        <v>2498</v>
      </c>
      <c r="X2154" s="13" t="s">
        <v>435</v>
      </c>
      <c r="Y2154" s="13" t="s">
        <v>436</v>
      </c>
      <c r="Z2154" s="13" t="s">
        <v>2499</v>
      </c>
    </row>
    <row r="2155" spans="1:26">
      <c r="A2155" t="s">
        <v>412</v>
      </c>
      <c r="B2155" s="25">
        <f>+Municipios!P1052</f>
        <v>54.993020280186997</v>
      </c>
      <c r="C2155" s="13">
        <v>50689</v>
      </c>
      <c r="D2155" s="13" t="s">
        <v>2500</v>
      </c>
      <c r="E2155" s="13" t="s">
        <v>605</v>
      </c>
      <c r="F2155" s="13" t="s">
        <v>606</v>
      </c>
      <c r="G2155" s="13" t="s">
        <v>1833</v>
      </c>
      <c r="K2155" t="s">
        <v>413</v>
      </c>
      <c r="L2155" s="81">
        <f>+Municipios!U1052</f>
        <v>18.255673533860161</v>
      </c>
      <c r="M2155" s="13">
        <v>50689</v>
      </c>
      <c r="N2155" s="13" t="s">
        <v>2500</v>
      </c>
      <c r="O2155" s="13" t="s">
        <v>605</v>
      </c>
      <c r="P2155" s="13" t="s">
        <v>606</v>
      </c>
      <c r="Q2155" s="13" t="s">
        <v>1833</v>
      </c>
      <c r="T2155" t="s">
        <v>2804</v>
      </c>
      <c r="U2155" s="25">
        <f>+Municipios!P1052</f>
        <v>54.993020280186997</v>
      </c>
      <c r="V2155" s="13">
        <v>50689</v>
      </c>
      <c r="W2155" s="13" t="s">
        <v>2500</v>
      </c>
      <c r="X2155" s="13" t="s">
        <v>605</v>
      </c>
      <c r="Y2155" s="13" t="s">
        <v>606</v>
      </c>
      <c r="Z2155" s="13" t="s">
        <v>1833</v>
      </c>
    </row>
    <row r="2156" spans="1:26">
      <c r="A2156" t="s">
        <v>412</v>
      </c>
      <c r="B2156" s="25">
        <f>+Municipios!P1053</f>
        <v>58.440489724657667</v>
      </c>
      <c r="C2156" s="13">
        <v>27372</v>
      </c>
      <c r="D2156" s="13" t="s">
        <v>2501</v>
      </c>
      <c r="E2156" s="13" t="s">
        <v>1714</v>
      </c>
      <c r="F2156" s="13" t="s">
        <v>1715</v>
      </c>
      <c r="G2156" s="13" t="s">
        <v>2502</v>
      </c>
      <c r="K2156" t="s">
        <v>413</v>
      </c>
      <c r="L2156" s="81">
        <f>+Municipios!U1053</f>
        <v>20.320852904131563</v>
      </c>
      <c r="M2156" s="13">
        <v>27372</v>
      </c>
      <c r="N2156" s="13" t="s">
        <v>2501</v>
      </c>
      <c r="O2156" s="13" t="s">
        <v>1714</v>
      </c>
      <c r="P2156" s="13" t="s">
        <v>1715</v>
      </c>
      <c r="Q2156" s="13" t="s">
        <v>2502</v>
      </c>
      <c r="T2156" t="s">
        <v>2804</v>
      </c>
      <c r="U2156" s="25">
        <f>+Municipios!P1053</f>
        <v>58.440489724657667</v>
      </c>
      <c r="V2156" s="13">
        <v>27372</v>
      </c>
      <c r="W2156" s="13" t="s">
        <v>2501</v>
      </c>
      <c r="X2156" s="13" t="s">
        <v>1714</v>
      </c>
      <c r="Y2156" s="13" t="s">
        <v>1715</v>
      </c>
      <c r="Z2156" s="13" t="s">
        <v>2502</v>
      </c>
    </row>
    <row r="2157" spans="1:26">
      <c r="A2157" t="s">
        <v>412</v>
      </c>
      <c r="B2157" s="25">
        <f>+Municipios!P1054</f>
        <v>68.490793523650098</v>
      </c>
      <c r="C2157" s="13">
        <v>27250</v>
      </c>
      <c r="D2157" s="13" t="s">
        <v>2503</v>
      </c>
      <c r="E2157" s="13" t="s">
        <v>1714</v>
      </c>
      <c r="F2157" s="13" t="s">
        <v>1715</v>
      </c>
      <c r="G2157" s="13" t="s">
        <v>2504</v>
      </c>
      <c r="K2157" t="s">
        <v>413</v>
      </c>
      <c r="L2157" s="81">
        <f>+Municipios!U1054</f>
        <v>23.577052450516142</v>
      </c>
      <c r="M2157" s="13">
        <v>27250</v>
      </c>
      <c r="N2157" s="13" t="s">
        <v>2503</v>
      </c>
      <c r="O2157" s="13" t="s">
        <v>1714</v>
      </c>
      <c r="P2157" s="13" t="s">
        <v>1715</v>
      </c>
      <c r="Q2157" s="13" t="s">
        <v>2504</v>
      </c>
      <c r="T2157" t="s">
        <v>2804</v>
      </c>
      <c r="U2157" s="25">
        <f>+Municipios!P1054</f>
        <v>68.490793523650098</v>
      </c>
      <c r="V2157" s="13">
        <v>27250</v>
      </c>
      <c r="W2157" s="13" t="s">
        <v>2503</v>
      </c>
      <c r="X2157" s="13" t="s">
        <v>1714</v>
      </c>
      <c r="Y2157" s="13" t="s">
        <v>1715</v>
      </c>
      <c r="Z2157" s="13" t="s">
        <v>2504</v>
      </c>
    </row>
    <row r="2158" spans="1:26">
      <c r="A2158" t="s">
        <v>412</v>
      </c>
      <c r="B2158" s="25">
        <f>+Municipios!P1055</f>
        <v>55.996537529351158</v>
      </c>
      <c r="C2158" s="13">
        <v>85400</v>
      </c>
      <c r="D2158" s="13" t="s">
        <v>2505</v>
      </c>
      <c r="E2158" s="13" t="s">
        <v>1351</v>
      </c>
      <c r="F2158" s="13" t="s">
        <v>1352</v>
      </c>
      <c r="G2158" s="13" t="s">
        <v>2506</v>
      </c>
      <c r="K2158" t="s">
        <v>413</v>
      </c>
      <c r="L2158" s="81">
        <f>+Municipios!U1055</f>
        <v>19.209846721594136</v>
      </c>
      <c r="M2158" s="13">
        <v>85400</v>
      </c>
      <c r="N2158" s="13" t="s">
        <v>2505</v>
      </c>
      <c r="O2158" s="13" t="s">
        <v>1351</v>
      </c>
      <c r="P2158" s="13" t="s">
        <v>1352</v>
      </c>
      <c r="Q2158" s="13" t="s">
        <v>2506</v>
      </c>
      <c r="T2158" t="s">
        <v>2804</v>
      </c>
      <c r="U2158" s="25">
        <f>+Municipios!P1055</f>
        <v>55.996537529351158</v>
      </c>
      <c r="V2158" s="13">
        <v>85400</v>
      </c>
      <c r="W2158" s="13" t="s">
        <v>2505</v>
      </c>
      <c r="X2158" s="13" t="s">
        <v>1351</v>
      </c>
      <c r="Y2158" s="13" t="s">
        <v>1352</v>
      </c>
      <c r="Z2158" s="13" t="s">
        <v>2506</v>
      </c>
    </row>
    <row r="2159" spans="1:26">
      <c r="A2159" t="s">
        <v>412</v>
      </c>
      <c r="B2159" s="25">
        <f>+Municipios!P1056</f>
        <v>53.532084899782873</v>
      </c>
      <c r="C2159" s="13">
        <v>18592</v>
      </c>
      <c r="D2159" s="13" t="s">
        <v>2507</v>
      </c>
      <c r="E2159" s="13" t="s">
        <v>1463</v>
      </c>
      <c r="F2159" s="13" t="s">
        <v>1464</v>
      </c>
      <c r="G2159" s="13" t="s">
        <v>2508</v>
      </c>
      <c r="K2159" t="s">
        <v>413</v>
      </c>
      <c r="L2159" s="81">
        <f>+Municipios!U1056</f>
        <v>18.371803522111222</v>
      </c>
      <c r="M2159" s="13">
        <v>18592</v>
      </c>
      <c r="N2159" s="13" t="s">
        <v>2507</v>
      </c>
      <c r="O2159" s="13" t="s">
        <v>1463</v>
      </c>
      <c r="P2159" s="13" t="s">
        <v>1464</v>
      </c>
      <c r="Q2159" s="13" t="s">
        <v>2508</v>
      </c>
      <c r="T2159" t="s">
        <v>2804</v>
      </c>
      <c r="U2159" s="25">
        <f>+Municipios!P1056</f>
        <v>53.532084899782873</v>
      </c>
      <c r="V2159" s="13">
        <v>18592</v>
      </c>
      <c r="W2159" s="13" t="s">
        <v>2507</v>
      </c>
      <c r="X2159" s="13" t="s">
        <v>1463</v>
      </c>
      <c r="Y2159" s="13" t="s">
        <v>1464</v>
      </c>
      <c r="Z2159" s="13" t="s">
        <v>2508</v>
      </c>
    </row>
    <row r="2160" spans="1:26">
      <c r="A2160" t="s">
        <v>412</v>
      </c>
      <c r="B2160" s="25">
        <f>+Municipios!P1057</f>
        <v>66.352023732357196</v>
      </c>
      <c r="C2160" s="13">
        <v>15533</v>
      </c>
      <c r="D2160" s="13" t="s">
        <v>2509</v>
      </c>
      <c r="E2160" s="13" t="s">
        <v>498</v>
      </c>
      <c r="F2160" s="13" t="s">
        <v>499</v>
      </c>
      <c r="G2160" s="13" t="s">
        <v>2510</v>
      </c>
      <c r="K2160" t="s">
        <v>413</v>
      </c>
      <c r="L2160" s="81">
        <f>+Municipios!U1057</f>
        <v>22.481859602218179</v>
      </c>
      <c r="M2160" s="13">
        <v>15533</v>
      </c>
      <c r="N2160" s="13" t="s">
        <v>2509</v>
      </c>
      <c r="O2160" s="13" t="s">
        <v>498</v>
      </c>
      <c r="P2160" s="13" t="s">
        <v>499</v>
      </c>
      <c r="Q2160" s="13" t="s">
        <v>2510</v>
      </c>
      <c r="T2160" t="s">
        <v>2804</v>
      </c>
      <c r="U2160" s="25">
        <f>+Municipios!P1057</f>
        <v>66.352023732357196</v>
      </c>
      <c r="V2160" s="13">
        <v>15533</v>
      </c>
      <c r="W2160" s="13" t="s">
        <v>2509</v>
      </c>
      <c r="X2160" s="13" t="s">
        <v>498</v>
      </c>
      <c r="Y2160" s="13" t="s">
        <v>499</v>
      </c>
      <c r="Z2160" s="13" t="s">
        <v>2510</v>
      </c>
    </row>
    <row r="2161" spans="1:26">
      <c r="A2161" t="s">
        <v>412</v>
      </c>
      <c r="B2161" s="25">
        <f>+Municipios!P1058</f>
        <v>66.168392447487335</v>
      </c>
      <c r="C2161" s="13">
        <v>50573</v>
      </c>
      <c r="D2161" s="13" t="s">
        <v>2511</v>
      </c>
      <c r="E2161" s="13" t="s">
        <v>605</v>
      </c>
      <c r="F2161" s="13" t="s">
        <v>606</v>
      </c>
      <c r="G2161" s="13" t="s">
        <v>2512</v>
      </c>
      <c r="K2161" t="s">
        <v>413</v>
      </c>
      <c r="L2161" s="81">
        <f>+Municipios!U1058</f>
        <v>21.541088628160292</v>
      </c>
      <c r="M2161" s="13">
        <v>50573</v>
      </c>
      <c r="N2161" s="13" t="s">
        <v>2511</v>
      </c>
      <c r="O2161" s="13" t="s">
        <v>605</v>
      </c>
      <c r="P2161" s="13" t="s">
        <v>606</v>
      </c>
      <c r="Q2161" s="13" t="s">
        <v>2512</v>
      </c>
      <c r="T2161" t="s">
        <v>2804</v>
      </c>
      <c r="U2161" s="25">
        <f>+Municipios!P1058</f>
        <v>66.168392447487335</v>
      </c>
      <c r="V2161" s="13">
        <v>50573</v>
      </c>
      <c r="W2161" s="13" t="s">
        <v>2511</v>
      </c>
      <c r="X2161" s="13" t="s">
        <v>605</v>
      </c>
      <c r="Y2161" s="13" t="s">
        <v>606</v>
      </c>
      <c r="Z2161" s="13" t="s">
        <v>2512</v>
      </c>
    </row>
    <row r="2162" spans="1:26">
      <c r="A2162" t="s">
        <v>412</v>
      </c>
      <c r="B2162" s="25">
        <f>+Municipios!P1059</f>
        <v>64.231896275980418</v>
      </c>
      <c r="C2162" s="13">
        <v>50330</v>
      </c>
      <c r="D2162" s="13" t="s">
        <v>2513</v>
      </c>
      <c r="E2162" s="13" t="s">
        <v>605</v>
      </c>
      <c r="F2162" s="13" t="s">
        <v>606</v>
      </c>
      <c r="G2162" s="13" t="s">
        <v>2514</v>
      </c>
      <c r="K2162" t="s">
        <v>413</v>
      </c>
      <c r="L2162" s="81">
        <f>+Municipios!U1059</f>
        <v>21.024989090009125</v>
      </c>
      <c r="M2162" s="13">
        <v>50330</v>
      </c>
      <c r="N2162" s="13" t="s">
        <v>2513</v>
      </c>
      <c r="O2162" s="13" t="s">
        <v>605</v>
      </c>
      <c r="P2162" s="13" t="s">
        <v>606</v>
      </c>
      <c r="Q2162" s="13" t="s">
        <v>2514</v>
      </c>
      <c r="T2162" t="s">
        <v>2804</v>
      </c>
      <c r="U2162" s="25">
        <f>+Municipios!P1059</f>
        <v>64.231896275980418</v>
      </c>
      <c r="V2162" s="13">
        <v>50330</v>
      </c>
      <c r="W2162" s="13" t="s">
        <v>2513</v>
      </c>
      <c r="X2162" s="13" t="s">
        <v>605</v>
      </c>
      <c r="Y2162" s="13" t="s">
        <v>606</v>
      </c>
      <c r="Z2162" s="13" t="s">
        <v>2514</v>
      </c>
    </row>
    <row r="2163" spans="1:26">
      <c r="A2163" t="s">
        <v>412</v>
      </c>
      <c r="B2163" s="25">
        <f>+Municipios!P1060</f>
        <v>53.362669443100344</v>
      </c>
      <c r="C2163" s="13">
        <v>41206</v>
      </c>
      <c r="D2163" s="13" t="s">
        <v>2515</v>
      </c>
      <c r="E2163" s="13" t="s">
        <v>676</v>
      </c>
      <c r="F2163" s="13" t="s">
        <v>677</v>
      </c>
      <c r="G2163" s="13" t="s">
        <v>2516</v>
      </c>
      <c r="K2163" t="s">
        <v>413</v>
      </c>
      <c r="L2163" s="81">
        <f>+Municipios!U1060</f>
        <v>17.823018087223335</v>
      </c>
      <c r="M2163" s="13">
        <v>41206</v>
      </c>
      <c r="N2163" s="13" t="s">
        <v>2515</v>
      </c>
      <c r="O2163" s="13" t="s">
        <v>676</v>
      </c>
      <c r="P2163" s="13" t="s">
        <v>677</v>
      </c>
      <c r="Q2163" s="13" t="s">
        <v>2516</v>
      </c>
      <c r="T2163" t="s">
        <v>2804</v>
      </c>
      <c r="U2163" s="25">
        <f>+Municipios!P1060</f>
        <v>53.362669443100344</v>
      </c>
      <c r="V2163" s="13">
        <v>41206</v>
      </c>
      <c r="W2163" s="13" t="s">
        <v>2515</v>
      </c>
      <c r="X2163" s="13" t="s">
        <v>676</v>
      </c>
      <c r="Y2163" s="13" t="s">
        <v>677</v>
      </c>
      <c r="Z2163" s="13" t="s">
        <v>2516</v>
      </c>
    </row>
    <row r="2164" spans="1:26">
      <c r="A2164" t="s">
        <v>412</v>
      </c>
      <c r="B2164" s="25">
        <f>+Municipios!P1061</f>
        <v>53.48806624698905</v>
      </c>
      <c r="C2164" s="13">
        <v>18860</v>
      </c>
      <c r="D2164" s="13" t="s">
        <v>2517</v>
      </c>
      <c r="E2164" s="13" t="s">
        <v>1463</v>
      </c>
      <c r="F2164" s="13" t="s">
        <v>1464</v>
      </c>
      <c r="G2164" s="13" t="s">
        <v>1397</v>
      </c>
      <c r="K2164" t="s">
        <v>413</v>
      </c>
      <c r="L2164" s="81">
        <f>+Municipios!U1061</f>
        <v>17.606342670258243</v>
      </c>
      <c r="M2164" s="13">
        <v>18860</v>
      </c>
      <c r="N2164" s="13" t="s">
        <v>2517</v>
      </c>
      <c r="O2164" s="13" t="s">
        <v>1463</v>
      </c>
      <c r="P2164" s="13" t="s">
        <v>1464</v>
      </c>
      <c r="Q2164" s="13" t="s">
        <v>1397</v>
      </c>
      <c r="T2164" t="s">
        <v>2804</v>
      </c>
      <c r="U2164" s="25">
        <f>+Municipios!P1061</f>
        <v>53.48806624698905</v>
      </c>
      <c r="V2164" s="13">
        <v>18860</v>
      </c>
      <c r="W2164" s="13" t="s">
        <v>2517</v>
      </c>
      <c r="X2164" s="13" t="s">
        <v>1463</v>
      </c>
      <c r="Y2164" s="13" t="s">
        <v>1464</v>
      </c>
      <c r="Z2164" s="13" t="s">
        <v>1397</v>
      </c>
    </row>
    <row r="2165" spans="1:26">
      <c r="A2165" t="s">
        <v>412</v>
      </c>
      <c r="B2165" s="25">
        <f>+Municipios!P1062</f>
        <v>65.038538371247213</v>
      </c>
      <c r="C2165" s="13">
        <v>85139</v>
      </c>
      <c r="D2165" s="13" t="s">
        <v>2518</v>
      </c>
      <c r="E2165" s="13" t="s">
        <v>1351</v>
      </c>
      <c r="F2165" s="13" t="s">
        <v>1352</v>
      </c>
      <c r="G2165" s="13" t="s">
        <v>2519</v>
      </c>
      <c r="K2165" t="s">
        <v>413</v>
      </c>
      <c r="L2165" s="81">
        <f>+Municipios!U1062</f>
        <v>21.557520222770766</v>
      </c>
      <c r="M2165" s="13">
        <v>85139</v>
      </c>
      <c r="N2165" s="13" t="s">
        <v>2518</v>
      </c>
      <c r="O2165" s="13" t="s">
        <v>1351</v>
      </c>
      <c r="P2165" s="13" t="s">
        <v>1352</v>
      </c>
      <c r="Q2165" s="13" t="s">
        <v>2519</v>
      </c>
      <c r="T2165" t="s">
        <v>2804</v>
      </c>
      <c r="U2165" s="25">
        <f>+Municipios!P1062</f>
        <v>65.038538371247213</v>
      </c>
      <c r="V2165" s="13">
        <v>85139</v>
      </c>
      <c r="W2165" s="13" t="s">
        <v>2518</v>
      </c>
      <c r="X2165" s="13" t="s">
        <v>1351</v>
      </c>
      <c r="Y2165" s="13" t="s">
        <v>1352</v>
      </c>
      <c r="Z2165" s="13" t="s">
        <v>2519</v>
      </c>
    </row>
    <row r="2166" spans="1:26">
      <c r="A2166" t="s">
        <v>412</v>
      </c>
      <c r="B2166" s="25">
        <f>+Municipios!P1063</f>
        <v>57.166622740818369</v>
      </c>
      <c r="C2166" s="13">
        <v>27660</v>
      </c>
      <c r="D2166" s="13" t="s">
        <v>2520</v>
      </c>
      <c r="E2166" s="13" t="s">
        <v>1714</v>
      </c>
      <c r="F2166" s="13" t="s">
        <v>1715</v>
      </c>
      <c r="G2166" s="13" t="s">
        <v>2521</v>
      </c>
      <c r="K2166" t="s">
        <v>413</v>
      </c>
      <c r="L2166" s="81">
        <f>+Municipios!U1063</f>
        <v>18.169069166069967</v>
      </c>
      <c r="M2166" s="13">
        <v>27660</v>
      </c>
      <c r="N2166" s="13" t="s">
        <v>2520</v>
      </c>
      <c r="O2166" s="13" t="s">
        <v>1714</v>
      </c>
      <c r="P2166" s="13" t="s">
        <v>1715</v>
      </c>
      <c r="Q2166" s="13" t="s">
        <v>2521</v>
      </c>
      <c r="T2166" t="s">
        <v>2804</v>
      </c>
      <c r="U2166" s="25">
        <f>+Municipios!P1063</f>
        <v>57.166622740818369</v>
      </c>
      <c r="V2166" s="13">
        <v>27660</v>
      </c>
      <c r="W2166" s="13" t="s">
        <v>2520</v>
      </c>
      <c r="X2166" s="13" t="s">
        <v>1714</v>
      </c>
      <c r="Y2166" s="13" t="s">
        <v>1715</v>
      </c>
      <c r="Z2166" s="13" t="s">
        <v>2521</v>
      </c>
    </row>
    <row r="2167" spans="1:26">
      <c r="A2167" t="s">
        <v>412</v>
      </c>
      <c r="B2167" s="25">
        <f>+Municipios!P1064</f>
        <v>56.913859688783063</v>
      </c>
      <c r="C2167" s="13">
        <v>50577</v>
      </c>
      <c r="D2167" s="13" t="s">
        <v>2522</v>
      </c>
      <c r="E2167" s="13" t="s">
        <v>605</v>
      </c>
      <c r="F2167" s="13" t="s">
        <v>606</v>
      </c>
      <c r="G2167" s="13" t="s">
        <v>2523</v>
      </c>
      <c r="K2167" t="s">
        <v>413</v>
      </c>
      <c r="L2167" s="81">
        <f>+Municipios!U1064</f>
        <v>17.832361971775448</v>
      </c>
      <c r="M2167" s="13">
        <v>50577</v>
      </c>
      <c r="N2167" s="13" t="s">
        <v>2522</v>
      </c>
      <c r="O2167" s="13" t="s">
        <v>605</v>
      </c>
      <c r="P2167" s="13" t="s">
        <v>606</v>
      </c>
      <c r="Q2167" s="13" t="s">
        <v>2523</v>
      </c>
      <c r="T2167" t="s">
        <v>2804</v>
      </c>
      <c r="U2167" s="25">
        <f>+Municipios!P1064</f>
        <v>56.913859688783063</v>
      </c>
      <c r="V2167" s="13">
        <v>50577</v>
      </c>
      <c r="W2167" s="13" t="s">
        <v>2522</v>
      </c>
      <c r="X2167" s="13" t="s">
        <v>605</v>
      </c>
      <c r="Y2167" s="13" t="s">
        <v>606</v>
      </c>
      <c r="Z2167" s="13" t="s">
        <v>2523</v>
      </c>
    </row>
    <row r="2168" spans="1:26">
      <c r="A2168" t="s">
        <v>412</v>
      </c>
      <c r="B2168" s="25">
        <f>+Municipios!P1065</f>
        <v>41.575349444349257</v>
      </c>
      <c r="C2168" s="13">
        <v>15332</v>
      </c>
      <c r="D2168" s="13" t="s">
        <v>2524</v>
      </c>
      <c r="E2168" s="13" t="s">
        <v>498</v>
      </c>
      <c r="F2168" s="13" t="s">
        <v>499</v>
      </c>
      <c r="G2168" s="13" t="s">
        <v>2525</v>
      </c>
      <c r="K2168" t="s">
        <v>413</v>
      </c>
      <c r="L2168" s="81">
        <f>+Municipios!U1065</f>
        <v>13.274162047314428</v>
      </c>
      <c r="M2168" s="13">
        <v>15332</v>
      </c>
      <c r="N2168" s="13" t="s">
        <v>2524</v>
      </c>
      <c r="O2168" s="13" t="s">
        <v>498</v>
      </c>
      <c r="P2168" s="13" t="s">
        <v>499</v>
      </c>
      <c r="Q2168" s="13" t="s">
        <v>2525</v>
      </c>
      <c r="T2168" t="s">
        <v>2804</v>
      </c>
      <c r="U2168" s="25">
        <f>+Municipios!P1065</f>
        <v>41.575349444349257</v>
      </c>
      <c r="V2168" s="13">
        <v>15332</v>
      </c>
      <c r="W2168" s="13" t="s">
        <v>2524</v>
      </c>
      <c r="X2168" s="13" t="s">
        <v>498</v>
      </c>
      <c r="Y2168" s="13" t="s">
        <v>499</v>
      </c>
      <c r="Z2168" s="13" t="s">
        <v>2525</v>
      </c>
    </row>
    <row r="2169" spans="1:26">
      <c r="A2169" t="s">
        <v>412</v>
      </c>
      <c r="B2169" s="25">
        <f>+Municipios!P1066</f>
        <v>45.987489229683376</v>
      </c>
      <c r="C2169" s="13">
        <v>5475</v>
      </c>
      <c r="D2169" s="13" t="s">
        <v>2526</v>
      </c>
      <c r="E2169" s="13" t="s">
        <v>435</v>
      </c>
      <c r="F2169" s="13" t="s">
        <v>436</v>
      </c>
      <c r="G2169" s="13" t="s">
        <v>2527</v>
      </c>
      <c r="K2169" t="s">
        <v>413</v>
      </c>
      <c r="L2169" s="81">
        <f>+Municipios!U1066</f>
        <v>15.099764859615517</v>
      </c>
      <c r="M2169" s="13">
        <v>5475</v>
      </c>
      <c r="N2169" s="13" t="s">
        <v>2526</v>
      </c>
      <c r="O2169" s="13" t="s">
        <v>435</v>
      </c>
      <c r="P2169" s="13" t="s">
        <v>436</v>
      </c>
      <c r="Q2169" s="13" t="s">
        <v>2527</v>
      </c>
      <c r="T2169" t="s">
        <v>2804</v>
      </c>
      <c r="U2169" s="25">
        <f>+Municipios!P1066</f>
        <v>45.987489229683376</v>
      </c>
      <c r="V2169" s="13">
        <v>5475</v>
      </c>
      <c r="W2169" s="13" t="s">
        <v>2526</v>
      </c>
      <c r="X2169" s="13" t="s">
        <v>435</v>
      </c>
      <c r="Y2169" s="13" t="s">
        <v>436</v>
      </c>
      <c r="Z2169" s="13" t="s">
        <v>2527</v>
      </c>
    </row>
    <row r="2170" spans="1:26">
      <c r="A2170" t="s">
        <v>412</v>
      </c>
      <c r="B2170" s="25">
        <f>+Municipios!P1067</f>
        <v>67.441735020964714</v>
      </c>
      <c r="C2170" s="13">
        <v>19418</v>
      </c>
      <c r="D2170" s="13" t="s">
        <v>2528</v>
      </c>
      <c r="E2170" s="13" t="s">
        <v>557</v>
      </c>
      <c r="F2170" s="13" t="s">
        <v>558</v>
      </c>
      <c r="G2170" s="13" t="s">
        <v>2529</v>
      </c>
      <c r="K2170" t="s">
        <v>413</v>
      </c>
      <c r="L2170" s="81">
        <f>+Municipios!U1067</f>
        <v>21.538282504725505</v>
      </c>
      <c r="M2170" s="13">
        <v>19418</v>
      </c>
      <c r="N2170" s="13" t="s">
        <v>2528</v>
      </c>
      <c r="O2170" s="13" t="s">
        <v>557</v>
      </c>
      <c r="P2170" s="13" t="s">
        <v>558</v>
      </c>
      <c r="Q2170" s="13" t="s">
        <v>2529</v>
      </c>
      <c r="T2170" t="s">
        <v>2804</v>
      </c>
      <c r="U2170" s="25">
        <f>+Municipios!P1067</f>
        <v>67.441735020964714</v>
      </c>
      <c r="V2170" s="13">
        <v>19418</v>
      </c>
      <c r="W2170" s="13" t="s">
        <v>2528</v>
      </c>
      <c r="X2170" s="13" t="s">
        <v>557</v>
      </c>
      <c r="Y2170" s="13" t="s">
        <v>558</v>
      </c>
      <c r="Z2170" s="13" t="s">
        <v>2529</v>
      </c>
    </row>
    <row r="2171" spans="1:26">
      <c r="A2171" t="s">
        <v>412</v>
      </c>
      <c r="B2171" s="25">
        <f>+Municipios!P1068</f>
        <v>63.287450316004097</v>
      </c>
      <c r="C2171" s="13">
        <v>85430</v>
      </c>
      <c r="D2171" s="13" t="s">
        <v>2530</v>
      </c>
      <c r="E2171" s="13" t="s">
        <v>1351</v>
      </c>
      <c r="F2171" s="13" t="s">
        <v>1352</v>
      </c>
      <c r="G2171" s="13" t="s">
        <v>2531</v>
      </c>
      <c r="K2171" t="s">
        <v>413</v>
      </c>
      <c r="L2171" s="81">
        <f>+Municipios!U1068</f>
        <v>19.957418043887085</v>
      </c>
      <c r="M2171" s="13">
        <v>85430</v>
      </c>
      <c r="N2171" s="13" t="s">
        <v>2530</v>
      </c>
      <c r="O2171" s="13" t="s">
        <v>1351</v>
      </c>
      <c r="P2171" s="13" t="s">
        <v>1352</v>
      </c>
      <c r="Q2171" s="13" t="s">
        <v>2531</v>
      </c>
      <c r="T2171" t="s">
        <v>2804</v>
      </c>
      <c r="U2171" s="25">
        <f>+Municipios!P1068</f>
        <v>63.287450316004097</v>
      </c>
      <c r="V2171" s="13">
        <v>85430</v>
      </c>
      <c r="W2171" s="13" t="s">
        <v>2530</v>
      </c>
      <c r="X2171" s="13" t="s">
        <v>1351</v>
      </c>
      <c r="Y2171" s="13" t="s">
        <v>1352</v>
      </c>
      <c r="Z2171" s="13" t="s">
        <v>2531</v>
      </c>
    </row>
    <row r="2172" spans="1:26">
      <c r="A2172" t="s">
        <v>412</v>
      </c>
      <c r="B2172" s="25">
        <f>+Municipios!P1069</f>
        <v>57.631185700939177</v>
      </c>
      <c r="C2172" s="13">
        <v>50711</v>
      </c>
      <c r="D2172" s="13" t="s">
        <v>2532</v>
      </c>
      <c r="E2172" s="13" t="s">
        <v>605</v>
      </c>
      <c r="F2172" s="13" t="s">
        <v>606</v>
      </c>
      <c r="G2172" s="13" t="s">
        <v>2533</v>
      </c>
      <c r="K2172" t="s">
        <v>413</v>
      </c>
      <c r="L2172" s="81">
        <f>+Municipios!U1069</f>
        <v>17.554460590564876</v>
      </c>
      <c r="M2172" s="13">
        <v>50711</v>
      </c>
      <c r="N2172" s="13" t="s">
        <v>2532</v>
      </c>
      <c r="O2172" s="13" t="s">
        <v>605</v>
      </c>
      <c r="P2172" s="13" t="s">
        <v>606</v>
      </c>
      <c r="Q2172" s="13" t="s">
        <v>2533</v>
      </c>
      <c r="T2172" t="s">
        <v>2804</v>
      </c>
      <c r="U2172" s="25">
        <f>+Municipios!P1069</f>
        <v>57.631185700939177</v>
      </c>
      <c r="V2172" s="13">
        <v>50711</v>
      </c>
      <c r="W2172" s="13" t="s">
        <v>2532</v>
      </c>
      <c r="X2172" s="13" t="s">
        <v>605</v>
      </c>
      <c r="Y2172" s="13" t="s">
        <v>606</v>
      </c>
      <c r="Z2172" s="13" t="s">
        <v>2533</v>
      </c>
    </row>
    <row r="2173" spans="1:26">
      <c r="A2173" t="s">
        <v>412</v>
      </c>
      <c r="B2173" s="25">
        <f>+Municipios!P1070</f>
        <v>60.996788766010667</v>
      </c>
      <c r="C2173" s="13">
        <v>27099</v>
      </c>
      <c r="D2173" s="13" t="s">
        <v>2534</v>
      </c>
      <c r="E2173" s="13" t="s">
        <v>1714</v>
      </c>
      <c r="F2173" s="13" t="s">
        <v>1715</v>
      </c>
      <c r="G2173" s="13" t="s">
        <v>2535</v>
      </c>
      <c r="K2173" t="s">
        <v>413</v>
      </c>
      <c r="L2173" s="81">
        <f>+Municipios!U1070</f>
        <v>18.835384679881361</v>
      </c>
      <c r="M2173" s="13">
        <v>27099</v>
      </c>
      <c r="N2173" s="13" t="s">
        <v>2534</v>
      </c>
      <c r="O2173" s="13" t="s">
        <v>1714</v>
      </c>
      <c r="P2173" s="13" t="s">
        <v>1715</v>
      </c>
      <c r="Q2173" s="13" t="s">
        <v>2535</v>
      </c>
      <c r="T2173" t="s">
        <v>2804</v>
      </c>
      <c r="U2173" s="25">
        <f>+Municipios!P1070</f>
        <v>60.996788766010667</v>
      </c>
      <c r="V2173" s="13">
        <v>27099</v>
      </c>
      <c r="W2173" s="13" t="s">
        <v>2534</v>
      </c>
      <c r="X2173" s="13" t="s">
        <v>1714</v>
      </c>
      <c r="Y2173" s="13" t="s">
        <v>1715</v>
      </c>
      <c r="Z2173" s="13" t="s">
        <v>2535</v>
      </c>
    </row>
    <row r="2174" spans="1:26">
      <c r="A2174" t="s">
        <v>412</v>
      </c>
      <c r="B2174" s="25">
        <f>+Municipios!P1071</f>
        <v>47.553400272792288</v>
      </c>
      <c r="C2174" s="13">
        <v>15550</v>
      </c>
      <c r="D2174" s="13" t="s">
        <v>2536</v>
      </c>
      <c r="E2174" s="13" t="s">
        <v>498</v>
      </c>
      <c r="F2174" s="13" t="s">
        <v>499</v>
      </c>
      <c r="G2174" s="13" t="s">
        <v>2537</v>
      </c>
      <c r="K2174" t="s">
        <v>413</v>
      </c>
      <c r="L2174" s="81">
        <f>+Municipios!U1071</f>
        <v>14.848508340949817</v>
      </c>
      <c r="M2174" s="13">
        <v>15550</v>
      </c>
      <c r="N2174" s="13" t="s">
        <v>2536</v>
      </c>
      <c r="O2174" s="13" t="s">
        <v>498</v>
      </c>
      <c r="P2174" s="13" t="s">
        <v>499</v>
      </c>
      <c r="Q2174" s="13" t="s">
        <v>2537</v>
      </c>
      <c r="T2174" t="s">
        <v>2804</v>
      </c>
      <c r="U2174" s="25">
        <f>+Municipios!P1071</f>
        <v>47.553400272792288</v>
      </c>
      <c r="V2174" s="13">
        <v>15550</v>
      </c>
      <c r="W2174" s="13" t="s">
        <v>2536</v>
      </c>
      <c r="X2174" s="13" t="s">
        <v>498</v>
      </c>
      <c r="Y2174" s="13" t="s">
        <v>499</v>
      </c>
      <c r="Z2174" s="13" t="s">
        <v>2537</v>
      </c>
    </row>
    <row r="2175" spans="1:26">
      <c r="A2175" t="s">
        <v>412</v>
      </c>
      <c r="B2175" s="25">
        <f>+Municipios!P1072</f>
        <v>48.729968883195667</v>
      </c>
      <c r="C2175" s="13">
        <v>50590</v>
      </c>
      <c r="D2175" s="13" t="s">
        <v>2538</v>
      </c>
      <c r="E2175" s="13" t="s">
        <v>605</v>
      </c>
      <c r="F2175" s="13" t="s">
        <v>606</v>
      </c>
      <c r="G2175" s="13" t="s">
        <v>2508</v>
      </c>
      <c r="K2175" t="s">
        <v>413</v>
      </c>
      <c r="L2175" s="81">
        <f>+Municipios!U1072</f>
        <v>14.680267136336802</v>
      </c>
      <c r="M2175" s="13">
        <v>50590</v>
      </c>
      <c r="N2175" s="13" t="s">
        <v>2538</v>
      </c>
      <c r="O2175" s="13" t="s">
        <v>605</v>
      </c>
      <c r="P2175" s="13" t="s">
        <v>606</v>
      </c>
      <c r="Q2175" s="13" t="s">
        <v>2508</v>
      </c>
      <c r="T2175" t="s">
        <v>2804</v>
      </c>
      <c r="U2175" s="25">
        <f>+Municipios!P1072</f>
        <v>48.729968883195667</v>
      </c>
      <c r="V2175" s="13">
        <v>50590</v>
      </c>
      <c r="W2175" s="13" t="s">
        <v>2538</v>
      </c>
      <c r="X2175" s="13" t="s">
        <v>605</v>
      </c>
      <c r="Y2175" s="13" t="s">
        <v>606</v>
      </c>
      <c r="Z2175" s="13" t="s">
        <v>2508</v>
      </c>
    </row>
    <row r="2176" spans="1:26">
      <c r="A2176" t="s">
        <v>412</v>
      </c>
      <c r="B2176" s="25">
        <f>+Municipios!P1073</f>
        <v>59.668426517880057</v>
      </c>
      <c r="C2176" s="13">
        <v>85250</v>
      </c>
      <c r="D2176" s="13" t="s">
        <v>2539</v>
      </c>
      <c r="E2176" s="13" t="s">
        <v>1351</v>
      </c>
      <c r="F2176" s="13" t="s">
        <v>1352</v>
      </c>
      <c r="G2176" s="13" t="s">
        <v>2540</v>
      </c>
      <c r="K2176" t="s">
        <v>413</v>
      </c>
      <c r="L2176" s="81">
        <f>+Municipios!U1073</f>
        <v>17.588441502272691</v>
      </c>
      <c r="M2176" s="13">
        <v>85250</v>
      </c>
      <c r="N2176" s="13" t="s">
        <v>2539</v>
      </c>
      <c r="O2176" s="13" t="s">
        <v>1351</v>
      </c>
      <c r="P2176" s="13" t="s">
        <v>1352</v>
      </c>
      <c r="Q2176" s="13" t="s">
        <v>2540</v>
      </c>
      <c r="T2176" t="s">
        <v>2804</v>
      </c>
      <c r="U2176" s="25">
        <f>+Municipios!P1073</f>
        <v>59.668426517880057</v>
      </c>
      <c r="V2176" s="13">
        <v>85250</v>
      </c>
      <c r="W2176" s="13" t="s">
        <v>2539</v>
      </c>
      <c r="X2176" s="13" t="s">
        <v>1351</v>
      </c>
      <c r="Y2176" s="13" t="s">
        <v>1352</v>
      </c>
      <c r="Z2176" s="13" t="s">
        <v>2540</v>
      </c>
    </row>
    <row r="2177" spans="1:26">
      <c r="A2177" t="s">
        <v>412</v>
      </c>
      <c r="B2177" s="25">
        <f>+Municipios!P1074</f>
        <v>61.911561753583456</v>
      </c>
      <c r="C2177" s="13">
        <v>95001</v>
      </c>
      <c r="D2177" s="13" t="s">
        <v>2541</v>
      </c>
      <c r="E2177" s="13" t="s">
        <v>2542</v>
      </c>
      <c r="F2177" s="13" t="s">
        <v>2543</v>
      </c>
      <c r="G2177" s="13" t="s">
        <v>2544</v>
      </c>
      <c r="K2177" t="s">
        <v>413</v>
      </c>
      <c r="L2177" s="81">
        <f>+Municipios!U1074</f>
        <v>17.389196706391747</v>
      </c>
      <c r="M2177" s="13">
        <v>95001</v>
      </c>
      <c r="N2177" s="13" t="s">
        <v>2541</v>
      </c>
      <c r="O2177" s="13" t="s">
        <v>2542</v>
      </c>
      <c r="P2177" s="13" t="s">
        <v>2543</v>
      </c>
      <c r="Q2177" s="13" t="s">
        <v>2544</v>
      </c>
      <c r="T2177" t="s">
        <v>2804</v>
      </c>
      <c r="U2177" s="25">
        <f>+Municipios!P1074</f>
        <v>61.911561753583456</v>
      </c>
      <c r="V2177" s="13">
        <v>95001</v>
      </c>
      <c r="W2177" s="13" t="s">
        <v>2541</v>
      </c>
      <c r="X2177" s="13" t="s">
        <v>2542</v>
      </c>
      <c r="Y2177" s="13" t="s">
        <v>2543</v>
      </c>
      <c r="Z2177" s="13" t="s">
        <v>2544</v>
      </c>
    </row>
    <row r="2178" spans="1:26">
      <c r="A2178" t="s">
        <v>412</v>
      </c>
      <c r="B2178" s="25">
        <f>+Municipios!P1075</f>
        <v>53.267743948795811</v>
      </c>
      <c r="C2178" s="13">
        <v>18753</v>
      </c>
      <c r="D2178" s="13" t="s">
        <v>2545</v>
      </c>
      <c r="E2178" s="13" t="s">
        <v>1463</v>
      </c>
      <c r="F2178" s="13" t="s">
        <v>1464</v>
      </c>
      <c r="G2178" s="13" t="s">
        <v>2546</v>
      </c>
      <c r="K2178" t="s">
        <v>413</v>
      </c>
      <c r="L2178" s="81">
        <f>+Municipios!U1075</f>
        <v>14.725785693427403</v>
      </c>
      <c r="M2178" s="13">
        <v>18753</v>
      </c>
      <c r="N2178" s="13" t="s">
        <v>2545</v>
      </c>
      <c r="O2178" s="13" t="s">
        <v>1463</v>
      </c>
      <c r="P2178" s="13" t="s">
        <v>1464</v>
      </c>
      <c r="Q2178" s="13" t="s">
        <v>2546</v>
      </c>
      <c r="T2178" t="s">
        <v>2804</v>
      </c>
      <c r="U2178" s="25">
        <f>+Municipios!P1075</f>
        <v>53.267743948795811</v>
      </c>
      <c r="V2178" s="13">
        <v>18753</v>
      </c>
      <c r="W2178" s="13" t="s">
        <v>2545</v>
      </c>
      <c r="X2178" s="13" t="s">
        <v>1463</v>
      </c>
      <c r="Y2178" s="13" t="s">
        <v>1464</v>
      </c>
      <c r="Z2178" s="13" t="s">
        <v>2546</v>
      </c>
    </row>
    <row r="2179" spans="1:26">
      <c r="A2179" t="s">
        <v>412</v>
      </c>
      <c r="B2179" s="25">
        <f>+Municipios!P1076</f>
        <v>61.723255386748605</v>
      </c>
      <c r="C2179" s="13">
        <v>27745</v>
      </c>
      <c r="D2179" s="13" t="s">
        <v>2547</v>
      </c>
      <c r="E2179" s="13" t="s">
        <v>1714</v>
      </c>
      <c r="F2179" s="13" t="s">
        <v>1715</v>
      </c>
      <c r="G2179" s="13" t="s">
        <v>2548</v>
      </c>
      <c r="K2179" t="s">
        <v>413</v>
      </c>
      <c r="L2179" s="81">
        <f>+Municipios!U1076</f>
        <v>17.286490939382535</v>
      </c>
      <c r="M2179" s="13">
        <v>27745</v>
      </c>
      <c r="N2179" s="13" t="s">
        <v>2547</v>
      </c>
      <c r="O2179" s="13" t="s">
        <v>1714</v>
      </c>
      <c r="P2179" s="13" t="s">
        <v>1715</v>
      </c>
      <c r="Q2179" s="13" t="s">
        <v>2548</v>
      </c>
      <c r="T2179" t="s">
        <v>2804</v>
      </c>
      <c r="U2179" s="25">
        <f>+Municipios!P1076</f>
        <v>61.723255386748605</v>
      </c>
      <c r="V2179" s="13">
        <v>27745</v>
      </c>
      <c r="W2179" s="13" t="s">
        <v>2547</v>
      </c>
      <c r="X2179" s="13" t="s">
        <v>1714</v>
      </c>
      <c r="Y2179" s="13" t="s">
        <v>1715</v>
      </c>
      <c r="Z2179" s="13" t="s">
        <v>2548</v>
      </c>
    </row>
    <row r="2180" spans="1:26">
      <c r="A2180" t="s">
        <v>412</v>
      </c>
      <c r="B2180" s="25">
        <f>+Municipios!P1077</f>
        <v>60.389564621771385</v>
      </c>
      <c r="C2180" s="13">
        <v>85325</v>
      </c>
      <c r="D2180" s="13" t="s">
        <v>2549</v>
      </c>
      <c r="E2180" s="13" t="s">
        <v>1351</v>
      </c>
      <c r="F2180" s="13" t="s">
        <v>1352</v>
      </c>
      <c r="G2180" s="13" t="s">
        <v>2550</v>
      </c>
      <c r="K2180" t="s">
        <v>413</v>
      </c>
      <c r="L2180" s="81">
        <f>+Municipios!U1077</f>
        <v>17.171780984415054</v>
      </c>
      <c r="M2180" s="13">
        <v>85325</v>
      </c>
      <c r="N2180" s="13" t="s">
        <v>2549</v>
      </c>
      <c r="O2180" s="13" t="s">
        <v>1351</v>
      </c>
      <c r="P2180" s="13" t="s">
        <v>1352</v>
      </c>
      <c r="Q2180" s="13" t="s">
        <v>2550</v>
      </c>
      <c r="T2180" t="s">
        <v>2804</v>
      </c>
      <c r="U2180" s="25">
        <f>+Municipios!P1077</f>
        <v>60.389564621771385</v>
      </c>
      <c r="V2180" s="13">
        <v>85325</v>
      </c>
      <c r="W2180" s="13" t="s">
        <v>2549</v>
      </c>
      <c r="X2180" s="13" t="s">
        <v>1351</v>
      </c>
      <c r="Y2180" s="13" t="s">
        <v>1352</v>
      </c>
      <c r="Z2180" s="13" t="s">
        <v>2550</v>
      </c>
    </row>
    <row r="2181" spans="1:26">
      <c r="A2181" t="s">
        <v>412</v>
      </c>
      <c r="B2181" s="25">
        <f>+Municipios!P1078</f>
        <v>61.702664671780298</v>
      </c>
      <c r="C2181" s="13">
        <v>50568</v>
      </c>
      <c r="D2181" s="13" t="s">
        <v>2551</v>
      </c>
      <c r="E2181" s="13" t="s">
        <v>605</v>
      </c>
      <c r="F2181" s="13" t="s">
        <v>606</v>
      </c>
      <c r="G2181" s="13" t="s">
        <v>2552</v>
      </c>
      <c r="K2181" t="s">
        <v>413</v>
      </c>
      <c r="L2181" s="81">
        <f>+Municipios!U1078</f>
        <v>17.643921871904663</v>
      </c>
      <c r="M2181" s="13">
        <v>50568</v>
      </c>
      <c r="N2181" s="13" t="s">
        <v>2551</v>
      </c>
      <c r="O2181" s="13" t="s">
        <v>605</v>
      </c>
      <c r="P2181" s="13" t="s">
        <v>606</v>
      </c>
      <c r="Q2181" s="13" t="s">
        <v>2552</v>
      </c>
      <c r="T2181" t="s">
        <v>2804</v>
      </c>
      <c r="U2181" s="25">
        <f>+Municipios!P1078</f>
        <v>61.702664671780298</v>
      </c>
      <c r="V2181" s="13">
        <v>50568</v>
      </c>
      <c r="W2181" s="13" t="s">
        <v>2551</v>
      </c>
      <c r="X2181" s="13" t="s">
        <v>605</v>
      </c>
      <c r="Y2181" s="13" t="s">
        <v>606</v>
      </c>
      <c r="Z2181" s="13" t="s">
        <v>2552</v>
      </c>
    </row>
    <row r="2182" spans="1:26">
      <c r="A2182" t="s">
        <v>412</v>
      </c>
      <c r="B2182" s="25">
        <f>+Municipios!P1079</f>
        <v>52.438620047167959</v>
      </c>
      <c r="C2182" s="13">
        <v>85125</v>
      </c>
      <c r="D2182" s="13" t="s">
        <v>2553</v>
      </c>
      <c r="E2182" s="13" t="s">
        <v>1351</v>
      </c>
      <c r="F2182" s="13" t="s">
        <v>1352</v>
      </c>
      <c r="G2182" s="13" t="s">
        <v>2554</v>
      </c>
      <c r="K2182" t="s">
        <v>413</v>
      </c>
      <c r="L2182" s="81">
        <f>+Municipios!U1079</f>
        <v>14.295388854849657</v>
      </c>
      <c r="M2182" s="13">
        <v>85125</v>
      </c>
      <c r="N2182" s="13" t="s">
        <v>2553</v>
      </c>
      <c r="O2182" s="13" t="s">
        <v>1351</v>
      </c>
      <c r="P2182" s="13" t="s">
        <v>1352</v>
      </c>
      <c r="Q2182" s="13" t="s">
        <v>2554</v>
      </c>
      <c r="T2182" t="s">
        <v>2804</v>
      </c>
      <c r="U2182" s="25">
        <f>+Municipios!P1079</f>
        <v>52.438620047167959</v>
      </c>
      <c r="V2182" s="13">
        <v>85125</v>
      </c>
      <c r="W2182" s="13" t="s">
        <v>2553</v>
      </c>
      <c r="X2182" s="13" t="s">
        <v>1351</v>
      </c>
      <c r="Y2182" s="13" t="s">
        <v>1352</v>
      </c>
      <c r="Z2182" s="13" t="s">
        <v>2554</v>
      </c>
    </row>
    <row r="2183" spans="1:26">
      <c r="A2183" t="s">
        <v>412</v>
      </c>
      <c r="B2183" s="25">
        <f>+Municipios!P1080</f>
        <v>63.584217015095263</v>
      </c>
      <c r="C2183" s="13">
        <v>85230</v>
      </c>
      <c r="D2183" s="13" t="s">
        <v>2555</v>
      </c>
      <c r="E2183" s="13" t="s">
        <v>1351</v>
      </c>
      <c r="F2183" s="13" t="s">
        <v>1352</v>
      </c>
      <c r="G2183" s="13" t="s">
        <v>2556</v>
      </c>
      <c r="K2183" t="s">
        <v>413</v>
      </c>
      <c r="L2183" s="81">
        <f>+Municipios!U1080</f>
        <v>17.484235978595226</v>
      </c>
      <c r="M2183" s="13">
        <v>85230</v>
      </c>
      <c r="N2183" s="13" t="s">
        <v>2555</v>
      </c>
      <c r="O2183" s="13" t="s">
        <v>1351</v>
      </c>
      <c r="P2183" s="13" t="s">
        <v>1352</v>
      </c>
      <c r="Q2183" s="13" t="s">
        <v>2556</v>
      </c>
      <c r="T2183" t="s">
        <v>2804</v>
      </c>
      <c r="U2183" s="25">
        <f>+Municipios!P1080</f>
        <v>63.584217015095263</v>
      </c>
      <c r="V2183" s="13">
        <v>85230</v>
      </c>
      <c r="W2183" s="13" t="s">
        <v>2555</v>
      </c>
      <c r="X2183" s="13" t="s">
        <v>1351</v>
      </c>
      <c r="Y2183" s="13" t="s">
        <v>1352</v>
      </c>
      <c r="Z2183" s="13" t="s">
        <v>2556</v>
      </c>
    </row>
    <row r="2184" spans="1:26">
      <c r="A2184" t="s">
        <v>412</v>
      </c>
      <c r="B2184" s="25">
        <f>+Municipios!P1081</f>
        <v>44.713473820504653</v>
      </c>
      <c r="C2184" s="13">
        <v>86573</v>
      </c>
      <c r="D2184" s="13" t="s">
        <v>2557</v>
      </c>
      <c r="E2184" s="13" t="s">
        <v>943</v>
      </c>
      <c r="F2184" s="13" t="s">
        <v>944</v>
      </c>
      <c r="G2184" s="13" t="s">
        <v>2558</v>
      </c>
      <c r="K2184" t="s">
        <v>413</v>
      </c>
      <c r="L2184" s="81">
        <f>+Municipios!U1081</f>
        <v>12.638688412899709</v>
      </c>
      <c r="M2184" s="13">
        <v>86573</v>
      </c>
      <c r="N2184" s="13" t="s">
        <v>2557</v>
      </c>
      <c r="O2184" s="13" t="s">
        <v>943</v>
      </c>
      <c r="P2184" s="13" t="s">
        <v>944</v>
      </c>
      <c r="Q2184" s="13" t="s">
        <v>2558</v>
      </c>
      <c r="T2184" t="s">
        <v>2804</v>
      </c>
      <c r="U2184" s="25">
        <f>+Municipios!P1081</f>
        <v>44.713473820504653</v>
      </c>
      <c r="V2184" s="13">
        <v>86573</v>
      </c>
      <c r="W2184" s="13" t="s">
        <v>2557</v>
      </c>
      <c r="X2184" s="13" t="s">
        <v>943</v>
      </c>
      <c r="Y2184" s="13" t="s">
        <v>944</v>
      </c>
      <c r="Z2184" s="13" t="s">
        <v>2558</v>
      </c>
    </row>
    <row r="2185" spans="1:26">
      <c r="A2185" t="s">
        <v>412</v>
      </c>
      <c r="B2185" s="25">
        <f>+Municipios!P1082</f>
        <v>53.004410022310537</v>
      </c>
      <c r="C2185" s="13">
        <v>18150</v>
      </c>
      <c r="D2185" s="13" t="s">
        <v>2559</v>
      </c>
      <c r="E2185" s="13" t="s">
        <v>1463</v>
      </c>
      <c r="F2185" s="13" t="s">
        <v>1464</v>
      </c>
      <c r="G2185" s="13" t="s">
        <v>2560</v>
      </c>
      <c r="K2185" t="s">
        <v>413</v>
      </c>
      <c r="L2185" s="81">
        <f>+Municipios!U1082</f>
        <v>14.316854992504476</v>
      </c>
      <c r="M2185" s="13">
        <v>18150</v>
      </c>
      <c r="N2185" s="13" t="s">
        <v>2559</v>
      </c>
      <c r="O2185" s="13" t="s">
        <v>1463</v>
      </c>
      <c r="P2185" s="13" t="s">
        <v>1464</v>
      </c>
      <c r="Q2185" s="13" t="s">
        <v>2560</v>
      </c>
      <c r="T2185" t="s">
        <v>2804</v>
      </c>
      <c r="U2185" s="25">
        <f>+Municipios!P1082</f>
        <v>53.004410022310537</v>
      </c>
      <c r="V2185" s="13">
        <v>18150</v>
      </c>
      <c r="W2185" s="13" t="s">
        <v>2559</v>
      </c>
      <c r="X2185" s="13" t="s">
        <v>1463</v>
      </c>
      <c r="Y2185" s="13" t="s">
        <v>1464</v>
      </c>
      <c r="Z2185" s="13" t="s">
        <v>2560</v>
      </c>
    </row>
    <row r="2186" spans="1:26">
      <c r="A2186" t="s">
        <v>412</v>
      </c>
      <c r="B2186" s="25">
        <f>+Municipios!P1083</f>
        <v>57.842062793711584</v>
      </c>
      <c r="C2186" s="13">
        <v>50350</v>
      </c>
      <c r="D2186" s="13" t="s">
        <v>2561</v>
      </c>
      <c r="E2186" s="13" t="s">
        <v>605</v>
      </c>
      <c r="F2186" s="13" t="s">
        <v>606</v>
      </c>
      <c r="G2186" s="13" t="s">
        <v>2562</v>
      </c>
      <c r="K2186" t="s">
        <v>413</v>
      </c>
      <c r="L2186" s="81">
        <f>+Municipios!U1083</f>
        <v>16.440797894831494</v>
      </c>
      <c r="M2186" s="13">
        <v>50350</v>
      </c>
      <c r="N2186" s="13" t="s">
        <v>2561</v>
      </c>
      <c r="O2186" s="13" t="s">
        <v>605</v>
      </c>
      <c r="P2186" s="13" t="s">
        <v>606</v>
      </c>
      <c r="Q2186" s="13" t="s">
        <v>2562</v>
      </c>
      <c r="T2186" t="s">
        <v>2804</v>
      </c>
      <c r="U2186" s="25">
        <f>+Municipios!P1083</f>
        <v>57.842062793711584</v>
      </c>
      <c r="V2186" s="13">
        <v>50350</v>
      </c>
      <c r="W2186" s="13" t="s">
        <v>2561</v>
      </c>
      <c r="X2186" s="13" t="s">
        <v>605</v>
      </c>
      <c r="Y2186" s="13" t="s">
        <v>606</v>
      </c>
      <c r="Z2186" s="13" t="s">
        <v>2562</v>
      </c>
    </row>
    <row r="2187" spans="1:26">
      <c r="A2187" t="s">
        <v>412</v>
      </c>
      <c r="B2187" s="25">
        <f>+Municipios!P1084</f>
        <v>50.712188845170033</v>
      </c>
      <c r="C2187" s="13">
        <v>81591</v>
      </c>
      <c r="D2187" s="13" t="s">
        <v>2563</v>
      </c>
      <c r="E2187" s="13" t="s">
        <v>1568</v>
      </c>
      <c r="F2187" s="13" t="s">
        <v>1569</v>
      </c>
      <c r="G2187" s="13" t="s">
        <v>2564</v>
      </c>
      <c r="K2187" t="s">
        <v>413</v>
      </c>
      <c r="L2187" s="81">
        <f>+Municipios!U1084</f>
        <v>12.698513529125881</v>
      </c>
      <c r="M2187" s="13">
        <v>81591</v>
      </c>
      <c r="N2187" s="13" t="s">
        <v>2563</v>
      </c>
      <c r="O2187" s="13" t="s">
        <v>1568</v>
      </c>
      <c r="P2187" s="13" t="s">
        <v>1569</v>
      </c>
      <c r="Q2187" s="13" t="s">
        <v>2564</v>
      </c>
      <c r="T2187" t="s">
        <v>2804</v>
      </c>
      <c r="U2187" s="25">
        <f>+Municipios!P1084</f>
        <v>50.712188845170033</v>
      </c>
      <c r="V2187" s="13">
        <v>81591</v>
      </c>
      <c r="W2187" s="13" t="s">
        <v>2563</v>
      </c>
      <c r="X2187" s="13" t="s">
        <v>1568</v>
      </c>
      <c r="Y2187" s="13" t="s">
        <v>1569</v>
      </c>
      <c r="Z2187" s="13" t="s">
        <v>2564</v>
      </c>
    </row>
    <row r="2188" spans="1:26">
      <c r="A2188" t="s">
        <v>412</v>
      </c>
      <c r="B2188" s="25">
        <f>+Municipios!P1085</f>
        <v>53.232207956165283</v>
      </c>
      <c r="C2188" s="13">
        <v>50370</v>
      </c>
      <c r="D2188" s="13" t="s">
        <v>2565</v>
      </c>
      <c r="E2188" s="13" t="s">
        <v>605</v>
      </c>
      <c r="F2188" s="13" t="s">
        <v>606</v>
      </c>
      <c r="G2188" s="13" t="s">
        <v>2566</v>
      </c>
      <c r="K2188" t="s">
        <v>413</v>
      </c>
      <c r="L2188" s="81">
        <f>+Municipios!U1085</f>
        <v>12.4550468336317</v>
      </c>
      <c r="M2188" s="13">
        <v>50370</v>
      </c>
      <c r="N2188" s="13" t="s">
        <v>2565</v>
      </c>
      <c r="O2188" s="13" t="s">
        <v>605</v>
      </c>
      <c r="P2188" s="13" t="s">
        <v>606</v>
      </c>
      <c r="Q2188" s="13" t="s">
        <v>2566</v>
      </c>
      <c r="T2188" t="s">
        <v>2804</v>
      </c>
      <c r="U2188" s="25">
        <f>+Municipios!P1085</f>
        <v>53.232207956165283</v>
      </c>
      <c r="V2188" s="13">
        <v>50370</v>
      </c>
      <c r="W2188" s="13" t="s">
        <v>2565</v>
      </c>
      <c r="X2188" s="13" t="s">
        <v>605</v>
      </c>
      <c r="Y2188" s="13" t="s">
        <v>606</v>
      </c>
      <c r="Z2188" s="13" t="s">
        <v>2566</v>
      </c>
    </row>
    <row r="2189" spans="1:26">
      <c r="A2189" t="s">
        <v>412</v>
      </c>
      <c r="B2189" s="25">
        <f>+Municipios!P1086</f>
        <v>45.179819103853788</v>
      </c>
      <c r="C2189" s="13">
        <v>19701</v>
      </c>
      <c r="D2189" s="13" t="s">
        <v>2567</v>
      </c>
      <c r="E2189" s="13" t="s">
        <v>557</v>
      </c>
      <c r="F2189" s="13" t="s">
        <v>558</v>
      </c>
      <c r="G2189" s="13" t="s">
        <v>751</v>
      </c>
      <c r="K2189" t="s">
        <v>413</v>
      </c>
      <c r="L2189" s="81">
        <f>+Municipios!U1086</f>
        <v>10.49156674008595</v>
      </c>
      <c r="M2189" s="13">
        <v>19701</v>
      </c>
      <c r="N2189" s="13" t="s">
        <v>2567</v>
      </c>
      <c r="O2189" s="13" t="s">
        <v>557</v>
      </c>
      <c r="P2189" s="13" t="s">
        <v>558</v>
      </c>
      <c r="Q2189" s="13" t="s">
        <v>751</v>
      </c>
      <c r="T2189" t="s">
        <v>2804</v>
      </c>
      <c r="U2189" s="25">
        <f>+Municipios!P1086</f>
        <v>45.179819103853788</v>
      </c>
      <c r="V2189" s="13">
        <v>19701</v>
      </c>
      <c r="W2189" s="13" t="s">
        <v>2567</v>
      </c>
      <c r="X2189" s="13" t="s">
        <v>557</v>
      </c>
      <c r="Y2189" s="13" t="s">
        <v>558</v>
      </c>
      <c r="Z2189" s="13" t="s">
        <v>751</v>
      </c>
    </row>
    <row r="2190" spans="1:26">
      <c r="A2190" t="s">
        <v>412</v>
      </c>
      <c r="B2190" s="25">
        <f>+Municipios!P1087</f>
        <v>56.026156430933</v>
      </c>
      <c r="C2190" s="13">
        <v>97001</v>
      </c>
      <c r="D2190" s="13" t="s">
        <v>2568</v>
      </c>
      <c r="E2190" s="13" t="s">
        <v>2569</v>
      </c>
      <c r="F2190" s="13" t="s">
        <v>2570</v>
      </c>
      <c r="G2190" s="13" t="s">
        <v>2571</v>
      </c>
      <c r="K2190" t="s">
        <v>413</v>
      </c>
      <c r="L2190" s="81">
        <f>+Municipios!U1087</f>
        <v>12.359964796778177</v>
      </c>
      <c r="M2190" s="13">
        <v>97001</v>
      </c>
      <c r="N2190" s="13" t="s">
        <v>2568</v>
      </c>
      <c r="O2190" s="13" t="s">
        <v>2569</v>
      </c>
      <c r="P2190" s="13" t="s">
        <v>2570</v>
      </c>
      <c r="Q2190" s="13" t="s">
        <v>2571</v>
      </c>
      <c r="T2190" t="s">
        <v>2804</v>
      </c>
      <c r="U2190" s="25">
        <f>+Municipios!P1087</f>
        <v>56.026156430933</v>
      </c>
      <c r="V2190" s="13">
        <v>97001</v>
      </c>
      <c r="W2190" s="13" t="s">
        <v>2568</v>
      </c>
      <c r="X2190" s="13" t="s">
        <v>2569</v>
      </c>
      <c r="Y2190" s="13" t="s">
        <v>2570</v>
      </c>
      <c r="Z2190" s="13" t="s">
        <v>2571</v>
      </c>
    </row>
    <row r="2191" spans="1:26">
      <c r="A2191" t="s">
        <v>412</v>
      </c>
      <c r="B2191" s="25">
        <f>+Municipios!P1088</f>
        <v>57.28520217719511</v>
      </c>
      <c r="C2191" s="13">
        <v>95025</v>
      </c>
      <c r="D2191" s="13" t="s">
        <v>2572</v>
      </c>
      <c r="E2191" s="13" t="s">
        <v>2542</v>
      </c>
      <c r="F2191" s="13" t="s">
        <v>2543</v>
      </c>
      <c r="G2191" s="13" t="s">
        <v>2573</v>
      </c>
      <c r="K2191" t="s">
        <v>413</v>
      </c>
      <c r="L2191" s="81">
        <f>+Municipios!U1088</f>
        <v>11.542506991950894</v>
      </c>
      <c r="M2191" s="13">
        <v>95025</v>
      </c>
      <c r="N2191" s="13" t="s">
        <v>2572</v>
      </c>
      <c r="O2191" s="13" t="s">
        <v>2542</v>
      </c>
      <c r="P2191" s="13" t="s">
        <v>2543</v>
      </c>
      <c r="Q2191" s="13" t="s">
        <v>2573</v>
      </c>
      <c r="T2191" t="s">
        <v>2804</v>
      </c>
      <c r="U2191" s="25">
        <f>+Municipios!P1088</f>
        <v>57.28520217719511</v>
      </c>
      <c r="V2191" s="13">
        <v>95025</v>
      </c>
      <c r="W2191" s="13" t="s">
        <v>2572</v>
      </c>
      <c r="X2191" s="13" t="s">
        <v>2542</v>
      </c>
      <c r="Y2191" s="13" t="s">
        <v>2543</v>
      </c>
      <c r="Z2191" s="13" t="s">
        <v>2573</v>
      </c>
    </row>
    <row r="2192" spans="1:26">
      <c r="A2192" t="s">
        <v>412</v>
      </c>
      <c r="B2192" s="25">
        <f>+Municipios!P1089</f>
        <v>59.632573168826511</v>
      </c>
      <c r="C2192" s="13">
        <v>99001</v>
      </c>
      <c r="D2192" s="13" t="s">
        <v>2574</v>
      </c>
      <c r="E2192" s="13" t="s">
        <v>2575</v>
      </c>
      <c r="F2192" s="13" t="s">
        <v>2576</v>
      </c>
      <c r="G2192" s="13" t="s">
        <v>2577</v>
      </c>
      <c r="K2192" t="s">
        <v>413</v>
      </c>
      <c r="L2192" s="81">
        <f>+Municipios!U1089</f>
        <v>12.353145951737114</v>
      </c>
      <c r="M2192" s="13">
        <v>99001</v>
      </c>
      <c r="N2192" s="13" t="s">
        <v>2574</v>
      </c>
      <c r="O2192" s="13" t="s">
        <v>2575</v>
      </c>
      <c r="P2192" s="13" t="s">
        <v>2576</v>
      </c>
      <c r="Q2192" s="13" t="s">
        <v>2577</v>
      </c>
      <c r="T2192" t="s">
        <v>2804</v>
      </c>
      <c r="U2192" s="25">
        <f>+Municipios!P1089</f>
        <v>59.632573168826511</v>
      </c>
      <c r="V2192" s="13">
        <v>99001</v>
      </c>
      <c r="W2192" s="13" t="s">
        <v>2574</v>
      </c>
      <c r="X2192" s="13" t="s">
        <v>2575</v>
      </c>
      <c r="Y2192" s="13" t="s">
        <v>2576</v>
      </c>
      <c r="Z2192" s="13" t="s">
        <v>2577</v>
      </c>
    </row>
    <row r="2193" spans="1:26">
      <c r="A2193" t="s">
        <v>412</v>
      </c>
      <c r="B2193" s="25">
        <f>+Municipios!P1090</f>
        <v>37.892172971497708</v>
      </c>
      <c r="C2193" s="13">
        <v>99624</v>
      </c>
      <c r="D2193" s="13" t="s">
        <v>2578</v>
      </c>
      <c r="E2193" s="13" t="s">
        <v>2575</v>
      </c>
      <c r="F2193" s="13" t="s">
        <v>2576</v>
      </c>
      <c r="G2193" s="13" t="s">
        <v>2579</v>
      </c>
      <c r="K2193" t="s">
        <v>413</v>
      </c>
      <c r="L2193" s="81">
        <f>+Municipios!U1090</f>
        <v>7.4817620104866025</v>
      </c>
      <c r="M2193" s="13">
        <v>99624</v>
      </c>
      <c r="N2193" s="13" t="s">
        <v>2578</v>
      </c>
      <c r="O2193" s="13" t="s">
        <v>2575</v>
      </c>
      <c r="P2193" s="13" t="s">
        <v>2576</v>
      </c>
      <c r="Q2193" s="13" t="s">
        <v>2579</v>
      </c>
      <c r="T2193" t="s">
        <v>2804</v>
      </c>
      <c r="U2193" s="25">
        <f>+Municipios!P1090</f>
        <v>37.892172971497708</v>
      </c>
      <c r="V2193" s="13">
        <v>99624</v>
      </c>
      <c r="W2193" s="13" t="s">
        <v>2578</v>
      </c>
      <c r="X2193" s="13" t="s">
        <v>2575</v>
      </c>
      <c r="Y2193" s="13" t="s">
        <v>2576</v>
      </c>
      <c r="Z2193" s="13" t="s">
        <v>2579</v>
      </c>
    </row>
    <row r="2194" spans="1:26">
      <c r="A2194" t="s">
        <v>412</v>
      </c>
      <c r="B2194" s="25">
        <f>+Municipios!P1091</f>
        <v>55.858298690227059</v>
      </c>
      <c r="C2194" s="13">
        <v>99773</v>
      </c>
      <c r="D2194" s="13" t="s">
        <v>2580</v>
      </c>
      <c r="E2194" s="13" t="s">
        <v>2575</v>
      </c>
      <c r="F2194" s="13" t="s">
        <v>2576</v>
      </c>
      <c r="G2194" s="13" t="s">
        <v>2581</v>
      </c>
      <c r="K2194" t="s">
        <v>413</v>
      </c>
      <c r="L2194" s="81">
        <f>+Municipios!U1091</f>
        <v>11.979565378327575</v>
      </c>
      <c r="M2194" s="13">
        <v>99773</v>
      </c>
      <c r="N2194" s="13" t="s">
        <v>2580</v>
      </c>
      <c r="O2194" s="13" t="s">
        <v>2575</v>
      </c>
      <c r="P2194" s="13" t="s">
        <v>2576</v>
      </c>
      <c r="Q2194" s="13" t="s">
        <v>2581</v>
      </c>
      <c r="T2194" t="s">
        <v>2804</v>
      </c>
      <c r="U2194" s="25">
        <f>+Municipios!P1091</f>
        <v>55.858298690227059</v>
      </c>
      <c r="V2194" s="13">
        <v>99773</v>
      </c>
      <c r="W2194" s="13" t="s">
        <v>2580</v>
      </c>
      <c r="X2194" s="13" t="s">
        <v>2575</v>
      </c>
      <c r="Y2194" s="13" t="s">
        <v>2576</v>
      </c>
      <c r="Z2194" s="13" t="s">
        <v>2581</v>
      </c>
    </row>
    <row r="2195" spans="1:26">
      <c r="A2195" t="s">
        <v>412</v>
      </c>
      <c r="B2195" s="25">
        <f>+Municipios!P1092</f>
        <v>60.684808224970382</v>
      </c>
      <c r="C2195" s="13">
        <v>95015</v>
      </c>
      <c r="D2195" s="13" t="s">
        <v>2582</v>
      </c>
      <c r="E2195" s="13" t="s">
        <v>2542</v>
      </c>
      <c r="F2195" s="13" t="s">
        <v>2543</v>
      </c>
      <c r="G2195" s="13" t="s">
        <v>927</v>
      </c>
      <c r="K2195" t="s">
        <v>413</v>
      </c>
      <c r="L2195" s="81">
        <f>+Municipios!U1092</f>
        <v>10.323376368287702</v>
      </c>
      <c r="M2195" s="13">
        <v>95015</v>
      </c>
      <c r="N2195" s="13" t="s">
        <v>2582</v>
      </c>
      <c r="O2195" s="13" t="s">
        <v>2542</v>
      </c>
      <c r="P2195" s="13" t="s">
        <v>2543</v>
      </c>
      <c r="Q2195" s="13" t="s">
        <v>927</v>
      </c>
      <c r="T2195" t="s">
        <v>2804</v>
      </c>
      <c r="U2195" s="25">
        <f>+Municipios!P1092</f>
        <v>60.684808224970382</v>
      </c>
      <c r="V2195" s="13">
        <v>95015</v>
      </c>
      <c r="W2195" s="13" t="s">
        <v>2582</v>
      </c>
      <c r="X2195" s="13" t="s">
        <v>2542</v>
      </c>
      <c r="Y2195" s="13" t="s">
        <v>2543</v>
      </c>
      <c r="Z2195" s="13" t="s">
        <v>927</v>
      </c>
    </row>
    <row r="2196" spans="1:26">
      <c r="A2196" t="s">
        <v>412</v>
      </c>
      <c r="B2196" s="25">
        <f>+Municipios!P1093</f>
        <v>46.770527144678738</v>
      </c>
      <c r="C2196" s="13">
        <v>81220</v>
      </c>
      <c r="D2196" s="13" t="s">
        <v>2583</v>
      </c>
      <c r="E2196" s="13" t="s">
        <v>1568</v>
      </c>
      <c r="F2196" s="13" t="s">
        <v>1569</v>
      </c>
      <c r="G2196" s="13" t="s">
        <v>2584</v>
      </c>
      <c r="K2196" t="s">
        <v>413</v>
      </c>
      <c r="L2196" s="81">
        <f>+Municipios!U1093</f>
        <v>8.1770503711971969</v>
      </c>
      <c r="M2196" s="13">
        <v>81220</v>
      </c>
      <c r="N2196" s="13" t="s">
        <v>2583</v>
      </c>
      <c r="O2196" s="13" t="s">
        <v>1568</v>
      </c>
      <c r="P2196" s="13" t="s">
        <v>1569</v>
      </c>
      <c r="Q2196" s="13" t="s">
        <v>2584</v>
      </c>
      <c r="T2196" t="s">
        <v>2804</v>
      </c>
      <c r="U2196" s="25">
        <f>+Municipios!P1093</f>
        <v>46.770527144678738</v>
      </c>
      <c r="V2196" s="13">
        <v>81220</v>
      </c>
      <c r="W2196" s="13" t="s">
        <v>2583</v>
      </c>
      <c r="X2196" s="13" t="s">
        <v>1568</v>
      </c>
      <c r="Y2196" s="13" t="s">
        <v>1569</v>
      </c>
      <c r="Z2196" s="13" t="s">
        <v>2584</v>
      </c>
    </row>
    <row r="2197" spans="1:26">
      <c r="A2197" t="s">
        <v>412</v>
      </c>
      <c r="B2197" s="25">
        <f>+Municipios!P1094</f>
        <v>38.777891369621479</v>
      </c>
      <c r="C2197" s="13">
        <v>94343</v>
      </c>
      <c r="D2197" s="13" t="s">
        <v>2585</v>
      </c>
      <c r="E2197" s="13" t="s">
        <v>2586</v>
      </c>
      <c r="F2197" s="13" t="s">
        <v>2587</v>
      </c>
      <c r="G2197" s="13" t="s">
        <v>2588</v>
      </c>
      <c r="K2197" t="s">
        <v>413</v>
      </c>
      <c r="L2197" s="81">
        <f>+Municipios!U1094</f>
        <v>5.9013311569759548</v>
      </c>
      <c r="M2197" s="13">
        <v>94343</v>
      </c>
      <c r="N2197" s="13" t="s">
        <v>2585</v>
      </c>
      <c r="O2197" s="13" t="s">
        <v>2586</v>
      </c>
      <c r="P2197" s="13" t="s">
        <v>2587</v>
      </c>
      <c r="Q2197" s="13" t="s">
        <v>2588</v>
      </c>
      <c r="T2197" t="s">
        <v>2804</v>
      </c>
      <c r="U2197" s="25">
        <f>+Municipios!P1094</f>
        <v>38.777891369621479</v>
      </c>
      <c r="V2197" s="13">
        <v>94343</v>
      </c>
      <c r="W2197" s="13" t="s">
        <v>2585</v>
      </c>
      <c r="X2197" s="13" t="s">
        <v>2586</v>
      </c>
      <c r="Y2197" s="13" t="s">
        <v>2587</v>
      </c>
      <c r="Z2197" s="13" t="s">
        <v>2588</v>
      </c>
    </row>
    <row r="2198" spans="1:26">
      <c r="A2198" t="s">
        <v>412</v>
      </c>
      <c r="B2198" s="25">
        <f>+Municipios!P1095</f>
        <v>48.552777661335135</v>
      </c>
      <c r="C2198" s="13">
        <v>50325</v>
      </c>
      <c r="D2198" s="13" t="s">
        <v>2589</v>
      </c>
      <c r="E2198" s="13" t="s">
        <v>605</v>
      </c>
      <c r="F2198" s="13" t="s">
        <v>606</v>
      </c>
      <c r="G2198" s="13" t="s">
        <v>2590</v>
      </c>
      <c r="K2198" t="s">
        <v>413</v>
      </c>
      <c r="L2198" s="81">
        <f>+Municipios!U1095</f>
        <v>7.4547554131973177</v>
      </c>
      <c r="M2198" s="13">
        <v>50325</v>
      </c>
      <c r="N2198" s="13" t="s">
        <v>2589</v>
      </c>
      <c r="O2198" s="13" t="s">
        <v>605</v>
      </c>
      <c r="P2198" s="13" t="s">
        <v>606</v>
      </c>
      <c r="Q2198" s="13" t="s">
        <v>2590</v>
      </c>
      <c r="T2198" t="s">
        <v>2804</v>
      </c>
      <c r="U2198" s="25">
        <f>+Municipios!P1095</f>
        <v>48.552777661335135</v>
      </c>
      <c r="V2198" s="13">
        <v>50325</v>
      </c>
      <c r="W2198" s="13" t="s">
        <v>2589</v>
      </c>
      <c r="X2198" s="13" t="s">
        <v>605</v>
      </c>
      <c r="Y2198" s="13" t="s">
        <v>606</v>
      </c>
      <c r="Z2198" s="13" t="s">
        <v>2590</v>
      </c>
    </row>
    <row r="2199" spans="1:26">
      <c r="A2199" t="s">
        <v>412</v>
      </c>
      <c r="B2199" s="25">
        <f>+Municipios!P1096</f>
        <v>51.48581652271276</v>
      </c>
      <c r="C2199" s="13">
        <v>95200</v>
      </c>
      <c r="D2199" s="13" t="s">
        <v>2591</v>
      </c>
      <c r="E2199" s="13" t="s">
        <v>2542</v>
      </c>
      <c r="F2199" s="13" t="s">
        <v>2543</v>
      </c>
      <c r="G2199" s="13" t="s">
        <v>1883</v>
      </c>
      <c r="K2199" t="s">
        <v>413</v>
      </c>
      <c r="L2199" s="81">
        <f>+Municipios!U1096</f>
        <v>6.8408380400947149</v>
      </c>
      <c r="M2199" s="13">
        <v>95200</v>
      </c>
      <c r="N2199" s="13" t="s">
        <v>2591</v>
      </c>
      <c r="O2199" s="13" t="s">
        <v>2542</v>
      </c>
      <c r="P2199" s="13" t="s">
        <v>2543</v>
      </c>
      <c r="Q2199" s="13" t="s">
        <v>1883</v>
      </c>
      <c r="T2199" t="s">
        <v>2804</v>
      </c>
      <c r="U2199" s="25">
        <f>+Municipios!P1096</f>
        <v>51.48581652271276</v>
      </c>
      <c r="V2199" s="13">
        <v>95200</v>
      </c>
      <c r="W2199" s="13" t="s">
        <v>2591</v>
      </c>
      <c r="X2199" s="13" t="s">
        <v>2542</v>
      </c>
      <c r="Y2199" s="13" t="s">
        <v>2543</v>
      </c>
      <c r="Z2199" s="13" t="s">
        <v>1883</v>
      </c>
    </row>
    <row r="2200" spans="1:26">
      <c r="A2200" t="s">
        <v>412</v>
      </c>
      <c r="B2200" s="25">
        <f>+Municipios!P1097</f>
        <v>46.064624223578264</v>
      </c>
      <c r="C2200" s="13">
        <v>99524</v>
      </c>
      <c r="D2200" s="13" t="s">
        <v>2592</v>
      </c>
      <c r="E2200" s="13" t="s">
        <v>2575</v>
      </c>
      <c r="F2200" s="13" t="s">
        <v>2576</v>
      </c>
      <c r="G2200" s="13" t="s">
        <v>2593</v>
      </c>
      <c r="K2200" t="s">
        <v>413</v>
      </c>
      <c r="L2200" s="81">
        <f>+Municipios!U1097</f>
        <v>6.3223753656441248</v>
      </c>
      <c r="M2200" s="13">
        <v>99524</v>
      </c>
      <c r="N2200" s="13" t="s">
        <v>2592</v>
      </c>
      <c r="O2200" s="13" t="s">
        <v>2575</v>
      </c>
      <c r="P2200" s="13" t="s">
        <v>2576</v>
      </c>
      <c r="Q2200" s="13" t="s">
        <v>2593</v>
      </c>
      <c r="T2200" t="s">
        <v>2804</v>
      </c>
      <c r="U2200" s="25">
        <f>+Municipios!P1097</f>
        <v>46.064624223578264</v>
      </c>
      <c r="V2200" s="13">
        <v>99524</v>
      </c>
      <c r="W2200" s="13" t="s">
        <v>2592</v>
      </c>
      <c r="X2200" s="13" t="s">
        <v>2575</v>
      </c>
      <c r="Y2200" s="13" t="s">
        <v>2576</v>
      </c>
      <c r="Z2200" s="13" t="s">
        <v>2593</v>
      </c>
    </row>
    <row r="2201" spans="1:26">
      <c r="A2201" t="s">
        <v>412</v>
      </c>
      <c r="B2201" s="25">
        <f>+Municipios!P1098</f>
        <v>39.831159157849569</v>
      </c>
      <c r="C2201" s="13">
        <v>97161</v>
      </c>
      <c r="D2201" s="13" t="s">
        <v>2594</v>
      </c>
      <c r="E2201" s="13" t="s">
        <v>2569</v>
      </c>
      <c r="F2201" s="13" t="s">
        <v>2570</v>
      </c>
      <c r="G2201" s="13" t="s">
        <v>2595</v>
      </c>
      <c r="K2201" t="s">
        <v>413</v>
      </c>
      <c r="L2201" s="81">
        <f>+Municipios!U1098</f>
        <v>4.8376540401080623</v>
      </c>
      <c r="M2201" s="13">
        <v>97161</v>
      </c>
      <c r="N2201" s="13" t="s">
        <v>2594</v>
      </c>
      <c r="O2201" s="13" t="s">
        <v>2569</v>
      </c>
      <c r="P2201" s="13" t="s">
        <v>2570</v>
      </c>
      <c r="Q2201" s="13" t="s">
        <v>2595</v>
      </c>
      <c r="T2201" t="s">
        <v>2804</v>
      </c>
      <c r="U2201" s="25">
        <f>+Municipios!P1098</f>
        <v>39.831159157849569</v>
      </c>
      <c r="V2201" s="13">
        <v>97161</v>
      </c>
      <c r="W2201" s="13" t="s">
        <v>2594</v>
      </c>
      <c r="X2201" s="13" t="s">
        <v>2569</v>
      </c>
      <c r="Y2201" s="13" t="s">
        <v>2570</v>
      </c>
      <c r="Z2201" s="13" t="s">
        <v>2595</v>
      </c>
    </row>
    <row r="2202" spans="1:26">
      <c r="A2202" t="s">
        <v>412</v>
      </c>
      <c r="B2202" s="25">
        <f>+Municipios!P1099</f>
        <v>47.518429610362148</v>
      </c>
      <c r="C2202" s="13">
        <v>97666</v>
      </c>
      <c r="D2202" s="13" t="s">
        <v>2596</v>
      </c>
      <c r="E2202" s="13" t="s">
        <v>2569</v>
      </c>
      <c r="F2202" s="13" t="s">
        <v>2570</v>
      </c>
      <c r="G2202" s="13" t="s">
        <v>2597</v>
      </c>
      <c r="K2202" t="s">
        <v>413</v>
      </c>
      <c r="L2202" s="81">
        <f>+Municipios!U1099</f>
        <v>5.4759981968732809</v>
      </c>
      <c r="M2202" s="13">
        <v>97666</v>
      </c>
      <c r="N2202" s="13" t="s">
        <v>2596</v>
      </c>
      <c r="O2202" s="13" t="s">
        <v>2569</v>
      </c>
      <c r="P2202" s="13" t="s">
        <v>2570</v>
      </c>
      <c r="Q2202" s="13" t="s">
        <v>2597</v>
      </c>
      <c r="T2202" t="s">
        <v>2804</v>
      </c>
      <c r="U2202" s="25">
        <f>+Municipios!P1099</f>
        <v>47.518429610362148</v>
      </c>
      <c r="V2202" s="13">
        <v>97666</v>
      </c>
      <c r="W2202" s="13" t="s">
        <v>2596</v>
      </c>
      <c r="X2202" s="13" t="s">
        <v>2569</v>
      </c>
      <c r="Y2202" s="13" t="s">
        <v>2570</v>
      </c>
      <c r="Z2202" s="13" t="s">
        <v>2597</v>
      </c>
    </row>
    <row r="2203" spans="1:26">
      <c r="A2203" t="s">
        <v>412</v>
      </c>
      <c r="B2203" s="25">
        <f>+Municipios!P1100</f>
        <v>49.852234941216132</v>
      </c>
      <c r="C2203" s="13">
        <v>18756</v>
      </c>
      <c r="D2203" s="13" t="s">
        <v>2598</v>
      </c>
      <c r="E2203" s="13" t="s">
        <v>1463</v>
      </c>
      <c r="F2203" s="13" t="s">
        <v>1464</v>
      </c>
      <c r="G2203" s="13" t="s">
        <v>2599</v>
      </c>
      <c r="K2203" t="s">
        <v>413</v>
      </c>
      <c r="L2203" s="81">
        <f>+Municipios!U1100</f>
        <v>4.9852234941216134</v>
      </c>
      <c r="M2203" s="13">
        <v>18756</v>
      </c>
      <c r="N2203" s="13" t="s">
        <v>2598</v>
      </c>
      <c r="O2203" s="13" t="s">
        <v>1463</v>
      </c>
      <c r="P2203" s="13" t="s">
        <v>1464</v>
      </c>
      <c r="Q2203" s="13" t="s">
        <v>2599</v>
      </c>
      <c r="T2203" t="s">
        <v>2804</v>
      </c>
      <c r="U2203" s="25">
        <f>+Municipios!P1100</f>
        <v>49.852234941216132</v>
      </c>
      <c r="V2203" s="13">
        <v>18756</v>
      </c>
      <c r="W2203" s="13" t="s">
        <v>2598</v>
      </c>
      <c r="X2203" s="13" t="s">
        <v>1463</v>
      </c>
      <c r="Y2203" s="13" t="s">
        <v>1464</v>
      </c>
      <c r="Z2203" s="13" t="s">
        <v>2599</v>
      </c>
    </row>
    <row r="2204" spans="1:26">
      <c r="A2204" t="s">
        <v>412</v>
      </c>
      <c r="B2204" s="25">
        <f>+Municipios!P1101</f>
        <v>54.026200000000003</v>
      </c>
      <c r="C2204" s="13">
        <v>27493</v>
      </c>
      <c r="D2204" s="13" t="s">
        <v>2600</v>
      </c>
      <c r="E2204" s="79" t="s">
        <v>1714</v>
      </c>
      <c r="F2204" s="13" t="s">
        <v>1715</v>
      </c>
      <c r="G2204" s="13" t="s">
        <v>2601</v>
      </c>
      <c r="K2204" t="s">
        <v>413</v>
      </c>
      <c r="L2204" s="81">
        <f>+Municipios!U1101</f>
        <v>23.349697247778646</v>
      </c>
      <c r="M2204" s="13">
        <v>27493</v>
      </c>
      <c r="N2204" s="13" t="s">
        <v>2600</v>
      </c>
      <c r="O2204" s="79" t="s">
        <v>1714</v>
      </c>
      <c r="P2204" s="13" t="s">
        <v>1715</v>
      </c>
      <c r="Q2204" s="13" t="s">
        <v>2601</v>
      </c>
      <c r="T2204" t="s">
        <v>2804</v>
      </c>
      <c r="U2204" s="25">
        <f>+Municipios!P1101</f>
        <v>54.026200000000003</v>
      </c>
      <c r="V2204" s="13">
        <v>27493</v>
      </c>
      <c r="W2204" s="13" t="s">
        <v>2600</v>
      </c>
      <c r="X2204" s="79" t="s">
        <v>1714</v>
      </c>
      <c r="Y2204" s="13" t="s">
        <v>1715</v>
      </c>
      <c r="Z2204" s="13" t="s">
        <v>2601</v>
      </c>
    </row>
    <row r="2205" spans="1:26">
      <c r="A2205" t="s">
        <v>412</v>
      </c>
      <c r="B2205" s="25">
        <f>+Municipios!P1102</f>
        <v>46.523898190553872</v>
      </c>
      <c r="C2205" s="13">
        <v>88564</v>
      </c>
      <c r="D2205" s="13" t="s">
        <v>2602</v>
      </c>
      <c r="E2205" s="13" t="s">
        <v>2603</v>
      </c>
      <c r="F2205" s="13" t="s">
        <v>2604</v>
      </c>
      <c r="G2205" s="13" t="s">
        <v>1028</v>
      </c>
      <c r="K2205" t="s">
        <v>413</v>
      </c>
      <c r="L2205" s="81">
        <f>+Municipios!U1102</f>
        <v>25.664172621784353</v>
      </c>
      <c r="M2205" s="13">
        <v>88564</v>
      </c>
      <c r="N2205" s="13" t="s">
        <v>2602</v>
      </c>
      <c r="O2205" s="13" t="s">
        <v>2603</v>
      </c>
      <c r="P2205" s="13" t="s">
        <v>2604</v>
      </c>
      <c r="Q2205" s="13" t="s">
        <v>1028</v>
      </c>
      <c r="T2205" t="s">
        <v>2804</v>
      </c>
      <c r="U2205" s="25">
        <f>+Municipios!P1102</f>
        <v>46.523898190553872</v>
      </c>
      <c r="V2205" s="13">
        <v>88564</v>
      </c>
      <c r="W2205" s="13" t="s">
        <v>2602</v>
      </c>
      <c r="X2205" s="13" t="s">
        <v>2603</v>
      </c>
      <c r="Y2205" s="13" t="s">
        <v>2604</v>
      </c>
      <c r="Z2205" s="13" t="s">
        <v>1028</v>
      </c>
    </row>
    <row r="2206" spans="1:26">
      <c r="A2206" t="s">
        <v>412</v>
      </c>
      <c r="B2206" s="25">
        <f>+Municipios!P1103</f>
        <v>50.432301525398842</v>
      </c>
      <c r="C2206" s="13">
        <v>91001</v>
      </c>
      <c r="D2206" s="13" t="s">
        <v>2605</v>
      </c>
      <c r="E2206" s="13" t="s">
        <v>2606</v>
      </c>
      <c r="F2206" s="13" t="s">
        <v>2607</v>
      </c>
      <c r="G2206" s="13" t="s">
        <v>2608</v>
      </c>
      <c r="K2206" t="s">
        <v>413</v>
      </c>
      <c r="L2206" s="81">
        <f>+Municipios!U1103</f>
        <v>15.644713950626079</v>
      </c>
      <c r="M2206" s="13">
        <v>91001</v>
      </c>
      <c r="N2206" s="13" t="s">
        <v>2605</v>
      </c>
      <c r="O2206" s="13" t="s">
        <v>2606</v>
      </c>
      <c r="P2206" s="13" t="s">
        <v>2607</v>
      </c>
      <c r="Q2206" s="13" t="s">
        <v>2608</v>
      </c>
      <c r="T2206" t="s">
        <v>2804</v>
      </c>
      <c r="U2206" s="25">
        <f>+Municipios!P1103</f>
        <v>50.432301525398842</v>
      </c>
      <c r="V2206" s="13">
        <v>91001</v>
      </c>
      <c r="W2206" s="13" t="s">
        <v>2605</v>
      </c>
      <c r="X2206" s="13" t="s">
        <v>2606</v>
      </c>
      <c r="Y2206" s="13" t="s">
        <v>2607</v>
      </c>
      <c r="Z2206" s="13" t="s">
        <v>2608</v>
      </c>
    </row>
    <row r="2207" spans="1:26">
      <c r="A2207" t="s">
        <v>412</v>
      </c>
      <c r="B2207" s="25">
        <f>+Municipios!P1104</f>
        <v>41.660272243258191</v>
      </c>
      <c r="C2207" s="13">
        <v>91540</v>
      </c>
      <c r="D2207" s="13" t="s">
        <v>2609</v>
      </c>
      <c r="E2207" s="13" t="s">
        <v>2606</v>
      </c>
      <c r="F2207" s="13" t="s">
        <v>2607</v>
      </c>
      <c r="G2207" s="13" t="s">
        <v>2610</v>
      </c>
      <c r="K2207" t="s">
        <v>413</v>
      </c>
      <c r="L2207" s="81">
        <f>+Municipios!U1104</f>
        <v>12.519308949729659</v>
      </c>
      <c r="M2207" s="13">
        <v>91540</v>
      </c>
      <c r="N2207" s="13" t="s">
        <v>2609</v>
      </c>
      <c r="O2207" s="13" t="s">
        <v>2606</v>
      </c>
      <c r="P2207" s="13" t="s">
        <v>2607</v>
      </c>
      <c r="Q2207" s="13" t="s">
        <v>2610</v>
      </c>
      <c r="T2207" t="s">
        <v>2804</v>
      </c>
      <c r="U2207" s="25">
        <f>+Municipios!P1104</f>
        <v>41.660272243258191</v>
      </c>
      <c r="V2207" s="13">
        <v>91540</v>
      </c>
      <c r="W2207" s="13" t="s">
        <v>2609</v>
      </c>
      <c r="X2207" s="13" t="s">
        <v>2606</v>
      </c>
      <c r="Y2207" s="13" t="s">
        <v>2607</v>
      </c>
      <c r="Z2207" s="13" t="s">
        <v>2610</v>
      </c>
    </row>
    <row r="2208" spans="1:26">
      <c r="A2208" t="s">
        <v>412</v>
      </c>
      <c r="B2208" s="25">
        <f>+Municipios!P1105</f>
        <v>58.148957267299622</v>
      </c>
      <c r="C2208">
        <v>94001</v>
      </c>
      <c r="D2208" t="s">
        <v>2611</v>
      </c>
      <c r="E2208" t="s">
        <v>2586</v>
      </c>
      <c r="F2208" t="s">
        <v>2587</v>
      </c>
      <c r="G2208" t="s">
        <v>2612</v>
      </c>
      <c r="K2208" t="s">
        <v>413</v>
      </c>
      <c r="L2208" s="81">
        <f>+Municipios!U1105</f>
        <v>12.809768794116998</v>
      </c>
      <c r="M2208">
        <v>94001</v>
      </c>
      <c r="N2208" t="s">
        <v>2611</v>
      </c>
      <c r="O2208" t="s">
        <v>2586</v>
      </c>
      <c r="P2208" t="s">
        <v>2587</v>
      </c>
      <c r="Q2208" t="s">
        <v>2612</v>
      </c>
      <c r="T2208" t="s">
        <v>2804</v>
      </c>
      <c r="U2208" s="25">
        <f>+Municipios!P1105</f>
        <v>58.148957267299622</v>
      </c>
      <c r="V2208">
        <v>94001</v>
      </c>
      <c r="W2208" t="s">
        <v>2611</v>
      </c>
      <c r="X2208" t="s">
        <v>2586</v>
      </c>
      <c r="Y2208" t="s">
        <v>2587</v>
      </c>
      <c r="Z2208" t="s">
        <v>2612</v>
      </c>
    </row>
  </sheetData>
  <autoFilter ref="K1:Q2208" xr:uid="{848766D5-BB11-4710-AD3B-914E24156F55}"/>
  <phoneticPr fontId="28"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C01F-7703-461E-8F6A-1FBB461FC2F3}">
  <dimension ref="A1:H22"/>
  <sheetViews>
    <sheetView showGridLines="0" zoomScaleNormal="100" workbookViewId="0">
      <selection activeCell="D37" sqref="D37"/>
    </sheetView>
  </sheetViews>
  <sheetFormatPr baseColWidth="10" defaultColWidth="11.4140625" defaultRowHeight="14"/>
  <cols>
    <col min="1" max="1" width="17.83203125" bestFit="1" customWidth="1"/>
    <col min="2" max="2" width="20.1640625" bestFit="1" customWidth="1"/>
    <col min="3" max="3" width="14.83203125" bestFit="1" customWidth="1"/>
    <col min="4" max="4" width="24.83203125" bestFit="1" customWidth="1"/>
    <col min="5" max="5" width="13.58203125" customWidth="1"/>
    <col min="9" max="9" width="12.83203125" customWidth="1"/>
  </cols>
  <sheetData>
    <row r="1" spans="1:8">
      <c r="A1" s="72" t="s">
        <v>2648</v>
      </c>
    </row>
    <row r="2" spans="1:8">
      <c r="A2" s="72"/>
    </row>
    <row r="3" spans="1:8">
      <c r="A3" s="73" t="s">
        <v>2649</v>
      </c>
      <c r="F3" s="63"/>
      <c r="G3" s="63"/>
    </row>
    <row r="4" spans="1:8" ht="28">
      <c r="A4" s="18"/>
      <c r="B4" s="18" t="s">
        <v>2650</v>
      </c>
      <c r="C4" s="18" t="s">
        <v>2651</v>
      </c>
      <c r="E4" s="4" t="s">
        <v>2652</v>
      </c>
      <c r="F4" s="32" t="s">
        <v>2650</v>
      </c>
      <c r="G4" s="32" t="s">
        <v>2651</v>
      </c>
      <c r="H4" s="4" t="s">
        <v>2653</v>
      </c>
    </row>
    <row r="5" spans="1:8">
      <c r="A5" s="36">
        <v>1</v>
      </c>
      <c r="B5" s="36">
        <v>76.645091515968176</v>
      </c>
      <c r="C5" s="36">
        <v>73.678885610363807</v>
      </c>
      <c r="E5" s="18">
        <v>1</v>
      </c>
      <c r="F5" s="30">
        <v>76.645091515968176</v>
      </c>
      <c r="G5" s="30">
        <v>73.678885610363807</v>
      </c>
      <c r="H5" s="31">
        <v>1.0402585609300683</v>
      </c>
    </row>
    <row r="6" spans="1:8">
      <c r="A6" s="36">
        <v>2</v>
      </c>
      <c r="B6" s="36">
        <v>60.61096091716211</v>
      </c>
      <c r="C6" s="36">
        <v>65.471932446857565</v>
      </c>
      <c r="E6" s="18">
        <v>2</v>
      </c>
      <c r="F6" s="30">
        <v>60.61096091716211</v>
      </c>
      <c r="G6" s="30">
        <v>65.471932446857565</v>
      </c>
      <c r="H6" s="31">
        <v>0.92575487925851252</v>
      </c>
    </row>
    <row r="7" spans="1:8">
      <c r="A7" s="36">
        <v>3</v>
      </c>
      <c r="B7" s="36">
        <v>51.362251261002257</v>
      </c>
      <c r="C7" s="36">
        <v>62.904476331773871</v>
      </c>
      <c r="E7" s="18">
        <v>3</v>
      </c>
      <c r="F7" s="30">
        <v>51.362251261002257</v>
      </c>
      <c r="G7" s="30">
        <v>62.904476331773871</v>
      </c>
      <c r="H7" s="31">
        <v>0.81651186459457914</v>
      </c>
    </row>
    <row r="8" spans="1:8">
      <c r="A8" s="36">
        <v>4</v>
      </c>
      <c r="B8" s="36">
        <v>42.072372427664824</v>
      </c>
      <c r="C8" s="36">
        <v>62.028787154649642</v>
      </c>
      <c r="E8" s="18">
        <v>4</v>
      </c>
      <c r="F8" s="30">
        <v>42.072372427664824</v>
      </c>
      <c r="G8" s="30">
        <v>62.028787154649642</v>
      </c>
      <c r="H8" s="31">
        <v>0.67827172442966432</v>
      </c>
    </row>
    <row r="9" spans="1:8">
      <c r="A9" s="36">
        <v>5</v>
      </c>
      <c r="B9" s="36">
        <v>23.815878457057423</v>
      </c>
      <c r="C9" s="36">
        <v>59.483732366179588</v>
      </c>
      <c r="E9" s="18">
        <v>5</v>
      </c>
      <c r="F9" s="30">
        <v>23.815878457057423</v>
      </c>
      <c r="G9" s="30">
        <v>59.483732366179588</v>
      </c>
      <c r="H9" s="31">
        <v>0.4003763299593876</v>
      </c>
    </row>
    <row r="10" spans="1:8">
      <c r="A10" s="36" t="s">
        <v>2654</v>
      </c>
      <c r="B10" s="36">
        <v>51.117701325985095</v>
      </c>
      <c r="C10" s="36">
        <v>63.650349316701302</v>
      </c>
      <c r="E10" s="18" t="s">
        <v>2654</v>
      </c>
      <c r="F10" s="30">
        <v>51.117701325985095</v>
      </c>
      <c r="G10" s="30">
        <v>63.650349316701302</v>
      </c>
      <c r="H10" s="31">
        <v>0.80310166204495992</v>
      </c>
    </row>
    <row r="12" spans="1:8">
      <c r="A12" s="73" t="s">
        <v>2655</v>
      </c>
    </row>
    <row r="14" spans="1:8">
      <c r="A14" t="s">
        <v>2656</v>
      </c>
      <c r="B14" t="s">
        <v>2657</v>
      </c>
    </row>
    <row r="15" spans="1:8">
      <c r="F15" s="55"/>
      <c r="G15" s="55"/>
      <c r="H15" s="39"/>
    </row>
    <row r="16" spans="1:8" ht="27.75" customHeight="1">
      <c r="A16" s="29" t="s">
        <v>2658</v>
      </c>
      <c r="B16" s="29" t="s">
        <v>2650</v>
      </c>
      <c r="C16" s="29" t="s">
        <v>2651</v>
      </c>
      <c r="E16" s="4" t="s">
        <v>2652</v>
      </c>
      <c r="F16" s="26" t="str">
        <f>+B16</f>
        <v>Promedio de IDDr</v>
      </c>
      <c r="G16" s="26" t="str">
        <f>+C16</f>
        <v>Promedio de IC</v>
      </c>
      <c r="H16" s="4" t="s">
        <v>2659</v>
      </c>
    </row>
    <row r="17" spans="1:8">
      <c r="A17" s="24">
        <v>1</v>
      </c>
      <c r="B17">
        <v>75.270464452814494</v>
      </c>
      <c r="C17">
        <v>67.407284577370561</v>
      </c>
      <c r="E17" s="18">
        <v>1</v>
      </c>
      <c r="F17" s="27">
        <f>+GETPIVOTDATA("Promedio de IDDr",A16,"IDD_jenk",1)</f>
        <v>75.270464452814494</v>
      </c>
      <c r="G17" s="27">
        <f>+GETPIVOTDATA("Promedio de IC",$A$16,"IDD_jenk",1)</f>
        <v>67.407284577370561</v>
      </c>
      <c r="H17" s="31">
        <f>F17/G17</f>
        <v>1.1166517821440873</v>
      </c>
    </row>
    <row r="18" spans="1:8">
      <c r="A18" s="24">
        <v>2</v>
      </c>
      <c r="B18">
        <v>57.223526008197901</v>
      </c>
      <c r="C18">
        <v>58.739703131495617</v>
      </c>
      <c r="E18" s="18">
        <v>2</v>
      </c>
      <c r="F18" s="27">
        <f>+GETPIVOTDATA("Promedio de IDDr",$A$16,"IDD_jenk",2)</f>
        <v>57.223526008197901</v>
      </c>
      <c r="G18" s="27">
        <f>+GETPIVOTDATA("Promedio de IC",$A$16,"IDD_jenk",2)</f>
        <v>58.739703131495617</v>
      </c>
      <c r="H18" s="31">
        <f t="shared" ref="H18:H22" si="0">F18/G18</f>
        <v>0.9741882058902549</v>
      </c>
    </row>
    <row r="19" spans="1:8">
      <c r="A19" s="24">
        <v>3</v>
      </c>
      <c r="B19">
        <v>46.77132203348404</v>
      </c>
      <c r="C19">
        <v>57.206279693440379</v>
      </c>
      <c r="E19" s="18">
        <v>3</v>
      </c>
      <c r="F19" s="27">
        <f>+GETPIVOTDATA("Promedio de IDDr",$A$16,"IDD_jenk",3)</f>
        <v>46.77132203348404</v>
      </c>
      <c r="G19" s="27">
        <f>+GETPIVOTDATA("Promedio de IC",$A$16,"IDD_jenk",3)</f>
        <v>57.206279693440379</v>
      </c>
      <c r="H19" s="31">
        <f t="shared" si="0"/>
        <v>0.81759069605862034</v>
      </c>
    </row>
    <row r="20" spans="1:8">
      <c r="A20" s="24">
        <v>4</v>
      </c>
      <c r="B20">
        <v>36.817943745491036</v>
      </c>
      <c r="C20">
        <v>56.439225583469849</v>
      </c>
      <c r="E20" s="18">
        <v>4</v>
      </c>
      <c r="F20" s="27">
        <f>+GETPIVOTDATA("Promedio de IDDr",$A$16,"IDD_jenk",4)</f>
        <v>36.817943745491036</v>
      </c>
      <c r="G20" s="27">
        <f>+GETPIVOTDATA("Promedio de IC",$A$16,"IDD_jenk",4)</f>
        <v>56.439225583469849</v>
      </c>
      <c r="H20" s="31">
        <f t="shared" si="0"/>
        <v>0.6523467210059386</v>
      </c>
    </row>
    <row r="21" spans="1:8">
      <c r="A21" s="24">
        <v>5</v>
      </c>
      <c r="B21">
        <v>19.578787653829899</v>
      </c>
      <c r="C21">
        <v>54.564671859144205</v>
      </c>
      <c r="E21" s="18">
        <v>5</v>
      </c>
      <c r="F21" s="27">
        <f>+GETPIVOTDATA("Promedio de IDDr",$A$16,"IDD_jenk",5)</f>
        <v>19.578787653829899</v>
      </c>
      <c r="G21" s="27">
        <f>+GETPIVOTDATA("Promedio de IC",$A$16,"IDD_jenk",5)</f>
        <v>54.564671859144205</v>
      </c>
      <c r="H21" s="31">
        <f>F21/G21</f>
        <v>0.35881802248113021</v>
      </c>
    </row>
    <row r="22" spans="1:8">
      <c r="A22" s="24" t="s">
        <v>2654</v>
      </c>
      <c r="B22">
        <v>46.14946623190167</v>
      </c>
      <c r="C22">
        <v>57.620761132936593</v>
      </c>
      <c r="E22" s="18" t="s">
        <v>2654</v>
      </c>
      <c r="F22" s="27">
        <f>+GETPIVOTDATA("Promedio de IDDr",$A$16)</f>
        <v>46.14946623190167</v>
      </c>
      <c r="G22" s="27">
        <f>+GETPIVOTDATA("Promedio de IC",$A$16)</f>
        <v>57.620761132936593</v>
      </c>
      <c r="H22" s="31">
        <f t="shared" si="0"/>
        <v>0.80091733126243247</v>
      </c>
    </row>
  </sheetData>
  <conditionalFormatting sqref="F5:F9">
    <cfRule type="colorScale" priority="3">
      <colorScale>
        <cfvo type="min"/>
        <cfvo type="percentile" val="50"/>
        <cfvo type="max"/>
        <color rgb="FFF8696B"/>
        <color rgb="FFFFEB84"/>
        <color rgb="FF63BE7B"/>
      </colorScale>
    </cfRule>
  </conditionalFormatting>
  <conditionalFormatting sqref="F17:F21">
    <cfRule type="colorScale" priority="13">
      <colorScale>
        <cfvo type="min"/>
        <cfvo type="percentile" val="50"/>
        <cfvo type="max"/>
        <color rgb="FFF8696B"/>
        <color rgb="FFFFEB84"/>
        <color rgb="FF63BE7B"/>
      </colorScale>
    </cfRule>
  </conditionalFormatting>
  <conditionalFormatting sqref="G5:G9">
    <cfRule type="colorScale" priority="2">
      <colorScale>
        <cfvo type="min"/>
        <cfvo type="percentile" val="50"/>
        <cfvo type="max"/>
        <color rgb="FFF8696B"/>
        <color rgb="FFFFEB84"/>
        <color rgb="FF63BE7B"/>
      </colorScale>
    </cfRule>
  </conditionalFormatting>
  <conditionalFormatting sqref="G17:G21">
    <cfRule type="colorScale" priority="12">
      <colorScale>
        <cfvo type="min"/>
        <cfvo type="percentile" val="50"/>
        <cfvo type="max"/>
        <color rgb="FFF8696B"/>
        <color rgb="FFFFEB84"/>
        <color rgb="FF63BE7B"/>
      </colorScale>
    </cfRule>
  </conditionalFormatting>
  <conditionalFormatting sqref="H17:H2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0F73-46E5-4D6F-9F2D-5476321BCE5A}">
  <dimension ref="A1:C6"/>
  <sheetViews>
    <sheetView workbookViewId="0">
      <selection activeCell="C2" sqref="C2"/>
    </sheetView>
  </sheetViews>
  <sheetFormatPr baseColWidth="10" defaultRowHeight="14"/>
  <sheetData>
    <row r="1" spans="1:3">
      <c r="A1" s="34" t="s">
        <v>2641</v>
      </c>
      <c r="B1" s="34" t="s">
        <v>2642</v>
      </c>
      <c r="C1" s="35" t="s">
        <v>3000</v>
      </c>
    </row>
    <row r="2" spans="1:3">
      <c r="A2" s="294">
        <v>0</v>
      </c>
      <c r="B2" s="294">
        <v>0</v>
      </c>
      <c r="C2" s="326">
        <v>0</v>
      </c>
    </row>
    <row r="3" spans="1:3">
      <c r="A3" s="258">
        <v>1E-3</v>
      </c>
      <c r="B3" s="258">
        <v>0.30499999999999999</v>
      </c>
      <c r="C3" s="14" t="s">
        <v>2969</v>
      </c>
    </row>
    <row r="4" spans="1:3">
      <c r="A4" s="258">
        <v>0.30599999999999999</v>
      </c>
      <c r="B4" s="258">
        <v>0.505</v>
      </c>
      <c r="C4" s="14" t="s">
        <v>2673</v>
      </c>
    </row>
    <row r="5" spans="1:3">
      <c r="A5" s="258">
        <v>0.51600000000000001</v>
      </c>
      <c r="B5" s="258">
        <v>0.70499999999999996</v>
      </c>
      <c r="C5" s="14" t="s">
        <v>2674</v>
      </c>
    </row>
    <row r="6" spans="1:3">
      <c r="A6" s="258">
        <v>0.70499999999999996</v>
      </c>
      <c r="B6" s="257">
        <v>1</v>
      </c>
      <c r="C6" s="14" t="s">
        <v>2675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8F4A-B1B9-445A-A5FE-BCDEA9F8676C}">
  <dimension ref="A1:BC95"/>
  <sheetViews>
    <sheetView showGridLines="0" topLeftCell="A13" zoomScale="90" zoomScaleNormal="90" workbookViewId="0">
      <selection activeCell="H82" sqref="H82"/>
    </sheetView>
  </sheetViews>
  <sheetFormatPr baseColWidth="10" defaultColWidth="11.4140625" defaultRowHeight="14"/>
  <cols>
    <col min="1" max="1" width="21.1640625" style="13" customWidth="1"/>
    <col min="2" max="2" width="23.25" style="13" customWidth="1"/>
    <col min="3" max="3" width="11.4140625" style="13"/>
    <col min="4" max="4" width="5.58203125" style="50" customWidth="1"/>
    <col min="5" max="7" width="11.58203125" customWidth="1"/>
    <col min="8" max="8" width="5.58203125" customWidth="1"/>
    <col min="9" max="9" width="12.83203125" customWidth="1"/>
    <col min="10" max="10" width="11.4140625" customWidth="1"/>
    <col min="11" max="11" width="12.1640625" customWidth="1"/>
    <col min="12" max="12" width="4.83203125" customWidth="1"/>
    <col min="13" max="16" width="12.1640625" customWidth="1"/>
    <col min="17" max="19" width="5.58203125" customWidth="1"/>
    <col min="20" max="22" width="11.58203125" customWidth="1"/>
    <col min="23" max="23" width="5.58203125" customWidth="1"/>
    <col min="24" max="26" width="11.58203125" customWidth="1"/>
    <col min="27" max="27" width="5.58203125" customWidth="1"/>
    <col min="28" max="30" width="11.58203125" customWidth="1"/>
    <col min="31" max="31" width="5.58203125" customWidth="1"/>
    <col min="32" max="34" width="11.58203125" customWidth="1"/>
    <col min="35" max="35" width="5.58203125" customWidth="1"/>
    <col min="36" max="38" width="11.58203125" customWidth="1"/>
    <col min="39" max="39" width="5.58203125" customWidth="1"/>
    <col min="40" max="40" width="9.4140625" customWidth="1"/>
    <col min="41" max="41" width="10.4140625" customWidth="1"/>
    <col min="42" max="42" width="9.83203125" customWidth="1"/>
    <col min="43" max="44" width="5.58203125" customWidth="1"/>
    <col min="45" max="47" width="11.58203125" customWidth="1"/>
  </cols>
  <sheetData>
    <row r="1" spans="1:55">
      <c r="A1" s="72" t="s">
        <v>291</v>
      </c>
    </row>
    <row r="3" spans="1:55">
      <c r="A3" s="73" t="s">
        <v>2640</v>
      </c>
    </row>
    <row r="4" spans="1:55">
      <c r="A4" s="34" t="s">
        <v>2641</v>
      </c>
      <c r="B4" s="34" t="s">
        <v>2642</v>
      </c>
      <c r="C4" s="35" t="s">
        <v>367</v>
      </c>
      <c r="D4" s="161"/>
    </row>
    <row r="5" spans="1:55">
      <c r="A5" s="36">
        <v>0</v>
      </c>
      <c r="B5" s="36">
        <v>0.231798</v>
      </c>
      <c r="C5" s="36">
        <v>5</v>
      </c>
    </row>
    <row r="6" spans="1:55">
      <c r="A6" s="36">
        <v>0.23179900000000001</v>
      </c>
      <c r="B6" s="36">
        <v>0.404026</v>
      </c>
      <c r="C6" s="36">
        <v>4</v>
      </c>
    </row>
    <row r="7" spans="1:55">
      <c r="A7" s="36">
        <v>0.40402700000000003</v>
      </c>
      <c r="B7" s="36">
        <v>0.526783</v>
      </c>
      <c r="C7" s="36">
        <v>3</v>
      </c>
    </row>
    <row r="8" spans="1:55">
      <c r="A8" s="36">
        <v>0.52678400000000003</v>
      </c>
      <c r="B8" s="36">
        <v>0.67797600000000002</v>
      </c>
      <c r="C8" s="36">
        <v>2</v>
      </c>
    </row>
    <row r="9" spans="1:55">
      <c r="A9" s="37">
        <v>0.67797700000000005</v>
      </c>
      <c r="B9" s="37">
        <v>1</v>
      </c>
      <c r="C9" s="37">
        <v>1</v>
      </c>
    </row>
    <row r="10" spans="1:55">
      <c r="A10" s="36" t="s">
        <v>345</v>
      </c>
      <c r="B10" s="36" t="s">
        <v>345</v>
      </c>
      <c r="C10" s="36" t="s">
        <v>380</v>
      </c>
    </row>
    <row r="11" spans="1:55">
      <c r="A11" s="36" t="s">
        <v>345</v>
      </c>
      <c r="B11" s="36" t="s">
        <v>345</v>
      </c>
      <c r="C11" s="36" t="s">
        <v>2643</v>
      </c>
    </row>
    <row r="13" spans="1:55">
      <c r="A13" s="73" t="s">
        <v>2644</v>
      </c>
      <c r="B13" s="50"/>
      <c r="C13" s="50"/>
      <c r="E13" s="73"/>
      <c r="I13" s="73"/>
      <c r="M13" s="73"/>
      <c r="T13" s="73"/>
      <c r="X13" s="73"/>
      <c r="AB13" s="73"/>
      <c r="AF13" s="73"/>
      <c r="AJ13" s="73"/>
      <c r="AS13" s="73"/>
      <c r="AX13" s="73"/>
    </row>
    <row r="14" spans="1:55">
      <c r="A14" s="51" t="s">
        <v>2641</v>
      </c>
      <c r="B14" s="51" t="s">
        <v>2642</v>
      </c>
      <c r="C14" s="52" t="s">
        <v>367</v>
      </c>
      <c r="D14" s="161"/>
      <c r="E14" s="51" t="s">
        <v>2641</v>
      </c>
      <c r="F14" s="51" t="s">
        <v>2642</v>
      </c>
      <c r="G14" s="52" t="s">
        <v>367</v>
      </c>
      <c r="I14" s="205"/>
      <c r="J14" s="205"/>
      <c r="K14" s="161"/>
      <c r="L14" s="161"/>
      <c r="M14" s="205"/>
      <c r="N14" s="205"/>
      <c r="O14" s="161"/>
      <c r="P14" s="161"/>
      <c r="T14" s="205"/>
      <c r="U14" s="205"/>
      <c r="V14" s="161"/>
      <c r="X14" s="205"/>
      <c r="Y14" s="205"/>
      <c r="Z14" s="161"/>
      <c r="AB14" s="205"/>
      <c r="AC14" s="205"/>
      <c r="AD14" s="161"/>
      <c r="AF14" s="205"/>
      <c r="AG14" s="205"/>
      <c r="AH14" s="161"/>
      <c r="AJ14" s="205"/>
      <c r="AK14" s="205"/>
      <c r="AL14" s="161"/>
      <c r="AN14" s="205"/>
      <c r="AO14" s="205"/>
      <c r="AP14" s="161"/>
      <c r="AS14" s="205"/>
      <c r="AT14" s="205"/>
      <c r="AU14" s="161"/>
      <c r="AX14" s="205"/>
      <c r="AY14" s="205"/>
      <c r="AZ14" s="161"/>
    </row>
    <row r="15" spans="1:55">
      <c r="A15" s="36">
        <v>0</v>
      </c>
      <c r="B15" s="36">
        <v>0.18374299999999999</v>
      </c>
      <c r="C15" s="36">
        <v>5</v>
      </c>
      <c r="E15" s="36">
        <f>A15*100</f>
        <v>0</v>
      </c>
      <c r="F15" s="36">
        <f>B15*100</f>
        <v>18.374299999999998</v>
      </c>
      <c r="G15" s="36">
        <v>5</v>
      </c>
      <c r="I15" s="13"/>
      <c r="J15" s="13"/>
      <c r="K15" s="13"/>
      <c r="L15" s="13"/>
      <c r="M15" s="13"/>
      <c r="N15" s="13"/>
      <c r="O15" s="13"/>
      <c r="P15" s="13"/>
      <c r="T15" s="13"/>
      <c r="U15" s="13"/>
      <c r="V15" s="13"/>
      <c r="X15" s="13"/>
      <c r="Y15" s="13"/>
      <c r="Z15" s="13"/>
      <c r="AB15" s="13"/>
      <c r="AC15" s="13"/>
      <c r="AD15" s="13"/>
      <c r="AF15" s="13"/>
      <c r="AG15" s="13"/>
      <c r="AH15" s="13"/>
      <c r="AJ15" s="13"/>
      <c r="AK15" s="13"/>
      <c r="AL15" s="13"/>
      <c r="AN15" s="13"/>
      <c r="AO15" s="13"/>
      <c r="AP15" s="13"/>
      <c r="AS15" s="13"/>
      <c r="AT15" s="13"/>
      <c r="AU15" s="13"/>
      <c r="AX15" s="13"/>
      <c r="AY15" s="13"/>
      <c r="AZ15" s="13"/>
      <c r="BC15" s="174"/>
    </row>
    <row r="16" spans="1:55">
      <c r="A16" s="36">
        <v>0.18374399999999999</v>
      </c>
      <c r="B16" s="36">
        <v>0.35216599999999998</v>
      </c>
      <c r="C16" s="36">
        <v>4</v>
      </c>
      <c r="E16" s="36">
        <f t="shared" ref="E16:F19" si="0">A16*100</f>
        <v>18.374399999999998</v>
      </c>
      <c r="F16" s="36">
        <f t="shared" si="0"/>
        <v>35.2166</v>
      </c>
      <c r="G16" s="36">
        <v>4</v>
      </c>
      <c r="I16" s="13"/>
      <c r="J16" s="13"/>
      <c r="K16" s="13"/>
      <c r="L16" s="13"/>
      <c r="M16" s="13"/>
      <c r="N16" s="13"/>
      <c r="O16" s="13"/>
      <c r="P16" s="13"/>
      <c r="T16" s="13"/>
      <c r="U16" s="13"/>
      <c r="V16" s="13"/>
      <c r="X16" s="13"/>
      <c r="Y16" s="13"/>
      <c r="Z16" s="13"/>
      <c r="AB16" s="13"/>
      <c r="AC16" s="13"/>
      <c r="AD16" s="13"/>
      <c r="AF16" s="13"/>
      <c r="AG16" s="13"/>
      <c r="AH16" s="13"/>
      <c r="AJ16" s="13"/>
      <c r="AK16" s="13"/>
      <c r="AL16" s="13"/>
      <c r="AN16" s="13"/>
      <c r="AO16" s="13"/>
      <c r="AP16" s="13"/>
      <c r="AS16" s="13"/>
      <c r="AT16" s="13"/>
      <c r="AU16" s="13"/>
      <c r="AX16" s="13"/>
      <c r="AY16" s="13"/>
      <c r="AZ16" s="13"/>
    </row>
    <row r="17" spans="1:52">
      <c r="A17" s="36">
        <v>0.35216700000000001</v>
      </c>
      <c r="B17" s="36">
        <v>0.47791499999999998</v>
      </c>
      <c r="C17" s="36">
        <v>3</v>
      </c>
      <c r="E17" s="36">
        <f t="shared" si="0"/>
        <v>35.216700000000003</v>
      </c>
      <c r="F17" s="36">
        <f t="shared" si="0"/>
        <v>47.791499999999999</v>
      </c>
      <c r="G17" s="36">
        <v>3</v>
      </c>
      <c r="I17" s="13"/>
      <c r="J17" s="13"/>
      <c r="K17" s="13"/>
      <c r="L17" s="13"/>
      <c r="M17" s="13"/>
      <c r="N17" s="13"/>
      <c r="O17" s="13"/>
      <c r="P17" s="13"/>
      <c r="T17" s="13"/>
      <c r="U17" s="13"/>
      <c r="V17" s="13"/>
      <c r="X17" s="13"/>
      <c r="Y17" s="13"/>
      <c r="Z17" s="13"/>
      <c r="AB17" s="13"/>
      <c r="AC17" s="13"/>
      <c r="AD17" s="13"/>
      <c r="AF17" s="13"/>
      <c r="AG17" s="13"/>
      <c r="AH17" s="13"/>
      <c r="AJ17" s="13"/>
      <c r="AK17" s="13"/>
      <c r="AL17" s="13"/>
      <c r="AN17" s="13"/>
      <c r="AO17" s="13"/>
      <c r="AP17" s="13"/>
      <c r="AS17" s="13"/>
      <c r="AT17" s="13"/>
      <c r="AU17" s="13"/>
      <c r="AX17" s="13"/>
      <c r="AY17" s="13"/>
      <c r="AZ17" s="13"/>
    </row>
    <row r="18" spans="1:52">
      <c r="A18" s="36">
        <v>0.47791600000000001</v>
      </c>
      <c r="B18" s="36">
        <v>0.64214700000000002</v>
      </c>
      <c r="C18" s="36">
        <v>2</v>
      </c>
      <c r="E18" s="36">
        <f t="shared" si="0"/>
        <v>47.791600000000003</v>
      </c>
      <c r="F18" s="36">
        <f t="shared" si="0"/>
        <v>64.214700000000008</v>
      </c>
      <c r="G18" s="36">
        <v>2</v>
      </c>
      <c r="I18" s="13"/>
      <c r="J18" s="13"/>
      <c r="K18" s="13"/>
      <c r="L18" s="13"/>
      <c r="M18" s="13"/>
      <c r="N18" s="13"/>
      <c r="O18" s="13"/>
      <c r="P18" s="13"/>
      <c r="T18" s="13"/>
      <c r="U18" s="13"/>
      <c r="V18" s="13"/>
      <c r="X18" s="13"/>
      <c r="Y18" s="13"/>
      <c r="Z18" s="13"/>
      <c r="AB18" s="13"/>
      <c r="AC18" s="13"/>
      <c r="AD18" s="13"/>
      <c r="AF18" s="13"/>
      <c r="AG18" s="13"/>
      <c r="AH18" s="13"/>
      <c r="AJ18" s="13"/>
      <c r="AK18" s="13"/>
      <c r="AL18" s="13"/>
      <c r="AN18" s="13"/>
      <c r="AO18" s="13"/>
      <c r="AP18" s="13"/>
      <c r="AS18" s="13"/>
      <c r="AT18" s="13"/>
      <c r="AU18" s="13"/>
      <c r="AX18" s="13"/>
      <c r="AY18" s="13"/>
      <c r="AZ18" s="13"/>
    </row>
    <row r="19" spans="1:52">
      <c r="A19" s="37">
        <v>0.64214800000000005</v>
      </c>
      <c r="B19" s="37">
        <v>1</v>
      </c>
      <c r="C19" s="37">
        <v>1</v>
      </c>
      <c r="E19" s="36">
        <f t="shared" si="0"/>
        <v>64.214800000000011</v>
      </c>
      <c r="F19" s="36">
        <f t="shared" si="0"/>
        <v>100</v>
      </c>
      <c r="G19" s="36">
        <v>1</v>
      </c>
      <c r="I19" s="13"/>
      <c r="J19" s="13"/>
      <c r="K19" s="13"/>
      <c r="L19" s="13"/>
      <c r="M19" s="13"/>
      <c r="N19" s="13"/>
      <c r="O19" s="13"/>
      <c r="P19" s="13"/>
      <c r="T19" s="13"/>
      <c r="U19" s="13"/>
      <c r="V19" s="13"/>
      <c r="X19" s="13"/>
      <c r="Y19" s="13"/>
      <c r="Z19" s="13"/>
      <c r="AB19" s="13"/>
      <c r="AC19" s="13"/>
      <c r="AD19" s="13"/>
      <c r="AF19" s="13"/>
      <c r="AG19" s="13"/>
      <c r="AH19" s="13"/>
      <c r="AJ19" s="13"/>
      <c r="AK19" s="13"/>
      <c r="AL19" s="13"/>
      <c r="AN19" s="13"/>
      <c r="AO19" s="13"/>
      <c r="AP19" s="13"/>
      <c r="AS19" s="13"/>
      <c r="AT19" s="13"/>
      <c r="AU19" s="13"/>
      <c r="AX19" s="13"/>
      <c r="AY19" s="13"/>
      <c r="AZ19" s="13"/>
    </row>
    <row r="20" spans="1:52">
      <c r="A20" s="36" t="s">
        <v>345</v>
      </c>
      <c r="B20" s="36" t="s">
        <v>345</v>
      </c>
      <c r="C20" s="36" t="s">
        <v>380</v>
      </c>
      <c r="E20" s="13"/>
      <c r="F20" s="13"/>
      <c r="G20" s="13"/>
      <c r="I20" s="13"/>
      <c r="J20" s="13"/>
      <c r="K20" s="13"/>
      <c r="L20" s="13"/>
      <c r="M20" s="13"/>
      <c r="N20" s="13"/>
      <c r="O20" s="13"/>
      <c r="P20" s="13"/>
      <c r="T20" s="13"/>
      <c r="U20" s="13"/>
      <c r="V20" s="13"/>
      <c r="X20" s="13"/>
      <c r="Y20" s="13"/>
      <c r="Z20" s="13"/>
      <c r="AB20" s="13"/>
      <c r="AC20" s="13"/>
      <c r="AD20" s="13"/>
      <c r="AF20" s="13"/>
      <c r="AG20" s="13"/>
      <c r="AH20" s="13"/>
      <c r="AJ20" s="13"/>
      <c r="AK20" s="13"/>
      <c r="AL20" s="13"/>
      <c r="AN20" s="13"/>
      <c r="AO20" s="13"/>
      <c r="AP20" s="13"/>
      <c r="AS20" s="13"/>
      <c r="AT20" s="13"/>
      <c r="AU20" s="13"/>
      <c r="AX20" s="13"/>
      <c r="AY20" s="13"/>
      <c r="AZ20" s="13"/>
    </row>
    <row r="21" spans="1:52">
      <c r="A21" s="36" t="s">
        <v>345</v>
      </c>
      <c r="B21" s="36" t="s">
        <v>345</v>
      </c>
      <c r="C21" s="36" t="s">
        <v>2643</v>
      </c>
      <c r="E21" s="13"/>
      <c r="F21" s="13"/>
      <c r="G21" s="13"/>
      <c r="I21" s="13"/>
      <c r="J21" s="13"/>
      <c r="K21" s="13"/>
      <c r="L21" s="13"/>
      <c r="M21" s="13"/>
      <c r="N21" s="13"/>
      <c r="O21" s="13"/>
      <c r="P21" s="13"/>
      <c r="T21" s="13"/>
      <c r="U21" s="13"/>
      <c r="V21" s="13"/>
      <c r="X21" s="13"/>
      <c r="Y21" s="13"/>
      <c r="Z21" s="13"/>
      <c r="AB21" s="13"/>
      <c r="AC21" s="13"/>
      <c r="AD21" s="13"/>
      <c r="AF21" s="13"/>
      <c r="AG21" s="13"/>
      <c r="AH21" s="13"/>
      <c r="AJ21" s="13"/>
      <c r="AK21" s="13"/>
      <c r="AL21" s="13"/>
      <c r="AN21" s="13"/>
      <c r="AO21" s="13"/>
      <c r="AP21" s="13"/>
      <c r="AS21" s="13"/>
      <c r="AT21" s="13"/>
      <c r="AU21" s="13"/>
      <c r="AX21" s="13"/>
      <c r="AY21" s="13"/>
      <c r="AZ21" s="13"/>
    </row>
    <row r="22" spans="1:52">
      <c r="E22" s="50"/>
      <c r="F22" s="50"/>
      <c r="G22" s="50"/>
      <c r="H22" s="50"/>
      <c r="I22" s="50"/>
      <c r="J22" s="50"/>
      <c r="K22" s="50"/>
      <c r="L22" s="50"/>
      <c r="M22" s="13"/>
      <c r="N22" s="13"/>
      <c r="O22" s="13"/>
      <c r="P22" s="50"/>
      <c r="Q22" s="50"/>
      <c r="R22" s="50"/>
      <c r="S22" s="50"/>
      <c r="AX22" s="13"/>
      <c r="AY22" s="13"/>
      <c r="AZ22" s="13"/>
    </row>
    <row r="23" spans="1:52">
      <c r="A23" s="73" t="s">
        <v>2645</v>
      </c>
      <c r="B23" s="50"/>
      <c r="C23" s="50"/>
      <c r="E23" s="50"/>
      <c r="F23" s="50"/>
      <c r="G23" s="50"/>
      <c r="H23" s="50"/>
      <c r="I23" s="50"/>
      <c r="J23" s="50"/>
      <c r="K23" s="50"/>
      <c r="L23" s="50"/>
      <c r="M23" s="13"/>
      <c r="N23" s="13"/>
      <c r="O23" s="13"/>
      <c r="P23" s="50"/>
      <c r="Q23" s="50"/>
      <c r="R23" s="50"/>
      <c r="S23" s="50"/>
      <c r="AX23" s="13"/>
      <c r="AY23" s="13"/>
      <c r="AZ23" s="13"/>
    </row>
    <row r="24" spans="1:52">
      <c r="A24" s="51" t="s">
        <v>2641</v>
      </c>
      <c r="B24" s="51" t="s">
        <v>2642</v>
      </c>
      <c r="C24" s="52" t="s">
        <v>367</v>
      </c>
      <c r="E24" s="50"/>
      <c r="F24" s="50"/>
      <c r="G24" s="50"/>
      <c r="H24" s="50"/>
      <c r="I24" s="50"/>
      <c r="J24" s="50"/>
      <c r="K24" s="50"/>
      <c r="L24" s="50"/>
      <c r="M24" s="13"/>
      <c r="N24" s="13"/>
      <c r="O24" s="13"/>
      <c r="P24" s="50"/>
      <c r="Q24" s="50"/>
      <c r="R24" s="50"/>
      <c r="S24" s="50"/>
      <c r="AX24" s="13"/>
      <c r="AY24" s="13"/>
      <c r="AZ24" s="13"/>
    </row>
    <row r="25" spans="1:52">
      <c r="A25" s="36">
        <v>4.7499036952289497</v>
      </c>
      <c r="B25" s="36">
        <v>20.147442000000002</v>
      </c>
      <c r="C25" s="36">
        <v>5</v>
      </c>
      <c r="E25" s="228"/>
      <c r="F25" s="50"/>
      <c r="G25" s="50"/>
      <c r="H25" s="50"/>
      <c r="I25" s="50"/>
      <c r="J25" s="50"/>
      <c r="K25" s="50"/>
      <c r="L25" s="50"/>
      <c r="M25" s="13"/>
      <c r="N25" s="13"/>
      <c r="O25" s="13"/>
      <c r="P25" s="50"/>
      <c r="Q25" s="50"/>
      <c r="R25" s="50"/>
      <c r="S25" s="50"/>
      <c r="AX25" s="13"/>
      <c r="AY25" s="13"/>
      <c r="AZ25" s="13"/>
    </row>
    <row r="26" spans="1:52">
      <c r="A26" s="36">
        <v>20.147442999999999</v>
      </c>
      <c r="B26" s="36">
        <v>27.77543</v>
      </c>
      <c r="C26" s="36">
        <v>4</v>
      </c>
      <c r="E26" s="50"/>
      <c r="F26" s="50"/>
      <c r="G26" s="50"/>
      <c r="H26" s="50"/>
      <c r="I26" s="50"/>
      <c r="J26" s="50"/>
      <c r="K26" s="50"/>
      <c r="L26" s="50"/>
      <c r="M26" s="13"/>
      <c r="N26" s="13"/>
      <c r="O26" s="13"/>
      <c r="P26" s="50"/>
      <c r="Q26" s="50"/>
      <c r="R26" s="50"/>
      <c r="S26" s="50"/>
      <c r="AX26" s="13"/>
      <c r="AY26" s="13"/>
      <c r="AZ26" s="13"/>
    </row>
    <row r="27" spans="1:52">
      <c r="A27" s="36">
        <v>27.775431000000001</v>
      </c>
      <c r="B27" s="36">
        <v>34.959735000000002</v>
      </c>
      <c r="C27" s="36">
        <v>3</v>
      </c>
      <c r="E27" s="50"/>
      <c r="F27" s="50"/>
      <c r="G27" s="50"/>
      <c r="H27" s="50"/>
      <c r="I27" s="50"/>
      <c r="J27" s="50"/>
      <c r="K27" s="50"/>
      <c r="L27" s="50"/>
      <c r="M27" s="13"/>
      <c r="N27" s="13"/>
      <c r="O27" s="13"/>
      <c r="P27" s="50"/>
      <c r="Q27" s="50"/>
      <c r="R27" s="50"/>
      <c r="S27" s="50"/>
      <c r="AX27" s="13"/>
      <c r="AY27" s="13"/>
      <c r="AZ27" s="13"/>
    </row>
    <row r="28" spans="1:52">
      <c r="A28" s="36">
        <v>34.959735999999999</v>
      </c>
      <c r="B28" s="36">
        <v>46.710242999999998</v>
      </c>
      <c r="C28" s="36">
        <v>2</v>
      </c>
      <c r="E28" s="50"/>
      <c r="F28" s="50"/>
      <c r="G28" s="50"/>
      <c r="H28" s="50"/>
      <c r="I28" s="50"/>
      <c r="J28" s="50"/>
      <c r="K28" s="50"/>
      <c r="L28" s="50"/>
      <c r="M28" s="13"/>
      <c r="N28" s="13"/>
      <c r="O28" s="13"/>
      <c r="P28" s="50"/>
      <c r="Q28" s="50"/>
      <c r="R28" s="50"/>
      <c r="S28" s="50"/>
      <c r="AX28" s="13"/>
      <c r="AY28" s="13"/>
      <c r="AZ28" s="13"/>
    </row>
    <row r="29" spans="1:52">
      <c r="A29" s="37">
        <v>46.710244000000003</v>
      </c>
      <c r="B29" s="37">
        <v>83.806883999999997</v>
      </c>
      <c r="C29" s="37">
        <v>1</v>
      </c>
      <c r="E29" s="50"/>
      <c r="F29" s="50"/>
      <c r="G29" s="50"/>
      <c r="H29" s="50"/>
      <c r="I29" s="50"/>
      <c r="J29" s="50"/>
      <c r="K29" s="50"/>
      <c r="L29" s="50"/>
      <c r="M29" s="13"/>
      <c r="N29" s="13"/>
      <c r="O29" s="13"/>
      <c r="P29" s="50"/>
      <c r="Q29" s="50"/>
      <c r="R29" s="50"/>
      <c r="S29" s="50"/>
      <c r="AX29" s="13"/>
      <c r="AY29" s="13"/>
      <c r="AZ29" s="13"/>
    </row>
    <row r="30" spans="1:52">
      <c r="A30" s="36" t="s">
        <v>345</v>
      </c>
      <c r="B30" s="36" t="s">
        <v>345</v>
      </c>
      <c r="C30" s="36" t="s">
        <v>380</v>
      </c>
      <c r="E30" s="50"/>
      <c r="F30" s="50"/>
      <c r="G30" s="50"/>
      <c r="H30" s="50"/>
      <c r="I30" s="50"/>
      <c r="J30" s="50"/>
      <c r="K30" s="50"/>
      <c r="L30" s="50"/>
      <c r="M30" s="13"/>
      <c r="N30" s="13"/>
      <c r="O30" s="13"/>
      <c r="P30" s="50"/>
      <c r="Q30" s="50"/>
      <c r="R30" s="50"/>
      <c r="S30" s="50"/>
      <c r="AX30" s="13"/>
      <c r="AY30" s="13"/>
      <c r="AZ30" s="13"/>
    </row>
    <row r="31" spans="1:52">
      <c r="A31" s="36" t="s">
        <v>345</v>
      </c>
      <c r="B31" s="36" t="s">
        <v>345</v>
      </c>
      <c r="C31" s="36" t="s">
        <v>2643</v>
      </c>
      <c r="E31" s="50"/>
      <c r="F31" s="50"/>
      <c r="G31" s="50"/>
      <c r="H31" s="50"/>
      <c r="I31" s="50"/>
      <c r="J31" s="50"/>
      <c r="K31" s="50"/>
      <c r="L31" s="50"/>
      <c r="M31" s="13"/>
      <c r="N31" s="13"/>
      <c r="O31" s="13"/>
      <c r="P31" s="50"/>
      <c r="Q31" s="50"/>
      <c r="R31" s="50"/>
      <c r="S31" s="50"/>
      <c r="AX31" s="13"/>
      <c r="AY31" s="13"/>
      <c r="AZ31" s="13"/>
    </row>
    <row r="32" spans="1:52">
      <c r="E32" s="50"/>
      <c r="F32" s="50"/>
      <c r="G32" s="50"/>
      <c r="H32" s="50"/>
      <c r="I32" s="50"/>
      <c r="J32" s="50"/>
      <c r="K32" s="50"/>
      <c r="L32" s="50"/>
      <c r="M32" s="13"/>
      <c r="N32" s="13"/>
      <c r="O32" s="13"/>
      <c r="P32" s="50"/>
      <c r="Q32" s="50"/>
      <c r="R32" s="50"/>
      <c r="S32" s="50"/>
      <c r="AX32" s="13"/>
      <c r="AY32" s="13"/>
      <c r="AZ32" s="13"/>
    </row>
    <row r="33" spans="1:52">
      <c r="A33" s="73" t="s">
        <v>2927</v>
      </c>
      <c r="E33" s="50"/>
      <c r="F33" s="50"/>
      <c r="G33" s="50"/>
      <c r="H33" s="50"/>
      <c r="I33" s="50"/>
      <c r="J33" s="50"/>
      <c r="K33" s="50"/>
      <c r="L33" s="50"/>
      <c r="M33" s="13"/>
      <c r="N33" s="13"/>
      <c r="O33" s="13"/>
      <c r="P33" s="50"/>
      <c r="Q33" s="50"/>
      <c r="R33" s="50"/>
      <c r="S33" s="50"/>
      <c r="AX33" s="13"/>
      <c r="AY33" s="13"/>
      <c r="AZ33" s="13"/>
    </row>
    <row r="34" spans="1:52">
      <c r="A34" s="51" t="s">
        <v>2641</v>
      </c>
      <c r="B34" s="51" t="s">
        <v>2642</v>
      </c>
      <c r="C34" s="52" t="s">
        <v>367</v>
      </c>
      <c r="E34" s="272" t="s">
        <v>2880</v>
      </c>
      <c r="F34" s="50"/>
      <c r="G34" s="50"/>
      <c r="H34" s="50"/>
      <c r="I34" s="50"/>
      <c r="J34" s="50"/>
      <c r="K34" s="50"/>
      <c r="L34" s="50"/>
      <c r="M34" s="13"/>
      <c r="N34" s="13"/>
      <c r="O34" s="13"/>
      <c r="P34" s="50"/>
      <c r="Q34" s="50"/>
      <c r="R34" s="50"/>
      <c r="S34" s="50"/>
      <c r="AX34" s="13"/>
      <c r="AY34" s="13"/>
      <c r="AZ34" s="13"/>
    </row>
    <row r="35" spans="1:52">
      <c r="A35" s="224">
        <v>4.8376539999999997</v>
      </c>
      <c r="B35" s="224">
        <v>21.773410999999999</v>
      </c>
      <c r="C35" s="36">
        <v>5</v>
      </c>
      <c r="F35" s="231"/>
      <c r="G35" s="50"/>
      <c r="H35" s="50"/>
      <c r="I35" s="50"/>
      <c r="J35" s="50"/>
      <c r="K35" s="50"/>
      <c r="L35" s="50"/>
      <c r="M35" s="13"/>
      <c r="N35" s="13"/>
      <c r="O35" s="13"/>
      <c r="P35" s="50"/>
      <c r="Q35" s="50"/>
      <c r="R35" s="50"/>
      <c r="S35" s="50"/>
      <c r="AX35" s="13"/>
      <c r="AY35" s="13"/>
      <c r="AZ35" s="13"/>
    </row>
    <row r="36" spans="1:52">
      <c r="A36" s="224">
        <v>21.773410999999999</v>
      </c>
      <c r="B36" s="224">
        <v>29.535098999999999</v>
      </c>
      <c r="C36" s="36">
        <v>4</v>
      </c>
      <c r="F36" s="50"/>
      <c r="G36" s="50"/>
      <c r="H36" s="50"/>
      <c r="I36" s="50"/>
      <c r="J36" s="50"/>
      <c r="K36" s="50"/>
      <c r="L36" s="50"/>
      <c r="M36" s="13"/>
      <c r="N36" s="13"/>
      <c r="O36" s="13"/>
      <c r="P36" s="50"/>
      <c r="Q36" s="50"/>
      <c r="R36" s="50"/>
      <c r="S36" s="50"/>
      <c r="AX36" s="13"/>
      <c r="AY36" s="13"/>
      <c r="AZ36" s="13"/>
    </row>
    <row r="37" spans="1:52">
      <c r="A37" s="224">
        <v>29.535098999999999</v>
      </c>
      <c r="B37" s="224">
        <v>38.371758</v>
      </c>
      <c r="C37" s="36">
        <v>3</v>
      </c>
      <c r="F37" s="50"/>
      <c r="G37" s="50"/>
      <c r="H37" s="50"/>
      <c r="I37" s="50"/>
      <c r="J37" s="50"/>
      <c r="K37" s="50"/>
      <c r="L37" s="50"/>
      <c r="M37" s="13"/>
      <c r="N37" s="13"/>
      <c r="O37" s="13"/>
      <c r="P37" s="50"/>
      <c r="Q37" s="50"/>
      <c r="R37" s="50"/>
      <c r="S37" s="50"/>
      <c r="AX37" s="13"/>
      <c r="AY37" s="13"/>
      <c r="AZ37" s="13"/>
    </row>
    <row r="38" spans="1:52">
      <c r="A38" s="224">
        <v>38.371758</v>
      </c>
      <c r="B38" s="224">
        <v>52.237896999999997</v>
      </c>
      <c r="C38" s="36">
        <v>2</v>
      </c>
      <c r="F38" s="50"/>
      <c r="G38" s="50"/>
      <c r="H38" s="50"/>
      <c r="I38" s="50"/>
      <c r="J38" s="50"/>
      <c r="K38" s="50"/>
      <c r="L38" s="50"/>
      <c r="M38" s="13"/>
      <c r="N38" s="13"/>
      <c r="O38" s="13"/>
      <c r="P38" s="50"/>
      <c r="Q38" s="50"/>
      <c r="R38" s="50"/>
      <c r="S38" s="50"/>
      <c r="AX38" s="13"/>
      <c r="AY38" s="13"/>
      <c r="AZ38" s="13"/>
    </row>
    <row r="39" spans="1:52">
      <c r="A39" s="224">
        <v>52.237896999999997</v>
      </c>
      <c r="B39" s="224">
        <v>84.251983999999993</v>
      </c>
      <c r="C39" s="37">
        <v>1</v>
      </c>
      <c r="F39" s="50"/>
      <c r="G39" s="50"/>
      <c r="H39" s="50"/>
      <c r="I39" s="50"/>
      <c r="J39" s="50"/>
      <c r="K39" s="50"/>
      <c r="L39" s="50"/>
      <c r="M39" s="13"/>
      <c r="N39" s="13"/>
      <c r="O39" s="13"/>
      <c r="P39" s="50"/>
      <c r="Q39" s="50"/>
      <c r="R39" s="50"/>
      <c r="S39" s="50"/>
      <c r="AX39" s="13"/>
      <c r="AY39" s="13"/>
      <c r="AZ39" s="13"/>
    </row>
    <row r="40" spans="1:52">
      <c r="A40" s="36" t="s">
        <v>345</v>
      </c>
      <c r="B40" s="36" t="s">
        <v>345</v>
      </c>
      <c r="C40" s="36" t="s">
        <v>380</v>
      </c>
      <c r="E40" s="50"/>
      <c r="F40" s="50"/>
      <c r="G40" s="50"/>
      <c r="H40" s="50"/>
      <c r="I40" s="50"/>
      <c r="J40" s="50"/>
      <c r="K40" s="50"/>
      <c r="L40" s="50"/>
      <c r="M40" s="13"/>
      <c r="N40" s="13"/>
      <c r="O40" s="13"/>
      <c r="P40" s="50"/>
      <c r="Q40" s="50"/>
      <c r="R40" s="50"/>
      <c r="S40" s="50"/>
      <c r="AX40" s="13"/>
      <c r="AY40" s="13"/>
      <c r="AZ40" s="13"/>
    </row>
    <row r="41" spans="1:52">
      <c r="A41" s="36" t="s">
        <v>345</v>
      </c>
      <c r="B41" s="36" t="s">
        <v>345</v>
      </c>
      <c r="C41" s="36" t="s">
        <v>2643</v>
      </c>
      <c r="E41" s="50"/>
      <c r="F41" s="50"/>
      <c r="G41" s="50"/>
      <c r="H41" s="50"/>
      <c r="I41" s="50"/>
      <c r="J41" s="50"/>
      <c r="K41" s="50"/>
      <c r="L41" s="50"/>
      <c r="M41" s="13"/>
      <c r="N41" s="13"/>
      <c r="O41" s="13"/>
      <c r="P41" s="50"/>
      <c r="Q41" s="50"/>
      <c r="R41" s="50"/>
      <c r="S41" s="50"/>
      <c r="AX41" s="13"/>
      <c r="AY41" s="13"/>
      <c r="AZ41" s="13"/>
    </row>
    <row r="42" spans="1:52">
      <c r="E42" s="50"/>
      <c r="F42" s="50"/>
      <c r="G42" s="50"/>
      <c r="H42" s="50"/>
      <c r="I42" s="50"/>
      <c r="J42" s="50"/>
      <c r="K42" s="50"/>
      <c r="L42" s="50"/>
      <c r="M42" s="13"/>
      <c r="N42" s="13"/>
      <c r="O42" s="13"/>
      <c r="P42" s="50"/>
      <c r="Q42" s="50"/>
      <c r="R42" s="50"/>
      <c r="S42" s="50"/>
      <c r="AX42" s="13"/>
      <c r="AY42" s="13"/>
      <c r="AZ42" s="13"/>
    </row>
    <row r="43" spans="1:52">
      <c r="A43" s="73" t="s">
        <v>2928</v>
      </c>
      <c r="E43" s="50"/>
      <c r="F43" s="50"/>
      <c r="G43" s="50"/>
      <c r="H43" s="50"/>
      <c r="I43" s="50"/>
      <c r="J43" s="50"/>
      <c r="K43" s="50"/>
      <c r="L43" s="50"/>
      <c r="M43" s="13"/>
      <c r="N43" s="13"/>
      <c r="O43" s="13"/>
      <c r="P43" s="50"/>
      <c r="Q43" s="50"/>
      <c r="R43" s="50"/>
      <c r="S43" s="50"/>
      <c r="AX43" s="13"/>
      <c r="AY43" s="13"/>
      <c r="AZ43" s="13"/>
    </row>
    <row r="44" spans="1:52">
      <c r="A44" s="51" t="s">
        <v>2641</v>
      </c>
      <c r="B44" s="51" t="s">
        <v>2642</v>
      </c>
      <c r="C44" s="52" t="s">
        <v>367</v>
      </c>
      <c r="E44" s="50"/>
      <c r="F44" s="50"/>
      <c r="G44" s="50"/>
      <c r="H44" s="50"/>
      <c r="I44" s="50"/>
      <c r="J44" s="50"/>
      <c r="K44" s="50"/>
      <c r="L44" s="50"/>
      <c r="M44" s="13"/>
      <c r="N44" s="13"/>
      <c r="O44" s="13"/>
      <c r="P44" s="50"/>
      <c r="Q44" s="50"/>
      <c r="R44" s="50"/>
      <c r="S44" s="50"/>
      <c r="AX44" s="13"/>
      <c r="AY44" s="13"/>
      <c r="AZ44" s="13"/>
    </row>
    <row r="45" spans="1:52">
      <c r="A45" s="229">
        <v>4.8376539999999997</v>
      </c>
      <c r="B45" s="36">
        <v>20.799223000000001</v>
      </c>
      <c r="C45" s="36">
        <v>5</v>
      </c>
      <c r="E45" s="50"/>
      <c r="F45" s="50"/>
      <c r="G45" s="50"/>
      <c r="H45" s="50"/>
      <c r="I45" s="50"/>
      <c r="J45" s="50"/>
      <c r="K45" s="50"/>
      <c r="L45" s="50"/>
      <c r="M45" s="13"/>
      <c r="N45" s="13"/>
      <c r="O45" s="13"/>
      <c r="P45" s="50"/>
      <c r="Q45" s="50"/>
      <c r="R45" s="50"/>
      <c r="S45" s="50"/>
      <c r="AX45" s="13"/>
      <c r="AY45" s="13"/>
      <c r="AZ45" s="13"/>
    </row>
    <row r="46" spans="1:52">
      <c r="A46" s="230">
        <v>20.799223999999999</v>
      </c>
      <c r="B46" s="36">
        <v>28.324612999999999</v>
      </c>
      <c r="C46" s="36">
        <v>4</v>
      </c>
      <c r="E46" s="50"/>
      <c r="F46" s="50"/>
      <c r="G46" s="50"/>
      <c r="H46" s="50"/>
      <c r="I46" s="50"/>
      <c r="J46" s="50"/>
      <c r="K46" s="50"/>
      <c r="L46" s="50"/>
      <c r="M46" s="13"/>
      <c r="N46" s="13"/>
      <c r="O46" s="13"/>
      <c r="P46" s="50"/>
      <c r="Q46" s="50"/>
      <c r="R46" s="50"/>
      <c r="S46" s="50"/>
      <c r="AX46" s="13"/>
      <c r="AY46" s="13"/>
      <c r="AZ46" s="13"/>
    </row>
    <row r="47" spans="1:52">
      <c r="A47" s="230">
        <v>28.324614</v>
      </c>
      <c r="B47" s="36">
        <v>35.489083000000001</v>
      </c>
      <c r="C47" s="36">
        <v>3</v>
      </c>
      <c r="E47" s="50"/>
      <c r="F47" s="50"/>
      <c r="G47" s="50"/>
      <c r="H47" s="50"/>
      <c r="I47" s="50"/>
      <c r="J47" s="50"/>
      <c r="K47" s="50"/>
      <c r="L47" s="50"/>
      <c r="M47" s="13"/>
      <c r="N47" s="13"/>
      <c r="O47" s="13"/>
      <c r="P47" s="50"/>
      <c r="Q47" s="50"/>
      <c r="R47" s="50"/>
      <c r="S47" s="50"/>
      <c r="AX47" s="13"/>
      <c r="AY47" s="13"/>
      <c r="AZ47" s="13"/>
    </row>
    <row r="48" spans="1:52">
      <c r="A48" s="230">
        <v>35.489083999999998</v>
      </c>
      <c r="B48" s="36">
        <v>46.789659999999998</v>
      </c>
      <c r="C48" s="36">
        <v>2</v>
      </c>
      <c r="E48" s="50"/>
      <c r="F48" s="50"/>
      <c r="G48" s="50"/>
      <c r="H48" s="50"/>
      <c r="I48" s="50"/>
      <c r="J48" s="50"/>
      <c r="K48" s="50"/>
      <c r="L48" s="50"/>
      <c r="M48" s="13"/>
      <c r="N48" s="13"/>
      <c r="O48" s="13"/>
      <c r="P48" s="50"/>
      <c r="Q48" s="50"/>
      <c r="R48" s="50"/>
      <c r="S48" s="50"/>
      <c r="AX48" s="13"/>
      <c r="AY48" s="13"/>
      <c r="AZ48" s="13"/>
    </row>
    <row r="49" spans="1:52">
      <c r="A49" s="230">
        <v>46.789661000000002</v>
      </c>
      <c r="B49" s="36">
        <v>84.251983999999993</v>
      </c>
      <c r="C49" s="36">
        <v>1</v>
      </c>
      <c r="E49" s="50"/>
      <c r="F49" s="50"/>
      <c r="G49" s="50"/>
      <c r="H49" s="50"/>
      <c r="I49" s="50"/>
      <c r="J49" s="50"/>
      <c r="K49" s="50"/>
      <c r="L49" s="50"/>
      <c r="M49" s="13"/>
      <c r="N49" s="13"/>
      <c r="O49" s="13"/>
      <c r="P49" s="50"/>
      <c r="Q49" s="50"/>
      <c r="R49" s="50"/>
      <c r="S49" s="50"/>
      <c r="AX49" s="13"/>
      <c r="AY49" s="13"/>
      <c r="AZ49" s="13"/>
    </row>
    <row r="50" spans="1:52">
      <c r="A50" s="36" t="s">
        <v>345</v>
      </c>
      <c r="B50" s="36" t="s">
        <v>345</v>
      </c>
      <c r="C50" s="36" t="s">
        <v>380</v>
      </c>
      <c r="E50" s="50"/>
      <c r="F50" s="50"/>
      <c r="G50" s="50"/>
      <c r="H50" s="50"/>
      <c r="I50" s="50"/>
      <c r="J50" s="50"/>
      <c r="K50" s="50"/>
      <c r="L50" s="50"/>
      <c r="M50" s="13"/>
      <c r="N50" s="13"/>
      <c r="O50" s="13"/>
      <c r="P50" s="50"/>
      <c r="Q50" s="50"/>
      <c r="R50" s="50"/>
      <c r="S50" s="50"/>
      <c r="AX50" s="13"/>
      <c r="AY50" s="13"/>
      <c r="AZ50" s="13"/>
    </row>
    <row r="51" spans="1:52">
      <c r="A51" s="36" t="s">
        <v>345</v>
      </c>
      <c r="B51" s="36" t="s">
        <v>345</v>
      </c>
      <c r="C51" s="36" t="s">
        <v>2643</v>
      </c>
      <c r="E51" s="50"/>
      <c r="F51" s="50"/>
      <c r="G51" s="50"/>
      <c r="H51" s="50"/>
      <c r="I51" s="50"/>
      <c r="J51" s="50"/>
      <c r="K51" s="50"/>
      <c r="L51" s="50"/>
      <c r="M51" s="13"/>
      <c r="N51" s="13"/>
      <c r="O51" s="13"/>
      <c r="P51" s="50"/>
      <c r="Q51" s="50"/>
      <c r="R51" s="50"/>
      <c r="S51" s="50"/>
      <c r="AX51" s="13"/>
      <c r="AY51" s="13"/>
      <c r="AZ51" s="13"/>
    </row>
    <row r="52" spans="1:52">
      <c r="E52" s="50"/>
      <c r="F52" s="50"/>
      <c r="G52" s="50"/>
      <c r="H52" s="50"/>
      <c r="I52" s="50"/>
      <c r="J52" s="50"/>
      <c r="K52" s="50"/>
      <c r="L52" s="50"/>
      <c r="M52" s="13"/>
      <c r="N52" s="13"/>
      <c r="O52" s="13"/>
      <c r="P52" s="50"/>
      <c r="Q52" s="50"/>
      <c r="R52" s="50"/>
      <c r="S52" s="50"/>
      <c r="AX52" s="13"/>
      <c r="AY52" s="13"/>
      <c r="AZ52" s="13"/>
    </row>
    <row r="53" spans="1:52">
      <c r="E53" s="50"/>
      <c r="F53" s="50"/>
      <c r="G53" s="50"/>
      <c r="H53" s="50"/>
      <c r="I53" s="50"/>
      <c r="J53" s="50"/>
      <c r="K53" s="50"/>
      <c r="L53" s="50"/>
      <c r="M53" s="13"/>
      <c r="N53" s="13"/>
      <c r="O53" s="13"/>
      <c r="P53" s="50"/>
      <c r="Q53" s="50"/>
      <c r="R53" s="50"/>
      <c r="S53" s="50"/>
      <c r="AX53" s="13"/>
      <c r="AY53" s="13"/>
      <c r="AZ53" s="13"/>
    </row>
    <row r="54" spans="1:52">
      <c r="A54" s="73" t="s">
        <v>2805</v>
      </c>
      <c r="E54" s="50"/>
      <c r="F54" s="50"/>
      <c r="G54" s="50"/>
      <c r="H54" s="50"/>
      <c r="I54" s="50"/>
      <c r="J54" s="50"/>
      <c r="K54" s="50"/>
      <c r="L54" s="50"/>
      <c r="M54" s="13"/>
      <c r="N54" s="13"/>
      <c r="O54" s="13"/>
      <c r="P54" s="50"/>
      <c r="Q54" s="50"/>
      <c r="R54" s="50"/>
      <c r="S54" s="50"/>
      <c r="AX54" s="13"/>
      <c r="AY54" s="13"/>
      <c r="AZ54" s="13"/>
    </row>
    <row r="55" spans="1:52">
      <c r="A55" s="51" t="s">
        <v>2641</v>
      </c>
      <c r="B55" s="51" t="s">
        <v>2642</v>
      </c>
      <c r="C55" s="52" t="s">
        <v>367</v>
      </c>
      <c r="E55" s="50"/>
      <c r="F55" s="50"/>
      <c r="G55" s="50"/>
      <c r="H55" s="50"/>
      <c r="I55" s="50"/>
      <c r="J55" s="50"/>
      <c r="K55" s="50"/>
      <c r="L55" s="50"/>
      <c r="M55" s="13"/>
      <c r="N55" s="13"/>
      <c r="O55" s="13"/>
      <c r="P55" s="50"/>
      <c r="Q55" s="50"/>
      <c r="R55" s="50"/>
      <c r="S55" s="50"/>
      <c r="AX55" s="13"/>
      <c r="AY55" s="13"/>
      <c r="AZ55" s="13"/>
    </row>
    <row r="56" spans="1:52">
      <c r="A56" s="229">
        <v>0</v>
      </c>
      <c r="B56" s="36">
        <v>21</v>
      </c>
      <c r="C56" s="36">
        <v>5</v>
      </c>
      <c r="E56" s="50"/>
      <c r="F56" s="50"/>
      <c r="G56" s="50"/>
      <c r="H56" s="50"/>
      <c r="I56" s="50"/>
      <c r="J56" s="50"/>
      <c r="K56" s="50"/>
      <c r="L56" s="50"/>
      <c r="M56" s="13"/>
      <c r="N56" s="13"/>
      <c r="O56" s="13"/>
      <c r="P56" s="50"/>
      <c r="Q56" s="50"/>
      <c r="R56" s="50"/>
      <c r="S56" s="50"/>
      <c r="AX56" s="13"/>
      <c r="AY56" s="13"/>
      <c r="AZ56" s="13"/>
    </row>
    <row r="57" spans="1:52">
      <c r="A57" s="230" t="s">
        <v>2806</v>
      </c>
      <c r="B57" s="36">
        <v>28</v>
      </c>
      <c r="C57" s="36">
        <v>4</v>
      </c>
      <c r="E57" s="50"/>
      <c r="F57" s="50"/>
      <c r="G57" s="50"/>
      <c r="H57" s="50"/>
      <c r="I57" s="50"/>
      <c r="J57" s="50"/>
      <c r="K57" s="50"/>
      <c r="L57" s="50"/>
      <c r="M57" s="13"/>
      <c r="N57" s="13"/>
      <c r="O57" s="13"/>
      <c r="P57" s="50"/>
      <c r="Q57" s="50"/>
      <c r="R57" s="50"/>
      <c r="S57" s="50"/>
      <c r="AX57" s="13"/>
      <c r="AY57" s="13"/>
      <c r="AZ57" s="13"/>
    </row>
    <row r="58" spans="1:52">
      <c r="A58" s="230" t="s">
        <v>2807</v>
      </c>
      <c r="B58" s="36">
        <v>35</v>
      </c>
      <c r="C58" s="36">
        <v>3</v>
      </c>
      <c r="E58" s="50"/>
      <c r="F58" s="50"/>
      <c r="G58" s="50"/>
      <c r="H58" s="50"/>
      <c r="I58" s="50"/>
      <c r="J58" s="50"/>
      <c r="K58" s="50"/>
      <c r="L58" s="50"/>
      <c r="M58" s="13"/>
      <c r="N58" s="13"/>
      <c r="O58" s="13"/>
      <c r="P58" s="50"/>
      <c r="Q58" s="50"/>
      <c r="R58" s="50"/>
      <c r="S58" s="50"/>
      <c r="AX58" s="13"/>
      <c r="AY58" s="13"/>
      <c r="AZ58" s="13"/>
    </row>
    <row r="59" spans="1:52">
      <c r="A59" s="230" t="s">
        <v>2808</v>
      </c>
      <c r="B59" s="36">
        <v>47</v>
      </c>
      <c r="C59" s="36">
        <v>2</v>
      </c>
      <c r="E59" s="50"/>
      <c r="F59" s="50"/>
      <c r="G59" s="50"/>
      <c r="H59" s="50"/>
      <c r="I59" s="50"/>
      <c r="J59" s="50"/>
      <c r="K59" s="50"/>
      <c r="L59" s="50"/>
      <c r="M59" s="13"/>
      <c r="N59" s="13"/>
      <c r="O59" s="13"/>
      <c r="P59" s="50"/>
      <c r="Q59" s="50"/>
      <c r="R59" s="50"/>
      <c r="S59" s="50"/>
      <c r="AX59" s="13"/>
      <c r="AY59" s="13"/>
      <c r="AZ59" s="13"/>
    </row>
    <row r="60" spans="1:52">
      <c r="A60" s="230">
        <v>47.1</v>
      </c>
      <c r="B60" s="36">
        <v>100</v>
      </c>
      <c r="C60" s="36">
        <v>1</v>
      </c>
      <c r="E60" s="50"/>
      <c r="F60" s="50"/>
      <c r="G60" s="50"/>
      <c r="H60" s="50"/>
      <c r="I60" s="50"/>
      <c r="J60" s="50"/>
      <c r="K60" s="50"/>
      <c r="L60" s="50"/>
      <c r="M60" s="13"/>
      <c r="N60" s="13"/>
      <c r="O60" s="13"/>
      <c r="P60" s="50"/>
      <c r="Q60" s="50"/>
      <c r="R60" s="50"/>
      <c r="S60" s="50"/>
      <c r="AX60" s="13"/>
      <c r="AY60" s="13"/>
      <c r="AZ60" s="13"/>
    </row>
    <row r="61" spans="1:52">
      <c r="A61" s="36" t="s">
        <v>345</v>
      </c>
      <c r="B61" s="36" t="s">
        <v>345</v>
      </c>
      <c r="C61" s="36" t="s">
        <v>380</v>
      </c>
      <c r="E61" s="50"/>
      <c r="F61" s="50"/>
      <c r="G61" s="50"/>
      <c r="H61" s="50"/>
      <c r="I61" s="50"/>
      <c r="J61" s="50"/>
      <c r="K61" s="50"/>
      <c r="L61" s="50"/>
      <c r="M61" s="13"/>
      <c r="N61" s="13"/>
      <c r="O61" s="13"/>
      <c r="P61" s="50"/>
      <c r="Q61" s="50"/>
      <c r="R61" s="50"/>
      <c r="S61" s="50"/>
      <c r="AX61" s="13"/>
      <c r="AY61" s="13"/>
      <c r="AZ61" s="13"/>
    </row>
    <row r="62" spans="1:52">
      <c r="A62" s="36" t="s">
        <v>345</v>
      </c>
      <c r="B62" s="36" t="s">
        <v>345</v>
      </c>
      <c r="C62" s="36" t="s">
        <v>2643</v>
      </c>
      <c r="E62" s="50"/>
      <c r="F62" s="50"/>
      <c r="G62" s="50"/>
      <c r="H62" s="50"/>
      <c r="I62" s="50"/>
      <c r="J62" s="50"/>
      <c r="K62" s="50"/>
      <c r="L62" s="50"/>
      <c r="M62" s="13"/>
      <c r="N62" s="13"/>
      <c r="O62" s="13"/>
      <c r="P62" s="50"/>
      <c r="Q62" s="50"/>
      <c r="R62" s="50"/>
      <c r="S62" s="50"/>
      <c r="AX62" s="13"/>
      <c r="AY62" s="13"/>
      <c r="AZ62" s="13"/>
    </row>
    <row r="63" spans="1:52">
      <c r="E63" s="50"/>
      <c r="F63" s="50"/>
      <c r="G63" s="50"/>
      <c r="H63" s="50"/>
      <c r="I63" s="50"/>
      <c r="J63" s="50"/>
      <c r="K63" s="50"/>
      <c r="L63" s="50"/>
      <c r="M63" s="13"/>
      <c r="N63" s="13"/>
      <c r="O63" s="13"/>
      <c r="P63" s="50"/>
      <c r="Q63" s="50"/>
      <c r="R63" s="50"/>
      <c r="S63" s="50"/>
      <c r="AX63" s="13"/>
      <c r="AY63" s="13"/>
      <c r="AZ63" s="13"/>
    </row>
    <row r="64" spans="1:52">
      <c r="A64" s="72" t="s">
        <v>321</v>
      </c>
      <c r="E64" s="50"/>
      <c r="F64" s="50"/>
      <c r="G64" s="50"/>
      <c r="H64" s="50"/>
      <c r="I64" s="50"/>
      <c r="J64" s="50"/>
      <c r="K64" s="50"/>
      <c r="L64" s="50"/>
      <c r="M64" s="50"/>
      <c r="N64" s="50"/>
      <c r="O64" s="50"/>
      <c r="P64" s="50"/>
      <c r="Q64" s="50"/>
      <c r="R64" s="50"/>
      <c r="S64" s="50"/>
      <c r="AX64" s="13"/>
      <c r="AY64" s="13"/>
      <c r="AZ64" s="13"/>
    </row>
    <row r="65" spans="1:20">
      <c r="E65" s="50"/>
      <c r="F65" s="50"/>
      <c r="G65" s="50"/>
      <c r="H65" s="50"/>
      <c r="I65" s="50"/>
      <c r="J65" s="50"/>
      <c r="K65" s="50"/>
      <c r="L65" s="50"/>
      <c r="M65" s="50"/>
      <c r="N65" s="50"/>
      <c r="O65" s="50"/>
      <c r="P65" s="50"/>
      <c r="Q65" s="50"/>
      <c r="R65" s="50"/>
      <c r="S65" s="50"/>
    </row>
    <row r="66" spans="1:20">
      <c r="A66" s="97" t="s">
        <v>2640</v>
      </c>
      <c r="B66" s="104"/>
      <c r="C66" s="104"/>
      <c r="D66" s="212"/>
      <c r="E66" s="212"/>
      <c r="F66" s="212"/>
      <c r="G66" s="212"/>
      <c r="H66" s="212"/>
      <c r="I66" s="212"/>
      <c r="J66" s="212"/>
      <c r="K66" s="212"/>
      <c r="L66" s="212"/>
      <c r="M66" s="212"/>
      <c r="N66" s="50"/>
      <c r="O66" s="50"/>
      <c r="P66" s="50"/>
      <c r="Q66" s="50"/>
      <c r="R66" s="50"/>
      <c r="S66" s="50"/>
    </row>
    <row r="67" spans="1:20">
      <c r="A67" s="263" t="s">
        <v>2641</v>
      </c>
      <c r="B67" s="263" t="s">
        <v>2642</v>
      </c>
      <c r="C67" s="264" t="s">
        <v>367</v>
      </c>
      <c r="D67" s="215"/>
      <c r="E67" s="212"/>
      <c r="F67" s="212"/>
      <c r="G67" s="215"/>
      <c r="H67" s="215"/>
      <c r="I67" s="212"/>
      <c r="J67" s="215"/>
      <c r="K67" s="215"/>
      <c r="L67" s="215"/>
      <c r="M67" s="215"/>
      <c r="N67" s="161"/>
      <c r="O67" s="161"/>
      <c r="P67" s="161"/>
      <c r="Q67" s="161"/>
      <c r="R67" s="161"/>
      <c r="S67" s="161"/>
    </row>
    <row r="68" spans="1:20">
      <c r="A68" s="265">
        <v>0</v>
      </c>
      <c r="B68" s="265">
        <v>0.42918400000000001</v>
      </c>
      <c r="C68" s="265">
        <v>3</v>
      </c>
      <c r="D68" s="212"/>
      <c r="E68" s="212"/>
      <c r="F68" s="212"/>
      <c r="G68" s="212"/>
      <c r="H68" s="212"/>
      <c r="I68" s="212"/>
      <c r="J68" s="212"/>
      <c r="K68" s="212"/>
      <c r="L68" s="212"/>
      <c r="M68" s="212"/>
      <c r="N68" s="50"/>
      <c r="O68" s="50"/>
      <c r="P68" s="50"/>
      <c r="Q68" s="50"/>
      <c r="R68" s="50"/>
      <c r="S68" s="50"/>
      <c r="T68" s="50"/>
    </row>
    <row r="69" spans="1:20">
      <c r="A69" s="265">
        <v>0.42918499999999998</v>
      </c>
      <c r="B69" s="265">
        <v>0.79759899999999995</v>
      </c>
      <c r="C69" s="265">
        <v>2</v>
      </c>
      <c r="D69" s="212"/>
      <c r="E69" s="212"/>
      <c r="F69" s="212"/>
      <c r="G69" s="212"/>
      <c r="H69" s="212"/>
      <c r="I69" s="212"/>
      <c r="J69" s="212"/>
      <c r="K69" s="212"/>
      <c r="L69" s="212"/>
      <c r="M69" s="212"/>
      <c r="N69" s="50"/>
      <c r="O69" s="50"/>
      <c r="P69" s="50"/>
      <c r="Q69" s="50"/>
      <c r="R69" s="50"/>
      <c r="S69" s="50"/>
      <c r="T69" s="50"/>
    </row>
    <row r="70" spans="1:20">
      <c r="A70" s="265">
        <v>0.79759999999999998</v>
      </c>
      <c r="B70" s="265">
        <v>1</v>
      </c>
      <c r="C70" s="265">
        <v>1</v>
      </c>
      <c r="D70" s="212"/>
      <c r="E70" s="212"/>
      <c r="F70" s="212"/>
      <c r="G70" s="212"/>
      <c r="H70" s="212"/>
      <c r="I70" s="212"/>
      <c r="J70" s="212"/>
      <c r="K70" s="212"/>
      <c r="L70" s="212"/>
      <c r="M70" s="212"/>
      <c r="N70" s="50"/>
      <c r="O70" s="50"/>
      <c r="P70" s="50"/>
      <c r="Q70" s="50"/>
      <c r="R70" s="50"/>
      <c r="S70" s="50"/>
      <c r="T70" s="50"/>
    </row>
    <row r="71" spans="1:20">
      <c r="A71" s="104"/>
      <c r="B71" s="104"/>
      <c r="C71" s="104"/>
      <c r="D71" s="212"/>
      <c r="E71" s="216"/>
      <c r="F71" s="216"/>
      <c r="G71" s="216"/>
      <c r="H71" s="216"/>
      <c r="I71" s="216"/>
      <c r="J71" s="216"/>
      <c r="K71" s="216"/>
      <c r="L71" s="216"/>
      <c r="M71" s="216"/>
      <c r="T71" s="50"/>
    </row>
    <row r="72" spans="1:20">
      <c r="A72" s="104"/>
      <c r="B72" s="104"/>
      <c r="C72" s="104"/>
      <c r="D72" s="212"/>
      <c r="E72" s="216"/>
      <c r="F72" s="216"/>
      <c r="G72" s="216"/>
      <c r="H72" s="216"/>
      <c r="I72" s="216"/>
      <c r="J72" s="216"/>
      <c r="K72" s="216"/>
      <c r="L72" s="216"/>
      <c r="M72" s="216"/>
      <c r="T72" s="50"/>
    </row>
    <row r="73" spans="1:20">
      <c r="A73" s="97" t="s">
        <v>2869</v>
      </c>
      <c r="B73" s="104"/>
      <c r="C73" s="104"/>
      <c r="D73" s="212"/>
      <c r="E73" s="210"/>
      <c r="F73" s="216"/>
      <c r="G73" s="216"/>
      <c r="H73" s="216"/>
      <c r="I73" s="210"/>
      <c r="J73" s="216"/>
      <c r="K73" s="216"/>
      <c r="L73" s="216"/>
      <c r="M73" s="216"/>
      <c r="T73" s="50"/>
    </row>
    <row r="74" spans="1:20">
      <c r="A74" s="263" t="s">
        <v>2641</v>
      </c>
      <c r="B74" s="263" t="s">
        <v>2642</v>
      </c>
      <c r="C74" s="264" t="s">
        <v>367</v>
      </c>
      <c r="D74" s="215"/>
      <c r="E74" s="217"/>
      <c r="F74" s="263" t="s">
        <v>2641</v>
      </c>
      <c r="G74" s="263" t="s">
        <v>2642</v>
      </c>
      <c r="H74" s="264" t="s">
        <v>367</v>
      </c>
      <c r="I74" s="217"/>
      <c r="J74" s="217"/>
      <c r="K74" s="215"/>
      <c r="L74" s="216"/>
      <c r="M74" s="216"/>
      <c r="T74" s="50"/>
    </row>
    <row r="75" spans="1:20">
      <c r="A75" s="101">
        <v>0</v>
      </c>
      <c r="B75" s="101">
        <v>0.42036099999999998</v>
      </c>
      <c r="C75" s="101">
        <v>3</v>
      </c>
      <c r="D75" s="212"/>
      <c r="E75" s="211"/>
      <c r="F75" s="101">
        <f>A75*100</f>
        <v>0</v>
      </c>
      <c r="G75" s="101">
        <f>B75*100</f>
        <v>42.036099999999998</v>
      </c>
      <c r="H75" s="101">
        <v>3</v>
      </c>
      <c r="I75" s="216"/>
      <c r="J75" s="216"/>
      <c r="K75" s="216"/>
      <c r="L75" s="216"/>
      <c r="M75" s="216"/>
      <c r="T75" s="50"/>
    </row>
    <row r="76" spans="1:20">
      <c r="A76" s="101">
        <v>0.42036200000000001</v>
      </c>
      <c r="B76" s="101">
        <v>0.73003499999999999</v>
      </c>
      <c r="C76" s="101">
        <v>2</v>
      </c>
      <c r="D76" s="212"/>
      <c r="E76" s="211"/>
      <c r="F76" s="101">
        <f t="shared" ref="F76:F77" si="1">A76*100</f>
        <v>42.036200000000001</v>
      </c>
      <c r="G76" s="101">
        <f t="shared" ref="G76:G77" si="2">B76*100</f>
        <v>73.003500000000003</v>
      </c>
      <c r="H76" s="101">
        <v>2</v>
      </c>
      <c r="I76" s="216"/>
      <c r="J76" s="216"/>
      <c r="K76" s="216"/>
      <c r="L76" s="216"/>
      <c r="M76" s="216"/>
      <c r="T76" s="50"/>
    </row>
    <row r="77" spans="1:20">
      <c r="A77" s="101">
        <v>0.73003600000000002</v>
      </c>
      <c r="B77" s="266">
        <v>1</v>
      </c>
      <c r="C77" s="101">
        <v>1</v>
      </c>
      <c r="D77" s="212"/>
      <c r="E77" s="211"/>
      <c r="F77" s="101">
        <f t="shared" si="1"/>
        <v>73.003600000000006</v>
      </c>
      <c r="G77" s="101">
        <f t="shared" si="2"/>
        <v>100</v>
      </c>
      <c r="H77" s="101">
        <v>1</v>
      </c>
      <c r="I77" s="216"/>
      <c r="J77" s="216"/>
      <c r="K77" s="216"/>
      <c r="L77" s="216"/>
      <c r="M77" s="216"/>
      <c r="T77" s="50"/>
    </row>
    <row r="78" spans="1:20">
      <c r="A78" s="211"/>
      <c r="B78" s="211"/>
      <c r="C78" s="211"/>
      <c r="D78" s="212"/>
      <c r="E78" s="216"/>
      <c r="F78" s="216"/>
      <c r="G78" s="216"/>
      <c r="H78" s="216"/>
      <c r="I78" s="216"/>
      <c r="J78" s="216"/>
      <c r="K78" s="216"/>
      <c r="L78" s="216"/>
      <c r="M78" s="216"/>
      <c r="T78" s="50"/>
    </row>
    <row r="79" spans="1:20">
      <c r="A79" s="210" t="s">
        <v>2876</v>
      </c>
      <c r="B79" s="211"/>
      <c r="C79" s="211"/>
      <c r="D79" s="212"/>
      <c r="E79" s="216"/>
      <c r="F79" s="216"/>
      <c r="G79" s="216"/>
      <c r="H79" s="216"/>
      <c r="I79" s="216"/>
      <c r="J79" s="216"/>
      <c r="K79" s="216"/>
      <c r="L79" s="216"/>
      <c r="M79" s="216"/>
      <c r="T79" s="50"/>
    </row>
    <row r="80" spans="1:20">
      <c r="A80" s="213" t="s">
        <v>2641</v>
      </c>
      <c r="B80" s="213" t="s">
        <v>2642</v>
      </c>
      <c r="C80" s="214" t="s">
        <v>367</v>
      </c>
      <c r="D80" s="212"/>
      <c r="E80" s="216"/>
      <c r="F80" s="216"/>
      <c r="G80" s="216"/>
      <c r="H80" s="216"/>
      <c r="I80" s="216"/>
      <c r="J80" s="216"/>
      <c r="K80" s="216"/>
      <c r="L80" s="216"/>
      <c r="M80" s="216"/>
      <c r="T80" s="50"/>
    </row>
    <row r="81" spans="1:20">
      <c r="A81" s="284">
        <v>5.9466139983169404E-6</v>
      </c>
      <c r="B81" s="218">
        <v>16.305665000000001</v>
      </c>
      <c r="C81" s="218">
        <v>3</v>
      </c>
      <c r="D81" s="212"/>
      <c r="E81" s="216"/>
      <c r="F81" s="216"/>
      <c r="G81" s="216"/>
      <c r="H81" s="216"/>
      <c r="I81" s="216"/>
      <c r="J81" s="216"/>
      <c r="K81" s="216"/>
      <c r="L81" s="216"/>
      <c r="M81" s="216"/>
      <c r="T81" s="50"/>
    </row>
    <row r="82" spans="1:20">
      <c r="A82" s="218">
        <v>16.305665999999999</v>
      </c>
      <c r="B82" s="218">
        <v>28.889279999999999</v>
      </c>
      <c r="C82" s="218">
        <v>2</v>
      </c>
      <c r="D82" s="212"/>
      <c r="E82" s="216"/>
      <c r="F82" s="216"/>
      <c r="G82" s="216"/>
      <c r="H82" s="216"/>
      <c r="I82" s="216"/>
      <c r="J82" s="216"/>
      <c r="K82" s="216"/>
      <c r="L82" s="216"/>
      <c r="M82" s="216"/>
    </row>
    <row r="83" spans="1:20">
      <c r="A83" s="218">
        <v>28.889281</v>
      </c>
      <c r="B83" s="218">
        <v>44.787452000000002</v>
      </c>
      <c r="C83" s="218">
        <v>1</v>
      </c>
      <c r="D83" s="212"/>
      <c r="E83" s="216"/>
      <c r="F83" s="216"/>
      <c r="G83" s="216"/>
      <c r="H83" s="216"/>
      <c r="I83" s="216"/>
      <c r="J83" s="216"/>
      <c r="K83" s="216"/>
      <c r="L83" s="216"/>
      <c r="M83" s="216"/>
    </row>
    <row r="84" spans="1:20">
      <c r="D84" s="212"/>
      <c r="E84" s="216"/>
      <c r="F84" s="216"/>
      <c r="G84" s="216"/>
      <c r="H84" s="216"/>
      <c r="I84" s="216"/>
      <c r="J84" s="216"/>
      <c r="K84" s="216"/>
      <c r="L84" s="216"/>
      <c r="M84" s="216"/>
    </row>
    <row r="85" spans="1:20">
      <c r="A85" s="97" t="s">
        <v>2877</v>
      </c>
      <c r="D85" s="212"/>
      <c r="E85" s="216"/>
      <c r="F85" s="216"/>
      <c r="G85" s="216"/>
      <c r="H85" s="216"/>
      <c r="I85" s="216"/>
      <c r="J85" s="216"/>
      <c r="K85" s="216"/>
      <c r="L85" s="216"/>
      <c r="M85" s="216"/>
    </row>
    <row r="86" spans="1:20">
      <c r="A86" s="51" t="s">
        <v>2641</v>
      </c>
      <c r="B86" s="51" t="s">
        <v>2642</v>
      </c>
      <c r="C86" s="52" t="s">
        <v>367</v>
      </c>
      <c r="D86" s="212"/>
      <c r="E86" s="216"/>
      <c r="F86" s="216"/>
      <c r="G86" s="216"/>
      <c r="H86" s="216"/>
      <c r="I86" s="216"/>
      <c r="J86" s="216"/>
      <c r="K86" s="216"/>
      <c r="L86" s="216"/>
      <c r="M86" s="216"/>
    </row>
    <row r="87" spans="1:20">
      <c r="A87" s="36">
        <v>5.9466139983169404</v>
      </c>
      <c r="B87" s="36">
        <v>29.484254</v>
      </c>
      <c r="C87" s="36">
        <v>3</v>
      </c>
      <c r="D87" s="212"/>
      <c r="E87" s="216"/>
      <c r="F87" s="216"/>
      <c r="G87" s="216"/>
      <c r="H87" s="216"/>
      <c r="I87" s="216"/>
      <c r="J87" s="216"/>
      <c r="K87" s="216"/>
      <c r="L87" s="216"/>
      <c r="M87" s="216"/>
    </row>
    <row r="88" spans="1:20">
      <c r="A88" s="36">
        <v>29.484255000000001</v>
      </c>
      <c r="B88" s="36">
        <v>50.971685999999998</v>
      </c>
      <c r="C88" s="36">
        <v>2</v>
      </c>
      <c r="D88" s="212"/>
      <c r="E88" s="216"/>
      <c r="F88" s="216"/>
      <c r="G88" s="216"/>
      <c r="H88" s="216"/>
      <c r="I88" s="216"/>
      <c r="J88" s="216"/>
      <c r="K88" s="216"/>
      <c r="L88" s="216"/>
      <c r="M88" s="216"/>
    </row>
    <row r="89" spans="1:20">
      <c r="A89" s="36">
        <v>50.971687000000003</v>
      </c>
      <c r="B89" s="36">
        <v>75.360276999999996</v>
      </c>
      <c r="C89" s="36">
        <v>1</v>
      </c>
      <c r="D89" s="212"/>
      <c r="E89" s="216"/>
      <c r="F89" s="216"/>
      <c r="G89" s="216"/>
      <c r="H89" s="216"/>
      <c r="I89" s="216"/>
      <c r="J89" s="216"/>
      <c r="K89" s="216"/>
      <c r="L89" s="216"/>
      <c r="M89" s="216"/>
    </row>
    <row r="90" spans="1:20">
      <c r="D90" s="212"/>
      <c r="E90" s="216"/>
      <c r="F90" s="216"/>
      <c r="G90" s="216"/>
      <c r="H90" s="216"/>
      <c r="I90" s="216"/>
      <c r="J90" s="216"/>
      <c r="K90" s="216"/>
      <c r="L90" s="216"/>
      <c r="M90" s="216"/>
    </row>
    <row r="91" spans="1:20">
      <c r="A91" s="73" t="s">
        <v>2928</v>
      </c>
    </row>
    <row r="92" spans="1:20">
      <c r="A92" s="51" t="s">
        <v>2641</v>
      </c>
      <c r="B92" s="51" t="s">
        <v>2642</v>
      </c>
      <c r="C92" s="52" t="s">
        <v>367</v>
      </c>
    </row>
    <row r="93" spans="1:20">
      <c r="A93" s="36">
        <v>6.1656940000000002</v>
      </c>
      <c r="B93" s="36">
        <v>29.954346000000001</v>
      </c>
      <c r="C93" s="36">
        <v>3</v>
      </c>
    </row>
    <row r="94" spans="1:20">
      <c r="A94" s="36">
        <v>29.954346999999999</v>
      </c>
      <c r="B94" s="36">
        <v>51.357582999999998</v>
      </c>
      <c r="C94" s="36">
        <v>2</v>
      </c>
    </row>
    <row r="95" spans="1:20">
      <c r="A95" s="36">
        <v>51.357584000000003</v>
      </c>
      <c r="B95" s="36">
        <v>76.242626000000001</v>
      </c>
      <c r="C95" s="36">
        <v>1</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650B1-9598-4A78-A14D-8DF89BF61F94}">
  <dimension ref="A1:E45"/>
  <sheetViews>
    <sheetView showGridLines="0" zoomScaleNormal="100" workbookViewId="0">
      <selection activeCell="E51" sqref="E51"/>
    </sheetView>
  </sheetViews>
  <sheetFormatPr baseColWidth="10" defaultColWidth="11.4140625" defaultRowHeight="14"/>
  <cols>
    <col min="1" max="1" width="5.4140625" customWidth="1"/>
    <col min="2" max="2" width="18.4140625" customWidth="1"/>
    <col min="3" max="3" width="20.58203125" customWidth="1"/>
    <col min="4" max="4" width="18.4140625" customWidth="1"/>
    <col min="5" max="5" width="18.83203125" customWidth="1"/>
  </cols>
  <sheetData>
    <row r="1" spans="1:5">
      <c r="A1" s="72" t="s">
        <v>2773</v>
      </c>
    </row>
    <row r="3" spans="1:5" ht="28">
      <c r="B3" s="34" t="s">
        <v>367</v>
      </c>
      <c r="C3" s="45" t="s">
        <v>2905</v>
      </c>
      <c r="D3" s="45" t="s">
        <v>2774</v>
      </c>
      <c r="E3" s="45" t="s">
        <v>2911</v>
      </c>
    </row>
    <row r="4" spans="1:5">
      <c r="B4" s="36">
        <v>1</v>
      </c>
      <c r="C4" s="36">
        <f>+COUNTIF(Departamentos!$Y$4:$Y$35,Comparativos_Dptos!B4)</f>
        <v>8</v>
      </c>
      <c r="D4" s="36">
        <f>+COUNTIF(Departamentos!$AC$4:$AC$35,Comparativos_Dptos!B4)</f>
        <v>8</v>
      </c>
      <c r="E4" s="40">
        <f>+COUNTIF(Departamentos!$AK$4:$AK$35,Comparativos_Dptos!B4)</f>
        <v>14</v>
      </c>
    </row>
    <row r="5" spans="1:5">
      <c r="B5" s="36">
        <v>2</v>
      </c>
      <c r="C5" s="36">
        <f>+COUNTIF(Departamentos!$Y$4:$Y$35,Comparativos_Dptos!B5)</f>
        <v>16</v>
      </c>
      <c r="D5" s="36">
        <f>+COUNTIF(Departamentos!$AC$4:$AC$35,Comparativos_Dptos!B5)</f>
        <v>16</v>
      </c>
      <c r="E5" s="40">
        <f>+COUNTIF(Departamentos!$AK$4:$AK$35,Comparativos_Dptos!B5)</f>
        <v>9</v>
      </c>
    </row>
    <row r="6" spans="1:5">
      <c r="B6" s="36">
        <v>3</v>
      </c>
      <c r="C6" s="36">
        <f>+COUNTIF(Departamentos!$Y$4:$Y$35,Comparativos_Dptos!B6)</f>
        <v>8</v>
      </c>
      <c r="D6" s="36">
        <f>+COUNTIF(Departamentos!$AC$4:$AC$35,Comparativos_Dptos!B6)</f>
        <v>8</v>
      </c>
      <c r="E6" s="40">
        <f>+COUNTIF(Departamentos!$AK$4:$AK$35,Comparativos_Dptos!B6)</f>
        <v>9</v>
      </c>
    </row>
    <row r="7" spans="1:5">
      <c r="B7" s="35" t="s">
        <v>369</v>
      </c>
      <c r="C7" s="35">
        <f>+SUM(C4:C6)</f>
        <v>32</v>
      </c>
      <c r="D7" s="35">
        <f>+SUM(D4:D6)</f>
        <v>32</v>
      </c>
      <c r="E7" s="58">
        <f>+SUM(E4:E6)</f>
        <v>32</v>
      </c>
    </row>
    <row r="9" spans="1:5" ht="45.75" customHeight="1">
      <c r="B9" s="45" t="s">
        <v>2623</v>
      </c>
      <c r="C9" s="45" t="s">
        <v>2907</v>
      </c>
      <c r="D9" s="45" t="s">
        <v>2906</v>
      </c>
    </row>
    <row r="10" spans="1:5">
      <c r="A10" s="385" t="s">
        <v>2933</v>
      </c>
      <c r="B10" s="40">
        <v>-3</v>
      </c>
      <c r="C10" s="40">
        <f>+COUNTIF(Departamentos!$AE$4:$AE$35,Comparativos_Dptos!$B10)</f>
        <v>0</v>
      </c>
      <c r="D10" s="40">
        <f>+COUNTIF(Departamentos!$AM$4:$AM$35,Comparativos_Dptos!$B10)</f>
        <v>0</v>
      </c>
    </row>
    <row r="11" spans="1:5">
      <c r="A11" s="385"/>
      <c r="B11" s="41">
        <v>-2</v>
      </c>
      <c r="C11" s="40">
        <f>+COUNTIF(Departamentos!$AE$4:$AE$35,Comparativos_Dptos!$B11)</f>
        <v>0</v>
      </c>
      <c r="D11" s="40">
        <f>+COUNTIF(Departamentos!$AM$4:$AM$35,Comparativos_Dptos!$B11)</f>
        <v>0</v>
      </c>
    </row>
    <row r="12" spans="1:5">
      <c r="A12" s="385"/>
      <c r="B12" s="41">
        <v>-1</v>
      </c>
      <c r="C12" s="40">
        <f>+COUNTIF(Departamentos!$AE$4:$AE$35,Comparativos_Dptos!$B12)</f>
        <v>0</v>
      </c>
      <c r="D12" s="40">
        <f>+COUNTIF(Departamentos!$AM$4:$AM$35,Comparativos_Dptos!$B12)</f>
        <v>1</v>
      </c>
    </row>
    <row r="13" spans="1:5">
      <c r="A13" s="105"/>
      <c r="B13" s="41">
        <v>0</v>
      </c>
      <c r="C13" s="40">
        <f>+COUNTIF(Departamentos!$AE$4:$AE$35,Comparativos_Dptos!$B13)</f>
        <v>32</v>
      </c>
      <c r="D13" s="40">
        <f>+COUNTIF(Departamentos!$AM$4:$AM$35,Comparativos_Dptos!$B13)</f>
        <v>25</v>
      </c>
    </row>
    <row r="14" spans="1:5">
      <c r="A14" s="385" t="s">
        <v>2933</v>
      </c>
      <c r="B14" s="41">
        <v>1</v>
      </c>
      <c r="C14" s="40">
        <f>+COUNTIF(Departamentos!$AE$4:$AE$35,Comparativos_Dptos!$B14)</f>
        <v>0</v>
      </c>
      <c r="D14" s="40">
        <f>+COUNTIF(Departamentos!$AM$4:$AM$35,Comparativos_Dptos!$B14)</f>
        <v>6</v>
      </c>
    </row>
    <row r="15" spans="1:5">
      <c r="A15" s="385"/>
      <c r="B15" s="41">
        <v>2</v>
      </c>
      <c r="C15" s="40">
        <f>+COUNTIF(Departamentos!$AE$4:$AE$35,Comparativos_Dptos!$B15)</f>
        <v>0</v>
      </c>
      <c r="D15" s="40">
        <f>+COUNTIF(Departamentos!$AM$4:$AM$35,Comparativos_Dptos!$B15)</f>
        <v>0</v>
      </c>
    </row>
    <row r="16" spans="1:5">
      <c r="A16" s="385"/>
      <c r="B16" s="42">
        <v>3</v>
      </c>
      <c r="C16" s="40">
        <f>+COUNTIF(Departamentos!$AE$4:$AE$35,Comparativos_Dptos!$B16)</f>
        <v>0</v>
      </c>
      <c r="D16" s="40">
        <f>+COUNTIF(Departamentos!$AM$4:$AM$35,Comparativos_Dptos!$B16)</f>
        <v>0</v>
      </c>
    </row>
    <row r="17" spans="1:5">
      <c r="B17" s="35" t="s">
        <v>2629</v>
      </c>
      <c r="C17" s="35">
        <f>+SUM(C10:C12)+SUM(C14:C16)</f>
        <v>0</v>
      </c>
      <c r="D17" s="35">
        <f>+SUM(D10:D12)+SUM(D14:D16)</f>
        <v>7</v>
      </c>
    </row>
    <row r="18" spans="1:5">
      <c r="B18" s="35" t="s">
        <v>2776</v>
      </c>
      <c r="C18" s="43">
        <f>+C17/C7</f>
        <v>0</v>
      </c>
      <c r="D18" s="43">
        <f>+D17/D7</f>
        <v>0.21875</v>
      </c>
    </row>
    <row r="20" spans="1:5" ht="28">
      <c r="B20" s="45" t="s">
        <v>2623</v>
      </c>
      <c r="C20" s="45" t="s">
        <v>2907</v>
      </c>
      <c r="D20" s="45" t="s">
        <v>2907</v>
      </c>
    </row>
    <row r="21" spans="1:5">
      <c r="B21" s="40" t="s">
        <v>2929</v>
      </c>
      <c r="C21" s="40">
        <f>+SUM(C10:C12)</f>
        <v>0</v>
      </c>
      <c r="D21" s="40">
        <f>+SUM(D10:D12)</f>
        <v>1</v>
      </c>
    </row>
    <row r="22" spans="1:5">
      <c r="B22" s="41" t="s">
        <v>2930</v>
      </c>
      <c r="C22" s="41">
        <f>+SUM(C14:C16)</f>
        <v>0</v>
      </c>
      <c r="D22" s="41">
        <f>+SUM(D14:D16)</f>
        <v>6</v>
      </c>
    </row>
    <row r="23" spans="1:5">
      <c r="B23" s="35" t="s">
        <v>2629</v>
      </c>
      <c r="C23" s="35">
        <f>+SUM(C21:C22)</f>
        <v>0</v>
      </c>
      <c r="D23" s="35">
        <f>+SUM(D21:D22)</f>
        <v>7</v>
      </c>
    </row>
    <row r="25" spans="1:5" ht="28">
      <c r="A25" s="298"/>
      <c r="B25" s="34" t="s">
        <v>2931</v>
      </c>
      <c r="C25" s="45" t="s">
        <v>2907</v>
      </c>
      <c r="D25" s="45" t="s">
        <v>2906</v>
      </c>
    </row>
    <row r="26" spans="1:5">
      <c r="A26" s="298"/>
      <c r="B26" s="40" t="s">
        <v>2632</v>
      </c>
      <c r="C26" s="48">
        <f>+COUNTIFS(Departamentos!$AE$4:$AE$35,"&lt;0",Departamentos!$AF$4:$AF$35,"&lt;0")</f>
        <v>0</v>
      </c>
      <c r="D26" s="48">
        <f>+COUNTIFS(Departamentos!$AM$4:$AM$35,"&lt;0",Departamentos!$AN$4:$AN$35,"&lt;0")</f>
        <v>0</v>
      </c>
    </row>
    <row r="27" spans="1:5">
      <c r="A27" s="298"/>
      <c r="B27" s="41" t="s">
        <v>2633</v>
      </c>
      <c r="C27" s="219">
        <f>+COUNTIFS(Departamentos!$AE$4:$AE$35,"&lt;0",Departamentos!$AF$4:$AF$35,"&gt;0")</f>
        <v>0</v>
      </c>
      <c r="D27" s="219">
        <f>+COUNTIFS(Departamentos!$AM$4:$AM$35,"&lt;0",Departamentos!$AN$4:$AN$35,"&gt;0")</f>
        <v>1</v>
      </c>
    </row>
    <row r="28" spans="1:5">
      <c r="A28" s="298"/>
      <c r="B28" s="35" t="s">
        <v>2629</v>
      </c>
      <c r="C28" s="35">
        <f>+SUM(C26:C27)</f>
        <v>0</v>
      </c>
      <c r="D28" s="35">
        <f>+SUM(D26:D27)</f>
        <v>1</v>
      </c>
    </row>
    <row r="29" spans="1:5">
      <c r="A29" s="298"/>
    </row>
    <row r="30" spans="1:5" ht="28">
      <c r="A30" s="298"/>
      <c r="B30" s="45" t="s">
        <v>2932</v>
      </c>
      <c r="C30" s="45" t="s">
        <v>2907</v>
      </c>
      <c r="D30" s="45" t="s">
        <v>2775</v>
      </c>
    </row>
    <row r="31" spans="1:5">
      <c r="A31" s="298"/>
      <c r="B31" s="131" t="s">
        <v>2635</v>
      </c>
      <c r="C31" s="293"/>
      <c r="D31" s="48">
        <f>+COUNTIFS(Departamentos!$AM$4:$AM$35,"&lt;0",Departamentos!AN4:AN35,"&lt;0",Departamentos!$AQ$4:$AQ$35,B31)</f>
        <v>0</v>
      </c>
      <c r="E31" t="s">
        <v>2777</v>
      </c>
    </row>
    <row r="32" spans="1:5">
      <c r="A32" s="298"/>
      <c r="B32" s="133" t="s">
        <v>2637</v>
      </c>
      <c r="C32" s="105"/>
      <c r="D32" s="48">
        <f>+COUNTIFS(Departamentos!$AM$4:$AM$35,"&lt;0",Departamentos!AN6:AN37,"&lt;0",Departamentos!$AQ$4:$AQ$35,B32)</f>
        <v>0</v>
      </c>
    </row>
    <row r="33" spans="1:4">
      <c r="A33" s="298"/>
      <c r="B33" s="132" t="s">
        <v>2636</v>
      </c>
      <c r="C33" s="299"/>
      <c r="D33" s="48">
        <f>+COUNTIFS(Departamentos!$AM$4:$AM$35,"&lt;0",Departamentos!AN5:AN36,"&lt;0",Departamentos!$AQ$4:$AQ$35,B33)</f>
        <v>0</v>
      </c>
    </row>
    <row r="34" spans="1:4">
      <c r="A34" s="298"/>
      <c r="B34" s="134" t="s">
        <v>369</v>
      </c>
      <c r="C34" s="35">
        <f>+SUM(C31:C33)</f>
        <v>0</v>
      </c>
      <c r="D34" s="54">
        <f>SUM(D31:D33)</f>
        <v>0</v>
      </c>
    </row>
    <row r="36" spans="1:4" ht="28">
      <c r="A36" s="223"/>
      <c r="B36" s="34" t="s">
        <v>2930</v>
      </c>
      <c r="C36" s="45" t="s">
        <v>2907</v>
      </c>
      <c r="D36" s="45" t="s">
        <v>2906</v>
      </c>
    </row>
    <row r="37" spans="1:4">
      <c r="A37" s="223"/>
      <c r="B37" s="40" t="s">
        <v>2632</v>
      </c>
      <c r="C37" s="219">
        <f>+COUNTIFS(Departamentos!$AE$4:$AE$35,"&gt;0",Departamentos!$AF$4:$AF$35,"&lt;0")</f>
        <v>0</v>
      </c>
      <c r="D37" s="219">
        <f>+COUNTIFS(Departamentos!$AM$4:$AM$35,"&gt;0",Departamentos!$AN$4:$AN$35,"&lt;0")</f>
        <v>2</v>
      </c>
    </row>
    <row r="38" spans="1:4">
      <c r="A38" s="223"/>
      <c r="B38" s="41" t="s">
        <v>2633</v>
      </c>
      <c r="C38" s="48">
        <f>+COUNTIFS(Departamentos!$AE$4:$AE$35,"&gt;0",Departamentos!$AF$4:$AF$35,"&gt;0")</f>
        <v>0</v>
      </c>
      <c r="D38" s="48">
        <f>+COUNTIFS(Departamentos!$AM$4:$AM$35,"&gt;0",Departamentos!$AN$4:$AN$35,"&gt;0")</f>
        <v>4</v>
      </c>
    </row>
    <row r="39" spans="1:4">
      <c r="A39" s="223"/>
      <c r="B39" s="35" t="s">
        <v>2629</v>
      </c>
      <c r="C39" s="35">
        <f>+SUM(C37:C38)</f>
        <v>0</v>
      </c>
      <c r="D39" s="35">
        <f>+SUM(D37:D38)</f>
        <v>6</v>
      </c>
    </row>
    <row r="40" spans="1:4">
      <c r="A40" s="223"/>
    </row>
    <row r="41" spans="1:4" ht="28">
      <c r="A41" s="223"/>
      <c r="B41" s="45" t="s">
        <v>2932</v>
      </c>
      <c r="C41" s="45" t="s">
        <v>2907</v>
      </c>
      <c r="D41" s="45" t="s">
        <v>2775</v>
      </c>
    </row>
    <row r="42" spans="1:4">
      <c r="A42" s="223"/>
      <c r="B42" s="131" t="s">
        <v>2635</v>
      </c>
      <c r="C42" s="293"/>
      <c r="D42" s="48">
        <f>+COUNTIFS(Departamentos!$AM$4:$AM$35,"&gt;0",Departamentos!AN4:AN35,"&gt;0",Departamentos!$AQ$4:$AQ$35,B42)</f>
        <v>4</v>
      </c>
    </row>
    <row r="43" spans="1:4">
      <c r="A43" s="223"/>
      <c r="B43" s="133" t="s">
        <v>2637</v>
      </c>
      <c r="C43" s="105"/>
      <c r="D43" s="48">
        <f>+COUNTIFS(Departamentos!$AM$4:$AM$35,"&gt;0",Departamentos!AN5:AN36,"&gt;0",Departamentos!$AQ$4:$AQ$35,B43)</f>
        <v>0</v>
      </c>
    </row>
    <row r="44" spans="1:4">
      <c r="A44" s="223"/>
      <c r="B44" s="132" t="s">
        <v>2636</v>
      </c>
      <c r="C44" s="299"/>
      <c r="D44" s="48">
        <f>+COUNTIFS(Departamentos!$AM$4:$AM$35,"&gt;0",Departamentos!AN6:AN37,"&gt;0",Departamentos!$AQ$4:$AQ$35,B44)</f>
        <v>0</v>
      </c>
    </row>
    <row r="45" spans="1:4">
      <c r="A45" s="223"/>
      <c r="B45" s="134" t="s">
        <v>369</v>
      </c>
      <c r="C45" s="35">
        <f>+SUM(C42:C44)</f>
        <v>0</v>
      </c>
      <c r="D45" s="54">
        <f>SUM(D42:D44)</f>
        <v>4</v>
      </c>
    </row>
  </sheetData>
  <mergeCells count="2">
    <mergeCell ref="A10:A12"/>
    <mergeCell ref="A14:A16"/>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D0CA-9728-4EB0-A28D-95FFCFCD316B}">
  <dimension ref="A1:I16"/>
  <sheetViews>
    <sheetView showGridLines="0" workbookViewId="0">
      <selection activeCell="L30" sqref="L30"/>
    </sheetView>
  </sheetViews>
  <sheetFormatPr baseColWidth="10" defaultColWidth="11.4140625" defaultRowHeight="14"/>
  <cols>
    <col min="1" max="1" width="17.83203125" bestFit="1" customWidth="1"/>
    <col min="2" max="2" width="22.1640625" bestFit="1" customWidth="1"/>
    <col min="3" max="3" width="19.4140625" bestFit="1" customWidth="1"/>
    <col min="4" max="4" width="12" bestFit="1" customWidth="1"/>
    <col min="5" max="5" width="13.58203125" customWidth="1"/>
    <col min="7" max="7" width="19.58203125" customWidth="1"/>
    <col min="8" max="8" width="13.83203125" customWidth="1"/>
    <col min="9" max="9" width="12" bestFit="1" customWidth="1"/>
  </cols>
  <sheetData>
    <row r="1" spans="1:9">
      <c r="A1" s="72" t="s">
        <v>2778</v>
      </c>
    </row>
    <row r="2" spans="1:9">
      <c r="A2" s="72"/>
    </row>
    <row r="3" spans="1:9">
      <c r="A3" s="73" t="s">
        <v>2649</v>
      </c>
      <c r="E3" s="386"/>
      <c r="F3" s="386"/>
      <c r="G3" s="386"/>
      <c r="H3" s="386"/>
    </row>
    <row r="4" spans="1:9" ht="42">
      <c r="A4" s="4" t="s">
        <v>2658</v>
      </c>
      <c r="B4" s="4" t="s">
        <v>2779</v>
      </c>
      <c r="C4" s="4" t="s">
        <v>2780</v>
      </c>
      <c r="E4" s="4" t="s">
        <v>2781</v>
      </c>
      <c r="F4" s="4" t="s">
        <v>2782</v>
      </c>
      <c r="G4" s="4" t="s">
        <v>2780</v>
      </c>
      <c r="H4" s="4" t="s">
        <v>2653</v>
      </c>
    </row>
    <row r="5" spans="1:9">
      <c r="A5" s="59">
        <v>1</v>
      </c>
      <c r="B5" s="61">
        <v>54.714782227885244</v>
      </c>
      <c r="C5" s="61">
        <v>75.280368041526742</v>
      </c>
      <c r="D5" s="67">
        <f>B5/C5</f>
        <v>0.72681342628005019</v>
      </c>
      <c r="E5" s="36">
        <v>1</v>
      </c>
      <c r="F5" s="64">
        <v>53.921657868981796</v>
      </c>
      <c r="G5" s="36">
        <v>74.15445841952203</v>
      </c>
      <c r="H5" s="65">
        <v>0.72715328273217206</v>
      </c>
      <c r="I5" s="56" t="s">
        <v>2783</v>
      </c>
    </row>
    <row r="6" spans="1:9">
      <c r="A6" s="59">
        <v>2</v>
      </c>
      <c r="B6" s="61">
        <v>40.695770029699197</v>
      </c>
      <c r="C6" s="61">
        <v>68.610214487554316</v>
      </c>
      <c r="D6" s="67">
        <f t="shared" ref="D6:D7" si="0">B6/C6</f>
        <v>0.59314448050707214</v>
      </c>
      <c r="E6" s="36">
        <v>2</v>
      </c>
      <c r="F6" s="64">
        <v>37.51484955046589</v>
      </c>
      <c r="G6" s="36">
        <v>71.168495704653083</v>
      </c>
      <c r="H6" s="65">
        <v>0.52712719552414433</v>
      </c>
      <c r="I6" s="56"/>
    </row>
    <row r="7" spans="1:9">
      <c r="A7" s="59">
        <v>3</v>
      </c>
      <c r="B7" s="61">
        <v>19.271056357625245</v>
      </c>
      <c r="C7" s="61">
        <v>63.887359561885866</v>
      </c>
      <c r="D7" s="67">
        <f t="shared" si="0"/>
        <v>0.30164114606987197</v>
      </c>
      <c r="E7" s="36">
        <v>3</v>
      </c>
      <c r="F7" s="64">
        <v>16.049176402344425</v>
      </c>
      <c r="G7" s="36">
        <v>62.670448274885189</v>
      </c>
      <c r="H7" s="65">
        <v>0.25608842515294467</v>
      </c>
      <c r="I7" s="56" t="s">
        <v>2784</v>
      </c>
    </row>
    <row r="8" spans="1:9">
      <c r="A8" s="60" t="s">
        <v>2654</v>
      </c>
      <c r="B8" s="62">
        <v>45.440518840051602</v>
      </c>
      <c r="C8" s="62">
        <v>71.893525160224257</v>
      </c>
      <c r="E8" s="5" t="s">
        <v>2654</v>
      </c>
      <c r="F8" s="5">
        <v>45.440518840051602</v>
      </c>
      <c r="G8" s="5">
        <v>71.893525160224257</v>
      </c>
      <c r="H8" s="66">
        <v>0.63205300809469811</v>
      </c>
    </row>
    <row r="9" spans="1:9">
      <c r="E9" s="13"/>
    </row>
    <row r="10" spans="1:9" s="68" customFormat="1">
      <c r="E10" s="104"/>
    </row>
    <row r="11" spans="1:9" s="68" customFormat="1">
      <c r="A11" s="97" t="s">
        <v>2785</v>
      </c>
      <c r="E11" s="104"/>
    </row>
    <row r="12" spans="1:9" s="68" customFormat="1" ht="42">
      <c r="A12" s="98" t="s">
        <v>2658</v>
      </c>
      <c r="B12" s="68" t="s">
        <v>2786</v>
      </c>
      <c r="C12" s="68" t="s">
        <v>2787</v>
      </c>
      <c r="E12" s="4" t="s">
        <v>2788</v>
      </c>
      <c r="F12" s="99" t="s">
        <v>2786</v>
      </c>
      <c r="G12" s="99" t="s">
        <v>2787</v>
      </c>
      <c r="H12" s="4" t="s">
        <v>2659</v>
      </c>
    </row>
    <row r="13" spans="1:9" s="68" customFormat="1">
      <c r="A13" s="100">
        <v>1</v>
      </c>
      <c r="B13" s="68">
        <v>44.378470293191882</v>
      </c>
      <c r="C13" s="68">
        <v>68.637357078665644</v>
      </c>
      <c r="E13" s="101">
        <v>1</v>
      </c>
      <c r="F13" s="102">
        <v>44.378470293191882</v>
      </c>
      <c r="G13" s="102">
        <v>68.637357078665644</v>
      </c>
      <c r="H13" s="102">
        <f>F13/G13</f>
        <v>0.64656438100216296</v>
      </c>
    </row>
    <row r="14" spans="1:9" s="68" customFormat="1">
      <c r="A14" s="100">
        <v>2</v>
      </c>
      <c r="B14" s="68">
        <v>25.293422568395986</v>
      </c>
      <c r="C14" s="68">
        <v>60.403544315800673</v>
      </c>
      <c r="E14" s="101">
        <v>2</v>
      </c>
      <c r="F14" s="102">
        <v>25.293422568395986</v>
      </c>
      <c r="G14" s="102">
        <v>60.403544315800673</v>
      </c>
      <c r="H14" s="102">
        <f t="shared" ref="H14:H16" si="1">F14/G14</f>
        <v>0.41874070230311966</v>
      </c>
    </row>
    <row r="15" spans="1:9" s="68" customFormat="1">
      <c r="A15" s="100">
        <v>3</v>
      </c>
      <c r="B15" s="68">
        <v>3.4612155031171028</v>
      </c>
      <c r="C15" s="68">
        <v>58.425070157535977</v>
      </c>
      <c r="E15" s="101">
        <v>3</v>
      </c>
      <c r="F15" s="102">
        <v>3.4612155031171028</v>
      </c>
      <c r="G15" s="102">
        <v>58.425070157535977</v>
      </c>
      <c r="H15" s="102">
        <f t="shared" si="1"/>
        <v>5.9241957156137996E-2</v>
      </c>
    </row>
    <row r="16" spans="1:9" s="68" customFormat="1">
      <c r="A16" s="100" t="s">
        <v>2654</v>
      </c>
      <c r="B16" s="68">
        <v>35.088959254633423</v>
      </c>
      <c r="C16" s="68">
        <v>65.559674671647727</v>
      </c>
      <c r="E16" s="5" t="s">
        <v>2654</v>
      </c>
      <c r="F16" s="103">
        <v>35.088959254633423</v>
      </c>
      <c r="G16" s="103">
        <v>65.559674671647727</v>
      </c>
      <c r="H16" s="103">
        <f t="shared" si="1"/>
        <v>0.53522168055858543</v>
      </c>
    </row>
  </sheetData>
  <mergeCells count="1">
    <mergeCell ref="E3:H3"/>
  </mergeCells>
  <conditionalFormatting sqref="F5:F7">
    <cfRule type="colorScale" priority="4">
      <colorScale>
        <cfvo type="min"/>
        <cfvo type="percentile" val="50"/>
        <cfvo type="max"/>
        <color rgb="FFF8696B"/>
        <color rgb="FFFFEB84"/>
        <color rgb="FF63BE7B"/>
      </colorScale>
    </cfRule>
  </conditionalFormatting>
  <conditionalFormatting sqref="H5:H7">
    <cfRule type="colorScale" priority="8">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CF918-66FA-46F7-8C9F-D7B96D0EAC68}">
  <dimension ref="A1:K40"/>
  <sheetViews>
    <sheetView showGridLines="0" workbookViewId="0">
      <selection activeCell="F23" sqref="F23"/>
    </sheetView>
  </sheetViews>
  <sheetFormatPr baseColWidth="10" defaultColWidth="11.4140625" defaultRowHeight="14"/>
  <cols>
    <col min="1" max="1" width="24.4140625" customWidth="1"/>
    <col min="2" max="2" width="14" customWidth="1"/>
    <col min="3" max="3" width="13.4140625" customWidth="1"/>
    <col min="4" max="6" width="16.58203125" customWidth="1"/>
    <col min="7" max="7" width="11.4140625" customWidth="1"/>
    <col min="8" max="9" width="16.58203125" customWidth="1"/>
    <col min="10" max="10" width="15.83203125" customWidth="1"/>
  </cols>
  <sheetData>
    <row r="1" spans="1:11">
      <c r="A1" s="72" t="s">
        <v>2791</v>
      </c>
    </row>
    <row r="3" spans="1:11">
      <c r="A3" s="113" t="s">
        <v>367</v>
      </c>
      <c r="B3" s="113" t="s">
        <v>2973</v>
      </c>
      <c r="C3" s="113" t="s">
        <v>2913</v>
      </c>
      <c r="D3" s="113" t="s">
        <v>411</v>
      </c>
      <c r="E3" s="113" t="s">
        <v>410</v>
      </c>
      <c r="F3" s="113" t="s">
        <v>2646</v>
      </c>
      <c r="G3" s="113" t="s">
        <v>303</v>
      </c>
      <c r="H3" s="113" t="s">
        <v>2723</v>
      </c>
    </row>
    <row r="4" spans="1:11">
      <c r="A4" s="41">
        <v>1</v>
      </c>
      <c r="B4" s="36">
        <f>+COUNTIF(Departamentos!Y:Y,A4)</f>
        <v>8</v>
      </c>
      <c r="C4" s="315">
        <f>B4/$B$7</f>
        <v>0.25</v>
      </c>
      <c r="D4" s="310">
        <f>AVERAGEIF(Departamentos!$Y$4:$Y$35,Contrastes_Dptos2!A4,Departamentos!$S$4:$S$35)</f>
        <v>61.785253254718768</v>
      </c>
      <c r="E4" s="310">
        <f>AVERAGEIF(Departamentos!$Y$4:$Y$35,Contrastes_Dptos2!A4,Departamentos!$R$4:$R$35)</f>
        <v>87.474237118015608</v>
      </c>
      <c r="F4" s="310">
        <f>AVERAGEIF(Departamentos!$Y$4:$Y$35,Contrastes_Dptos2!A4,Departamentos!$T$4:$T$35)</f>
        <v>74.629745186367188</v>
      </c>
      <c r="G4" s="310">
        <f>AVERAGEIF(Departamentos!$Y$4:$Y$35,Contrastes_Dptos2!A4,Departamentos!$V$4:$V$35)</f>
        <v>48.293724581280287</v>
      </c>
      <c r="H4" s="310">
        <f>AVERAGEIF(Departamentos!$Y$4:$Y$35,Contrastes_Dptos2!A4,Departamentos!$X$4:$X$35)</f>
        <v>63.151823302843567</v>
      </c>
      <c r="J4" t="s">
        <v>3056</v>
      </c>
    </row>
    <row r="5" spans="1:11">
      <c r="A5" s="41">
        <v>2</v>
      </c>
      <c r="B5" s="36">
        <f>+COUNTIF(Departamentos!Y:Y,A5)</f>
        <v>16</v>
      </c>
      <c r="C5" s="315">
        <f t="shared" ref="C5:C6" si="0">B5/$B$7</f>
        <v>0.5</v>
      </c>
      <c r="D5" s="310">
        <f>AVERAGEIF(Departamentos!$Y$4:$Y$35,Contrastes_Dptos2!A5,Departamentos!$S$4:$S$35)</f>
        <v>54.190700135589083</v>
      </c>
      <c r="E5" s="310">
        <f>AVERAGEIF(Departamentos!$Y$4:$Y$35,Contrastes_Dptos2!A5,Departamentos!$R$4:$R$35)</f>
        <v>77.403537152777787</v>
      </c>
      <c r="F5" s="310">
        <f>AVERAGEIF(Departamentos!$Y$4:$Y$35,Contrastes_Dptos2!A5,Departamentos!$T$4:$T$35)</f>
        <v>65.797118644183442</v>
      </c>
      <c r="G5" s="310">
        <f>AVERAGEIF(Departamentos!$Y$4:$Y$35,Contrastes_Dptos2!A5,Departamentos!$V$4:$V$35)</f>
        <v>37.654290748548803</v>
      </c>
      <c r="H5" s="310">
        <f>AVERAGEIF(Departamentos!$Y$4:$Y$35,Contrastes_Dptos2!A5,Departamentos!$X$4:$X$35)</f>
        <v>44.68334231156544</v>
      </c>
      <c r="J5" t="s">
        <v>3057</v>
      </c>
    </row>
    <row r="6" spans="1:11">
      <c r="A6" s="41">
        <v>3</v>
      </c>
      <c r="B6" s="36">
        <f>+COUNTIF(Departamentos!Y:Y,A6)</f>
        <v>8</v>
      </c>
      <c r="C6" s="315">
        <f t="shared" si="0"/>
        <v>0.25</v>
      </c>
      <c r="D6" s="310">
        <f>AVERAGEIF(Departamentos!$Y$4:$Y$35,Contrastes_Dptos2!A6,Departamentos!$S$4:$S$35)</f>
        <v>52.103284295217655</v>
      </c>
      <c r="E6" s="310">
        <f>AVERAGEIF(Departamentos!$Y$4:$Y$35,Contrastes_Dptos2!A6,Departamentos!$R$4:$R$35)</f>
        <v>63.012671874999995</v>
      </c>
      <c r="F6" s="310">
        <f>AVERAGEIF(Departamentos!$Y$4:$Y$35,Contrastes_Dptos2!A6,Departamentos!$T$4:$T$35)</f>
        <v>57.557978085108822</v>
      </c>
      <c r="G6" s="310">
        <f>AVERAGEIF(Departamentos!$Y$4:$Y$35,Contrastes_Dptos2!A6,Departamentos!$V$4:$V$35)</f>
        <v>12.772291491696066</v>
      </c>
      <c r="H6" s="310">
        <f>AVERAGEIF(Departamentos!$Y$4:$Y$35,Contrastes_Dptos2!A6,Departamentos!$X$4:$X$35)</f>
        <v>16.917651366022476</v>
      </c>
      <c r="J6" t="s">
        <v>3058</v>
      </c>
    </row>
    <row r="7" spans="1:11">
      <c r="A7" s="35" t="s">
        <v>369</v>
      </c>
      <c r="B7" s="35">
        <f>SUM(B4:B6)</f>
        <v>32</v>
      </c>
      <c r="C7" s="316">
        <f>SUM(C4:C6)</f>
        <v>1</v>
      </c>
      <c r="D7" s="317">
        <f>AVERAGE(Departamentos!$S$4:$S$35)</f>
        <v>55.567484455278631</v>
      </c>
      <c r="E7" s="317">
        <f>AVERAGE(Departamentos!$R$4:$R$35)</f>
        <v>76.323495824642791</v>
      </c>
      <c r="F7" s="317">
        <f>AVERAGE(Departamentos!$T$4:$T$35)</f>
        <v>65.945490139960711</v>
      </c>
      <c r="G7" s="317">
        <f>AVERAGE(Departamentos!$V$4:$V$35)</f>
        <v>34.093649392518493</v>
      </c>
      <c r="H7" s="317">
        <f>AVERAGE(Departamentos!$X$4:$X$35)</f>
        <v>42.359039822999243</v>
      </c>
    </row>
    <row r="8" spans="1:11">
      <c r="A8" s="5"/>
    </row>
    <row r="9" spans="1:11">
      <c r="A9" s="45" t="s">
        <v>367</v>
      </c>
      <c r="B9" s="45" t="s">
        <v>2973</v>
      </c>
      <c r="C9" s="45" t="s">
        <v>237</v>
      </c>
      <c r="D9" s="45" t="s">
        <v>238</v>
      </c>
      <c r="E9" s="45" t="s">
        <v>2661</v>
      </c>
      <c r="F9" s="45" t="s">
        <v>2662</v>
      </c>
    </row>
    <row r="10" spans="1:11">
      <c r="A10" s="41">
        <v>1</v>
      </c>
      <c r="B10" s="41">
        <f>+COUNTIF(Departamentos!Y:Y,Contrastes_Dptos2!A10)</f>
        <v>8</v>
      </c>
      <c r="C10" s="91">
        <f>+AVERAGEIF(Departamentos!$Y:$Y,Contrastes_Dptos2!$A10,Departamentos!AY:AY)</f>
        <v>17.787499999999998</v>
      </c>
      <c r="D10" s="91">
        <f>+AVERAGEIF(Departamentos!$Y:$Y,Contrastes_Dptos2!$A10,Departamentos!AZ:AZ)</f>
        <v>10.967568040361387</v>
      </c>
      <c r="E10" s="91">
        <f>+AVERAGEIF(Departamentos!$Y:$Y,Contrastes_Dptos2!$A10,Departamentos!BA:BA)</f>
        <v>15.26706003116654</v>
      </c>
      <c r="F10" s="91">
        <f>+AVERAGEIF(Departamentos!$Y:$Y,Contrastes_Dptos2!$A10,Departamentos!BB:BB)</f>
        <v>4.843134127407887</v>
      </c>
    </row>
    <row r="11" spans="1:11">
      <c r="A11" s="41">
        <v>2</v>
      </c>
      <c r="B11" s="41">
        <f>+COUNTIF(Departamentos!Y:Y,Contrastes_Dptos2!A11)</f>
        <v>16</v>
      </c>
      <c r="C11" s="91">
        <f>+AVERAGEIF(Departamentos!$Y:$Y,Contrastes_Dptos2!$A11,Departamentos!AY:AY)</f>
        <v>25.906250000000004</v>
      </c>
      <c r="D11" s="91">
        <f>+AVERAGEIF(Departamentos!$Y:$Y,Contrastes_Dptos2!$A11,Departamentos!AZ:AZ)</f>
        <v>20.769348164556924</v>
      </c>
      <c r="E11" s="91">
        <f>+AVERAGEIF(Departamentos!$Y:$Y,Contrastes_Dptos2!$A11,Departamentos!BA:BA)</f>
        <v>17.135414351948153</v>
      </c>
      <c r="F11" s="91">
        <f>+AVERAGEIF(Departamentos!$Y:$Y,Contrastes_Dptos2!$A11,Departamentos!BB:BB)</f>
        <v>8.4912650328543346</v>
      </c>
    </row>
    <row r="12" spans="1:11" ht="15" customHeight="1">
      <c r="A12" s="41">
        <v>3</v>
      </c>
      <c r="B12" s="41">
        <f>+COUNTIF(Departamentos!Y:Y,Contrastes_Dptos2!A12)</f>
        <v>8</v>
      </c>
      <c r="C12" s="91">
        <f>+AVERAGEIF(Departamentos!$Y:$Y,Contrastes_Dptos2!$A12,Departamentos!AY:AY)</f>
        <v>45.024999999999999</v>
      </c>
      <c r="D12" s="91">
        <f>+AVERAGEIF(Departamentos!$Y:$Y,Contrastes_Dptos2!$A12,Departamentos!AZ:AZ)</f>
        <v>47.674384769718998</v>
      </c>
      <c r="E12" s="91">
        <f>+AVERAGEIF(Departamentos!$Y:$Y,Contrastes_Dptos2!$A12,Departamentos!BA:BA)</f>
        <v>21.22819729452495</v>
      </c>
      <c r="F12" s="91">
        <f>+AVERAGEIF(Departamentos!$Y:$Y,Contrastes_Dptos2!$A12,Departamentos!BB:BB)</f>
        <v>14.248045528890154</v>
      </c>
    </row>
    <row r="13" spans="1:11">
      <c r="A13" s="35" t="s">
        <v>369</v>
      </c>
      <c r="B13" s="35">
        <f>+SUM(B10:B12)</f>
        <v>32</v>
      </c>
      <c r="C13" s="106">
        <f>+AVERAGE(Departamentos!AY4:AY35)</f>
        <v>28.656250000000004</v>
      </c>
      <c r="D13" s="106">
        <f>+AVERAGE(Departamentos!AZ:AZ)</f>
        <v>25.045162284798561</v>
      </c>
      <c r="E13" s="106">
        <f>+AVERAGE(Departamentos!BA:BA)</f>
        <v>17.57743519168314</v>
      </c>
      <c r="F13" s="106">
        <f>+AVERAGE(Departamentos!BB4:BB35)</f>
        <v>9.0184274305016796</v>
      </c>
    </row>
    <row r="15" spans="1:11">
      <c r="D15" s="390" t="s">
        <v>2792</v>
      </c>
      <c r="E15" s="390"/>
      <c r="F15" s="390"/>
      <c r="G15" s="390"/>
      <c r="H15" s="390"/>
      <c r="I15" s="390"/>
      <c r="J15" s="390"/>
      <c r="K15" s="390"/>
    </row>
    <row r="16" spans="1:11">
      <c r="A16" s="45" t="s">
        <v>367</v>
      </c>
      <c r="B16" s="45" t="s">
        <v>2973</v>
      </c>
      <c r="C16" s="45" t="s">
        <v>2958</v>
      </c>
      <c r="D16" s="45" t="s">
        <v>2668</v>
      </c>
      <c r="E16" s="45" t="s">
        <v>2664</v>
      </c>
      <c r="F16" s="45" t="s">
        <v>2665</v>
      </c>
      <c r="G16" s="45" t="s">
        <v>2666</v>
      </c>
      <c r="H16" s="45" t="s">
        <v>2667</v>
      </c>
      <c r="I16" s="45" t="s">
        <v>2793</v>
      </c>
      <c r="J16" s="45" t="s">
        <v>2794</v>
      </c>
      <c r="K16" s="45" t="s">
        <v>2795</v>
      </c>
    </row>
    <row r="17" spans="1:11">
      <c r="A17" s="41">
        <v>1</v>
      </c>
      <c r="B17" s="41">
        <f>+COUNTIF(Departamentos!Y:Y,Contrastes_Dptos2!A17)</f>
        <v>8</v>
      </c>
      <c r="C17" s="91">
        <f>+AVERAGEIF(Departamentos!$Y:$Y,Contrastes_Dptos2!$A17,Departamentos!BR:BR)</f>
        <v>81.822777917392543</v>
      </c>
      <c r="D17" s="91">
        <f>+AVERAGEIF(Departamentos!$Y:$Y,Contrastes_Dptos2!$A17,Departamentos!BQ:BQ)</f>
        <v>70.205225347348232</v>
      </c>
      <c r="E17" s="91">
        <f>+AVERAGEIF(Departamentos!$Y:$Y,Contrastes_Dptos2!$A17,Departamentos!BI:BI)</f>
        <v>63.459762180277892</v>
      </c>
      <c r="F17" s="91">
        <f>+AVERAGEIF(Departamentos!$Y:$Y,Contrastes_Dptos2!$A17,Departamentos!BJ:BJ)</f>
        <v>91.014656725870466</v>
      </c>
      <c r="G17" s="91">
        <f>+AVERAGEIF(Departamentos!$Y:$Y,Contrastes_Dptos2!$A17,Departamentos!BK:BK)</f>
        <v>73.766665660139097</v>
      </c>
      <c r="H17" s="91">
        <f>+AVERAGEIF(Departamentos!$Y:$Y,Contrastes_Dptos2!$A17,Departamentos!BL:BL)</f>
        <v>60.170679791907006</v>
      </c>
      <c r="I17" s="91">
        <f>+AVERAGEIF(Departamentos!$Y:$Y,Contrastes_Dptos2!$A17,Departamentos!BM:BM)</f>
        <v>84.588654509139729</v>
      </c>
      <c r="J17" s="91">
        <f>+AVERAGEIF(Departamentos!$Y:$Y,Contrastes_Dptos2!$A17,Departamentos!BN:BN)</f>
        <v>61.701325343312305</v>
      </c>
      <c r="K17" s="91">
        <f>+AVERAGEIF(Departamentos!$Y:$Y,Contrastes_Dptos2!$A17,Departamentos!BO:BO)</f>
        <v>56.734833220791188</v>
      </c>
    </row>
    <row r="18" spans="1:11">
      <c r="A18" s="41">
        <v>2</v>
      </c>
      <c r="B18" s="41">
        <f>+COUNTIF(Departamentos!Y:Y,Contrastes_Dptos2!A18)</f>
        <v>16</v>
      </c>
      <c r="C18" s="91">
        <f>+AVERAGEIF(Departamentos!$Y:$Y,Contrastes_Dptos2!$A18,Departamentos!BR:BR)</f>
        <v>66.372444485747096</v>
      </c>
      <c r="D18" s="91">
        <f>+AVERAGEIF(Departamentos!$Y:$Y,Contrastes_Dptos2!$A18,Departamentos!BQ:BQ)</f>
        <v>64.092007237532869</v>
      </c>
      <c r="E18" s="91">
        <f>+AVERAGEIF(Departamentos!$Y:$Y,Contrastes_Dptos2!$A18,Departamentos!BI:BI)</f>
        <v>60.017950033136962</v>
      </c>
      <c r="F18" s="91">
        <f>+AVERAGEIF(Departamentos!$Y:$Y,Contrastes_Dptos2!$A18,Departamentos!BJ:BJ)</f>
        <v>92.839960520465908</v>
      </c>
      <c r="G18" s="91">
        <f>+AVERAGEIF(Departamentos!$Y:$Y,Contrastes_Dptos2!$A18,Departamentos!BK:BK)</f>
        <v>52.37450598083506</v>
      </c>
      <c r="H18" s="91">
        <f>+AVERAGEIF(Departamentos!$Y:$Y,Contrastes_Dptos2!$A18,Departamentos!BL:BL)</f>
        <v>60.690354666916797</v>
      </c>
      <c r="I18" s="91">
        <f>+AVERAGEIF(Departamentos!$Y:$Y,Contrastes_Dptos2!$A18,Departamentos!BM:BM)</f>
        <v>68.715113278989776</v>
      </c>
      <c r="J18" s="91">
        <f>+AVERAGEIF(Departamentos!$Y:$Y,Contrastes_Dptos2!$A18,Departamentos!BN:BN)</f>
        <v>50.938397501898528</v>
      </c>
      <c r="K18" s="91">
        <f>+AVERAGEIF(Departamentos!$Y:$Y,Contrastes_Dptos2!$A18,Departamentos!BO:BO)</f>
        <v>63.067768680487013</v>
      </c>
    </row>
    <row r="19" spans="1:11">
      <c r="A19" s="41">
        <v>3</v>
      </c>
      <c r="B19" s="41">
        <f>+COUNTIF(Departamentos!Y:Y,Contrastes_Dptos2!A19)</f>
        <v>8</v>
      </c>
      <c r="C19" s="91">
        <f>+AVERAGEIF(Departamentos!$Y:$Y,Contrastes_Dptos2!$A19,Departamentos!BR:BR)</f>
        <v>61.504489057807206</v>
      </c>
      <c r="D19" s="91">
        <f>+AVERAGEIF(Departamentos!$Y:$Y,Contrastes_Dptos2!$A19,Departamentos!BQ:BQ)</f>
        <v>59.327681123471137</v>
      </c>
      <c r="E19" s="91">
        <f>+AVERAGEIF(Departamentos!$Y:$Y,Contrastes_Dptos2!$A19,Departamentos!BI:BI)</f>
        <v>45.089368927410582</v>
      </c>
      <c r="F19" s="91">
        <f>+AVERAGEIF(Departamentos!$Y:$Y,Contrastes_Dptos2!$A19,Departamentos!BJ:BJ)</f>
        <v>80.683987071918821</v>
      </c>
      <c r="G19" s="91">
        <f>+AVERAGEIF(Departamentos!$Y:$Y,Contrastes_Dptos2!$A19,Departamentos!BK:BK)</f>
        <v>41.283908089695331</v>
      </c>
      <c r="H19" s="91">
        <f>+AVERAGEIF(Departamentos!$Y:$Y,Contrastes_Dptos2!$A19,Departamentos!BL:BL)</f>
        <v>76.28850991583613</v>
      </c>
      <c r="I19" s="91">
        <f>+AVERAGEIF(Departamentos!$Y:$Y,Contrastes_Dptos2!$A19,Departamentos!BM:BM)</f>
        <v>67.112885680274601</v>
      </c>
      <c r="J19" s="91">
        <f>+AVERAGEIF(Departamentos!$Y:$Y,Contrastes_Dptos2!$A19,Departamentos!BN:BN)</f>
        <v>48.582393551830421</v>
      </c>
      <c r="K19" s="91">
        <f>+AVERAGEIF(Departamentos!$Y:$Y,Contrastes_Dptos2!$A19,Departamentos!BO:BO)</f>
        <v>56.252714627332061</v>
      </c>
    </row>
    <row r="20" spans="1:11">
      <c r="A20" s="35" t="s">
        <v>369</v>
      </c>
      <c r="B20" s="35">
        <f>+SUM(B17:B19)</f>
        <v>32</v>
      </c>
      <c r="C20" s="106">
        <f>+AVERAGE(Departamentos!BR:BR)</f>
        <v>69.018038986673488</v>
      </c>
      <c r="D20" s="106">
        <f>+AVERAGE(Departamentos!BQ:BQ)</f>
        <v>64.42923023647127</v>
      </c>
      <c r="E20" s="106">
        <f>+AVERAGE(Departamentos!BI:BI)</f>
        <v>57.146257793490605</v>
      </c>
      <c r="F20" s="106">
        <f>+AVERAGE(Departamentos!BJ:BJ)</f>
        <v>89.344641209680276</v>
      </c>
      <c r="G20" s="106">
        <f>+AVERAGE(Departamentos!BK:BK)</f>
        <v>54.949896427876126</v>
      </c>
      <c r="H20" s="106">
        <f>+AVERAGE(Departamentos!BL:BL)</f>
        <v>64.459974760394189</v>
      </c>
      <c r="I20" s="106">
        <f>+AVERAGE(Departamentos!BM:BM)</f>
        <v>72.28294168684846</v>
      </c>
      <c r="J20" s="106">
        <f>+AVERAGE(Departamentos!BN:BN)</f>
        <v>53.040128474734942</v>
      </c>
      <c r="K20" s="106">
        <f>+AVERAGE(Departamentos!BO:BO)</f>
        <v>59.780771302274324</v>
      </c>
    </row>
    <row r="22" spans="1:11">
      <c r="A22" s="387" t="s">
        <v>367</v>
      </c>
      <c r="B22" s="379" t="s">
        <v>2973</v>
      </c>
      <c r="C22" s="376" t="s">
        <v>2982</v>
      </c>
      <c r="D22" s="377"/>
      <c r="E22" s="378"/>
    </row>
    <row r="23" spans="1:11" ht="28">
      <c r="A23" s="388"/>
      <c r="B23" s="389"/>
      <c r="C23" s="45" t="s">
        <v>2986</v>
      </c>
      <c r="D23" s="45" t="s">
        <v>2987</v>
      </c>
      <c r="E23" s="45" t="s">
        <v>2989</v>
      </c>
    </row>
    <row r="24" spans="1:11">
      <c r="A24" s="41">
        <v>1</v>
      </c>
      <c r="B24" s="41">
        <f>+COUNTIF(Departamentos!Y:Y,Contrastes_Dptos2!A24)</f>
        <v>8</v>
      </c>
      <c r="C24" s="115">
        <f>+AVERAGEIF(Departamentos!$Y:$Y,Contrastes_Dptos2!$A24,Departamentos!BD:BD)/1000</f>
        <v>2406.3517853766252</v>
      </c>
      <c r="D24" s="115">
        <f>+AVERAGEIF(Departamentos!$Y:$Y,Contrastes_Dptos2!$A24,Departamentos!BE:BE)/1000</f>
        <v>893.06320532175005</v>
      </c>
      <c r="E24" s="108">
        <f>+D24/C24</f>
        <v>0.37112745141790399</v>
      </c>
    </row>
    <row r="25" spans="1:11">
      <c r="A25" s="41">
        <v>2</v>
      </c>
      <c r="B25" s="41">
        <f>+COUNTIF(Departamentos!Y:Y,Contrastes_Dptos2!A25)</f>
        <v>16</v>
      </c>
      <c r="C25" s="115">
        <f>+AVERAGEIF(Departamentos!$Y:$Y,Contrastes_Dptos2!$A25,Departamentos!BD:BD)/1000</f>
        <v>1389.9673956148124</v>
      </c>
      <c r="D25" s="115">
        <f>+AVERAGEIF(Departamentos!$Y:$Y,Contrastes_Dptos2!$A25,Departamentos!BE:BE)/1000</f>
        <v>302.96469569081256</v>
      </c>
      <c r="E25" s="108">
        <f>+D25/C25</f>
        <v>0.21796532540736668</v>
      </c>
    </row>
    <row r="26" spans="1:11">
      <c r="A26" s="41">
        <v>3</v>
      </c>
      <c r="B26" s="41">
        <f>+COUNTIF(Departamentos!Y:Y,Contrastes_Dptos2!A26)</f>
        <v>8</v>
      </c>
      <c r="C26" s="115">
        <f>+AVERAGEIF(Departamentos!$Y:$Y,Contrastes_Dptos2!$A26,Departamentos!BD:BD)/1000</f>
        <v>419.97854077387501</v>
      </c>
      <c r="D26" s="115">
        <f>+AVERAGEIF(Departamentos!$Y:$Y,Contrastes_Dptos2!$A26,Departamentos!BE:BE)/1000</f>
        <v>47.054889211125001</v>
      </c>
      <c r="E26" s="108">
        <f>+D26/C26</f>
        <v>0.11204117506675254</v>
      </c>
    </row>
    <row r="27" spans="1:11">
      <c r="A27" s="35" t="s">
        <v>369</v>
      </c>
      <c r="B27" s="35">
        <f>+SUM(B24:B26)</f>
        <v>32</v>
      </c>
      <c r="C27" s="118">
        <f>+AVERAGE(Departamentos!BD:BD)/1000</f>
        <v>1401.5662793450313</v>
      </c>
      <c r="D27" s="118">
        <f>+AVERAGE(Departamentos!BE:BE)/1000</f>
        <v>386.51187147862504</v>
      </c>
      <c r="E27" s="117">
        <f>+D27/C27</f>
        <v>0.27577138318370981</v>
      </c>
    </row>
    <row r="29" spans="1:11">
      <c r="A29" s="387" t="s">
        <v>367</v>
      </c>
      <c r="B29" s="379" t="s">
        <v>2973</v>
      </c>
      <c r="C29" s="376" t="s">
        <v>3055</v>
      </c>
      <c r="D29" s="377"/>
      <c r="E29" s="378"/>
    </row>
    <row r="30" spans="1:11" ht="28">
      <c r="A30" s="388"/>
      <c r="B30" s="389"/>
      <c r="C30" s="45" t="s">
        <v>2986</v>
      </c>
      <c r="D30" s="45" t="s">
        <v>2987</v>
      </c>
      <c r="E30" s="45" t="s">
        <v>2989</v>
      </c>
      <c r="F30" s="336" t="s">
        <v>2669</v>
      </c>
      <c r="G30" s="336" t="s">
        <v>3061</v>
      </c>
    </row>
    <row r="31" spans="1:11">
      <c r="A31" s="41">
        <v>1</v>
      </c>
      <c r="B31" s="41">
        <f>+COUNTIF(Departamentos!Y:Y,Contrastes_Dptos2!A31)</f>
        <v>8</v>
      </c>
      <c r="C31" s="335">
        <f>+AVERAGEIF(Departamentos!$Y:$Y,Contrastes_Dptos2!$A31,Departamentos!BG:BG)</f>
        <v>0.9306529864339077</v>
      </c>
      <c r="D31" s="335">
        <f>+AVERAGEIF(Departamentos!$Y:$Y,Contrastes_Dptos2!$A31,Departamentos!BH:BH)</f>
        <v>0.30893059604472661</v>
      </c>
      <c r="E31" s="108">
        <f>+D31/C31</f>
        <v>0.33195036232408415</v>
      </c>
    </row>
    <row r="32" spans="1:11">
      <c r="A32" s="41">
        <v>2</v>
      </c>
      <c r="B32" s="41">
        <f>+COUNTIF(Departamentos!Y:Y,Contrastes_Dptos2!A32)</f>
        <v>16</v>
      </c>
      <c r="C32" s="335">
        <f>+AVERAGEIF(Departamentos!$Y:$Y,Contrastes_Dptos2!$A32,Departamentos!BG:BG)</f>
        <v>1.5625912355668858</v>
      </c>
      <c r="D32" s="335">
        <f>+AVERAGEIF(Departamentos!$Y:$Y,Contrastes_Dptos2!$A32,Departamentos!BH:BH)</f>
        <v>0.27530971052917663</v>
      </c>
      <c r="E32" s="108">
        <f>+D32/C32</f>
        <v>0.17618792699121866</v>
      </c>
    </row>
    <row r="33" spans="1:9">
      <c r="A33" s="41">
        <v>3</v>
      </c>
      <c r="B33" s="41">
        <f>+COUNTIF(Departamentos!Y:Y,Contrastes_Dptos2!A33)</f>
        <v>8</v>
      </c>
      <c r="C33" s="335">
        <f>+AVERAGEIF(Departamentos!$Y:$Y,Contrastes_Dptos2!$A33,Departamentos!BG:BG)</f>
        <v>2.9484566337843567</v>
      </c>
      <c r="D33" s="335">
        <f>+AVERAGEIF(Departamentos!$Y:$Y,Contrastes_Dptos2!$A33,Departamentos!BH:BH)</f>
        <v>0.29362040239465981</v>
      </c>
      <c r="E33" s="108">
        <f>+D33/C33</f>
        <v>9.9584439882975911E-2</v>
      </c>
    </row>
    <row r="34" spans="1:9">
      <c r="A34" s="35" t="s">
        <v>369</v>
      </c>
      <c r="B34" s="35">
        <f>+SUM(B31:B33)</f>
        <v>32</v>
      </c>
      <c r="C34" s="148">
        <f>+AVERAGE(Departamentos!BG:BG)</f>
        <v>1.7510730228380089</v>
      </c>
      <c r="D34" s="148">
        <f>+AVERAGE(Departamentos!BH:BH)</f>
        <v>0.28829260487443487</v>
      </c>
      <c r="E34" s="117">
        <f>+D34/C34</f>
        <v>0.16463768278903163</v>
      </c>
    </row>
    <row r="36" spans="1:9" ht="56">
      <c r="A36" s="45" t="s">
        <v>367</v>
      </c>
      <c r="B36" s="45" t="s">
        <v>2973</v>
      </c>
      <c r="C36" s="45" t="s">
        <v>2934</v>
      </c>
      <c r="D36" s="45" t="s">
        <v>2994</v>
      </c>
      <c r="E36" s="45" t="s">
        <v>2995</v>
      </c>
      <c r="F36" s="45" t="s">
        <v>2996</v>
      </c>
      <c r="G36" s="45" t="s">
        <v>2997</v>
      </c>
      <c r="H36" s="45" t="s">
        <v>2667</v>
      </c>
      <c r="I36" s="45" t="s">
        <v>2998</v>
      </c>
    </row>
    <row r="37" spans="1:9">
      <c r="A37" s="41">
        <v>1</v>
      </c>
      <c r="B37" s="41">
        <f>+COUNTIF(Departamentos!Y:Y,Contrastes_Dptos2!A37)</f>
        <v>8</v>
      </c>
      <c r="C37" s="91">
        <f>+AVERAGEIF(Departamentos!$Y:$Y,Contrastes_Dptos2!$A37,Departamentos!CB:CB)</f>
        <v>57.898907155006555</v>
      </c>
      <c r="D37" s="91">
        <f>+AVERAGEIF(Departamentos!$Y:$Y,Contrastes_Dptos2!$A37,Departamentos!CC:CC)</f>
        <v>52.986292362213135</v>
      </c>
      <c r="E37" s="91">
        <f>+AVERAGEIF(Departamentos!$Y:$Y,Contrastes_Dptos2!$A37,Departamentos!CD:CD)</f>
        <v>58.01776123046875</v>
      </c>
      <c r="F37" s="91">
        <f>+AVERAGEIF(Departamentos!$Y:$Y,Contrastes_Dptos2!$A37,Departamentos!CE:CE)</f>
        <v>71.430583477020264</v>
      </c>
      <c r="G37" s="91">
        <f>+AVERAGEIF(Departamentos!$Y:$Y,Contrastes_Dptos2!$A37,Departamentos!CF:CF)</f>
        <v>61.567383766174316</v>
      </c>
      <c r="H37" s="91">
        <f>+AVERAGEIF(Departamentos!$Y:$Y,Contrastes_Dptos2!$A37,Departamentos!CG:CG)</f>
        <v>44.474748134613037</v>
      </c>
      <c r="I37" s="91">
        <f>+AVERAGEIF(Departamentos!$Y:$Y,Contrastes_Dptos2!$A37,Departamentos!CH:CH)</f>
        <v>58.916673183441162</v>
      </c>
    </row>
    <row r="38" spans="1:9">
      <c r="A38" s="41">
        <v>2</v>
      </c>
      <c r="B38" s="41">
        <f>+COUNTIF(Departamentos!Y:Y,Contrastes_Dptos2!A38)</f>
        <v>16</v>
      </c>
      <c r="C38" s="91">
        <f>+AVERAGEIF(Departamentos!$Y:$Y,Contrastes_Dptos2!$A38,Departamentos!CB:CB)</f>
        <v>49.051559319289858</v>
      </c>
      <c r="D38" s="91">
        <f>+AVERAGEIF(Departamentos!$Y:$Y,Contrastes_Dptos2!$A38,Departamentos!CC:CC)</f>
        <v>41.140866160392761</v>
      </c>
      <c r="E38" s="91">
        <f>+AVERAGEIF(Departamentos!$Y:$Y,Contrastes_Dptos2!$A38,Departamentos!CD:CD)</f>
        <v>46.075795024633408</v>
      </c>
      <c r="F38" s="91">
        <f>+AVERAGEIF(Departamentos!$Y:$Y,Contrastes_Dptos2!$A38,Departamentos!CE:CE)</f>
        <v>63.87234354019165</v>
      </c>
      <c r="G38" s="91">
        <f>+AVERAGEIF(Departamentos!$Y:$Y,Contrastes_Dptos2!$A38,Departamentos!CF:CF)</f>
        <v>44.039951086044312</v>
      </c>
      <c r="H38" s="91">
        <f>+AVERAGEIF(Departamentos!$Y:$Y,Contrastes_Dptos2!$A38,Departamentos!CG:CG)</f>
        <v>43.546984195709229</v>
      </c>
      <c r="I38" s="91">
        <f>+AVERAGEIF(Departamentos!$Y:$Y,Contrastes_Dptos2!$A38,Departamentos!CH:CH)</f>
        <v>55.63341760635376</v>
      </c>
    </row>
    <row r="39" spans="1:9">
      <c r="A39" s="41">
        <v>3</v>
      </c>
      <c r="B39" s="41">
        <f>+COUNTIF(Departamentos!Y:Y,Contrastes_Dptos2!A39)</f>
        <v>8</v>
      </c>
      <c r="C39" s="91">
        <f>+AVERAGEIF(Departamentos!$Y:$Y,Contrastes_Dptos2!$A39,Departamentos!CB:CB)</f>
        <v>40.486571351197455</v>
      </c>
      <c r="D39" s="91">
        <f>+AVERAGEIF(Departamentos!$Y:$Y,Contrastes_Dptos2!$A39,Departamentos!CC:CC)</f>
        <v>24.69948947429657</v>
      </c>
      <c r="E39" s="91">
        <f>+AVERAGEIF(Departamentos!$Y:$Y,Contrastes_Dptos2!$A39,Departamentos!CD:CD)</f>
        <v>38.845980882644653</v>
      </c>
      <c r="F39" s="91">
        <f>+AVERAGEIF(Departamentos!$Y:$Y,Contrastes_Dptos2!$A39,Departamentos!CE:CE)</f>
        <v>42.158321857452393</v>
      </c>
      <c r="G39" s="91">
        <f>+AVERAGEIF(Departamentos!$Y:$Y,Contrastes_Dptos2!$A39,Departamentos!CF:CF)</f>
        <v>31.148335456848145</v>
      </c>
      <c r="H39" s="91">
        <f>+AVERAGEIF(Departamentos!$Y:$Y,Contrastes_Dptos2!$A39,Departamentos!CG:CG)</f>
        <v>55.125645637512207</v>
      </c>
      <c r="I39" s="91">
        <f>+AVERAGEIF(Departamentos!$Y:$Y,Contrastes_Dptos2!$A39,Departamentos!CH:CH)</f>
        <v>50.941655158996582</v>
      </c>
    </row>
    <row r="40" spans="1:9">
      <c r="A40" s="35" t="s">
        <v>369</v>
      </c>
      <c r="B40" s="35">
        <f>+SUM(B37:B39)</f>
        <v>32</v>
      </c>
      <c r="C40" s="106">
        <f>+AVERAGE(Departamentos!CB:CB)</f>
        <v>49.122149286195942</v>
      </c>
      <c r="D40" s="106">
        <f>+AVERAGE(Departamentos!CC:CC)</f>
        <v>39.991878539323807</v>
      </c>
      <c r="E40" s="106">
        <f>+AVERAGE(Departamentos!CD:CD)</f>
        <v>47.253833040595055</v>
      </c>
      <c r="F40" s="106">
        <f>+AVERAGE(Departamentos!CE:CE)</f>
        <v>60.333398103713989</v>
      </c>
      <c r="G40" s="106">
        <f>+AVERAGE(Departamentos!CF:CF)</f>
        <v>45.198905348777771</v>
      </c>
      <c r="H40" s="106">
        <f>+AVERAGE(Departamentos!CG:CG)</f>
        <v>46.673590540885925</v>
      </c>
      <c r="I40" s="106">
        <f>+AVERAGE(Departamentos!CH:CH)</f>
        <v>55.281290888786316</v>
      </c>
    </row>
  </sheetData>
  <mergeCells count="7">
    <mergeCell ref="C22:E22"/>
    <mergeCell ref="A22:A23"/>
    <mergeCell ref="B22:B23"/>
    <mergeCell ref="D15:K15"/>
    <mergeCell ref="A29:A30"/>
    <mergeCell ref="B29:B30"/>
    <mergeCell ref="C29:E29"/>
  </mergeCells>
  <conditionalFormatting sqref="C10:C12">
    <cfRule type="colorScale" priority="48">
      <colorScale>
        <cfvo type="min"/>
        <cfvo type="percentile" val="50"/>
        <cfvo type="max"/>
        <color rgb="FF63BE7B"/>
        <color rgb="FFFFEB84"/>
        <color rgb="FFF8696B"/>
      </colorScale>
    </cfRule>
  </conditionalFormatting>
  <conditionalFormatting sqref="C17:C19">
    <cfRule type="colorScale" priority="26">
      <colorScale>
        <cfvo type="min"/>
        <cfvo type="percentile" val="50"/>
        <cfvo type="max"/>
        <color rgb="FFF8696B"/>
        <color rgb="FFFFEB84"/>
        <color rgb="FF63BE7B"/>
      </colorScale>
    </cfRule>
  </conditionalFormatting>
  <conditionalFormatting sqref="C24:C26">
    <cfRule type="colorScale" priority="68">
      <colorScale>
        <cfvo type="min"/>
        <cfvo type="percentile" val="50"/>
        <cfvo type="max"/>
        <color rgb="FFF8696B"/>
        <color rgb="FFFFEB84"/>
        <color rgb="FF63BE7B"/>
      </colorScale>
    </cfRule>
  </conditionalFormatting>
  <conditionalFormatting sqref="C31:C33">
    <cfRule type="colorScale" priority="4">
      <colorScale>
        <cfvo type="min"/>
        <cfvo type="percentile" val="50"/>
        <cfvo type="max"/>
        <color rgb="FFF8696B"/>
        <color rgb="FFFFEB84"/>
        <color rgb="FF63BE7B"/>
      </colorScale>
    </cfRule>
  </conditionalFormatting>
  <conditionalFormatting sqref="C37:C39">
    <cfRule type="colorScale" priority="6">
      <colorScale>
        <cfvo type="min"/>
        <cfvo type="percentile" val="50"/>
        <cfvo type="max"/>
        <color rgb="FFF8696B"/>
        <color rgb="FFFFEB84"/>
        <color rgb="FF63BE7B"/>
      </colorScale>
    </cfRule>
  </conditionalFormatting>
  <conditionalFormatting sqref="D4:D6">
    <cfRule type="colorScale" priority="20">
      <colorScale>
        <cfvo type="min"/>
        <cfvo type="percentile" val="50"/>
        <cfvo type="max"/>
        <color rgb="FFF8696B"/>
        <color rgb="FFFFEB84"/>
        <color rgb="FF63BE7B"/>
      </colorScale>
    </cfRule>
  </conditionalFormatting>
  <conditionalFormatting sqref="D10:D12">
    <cfRule type="colorScale" priority="49">
      <colorScale>
        <cfvo type="min"/>
        <cfvo type="percentile" val="50"/>
        <cfvo type="max"/>
        <color rgb="FF63BE7B"/>
        <color rgb="FFFFEB84"/>
        <color rgb="FFF8696B"/>
      </colorScale>
    </cfRule>
  </conditionalFormatting>
  <conditionalFormatting sqref="D17:D19">
    <cfRule type="colorScale" priority="27">
      <colorScale>
        <cfvo type="min"/>
        <cfvo type="percentile" val="50"/>
        <cfvo type="max"/>
        <color rgb="FFF8696B"/>
        <color rgb="FFFFEB84"/>
        <color rgb="FF63BE7B"/>
      </colorScale>
    </cfRule>
  </conditionalFormatting>
  <conditionalFormatting sqref="D24">
    <cfRule type="colorScale" priority="24">
      <colorScale>
        <cfvo type="min"/>
        <cfvo type="percentile" val="50"/>
        <cfvo type="max"/>
        <color rgb="FFF8696B"/>
        <color rgb="FFFFEB84"/>
        <color rgb="FF63BE7B"/>
      </colorScale>
    </cfRule>
  </conditionalFormatting>
  <conditionalFormatting sqref="D24:D26">
    <cfRule type="colorScale" priority="15">
      <colorScale>
        <cfvo type="min"/>
        <cfvo type="percentile" val="50"/>
        <cfvo type="max"/>
        <color rgb="FFF8696B"/>
        <color rgb="FFFFEB84"/>
        <color rgb="FF63BE7B"/>
      </colorScale>
    </cfRule>
  </conditionalFormatting>
  <conditionalFormatting sqref="D25:D26">
    <cfRule type="colorScale" priority="67">
      <colorScale>
        <cfvo type="min"/>
        <cfvo type="percentile" val="50"/>
        <cfvo type="max"/>
        <color rgb="FFF8696B"/>
        <color rgb="FFFFEB84"/>
        <color rgb="FF63BE7B"/>
      </colorScale>
    </cfRule>
  </conditionalFormatting>
  <conditionalFormatting sqref="D31">
    <cfRule type="colorScale" priority="2">
      <colorScale>
        <cfvo type="min"/>
        <cfvo type="percentile" val="50"/>
        <cfvo type="max"/>
        <color rgb="FFF8696B"/>
        <color rgb="FFFFEB84"/>
        <color rgb="FF63BE7B"/>
      </colorScale>
    </cfRule>
  </conditionalFormatting>
  <conditionalFormatting sqref="D31:D33">
    <cfRule type="colorScale" priority="1">
      <colorScale>
        <cfvo type="min"/>
        <cfvo type="percentile" val="50"/>
        <cfvo type="max"/>
        <color rgb="FFF8696B"/>
        <color rgb="FFFFEB84"/>
        <color rgb="FF63BE7B"/>
      </colorScale>
    </cfRule>
  </conditionalFormatting>
  <conditionalFormatting sqref="D32:D33">
    <cfRule type="colorScale" priority="3">
      <colorScale>
        <cfvo type="min"/>
        <cfvo type="percentile" val="50"/>
        <cfvo type="max"/>
        <color rgb="FFF8696B"/>
        <color rgb="FFFFEB84"/>
        <color rgb="FF63BE7B"/>
      </colorScale>
    </cfRule>
  </conditionalFormatting>
  <conditionalFormatting sqref="D37:D39">
    <cfRule type="colorScale" priority="7">
      <colorScale>
        <cfvo type="min"/>
        <cfvo type="percentile" val="50"/>
        <cfvo type="max"/>
        <color rgb="FFF8696B"/>
        <color rgb="FFFFEB84"/>
        <color rgb="FF63BE7B"/>
      </colorScale>
    </cfRule>
  </conditionalFormatting>
  <conditionalFormatting sqref="E4:E6">
    <cfRule type="colorScale" priority="19">
      <colorScale>
        <cfvo type="min"/>
        <cfvo type="percentile" val="50"/>
        <cfvo type="max"/>
        <color rgb="FFF8696B"/>
        <color rgb="FFFFEB84"/>
        <color rgb="FF63BE7B"/>
      </colorScale>
    </cfRule>
  </conditionalFormatting>
  <conditionalFormatting sqref="E10:E12">
    <cfRule type="colorScale" priority="50">
      <colorScale>
        <cfvo type="min"/>
        <cfvo type="percentile" val="50"/>
        <cfvo type="max"/>
        <color rgb="FF63BE7B"/>
        <color rgb="FFFFEB84"/>
        <color rgb="FFF8696B"/>
      </colorScale>
    </cfRule>
  </conditionalFormatting>
  <conditionalFormatting sqref="E17:E19">
    <cfRule type="colorScale" priority="58">
      <colorScale>
        <cfvo type="min"/>
        <cfvo type="percentile" val="50"/>
        <cfvo type="max"/>
        <color rgb="FFF8696B"/>
        <color rgb="FFFFEB84"/>
        <color rgb="FF63BE7B"/>
      </colorScale>
    </cfRule>
  </conditionalFormatting>
  <conditionalFormatting sqref="E24:E26">
    <cfRule type="colorScale" priority="69">
      <colorScale>
        <cfvo type="min"/>
        <cfvo type="percentile" val="50"/>
        <cfvo type="max"/>
        <color rgb="FFF8696B"/>
        <color rgb="FFFFEB84"/>
        <color rgb="FF63BE7B"/>
      </colorScale>
    </cfRule>
  </conditionalFormatting>
  <conditionalFormatting sqref="E31:E33">
    <cfRule type="colorScale" priority="5">
      <colorScale>
        <cfvo type="min"/>
        <cfvo type="percentile" val="50"/>
        <cfvo type="max"/>
        <color rgb="FFF8696B"/>
        <color rgb="FFFFEB84"/>
        <color rgb="FF63BE7B"/>
      </colorScale>
    </cfRule>
  </conditionalFormatting>
  <conditionalFormatting sqref="E37:E39">
    <cfRule type="colorScale" priority="9">
      <colorScale>
        <cfvo type="min"/>
        <cfvo type="percentile" val="50"/>
        <cfvo type="max"/>
        <color rgb="FFF8696B"/>
        <color rgb="FFFFEB84"/>
        <color rgb="FF63BE7B"/>
      </colorScale>
    </cfRule>
  </conditionalFormatting>
  <conditionalFormatting sqref="F4:F6">
    <cfRule type="colorScale" priority="18">
      <colorScale>
        <cfvo type="min"/>
        <cfvo type="percentile" val="50"/>
        <cfvo type="max"/>
        <color rgb="FFF8696B"/>
        <color rgb="FFFFEB84"/>
        <color rgb="FF63BE7B"/>
      </colorScale>
    </cfRule>
  </conditionalFormatting>
  <conditionalFormatting sqref="F10:F12">
    <cfRule type="colorScale" priority="51">
      <colorScale>
        <cfvo type="min"/>
        <cfvo type="percentile" val="50"/>
        <cfvo type="max"/>
        <color rgb="FF63BE7B"/>
        <color rgb="FFFFEB84"/>
        <color rgb="FFF8696B"/>
      </colorScale>
    </cfRule>
  </conditionalFormatting>
  <conditionalFormatting sqref="F17:F19">
    <cfRule type="colorScale" priority="59">
      <colorScale>
        <cfvo type="min"/>
        <cfvo type="percentile" val="50"/>
        <cfvo type="max"/>
        <color rgb="FFF8696B"/>
        <color rgb="FFFFEB84"/>
        <color rgb="FF63BE7B"/>
      </colorScale>
    </cfRule>
  </conditionalFormatting>
  <conditionalFormatting sqref="F37:F39">
    <cfRule type="colorScale" priority="10">
      <colorScale>
        <cfvo type="min"/>
        <cfvo type="percentile" val="50"/>
        <cfvo type="max"/>
        <color rgb="FFF8696B"/>
        <color rgb="FFFFEB84"/>
        <color rgb="FF63BE7B"/>
      </colorScale>
    </cfRule>
  </conditionalFormatting>
  <conditionalFormatting sqref="G4:G6">
    <cfRule type="colorScale" priority="17">
      <colorScale>
        <cfvo type="min"/>
        <cfvo type="percentile" val="50"/>
        <cfvo type="max"/>
        <color rgb="FFF8696B"/>
        <color rgb="FFFFEB84"/>
        <color rgb="FF63BE7B"/>
      </colorScale>
    </cfRule>
  </conditionalFormatting>
  <conditionalFormatting sqref="G17:G19">
    <cfRule type="colorScale" priority="60">
      <colorScale>
        <cfvo type="min"/>
        <cfvo type="percentile" val="50"/>
        <cfvo type="max"/>
        <color rgb="FFF8696B"/>
        <color rgb="FFFFEB84"/>
        <color rgb="FF63BE7B"/>
      </colorScale>
    </cfRule>
  </conditionalFormatting>
  <conditionalFormatting sqref="G37:G39">
    <cfRule type="colorScale" priority="11">
      <colorScale>
        <cfvo type="min"/>
        <cfvo type="percentile" val="50"/>
        <cfvo type="max"/>
        <color rgb="FFF8696B"/>
        <color rgb="FFFFEB84"/>
        <color rgb="FF63BE7B"/>
      </colorScale>
    </cfRule>
  </conditionalFormatting>
  <conditionalFormatting sqref="H4:H6">
    <cfRule type="colorScale" priority="16">
      <colorScale>
        <cfvo type="min"/>
        <cfvo type="percentile" val="50"/>
        <cfvo type="max"/>
        <color rgb="FFF8696B"/>
        <color rgb="FFFFEB84"/>
        <color rgb="FF63BE7B"/>
      </colorScale>
    </cfRule>
  </conditionalFormatting>
  <conditionalFormatting sqref="H17:H19">
    <cfRule type="colorScale" priority="61">
      <colorScale>
        <cfvo type="min"/>
        <cfvo type="percentile" val="50"/>
        <cfvo type="max"/>
        <color rgb="FFF8696B"/>
        <color rgb="FFFFEB84"/>
        <color rgb="FF63BE7B"/>
      </colorScale>
    </cfRule>
  </conditionalFormatting>
  <conditionalFormatting sqref="H37:H39">
    <cfRule type="colorScale" priority="12">
      <colorScale>
        <cfvo type="min"/>
        <cfvo type="percentile" val="50"/>
        <cfvo type="max"/>
        <color rgb="FFF8696B"/>
        <color rgb="FFFFEB84"/>
        <color rgb="FF63BE7B"/>
      </colorScale>
    </cfRule>
  </conditionalFormatting>
  <conditionalFormatting sqref="I17:I19">
    <cfRule type="colorScale" priority="62">
      <colorScale>
        <cfvo type="min"/>
        <cfvo type="percentile" val="50"/>
        <cfvo type="max"/>
        <color rgb="FFF8696B"/>
        <color rgb="FFFFEB84"/>
        <color rgb="FF63BE7B"/>
      </colorScale>
    </cfRule>
  </conditionalFormatting>
  <conditionalFormatting sqref="I37:I39">
    <cfRule type="colorScale" priority="13">
      <colorScale>
        <cfvo type="min"/>
        <cfvo type="percentile" val="50"/>
        <cfvo type="max"/>
        <color rgb="FFF8696B"/>
        <color rgb="FFFFEB84"/>
        <color rgb="FF63BE7B"/>
      </colorScale>
    </cfRule>
  </conditionalFormatting>
  <conditionalFormatting sqref="J17:J19">
    <cfRule type="colorScale" priority="63">
      <colorScale>
        <cfvo type="min"/>
        <cfvo type="percentile" val="50"/>
        <cfvo type="max"/>
        <color rgb="FFF8696B"/>
        <color rgb="FFFFEB84"/>
        <color rgb="FF63BE7B"/>
      </colorScale>
    </cfRule>
  </conditionalFormatting>
  <conditionalFormatting sqref="K17:K19">
    <cfRule type="colorScale" priority="29">
      <colorScale>
        <cfvo type="min"/>
        <cfvo type="percentile" val="50"/>
        <cfvo type="max"/>
        <color rgb="FFF8696B"/>
        <color rgb="FFFFEB84"/>
        <color rgb="FF63BE7B"/>
      </colorScale>
    </cfRule>
  </conditionalFormatting>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0B62-B580-4F49-97B3-BB56C9301AA4}">
  <sheetPr>
    <tabColor rgb="FFFF0000"/>
  </sheetPr>
  <dimension ref="A1:DD40"/>
  <sheetViews>
    <sheetView topLeftCell="BG2" zoomScaleNormal="100" workbookViewId="0">
      <selection activeCell="BU13" sqref="BU13"/>
    </sheetView>
  </sheetViews>
  <sheetFormatPr baseColWidth="10" defaultRowHeight="14"/>
  <cols>
    <col min="35" max="35" width="20.83203125" customWidth="1"/>
    <col min="70" max="70" width="18.83203125" customWidth="1"/>
  </cols>
  <sheetData>
    <row r="1" spans="1:86" ht="112">
      <c r="A1" s="15" t="s">
        <v>399</v>
      </c>
      <c r="B1" s="15" t="s">
        <v>401</v>
      </c>
      <c r="C1" s="15" t="s">
        <v>402</v>
      </c>
      <c r="D1" s="15" t="s">
        <v>403</v>
      </c>
      <c r="E1" s="15" t="s">
        <v>404</v>
      </c>
      <c r="F1" s="15" t="s">
        <v>405</v>
      </c>
      <c r="G1" s="15" t="s">
        <v>406</v>
      </c>
      <c r="H1" s="15" t="s">
        <v>407</v>
      </c>
      <c r="I1" s="15" t="s">
        <v>408</v>
      </c>
      <c r="J1" s="15" t="s">
        <v>2720</v>
      </c>
      <c r="K1" s="15" t="s">
        <v>2721</v>
      </c>
      <c r="L1" s="15" t="s">
        <v>2722</v>
      </c>
      <c r="M1" s="15" t="s">
        <v>2868</v>
      </c>
      <c r="N1" s="15" t="s">
        <v>410</v>
      </c>
      <c r="O1" s="57" t="s">
        <v>411</v>
      </c>
      <c r="P1" s="57" t="s">
        <v>412</v>
      </c>
      <c r="Q1" s="71" t="s">
        <v>409</v>
      </c>
      <c r="R1" s="71" t="s">
        <v>413</v>
      </c>
      <c r="S1" s="262" t="s">
        <v>2887</v>
      </c>
      <c r="T1" s="262" t="s">
        <v>2723</v>
      </c>
      <c r="U1" s="70" t="s">
        <v>2878</v>
      </c>
      <c r="V1" s="57" t="s">
        <v>2871</v>
      </c>
      <c r="W1" s="70" t="s">
        <v>2888</v>
      </c>
      <c r="X1" s="57" t="s">
        <v>2891</v>
      </c>
      <c r="Y1" s="57" t="s">
        <v>2875</v>
      </c>
      <c r="Z1" s="57" t="s">
        <v>2624</v>
      </c>
      <c r="AA1" s="57" t="s">
        <v>2908</v>
      </c>
      <c r="AB1" s="57" t="s">
        <v>2910</v>
      </c>
      <c r="AC1" s="70" t="s">
        <v>2873</v>
      </c>
      <c r="AD1" s="70" t="s">
        <v>2889</v>
      </c>
      <c r="AE1" s="70" t="s">
        <v>2890</v>
      </c>
      <c r="AF1" s="70" t="s">
        <v>2892</v>
      </c>
      <c r="AG1" s="70" t="s">
        <v>2874</v>
      </c>
      <c r="AH1" s="57" t="s">
        <v>2901</v>
      </c>
      <c r="AI1" s="57" t="s">
        <v>2909</v>
      </c>
      <c r="AJ1" s="70" t="s">
        <v>2924</v>
      </c>
      <c r="AK1" s="70" t="s">
        <v>2925</v>
      </c>
      <c r="AL1" s="70" t="s">
        <v>2926</v>
      </c>
      <c r="AM1" s="70" t="s">
        <v>2923</v>
      </c>
      <c r="AN1" s="57" t="s">
        <v>2893</v>
      </c>
      <c r="AO1" s="57" t="s">
        <v>2894</v>
      </c>
      <c r="AP1" s="57" t="s">
        <v>2895</v>
      </c>
      <c r="AQ1" s="57" t="s">
        <v>2896</v>
      </c>
      <c r="AR1" s="57" t="s">
        <v>428</v>
      </c>
      <c r="AS1" s="71" t="s">
        <v>2842</v>
      </c>
      <c r="AT1" s="262" t="s">
        <v>2725</v>
      </c>
      <c r="AU1" s="53" t="s">
        <v>2724</v>
      </c>
      <c r="AV1" s="172" t="s">
        <v>2726</v>
      </c>
      <c r="AW1" s="71" t="s">
        <v>2902</v>
      </c>
      <c r="AX1" s="262" t="s">
        <v>2851</v>
      </c>
      <c r="AY1" s="262" t="s">
        <v>2852</v>
      </c>
      <c r="AZ1" s="262" t="s">
        <v>2853</v>
      </c>
      <c r="BA1" s="262" t="s">
        <v>2854</v>
      </c>
      <c r="BB1" s="262" t="s">
        <v>2855</v>
      </c>
      <c r="BC1" s="262" t="s">
        <v>2903</v>
      </c>
      <c r="BD1" s="262" t="s">
        <v>2904</v>
      </c>
      <c r="BE1" s="262" t="s">
        <v>2946</v>
      </c>
      <c r="BF1" s="262" t="s">
        <v>2947</v>
      </c>
      <c r="BG1" s="262" t="s">
        <v>2948</v>
      </c>
      <c r="BH1" s="262" t="s">
        <v>2949</v>
      </c>
      <c r="BI1" s="262" t="s">
        <v>2950</v>
      </c>
      <c r="BJ1" s="262" t="s">
        <v>2951</v>
      </c>
      <c r="BK1" s="262" t="s">
        <v>2952</v>
      </c>
      <c r="BL1" s="262" t="s">
        <v>2953</v>
      </c>
      <c r="BM1" s="262" t="s">
        <v>2954</v>
      </c>
      <c r="BN1" s="262" t="s">
        <v>2955</v>
      </c>
      <c r="BO1" s="262" t="s">
        <v>2912</v>
      </c>
      <c r="BP1" s="172" t="s">
        <v>2727</v>
      </c>
      <c r="BQ1" s="71" t="s">
        <v>2728</v>
      </c>
      <c r="BR1" s="71" t="s">
        <v>2729</v>
      </c>
      <c r="BS1" s="172" t="s">
        <v>2730</v>
      </c>
      <c r="BT1" s="71" t="s">
        <v>2731</v>
      </c>
      <c r="BU1" s="71" t="s">
        <v>2732</v>
      </c>
      <c r="BV1" s="291" t="s">
        <v>2733</v>
      </c>
      <c r="BW1" s="262" t="s">
        <v>2956</v>
      </c>
      <c r="BX1" s="33" t="s">
        <v>2934</v>
      </c>
      <c r="BY1" s="301" t="s">
        <v>2942</v>
      </c>
      <c r="BZ1" s="301" t="s">
        <v>2936</v>
      </c>
      <c r="CA1" s="301" t="s">
        <v>2937</v>
      </c>
      <c r="CB1" s="301" t="s">
        <v>2941</v>
      </c>
      <c r="CC1" s="301" t="s">
        <v>2939</v>
      </c>
      <c r="CD1" s="301" t="s">
        <v>2940</v>
      </c>
      <c r="CE1" s="301" t="s">
        <v>2962</v>
      </c>
      <c r="CF1" s="301" t="s">
        <v>2963</v>
      </c>
      <c r="CG1" s="301" t="s">
        <v>2965</v>
      </c>
      <c r="CH1" s="301" t="s">
        <v>2967</v>
      </c>
    </row>
    <row r="2" spans="1:86">
      <c r="A2" s="13" t="s">
        <v>2767</v>
      </c>
      <c r="B2" s="16">
        <v>76.121533333333304</v>
      </c>
      <c r="C2" s="13">
        <v>71.38</v>
      </c>
      <c r="D2" s="13">
        <v>65.72</v>
      </c>
      <c r="E2" s="13">
        <v>62.72</v>
      </c>
      <c r="F2" s="14">
        <v>45.630413474656187</v>
      </c>
      <c r="G2" s="14">
        <v>60.385471887348842</v>
      </c>
      <c r="H2" s="14">
        <v>61.035211188085682</v>
      </c>
      <c r="I2" s="14">
        <v>38.127099999999999</v>
      </c>
      <c r="J2" s="13" t="s">
        <v>2740</v>
      </c>
      <c r="K2" s="13" t="s">
        <v>2736</v>
      </c>
      <c r="L2" s="13" t="s">
        <v>2736</v>
      </c>
      <c r="M2" s="13" t="s">
        <v>2754</v>
      </c>
      <c r="N2" s="16">
        <v>68.985383333333303</v>
      </c>
      <c r="O2" s="14">
        <v>51.294549137522679</v>
      </c>
      <c r="P2" s="14">
        <v>60.139966235427998</v>
      </c>
      <c r="Q2" s="260">
        <v>49.818423983427657</v>
      </c>
      <c r="R2" s="261">
        <v>44.355498756828048</v>
      </c>
      <c r="S2" s="300">
        <v>0.78598149445765286</v>
      </c>
      <c r="T2" s="14">
        <v>47.26890053835448</v>
      </c>
      <c r="U2" s="17">
        <v>2</v>
      </c>
      <c r="V2" s="17">
        <v>62.099988644528111</v>
      </c>
      <c r="W2" s="14">
        <v>0.78470518988133942</v>
      </c>
      <c r="X2" s="14">
        <v>48.730183380933454</v>
      </c>
      <c r="Y2" s="17">
        <v>2</v>
      </c>
      <c r="Z2" s="17" t="b">
        <v>1</v>
      </c>
      <c r="AA2" s="17">
        <v>0</v>
      </c>
      <c r="AB2" s="14">
        <v>1.9600224091001124</v>
      </c>
      <c r="AC2" s="17">
        <v>62.099988644528111</v>
      </c>
      <c r="AD2" s="14">
        <v>0.64656438100216296</v>
      </c>
      <c r="AE2" s="14">
        <v>40.15164071819067</v>
      </c>
      <c r="AF2" s="14">
        <v>0.73003539245836213</v>
      </c>
      <c r="AG2" s="17">
        <v>2</v>
      </c>
      <c r="AH2" s="17" t="b">
        <v>1</v>
      </c>
      <c r="AI2" s="17">
        <v>0</v>
      </c>
      <c r="AJ2" s="14">
        <v>-1.9600224091001124</v>
      </c>
      <c r="AK2" s="17">
        <v>2</v>
      </c>
      <c r="AL2" s="17" t="b">
        <v>1</v>
      </c>
      <c r="AM2" s="17">
        <v>0</v>
      </c>
      <c r="AN2" s="14">
        <v>65.502279437860267</v>
      </c>
      <c r="AO2" s="14">
        <v>0.52712719552414433</v>
      </c>
      <c r="AP2" s="14">
        <v>34.52803286051811</v>
      </c>
      <c r="AQ2" s="14">
        <v>0.40291299119791446</v>
      </c>
      <c r="AR2" s="13">
        <v>3</v>
      </c>
      <c r="AS2" s="104">
        <v>3</v>
      </c>
      <c r="AT2" s="104">
        <v>0</v>
      </c>
      <c r="AU2" s="13">
        <v>8.5</v>
      </c>
      <c r="AV2" s="286">
        <v>14.886900531003052</v>
      </c>
      <c r="AW2" s="285">
        <v>1.4242155055922279</v>
      </c>
      <c r="AX2" s="286">
        <v>3.0968529027713911</v>
      </c>
      <c r="AY2" s="285" t="s">
        <v>383</v>
      </c>
      <c r="AZ2" s="288">
        <v>553561.25647799997</v>
      </c>
      <c r="BA2" s="288">
        <v>64177.966451</v>
      </c>
      <c r="BB2" s="288">
        <v>62249</v>
      </c>
      <c r="BC2" s="289">
        <v>8.8926931593760532</v>
      </c>
      <c r="BD2" s="289">
        <v>1.0309879106652315</v>
      </c>
      <c r="BE2" s="260">
        <v>59.143417529625353</v>
      </c>
      <c r="BF2" s="260">
        <v>96.611347483530963</v>
      </c>
      <c r="BG2" s="260">
        <v>25.354085323398451</v>
      </c>
      <c r="BH2" s="260">
        <v>34.031845770580418</v>
      </c>
      <c r="BI2" s="260">
        <v>95.952633340465866</v>
      </c>
      <c r="BJ2" s="260">
        <v>68.436146768599272</v>
      </c>
      <c r="BK2" s="260">
        <v>50.753574397613619</v>
      </c>
      <c r="BL2" s="260">
        <v>63.635651167716887</v>
      </c>
      <c r="BM2" s="260">
        <v>61.46900723054484</v>
      </c>
      <c r="BN2" s="260">
        <v>60.996212177993193</v>
      </c>
      <c r="BO2" s="288">
        <v>4988.876741</v>
      </c>
      <c r="BP2" s="289">
        <v>1055.7103610000001</v>
      </c>
      <c r="BQ2" s="290">
        <v>0.21161283707891074</v>
      </c>
      <c r="BR2" s="260" t="s">
        <v>2969</v>
      </c>
      <c r="BS2" s="289">
        <v>0</v>
      </c>
      <c r="BT2" s="290">
        <v>0</v>
      </c>
      <c r="BU2" s="104">
        <v>0</v>
      </c>
      <c r="BV2" s="68">
        <v>1</v>
      </c>
      <c r="BW2" s="25">
        <v>5.3547346037817123</v>
      </c>
      <c r="BX2">
        <v>42.934468266368448</v>
      </c>
      <c r="BY2">
        <v>41.780818939208977</v>
      </c>
      <c r="BZ2">
        <v>5.754544734954834</v>
      </c>
      <c r="CA2">
        <v>66.880630493164063</v>
      </c>
      <c r="CB2">
        <v>56.486381530761719</v>
      </c>
      <c r="CC2">
        <v>20.990911483764648</v>
      </c>
      <c r="CD2">
        <v>65.713531494140625</v>
      </c>
      <c r="CE2" s="10">
        <v>0</v>
      </c>
      <c r="CF2" s="325">
        <v>0</v>
      </c>
      <c r="CG2" s="232">
        <v>0</v>
      </c>
      <c r="CH2">
        <v>0</v>
      </c>
    </row>
    <row r="4" spans="1:86">
      <c r="BE4" t="s">
        <v>2670</v>
      </c>
      <c r="BF4" t="s">
        <v>2665</v>
      </c>
      <c r="BG4" t="s">
        <v>2666</v>
      </c>
      <c r="BH4" t="s">
        <v>2667</v>
      </c>
      <c r="BI4" t="s">
        <v>2793</v>
      </c>
      <c r="BJ4" t="s">
        <v>2794</v>
      </c>
    </row>
    <row r="5" spans="1:86">
      <c r="BD5" t="s">
        <v>3062</v>
      </c>
      <c r="BE5">
        <v>59.143417529625353</v>
      </c>
      <c r="BF5">
        <v>96.611347483530963</v>
      </c>
      <c r="BG5">
        <v>25.354085323398451</v>
      </c>
      <c r="BH5">
        <v>34.031845770580418</v>
      </c>
      <c r="BI5">
        <v>95.952633340465866</v>
      </c>
      <c r="BJ5">
        <v>68.436146768599272</v>
      </c>
    </row>
    <row r="6" spans="1:86">
      <c r="BD6" t="s">
        <v>3063</v>
      </c>
      <c r="BE6">
        <v>63.459762180277892</v>
      </c>
      <c r="BF6">
        <v>91.014656725870466</v>
      </c>
      <c r="BG6">
        <v>73.766665660139097</v>
      </c>
      <c r="BH6">
        <v>60.170679791907006</v>
      </c>
      <c r="BI6">
        <v>84.588654509139729</v>
      </c>
      <c r="BJ6">
        <v>61.701325343312305</v>
      </c>
    </row>
    <row r="7" spans="1:86">
      <c r="BD7" t="s">
        <v>3064</v>
      </c>
      <c r="BE7">
        <v>60.017950033136962</v>
      </c>
      <c r="BF7">
        <v>92.839960520465908</v>
      </c>
      <c r="BG7">
        <v>52.37450598083506</v>
      </c>
      <c r="BH7">
        <v>60.690354666916797</v>
      </c>
      <c r="BI7">
        <v>68.715113278989776</v>
      </c>
      <c r="BJ7">
        <v>50.938397501898528</v>
      </c>
    </row>
    <row r="8" spans="1:86">
      <c r="BD8" t="s">
        <v>3065</v>
      </c>
      <c r="BE8">
        <v>45.089368927410582</v>
      </c>
      <c r="BF8">
        <v>80.683987071918821</v>
      </c>
      <c r="BG8">
        <v>41.283908089695331</v>
      </c>
      <c r="BH8">
        <v>76.28850991583613</v>
      </c>
      <c r="BI8">
        <v>67.112885680274601</v>
      </c>
      <c r="BJ8">
        <v>48.582393551830421</v>
      </c>
    </row>
    <row r="10" spans="1:86" ht="28">
      <c r="AI10" s="53" t="s">
        <v>2724</v>
      </c>
      <c r="AJ10" s="172" t="s">
        <v>2726</v>
      </c>
      <c r="AK10" s="71" t="s">
        <v>2902</v>
      </c>
      <c r="AL10" s="262" t="s">
        <v>2851</v>
      </c>
    </row>
    <row r="15" spans="1:86">
      <c r="AI15" t="s">
        <v>367</v>
      </c>
      <c r="AJ15" t="s">
        <v>237</v>
      </c>
      <c r="AK15" t="s">
        <v>238</v>
      </c>
      <c r="AL15" t="s">
        <v>2661</v>
      </c>
      <c r="AM15" t="s">
        <v>2662</v>
      </c>
    </row>
    <row r="16" spans="1:86">
      <c r="AI16" t="s">
        <v>3062</v>
      </c>
      <c r="AJ16" s="337">
        <v>8.5</v>
      </c>
      <c r="AK16" s="338">
        <v>14.886900531003052</v>
      </c>
      <c r="AL16" s="338">
        <v>2.65</v>
      </c>
      <c r="AM16" s="338">
        <v>3.0968529027713911</v>
      </c>
    </row>
    <row r="17" spans="1:108">
      <c r="AI17" t="s">
        <v>3063</v>
      </c>
      <c r="AJ17" s="337">
        <v>17.787499999999998</v>
      </c>
      <c r="AK17" s="337">
        <v>10.967568040361387</v>
      </c>
      <c r="AL17" s="337">
        <v>15.26706003116654</v>
      </c>
      <c r="AM17" s="337">
        <v>4.843134127407887</v>
      </c>
    </row>
    <row r="18" spans="1:108">
      <c r="AI18" t="s">
        <v>3064</v>
      </c>
      <c r="AJ18" s="337">
        <v>25.906250000000004</v>
      </c>
      <c r="AK18" s="337">
        <v>20.769348164556924</v>
      </c>
      <c r="AL18" s="337">
        <v>17.135414351948153</v>
      </c>
      <c r="AM18" s="337">
        <v>8.4912650328543346</v>
      </c>
    </row>
    <row r="19" spans="1:108">
      <c r="AI19" t="s">
        <v>3065</v>
      </c>
      <c r="AJ19" s="337">
        <v>45.024999999999999</v>
      </c>
      <c r="AK19" s="337">
        <v>47.674384769718998</v>
      </c>
      <c r="AL19" s="337">
        <v>21.22819729452495</v>
      </c>
      <c r="AM19" s="337">
        <v>14.248045528890154</v>
      </c>
    </row>
    <row r="20" spans="1:108">
      <c r="AI20" t="s">
        <v>369</v>
      </c>
      <c r="AJ20" s="337">
        <v>28.656250000000004</v>
      </c>
      <c r="AK20" s="337">
        <v>25.045162284798561</v>
      </c>
      <c r="AL20" s="337">
        <v>17.57743519168314</v>
      </c>
      <c r="AM20" s="337">
        <v>9.0184274305016796</v>
      </c>
    </row>
    <row r="22" spans="1:108" ht="112">
      <c r="A22" s="273" t="s">
        <v>2983</v>
      </c>
      <c r="B22" s="273" t="s">
        <v>2984</v>
      </c>
      <c r="C22" s="273" t="s">
        <v>2985</v>
      </c>
      <c r="D22" s="273" t="s">
        <v>399</v>
      </c>
      <c r="E22" s="273" t="s">
        <v>400</v>
      </c>
      <c r="F22" s="273" t="s">
        <v>401</v>
      </c>
      <c r="G22" s="273" t="s">
        <v>402</v>
      </c>
      <c r="H22" s="273" t="s">
        <v>403</v>
      </c>
      <c r="I22" s="273" t="s">
        <v>404</v>
      </c>
      <c r="J22" s="273" t="s">
        <v>405</v>
      </c>
      <c r="K22" s="273" t="s">
        <v>406</v>
      </c>
      <c r="L22" s="273" t="s">
        <v>407</v>
      </c>
      <c r="M22" s="273" t="s">
        <v>408</v>
      </c>
      <c r="N22" s="274" t="s">
        <v>410</v>
      </c>
      <c r="O22" s="274" t="s">
        <v>411</v>
      </c>
      <c r="P22" s="273" t="s">
        <v>412</v>
      </c>
      <c r="Q22" s="275" t="s">
        <v>409</v>
      </c>
      <c r="R22" s="275" t="s">
        <v>413</v>
      </c>
      <c r="S22" s="275" t="s">
        <v>2887</v>
      </c>
      <c r="T22" s="275" t="s">
        <v>2879</v>
      </c>
      <c r="U22" s="273" t="s">
        <v>2881</v>
      </c>
      <c r="V22" s="275" t="s">
        <v>2799</v>
      </c>
      <c r="W22" s="275" t="s">
        <v>415</v>
      </c>
      <c r="X22" s="275" t="s">
        <v>416</v>
      </c>
      <c r="Y22" s="276" t="s">
        <v>2796</v>
      </c>
      <c r="Z22" s="277" t="s">
        <v>417</v>
      </c>
      <c r="AA22" s="277" t="s">
        <v>2888</v>
      </c>
      <c r="AB22" s="277" t="s">
        <v>2883</v>
      </c>
      <c r="AC22" s="278" t="s">
        <v>2882</v>
      </c>
      <c r="AD22" s="279" t="s">
        <v>422</v>
      </c>
      <c r="AE22" s="279" t="s">
        <v>418</v>
      </c>
      <c r="AF22" s="279" t="s">
        <v>420</v>
      </c>
      <c r="AG22" s="279" t="s">
        <v>2810</v>
      </c>
      <c r="AH22" s="279" t="s">
        <v>423</v>
      </c>
      <c r="AI22" s="279" t="s">
        <v>424</v>
      </c>
      <c r="AJ22" s="279" t="s">
        <v>425</v>
      </c>
      <c r="AK22" s="280" t="s">
        <v>2884</v>
      </c>
      <c r="AL22" s="280" t="s">
        <v>2885</v>
      </c>
      <c r="AM22" s="280" t="s">
        <v>2898</v>
      </c>
      <c r="AN22" s="281" t="s">
        <v>2886</v>
      </c>
      <c r="AO22" s="282" t="s">
        <v>2899</v>
      </c>
      <c r="AP22" s="282" t="s">
        <v>2900</v>
      </c>
      <c r="AQ22" s="282" t="s">
        <v>427</v>
      </c>
      <c r="AR22" s="282" t="s">
        <v>426</v>
      </c>
      <c r="AS22" s="282" t="s">
        <v>424</v>
      </c>
      <c r="AT22" s="282" t="s">
        <v>425</v>
      </c>
      <c r="AU22" s="283" t="s">
        <v>428</v>
      </c>
      <c r="AV22" s="283" t="s">
        <v>429</v>
      </c>
      <c r="AW22" s="308" t="s">
        <v>2817</v>
      </c>
      <c r="AX22" s="301" t="s">
        <v>391</v>
      </c>
      <c r="AY22" s="301" t="s">
        <v>2862</v>
      </c>
      <c r="AZ22" s="301" t="s">
        <v>2818</v>
      </c>
      <c r="BA22" s="301" t="s">
        <v>2829</v>
      </c>
      <c r="BB22" s="301" t="s">
        <v>2830</v>
      </c>
      <c r="BC22" s="301" t="s">
        <v>2842</v>
      </c>
      <c r="BD22" s="301" t="s">
        <v>2819</v>
      </c>
      <c r="BE22" s="301" t="s">
        <v>2725</v>
      </c>
      <c r="BF22" s="301" t="s">
        <v>2843</v>
      </c>
      <c r="BG22" s="301" t="s">
        <v>2844</v>
      </c>
      <c r="BH22" s="301" t="s">
        <v>2724</v>
      </c>
      <c r="BI22" s="301" t="s">
        <v>2726</v>
      </c>
      <c r="BJ22" s="301" t="s">
        <v>2847</v>
      </c>
      <c r="BK22" s="301" t="s">
        <v>2848</v>
      </c>
      <c r="BL22" s="301" t="s">
        <v>2851</v>
      </c>
      <c r="BM22" s="301" t="s">
        <v>2852</v>
      </c>
      <c r="BN22" s="301" t="s">
        <v>2853</v>
      </c>
      <c r="BO22" s="301" t="s">
        <v>2854</v>
      </c>
      <c r="BP22" s="301" t="s">
        <v>2855</v>
      </c>
      <c r="BQ22" s="301" t="s">
        <v>2903</v>
      </c>
      <c r="BR22" s="301" t="s">
        <v>2904</v>
      </c>
      <c r="BS22" s="301" t="s">
        <v>2946</v>
      </c>
      <c r="BT22" s="301" t="s">
        <v>2947</v>
      </c>
      <c r="BU22" s="301" t="s">
        <v>2948</v>
      </c>
      <c r="BV22" s="301" t="s">
        <v>2949</v>
      </c>
      <c r="BW22" s="301" t="s">
        <v>2953</v>
      </c>
      <c r="BX22" s="301" t="s">
        <v>2954</v>
      </c>
      <c r="BY22" s="301" t="s">
        <v>2955</v>
      </c>
      <c r="BZ22" s="301" t="s">
        <v>2820</v>
      </c>
      <c r="CA22" s="301" t="s">
        <v>2821</v>
      </c>
      <c r="CB22" s="301" t="s">
        <v>2822</v>
      </c>
      <c r="CC22" s="301" t="s">
        <v>2964</v>
      </c>
      <c r="CD22" s="301" t="s">
        <v>2856</v>
      </c>
      <c r="CE22" s="301" t="s">
        <v>2857</v>
      </c>
      <c r="CF22" s="301" t="s">
        <v>2858</v>
      </c>
      <c r="CG22" s="301" t="s">
        <v>2966</v>
      </c>
      <c r="CH22" s="301" t="s">
        <v>2859</v>
      </c>
      <c r="CI22" s="301" t="s">
        <v>2860</v>
      </c>
      <c r="CJ22" s="301" t="s">
        <v>2861</v>
      </c>
      <c r="CK22" s="301" t="s">
        <v>2968</v>
      </c>
      <c r="CL22" s="301" t="s">
        <v>2962</v>
      </c>
      <c r="CM22" s="301" t="s">
        <v>2963</v>
      </c>
      <c r="CN22" s="301" t="s">
        <v>2965</v>
      </c>
      <c r="CO22" s="301" t="s">
        <v>2967</v>
      </c>
      <c r="CP22" s="301" t="s">
        <v>2823</v>
      </c>
      <c r="CQ22" s="301" t="s">
        <v>2824</v>
      </c>
      <c r="CR22" s="308" t="s">
        <v>2825</v>
      </c>
      <c r="CS22" s="308" t="s">
        <v>2826</v>
      </c>
      <c r="CT22" s="301" t="s">
        <v>2827</v>
      </c>
      <c r="CU22" s="301" t="s">
        <v>2828</v>
      </c>
      <c r="CV22" s="301" t="s">
        <v>2934</v>
      </c>
      <c r="CW22" s="301" t="s">
        <v>2935</v>
      </c>
      <c r="CX22" s="301" t="s">
        <v>2936</v>
      </c>
      <c r="CY22" s="301" t="s">
        <v>2937</v>
      </c>
      <c r="CZ22" s="301" t="s">
        <v>2938</v>
      </c>
      <c r="DA22" s="301" t="s">
        <v>2939</v>
      </c>
      <c r="DB22" s="301" t="s">
        <v>2940</v>
      </c>
      <c r="DC22" s="250" t="s">
        <v>2970</v>
      </c>
      <c r="DD22" s="1" t="s">
        <v>2957</v>
      </c>
    </row>
    <row r="23" spans="1:108">
      <c r="A23" s="13">
        <v>88564</v>
      </c>
      <c r="B23" s="13" t="s">
        <v>2602</v>
      </c>
      <c r="C23" s="79" t="s">
        <v>2603</v>
      </c>
      <c r="D23" s="13" t="s">
        <v>2604</v>
      </c>
      <c r="E23" s="13" t="s">
        <v>1028</v>
      </c>
      <c r="F23" s="14">
        <v>57.8547333333333</v>
      </c>
      <c r="G23" s="13">
        <v>58.91</v>
      </c>
      <c r="H23" s="13">
        <v>37.06</v>
      </c>
      <c r="I23" s="13">
        <v>31.03</v>
      </c>
      <c r="J23" s="14">
        <v>45.66876363703534</v>
      </c>
      <c r="K23" s="14">
        <v>61.300066395141712</v>
      </c>
      <c r="L23" s="14">
        <v>25.13632215892062</v>
      </c>
      <c r="M23" s="14">
        <v>55.231299999999997</v>
      </c>
      <c r="N23" s="14">
        <v>46.213683333333329</v>
      </c>
      <c r="O23" s="14">
        <v>46.834113047774416</v>
      </c>
      <c r="P23" s="14">
        <v>46.523898190553872</v>
      </c>
      <c r="Q23" s="14">
        <v>49.818423983427657</v>
      </c>
      <c r="R23" s="28">
        <v>50.181576016572343</v>
      </c>
      <c r="S23" s="14">
        <v>0.55163418414915111</v>
      </c>
      <c r="T23" s="13">
        <v>0</v>
      </c>
      <c r="U23" s="13">
        <v>25.664172621784353</v>
      </c>
      <c r="V23" s="13">
        <v>4</v>
      </c>
      <c r="W23" s="13">
        <v>4</v>
      </c>
      <c r="X23" s="14" t="b">
        <v>1</v>
      </c>
      <c r="Y23" s="17">
        <v>4</v>
      </c>
      <c r="Z23" s="14">
        <v>50.005319126844341</v>
      </c>
      <c r="AA23" s="14">
        <v>0.55839371054370079</v>
      </c>
      <c r="AB23" s="14">
        <v>27.922655694160504</v>
      </c>
      <c r="AC23" s="13">
        <v>3</v>
      </c>
      <c r="AD23" s="13">
        <v>-1</v>
      </c>
      <c r="AE23" s="14">
        <v>-3.4814209362904691</v>
      </c>
      <c r="AF23" s="14">
        <v>-6.7595263945496864E-3</v>
      </c>
      <c r="AG23" s="13">
        <v>-2.2584830723761513</v>
      </c>
      <c r="AH23" s="13">
        <v>4</v>
      </c>
      <c r="AI23" s="13" t="b">
        <v>1</v>
      </c>
      <c r="AJ23" s="13" t="s">
        <v>2637</v>
      </c>
      <c r="AK23" s="28">
        <v>0.81759069605862034</v>
      </c>
      <c r="AL23" s="28">
        <v>40.883883671550109</v>
      </c>
      <c r="AM23" s="28">
        <v>0.34078827721362531</v>
      </c>
      <c r="AN23" s="13">
        <v>4</v>
      </c>
      <c r="AO23" s="33">
        <v>0</v>
      </c>
      <c r="AP23" s="13">
        <v>34.078827721362529</v>
      </c>
      <c r="AQ23" s="13">
        <v>4</v>
      </c>
      <c r="AR23" s="28">
        <v>-0.26595651190946923</v>
      </c>
      <c r="AS23" s="13" t="b">
        <v>1</v>
      </c>
      <c r="AT23" s="13">
        <v>0</v>
      </c>
      <c r="AU23" s="13">
        <v>3</v>
      </c>
      <c r="AV23">
        <v>-1</v>
      </c>
      <c r="AW23" s="13">
        <v>0</v>
      </c>
      <c r="AX23" s="13">
        <v>0</v>
      </c>
      <c r="AY23" s="13">
        <v>0</v>
      </c>
      <c r="AZ23" s="13">
        <v>0</v>
      </c>
      <c r="BA23">
        <v>0</v>
      </c>
      <c r="BB23" t="s">
        <v>2839</v>
      </c>
      <c r="BC23">
        <v>5</v>
      </c>
      <c r="BD23" t="s">
        <v>2919</v>
      </c>
      <c r="BE23">
        <v>0</v>
      </c>
      <c r="BF23" s="232" t="s">
        <v>2846</v>
      </c>
      <c r="BG23" s="232" t="s">
        <v>2846</v>
      </c>
      <c r="BH23" s="253">
        <v>13.7</v>
      </c>
      <c r="BI23" s="253">
        <v>8.5368536853685377</v>
      </c>
      <c r="BJ23" s="25">
        <v>0.20333333333333334</v>
      </c>
      <c r="BK23" t="s">
        <v>381</v>
      </c>
      <c r="BL23">
        <v>0</v>
      </c>
      <c r="BM23" t="s">
        <v>377</v>
      </c>
      <c r="BN23" s="322">
        <v>81987.578221999996</v>
      </c>
      <c r="BO23" s="322">
        <v>7685.4905410000001</v>
      </c>
      <c r="BP23" s="10">
        <v>6285</v>
      </c>
      <c r="BQ23" s="254">
        <v>13.04496073540175</v>
      </c>
      <c r="BR23" s="254">
        <v>1.2228306350039777</v>
      </c>
      <c r="BS23" s="25">
        <v>62.144519685658928</v>
      </c>
      <c r="BT23" s="25">
        <v>88.994961548660839</v>
      </c>
      <c r="BU23" s="25">
        <v>43.41</v>
      </c>
      <c r="BV23" s="25">
        <v>90.141180741767315</v>
      </c>
      <c r="BW23" s="25">
        <v>48.434972103531031</v>
      </c>
      <c r="BX23" s="25">
        <v>71.172665494021771</v>
      </c>
      <c r="BY23" s="25">
        <v>48.416287546098367</v>
      </c>
      <c r="BZ23">
        <v>100</v>
      </c>
      <c r="CA23">
        <v>0</v>
      </c>
      <c r="CB23">
        <v>7</v>
      </c>
      <c r="CC23">
        <v>2248.9786600000002</v>
      </c>
      <c r="CD23" s="10">
        <v>876.51407400000005</v>
      </c>
      <c r="CE23" s="255">
        <v>0.38973872433275997</v>
      </c>
      <c r="CF23" t="s">
        <v>2673</v>
      </c>
      <c r="CG23" s="256">
        <v>2.55010985772859E-5</v>
      </c>
      <c r="CH23" s="232">
        <v>0</v>
      </c>
      <c r="CI23" s="311">
        <v>0</v>
      </c>
      <c r="CJ23" s="232">
        <v>0</v>
      </c>
      <c r="CK23" s="311">
        <v>0</v>
      </c>
      <c r="CL23" s="10">
        <v>0</v>
      </c>
      <c r="CM23" s="255">
        <v>0</v>
      </c>
      <c r="CN23" s="232">
        <v>0</v>
      </c>
      <c r="CO23" s="311">
        <v>0</v>
      </c>
      <c r="CP23">
        <v>0.8312607512150334</v>
      </c>
      <c r="CQ23" t="s">
        <v>2865</v>
      </c>
      <c r="CR23">
        <v>1</v>
      </c>
      <c r="CS23" t="s">
        <v>389</v>
      </c>
      <c r="CT23">
        <v>1</v>
      </c>
      <c r="CU23" t="s">
        <v>2835</v>
      </c>
      <c r="CV23" s="25">
        <v>49.543785095214837</v>
      </c>
      <c r="CW23" s="25">
        <v>38.550647735595703</v>
      </c>
      <c r="CX23" s="25">
        <v>39.634487152099609</v>
      </c>
      <c r="CY23" s="25">
        <v>66.525032043457031</v>
      </c>
      <c r="CZ23" s="25">
        <v>38.039554595947273</v>
      </c>
      <c r="DA23" s="25">
        <v>61.586585998535163</v>
      </c>
      <c r="DB23" s="25">
        <v>52.926410675048828</v>
      </c>
      <c r="DC23">
        <v>5691</v>
      </c>
      <c r="DD23" s="253" t="s">
        <v>380</v>
      </c>
    </row>
    <row r="26" spans="1:108">
      <c r="AI26" t="s">
        <v>367</v>
      </c>
      <c r="AJ26" t="s">
        <v>237</v>
      </c>
      <c r="AK26" t="s">
        <v>238</v>
      </c>
      <c r="AL26" t="s">
        <v>2661</v>
      </c>
      <c r="AM26" t="s">
        <v>2662</v>
      </c>
    </row>
    <row r="27" spans="1:108">
      <c r="AI27" t="s">
        <v>3066</v>
      </c>
      <c r="AJ27" s="253">
        <v>13.7</v>
      </c>
      <c r="AK27" s="253">
        <v>8.5368536853685377</v>
      </c>
      <c r="AL27" s="25">
        <v>0.20333333333333334</v>
      </c>
      <c r="AM27">
        <v>0</v>
      </c>
      <c r="BS27" t="s">
        <v>2670</v>
      </c>
      <c r="BT27" t="s">
        <v>2665</v>
      </c>
      <c r="BU27" t="s">
        <v>2666</v>
      </c>
      <c r="BV27" t="s">
        <v>2667</v>
      </c>
    </row>
    <row r="28" spans="1:108">
      <c r="AI28" t="s">
        <v>3067</v>
      </c>
      <c r="AJ28" s="253">
        <v>47.355882352941137</v>
      </c>
      <c r="AK28" s="253">
        <v>26.151735783262374</v>
      </c>
      <c r="AL28" s="25">
        <v>25.865581903000784</v>
      </c>
      <c r="AM28" s="25">
        <v>9.436598986131397</v>
      </c>
      <c r="BR28" t="s">
        <v>3066</v>
      </c>
      <c r="BS28" s="25">
        <v>62.144519685658928</v>
      </c>
      <c r="BT28" s="25">
        <v>88.994961548660839</v>
      </c>
      <c r="BU28" s="25">
        <v>43.41</v>
      </c>
      <c r="BV28" s="25">
        <v>90.141180741767315</v>
      </c>
    </row>
    <row r="29" spans="1:108">
      <c r="AI29" t="s">
        <v>3062</v>
      </c>
      <c r="AJ29" s="337">
        <v>8.5</v>
      </c>
      <c r="AK29" s="338">
        <v>14.886900531003052</v>
      </c>
      <c r="AL29" s="338">
        <v>1.4242155055922279</v>
      </c>
      <c r="AM29" s="338">
        <v>3.0968529027713911</v>
      </c>
      <c r="BR29" t="s">
        <v>3067</v>
      </c>
      <c r="BS29" s="25">
        <v>60.049777250139037</v>
      </c>
      <c r="BT29" s="25">
        <v>89.445559138135692</v>
      </c>
      <c r="BU29" s="25">
        <v>42.324048737564823</v>
      </c>
      <c r="BV29" s="25">
        <v>92.465297619373445</v>
      </c>
    </row>
    <row r="30" spans="1:108">
      <c r="BR30" t="s">
        <v>3062</v>
      </c>
      <c r="BS30" s="25">
        <v>59.143417529625353</v>
      </c>
      <c r="BT30" s="25">
        <v>96.611347483530963</v>
      </c>
      <c r="BU30" s="25">
        <v>25.354085323398451</v>
      </c>
      <c r="BV30" s="25">
        <v>34.031845770580418</v>
      </c>
    </row>
    <row r="40" spans="67:67">
      <c r="BO40" t="s">
        <v>3068</v>
      </c>
    </row>
  </sheetData>
  <conditionalFormatting sqref="P23">
    <cfRule type="colorScale" priority="2">
      <colorScale>
        <cfvo type="min"/>
        <cfvo type="percentile" val="50"/>
        <cfvo type="max"/>
        <color rgb="FFF8696B"/>
        <color rgb="FFFFEB84"/>
        <color rgb="FF63BE7B"/>
      </colorScale>
    </cfRule>
  </conditionalFormatting>
  <conditionalFormatting sqref="BN23">
    <cfRule type="colorScale" priority="1">
      <colorScale>
        <cfvo type="min"/>
        <cfvo type="percentile" val="50"/>
        <cfvo type="max"/>
        <color rgb="FFF8696B"/>
        <color rgb="FFFFEB84"/>
        <color rgb="FF63BE7B"/>
      </colorScale>
    </cfRule>
  </conditionalFormatting>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F4A3-682B-46D8-BEA9-291E9BC81B1C}">
  <sheetPr filterMode="1"/>
  <dimension ref="A1:G675"/>
  <sheetViews>
    <sheetView workbookViewId="0">
      <selection activeCell="J678" sqref="J678"/>
    </sheetView>
  </sheetViews>
  <sheetFormatPr baseColWidth="10" defaultRowHeight="14"/>
  <cols>
    <col min="4" max="4" width="18" style="105" customWidth="1"/>
    <col min="5" max="5" width="10.83203125" style="105"/>
  </cols>
  <sheetData>
    <row r="1" spans="1:7">
      <c r="A1" t="s">
        <v>3001</v>
      </c>
      <c r="B1" t="s">
        <v>3002</v>
      </c>
      <c r="C1" t="s">
        <v>3003</v>
      </c>
      <c r="D1" s="105" t="s">
        <v>3004</v>
      </c>
      <c r="E1" s="105" t="s">
        <v>3005</v>
      </c>
      <c r="G1" t="s">
        <v>3017</v>
      </c>
    </row>
    <row r="2" spans="1:7" hidden="1">
      <c r="A2" t="s">
        <v>514</v>
      </c>
      <c r="B2" t="s">
        <v>467</v>
      </c>
      <c r="C2" t="s">
        <v>468</v>
      </c>
      <c r="D2" s="105" t="s">
        <v>359</v>
      </c>
      <c r="E2" s="105" t="s">
        <v>513</v>
      </c>
    </row>
    <row r="3" spans="1:7" hidden="1">
      <c r="A3" t="s">
        <v>469</v>
      </c>
      <c r="B3" t="s">
        <v>467</v>
      </c>
      <c r="C3" t="s">
        <v>468</v>
      </c>
      <c r="D3" s="105" t="s">
        <v>359</v>
      </c>
      <c r="E3" s="105" t="s">
        <v>466</v>
      </c>
    </row>
    <row r="4" spans="1:7" hidden="1">
      <c r="A4" t="s">
        <v>521</v>
      </c>
      <c r="B4" t="s">
        <v>467</v>
      </c>
      <c r="C4" t="s">
        <v>468</v>
      </c>
      <c r="D4" s="105" t="s">
        <v>359</v>
      </c>
      <c r="E4" s="105" t="s">
        <v>520</v>
      </c>
    </row>
    <row r="5" spans="1:7" hidden="1">
      <c r="A5" t="s">
        <v>444</v>
      </c>
      <c r="B5" t="s">
        <v>442</v>
      </c>
      <c r="C5" t="s">
        <v>443</v>
      </c>
      <c r="D5" s="105" t="s">
        <v>359</v>
      </c>
      <c r="E5" s="105" t="s">
        <v>441</v>
      </c>
    </row>
    <row r="6" spans="1:7" hidden="1">
      <c r="A6" t="s">
        <v>531</v>
      </c>
      <c r="B6" t="s">
        <v>442</v>
      </c>
      <c r="C6" t="s">
        <v>443</v>
      </c>
      <c r="D6" s="105" t="s">
        <v>359</v>
      </c>
      <c r="E6" s="105" t="s">
        <v>530</v>
      </c>
    </row>
    <row r="7" spans="1:7" hidden="1">
      <c r="A7" t="s">
        <v>486</v>
      </c>
      <c r="B7" t="s">
        <v>442</v>
      </c>
      <c r="C7" t="s">
        <v>443</v>
      </c>
      <c r="D7" s="105" t="s">
        <v>359</v>
      </c>
      <c r="E7" s="105" t="s">
        <v>485</v>
      </c>
    </row>
    <row r="8" spans="1:7" hidden="1">
      <c r="A8" t="s">
        <v>527</v>
      </c>
      <c r="B8" t="s">
        <v>442</v>
      </c>
      <c r="C8" t="s">
        <v>443</v>
      </c>
      <c r="D8" s="105" t="s">
        <v>359</v>
      </c>
      <c r="E8" s="105" t="s">
        <v>526</v>
      </c>
    </row>
    <row r="9" spans="1:7" hidden="1">
      <c r="A9" t="s">
        <v>446</v>
      </c>
      <c r="B9" t="s">
        <v>442</v>
      </c>
      <c r="C9" t="s">
        <v>443</v>
      </c>
      <c r="D9" s="105" t="s">
        <v>359</v>
      </c>
      <c r="E9" s="105" t="s">
        <v>445</v>
      </c>
    </row>
    <row r="10" spans="1:7" hidden="1">
      <c r="A10" t="s">
        <v>465</v>
      </c>
      <c r="B10" t="s">
        <v>431</v>
      </c>
      <c r="C10" t="s">
        <v>432</v>
      </c>
      <c r="D10" s="105" t="s">
        <v>359</v>
      </c>
      <c r="E10" s="105" t="s">
        <v>464</v>
      </c>
    </row>
    <row r="11" spans="1:7" hidden="1">
      <c r="A11" t="s">
        <v>433</v>
      </c>
      <c r="B11" t="s">
        <v>431</v>
      </c>
      <c r="C11" t="s">
        <v>432</v>
      </c>
      <c r="D11" s="105" t="s">
        <v>359</v>
      </c>
      <c r="E11" s="105" t="s">
        <v>430</v>
      </c>
    </row>
    <row r="12" spans="1:7" hidden="1">
      <c r="A12" t="s">
        <v>601</v>
      </c>
      <c r="B12" t="s">
        <v>431</v>
      </c>
      <c r="C12" t="s">
        <v>432</v>
      </c>
      <c r="D12" s="105" t="s">
        <v>359</v>
      </c>
      <c r="E12" s="105" t="s">
        <v>600</v>
      </c>
    </row>
    <row r="13" spans="1:7" hidden="1">
      <c r="A13" t="s">
        <v>591</v>
      </c>
      <c r="B13" t="s">
        <v>431</v>
      </c>
      <c r="C13" t="s">
        <v>432</v>
      </c>
      <c r="D13" s="105" t="s">
        <v>359</v>
      </c>
      <c r="E13" s="105" t="s">
        <v>590</v>
      </c>
    </row>
    <row r="14" spans="1:7" hidden="1">
      <c r="A14" t="s">
        <v>565</v>
      </c>
      <c r="B14" t="s">
        <v>517</v>
      </c>
      <c r="C14" t="s">
        <v>518</v>
      </c>
      <c r="D14" s="105" t="s">
        <v>359</v>
      </c>
      <c r="E14" s="105" t="s">
        <v>564</v>
      </c>
    </row>
    <row r="15" spans="1:7" hidden="1">
      <c r="A15" t="s">
        <v>1423</v>
      </c>
      <c r="B15" t="s">
        <v>517</v>
      </c>
      <c r="C15" t="s">
        <v>518</v>
      </c>
      <c r="D15" s="105" t="s">
        <v>359</v>
      </c>
      <c r="E15" s="105" t="s">
        <v>1422</v>
      </c>
    </row>
    <row r="16" spans="1:7" hidden="1">
      <c r="A16" t="s">
        <v>549</v>
      </c>
      <c r="B16" t="s">
        <v>517</v>
      </c>
      <c r="C16" t="s">
        <v>518</v>
      </c>
      <c r="D16" s="105" t="s">
        <v>359</v>
      </c>
      <c r="E16" s="105" t="s">
        <v>548</v>
      </c>
    </row>
    <row r="17" spans="1:5" hidden="1">
      <c r="A17" t="s">
        <v>789</v>
      </c>
      <c r="B17" t="s">
        <v>517</v>
      </c>
      <c r="C17" t="s">
        <v>518</v>
      </c>
      <c r="D17" s="105" t="s">
        <v>359</v>
      </c>
      <c r="E17" s="105" t="s">
        <v>788</v>
      </c>
    </row>
    <row r="18" spans="1:5" hidden="1">
      <c r="A18" t="s">
        <v>1470</v>
      </c>
      <c r="B18" t="s">
        <v>517</v>
      </c>
      <c r="C18" t="s">
        <v>518</v>
      </c>
      <c r="D18" s="105" t="s">
        <v>359</v>
      </c>
      <c r="E18" s="105" t="s">
        <v>1469</v>
      </c>
    </row>
    <row r="19" spans="1:5" hidden="1">
      <c r="A19" t="s">
        <v>519</v>
      </c>
      <c r="B19" t="s">
        <v>517</v>
      </c>
      <c r="C19" t="s">
        <v>518</v>
      </c>
      <c r="D19" s="105" t="s">
        <v>359</v>
      </c>
      <c r="E19" s="105" t="s">
        <v>516</v>
      </c>
    </row>
    <row r="20" spans="1:5" hidden="1">
      <c r="A20" t="s">
        <v>895</v>
      </c>
      <c r="B20" t="s">
        <v>893</v>
      </c>
      <c r="C20" t="s">
        <v>894</v>
      </c>
      <c r="D20" s="105" t="s">
        <v>359</v>
      </c>
      <c r="E20" s="105" t="s">
        <v>892</v>
      </c>
    </row>
    <row r="21" spans="1:5" hidden="1">
      <c r="A21" t="s">
        <v>1684</v>
      </c>
      <c r="B21" t="s">
        <v>893</v>
      </c>
      <c r="C21" t="s">
        <v>894</v>
      </c>
      <c r="D21" s="105" t="s">
        <v>359</v>
      </c>
      <c r="E21" s="105" t="s">
        <v>1683</v>
      </c>
    </row>
    <row r="22" spans="1:5" hidden="1">
      <c r="A22" t="s">
        <v>1193</v>
      </c>
      <c r="B22" t="s">
        <v>893</v>
      </c>
      <c r="C22" t="s">
        <v>894</v>
      </c>
      <c r="D22" s="105" t="s">
        <v>359</v>
      </c>
      <c r="E22" s="105" t="s">
        <v>1192</v>
      </c>
    </row>
    <row r="23" spans="1:5" hidden="1">
      <c r="A23" t="s">
        <v>1862</v>
      </c>
      <c r="B23" t="s">
        <v>893</v>
      </c>
      <c r="C23" t="s">
        <v>894</v>
      </c>
      <c r="D23" s="105" t="s">
        <v>359</v>
      </c>
      <c r="E23" s="105" t="s">
        <v>1861</v>
      </c>
    </row>
    <row r="24" spans="1:5" hidden="1">
      <c r="A24" t="s">
        <v>1773</v>
      </c>
      <c r="B24" t="s">
        <v>893</v>
      </c>
      <c r="C24" t="s">
        <v>894</v>
      </c>
      <c r="D24" s="105" t="s">
        <v>359</v>
      </c>
      <c r="E24" s="105" t="s">
        <v>1772</v>
      </c>
    </row>
    <row r="25" spans="1:5" hidden="1">
      <c r="A25" t="s">
        <v>439</v>
      </c>
      <c r="B25" t="s">
        <v>435</v>
      </c>
      <c r="C25" t="s">
        <v>436</v>
      </c>
      <c r="D25" s="105" t="s">
        <v>359</v>
      </c>
      <c r="E25" s="105" t="s">
        <v>438</v>
      </c>
    </row>
    <row r="26" spans="1:5" hidden="1">
      <c r="A26" t="s">
        <v>563</v>
      </c>
      <c r="B26" t="s">
        <v>435</v>
      </c>
      <c r="C26" t="s">
        <v>436</v>
      </c>
      <c r="D26" s="105" t="s">
        <v>359</v>
      </c>
      <c r="E26" s="105" t="s">
        <v>618</v>
      </c>
    </row>
    <row r="27" spans="1:5" hidden="1">
      <c r="A27" t="s">
        <v>450</v>
      </c>
      <c r="B27" t="s">
        <v>435</v>
      </c>
      <c r="C27" t="s">
        <v>436</v>
      </c>
      <c r="D27" s="105" t="s">
        <v>359</v>
      </c>
      <c r="E27" s="105" t="s">
        <v>449</v>
      </c>
    </row>
    <row r="28" spans="1:5" hidden="1">
      <c r="A28" t="s">
        <v>507</v>
      </c>
      <c r="B28" t="s">
        <v>435</v>
      </c>
      <c r="C28" t="s">
        <v>436</v>
      </c>
      <c r="D28" s="105" t="s">
        <v>359</v>
      </c>
      <c r="E28" s="105" t="s">
        <v>515</v>
      </c>
    </row>
    <row r="29" spans="1:5" hidden="1">
      <c r="A29" t="s">
        <v>478</v>
      </c>
      <c r="B29" t="s">
        <v>435</v>
      </c>
      <c r="C29" t="s">
        <v>436</v>
      </c>
      <c r="D29" s="105" t="s">
        <v>359</v>
      </c>
      <c r="E29" s="105" t="s">
        <v>477</v>
      </c>
    </row>
    <row r="30" spans="1:5" hidden="1">
      <c r="A30" t="s">
        <v>452</v>
      </c>
      <c r="B30" t="s">
        <v>435</v>
      </c>
      <c r="C30" t="s">
        <v>436</v>
      </c>
      <c r="D30" s="105" t="s">
        <v>359</v>
      </c>
      <c r="E30" s="105" t="s">
        <v>451</v>
      </c>
    </row>
    <row r="31" spans="1:5" hidden="1">
      <c r="A31" t="s">
        <v>523</v>
      </c>
      <c r="B31" t="s">
        <v>435</v>
      </c>
      <c r="C31" t="s">
        <v>436</v>
      </c>
      <c r="D31" s="105" t="s">
        <v>359</v>
      </c>
      <c r="E31" s="105" t="s">
        <v>522</v>
      </c>
    </row>
    <row r="32" spans="1:5" hidden="1">
      <c r="A32" t="s">
        <v>437</v>
      </c>
      <c r="B32" t="s">
        <v>435</v>
      </c>
      <c r="C32" t="s">
        <v>436</v>
      </c>
      <c r="D32" s="105" t="s">
        <v>359</v>
      </c>
      <c r="E32" s="105" t="s">
        <v>434</v>
      </c>
    </row>
    <row r="33" spans="1:5" hidden="1">
      <c r="A33" t="s">
        <v>471</v>
      </c>
      <c r="B33" t="s">
        <v>435</v>
      </c>
      <c r="C33" t="s">
        <v>436</v>
      </c>
      <c r="D33" s="105" t="s">
        <v>359</v>
      </c>
      <c r="E33" s="105" t="s">
        <v>470</v>
      </c>
    </row>
    <row r="34" spans="1:5" hidden="1">
      <c r="A34" t="s">
        <v>448</v>
      </c>
      <c r="B34" t="s">
        <v>435</v>
      </c>
      <c r="C34" t="s">
        <v>436</v>
      </c>
      <c r="D34" s="105" t="s">
        <v>359</v>
      </c>
      <c r="E34" s="105" t="s">
        <v>447</v>
      </c>
    </row>
    <row r="35" spans="1:5" hidden="1">
      <c r="A35" t="s">
        <v>724</v>
      </c>
      <c r="B35" t="s">
        <v>435</v>
      </c>
      <c r="C35" t="s">
        <v>436</v>
      </c>
      <c r="D35" s="105" t="s">
        <v>359</v>
      </c>
      <c r="E35" s="105" t="s">
        <v>723</v>
      </c>
    </row>
    <row r="36" spans="1:5" hidden="1">
      <c r="A36" t="s">
        <v>1576</v>
      </c>
      <c r="B36" t="s">
        <v>435</v>
      </c>
      <c r="C36" t="s">
        <v>436</v>
      </c>
      <c r="D36" s="105" t="s">
        <v>359</v>
      </c>
      <c r="E36" s="105" t="s">
        <v>1575</v>
      </c>
    </row>
    <row r="37" spans="1:5" hidden="1">
      <c r="A37" t="s">
        <v>937</v>
      </c>
      <c r="B37" t="s">
        <v>435</v>
      </c>
      <c r="C37" t="s">
        <v>436</v>
      </c>
      <c r="D37" s="105" t="s">
        <v>359</v>
      </c>
      <c r="E37" s="105" t="s">
        <v>936</v>
      </c>
    </row>
    <row r="38" spans="1:5" hidden="1">
      <c r="A38" t="s">
        <v>1177</v>
      </c>
      <c r="B38" t="s">
        <v>435</v>
      </c>
      <c r="C38" t="s">
        <v>436</v>
      </c>
      <c r="D38" s="105" t="s">
        <v>359</v>
      </c>
      <c r="E38" s="105" t="s">
        <v>1176</v>
      </c>
    </row>
    <row r="39" spans="1:5" hidden="1">
      <c r="A39" t="s">
        <v>1148</v>
      </c>
      <c r="B39" t="s">
        <v>435</v>
      </c>
      <c r="C39" t="s">
        <v>436</v>
      </c>
      <c r="D39" s="105" t="s">
        <v>359</v>
      </c>
      <c r="E39" s="105" t="s">
        <v>1147</v>
      </c>
    </row>
    <row r="40" spans="1:5" hidden="1">
      <c r="A40" t="s">
        <v>1598</v>
      </c>
      <c r="B40" t="s">
        <v>435</v>
      </c>
      <c r="C40" t="s">
        <v>436</v>
      </c>
      <c r="D40" s="105" t="s">
        <v>359</v>
      </c>
      <c r="E40" s="105" t="s">
        <v>1597</v>
      </c>
    </row>
    <row r="41" spans="1:5" hidden="1">
      <c r="A41" t="s">
        <v>1171</v>
      </c>
      <c r="B41" t="s">
        <v>435</v>
      </c>
      <c r="C41" t="s">
        <v>436</v>
      </c>
      <c r="D41" s="105" t="s">
        <v>359</v>
      </c>
      <c r="E41" s="105" t="s">
        <v>1960</v>
      </c>
    </row>
    <row r="42" spans="1:5" hidden="1">
      <c r="A42" t="s">
        <v>1630</v>
      </c>
      <c r="B42" t="s">
        <v>567</v>
      </c>
      <c r="C42" t="s">
        <v>568</v>
      </c>
      <c r="D42" s="105" t="s">
        <v>359</v>
      </c>
      <c r="E42" s="105" t="s">
        <v>1629</v>
      </c>
    </row>
    <row r="43" spans="1:5" hidden="1">
      <c r="A43" t="s">
        <v>1380</v>
      </c>
      <c r="B43" t="s">
        <v>567</v>
      </c>
      <c r="C43" t="s">
        <v>568</v>
      </c>
      <c r="D43" s="105" t="s">
        <v>359</v>
      </c>
      <c r="E43" s="105" t="s">
        <v>1379</v>
      </c>
    </row>
    <row r="44" spans="1:5" hidden="1">
      <c r="A44" t="s">
        <v>1319</v>
      </c>
      <c r="B44" t="s">
        <v>567</v>
      </c>
      <c r="C44" t="s">
        <v>568</v>
      </c>
      <c r="D44" s="105" t="s">
        <v>359</v>
      </c>
      <c r="E44" s="105" t="s">
        <v>1318</v>
      </c>
    </row>
    <row r="45" spans="1:5" hidden="1">
      <c r="A45" t="s">
        <v>1576</v>
      </c>
      <c r="B45" t="s">
        <v>435</v>
      </c>
      <c r="C45" t="s">
        <v>436</v>
      </c>
      <c r="D45" s="105" t="s">
        <v>359</v>
      </c>
      <c r="E45" s="105" t="s">
        <v>1575</v>
      </c>
    </row>
    <row r="46" spans="1:5" hidden="1">
      <c r="A46" t="s">
        <v>1408</v>
      </c>
      <c r="B46" t="s">
        <v>567</v>
      </c>
      <c r="C46" t="s">
        <v>568</v>
      </c>
      <c r="D46" s="105" t="s">
        <v>359</v>
      </c>
      <c r="E46" s="105" t="s">
        <v>1407</v>
      </c>
    </row>
    <row r="47" spans="1:5" hidden="1">
      <c r="A47" t="s">
        <v>1957</v>
      </c>
      <c r="B47" t="s">
        <v>567</v>
      </c>
      <c r="C47" t="s">
        <v>568</v>
      </c>
      <c r="D47" s="105" t="s">
        <v>359</v>
      </c>
      <c r="E47" s="105" t="s">
        <v>1956</v>
      </c>
    </row>
    <row r="48" spans="1:5" hidden="1">
      <c r="A48" t="s">
        <v>2527</v>
      </c>
      <c r="B48" t="s">
        <v>435</v>
      </c>
      <c r="C48" t="s">
        <v>436</v>
      </c>
      <c r="D48" s="105" t="s">
        <v>359</v>
      </c>
      <c r="E48" s="105" t="s">
        <v>2526</v>
      </c>
    </row>
    <row r="49" spans="1:5" hidden="1">
      <c r="A49" t="s">
        <v>2499</v>
      </c>
      <c r="B49" t="s">
        <v>435</v>
      </c>
      <c r="C49" t="s">
        <v>436</v>
      </c>
      <c r="D49" s="105" t="s">
        <v>359</v>
      </c>
      <c r="E49" s="105" t="s">
        <v>2498</v>
      </c>
    </row>
    <row r="50" spans="1:5" hidden="1">
      <c r="A50" t="s">
        <v>2535</v>
      </c>
      <c r="B50" t="s">
        <v>1714</v>
      </c>
      <c r="C50" t="s">
        <v>1715</v>
      </c>
      <c r="D50" s="105" t="s">
        <v>359</v>
      </c>
      <c r="E50" s="105" t="s">
        <v>2534</v>
      </c>
    </row>
    <row r="51" spans="1:5" hidden="1">
      <c r="A51" t="s">
        <v>2483</v>
      </c>
      <c r="B51" t="s">
        <v>1714</v>
      </c>
      <c r="C51" t="s">
        <v>1715</v>
      </c>
      <c r="D51" s="105" t="s">
        <v>359</v>
      </c>
      <c r="E51" s="105" t="s">
        <v>2482</v>
      </c>
    </row>
    <row r="52" spans="1:5" hidden="1">
      <c r="A52" t="s">
        <v>2461</v>
      </c>
      <c r="B52" t="s">
        <v>1714</v>
      </c>
      <c r="C52" t="s">
        <v>1715</v>
      </c>
      <c r="D52" s="105" t="s">
        <v>359</v>
      </c>
      <c r="E52" s="105" t="s">
        <v>2460</v>
      </c>
    </row>
    <row r="53" spans="1:5" hidden="1">
      <c r="A53" t="s">
        <v>855</v>
      </c>
      <c r="B53" t="s">
        <v>1714</v>
      </c>
      <c r="C53" t="s">
        <v>1715</v>
      </c>
      <c r="D53" s="105" t="s">
        <v>359</v>
      </c>
      <c r="E53" s="105" t="s">
        <v>2459</v>
      </c>
    </row>
    <row r="54" spans="1:5" hidden="1">
      <c r="A54" t="s">
        <v>2087</v>
      </c>
      <c r="B54" t="s">
        <v>517</v>
      </c>
      <c r="C54" t="s">
        <v>518</v>
      </c>
      <c r="D54" s="105" t="s">
        <v>359</v>
      </c>
      <c r="E54" s="105" t="s">
        <v>2086</v>
      </c>
    </row>
    <row r="55" spans="1:5" hidden="1">
      <c r="A55" t="s">
        <v>2372</v>
      </c>
      <c r="B55" t="s">
        <v>517</v>
      </c>
      <c r="C55" t="s">
        <v>518</v>
      </c>
      <c r="D55" s="105" t="s">
        <v>359</v>
      </c>
      <c r="E55" s="105" t="s">
        <v>2371</v>
      </c>
    </row>
    <row r="56" spans="1:5" hidden="1">
      <c r="A56" t="s">
        <v>1873</v>
      </c>
      <c r="B56" t="s">
        <v>517</v>
      </c>
      <c r="C56" t="s">
        <v>518</v>
      </c>
      <c r="D56" s="105" t="s">
        <v>359</v>
      </c>
      <c r="E56" s="105" t="s">
        <v>1872</v>
      </c>
    </row>
    <row r="57" spans="1:5" hidden="1">
      <c r="A57" t="s">
        <v>798</v>
      </c>
      <c r="B57" t="s">
        <v>517</v>
      </c>
      <c r="C57" t="s">
        <v>518</v>
      </c>
      <c r="D57" s="105" t="s">
        <v>359</v>
      </c>
      <c r="E57" s="105" t="s">
        <v>797</v>
      </c>
    </row>
    <row r="58" spans="1:5" hidden="1">
      <c r="A58" t="s">
        <v>1732</v>
      </c>
      <c r="B58" t="s">
        <v>517</v>
      </c>
      <c r="C58" t="s">
        <v>518</v>
      </c>
      <c r="D58" s="105" t="s">
        <v>359</v>
      </c>
      <c r="E58" s="105" t="s">
        <v>1731</v>
      </c>
    </row>
    <row r="59" spans="1:5" hidden="1">
      <c r="A59" t="s">
        <v>2085</v>
      </c>
      <c r="B59" t="s">
        <v>517</v>
      </c>
      <c r="C59" t="s">
        <v>518</v>
      </c>
      <c r="D59" s="105" t="s">
        <v>359</v>
      </c>
      <c r="E59" s="105" t="s">
        <v>2084</v>
      </c>
    </row>
    <row r="60" spans="1:5" hidden="1">
      <c r="A60" t="s">
        <v>1288</v>
      </c>
      <c r="B60" t="s">
        <v>498</v>
      </c>
      <c r="C60" t="s">
        <v>499</v>
      </c>
      <c r="D60" s="105" t="s">
        <v>359</v>
      </c>
      <c r="E60" s="105" t="s">
        <v>1287</v>
      </c>
    </row>
    <row r="61" spans="1:5" hidden="1">
      <c r="A61" t="s">
        <v>2005</v>
      </c>
      <c r="B61" t="s">
        <v>431</v>
      </c>
      <c r="C61" t="s">
        <v>432</v>
      </c>
      <c r="D61" s="105" t="s">
        <v>359</v>
      </c>
      <c r="E61" s="105" t="s">
        <v>2004</v>
      </c>
    </row>
    <row r="62" spans="1:5" hidden="1">
      <c r="A62" t="s">
        <v>563</v>
      </c>
      <c r="B62" t="s">
        <v>431</v>
      </c>
      <c r="C62" t="s">
        <v>432</v>
      </c>
      <c r="D62" s="105" t="s">
        <v>359</v>
      </c>
      <c r="E62" s="105" t="s">
        <v>562</v>
      </c>
    </row>
    <row r="63" spans="1:5" hidden="1">
      <c r="A63" t="s">
        <v>481</v>
      </c>
      <c r="B63" t="s">
        <v>431</v>
      </c>
      <c r="C63" t="s">
        <v>432</v>
      </c>
      <c r="D63" s="105" t="s">
        <v>359</v>
      </c>
      <c r="E63" s="105" t="s">
        <v>2359</v>
      </c>
    </row>
    <row r="64" spans="1:5" hidden="1">
      <c r="A64" t="s">
        <v>1488</v>
      </c>
      <c r="B64" t="s">
        <v>431</v>
      </c>
      <c r="C64" t="s">
        <v>432</v>
      </c>
      <c r="D64" s="105" t="s">
        <v>359</v>
      </c>
      <c r="E64" s="105" t="s">
        <v>1487</v>
      </c>
    </row>
    <row r="65" spans="1:5" hidden="1">
      <c r="A65" t="s">
        <v>1722</v>
      </c>
      <c r="B65" t="s">
        <v>431</v>
      </c>
      <c r="C65" t="s">
        <v>432</v>
      </c>
      <c r="D65" s="105" t="s">
        <v>359</v>
      </c>
      <c r="E65" s="105" t="s">
        <v>2320</v>
      </c>
    </row>
    <row r="66" spans="1:5" hidden="1">
      <c r="A66" t="s">
        <v>1892</v>
      </c>
      <c r="B66" t="s">
        <v>431</v>
      </c>
      <c r="C66" t="s">
        <v>432</v>
      </c>
      <c r="D66" s="105" t="s">
        <v>359</v>
      </c>
      <c r="E66" s="105" t="s">
        <v>1891</v>
      </c>
    </row>
    <row r="67" spans="1:5" hidden="1">
      <c r="A67" t="s">
        <v>1510</v>
      </c>
      <c r="B67" t="s">
        <v>431</v>
      </c>
      <c r="C67" t="s">
        <v>432</v>
      </c>
      <c r="D67" s="105" t="s">
        <v>359</v>
      </c>
      <c r="E67" s="105" t="s">
        <v>1509</v>
      </c>
    </row>
    <row r="68" spans="1:5" hidden="1">
      <c r="A68" t="s">
        <v>821</v>
      </c>
      <c r="B68" t="s">
        <v>431</v>
      </c>
      <c r="C68" t="s">
        <v>432</v>
      </c>
      <c r="D68" s="105" t="s">
        <v>359</v>
      </c>
      <c r="E68" s="105" t="s">
        <v>820</v>
      </c>
    </row>
    <row r="69" spans="1:5" hidden="1">
      <c r="A69" t="s">
        <v>1718</v>
      </c>
      <c r="B69" t="s">
        <v>431</v>
      </c>
      <c r="C69" t="s">
        <v>432</v>
      </c>
      <c r="D69" s="105" t="s">
        <v>359</v>
      </c>
      <c r="E69" s="105" t="s">
        <v>1717</v>
      </c>
    </row>
    <row r="70" spans="1:5" hidden="1">
      <c r="A70" t="s">
        <v>2201</v>
      </c>
      <c r="B70" t="s">
        <v>431</v>
      </c>
      <c r="C70" t="s">
        <v>432</v>
      </c>
      <c r="D70" s="105" t="s">
        <v>359</v>
      </c>
      <c r="E70" s="105" t="s">
        <v>2200</v>
      </c>
    </row>
    <row r="71" spans="1:5" hidden="1">
      <c r="A71" t="s">
        <v>1862</v>
      </c>
      <c r="B71" t="s">
        <v>431</v>
      </c>
      <c r="C71" t="s">
        <v>432</v>
      </c>
      <c r="D71" s="105" t="s">
        <v>359</v>
      </c>
      <c r="E71" s="105" t="s">
        <v>2191</v>
      </c>
    </row>
    <row r="72" spans="1:5" hidden="1">
      <c r="A72" t="s">
        <v>1369</v>
      </c>
      <c r="B72" t="s">
        <v>431</v>
      </c>
      <c r="C72" t="s">
        <v>432</v>
      </c>
      <c r="D72" s="105" t="s">
        <v>359</v>
      </c>
      <c r="E72" s="105" t="s">
        <v>1368</v>
      </c>
    </row>
    <row r="73" spans="1:5" hidden="1">
      <c r="A73" t="s">
        <v>1538</v>
      </c>
      <c r="B73" t="s">
        <v>431</v>
      </c>
      <c r="C73" t="s">
        <v>432</v>
      </c>
      <c r="D73" s="105" t="s">
        <v>359</v>
      </c>
      <c r="E73" s="105" t="s">
        <v>1537</v>
      </c>
    </row>
    <row r="74" spans="1:5" hidden="1">
      <c r="A74" t="s">
        <v>495</v>
      </c>
      <c r="B74" t="s">
        <v>431</v>
      </c>
      <c r="C74" t="s">
        <v>432</v>
      </c>
      <c r="D74" s="105" t="s">
        <v>359</v>
      </c>
      <c r="E74" s="105" t="s">
        <v>2267</v>
      </c>
    </row>
    <row r="75" spans="1:5" hidden="1">
      <c r="A75" t="s">
        <v>1433</v>
      </c>
      <c r="B75" t="s">
        <v>431</v>
      </c>
      <c r="C75" t="s">
        <v>432</v>
      </c>
      <c r="D75" s="105" t="s">
        <v>359</v>
      </c>
      <c r="E75" s="105" t="s">
        <v>1432</v>
      </c>
    </row>
    <row r="76" spans="1:5" hidden="1">
      <c r="A76" t="s">
        <v>508</v>
      </c>
      <c r="B76" t="s">
        <v>506</v>
      </c>
      <c r="C76" t="s">
        <v>507</v>
      </c>
      <c r="D76" s="105" t="s">
        <v>359</v>
      </c>
      <c r="E76" s="105" t="s">
        <v>505</v>
      </c>
    </row>
    <row r="77" spans="1:5" hidden="1">
      <c r="A77" t="s">
        <v>561</v>
      </c>
      <c r="B77" t="s">
        <v>506</v>
      </c>
      <c r="C77" t="s">
        <v>507</v>
      </c>
      <c r="D77" s="105" t="s">
        <v>359</v>
      </c>
      <c r="E77" s="105" t="s">
        <v>560</v>
      </c>
    </row>
    <row r="78" spans="1:5" hidden="1">
      <c r="A78" t="s">
        <v>1258</v>
      </c>
      <c r="B78" t="s">
        <v>506</v>
      </c>
      <c r="C78" t="s">
        <v>507</v>
      </c>
      <c r="D78" s="105" t="s">
        <v>359</v>
      </c>
      <c r="E78" s="105" t="s">
        <v>1257</v>
      </c>
    </row>
    <row r="79" spans="1:5" hidden="1">
      <c r="A79" t="s">
        <v>765</v>
      </c>
      <c r="B79" t="s">
        <v>506</v>
      </c>
      <c r="C79" t="s">
        <v>507</v>
      </c>
      <c r="D79" s="105" t="s">
        <v>359</v>
      </c>
      <c r="E79" s="105" t="s">
        <v>764</v>
      </c>
    </row>
    <row r="80" spans="1:5" hidden="1">
      <c r="A80" t="s">
        <v>761</v>
      </c>
      <c r="B80" t="s">
        <v>506</v>
      </c>
      <c r="C80" t="s">
        <v>507</v>
      </c>
      <c r="D80" s="105" t="s">
        <v>359</v>
      </c>
      <c r="E80" s="105" t="s">
        <v>760</v>
      </c>
    </row>
    <row r="81" spans="1:5" hidden="1">
      <c r="A81" t="s">
        <v>1805</v>
      </c>
      <c r="B81" t="s">
        <v>638</v>
      </c>
      <c r="C81" t="s">
        <v>639</v>
      </c>
      <c r="D81" s="105" t="s">
        <v>359</v>
      </c>
      <c r="E81" s="105" t="s">
        <v>1804</v>
      </c>
    </row>
    <row r="82" spans="1:5" hidden="1">
      <c r="A82" t="s">
        <v>1382</v>
      </c>
      <c r="B82" t="s">
        <v>638</v>
      </c>
      <c r="C82" t="s">
        <v>639</v>
      </c>
      <c r="D82" s="105" t="s">
        <v>359</v>
      </c>
      <c r="E82" s="105" t="s">
        <v>1381</v>
      </c>
    </row>
    <row r="83" spans="1:5" hidden="1">
      <c r="A83" t="s">
        <v>851</v>
      </c>
      <c r="B83" t="s">
        <v>638</v>
      </c>
      <c r="C83" t="s">
        <v>639</v>
      </c>
      <c r="D83" s="105" t="s">
        <v>359</v>
      </c>
      <c r="E83" s="105" t="s">
        <v>850</v>
      </c>
    </row>
    <row r="84" spans="1:5" hidden="1">
      <c r="A84" t="s">
        <v>1582</v>
      </c>
      <c r="B84" t="s">
        <v>638</v>
      </c>
      <c r="C84" t="s">
        <v>639</v>
      </c>
      <c r="D84" s="105" t="s">
        <v>359</v>
      </c>
      <c r="E84" s="105" t="s">
        <v>1581</v>
      </c>
    </row>
    <row r="85" spans="1:5" hidden="1">
      <c r="A85" t="s">
        <v>1974</v>
      </c>
      <c r="B85" t="s">
        <v>638</v>
      </c>
      <c r="C85" t="s">
        <v>639</v>
      </c>
      <c r="D85" s="105" t="s">
        <v>359</v>
      </c>
      <c r="E85" s="105" t="s">
        <v>1973</v>
      </c>
    </row>
    <row r="86" spans="1:5" hidden="1">
      <c r="A86" t="s">
        <v>1203</v>
      </c>
      <c r="B86" t="s">
        <v>638</v>
      </c>
      <c r="C86" t="s">
        <v>639</v>
      </c>
      <c r="D86" s="105" t="s">
        <v>359</v>
      </c>
      <c r="E86" s="105" t="s">
        <v>1202</v>
      </c>
    </row>
    <row r="87" spans="1:5" hidden="1">
      <c r="A87" t="s">
        <v>1959</v>
      </c>
      <c r="B87" t="s">
        <v>638</v>
      </c>
      <c r="C87" t="s">
        <v>639</v>
      </c>
      <c r="D87" s="105" t="s">
        <v>359</v>
      </c>
      <c r="E87" s="105" t="s">
        <v>1958</v>
      </c>
    </row>
    <row r="88" spans="1:5" hidden="1">
      <c r="A88" t="s">
        <v>1278</v>
      </c>
      <c r="B88" t="s">
        <v>638</v>
      </c>
      <c r="C88" t="s">
        <v>639</v>
      </c>
      <c r="D88" s="105" t="s">
        <v>359</v>
      </c>
      <c r="E88" s="105" t="s">
        <v>1277</v>
      </c>
    </row>
    <row r="89" spans="1:5" hidden="1">
      <c r="A89" t="s">
        <v>1550</v>
      </c>
      <c r="B89" t="s">
        <v>435</v>
      </c>
      <c r="C89" t="s">
        <v>436</v>
      </c>
      <c r="D89" s="105" t="s">
        <v>359</v>
      </c>
      <c r="E89" s="105" t="s">
        <v>1549</v>
      </c>
    </row>
    <row r="90" spans="1:5" hidden="1">
      <c r="A90" t="s">
        <v>533</v>
      </c>
      <c r="B90" t="s">
        <v>435</v>
      </c>
      <c r="C90" t="s">
        <v>436</v>
      </c>
      <c r="D90" s="105" t="s">
        <v>359</v>
      </c>
      <c r="E90" s="105" t="s">
        <v>532</v>
      </c>
    </row>
    <row r="91" spans="1:5" hidden="1">
      <c r="A91" t="s">
        <v>716</v>
      </c>
      <c r="B91" t="s">
        <v>435</v>
      </c>
      <c r="C91" t="s">
        <v>436</v>
      </c>
      <c r="D91" s="105" t="s">
        <v>359</v>
      </c>
      <c r="E91" s="105" t="s">
        <v>715</v>
      </c>
    </row>
    <row r="92" spans="1:5" hidden="1">
      <c r="A92" t="s">
        <v>1171</v>
      </c>
      <c r="B92" t="s">
        <v>435</v>
      </c>
      <c r="C92" t="s">
        <v>436</v>
      </c>
      <c r="D92" s="105" t="s">
        <v>359</v>
      </c>
      <c r="E92" s="105" t="s">
        <v>1960</v>
      </c>
    </row>
    <row r="93" spans="1:5" hidden="1">
      <c r="A93" t="s">
        <v>1526</v>
      </c>
      <c r="B93" t="s">
        <v>435</v>
      </c>
      <c r="C93" t="s">
        <v>436</v>
      </c>
      <c r="D93" s="105" t="s">
        <v>359</v>
      </c>
      <c r="E93" s="105" t="s">
        <v>1525</v>
      </c>
    </row>
    <row r="94" spans="1:5" hidden="1">
      <c r="A94" t="s">
        <v>1343</v>
      </c>
      <c r="B94" t="s">
        <v>435</v>
      </c>
      <c r="C94" t="s">
        <v>436</v>
      </c>
      <c r="D94" s="105" t="s">
        <v>359</v>
      </c>
      <c r="E94" s="105" t="s">
        <v>1342</v>
      </c>
    </row>
    <row r="95" spans="1:5" hidden="1">
      <c r="A95" t="s">
        <v>1331</v>
      </c>
      <c r="B95" t="s">
        <v>435</v>
      </c>
      <c r="C95" t="s">
        <v>436</v>
      </c>
      <c r="D95" s="105" t="s">
        <v>359</v>
      </c>
      <c r="E95" s="105" t="s">
        <v>1330</v>
      </c>
    </row>
    <row r="96" spans="1:5" hidden="1">
      <c r="A96" t="s">
        <v>1380</v>
      </c>
      <c r="B96" t="s">
        <v>567</v>
      </c>
      <c r="C96" t="s">
        <v>568</v>
      </c>
      <c r="D96" s="105" t="s">
        <v>359</v>
      </c>
      <c r="E96" s="105" t="s">
        <v>1379</v>
      </c>
    </row>
    <row r="97" spans="1:5" hidden="1">
      <c r="A97" t="s">
        <v>1319</v>
      </c>
      <c r="B97" t="s">
        <v>567</v>
      </c>
      <c r="C97" t="s">
        <v>568</v>
      </c>
      <c r="D97" s="105" t="s">
        <v>359</v>
      </c>
      <c r="E97" s="105" t="s">
        <v>1318</v>
      </c>
    </row>
    <row r="98" spans="1:5" hidden="1">
      <c r="A98" t="s">
        <v>722</v>
      </c>
      <c r="B98" t="s">
        <v>567</v>
      </c>
      <c r="C98" t="s">
        <v>568</v>
      </c>
      <c r="D98" s="105" t="s">
        <v>359</v>
      </c>
      <c r="E98" s="105" t="s">
        <v>721</v>
      </c>
    </row>
    <row r="99" spans="1:5" hidden="1">
      <c r="A99" t="s">
        <v>858</v>
      </c>
      <c r="B99" t="s">
        <v>567</v>
      </c>
      <c r="C99" t="s">
        <v>568</v>
      </c>
      <c r="D99" s="105" t="s">
        <v>359</v>
      </c>
      <c r="E99" s="105" t="s">
        <v>857</v>
      </c>
    </row>
    <row r="100" spans="1:5" hidden="1">
      <c r="A100" t="s">
        <v>1630</v>
      </c>
      <c r="B100" t="s">
        <v>567</v>
      </c>
      <c r="C100" t="s">
        <v>568</v>
      </c>
      <c r="D100" s="105" t="s">
        <v>359</v>
      </c>
      <c r="E100" s="105" t="s">
        <v>1629</v>
      </c>
    </row>
    <row r="101" spans="1:5" hidden="1">
      <c r="A101" t="s">
        <v>1266</v>
      </c>
      <c r="B101" t="s">
        <v>567</v>
      </c>
      <c r="C101" t="s">
        <v>568</v>
      </c>
      <c r="D101" s="105" t="s">
        <v>359</v>
      </c>
      <c r="E101" s="105" t="s">
        <v>1265</v>
      </c>
    </row>
    <row r="102" spans="1:5" hidden="1">
      <c r="A102" t="s">
        <v>839</v>
      </c>
      <c r="B102" t="s">
        <v>567</v>
      </c>
      <c r="C102" t="s">
        <v>568</v>
      </c>
      <c r="D102" s="105" t="s">
        <v>359</v>
      </c>
      <c r="E102" s="105" t="s">
        <v>838</v>
      </c>
    </row>
    <row r="103" spans="1:5" hidden="1">
      <c r="A103" t="s">
        <v>1062</v>
      </c>
      <c r="B103" t="s">
        <v>467</v>
      </c>
      <c r="C103" t="s">
        <v>468</v>
      </c>
      <c r="D103" s="105" t="s">
        <v>359</v>
      </c>
      <c r="E103" s="105" t="s">
        <v>1061</v>
      </c>
    </row>
    <row r="104" spans="1:5" hidden="1">
      <c r="A104" t="s">
        <v>1301</v>
      </c>
      <c r="B104" t="s">
        <v>467</v>
      </c>
      <c r="C104" t="s">
        <v>468</v>
      </c>
      <c r="D104" s="105" t="s">
        <v>359</v>
      </c>
      <c r="E104" s="105" t="s">
        <v>1300</v>
      </c>
    </row>
    <row r="105" spans="1:5" hidden="1">
      <c r="A105" t="s">
        <v>835</v>
      </c>
      <c r="B105" t="s">
        <v>467</v>
      </c>
      <c r="C105" t="s">
        <v>468</v>
      </c>
      <c r="D105" s="105" t="s">
        <v>359</v>
      </c>
      <c r="E105" s="105" t="s">
        <v>834</v>
      </c>
    </row>
    <row r="106" spans="1:5" hidden="1">
      <c r="A106" t="s">
        <v>469</v>
      </c>
      <c r="B106" t="s">
        <v>467</v>
      </c>
      <c r="C106" t="s">
        <v>468</v>
      </c>
      <c r="D106" s="105" t="s">
        <v>359</v>
      </c>
      <c r="E106" s="105" t="s">
        <v>466</v>
      </c>
    </row>
    <row r="107" spans="1:5" hidden="1">
      <c r="A107" t="s">
        <v>899</v>
      </c>
      <c r="B107" t="s">
        <v>467</v>
      </c>
      <c r="C107" t="s">
        <v>468</v>
      </c>
      <c r="D107" s="105" t="s">
        <v>359</v>
      </c>
      <c r="E107" s="105" t="s">
        <v>898</v>
      </c>
    </row>
    <row r="108" spans="1:5" hidden="1">
      <c r="A108" t="s">
        <v>1080</v>
      </c>
      <c r="B108" t="s">
        <v>467</v>
      </c>
      <c r="C108" t="s">
        <v>468</v>
      </c>
      <c r="D108" s="105" t="s">
        <v>359</v>
      </c>
      <c r="E108" s="105" t="s">
        <v>1079</v>
      </c>
    </row>
    <row r="109" spans="1:5" hidden="1">
      <c r="A109" t="s">
        <v>521</v>
      </c>
      <c r="B109" t="s">
        <v>467</v>
      </c>
      <c r="C109" t="s">
        <v>468</v>
      </c>
      <c r="D109" s="105" t="s">
        <v>359</v>
      </c>
      <c r="E109" s="105" t="s">
        <v>520</v>
      </c>
    </row>
    <row r="110" spans="1:5" hidden="1">
      <c r="A110" t="s">
        <v>866</v>
      </c>
      <c r="B110" t="s">
        <v>467</v>
      </c>
      <c r="C110" t="s">
        <v>468</v>
      </c>
      <c r="D110" s="105" t="s">
        <v>359</v>
      </c>
      <c r="E110" s="105" t="s">
        <v>865</v>
      </c>
    </row>
    <row r="111" spans="1:5" hidden="1">
      <c r="A111" t="s">
        <v>1748</v>
      </c>
      <c r="B111" t="s">
        <v>467</v>
      </c>
      <c r="C111" t="s">
        <v>468</v>
      </c>
      <c r="D111" s="105" t="s">
        <v>359</v>
      </c>
      <c r="E111" s="105" t="s">
        <v>1747</v>
      </c>
    </row>
    <row r="112" spans="1:5" hidden="1">
      <c r="A112" t="s">
        <v>1867</v>
      </c>
      <c r="B112" t="s">
        <v>467</v>
      </c>
      <c r="C112" t="s">
        <v>468</v>
      </c>
      <c r="D112" s="105" t="s">
        <v>359</v>
      </c>
      <c r="E112" s="105" t="s">
        <v>1866</v>
      </c>
    </row>
    <row r="113" spans="1:5" hidden="1">
      <c r="A113" t="s">
        <v>730</v>
      </c>
      <c r="B113" t="s">
        <v>467</v>
      </c>
      <c r="C113" t="s">
        <v>468</v>
      </c>
      <c r="D113" s="105" t="s">
        <v>359</v>
      </c>
      <c r="E113" s="105" t="s">
        <v>729</v>
      </c>
    </row>
    <row r="114" spans="1:5" hidden="1">
      <c r="A114" t="s">
        <v>742</v>
      </c>
      <c r="B114" t="s">
        <v>467</v>
      </c>
      <c r="C114" t="s">
        <v>468</v>
      </c>
      <c r="D114" s="105" t="s">
        <v>359</v>
      </c>
      <c r="E114" s="105" t="s">
        <v>741</v>
      </c>
    </row>
    <row r="115" spans="1:5" hidden="1">
      <c r="A115" t="s">
        <v>1197</v>
      </c>
      <c r="B115" t="s">
        <v>467</v>
      </c>
      <c r="C115" t="s">
        <v>468</v>
      </c>
      <c r="D115" s="105" t="s">
        <v>359</v>
      </c>
      <c r="E115" s="105" t="s">
        <v>1196</v>
      </c>
    </row>
    <row r="116" spans="1:5" hidden="1">
      <c r="A116" t="s">
        <v>488</v>
      </c>
      <c r="B116" t="s">
        <v>461</v>
      </c>
      <c r="C116" t="s">
        <v>462</v>
      </c>
      <c r="D116" s="105" t="s">
        <v>359</v>
      </c>
      <c r="E116" s="105" t="s">
        <v>487</v>
      </c>
    </row>
    <row r="117" spans="1:5" hidden="1">
      <c r="A117" t="s">
        <v>484</v>
      </c>
      <c r="B117" t="s">
        <v>461</v>
      </c>
      <c r="C117" t="s">
        <v>462</v>
      </c>
      <c r="D117" s="105" t="s">
        <v>359</v>
      </c>
      <c r="E117" s="105" t="s">
        <v>483</v>
      </c>
    </row>
    <row r="118" spans="1:5" hidden="1">
      <c r="A118" t="s">
        <v>732</v>
      </c>
      <c r="B118" t="s">
        <v>461</v>
      </c>
      <c r="C118" t="s">
        <v>462</v>
      </c>
      <c r="D118" s="105" t="s">
        <v>359</v>
      </c>
      <c r="E118" s="105" t="s">
        <v>731</v>
      </c>
    </row>
    <row r="119" spans="1:5" hidden="1">
      <c r="A119" t="s">
        <v>541</v>
      </c>
      <c r="B119" t="s">
        <v>461</v>
      </c>
      <c r="C119" t="s">
        <v>462</v>
      </c>
      <c r="D119" s="105" t="s">
        <v>359</v>
      </c>
      <c r="E119" s="105" t="s">
        <v>540</v>
      </c>
    </row>
    <row r="120" spans="1:5" hidden="1">
      <c r="A120" t="s">
        <v>587</v>
      </c>
      <c r="B120" t="s">
        <v>461</v>
      </c>
      <c r="C120" t="s">
        <v>462</v>
      </c>
      <c r="D120" s="105" t="s">
        <v>359</v>
      </c>
      <c r="E120" s="105" t="s">
        <v>586</v>
      </c>
    </row>
    <row r="121" spans="1:5" hidden="1">
      <c r="A121" t="s">
        <v>805</v>
      </c>
      <c r="B121" t="s">
        <v>461</v>
      </c>
      <c r="C121" t="s">
        <v>462</v>
      </c>
      <c r="D121" s="105" t="s">
        <v>359</v>
      </c>
      <c r="E121" s="105" t="s">
        <v>804</v>
      </c>
    </row>
    <row r="122" spans="1:5" hidden="1">
      <c r="A122" t="s">
        <v>670</v>
      </c>
      <c r="B122" t="s">
        <v>461</v>
      </c>
      <c r="C122" t="s">
        <v>462</v>
      </c>
      <c r="D122" s="105" t="s">
        <v>359</v>
      </c>
      <c r="E122" s="105" t="s">
        <v>669</v>
      </c>
    </row>
    <row r="123" spans="1:5" hidden="1">
      <c r="A123" t="s">
        <v>630</v>
      </c>
      <c r="B123" t="s">
        <v>461</v>
      </c>
      <c r="C123" t="s">
        <v>462</v>
      </c>
      <c r="D123" s="105" t="s">
        <v>359</v>
      </c>
      <c r="E123" s="105" t="s">
        <v>629</v>
      </c>
    </row>
    <row r="124" spans="1:5" hidden="1">
      <c r="A124" t="s">
        <v>698</v>
      </c>
      <c r="B124" t="s">
        <v>461</v>
      </c>
      <c r="C124" t="s">
        <v>462</v>
      </c>
      <c r="D124" s="105" t="s">
        <v>359</v>
      </c>
      <c r="E124" s="105" t="s">
        <v>697</v>
      </c>
    </row>
    <row r="125" spans="1:5" hidden="1">
      <c r="A125" t="s">
        <v>553</v>
      </c>
      <c r="B125" t="s">
        <v>461</v>
      </c>
      <c r="C125" t="s">
        <v>462</v>
      </c>
      <c r="D125" s="105" t="s">
        <v>359</v>
      </c>
      <c r="E125" s="105" t="s">
        <v>552</v>
      </c>
    </row>
    <row r="126" spans="1:5" hidden="1">
      <c r="A126" t="s">
        <v>535</v>
      </c>
      <c r="B126" t="s">
        <v>461</v>
      </c>
      <c r="C126" t="s">
        <v>462</v>
      </c>
      <c r="D126" s="105" t="s">
        <v>359</v>
      </c>
      <c r="E126" s="105" t="s">
        <v>534</v>
      </c>
    </row>
    <row r="127" spans="1:5" hidden="1">
      <c r="A127" t="s">
        <v>658</v>
      </c>
      <c r="B127" t="s">
        <v>442</v>
      </c>
      <c r="C127" t="s">
        <v>443</v>
      </c>
      <c r="D127" s="105" t="s">
        <v>359</v>
      </c>
      <c r="E127" s="105" t="s">
        <v>657</v>
      </c>
    </row>
    <row r="128" spans="1:5" hidden="1">
      <c r="A128" t="s">
        <v>531</v>
      </c>
      <c r="B128" t="s">
        <v>442</v>
      </c>
      <c r="C128" t="s">
        <v>443</v>
      </c>
      <c r="D128" s="105" t="s">
        <v>359</v>
      </c>
      <c r="E128" s="105" t="s">
        <v>530</v>
      </c>
    </row>
    <row r="129" spans="1:5" hidden="1">
      <c r="A129" t="s">
        <v>800</v>
      </c>
      <c r="B129" t="s">
        <v>442</v>
      </c>
      <c r="C129" t="s">
        <v>443</v>
      </c>
      <c r="D129" s="105" t="s">
        <v>359</v>
      </c>
      <c r="E129" s="105" t="s">
        <v>799</v>
      </c>
    </row>
    <row r="130" spans="1:5" hidden="1">
      <c r="A130" t="s">
        <v>777</v>
      </c>
      <c r="B130" t="s">
        <v>442</v>
      </c>
      <c r="C130" t="s">
        <v>443</v>
      </c>
      <c r="D130" s="105" t="s">
        <v>359</v>
      </c>
      <c r="E130" s="105" t="s">
        <v>776</v>
      </c>
    </row>
    <row r="131" spans="1:5" hidden="1">
      <c r="A131" t="s">
        <v>907</v>
      </c>
      <c r="B131" t="s">
        <v>442</v>
      </c>
      <c r="C131" t="s">
        <v>443</v>
      </c>
      <c r="D131" s="105" t="s">
        <v>359</v>
      </c>
      <c r="E131" s="105" t="s">
        <v>906</v>
      </c>
    </row>
    <row r="132" spans="1:5" hidden="1">
      <c r="A132" t="s">
        <v>626</v>
      </c>
      <c r="B132" t="s">
        <v>442</v>
      </c>
      <c r="C132" t="s">
        <v>443</v>
      </c>
      <c r="D132" s="105" t="s">
        <v>359</v>
      </c>
      <c r="E132" s="105" t="s">
        <v>625</v>
      </c>
    </row>
    <row r="133" spans="1:5" hidden="1">
      <c r="A133" t="s">
        <v>775</v>
      </c>
      <c r="B133" t="s">
        <v>442</v>
      </c>
      <c r="C133" t="s">
        <v>443</v>
      </c>
      <c r="D133" s="105" t="s">
        <v>359</v>
      </c>
      <c r="E133" s="105" t="s">
        <v>774</v>
      </c>
    </row>
    <row r="134" spans="1:5" hidden="1">
      <c r="A134" t="s">
        <v>1074</v>
      </c>
      <c r="B134" t="s">
        <v>442</v>
      </c>
      <c r="C134" t="s">
        <v>443</v>
      </c>
      <c r="D134" s="105" t="s">
        <v>359</v>
      </c>
      <c r="E134" s="105" t="s">
        <v>1073</v>
      </c>
    </row>
    <row r="135" spans="1:5" hidden="1">
      <c r="A135" t="s">
        <v>510</v>
      </c>
      <c r="B135" t="s">
        <v>442</v>
      </c>
      <c r="C135" t="s">
        <v>443</v>
      </c>
      <c r="D135" s="105" t="s">
        <v>359</v>
      </c>
      <c r="E135" s="105" t="s">
        <v>509</v>
      </c>
    </row>
    <row r="136" spans="1:5" hidden="1">
      <c r="A136" t="s">
        <v>636</v>
      </c>
      <c r="B136" t="s">
        <v>442</v>
      </c>
      <c r="C136" t="s">
        <v>443</v>
      </c>
      <c r="D136" s="105" t="s">
        <v>359</v>
      </c>
      <c r="E136" s="105" t="s">
        <v>635</v>
      </c>
    </row>
    <row r="137" spans="1:5" hidden="1">
      <c r="A137" t="s">
        <v>622</v>
      </c>
      <c r="B137" t="s">
        <v>442</v>
      </c>
      <c r="C137" t="s">
        <v>443</v>
      </c>
      <c r="D137" s="105" t="s">
        <v>359</v>
      </c>
      <c r="E137" s="105" t="s">
        <v>621</v>
      </c>
    </row>
    <row r="138" spans="1:5" hidden="1">
      <c r="A138" t="s">
        <v>1246</v>
      </c>
      <c r="B138" t="s">
        <v>1463</v>
      </c>
      <c r="C138" t="s">
        <v>1464</v>
      </c>
      <c r="D138" s="105" t="s">
        <v>359</v>
      </c>
      <c r="E138" s="105" t="s">
        <v>1462</v>
      </c>
    </row>
    <row r="139" spans="1:5" hidden="1">
      <c r="A139" t="s">
        <v>1268</v>
      </c>
      <c r="B139" t="s">
        <v>1463</v>
      </c>
      <c r="C139" t="s">
        <v>1464</v>
      </c>
      <c r="D139" s="105" t="s">
        <v>359</v>
      </c>
      <c r="E139" s="105" t="s">
        <v>2414</v>
      </c>
    </row>
    <row r="140" spans="1:5" hidden="1">
      <c r="A140" t="s">
        <v>2429</v>
      </c>
      <c r="B140" t="s">
        <v>1463</v>
      </c>
      <c r="C140" t="s">
        <v>1464</v>
      </c>
      <c r="D140" s="105" t="s">
        <v>359</v>
      </c>
      <c r="E140" s="105" t="s">
        <v>2428</v>
      </c>
    </row>
    <row r="141" spans="1:5" hidden="1">
      <c r="A141" t="s">
        <v>2560</v>
      </c>
      <c r="B141" t="s">
        <v>1463</v>
      </c>
      <c r="C141" t="s">
        <v>1464</v>
      </c>
      <c r="D141" s="105" t="s">
        <v>359</v>
      </c>
      <c r="E141" s="105" t="s">
        <v>2559</v>
      </c>
    </row>
    <row r="142" spans="1:5" hidden="1">
      <c r="A142" t="s">
        <v>2294</v>
      </c>
      <c r="B142" t="s">
        <v>1463</v>
      </c>
      <c r="C142" t="s">
        <v>1464</v>
      </c>
      <c r="D142" s="105" t="s">
        <v>359</v>
      </c>
      <c r="E142" s="105" t="s">
        <v>2293</v>
      </c>
    </row>
    <row r="143" spans="1:5" hidden="1">
      <c r="A143" t="s">
        <v>2299</v>
      </c>
      <c r="B143" t="s">
        <v>1463</v>
      </c>
      <c r="C143" t="s">
        <v>1464</v>
      </c>
      <c r="D143" s="105" t="s">
        <v>359</v>
      </c>
      <c r="E143" s="105" t="s">
        <v>2298</v>
      </c>
    </row>
    <row r="144" spans="1:5" hidden="1">
      <c r="A144" t="s">
        <v>2352</v>
      </c>
      <c r="B144" t="s">
        <v>1463</v>
      </c>
      <c r="C144" t="s">
        <v>1464</v>
      </c>
      <c r="D144" s="105" t="s">
        <v>359</v>
      </c>
      <c r="E144" s="105" t="s">
        <v>2351</v>
      </c>
    </row>
    <row r="145" spans="1:5" hidden="1">
      <c r="A145" t="s">
        <v>2440</v>
      </c>
      <c r="B145" t="s">
        <v>1463</v>
      </c>
      <c r="C145" t="s">
        <v>1464</v>
      </c>
      <c r="D145" s="105" t="s">
        <v>359</v>
      </c>
      <c r="E145" s="105" t="s">
        <v>2439</v>
      </c>
    </row>
    <row r="146" spans="1:5" hidden="1">
      <c r="A146" t="s">
        <v>2485</v>
      </c>
      <c r="B146" t="s">
        <v>1463</v>
      </c>
      <c r="C146" t="s">
        <v>1464</v>
      </c>
      <c r="D146" s="105" t="s">
        <v>359</v>
      </c>
      <c r="E146" s="105" t="s">
        <v>2484</v>
      </c>
    </row>
    <row r="147" spans="1:5" hidden="1">
      <c r="A147" t="s">
        <v>2458</v>
      </c>
      <c r="B147" t="s">
        <v>1463</v>
      </c>
      <c r="C147" t="s">
        <v>1464</v>
      </c>
      <c r="D147" s="105" t="s">
        <v>359</v>
      </c>
      <c r="E147" s="105" t="s">
        <v>2457</v>
      </c>
    </row>
    <row r="148" spans="1:5" hidden="1">
      <c r="A148" t="s">
        <v>2508</v>
      </c>
      <c r="B148" t="s">
        <v>1463</v>
      </c>
      <c r="C148" t="s">
        <v>1464</v>
      </c>
      <c r="D148" s="105" t="s">
        <v>359</v>
      </c>
      <c r="E148" s="105" t="s">
        <v>2507</v>
      </c>
    </row>
    <row r="149" spans="1:5" hidden="1">
      <c r="A149" t="s">
        <v>2425</v>
      </c>
      <c r="B149" t="s">
        <v>1463</v>
      </c>
      <c r="C149" t="s">
        <v>1464</v>
      </c>
      <c r="D149" s="105" t="s">
        <v>359</v>
      </c>
      <c r="E149" s="105" t="s">
        <v>2424</v>
      </c>
    </row>
    <row r="150" spans="1:5" hidden="1">
      <c r="A150" t="s">
        <v>2546</v>
      </c>
      <c r="B150" t="s">
        <v>1463</v>
      </c>
      <c r="C150" t="s">
        <v>1464</v>
      </c>
      <c r="D150" s="105" t="s">
        <v>359</v>
      </c>
      <c r="E150" s="105" t="s">
        <v>2545</v>
      </c>
    </row>
    <row r="151" spans="1:5" hidden="1">
      <c r="A151" t="s">
        <v>2599</v>
      </c>
      <c r="B151" t="s">
        <v>1463</v>
      </c>
      <c r="C151" t="s">
        <v>1464</v>
      </c>
      <c r="D151" s="105" t="s">
        <v>359</v>
      </c>
      <c r="E151" s="105" t="s">
        <v>2598</v>
      </c>
    </row>
    <row r="152" spans="1:5" hidden="1">
      <c r="A152" t="s">
        <v>2405</v>
      </c>
      <c r="B152" t="s">
        <v>1463</v>
      </c>
      <c r="C152" t="s">
        <v>1464</v>
      </c>
      <c r="D152" s="105" t="s">
        <v>359</v>
      </c>
      <c r="E152" s="105" t="s">
        <v>2404</v>
      </c>
    </row>
    <row r="153" spans="1:5" hidden="1">
      <c r="A153" t="s">
        <v>1397</v>
      </c>
      <c r="B153" t="s">
        <v>1463</v>
      </c>
      <c r="C153" t="s">
        <v>1464</v>
      </c>
      <c r="D153" s="105" t="s">
        <v>359</v>
      </c>
      <c r="E153" s="105" t="s">
        <v>2517</v>
      </c>
    </row>
    <row r="154" spans="1:5" hidden="1">
      <c r="A154" t="s">
        <v>658</v>
      </c>
      <c r="B154" t="s">
        <v>442</v>
      </c>
      <c r="C154" t="s">
        <v>443</v>
      </c>
      <c r="D154" s="105" t="s">
        <v>359</v>
      </c>
      <c r="E154" s="105" t="s">
        <v>657</v>
      </c>
    </row>
    <row r="155" spans="1:5" hidden="1">
      <c r="A155" t="s">
        <v>636</v>
      </c>
      <c r="B155" t="s">
        <v>442</v>
      </c>
      <c r="C155" t="s">
        <v>443</v>
      </c>
      <c r="D155" s="105" t="s">
        <v>359</v>
      </c>
      <c r="E155" s="105" t="s">
        <v>635</v>
      </c>
    </row>
    <row r="156" spans="1:5" hidden="1">
      <c r="A156" t="s">
        <v>622</v>
      </c>
      <c r="B156" t="s">
        <v>442</v>
      </c>
      <c r="C156" t="s">
        <v>443</v>
      </c>
      <c r="D156" s="105" t="s">
        <v>359</v>
      </c>
      <c r="E156" s="105" t="s">
        <v>621</v>
      </c>
    </row>
    <row r="157" spans="1:5" hidden="1">
      <c r="A157" t="s">
        <v>927</v>
      </c>
      <c r="B157" t="s">
        <v>480</v>
      </c>
      <c r="C157" t="s">
        <v>481</v>
      </c>
      <c r="D157" s="105" t="s">
        <v>359</v>
      </c>
      <c r="E157" s="105" t="s">
        <v>926</v>
      </c>
    </row>
    <row r="158" spans="1:5" hidden="1">
      <c r="A158" t="s">
        <v>1900</v>
      </c>
      <c r="B158" t="s">
        <v>480</v>
      </c>
      <c r="C158" t="s">
        <v>481</v>
      </c>
      <c r="D158" s="105" t="s">
        <v>359</v>
      </c>
      <c r="E158" s="105" t="s">
        <v>1899</v>
      </c>
    </row>
    <row r="159" spans="1:5" hidden="1">
      <c r="A159" t="s">
        <v>1001</v>
      </c>
      <c r="B159" t="s">
        <v>480</v>
      </c>
      <c r="C159" t="s">
        <v>481</v>
      </c>
      <c r="D159" s="105" t="s">
        <v>359</v>
      </c>
      <c r="E159" s="105" t="s">
        <v>1000</v>
      </c>
    </row>
    <row r="160" spans="1:5" hidden="1">
      <c r="A160" t="s">
        <v>1132</v>
      </c>
      <c r="B160" t="s">
        <v>480</v>
      </c>
      <c r="C160" t="s">
        <v>481</v>
      </c>
      <c r="D160" s="105" t="s">
        <v>359</v>
      </c>
      <c r="E160" s="105" t="s">
        <v>1131</v>
      </c>
    </row>
    <row r="161" spans="1:5" hidden="1">
      <c r="A161" t="s">
        <v>870</v>
      </c>
      <c r="B161" t="s">
        <v>480</v>
      </c>
      <c r="C161" t="s">
        <v>481</v>
      </c>
      <c r="D161" s="105" t="s">
        <v>359</v>
      </c>
      <c r="E161" s="105" t="s">
        <v>869</v>
      </c>
    </row>
    <row r="162" spans="1:5" hidden="1">
      <c r="A162" t="s">
        <v>1554</v>
      </c>
      <c r="B162" t="s">
        <v>480</v>
      </c>
      <c r="C162" t="s">
        <v>481</v>
      </c>
      <c r="D162" s="105" t="s">
        <v>359</v>
      </c>
      <c r="E162" s="105" t="s">
        <v>1553</v>
      </c>
    </row>
    <row r="163" spans="1:5" hidden="1">
      <c r="A163" t="s">
        <v>1382</v>
      </c>
      <c r="B163" t="s">
        <v>638</v>
      </c>
      <c r="C163" t="s">
        <v>639</v>
      </c>
      <c r="D163" s="105" t="s">
        <v>359</v>
      </c>
      <c r="E163" s="105" t="s">
        <v>1381</v>
      </c>
    </row>
    <row r="164" spans="1:5" hidden="1">
      <c r="A164" t="s">
        <v>1582</v>
      </c>
      <c r="B164" t="s">
        <v>638</v>
      </c>
      <c r="C164" t="s">
        <v>639</v>
      </c>
      <c r="D164" s="105" t="s">
        <v>359</v>
      </c>
      <c r="E164" s="105" t="s">
        <v>1581</v>
      </c>
    </row>
    <row r="165" spans="1:5" hidden="1">
      <c r="A165" t="s">
        <v>1881</v>
      </c>
      <c r="B165" t="s">
        <v>638</v>
      </c>
      <c r="C165" t="s">
        <v>639</v>
      </c>
      <c r="D165" s="105" t="s">
        <v>359</v>
      </c>
      <c r="E165" s="105" t="s">
        <v>1880</v>
      </c>
    </row>
    <row r="166" spans="1:5" hidden="1">
      <c r="A166" t="s">
        <v>1811</v>
      </c>
      <c r="B166" t="s">
        <v>638</v>
      </c>
      <c r="C166" t="s">
        <v>639</v>
      </c>
      <c r="D166" s="105" t="s">
        <v>359</v>
      </c>
      <c r="E166" s="105" t="s">
        <v>1810</v>
      </c>
    </row>
    <row r="167" spans="1:5" hidden="1">
      <c r="A167" t="s">
        <v>1809</v>
      </c>
      <c r="B167" t="s">
        <v>893</v>
      </c>
      <c r="C167" t="s">
        <v>894</v>
      </c>
      <c r="D167" s="105" t="s">
        <v>359</v>
      </c>
      <c r="E167" s="105" t="s">
        <v>1808</v>
      </c>
    </row>
    <row r="168" spans="1:5" hidden="1">
      <c r="A168" t="s">
        <v>2037</v>
      </c>
      <c r="B168" t="s">
        <v>517</v>
      </c>
      <c r="C168" t="s">
        <v>518</v>
      </c>
      <c r="D168" s="105" t="s">
        <v>359</v>
      </c>
      <c r="E168" s="105" t="s">
        <v>2036</v>
      </c>
    </row>
    <row r="169" spans="1:5" hidden="1">
      <c r="A169" t="s">
        <v>2172</v>
      </c>
      <c r="B169" t="s">
        <v>517</v>
      </c>
      <c r="C169" t="s">
        <v>518</v>
      </c>
      <c r="D169" s="105" t="s">
        <v>359</v>
      </c>
      <c r="E169" s="105" t="s">
        <v>2171</v>
      </c>
    </row>
    <row r="170" spans="1:5" hidden="1">
      <c r="A170" t="s">
        <v>2147</v>
      </c>
      <c r="B170" t="s">
        <v>517</v>
      </c>
      <c r="C170" t="s">
        <v>518</v>
      </c>
      <c r="D170" s="105" t="s">
        <v>359</v>
      </c>
      <c r="E170" s="105" t="s">
        <v>2146</v>
      </c>
    </row>
    <row r="171" spans="1:5" hidden="1">
      <c r="A171" t="s">
        <v>2427</v>
      </c>
      <c r="B171" t="s">
        <v>517</v>
      </c>
      <c r="C171" t="s">
        <v>518</v>
      </c>
      <c r="D171" s="105" t="s">
        <v>359</v>
      </c>
      <c r="E171" s="105" t="s">
        <v>2426</v>
      </c>
    </row>
    <row r="172" spans="1:5" hidden="1">
      <c r="A172" t="s">
        <v>1989</v>
      </c>
      <c r="B172" t="s">
        <v>517</v>
      </c>
      <c r="C172" t="s">
        <v>518</v>
      </c>
      <c r="D172" s="105" t="s">
        <v>359</v>
      </c>
      <c r="E172" s="105" t="s">
        <v>1988</v>
      </c>
    </row>
    <row r="173" spans="1:5" hidden="1">
      <c r="A173" t="s">
        <v>2089</v>
      </c>
      <c r="B173" t="s">
        <v>517</v>
      </c>
      <c r="C173" t="s">
        <v>518</v>
      </c>
      <c r="D173" s="105" t="s">
        <v>359</v>
      </c>
      <c r="E173" s="105" t="s">
        <v>2088</v>
      </c>
    </row>
    <row r="174" spans="1:5" hidden="1">
      <c r="A174" t="s">
        <v>2114</v>
      </c>
      <c r="B174" t="s">
        <v>517</v>
      </c>
      <c r="C174" t="s">
        <v>518</v>
      </c>
      <c r="D174" s="105" t="s">
        <v>359</v>
      </c>
      <c r="E174" s="105" t="s">
        <v>2113</v>
      </c>
    </row>
    <row r="175" spans="1:5" hidden="1">
      <c r="A175" t="s">
        <v>1845</v>
      </c>
      <c r="B175" t="s">
        <v>517</v>
      </c>
      <c r="C175" t="s">
        <v>518</v>
      </c>
      <c r="D175" s="105" t="s">
        <v>359</v>
      </c>
      <c r="E175" s="105" t="s">
        <v>1844</v>
      </c>
    </row>
    <row r="176" spans="1:5" hidden="1">
      <c r="A176" t="s">
        <v>726</v>
      </c>
      <c r="B176" t="s">
        <v>517</v>
      </c>
      <c r="C176" t="s">
        <v>518</v>
      </c>
      <c r="D176" s="105" t="s">
        <v>359</v>
      </c>
      <c r="E176" s="105" t="s">
        <v>725</v>
      </c>
    </row>
    <row r="177" spans="1:5" hidden="1">
      <c r="A177" t="s">
        <v>1921</v>
      </c>
      <c r="B177" t="s">
        <v>517</v>
      </c>
      <c r="C177" t="s">
        <v>518</v>
      </c>
      <c r="D177" s="105" t="s">
        <v>359</v>
      </c>
      <c r="E177" s="105" t="s">
        <v>1920</v>
      </c>
    </row>
    <row r="178" spans="1:5" hidden="1">
      <c r="A178" t="s">
        <v>2188</v>
      </c>
      <c r="B178" t="s">
        <v>517</v>
      </c>
      <c r="C178" t="s">
        <v>518</v>
      </c>
      <c r="D178" s="105" t="s">
        <v>359</v>
      </c>
      <c r="E178" s="105" t="s">
        <v>2187</v>
      </c>
    </row>
    <row r="179" spans="1:5" hidden="1">
      <c r="A179" t="s">
        <v>2195</v>
      </c>
      <c r="B179" t="s">
        <v>517</v>
      </c>
      <c r="C179" t="s">
        <v>518</v>
      </c>
      <c r="D179" s="105" t="s">
        <v>359</v>
      </c>
      <c r="E179" s="105" t="s">
        <v>2194</v>
      </c>
    </row>
    <row r="180" spans="1:5" hidden="1">
      <c r="A180" t="s">
        <v>597</v>
      </c>
      <c r="B180" t="s">
        <v>595</v>
      </c>
      <c r="C180" t="s">
        <v>596</v>
      </c>
      <c r="D180" s="105" t="s">
        <v>359</v>
      </c>
      <c r="E180" s="105" t="s">
        <v>594</v>
      </c>
    </row>
    <row r="181" spans="1:5" hidden="1">
      <c r="A181" t="s">
        <v>1815</v>
      </c>
      <c r="B181" t="s">
        <v>595</v>
      </c>
      <c r="C181" t="s">
        <v>596</v>
      </c>
      <c r="D181" s="105" t="s">
        <v>359</v>
      </c>
      <c r="E181" s="105" t="s">
        <v>1814</v>
      </c>
    </row>
    <row r="182" spans="1:5" hidden="1">
      <c r="A182" t="s">
        <v>1786</v>
      </c>
      <c r="B182" t="s">
        <v>595</v>
      </c>
      <c r="C182" t="s">
        <v>596</v>
      </c>
      <c r="D182" s="105" t="s">
        <v>359</v>
      </c>
      <c r="E182" s="105" t="s">
        <v>1785</v>
      </c>
    </row>
    <row r="183" spans="1:5" hidden="1">
      <c r="A183" t="s">
        <v>2083</v>
      </c>
      <c r="B183" t="s">
        <v>595</v>
      </c>
      <c r="C183" t="s">
        <v>596</v>
      </c>
      <c r="D183" s="105" t="s">
        <v>359</v>
      </c>
      <c r="E183" s="105" t="s">
        <v>2082</v>
      </c>
    </row>
    <row r="184" spans="1:5" hidden="1">
      <c r="A184" t="s">
        <v>1534</v>
      </c>
      <c r="B184" t="s">
        <v>595</v>
      </c>
      <c r="C184" t="s">
        <v>596</v>
      </c>
      <c r="D184" s="105" t="s">
        <v>359</v>
      </c>
      <c r="E184" s="105" t="s">
        <v>1533</v>
      </c>
    </row>
    <row r="185" spans="1:5" hidden="1">
      <c r="A185" t="s">
        <v>1821</v>
      </c>
      <c r="B185" t="s">
        <v>595</v>
      </c>
      <c r="C185" t="s">
        <v>596</v>
      </c>
      <c r="D185" s="105" t="s">
        <v>359</v>
      </c>
      <c r="E185" s="105" t="s">
        <v>1820</v>
      </c>
    </row>
    <row r="186" spans="1:5" hidden="1">
      <c r="A186" t="s">
        <v>632</v>
      </c>
      <c r="B186" t="s">
        <v>595</v>
      </c>
      <c r="C186" t="s">
        <v>596</v>
      </c>
      <c r="D186" s="105" t="s">
        <v>359</v>
      </c>
      <c r="E186" s="105" t="s">
        <v>631</v>
      </c>
    </row>
    <row r="187" spans="1:5" hidden="1">
      <c r="A187" t="s">
        <v>2032</v>
      </c>
      <c r="B187" t="s">
        <v>595</v>
      </c>
      <c r="C187" t="s">
        <v>596</v>
      </c>
      <c r="D187" s="105" t="s">
        <v>359</v>
      </c>
      <c r="E187" s="105" t="s">
        <v>2031</v>
      </c>
    </row>
    <row r="188" spans="1:5" hidden="1">
      <c r="A188" t="s">
        <v>1781</v>
      </c>
      <c r="B188" t="s">
        <v>595</v>
      </c>
      <c r="C188" t="s">
        <v>596</v>
      </c>
      <c r="D188" s="105" t="s">
        <v>359</v>
      </c>
      <c r="E188" s="105" t="s">
        <v>1780</v>
      </c>
    </row>
    <row r="189" spans="1:5" hidden="1">
      <c r="A189" t="s">
        <v>1690</v>
      </c>
      <c r="B189" t="s">
        <v>595</v>
      </c>
      <c r="C189" t="s">
        <v>596</v>
      </c>
      <c r="D189" s="105" t="s">
        <v>359</v>
      </c>
      <c r="E189" s="105" t="s">
        <v>1689</v>
      </c>
    </row>
    <row r="190" spans="1:5" hidden="1">
      <c r="A190" t="s">
        <v>1819</v>
      </c>
      <c r="B190" t="s">
        <v>595</v>
      </c>
      <c r="C190" t="s">
        <v>596</v>
      </c>
      <c r="D190" s="105" t="s">
        <v>359</v>
      </c>
      <c r="E190" s="105" t="s">
        <v>1818</v>
      </c>
    </row>
    <row r="191" spans="1:5" hidden="1">
      <c r="A191" t="s">
        <v>1588</v>
      </c>
      <c r="B191" t="s">
        <v>595</v>
      </c>
      <c r="C191" t="s">
        <v>596</v>
      </c>
      <c r="D191" s="105" t="s">
        <v>359</v>
      </c>
      <c r="E191" s="105" t="s">
        <v>1587</v>
      </c>
    </row>
    <row r="192" spans="1:5" hidden="1">
      <c r="A192" t="s">
        <v>1879</v>
      </c>
      <c r="B192" t="s">
        <v>557</v>
      </c>
      <c r="C192" t="s">
        <v>558</v>
      </c>
      <c r="D192" s="105" t="s">
        <v>359</v>
      </c>
      <c r="E192" s="105" t="s">
        <v>1878</v>
      </c>
    </row>
    <row r="193" spans="1:5" hidden="1">
      <c r="A193" t="s">
        <v>2063</v>
      </c>
      <c r="B193" t="s">
        <v>557</v>
      </c>
      <c r="C193" t="s">
        <v>558</v>
      </c>
      <c r="D193" s="105" t="s">
        <v>359</v>
      </c>
      <c r="E193" s="105" t="s">
        <v>2062</v>
      </c>
    </row>
    <row r="194" spans="1:5" hidden="1">
      <c r="A194" t="s">
        <v>1399</v>
      </c>
      <c r="B194" t="s">
        <v>557</v>
      </c>
      <c r="C194" t="s">
        <v>558</v>
      </c>
      <c r="D194" s="105" t="s">
        <v>359</v>
      </c>
      <c r="E194" s="105" t="s">
        <v>1398</v>
      </c>
    </row>
    <row r="195" spans="1:5" hidden="1">
      <c r="A195" t="s">
        <v>1347</v>
      </c>
      <c r="B195" t="s">
        <v>557</v>
      </c>
      <c r="C195" t="s">
        <v>558</v>
      </c>
      <c r="D195" s="105" t="s">
        <v>359</v>
      </c>
      <c r="E195" s="105" t="s">
        <v>1346</v>
      </c>
    </row>
    <row r="196" spans="1:5" hidden="1">
      <c r="A196" t="s">
        <v>2514</v>
      </c>
      <c r="B196" t="s">
        <v>605</v>
      </c>
      <c r="C196" t="s">
        <v>606</v>
      </c>
      <c r="D196" s="105" t="s">
        <v>359</v>
      </c>
      <c r="E196" s="105" t="s">
        <v>2513</v>
      </c>
    </row>
    <row r="197" spans="1:5" hidden="1">
      <c r="A197" t="s">
        <v>2562</v>
      </c>
      <c r="B197" t="s">
        <v>605</v>
      </c>
      <c r="C197" t="s">
        <v>606</v>
      </c>
      <c r="D197" s="105" t="s">
        <v>359</v>
      </c>
      <c r="E197" s="105" t="s">
        <v>2561</v>
      </c>
    </row>
    <row r="198" spans="1:5" hidden="1">
      <c r="A198" t="s">
        <v>2566</v>
      </c>
      <c r="B198" t="s">
        <v>605</v>
      </c>
      <c r="C198" t="s">
        <v>606</v>
      </c>
      <c r="D198" s="105" t="s">
        <v>359</v>
      </c>
      <c r="E198" s="105" t="s">
        <v>2565</v>
      </c>
    </row>
    <row r="199" spans="1:5" hidden="1">
      <c r="A199" t="s">
        <v>2533</v>
      </c>
      <c r="B199" t="s">
        <v>605</v>
      </c>
      <c r="C199" t="s">
        <v>606</v>
      </c>
      <c r="D199" s="105" t="s">
        <v>359</v>
      </c>
      <c r="E199" s="105" t="s">
        <v>2532</v>
      </c>
    </row>
    <row r="200" spans="1:5" hidden="1">
      <c r="A200" t="s">
        <v>1544</v>
      </c>
      <c r="B200" t="s">
        <v>435</v>
      </c>
      <c r="C200" t="s">
        <v>436</v>
      </c>
      <c r="D200" s="105" t="s">
        <v>359</v>
      </c>
      <c r="E200" s="105" t="s">
        <v>1543</v>
      </c>
    </row>
    <row r="201" spans="1:5" hidden="1">
      <c r="A201" t="s">
        <v>2402</v>
      </c>
      <c r="B201" t="s">
        <v>435</v>
      </c>
      <c r="C201" t="s">
        <v>436</v>
      </c>
      <c r="D201" s="105" t="s">
        <v>359</v>
      </c>
      <c r="E201" s="105" t="s">
        <v>2401</v>
      </c>
    </row>
    <row r="202" spans="1:5" hidden="1">
      <c r="A202" t="s">
        <v>1706</v>
      </c>
      <c r="B202" t="s">
        <v>435</v>
      </c>
      <c r="C202" t="s">
        <v>436</v>
      </c>
      <c r="D202" s="105" t="s">
        <v>359</v>
      </c>
      <c r="E202" s="105" t="s">
        <v>1705</v>
      </c>
    </row>
    <row r="203" spans="1:5" hidden="1">
      <c r="A203" t="s">
        <v>1779</v>
      </c>
      <c r="B203" t="s">
        <v>435</v>
      </c>
      <c r="C203" t="s">
        <v>436</v>
      </c>
      <c r="D203" s="105" t="s">
        <v>359</v>
      </c>
      <c r="E203" s="105" t="s">
        <v>1778</v>
      </c>
    </row>
    <row r="204" spans="1:5" hidden="1">
      <c r="A204" t="s">
        <v>1666</v>
      </c>
      <c r="B204" t="s">
        <v>435</v>
      </c>
      <c r="C204" t="s">
        <v>436</v>
      </c>
      <c r="D204" s="105" t="s">
        <v>359</v>
      </c>
      <c r="E204" s="105" t="s">
        <v>1665</v>
      </c>
    </row>
    <row r="205" spans="1:5" hidden="1">
      <c r="A205" t="s">
        <v>2380</v>
      </c>
      <c r="B205" t="s">
        <v>435</v>
      </c>
      <c r="C205" t="s">
        <v>436</v>
      </c>
      <c r="D205" s="105" t="s">
        <v>359</v>
      </c>
      <c r="E205" s="105" t="s">
        <v>2379</v>
      </c>
    </row>
    <row r="206" spans="1:5" hidden="1">
      <c r="A206" t="s">
        <v>1209</v>
      </c>
      <c r="B206" t="s">
        <v>435</v>
      </c>
      <c r="C206" t="s">
        <v>436</v>
      </c>
      <c r="D206" s="105" t="s">
        <v>359</v>
      </c>
      <c r="E206" s="105" t="s">
        <v>1208</v>
      </c>
    </row>
    <row r="207" spans="1:5" hidden="1">
      <c r="A207" t="s">
        <v>1686</v>
      </c>
      <c r="B207" t="s">
        <v>435</v>
      </c>
      <c r="C207" t="s">
        <v>436</v>
      </c>
      <c r="D207" s="105" t="s">
        <v>359</v>
      </c>
      <c r="E207" s="105" t="s">
        <v>1685</v>
      </c>
    </row>
    <row r="208" spans="1:5" hidden="1">
      <c r="A208" t="s">
        <v>475</v>
      </c>
      <c r="B208" t="s">
        <v>435</v>
      </c>
      <c r="C208" t="s">
        <v>436</v>
      </c>
      <c r="D208" s="105" t="s">
        <v>359</v>
      </c>
      <c r="E208" s="105" t="s">
        <v>1372</v>
      </c>
    </row>
    <row r="209" spans="1:5" hidden="1">
      <c r="A209" t="s">
        <v>1746</v>
      </c>
      <c r="B209" t="s">
        <v>435</v>
      </c>
      <c r="C209" t="s">
        <v>436</v>
      </c>
      <c r="D209" s="105" t="s">
        <v>359</v>
      </c>
      <c r="E209" s="105" t="s">
        <v>1745</v>
      </c>
    </row>
    <row r="210" spans="1:5" hidden="1">
      <c r="A210" t="s">
        <v>1518</v>
      </c>
      <c r="B210" t="s">
        <v>435</v>
      </c>
      <c r="C210" t="s">
        <v>436</v>
      </c>
      <c r="D210" s="105" t="s">
        <v>359</v>
      </c>
      <c r="E210" s="105" t="s">
        <v>1517</v>
      </c>
    </row>
    <row r="211" spans="1:5" hidden="1">
      <c r="A211" t="s">
        <v>1480</v>
      </c>
      <c r="B211" t="s">
        <v>435</v>
      </c>
      <c r="C211" t="s">
        <v>436</v>
      </c>
      <c r="D211" s="105" t="s">
        <v>359</v>
      </c>
      <c r="E211" s="105" t="s">
        <v>1479</v>
      </c>
    </row>
    <row r="212" spans="1:5" hidden="1">
      <c r="A212" t="s">
        <v>2260</v>
      </c>
      <c r="B212" t="s">
        <v>435</v>
      </c>
      <c r="C212" t="s">
        <v>436</v>
      </c>
      <c r="D212" s="105" t="s">
        <v>359</v>
      </c>
      <c r="E212" s="105" t="s">
        <v>2259</v>
      </c>
    </row>
    <row r="213" spans="1:5" hidden="1">
      <c r="A213" t="s">
        <v>1223</v>
      </c>
      <c r="B213" t="s">
        <v>435</v>
      </c>
      <c r="C213" t="s">
        <v>436</v>
      </c>
      <c r="D213" s="105" t="s">
        <v>359</v>
      </c>
      <c r="E213" s="105" t="s">
        <v>1222</v>
      </c>
    </row>
    <row r="214" spans="1:5" hidden="1">
      <c r="A214" t="s">
        <v>2182</v>
      </c>
      <c r="B214" t="s">
        <v>435</v>
      </c>
      <c r="C214" t="s">
        <v>436</v>
      </c>
      <c r="D214" s="105" t="s">
        <v>359</v>
      </c>
      <c r="E214" s="105" t="s">
        <v>2181</v>
      </c>
    </row>
    <row r="215" spans="1:5" hidden="1">
      <c r="A215" t="s">
        <v>1213</v>
      </c>
      <c r="B215" t="s">
        <v>435</v>
      </c>
      <c r="C215" t="s">
        <v>436</v>
      </c>
      <c r="D215" s="105" t="s">
        <v>359</v>
      </c>
      <c r="E215" s="105" t="s">
        <v>1212</v>
      </c>
    </row>
    <row r="216" spans="1:5" hidden="1">
      <c r="A216" t="s">
        <v>1274</v>
      </c>
      <c r="B216" t="s">
        <v>435</v>
      </c>
      <c r="C216" t="s">
        <v>436</v>
      </c>
      <c r="D216" s="105" t="s">
        <v>359</v>
      </c>
      <c r="E216" s="105" t="s">
        <v>1273</v>
      </c>
    </row>
    <row r="217" spans="1:5" hidden="1">
      <c r="A217" t="s">
        <v>1441</v>
      </c>
      <c r="B217" t="s">
        <v>435</v>
      </c>
      <c r="C217" t="s">
        <v>436</v>
      </c>
      <c r="D217" s="105" t="s">
        <v>359</v>
      </c>
      <c r="E217" s="105" t="s">
        <v>1440</v>
      </c>
    </row>
    <row r="218" spans="1:5" hidden="1">
      <c r="A218" t="s">
        <v>1556</v>
      </c>
      <c r="B218" t="s">
        <v>435</v>
      </c>
      <c r="C218" t="s">
        <v>436</v>
      </c>
      <c r="D218" s="105" t="s">
        <v>359</v>
      </c>
      <c r="E218" s="105" t="s">
        <v>1555</v>
      </c>
    </row>
    <row r="219" spans="1:5" hidden="1">
      <c r="A219" t="s">
        <v>2223</v>
      </c>
      <c r="B219" t="s">
        <v>435</v>
      </c>
      <c r="C219" t="s">
        <v>436</v>
      </c>
      <c r="D219" s="105" t="s">
        <v>359</v>
      </c>
      <c r="E219" s="105" t="s">
        <v>2222</v>
      </c>
    </row>
    <row r="220" spans="1:5" hidden="1">
      <c r="A220" t="s">
        <v>634</v>
      </c>
      <c r="B220" t="s">
        <v>435</v>
      </c>
      <c r="C220" t="s">
        <v>436</v>
      </c>
      <c r="D220" s="105" t="s">
        <v>359</v>
      </c>
      <c r="E220" s="105" t="s">
        <v>1756</v>
      </c>
    </row>
    <row r="221" spans="1:5" hidden="1">
      <c r="A221" t="s">
        <v>831</v>
      </c>
      <c r="B221" t="s">
        <v>435</v>
      </c>
      <c r="C221" t="s">
        <v>436</v>
      </c>
      <c r="D221" s="105" t="s">
        <v>359</v>
      </c>
      <c r="E221" s="105" t="s">
        <v>830</v>
      </c>
    </row>
    <row r="222" spans="1:5" hidden="1">
      <c r="A222" t="s">
        <v>1036</v>
      </c>
      <c r="B222" t="s">
        <v>435</v>
      </c>
      <c r="C222" t="s">
        <v>436</v>
      </c>
      <c r="D222" s="105" t="s">
        <v>359</v>
      </c>
      <c r="E222" s="105" t="s">
        <v>1035</v>
      </c>
    </row>
    <row r="223" spans="1:5" hidden="1">
      <c r="A223" t="s">
        <v>1829</v>
      </c>
      <c r="B223" t="s">
        <v>435</v>
      </c>
      <c r="C223" t="s">
        <v>436</v>
      </c>
      <c r="D223" s="105" t="s">
        <v>359</v>
      </c>
      <c r="E223" s="105" t="s">
        <v>1828</v>
      </c>
    </row>
    <row r="224" spans="1:5" hidden="1">
      <c r="A224" t="s">
        <v>2244</v>
      </c>
      <c r="B224" t="s">
        <v>672</v>
      </c>
      <c r="C224" t="s">
        <v>673</v>
      </c>
      <c r="D224" s="105" t="s">
        <v>359</v>
      </c>
      <c r="E224" s="105" t="s">
        <v>2243</v>
      </c>
    </row>
    <row r="225" spans="1:5" hidden="1">
      <c r="A225" t="s">
        <v>2479</v>
      </c>
      <c r="B225" t="s">
        <v>672</v>
      </c>
      <c r="C225" t="s">
        <v>673</v>
      </c>
      <c r="D225" s="105" t="s">
        <v>359</v>
      </c>
      <c r="E225" s="105" t="s">
        <v>2478</v>
      </c>
    </row>
    <row r="226" spans="1:5" hidden="1">
      <c r="A226" t="s">
        <v>2350</v>
      </c>
      <c r="B226" t="s">
        <v>672</v>
      </c>
      <c r="C226" t="s">
        <v>673</v>
      </c>
      <c r="D226" s="105" t="s">
        <v>359</v>
      </c>
      <c r="E226" s="105" t="s">
        <v>2349</v>
      </c>
    </row>
    <row r="227" spans="1:5" hidden="1">
      <c r="A227" t="s">
        <v>2398</v>
      </c>
      <c r="B227" t="s">
        <v>672</v>
      </c>
      <c r="C227" t="s">
        <v>673</v>
      </c>
      <c r="D227" s="105" t="s">
        <v>359</v>
      </c>
      <c r="E227" s="105" t="s">
        <v>2397</v>
      </c>
    </row>
    <row r="228" spans="1:5" hidden="1">
      <c r="A228" t="s">
        <v>2271</v>
      </c>
      <c r="B228" t="s">
        <v>672</v>
      </c>
      <c r="C228" t="s">
        <v>673</v>
      </c>
      <c r="D228" s="105" t="s">
        <v>359</v>
      </c>
      <c r="E228" s="105" t="s">
        <v>2270</v>
      </c>
    </row>
    <row r="229" spans="1:5" hidden="1">
      <c r="A229" t="s">
        <v>492</v>
      </c>
      <c r="B229" t="s">
        <v>672</v>
      </c>
      <c r="C229" t="s">
        <v>673</v>
      </c>
      <c r="D229" s="105" t="s">
        <v>359</v>
      </c>
      <c r="E229" s="105" t="s">
        <v>2336</v>
      </c>
    </row>
    <row r="230" spans="1:5" hidden="1">
      <c r="A230" t="s">
        <v>2220</v>
      </c>
      <c r="B230" t="s">
        <v>672</v>
      </c>
      <c r="C230" t="s">
        <v>673</v>
      </c>
      <c r="D230" s="105" t="s">
        <v>359</v>
      </c>
      <c r="E230" s="105" t="s">
        <v>2219</v>
      </c>
    </row>
    <row r="231" spans="1:5" hidden="1">
      <c r="A231" t="s">
        <v>2124</v>
      </c>
      <c r="B231" t="s">
        <v>672</v>
      </c>
      <c r="C231" t="s">
        <v>673</v>
      </c>
      <c r="D231" s="105" t="s">
        <v>359</v>
      </c>
      <c r="E231" s="105" t="s">
        <v>2123</v>
      </c>
    </row>
    <row r="232" spans="1:5" hidden="1">
      <c r="A232" t="s">
        <v>862</v>
      </c>
      <c r="B232" t="s">
        <v>672</v>
      </c>
      <c r="C232" t="s">
        <v>673</v>
      </c>
      <c r="D232" s="105" t="s">
        <v>359</v>
      </c>
      <c r="E232" s="105" t="s">
        <v>2221</v>
      </c>
    </row>
    <row r="233" spans="1:5" hidden="1">
      <c r="A233" t="s">
        <v>2481</v>
      </c>
      <c r="B233" t="s">
        <v>672</v>
      </c>
      <c r="C233" t="s">
        <v>673</v>
      </c>
      <c r="D233" s="105" t="s">
        <v>359</v>
      </c>
      <c r="E233" s="105" t="s">
        <v>2480</v>
      </c>
    </row>
    <row r="234" spans="1:5" hidden="1">
      <c r="A234" t="s">
        <v>829</v>
      </c>
      <c r="B234" t="s">
        <v>672</v>
      </c>
      <c r="C234" t="s">
        <v>673</v>
      </c>
      <c r="D234" s="105" t="s">
        <v>359</v>
      </c>
      <c r="E234" s="105" t="s">
        <v>2436</v>
      </c>
    </row>
    <row r="235" spans="1:5" hidden="1">
      <c r="A235" t="s">
        <v>2489</v>
      </c>
      <c r="B235" t="s">
        <v>498</v>
      </c>
      <c r="C235" t="s">
        <v>499</v>
      </c>
      <c r="D235" s="105" t="s">
        <v>359</v>
      </c>
      <c r="E235" s="105" t="s">
        <v>2488</v>
      </c>
    </row>
    <row r="236" spans="1:5" hidden="1">
      <c r="A236" t="s">
        <v>2448</v>
      </c>
      <c r="B236" t="s">
        <v>498</v>
      </c>
      <c r="C236" t="s">
        <v>499</v>
      </c>
      <c r="D236" s="105" t="s">
        <v>359</v>
      </c>
      <c r="E236" s="105" t="s">
        <v>2447</v>
      </c>
    </row>
    <row r="237" spans="1:5" hidden="1">
      <c r="A237" t="s">
        <v>2510</v>
      </c>
      <c r="B237" t="s">
        <v>498</v>
      </c>
      <c r="C237" t="s">
        <v>499</v>
      </c>
      <c r="D237" s="105" t="s">
        <v>359</v>
      </c>
      <c r="E237" s="105" t="s">
        <v>2509</v>
      </c>
    </row>
    <row r="238" spans="1:5" hidden="1">
      <c r="A238" t="s">
        <v>2537</v>
      </c>
      <c r="B238" t="s">
        <v>498</v>
      </c>
      <c r="C238" t="s">
        <v>499</v>
      </c>
      <c r="D238" s="105" t="s">
        <v>359</v>
      </c>
      <c r="E238" s="105" t="s">
        <v>2536</v>
      </c>
    </row>
    <row r="239" spans="1:5" hidden="1">
      <c r="A239" t="s">
        <v>1266</v>
      </c>
      <c r="B239" t="s">
        <v>567</v>
      </c>
      <c r="C239" t="s">
        <v>568</v>
      </c>
      <c r="D239" s="105" t="s">
        <v>359</v>
      </c>
      <c r="E239" s="105" t="s">
        <v>1265</v>
      </c>
    </row>
    <row r="240" spans="1:5" hidden="1">
      <c r="A240" t="s">
        <v>969</v>
      </c>
      <c r="B240" t="s">
        <v>567</v>
      </c>
      <c r="C240" t="s">
        <v>568</v>
      </c>
      <c r="D240" s="105" t="s">
        <v>359</v>
      </c>
      <c r="E240" s="105" t="s">
        <v>968</v>
      </c>
    </row>
    <row r="241" spans="1:5" hidden="1">
      <c r="A241" t="s">
        <v>680</v>
      </c>
      <c r="B241" t="s">
        <v>567</v>
      </c>
      <c r="C241" t="s">
        <v>568</v>
      </c>
      <c r="D241" s="105" t="s">
        <v>359</v>
      </c>
      <c r="E241" s="105" t="s">
        <v>679</v>
      </c>
    </row>
    <row r="242" spans="1:5" hidden="1">
      <c r="A242" t="s">
        <v>825</v>
      </c>
      <c r="B242" t="s">
        <v>567</v>
      </c>
      <c r="C242" t="s">
        <v>568</v>
      </c>
      <c r="D242" s="105" t="s">
        <v>359</v>
      </c>
      <c r="E242" s="105" t="s">
        <v>824</v>
      </c>
    </row>
    <row r="243" spans="1:5" hidden="1">
      <c r="A243" t="s">
        <v>746</v>
      </c>
      <c r="B243" t="s">
        <v>567</v>
      </c>
      <c r="C243" t="s">
        <v>568</v>
      </c>
      <c r="D243" s="105" t="s">
        <v>359</v>
      </c>
      <c r="E243" s="105" t="s">
        <v>745</v>
      </c>
    </row>
    <row r="244" spans="1:5" hidden="1">
      <c r="A244" t="s">
        <v>722</v>
      </c>
      <c r="B244" t="s">
        <v>567</v>
      </c>
      <c r="C244" t="s">
        <v>568</v>
      </c>
      <c r="D244" s="105" t="s">
        <v>359</v>
      </c>
      <c r="E244" s="105" t="s">
        <v>721</v>
      </c>
    </row>
    <row r="245" spans="1:5" hidden="1">
      <c r="A245" t="s">
        <v>839</v>
      </c>
      <c r="B245" t="s">
        <v>567</v>
      </c>
      <c r="C245" t="s">
        <v>568</v>
      </c>
      <c r="D245" s="105" t="s">
        <v>359</v>
      </c>
      <c r="E245" s="105" t="s">
        <v>838</v>
      </c>
    </row>
    <row r="246" spans="1:5" hidden="1">
      <c r="A246" t="s">
        <v>680</v>
      </c>
      <c r="B246" t="s">
        <v>567</v>
      </c>
      <c r="C246" t="s">
        <v>568</v>
      </c>
      <c r="D246" s="105" t="s">
        <v>359</v>
      </c>
      <c r="E246" s="105" t="s">
        <v>679</v>
      </c>
    </row>
    <row r="247" spans="1:5" hidden="1">
      <c r="A247" t="s">
        <v>1319</v>
      </c>
      <c r="B247" t="s">
        <v>567</v>
      </c>
      <c r="C247" t="s">
        <v>568</v>
      </c>
      <c r="D247" s="105" t="s">
        <v>359</v>
      </c>
      <c r="E247" s="105" t="s">
        <v>1318</v>
      </c>
    </row>
    <row r="248" spans="1:5" hidden="1">
      <c r="A248" t="s">
        <v>839</v>
      </c>
      <c r="B248" t="s">
        <v>567</v>
      </c>
      <c r="C248" t="s">
        <v>568</v>
      </c>
      <c r="D248" s="105" t="s">
        <v>359</v>
      </c>
      <c r="E248" s="105" t="s">
        <v>838</v>
      </c>
    </row>
    <row r="249" spans="1:5" hidden="1">
      <c r="A249" t="s">
        <v>1301</v>
      </c>
      <c r="B249" t="s">
        <v>557</v>
      </c>
      <c r="C249" t="s">
        <v>558</v>
      </c>
      <c r="D249" s="105" t="s">
        <v>359</v>
      </c>
      <c r="E249" s="105" t="s">
        <v>1643</v>
      </c>
    </row>
    <row r="250" spans="1:5" hidden="1">
      <c r="A250" t="s">
        <v>481</v>
      </c>
      <c r="B250" t="s">
        <v>557</v>
      </c>
      <c r="C250" t="s">
        <v>558</v>
      </c>
      <c r="D250" s="105" t="s">
        <v>359</v>
      </c>
      <c r="E250" s="105" t="s">
        <v>1695</v>
      </c>
    </row>
    <row r="251" spans="1:5" hidden="1">
      <c r="A251" t="s">
        <v>1246</v>
      </c>
      <c r="B251" t="s">
        <v>557</v>
      </c>
      <c r="C251" t="s">
        <v>558</v>
      </c>
      <c r="D251" s="105" t="s">
        <v>359</v>
      </c>
      <c r="E251" s="105" t="s">
        <v>1245</v>
      </c>
    </row>
    <row r="252" spans="1:5" hidden="1">
      <c r="A252" t="s">
        <v>1898</v>
      </c>
      <c r="B252" t="s">
        <v>557</v>
      </c>
      <c r="C252" t="s">
        <v>558</v>
      </c>
      <c r="D252" s="105" t="s">
        <v>359</v>
      </c>
      <c r="E252" s="105" t="s">
        <v>1897</v>
      </c>
    </row>
    <row r="253" spans="1:5" hidden="1">
      <c r="A253" t="s">
        <v>1614</v>
      </c>
      <c r="B253" t="s">
        <v>557</v>
      </c>
      <c r="C253" t="s">
        <v>558</v>
      </c>
      <c r="D253" s="105" t="s">
        <v>359</v>
      </c>
      <c r="E253" s="105" t="s">
        <v>1613</v>
      </c>
    </row>
    <row r="254" spans="1:5" hidden="1">
      <c r="A254" t="s">
        <v>1290</v>
      </c>
      <c r="B254" t="s">
        <v>933</v>
      </c>
      <c r="C254" t="s">
        <v>934</v>
      </c>
      <c r="D254" s="105" t="s">
        <v>359</v>
      </c>
      <c r="E254" s="105" t="s">
        <v>1289</v>
      </c>
    </row>
    <row r="255" spans="1:5" hidden="1">
      <c r="A255" t="s">
        <v>1742</v>
      </c>
      <c r="B255" t="s">
        <v>933</v>
      </c>
      <c r="C255" t="s">
        <v>934</v>
      </c>
      <c r="D255" s="105" t="s">
        <v>359</v>
      </c>
      <c r="E255" s="105" t="s">
        <v>1741</v>
      </c>
    </row>
    <row r="256" spans="1:5" hidden="1">
      <c r="A256" t="s">
        <v>2041</v>
      </c>
      <c r="B256" t="s">
        <v>933</v>
      </c>
      <c r="C256" t="s">
        <v>934</v>
      </c>
      <c r="D256" s="105" t="s">
        <v>359</v>
      </c>
      <c r="E256" s="105" t="s">
        <v>2040</v>
      </c>
    </row>
    <row r="257" spans="1:5" hidden="1">
      <c r="A257" t="s">
        <v>1506</v>
      </c>
      <c r="B257" t="s">
        <v>933</v>
      </c>
      <c r="C257" t="s">
        <v>934</v>
      </c>
      <c r="D257" s="105" t="s">
        <v>359</v>
      </c>
      <c r="E257" s="105" t="s">
        <v>1505</v>
      </c>
    </row>
    <row r="258" spans="1:5" hidden="1">
      <c r="A258" t="s">
        <v>720</v>
      </c>
      <c r="B258" t="s">
        <v>933</v>
      </c>
      <c r="C258" t="s">
        <v>934</v>
      </c>
      <c r="D258" s="105" t="s">
        <v>359</v>
      </c>
      <c r="E258" s="105" t="s">
        <v>955</v>
      </c>
    </row>
    <row r="259" spans="1:5" hidden="1">
      <c r="A259" t="s">
        <v>1576</v>
      </c>
      <c r="B259" t="s">
        <v>435</v>
      </c>
      <c r="C259" t="s">
        <v>436</v>
      </c>
      <c r="D259" s="105" t="s">
        <v>359</v>
      </c>
      <c r="E259" s="105" t="s">
        <v>1575</v>
      </c>
    </row>
    <row r="260" spans="1:5" hidden="1">
      <c r="A260" t="s">
        <v>1734</v>
      </c>
      <c r="B260" t="s">
        <v>435</v>
      </c>
      <c r="C260" t="s">
        <v>436</v>
      </c>
      <c r="D260" s="105" t="s">
        <v>359</v>
      </c>
      <c r="E260" s="105" t="s">
        <v>1733</v>
      </c>
    </row>
    <row r="261" spans="1:5" hidden="1">
      <c r="A261" t="s">
        <v>1148</v>
      </c>
      <c r="B261" t="s">
        <v>435</v>
      </c>
      <c r="C261" t="s">
        <v>436</v>
      </c>
      <c r="D261" s="105" t="s">
        <v>359</v>
      </c>
      <c r="E261" s="105" t="s">
        <v>1147</v>
      </c>
    </row>
    <row r="262" spans="1:5" hidden="1">
      <c r="A262" t="s">
        <v>1520</v>
      </c>
      <c r="B262" t="s">
        <v>435</v>
      </c>
      <c r="C262" t="s">
        <v>436</v>
      </c>
      <c r="D262" s="105" t="s">
        <v>359</v>
      </c>
      <c r="E262" s="105" t="s">
        <v>1519</v>
      </c>
    </row>
    <row r="263" spans="1:5" hidden="1">
      <c r="A263" t="s">
        <v>1576</v>
      </c>
      <c r="B263" t="s">
        <v>435</v>
      </c>
      <c r="C263" t="s">
        <v>436</v>
      </c>
      <c r="D263" s="105" t="s">
        <v>359</v>
      </c>
      <c r="E263" s="105" t="s">
        <v>1575</v>
      </c>
    </row>
    <row r="264" spans="1:5" hidden="1">
      <c r="A264" t="s">
        <v>1177</v>
      </c>
      <c r="B264" t="s">
        <v>435</v>
      </c>
      <c r="C264" t="s">
        <v>436</v>
      </c>
      <c r="D264" s="105" t="s">
        <v>359</v>
      </c>
      <c r="E264" s="105" t="s">
        <v>1176</v>
      </c>
    </row>
    <row r="265" spans="1:5" hidden="1">
      <c r="A265" t="s">
        <v>2260</v>
      </c>
      <c r="B265" t="s">
        <v>435</v>
      </c>
      <c r="C265" t="s">
        <v>436</v>
      </c>
      <c r="D265" s="105" t="s">
        <v>359</v>
      </c>
      <c r="E265" s="105" t="s">
        <v>2259</v>
      </c>
    </row>
    <row r="266" spans="1:5" hidden="1">
      <c r="A266" t="s">
        <v>1734</v>
      </c>
      <c r="B266" t="s">
        <v>435</v>
      </c>
      <c r="C266" t="s">
        <v>436</v>
      </c>
      <c r="D266" s="105" t="s">
        <v>359</v>
      </c>
      <c r="E266" s="105" t="s">
        <v>1733</v>
      </c>
    </row>
    <row r="267" spans="1:5" hidden="1">
      <c r="A267" t="s">
        <v>1520</v>
      </c>
      <c r="B267" t="s">
        <v>435</v>
      </c>
      <c r="C267" t="s">
        <v>436</v>
      </c>
      <c r="D267" s="105" t="s">
        <v>359</v>
      </c>
      <c r="E267" s="105" t="s">
        <v>1519</v>
      </c>
    </row>
    <row r="268" spans="1:5" hidden="1">
      <c r="A268" t="s">
        <v>1664</v>
      </c>
      <c r="B268" t="s">
        <v>567</v>
      </c>
      <c r="C268" t="s">
        <v>568</v>
      </c>
      <c r="D268" s="105" t="s">
        <v>359</v>
      </c>
      <c r="E268" s="105" t="s">
        <v>1663</v>
      </c>
    </row>
    <row r="269" spans="1:5" hidden="1">
      <c r="A269" t="s">
        <v>2193</v>
      </c>
      <c r="B269" t="s">
        <v>1714</v>
      </c>
      <c r="C269" t="s">
        <v>1715</v>
      </c>
      <c r="D269" s="105" t="s">
        <v>359</v>
      </c>
      <c r="E269" s="105" t="s">
        <v>2192</v>
      </c>
    </row>
    <row r="270" spans="1:5" hidden="1">
      <c r="A270" t="s">
        <v>2483</v>
      </c>
      <c r="B270" t="s">
        <v>1714</v>
      </c>
      <c r="C270" t="s">
        <v>1715</v>
      </c>
      <c r="D270" s="105" t="s">
        <v>359</v>
      </c>
      <c r="E270" s="105" t="s">
        <v>2482</v>
      </c>
    </row>
    <row r="271" spans="1:5" hidden="1">
      <c r="A271" t="s">
        <v>855</v>
      </c>
      <c r="B271" t="s">
        <v>1714</v>
      </c>
      <c r="C271" t="s">
        <v>1715</v>
      </c>
      <c r="D271" s="105" t="s">
        <v>359</v>
      </c>
      <c r="E271" s="105" t="s">
        <v>2459</v>
      </c>
    </row>
    <row r="272" spans="1:5" hidden="1">
      <c r="A272" t="s">
        <v>508</v>
      </c>
      <c r="B272" t="s">
        <v>506</v>
      </c>
      <c r="C272" t="s">
        <v>507</v>
      </c>
      <c r="D272" s="105" t="s">
        <v>359</v>
      </c>
      <c r="E272" s="105" t="s">
        <v>505</v>
      </c>
    </row>
    <row r="273" spans="1:5" hidden="1">
      <c r="A273" t="s">
        <v>748</v>
      </c>
      <c r="B273" t="s">
        <v>506</v>
      </c>
      <c r="C273" t="s">
        <v>507</v>
      </c>
      <c r="D273" s="105" t="s">
        <v>359</v>
      </c>
      <c r="E273" s="105" t="s">
        <v>747</v>
      </c>
    </row>
    <row r="274" spans="1:5" hidden="1">
      <c r="A274" t="s">
        <v>965</v>
      </c>
      <c r="B274" t="s">
        <v>506</v>
      </c>
      <c r="C274" t="s">
        <v>507</v>
      </c>
      <c r="D274" s="105" t="s">
        <v>359</v>
      </c>
      <c r="E274" s="105" t="s">
        <v>964</v>
      </c>
    </row>
    <row r="275" spans="1:5" hidden="1">
      <c r="A275" t="s">
        <v>561</v>
      </c>
      <c r="B275" t="s">
        <v>506</v>
      </c>
      <c r="C275" t="s">
        <v>507</v>
      </c>
      <c r="D275" s="105" t="s">
        <v>359</v>
      </c>
      <c r="E275" s="105" t="s">
        <v>560</v>
      </c>
    </row>
    <row r="276" spans="1:5" hidden="1">
      <c r="A276" t="s">
        <v>1183</v>
      </c>
      <c r="B276" t="s">
        <v>506</v>
      </c>
      <c r="C276" t="s">
        <v>507</v>
      </c>
      <c r="D276" s="105" t="s">
        <v>359</v>
      </c>
      <c r="E276" s="105" t="s">
        <v>1182</v>
      </c>
    </row>
    <row r="277" spans="1:5" hidden="1">
      <c r="A277" t="s">
        <v>1258</v>
      </c>
      <c r="B277" t="s">
        <v>506</v>
      </c>
      <c r="C277" t="s">
        <v>507</v>
      </c>
      <c r="D277" s="105" t="s">
        <v>359</v>
      </c>
      <c r="E277" s="105" t="s">
        <v>1257</v>
      </c>
    </row>
    <row r="278" spans="1:5" hidden="1">
      <c r="A278" t="s">
        <v>765</v>
      </c>
      <c r="B278" t="s">
        <v>506</v>
      </c>
      <c r="C278" t="s">
        <v>507</v>
      </c>
      <c r="D278" s="105" t="s">
        <v>359</v>
      </c>
      <c r="E278" s="105" t="s">
        <v>764</v>
      </c>
    </row>
    <row r="279" spans="1:5" hidden="1">
      <c r="A279" t="s">
        <v>855</v>
      </c>
      <c r="B279" t="s">
        <v>506</v>
      </c>
      <c r="C279" t="s">
        <v>507</v>
      </c>
      <c r="D279" s="105" t="s">
        <v>359</v>
      </c>
      <c r="E279" s="105" t="s">
        <v>854</v>
      </c>
    </row>
    <row r="280" spans="1:5" hidden="1">
      <c r="A280" t="s">
        <v>682</v>
      </c>
      <c r="B280" t="s">
        <v>506</v>
      </c>
      <c r="C280" t="s">
        <v>507</v>
      </c>
      <c r="D280" s="105" t="s">
        <v>359</v>
      </c>
      <c r="E280" s="105" t="s">
        <v>681</v>
      </c>
    </row>
    <row r="281" spans="1:5" hidden="1">
      <c r="A281" t="s">
        <v>761</v>
      </c>
      <c r="B281" t="s">
        <v>506</v>
      </c>
      <c r="C281" t="s">
        <v>507</v>
      </c>
      <c r="D281" s="105" t="s">
        <v>359</v>
      </c>
      <c r="E281" s="105" t="s">
        <v>760</v>
      </c>
    </row>
    <row r="282" spans="1:5" hidden="1">
      <c r="A282" t="s">
        <v>853</v>
      </c>
      <c r="B282" t="s">
        <v>473</v>
      </c>
      <c r="C282" t="s">
        <v>474</v>
      </c>
      <c r="D282" s="105" t="s">
        <v>359</v>
      </c>
      <c r="E282" s="105" t="s">
        <v>852</v>
      </c>
    </row>
    <row r="283" spans="1:5" hidden="1">
      <c r="A283" t="s">
        <v>662</v>
      </c>
      <c r="B283" t="s">
        <v>473</v>
      </c>
      <c r="C283" t="s">
        <v>474</v>
      </c>
      <c r="D283" s="105" t="s">
        <v>359</v>
      </c>
      <c r="E283" s="105" t="s">
        <v>661</v>
      </c>
    </row>
    <row r="284" spans="1:5" hidden="1">
      <c r="A284" t="s">
        <v>1674</v>
      </c>
      <c r="B284" t="s">
        <v>473</v>
      </c>
      <c r="C284" t="s">
        <v>474</v>
      </c>
      <c r="D284" s="105" t="s">
        <v>359</v>
      </c>
      <c r="E284" s="105" t="s">
        <v>1673</v>
      </c>
    </row>
    <row r="285" spans="1:5" hidden="1">
      <c r="A285" t="s">
        <v>866</v>
      </c>
      <c r="B285" t="s">
        <v>467</v>
      </c>
      <c r="C285" t="s">
        <v>468</v>
      </c>
      <c r="D285" s="105" t="s">
        <v>359</v>
      </c>
      <c r="E285" s="105" t="s">
        <v>865</v>
      </c>
    </row>
    <row r="286" spans="1:5" hidden="1">
      <c r="A286" t="s">
        <v>1236</v>
      </c>
      <c r="B286" t="s">
        <v>454</v>
      </c>
      <c r="C286" t="s">
        <v>455</v>
      </c>
      <c r="D286" s="105" t="s">
        <v>359</v>
      </c>
      <c r="E286" s="105" t="s">
        <v>1235</v>
      </c>
    </row>
    <row r="287" spans="1:5" hidden="1">
      <c r="A287" t="s">
        <v>1122</v>
      </c>
      <c r="B287" t="s">
        <v>454</v>
      </c>
      <c r="C287" t="s">
        <v>455</v>
      </c>
      <c r="D287" s="105" t="s">
        <v>359</v>
      </c>
      <c r="E287" s="105" t="s">
        <v>1121</v>
      </c>
    </row>
    <row r="288" spans="1:5" hidden="1">
      <c r="A288" t="s">
        <v>1230</v>
      </c>
      <c r="B288" t="s">
        <v>454</v>
      </c>
      <c r="C288" t="s">
        <v>455</v>
      </c>
      <c r="D288" s="105" t="s">
        <v>359</v>
      </c>
      <c r="E288" s="105" t="s">
        <v>1229</v>
      </c>
    </row>
    <row r="289" spans="1:5" hidden="1">
      <c r="A289" t="s">
        <v>738</v>
      </c>
      <c r="B289" t="s">
        <v>454</v>
      </c>
      <c r="C289" t="s">
        <v>455</v>
      </c>
      <c r="D289" s="105" t="s">
        <v>359</v>
      </c>
      <c r="E289" s="105" t="s">
        <v>737</v>
      </c>
    </row>
    <row r="290" spans="1:5" hidden="1">
      <c r="A290" t="s">
        <v>814</v>
      </c>
      <c r="B290" t="s">
        <v>454</v>
      </c>
      <c r="C290" t="s">
        <v>455</v>
      </c>
      <c r="D290" s="105" t="s">
        <v>359</v>
      </c>
      <c r="E290" s="105" t="s">
        <v>813</v>
      </c>
    </row>
    <row r="291" spans="1:5" hidden="1">
      <c r="A291" t="s">
        <v>543</v>
      </c>
      <c r="B291" t="s">
        <v>442</v>
      </c>
      <c r="C291" t="s">
        <v>443</v>
      </c>
      <c r="D291" s="105" t="s">
        <v>359</v>
      </c>
      <c r="E291" s="105" t="s">
        <v>542</v>
      </c>
    </row>
    <row r="292" spans="1:5" hidden="1">
      <c r="A292" t="s">
        <v>626</v>
      </c>
      <c r="B292" t="s">
        <v>442</v>
      </c>
      <c r="C292" t="s">
        <v>443</v>
      </c>
      <c r="D292" s="105" t="s">
        <v>359</v>
      </c>
      <c r="E292" s="105" t="s">
        <v>625</v>
      </c>
    </row>
    <row r="293" spans="1:5" hidden="1">
      <c r="A293" t="s">
        <v>510</v>
      </c>
      <c r="B293" t="s">
        <v>442</v>
      </c>
      <c r="C293" t="s">
        <v>443</v>
      </c>
      <c r="D293" s="105" t="s">
        <v>359</v>
      </c>
      <c r="E293" s="105" t="s">
        <v>509</v>
      </c>
    </row>
    <row r="294" spans="1:5" hidden="1">
      <c r="A294" t="s">
        <v>547</v>
      </c>
      <c r="B294" t="s">
        <v>442</v>
      </c>
      <c r="C294" t="s">
        <v>443</v>
      </c>
      <c r="D294" s="105" t="s">
        <v>359</v>
      </c>
      <c r="E294" s="105" t="s">
        <v>546</v>
      </c>
    </row>
    <row r="295" spans="1:5" hidden="1">
      <c r="A295" t="s">
        <v>2120</v>
      </c>
      <c r="B295" t="s">
        <v>517</v>
      </c>
      <c r="C295" t="s">
        <v>518</v>
      </c>
      <c r="D295" s="105" t="s">
        <v>359</v>
      </c>
      <c r="E295" s="105" t="s">
        <v>2119</v>
      </c>
    </row>
    <row r="296" spans="1:5" hidden="1">
      <c r="A296" t="s">
        <v>2102</v>
      </c>
      <c r="B296" t="s">
        <v>517</v>
      </c>
      <c r="C296" t="s">
        <v>518</v>
      </c>
      <c r="D296" s="105" t="s">
        <v>359</v>
      </c>
      <c r="E296" s="105" t="s">
        <v>2101</v>
      </c>
    </row>
    <row r="297" spans="1:5" hidden="1">
      <c r="A297" t="s">
        <v>1564</v>
      </c>
      <c r="B297" t="s">
        <v>517</v>
      </c>
      <c r="C297" t="s">
        <v>518</v>
      </c>
      <c r="D297" s="105" t="s">
        <v>359</v>
      </c>
      <c r="E297" s="105" t="s">
        <v>1563</v>
      </c>
    </row>
    <row r="298" spans="1:5" hidden="1">
      <c r="A298" t="s">
        <v>2130</v>
      </c>
      <c r="B298" t="s">
        <v>517</v>
      </c>
      <c r="C298" t="s">
        <v>518</v>
      </c>
      <c r="D298" s="105" t="s">
        <v>359</v>
      </c>
      <c r="E298" s="105" t="s">
        <v>2129</v>
      </c>
    </row>
    <row r="299" spans="1:5" hidden="1">
      <c r="A299" t="s">
        <v>1470</v>
      </c>
      <c r="B299" t="s">
        <v>517</v>
      </c>
      <c r="C299" t="s">
        <v>518</v>
      </c>
      <c r="D299" s="105" t="s">
        <v>359</v>
      </c>
      <c r="E299" s="105" t="s">
        <v>1469</v>
      </c>
    </row>
    <row r="300" spans="1:5" hidden="1">
      <c r="A300" t="s">
        <v>2116</v>
      </c>
      <c r="B300" t="s">
        <v>517</v>
      </c>
      <c r="C300" t="s">
        <v>518</v>
      </c>
      <c r="D300" s="105" t="s">
        <v>359</v>
      </c>
      <c r="E300" s="105" t="s">
        <v>2115</v>
      </c>
    </row>
    <row r="301" spans="1:5" hidden="1">
      <c r="A301" t="s">
        <v>2344</v>
      </c>
      <c r="B301" t="s">
        <v>517</v>
      </c>
      <c r="C301" t="s">
        <v>518</v>
      </c>
      <c r="D301" s="105" t="s">
        <v>359</v>
      </c>
      <c r="E301" s="105" t="s">
        <v>2343</v>
      </c>
    </row>
    <row r="302" spans="1:5" hidden="1">
      <c r="A302" t="s">
        <v>585</v>
      </c>
      <c r="B302" t="s">
        <v>567</v>
      </c>
      <c r="C302" t="s">
        <v>568</v>
      </c>
      <c r="D302" s="105" t="s">
        <v>359</v>
      </c>
      <c r="E302" s="105" t="s">
        <v>584</v>
      </c>
    </row>
    <row r="303" spans="1:5" hidden="1">
      <c r="A303" t="s">
        <v>969</v>
      </c>
      <c r="B303" t="s">
        <v>567</v>
      </c>
      <c r="C303" t="s">
        <v>568</v>
      </c>
      <c r="D303" s="105" t="s">
        <v>359</v>
      </c>
      <c r="E303" s="105" t="s">
        <v>968</v>
      </c>
    </row>
    <row r="304" spans="1:5" hidden="1">
      <c r="A304" t="s">
        <v>909</v>
      </c>
      <c r="B304" t="s">
        <v>567</v>
      </c>
      <c r="C304" t="s">
        <v>568</v>
      </c>
      <c r="D304" s="105" t="s">
        <v>359</v>
      </c>
      <c r="E304" s="105" t="s">
        <v>908</v>
      </c>
    </row>
    <row r="305" spans="1:5" hidden="1">
      <c r="A305" t="s">
        <v>680</v>
      </c>
      <c r="B305" t="s">
        <v>567</v>
      </c>
      <c r="C305" t="s">
        <v>568</v>
      </c>
      <c r="D305" s="105" t="s">
        <v>359</v>
      </c>
      <c r="E305" s="105" t="s">
        <v>679</v>
      </c>
    </row>
    <row r="306" spans="1:5" hidden="1">
      <c r="A306" t="s">
        <v>807</v>
      </c>
      <c r="B306" t="s">
        <v>567</v>
      </c>
      <c r="C306" t="s">
        <v>568</v>
      </c>
      <c r="D306" s="105" t="s">
        <v>359</v>
      </c>
      <c r="E306" s="105" t="s">
        <v>806</v>
      </c>
    </row>
    <row r="307" spans="1:5" hidden="1">
      <c r="A307" t="s">
        <v>1171</v>
      </c>
      <c r="B307" t="s">
        <v>567</v>
      </c>
      <c r="C307" t="s">
        <v>568</v>
      </c>
      <c r="D307" s="105" t="s">
        <v>359</v>
      </c>
      <c r="E307" s="105" t="s">
        <v>1170</v>
      </c>
    </row>
    <row r="308" spans="1:5" hidden="1">
      <c r="A308" t="s">
        <v>839</v>
      </c>
      <c r="B308" t="s">
        <v>567</v>
      </c>
      <c r="C308" t="s">
        <v>568</v>
      </c>
      <c r="D308" s="105" t="s">
        <v>359</v>
      </c>
      <c r="E308" s="105" t="s">
        <v>838</v>
      </c>
    </row>
    <row r="309" spans="1:5" hidden="1">
      <c r="A309" t="s">
        <v>2277</v>
      </c>
      <c r="B309" t="s">
        <v>480</v>
      </c>
      <c r="C309" t="s">
        <v>481</v>
      </c>
      <c r="D309" s="105" t="s">
        <v>359</v>
      </c>
      <c r="E309" s="105" t="s">
        <v>2276</v>
      </c>
    </row>
    <row r="310" spans="1:5" hidden="1">
      <c r="A310" t="s">
        <v>2136</v>
      </c>
      <c r="B310" t="s">
        <v>480</v>
      </c>
      <c r="C310" t="s">
        <v>481</v>
      </c>
      <c r="D310" s="105" t="s">
        <v>359</v>
      </c>
      <c r="E310" s="105" t="s">
        <v>2135</v>
      </c>
    </row>
    <row r="311" spans="1:5" hidden="1">
      <c r="A311" t="s">
        <v>1888</v>
      </c>
      <c r="B311" t="s">
        <v>638</v>
      </c>
      <c r="C311" t="s">
        <v>639</v>
      </c>
      <c r="D311" s="105" t="s">
        <v>359</v>
      </c>
      <c r="E311" s="105" t="s">
        <v>1887</v>
      </c>
    </row>
    <row r="312" spans="1:5" hidden="1">
      <c r="A312" t="s">
        <v>1449</v>
      </c>
      <c r="B312" t="s">
        <v>638</v>
      </c>
      <c r="C312" t="s">
        <v>639</v>
      </c>
      <c r="D312" s="105" t="s">
        <v>359</v>
      </c>
      <c r="E312" s="105" t="s">
        <v>1448</v>
      </c>
    </row>
    <row r="313" spans="1:5" hidden="1">
      <c r="A313" t="s">
        <v>1805</v>
      </c>
      <c r="B313" t="s">
        <v>638</v>
      </c>
      <c r="C313" t="s">
        <v>639</v>
      </c>
      <c r="D313" s="105" t="s">
        <v>359</v>
      </c>
      <c r="E313" s="105" t="s">
        <v>1804</v>
      </c>
    </row>
    <row r="314" spans="1:5" hidden="1">
      <c r="A314" t="s">
        <v>1098</v>
      </c>
      <c r="B314" t="s">
        <v>638</v>
      </c>
      <c r="C314" t="s">
        <v>639</v>
      </c>
      <c r="D314" s="105" t="s">
        <v>359</v>
      </c>
      <c r="E314" s="105" t="s">
        <v>1097</v>
      </c>
    </row>
    <row r="315" spans="1:5" hidden="1">
      <c r="A315" t="s">
        <v>481</v>
      </c>
      <c r="B315" t="s">
        <v>557</v>
      </c>
      <c r="C315" t="s">
        <v>558</v>
      </c>
      <c r="D315" s="105" t="s">
        <v>359</v>
      </c>
      <c r="E315" s="105" t="s">
        <v>1695</v>
      </c>
    </row>
    <row r="316" spans="1:5" hidden="1">
      <c r="A316" t="s">
        <v>1301</v>
      </c>
      <c r="B316" t="s">
        <v>557</v>
      </c>
      <c r="C316" t="s">
        <v>558</v>
      </c>
      <c r="D316" s="105" t="s">
        <v>359</v>
      </c>
      <c r="E316" s="105" t="s">
        <v>1643</v>
      </c>
    </row>
    <row r="317" spans="1:5" hidden="1">
      <c r="A317" t="s">
        <v>1246</v>
      </c>
      <c r="B317" t="s">
        <v>557</v>
      </c>
      <c r="C317" t="s">
        <v>558</v>
      </c>
      <c r="D317" s="105" t="s">
        <v>359</v>
      </c>
      <c r="E317" s="105" t="s">
        <v>1245</v>
      </c>
    </row>
    <row r="318" spans="1:5" hidden="1">
      <c r="A318" t="s">
        <v>1898</v>
      </c>
      <c r="B318" t="s">
        <v>557</v>
      </c>
      <c r="C318" t="s">
        <v>558</v>
      </c>
      <c r="D318" s="105" t="s">
        <v>359</v>
      </c>
      <c r="E318" s="105" t="s">
        <v>1897</v>
      </c>
    </row>
    <row r="319" spans="1:5" hidden="1">
      <c r="A319" t="s">
        <v>1614</v>
      </c>
      <c r="B319" t="s">
        <v>557</v>
      </c>
      <c r="C319" t="s">
        <v>558</v>
      </c>
      <c r="D319" s="105" t="s">
        <v>359</v>
      </c>
      <c r="E319" s="105" t="s">
        <v>1613</v>
      </c>
    </row>
    <row r="320" spans="1:5" hidden="1">
      <c r="A320" t="s">
        <v>983</v>
      </c>
      <c r="B320" t="s">
        <v>672</v>
      </c>
      <c r="C320" t="s">
        <v>673</v>
      </c>
      <c r="D320" s="105" t="s">
        <v>359</v>
      </c>
      <c r="E320" s="105" t="s">
        <v>982</v>
      </c>
    </row>
    <row r="321" spans="1:5" hidden="1">
      <c r="A321" t="s">
        <v>2358</v>
      </c>
      <c r="B321" t="s">
        <v>672</v>
      </c>
      <c r="C321" t="s">
        <v>673</v>
      </c>
      <c r="D321" s="105" t="s">
        <v>359</v>
      </c>
      <c r="E321" s="105" t="s">
        <v>2357</v>
      </c>
    </row>
    <row r="322" spans="1:5" hidden="1">
      <c r="A322" t="s">
        <v>1514</v>
      </c>
      <c r="B322" t="s">
        <v>672</v>
      </c>
      <c r="C322" t="s">
        <v>673</v>
      </c>
      <c r="D322" s="105" t="s">
        <v>359</v>
      </c>
      <c r="E322" s="105" t="s">
        <v>1513</v>
      </c>
    </row>
    <row r="323" spans="1:5" hidden="1">
      <c r="A323" t="s">
        <v>2166</v>
      </c>
      <c r="B323" t="s">
        <v>672</v>
      </c>
      <c r="C323" t="s">
        <v>673</v>
      </c>
      <c r="D323" s="105" t="s">
        <v>359</v>
      </c>
      <c r="E323" s="105" t="s">
        <v>2165</v>
      </c>
    </row>
    <row r="324" spans="1:5" hidden="1">
      <c r="A324" t="s">
        <v>1558</v>
      </c>
      <c r="B324" t="s">
        <v>672</v>
      </c>
      <c r="C324" t="s">
        <v>673</v>
      </c>
      <c r="D324" s="105" t="s">
        <v>359</v>
      </c>
      <c r="E324" s="105" t="s">
        <v>1557</v>
      </c>
    </row>
    <row r="325" spans="1:5" hidden="1">
      <c r="A325" t="s">
        <v>628</v>
      </c>
      <c r="B325" t="s">
        <v>672</v>
      </c>
      <c r="C325" t="s">
        <v>673</v>
      </c>
      <c r="D325" s="105" t="s">
        <v>359</v>
      </c>
      <c r="E325" s="105" t="s">
        <v>792</v>
      </c>
    </row>
    <row r="326" spans="1:5" hidden="1">
      <c r="A326" t="s">
        <v>1992</v>
      </c>
      <c r="B326" t="s">
        <v>672</v>
      </c>
      <c r="C326" t="s">
        <v>673</v>
      </c>
      <c r="D326" s="105" t="s">
        <v>359</v>
      </c>
      <c r="E326" s="105" t="s">
        <v>1991</v>
      </c>
    </row>
    <row r="327" spans="1:5" hidden="1">
      <c r="A327" t="s">
        <v>2203</v>
      </c>
      <c r="B327" t="s">
        <v>672</v>
      </c>
      <c r="C327" t="s">
        <v>673</v>
      </c>
      <c r="D327" s="105" t="s">
        <v>359</v>
      </c>
      <c r="E327" s="105" t="s">
        <v>2202</v>
      </c>
    </row>
    <row r="328" spans="1:5" hidden="1">
      <c r="A328" t="s">
        <v>1416</v>
      </c>
      <c r="B328" t="s">
        <v>672</v>
      </c>
      <c r="C328" t="s">
        <v>673</v>
      </c>
      <c r="D328" s="105" t="s">
        <v>359</v>
      </c>
      <c r="E328" s="105" t="s">
        <v>1415</v>
      </c>
    </row>
    <row r="329" spans="1:5" hidden="1">
      <c r="A329" t="s">
        <v>1032</v>
      </c>
      <c r="B329" t="s">
        <v>672</v>
      </c>
      <c r="C329" t="s">
        <v>673</v>
      </c>
      <c r="D329" s="105" t="s">
        <v>359</v>
      </c>
      <c r="E329" s="105" t="s">
        <v>1031</v>
      </c>
    </row>
    <row r="330" spans="1:5" hidden="1">
      <c r="A330" t="s">
        <v>1058</v>
      </c>
      <c r="B330" t="s">
        <v>672</v>
      </c>
      <c r="C330" t="s">
        <v>673</v>
      </c>
      <c r="D330" s="105" t="s">
        <v>359</v>
      </c>
      <c r="E330" s="105" t="s">
        <v>1057</v>
      </c>
    </row>
    <row r="331" spans="1:5" hidden="1">
      <c r="A331" t="s">
        <v>1395</v>
      </c>
      <c r="B331" t="s">
        <v>672</v>
      </c>
      <c r="C331" t="s">
        <v>673</v>
      </c>
      <c r="D331" s="105" t="s">
        <v>359</v>
      </c>
      <c r="E331" s="105" t="s">
        <v>1394</v>
      </c>
    </row>
    <row r="332" spans="1:5" hidden="1">
      <c r="A332" t="s">
        <v>1894</v>
      </c>
      <c r="B332" t="s">
        <v>498</v>
      </c>
      <c r="C332" t="s">
        <v>499</v>
      </c>
      <c r="D332" s="105" t="s">
        <v>359</v>
      </c>
      <c r="E332" s="105" t="s">
        <v>2377</v>
      </c>
    </row>
    <row r="333" spans="1:5" hidden="1">
      <c r="A333" t="s">
        <v>927</v>
      </c>
      <c r="B333" t="s">
        <v>2542</v>
      </c>
      <c r="C333" t="s">
        <v>2543</v>
      </c>
      <c r="D333" s="105" t="s">
        <v>359</v>
      </c>
      <c r="E333" s="105" t="s">
        <v>2582</v>
      </c>
    </row>
    <row r="334" spans="1:5" hidden="1">
      <c r="A334" t="s">
        <v>1066</v>
      </c>
      <c r="B334" t="s">
        <v>498</v>
      </c>
      <c r="C334" t="s">
        <v>499</v>
      </c>
      <c r="D334" s="105" t="s">
        <v>359</v>
      </c>
      <c r="E334" s="105" t="s">
        <v>1065</v>
      </c>
    </row>
    <row r="335" spans="1:5" hidden="1">
      <c r="A335" t="s">
        <v>2448</v>
      </c>
      <c r="B335" t="s">
        <v>498</v>
      </c>
      <c r="C335" t="s">
        <v>499</v>
      </c>
      <c r="D335" s="105" t="s">
        <v>359</v>
      </c>
      <c r="E335" s="105" t="s">
        <v>2447</v>
      </c>
    </row>
    <row r="336" spans="1:5" hidden="1">
      <c r="A336" t="s">
        <v>2438</v>
      </c>
      <c r="B336" t="s">
        <v>461</v>
      </c>
      <c r="C336" t="s">
        <v>462</v>
      </c>
      <c r="D336" s="105" t="s">
        <v>359</v>
      </c>
      <c r="E336" s="105" t="s">
        <v>2437</v>
      </c>
    </row>
    <row r="337" spans="1:5" hidden="1">
      <c r="A337" t="s">
        <v>1232</v>
      </c>
      <c r="B337" t="s">
        <v>461</v>
      </c>
      <c r="C337" t="s">
        <v>462</v>
      </c>
      <c r="D337" s="105" t="s">
        <v>359</v>
      </c>
      <c r="E337" s="105" t="s">
        <v>1231</v>
      </c>
    </row>
    <row r="338" spans="1:5" hidden="1">
      <c r="A338" t="s">
        <v>2374</v>
      </c>
      <c r="B338" t="s">
        <v>676</v>
      </c>
      <c r="C338" t="s">
        <v>677</v>
      </c>
      <c r="D338" s="105" t="s">
        <v>359</v>
      </c>
      <c r="E338" s="105" t="s">
        <v>2373</v>
      </c>
    </row>
    <row r="339" spans="1:5" hidden="1">
      <c r="A339" t="s">
        <v>2152</v>
      </c>
      <c r="B339" t="s">
        <v>605</v>
      </c>
      <c r="C339" t="s">
        <v>606</v>
      </c>
      <c r="D339" s="105" t="s">
        <v>359</v>
      </c>
      <c r="E339" s="105" t="s">
        <v>2151</v>
      </c>
    </row>
    <row r="340" spans="1:5" hidden="1">
      <c r="A340" t="s">
        <v>2342</v>
      </c>
      <c r="B340" t="s">
        <v>605</v>
      </c>
      <c r="C340" t="s">
        <v>606</v>
      </c>
      <c r="D340" s="105" t="s">
        <v>359</v>
      </c>
      <c r="E340" s="105" t="s">
        <v>2341</v>
      </c>
    </row>
    <row r="341" spans="1:5" hidden="1">
      <c r="A341" t="s">
        <v>2450</v>
      </c>
      <c r="B341" t="s">
        <v>1351</v>
      </c>
      <c r="C341" t="s">
        <v>1352</v>
      </c>
      <c r="D341" s="105" t="s">
        <v>359</v>
      </c>
      <c r="E341" s="105" t="s">
        <v>2449</v>
      </c>
    </row>
    <row r="342" spans="1:5" hidden="1">
      <c r="A342" t="s">
        <v>2595</v>
      </c>
      <c r="B342" t="s">
        <v>2569</v>
      </c>
      <c r="C342" t="s">
        <v>2570</v>
      </c>
      <c r="D342" s="105" t="s">
        <v>359</v>
      </c>
      <c r="E342" s="105" t="s">
        <v>2594</v>
      </c>
    </row>
    <row r="343" spans="1:5" hidden="1">
      <c r="A343" t="s">
        <v>2597</v>
      </c>
      <c r="B343" t="s">
        <v>2569</v>
      </c>
      <c r="C343" t="s">
        <v>2570</v>
      </c>
      <c r="D343" s="105" t="s">
        <v>359</v>
      </c>
      <c r="E343" s="105" t="s">
        <v>2596</v>
      </c>
    </row>
    <row r="344" spans="1:5" hidden="1">
      <c r="A344" t="s">
        <v>2497</v>
      </c>
      <c r="B344" t="s">
        <v>498</v>
      </c>
      <c r="C344" t="s">
        <v>499</v>
      </c>
      <c r="D344" s="105" t="s">
        <v>359</v>
      </c>
      <c r="E344" s="105" t="s">
        <v>2496</v>
      </c>
    </row>
    <row r="345" spans="1:5" hidden="1">
      <c r="A345" t="s">
        <v>2287</v>
      </c>
      <c r="B345" t="s">
        <v>498</v>
      </c>
      <c r="C345" t="s">
        <v>499</v>
      </c>
      <c r="D345" s="105" t="s">
        <v>359</v>
      </c>
      <c r="E345" s="105" t="s">
        <v>2286</v>
      </c>
    </row>
    <row r="346" spans="1:5" hidden="1">
      <c r="A346" t="s">
        <v>1767</v>
      </c>
      <c r="B346" t="s">
        <v>498</v>
      </c>
      <c r="C346" t="s">
        <v>499</v>
      </c>
      <c r="D346" s="105" t="s">
        <v>359</v>
      </c>
      <c r="E346" s="105" t="s">
        <v>1766</v>
      </c>
    </row>
    <row r="347" spans="1:5" hidden="1">
      <c r="A347" t="s">
        <v>1976</v>
      </c>
      <c r="B347" t="s">
        <v>498</v>
      </c>
      <c r="C347" t="s">
        <v>499</v>
      </c>
      <c r="D347" s="105" t="s">
        <v>359</v>
      </c>
      <c r="E347" s="105" t="s">
        <v>1975</v>
      </c>
    </row>
    <row r="348" spans="1:5" hidden="1">
      <c r="A348" t="s">
        <v>2525</v>
      </c>
      <c r="B348" t="s">
        <v>498</v>
      </c>
      <c r="C348" t="s">
        <v>499</v>
      </c>
      <c r="D348" s="105" t="s">
        <v>359</v>
      </c>
      <c r="E348" s="105" t="s">
        <v>2524</v>
      </c>
    </row>
    <row r="349" spans="1:5" hidden="1">
      <c r="A349" t="s">
        <v>1801</v>
      </c>
      <c r="B349" t="s">
        <v>498</v>
      </c>
      <c r="C349" t="s">
        <v>499</v>
      </c>
      <c r="D349" s="105" t="s">
        <v>359</v>
      </c>
      <c r="E349" s="105" t="s">
        <v>1800</v>
      </c>
    </row>
    <row r="350" spans="1:5" hidden="1">
      <c r="A350" t="s">
        <v>927</v>
      </c>
      <c r="B350" t="s">
        <v>2542</v>
      </c>
      <c r="C350" t="s">
        <v>2543</v>
      </c>
      <c r="D350" s="105" t="s">
        <v>359</v>
      </c>
      <c r="E350" s="105" t="s">
        <v>2582</v>
      </c>
    </row>
    <row r="351" spans="1:5" hidden="1">
      <c r="A351" t="s">
        <v>2573</v>
      </c>
      <c r="B351" t="s">
        <v>2542</v>
      </c>
      <c r="C351" t="s">
        <v>2543</v>
      </c>
      <c r="D351" s="105" t="s">
        <v>359</v>
      </c>
      <c r="E351" s="105" t="s">
        <v>2572</v>
      </c>
    </row>
    <row r="352" spans="1:5" hidden="1">
      <c r="A352" t="s">
        <v>714</v>
      </c>
      <c r="B352" t="s">
        <v>435</v>
      </c>
      <c r="C352" t="s">
        <v>436</v>
      </c>
      <c r="D352" s="105" t="s">
        <v>359</v>
      </c>
      <c r="E352" s="105" t="s">
        <v>713</v>
      </c>
    </row>
    <row r="353" spans="1:5" hidden="1">
      <c r="A353" t="s">
        <v>555</v>
      </c>
      <c r="B353" t="s">
        <v>435</v>
      </c>
      <c r="C353" t="s">
        <v>436</v>
      </c>
      <c r="D353" s="105" t="s">
        <v>359</v>
      </c>
      <c r="E353" s="105" t="s">
        <v>554</v>
      </c>
    </row>
    <row r="354" spans="1:5" hidden="1">
      <c r="A354" t="s">
        <v>539</v>
      </c>
      <c r="B354" t="s">
        <v>435</v>
      </c>
      <c r="C354" t="s">
        <v>436</v>
      </c>
      <c r="D354" s="105" t="s">
        <v>359</v>
      </c>
      <c r="E354" s="105" t="s">
        <v>538</v>
      </c>
    </row>
    <row r="355" spans="1:5" hidden="1">
      <c r="A355" t="s">
        <v>628</v>
      </c>
      <c r="B355" t="s">
        <v>435</v>
      </c>
      <c r="C355" t="s">
        <v>436</v>
      </c>
      <c r="D355" s="105" t="s">
        <v>359</v>
      </c>
      <c r="E355" s="105" t="s">
        <v>749</v>
      </c>
    </row>
    <row r="356" spans="1:5" hidden="1">
      <c r="A356" t="s">
        <v>533</v>
      </c>
      <c r="B356" t="s">
        <v>435</v>
      </c>
      <c r="C356" t="s">
        <v>436</v>
      </c>
      <c r="D356" s="105" t="s">
        <v>359</v>
      </c>
      <c r="E356" s="105" t="s">
        <v>532</v>
      </c>
    </row>
    <row r="357" spans="1:5" hidden="1">
      <c r="A357" t="s">
        <v>781</v>
      </c>
      <c r="B357" t="s">
        <v>435</v>
      </c>
      <c r="C357" t="s">
        <v>436</v>
      </c>
      <c r="D357" s="105" t="s">
        <v>359</v>
      </c>
      <c r="E357" s="105" t="s">
        <v>780</v>
      </c>
    </row>
    <row r="358" spans="1:5" hidden="1">
      <c r="A358" t="s">
        <v>504</v>
      </c>
      <c r="B358" t="s">
        <v>435</v>
      </c>
      <c r="C358" t="s">
        <v>436</v>
      </c>
      <c r="D358" s="105" t="s">
        <v>359</v>
      </c>
      <c r="E358" s="105" t="s">
        <v>503</v>
      </c>
    </row>
    <row r="359" spans="1:5" hidden="1">
      <c r="A359" t="s">
        <v>3006</v>
      </c>
      <c r="B359" t="s">
        <v>435</v>
      </c>
      <c r="C359" t="s">
        <v>436</v>
      </c>
      <c r="D359" s="105" t="s">
        <v>359</v>
      </c>
      <c r="E359" s="105" t="s">
        <v>844</v>
      </c>
    </row>
    <row r="360" spans="1:5" hidden="1">
      <c r="A360" t="s">
        <v>573</v>
      </c>
      <c r="B360" t="s">
        <v>435</v>
      </c>
      <c r="C360" t="s">
        <v>436</v>
      </c>
      <c r="D360" s="105" t="s">
        <v>359</v>
      </c>
      <c r="E360" s="105" t="s">
        <v>572</v>
      </c>
    </row>
    <row r="361" spans="1:5" hidden="1">
      <c r="A361" t="s">
        <v>1159</v>
      </c>
      <c r="B361" t="s">
        <v>557</v>
      </c>
      <c r="C361" t="s">
        <v>558</v>
      </c>
      <c r="D361" s="105" t="s">
        <v>359</v>
      </c>
      <c r="E361" s="105" t="s">
        <v>1158</v>
      </c>
    </row>
    <row r="362" spans="1:5" hidden="1">
      <c r="A362" t="s">
        <v>1157</v>
      </c>
      <c r="B362" t="s">
        <v>557</v>
      </c>
      <c r="C362" t="s">
        <v>558</v>
      </c>
      <c r="D362" s="105" t="s">
        <v>359</v>
      </c>
      <c r="E362" s="105" t="s">
        <v>1156</v>
      </c>
    </row>
    <row r="363" spans="1:5" hidden="1">
      <c r="A363" t="s">
        <v>708</v>
      </c>
      <c r="B363" t="s">
        <v>557</v>
      </c>
      <c r="C363" t="s">
        <v>558</v>
      </c>
      <c r="D363" s="105" t="s">
        <v>359</v>
      </c>
      <c r="E363" s="105" t="s">
        <v>707</v>
      </c>
    </row>
    <row r="364" spans="1:5" hidden="1">
      <c r="A364" t="s">
        <v>2126</v>
      </c>
      <c r="B364" t="s">
        <v>557</v>
      </c>
      <c r="C364" t="s">
        <v>558</v>
      </c>
      <c r="D364" s="105" t="s">
        <v>359</v>
      </c>
      <c r="E364" s="105" t="s">
        <v>2125</v>
      </c>
    </row>
    <row r="365" spans="1:5" hidden="1">
      <c r="A365" t="s">
        <v>1947</v>
      </c>
      <c r="B365" t="s">
        <v>557</v>
      </c>
      <c r="C365" t="s">
        <v>558</v>
      </c>
      <c r="D365" s="105" t="s">
        <v>359</v>
      </c>
      <c r="E365" s="105" t="s">
        <v>1946</v>
      </c>
    </row>
    <row r="366" spans="1:5" hidden="1">
      <c r="A366" t="s">
        <v>1087</v>
      </c>
      <c r="B366" t="s">
        <v>557</v>
      </c>
      <c r="C366" t="s">
        <v>558</v>
      </c>
      <c r="D366" s="105" t="s">
        <v>359</v>
      </c>
      <c r="E366" s="105" t="s">
        <v>1086</v>
      </c>
    </row>
    <row r="367" spans="1:5" hidden="1">
      <c r="A367" t="s">
        <v>812</v>
      </c>
      <c r="B367" t="s">
        <v>557</v>
      </c>
      <c r="C367" t="s">
        <v>558</v>
      </c>
      <c r="D367" s="105" t="s">
        <v>359</v>
      </c>
      <c r="E367" s="105" t="s">
        <v>811</v>
      </c>
    </row>
    <row r="368" spans="1:5" hidden="1">
      <c r="A368" t="s">
        <v>1486</v>
      </c>
      <c r="B368" t="s">
        <v>435</v>
      </c>
      <c r="C368" t="s">
        <v>436</v>
      </c>
      <c r="D368" s="105" t="s">
        <v>359</v>
      </c>
      <c r="E368" s="105" t="s">
        <v>1485</v>
      </c>
    </row>
    <row r="369" spans="1:5" hidden="1">
      <c r="A369" t="s">
        <v>1236</v>
      </c>
      <c r="B369" t="s">
        <v>435</v>
      </c>
      <c r="C369" t="s">
        <v>436</v>
      </c>
      <c r="D369" s="105" t="s">
        <v>359</v>
      </c>
      <c r="E369" s="105" t="s">
        <v>1799</v>
      </c>
    </row>
    <row r="370" spans="1:5" hidden="1">
      <c r="A370" t="s">
        <v>673</v>
      </c>
      <c r="B370" t="s">
        <v>435</v>
      </c>
      <c r="C370" t="s">
        <v>436</v>
      </c>
      <c r="D370" s="105" t="s">
        <v>359</v>
      </c>
      <c r="E370" s="105" t="s">
        <v>1761</v>
      </c>
    </row>
    <row r="371" spans="1:5" hidden="1">
      <c r="A371" t="s">
        <v>3007</v>
      </c>
      <c r="B371" t="s">
        <v>435</v>
      </c>
      <c r="C371" t="s">
        <v>436</v>
      </c>
      <c r="D371" s="105" t="s">
        <v>359</v>
      </c>
      <c r="E371" s="105" t="s">
        <v>1783</v>
      </c>
    </row>
    <row r="372" spans="1:5" hidden="1">
      <c r="A372" t="s">
        <v>971</v>
      </c>
      <c r="B372" t="s">
        <v>435</v>
      </c>
      <c r="C372" t="s">
        <v>436</v>
      </c>
      <c r="D372" s="105" t="s">
        <v>359</v>
      </c>
      <c r="E372" s="105" t="s">
        <v>970</v>
      </c>
    </row>
    <row r="373" spans="1:5" hidden="1">
      <c r="A373" t="s">
        <v>1345</v>
      </c>
      <c r="B373" t="s">
        <v>435</v>
      </c>
      <c r="C373" t="s">
        <v>436</v>
      </c>
      <c r="D373" s="105" t="s">
        <v>359</v>
      </c>
      <c r="E373" s="105" t="s">
        <v>1344</v>
      </c>
    </row>
    <row r="374" spans="1:5" hidden="1">
      <c r="A374" t="s">
        <v>979</v>
      </c>
      <c r="B374" t="s">
        <v>435</v>
      </c>
      <c r="C374" t="s">
        <v>436</v>
      </c>
      <c r="D374" s="105" t="s">
        <v>359</v>
      </c>
      <c r="E374" s="105" t="s">
        <v>978</v>
      </c>
    </row>
    <row r="375" spans="1:5" hidden="1">
      <c r="A375" t="s">
        <v>985</v>
      </c>
      <c r="B375" t="s">
        <v>435</v>
      </c>
      <c r="C375" t="s">
        <v>436</v>
      </c>
      <c r="D375" s="105" t="s">
        <v>359</v>
      </c>
      <c r="E375" s="105" t="s">
        <v>984</v>
      </c>
    </row>
    <row r="376" spans="1:5" hidden="1">
      <c r="A376" t="s">
        <v>1221</v>
      </c>
      <c r="B376" t="s">
        <v>435</v>
      </c>
      <c r="C376" t="s">
        <v>436</v>
      </c>
      <c r="D376" s="105" t="s">
        <v>359</v>
      </c>
      <c r="E376" s="105" t="s">
        <v>1220</v>
      </c>
    </row>
    <row r="377" spans="1:5" hidden="1">
      <c r="A377" t="s">
        <v>1219</v>
      </c>
      <c r="B377" t="s">
        <v>435</v>
      </c>
      <c r="C377" t="s">
        <v>436</v>
      </c>
      <c r="D377" s="105" t="s">
        <v>359</v>
      </c>
      <c r="E377" s="105" t="s">
        <v>1218</v>
      </c>
    </row>
    <row r="378" spans="1:5" hidden="1">
      <c r="A378" t="s">
        <v>1236</v>
      </c>
      <c r="B378" t="s">
        <v>435</v>
      </c>
      <c r="C378" t="s">
        <v>436</v>
      </c>
      <c r="D378" s="105" t="s">
        <v>359</v>
      </c>
      <c r="E378" s="105" t="s">
        <v>1799</v>
      </c>
    </row>
    <row r="379" spans="1:5" hidden="1">
      <c r="A379" t="s">
        <v>628</v>
      </c>
      <c r="B379" t="s">
        <v>435</v>
      </c>
      <c r="C379" t="s">
        <v>436</v>
      </c>
      <c r="D379" s="105" t="s">
        <v>359</v>
      </c>
      <c r="E379" s="105" t="s">
        <v>749</v>
      </c>
    </row>
    <row r="380" spans="1:5" hidden="1">
      <c r="A380" t="s">
        <v>673</v>
      </c>
      <c r="B380" t="s">
        <v>435</v>
      </c>
      <c r="C380" t="s">
        <v>436</v>
      </c>
      <c r="D380" s="105" t="s">
        <v>359</v>
      </c>
      <c r="E380" s="105" t="s">
        <v>1761</v>
      </c>
    </row>
    <row r="381" spans="1:5" hidden="1">
      <c r="A381" t="s">
        <v>3007</v>
      </c>
      <c r="B381" t="s">
        <v>435</v>
      </c>
      <c r="C381" t="s">
        <v>436</v>
      </c>
      <c r="D381" s="105" t="s">
        <v>359</v>
      </c>
      <c r="E381" s="105" t="s">
        <v>1783</v>
      </c>
    </row>
    <row r="382" spans="1:5" hidden="1">
      <c r="A382" t="s">
        <v>1550</v>
      </c>
      <c r="B382" t="s">
        <v>435</v>
      </c>
      <c r="C382" t="s">
        <v>436</v>
      </c>
      <c r="D382" s="105" t="s">
        <v>359</v>
      </c>
      <c r="E382" s="105" t="s">
        <v>1549</v>
      </c>
    </row>
    <row r="383" spans="1:5" hidden="1">
      <c r="A383" t="s">
        <v>1150</v>
      </c>
      <c r="B383" t="s">
        <v>435</v>
      </c>
      <c r="C383" t="s">
        <v>436</v>
      </c>
      <c r="D383" s="105" t="s">
        <v>359</v>
      </c>
      <c r="E383" s="105" t="s">
        <v>1149</v>
      </c>
    </row>
    <row r="384" spans="1:5" hidden="1">
      <c r="A384" t="s">
        <v>1728</v>
      </c>
      <c r="B384" t="s">
        <v>435</v>
      </c>
      <c r="C384" t="s">
        <v>436</v>
      </c>
      <c r="D384" s="105" t="s">
        <v>359</v>
      </c>
      <c r="E384" s="105" t="s">
        <v>1727</v>
      </c>
    </row>
    <row r="385" spans="1:5" hidden="1">
      <c r="A385" t="s">
        <v>802</v>
      </c>
      <c r="B385" t="s">
        <v>435</v>
      </c>
      <c r="C385" t="s">
        <v>436</v>
      </c>
      <c r="D385" s="105" t="s">
        <v>359</v>
      </c>
      <c r="E385" s="105" t="s">
        <v>1254</v>
      </c>
    </row>
    <row r="386" spans="1:5" hidden="1">
      <c r="A386" t="s">
        <v>947</v>
      </c>
      <c r="B386" t="s">
        <v>435</v>
      </c>
      <c r="C386" t="s">
        <v>436</v>
      </c>
      <c r="D386" s="105" t="s">
        <v>359</v>
      </c>
      <c r="E386" s="105" t="s">
        <v>946</v>
      </c>
    </row>
    <row r="387" spans="1:5" hidden="1">
      <c r="A387" t="s">
        <v>533</v>
      </c>
      <c r="B387" t="s">
        <v>435</v>
      </c>
      <c r="C387" t="s">
        <v>436</v>
      </c>
      <c r="D387" s="105" t="s">
        <v>359</v>
      </c>
      <c r="E387" s="105" t="s">
        <v>532</v>
      </c>
    </row>
    <row r="388" spans="1:5" hidden="1">
      <c r="A388" t="s">
        <v>716</v>
      </c>
      <c r="B388" t="s">
        <v>435</v>
      </c>
      <c r="C388" t="s">
        <v>436</v>
      </c>
      <c r="D388" s="105" t="s">
        <v>359</v>
      </c>
      <c r="E388" s="105" t="s">
        <v>715</v>
      </c>
    </row>
    <row r="389" spans="1:5" hidden="1">
      <c r="A389" t="s">
        <v>1171</v>
      </c>
      <c r="B389" t="s">
        <v>435</v>
      </c>
      <c r="C389" t="s">
        <v>436</v>
      </c>
      <c r="D389" s="105" t="s">
        <v>359</v>
      </c>
      <c r="E389" s="105" t="s">
        <v>1960</v>
      </c>
    </row>
    <row r="390" spans="1:5" hidden="1">
      <c r="A390" t="s">
        <v>975</v>
      </c>
      <c r="B390" t="s">
        <v>435</v>
      </c>
      <c r="C390" t="s">
        <v>436</v>
      </c>
      <c r="D390" s="105" t="s">
        <v>359</v>
      </c>
      <c r="E390" s="105" t="s">
        <v>2139</v>
      </c>
    </row>
    <row r="391" spans="1:5" hidden="1">
      <c r="A391" t="s">
        <v>1690</v>
      </c>
      <c r="B391" t="s">
        <v>435</v>
      </c>
      <c r="C391" t="s">
        <v>436</v>
      </c>
      <c r="D391" s="105" t="s">
        <v>359</v>
      </c>
      <c r="E391" s="105" t="s">
        <v>1751</v>
      </c>
    </row>
    <row r="392" spans="1:5" hidden="1">
      <c r="A392" t="s">
        <v>1526</v>
      </c>
      <c r="B392" t="s">
        <v>435</v>
      </c>
      <c r="C392" t="s">
        <v>436</v>
      </c>
      <c r="D392" s="105" t="s">
        <v>359</v>
      </c>
      <c r="E392" s="105" t="s">
        <v>1525</v>
      </c>
    </row>
    <row r="393" spans="1:5" hidden="1">
      <c r="A393" t="s">
        <v>3006</v>
      </c>
      <c r="B393" t="s">
        <v>435</v>
      </c>
      <c r="C393" t="s">
        <v>436</v>
      </c>
      <c r="D393" s="105" t="s">
        <v>359</v>
      </c>
      <c r="E393" s="105" t="s">
        <v>844</v>
      </c>
    </row>
    <row r="394" spans="1:5" hidden="1">
      <c r="A394" t="s">
        <v>2285</v>
      </c>
      <c r="B394" t="s">
        <v>435</v>
      </c>
      <c r="C394" t="s">
        <v>436</v>
      </c>
      <c r="D394" s="105" t="s">
        <v>359</v>
      </c>
      <c r="E394" s="105" t="s">
        <v>2284</v>
      </c>
    </row>
    <row r="395" spans="1:5" hidden="1">
      <c r="A395" t="s">
        <v>1865</v>
      </c>
      <c r="B395" t="s">
        <v>435</v>
      </c>
      <c r="C395" t="s">
        <v>436</v>
      </c>
      <c r="D395" s="105" t="s">
        <v>359</v>
      </c>
      <c r="E395" s="105" t="s">
        <v>1864</v>
      </c>
    </row>
    <row r="396" spans="1:5" hidden="1">
      <c r="A396" t="s">
        <v>2019</v>
      </c>
      <c r="B396" t="s">
        <v>435</v>
      </c>
      <c r="C396" t="s">
        <v>436</v>
      </c>
      <c r="D396" s="105" t="s">
        <v>359</v>
      </c>
      <c r="E396" s="105" t="s">
        <v>2018</v>
      </c>
    </row>
    <row r="397" spans="1:5" hidden="1">
      <c r="A397" t="s">
        <v>2158</v>
      </c>
      <c r="B397" t="s">
        <v>435</v>
      </c>
      <c r="C397" t="s">
        <v>436</v>
      </c>
      <c r="D397" s="105" t="s">
        <v>359</v>
      </c>
      <c r="E397" s="105" t="s">
        <v>2157</v>
      </c>
    </row>
    <row r="398" spans="1:5" hidden="1">
      <c r="A398" t="s">
        <v>1916</v>
      </c>
      <c r="B398" t="s">
        <v>435</v>
      </c>
      <c r="C398" t="s">
        <v>436</v>
      </c>
      <c r="D398" s="105" t="s">
        <v>359</v>
      </c>
      <c r="E398" s="105" t="s">
        <v>1915</v>
      </c>
    </row>
    <row r="399" spans="1:5" hidden="1">
      <c r="A399" t="s">
        <v>571</v>
      </c>
      <c r="B399" t="s">
        <v>435</v>
      </c>
      <c r="C399" t="s">
        <v>436</v>
      </c>
      <c r="D399" s="105" t="s">
        <v>359</v>
      </c>
      <c r="E399" s="105" t="s">
        <v>570</v>
      </c>
    </row>
    <row r="400" spans="1:5" hidden="1">
      <c r="A400" t="s">
        <v>989</v>
      </c>
      <c r="B400" t="s">
        <v>435</v>
      </c>
      <c r="C400" t="s">
        <v>436</v>
      </c>
      <c r="D400" s="105" t="s">
        <v>359</v>
      </c>
      <c r="E400" s="105" t="s">
        <v>988</v>
      </c>
    </row>
    <row r="401" spans="1:5" hidden="1">
      <c r="A401" t="s">
        <v>1686</v>
      </c>
      <c r="B401" t="s">
        <v>435</v>
      </c>
      <c r="C401" t="s">
        <v>436</v>
      </c>
      <c r="D401" s="105" t="s">
        <v>359</v>
      </c>
      <c r="E401" s="105" t="s">
        <v>1685</v>
      </c>
    </row>
    <row r="402" spans="1:5" hidden="1">
      <c r="A402" t="s">
        <v>1359</v>
      </c>
      <c r="B402" t="s">
        <v>435</v>
      </c>
      <c r="C402" t="s">
        <v>436</v>
      </c>
      <c r="D402" s="105" t="s">
        <v>359</v>
      </c>
      <c r="E402" s="105" t="s">
        <v>1358</v>
      </c>
    </row>
    <row r="403" spans="1:5" hidden="1">
      <c r="A403" t="s">
        <v>1518</v>
      </c>
      <c r="B403" t="s">
        <v>435</v>
      </c>
      <c r="C403" t="s">
        <v>436</v>
      </c>
      <c r="D403" s="105" t="s">
        <v>359</v>
      </c>
      <c r="E403" s="105" t="s">
        <v>1517</v>
      </c>
    </row>
    <row r="404" spans="1:5" hidden="1">
      <c r="A404" t="s">
        <v>1076</v>
      </c>
      <c r="B404" t="s">
        <v>435</v>
      </c>
      <c r="C404" t="s">
        <v>436</v>
      </c>
      <c r="D404" s="105" t="s">
        <v>359</v>
      </c>
      <c r="E404" s="105" t="s">
        <v>1075</v>
      </c>
    </row>
    <row r="405" spans="1:5" hidden="1">
      <c r="A405" t="s">
        <v>981</v>
      </c>
      <c r="B405" t="s">
        <v>435</v>
      </c>
      <c r="C405" t="s">
        <v>436</v>
      </c>
      <c r="D405" s="105" t="s">
        <v>359</v>
      </c>
      <c r="E405" s="105" t="s">
        <v>980</v>
      </c>
    </row>
    <row r="406" spans="1:5" hidden="1">
      <c r="A406" t="s">
        <v>2313</v>
      </c>
      <c r="B406" t="s">
        <v>435</v>
      </c>
      <c r="C406" t="s">
        <v>436</v>
      </c>
      <c r="D406" s="105" t="s">
        <v>359</v>
      </c>
      <c r="E406" s="105" t="s">
        <v>2312</v>
      </c>
    </row>
    <row r="407" spans="1:5" hidden="1">
      <c r="A407" t="s">
        <v>1443</v>
      </c>
      <c r="B407" t="s">
        <v>435</v>
      </c>
      <c r="C407" t="s">
        <v>436</v>
      </c>
      <c r="D407" s="105" t="s">
        <v>359</v>
      </c>
      <c r="E407" s="105" t="s">
        <v>1442</v>
      </c>
    </row>
    <row r="408" spans="1:5" hidden="1">
      <c r="A408" t="s">
        <v>878</v>
      </c>
      <c r="B408" t="s">
        <v>435</v>
      </c>
      <c r="C408" t="s">
        <v>436</v>
      </c>
      <c r="D408" s="105" t="s">
        <v>359</v>
      </c>
      <c r="E408" s="105" t="s">
        <v>877</v>
      </c>
    </row>
    <row r="409" spans="1:5" hidden="1">
      <c r="A409" t="s">
        <v>1234</v>
      </c>
      <c r="B409" t="s">
        <v>435</v>
      </c>
      <c r="C409" t="s">
        <v>436</v>
      </c>
      <c r="D409" s="105" t="s">
        <v>359</v>
      </c>
      <c r="E409" s="105" t="s">
        <v>1233</v>
      </c>
    </row>
    <row r="410" spans="1:5" hidden="1">
      <c r="A410" t="s">
        <v>794</v>
      </c>
      <c r="B410" t="s">
        <v>435</v>
      </c>
      <c r="C410" t="s">
        <v>436</v>
      </c>
      <c r="D410" s="105" t="s">
        <v>359</v>
      </c>
      <c r="E410" s="105" t="s">
        <v>793</v>
      </c>
    </row>
    <row r="411" spans="1:5" hidden="1">
      <c r="A411" t="s">
        <v>957</v>
      </c>
      <c r="B411" t="s">
        <v>435</v>
      </c>
      <c r="C411" t="s">
        <v>436</v>
      </c>
      <c r="D411" s="105" t="s">
        <v>359</v>
      </c>
      <c r="E411" s="105" t="s">
        <v>956</v>
      </c>
    </row>
    <row r="412" spans="1:5" hidden="1">
      <c r="A412" t="s">
        <v>929</v>
      </c>
      <c r="B412" t="s">
        <v>435</v>
      </c>
      <c r="C412" t="s">
        <v>436</v>
      </c>
      <c r="D412" s="105" t="s">
        <v>359</v>
      </c>
      <c r="E412" s="105" t="s">
        <v>928</v>
      </c>
    </row>
    <row r="413" spans="1:5" hidden="1">
      <c r="A413" t="s">
        <v>829</v>
      </c>
      <c r="B413" t="s">
        <v>435</v>
      </c>
      <c r="C413" t="s">
        <v>436</v>
      </c>
      <c r="D413" s="105" t="s">
        <v>359</v>
      </c>
      <c r="E413" s="105" t="s">
        <v>828</v>
      </c>
    </row>
    <row r="414" spans="1:5" hidden="1">
      <c r="A414" t="s">
        <v>1260</v>
      </c>
      <c r="B414" t="s">
        <v>435</v>
      </c>
      <c r="C414" t="s">
        <v>436</v>
      </c>
      <c r="D414" s="105" t="s">
        <v>359</v>
      </c>
      <c r="E414" s="105" t="s">
        <v>1259</v>
      </c>
    </row>
    <row r="415" spans="1:5" hidden="1">
      <c r="A415" t="s">
        <v>1339</v>
      </c>
      <c r="B415" t="s">
        <v>435</v>
      </c>
      <c r="C415" t="s">
        <v>436</v>
      </c>
      <c r="D415" s="105" t="s">
        <v>359</v>
      </c>
      <c r="E415" s="105" t="s">
        <v>1338</v>
      </c>
    </row>
    <row r="416" spans="1:5" hidden="1">
      <c r="A416" t="s">
        <v>1397</v>
      </c>
      <c r="B416" t="s">
        <v>435</v>
      </c>
      <c r="C416" t="s">
        <v>436</v>
      </c>
      <c r="D416" s="105" t="s">
        <v>359</v>
      </c>
      <c r="E416" s="105" t="s">
        <v>1396</v>
      </c>
    </row>
    <row r="417" spans="1:5" hidden="1">
      <c r="A417" t="s">
        <v>953</v>
      </c>
      <c r="B417" t="s">
        <v>435</v>
      </c>
      <c r="C417" t="s">
        <v>436</v>
      </c>
      <c r="D417" s="105" t="s">
        <v>359</v>
      </c>
      <c r="E417" s="105" t="s">
        <v>952</v>
      </c>
    </row>
    <row r="418" spans="1:5">
      <c r="A418" t="s">
        <v>462</v>
      </c>
      <c r="B418" t="s">
        <v>461</v>
      </c>
      <c r="C418" t="s">
        <v>462</v>
      </c>
      <c r="D418" s="105" t="s">
        <v>361</v>
      </c>
      <c r="E418" s="105" t="s">
        <v>461</v>
      </c>
    </row>
    <row r="419" spans="1:5">
      <c r="A419" t="s">
        <v>677</v>
      </c>
      <c r="B419" t="s">
        <v>676</v>
      </c>
      <c r="C419" t="s">
        <v>677</v>
      </c>
      <c r="D419" s="105" t="s">
        <v>361</v>
      </c>
      <c r="E419" s="105" t="s">
        <v>676</v>
      </c>
    </row>
    <row r="420" spans="1:5">
      <c r="A420" t="s">
        <v>606</v>
      </c>
      <c r="B420" t="s">
        <v>605</v>
      </c>
      <c r="C420" t="s">
        <v>606</v>
      </c>
      <c r="D420" s="105" t="s">
        <v>361</v>
      </c>
      <c r="E420" s="105" t="s">
        <v>605</v>
      </c>
    </row>
    <row r="421" spans="1:5">
      <c r="A421" t="s">
        <v>596</v>
      </c>
      <c r="B421" t="s">
        <v>595</v>
      </c>
      <c r="C421" t="s">
        <v>596</v>
      </c>
      <c r="D421" s="105" t="s">
        <v>361</v>
      </c>
      <c r="E421" s="105" t="s">
        <v>595</v>
      </c>
    </row>
    <row r="422" spans="1:5" hidden="1">
      <c r="A422" t="s">
        <v>3008</v>
      </c>
      <c r="B422" t="s">
        <v>458</v>
      </c>
      <c r="C422" t="s">
        <v>3008</v>
      </c>
      <c r="D422" s="105" t="s">
        <v>359</v>
      </c>
      <c r="E422" s="105" t="s">
        <v>457</v>
      </c>
    </row>
    <row r="423" spans="1:5">
      <c r="A423" t="s">
        <v>499</v>
      </c>
      <c r="B423" t="s">
        <v>498</v>
      </c>
      <c r="C423" t="s">
        <v>499</v>
      </c>
      <c r="D423" s="105" t="s">
        <v>361</v>
      </c>
      <c r="E423" s="105" t="s">
        <v>498</v>
      </c>
    </row>
    <row r="424" spans="1:5">
      <c r="A424" t="s">
        <v>3009</v>
      </c>
      <c r="B424" t="s">
        <v>1463</v>
      </c>
      <c r="C424" t="s">
        <v>1464</v>
      </c>
      <c r="D424" s="105" t="s">
        <v>361</v>
      </c>
      <c r="E424" s="105" t="s">
        <v>1463</v>
      </c>
    </row>
    <row r="425" spans="1:5">
      <c r="A425" t="s">
        <v>944</v>
      </c>
      <c r="B425" t="s">
        <v>943</v>
      </c>
      <c r="C425" t="s">
        <v>944</v>
      </c>
      <c r="D425" s="105" t="s">
        <v>361</v>
      </c>
      <c r="E425" s="105" t="s">
        <v>943</v>
      </c>
    </row>
    <row r="426" spans="1:5">
      <c r="A426" t="s">
        <v>3010</v>
      </c>
      <c r="B426" t="s">
        <v>2586</v>
      </c>
      <c r="C426" t="s">
        <v>2587</v>
      </c>
      <c r="D426" s="105" t="s">
        <v>361</v>
      </c>
      <c r="E426" s="105" t="s">
        <v>2586</v>
      </c>
    </row>
    <row r="427" spans="1:5">
      <c r="A427" t="s">
        <v>2543</v>
      </c>
      <c r="B427" t="s">
        <v>2542</v>
      </c>
      <c r="C427" t="s">
        <v>2543</v>
      </c>
      <c r="D427" s="105" t="s">
        <v>361</v>
      </c>
      <c r="E427" s="105" t="s">
        <v>2542</v>
      </c>
    </row>
    <row r="428" spans="1:5">
      <c r="A428" t="s">
        <v>2607</v>
      </c>
      <c r="B428" t="s">
        <v>2606</v>
      </c>
      <c r="C428" t="s">
        <v>2607</v>
      </c>
      <c r="D428" s="105" t="s">
        <v>361</v>
      </c>
      <c r="E428" s="105" t="s">
        <v>2606</v>
      </c>
    </row>
    <row r="429" spans="1:5">
      <c r="A429" t="s">
        <v>1352</v>
      </c>
      <c r="B429" t="s">
        <v>1351</v>
      </c>
      <c r="C429" t="s">
        <v>1352</v>
      </c>
      <c r="D429" s="105" t="s">
        <v>361</v>
      </c>
      <c r="E429" s="105" t="s">
        <v>1351</v>
      </c>
    </row>
    <row r="430" spans="1:5">
      <c r="A430" t="s">
        <v>2576</v>
      </c>
      <c r="B430" t="s">
        <v>2575</v>
      </c>
      <c r="C430" t="s">
        <v>2576</v>
      </c>
      <c r="D430" s="105" t="s">
        <v>361</v>
      </c>
      <c r="E430" s="105" t="s">
        <v>2575</v>
      </c>
    </row>
    <row r="431" spans="1:5">
      <c r="A431" t="s">
        <v>1569</v>
      </c>
      <c r="B431" t="s">
        <v>1568</v>
      </c>
      <c r="C431" t="s">
        <v>1569</v>
      </c>
      <c r="D431" s="105" t="s">
        <v>361</v>
      </c>
      <c r="E431" s="105" t="s">
        <v>1568</v>
      </c>
    </row>
    <row r="432" spans="1:5">
      <c r="A432" t="s">
        <v>436</v>
      </c>
      <c r="B432" t="s">
        <v>435</v>
      </c>
      <c r="C432" t="s">
        <v>436</v>
      </c>
      <c r="D432" s="105" t="s">
        <v>361</v>
      </c>
      <c r="E432" s="105" t="s">
        <v>435</v>
      </c>
    </row>
    <row r="433" spans="1:5">
      <c r="A433" t="s">
        <v>507</v>
      </c>
      <c r="B433" t="s">
        <v>506</v>
      </c>
      <c r="C433" t="s">
        <v>507</v>
      </c>
      <c r="D433" s="105" t="s">
        <v>361</v>
      </c>
      <c r="E433" s="105" t="s">
        <v>506</v>
      </c>
    </row>
    <row r="434" spans="1:5">
      <c r="A434" t="s">
        <v>3011</v>
      </c>
      <c r="B434" t="s">
        <v>442</v>
      </c>
      <c r="C434" t="s">
        <v>443</v>
      </c>
      <c r="D434" s="105" t="s">
        <v>361</v>
      </c>
      <c r="E434" s="105" t="s">
        <v>442</v>
      </c>
    </row>
    <row r="435" spans="1:5">
      <c r="A435" t="s">
        <v>3012</v>
      </c>
      <c r="B435" t="s">
        <v>480</v>
      </c>
      <c r="C435" t="s">
        <v>481</v>
      </c>
      <c r="D435" s="105" t="s">
        <v>361</v>
      </c>
      <c r="E435" s="105" t="s">
        <v>480</v>
      </c>
    </row>
    <row r="436" spans="1:5">
      <c r="A436" t="s">
        <v>894</v>
      </c>
      <c r="B436" t="s">
        <v>893</v>
      </c>
      <c r="C436" t="s">
        <v>894</v>
      </c>
      <c r="D436" s="105" t="s">
        <v>361</v>
      </c>
      <c r="E436" s="105" t="s">
        <v>893</v>
      </c>
    </row>
    <row r="437" spans="1:5">
      <c r="A437" t="s">
        <v>568</v>
      </c>
      <c r="B437" t="s">
        <v>567</v>
      </c>
      <c r="C437" t="s">
        <v>568</v>
      </c>
      <c r="D437" s="105" t="s">
        <v>361</v>
      </c>
      <c r="E437" s="105" t="s">
        <v>567</v>
      </c>
    </row>
    <row r="438" spans="1:5">
      <c r="A438" t="s">
        <v>3013</v>
      </c>
      <c r="B438" t="s">
        <v>933</v>
      </c>
      <c r="C438" t="s">
        <v>934</v>
      </c>
      <c r="D438" s="105" t="s">
        <v>361</v>
      </c>
      <c r="E438" s="105" t="s">
        <v>933</v>
      </c>
    </row>
    <row r="439" spans="1:5">
      <c r="A439" t="s">
        <v>639</v>
      </c>
      <c r="B439" t="s">
        <v>638</v>
      </c>
      <c r="C439" t="s">
        <v>639</v>
      </c>
      <c r="D439" s="105" t="s">
        <v>361</v>
      </c>
      <c r="E439" s="105" t="s">
        <v>638</v>
      </c>
    </row>
    <row r="440" spans="1:5">
      <c r="A440" t="s">
        <v>495</v>
      </c>
      <c r="B440" t="s">
        <v>494</v>
      </c>
      <c r="C440" t="s">
        <v>495</v>
      </c>
      <c r="D440" s="105" t="s">
        <v>361</v>
      </c>
      <c r="E440" s="105" t="s">
        <v>494</v>
      </c>
    </row>
    <row r="441" spans="1:5">
      <c r="A441" t="s">
        <v>3014</v>
      </c>
      <c r="B441" t="s">
        <v>473</v>
      </c>
      <c r="C441" t="s">
        <v>474</v>
      </c>
      <c r="D441" s="105" t="s">
        <v>361</v>
      </c>
      <c r="E441" s="105" t="s">
        <v>473</v>
      </c>
    </row>
    <row r="442" spans="1:5">
      <c r="A442" t="s">
        <v>507</v>
      </c>
      <c r="B442" t="s">
        <v>506</v>
      </c>
      <c r="C442" t="s">
        <v>507</v>
      </c>
      <c r="D442" s="105" t="s">
        <v>361</v>
      </c>
      <c r="E442" s="105" t="s">
        <v>506</v>
      </c>
    </row>
    <row r="443" spans="1:5">
      <c r="A443" t="s">
        <v>468</v>
      </c>
      <c r="B443" t="s">
        <v>467</v>
      </c>
      <c r="C443" t="s">
        <v>468</v>
      </c>
      <c r="D443" s="105" t="s">
        <v>361</v>
      </c>
      <c r="E443" s="105" t="s">
        <v>467</v>
      </c>
    </row>
    <row r="444" spans="1:5">
      <c r="A444" t="s">
        <v>596</v>
      </c>
      <c r="B444" t="s">
        <v>595</v>
      </c>
      <c r="C444" t="s">
        <v>596</v>
      </c>
      <c r="D444" s="105" t="s">
        <v>361</v>
      </c>
      <c r="E444" s="105" t="s">
        <v>595</v>
      </c>
    </row>
    <row r="445" spans="1:5">
      <c r="A445" t="s">
        <v>518</v>
      </c>
      <c r="B445" t="s">
        <v>517</v>
      </c>
      <c r="C445" t="s">
        <v>518</v>
      </c>
      <c r="D445" s="105" t="s">
        <v>361</v>
      </c>
      <c r="E445" s="105" t="s">
        <v>517</v>
      </c>
    </row>
    <row r="446" spans="1:5">
      <c r="A446" t="s">
        <v>432</v>
      </c>
      <c r="B446" t="s">
        <v>431</v>
      </c>
      <c r="C446" t="s">
        <v>432</v>
      </c>
      <c r="D446" s="105" t="s">
        <v>361</v>
      </c>
      <c r="E446" s="105" t="s">
        <v>431</v>
      </c>
    </row>
    <row r="447" spans="1:5">
      <c r="A447" t="s">
        <v>455</v>
      </c>
      <c r="B447" t="s">
        <v>454</v>
      </c>
      <c r="C447" t="s">
        <v>455</v>
      </c>
      <c r="D447" s="105" t="s">
        <v>361</v>
      </c>
      <c r="E447" s="105" t="s">
        <v>454</v>
      </c>
    </row>
    <row r="448" spans="1:5">
      <c r="A448" t="s">
        <v>673</v>
      </c>
      <c r="B448" t="s">
        <v>672</v>
      </c>
      <c r="C448" t="s">
        <v>673</v>
      </c>
      <c r="D448" s="105" t="s">
        <v>361</v>
      </c>
      <c r="E448" s="105" t="s">
        <v>672</v>
      </c>
    </row>
    <row r="449" spans="1:5">
      <c r="A449" t="s">
        <v>3015</v>
      </c>
      <c r="B449" t="s">
        <v>1714</v>
      </c>
      <c r="C449" t="s">
        <v>1715</v>
      </c>
      <c r="D449" s="105" t="s">
        <v>361</v>
      </c>
      <c r="E449" s="105" t="s">
        <v>1714</v>
      </c>
    </row>
    <row r="450" spans="1:5">
      <c r="A450" t="s">
        <v>558</v>
      </c>
      <c r="B450" t="s">
        <v>557</v>
      </c>
      <c r="C450" t="s">
        <v>558</v>
      </c>
      <c r="D450" s="105" t="s">
        <v>361</v>
      </c>
      <c r="E450" s="105" t="s">
        <v>557</v>
      </c>
    </row>
    <row r="451" spans="1:5" hidden="1">
      <c r="A451" t="s">
        <v>2209</v>
      </c>
      <c r="B451" t="s">
        <v>435</v>
      </c>
      <c r="C451" t="s">
        <v>436</v>
      </c>
      <c r="D451" s="105" t="s">
        <v>359</v>
      </c>
      <c r="E451" s="105" t="s">
        <v>2208</v>
      </c>
    </row>
    <row r="452" spans="1:5" hidden="1">
      <c r="A452" t="s">
        <v>1296</v>
      </c>
      <c r="B452" t="s">
        <v>435</v>
      </c>
      <c r="C452" t="s">
        <v>436</v>
      </c>
      <c r="D452" s="105" t="s">
        <v>359</v>
      </c>
      <c r="E452" s="105" t="s">
        <v>1295</v>
      </c>
    </row>
    <row r="453" spans="1:5" hidden="1">
      <c r="A453" t="s">
        <v>1875</v>
      </c>
      <c r="B453" t="s">
        <v>435</v>
      </c>
      <c r="C453" t="s">
        <v>436</v>
      </c>
      <c r="D453" s="105" t="s">
        <v>359</v>
      </c>
      <c r="E453" s="105" t="s">
        <v>1874</v>
      </c>
    </row>
    <row r="454" spans="1:5" hidden="1">
      <c r="A454" t="s">
        <v>1987</v>
      </c>
      <c r="B454" t="s">
        <v>435</v>
      </c>
      <c r="C454" t="s">
        <v>436</v>
      </c>
      <c r="D454" s="105" t="s">
        <v>359</v>
      </c>
      <c r="E454" s="105" t="s">
        <v>1986</v>
      </c>
    </row>
    <row r="455" spans="1:5" hidden="1">
      <c r="A455" t="s">
        <v>1983</v>
      </c>
      <c r="B455" t="s">
        <v>435</v>
      </c>
      <c r="C455" t="s">
        <v>436</v>
      </c>
      <c r="D455" s="105" t="s">
        <v>359</v>
      </c>
      <c r="E455" s="105" t="s">
        <v>1982</v>
      </c>
    </row>
    <row r="456" spans="1:5" hidden="1">
      <c r="A456" t="s">
        <v>2145</v>
      </c>
      <c r="B456" t="s">
        <v>435</v>
      </c>
      <c r="C456" t="s">
        <v>436</v>
      </c>
      <c r="D456" s="105" t="s">
        <v>359</v>
      </c>
      <c r="E456" s="105" t="s">
        <v>2144</v>
      </c>
    </row>
    <row r="457" spans="1:5" hidden="1">
      <c r="A457" t="s">
        <v>660</v>
      </c>
      <c r="B457" t="s">
        <v>454</v>
      </c>
      <c r="C457" t="s">
        <v>455</v>
      </c>
      <c r="D457" s="105" t="s">
        <v>359</v>
      </c>
      <c r="E457" s="105" t="s">
        <v>659</v>
      </c>
    </row>
    <row r="458" spans="1:5" hidden="1">
      <c r="A458" t="s">
        <v>1048</v>
      </c>
      <c r="B458" t="s">
        <v>454</v>
      </c>
      <c r="C458" t="s">
        <v>455</v>
      </c>
      <c r="D458" s="105" t="s">
        <v>359</v>
      </c>
      <c r="E458" s="105" t="s">
        <v>1047</v>
      </c>
    </row>
    <row r="459" spans="1:5" hidden="1">
      <c r="A459" t="s">
        <v>1528</v>
      </c>
      <c r="B459" t="s">
        <v>454</v>
      </c>
      <c r="C459" t="s">
        <v>455</v>
      </c>
      <c r="D459" s="105" t="s">
        <v>359</v>
      </c>
      <c r="E459" s="105" t="s">
        <v>1527</v>
      </c>
    </row>
    <row r="460" spans="1:5" hidden="1">
      <c r="A460" t="s">
        <v>1230</v>
      </c>
      <c r="B460" t="s">
        <v>454</v>
      </c>
      <c r="C460" t="s">
        <v>455</v>
      </c>
      <c r="D460" s="105" t="s">
        <v>359</v>
      </c>
      <c r="E460" s="105" t="s">
        <v>1229</v>
      </c>
    </row>
    <row r="461" spans="1:5" hidden="1">
      <c r="A461" t="s">
        <v>868</v>
      </c>
      <c r="B461" t="s">
        <v>454</v>
      </c>
      <c r="C461" t="s">
        <v>455</v>
      </c>
      <c r="D461" s="105" t="s">
        <v>359</v>
      </c>
      <c r="E461" s="105" t="s">
        <v>867</v>
      </c>
    </row>
    <row r="462" spans="1:5" hidden="1">
      <c r="A462" t="s">
        <v>1054</v>
      </c>
      <c r="B462" t="s">
        <v>454</v>
      </c>
      <c r="C462" t="s">
        <v>455</v>
      </c>
      <c r="D462" s="105" t="s">
        <v>359</v>
      </c>
      <c r="E462" s="105" t="s">
        <v>1053</v>
      </c>
    </row>
    <row r="463" spans="1:5" hidden="1">
      <c r="A463" t="s">
        <v>620</v>
      </c>
      <c r="B463" t="s">
        <v>454</v>
      </c>
      <c r="C463" t="s">
        <v>455</v>
      </c>
      <c r="D463" s="105" t="s">
        <v>359</v>
      </c>
      <c r="E463" s="105" t="s">
        <v>619</v>
      </c>
    </row>
    <row r="464" spans="1:5" hidden="1">
      <c r="A464" t="s">
        <v>1408</v>
      </c>
      <c r="B464" t="s">
        <v>567</v>
      </c>
      <c r="C464" t="s">
        <v>568</v>
      </c>
      <c r="D464" s="105" t="s">
        <v>359</v>
      </c>
      <c r="E464" s="105" t="s">
        <v>1407</v>
      </c>
    </row>
    <row r="465" spans="1:5" hidden="1">
      <c r="A465" t="s">
        <v>1439</v>
      </c>
      <c r="B465" t="s">
        <v>567</v>
      </c>
      <c r="C465" t="s">
        <v>568</v>
      </c>
      <c r="D465" s="105" t="s">
        <v>359</v>
      </c>
      <c r="E465" s="105" t="s">
        <v>1438</v>
      </c>
    </row>
    <row r="466" spans="1:5" hidden="1">
      <c r="A466" t="s">
        <v>1994</v>
      </c>
      <c r="B466" t="s">
        <v>567</v>
      </c>
      <c r="C466" t="s">
        <v>568</v>
      </c>
      <c r="D466" s="105" t="s">
        <v>359</v>
      </c>
      <c r="E466" s="105" t="s">
        <v>1993</v>
      </c>
    </row>
    <row r="467" spans="1:5" hidden="1">
      <c r="A467" t="s">
        <v>543</v>
      </c>
      <c r="B467" t="s">
        <v>442</v>
      </c>
      <c r="C467" t="s">
        <v>443</v>
      </c>
      <c r="D467" s="105" t="s">
        <v>359</v>
      </c>
      <c r="E467" s="105" t="s">
        <v>542</v>
      </c>
    </row>
    <row r="468" spans="1:5" hidden="1">
      <c r="A468" t="s">
        <v>1703</v>
      </c>
      <c r="B468" t="s">
        <v>442</v>
      </c>
      <c r="C468" t="s">
        <v>443</v>
      </c>
      <c r="D468" s="105" t="s">
        <v>359</v>
      </c>
      <c r="E468" s="105" t="s">
        <v>1702</v>
      </c>
    </row>
    <row r="469" spans="1:5" hidden="1">
      <c r="A469" t="s">
        <v>779</v>
      </c>
      <c r="B469" t="s">
        <v>442</v>
      </c>
      <c r="C469" t="s">
        <v>443</v>
      </c>
      <c r="D469" s="105" t="s">
        <v>359</v>
      </c>
      <c r="E469" s="105" t="s">
        <v>778</v>
      </c>
    </row>
    <row r="470" spans="1:5" hidden="1">
      <c r="A470" t="s">
        <v>700</v>
      </c>
      <c r="B470" t="s">
        <v>454</v>
      </c>
      <c r="C470" t="s">
        <v>455</v>
      </c>
      <c r="D470" s="105" t="s">
        <v>359</v>
      </c>
      <c r="E470" s="105" t="s">
        <v>699</v>
      </c>
    </row>
    <row r="471" spans="1:5" hidden="1">
      <c r="A471" t="s">
        <v>1790</v>
      </c>
      <c r="B471" t="s">
        <v>454</v>
      </c>
      <c r="C471" t="s">
        <v>455</v>
      </c>
      <c r="D471" s="105" t="s">
        <v>359</v>
      </c>
      <c r="E471" s="105" t="s">
        <v>1789</v>
      </c>
    </row>
    <row r="472" spans="1:5" hidden="1">
      <c r="A472" t="s">
        <v>654</v>
      </c>
      <c r="B472" t="s">
        <v>454</v>
      </c>
      <c r="C472" t="s">
        <v>455</v>
      </c>
      <c r="D472" s="105" t="s">
        <v>359</v>
      </c>
      <c r="E472" s="105" t="s">
        <v>653</v>
      </c>
    </row>
    <row r="473" spans="1:5" hidden="1">
      <c r="A473" t="s">
        <v>837</v>
      </c>
      <c r="B473" t="s">
        <v>454</v>
      </c>
      <c r="C473" t="s">
        <v>455</v>
      </c>
      <c r="D473" s="105" t="s">
        <v>359</v>
      </c>
      <c r="E473" s="105" t="s">
        <v>836</v>
      </c>
    </row>
    <row r="474" spans="1:5" hidden="1">
      <c r="A474" t="s">
        <v>1201</v>
      </c>
      <c r="B474" t="s">
        <v>454</v>
      </c>
      <c r="C474" t="s">
        <v>455</v>
      </c>
      <c r="D474" s="105" t="s">
        <v>359</v>
      </c>
      <c r="E474" s="105" t="s">
        <v>1200</v>
      </c>
    </row>
    <row r="475" spans="1:5" hidden="1">
      <c r="A475" t="s">
        <v>1266</v>
      </c>
      <c r="B475" t="s">
        <v>567</v>
      </c>
      <c r="C475" t="s">
        <v>568</v>
      </c>
      <c r="D475" s="105" t="s">
        <v>359</v>
      </c>
      <c r="E475" s="105" t="s">
        <v>1265</v>
      </c>
    </row>
    <row r="476" spans="1:5" hidden="1">
      <c r="A476" t="s">
        <v>810</v>
      </c>
      <c r="B476" t="s">
        <v>567</v>
      </c>
      <c r="C476" t="s">
        <v>568</v>
      </c>
      <c r="D476" s="105" t="s">
        <v>359</v>
      </c>
      <c r="E476" s="105" t="s">
        <v>809</v>
      </c>
    </row>
    <row r="477" spans="1:5" hidden="1">
      <c r="A477" t="s">
        <v>666</v>
      </c>
      <c r="B477" t="s">
        <v>567</v>
      </c>
      <c r="C477" t="s">
        <v>568</v>
      </c>
      <c r="D477" s="105" t="s">
        <v>359</v>
      </c>
      <c r="E477" s="105" t="s">
        <v>665</v>
      </c>
    </row>
    <row r="478" spans="1:5" hidden="1">
      <c r="A478" t="s">
        <v>569</v>
      </c>
      <c r="B478" t="s">
        <v>567</v>
      </c>
      <c r="C478" t="s">
        <v>568</v>
      </c>
      <c r="D478" s="105" t="s">
        <v>359</v>
      </c>
      <c r="E478" s="105" t="s">
        <v>566</v>
      </c>
    </row>
    <row r="479" spans="1:5" hidden="1">
      <c r="A479" t="s">
        <v>1100</v>
      </c>
      <c r="B479" t="s">
        <v>557</v>
      </c>
      <c r="C479" t="s">
        <v>558</v>
      </c>
      <c r="D479" s="105" t="s">
        <v>359</v>
      </c>
      <c r="E479" s="105" t="s">
        <v>1099</v>
      </c>
    </row>
    <row r="480" spans="1:5" hidden="1">
      <c r="A480" t="s">
        <v>941</v>
      </c>
      <c r="B480" t="s">
        <v>557</v>
      </c>
      <c r="C480" t="s">
        <v>558</v>
      </c>
      <c r="D480" s="105" t="s">
        <v>359</v>
      </c>
      <c r="E480" s="105" t="s">
        <v>940</v>
      </c>
    </row>
    <row r="481" spans="1:5" hidden="1">
      <c r="A481" t="s">
        <v>882</v>
      </c>
      <c r="B481" t="s">
        <v>557</v>
      </c>
      <c r="C481" t="s">
        <v>558</v>
      </c>
      <c r="D481" s="105" t="s">
        <v>359</v>
      </c>
      <c r="E481" s="105" t="s">
        <v>881</v>
      </c>
    </row>
    <row r="482" spans="1:5" hidden="1">
      <c r="A482" t="s">
        <v>1050</v>
      </c>
      <c r="B482" t="s">
        <v>557</v>
      </c>
      <c r="C482" t="s">
        <v>558</v>
      </c>
      <c r="D482" s="105" t="s">
        <v>359</v>
      </c>
      <c r="E482" s="105" t="s">
        <v>1049</v>
      </c>
    </row>
    <row r="483" spans="1:5" hidden="1">
      <c r="A483" t="s">
        <v>710</v>
      </c>
      <c r="B483" t="s">
        <v>557</v>
      </c>
      <c r="C483" t="s">
        <v>558</v>
      </c>
      <c r="D483" s="105" t="s">
        <v>359</v>
      </c>
      <c r="E483" s="105" t="s">
        <v>709</v>
      </c>
    </row>
    <row r="484" spans="1:5" hidden="1">
      <c r="A484" t="s">
        <v>1211</v>
      </c>
      <c r="B484" t="s">
        <v>557</v>
      </c>
      <c r="C484" t="s">
        <v>558</v>
      </c>
      <c r="D484" s="105" t="s">
        <v>359</v>
      </c>
      <c r="E484" s="105" t="s">
        <v>1210</v>
      </c>
    </row>
    <row r="485" spans="1:5" hidden="1">
      <c r="A485" t="s">
        <v>728</v>
      </c>
      <c r="B485" t="s">
        <v>557</v>
      </c>
      <c r="C485" t="s">
        <v>558</v>
      </c>
      <c r="D485" s="105" t="s">
        <v>359</v>
      </c>
      <c r="E485" s="105" t="s">
        <v>727</v>
      </c>
    </row>
    <row r="486" spans="1:5" hidden="1">
      <c r="A486" t="s">
        <v>767</v>
      </c>
      <c r="B486" t="s">
        <v>557</v>
      </c>
      <c r="C486" t="s">
        <v>558</v>
      </c>
      <c r="D486" s="105" t="s">
        <v>359</v>
      </c>
      <c r="E486" s="105" t="s">
        <v>766</v>
      </c>
    </row>
    <row r="487" spans="1:5" hidden="1">
      <c r="A487" t="s">
        <v>579</v>
      </c>
      <c r="B487" t="s">
        <v>557</v>
      </c>
      <c r="C487" t="s">
        <v>558</v>
      </c>
      <c r="D487" s="105" t="s">
        <v>359</v>
      </c>
      <c r="E487" s="105" t="s">
        <v>578</v>
      </c>
    </row>
    <row r="488" spans="1:5" hidden="1">
      <c r="A488" t="s">
        <v>684</v>
      </c>
      <c r="B488" t="s">
        <v>557</v>
      </c>
      <c r="C488" t="s">
        <v>558</v>
      </c>
      <c r="D488" s="105" t="s">
        <v>359</v>
      </c>
      <c r="E488" s="105" t="s">
        <v>683</v>
      </c>
    </row>
    <row r="489" spans="1:5" hidden="1">
      <c r="A489" t="s">
        <v>1087</v>
      </c>
      <c r="B489" t="s">
        <v>557</v>
      </c>
      <c r="C489" t="s">
        <v>558</v>
      </c>
      <c r="D489" s="105" t="s">
        <v>359</v>
      </c>
      <c r="E489" s="105" t="s">
        <v>1086</v>
      </c>
    </row>
    <row r="490" spans="1:5" hidden="1">
      <c r="A490" t="s">
        <v>1185</v>
      </c>
      <c r="B490" t="s">
        <v>557</v>
      </c>
      <c r="C490" t="s">
        <v>558</v>
      </c>
      <c r="D490" s="105" t="s">
        <v>359</v>
      </c>
      <c r="E490" s="105" t="s">
        <v>1184</v>
      </c>
    </row>
    <row r="491" spans="1:5" hidden="1">
      <c r="A491" t="s">
        <v>648</v>
      </c>
      <c r="B491" t="s">
        <v>557</v>
      </c>
      <c r="C491" t="s">
        <v>558</v>
      </c>
      <c r="D491" s="105" t="s">
        <v>359</v>
      </c>
      <c r="E491" s="105" t="s">
        <v>647</v>
      </c>
    </row>
    <row r="492" spans="1:5" hidden="1">
      <c r="A492" t="s">
        <v>3016</v>
      </c>
      <c r="B492" t="s">
        <v>454</v>
      </c>
      <c r="C492" t="s">
        <v>455</v>
      </c>
      <c r="D492" s="105" t="s">
        <v>359</v>
      </c>
      <c r="E492" s="105" t="s">
        <v>453</v>
      </c>
    </row>
    <row r="493" spans="1:5" hidden="1">
      <c r="A493" t="s">
        <v>575</v>
      </c>
      <c r="B493" t="s">
        <v>454</v>
      </c>
      <c r="C493" t="s">
        <v>455</v>
      </c>
      <c r="D493" s="105" t="s">
        <v>359</v>
      </c>
      <c r="E493" s="105" t="s">
        <v>574</v>
      </c>
    </row>
    <row r="494" spans="1:5" hidden="1">
      <c r="A494" t="s">
        <v>551</v>
      </c>
      <c r="B494" t="s">
        <v>454</v>
      </c>
      <c r="C494" t="s">
        <v>455</v>
      </c>
      <c r="D494" s="105" t="s">
        <v>359</v>
      </c>
      <c r="E494" s="105" t="s">
        <v>550</v>
      </c>
    </row>
    <row r="495" spans="1:5" hidden="1">
      <c r="A495" t="s">
        <v>1550</v>
      </c>
      <c r="B495" t="s">
        <v>435</v>
      </c>
      <c r="C495" t="s">
        <v>436</v>
      </c>
      <c r="D495" s="105" t="s">
        <v>359</v>
      </c>
      <c r="E495" s="105" t="s">
        <v>1549</v>
      </c>
    </row>
    <row r="496" spans="1:5" hidden="1">
      <c r="A496" t="s">
        <v>716</v>
      </c>
      <c r="B496" t="s">
        <v>435</v>
      </c>
      <c r="C496" t="s">
        <v>436</v>
      </c>
      <c r="D496" s="105" t="s">
        <v>359</v>
      </c>
      <c r="E496" s="105" t="s">
        <v>715</v>
      </c>
    </row>
    <row r="497" spans="1:5" hidden="1">
      <c r="A497" t="s">
        <v>533</v>
      </c>
      <c r="B497" t="s">
        <v>435</v>
      </c>
      <c r="C497" t="s">
        <v>436</v>
      </c>
      <c r="D497" s="105" t="s">
        <v>359</v>
      </c>
      <c r="E497" s="105" t="s">
        <v>532</v>
      </c>
    </row>
    <row r="498" spans="1:5" hidden="1">
      <c r="A498" t="s">
        <v>1171</v>
      </c>
      <c r="B498" t="s">
        <v>435</v>
      </c>
      <c r="C498" t="s">
        <v>436</v>
      </c>
      <c r="D498" s="105" t="s">
        <v>359</v>
      </c>
      <c r="E498" s="105" t="s">
        <v>1960</v>
      </c>
    </row>
    <row r="499" spans="1:5" hidden="1">
      <c r="A499" t="s">
        <v>1526</v>
      </c>
      <c r="B499" t="s">
        <v>435</v>
      </c>
      <c r="C499" t="s">
        <v>436</v>
      </c>
      <c r="D499" s="105" t="s">
        <v>359</v>
      </c>
      <c r="E499" s="105" t="s">
        <v>1525</v>
      </c>
    </row>
    <row r="500" spans="1:5" hidden="1">
      <c r="A500" t="s">
        <v>1343</v>
      </c>
      <c r="B500" t="s">
        <v>435</v>
      </c>
      <c r="C500" t="s">
        <v>436</v>
      </c>
      <c r="D500" s="105" t="s">
        <v>359</v>
      </c>
      <c r="E500" s="105" t="s">
        <v>1342</v>
      </c>
    </row>
    <row r="501" spans="1:5" hidden="1">
      <c r="A501" t="s">
        <v>1331</v>
      </c>
      <c r="B501" t="s">
        <v>435</v>
      </c>
      <c r="C501" t="s">
        <v>436</v>
      </c>
      <c r="D501" s="105" t="s">
        <v>359</v>
      </c>
      <c r="E501" s="105" t="s">
        <v>1330</v>
      </c>
    </row>
    <row r="502" spans="1:5" hidden="1">
      <c r="A502" t="s">
        <v>504</v>
      </c>
      <c r="B502" t="s">
        <v>435</v>
      </c>
      <c r="C502" t="s">
        <v>436</v>
      </c>
      <c r="D502" s="105" t="s">
        <v>359</v>
      </c>
      <c r="E502" s="105" t="s">
        <v>503</v>
      </c>
    </row>
    <row r="503" spans="1:5" hidden="1">
      <c r="A503" t="s">
        <v>714</v>
      </c>
      <c r="B503" t="s">
        <v>435</v>
      </c>
      <c r="C503" t="s">
        <v>436</v>
      </c>
      <c r="D503" s="105" t="s">
        <v>359</v>
      </c>
      <c r="E503" s="105" t="s">
        <v>713</v>
      </c>
    </row>
    <row r="504" spans="1:5" hidden="1">
      <c r="A504" t="s">
        <v>573</v>
      </c>
      <c r="B504" t="s">
        <v>435</v>
      </c>
      <c r="C504" t="s">
        <v>436</v>
      </c>
      <c r="D504" s="105" t="s">
        <v>359</v>
      </c>
      <c r="E504" s="105" t="s">
        <v>572</v>
      </c>
    </row>
    <row r="505" spans="1:5" hidden="1">
      <c r="A505" t="s">
        <v>3006</v>
      </c>
      <c r="B505" t="s">
        <v>435</v>
      </c>
      <c r="C505" t="s">
        <v>436</v>
      </c>
      <c r="D505" s="105" t="s">
        <v>359</v>
      </c>
      <c r="E505" s="105" t="s">
        <v>844</v>
      </c>
    </row>
    <row r="506" spans="1:5" hidden="1">
      <c r="A506" t="s">
        <v>781</v>
      </c>
      <c r="B506" t="s">
        <v>435</v>
      </c>
      <c r="C506" t="s">
        <v>436</v>
      </c>
      <c r="D506" s="105" t="s">
        <v>359</v>
      </c>
      <c r="E506" s="105" t="s">
        <v>780</v>
      </c>
    </row>
    <row r="507" spans="1:5" hidden="1">
      <c r="A507" t="s">
        <v>533</v>
      </c>
      <c r="B507" t="s">
        <v>435</v>
      </c>
      <c r="C507" t="s">
        <v>436</v>
      </c>
      <c r="D507" s="105" t="s">
        <v>359</v>
      </c>
      <c r="E507" s="105" t="s">
        <v>532</v>
      </c>
    </row>
    <row r="508" spans="1:5" hidden="1">
      <c r="A508" t="s">
        <v>555</v>
      </c>
      <c r="B508" t="s">
        <v>435</v>
      </c>
      <c r="C508" t="s">
        <v>436</v>
      </c>
      <c r="D508" s="105" t="s">
        <v>359</v>
      </c>
      <c r="E508" s="105" t="s">
        <v>554</v>
      </c>
    </row>
    <row r="509" spans="1:5" hidden="1">
      <c r="A509" t="s">
        <v>628</v>
      </c>
      <c r="B509" t="s">
        <v>435</v>
      </c>
      <c r="C509" t="s">
        <v>436</v>
      </c>
      <c r="D509" s="105" t="s">
        <v>359</v>
      </c>
      <c r="E509" s="105" t="s">
        <v>749</v>
      </c>
    </row>
    <row r="510" spans="1:5" hidden="1">
      <c r="A510" t="s">
        <v>539</v>
      </c>
      <c r="B510" t="s">
        <v>435</v>
      </c>
      <c r="C510" t="s">
        <v>436</v>
      </c>
      <c r="D510" s="105" t="s">
        <v>359</v>
      </c>
      <c r="E510" s="105" t="s">
        <v>538</v>
      </c>
    </row>
    <row r="511" spans="1:5" hidden="1">
      <c r="A511" t="s">
        <v>907</v>
      </c>
      <c r="B511" t="s">
        <v>442</v>
      </c>
      <c r="C511" t="s">
        <v>443</v>
      </c>
      <c r="D511" s="105" t="s">
        <v>359</v>
      </c>
      <c r="E511" s="105" t="s">
        <v>906</v>
      </c>
    </row>
    <row r="512" spans="1:5" hidden="1">
      <c r="A512" t="s">
        <v>609</v>
      </c>
      <c r="B512" t="s">
        <v>442</v>
      </c>
      <c r="C512" t="s">
        <v>443</v>
      </c>
      <c r="D512" s="105" t="s">
        <v>359</v>
      </c>
      <c r="E512" s="105" t="s">
        <v>819</v>
      </c>
    </row>
    <row r="513" spans="1:5" hidden="1">
      <c r="A513" t="s">
        <v>658</v>
      </c>
      <c r="B513" t="s">
        <v>442</v>
      </c>
      <c r="C513" t="s">
        <v>443</v>
      </c>
      <c r="D513" s="105" t="s">
        <v>359</v>
      </c>
      <c r="E513" s="105" t="s">
        <v>657</v>
      </c>
    </row>
    <row r="514" spans="1:5" hidden="1">
      <c r="A514" t="s">
        <v>1074</v>
      </c>
      <c r="B514" t="s">
        <v>442</v>
      </c>
      <c r="C514" t="s">
        <v>443</v>
      </c>
      <c r="D514" s="105" t="s">
        <v>359</v>
      </c>
      <c r="E514" s="105" t="s">
        <v>1073</v>
      </c>
    </row>
    <row r="515" spans="1:5" hidden="1">
      <c r="A515" t="s">
        <v>1486</v>
      </c>
      <c r="B515" t="s">
        <v>435</v>
      </c>
      <c r="C515" t="s">
        <v>436</v>
      </c>
      <c r="D515" s="105" t="s">
        <v>359</v>
      </c>
      <c r="E515" s="105" t="s">
        <v>1485</v>
      </c>
    </row>
    <row r="516" spans="1:5" hidden="1">
      <c r="A516" t="s">
        <v>1236</v>
      </c>
      <c r="B516" t="s">
        <v>435</v>
      </c>
      <c r="C516" t="s">
        <v>436</v>
      </c>
      <c r="D516" s="105" t="s">
        <v>359</v>
      </c>
      <c r="E516" s="105" t="s">
        <v>1799</v>
      </c>
    </row>
    <row r="517" spans="1:5" hidden="1">
      <c r="A517" t="s">
        <v>673</v>
      </c>
      <c r="B517" t="s">
        <v>435</v>
      </c>
      <c r="C517" t="s">
        <v>436</v>
      </c>
      <c r="D517" s="105" t="s">
        <v>359</v>
      </c>
      <c r="E517" s="105" t="s">
        <v>1761</v>
      </c>
    </row>
    <row r="518" spans="1:5" hidden="1">
      <c r="A518" t="s">
        <v>3007</v>
      </c>
      <c r="B518" t="s">
        <v>435</v>
      </c>
      <c r="C518" t="s">
        <v>436</v>
      </c>
      <c r="D518" s="105" t="s">
        <v>359</v>
      </c>
      <c r="E518" s="105" t="s">
        <v>1783</v>
      </c>
    </row>
    <row r="519" spans="1:5" hidden="1">
      <c r="A519" t="s">
        <v>851</v>
      </c>
      <c r="B519" t="s">
        <v>638</v>
      </c>
      <c r="C519" t="s">
        <v>639</v>
      </c>
      <c r="D519" s="105" t="s">
        <v>359</v>
      </c>
      <c r="E519" s="105" t="s">
        <v>850</v>
      </c>
    </row>
    <row r="520" spans="1:5" hidden="1">
      <c r="A520" t="s">
        <v>1805</v>
      </c>
      <c r="B520" t="s">
        <v>638</v>
      </c>
      <c r="C520" t="s">
        <v>639</v>
      </c>
      <c r="D520" s="105" t="s">
        <v>359</v>
      </c>
      <c r="E520" s="105" t="s">
        <v>1804</v>
      </c>
    </row>
    <row r="521" spans="1:5" hidden="1">
      <c r="A521" t="s">
        <v>1974</v>
      </c>
      <c r="B521" t="s">
        <v>638</v>
      </c>
      <c r="C521" t="s">
        <v>639</v>
      </c>
      <c r="D521" s="105" t="s">
        <v>359</v>
      </c>
      <c r="E521" s="105" t="s">
        <v>1973</v>
      </c>
    </row>
    <row r="522" spans="1:5" hidden="1">
      <c r="A522" t="s">
        <v>1203</v>
      </c>
      <c r="B522" t="s">
        <v>638</v>
      </c>
      <c r="C522" t="s">
        <v>639</v>
      </c>
      <c r="D522" s="105" t="s">
        <v>359</v>
      </c>
      <c r="E522" s="105" t="s">
        <v>1202</v>
      </c>
    </row>
    <row r="523" spans="1:5" hidden="1">
      <c r="A523" t="s">
        <v>1959</v>
      </c>
      <c r="B523" t="s">
        <v>638</v>
      </c>
      <c r="C523" t="s">
        <v>639</v>
      </c>
      <c r="D523" s="105" t="s">
        <v>359</v>
      </c>
      <c r="E523" s="105" t="s">
        <v>1958</v>
      </c>
    </row>
    <row r="524" spans="1:5" hidden="1">
      <c r="A524" t="s">
        <v>1278</v>
      </c>
      <c r="B524" t="s">
        <v>638</v>
      </c>
      <c r="C524" t="s">
        <v>639</v>
      </c>
      <c r="D524" s="105" t="s">
        <v>359</v>
      </c>
      <c r="E524" s="105" t="s">
        <v>1277</v>
      </c>
    </row>
    <row r="525" spans="1:5" hidden="1">
      <c r="A525" t="s">
        <v>1582</v>
      </c>
      <c r="B525" t="s">
        <v>638</v>
      </c>
      <c r="C525" t="s">
        <v>639</v>
      </c>
      <c r="D525" s="105" t="s">
        <v>359</v>
      </c>
      <c r="E525" s="105" t="s">
        <v>1581</v>
      </c>
    </row>
    <row r="526" spans="1:5" hidden="1">
      <c r="A526" t="s">
        <v>1382</v>
      </c>
      <c r="B526" t="s">
        <v>638</v>
      </c>
      <c r="C526" t="s">
        <v>639</v>
      </c>
      <c r="D526" s="105" t="s">
        <v>359</v>
      </c>
      <c r="E526" s="105" t="s">
        <v>1381</v>
      </c>
    </row>
    <row r="527" spans="1:5" hidden="1">
      <c r="A527" t="s">
        <v>2473</v>
      </c>
      <c r="B527" t="s">
        <v>605</v>
      </c>
      <c r="C527" t="s">
        <v>606</v>
      </c>
      <c r="D527" s="105" t="s">
        <v>359</v>
      </c>
      <c r="E527" s="105" t="s">
        <v>2472</v>
      </c>
    </row>
    <row r="528" spans="1:5" hidden="1">
      <c r="A528" t="s">
        <v>2342</v>
      </c>
      <c r="B528" t="s">
        <v>605</v>
      </c>
      <c r="C528" t="s">
        <v>606</v>
      </c>
      <c r="D528" s="105" t="s">
        <v>359</v>
      </c>
      <c r="E528" s="105" t="s">
        <v>2341</v>
      </c>
    </row>
    <row r="529" spans="1:5" hidden="1">
      <c r="A529" t="s">
        <v>2152</v>
      </c>
      <c r="B529" t="s">
        <v>605</v>
      </c>
      <c r="C529" t="s">
        <v>606</v>
      </c>
      <c r="D529" s="105" t="s">
        <v>359</v>
      </c>
      <c r="E529" s="105" t="s">
        <v>2151</v>
      </c>
    </row>
    <row r="530" spans="1:5" hidden="1">
      <c r="A530" t="s">
        <v>1827</v>
      </c>
      <c r="B530" t="s">
        <v>605</v>
      </c>
      <c r="C530" t="s">
        <v>606</v>
      </c>
      <c r="D530" s="105" t="s">
        <v>359</v>
      </c>
      <c r="E530" s="105" t="s">
        <v>1826</v>
      </c>
    </row>
    <row r="531" spans="1:5" hidden="1">
      <c r="A531" t="s">
        <v>2309</v>
      </c>
      <c r="B531" t="s">
        <v>605</v>
      </c>
      <c r="C531" t="s">
        <v>606</v>
      </c>
      <c r="D531" s="105" t="s">
        <v>359</v>
      </c>
      <c r="E531" s="105" t="s">
        <v>2308</v>
      </c>
    </row>
    <row r="532" spans="1:5" hidden="1">
      <c r="A532" t="s">
        <v>1833</v>
      </c>
      <c r="B532" t="s">
        <v>605</v>
      </c>
      <c r="C532" t="s">
        <v>606</v>
      </c>
      <c r="D532" s="105" t="s">
        <v>359</v>
      </c>
      <c r="E532" s="105" t="s">
        <v>2500</v>
      </c>
    </row>
    <row r="533" spans="1:5" hidden="1">
      <c r="A533" t="s">
        <v>2444</v>
      </c>
      <c r="B533" t="s">
        <v>605</v>
      </c>
      <c r="C533" t="s">
        <v>606</v>
      </c>
      <c r="D533" s="105" t="s">
        <v>359</v>
      </c>
      <c r="E533" s="105" t="s">
        <v>2443</v>
      </c>
    </row>
    <row r="534" spans="1:5" hidden="1">
      <c r="A534" t="s">
        <v>1498</v>
      </c>
      <c r="B534" t="s">
        <v>605</v>
      </c>
      <c r="C534" t="s">
        <v>606</v>
      </c>
      <c r="D534" s="105" t="s">
        <v>359</v>
      </c>
      <c r="E534" s="105" t="s">
        <v>1977</v>
      </c>
    </row>
    <row r="535" spans="1:5" hidden="1">
      <c r="A535" t="s">
        <v>2523</v>
      </c>
      <c r="B535" t="s">
        <v>605</v>
      </c>
      <c r="C535" t="s">
        <v>606</v>
      </c>
      <c r="D535" s="105" t="s">
        <v>359</v>
      </c>
      <c r="E535" s="105" t="s">
        <v>2522</v>
      </c>
    </row>
    <row r="536" spans="1:5" hidden="1">
      <c r="A536" t="s">
        <v>1925</v>
      </c>
      <c r="B536" t="s">
        <v>605</v>
      </c>
      <c r="C536" t="s">
        <v>606</v>
      </c>
      <c r="D536" s="105" t="s">
        <v>359</v>
      </c>
      <c r="E536" s="105" t="s">
        <v>1924</v>
      </c>
    </row>
    <row r="537" spans="1:5" hidden="1">
      <c r="A537" t="s">
        <v>802</v>
      </c>
      <c r="B537" t="s">
        <v>605</v>
      </c>
      <c r="C537" t="s">
        <v>606</v>
      </c>
      <c r="D537" s="105" t="s">
        <v>359</v>
      </c>
      <c r="E537" s="105" t="s">
        <v>801</v>
      </c>
    </row>
    <row r="538" spans="1:5" hidden="1">
      <c r="A538" t="s">
        <v>2287</v>
      </c>
      <c r="B538" t="s">
        <v>498</v>
      </c>
      <c r="C538" t="s">
        <v>499</v>
      </c>
      <c r="D538" s="105" t="s">
        <v>359</v>
      </c>
      <c r="E538" s="105" t="s">
        <v>2286</v>
      </c>
    </row>
    <row r="539" spans="1:5" hidden="1">
      <c r="A539" t="s">
        <v>2497</v>
      </c>
      <c r="B539" t="s">
        <v>498</v>
      </c>
      <c r="C539" t="s">
        <v>499</v>
      </c>
      <c r="D539" s="105" t="s">
        <v>359</v>
      </c>
      <c r="E539" s="105" t="s">
        <v>2496</v>
      </c>
    </row>
    <row r="540" spans="1:5" hidden="1">
      <c r="A540" t="s">
        <v>1976</v>
      </c>
      <c r="B540" t="s">
        <v>498</v>
      </c>
      <c r="C540" t="s">
        <v>499</v>
      </c>
      <c r="D540" s="105" t="s">
        <v>359</v>
      </c>
      <c r="E540" s="105" t="s">
        <v>1975</v>
      </c>
    </row>
    <row r="541" spans="1:5" hidden="1">
      <c r="A541" t="s">
        <v>2525</v>
      </c>
      <c r="B541" t="s">
        <v>498</v>
      </c>
      <c r="C541" t="s">
        <v>499</v>
      </c>
      <c r="D541" s="105" t="s">
        <v>359</v>
      </c>
      <c r="E541" s="105" t="s">
        <v>2524</v>
      </c>
    </row>
    <row r="542" spans="1:5" hidden="1">
      <c r="A542" t="s">
        <v>1767</v>
      </c>
      <c r="B542" t="s">
        <v>498</v>
      </c>
      <c r="C542" t="s">
        <v>499</v>
      </c>
      <c r="D542" s="105" t="s">
        <v>359</v>
      </c>
      <c r="E542" s="105" t="s">
        <v>1766</v>
      </c>
    </row>
    <row r="543" spans="1:5" hidden="1">
      <c r="A543" t="s">
        <v>1801</v>
      </c>
      <c r="B543" t="s">
        <v>498</v>
      </c>
      <c r="C543" t="s">
        <v>499</v>
      </c>
      <c r="D543" s="105" t="s">
        <v>359</v>
      </c>
      <c r="E543" s="105" t="s">
        <v>1800</v>
      </c>
    </row>
    <row r="544" spans="1:5" hidden="1">
      <c r="A544" t="s">
        <v>935</v>
      </c>
      <c r="B544" t="s">
        <v>933</v>
      </c>
      <c r="C544" t="s">
        <v>934</v>
      </c>
      <c r="D544" s="105" t="s">
        <v>359</v>
      </c>
      <c r="E544" s="105" t="s">
        <v>932</v>
      </c>
    </row>
    <row r="545" spans="1:5" hidden="1">
      <c r="A545" t="s">
        <v>1949</v>
      </c>
      <c r="B545" t="s">
        <v>933</v>
      </c>
      <c r="C545" t="s">
        <v>934</v>
      </c>
      <c r="D545" s="105" t="s">
        <v>359</v>
      </c>
      <c r="E545" s="105" t="s">
        <v>1948</v>
      </c>
    </row>
    <row r="546" spans="1:5" hidden="1">
      <c r="A546" t="s">
        <v>1062</v>
      </c>
      <c r="B546" t="s">
        <v>467</v>
      </c>
      <c r="C546" t="s">
        <v>468</v>
      </c>
      <c r="D546" s="105" t="s">
        <v>359</v>
      </c>
      <c r="E546" s="105" t="s">
        <v>1061</v>
      </c>
    </row>
    <row r="547" spans="1:5" hidden="1">
      <c r="A547" t="s">
        <v>1301</v>
      </c>
      <c r="B547" t="s">
        <v>557</v>
      </c>
      <c r="C547" t="s">
        <v>558</v>
      </c>
      <c r="D547" s="105" t="s">
        <v>359</v>
      </c>
      <c r="E547" s="105" t="s">
        <v>1643</v>
      </c>
    </row>
    <row r="548" spans="1:5" hidden="1">
      <c r="A548" t="s">
        <v>1748</v>
      </c>
      <c r="B548" t="s">
        <v>467</v>
      </c>
      <c r="C548" t="s">
        <v>468</v>
      </c>
      <c r="D548" s="105" t="s">
        <v>359</v>
      </c>
      <c r="E548" s="105" t="s">
        <v>1747</v>
      </c>
    </row>
    <row r="549" spans="1:5" hidden="1">
      <c r="A549" t="s">
        <v>730</v>
      </c>
      <c r="B549" t="s">
        <v>467</v>
      </c>
      <c r="C549" t="s">
        <v>468</v>
      </c>
      <c r="D549" s="105" t="s">
        <v>359</v>
      </c>
      <c r="E549" s="105" t="s">
        <v>729</v>
      </c>
    </row>
    <row r="550" spans="1:5" hidden="1">
      <c r="A550" t="s">
        <v>835</v>
      </c>
      <c r="B550" t="s">
        <v>467</v>
      </c>
      <c r="C550" t="s">
        <v>468</v>
      </c>
      <c r="D550" s="105" t="s">
        <v>359</v>
      </c>
      <c r="E550" s="105" t="s">
        <v>834</v>
      </c>
    </row>
    <row r="551" spans="1:5" hidden="1">
      <c r="A551" t="s">
        <v>866</v>
      </c>
      <c r="B551" t="s">
        <v>467</v>
      </c>
      <c r="C551" t="s">
        <v>468</v>
      </c>
      <c r="D551" s="105" t="s">
        <v>359</v>
      </c>
      <c r="E551" s="105" t="s">
        <v>865</v>
      </c>
    </row>
    <row r="552" spans="1:5" hidden="1">
      <c r="A552" t="s">
        <v>521</v>
      </c>
      <c r="B552" t="s">
        <v>467</v>
      </c>
      <c r="C552" t="s">
        <v>468</v>
      </c>
      <c r="D552" s="105" t="s">
        <v>359</v>
      </c>
      <c r="E552" s="105" t="s">
        <v>520</v>
      </c>
    </row>
    <row r="553" spans="1:5" hidden="1">
      <c r="A553" t="s">
        <v>1867</v>
      </c>
      <c r="B553" t="s">
        <v>467</v>
      </c>
      <c r="C553" t="s">
        <v>468</v>
      </c>
      <c r="D553" s="105" t="s">
        <v>359</v>
      </c>
      <c r="E553" s="105" t="s">
        <v>1866</v>
      </c>
    </row>
    <row r="554" spans="1:5" hidden="1">
      <c r="A554" t="s">
        <v>742</v>
      </c>
      <c r="B554" t="s">
        <v>467</v>
      </c>
      <c r="C554" t="s">
        <v>468</v>
      </c>
      <c r="D554" s="105" t="s">
        <v>359</v>
      </c>
      <c r="E554" s="105" t="s">
        <v>741</v>
      </c>
    </row>
    <row r="555" spans="1:5" hidden="1">
      <c r="A555" t="s">
        <v>469</v>
      </c>
      <c r="B555" t="s">
        <v>467</v>
      </c>
      <c r="C555" t="s">
        <v>468</v>
      </c>
      <c r="D555" s="105" t="s">
        <v>359</v>
      </c>
      <c r="E555" s="105" t="s">
        <v>466</v>
      </c>
    </row>
    <row r="556" spans="1:5" hidden="1">
      <c r="A556" t="s">
        <v>899</v>
      </c>
      <c r="B556" t="s">
        <v>467</v>
      </c>
      <c r="C556" t="s">
        <v>468</v>
      </c>
      <c r="D556" s="105" t="s">
        <v>359</v>
      </c>
      <c r="E556" s="105" t="s">
        <v>898</v>
      </c>
    </row>
    <row r="557" spans="1:5" hidden="1">
      <c r="A557" t="s">
        <v>1080</v>
      </c>
      <c r="B557" t="s">
        <v>467</v>
      </c>
      <c r="C557" t="s">
        <v>468</v>
      </c>
      <c r="D557" s="105" t="s">
        <v>359</v>
      </c>
      <c r="E557" s="105" t="s">
        <v>1079</v>
      </c>
    </row>
    <row r="558" spans="1:5" hidden="1">
      <c r="A558" t="s">
        <v>1197</v>
      </c>
      <c r="B558" t="s">
        <v>467</v>
      </c>
      <c r="C558" t="s">
        <v>468</v>
      </c>
      <c r="D558" s="105" t="s">
        <v>359</v>
      </c>
      <c r="E558" s="105" t="s">
        <v>1196</v>
      </c>
    </row>
    <row r="559" spans="1:5" hidden="1">
      <c r="A559" t="s">
        <v>1690</v>
      </c>
      <c r="B559" t="s">
        <v>435</v>
      </c>
      <c r="C559" t="s">
        <v>436</v>
      </c>
      <c r="D559" s="105" t="s">
        <v>359</v>
      </c>
      <c r="E559" s="105" t="s">
        <v>1751</v>
      </c>
    </row>
    <row r="560" spans="1:5" hidden="1">
      <c r="A560" t="s">
        <v>975</v>
      </c>
      <c r="B560" t="s">
        <v>435</v>
      </c>
      <c r="C560" t="s">
        <v>436</v>
      </c>
      <c r="D560" s="105" t="s">
        <v>359</v>
      </c>
      <c r="E560" s="105" t="s">
        <v>2139</v>
      </c>
    </row>
    <row r="561" spans="1:5" hidden="1">
      <c r="A561" t="s">
        <v>1150</v>
      </c>
      <c r="B561" t="s">
        <v>435</v>
      </c>
      <c r="C561" t="s">
        <v>436</v>
      </c>
      <c r="D561" s="105" t="s">
        <v>359</v>
      </c>
      <c r="E561" s="105" t="s">
        <v>1149</v>
      </c>
    </row>
    <row r="562" spans="1:5" hidden="1">
      <c r="A562" t="s">
        <v>802</v>
      </c>
      <c r="B562" t="s">
        <v>435</v>
      </c>
      <c r="C562" t="s">
        <v>436</v>
      </c>
      <c r="D562" s="105" t="s">
        <v>359</v>
      </c>
      <c r="E562" s="105" t="s">
        <v>1254</v>
      </c>
    </row>
    <row r="563" spans="1:5" hidden="1">
      <c r="A563" t="s">
        <v>722</v>
      </c>
      <c r="B563" t="s">
        <v>567</v>
      </c>
      <c r="C563" t="s">
        <v>568</v>
      </c>
      <c r="D563" s="105" t="s">
        <v>359</v>
      </c>
      <c r="E563" s="105" t="s">
        <v>721</v>
      </c>
    </row>
    <row r="564" spans="1:5" hidden="1">
      <c r="A564" t="s">
        <v>858</v>
      </c>
      <c r="B564" t="s">
        <v>567</v>
      </c>
      <c r="C564" t="s">
        <v>568</v>
      </c>
      <c r="D564" s="105" t="s">
        <v>359</v>
      </c>
      <c r="E564" s="105" t="s">
        <v>857</v>
      </c>
    </row>
    <row r="565" spans="1:5" hidden="1">
      <c r="A565" t="s">
        <v>1319</v>
      </c>
      <c r="B565" t="s">
        <v>567</v>
      </c>
      <c r="C565" t="s">
        <v>568</v>
      </c>
      <c r="D565" s="105" t="s">
        <v>359</v>
      </c>
      <c r="E565" s="105" t="s">
        <v>1318</v>
      </c>
    </row>
    <row r="566" spans="1:5" hidden="1">
      <c r="A566" t="s">
        <v>827</v>
      </c>
      <c r="B566" t="s">
        <v>567</v>
      </c>
      <c r="C566" t="s">
        <v>568</v>
      </c>
      <c r="D566" s="105" t="s">
        <v>359</v>
      </c>
      <c r="E566" s="105" t="s">
        <v>826</v>
      </c>
    </row>
    <row r="567" spans="1:5" hidden="1">
      <c r="A567" t="s">
        <v>1630</v>
      </c>
      <c r="B567" t="s">
        <v>567</v>
      </c>
      <c r="C567" t="s">
        <v>568</v>
      </c>
      <c r="D567" s="105" t="s">
        <v>359</v>
      </c>
      <c r="E567" s="105" t="s">
        <v>1629</v>
      </c>
    </row>
    <row r="568" spans="1:5" hidden="1">
      <c r="A568" t="s">
        <v>1266</v>
      </c>
      <c r="B568" t="s">
        <v>567</v>
      </c>
      <c r="C568" t="s">
        <v>568</v>
      </c>
      <c r="D568" s="105" t="s">
        <v>359</v>
      </c>
      <c r="E568" s="105" t="s">
        <v>1265</v>
      </c>
    </row>
    <row r="569" spans="1:5" hidden="1">
      <c r="A569" t="s">
        <v>839</v>
      </c>
      <c r="B569" t="s">
        <v>567</v>
      </c>
      <c r="C569" t="s">
        <v>568</v>
      </c>
      <c r="D569" s="105" t="s">
        <v>359</v>
      </c>
      <c r="E569" s="105" t="s">
        <v>838</v>
      </c>
    </row>
    <row r="570" spans="1:5" hidden="1">
      <c r="A570" t="s">
        <v>1319</v>
      </c>
      <c r="B570" t="s">
        <v>567</v>
      </c>
      <c r="C570" t="s">
        <v>568</v>
      </c>
      <c r="D570" s="105" t="s">
        <v>359</v>
      </c>
      <c r="E570" s="105" t="s">
        <v>1318</v>
      </c>
    </row>
    <row r="571" spans="1:5" hidden="1">
      <c r="A571" t="s">
        <v>680</v>
      </c>
      <c r="B571" t="s">
        <v>567</v>
      </c>
      <c r="C571" t="s">
        <v>568</v>
      </c>
      <c r="D571" s="105" t="s">
        <v>359</v>
      </c>
      <c r="E571" s="105" t="s">
        <v>679</v>
      </c>
    </row>
    <row r="572" spans="1:5" hidden="1">
      <c r="A572" t="s">
        <v>839</v>
      </c>
      <c r="B572" t="s">
        <v>567</v>
      </c>
      <c r="C572" t="s">
        <v>568</v>
      </c>
      <c r="D572" s="105" t="s">
        <v>359</v>
      </c>
      <c r="E572" s="105" t="s">
        <v>838</v>
      </c>
    </row>
    <row r="573" spans="1:5" hidden="1">
      <c r="A573" t="s">
        <v>1433</v>
      </c>
      <c r="B573" t="s">
        <v>431</v>
      </c>
      <c r="C573" t="s">
        <v>432</v>
      </c>
      <c r="D573" s="105" t="s">
        <v>359</v>
      </c>
      <c r="E573" s="105" t="s">
        <v>1432</v>
      </c>
    </row>
    <row r="574" spans="1:5" hidden="1">
      <c r="A574" t="s">
        <v>1510</v>
      </c>
      <c r="B574" t="s">
        <v>431</v>
      </c>
      <c r="C574" t="s">
        <v>432</v>
      </c>
      <c r="D574" s="105" t="s">
        <v>359</v>
      </c>
      <c r="E574" s="105" t="s">
        <v>1509</v>
      </c>
    </row>
    <row r="575" spans="1:5" hidden="1">
      <c r="A575" t="s">
        <v>1369</v>
      </c>
      <c r="B575" t="s">
        <v>431</v>
      </c>
      <c r="C575" t="s">
        <v>432</v>
      </c>
      <c r="D575" s="105" t="s">
        <v>359</v>
      </c>
      <c r="E575" s="105" t="s">
        <v>1368</v>
      </c>
    </row>
    <row r="576" spans="1:5" hidden="1">
      <c r="A576" t="s">
        <v>1718</v>
      </c>
      <c r="B576" t="s">
        <v>431</v>
      </c>
      <c r="C576" t="s">
        <v>432</v>
      </c>
      <c r="D576" s="105" t="s">
        <v>359</v>
      </c>
      <c r="E576" s="105" t="s">
        <v>1717</v>
      </c>
    </row>
    <row r="577" spans="1:5" hidden="1">
      <c r="A577" t="s">
        <v>495</v>
      </c>
      <c r="B577" t="s">
        <v>431</v>
      </c>
      <c r="C577" t="s">
        <v>432</v>
      </c>
      <c r="D577" s="105" t="s">
        <v>359</v>
      </c>
      <c r="E577" s="105" t="s">
        <v>2267</v>
      </c>
    </row>
    <row r="578" spans="1:5" hidden="1">
      <c r="A578" t="s">
        <v>1892</v>
      </c>
      <c r="B578" t="s">
        <v>431</v>
      </c>
      <c r="C578" t="s">
        <v>432</v>
      </c>
      <c r="D578" s="105" t="s">
        <v>359</v>
      </c>
      <c r="E578" s="105" t="s">
        <v>1891</v>
      </c>
    </row>
    <row r="579" spans="1:5" hidden="1">
      <c r="A579" t="s">
        <v>2201</v>
      </c>
      <c r="B579" t="s">
        <v>431</v>
      </c>
      <c r="C579" t="s">
        <v>432</v>
      </c>
      <c r="D579" s="105" t="s">
        <v>359</v>
      </c>
      <c r="E579" s="105" t="s">
        <v>2200</v>
      </c>
    </row>
    <row r="580" spans="1:5" hidden="1">
      <c r="A580" t="s">
        <v>1722</v>
      </c>
      <c r="B580" t="s">
        <v>431</v>
      </c>
      <c r="C580" t="s">
        <v>432</v>
      </c>
      <c r="D580" s="105" t="s">
        <v>359</v>
      </c>
      <c r="E580" s="105" t="s">
        <v>2320</v>
      </c>
    </row>
    <row r="581" spans="1:5" hidden="1">
      <c r="A581" t="s">
        <v>821</v>
      </c>
      <c r="B581" t="s">
        <v>431</v>
      </c>
      <c r="C581" t="s">
        <v>432</v>
      </c>
      <c r="D581" s="105" t="s">
        <v>359</v>
      </c>
      <c r="E581" s="105" t="s">
        <v>820</v>
      </c>
    </row>
    <row r="582" spans="1:5" hidden="1">
      <c r="A582" t="s">
        <v>1538</v>
      </c>
      <c r="B582" t="s">
        <v>431</v>
      </c>
      <c r="C582" t="s">
        <v>432</v>
      </c>
      <c r="D582" s="105" t="s">
        <v>359</v>
      </c>
      <c r="E582" s="105" t="s">
        <v>1537</v>
      </c>
    </row>
    <row r="583" spans="1:5" hidden="1">
      <c r="A583" t="s">
        <v>2005</v>
      </c>
      <c r="B583" t="s">
        <v>431</v>
      </c>
      <c r="C583" t="s">
        <v>432</v>
      </c>
      <c r="D583" s="105" t="s">
        <v>359</v>
      </c>
      <c r="E583" s="105" t="s">
        <v>2004</v>
      </c>
    </row>
    <row r="584" spans="1:5" hidden="1">
      <c r="A584" t="s">
        <v>1862</v>
      </c>
      <c r="B584" t="s">
        <v>431</v>
      </c>
      <c r="C584" t="s">
        <v>432</v>
      </c>
      <c r="D584" s="105" t="s">
        <v>359</v>
      </c>
      <c r="E584" s="105" t="s">
        <v>2191</v>
      </c>
    </row>
    <row r="585" spans="1:5" hidden="1">
      <c r="A585" t="s">
        <v>1488</v>
      </c>
      <c r="B585" t="s">
        <v>431</v>
      </c>
      <c r="C585" t="s">
        <v>432</v>
      </c>
      <c r="D585" s="105" t="s">
        <v>359</v>
      </c>
      <c r="E585" s="105" t="s">
        <v>1487</v>
      </c>
    </row>
    <row r="586" spans="1:5" hidden="1">
      <c r="A586" t="s">
        <v>563</v>
      </c>
      <c r="B586" t="s">
        <v>431</v>
      </c>
      <c r="C586" t="s">
        <v>432</v>
      </c>
      <c r="D586" s="105" t="s">
        <v>359</v>
      </c>
      <c r="E586" s="105" t="s">
        <v>562</v>
      </c>
    </row>
    <row r="587" spans="1:5" hidden="1">
      <c r="A587" t="s">
        <v>481</v>
      </c>
      <c r="B587" t="s">
        <v>431</v>
      </c>
      <c r="C587" t="s">
        <v>432</v>
      </c>
      <c r="D587" s="105" t="s">
        <v>359</v>
      </c>
      <c r="E587" s="105" t="s">
        <v>2359</v>
      </c>
    </row>
    <row r="588" spans="1:5" hidden="1">
      <c r="A588" t="s">
        <v>1288</v>
      </c>
      <c r="B588" t="s">
        <v>498</v>
      </c>
      <c r="C588" t="s">
        <v>499</v>
      </c>
      <c r="D588" s="105" t="s">
        <v>359</v>
      </c>
      <c r="E588" s="105" t="s">
        <v>1287</v>
      </c>
    </row>
    <row r="589" spans="1:5" hidden="1">
      <c r="A589" t="s">
        <v>2317</v>
      </c>
      <c r="B589" t="s">
        <v>435</v>
      </c>
      <c r="C589" t="s">
        <v>436</v>
      </c>
      <c r="D589" s="105" t="s">
        <v>359</v>
      </c>
      <c r="E589" s="105" t="s">
        <v>2316</v>
      </c>
    </row>
    <row r="590" spans="1:5" hidden="1">
      <c r="A590" t="s">
        <v>2128</v>
      </c>
      <c r="B590" t="s">
        <v>435</v>
      </c>
      <c r="C590" t="s">
        <v>436</v>
      </c>
      <c r="D590" s="105" t="s">
        <v>359</v>
      </c>
      <c r="E590" s="105" t="s">
        <v>2127</v>
      </c>
    </row>
    <row r="591" spans="1:5" hidden="1">
      <c r="A591" t="s">
        <v>2150</v>
      </c>
      <c r="B591" t="s">
        <v>435</v>
      </c>
      <c r="C591" t="s">
        <v>436</v>
      </c>
      <c r="D591" s="105" t="s">
        <v>359</v>
      </c>
      <c r="E591" s="105" t="s">
        <v>2149</v>
      </c>
    </row>
    <row r="592" spans="1:5" hidden="1">
      <c r="A592" t="s">
        <v>1964</v>
      </c>
      <c r="B592" t="s">
        <v>435</v>
      </c>
      <c r="C592" t="s">
        <v>436</v>
      </c>
      <c r="D592" s="105" t="s">
        <v>359</v>
      </c>
      <c r="E592" s="105" t="s">
        <v>1963</v>
      </c>
    </row>
    <row r="593" spans="1:5" hidden="1">
      <c r="A593" t="s">
        <v>1548</v>
      </c>
      <c r="B593" t="s">
        <v>435</v>
      </c>
      <c r="C593" t="s">
        <v>436</v>
      </c>
      <c r="D593" s="105" t="s">
        <v>359</v>
      </c>
      <c r="E593" s="105" t="s">
        <v>1547</v>
      </c>
    </row>
    <row r="594" spans="1:5" hidden="1">
      <c r="A594" t="s">
        <v>1576</v>
      </c>
      <c r="B594" t="s">
        <v>435</v>
      </c>
      <c r="C594" t="s">
        <v>436</v>
      </c>
      <c r="D594" s="105" t="s">
        <v>359</v>
      </c>
      <c r="E594" s="105" t="s">
        <v>1575</v>
      </c>
    </row>
    <row r="595" spans="1:5" hidden="1">
      <c r="A595" t="s">
        <v>1408</v>
      </c>
      <c r="B595" t="s">
        <v>567</v>
      </c>
      <c r="C595" t="s">
        <v>568</v>
      </c>
      <c r="D595" s="105" t="s">
        <v>359</v>
      </c>
      <c r="E595" s="105" t="s">
        <v>1407</v>
      </c>
    </row>
    <row r="596" spans="1:5" hidden="1">
      <c r="A596" t="s">
        <v>1957</v>
      </c>
      <c r="B596" t="s">
        <v>567</v>
      </c>
      <c r="C596" t="s">
        <v>568</v>
      </c>
      <c r="D596" s="105" t="s">
        <v>359</v>
      </c>
      <c r="E596" s="105" t="s">
        <v>1956</v>
      </c>
    </row>
    <row r="597" spans="1:5" hidden="1">
      <c r="A597" t="s">
        <v>925</v>
      </c>
      <c r="B597" t="s">
        <v>498</v>
      </c>
      <c r="C597" t="s">
        <v>499</v>
      </c>
      <c r="D597" s="105" t="s">
        <v>359</v>
      </c>
      <c r="E597" s="105" t="s">
        <v>924</v>
      </c>
    </row>
    <row r="598" spans="1:5" hidden="1">
      <c r="A598" t="s">
        <v>577</v>
      </c>
      <c r="B598" t="s">
        <v>498</v>
      </c>
      <c r="C598" t="s">
        <v>499</v>
      </c>
      <c r="D598" s="105" t="s">
        <v>359</v>
      </c>
      <c r="E598" s="105" t="s">
        <v>576</v>
      </c>
    </row>
    <row r="599" spans="1:5" hidden="1">
      <c r="A599" t="s">
        <v>1431</v>
      </c>
      <c r="B599" t="s">
        <v>498</v>
      </c>
      <c r="C599" t="s">
        <v>499</v>
      </c>
      <c r="D599" s="105" t="s">
        <v>359</v>
      </c>
      <c r="E599" s="105" t="s">
        <v>1430</v>
      </c>
    </row>
    <row r="600" spans="1:5" hidden="1">
      <c r="A600" t="s">
        <v>2003</v>
      </c>
      <c r="B600" t="s">
        <v>498</v>
      </c>
      <c r="C600" t="s">
        <v>499</v>
      </c>
      <c r="D600" s="105" t="s">
        <v>359</v>
      </c>
      <c r="E600" s="105" t="s">
        <v>2002</v>
      </c>
    </row>
    <row r="601" spans="1:5" hidden="1">
      <c r="A601" t="s">
        <v>1492</v>
      </c>
      <c r="B601" t="s">
        <v>498</v>
      </c>
      <c r="C601" t="s">
        <v>499</v>
      </c>
      <c r="D601" s="105" t="s">
        <v>359</v>
      </c>
      <c r="E601" s="105" t="s">
        <v>1491</v>
      </c>
    </row>
    <row r="602" spans="1:5" hidden="1">
      <c r="A602" t="s">
        <v>1726</v>
      </c>
      <c r="B602" t="s">
        <v>498</v>
      </c>
      <c r="C602" t="s">
        <v>499</v>
      </c>
      <c r="D602" s="105" t="s">
        <v>359</v>
      </c>
      <c r="E602" s="105" t="s">
        <v>1725</v>
      </c>
    </row>
    <row r="603" spans="1:5" hidden="1">
      <c r="A603" t="s">
        <v>2009</v>
      </c>
      <c r="B603" t="s">
        <v>498</v>
      </c>
      <c r="C603" t="s">
        <v>499</v>
      </c>
      <c r="D603" s="105" t="s">
        <v>359</v>
      </c>
      <c r="E603" s="105" t="s">
        <v>2008</v>
      </c>
    </row>
    <row r="604" spans="1:5" hidden="1">
      <c r="A604" t="s">
        <v>2250</v>
      </c>
      <c r="B604" t="s">
        <v>498</v>
      </c>
      <c r="C604" t="s">
        <v>499</v>
      </c>
      <c r="D604" s="105" t="s">
        <v>359</v>
      </c>
      <c r="E604" s="105" t="s">
        <v>2249</v>
      </c>
    </row>
    <row r="605" spans="1:5" hidden="1">
      <c r="A605" t="s">
        <v>1447</v>
      </c>
      <c r="B605" t="s">
        <v>498</v>
      </c>
      <c r="C605" t="s">
        <v>499</v>
      </c>
      <c r="D605" s="105" t="s">
        <v>359</v>
      </c>
      <c r="E605" s="105" t="s">
        <v>1446</v>
      </c>
    </row>
    <row r="606" spans="1:5" hidden="1">
      <c r="A606" t="s">
        <v>2333</v>
      </c>
      <c r="B606" t="s">
        <v>498</v>
      </c>
      <c r="C606" t="s">
        <v>499</v>
      </c>
      <c r="D606" s="105" t="s">
        <v>359</v>
      </c>
      <c r="E606" s="105" t="s">
        <v>2332</v>
      </c>
    </row>
    <row r="607" spans="1:5" hidden="1">
      <c r="A607" t="s">
        <v>1082</v>
      </c>
      <c r="B607" t="s">
        <v>498</v>
      </c>
      <c r="C607" t="s">
        <v>499</v>
      </c>
      <c r="D607" s="105" t="s">
        <v>359</v>
      </c>
      <c r="E607" s="105" t="s">
        <v>1081</v>
      </c>
    </row>
    <row r="608" spans="1:5" hidden="1">
      <c r="A608" t="s">
        <v>1736</v>
      </c>
      <c r="B608" t="s">
        <v>498</v>
      </c>
      <c r="C608" t="s">
        <v>499</v>
      </c>
      <c r="D608" s="105" t="s">
        <v>359</v>
      </c>
      <c r="E608" s="105" t="s">
        <v>1735</v>
      </c>
    </row>
    <row r="609" spans="1:5" hidden="1">
      <c r="A609" t="s">
        <v>718</v>
      </c>
      <c r="B609" t="s">
        <v>480</v>
      </c>
      <c r="C609" t="s">
        <v>481</v>
      </c>
      <c r="D609" s="105" t="s">
        <v>359</v>
      </c>
      <c r="E609" s="105" t="s">
        <v>717</v>
      </c>
    </row>
    <row r="610" spans="1:5" hidden="1">
      <c r="A610" t="s">
        <v>1074</v>
      </c>
      <c r="B610" t="s">
        <v>442</v>
      </c>
      <c r="C610" t="s">
        <v>443</v>
      </c>
      <c r="D610" s="105" t="s">
        <v>359</v>
      </c>
      <c r="E610" s="105" t="s">
        <v>1073</v>
      </c>
    </row>
    <row r="611" spans="1:5" hidden="1">
      <c r="A611" t="s">
        <v>827</v>
      </c>
      <c r="B611" t="s">
        <v>567</v>
      </c>
      <c r="C611" t="s">
        <v>568</v>
      </c>
      <c r="D611" s="105" t="s">
        <v>359</v>
      </c>
      <c r="E611" s="105" t="s">
        <v>826</v>
      </c>
    </row>
    <row r="612" spans="1:5" hidden="1">
      <c r="A612" t="s">
        <v>1266</v>
      </c>
      <c r="B612" t="s">
        <v>567</v>
      </c>
      <c r="C612" t="s">
        <v>568</v>
      </c>
      <c r="D612" s="105" t="s">
        <v>359</v>
      </c>
      <c r="E612" s="105" t="s">
        <v>1265</v>
      </c>
    </row>
    <row r="613" spans="1:5" hidden="1">
      <c r="A613" t="s">
        <v>1305</v>
      </c>
      <c r="B613" t="s">
        <v>494</v>
      </c>
      <c r="C613" t="s">
        <v>495</v>
      </c>
      <c r="D613" s="105" t="s">
        <v>359</v>
      </c>
      <c r="E613" s="105" t="s">
        <v>1304</v>
      </c>
    </row>
    <row r="614" spans="1:5" hidden="1">
      <c r="A614" t="s">
        <v>818</v>
      </c>
      <c r="B614" t="s">
        <v>494</v>
      </c>
      <c r="C614" t="s">
        <v>495</v>
      </c>
      <c r="D614" s="105" t="s">
        <v>359</v>
      </c>
      <c r="E614" s="105" t="s">
        <v>817</v>
      </c>
    </row>
    <row r="615" spans="1:5" hidden="1">
      <c r="A615" t="s">
        <v>858</v>
      </c>
      <c r="B615" t="s">
        <v>567</v>
      </c>
      <c r="C615" t="s">
        <v>568</v>
      </c>
      <c r="D615" s="105" t="s">
        <v>359</v>
      </c>
      <c r="E615" s="105" t="s">
        <v>857</v>
      </c>
    </row>
    <row r="616" spans="1:5" hidden="1">
      <c r="A616" t="s">
        <v>1703</v>
      </c>
      <c r="B616" t="s">
        <v>442</v>
      </c>
      <c r="C616" t="s">
        <v>443</v>
      </c>
      <c r="D616" s="105" t="s">
        <v>359</v>
      </c>
      <c r="E616" s="105" t="s">
        <v>1702</v>
      </c>
    </row>
    <row r="617" spans="1:5" hidden="1">
      <c r="A617" t="s">
        <v>1074</v>
      </c>
      <c r="B617" t="s">
        <v>442</v>
      </c>
      <c r="C617" t="s">
        <v>443</v>
      </c>
      <c r="D617" s="105" t="s">
        <v>359</v>
      </c>
      <c r="E617" s="105" t="s">
        <v>1073</v>
      </c>
    </row>
    <row r="618" spans="1:5" hidden="1">
      <c r="A618" t="s">
        <v>887</v>
      </c>
      <c r="B618" t="s">
        <v>442</v>
      </c>
      <c r="C618" t="s">
        <v>443</v>
      </c>
      <c r="D618" s="105" t="s">
        <v>359</v>
      </c>
      <c r="E618" s="105" t="s">
        <v>886</v>
      </c>
    </row>
    <row r="619" spans="1:5" hidden="1">
      <c r="A619" t="s">
        <v>634</v>
      </c>
      <c r="B619" t="s">
        <v>442</v>
      </c>
      <c r="C619" t="s">
        <v>443</v>
      </c>
      <c r="D619" s="105" t="s">
        <v>359</v>
      </c>
      <c r="E619" s="105" t="s">
        <v>633</v>
      </c>
    </row>
    <row r="620" spans="1:5" hidden="1">
      <c r="A620" t="s">
        <v>622</v>
      </c>
      <c r="B620" t="s">
        <v>442</v>
      </c>
      <c r="C620" t="s">
        <v>443</v>
      </c>
      <c r="D620" s="105" t="s">
        <v>359</v>
      </c>
      <c r="E620" s="105" t="s">
        <v>621</v>
      </c>
    </row>
    <row r="621" spans="1:5" hidden="1">
      <c r="A621" t="s">
        <v>907</v>
      </c>
      <c r="B621" t="s">
        <v>442</v>
      </c>
      <c r="C621" t="s">
        <v>443</v>
      </c>
      <c r="D621" s="105" t="s">
        <v>359</v>
      </c>
      <c r="E621" s="105" t="s">
        <v>906</v>
      </c>
    </row>
    <row r="622" spans="1:5" hidden="1">
      <c r="A622" t="s">
        <v>609</v>
      </c>
      <c r="B622" t="s">
        <v>442</v>
      </c>
      <c r="C622" t="s">
        <v>443</v>
      </c>
      <c r="D622" s="105" t="s">
        <v>359</v>
      </c>
      <c r="E622" s="105" t="s">
        <v>819</v>
      </c>
    </row>
    <row r="623" spans="1:5" hidden="1">
      <c r="A623" t="s">
        <v>777</v>
      </c>
      <c r="B623" t="s">
        <v>442</v>
      </c>
      <c r="C623" t="s">
        <v>443</v>
      </c>
      <c r="D623" s="105" t="s">
        <v>359</v>
      </c>
      <c r="E623" s="105" t="s">
        <v>776</v>
      </c>
    </row>
    <row r="624" spans="1:5" hidden="1">
      <c r="A624" t="s">
        <v>486</v>
      </c>
      <c r="B624" t="s">
        <v>442</v>
      </c>
      <c r="C624" t="s">
        <v>443</v>
      </c>
      <c r="D624" s="105" t="s">
        <v>359</v>
      </c>
      <c r="E624" s="105" t="s">
        <v>485</v>
      </c>
    </row>
    <row r="625" spans="1:5" hidden="1">
      <c r="A625" t="s">
        <v>626</v>
      </c>
      <c r="B625" t="s">
        <v>442</v>
      </c>
      <c r="C625" t="s">
        <v>443</v>
      </c>
      <c r="D625" s="105" t="s">
        <v>359</v>
      </c>
      <c r="E625" s="105" t="s">
        <v>625</v>
      </c>
    </row>
    <row r="626" spans="1:5" hidden="1">
      <c r="A626" t="s">
        <v>510</v>
      </c>
      <c r="B626" t="s">
        <v>442</v>
      </c>
      <c r="C626" t="s">
        <v>443</v>
      </c>
      <c r="D626" s="105" t="s">
        <v>359</v>
      </c>
      <c r="E626" s="105" t="s">
        <v>509</v>
      </c>
    </row>
    <row r="627" spans="1:5" hidden="1">
      <c r="A627" t="s">
        <v>927</v>
      </c>
      <c r="B627" t="s">
        <v>480</v>
      </c>
      <c r="C627" t="s">
        <v>481</v>
      </c>
      <c r="D627" s="105" t="s">
        <v>359</v>
      </c>
      <c r="E627" s="105" t="s">
        <v>926</v>
      </c>
    </row>
    <row r="628" spans="1:5" hidden="1">
      <c r="A628" t="s">
        <v>1916</v>
      </c>
      <c r="B628" t="s">
        <v>435</v>
      </c>
      <c r="C628" t="s">
        <v>436</v>
      </c>
      <c r="D628" s="105" t="s">
        <v>359</v>
      </c>
      <c r="E628" s="105" t="s">
        <v>1915</v>
      </c>
    </row>
    <row r="629" spans="1:5" hidden="1">
      <c r="A629" t="s">
        <v>2158</v>
      </c>
      <c r="B629" t="s">
        <v>435</v>
      </c>
      <c r="C629" t="s">
        <v>436</v>
      </c>
      <c r="D629" s="105" t="s">
        <v>359</v>
      </c>
      <c r="E629" s="105" t="s">
        <v>2157</v>
      </c>
    </row>
    <row r="630" spans="1:5" hidden="1">
      <c r="A630" t="s">
        <v>2019</v>
      </c>
      <c r="B630" t="s">
        <v>435</v>
      </c>
      <c r="C630" t="s">
        <v>436</v>
      </c>
      <c r="D630" s="105" t="s">
        <v>359</v>
      </c>
      <c r="E630" s="105" t="s">
        <v>2018</v>
      </c>
    </row>
    <row r="631" spans="1:5" hidden="1">
      <c r="A631" t="s">
        <v>2285</v>
      </c>
      <c r="B631" t="s">
        <v>435</v>
      </c>
      <c r="C631" t="s">
        <v>436</v>
      </c>
      <c r="D631" s="105" t="s">
        <v>359</v>
      </c>
      <c r="E631" s="105" t="s">
        <v>2284</v>
      </c>
    </row>
    <row r="632" spans="1:5" hidden="1">
      <c r="A632" t="s">
        <v>1865</v>
      </c>
      <c r="B632" t="s">
        <v>435</v>
      </c>
      <c r="C632" t="s">
        <v>436</v>
      </c>
      <c r="D632" s="105" t="s">
        <v>359</v>
      </c>
      <c r="E632" s="105" t="s">
        <v>1864</v>
      </c>
    </row>
    <row r="633" spans="1:5" hidden="1">
      <c r="A633" t="s">
        <v>1686</v>
      </c>
      <c r="B633" t="s">
        <v>435</v>
      </c>
      <c r="C633" t="s">
        <v>436</v>
      </c>
      <c r="D633" s="105" t="s">
        <v>359</v>
      </c>
      <c r="E633" s="105" t="s">
        <v>1685</v>
      </c>
    </row>
    <row r="634" spans="1:5" hidden="1">
      <c r="A634" t="s">
        <v>1518</v>
      </c>
      <c r="B634" t="s">
        <v>435</v>
      </c>
      <c r="C634" t="s">
        <v>436</v>
      </c>
      <c r="D634" s="105" t="s">
        <v>359</v>
      </c>
      <c r="E634" s="105" t="s">
        <v>1517</v>
      </c>
    </row>
    <row r="635" spans="1:5" hidden="1">
      <c r="A635" t="s">
        <v>2313</v>
      </c>
      <c r="B635" t="s">
        <v>435</v>
      </c>
      <c r="C635" t="s">
        <v>436</v>
      </c>
      <c r="D635" s="105" t="s">
        <v>359</v>
      </c>
      <c r="E635" s="105" t="s">
        <v>2312</v>
      </c>
    </row>
    <row r="636" spans="1:5" hidden="1">
      <c r="A636" t="s">
        <v>1359</v>
      </c>
      <c r="B636" t="s">
        <v>435</v>
      </c>
      <c r="C636" t="s">
        <v>436</v>
      </c>
      <c r="D636" s="105" t="s">
        <v>359</v>
      </c>
      <c r="E636" s="105" t="s">
        <v>1358</v>
      </c>
    </row>
    <row r="637" spans="1:5" hidden="1">
      <c r="A637" t="s">
        <v>1076</v>
      </c>
      <c r="B637" t="s">
        <v>435</v>
      </c>
      <c r="C637" t="s">
        <v>436</v>
      </c>
      <c r="D637" s="105" t="s">
        <v>359</v>
      </c>
      <c r="E637" s="105" t="s">
        <v>1075</v>
      </c>
    </row>
    <row r="638" spans="1:5" hidden="1">
      <c r="A638" t="s">
        <v>571</v>
      </c>
      <c r="B638" t="s">
        <v>435</v>
      </c>
      <c r="C638" t="s">
        <v>436</v>
      </c>
      <c r="D638" s="105" t="s">
        <v>359</v>
      </c>
      <c r="E638" s="105" t="s">
        <v>570</v>
      </c>
    </row>
    <row r="639" spans="1:5" hidden="1">
      <c r="A639" t="s">
        <v>989</v>
      </c>
      <c r="B639" t="s">
        <v>435</v>
      </c>
      <c r="C639" t="s">
        <v>436</v>
      </c>
      <c r="D639" s="105" t="s">
        <v>359</v>
      </c>
      <c r="E639" s="105" t="s">
        <v>988</v>
      </c>
    </row>
    <row r="640" spans="1:5" hidden="1">
      <c r="A640" t="s">
        <v>981</v>
      </c>
      <c r="B640" t="s">
        <v>435</v>
      </c>
      <c r="C640" t="s">
        <v>436</v>
      </c>
      <c r="D640" s="105" t="s">
        <v>359</v>
      </c>
      <c r="E640" s="105" t="s">
        <v>980</v>
      </c>
    </row>
    <row r="641" spans="1:5" hidden="1">
      <c r="A641" t="s">
        <v>529</v>
      </c>
      <c r="B641" t="s">
        <v>461</v>
      </c>
      <c r="C641" t="s">
        <v>462</v>
      </c>
      <c r="D641" s="105" t="s">
        <v>359</v>
      </c>
      <c r="E641" s="105" t="s">
        <v>528</v>
      </c>
    </row>
    <row r="642" spans="1:5" hidden="1">
      <c r="A642" t="s">
        <v>755</v>
      </c>
      <c r="B642" t="s">
        <v>461</v>
      </c>
      <c r="C642" t="s">
        <v>462</v>
      </c>
      <c r="D642" s="105" t="s">
        <v>359</v>
      </c>
      <c r="E642" s="105" t="s">
        <v>754</v>
      </c>
    </row>
    <row r="643" spans="1:5" hidden="1">
      <c r="A643" t="s">
        <v>1253</v>
      </c>
      <c r="B643" t="s">
        <v>461</v>
      </c>
      <c r="C643" t="s">
        <v>462</v>
      </c>
      <c r="D643" s="105" t="s">
        <v>359</v>
      </c>
      <c r="E643" s="105" t="s">
        <v>1252</v>
      </c>
    </row>
    <row r="644" spans="1:5" hidden="1">
      <c r="A644" t="s">
        <v>1052</v>
      </c>
      <c r="B644" t="s">
        <v>461</v>
      </c>
      <c r="C644" t="s">
        <v>462</v>
      </c>
      <c r="D644" s="105" t="s">
        <v>359</v>
      </c>
      <c r="E644" s="105" t="s">
        <v>1051</v>
      </c>
    </row>
    <row r="645" spans="1:5" hidden="1">
      <c r="A645" t="s">
        <v>1120</v>
      </c>
      <c r="B645" t="s">
        <v>461</v>
      </c>
      <c r="C645" t="s">
        <v>462</v>
      </c>
      <c r="D645" s="105" t="s">
        <v>359</v>
      </c>
      <c r="E645" s="105" t="s">
        <v>1119</v>
      </c>
    </row>
    <row r="646" spans="1:5" hidden="1">
      <c r="A646" t="s">
        <v>1011</v>
      </c>
      <c r="B646" t="s">
        <v>461</v>
      </c>
      <c r="C646" t="s">
        <v>462</v>
      </c>
      <c r="D646" s="105" t="s">
        <v>359</v>
      </c>
      <c r="E646" s="105" t="s">
        <v>1617</v>
      </c>
    </row>
    <row r="647" spans="1:5" hidden="1">
      <c r="A647" t="s">
        <v>953</v>
      </c>
      <c r="B647" t="s">
        <v>461</v>
      </c>
      <c r="C647" t="s">
        <v>462</v>
      </c>
      <c r="D647" s="105" t="s">
        <v>359</v>
      </c>
      <c r="E647" s="105" t="s">
        <v>1644</v>
      </c>
    </row>
    <row r="648" spans="1:5" hidden="1">
      <c r="A648" t="s">
        <v>1902</v>
      </c>
      <c r="B648" t="s">
        <v>461</v>
      </c>
      <c r="C648" t="s">
        <v>462</v>
      </c>
      <c r="D648" s="105" t="s">
        <v>359</v>
      </c>
      <c r="E648" s="105" t="s">
        <v>2302</v>
      </c>
    </row>
    <row r="649" spans="1:5" hidden="1">
      <c r="A649" t="s">
        <v>802</v>
      </c>
      <c r="B649" t="s">
        <v>461</v>
      </c>
      <c r="C649" t="s">
        <v>462</v>
      </c>
      <c r="D649" s="105" t="s">
        <v>359</v>
      </c>
      <c r="E649" s="105" t="s">
        <v>808</v>
      </c>
    </row>
    <row r="650" spans="1:5" hidden="1">
      <c r="A650" t="s">
        <v>1532</v>
      </c>
      <c r="B650" t="s">
        <v>461</v>
      </c>
      <c r="C650" t="s">
        <v>462</v>
      </c>
      <c r="D650" s="105" t="s">
        <v>359</v>
      </c>
      <c r="E650" s="105" t="s">
        <v>1531</v>
      </c>
    </row>
    <row r="651" spans="1:5" hidden="1">
      <c r="A651" t="s">
        <v>971</v>
      </c>
      <c r="B651" t="s">
        <v>435</v>
      </c>
      <c r="C651" t="s">
        <v>436</v>
      </c>
      <c r="D651" s="105" t="s">
        <v>359</v>
      </c>
      <c r="E651" s="105" t="s">
        <v>970</v>
      </c>
    </row>
    <row r="652" spans="1:5" hidden="1">
      <c r="A652" t="s">
        <v>979</v>
      </c>
      <c r="B652" t="s">
        <v>435</v>
      </c>
      <c r="C652" t="s">
        <v>436</v>
      </c>
      <c r="D652" s="105" t="s">
        <v>359</v>
      </c>
      <c r="E652" s="105" t="s">
        <v>978</v>
      </c>
    </row>
    <row r="653" spans="1:5" hidden="1">
      <c r="A653" t="s">
        <v>1221</v>
      </c>
      <c r="B653" t="s">
        <v>435</v>
      </c>
      <c r="C653" t="s">
        <v>436</v>
      </c>
      <c r="D653" s="105" t="s">
        <v>359</v>
      </c>
      <c r="E653" s="105" t="s">
        <v>1220</v>
      </c>
    </row>
    <row r="654" spans="1:5" hidden="1">
      <c r="A654" t="s">
        <v>985</v>
      </c>
      <c r="B654" t="s">
        <v>435</v>
      </c>
      <c r="C654" t="s">
        <v>436</v>
      </c>
      <c r="D654" s="105" t="s">
        <v>359</v>
      </c>
      <c r="E654" s="105" t="s">
        <v>984</v>
      </c>
    </row>
    <row r="655" spans="1:5" hidden="1">
      <c r="A655" t="s">
        <v>1345</v>
      </c>
      <c r="B655" t="s">
        <v>435</v>
      </c>
      <c r="C655" t="s">
        <v>436</v>
      </c>
      <c r="D655" s="105" t="s">
        <v>359</v>
      </c>
      <c r="E655" s="105" t="s">
        <v>1344</v>
      </c>
    </row>
    <row r="656" spans="1:5" hidden="1">
      <c r="A656" t="s">
        <v>1219</v>
      </c>
      <c r="B656" t="s">
        <v>435</v>
      </c>
      <c r="C656" t="s">
        <v>436</v>
      </c>
      <c r="D656" s="105" t="s">
        <v>359</v>
      </c>
      <c r="E656" s="105" t="s">
        <v>1218</v>
      </c>
    </row>
    <row r="657" spans="1:5" hidden="1">
      <c r="A657" t="s">
        <v>810</v>
      </c>
      <c r="B657" t="s">
        <v>567</v>
      </c>
      <c r="C657" t="s">
        <v>568</v>
      </c>
      <c r="D657" s="105" t="s">
        <v>359</v>
      </c>
      <c r="E657" s="105" t="s">
        <v>809</v>
      </c>
    </row>
    <row r="658" spans="1:5" hidden="1">
      <c r="A658" t="s">
        <v>1266</v>
      </c>
      <c r="B658" t="s">
        <v>567</v>
      </c>
      <c r="C658" t="s">
        <v>568</v>
      </c>
      <c r="D658" s="105" t="s">
        <v>359</v>
      </c>
      <c r="E658" s="105" t="s">
        <v>1265</v>
      </c>
    </row>
    <row r="659" spans="1:5" hidden="1">
      <c r="A659" t="s">
        <v>569</v>
      </c>
      <c r="B659" t="s">
        <v>567</v>
      </c>
      <c r="C659" t="s">
        <v>568</v>
      </c>
      <c r="D659" s="105" t="s">
        <v>359</v>
      </c>
      <c r="E659" s="105" t="s">
        <v>566</v>
      </c>
    </row>
    <row r="660" spans="1:5" hidden="1">
      <c r="A660" t="s">
        <v>666</v>
      </c>
      <c r="B660" t="s">
        <v>567</v>
      </c>
      <c r="C660" t="s">
        <v>568</v>
      </c>
      <c r="D660" s="105" t="s">
        <v>359</v>
      </c>
      <c r="E660" s="105" t="s">
        <v>665</v>
      </c>
    </row>
    <row r="661" spans="1:5" hidden="1">
      <c r="A661" t="s">
        <v>2209</v>
      </c>
      <c r="B661" t="s">
        <v>435</v>
      </c>
      <c r="C661" t="s">
        <v>436</v>
      </c>
      <c r="D661" s="105" t="s">
        <v>359</v>
      </c>
      <c r="E661" s="105" t="s">
        <v>2208</v>
      </c>
    </row>
    <row r="662" spans="1:5" hidden="1">
      <c r="A662" t="s">
        <v>1296</v>
      </c>
      <c r="B662" t="s">
        <v>435</v>
      </c>
      <c r="C662" t="s">
        <v>436</v>
      </c>
      <c r="D662" s="105" t="s">
        <v>359</v>
      </c>
      <c r="E662" s="105" t="s">
        <v>1295</v>
      </c>
    </row>
    <row r="663" spans="1:5" hidden="1">
      <c r="A663" t="s">
        <v>1875</v>
      </c>
      <c r="B663" t="s">
        <v>435</v>
      </c>
      <c r="C663" t="s">
        <v>436</v>
      </c>
      <c r="D663" s="105" t="s">
        <v>359</v>
      </c>
      <c r="E663" s="105" t="s">
        <v>1874</v>
      </c>
    </row>
    <row r="664" spans="1:5" hidden="1">
      <c r="A664" t="s">
        <v>1987</v>
      </c>
      <c r="B664" t="s">
        <v>435</v>
      </c>
      <c r="C664" t="s">
        <v>436</v>
      </c>
      <c r="D664" s="105" t="s">
        <v>359</v>
      </c>
      <c r="E664" s="105" t="s">
        <v>1986</v>
      </c>
    </row>
    <row r="665" spans="1:5" hidden="1">
      <c r="A665" t="s">
        <v>1983</v>
      </c>
      <c r="B665" t="s">
        <v>435</v>
      </c>
      <c r="C665" t="s">
        <v>436</v>
      </c>
      <c r="D665" s="105" t="s">
        <v>359</v>
      </c>
      <c r="E665" s="105" t="s">
        <v>1982</v>
      </c>
    </row>
    <row r="666" spans="1:5" hidden="1">
      <c r="A666" t="s">
        <v>2145</v>
      </c>
      <c r="B666" t="s">
        <v>435</v>
      </c>
      <c r="C666" t="s">
        <v>436</v>
      </c>
      <c r="D666" s="105" t="s">
        <v>359</v>
      </c>
      <c r="E666" s="105" t="s">
        <v>2144</v>
      </c>
    </row>
    <row r="667" spans="1:5">
      <c r="A667" t="s">
        <v>455</v>
      </c>
      <c r="B667" t="s">
        <v>454</v>
      </c>
      <c r="C667" t="s">
        <v>455</v>
      </c>
      <c r="D667" s="105" t="s">
        <v>361</v>
      </c>
      <c r="E667" s="105" t="s">
        <v>454</v>
      </c>
    </row>
    <row r="668" spans="1:5" hidden="1">
      <c r="A668" t="s">
        <v>3016</v>
      </c>
      <c r="B668" t="s">
        <v>454</v>
      </c>
      <c r="C668" t="s">
        <v>455</v>
      </c>
      <c r="D668" s="105" t="s">
        <v>359</v>
      </c>
      <c r="E668" s="105" t="s">
        <v>453</v>
      </c>
    </row>
    <row r="669" spans="1:5" hidden="1">
      <c r="A669" t="s">
        <v>624</v>
      </c>
      <c r="B669" t="s">
        <v>454</v>
      </c>
      <c r="C669" t="s">
        <v>455</v>
      </c>
      <c r="D669" s="105" t="s">
        <v>359</v>
      </c>
      <c r="E669" s="105" t="s">
        <v>623</v>
      </c>
    </row>
    <row r="670" spans="1:5" hidden="1">
      <c r="A670" t="s">
        <v>575</v>
      </c>
      <c r="B670" t="s">
        <v>454</v>
      </c>
      <c r="C670" t="s">
        <v>455</v>
      </c>
      <c r="D670" s="105" t="s">
        <v>359</v>
      </c>
      <c r="E670" s="105" t="s">
        <v>574</v>
      </c>
    </row>
    <row r="671" spans="1:5" hidden="1">
      <c r="A671" t="s">
        <v>551</v>
      </c>
      <c r="B671" t="s">
        <v>454</v>
      </c>
      <c r="C671" t="s">
        <v>455</v>
      </c>
      <c r="D671" s="105" t="s">
        <v>359</v>
      </c>
      <c r="E671" s="105" t="s">
        <v>550</v>
      </c>
    </row>
    <row r="672" spans="1:5" hidden="1">
      <c r="A672" t="s">
        <v>1171</v>
      </c>
      <c r="B672" t="s">
        <v>567</v>
      </c>
      <c r="C672" t="s">
        <v>568</v>
      </c>
      <c r="D672" s="105" t="s">
        <v>359</v>
      </c>
      <c r="E672" s="105" t="s">
        <v>1170</v>
      </c>
    </row>
    <row r="673" spans="1:5" hidden="1">
      <c r="A673" t="s">
        <v>1319</v>
      </c>
      <c r="B673" t="s">
        <v>567</v>
      </c>
      <c r="C673" t="s">
        <v>568</v>
      </c>
      <c r="D673" s="105" t="s">
        <v>359</v>
      </c>
      <c r="E673" s="105" t="s">
        <v>1318</v>
      </c>
    </row>
    <row r="674" spans="1:5" hidden="1">
      <c r="A674" t="s">
        <v>1630</v>
      </c>
      <c r="B674" t="s">
        <v>567</v>
      </c>
      <c r="C674" t="s">
        <v>568</v>
      </c>
      <c r="D674" s="105" t="s">
        <v>359</v>
      </c>
      <c r="E674" s="105" t="s">
        <v>1629</v>
      </c>
    </row>
    <row r="675" spans="1:5" hidden="1">
      <c r="A675" t="s">
        <v>1380</v>
      </c>
      <c r="B675" t="s">
        <v>567</v>
      </c>
      <c r="C675" t="s">
        <v>568</v>
      </c>
      <c r="D675" s="105" t="s">
        <v>359</v>
      </c>
      <c r="E675" s="105" t="s">
        <v>1379</v>
      </c>
    </row>
  </sheetData>
  <autoFilter ref="A1:E675" xr:uid="{FA69F4A3-682B-46D8-BEA9-291E9BC81B1C}">
    <filterColumn colId="3">
      <filters>
        <filter val="Departamental"/>
      </filters>
    </filterColumn>
  </autoFilter>
  <conditionalFormatting sqref="E2:E675">
    <cfRule type="duplicateValues" dxfId="0"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454B-1BAB-4578-9F33-5DA112F6ED4A}">
  <dimension ref="A1:E1141"/>
  <sheetViews>
    <sheetView topLeftCell="A977" workbookViewId="0">
      <selection activeCell="E1119" sqref="E1119"/>
    </sheetView>
  </sheetViews>
  <sheetFormatPr baseColWidth="10" defaultRowHeight="14"/>
  <cols>
    <col min="2" max="2" width="15.25" customWidth="1"/>
    <col min="3" max="3" width="25.25" customWidth="1"/>
    <col min="4" max="4" width="24.58203125" customWidth="1"/>
    <col min="5" max="5" width="16.83203125" customWidth="1"/>
  </cols>
  <sheetData>
    <row r="1" spans="1:5">
      <c r="A1" t="s">
        <v>3051</v>
      </c>
    </row>
    <row r="2" spans="1:5">
      <c r="A2" s="63" t="s">
        <v>3049</v>
      </c>
      <c r="B2" s="63" t="s">
        <v>399</v>
      </c>
      <c r="C2" s="63" t="s">
        <v>400</v>
      </c>
      <c r="D2" s="63" t="s">
        <v>3048</v>
      </c>
      <c r="E2" s="63" t="s">
        <v>3050</v>
      </c>
    </row>
    <row r="3" spans="1:5">
      <c r="A3" s="13" t="s">
        <v>457</v>
      </c>
      <c r="B3" s="13" t="s">
        <v>459</v>
      </c>
      <c r="C3" s="13" t="s">
        <v>459</v>
      </c>
      <c r="D3" s="13" t="s">
        <v>370</v>
      </c>
      <c r="E3" s="13" t="s">
        <v>370</v>
      </c>
    </row>
    <row r="4" spans="1:5">
      <c r="A4" s="13" t="s">
        <v>438</v>
      </c>
      <c r="B4" s="13" t="s">
        <v>436</v>
      </c>
      <c r="C4" s="13" t="s">
        <v>439</v>
      </c>
      <c r="D4" s="13" t="s">
        <v>371</v>
      </c>
      <c r="E4" s="13" t="s">
        <v>371</v>
      </c>
    </row>
    <row r="5" spans="1:5">
      <c r="A5" s="13" t="s">
        <v>441</v>
      </c>
      <c r="B5" s="13" t="s">
        <v>443</v>
      </c>
      <c r="C5" s="13" t="s">
        <v>444</v>
      </c>
      <c r="D5" s="13" t="s">
        <v>371</v>
      </c>
      <c r="E5" s="13" t="s">
        <v>371</v>
      </c>
    </row>
    <row r="6" spans="1:5">
      <c r="A6" s="13" t="s">
        <v>453</v>
      </c>
      <c r="B6" s="13" t="s">
        <v>455</v>
      </c>
      <c r="C6" s="13" t="s">
        <v>456</v>
      </c>
      <c r="D6" s="13" t="s">
        <v>371</v>
      </c>
      <c r="E6" s="13" t="s">
        <v>371</v>
      </c>
    </row>
    <row r="7" spans="1:5">
      <c r="A7" s="13" t="s">
        <v>464</v>
      </c>
      <c r="B7" s="13" t="s">
        <v>432</v>
      </c>
      <c r="C7" s="13" t="s">
        <v>465</v>
      </c>
      <c r="D7" s="13" t="s">
        <v>371</v>
      </c>
      <c r="E7" s="13" t="s">
        <v>371</v>
      </c>
    </row>
    <row r="8" spans="1:5">
      <c r="A8" s="13" t="s">
        <v>479</v>
      </c>
      <c r="B8" s="13" t="s">
        <v>481</v>
      </c>
      <c r="C8" s="13" t="s">
        <v>482</v>
      </c>
      <c r="D8" s="13" t="s">
        <v>371</v>
      </c>
      <c r="E8" s="13" t="s">
        <v>371</v>
      </c>
    </row>
    <row r="9" spans="1:5">
      <c r="A9" s="13" t="s">
        <v>430</v>
      </c>
      <c r="B9" s="13" t="s">
        <v>432</v>
      </c>
      <c r="C9" s="13" t="s">
        <v>433</v>
      </c>
      <c r="D9" s="13">
        <v>1</v>
      </c>
      <c r="E9" s="13">
        <v>1</v>
      </c>
    </row>
    <row r="10" spans="1:5">
      <c r="A10" s="13" t="s">
        <v>434</v>
      </c>
      <c r="B10" s="13" t="s">
        <v>436</v>
      </c>
      <c r="C10" s="13" t="s">
        <v>437</v>
      </c>
      <c r="D10" s="13">
        <v>1</v>
      </c>
      <c r="E10" s="13">
        <v>1</v>
      </c>
    </row>
    <row r="11" spans="1:5">
      <c r="A11" s="13" t="s">
        <v>445</v>
      </c>
      <c r="B11" s="13" t="s">
        <v>443</v>
      </c>
      <c r="C11" s="13" t="s">
        <v>446</v>
      </c>
      <c r="D11" s="13">
        <v>1</v>
      </c>
      <c r="E11" s="13">
        <v>1</v>
      </c>
    </row>
    <row r="12" spans="1:5">
      <c r="A12" s="13" t="s">
        <v>447</v>
      </c>
      <c r="B12" s="13" t="s">
        <v>436</v>
      </c>
      <c r="C12" s="13" t="s">
        <v>448</v>
      </c>
      <c r="D12" s="13">
        <v>1</v>
      </c>
      <c r="E12" s="13">
        <v>1</v>
      </c>
    </row>
    <row r="13" spans="1:5">
      <c r="A13" s="13" t="s">
        <v>449</v>
      </c>
      <c r="B13" s="13" t="s">
        <v>436</v>
      </c>
      <c r="C13" s="13" t="s">
        <v>450</v>
      </c>
      <c r="D13" s="13">
        <v>1</v>
      </c>
      <c r="E13" s="13">
        <v>1</v>
      </c>
    </row>
    <row r="14" spans="1:5">
      <c r="A14" s="13" t="s">
        <v>451</v>
      </c>
      <c r="B14" s="13" t="s">
        <v>436</v>
      </c>
      <c r="C14" s="13" t="s">
        <v>452</v>
      </c>
      <c r="D14" s="13">
        <v>1</v>
      </c>
      <c r="E14" s="13">
        <v>1</v>
      </c>
    </row>
    <row r="15" spans="1:5">
      <c r="A15" s="13" t="s">
        <v>460</v>
      </c>
      <c r="B15" s="13" t="s">
        <v>462</v>
      </c>
      <c r="C15" s="13" t="s">
        <v>463</v>
      </c>
      <c r="D15" s="13">
        <v>1</v>
      </c>
      <c r="E15" s="13">
        <v>1</v>
      </c>
    </row>
    <row r="16" spans="1:5">
      <c r="A16" s="13" t="s">
        <v>466</v>
      </c>
      <c r="B16" s="13" t="s">
        <v>468</v>
      </c>
      <c r="C16" s="13" t="s">
        <v>469</v>
      </c>
      <c r="D16" s="13">
        <v>1</v>
      </c>
      <c r="E16" s="13">
        <v>1</v>
      </c>
    </row>
    <row r="17" spans="1:5">
      <c r="A17" s="13" t="s">
        <v>470</v>
      </c>
      <c r="B17" s="13" t="s">
        <v>436</v>
      </c>
      <c r="C17" s="13" t="s">
        <v>471</v>
      </c>
      <c r="D17" s="13">
        <v>1</v>
      </c>
      <c r="E17" s="13">
        <v>1</v>
      </c>
    </row>
    <row r="18" spans="1:5">
      <c r="A18" s="13" t="s">
        <v>472</v>
      </c>
      <c r="B18" s="13" t="s">
        <v>474</v>
      </c>
      <c r="C18" s="13" t="s">
        <v>475</v>
      </c>
      <c r="D18" s="13">
        <v>1</v>
      </c>
      <c r="E18" s="13">
        <v>1</v>
      </c>
    </row>
    <row r="19" spans="1:5">
      <c r="A19" s="13" t="s">
        <v>477</v>
      </c>
      <c r="B19" s="13" t="s">
        <v>436</v>
      </c>
      <c r="C19" s="13" t="s">
        <v>478</v>
      </c>
      <c r="D19" s="13">
        <v>1</v>
      </c>
      <c r="E19" s="13">
        <v>1</v>
      </c>
    </row>
    <row r="20" spans="1:5">
      <c r="A20" s="13" t="s">
        <v>483</v>
      </c>
      <c r="B20" s="13" t="s">
        <v>462</v>
      </c>
      <c r="C20" s="13" t="s">
        <v>484</v>
      </c>
      <c r="D20" s="13">
        <v>1</v>
      </c>
      <c r="E20" s="13">
        <v>1</v>
      </c>
    </row>
    <row r="21" spans="1:5">
      <c r="A21" s="13" t="s">
        <v>487</v>
      </c>
      <c r="B21" s="13" t="s">
        <v>462</v>
      </c>
      <c r="C21" s="13" t="s">
        <v>488</v>
      </c>
      <c r="D21" s="13">
        <v>1</v>
      </c>
      <c r="E21" s="13">
        <v>1</v>
      </c>
    </row>
    <row r="22" spans="1:5">
      <c r="A22" s="13" t="s">
        <v>489</v>
      </c>
      <c r="B22" s="13" t="s">
        <v>462</v>
      </c>
      <c r="C22" s="13" t="s">
        <v>490</v>
      </c>
      <c r="D22" s="13">
        <v>1</v>
      </c>
      <c r="E22" s="13">
        <v>1</v>
      </c>
    </row>
    <row r="23" spans="1:5">
      <c r="A23" s="13" t="s">
        <v>491</v>
      </c>
      <c r="B23" s="13" t="s">
        <v>462</v>
      </c>
      <c r="C23" s="13" t="s">
        <v>492</v>
      </c>
      <c r="D23" s="13">
        <v>1</v>
      </c>
      <c r="E23" s="13">
        <v>1</v>
      </c>
    </row>
    <row r="24" spans="1:5">
      <c r="A24" s="13" t="s">
        <v>497</v>
      </c>
      <c r="B24" s="13" t="s">
        <v>499</v>
      </c>
      <c r="C24" s="13" t="s">
        <v>500</v>
      </c>
      <c r="D24" s="13">
        <v>1</v>
      </c>
      <c r="E24" s="13">
        <v>1</v>
      </c>
    </row>
    <row r="25" spans="1:5">
      <c r="A25" s="13" t="s">
        <v>501</v>
      </c>
      <c r="B25" s="13" t="s">
        <v>462</v>
      </c>
      <c r="C25" s="13" t="s">
        <v>502</v>
      </c>
      <c r="D25" s="13">
        <v>1</v>
      </c>
      <c r="E25" s="13">
        <v>1</v>
      </c>
    </row>
    <row r="26" spans="1:5">
      <c r="A26" s="13" t="s">
        <v>503</v>
      </c>
      <c r="B26" s="13" t="s">
        <v>436</v>
      </c>
      <c r="C26" s="13" t="s">
        <v>504</v>
      </c>
      <c r="D26" s="13">
        <v>1</v>
      </c>
      <c r="E26" s="13">
        <v>1</v>
      </c>
    </row>
    <row r="27" spans="1:5">
      <c r="A27" s="13" t="s">
        <v>505</v>
      </c>
      <c r="B27" s="13" t="s">
        <v>507</v>
      </c>
      <c r="C27" s="13" t="s">
        <v>508</v>
      </c>
      <c r="D27" s="13">
        <v>1</v>
      </c>
      <c r="E27" s="13">
        <v>1</v>
      </c>
    </row>
    <row r="28" spans="1:5">
      <c r="A28" s="13" t="s">
        <v>509</v>
      </c>
      <c r="B28" s="13" t="s">
        <v>443</v>
      </c>
      <c r="C28" s="13" t="s">
        <v>510</v>
      </c>
      <c r="D28" s="13">
        <v>1</v>
      </c>
      <c r="E28" s="13">
        <v>1</v>
      </c>
    </row>
    <row r="29" spans="1:5">
      <c r="A29" s="13" t="s">
        <v>511</v>
      </c>
      <c r="B29" s="13" t="s">
        <v>462</v>
      </c>
      <c r="C29" s="13" t="s">
        <v>512</v>
      </c>
      <c r="D29" s="13">
        <v>1</v>
      </c>
      <c r="E29" s="13">
        <v>1</v>
      </c>
    </row>
    <row r="30" spans="1:5">
      <c r="A30" s="13" t="s">
        <v>513</v>
      </c>
      <c r="B30" s="13" t="s">
        <v>468</v>
      </c>
      <c r="C30" s="13" t="s">
        <v>514</v>
      </c>
      <c r="D30" s="13">
        <v>1</v>
      </c>
      <c r="E30" s="13">
        <v>1</v>
      </c>
    </row>
    <row r="31" spans="1:5">
      <c r="A31" s="13" t="s">
        <v>515</v>
      </c>
      <c r="B31" s="13" t="s">
        <v>436</v>
      </c>
      <c r="C31" s="13" t="s">
        <v>507</v>
      </c>
      <c r="D31" s="13">
        <v>1</v>
      </c>
      <c r="E31" s="13">
        <v>1</v>
      </c>
    </row>
    <row r="32" spans="1:5">
      <c r="A32" s="13" t="s">
        <v>516</v>
      </c>
      <c r="B32" s="13" t="s">
        <v>518</v>
      </c>
      <c r="C32" s="13" t="s">
        <v>519</v>
      </c>
      <c r="D32" s="13">
        <v>1</v>
      </c>
      <c r="E32" s="13">
        <v>1</v>
      </c>
    </row>
    <row r="33" spans="1:5">
      <c r="A33" s="13" t="s">
        <v>520</v>
      </c>
      <c r="B33" s="13" t="s">
        <v>468</v>
      </c>
      <c r="C33" s="13" t="s">
        <v>521</v>
      </c>
      <c r="D33" s="13">
        <v>1</v>
      </c>
      <c r="E33" s="13">
        <v>2</v>
      </c>
    </row>
    <row r="34" spans="1:5">
      <c r="A34" s="13" t="s">
        <v>522</v>
      </c>
      <c r="B34" s="13" t="s">
        <v>436</v>
      </c>
      <c r="C34" s="13" t="s">
        <v>523</v>
      </c>
      <c r="D34" s="13">
        <v>1</v>
      </c>
      <c r="E34" s="13">
        <v>1</v>
      </c>
    </row>
    <row r="35" spans="1:5">
      <c r="A35" s="13" t="s">
        <v>526</v>
      </c>
      <c r="B35" s="13" t="s">
        <v>443</v>
      </c>
      <c r="C35" s="13" t="s">
        <v>527</v>
      </c>
      <c r="D35" s="13">
        <v>1</v>
      </c>
      <c r="E35" s="13">
        <v>1</v>
      </c>
    </row>
    <row r="36" spans="1:5">
      <c r="A36" s="13" t="s">
        <v>528</v>
      </c>
      <c r="B36" s="13" t="s">
        <v>462</v>
      </c>
      <c r="C36" s="13" t="s">
        <v>529</v>
      </c>
      <c r="D36" s="13">
        <v>1</v>
      </c>
      <c r="E36" s="13">
        <v>1</v>
      </c>
    </row>
    <row r="37" spans="1:5">
      <c r="A37" s="13" t="s">
        <v>530</v>
      </c>
      <c r="B37" s="13" t="s">
        <v>443</v>
      </c>
      <c r="C37" s="13" t="s">
        <v>531</v>
      </c>
      <c r="D37" s="13">
        <v>1</v>
      </c>
      <c r="E37" s="13">
        <v>1</v>
      </c>
    </row>
    <row r="38" spans="1:5">
      <c r="A38" s="13" t="s">
        <v>532</v>
      </c>
      <c r="B38" s="13" t="s">
        <v>436</v>
      </c>
      <c r="C38" s="13" t="s">
        <v>533</v>
      </c>
      <c r="D38" s="13">
        <v>1</v>
      </c>
      <c r="E38" s="13">
        <v>1</v>
      </c>
    </row>
    <row r="39" spans="1:5">
      <c r="A39" s="13" t="s">
        <v>534</v>
      </c>
      <c r="B39" s="13" t="s">
        <v>462</v>
      </c>
      <c r="C39" s="13" t="s">
        <v>535</v>
      </c>
      <c r="D39" s="13">
        <v>1</v>
      </c>
      <c r="E39" s="13">
        <v>1</v>
      </c>
    </row>
    <row r="40" spans="1:5">
      <c r="A40" s="13" t="s">
        <v>538</v>
      </c>
      <c r="B40" s="13" t="s">
        <v>436</v>
      </c>
      <c r="C40" s="13" t="s">
        <v>539</v>
      </c>
      <c r="D40" s="13">
        <v>1</v>
      </c>
      <c r="E40" s="13">
        <v>1</v>
      </c>
    </row>
    <row r="41" spans="1:5">
      <c r="A41" s="13" t="s">
        <v>548</v>
      </c>
      <c r="B41" s="13" t="s">
        <v>518</v>
      </c>
      <c r="C41" s="13" t="s">
        <v>549</v>
      </c>
      <c r="D41" s="13">
        <v>1</v>
      </c>
      <c r="E41" s="13">
        <v>1</v>
      </c>
    </row>
    <row r="42" spans="1:5">
      <c r="A42" s="13" t="s">
        <v>550</v>
      </c>
      <c r="B42" s="13" t="s">
        <v>455</v>
      </c>
      <c r="C42" s="13" t="s">
        <v>551</v>
      </c>
      <c r="D42" s="13">
        <v>1</v>
      </c>
      <c r="E42" s="13">
        <v>1</v>
      </c>
    </row>
    <row r="43" spans="1:5">
      <c r="A43" s="13" t="s">
        <v>552</v>
      </c>
      <c r="B43" s="13" t="s">
        <v>462</v>
      </c>
      <c r="C43" s="13" t="s">
        <v>553</v>
      </c>
      <c r="D43" s="13">
        <v>1</v>
      </c>
      <c r="E43" s="13">
        <v>1</v>
      </c>
    </row>
    <row r="44" spans="1:5">
      <c r="A44" s="13" t="s">
        <v>554</v>
      </c>
      <c r="B44" s="13" t="s">
        <v>436</v>
      </c>
      <c r="C44" s="13" t="s">
        <v>555</v>
      </c>
      <c r="D44" s="13">
        <v>1</v>
      </c>
      <c r="E44" s="13">
        <v>1</v>
      </c>
    </row>
    <row r="45" spans="1:5">
      <c r="A45" s="13" t="s">
        <v>564</v>
      </c>
      <c r="B45" s="13" t="s">
        <v>518</v>
      </c>
      <c r="C45" s="13" t="s">
        <v>565</v>
      </c>
      <c r="D45" s="13">
        <v>1</v>
      </c>
      <c r="E45" s="13">
        <v>1</v>
      </c>
    </row>
    <row r="46" spans="1:5">
      <c r="A46" s="13" t="s">
        <v>572</v>
      </c>
      <c r="B46" s="13" t="s">
        <v>436</v>
      </c>
      <c r="C46" s="13" t="s">
        <v>573</v>
      </c>
      <c r="D46" s="13">
        <v>1</v>
      </c>
      <c r="E46" s="13">
        <v>1</v>
      </c>
    </row>
    <row r="47" spans="1:5">
      <c r="A47" s="13" t="s">
        <v>574</v>
      </c>
      <c r="B47" s="13" t="s">
        <v>455</v>
      </c>
      <c r="C47" s="13" t="s">
        <v>575</v>
      </c>
      <c r="D47" s="13">
        <v>1</v>
      </c>
      <c r="E47" s="13">
        <v>2</v>
      </c>
    </row>
    <row r="48" spans="1:5">
      <c r="A48" s="13" t="s">
        <v>576</v>
      </c>
      <c r="B48" s="13" t="s">
        <v>499</v>
      </c>
      <c r="C48" s="13" t="s">
        <v>577</v>
      </c>
      <c r="D48" s="13">
        <v>1</v>
      </c>
      <c r="E48" s="13">
        <v>1</v>
      </c>
    </row>
    <row r="49" spans="1:5">
      <c r="A49" s="13" t="s">
        <v>582</v>
      </c>
      <c r="B49" s="13" t="s">
        <v>462</v>
      </c>
      <c r="C49" s="13" t="s">
        <v>583</v>
      </c>
      <c r="D49" s="13">
        <v>1</v>
      </c>
      <c r="E49" s="13">
        <v>1</v>
      </c>
    </row>
    <row r="50" spans="1:5">
      <c r="A50" s="13" t="s">
        <v>594</v>
      </c>
      <c r="B50" s="13" t="s">
        <v>596</v>
      </c>
      <c r="C50" s="13" t="s">
        <v>597</v>
      </c>
      <c r="D50" s="13">
        <v>1</v>
      </c>
      <c r="E50" s="13">
        <v>1</v>
      </c>
    </row>
    <row r="51" spans="1:5">
      <c r="A51" s="13" t="s">
        <v>608</v>
      </c>
      <c r="B51" s="13" t="s">
        <v>455</v>
      </c>
      <c r="C51" s="13" t="s">
        <v>609</v>
      </c>
      <c r="D51" s="13">
        <v>1</v>
      </c>
      <c r="E51" s="13">
        <v>1</v>
      </c>
    </row>
    <row r="52" spans="1:5">
      <c r="A52" s="13" t="s">
        <v>612</v>
      </c>
      <c r="B52" s="13" t="s">
        <v>432</v>
      </c>
      <c r="C52" s="13" t="s">
        <v>613</v>
      </c>
      <c r="D52" s="13">
        <v>1</v>
      </c>
      <c r="E52" s="13">
        <v>1</v>
      </c>
    </row>
    <row r="53" spans="1:5">
      <c r="A53" s="13" t="s">
        <v>627</v>
      </c>
      <c r="B53" s="13" t="s">
        <v>455</v>
      </c>
      <c r="C53" s="13" t="s">
        <v>628</v>
      </c>
      <c r="D53" s="13">
        <v>1</v>
      </c>
      <c r="E53" s="13">
        <v>1</v>
      </c>
    </row>
    <row r="54" spans="1:5">
      <c r="A54" s="13" t="s">
        <v>641</v>
      </c>
      <c r="B54" s="13" t="s">
        <v>499</v>
      </c>
      <c r="C54" s="13" t="s">
        <v>642</v>
      </c>
      <c r="D54" s="13">
        <v>1</v>
      </c>
      <c r="E54" s="13">
        <v>1</v>
      </c>
    </row>
    <row r="55" spans="1:5">
      <c r="A55" s="13" t="s">
        <v>667</v>
      </c>
      <c r="B55" s="13" t="s">
        <v>462</v>
      </c>
      <c r="C55" s="13" t="s">
        <v>668</v>
      </c>
      <c r="D55" s="13">
        <v>1</v>
      </c>
      <c r="E55" s="13">
        <v>1</v>
      </c>
    </row>
    <row r="56" spans="1:5">
      <c r="A56" s="13" t="s">
        <v>669</v>
      </c>
      <c r="B56" s="13" t="s">
        <v>462</v>
      </c>
      <c r="C56" s="13" t="s">
        <v>670</v>
      </c>
      <c r="D56" s="13">
        <v>1</v>
      </c>
      <c r="E56" s="13">
        <v>1</v>
      </c>
    </row>
    <row r="57" spans="1:5">
      <c r="A57" s="13" t="s">
        <v>705</v>
      </c>
      <c r="B57" s="13" t="s">
        <v>462</v>
      </c>
      <c r="C57" s="13" t="s">
        <v>706</v>
      </c>
      <c r="D57" s="13">
        <v>1</v>
      </c>
      <c r="E57" s="13">
        <v>1</v>
      </c>
    </row>
    <row r="58" spans="1:5">
      <c r="A58" s="13" t="s">
        <v>485</v>
      </c>
      <c r="B58" s="13" t="s">
        <v>443</v>
      </c>
      <c r="C58" s="13" t="s">
        <v>486</v>
      </c>
      <c r="D58" s="13">
        <v>2</v>
      </c>
      <c r="E58" s="13">
        <v>2</v>
      </c>
    </row>
    <row r="59" spans="1:5">
      <c r="A59" s="13" t="s">
        <v>493</v>
      </c>
      <c r="B59" s="13" t="s">
        <v>495</v>
      </c>
      <c r="C59" s="13" t="s">
        <v>496</v>
      </c>
      <c r="D59" s="13">
        <v>2</v>
      </c>
      <c r="E59" s="13">
        <v>2</v>
      </c>
    </row>
    <row r="60" spans="1:5">
      <c r="A60" s="13" t="s">
        <v>524</v>
      </c>
      <c r="B60" s="13" t="s">
        <v>462</v>
      </c>
      <c r="C60" s="13" t="s">
        <v>525</v>
      </c>
      <c r="D60" s="13">
        <v>2</v>
      </c>
      <c r="E60" s="13">
        <v>2</v>
      </c>
    </row>
    <row r="61" spans="1:5">
      <c r="A61" s="13" t="s">
        <v>536</v>
      </c>
      <c r="B61" s="13" t="s">
        <v>455</v>
      </c>
      <c r="C61" s="13" t="s">
        <v>537</v>
      </c>
      <c r="D61" s="13">
        <v>2</v>
      </c>
      <c r="E61" s="13">
        <v>2</v>
      </c>
    </row>
    <row r="62" spans="1:5">
      <c r="A62" s="13" t="s">
        <v>540</v>
      </c>
      <c r="B62" s="13" t="s">
        <v>462</v>
      </c>
      <c r="C62" s="13" t="s">
        <v>541</v>
      </c>
      <c r="D62" s="13">
        <v>2</v>
      </c>
      <c r="E62" s="13">
        <v>1</v>
      </c>
    </row>
    <row r="63" spans="1:5">
      <c r="A63" s="13" t="s">
        <v>542</v>
      </c>
      <c r="B63" s="13" t="s">
        <v>443</v>
      </c>
      <c r="C63" s="13" t="s">
        <v>543</v>
      </c>
      <c r="D63" s="13">
        <v>2</v>
      </c>
      <c r="E63" s="13">
        <v>2</v>
      </c>
    </row>
    <row r="64" spans="1:5">
      <c r="A64" s="13" t="s">
        <v>544</v>
      </c>
      <c r="B64" s="13" t="s">
        <v>481</v>
      </c>
      <c r="C64" s="13" t="s">
        <v>545</v>
      </c>
      <c r="D64" s="13">
        <v>2</v>
      </c>
      <c r="E64" s="13">
        <v>2</v>
      </c>
    </row>
    <row r="65" spans="1:5">
      <c r="A65" s="13" t="s">
        <v>546</v>
      </c>
      <c r="B65" s="13" t="s">
        <v>443</v>
      </c>
      <c r="C65" s="13" t="s">
        <v>547</v>
      </c>
      <c r="D65" s="13">
        <v>2</v>
      </c>
      <c r="E65" s="13">
        <v>2</v>
      </c>
    </row>
    <row r="66" spans="1:5">
      <c r="A66" s="13" t="s">
        <v>556</v>
      </c>
      <c r="B66" s="13" t="s">
        <v>558</v>
      </c>
      <c r="C66" s="13" t="s">
        <v>559</v>
      </c>
      <c r="D66" s="13">
        <v>2</v>
      </c>
      <c r="E66" s="13">
        <v>2</v>
      </c>
    </row>
    <row r="67" spans="1:5">
      <c r="A67" s="13" t="s">
        <v>560</v>
      </c>
      <c r="B67" s="13" t="s">
        <v>507</v>
      </c>
      <c r="C67" s="13" t="s">
        <v>561</v>
      </c>
      <c r="D67" s="13">
        <v>2</v>
      </c>
      <c r="E67" s="13">
        <v>2</v>
      </c>
    </row>
    <row r="68" spans="1:5">
      <c r="A68" s="13" t="s">
        <v>562</v>
      </c>
      <c r="B68" s="13" t="s">
        <v>432</v>
      </c>
      <c r="C68" s="13" t="s">
        <v>563</v>
      </c>
      <c r="D68" s="13">
        <v>2</v>
      </c>
      <c r="E68" s="13">
        <v>2</v>
      </c>
    </row>
    <row r="69" spans="1:5">
      <c r="A69" s="13" t="s">
        <v>566</v>
      </c>
      <c r="B69" s="13" t="s">
        <v>568</v>
      </c>
      <c r="C69" s="13" t="s">
        <v>569</v>
      </c>
      <c r="D69" s="13">
        <v>2</v>
      </c>
      <c r="E69" s="13">
        <v>2</v>
      </c>
    </row>
    <row r="70" spans="1:5">
      <c r="A70" s="13" t="s">
        <v>570</v>
      </c>
      <c r="B70" s="13" t="s">
        <v>436</v>
      </c>
      <c r="C70" s="13" t="s">
        <v>571</v>
      </c>
      <c r="D70" s="13">
        <v>2</v>
      </c>
      <c r="E70" s="13">
        <v>2</v>
      </c>
    </row>
    <row r="71" spans="1:5">
      <c r="A71" s="13" t="s">
        <v>578</v>
      </c>
      <c r="B71" s="13" t="s">
        <v>558</v>
      </c>
      <c r="C71" s="13" t="s">
        <v>579</v>
      </c>
      <c r="D71" s="13">
        <v>2</v>
      </c>
      <c r="E71" s="13">
        <v>2</v>
      </c>
    </row>
    <row r="72" spans="1:5">
      <c r="A72" s="13" t="s">
        <v>580</v>
      </c>
      <c r="B72" s="13" t="s">
        <v>443</v>
      </c>
      <c r="C72" s="13" t="s">
        <v>581</v>
      </c>
      <c r="D72" s="13">
        <v>2</v>
      </c>
      <c r="E72" s="13">
        <v>2</v>
      </c>
    </row>
    <row r="73" spans="1:5">
      <c r="A73" s="13" t="s">
        <v>584</v>
      </c>
      <c r="B73" s="13" t="s">
        <v>568</v>
      </c>
      <c r="C73" s="13" t="s">
        <v>585</v>
      </c>
      <c r="D73" s="13">
        <v>2</v>
      </c>
      <c r="E73" s="13">
        <v>2</v>
      </c>
    </row>
    <row r="74" spans="1:5">
      <c r="A74" s="13" t="s">
        <v>586</v>
      </c>
      <c r="B74" s="13" t="s">
        <v>462</v>
      </c>
      <c r="C74" s="13" t="s">
        <v>587</v>
      </c>
      <c r="D74" s="13">
        <v>2</v>
      </c>
      <c r="E74" s="13">
        <v>2</v>
      </c>
    </row>
    <row r="75" spans="1:5">
      <c r="A75" s="13" t="s">
        <v>588</v>
      </c>
      <c r="B75" s="13" t="s">
        <v>474</v>
      </c>
      <c r="C75" s="13" t="s">
        <v>589</v>
      </c>
      <c r="D75" s="13">
        <v>2</v>
      </c>
      <c r="E75" s="13">
        <v>2</v>
      </c>
    </row>
    <row r="76" spans="1:5">
      <c r="A76" s="13" t="s">
        <v>590</v>
      </c>
      <c r="B76" s="13" t="s">
        <v>432</v>
      </c>
      <c r="C76" s="13" t="s">
        <v>591</v>
      </c>
      <c r="D76" s="13">
        <v>2</v>
      </c>
      <c r="E76" s="13">
        <v>2</v>
      </c>
    </row>
    <row r="77" spans="1:5">
      <c r="A77" s="13" t="s">
        <v>592</v>
      </c>
      <c r="B77" s="13" t="s">
        <v>499</v>
      </c>
      <c r="C77" s="13" t="s">
        <v>593</v>
      </c>
      <c r="D77" s="13">
        <v>2</v>
      </c>
      <c r="E77" s="13">
        <v>2</v>
      </c>
    </row>
    <row r="78" spans="1:5">
      <c r="A78" s="13" t="s">
        <v>598</v>
      </c>
      <c r="B78" s="13" t="s">
        <v>495</v>
      </c>
      <c r="C78" s="13" t="s">
        <v>599</v>
      </c>
      <c r="D78" s="13">
        <v>2</v>
      </c>
      <c r="E78" s="13">
        <v>2</v>
      </c>
    </row>
    <row r="79" spans="1:5">
      <c r="A79" s="13" t="s">
        <v>600</v>
      </c>
      <c r="B79" s="13" t="s">
        <v>432</v>
      </c>
      <c r="C79" s="13" t="s">
        <v>601</v>
      </c>
      <c r="D79" s="13">
        <v>2</v>
      </c>
      <c r="E79" s="13">
        <v>2</v>
      </c>
    </row>
    <row r="80" spans="1:5">
      <c r="A80" s="13" t="s">
        <v>602</v>
      </c>
      <c r="B80" s="13" t="s">
        <v>474</v>
      </c>
      <c r="C80" s="13" t="s">
        <v>603</v>
      </c>
      <c r="D80" s="13">
        <v>2</v>
      </c>
      <c r="E80" s="13">
        <v>2</v>
      </c>
    </row>
    <row r="81" spans="1:5">
      <c r="A81" s="13" t="s">
        <v>604</v>
      </c>
      <c r="B81" s="13" t="s">
        <v>606</v>
      </c>
      <c r="C81" s="13" t="s">
        <v>607</v>
      </c>
      <c r="D81" s="13">
        <v>2</v>
      </c>
      <c r="E81" s="13">
        <v>2</v>
      </c>
    </row>
    <row r="82" spans="1:5">
      <c r="A82" s="13" t="s">
        <v>610</v>
      </c>
      <c r="B82" s="13" t="s">
        <v>474</v>
      </c>
      <c r="C82" s="13" t="s">
        <v>611</v>
      </c>
      <c r="D82" s="13">
        <v>2</v>
      </c>
      <c r="E82" s="13">
        <v>2</v>
      </c>
    </row>
    <row r="83" spans="1:5">
      <c r="A83" s="13" t="s">
        <v>614</v>
      </c>
      <c r="B83" s="13" t="s">
        <v>462</v>
      </c>
      <c r="C83" s="13" t="s">
        <v>615</v>
      </c>
      <c r="D83" s="13">
        <v>2</v>
      </c>
      <c r="E83" s="13">
        <v>2</v>
      </c>
    </row>
    <row r="84" spans="1:5">
      <c r="A84" s="13" t="s">
        <v>616</v>
      </c>
      <c r="B84" s="13" t="s">
        <v>596</v>
      </c>
      <c r="C84" s="13" t="s">
        <v>617</v>
      </c>
      <c r="D84" s="13">
        <v>2</v>
      </c>
      <c r="E84" s="13">
        <v>2</v>
      </c>
    </row>
    <row r="85" spans="1:5">
      <c r="A85" s="13" t="s">
        <v>618</v>
      </c>
      <c r="B85" s="13" t="s">
        <v>436</v>
      </c>
      <c r="C85" s="13" t="s">
        <v>563</v>
      </c>
      <c r="D85" s="13">
        <v>2</v>
      </c>
      <c r="E85" s="13">
        <v>2</v>
      </c>
    </row>
    <row r="86" spans="1:5">
      <c r="A86" s="13" t="s">
        <v>619</v>
      </c>
      <c r="B86" s="13" t="s">
        <v>455</v>
      </c>
      <c r="C86" s="13" t="s">
        <v>620</v>
      </c>
      <c r="D86" s="13">
        <v>2</v>
      </c>
      <c r="E86" s="13">
        <v>2</v>
      </c>
    </row>
    <row r="87" spans="1:5">
      <c r="A87" s="13" t="s">
        <v>623</v>
      </c>
      <c r="B87" s="13" t="s">
        <v>455</v>
      </c>
      <c r="C87" s="13" t="s">
        <v>624</v>
      </c>
      <c r="D87" s="13">
        <v>2</v>
      </c>
      <c r="E87" s="13">
        <v>2</v>
      </c>
    </row>
    <row r="88" spans="1:5">
      <c r="A88" s="13" t="s">
        <v>629</v>
      </c>
      <c r="B88" s="13" t="s">
        <v>462</v>
      </c>
      <c r="C88" s="13" t="s">
        <v>630</v>
      </c>
      <c r="D88" s="13">
        <v>2</v>
      </c>
      <c r="E88" s="13">
        <v>2</v>
      </c>
    </row>
    <row r="89" spans="1:5">
      <c r="A89" s="13" t="s">
        <v>631</v>
      </c>
      <c r="B89" s="13" t="s">
        <v>596</v>
      </c>
      <c r="C89" s="13" t="s">
        <v>632</v>
      </c>
      <c r="D89" s="13">
        <v>2</v>
      </c>
      <c r="E89" s="13">
        <v>2</v>
      </c>
    </row>
    <row r="90" spans="1:5">
      <c r="A90" s="13" t="s">
        <v>633</v>
      </c>
      <c r="B90" s="13" t="s">
        <v>443</v>
      </c>
      <c r="C90" s="13" t="s">
        <v>634</v>
      </c>
      <c r="D90" s="13">
        <v>2</v>
      </c>
      <c r="E90" s="13">
        <v>2</v>
      </c>
    </row>
    <row r="91" spans="1:5">
      <c r="A91" s="13" t="s">
        <v>637</v>
      </c>
      <c r="B91" s="13" t="s">
        <v>639</v>
      </c>
      <c r="C91" s="13" t="s">
        <v>640</v>
      </c>
      <c r="D91" s="13">
        <v>2</v>
      </c>
      <c r="E91" s="13">
        <v>2</v>
      </c>
    </row>
    <row r="92" spans="1:5">
      <c r="A92" s="13" t="s">
        <v>643</v>
      </c>
      <c r="B92" s="13" t="s">
        <v>495</v>
      </c>
      <c r="C92" s="13" t="s">
        <v>644</v>
      </c>
      <c r="D92" s="13">
        <v>2</v>
      </c>
      <c r="E92" s="13">
        <v>2</v>
      </c>
    </row>
    <row r="93" spans="1:5">
      <c r="A93" s="13" t="s">
        <v>645</v>
      </c>
      <c r="B93" s="13" t="s">
        <v>462</v>
      </c>
      <c r="C93" s="13" t="s">
        <v>646</v>
      </c>
      <c r="D93" s="13">
        <v>2</v>
      </c>
      <c r="E93" s="13">
        <v>2</v>
      </c>
    </row>
    <row r="94" spans="1:5">
      <c r="A94" s="13" t="s">
        <v>647</v>
      </c>
      <c r="B94" s="13" t="s">
        <v>558</v>
      </c>
      <c r="C94" s="13" t="s">
        <v>648</v>
      </c>
      <c r="D94" s="13">
        <v>2</v>
      </c>
      <c r="E94" s="13">
        <v>2</v>
      </c>
    </row>
    <row r="95" spans="1:5">
      <c r="A95" s="13" t="s">
        <v>649</v>
      </c>
      <c r="B95" s="13" t="s">
        <v>474</v>
      </c>
      <c r="C95" s="13" t="s">
        <v>650</v>
      </c>
      <c r="D95" s="13">
        <v>2</v>
      </c>
      <c r="E95" s="13">
        <v>2</v>
      </c>
    </row>
    <row r="96" spans="1:5">
      <c r="A96" s="13" t="s">
        <v>653</v>
      </c>
      <c r="B96" s="13" t="s">
        <v>455</v>
      </c>
      <c r="C96" s="13" t="s">
        <v>654</v>
      </c>
      <c r="D96" s="13">
        <v>2</v>
      </c>
      <c r="E96" s="13">
        <v>2</v>
      </c>
    </row>
    <row r="97" spans="1:5">
      <c r="A97" s="13" t="s">
        <v>659</v>
      </c>
      <c r="B97" s="13" t="s">
        <v>455</v>
      </c>
      <c r="C97" s="13" t="s">
        <v>660</v>
      </c>
      <c r="D97" s="13">
        <v>2</v>
      </c>
      <c r="E97" s="13">
        <v>2</v>
      </c>
    </row>
    <row r="98" spans="1:5">
      <c r="A98" s="13" t="s">
        <v>661</v>
      </c>
      <c r="B98" s="13" t="s">
        <v>474</v>
      </c>
      <c r="C98" s="13" t="s">
        <v>662</v>
      </c>
      <c r="D98" s="13">
        <v>2</v>
      </c>
      <c r="E98" s="13">
        <v>2</v>
      </c>
    </row>
    <row r="99" spans="1:5">
      <c r="A99" s="13" t="s">
        <v>663</v>
      </c>
      <c r="B99" s="13" t="s">
        <v>432</v>
      </c>
      <c r="C99" s="13" t="s">
        <v>664</v>
      </c>
      <c r="D99" s="13">
        <v>2</v>
      </c>
      <c r="E99" s="13">
        <v>2</v>
      </c>
    </row>
    <row r="100" spans="1:5">
      <c r="A100" s="13" t="s">
        <v>671</v>
      </c>
      <c r="B100" s="13" t="s">
        <v>673</v>
      </c>
      <c r="C100" s="13" t="s">
        <v>674</v>
      </c>
      <c r="D100" s="13">
        <v>2</v>
      </c>
      <c r="E100" s="13">
        <v>2</v>
      </c>
    </row>
    <row r="101" spans="1:5">
      <c r="A101" s="13" t="s">
        <v>675</v>
      </c>
      <c r="B101" s="13" t="s">
        <v>677</v>
      </c>
      <c r="C101" s="13" t="s">
        <v>678</v>
      </c>
      <c r="D101" s="13">
        <v>2</v>
      </c>
      <c r="E101" s="13">
        <v>2</v>
      </c>
    </row>
    <row r="102" spans="1:5">
      <c r="A102" s="13" t="s">
        <v>681</v>
      </c>
      <c r="B102" s="13" t="s">
        <v>507</v>
      </c>
      <c r="C102" s="13" t="s">
        <v>682</v>
      </c>
      <c r="D102" s="13">
        <v>2</v>
      </c>
      <c r="E102" s="13">
        <v>2</v>
      </c>
    </row>
    <row r="103" spans="1:5">
      <c r="A103" s="13" t="s">
        <v>683</v>
      </c>
      <c r="B103" s="13" t="s">
        <v>558</v>
      </c>
      <c r="C103" s="13" t="s">
        <v>684</v>
      </c>
      <c r="D103" s="13">
        <v>2</v>
      </c>
      <c r="E103" s="13">
        <v>2</v>
      </c>
    </row>
    <row r="104" spans="1:5">
      <c r="A104" s="13" t="s">
        <v>685</v>
      </c>
      <c r="B104" s="13" t="s">
        <v>507</v>
      </c>
      <c r="C104" s="13" t="s">
        <v>686</v>
      </c>
      <c r="D104" s="13">
        <v>2</v>
      </c>
      <c r="E104" s="13">
        <v>2</v>
      </c>
    </row>
    <row r="105" spans="1:5">
      <c r="A105" s="13" t="s">
        <v>687</v>
      </c>
      <c r="B105" s="13" t="s">
        <v>462</v>
      </c>
      <c r="C105" s="13" t="s">
        <v>688</v>
      </c>
      <c r="D105" s="13">
        <v>2</v>
      </c>
      <c r="E105" s="13">
        <v>2</v>
      </c>
    </row>
    <row r="106" spans="1:5">
      <c r="A106" s="13" t="s">
        <v>689</v>
      </c>
      <c r="B106" s="13" t="s">
        <v>432</v>
      </c>
      <c r="C106" s="13" t="s">
        <v>690</v>
      </c>
      <c r="D106" s="13">
        <v>2</v>
      </c>
      <c r="E106" s="13">
        <v>2</v>
      </c>
    </row>
    <row r="107" spans="1:5">
      <c r="A107" s="13" t="s">
        <v>691</v>
      </c>
      <c r="B107" s="13" t="s">
        <v>436</v>
      </c>
      <c r="C107" s="13" t="s">
        <v>692</v>
      </c>
      <c r="D107" s="13">
        <v>2</v>
      </c>
      <c r="E107" s="13">
        <v>2</v>
      </c>
    </row>
    <row r="108" spans="1:5">
      <c r="A108" s="13" t="s">
        <v>693</v>
      </c>
      <c r="B108" s="13" t="s">
        <v>499</v>
      </c>
      <c r="C108" s="13" t="s">
        <v>694</v>
      </c>
      <c r="D108" s="13">
        <v>2</v>
      </c>
      <c r="E108" s="13">
        <v>2</v>
      </c>
    </row>
    <row r="109" spans="1:5">
      <c r="A109" s="13" t="s">
        <v>695</v>
      </c>
      <c r="B109" s="13" t="s">
        <v>462</v>
      </c>
      <c r="C109" s="13" t="s">
        <v>696</v>
      </c>
      <c r="D109" s="13">
        <v>2</v>
      </c>
      <c r="E109" s="13">
        <v>2</v>
      </c>
    </row>
    <row r="110" spans="1:5">
      <c r="A110" s="13" t="s">
        <v>697</v>
      </c>
      <c r="B110" s="13" t="s">
        <v>462</v>
      </c>
      <c r="C110" s="13" t="s">
        <v>698</v>
      </c>
      <c r="D110" s="13">
        <v>2</v>
      </c>
      <c r="E110" s="13">
        <v>2</v>
      </c>
    </row>
    <row r="111" spans="1:5">
      <c r="A111" s="13" t="s">
        <v>699</v>
      </c>
      <c r="B111" s="13" t="s">
        <v>455</v>
      </c>
      <c r="C111" s="13" t="s">
        <v>700</v>
      </c>
      <c r="D111" s="13">
        <v>2</v>
      </c>
      <c r="E111" s="13">
        <v>2</v>
      </c>
    </row>
    <row r="112" spans="1:5">
      <c r="A112" s="13" t="s">
        <v>701</v>
      </c>
      <c r="B112" s="13" t="s">
        <v>499</v>
      </c>
      <c r="C112" s="13" t="s">
        <v>702</v>
      </c>
      <c r="D112" s="13">
        <v>2</v>
      </c>
      <c r="E112" s="13">
        <v>1</v>
      </c>
    </row>
    <row r="113" spans="1:5">
      <c r="A113" s="13" t="s">
        <v>707</v>
      </c>
      <c r="B113" s="13" t="s">
        <v>558</v>
      </c>
      <c r="C113" s="13" t="s">
        <v>708</v>
      </c>
      <c r="D113" s="13">
        <v>2</v>
      </c>
      <c r="E113" s="13">
        <v>2</v>
      </c>
    </row>
    <row r="114" spans="1:5">
      <c r="A114" s="13" t="s">
        <v>709</v>
      </c>
      <c r="B114" s="13" t="s">
        <v>558</v>
      </c>
      <c r="C114" s="13" t="s">
        <v>710</v>
      </c>
      <c r="D114" s="13">
        <v>2</v>
      </c>
      <c r="E114" s="13">
        <v>2</v>
      </c>
    </row>
    <row r="115" spans="1:5">
      <c r="A115" s="13" t="s">
        <v>711</v>
      </c>
      <c r="B115" s="13" t="s">
        <v>462</v>
      </c>
      <c r="C115" s="13" t="s">
        <v>712</v>
      </c>
      <c r="D115" s="13">
        <v>2</v>
      </c>
      <c r="E115" s="13">
        <v>2</v>
      </c>
    </row>
    <row r="116" spans="1:5">
      <c r="A116" s="13" t="s">
        <v>713</v>
      </c>
      <c r="B116" s="13" t="s">
        <v>436</v>
      </c>
      <c r="C116" s="13" t="s">
        <v>714</v>
      </c>
      <c r="D116" s="13">
        <v>2</v>
      </c>
      <c r="E116" s="13">
        <v>2</v>
      </c>
    </row>
    <row r="117" spans="1:5">
      <c r="A117" s="13" t="s">
        <v>723</v>
      </c>
      <c r="B117" s="13" t="s">
        <v>436</v>
      </c>
      <c r="C117" s="13" t="s">
        <v>724</v>
      </c>
      <c r="D117" s="13">
        <v>2</v>
      </c>
      <c r="E117" s="13">
        <v>2</v>
      </c>
    </row>
    <row r="118" spans="1:5">
      <c r="A118" s="13" t="s">
        <v>727</v>
      </c>
      <c r="B118" s="13" t="s">
        <v>558</v>
      </c>
      <c r="C118" s="13" t="s">
        <v>728</v>
      </c>
      <c r="D118" s="13">
        <v>2</v>
      </c>
      <c r="E118" s="13">
        <v>2</v>
      </c>
    </row>
    <row r="119" spans="1:5">
      <c r="A119" s="13" t="s">
        <v>729</v>
      </c>
      <c r="B119" s="13" t="s">
        <v>468</v>
      </c>
      <c r="C119" s="13" t="s">
        <v>730</v>
      </c>
      <c r="D119" s="13">
        <v>2</v>
      </c>
      <c r="E119" s="13">
        <v>2</v>
      </c>
    </row>
    <row r="120" spans="1:5">
      <c r="A120" s="13" t="s">
        <v>731</v>
      </c>
      <c r="B120" s="13" t="s">
        <v>462</v>
      </c>
      <c r="C120" s="13" t="s">
        <v>732</v>
      </c>
      <c r="D120" s="13">
        <v>2</v>
      </c>
      <c r="E120" s="13">
        <v>2</v>
      </c>
    </row>
    <row r="121" spans="1:5">
      <c r="A121" s="13" t="s">
        <v>733</v>
      </c>
      <c r="B121" s="13" t="s">
        <v>596</v>
      </c>
      <c r="C121" s="13" t="s">
        <v>734</v>
      </c>
      <c r="D121" s="13">
        <v>2</v>
      </c>
      <c r="E121" s="13">
        <v>2</v>
      </c>
    </row>
    <row r="122" spans="1:5">
      <c r="A122" s="13" t="s">
        <v>737</v>
      </c>
      <c r="B122" s="13" t="s">
        <v>455</v>
      </c>
      <c r="C122" s="13" t="s">
        <v>738</v>
      </c>
      <c r="D122" s="13">
        <v>2</v>
      </c>
      <c r="E122" s="13">
        <v>2</v>
      </c>
    </row>
    <row r="123" spans="1:5">
      <c r="A123" s="13" t="s">
        <v>739</v>
      </c>
      <c r="B123" s="13" t="s">
        <v>568</v>
      </c>
      <c r="C123" s="13" t="s">
        <v>740</v>
      </c>
      <c r="D123" s="13">
        <v>2</v>
      </c>
      <c r="E123" s="13">
        <v>2</v>
      </c>
    </row>
    <row r="124" spans="1:5">
      <c r="A124" s="13" t="s">
        <v>741</v>
      </c>
      <c r="B124" s="13" t="s">
        <v>468</v>
      </c>
      <c r="C124" s="13" t="s">
        <v>742</v>
      </c>
      <c r="D124" s="13">
        <v>2</v>
      </c>
      <c r="E124" s="13">
        <v>2</v>
      </c>
    </row>
    <row r="125" spans="1:5">
      <c r="A125" s="13" t="s">
        <v>747</v>
      </c>
      <c r="B125" s="13" t="s">
        <v>507</v>
      </c>
      <c r="C125" s="13" t="s">
        <v>748</v>
      </c>
      <c r="D125" s="13">
        <v>2</v>
      </c>
      <c r="E125" s="13">
        <v>2</v>
      </c>
    </row>
    <row r="126" spans="1:5">
      <c r="A126" s="13" t="s">
        <v>750</v>
      </c>
      <c r="B126" s="13" t="s">
        <v>481</v>
      </c>
      <c r="C126" s="13" t="s">
        <v>751</v>
      </c>
      <c r="D126" s="13">
        <v>2</v>
      </c>
      <c r="E126" s="13">
        <v>2</v>
      </c>
    </row>
    <row r="127" spans="1:5">
      <c r="A127" s="13" t="s">
        <v>754</v>
      </c>
      <c r="B127" s="13" t="s">
        <v>462</v>
      </c>
      <c r="C127" s="13" t="s">
        <v>755</v>
      </c>
      <c r="D127" s="13">
        <v>2</v>
      </c>
      <c r="E127" s="13">
        <v>2</v>
      </c>
    </row>
    <row r="128" spans="1:5">
      <c r="A128" s="13" t="s">
        <v>756</v>
      </c>
      <c r="B128" s="13" t="s">
        <v>462</v>
      </c>
      <c r="C128" s="13" t="s">
        <v>757</v>
      </c>
      <c r="D128" s="13">
        <v>2</v>
      </c>
      <c r="E128" s="13">
        <v>2</v>
      </c>
    </row>
    <row r="129" spans="1:5">
      <c r="A129" s="13" t="s">
        <v>760</v>
      </c>
      <c r="B129" s="13" t="s">
        <v>507</v>
      </c>
      <c r="C129" s="13" t="s">
        <v>761</v>
      </c>
      <c r="D129" s="13">
        <v>2</v>
      </c>
      <c r="E129" s="13">
        <v>2</v>
      </c>
    </row>
    <row r="130" spans="1:5">
      <c r="A130" s="13" t="s">
        <v>762</v>
      </c>
      <c r="B130" s="13" t="s">
        <v>673</v>
      </c>
      <c r="C130" s="13" t="s">
        <v>763</v>
      </c>
      <c r="D130" s="13">
        <v>2</v>
      </c>
      <c r="E130" s="13">
        <v>2</v>
      </c>
    </row>
    <row r="131" spans="1:5">
      <c r="A131" s="13" t="s">
        <v>778</v>
      </c>
      <c r="B131" s="13" t="s">
        <v>443</v>
      </c>
      <c r="C131" s="13" t="s">
        <v>779</v>
      </c>
      <c r="D131" s="13">
        <v>2</v>
      </c>
      <c r="E131" s="13">
        <v>2</v>
      </c>
    </row>
    <row r="132" spans="1:5">
      <c r="A132" s="13" t="s">
        <v>780</v>
      </c>
      <c r="B132" s="13" t="s">
        <v>436</v>
      </c>
      <c r="C132" s="13" t="s">
        <v>781</v>
      </c>
      <c r="D132" s="13">
        <v>2</v>
      </c>
      <c r="E132" s="13">
        <v>2</v>
      </c>
    </row>
    <row r="133" spans="1:5">
      <c r="A133" s="13" t="s">
        <v>782</v>
      </c>
      <c r="B133" s="13" t="s">
        <v>462</v>
      </c>
      <c r="C133" s="13" t="s">
        <v>783</v>
      </c>
      <c r="D133" s="13">
        <v>2</v>
      </c>
      <c r="E133" s="13">
        <v>2</v>
      </c>
    </row>
    <row r="134" spans="1:5">
      <c r="A134" s="13" t="s">
        <v>784</v>
      </c>
      <c r="B134" s="13" t="s">
        <v>432</v>
      </c>
      <c r="C134" s="13" t="s">
        <v>785</v>
      </c>
      <c r="D134" s="13">
        <v>2</v>
      </c>
      <c r="E134" s="13">
        <v>2</v>
      </c>
    </row>
    <row r="135" spans="1:5">
      <c r="A135" s="13" t="s">
        <v>786</v>
      </c>
      <c r="B135" s="13" t="s">
        <v>462</v>
      </c>
      <c r="C135" s="13" t="s">
        <v>787</v>
      </c>
      <c r="D135" s="13">
        <v>2</v>
      </c>
      <c r="E135" s="13">
        <v>2</v>
      </c>
    </row>
    <row r="136" spans="1:5">
      <c r="A136" s="13" t="s">
        <v>788</v>
      </c>
      <c r="B136" s="13" t="s">
        <v>518</v>
      </c>
      <c r="C136" s="13" t="s">
        <v>789</v>
      </c>
      <c r="D136" s="13">
        <v>2</v>
      </c>
      <c r="E136" s="13">
        <v>2</v>
      </c>
    </row>
    <row r="137" spans="1:5">
      <c r="A137" s="13" t="s">
        <v>795</v>
      </c>
      <c r="B137" s="13" t="s">
        <v>677</v>
      </c>
      <c r="C137" s="13" t="s">
        <v>796</v>
      </c>
      <c r="D137" s="13">
        <v>2</v>
      </c>
      <c r="E137" s="13">
        <v>2</v>
      </c>
    </row>
    <row r="138" spans="1:5">
      <c r="A138" s="13" t="s">
        <v>797</v>
      </c>
      <c r="B138" s="13" t="s">
        <v>518</v>
      </c>
      <c r="C138" s="13" t="s">
        <v>798</v>
      </c>
      <c r="D138" s="13">
        <v>2</v>
      </c>
      <c r="E138" s="13">
        <v>2</v>
      </c>
    </row>
    <row r="139" spans="1:5">
      <c r="A139" s="13" t="s">
        <v>801</v>
      </c>
      <c r="B139" s="13" t="s">
        <v>606</v>
      </c>
      <c r="C139" s="13" t="s">
        <v>802</v>
      </c>
      <c r="D139" s="13">
        <v>2</v>
      </c>
      <c r="E139" s="13">
        <v>2</v>
      </c>
    </row>
    <row r="140" spans="1:5">
      <c r="A140" s="13" t="s">
        <v>803</v>
      </c>
      <c r="B140" s="13" t="s">
        <v>462</v>
      </c>
      <c r="C140" s="13" t="s">
        <v>759</v>
      </c>
      <c r="D140" s="13">
        <v>2</v>
      </c>
      <c r="E140" s="13">
        <v>2</v>
      </c>
    </row>
    <row r="141" spans="1:5">
      <c r="A141" s="13" t="s">
        <v>804</v>
      </c>
      <c r="B141" s="13" t="s">
        <v>462</v>
      </c>
      <c r="C141" s="13" t="s">
        <v>805</v>
      </c>
      <c r="D141" s="13">
        <v>2</v>
      </c>
      <c r="E141" s="13">
        <v>2</v>
      </c>
    </row>
    <row r="142" spans="1:5">
      <c r="A142" s="13" t="s">
        <v>808</v>
      </c>
      <c r="B142" s="13" t="s">
        <v>462</v>
      </c>
      <c r="C142" s="13" t="s">
        <v>802</v>
      </c>
      <c r="D142" s="13">
        <v>2</v>
      </c>
      <c r="E142" s="13">
        <v>2</v>
      </c>
    </row>
    <row r="143" spans="1:5">
      <c r="A143" s="13" t="s">
        <v>813</v>
      </c>
      <c r="B143" s="13" t="s">
        <v>455</v>
      </c>
      <c r="C143" s="13" t="s">
        <v>814</v>
      </c>
      <c r="D143" s="13">
        <v>2</v>
      </c>
      <c r="E143" s="13">
        <v>2</v>
      </c>
    </row>
    <row r="144" spans="1:5">
      <c r="A144" s="13" t="s">
        <v>830</v>
      </c>
      <c r="B144" s="13" t="s">
        <v>436</v>
      </c>
      <c r="C144" s="13" t="s">
        <v>831</v>
      </c>
      <c r="D144" s="13">
        <v>2</v>
      </c>
      <c r="E144" s="13">
        <v>2</v>
      </c>
    </row>
    <row r="145" spans="1:5">
      <c r="A145" s="13" t="s">
        <v>840</v>
      </c>
      <c r="B145" s="13" t="s">
        <v>462</v>
      </c>
      <c r="C145" s="13" t="s">
        <v>841</v>
      </c>
      <c r="D145" s="13">
        <v>2</v>
      </c>
      <c r="E145" s="13">
        <v>2</v>
      </c>
    </row>
    <row r="146" spans="1:5">
      <c r="A146" s="13" t="s">
        <v>852</v>
      </c>
      <c r="B146" s="13" t="s">
        <v>474</v>
      </c>
      <c r="C146" s="13" t="s">
        <v>853</v>
      </c>
      <c r="D146" s="13">
        <v>2</v>
      </c>
      <c r="E146" s="13">
        <v>2</v>
      </c>
    </row>
    <row r="147" spans="1:5">
      <c r="A147" s="13" t="s">
        <v>854</v>
      </c>
      <c r="B147" s="13" t="s">
        <v>507</v>
      </c>
      <c r="C147" s="13" t="s">
        <v>855</v>
      </c>
      <c r="D147" s="13">
        <v>2</v>
      </c>
      <c r="E147" s="13">
        <v>2</v>
      </c>
    </row>
    <row r="148" spans="1:5">
      <c r="A148" s="13" t="s">
        <v>856</v>
      </c>
      <c r="B148" s="13" t="s">
        <v>507</v>
      </c>
      <c r="C148" s="13" t="s">
        <v>468</v>
      </c>
      <c r="D148" s="13">
        <v>2</v>
      </c>
      <c r="E148" s="13">
        <v>2</v>
      </c>
    </row>
    <row r="149" spans="1:5">
      <c r="A149" s="13" t="s">
        <v>857</v>
      </c>
      <c r="B149" s="13" t="s">
        <v>568</v>
      </c>
      <c r="C149" s="13" t="s">
        <v>858</v>
      </c>
      <c r="D149" s="13">
        <v>2</v>
      </c>
      <c r="E149" s="13">
        <v>2</v>
      </c>
    </row>
    <row r="150" spans="1:5">
      <c r="A150" s="13" t="s">
        <v>859</v>
      </c>
      <c r="B150" s="13" t="s">
        <v>495</v>
      </c>
      <c r="C150" s="13" t="s">
        <v>860</v>
      </c>
      <c r="D150" s="13">
        <v>2</v>
      </c>
      <c r="E150" s="13">
        <v>2</v>
      </c>
    </row>
    <row r="151" spans="1:5">
      <c r="A151" s="13" t="s">
        <v>861</v>
      </c>
      <c r="B151" s="13" t="s">
        <v>462</v>
      </c>
      <c r="C151" s="13" t="s">
        <v>862</v>
      </c>
      <c r="D151" s="13">
        <v>2</v>
      </c>
      <c r="E151" s="13">
        <v>2</v>
      </c>
    </row>
    <row r="152" spans="1:5">
      <c r="A152" s="13" t="s">
        <v>863</v>
      </c>
      <c r="B152" s="13" t="s">
        <v>462</v>
      </c>
      <c r="C152" s="13" t="s">
        <v>864</v>
      </c>
      <c r="D152" s="13">
        <v>2</v>
      </c>
      <c r="E152" s="13">
        <v>2</v>
      </c>
    </row>
    <row r="153" spans="1:5">
      <c r="A153" s="13" t="s">
        <v>873</v>
      </c>
      <c r="B153" s="13" t="s">
        <v>436</v>
      </c>
      <c r="C153" s="13" t="s">
        <v>874</v>
      </c>
      <c r="D153" s="13">
        <v>2</v>
      </c>
      <c r="E153" s="13">
        <v>2</v>
      </c>
    </row>
    <row r="154" spans="1:5">
      <c r="A154" s="13" t="s">
        <v>875</v>
      </c>
      <c r="B154" s="13" t="s">
        <v>462</v>
      </c>
      <c r="C154" s="13" t="s">
        <v>876</v>
      </c>
      <c r="D154" s="13">
        <v>2</v>
      </c>
      <c r="E154" s="13">
        <v>2</v>
      </c>
    </row>
    <row r="155" spans="1:5">
      <c r="A155" s="13" t="s">
        <v>883</v>
      </c>
      <c r="B155" s="13" t="s">
        <v>462</v>
      </c>
      <c r="C155" s="13" t="s">
        <v>884</v>
      </c>
      <c r="D155" s="13">
        <v>2</v>
      </c>
      <c r="E155" s="13">
        <v>2</v>
      </c>
    </row>
    <row r="156" spans="1:5">
      <c r="A156" s="13" t="s">
        <v>885</v>
      </c>
      <c r="B156" s="13" t="s">
        <v>673</v>
      </c>
      <c r="C156" s="13" t="s">
        <v>673</v>
      </c>
      <c r="D156" s="13">
        <v>2</v>
      </c>
      <c r="E156" s="13">
        <v>2</v>
      </c>
    </row>
    <row r="157" spans="1:5">
      <c r="A157" s="13" t="s">
        <v>886</v>
      </c>
      <c r="B157" s="13" t="s">
        <v>443</v>
      </c>
      <c r="C157" s="13" t="s">
        <v>887</v>
      </c>
      <c r="D157" s="13">
        <v>2</v>
      </c>
      <c r="E157" s="13">
        <v>2</v>
      </c>
    </row>
    <row r="158" spans="1:5">
      <c r="A158" s="13" t="s">
        <v>890</v>
      </c>
      <c r="B158" s="13" t="s">
        <v>596</v>
      </c>
      <c r="C158" s="13" t="s">
        <v>891</v>
      </c>
      <c r="D158" s="13">
        <v>2</v>
      </c>
      <c r="E158" s="13">
        <v>2</v>
      </c>
    </row>
    <row r="159" spans="1:5">
      <c r="A159" s="13" t="s">
        <v>892</v>
      </c>
      <c r="B159" s="13" t="s">
        <v>894</v>
      </c>
      <c r="C159" s="13" t="s">
        <v>895</v>
      </c>
      <c r="D159" s="13">
        <v>2</v>
      </c>
      <c r="E159" s="13">
        <v>2</v>
      </c>
    </row>
    <row r="160" spans="1:5">
      <c r="A160" s="13" t="s">
        <v>916</v>
      </c>
      <c r="B160" s="13" t="s">
        <v>596</v>
      </c>
      <c r="C160" s="13" t="s">
        <v>917</v>
      </c>
      <c r="D160" s="13">
        <v>2</v>
      </c>
      <c r="E160" s="13">
        <v>2</v>
      </c>
    </row>
    <row r="161" spans="1:5">
      <c r="A161" s="13" t="s">
        <v>918</v>
      </c>
      <c r="B161" s="13" t="s">
        <v>507</v>
      </c>
      <c r="C161" s="13" t="s">
        <v>919</v>
      </c>
      <c r="D161" s="13">
        <v>2</v>
      </c>
      <c r="E161" s="13">
        <v>2</v>
      </c>
    </row>
    <row r="162" spans="1:5">
      <c r="A162" s="13" t="s">
        <v>922</v>
      </c>
      <c r="B162" s="13" t="s">
        <v>499</v>
      </c>
      <c r="C162" s="13" t="s">
        <v>923</v>
      </c>
      <c r="D162" s="13">
        <v>2</v>
      </c>
      <c r="E162" s="13">
        <v>2</v>
      </c>
    </row>
    <row r="163" spans="1:5">
      <c r="A163" s="13" t="s">
        <v>924</v>
      </c>
      <c r="B163" s="13" t="s">
        <v>499</v>
      </c>
      <c r="C163" s="13" t="s">
        <v>925</v>
      </c>
      <c r="D163" s="13">
        <v>2</v>
      </c>
      <c r="E163" s="13">
        <v>2</v>
      </c>
    </row>
    <row r="164" spans="1:5">
      <c r="A164" s="13" t="s">
        <v>930</v>
      </c>
      <c r="B164" s="13" t="s">
        <v>462</v>
      </c>
      <c r="C164" s="13" t="s">
        <v>931</v>
      </c>
      <c r="D164" s="13">
        <v>2</v>
      </c>
      <c r="E164" s="13">
        <v>2</v>
      </c>
    </row>
    <row r="165" spans="1:5">
      <c r="A165" s="13" t="s">
        <v>955</v>
      </c>
      <c r="B165" s="13" t="s">
        <v>934</v>
      </c>
      <c r="C165" s="13" t="s">
        <v>720</v>
      </c>
      <c r="D165" s="13">
        <v>2</v>
      </c>
      <c r="E165" s="13">
        <v>3</v>
      </c>
    </row>
    <row r="166" spans="1:5">
      <c r="A166" s="13" t="s">
        <v>958</v>
      </c>
      <c r="B166" s="13" t="s">
        <v>499</v>
      </c>
      <c r="C166" s="13" t="s">
        <v>959</v>
      </c>
      <c r="D166" s="13">
        <v>2</v>
      </c>
      <c r="E166" s="13">
        <v>2</v>
      </c>
    </row>
    <row r="167" spans="1:5">
      <c r="A167" s="13" t="s">
        <v>960</v>
      </c>
      <c r="B167" s="13" t="s">
        <v>462</v>
      </c>
      <c r="C167" s="13" t="s">
        <v>961</v>
      </c>
      <c r="D167" s="13">
        <v>2</v>
      </c>
      <c r="E167" s="13">
        <v>2</v>
      </c>
    </row>
    <row r="168" spans="1:5">
      <c r="A168" s="13" t="s">
        <v>966</v>
      </c>
      <c r="B168" s="13" t="s">
        <v>462</v>
      </c>
      <c r="C168" s="13" t="s">
        <v>967</v>
      </c>
      <c r="D168" s="13">
        <v>2</v>
      </c>
      <c r="E168" s="13">
        <v>2</v>
      </c>
    </row>
    <row r="169" spans="1:5">
      <c r="A169" s="13" t="s">
        <v>972</v>
      </c>
      <c r="B169" s="13" t="s">
        <v>934</v>
      </c>
      <c r="C169" s="13" t="s">
        <v>973</v>
      </c>
      <c r="D169" s="13">
        <v>2</v>
      </c>
      <c r="E169" s="13">
        <v>2</v>
      </c>
    </row>
    <row r="170" spans="1:5">
      <c r="A170" s="13" t="s">
        <v>976</v>
      </c>
      <c r="B170" s="13" t="s">
        <v>462</v>
      </c>
      <c r="C170" s="13" t="s">
        <v>977</v>
      </c>
      <c r="D170" s="13">
        <v>2</v>
      </c>
      <c r="E170" s="13">
        <v>2</v>
      </c>
    </row>
    <row r="171" spans="1:5">
      <c r="A171" s="13" t="s">
        <v>990</v>
      </c>
      <c r="B171" s="13" t="s">
        <v>499</v>
      </c>
      <c r="C171" s="13" t="s">
        <v>991</v>
      </c>
      <c r="D171" s="13">
        <v>2</v>
      </c>
      <c r="E171" s="13">
        <v>2</v>
      </c>
    </row>
    <row r="172" spans="1:5">
      <c r="A172" s="13" t="s">
        <v>998</v>
      </c>
      <c r="B172" s="13" t="s">
        <v>499</v>
      </c>
      <c r="C172" s="13" t="s">
        <v>999</v>
      </c>
      <c r="D172" s="13">
        <v>2</v>
      </c>
      <c r="E172" s="13">
        <v>3</v>
      </c>
    </row>
    <row r="173" spans="1:5">
      <c r="A173" s="13" t="s">
        <v>1008</v>
      </c>
      <c r="B173" s="13" t="s">
        <v>677</v>
      </c>
      <c r="C173" s="13" t="s">
        <v>1009</v>
      </c>
      <c r="D173" s="13">
        <v>2</v>
      </c>
      <c r="E173" s="13">
        <v>2</v>
      </c>
    </row>
    <row r="174" spans="1:5">
      <c r="A174" s="13" t="s">
        <v>1014</v>
      </c>
      <c r="B174" s="13" t="s">
        <v>518</v>
      </c>
      <c r="C174" s="13" t="s">
        <v>1015</v>
      </c>
      <c r="D174" s="13">
        <v>2</v>
      </c>
      <c r="E174" s="13">
        <v>2</v>
      </c>
    </row>
    <row r="175" spans="1:5">
      <c r="A175" s="13" t="s">
        <v>1016</v>
      </c>
      <c r="B175" s="13" t="s">
        <v>499</v>
      </c>
      <c r="C175" s="13" t="s">
        <v>499</v>
      </c>
      <c r="D175" s="13">
        <v>2</v>
      </c>
      <c r="E175" s="13">
        <v>2</v>
      </c>
    </row>
    <row r="176" spans="1:5">
      <c r="A176" s="13" t="s">
        <v>1017</v>
      </c>
      <c r="B176" s="13" t="s">
        <v>499</v>
      </c>
      <c r="C176" s="13" t="s">
        <v>1018</v>
      </c>
      <c r="D176" s="13">
        <v>2</v>
      </c>
      <c r="E176" s="13">
        <v>2</v>
      </c>
    </row>
    <row r="177" spans="1:5">
      <c r="A177" s="13" t="s">
        <v>1019</v>
      </c>
      <c r="B177" s="13" t="s">
        <v>432</v>
      </c>
      <c r="C177" s="13" t="s">
        <v>1020</v>
      </c>
      <c r="D177" s="13">
        <v>2</v>
      </c>
      <c r="E177" s="13">
        <v>2</v>
      </c>
    </row>
    <row r="178" spans="1:5">
      <c r="A178" s="13" t="s">
        <v>1029</v>
      </c>
      <c r="B178" s="13" t="s">
        <v>499</v>
      </c>
      <c r="C178" s="13" t="s">
        <v>1030</v>
      </c>
      <c r="D178" s="13">
        <v>2</v>
      </c>
      <c r="E178" s="13">
        <v>2</v>
      </c>
    </row>
    <row r="179" spans="1:5">
      <c r="A179" s="13" t="s">
        <v>1043</v>
      </c>
      <c r="B179" s="13" t="s">
        <v>462</v>
      </c>
      <c r="C179" s="13" t="s">
        <v>1044</v>
      </c>
      <c r="D179" s="13">
        <v>2</v>
      </c>
      <c r="E179" s="13">
        <v>2</v>
      </c>
    </row>
    <row r="180" spans="1:5">
      <c r="A180" s="13" t="s">
        <v>1055</v>
      </c>
      <c r="B180" s="13" t="s">
        <v>432</v>
      </c>
      <c r="C180" s="13" t="s">
        <v>1056</v>
      </c>
      <c r="D180" s="13">
        <v>2</v>
      </c>
      <c r="E180" s="13">
        <v>2</v>
      </c>
    </row>
    <row r="181" spans="1:5">
      <c r="A181" s="13" t="s">
        <v>1059</v>
      </c>
      <c r="B181" s="13" t="s">
        <v>677</v>
      </c>
      <c r="C181" s="13" t="s">
        <v>1060</v>
      </c>
      <c r="D181" s="13">
        <v>2</v>
      </c>
      <c r="E181" s="13">
        <v>2</v>
      </c>
    </row>
    <row r="182" spans="1:5">
      <c r="A182" s="13" t="s">
        <v>1065</v>
      </c>
      <c r="B182" s="13" t="s">
        <v>499</v>
      </c>
      <c r="C182" s="13" t="s">
        <v>1066</v>
      </c>
      <c r="D182" s="13">
        <v>2</v>
      </c>
      <c r="E182" s="13">
        <v>2</v>
      </c>
    </row>
    <row r="183" spans="1:5">
      <c r="A183" s="13" t="s">
        <v>1084</v>
      </c>
      <c r="B183" s="13" t="s">
        <v>462</v>
      </c>
      <c r="C183" s="13" t="s">
        <v>1085</v>
      </c>
      <c r="D183" s="13">
        <v>2</v>
      </c>
      <c r="E183" s="13">
        <v>2</v>
      </c>
    </row>
    <row r="184" spans="1:5">
      <c r="A184" s="13" t="s">
        <v>1091</v>
      </c>
      <c r="B184" s="13" t="s">
        <v>499</v>
      </c>
      <c r="C184" s="13" t="s">
        <v>1092</v>
      </c>
      <c r="D184" s="13">
        <v>2</v>
      </c>
      <c r="E184" s="13">
        <v>2</v>
      </c>
    </row>
    <row r="185" spans="1:5">
      <c r="A185" s="13" t="s">
        <v>1121</v>
      </c>
      <c r="B185" s="13" t="s">
        <v>455</v>
      </c>
      <c r="C185" s="13" t="s">
        <v>1122</v>
      </c>
      <c r="D185" s="13">
        <v>2</v>
      </c>
      <c r="E185" s="13">
        <v>2</v>
      </c>
    </row>
    <row r="186" spans="1:5">
      <c r="A186" s="13" t="s">
        <v>1131</v>
      </c>
      <c r="B186" s="13" t="s">
        <v>481</v>
      </c>
      <c r="C186" s="13" t="s">
        <v>1132</v>
      </c>
      <c r="D186" s="13">
        <v>2</v>
      </c>
      <c r="E186" s="13">
        <v>3</v>
      </c>
    </row>
    <row r="187" spans="1:5">
      <c r="A187" s="13" t="s">
        <v>1139</v>
      </c>
      <c r="B187" s="13" t="s">
        <v>462</v>
      </c>
      <c r="C187" s="13" t="s">
        <v>1140</v>
      </c>
      <c r="D187" s="13">
        <v>2</v>
      </c>
      <c r="E187" s="13">
        <v>2</v>
      </c>
    </row>
    <row r="188" spans="1:5">
      <c r="A188" s="13" t="s">
        <v>1143</v>
      </c>
      <c r="B188" s="13" t="s">
        <v>462</v>
      </c>
      <c r="C188" s="13" t="s">
        <v>1144</v>
      </c>
      <c r="D188" s="13">
        <v>2</v>
      </c>
      <c r="E188" s="13">
        <v>2</v>
      </c>
    </row>
    <row r="189" spans="1:5">
      <c r="A189" s="13" t="s">
        <v>1154</v>
      </c>
      <c r="B189" s="13" t="s">
        <v>462</v>
      </c>
      <c r="C189" s="13" t="s">
        <v>1155</v>
      </c>
      <c r="D189" s="13">
        <v>2</v>
      </c>
      <c r="E189" s="13">
        <v>2</v>
      </c>
    </row>
    <row r="190" spans="1:5">
      <c r="A190" s="13" t="s">
        <v>1172</v>
      </c>
      <c r="B190" s="13" t="s">
        <v>499</v>
      </c>
      <c r="C190" s="13" t="s">
        <v>1173</v>
      </c>
      <c r="D190" s="13">
        <v>2</v>
      </c>
      <c r="E190" s="13">
        <v>2</v>
      </c>
    </row>
    <row r="191" spans="1:5">
      <c r="A191" s="13" t="s">
        <v>1178</v>
      </c>
      <c r="B191" s="13" t="s">
        <v>606</v>
      </c>
      <c r="C191" s="13" t="s">
        <v>1179</v>
      </c>
      <c r="D191" s="13">
        <v>2</v>
      </c>
      <c r="E191" s="13">
        <v>2</v>
      </c>
    </row>
    <row r="192" spans="1:5">
      <c r="A192" s="13" t="s">
        <v>1204</v>
      </c>
      <c r="B192" s="13" t="s">
        <v>432</v>
      </c>
      <c r="C192" s="13" t="s">
        <v>1205</v>
      </c>
      <c r="D192" s="13">
        <v>2</v>
      </c>
      <c r="E192" s="13">
        <v>2</v>
      </c>
    </row>
    <row r="193" spans="1:5">
      <c r="A193" s="13" t="s">
        <v>1212</v>
      </c>
      <c r="B193" s="13" t="s">
        <v>436</v>
      </c>
      <c r="C193" s="13" t="s">
        <v>1213</v>
      </c>
      <c r="D193" s="13">
        <v>2</v>
      </c>
      <c r="E193" s="13">
        <v>2</v>
      </c>
    </row>
    <row r="194" spans="1:5">
      <c r="A194" s="13" t="s">
        <v>1243</v>
      </c>
      <c r="B194" s="13" t="s">
        <v>432</v>
      </c>
      <c r="C194" s="13" t="s">
        <v>1244</v>
      </c>
      <c r="D194" s="13">
        <v>2</v>
      </c>
      <c r="E194" s="13">
        <v>2</v>
      </c>
    </row>
    <row r="195" spans="1:5">
      <c r="A195" s="13" t="s">
        <v>1249</v>
      </c>
      <c r="B195" s="13" t="s">
        <v>499</v>
      </c>
      <c r="C195" s="13" t="s">
        <v>1250</v>
      </c>
      <c r="D195" s="13">
        <v>2</v>
      </c>
      <c r="E195" s="13">
        <v>2</v>
      </c>
    </row>
    <row r="196" spans="1:5">
      <c r="A196" s="13" t="s">
        <v>1285</v>
      </c>
      <c r="B196" s="13" t="s">
        <v>462</v>
      </c>
      <c r="C196" s="13" t="s">
        <v>1286</v>
      </c>
      <c r="D196" s="13">
        <v>2</v>
      </c>
      <c r="E196" s="13">
        <v>2</v>
      </c>
    </row>
    <row r="197" spans="1:5">
      <c r="A197" s="13" t="s">
        <v>1297</v>
      </c>
      <c r="B197" s="13" t="s">
        <v>677</v>
      </c>
      <c r="C197" s="13" t="s">
        <v>1298</v>
      </c>
      <c r="D197" s="13">
        <v>2</v>
      </c>
      <c r="E197" s="13">
        <v>2</v>
      </c>
    </row>
    <row r="198" spans="1:5">
      <c r="A198" s="13" t="s">
        <v>1312</v>
      </c>
      <c r="B198" s="13" t="s">
        <v>499</v>
      </c>
      <c r="C198" s="13" t="s">
        <v>1313</v>
      </c>
      <c r="D198" s="13">
        <v>2</v>
      </c>
      <c r="E198" s="13">
        <v>2</v>
      </c>
    </row>
    <row r="199" spans="1:5">
      <c r="A199" s="13" t="s">
        <v>1324</v>
      </c>
      <c r="B199" s="13" t="s">
        <v>558</v>
      </c>
      <c r="C199" s="13" t="s">
        <v>1325</v>
      </c>
      <c r="D199" s="13">
        <v>2</v>
      </c>
      <c r="E199" s="13">
        <v>2</v>
      </c>
    </row>
    <row r="200" spans="1:5">
      <c r="A200" s="13" t="s">
        <v>1332</v>
      </c>
      <c r="B200" s="13" t="s">
        <v>894</v>
      </c>
      <c r="C200" s="13" t="s">
        <v>1333</v>
      </c>
      <c r="D200" s="13">
        <v>2</v>
      </c>
      <c r="E200" s="13">
        <v>2</v>
      </c>
    </row>
    <row r="201" spans="1:5">
      <c r="A201" s="13" t="s">
        <v>1350</v>
      </c>
      <c r="B201" s="13" t="s">
        <v>1352</v>
      </c>
      <c r="C201" s="13" t="s">
        <v>1353</v>
      </c>
      <c r="D201" s="13">
        <v>2</v>
      </c>
      <c r="E201" s="13">
        <v>2</v>
      </c>
    </row>
    <row r="202" spans="1:5">
      <c r="A202" s="13" t="s">
        <v>1375</v>
      </c>
      <c r="B202" s="13" t="s">
        <v>436</v>
      </c>
      <c r="C202" s="13" t="s">
        <v>1376</v>
      </c>
      <c r="D202" s="13">
        <v>2</v>
      </c>
      <c r="E202" s="13">
        <v>2</v>
      </c>
    </row>
    <row r="203" spans="1:5">
      <c r="A203" s="13" t="s">
        <v>1379</v>
      </c>
      <c r="B203" s="13" t="s">
        <v>568</v>
      </c>
      <c r="C203" s="13" t="s">
        <v>1380</v>
      </c>
      <c r="D203" s="13">
        <v>2</v>
      </c>
      <c r="E203" s="13">
        <v>2</v>
      </c>
    </row>
    <row r="204" spans="1:5">
      <c r="A204" s="13" t="s">
        <v>1383</v>
      </c>
      <c r="B204" s="13" t="s">
        <v>436</v>
      </c>
      <c r="C204" s="13" t="s">
        <v>1323</v>
      </c>
      <c r="D204" s="13">
        <v>2</v>
      </c>
      <c r="E204" s="13">
        <v>2</v>
      </c>
    </row>
    <row r="205" spans="1:5">
      <c r="A205" s="13" t="s">
        <v>1400</v>
      </c>
      <c r="B205" s="13" t="s">
        <v>499</v>
      </c>
      <c r="C205" s="13" t="s">
        <v>1401</v>
      </c>
      <c r="D205" s="13">
        <v>2</v>
      </c>
      <c r="E205" s="13">
        <v>2</v>
      </c>
    </row>
    <row r="206" spans="1:5">
      <c r="A206" s="13" t="s">
        <v>1411</v>
      </c>
      <c r="B206" s="13" t="s">
        <v>499</v>
      </c>
      <c r="C206" s="13" t="s">
        <v>1412</v>
      </c>
      <c r="D206" s="13">
        <v>2</v>
      </c>
      <c r="E206" s="13">
        <v>2</v>
      </c>
    </row>
    <row r="207" spans="1:5">
      <c r="A207" s="13" t="s">
        <v>1477</v>
      </c>
      <c r="B207" s="13" t="s">
        <v>894</v>
      </c>
      <c r="C207" s="13" t="s">
        <v>1478</v>
      </c>
      <c r="D207" s="13">
        <v>2</v>
      </c>
      <c r="E207" s="13">
        <v>3</v>
      </c>
    </row>
    <row r="208" spans="1:5">
      <c r="A208" s="13" t="s">
        <v>1489</v>
      </c>
      <c r="B208" s="13" t="s">
        <v>462</v>
      </c>
      <c r="C208" s="13" t="s">
        <v>1490</v>
      </c>
      <c r="D208" s="13">
        <v>2</v>
      </c>
      <c r="E208" s="13">
        <v>2</v>
      </c>
    </row>
    <row r="209" spans="1:5">
      <c r="A209" s="13" t="s">
        <v>1601</v>
      </c>
      <c r="B209" s="13" t="s">
        <v>934</v>
      </c>
      <c r="C209" s="13" t="s">
        <v>1602</v>
      </c>
      <c r="D209" s="13">
        <v>2</v>
      </c>
      <c r="E209" s="13">
        <v>2</v>
      </c>
    </row>
    <row r="210" spans="1:5">
      <c r="A210" s="13" t="s">
        <v>1696</v>
      </c>
      <c r="B210" s="13" t="s">
        <v>499</v>
      </c>
      <c r="C210" s="13" t="s">
        <v>1697</v>
      </c>
      <c r="D210" s="13">
        <v>2</v>
      </c>
      <c r="E210" s="13">
        <v>2</v>
      </c>
    </row>
    <row r="211" spans="1:5">
      <c r="A211" s="13" t="s">
        <v>621</v>
      </c>
      <c r="B211" s="13" t="s">
        <v>443</v>
      </c>
      <c r="C211" s="13" t="s">
        <v>622</v>
      </c>
      <c r="D211" s="13">
        <v>3</v>
      </c>
      <c r="E211" s="13">
        <v>2</v>
      </c>
    </row>
    <row r="212" spans="1:5">
      <c r="A212" s="13" t="s">
        <v>625</v>
      </c>
      <c r="B212" s="13" t="s">
        <v>443</v>
      </c>
      <c r="C212" s="13" t="s">
        <v>626</v>
      </c>
      <c r="D212" s="13">
        <v>3</v>
      </c>
      <c r="E212" s="13">
        <v>3</v>
      </c>
    </row>
    <row r="213" spans="1:5">
      <c r="A213" s="13" t="s">
        <v>635</v>
      </c>
      <c r="B213" s="13" t="s">
        <v>443</v>
      </c>
      <c r="C213" s="13" t="s">
        <v>636</v>
      </c>
      <c r="D213" s="13">
        <v>3</v>
      </c>
      <c r="E213" s="13">
        <v>3</v>
      </c>
    </row>
    <row r="214" spans="1:5">
      <c r="A214" s="13" t="s">
        <v>651</v>
      </c>
      <c r="B214" s="13" t="s">
        <v>495</v>
      </c>
      <c r="C214" s="13" t="s">
        <v>652</v>
      </c>
      <c r="D214" s="13">
        <v>3</v>
      </c>
      <c r="E214" s="13">
        <v>2</v>
      </c>
    </row>
    <row r="215" spans="1:5">
      <c r="A215" s="13" t="s">
        <v>655</v>
      </c>
      <c r="B215" s="13" t="s">
        <v>455</v>
      </c>
      <c r="C215" s="13" t="s">
        <v>656</v>
      </c>
      <c r="D215" s="13">
        <v>3</v>
      </c>
      <c r="E215" s="13">
        <v>2</v>
      </c>
    </row>
    <row r="216" spans="1:5">
      <c r="A216" s="13" t="s">
        <v>657</v>
      </c>
      <c r="B216" s="13" t="s">
        <v>443</v>
      </c>
      <c r="C216" s="13" t="s">
        <v>658</v>
      </c>
      <c r="D216" s="13">
        <v>3</v>
      </c>
      <c r="E216" s="13">
        <v>3</v>
      </c>
    </row>
    <row r="217" spans="1:5">
      <c r="A217" s="13" t="s">
        <v>665</v>
      </c>
      <c r="B217" s="13" t="s">
        <v>568</v>
      </c>
      <c r="C217" s="13" t="s">
        <v>666</v>
      </c>
      <c r="D217" s="13">
        <v>3</v>
      </c>
      <c r="E217" s="13">
        <v>2</v>
      </c>
    </row>
    <row r="218" spans="1:5">
      <c r="A218" s="13" t="s">
        <v>679</v>
      </c>
      <c r="B218" s="13" t="s">
        <v>568</v>
      </c>
      <c r="C218" s="13" t="s">
        <v>680</v>
      </c>
      <c r="D218" s="13">
        <v>3</v>
      </c>
      <c r="E218" s="13">
        <v>3</v>
      </c>
    </row>
    <row r="219" spans="1:5">
      <c r="A219" s="13" t="s">
        <v>703</v>
      </c>
      <c r="B219" s="13" t="s">
        <v>481</v>
      </c>
      <c r="C219" s="13" t="s">
        <v>704</v>
      </c>
      <c r="D219" s="13">
        <v>3</v>
      </c>
      <c r="E219" s="13">
        <v>3</v>
      </c>
    </row>
    <row r="220" spans="1:5">
      <c r="A220" s="13" t="s">
        <v>715</v>
      </c>
      <c r="B220" s="13" t="s">
        <v>436</v>
      </c>
      <c r="C220" s="13" t="s">
        <v>716</v>
      </c>
      <c r="D220" s="13">
        <v>3</v>
      </c>
      <c r="E220" s="13">
        <v>3</v>
      </c>
    </row>
    <row r="221" spans="1:5">
      <c r="A221" s="13" t="s">
        <v>721</v>
      </c>
      <c r="B221" s="13" t="s">
        <v>568</v>
      </c>
      <c r="C221" s="13" t="s">
        <v>722</v>
      </c>
      <c r="D221" s="13">
        <v>3</v>
      </c>
      <c r="E221" s="13">
        <v>2</v>
      </c>
    </row>
    <row r="222" spans="1:5">
      <c r="A222" s="13" t="s">
        <v>725</v>
      </c>
      <c r="B222" s="13" t="s">
        <v>518</v>
      </c>
      <c r="C222" s="13" t="s">
        <v>726</v>
      </c>
      <c r="D222" s="13">
        <v>3</v>
      </c>
      <c r="E222" s="13">
        <v>3</v>
      </c>
    </row>
    <row r="223" spans="1:5">
      <c r="A223" s="13" t="s">
        <v>735</v>
      </c>
      <c r="B223" s="13" t="s">
        <v>639</v>
      </c>
      <c r="C223" s="13" t="s">
        <v>736</v>
      </c>
      <c r="D223" s="13">
        <v>3</v>
      </c>
      <c r="E223" s="13">
        <v>3</v>
      </c>
    </row>
    <row r="224" spans="1:5">
      <c r="A224" s="13" t="s">
        <v>743</v>
      </c>
      <c r="B224" s="13" t="s">
        <v>455</v>
      </c>
      <c r="C224" s="13" t="s">
        <v>744</v>
      </c>
      <c r="D224" s="13">
        <v>3</v>
      </c>
      <c r="E224" s="13">
        <v>3</v>
      </c>
    </row>
    <row r="225" spans="1:5">
      <c r="A225" s="13" t="s">
        <v>745</v>
      </c>
      <c r="B225" s="13" t="s">
        <v>568</v>
      </c>
      <c r="C225" s="13" t="s">
        <v>746</v>
      </c>
      <c r="D225" s="13">
        <v>3</v>
      </c>
      <c r="E225" s="13">
        <v>3</v>
      </c>
    </row>
    <row r="226" spans="1:5">
      <c r="A226" s="13" t="s">
        <v>749</v>
      </c>
      <c r="B226" s="13" t="s">
        <v>436</v>
      </c>
      <c r="C226" s="13" t="s">
        <v>628</v>
      </c>
      <c r="D226" s="13">
        <v>3</v>
      </c>
      <c r="E226" s="13">
        <v>2</v>
      </c>
    </row>
    <row r="227" spans="1:5">
      <c r="A227" s="13" t="s">
        <v>752</v>
      </c>
      <c r="B227" s="13" t="s">
        <v>455</v>
      </c>
      <c r="C227" s="13" t="s">
        <v>753</v>
      </c>
      <c r="D227" s="13">
        <v>3</v>
      </c>
      <c r="E227" s="13">
        <v>2</v>
      </c>
    </row>
    <row r="228" spans="1:5">
      <c r="A228" s="13" t="s">
        <v>758</v>
      </c>
      <c r="B228" s="13" t="s">
        <v>673</v>
      </c>
      <c r="C228" s="13" t="s">
        <v>759</v>
      </c>
      <c r="D228" s="13">
        <v>3</v>
      </c>
      <c r="E228" s="13">
        <v>2</v>
      </c>
    </row>
    <row r="229" spans="1:5">
      <c r="A229" s="13" t="s">
        <v>764</v>
      </c>
      <c r="B229" s="13" t="s">
        <v>507</v>
      </c>
      <c r="C229" s="13" t="s">
        <v>765</v>
      </c>
      <c r="D229" s="13">
        <v>3</v>
      </c>
      <c r="E229" s="13">
        <v>2</v>
      </c>
    </row>
    <row r="230" spans="1:5">
      <c r="A230" s="13" t="s">
        <v>766</v>
      </c>
      <c r="B230" s="13" t="s">
        <v>558</v>
      </c>
      <c r="C230" s="13" t="s">
        <v>767</v>
      </c>
      <c r="D230" s="13">
        <v>3</v>
      </c>
      <c r="E230" s="13">
        <v>3</v>
      </c>
    </row>
    <row r="231" spans="1:5">
      <c r="A231" s="13" t="s">
        <v>768</v>
      </c>
      <c r="B231" s="13" t="s">
        <v>455</v>
      </c>
      <c r="C231" s="13" t="s">
        <v>769</v>
      </c>
      <c r="D231" s="13">
        <v>3</v>
      </c>
      <c r="E231" s="13">
        <v>3</v>
      </c>
    </row>
    <row r="232" spans="1:5">
      <c r="A232" s="13" t="s">
        <v>770</v>
      </c>
      <c r="B232" s="13" t="s">
        <v>455</v>
      </c>
      <c r="C232" s="13" t="s">
        <v>771</v>
      </c>
      <c r="D232" s="13">
        <v>3</v>
      </c>
      <c r="E232" s="13">
        <v>2</v>
      </c>
    </row>
    <row r="233" spans="1:5">
      <c r="A233" s="13" t="s">
        <v>772</v>
      </c>
      <c r="B233" s="13" t="s">
        <v>455</v>
      </c>
      <c r="C233" s="13" t="s">
        <v>773</v>
      </c>
      <c r="D233" s="13">
        <v>3</v>
      </c>
      <c r="E233" s="13">
        <v>3</v>
      </c>
    </row>
    <row r="234" spans="1:5">
      <c r="A234" s="13" t="s">
        <v>774</v>
      </c>
      <c r="B234" s="13" t="s">
        <v>443</v>
      </c>
      <c r="C234" s="13" t="s">
        <v>775</v>
      </c>
      <c r="D234" s="13">
        <v>3</v>
      </c>
      <c r="E234" s="13">
        <v>2</v>
      </c>
    </row>
    <row r="235" spans="1:5">
      <c r="A235" s="13" t="s">
        <v>776</v>
      </c>
      <c r="B235" s="13" t="s">
        <v>443</v>
      </c>
      <c r="C235" s="13" t="s">
        <v>777</v>
      </c>
      <c r="D235" s="13">
        <v>3</v>
      </c>
      <c r="E235" s="13">
        <v>2</v>
      </c>
    </row>
    <row r="236" spans="1:5">
      <c r="A236" s="13" t="s">
        <v>792</v>
      </c>
      <c r="B236" s="13" t="s">
        <v>673</v>
      </c>
      <c r="C236" s="13" t="s">
        <v>628</v>
      </c>
      <c r="D236" s="13">
        <v>3</v>
      </c>
      <c r="E236" s="13">
        <v>3</v>
      </c>
    </row>
    <row r="237" spans="1:5">
      <c r="A237" s="13" t="s">
        <v>793</v>
      </c>
      <c r="B237" s="13" t="s">
        <v>436</v>
      </c>
      <c r="C237" s="13" t="s">
        <v>794</v>
      </c>
      <c r="D237" s="13">
        <v>3</v>
      </c>
      <c r="E237" s="13">
        <v>3</v>
      </c>
    </row>
    <row r="238" spans="1:5">
      <c r="A238" s="13" t="s">
        <v>799</v>
      </c>
      <c r="B238" s="13" t="s">
        <v>443</v>
      </c>
      <c r="C238" s="13" t="s">
        <v>800</v>
      </c>
      <c r="D238" s="13">
        <v>3</v>
      </c>
      <c r="E238" s="13">
        <v>3</v>
      </c>
    </row>
    <row r="239" spans="1:5">
      <c r="A239" s="13" t="s">
        <v>806</v>
      </c>
      <c r="B239" s="13" t="s">
        <v>568</v>
      </c>
      <c r="C239" s="13" t="s">
        <v>807</v>
      </c>
      <c r="D239" s="13">
        <v>3</v>
      </c>
      <c r="E239" s="13">
        <v>3</v>
      </c>
    </row>
    <row r="240" spans="1:5">
      <c r="A240" s="13" t="s">
        <v>811</v>
      </c>
      <c r="B240" s="13" t="s">
        <v>558</v>
      </c>
      <c r="C240" s="13" t="s">
        <v>812</v>
      </c>
      <c r="D240" s="13">
        <v>3</v>
      </c>
      <c r="E240" s="13">
        <v>2</v>
      </c>
    </row>
    <row r="241" spans="1:5">
      <c r="A241" s="13" t="s">
        <v>815</v>
      </c>
      <c r="B241" s="13" t="s">
        <v>673</v>
      </c>
      <c r="C241" s="13" t="s">
        <v>816</v>
      </c>
      <c r="D241" s="13">
        <v>3</v>
      </c>
      <c r="E241" s="13">
        <v>3</v>
      </c>
    </row>
    <row r="242" spans="1:5">
      <c r="A242" s="13" t="s">
        <v>817</v>
      </c>
      <c r="B242" s="13" t="s">
        <v>495</v>
      </c>
      <c r="C242" s="13" t="s">
        <v>818</v>
      </c>
      <c r="D242" s="13">
        <v>3</v>
      </c>
      <c r="E242" s="13">
        <v>3</v>
      </c>
    </row>
    <row r="243" spans="1:5">
      <c r="A243" s="13" t="s">
        <v>819</v>
      </c>
      <c r="B243" s="13" t="s">
        <v>443</v>
      </c>
      <c r="C243" s="13" t="s">
        <v>609</v>
      </c>
      <c r="D243" s="13">
        <v>3</v>
      </c>
      <c r="E243" s="13">
        <v>3</v>
      </c>
    </row>
    <row r="244" spans="1:5">
      <c r="A244" s="13" t="s">
        <v>820</v>
      </c>
      <c r="B244" s="13" t="s">
        <v>432</v>
      </c>
      <c r="C244" s="13" t="s">
        <v>821</v>
      </c>
      <c r="D244" s="13">
        <v>3</v>
      </c>
      <c r="E244" s="13">
        <v>2</v>
      </c>
    </row>
    <row r="245" spans="1:5">
      <c r="A245" s="13" t="s">
        <v>822</v>
      </c>
      <c r="B245" s="13" t="s">
        <v>455</v>
      </c>
      <c r="C245" s="13" t="s">
        <v>823</v>
      </c>
      <c r="D245" s="13">
        <v>3</v>
      </c>
      <c r="E245" s="13">
        <v>3</v>
      </c>
    </row>
    <row r="246" spans="1:5">
      <c r="A246" s="13" t="s">
        <v>824</v>
      </c>
      <c r="B246" s="13" t="s">
        <v>568</v>
      </c>
      <c r="C246" s="13" t="s">
        <v>825</v>
      </c>
      <c r="D246" s="13">
        <v>3</v>
      </c>
      <c r="E246" s="13">
        <v>2</v>
      </c>
    </row>
    <row r="247" spans="1:5">
      <c r="A247" s="13" t="s">
        <v>826</v>
      </c>
      <c r="B247" s="13" t="s">
        <v>568</v>
      </c>
      <c r="C247" s="13" t="s">
        <v>827</v>
      </c>
      <c r="D247" s="13">
        <v>3</v>
      </c>
      <c r="E247" s="13">
        <v>3</v>
      </c>
    </row>
    <row r="248" spans="1:5">
      <c r="A248" s="13" t="s">
        <v>828</v>
      </c>
      <c r="B248" s="13" t="s">
        <v>436</v>
      </c>
      <c r="C248" s="13" t="s">
        <v>829</v>
      </c>
      <c r="D248" s="13">
        <v>3</v>
      </c>
      <c r="E248" s="13">
        <v>2</v>
      </c>
    </row>
    <row r="249" spans="1:5">
      <c r="A249" s="13" t="s">
        <v>832</v>
      </c>
      <c r="B249" s="13" t="s">
        <v>436</v>
      </c>
      <c r="C249" s="13" t="s">
        <v>833</v>
      </c>
      <c r="D249" s="13">
        <v>3</v>
      </c>
      <c r="E249" s="13">
        <v>3</v>
      </c>
    </row>
    <row r="250" spans="1:5">
      <c r="A250" s="13" t="s">
        <v>834</v>
      </c>
      <c r="B250" s="13" t="s">
        <v>468</v>
      </c>
      <c r="C250" s="13" t="s">
        <v>835</v>
      </c>
      <c r="D250" s="13">
        <v>3</v>
      </c>
      <c r="E250" s="13">
        <v>3</v>
      </c>
    </row>
    <row r="251" spans="1:5">
      <c r="A251" s="13" t="s">
        <v>836</v>
      </c>
      <c r="B251" s="13" t="s">
        <v>455</v>
      </c>
      <c r="C251" s="13" t="s">
        <v>837</v>
      </c>
      <c r="D251" s="13">
        <v>3</v>
      </c>
      <c r="E251" s="13">
        <v>3</v>
      </c>
    </row>
    <row r="252" spans="1:5">
      <c r="A252" s="13" t="s">
        <v>838</v>
      </c>
      <c r="B252" s="13" t="s">
        <v>568</v>
      </c>
      <c r="C252" s="13" t="s">
        <v>839</v>
      </c>
      <c r="D252" s="13">
        <v>3</v>
      </c>
      <c r="E252" s="13">
        <v>3</v>
      </c>
    </row>
    <row r="253" spans="1:5">
      <c r="A253" s="13" t="s">
        <v>842</v>
      </c>
      <c r="B253" s="13" t="s">
        <v>462</v>
      </c>
      <c r="C253" s="13" t="s">
        <v>843</v>
      </c>
      <c r="D253" s="13">
        <v>3</v>
      </c>
      <c r="E253" s="13">
        <v>2</v>
      </c>
    </row>
    <row r="254" spans="1:5">
      <c r="A254" s="13" t="s">
        <v>844</v>
      </c>
      <c r="B254" s="13" t="s">
        <v>436</v>
      </c>
      <c r="C254" s="13" t="s">
        <v>845</v>
      </c>
      <c r="D254" s="13">
        <v>3</v>
      </c>
      <c r="E254" s="13">
        <v>3</v>
      </c>
    </row>
    <row r="255" spans="1:5">
      <c r="A255" s="13" t="s">
        <v>846</v>
      </c>
      <c r="B255" s="13" t="s">
        <v>673</v>
      </c>
      <c r="C255" s="13" t="s">
        <v>847</v>
      </c>
      <c r="D255" s="13">
        <v>3</v>
      </c>
      <c r="E255" s="13">
        <v>3</v>
      </c>
    </row>
    <row r="256" spans="1:5">
      <c r="A256" s="13" t="s">
        <v>848</v>
      </c>
      <c r="B256" s="13" t="s">
        <v>481</v>
      </c>
      <c r="C256" s="13" t="s">
        <v>849</v>
      </c>
      <c r="D256" s="13">
        <v>3</v>
      </c>
      <c r="E256" s="13">
        <v>3</v>
      </c>
    </row>
    <row r="257" spans="1:5">
      <c r="A257" s="13" t="s">
        <v>850</v>
      </c>
      <c r="B257" s="13" t="s">
        <v>639</v>
      </c>
      <c r="C257" s="13" t="s">
        <v>851</v>
      </c>
      <c r="D257" s="13">
        <v>3</v>
      </c>
      <c r="E257" s="13">
        <v>3</v>
      </c>
    </row>
    <row r="258" spans="1:5">
      <c r="A258" s="13" t="s">
        <v>865</v>
      </c>
      <c r="B258" s="13" t="s">
        <v>468</v>
      </c>
      <c r="C258" s="13" t="s">
        <v>866</v>
      </c>
      <c r="D258" s="13">
        <v>3</v>
      </c>
      <c r="E258" s="13">
        <v>3</v>
      </c>
    </row>
    <row r="259" spans="1:5">
      <c r="A259" s="13" t="s">
        <v>867</v>
      </c>
      <c r="B259" s="13" t="s">
        <v>455</v>
      </c>
      <c r="C259" s="13" t="s">
        <v>868</v>
      </c>
      <c r="D259" s="13">
        <v>3</v>
      </c>
      <c r="E259" s="13">
        <v>2</v>
      </c>
    </row>
    <row r="260" spans="1:5">
      <c r="A260" s="13" t="s">
        <v>871</v>
      </c>
      <c r="B260" s="13" t="s">
        <v>507</v>
      </c>
      <c r="C260" s="13" t="s">
        <v>872</v>
      </c>
      <c r="D260" s="13">
        <v>3</v>
      </c>
      <c r="E260" s="13">
        <v>2</v>
      </c>
    </row>
    <row r="261" spans="1:5">
      <c r="A261" s="13" t="s">
        <v>879</v>
      </c>
      <c r="B261" s="13" t="s">
        <v>596</v>
      </c>
      <c r="C261" s="13" t="s">
        <v>880</v>
      </c>
      <c r="D261" s="13">
        <v>3</v>
      </c>
      <c r="E261" s="13">
        <v>3</v>
      </c>
    </row>
    <row r="262" spans="1:5">
      <c r="A262" s="13" t="s">
        <v>881</v>
      </c>
      <c r="B262" s="13" t="s">
        <v>558</v>
      </c>
      <c r="C262" s="13" t="s">
        <v>882</v>
      </c>
      <c r="D262" s="13">
        <v>3</v>
      </c>
      <c r="E262" s="13">
        <v>3</v>
      </c>
    </row>
    <row r="263" spans="1:5">
      <c r="A263" s="13" t="s">
        <v>888</v>
      </c>
      <c r="B263" s="13" t="s">
        <v>673</v>
      </c>
      <c r="C263" s="13" t="s">
        <v>889</v>
      </c>
      <c r="D263" s="13">
        <v>3</v>
      </c>
      <c r="E263" s="13">
        <v>3</v>
      </c>
    </row>
    <row r="264" spans="1:5">
      <c r="A264" s="13" t="s">
        <v>896</v>
      </c>
      <c r="B264" s="13" t="s">
        <v>596</v>
      </c>
      <c r="C264" s="13" t="s">
        <v>897</v>
      </c>
      <c r="D264" s="13">
        <v>3</v>
      </c>
      <c r="E264" s="13">
        <v>3</v>
      </c>
    </row>
    <row r="265" spans="1:5">
      <c r="A265" s="13" t="s">
        <v>898</v>
      </c>
      <c r="B265" s="13" t="s">
        <v>468</v>
      </c>
      <c r="C265" s="13" t="s">
        <v>899</v>
      </c>
      <c r="D265" s="13">
        <v>3</v>
      </c>
      <c r="E265" s="13">
        <v>2</v>
      </c>
    </row>
    <row r="266" spans="1:5">
      <c r="A266" s="13" t="s">
        <v>900</v>
      </c>
      <c r="B266" s="13" t="s">
        <v>894</v>
      </c>
      <c r="C266" s="13" t="s">
        <v>901</v>
      </c>
      <c r="D266" s="13">
        <v>3</v>
      </c>
      <c r="E266" s="13">
        <v>3</v>
      </c>
    </row>
    <row r="267" spans="1:5">
      <c r="A267" s="13" t="s">
        <v>902</v>
      </c>
      <c r="B267" s="13" t="s">
        <v>455</v>
      </c>
      <c r="C267" s="13" t="s">
        <v>903</v>
      </c>
      <c r="D267" s="13">
        <v>3</v>
      </c>
      <c r="E267" s="13">
        <v>3</v>
      </c>
    </row>
    <row r="268" spans="1:5">
      <c r="A268" s="13" t="s">
        <v>904</v>
      </c>
      <c r="B268" s="13" t="s">
        <v>495</v>
      </c>
      <c r="C268" s="13" t="s">
        <v>905</v>
      </c>
      <c r="D268" s="13">
        <v>3</v>
      </c>
      <c r="E268" s="13">
        <v>3</v>
      </c>
    </row>
    <row r="269" spans="1:5">
      <c r="A269" s="13" t="s">
        <v>906</v>
      </c>
      <c r="B269" s="13" t="s">
        <v>443</v>
      </c>
      <c r="C269" s="13" t="s">
        <v>907</v>
      </c>
      <c r="D269" s="13">
        <v>3</v>
      </c>
      <c r="E269" s="13">
        <v>2</v>
      </c>
    </row>
    <row r="270" spans="1:5">
      <c r="A270" s="13" t="s">
        <v>908</v>
      </c>
      <c r="B270" s="13" t="s">
        <v>568</v>
      </c>
      <c r="C270" s="13" t="s">
        <v>909</v>
      </c>
      <c r="D270" s="13">
        <v>3</v>
      </c>
      <c r="E270" s="13">
        <v>3</v>
      </c>
    </row>
    <row r="271" spans="1:5">
      <c r="A271" s="13" t="s">
        <v>914</v>
      </c>
      <c r="B271" s="13" t="s">
        <v>507</v>
      </c>
      <c r="C271" s="13" t="s">
        <v>915</v>
      </c>
      <c r="D271" s="13">
        <v>3</v>
      </c>
      <c r="E271" s="13">
        <v>3</v>
      </c>
    </row>
    <row r="272" spans="1:5">
      <c r="A272" s="13" t="s">
        <v>920</v>
      </c>
      <c r="B272" s="13" t="s">
        <v>673</v>
      </c>
      <c r="C272" s="13" t="s">
        <v>921</v>
      </c>
      <c r="D272" s="13">
        <v>3</v>
      </c>
      <c r="E272" s="13">
        <v>3</v>
      </c>
    </row>
    <row r="273" spans="1:5">
      <c r="A273" s="13" t="s">
        <v>928</v>
      </c>
      <c r="B273" s="13" t="s">
        <v>436</v>
      </c>
      <c r="C273" s="13" t="s">
        <v>929</v>
      </c>
      <c r="D273" s="13">
        <v>3</v>
      </c>
      <c r="E273" s="13">
        <v>2</v>
      </c>
    </row>
    <row r="274" spans="1:5">
      <c r="A274" s="13" t="s">
        <v>932</v>
      </c>
      <c r="B274" s="13" t="s">
        <v>934</v>
      </c>
      <c r="C274" s="13" t="s">
        <v>935</v>
      </c>
      <c r="D274" s="13">
        <v>3</v>
      </c>
      <c r="E274" s="13">
        <v>3</v>
      </c>
    </row>
    <row r="275" spans="1:5">
      <c r="A275" s="13" t="s">
        <v>936</v>
      </c>
      <c r="B275" s="13" t="s">
        <v>436</v>
      </c>
      <c r="C275" s="13" t="s">
        <v>937</v>
      </c>
      <c r="D275" s="13">
        <v>3</v>
      </c>
      <c r="E275" s="13">
        <v>3</v>
      </c>
    </row>
    <row r="276" spans="1:5">
      <c r="A276" s="13" t="s">
        <v>938</v>
      </c>
      <c r="B276" s="13" t="s">
        <v>481</v>
      </c>
      <c r="C276" s="13" t="s">
        <v>939</v>
      </c>
      <c r="D276" s="13">
        <v>3</v>
      </c>
      <c r="E276" s="13">
        <v>3</v>
      </c>
    </row>
    <row r="277" spans="1:5">
      <c r="A277" s="13" t="s">
        <v>946</v>
      </c>
      <c r="B277" s="13" t="s">
        <v>436</v>
      </c>
      <c r="C277" s="13" t="s">
        <v>947</v>
      </c>
      <c r="D277" s="13">
        <v>3</v>
      </c>
      <c r="E277" s="13">
        <v>2</v>
      </c>
    </row>
    <row r="278" spans="1:5">
      <c r="A278" s="13" t="s">
        <v>948</v>
      </c>
      <c r="B278" s="13" t="s">
        <v>462</v>
      </c>
      <c r="C278" s="13" t="s">
        <v>949</v>
      </c>
      <c r="D278" s="13">
        <v>3</v>
      </c>
      <c r="E278" s="13">
        <v>3</v>
      </c>
    </row>
    <row r="279" spans="1:5">
      <c r="A279" s="13" t="s">
        <v>950</v>
      </c>
      <c r="B279" s="13" t="s">
        <v>481</v>
      </c>
      <c r="C279" s="13" t="s">
        <v>951</v>
      </c>
      <c r="D279" s="13">
        <v>3</v>
      </c>
      <c r="E279" s="13">
        <v>3</v>
      </c>
    </row>
    <row r="280" spans="1:5">
      <c r="A280" s="13" t="s">
        <v>952</v>
      </c>
      <c r="B280" s="13" t="s">
        <v>436</v>
      </c>
      <c r="C280" s="13" t="s">
        <v>953</v>
      </c>
      <c r="D280" s="13">
        <v>3</v>
      </c>
      <c r="E280" s="13">
        <v>3</v>
      </c>
    </row>
    <row r="281" spans="1:5">
      <c r="A281" s="13" t="s">
        <v>964</v>
      </c>
      <c r="B281" s="13" t="s">
        <v>507</v>
      </c>
      <c r="C281" s="13" t="s">
        <v>965</v>
      </c>
      <c r="D281" s="13">
        <v>3</v>
      </c>
      <c r="E281" s="13">
        <v>3</v>
      </c>
    </row>
    <row r="282" spans="1:5">
      <c r="A282" s="13" t="s">
        <v>968</v>
      </c>
      <c r="B282" s="13" t="s">
        <v>568</v>
      </c>
      <c r="C282" s="13" t="s">
        <v>969</v>
      </c>
      <c r="D282" s="13">
        <v>3</v>
      </c>
      <c r="E282" s="13">
        <v>3</v>
      </c>
    </row>
    <row r="283" spans="1:5">
      <c r="A283" s="13" t="s">
        <v>970</v>
      </c>
      <c r="B283" s="13" t="s">
        <v>436</v>
      </c>
      <c r="C283" s="13" t="s">
        <v>971</v>
      </c>
      <c r="D283" s="13">
        <v>3</v>
      </c>
      <c r="E283" s="13">
        <v>3</v>
      </c>
    </row>
    <row r="284" spans="1:5">
      <c r="A284" s="13" t="s">
        <v>974</v>
      </c>
      <c r="B284" s="13" t="s">
        <v>462</v>
      </c>
      <c r="C284" s="13" t="s">
        <v>975</v>
      </c>
      <c r="D284" s="13">
        <v>3</v>
      </c>
      <c r="E284" s="13">
        <v>2</v>
      </c>
    </row>
    <row r="285" spans="1:5">
      <c r="A285" s="13" t="s">
        <v>980</v>
      </c>
      <c r="B285" s="13" t="s">
        <v>436</v>
      </c>
      <c r="C285" s="13" t="s">
        <v>981</v>
      </c>
      <c r="D285" s="13">
        <v>3</v>
      </c>
      <c r="E285" s="13">
        <v>2</v>
      </c>
    </row>
    <row r="286" spans="1:5">
      <c r="A286" s="13" t="s">
        <v>982</v>
      </c>
      <c r="B286" s="13" t="s">
        <v>673</v>
      </c>
      <c r="C286" s="13" t="s">
        <v>983</v>
      </c>
      <c r="D286" s="13">
        <v>3</v>
      </c>
      <c r="E286" s="13">
        <v>3</v>
      </c>
    </row>
    <row r="287" spans="1:5">
      <c r="A287" s="13" t="s">
        <v>984</v>
      </c>
      <c r="B287" s="13" t="s">
        <v>436</v>
      </c>
      <c r="C287" s="13" t="s">
        <v>985</v>
      </c>
      <c r="D287" s="13">
        <v>3</v>
      </c>
      <c r="E287" s="13">
        <v>3</v>
      </c>
    </row>
    <row r="288" spans="1:5">
      <c r="A288" s="13" t="s">
        <v>986</v>
      </c>
      <c r="B288" s="13" t="s">
        <v>499</v>
      </c>
      <c r="C288" s="13" t="s">
        <v>987</v>
      </c>
      <c r="D288" s="13">
        <v>3</v>
      </c>
      <c r="E288" s="13">
        <v>2</v>
      </c>
    </row>
    <row r="289" spans="1:5">
      <c r="A289" s="13" t="s">
        <v>988</v>
      </c>
      <c r="B289" s="13" t="s">
        <v>436</v>
      </c>
      <c r="C289" s="13" t="s">
        <v>989</v>
      </c>
      <c r="D289" s="13">
        <v>3</v>
      </c>
      <c r="E289" s="13">
        <v>3</v>
      </c>
    </row>
    <row r="290" spans="1:5">
      <c r="A290" s="13" t="s">
        <v>996</v>
      </c>
      <c r="B290" s="13" t="s">
        <v>673</v>
      </c>
      <c r="C290" s="13" t="s">
        <v>997</v>
      </c>
      <c r="D290" s="13">
        <v>3</v>
      </c>
      <c r="E290" s="13">
        <v>3</v>
      </c>
    </row>
    <row r="291" spans="1:5">
      <c r="A291" s="13" t="s">
        <v>1002</v>
      </c>
      <c r="B291" s="13" t="s">
        <v>673</v>
      </c>
      <c r="C291" s="13" t="s">
        <v>1003</v>
      </c>
      <c r="D291" s="13">
        <v>3</v>
      </c>
      <c r="E291" s="13">
        <v>2</v>
      </c>
    </row>
    <row r="292" spans="1:5">
      <c r="A292" s="13" t="s">
        <v>1004</v>
      </c>
      <c r="B292" s="13" t="s">
        <v>455</v>
      </c>
      <c r="C292" s="13" t="s">
        <v>1005</v>
      </c>
      <c r="D292" s="13">
        <v>3</v>
      </c>
      <c r="E292" s="13">
        <v>3</v>
      </c>
    </row>
    <row r="293" spans="1:5">
      <c r="A293" s="13" t="s">
        <v>1006</v>
      </c>
      <c r="B293" s="13" t="s">
        <v>462</v>
      </c>
      <c r="C293" s="13" t="s">
        <v>1007</v>
      </c>
      <c r="D293" s="13">
        <v>3</v>
      </c>
      <c r="E293" s="13">
        <v>3</v>
      </c>
    </row>
    <row r="294" spans="1:5">
      <c r="A294" s="13" t="s">
        <v>1010</v>
      </c>
      <c r="B294" s="13" t="s">
        <v>673</v>
      </c>
      <c r="C294" s="13" t="s">
        <v>1011</v>
      </c>
      <c r="D294" s="13">
        <v>3</v>
      </c>
      <c r="E294" s="13">
        <v>3</v>
      </c>
    </row>
    <row r="295" spans="1:5">
      <c r="A295" s="13" t="s">
        <v>1012</v>
      </c>
      <c r="B295" s="13" t="s">
        <v>934</v>
      </c>
      <c r="C295" s="13" t="s">
        <v>1013</v>
      </c>
      <c r="D295" s="13">
        <v>3</v>
      </c>
      <c r="E295" s="13">
        <v>2</v>
      </c>
    </row>
    <row r="296" spans="1:5">
      <c r="A296" s="13" t="s">
        <v>1023</v>
      </c>
      <c r="B296" s="13" t="s">
        <v>677</v>
      </c>
      <c r="C296" s="13" t="s">
        <v>1024</v>
      </c>
      <c r="D296" s="13">
        <v>3</v>
      </c>
      <c r="E296" s="13">
        <v>3</v>
      </c>
    </row>
    <row r="297" spans="1:5">
      <c r="A297" s="13" t="s">
        <v>1025</v>
      </c>
      <c r="B297" s="13" t="s">
        <v>499</v>
      </c>
      <c r="C297" s="13" t="s">
        <v>1026</v>
      </c>
      <c r="D297" s="13">
        <v>3</v>
      </c>
      <c r="E297" s="13">
        <v>3</v>
      </c>
    </row>
    <row r="298" spans="1:5">
      <c r="A298" s="13" t="s">
        <v>1031</v>
      </c>
      <c r="B298" s="13" t="s">
        <v>673</v>
      </c>
      <c r="C298" s="13" t="s">
        <v>1032</v>
      </c>
      <c r="D298" s="13">
        <v>3</v>
      </c>
      <c r="E298" s="13">
        <v>3</v>
      </c>
    </row>
    <row r="299" spans="1:5">
      <c r="A299" s="13" t="s">
        <v>1035</v>
      </c>
      <c r="B299" s="13" t="s">
        <v>436</v>
      </c>
      <c r="C299" s="13" t="s">
        <v>1036</v>
      </c>
      <c r="D299" s="13">
        <v>3</v>
      </c>
      <c r="E299" s="13">
        <v>3</v>
      </c>
    </row>
    <row r="300" spans="1:5">
      <c r="A300" s="13" t="s">
        <v>1037</v>
      </c>
      <c r="B300" s="13" t="s">
        <v>673</v>
      </c>
      <c r="C300" s="13" t="s">
        <v>1038</v>
      </c>
      <c r="D300" s="13">
        <v>3</v>
      </c>
      <c r="E300" s="13">
        <v>3</v>
      </c>
    </row>
    <row r="301" spans="1:5">
      <c r="A301" s="13" t="s">
        <v>1039</v>
      </c>
      <c r="B301" s="13" t="s">
        <v>673</v>
      </c>
      <c r="C301" s="13" t="s">
        <v>1040</v>
      </c>
      <c r="D301" s="13">
        <v>3</v>
      </c>
      <c r="E301" s="13">
        <v>3</v>
      </c>
    </row>
    <row r="302" spans="1:5">
      <c r="A302" s="13" t="s">
        <v>1041</v>
      </c>
      <c r="B302" s="13" t="s">
        <v>481</v>
      </c>
      <c r="C302" s="13" t="s">
        <v>1042</v>
      </c>
      <c r="D302" s="13">
        <v>3</v>
      </c>
      <c r="E302" s="13">
        <v>3</v>
      </c>
    </row>
    <row r="303" spans="1:5">
      <c r="A303" s="13" t="s">
        <v>1045</v>
      </c>
      <c r="B303" s="13" t="s">
        <v>499</v>
      </c>
      <c r="C303" s="13" t="s">
        <v>1046</v>
      </c>
      <c r="D303" s="13">
        <v>3</v>
      </c>
      <c r="E303" s="13">
        <v>3</v>
      </c>
    </row>
    <row r="304" spans="1:5">
      <c r="A304" s="13" t="s">
        <v>1047</v>
      </c>
      <c r="B304" s="13" t="s">
        <v>455</v>
      </c>
      <c r="C304" s="13" t="s">
        <v>1048</v>
      </c>
      <c r="D304" s="13">
        <v>3</v>
      </c>
      <c r="E304" s="13">
        <v>3</v>
      </c>
    </row>
    <row r="305" spans="1:5">
      <c r="A305" s="13" t="s">
        <v>1049</v>
      </c>
      <c r="B305" s="13" t="s">
        <v>558</v>
      </c>
      <c r="C305" s="13" t="s">
        <v>1050</v>
      </c>
      <c r="D305" s="13">
        <v>3</v>
      </c>
      <c r="E305" s="13">
        <v>3</v>
      </c>
    </row>
    <row r="306" spans="1:5">
      <c r="A306" s="13" t="s">
        <v>1051</v>
      </c>
      <c r="B306" s="13" t="s">
        <v>462</v>
      </c>
      <c r="C306" s="13" t="s">
        <v>1052</v>
      </c>
      <c r="D306" s="13">
        <v>3</v>
      </c>
      <c r="E306" s="13">
        <v>3</v>
      </c>
    </row>
    <row r="307" spans="1:5">
      <c r="A307" s="13" t="s">
        <v>1053</v>
      </c>
      <c r="B307" s="13" t="s">
        <v>455</v>
      </c>
      <c r="C307" s="13" t="s">
        <v>1054</v>
      </c>
      <c r="D307" s="13">
        <v>3</v>
      </c>
      <c r="E307" s="13">
        <v>2</v>
      </c>
    </row>
    <row r="308" spans="1:5">
      <c r="A308" s="13" t="s">
        <v>1057</v>
      </c>
      <c r="B308" s="13" t="s">
        <v>673</v>
      </c>
      <c r="C308" s="13" t="s">
        <v>1058</v>
      </c>
      <c r="D308" s="13">
        <v>3</v>
      </c>
      <c r="E308" s="13">
        <v>3</v>
      </c>
    </row>
    <row r="309" spans="1:5">
      <c r="A309" s="13" t="s">
        <v>1061</v>
      </c>
      <c r="B309" s="13" t="s">
        <v>468</v>
      </c>
      <c r="C309" s="13" t="s">
        <v>1062</v>
      </c>
      <c r="D309" s="13">
        <v>3</v>
      </c>
      <c r="E309" s="13">
        <v>3</v>
      </c>
    </row>
    <row r="310" spans="1:5">
      <c r="A310" s="13" t="s">
        <v>1067</v>
      </c>
      <c r="B310" s="13" t="s">
        <v>507</v>
      </c>
      <c r="C310" s="13" t="s">
        <v>1068</v>
      </c>
      <c r="D310" s="13">
        <v>3</v>
      </c>
      <c r="E310" s="13">
        <v>3</v>
      </c>
    </row>
    <row r="311" spans="1:5">
      <c r="A311" s="13" t="s">
        <v>1075</v>
      </c>
      <c r="B311" s="13" t="s">
        <v>436</v>
      </c>
      <c r="C311" s="13" t="s">
        <v>1076</v>
      </c>
      <c r="D311" s="13">
        <v>3</v>
      </c>
      <c r="E311" s="13">
        <v>3</v>
      </c>
    </row>
    <row r="312" spans="1:5">
      <c r="A312" s="13" t="s">
        <v>1077</v>
      </c>
      <c r="B312" s="13" t="s">
        <v>462</v>
      </c>
      <c r="C312" s="13" t="s">
        <v>1078</v>
      </c>
      <c r="D312" s="13">
        <v>3</v>
      </c>
      <c r="E312" s="13">
        <v>2</v>
      </c>
    </row>
    <row r="313" spans="1:5">
      <c r="A313" s="13" t="s">
        <v>1079</v>
      </c>
      <c r="B313" s="13" t="s">
        <v>468</v>
      </c>
      <c r="C313" s="13" t="s">
        <v>1080</v>
      </c>
      <c r="D313" s="13">
        <v>3</v>
      </c>
      <c r="E313" s="13">
        <v>3</v>
      </c>
    </row>
    <row r="314" spans="1:5">
      <c r="A314" s="13" t="s">
        <v>1081</v>
      </c>
      <c r="B314" s="13" t="s">
        <v>499</v>
      </c>
      <c r="C314" s="13" t="s">
        <v>1082</v>
      </c>
      <c r="D314" s="13">
        <v>3</v>
      </c>
      <c r="E314" s="13">
        <v>3</v>
      </c>
    </row>
    <row r="315" spans="1:5">
      <c r="A315" s="13" t="s">
        <v>1086</v>
      </c>
      <c r="B315" s="13" t="s">
        <v>558</v>
      </c>
      <c r="C315" s="13" t="s">
        <v>1087</v>
      </c>
      <c r="D315" s="13">
        <v>3</v>
      </c>
      <c r="E315" s="13">
        <v>3</v>
      </c>
    </row>
    <row r="316" spans="1:5">
      <c r="A316" s="13" t="s">
        <v>1088</v>
      </c>
      <c r="B316" s="13" t="s">
        <v>499</v>
      </c>
      <c r="C316" s="13" t="s">
        <v>1089</v>
      </c>
      <c r="D316" s="13">
        <v>3</v>
      </c>
      <c r="E316" s="13">
        <v>3</v>
      </c>
    </row>
    <row r="317" spans="1:5">
      <c r="A317" s="13" t="s">
        <v>1090</v>
      </c>
      <c r="B317" s="13" t="s">
        <v>495</v>
      </c>
      <c r="C317" s="13" t="s">
        <v>1064</v>
      </c>
      <c r="D317" s="13">
        <v>3</v>
      </c>
      <c r="E317" s="13">
        <v>3</v>
      </c>
    </row>
    <row r="318" spans="1:5">
      <c r="A318" s="13" t="s">
        <v>1093</v>
      </c>
      <c r="B318" s="13" t="s">
        <v>673</v>
      </c>
      <c r="C318" s="13" t="s">
        <v>1094</v>
      </c>
      <c r="D318" s="13">
        <v>3</v>
      </c>
      <c r="E318" s="13">
        <v>3</v>
      </c>
    </row>
    <row r="319" spans="1:5">
      <c r="A319" s="13" t="s">
        <v>1095</v>
      </c>
      <c r="B319" s="13" t="s">
        <v>462</v>
      </c>
      <c r="C319" s="13" t="s">
        <v>1096</v>
      </c>
      <c r="D319" s="13">
        <v>3</v>
      </c>
      <c r="E319" s="13">
        <v>3</v>
      </c>
    </row>
    <row r="320" spans="1:5">
      <c r="A320" s="13" t="s">
        <v>1097</v>
      </c>
      <c r="B320" s="13" t="s">
        <v>639</v>
      </c>
      <c r="C320" s="13" t="s">
        <v>1098</v>
      </c>
      <c r="D320" s="13">
        <v>3</v>
      </c>
      <c r="E320" s="13">
        <v>3</v>
      </c>
    </row>
    <row r="321" spans="1:5">
      <c r="A321" s="13" t="s">
        <v>1101</v>
      </c>
      <c r="B321" s="13" t="s">
        <v>596</v>
      </c>
      <c r="C321" s="13" t="s">
        <v>1102</v>
      </c>
      <c r="D321" s="13">
        <v>3</v>
      </c>
      <c r="E321" s="13">
        <v>2</v>
      </c>
    </row>
    <row r="322" spans="1:5">
      <c r="A322" s="13" t="s">
        <v>1103</v>
      </c>
      <c r="B322" s="13" t="s">
        <v>673</v>
      </c>
      <c r="C322" s="13" t="s">
        <v>1104</v>
      </c>
      <c r="D322" s="13">
        <v>3</v>
      </c>
      <c r="E322" s="13">
        <v>3</v>
      </c>
    </row>
    <row r="323" spans="1:5">
      <c r="A323" s="13" t="s">
        <v>1105</v>
      </c>
      <c r="B323" s="13" t="s">
        <v>462</v>
      </c>
      <c r="C323" s="13" t="s">
        <v>1106</v>
      </c>
      <c r="D323" s="13">
        <v>3</v>
      </c>
      <c r="E323" s="13">
        <v>3</v>
      </c>
    </row>
    <row r="324" spans="1:5">
      <c r="A324" s="13" t="s">
        <v>1107</v>
      </c>
      <c r="B324" s="13" t="s">
        <v>455</v>
      </c>
      <c r="C324" s="13" t="s">
        <v>1108</v>
      </c>
      <c r="D324" s="13">
        <v>3</v>
      </c>
      <c r="E324" s="13">
        <v>3</v>
      </c>
    </row>
    <row r="325" spans="1:5">
      <c r="A325" s="13" t="s">
        <v>1109</v>
      </c>
      <c r="B325" s="13" t="s">
        <v>499</v>
      </c>
      <c r="C325" s="13" t="s">
        <v>1110</v>
      </c>
      <c r="D325" s="13">
        <v>3</v>
      </c>
      <c r="E325" s="13">
        <v>3</v>
      </c>
    </row>
    <row r="326" spans="1:5">
      <c r="A326" s="13" t="s">
        <v>1117</v>
      </c>
      <c r="B326" s="13" t="s">
        <v>673</v>
      </c>
      <c r="C326" s="13" t="s">
        <v>1118</v>
      </c>
      <c r="D326" s="13">
        <v>3</v>
      </c>
      <c r="E326" s="13">
        <v>2</v>
      </c>
    </row>
    <row r="327" spans="1:5">
      <c r="A327" s="13" t="s">
        <v>1119</v>
      </c>
      <c r="B327" s="13" t="s">
        <v>462</v>
      </c>
      <c r="C327" s="13" t="s">
        <v>1120</v>
      </c>
      <c r="D327" s="13">
        <v>3</v>
      </c>
      <c r="E327" s="13">
        <v>3</v>
      </c>
    </row>
    <row r="328" spans="1:5">
      <c r="A328" s="13" t="s">
        <v>1123</v>
      </c>
      <c r="B328" s="13" t="s">
        <v>462</v>
      </c>
      <c r="C328" s="13" t="s">
        <v>1124</v>
      </c>
      <c r="D328" s="13">
        <v>3</v>
      </c>
      <c r="E328" s="13">
        <v>2</v>
      </c>
    </row>
    <row r="329" spans="1:5">
      <c r="A329" s="13" t="s">
        <v>1125</v>
      </c>
      <c r="B329" s="13" t="s">
        <v>462</v>
      </c>
      <c r="C329" s="13" t="s">
        <v>1126</v>
      </c>
      <c r="D329" s="13">
        <v>3</v>
      </c>
      <c r="E329" s="13">
        <v>3</v>
      </c>
    </row>
    <row r="330" spans="1:5">
      <c r="A330" s="13" t="s">
        <v>1127</v>
      </c>
      <c r="B330" s="13" t="s">
        <v>455</v>
      </c>
      <c r="C330" s="13" t="s">
        <v>1128</v>
      </c>
      <c r="D330" s="13">
        <v>3</v>
      </c>
      <c r="E330" s="13">
        <v>3</v>
      </c>
    </row>
    <row r="331" spans="1:5">
      <c r="A331" s="13" t="s">
        <v>1133</v>
      </c>
      <c r="B331" s="13" t="s">
        <v>499</v>
      </c>
      <c r="C331" s="13" t="s">
        <v>1134</v>
      </c>
      <c r="D331" s="13">
        <v>3</v>
      </c>
      <c r="E331" s="13">
        <v>2</v>
      </c>
    </row>
    <row r="332" spans="1:5">
      <c r="A332" s="13" t="s">
        <v>1135</v>
      </c>
      <c r="B332" s="13" t="s">
        <v>462</v>
      </c>
      <c r="C332" s="13" t="s">
        <v>1136</v>
      </c>
      <c r="D332" s="13">
        <v>3</v>
      </c>
      <c r="E332" s="13">
        <v>2</v>
      </c>
    </row>
    <row r="333" spans="1:5">
      <c r="A333" s="13" t="s">
        <v>1137</v>
      </c>
      <c r="B333" s="13" t="s">
        <v>639</v>
      </c>
      <c r="C333" s="13" t="s">
        <v>1138</v>
      </c>
      <c r="D333" s="13">
        <v>3</v>
      </c>
      <c r="E333" s="13">
        <v>3</v>
      </c>
    </row>
    <row r="334" spans="1:5">
      <c r="A334" s="13" t="s">
        <v>1141</v>
      </c>
      <c r="B334" s="13" t="s">
        <v>455</v>
      </c>
      <c r="C334" s="13" t="s">
        <v>1142</v>
      </c>
      <c r="D334" s="13">
        <v>3</v>
      </c>
      <c r="E334" s="13">
        <v>3</v>
      </c>
    </row>
    <row r="335" spans="1:5">
      <c r="A335" s="13" t="s">
        <v>1149</v>
      </c>
      <c r="B335" s="13" t="s">
        <v>436</v>
      </c>
      <c r="C335" s="13" t="s">
        <v>1150</v>
      </c>
      <c r="D335" s="13">
        <v>3</v>
      </c>
      <c r="E335" s="13">
        <v>3</v>
      </c>
    </row>
    <row r="336" spans="1:5">
      <c r="A336" s="13" t="s">
        <v>1153</v>
      </c>
      <c r="B336" s="13" t="s">
        <v>432</v>
      </c>
      <c r="C336" s="13" t="s">
        <v>720</v>
      </c>
      <c r="D336" s="13">
        <v>3</v>
      </c>
      <c r="E336" s="13">
        <v>3</v>
      </c>
    </row>
    <row r="337" spans="1:5">
      <c r="A337" s="13" t="s">
        <v>1156</v>
      </c>
      <c r="B337" s="13" t="s">
        <v>558</v>
      </c>
      <c r="C337" s="13" t="s">
        <v>1157</v>
      </c>
      <c r="D337" s="13">
        <v>3</v>
      </c>
      <c r="E337" s="13">
        <v>3</v>
      </c>
    </row>
    <row r="338" spans="1:5">
      <c r="A338" s="13" t="s">
        <v>1158</v>
      </c>
      <c r="B338" s="13" t="s">
        <v>558</v>
      </c>
      <c r="C338" s="13" t="s">
        <v>1159</v>
      </c>
      <c r="D338" s="13">
        <v>3</v>
      </c>
      <c r="E338" s="13">
        <v>3</v>
      </c>
    </row>
    <row r="339" spans="1:5">
      <c r="A339" s="13" t="s">
        <v>1160</v>
      </c>
      <c r="B339" s="13" t="s">
        <v>499</v>
      </c>
      <c r="C339" s="13" t="s">
        <v>1161</v>
      </c>
      <c r="D339" s="13">
        <v>3</v>
      </c>
      <c r="E339" s="13">
        <v>3</v>
      </c>
    </row>
    <row r="340" spans="1:5">
      <c r="A340" s="13" t="s">
        <v>1162</v>
      </c>
      <c r="B340" s="13" t="s">
        <v>596</v>
      </c>
      <c r="C340" s="13" t="s">
        <v>1163</v>
      </c>
      <c r="D340" s="13">
        <v>3</v>
      </c>
      <c r="E340" s="13">
        <v>3</v>
      </c>
    </row>
    <row r="341" spans="1:5">
      <c r="A341" s="13" t="s">
        <v>1164</v>
      </c>
      <c r="B341" s="13" t="s">
        <v>934</v>
      </c>
      <c r="C341" s="13" t="s">
        <v>1165</v>
      </c>
      <c r="D341" s="13">
        <v>3</v>
      </c>
      <c r="E341" s="13">
        <v>3</v>
      </c>
    </row>
    <row r="342" spans="1:5">
      <c r="A342" s="13" t="s">
        <v>1166</v>
      </c>
      <c r="B342" s="13" t="s">
        <v>462</v>
      </c>
      <c r="C342" s="13" t="s">
        <v>1167</v>
      </c>
      <c r="D342" s="13">
        <v>3</v>
      </c>
      <c r="E342" s="13">
        <v>3</v>
      </c>
    </row>
    <row r="343" spans="1:5">
      <c r="A343" s="13" t="s">
        <v>1168</v>
      </c>
      <c r="B343" s="13" t="s">
        <v>507</v>
      </c>
      <c r="C343" s="13" t="s">
        <v>1169</v>
      </c>
      <c r="D343" s="13">
        <v>3</v>
      </c>
      <c r="E343" s="13">
        <v>3</v>
      </c>
    </row>
    <row r="344" spans="1:5">
      <c r="A344" s="13" t="s">
        <v>1174</v>
      </c>
      <c r="B344" s="13" t="s">
        <v>639</v>
      </c>
      <c r="C344" s="13" t="s">
        <v>1175</v>
      </c>
      <c r="D344" s="13">
        <v>3</v>
      </c>
      <c r="E344" s="13">
        <v>3</v>
      </c>
    </row>
    <row r="345" spans="1:5">
      <c r="A345" s="13" t="s">
        <v>1176</v>
      </c>
      <c r="B345" s="13" t="s">
        <v>436</v>
      </c>
      <c r="C345" s="13" t="s">
        <v>1177</v>
      </c>
      <c r="D345" s="13">
        <v>3</v>
      </c>
      <c r="E345" s="13">
        <v>3</v>
      </c>
    </row>
    <row r="346" spans="1:5">
      <c r="A346" s="13" t="s">
        <v>1180</v>
      </c>
      <c r="B346" s="13" t="s">
        <v>673</v>
      </c>
      <c r="C346" s="13" t="s">
        <v>1181</v>
      </c>
      <c r="D346" s="13">
        <v>3</v>
      </c>
      <c r="E346" s="13">
        <v>3</v>
      </c>
    </row>
    <row r="347" spans="1:5">
      <c r="A347" s="13" t="s">
        <v>1182</v>
      </c>
      <c r="B347" s="13" t="s">
        <v>507</v>
      </c>
      <c r="C347" s="13" t="s">
        <v>1183</v>
      </c>
      <c r="D347" s="13">
        <v>3</v>
      </c>
      <c r="E347" s="13">
        <v>3</v>
      </c>
    </row>
    <row r="348" spans="1:5">
      <c r="A348" s="13" t="s">
        <v>1184</v>
      </c>
      <c r="B348" s="13" t="s">
        <v>558</v>
      </c>
      <c r="C348" s="13" t="s">
        <v>1185</v>
      </c>
      <c r="D348" s="13">
        <v>3</v>
      </c>
      <c r="E348" s="13">
        <v>3</v>
      </c>
    </row>
    <row r="349" spans="1:5">
      <c r="A349" s="13" t="s">
        <v>1186</v>
      </c>
      <c r="B349" s="13" t="s">
        <v>507</v>
      </c>
      <c r="C349" s="13" t="s">
        <v>1187</v>
      </c>
      <c r="D349" s="13">
        <v>3</v>
      </c>
      <c r="E349" s="13">
        <v>3</v>
      </c>
    </row>
    <row r="350" spans="1:5">
      <c r="A350" s="13" t="s">
        <v>1188</v>
      </c>
      <c r="B350" s="13" t="s">
        <v>673</v>
      </c>
      <c r="C350" s="13" t="s">
        <v>1189</v>
      </c>
      <c r="D350" s="13">
        <v>3</v>
      </c>
      <c r="E350" s="13">
        <v>3</v>
      </c>
    </row>
    <row r="351" spans="1:5">
      <c r="A351" s="13" t="s">
        <v>1194</v>
      </c>
      <c r="B351" s="13" t="s">
        <v>673</v>
      </c>
      <c r="C351" s="13" t="s">
        <v>1195</v>
      </c>
      <c r="D351" s="13">
        <v>3</v>
      </c>
      <c r="E351" s="13">
        <v>3</v>
      </c>
    </row>
    <row r="352" spans="1:5">
      <c r="A352" s="13" t="s">
        <v>1196</v>
      </c>
      <c r="B352" s="13" t="s">
        <v>468</v>
      </c>
      <c r="C352" s="13" t="s">
        <v>1197</v>
      </c>
      <c r="D352" s="13">
        <v>3</v>
      </c>
      <c r="E352" s="13">
        <v>3</v>
      </c>
    </row>
    <row r="353" spans="1:5">
      <c r="A353" s="13" t="s">
        <v>1200</v>
      </c>
      <c r="B353" s="13" t="s">
        <v>455</v>
      </c>
      <c r="C353" s="13" t="s">
        <v>1201</v>
      </c>
      <c r="D353" s="13">
        <v>3</v>
      </c>
      <c r="E353" s="13">
        <v>2</v>
      </c>
    </row>
    <row r="354" spans="1:5">
      <c r="A354" s="13" t="s">
        <v>1202</v>
      </c>
      <c r="B354" s="13" t="s">
        <v>639</v>
      </c>
      <c r="C354" s="13" t="s">
        <v>1203</v>
      </c>
      <c r="D354" s="13">
        <v>3</v>
      </c>
      <c r="E354" s="13">
        <v>3</v>
      </c>
    </row>
    <row r="355" spans="1:5">
      <c r="A355" s="13" t="s">
        <v>1208</v>
      </c>
      <c r="B355" s="13" t="s">
        <v>436</v>
      </c>
      <c r="C355" s="13" t="s">
        <v>1209</v>
      </c>
      <c r="D355" s="13">
        <v>3</v>
      </c>
      <c r="E355" s="13">
        <v>3</v>
      </c>
    </row>
    <row r="356" spans="1:5">
      <c r="A356" s="13" t="s">
        <v>1210</v>
      </c>
      <c r="B356" s="13" t="s">
        <v>558</v>
      </c>
      <c r="C356" s="13" t="s">
        <v>1211</v>
      </c>
      <c r="D356" s="13">
        <v>3</v>
      </c>
      <c r="E356" s="13">
        <v>3</v>
      </c>
    </row>
    <row r="357" spans="1:5">
      <c r="A357" s="13" t="s">
        <v>1214</v>
      </c>
      <c r="B357" s="13" t="s">
        <v>432</v>
      </c>
      <c r="C357" s="13" t="s">
        <v>1215</v>
      </c>
      <c r="D357" s="13">
        <v>3</v>
      </c>
      <c r="E357" s="13">
        <v>3</v>
      </c>
    </row>
    <row r="358" spans="1:5">
      <c r="A358" s="13" t="s">
        <v>1218</v>
      </c>
      <c r="B358" s="13" t="s">
        <v>436</v>
      </c>
      <c r="C358" s="13" t="s">
        <v>1219</v>
      </c>
      <c r="D358" s="13">
        <v>3</v>
      </c>
      <c r="E358" s="13">
        <v>3</v>
      </c>
    </row>
    <row r="359" spans="1:5">
      <c r="A359" s="13" t="s">
        <v>1220</v>
      </c>
      <c r="B359" s="13" t="s">
        <v>436</v>
      </c>
      <c r="C359" s="13" t="s">
        <v>1221</v>
      </c>
      <c r="D359" s="13">
        <v>3</v>
      </c>
      <c r="E359" s="13">
        <v>3</v>
      </c>
    </row>
    <row r="360" spans="1:5">
      <c r="A360" s="13" t="s">
        <v>1222</v>
      </c>
      <c r="B360" s="13" t="s">
        <v>436</v>
      </c>
      <c r="C360" s="13" t="s">
        <v>1223</v>
      </c>
      <c r="D360" s="13">
        <v>3</v>
      </c>
      <c r="E360" s="13">
        <v>3</v>
      </c>
    </row>
    <row r="361" spans="1:5">
      <c r="A361" s="13" t="s">
        <v>1224</v>
      </c>
      <c r="B361" s="13" t="s">
        <v>462</v>
      </c>
      <c r="C361" s="13" t="s">
        <v>1225</v>
      </c>
      <c r="D361" s="13">
        <v>3</v>
      </c>
      <c r="E361" s="13">
        <v>3</v>
      </c>
    </row>
    <row r="362" spans="1:5">
      <c r="A362" s="13" t="s">
        <v>1226</v>
      </c>
      <c r="B362" s="13" t="s">
        <v>474</v>
      </c>
      <c r="C362" s="13" t="s">
        <v>568</v>
      </c>
      <c r="D362" s="13">
        <v>3</v>
      </c>
      <c r="E362" s="13">
        <v>3</v>
      </c>
    </row>
    <row r="363" spans="1:5">
      <c r="A363" s="13" t="s">
        <v>1227</v>
      </c>
      <c r="B363" s="13" t="s">
        <v>462</v>
      </c>
      <c r="C363" s="13" t="s">
        <v>1228</v>
      </c>
      <c r="D363" s="13">
        <v>3</v>
      </c>
      <c r="E363" s="13">
        <v>3</v>
      </c>
    </row>
    <row r="364" spans="1:5">
      <c r="A364" s="13" t="s">
        <v>1229</v>
      </c>
      <c r="B364" s="13" t="s">
        <v>455</v>
      </c>
      <c r="C364" s="13" t="s">
        <v>1230</v>
      </c>
      <c r="D364" s="13">
        <v>3</v>
      </c>
      <c r="E364" s="13">
        <v>3</v>
      </c>
    </row>
    <row r="365" spans="1:5">
      <c r="A365" s="13" t="s">
        <v>1231</v>
      </c>
      <c r="B365" s="13" t="s">
        <v>462</v>
      </c>
      <c r="C365" s="13" t="s">
        <v>1232</v>
      </c>
      <c r="D365" s="13">
        <v>3</v>
      </c>
      <c r="E365" s="13">
        <v>3</v>
      </c>
    </row>
    <row r="366" spans="1:5">
      <c r="A366" s="13" t="s">
        <v>1233</v>
      </c>
      <c r="B366" s="13" t="s">
        <v>436</v>
      </c>
      <c r="C366" s="13" t="s">
        <v>1234</v>
      </c>
      <c r="D366" s="13">
        <v>3</v>
      </c>
      <c r="E366" s="13">
        <v>2</v>
      </c>
    </row>
    <row r="367" spans="1:5">
      <c r="A367" s="13" t="s">
        <v>1235</v>
      </c>
      <c r="B367" s="13" t="s">
        <v>455</v>
      </c>
      <c r="C367" s="13" t="s">
        <v>1236</v>
      </c>
      <c r="D367" s="13">
        <v>3</v>
      </c>
      <c r="E367" s="13">
        <v>3</v>
      </c>
    </row>
    <row r="368" spans="1:5">
      <c r="A368" s="13" t="s">
        <v>1237</v>
      </c>
      <c r="B368" s="13" t="s">
        <v>462</v>
      </c>
      <c r="C368" s="13" t="s">
        <v>1238</v>
      </c>
      <c r="D368" s="13">
        <v>3</v>
      </c>
      <c r="E368" s="13">
        <v>3</v>
      </c>
    </row>
    <row r="369" spans="1:5">
      <c r="A369" s="13" t="s">
        <v>1239</v>
      </c>
      <c r="B369" s="13" t="s">
        <v>596</v>
      </c>
      <c r="C369" s="13" t="s">
        <v>1240</v>
      </c>
      <c r="D369" s="13">
        <v>3</v>
      </c>
      <c r="E369" s="13">
        <v>3</v>
      </c>
    </row>
    <row r="370" spans="1:5">
      <c r="A370" s="13" t="s">
        <v>1241</v>
      </c>
      <c r="B370" s="13" t="s">
        <v>436</v>
      </c>
      <c r="C370" s="13" t="s">
        <v>1242</v>
      </c>
      <c r="D370" s="13">
        <v>3</v>
      </c>
      <c r="E370" s="13">
        <v>3</v>
      </c>
    </row>
    <row r="371" spans="1:5">
      <c r="A371" s="13" t="s">
        <v>1245</v>
      </c>
      <c r="B371" s="13" t="s">
        <v>558</v>
      </c>
      <c r="C371" s="13" t="s">
        <v>1246</v>
      </c>
      <c r="D371" s="13">
        <v>3</v>
      </c>
      <c r="E371" s="13">
        <v>3</v>
      </c>
    </row>
    <row r="372" spans="1:5">
      <c r="A372" s="13" t="s">
        <v>1247</v>
      </c>
      <c r="B372" s="13" t="s">
        <v>499</v>
      </c>
      <c r="C372" s="13" t="s">
        <v>1248</v>
      </c>
      <c r="D372" s="13">
        <v>3</v>
      </c>
      <c r="E372" s="13">
        <v>3</v>
      </c>
    </row>
    <row r="373" spans="1:5">
      <c r="A373" s="13" t="s">
        <v>1252</v>
      </c>
      <c r="B373" s="13" t="s">
        <v>462</v>
      </c>
      <c r="C373" s="13" t="s">
        <v>1253</v>
      </c>
      <c r="D373" s="13">
        <v>3</v>
      </c>
      <c r="E373" s="13">
        <v>2</v>
      </c>
    </row>
    <row r="374" spans="1:5">
      <c r="A374" s="13" t="s">
        <v>1254</v>
      </c>
      <c r="B374" s="13" t="s">
        <v>436</v>
      </c>
      <c r="C374" s="13" t="s">
        <v>802</v>
      </c>
      <c r="D374" s="13">
        <v>3</v>
      </c>
      <c r="E374" s="13">
        <v>3</v>
      </c>
    </row>
    <row r="375" spans="1:5">
      <c r="A375" s="13" t="s">
        <v>1255</v>
      </c>
      <c r="B375" s="13" t="s">
        <v>432</v>
      </c>
      <c r="C375" s="13" t="s">
        <v>1256</v>
      </c>
      <c r="D375" s="13">
        <v>3</v>
      </c>
      <c r="E375" s="13">
        <v>3</v>
      </c>
    </row>
    <row r="376" spans="1:5">
      <c r="A376" s="13" t="s">
        <v>1257</v>
      </c>
      <c r="B376" s="13" t="s">
        <v>507</v>
      </c>
      <c r="C376" s="13" t="s">
        <v>1258</v>
      </c>
      <c r="D376" s="13">
        <v>3</v>
      </c>
      <c r="E376" s="13">
        <v>2</v>
      </c>
    </row>
    <row r="377" spans="1:5">
      <c r="A377" s="13" t="s">
        <v>1261</v>
      </c>
      <c r="B377" s="13" t="s">
        <v>462</v>
      </c>
      <c r="C377" s="13" t="s">
        <v>1262</v>
      </c>
      <c r="D377" s="13">
        <v>3</v>
      </c>
      <c r="E377" s="13">
        <v>2</v>
      </c>
    </row>
    <row r="378" spans="1:5">
      <c r="A378" s="13" t="s">
        <v>1267</v>
      </c>
      <c r="B378" s="13" t="s">
        <v>934</v>
      </c>
      <c r="C378" s="13" t="s">
        <v>1268</v>
      </c>
      <c r="D378" s="13">
        <v>3</v>
      </c>
      <c r="E378" s="13">
        <v>3</v>
      </c>
    </row>
    <row r="379" spans="1:5">
      <c r="A379" s="13" t="s">
        <v>1269</v>
      </c>
      <c r="B379" s="13" t="s">
        <v>495</v>
      </c>
      <c r="C379" s="13" t="s">
        <v>1270</v>
      </c>
      <c r="D379" s="13">
        <v>3</v>
      </c>
      <c r="E379" s="13">
        <v>3</v>
      </c>
    </row>
    <row r="380" spans="1:5">
      <c r="A380" s="13" t="s">
        <v>1271</v>
      </c>
      <c r="B380" s="13" t="s">
        <v>507</v>
      </c>
      <c r="C380" s="13" t="s">
        <v>1272</v>
      </c>
      <c r="D380" s="13">
        <v>3</v>
      </c>
      <c r="E380" s="13">
        <v>3</v>
      </c>
    </row>
    <row r="381" spans="1:5">
      <c r="A381" s="13" t="s">
        <v>1273</v>
      </c>
      <c r="B381" s="13" t="s">
        <v>436</v>
      </c>
      <c r="C381" s="13" t="s">
        <v>1274</v>
      </c>
      <c r="D381" s="13">
        <v>3</v>
      </c>
      <c r="E381" s="13">
        <v>3</v>
      </c>
    </row>
    <row r="382" spans="1:5">
      <c r="A382" s="13" t="s">
        <v>1275</v>
      </c>
      <c r="B382" s="13" t="s">
        <v>455</v>
      </c>
      <c r="C382" s="13" t="s">
        <v>1276</v>
      </c>
      <c r="D382" s="13">
        <v>3</v>
      </c>
      <c r="E382" s="13">
        <v>3</v>
      </c>
    </row>
    <row r="383" spans="1:5">
      <c r="A383" s="13" t="s">
        <v>1281</v>
      </c>
      <c r="B383" s="13" t="s">
        <v>596</v>
      </c>
      <c r="C383" s="13" t="s">
        <v>1282</v>
      </c>
      <c r="D383" s="13">
        <v>3</v>
      </c>
      <c r="E383" s="13">
        <v>3</v>
      </c>
    </row>
    <row r="384" spans="1:5">
      <c r="A384" s="13" t="s">
        <v>1283</v>
      </c>
      <c r="B384" s="13" t="s">
        <v>462</v>
      </c>
      <c r="C384" s="13" t="s">
        <v>1284</v>
      </c>
      <c r="D384" s="13">
        <v>3</v>
      </c>
      <c r="E384" s="13">
        <v>3</v>
      </c>
    </row>
    <row r="385" spans="1:5">
      <c r="A385" s="13" t="s">
        <v>1291</v>
      </c>
      <c r="B385" s="13" t="s">
        <v>677</v>
      </c>
      <c r="C385" s="13" t="s">
        <v>1292</v>
      </c>
      <c r="D385" s="13">
        <v>3</v>
      </c>
      <c r="E385" s="13">
        <v>3</v>
      </c>
    </row>
    <row r="386" spans="1:5">
      <c r="A386" s="13" t="s">
        <v>1293</v>
      </c>
      <c r="B386" s="13" t="s">
        <v>455</v>
      </c>
      <c r="C386" s="13" t="s">
        <v>1294</v>
      </c>
      <c r="D386" s="13">
        <v>3</v>
      </c>
      <c r="E386" s="13">
        <v>2</v>
      </c>
    </row>
    <row r="387" spans="1:5">
      <c r="A387" s="13" t="s">
        <v>1295</v>
      </c>
      <c r="B387" s="13" t="s">
        <v>436</v>
      </c>
      <c r="C387" s="13" t="s">
        <v>1296</v>
      </c>
      <c r="D387" s="13">
        <v>3</v>
      </c>
      <c r="E387" s="13">
        <v>3</v>
      </c>
    </row>
    <row r="388" spans="1:5">
      <c r="A388" s="13" t="s">
        <v>1300</v>
      </c>
      <c r="B388" s="13" t="s">
        <v>468</v>
      </c>
      <c r="C388" s="13" t="s">
        <v>1301</v>
      </c>
      <c r="D388" s="13">
        <v>3</v>
      </c>
      <c r="E388" s="13">
        <v>3</v>
      </c>
    </row>
    <row r="389" spans="1:5">
      <c r="A389" s="13" t="s">
        <v>1302</v>
      </c>
      <c r="B389" s="13" t="s">
        <v>436</v>
      </c>
      <c r="C389" s="13" t="s">
        <v>1303</v>
      </c>
      <c r="D389" s="13">
        <v>3</v>
      </c>
      <c r="E389" s="13">
        <v>3</v>
      </c>
    </row>
    <row r="390" spans="1:5">
      <c r="A390" s="13" t="s">
        <v>1306</v>
      </c>
      <c r="B390" s="13" t="s">
        <v>596</v>
      </c>
      <c r="C390" s="13" t="s">
        <v>1307</v>
      </c>
      <c r="D390" s="13">
        <v>3</v>
      </c>
      <c r="E390" s="13">
        <v>3</v>
      </c>
    </row>
    <row r="391" spans="1:5">
      <c r="A391" s="13" t="s">
        <v>1310</v>
      </c>
      <c r="B391" s="13" t="s">
        <v>432</v>
      </c>
      <c r="C391" s="13" t="s">
        <v>1311</v>
      </c>
      <c r="D391" s="13">
        <v>3</v>
      </c>
      <c r="E391" s="13">
        <v>3</v>
      </c>
    </row>
    <row r="392" spans="1:5">
      <c r="A392" s="13" t="s">
        <v>1314</v>
      </c>
      <c r="B392" s="13" t="s">
        <v>499</v>
      </c>
      <c r="C392" s="13" t="s">
        <v>1315</v>
      </c>
      <c r="D392" s="13">
        <v>3</v>
      </c>
      <c r="E392" s="13">
        <v>3</v>
      </c>
    </row>
    <row r="393" spans="1:5">
      <c r="A393" s="13" t="s">
        <v>1322</v>
      </c>
      <c r="B393" s="13" t="s">
        <v>677</v>
      </c>
      <c r="C393" s="13" t="s">
        <v>1323</v>
      </c>
      <c r="D393" s="13">
        <v>3</v>
      </c>
      <c r="E393" s="13">
        <v>3</v>
      </c>
    </row>
    <row r="394" spans="1:5">
      <c r="A394" s="13" t="s">
        <v>1326</v>
      </c>
      <c r="B394" s="13" t="s">
        <v>462</v>
      </c>
      <c r="C394" s="13" t="s">
        <v>1327</v>
      </c>
      <c r="D394" s="13">
        <v>3</v>
      </c>
      <c r="E394" s="13">
        <v>2</v>
      </c>
    </row>
    <row r="395" spans="1:5">
      <c r="A395" s="13" t="s">
        <v>1330</v>
      </c>
      <c r="B395" s="13" t="s">
        <v>436</v>
      </c>
      <c r="C395" s="13" t="s">
        <v>1331</v>
      </c>
      <c r="D395" s="13">
        <v>3</v>
      </c>
      <c r="E395" s="13">
        <v>3</v>
      </c>
    </row>
    <row r="396" spans="1:5">
      <c r="A396" s="13" t="s">
        <v>1336</v>
      </c>
      <c r="B396" s="13" t="s">
        <v>673</v>
      </c>
      <c r="C396" s="13" t="s">
        <v>1337</v>
      </c>
      <c r="D396" s="13">
        <v>3</v>
      </c>
      <c r="E396" s="13">
        <v>3</v>
      </c>
    </row>
    <row r="397" spans="1:5">
      <c r="A397" s="13" t="s">
        <v>1342</v>
      </c>
      <c r="B397" s="13" t="s">
        <v>436</v>
      </c>
      <c r="C397" s="13" t="s">
        <v>1343</v>
      </c>
      <c r="D397" s="13">
        <v>3</v>
      </c>
      <c r="E397" s="13">
        <v>3</v>
      </c>
    </row>
    <row r="398" spans="1:5">
      <c r="A398" s="13" t="s">
        <v>1344</v>
      </c>
      <c r="B398" s="13" t="s">
        <v>436</v>
      </c>
      <c r="C398" s="13" t="s">
        <v>1345</v>
      </c>
      <c r="D398" s="13">
        <v>3</v>
      </c>
      <c r="E398" s="13">
        <v>3</v>
      </c>
    </row>
    <row r="399" spans="1:5">
      <c r="A399" s="13" t="s">
        <v>1346</v>
      </c>
      <c r="B399" s="13" t="s">
        <v>558</v>
      </c>
      <c r="C399" s="13" t="s">
        <v>1347</v>
      </c>
      <c r="D399" s="13">
        <v>3</v>
      </c>
      <c r="E399" s="13">
        <v>3</v>
      </c>
    </row>
    <row r="400" spans="1:5">
      <c r="A400" s="13" t="s">
        <v>1354</v>
      </c>
      <c r="B400" s="13" t="s">
        <v>462</v>
      </c>
      <c r="C400" s="13" t="s">
        <v>1355</v>
      </c>
      <c r="D400" s="13">
        <v>3</v>
      </c>
      <c r="E400" s="13">
        <v>3</v>
      </c>
    </row>
    <row r="401" spans="1:5">
      <c r="A401" s="13" t="s">
        <v>1356</v>
      </c>
      <c r="B401" s="13" t="s">
        <v>499</v>
      </c>
      <c r="C401" s="13" t="s">
        <v>1357</v>
      </c>
      <c r="D401" s="13">
        <v>3</v>
      </c>
      <c r="E401" s="13">
        <v>2</v>
      </c>
    </row>
    <row r="402" spans="1:5">
      <c r="A402" s="13" t="s">
        <v>1358</v>
      </c>
      <c r="B402" s="13" t="s">
        <v>436</v>
      </c>
      <c r="C402" s="13" t="s">
        <v>1359</v>
      </c>
      <c r="D402" s="13">
        <v>3</v>
      </c>
      <c r="E402" s="13">
        <v>3</v>
      </c>
    </row>
    <row r="403" spans="1:5">
      <c r="A403" s="13" t="s">
        <v>1360</v>
      </c>
      <c r="B403" s="13" t="s">
        <v>677</v>
      </c>
      <c r="C403" s="13" t="s">
        <v>1361</v>
      </c>
      <c r="D403" s="13">
        <v>3</v>
      </c>
      <c r="E403" s="13">
        <v>3</v>
      </c>
    </row>
    <row r="404" spans="1:5">
      <c r="A404" s="13" t="s">
        <v>1362</v>
      </c>
      <c r="B404" s="13" t="s">
        <v>462</v>
      </c>
      <c r="C404" s="13" t="s">
        <v>1363</v>
      </c>
      <c r="D404" s="13">
        <v>3</v>
      </c>
      <c r="E404" s="13">
        <v>3</v>
      </c>
    </row>
    <row r="405" spans="1:5">
      <c r="A405" s="13" t="s">
        <v>1366</v>
      </c>
      <c r="B405" s="13" t="s">
        <v>673</v>
      </c>
      <c r="C405" s="13" t="s">
        <v>1367</v>
      </c>
      <c r="D405" s="13">
        <v>3</v>
      </c>
      <c r="E405" s="13">
        <v>3</v>
      </c>
    </row>
    <row r="406" spans="1:5">
      <c r="A406" s="13" t="s">
        <v>1368</v>
      </c>
      <c r="B406" s="13" t="s">
        <v>432</v>
      </c>
      <c r="C406" s="13" t="s">
        <v>1369</v>
      </c>
      <c r="D406" s="13">
        <v>3</v>
      </c>
      <c r="E406" s="13">
        <v>3</v>
      </c>
    </row>
    <row r="407" spans="1:5">
      <c r="A407" s="13" t="s">
        <v>1373</v>
      </c>
      <c r="B407" s="13" t="s">
        <v>507</v>
      </c>
      <c r="C407" s="13" t="s">
        <v>1374</v>
      </c>
      <c r="D407" s="13">
        <v>3</v>
      </c>
      <c r="E407" s="13">
        <v>3</v>
      </c>
    </row>
    <row r="408" spans="1:5">
      <c r="A408" s="13" t="s">
        <v>1377</v>
      </c>
      <c r="B408" s="13" t="s">
        <v>518</v>
      </c>
      <c r="C408" s="13" t="s">
        <v>1378</v>
      </c>
      <c r="D408" s="13">
        <v>3</v>
      </c>
      <c r="E408" s="13">
        <v>3</v>
      </c>
    </row>
    <row r="409" spans="1:5">
      <c r="A409" s="13" t="s">
        <v>1385</v>
      </c>
      <c r="B409" s="13" t="s">
        <v>462</v>
      </c>
      <c r="C409" s="13" t="s">
        <v>1386</v>
      </c>
      <c r="D409" s="13">
        <v>3</v>
      </c>
      <c r="E409" s="13">
        <v>3</v>
      </c>
    </row>
    <row r="410" spans="1:5">
      <c r="A410" s="13" t="s">
        <v>1387</v>
      </c>
      <c r="B410" s="13" t="s">
        <v>673</v>
      </c>
      <c r="C410" s="13" t="s">
        <v>1388</v>
      </c>
      <c r="D410" s="13">
        <v>3</v>
      </c>
      <c r="E410" s="13">
        <v>2</v>
      </c>
    </row>
    <row r="411" spans="1:5">
      <c r="A411" s="13" t="s">
        <v>1389</v>
      </c>
      <c r="B411" s="13" t="s">
        <v>934</v>
      </c>
      <c r="C411" s="13" t="s">
        <v>1193</v>
      </c>
      <c r="D411" s="13">
        <v>3</v>
      </c>
      <c r="E411" s="13">
        <v>3</v>
      </c>
    </row>
    <row r="412" spans="1:5">
      <c r="A412" s="13" t="s">
        <v>1390</v>
      </c>
      <c r="B412" s="13" t="s">
        <v>499</v>
      </c>
      <c r="C412" s="13" t="s">
        <v>1391</v>
      </c>
      <c r="D412" s="13">
        <v>3</v>
      </c>
      <c r="E412" s="13">
        <v>2</v>
      </c>
    </row>
    <row r="413" spans="1:5">
      <c r="A413" s="13" t="s">
        <v>1398</v>
      </c>
      <c r="B413" s="13" t="s">
        <v>558</v>
      </c>
      <c r="C413" s="13" t="s">
        <v>1399</v>
      </c>
      <c r="D413" s="13">
        <v>3</v>
      </c>
      <c r="E413" s="13">
        <v>3</v>
      </c>
    </row>
    <row r="414" spans="1:5">
      <c r="A414" s="13" t="s">
        <v>1402</v>
      </c>
      <c r="B414" s="13" t="s">
        <v>481</v>
      </c>
      <c r="C414" s="13" t="s">
        <v>1403</v>
      </c>
      <c r="D414" s="13">
        <v>3</v>
      </c>
      <c r="E414" s="13">
        <v>4</v>
      </c>
    </row>
    <row r="415" spans="1:5">
      <c r="A415" s="13" t="s">
        <v>1406</v>
      </c>
      <c r="B415" s="13" t="s">
        <v>558</v>
      </c>
      <c r="C415" s="13" t="s">
        <v>495</v>
      </c>
      <c r="D415" s="13">
        <v>3</v>
      </c>
      <c r="E415" s="13">
        <v>3</v>
      </c>
    </row>
    <row r="416" spans="1:5">
      <c r="A416" s="13" t="s">
        <v>1407</v>
      </c>
      <c r="B416" s="13" t="s">
        <v>568</v>
      </c>
      <c r="C416" s="13" t="s">
        <v>1408</v>
      </c>
      <c r="D416" s="13">
        <v>3</v>
      </c>
      <c r="E416" s="13">
        <v>3</v>
      </c>
    </row>
    <row r="417" spans="1:5">
      <c r="A417" s="13" t="s">
        <v>1409</v>
      </c>
      <c r="B417" s="13" t="s">
        <v>432</v>
      </c>
      <c r="C417" s="13" t="s">
        <v>1410</v>
      </c>
      <c r="D417" s="13">
        <v>3</v>
      </c>
      <c r="E417" s="13">
        <v>3</v>
      </c>
    </row>
    <row r="418" spans="1:5">
      <c r="A418" s="13" t="s">
        <v>1413</v>
      </c>
      <c r="B418" s="13" t="s">
        <v>934</v>
      </c>
      <c r="C418" s="13" t="s">
        <v>1414</v>
      </c>
      <c r="D418" s="13">
        <v>3</v>
      </c>
      <c r="E418" s="13">
        <v>3</v>
      </c>
    </row>
    <row r="419" spans="1:5">
      <c r="A419" s="13" t="s">
        <v>1415</v>
      </c>
      <c r="B419" s="13" t="s">
        <v>673</v>
      </c>
      <c r="C419" s="13" t="s">
        <v>1416</v>
      </c>
      <c r="D419" s="13">
        <v>3</v>
      </c>
      <c r="E419" s="13">
        <v>3</v>
      </c>
    </row>
    <row r="420" spans="1:5">
      <c r="A420" s="13" t="s">
        <v>1417</v>
      </c>
      <c r="B420" s="13" t="s">
        <v>677</v>
      </c>
      <c r="C420" s="13" t="s">
        <v>765</v>
      </c>
      <c r="D420" s="13">
        <v>3</v>
      </c>
      <c r="E420" s="13">
        <v>3</v>
      </c>
    </row>
    <row r="421" spans="1:5">
      <c r="A421" s="13" t="s">
        <v>1418</v>
      </c>
      <c r="B421" s="13" t="s">
        <v>673</v>
      </c>
      <c r="C421" s="13" t="s">
        <v>1419</v>
      </c>
      <c r="D421" s="13">
        <v>3</v>
      </c>
      <c r="E421" s="13">
        <v>3</v>
      </c>
    </row>
    <row r="422" spans="1:5">
      <c r="A422" s="13" t="s">
        <v>1420</v>
      </c>
      <c r="B422" s="13" t="s">
        <v>558</v>
      </c>
      <c r="C422" s="13" t="s">
        <v>1421</v>
      </c>
      <c r="D422" s="13">
        <v>3</v>
      </c>
      <c r="E422" s="13">
        <v>3</v>
      </c>
    </row>
    <row r="423" spans="1:5">
      <c r="A423" s="13" t="s">
        <v>1422</v>
      </c>
      <c r="B423" s="13" t="s">
        <v>518</v>
      </c>
      <c r="C423" s="13" t="s">
        <v>1423</v>
      </c>
      <c r="D423" s="13">
        <v>3</v>
      </c>
      <c r="E423" s="13">
        <v>3</v>
      </c>
    </row>
    <row r="424" spans="1:5">
      <c r="A424" s="13" t="s">
        <v>1424</v>
      </c>
      <c r="B424" s="13" t="s">
        <v>894</v>
      </c>
      <c r="C424" s="13" t="s">
        <v>1425</v>
      </c>
      <c r="D424" s="13">
        <v>3</v>
      </c>
      <c r="E424" s="13">
        <v>3</v>
      </c>
    </row>
    <row r="425" spans="1:5">
      <c r="A425" s="13" t="s">
        <v>1426</v>
      </c>
      <c r="B425" s="13" t="s">
        <v>432</v>
      </c>
      <c r="C425" s="13" t="s">
        <v>1427</v>
      </c>
      <c r="D425" s="13">
        <v>3</v>
      </c>
      <c r="E425" s="13">
        <v>3</v>
      </c>
    </row>
    <row r="426" spans="1:5">
      <c r="A426" s="13" t="s">
        <v>1432</v>
      </c>
      <c r="B426" s="13" t="s">
        <v>432</v>
      </c>
      <c r="C426" s="13" t="s">
        <v>1433</v>
      </c>
      <c r="D426" s="13">
        <v>3</v>
      </c>
      <c r="E426" s="13">
        <v>3</v>
      </c>
    </row>
    <row r="427" spans="1:5">
      <c r="A427" s="13" t="s">
        <v>1434</v>
      </c>
      <c r="B427" s="13" t="s">
        <v>462</v>
      </c>
      <c r="C427" s="13" t="s">
        <v>1435</v>
      </c>
      <c r="D427" s="13">
        <v>3</v>
      </c>
      <c r="E427" s="13">
        <v>3</v>
      </c>
    </row>
    <row r="428" spans="1:5">
      <c r="A428" s="13" t="s">
        <v>1436</v>
      </c>
      <c r="B428" s="13" t="s">
        <v>518</v>
      </c>
      <c r="C428" s="13" t="s">
        <v>1437</v>
      </c>
      <c r="D428" s="13">
        <v>3</v>
      </c>
      <c r="E428" s="13">
        <v>3</v>
      </c>
    </row>
    <row r="429" spans="1:5">
      <c r="A429" s="13" t="s">
        <v>1438</v>
      </c>
      <c r="B429" s="13" t="s">
        <v>568</v>
      </c>
      <c r="C429" s="13" t="s">
        <v>1439</v>
      </c>
      <c r="D429" s="13">
        <v>3</v>
      </c>
      <c r="E429" s="13">
        <v>3</v>
      </c>
    </row>
    <row r="430" spans="1:5">
      <c r="A430" s="13" t="s">
        <v>1444</v>
      </c>
      <c r="B430" s="13" t="s">
        <v>432</v>
      </c>
      <c r="C430" s="13" t="s">
        <v>1445</v>
      </c>
      <c r="D430" s="13">
        <v>3</v>
      </c>
      <c r="E430" s="13">
        <v>3</v>
      </c>
    </row>
    <row r="431" spans="1:5">
      <c r="A431" s="13" t="s">
        <v>1446</v>
      </c>
      <c r="B431" s="13" t="s">
        <v>499</v>
      </c>
      <c r="C431" s="13" t="s">
        <v>1447</v>
      </c>
      <c r="D431" s="13">
        <v>3</v>
      </c>
      <c r="E431" s="13">
        <v>3</v>
      </c>
    </row>
    <row r="432" spans="1:5">
      <c r="A432" s="13" t="s">
        <v>1448</v>
      </c>
      <c r="B432" s="13" t="s">
        <v>639</v>
      </c>
      <c r="C432" s="13" t="s">
        <v>1449</v>
      </c>
      <c r="D432" s="13">
        <v>3</v>
      </c>
      <c r="E432" s="13">
        <v>3</v>
      </c>
    </row>
    <row r="433" spans="1:5">
      <c r="A433" s="13" t="s">
        <v>1450</v>
      </c>
      <c r="B433" s="13" t="s">
        <v>606</v>
      </c>
      <c r="C433" s="13" t="s">
        <v>837</v>
      </c>
      <c r="D433" s="13">
        <v>3</v>
      </c>
      <c r="E433" s="13">
        <v>3</v>
      </c>
    </row>
    <row r="434" spans="1:5">
      <c r="A434" s="13" t="s">
        <v>1451</v>
      </c>
      <c r="B434" s="13" t="s">
        <v>462</v>
      </c>
      <c r="C434" s="13" t="s">
        <v>1452</v>
      </c>
      <c r="D434" s="13">
        <v>3</v>
      </c>
      <c r="E434" s="13">
        <v>3</v>
      </c>
    </row>
    <row r="435" spans="1:5">
      <c r="A435" s="13" t="s">
        <v>1453</v>
      </c>
      <c r="B435" s="13" t="s">
        <v>568</v>
      </c>
      <c r="C435" s="13" t="s">
        <v>1454</v>
      </c>
      <c r="D435" s="13">
        <v>3</v>
      </c>
      <c r="E435" s="13">
        <v>3</v>
      </c>
    </row>
    <row r="436" spans="1:5">
      <c r="A436" s="13" t="s">
        <v>1455</v>
      </c>
      <c r="B436" s="13" t="s">
        <v>507</v>
      </c>
      <c r="C436" s="13" t="s">
        <v>1278</v>
      </c>
      <c r="D436" s="13">
        <v>3</v>
      </c>
      <c r="E436" s="13">
        <v>3</v>
      </c>
    </row>
    <row r="437" spans="1:5">
      <c r="A437" s="13" t="s">
        <v>1456</v>
      </c>
      <c r="B437" s="13" t="s">
        <v>499</v>
      </c>
      <c r="C437" s="13" t="s">
        <v>1457</v>
      </c>
      <c r="D437" s="13">
        <v>3</v>
      </c>
      <c r="E437" s="13">
        <v>3</v>
      </c>
    </row>
    <row r="438" spans="1:5">
      <c r="A438" s="13" t="s">
        <v>1458</v>
      </c>
      <c r="B438" s="13" t="s">
        <v>673</v>
      </c>
      <c r="C438" s="13" t="s">
        <v>1459</v>
      </c>
      <c r="D438" s="13">
        <v>3</v>
      </c>
      <c r="E438" s="13">
        <v>3</v>
      </c>
    </row>
    <row r="439" spans="1:5">
      <c r="A439" s="13" t="s">
        <v>1460</v>
      </c>
      <c r="B439" s="13" t="s">
        <v>462</v>
      </c>
      <c r="C439" s="13" t="s">
        <v>1461</v>
      </c>
      <c r="D439" s="13">
        <v>3</v>
      </c>
      <c r="E439" s="13">
        <v>3</v>
      </c>
    </row>
    <row r="440" spans="1:5">
      <c r="A440" s="13" t="s">
        <v>1462</v>
      </c>
      <c r="B440" s="13" t="s">
        <v>1464</v>
      </c>
      <c r="C440" s="13" t="s">
        <v>1246</v>
      </c>
      <c r="D440" s="13">
        <v>3</v>
      </c>
      <c r="E440" s="13">
        <v>3</v>
      </c>
    </row>
    <row r="441" spans="1:5">
      <c r="A441" s="13" t="s">
        <v>1465</v>
      </c>
      <c r="B441" s="13" t="s">
        <v>499</v>
      </c>
      <c r="C441" s="13" t="s">
        <v>1466</v>
      </c>
      <c r="D441" s="13">
        <v>3</v>
      </c>
      <c r="E441" s="13">
        <v>2</v>
      </c>
    </row>
    <row r="442" spans="1:5">
      <c r="A442" s="13" t="s">
        <v>1469</v>
      </c>
      <c r="B442" s="13" t="s">
        <v>518</v>
      </c>
      <c r="C442" s="13" t="s">
        <v>1470</v>
      </c>
      <c r="D442" s="13">
        <v>3</v>
      </c>
      <c r="E442" s="13">
        <v>3</v>
      </c>
    </row>
    <row r="443" spans="1:5">
      <c r="A443" s="13" t="s">
        <v>1471</v>
      </c>
      <c r="B443" s="13" t="s">
        <v>462</v>
      </c>
      <c r="C443" s="13" t="s">
        <v>1472</v>
      </c>
      <c r="D443" s="13">
        <v>3</v>
      </c>
      <c r="E443" s="13">
        <v>3</v>
      </c>
    </row>
    <row r="444" spans="1:5">
      <c r="A444" s="13" t="s">
        <v>1473</v>
      </c>
      <c r="B444" s="13" t="s">
        <v>518</v>
      </c>
      <c r="C444" s="13" t="s">
        <v>1474</v>
      </c>
      <c r="D444" s="13">
        <v>3</v>
      </c>
      <c r="E444" s="13">
        <v>3</v>
      </c>
    </row>
    <row r="445" spans="1:5">
      <c r="A445" s="13" t="s">
        <v>1475</v>
      </c>
      <c r="B445" s="13" t="s">
        <v>462</v>
      </c>
      <c r="C445" s="13" t="s">
        <v>1476</v>
      </c>
      <c r="D445" s="13">
        <v>3</v>
      </c>
      <c r="E445" s="13">
        <v>3</v>
      </c>
    </row>
    <row r="446" spans="1:5">
      <c r="A446" s="13" t="s">
        <v>1479</v>
      </c>
      <c r="B446" s="13" t="s">
        <v>436</v>
      </c>
      <c r="C446" s="13" t="s">
        <v>1480</v>
      </c>
      <c r="D446" s="13">
        <v>3</v>
      </c>
      <c r="E446" s="13">
        <v>3</v>
      </c>
    </row>
    <row r="447" spans="1:5">
      <c r="A447" s="13" t="s">
        <v>1481</v>
      </c>
      <c r="B447" s="13" t="s">
        <v>894</v>
      </c>
      <c r="C447" s="13" t="s">
        <v>1482</v>
      </c>
      <c r="D447" s="13">
        <v>3</v>
      </c>
      <c r="E447" s="13">
        <v>3</v>
      </c>
    </row>
    <row r="448" spans="1:5">
      <c r="A448" s="13" t="s">
        <v>1483</v>
      </c>
      <c r="B448" s="13" t="s">
        <v>499</v>
      </c>
      <c r="C448" s="13" t="s">
        <v>1484</v>
      </c>
      <c r="D448" s="13">
        <v>3</v>
      </c>
      <c r="E448" s="13">
        <v>2</v>
      </c>
    </row>
    <row r="449" spans="1:5">
      <c r="A449" s="13" t="s">
        <v>1499</v>
      </c>
      <c r="B449" s="13" t="s">
        <v>462</v>
      </c>
      <c r="C449" s="13" t="s">
        <v>1500</v>
      </c>
      <c r="D449" s="13">
        <v>3</v>
      </c>
      <c r="E449" s="13">
        <v>3</v>
      </c>
    </row>
    <row r="450" spans="1:5">
      <c r="A450" s="13" t="s">
        <v>1503</v>
      </c>
      <c r="B450" s="13" t="s">
        <v>499</v>
      </c>
      <c r="C450" s="13" t="s">
        <v>1504</v>
      </c>
      <c r="D450" s="13">
        <v>3</v>
      </c>
      <c r="E450" s="13">
        <v>2</v>
      </c>
    </row>
    <row r="451" spans="1:5">
      <c r="A451" s="13" t="s">
        <v>1505</v>
      </c>
      <c r="B451" s="13" t="s">
        <v>934</v>
      </c>
      <c r="C451" s="13" t="s">
        <v>1506</v>
      </c>
      <c r="D451" s="13">
        <v>3</v>
      </c>
      <c r="E451" s="13">
        <v>3</v>
      </c>
    </row>
    <row r="452" spans="1:5">
      <c r="A452" s="13" t="s">
        <v>1507</v>
      </c>
      <c r="B452" s="13" t="s">
        <v>507</v>
      </c>
      <c r="C452" s="13" t="s">
        <v>1508</v>
      </c>
      <c r="D452" s="13">
        <v>3</v>
      </c>
      <c r="E452" s="13">
        <v>3</v>
      </c>
    </row>
    <row r="453" spans="1:5">
      <c r="A453" s="13" t="s">
        <v>1509</v>
      </c>
      <c r="B453" s="13" t="s">
        <v>432</v>
      </c>
      <c r="C453" s="13" t="s">
        <v>1510</v>
      </c>
      <c r="D453" s="13">
        <v>3</v>
      </c>
      <c r="E453" s="13">
        <v>3</v>
      </c>
    </row>
    <row r="454" spans="1:5">
      <c r="A454" s="13" t="s">
        <v>1527</v>
      </c>
      <c r="B454" s="13" t="s">
        <v>455</v>
      </c>
      <c r="C454" s="13" t="s">
        <v>1528</v>
      </c>
      <c r="D454" s="13">
        <v>3</v>
      </c>
      <c r="E454" s="13">
        <v>3</v>
      </c>
    </row>
    <row r="455" spans="1:5">
      <c r="A455" s="13" t="s">
        <v>1531</v>
      </c>
      <c r="B455" s="13" t="s">
        <v>462</v>
      </c>
      <c r="C455" s="13" t="s">
        <v>1532</v>
      </c>
      <c r="D455" s="13">
        <v>3</v>
      </c>
      <c r="E455" s="13">
        <v>3</v>
      </c>
    </row>
    <row r="456" spans="1:5">
      <c r="A456" s="13" t="s">
        <v>1539</v>
      </c>
      <c r="B456" s="13" t="s">
        <v>894</v>
      </c>
      <c r="C456" s="13" t="s">
        <v>1540</v>
      </c>
      <c r="D456" s="13">
        <v>3</v>
      </c>
      <c r="E456" s="13">
        <v>3</v>
      </c>
    </row>
    <row r="457" spans="1:5">
      <c r="A457" s="13" t="s">
        <v>1547</v>
      </c>
      <c r="B457" s="13" t="s">
        <v>436</v>
      </c>
      <c r="C457" s="13" t="s">
        <v>1548</v>
      </c>
      <c r="D457" s="13">
        <v>3</v>
      </c>
      <c r="E457" s="13">
        <v>3</v>
      </c>
    </row>
    <row r="458" spans="1:5">
      <c r="A458" s="13" t="s">
        <v>1551</v>
      </c>
      <c r="B458" s="13" t="s">
        <v>462</v>
      </c>
      <c r="C458" s="13" t="s">
        <v>1552</v>
      </c>
      <c r="D458" s="13">
        <v>3</v>
      </c>
      <c r="E458" s="13">
        <v>3</v>
      </c>
    </row>
    <row r="459" spans="1:5">
      <c r="A459" s="13" t="s">
        <v>1553</v>
      </c>
      <c r="B459" s="13" t="s">
        <v>481</v>
      </c>
      <c r="C459" s="13" t="s">
        <v>1554</v>
      </c>
      <c r="D459" s="13">
        <v>3</v>
      </c>
      <c r="E459" s="13">
        <v>3</v>
      </c>
    </row>
    <row r="460" spans="1:5">
      <c r="A460" s="13" t="s">
        <v>1555</v>
      </c>
      <c r="B460" s="13" t="s">
        <v>436</v>
      </c>
      <c r="C460" s="13" t="s">
        <v>1556</v>
      </c>
      <c r="D460" s="13">
        <v>3</v>
      </c>
      <c r="E460" s="13">
        <v>3</v>
      </c>
    </row>
    <row r="461" spans="1:5">
      <c r="A461" s="13" t="s">
        <v>1557</v>
      </c>
      <c r="B461" s="13" t="s">
        <v>673</v>
      </c>
      <c r="C461" s="13" t="s">
        <v>1558</v>
      </c>
      <c r="D461" s="13">
        <v>3</v>
      </c>
      <c r="E461" s="13">
        <v>3</v>
      </c>
    </row>
    <row r="462" spans="1:5">
      <c r="A462" s="13" t="s">
        <v>1561</v>
      </c>
      <c r="B462" s="13" t="s">
        <v>677</v>
      </c>
      <c r="C462" s="13" t="s">
        <v>1562</v>
      </c>
      <c r="D462" s="13">
        <v>3</v>
      </c>
      <c r="E462" s="13">
        <v>3</v>
      </c>
    </row>
    <row r="463" spans="1:5">
      <c r="A463" s="13" t="s">
        <v>1565</v>
      </c>
      <c r="B463" s="13" t="s">
        <v>455</v>
      </c>
      <c r="C463" s="13" t="s">
        <v>1566</v>
      </c>
      <c r="D463" s="13">
        <v>3</v>
      </c>
      <c r="E463" s="13">
        <v>3</v>
      </c>
    </row>
    <row r="464" spans="1:5">
      <c r="A464" s="13" t="s">
        <v>1567</v>
      </c>
      <c r="B464" s="13" t="s">
        <v>1569</v>
      </c>
      <c r="C464" s="13" t="s">
        <v>1570</v>
      </c>
      <c r="D464" s="13">
        <v>3</v>
      </c>
      <c r="E464" s="13">
        <v>3</v>
      </c>
    </row>
    <row r="465" spans="1:5">
      <c r="A465" s="13" t="s">
        <v>1571</v>
      </c>
      <c r="B465" s="13" t="s">
        <v>558</v>
      </c>
      <c r="C465" s="13" t="s">
        <v>1572</v>
      </c>
      <c r="D465" s="13">
        <v>3</v>
      </c>
      <c r="E465" s="13">
        <v>3</v>
      </c>
    </row>
    <row r="466" spans="1:5">
      <c r="A466" s="13" t="s">
        <v>1573</v>
      </c>
      <c r="B466" s="13" t="s">
        <v>499</v>
      </c>
      <c r="C466" s="13" t="s">
        <v>1574</v>
      </c>
      <c r="D466" s="13">
        <v>3</v>
      </c>
      <c r="E466" s="13">
        <v>3</v>
      </c>
    </row>
    <row r="467" spans="1:5">
      <c r="A467" s="13" t="s">
        <v>1579</v>
      </c>
      <c r="B467" s="13" t="s">
        <v>639</v>
      </c>
      <c r="C467" s="13" t="s">
        <v>1580</v>
      </c>
      <c r="D467" s="13">
        <v>3</v>
      </c>
      <c r="E467" s="13">
        <v>3</v>
      </c>
    </row>
    <row r="468" spans="1:5">
      <c r="A468" s="13" t="s">
        <v>1583</v>
      </c>
      <c r="B468" s="13" t="s">
        <v>432</v>
      </c>
      <c r="C468" s="13" t="s">
        <v>1584</v>
      </c>
      <c r="D468" s="13">
        <v>3</v>
      </c>
      <c r="E468" s="13">
        <v>3</v>
      </c>
    </row>
    <row r="469" spans="1:5">
      <c r="A469" s="13" t="s">
        <v>1585</v>
      </c>
      <c r="B469" s="13" t="s">
        <v>499</v>
      </c>
      <c r="C469" s="13" t="s">
        <v>1586</v>
      </c>
      <c r="D469" s="13">
        <v>3</v>
      </c>
      <c r="E469" s="13">
        <v>3</v>
      </c>
    </row>
    <row r="470" spans="1:5">
      <c r="A470" s="13" t="s">
        <v>1587</v>
      </c>
      <c r="B470" s="13" t="s">
        <v>596</v>
      </c>
      <c r="C470" s="13" t="s">
        <v>1588</v>
      </c>
      <c r="D470" s="13">
        <v>3</v>
      </c>
      <c r="E470" s="13">
        <v>3</v>
      </c>
    </row>
    <row r="471" spans="1:5">
      <c r="A471" s="13" t="s">
        <v>1591</v>
      </c>
      <c r="B471" s="13" t="s">
        <v>462</v>
      </c>
      <c r="C471" s="13" t="s">
        <v>1592</v>
      </c>
      <c r="D471" s="13">
        <v>3</v>
      </c>
      <c r="E471" s="13">
        <v>3</v>
      </c>
    </row>
    <row r="472" spans="1:5">
      <c r="A472" s="13" t="s">
        <v>1593</v>
      </c>
      <c r="B472" s="13" t="s">
        <v>677</v>
      </c>
      <c r="C472" s="13" t="s">
        <v>1594</v>
      </c>
      <c r="D472" s="13">
        <v>3</v>
      </c>
      <c r="E472" s="13">
        <v>3</v>
      </c>
    </row>
    <row r="473" spans="1:5">
      <c r="A473" s="13" t="s">
        <v>1603</v>
      </c>
      <c r="B473" s="13" t="s">
        <v>432</v>
      </c>
      <c r="C473" s="13" t="s">
        <v>1604</v>
      </c>
      <c r="D473" s="13">
        <v>3</v>
      </c>
      <c r="E473" s="13">
        <v>3</v>
      </c>
    </row>
    <row r="474" spans="1:5">
      <c r="A474" s="13" t="s">
        <v>1609</v>
      </c>
      <c r="B474" s="13" t="s">
        <v>481</v>
      </c>
      <c r="C474" s="13" t="s">
        <v>1610</v>
      </c>
      <c r="D474" s="13">
        <v>3</v>
      </c>
      <c r="E474" s="13">
        <v>3</v>
      </c>
    </row>
    <row r="475" spans="1:5">
      <c r="A475" s="13" t="s">
        <v>1617</v>
      </c>
      <c r="B475" s="13" t="s">
        <v>462</v>
      </c>
      <c r="C475" s="13" t="s">
        <v>1011</v>
      </c>
      <c r="D475" s="13">
        <v>3</v>
      </c>
      <c r="E475" s="13">
        <v>3</v>
      </c>
    </row>
    <row r="476" spans="1:5">
      <c r="A476" s="13" t="s">
        <v>1618</v>
      </c>
      <c r="B476" s="13" t="s">
        <v>499</v>
      </c>
      <c r="C476" s="13" t="s">
        <v>1619</v>
      </c>
      <c r="D476" s="13">
        <v>3</v>
      </c>
      <c r="E476" s="13">
        <v>3</v>
      </c>
    </row>
    <row r="477" spans="1:5">
      <c r="A477" s="13" t="s">
        <v>1623</v>
      </c>
      <c r="B477" s="13" t="s">
        <v>499</v>
      </c>
      <c r="C477" s="13" t="s">
        <v>1624</v>
      </c>
      <c r="D477" s="13">
        <v>3</v>
      </c>
      <c r="E477" s="13">
        <v>3</v>
      </c>
    </row>
    <row r="478" spans="1:5">
      <c r="A478" s="13" t="s">
        <v>1627</v>
      </c>
      <c r="B478" s="13" t="s">
        <v>462</v>
      </c>
      <c r="C478" s="13" t="s">
        <v>1628</v>
      </c>
      <c r="D478" s="13">
        <v>3</v>
      </c>
      <c r="E478" s="13">
        <v>3</v>
      </c>
    </row>
    <row r="479" spans="1:5">
      <c r="A479" s="13" t="s">
        <v>1631</v>
      </c>
      <c r="B479" s="13" t="s">
        <v>499</v>
      </c>
      <c r="C479" s="13" t="s">
        <v>1632</v>
      </c>
      <c r="D479" s="13">
        <v>3</v>
      </c>
      <c r="E479" s="13">
        <v>3</v>
      </c>
    </row>
    <row r="480" spans="1:5">
      <c r="A480" s="13" t="s">
        <v>1633</v>
      </c>
      <c r="B480" s="13" t="s">
        <v>432</v>
      </c>
      <c r="C480" s="13" t="s">
        <v>1634</v>
      </c>
      <c r="D480" s="13">
        <v>3</v>
      </c>
      <c r="E480" s="13">
        <v>3</v>
      </c>
    </row>
    <row r="481" spans="1:5">
      <c r="A481" s="13" t="s">
        <v>1635</v>
      </c>
      <c r="B481" s="13" t="s">
        <v>1352</v>
      </c>
      <c r="C481" s="13" t="s">
        <v>720</v>
      </c>
      <c r="D481" s="13">
        <v>3</v>
      </c>
      <c r="E481" s="13">
        <v>3</v>
      </c>
    </row>
    <row r="482" spans="1:5">
      <c r="A482" s="13" t="s">
        <v>1638</v>
      </c>
      <c r="B482" s="13" t="s">
        <v>499</v>
      </c>
      <c r="C482" s="13" t="s">
        <v>1064</v>
      </c>
      <c r="D482" s="13">
        <v>3</v>
      </c>
      <c r="E482" s="13">
        <v>3</v>
      </c>
    </row>
    <row r="483" spans="1:5">
      <c r="A483" s="13" t="s">
        <v>1641</v>
      </c>
      <c r="B483" s="13" t="s">
        <v>677</v>
      </c>
      <c r="C483" s="13" t="s">
        <v>1642</v>
      </c>
      <c r="D483" s="13">
        <v>3</v>
      </c>
      <c r="E483" s="13">
        <v>3</v>
      </c>
    </row>
    <row r="484" spans="1:5">
      <c r="A484" s="13" t="s">
        <v>1644</v>
      </c>
      <c r="B484" s="13" t="s">
        <v>462</v>
      </c>
      <c r="C484" s="13" t="s">
        <v>953</v>
      </c>
      <c r="D484" s="13">
        <v>3</v>
      </c>
      <c r="E484" s="13">
        <v>3</v>
      </c>
    </row>
    <row r="485" spans="1:5">
      <c r="A485" s="13" t="s">
        <v>1647</v>
      </c>
      <c r="B485" s="13" t="s">
        <v>894</v>
      </c>
      <c r="C485" s="13" t="s">
        <v>1648</v>
      </c>
      <c r="D485" s="13">
        <v>3</v>
      </c>
      <c r="E485" s="13">
        <v>3</v>
      </c>
    </row>
    <row r="486" spans="1:5">
      <c r="A486" s="13" t="s">
        <v>1655</v>
      </c>
      <c r="B486" s="13" t="s">
        <v>606</v>
      </c>
      <c r="C486" s="13" t="s">
        <v>1656</v>
      </c>
      <c r="D486" s="13">
        <v>3</v>
      </c>
      <c r="E486" s="13">
        <v>3</v>
      </c>
    </row>
    <row r="487" spans="1:5">
      <c r="A487" s="13" t="s">
        <v>1659</v>
      </c>
      <c r="B487" s="13" t="s">
        <v>432</v>
      </c>
      <c r="C487" s="13" t="s">
        <v>1660</v>
      </c>
      <c r="D487" s="13">
        <v>3</v>
      </c>
      <c r="E487" s="13">
        <v>3</v>
      </c>
    </row>
    <row r="488" spans="1:5">
      <c r="A488" s="13" t="s">
        <v>1661</v>
      </c>
      <c r="B488" s="13" t="s">
        <v>596</v>
      </c>
      <c r="C488" s="13" t="s">
        <v>1662</v>
      </c>
      <c r="D488" s="13">
        <v>3</v>
      </c>
      <c r="E488" s="13">
        <v>3</v>
      </c>
    </row>
    <row r="489" spans="1:5">
      <c r="A489" s="13" t="s">
        <v>1663</v>
      </c>
      <c r="B489" s="13" t="s">
        <v>568</v>
      </c>
      <c r="C489" s="13" t="s">
        <v>1664</v>
      </c>
      <c r="D489" s="13">
        <v>3</v>
      </c>
      <c r="E489" s="13">
        <v>3</v>
      </c>
    </row>
    <row r="490" spans="1:5">
      <c r="A490" s="13" t="s">
        <v>1667</v>
      </c>
      <c r="B490" s="13" t="s">
        <v>944</v>
      </c>
      <c r="C490" s="13" t="s">
        <v>1668</v>
      </c>
      <c r="D490" s="13">
        <v>3</v>
      </c>
      <c r="E490" s="13">
        <v>3</v>
      </c>
    </row>
    <row r="491" spans="1:5">
      <c r="A491" s="13" t="s">
        <v>1673</v>
      </c>
      <c r="B491" s="13" t="s">
        <v>474</v>
      </c>
      <c r="C491" s="13" t="s">
        <v>1674</v>
      </c>
      <c r="D491" s="13">
        <v>3</v>
      </c>
      <c r="E491" s="13">
        <v>3</v>
      </c>
    </row>
    <row r="492" spans="1:5">
      <c r="A492" s="13" t="s">
        <v>1675</v>
      </c>
      <c r="B492" s="13" t="s">
        <v>677</v>
      </c>
      <c r="C492" s="13" t="s">
        <v>1676</v>
      </c>
      <c r="D492" s="13">
        <v>3</v>
      </c>
      <c r="E492" s="13">
        <v>3</v>
      </c>
    </row>
    <row r="493" spans="1:5">
      <c r="A493" s="13" t="s">
        <v>1681</v>
      </c>
      <c r="B493" s="13" t="s">
        <v>894</v>
      </c>
      <c r="C493" s="13" t="s">
        <v>1682</v>
      </c>
      <c r="D493" s="13">
        <v>3</v>
      </c>
      <c r="E493" s="13">
        <v>3</v>
      </c>
    </row>
    <row r="494" spans="1:5">
      <c r="A494" s="13" t="s">
        <v>1683</v>
      </c>
      <c r="B494" s="13" t="s">
        <v>894</v>
      </c>
      <c r="C494" s="13" t="s">
        <v>1684</v>
      </c>
      <c r="D494" s="13">
        <v>3</v>
      </c>
      <c r="E494" s="13">
        <v>4</v>
      </c>
    </row>
    <row r="495" spans="1:5">
      <c r="A495" s="13" t="s">
        <v>1691</v>
      </c>
      <c r="B495" s="13" t="s">
        <v>499</v>
      </c>
      <c r="C495" s="13" t="s">
        <v>1692</v>
      </c>
      <c r="D495" s="13">
        <v>3</v>
      </c>
      <c r="E495" s="13">
        <v>3</v>
      </c>
    </row>
    <row r="496" spans="1:5">
      <c r="A496" s="13" t="s">
        <v>1693</v>
      </c>
      <c r="B496" s="13" t="s">
        <v>677</v>
      </c>
      <c r="C496" s="13" t="s">
        <v>1694</v>
      </c>
      <c r="D496" s="13">
        <v>3</v>
      </c>
      <c r="E496" s="13">
        <v>3</v>
      </c>
    </row>
    <row r="497" spans="1:5">
      <c r="A497" s="13" t="s">
        <v>1700</v>
      </c>
      <c r="B497" s="13" t="s">
        <v>436</v>
      </c>
      <c r="C497" s="13" t="s">
        <v>1701</v>
      </c>
      <c r="D497" s="13">
        <v>3</v>
      </c>
      <c r="E497" s="13">
        <v>3</v>
      </c>
    </row>
    <row r="498" spans="1:5">
      <c r="A498" s="13" t="s">
        <v>1713</v>
      </c>
      <c r="B498" s="13" t="s">
        <v>1715</v>
      </c>
      <c r="C498" s="13" t="s">
        <v>1716</v>
      </c>
      <c r="D498" s="13">
        <v>3</v>
      </c>
      <c r="E498" s="13">
        <v>3</v>
      </c>
    </row>
    <row r="499" spans="1:5">
      <c r="A499" s="13" t="s">
        <v>1717</v>
      </c>
      <c r="B499" s="13" t="s">
        <v>432</v>
      </c>
      <c r="C499" s="13" t="s">
        <v>1718</v>
      </c>
      <c r="D499" s="13">
        <v>3</v>
      </c>
      <c r="E499" s="13">
        <v>4</v>
      </c>
    </row>
    <row r="500" spans="1:5">
      <c r="A500" s="13" t="s">
        <v>1719</v>
      </c>
      <c r="B500" s="13" t="s">
        <v>432</v>
      </c>
      <c r="C500" s="13" t="s">
        <v>1720</v>
      </c>
      <c r="D500" s="13">
        <v>3</v>
      </c>
      <c r="E500" s="13">
        <v>3</v>
      </c>
    </row>
    <row r="501" spans="1:5">
      <c r="A501" s="13" t="s">
        <v>1725</v>
      </c>
      <c r="B501" s="13" t="s">
        <v>499</v>
      </c>
      <c r="C501" s="13" t="s">
        <v>1726</v>
      </c>
      <c r="D501" s="13">
        <v>3</v>
      </c>
      <c r="E501" s="13">
        <v>3</v>
      </c>
    </row>
    <row r="502" spans="1:5">
      <c r="A502" s="13" t="s">
        <v>1727</v>
      </c>
      <c r="B502" s="13" t="s">
        <v>436</v>
      </c>
      <c r="C502" s="13" t="s">
        <v>1728</v>
      </c>
      <c r="D502" s="13">
        <v>3</v>
      </c>
      <c r="E502" s="13">
        <v>3</v>
      </c>
    </row>
    <row r="503" spans="1:5">
      <c r="A503" s="13" t="s">
        <v>1731</v>
      </c>
      <c r="B503" s="13" t="s">
        <v>518</v>
      </c>
      <c r="C503" s="13" t="s">
        <v>1732</v>
      </c>
      <c r="D503" s="13">
        <v>3</v>
      </c>
      <c r="E503" s="13">
        <v>3</v>
      </c>
    </row>
    <row r="504" spans="1:5">
      <c r="A504" s="13" t="s">
        <v>1739</v>
      </c>
      <c r="B504" s="13" t="s">
        <v>1715</v>
      </c>
      <c r="C504" s="13" t="s">
        <v>1740</v>
      </c>
      <c r="D504" s="13">
        <v>3</v>
      </c>
      <c r="E504" s="13">
        <v>3</v>
      </c>
    </row>
    <row r="505" spans="1:5">
      <c r="A505" s="13" t="s">
        <v>1741</v>
      </c>
      <c r="B505" s="13" t="s">
        <v>934</v>
      </c>
      <c r="C505" s="13" t="s">
        <v>1742</v>
      </c>
      <c r="D505" s="13">
        <v>3</v>
      </c>
      <c r="E505" s="13">
        <v>3</v>
      </c>
    </row>
    <row r="506" spans="1:5">
      <c r="A506" s="13" t="s">
        <v>1745</v>
      </c>
      <c r="B506" s="13" t="s">
        <v>436</v>
      </c>
      <c r="C506" s="13" t="s">
        <v>1746</v>
      </c>
      <c r="D506" s="13">
        <v>3</v>
      </c>
      <c r="E506" s="13">
        <v>3</v>
      </c>
    </row>
    <row r="507" spans="1:5">
      <c r="A507" s="13" t="s">
        <v>1747</v>
      </c>
      <c r="B507" s="13" t="s">
        <v>468</v>
      </c>
      <c r="C507" s="13" t="s">
        <v>1748</v>
      </c>
      <c r="D507" s="13">
        <v>3</v>
      </c>
      <c r="E507" s="13">
        <v>3</v>
      </c>
    </row>
    <row r="508" spans="1:5">
      <c r="A508" s="13" t="s">
        <v>1749</v>
      </c>
      <c r="B508" s="13" t="s">
        <v>462</v>
      </c>
      <c r="C508" s="13" t="s">
        <v>1750</v>
      </c>
      <c r="D508" s="13">
        <v>3</v>
      </c>
      <c r="E508" s="13">
        <v>3</v>
      </c>
    </row>
    <row r="509" spans="1:5">
      <c r="A509" s="13" t="s">
        <v>1752</v>
      </c>
      <c r="B509" s="13" t="s">
        <v>432</v>
      </c>
      <c r="C509" s="13" t="s">
        <v>1753</v>
      </c>
      <c r="D509" s="13">
        <v>3</v>
      </c>
      <c r="E509" s="13">
        <v>3</v>
      </c>
    </row>
    <row r="510" spans="1:5">
      <c r="A510" s="13" t="s">
        <v>1757</v>
      </c>
      <c r="B510" s="13" t="s">
        <v>462</v>
      </c>
      <c r="C510" s="13" t="s">
        <v>1758</v>
      </c>
      <c r="D510" s="13">
        <v>3</v>
      </c>
      <c r="E510" s="13">
        <v>3</v>
      </c>
    </row>
    <row r="511" spans="1:5">
      <c r="A511" s="13" t="s">
        <v>1762</v>
      </c>
      <c r="B511" s="13" t="s">
        <v>499</v>
      </c>
      <c r="C511" s="13" t="s">
        <v>1763</v>
      </c>
      <c r="D511" s="13">
        <v>3</v>
      </c>
      <c r="E511" s="13">
        <v>3</v>
      </c>
    </row>
    <row r="512" spans="1:5">
      <c r="A512" s="13" t="s">
        <v>1768</v>
      </c>
      <c r="B512" s="13" t="s">
        <v>507</v>
      </c>
      <c r="C512" s="13" t="s">
        <v>1769</v>
      </c>
      <c r="D512" s="13">
        <v>3</v>
      </c>
      <c r="E512" s="13">
        <v>3</v>
      </c>
    </row>
    <row r="513" spans="1:5">
      <c r="A513" s="13" t="s">
        <v>1791</v>
      </c>
      <c r="B513" s="13" t="s">
        <v>639</v>
      </c>
      <c r="C513" s="13" t="s">
        <v>1792</v>
      </c>
      <c r="D513" s="13">
        <v>3</v>
      </c>
      <c r="E513" s="13">
        <v>3</v>
      </c>
    </row>
    <row r="514" spans="1:5">
      <c r="A514" s="13" t="s">
        <v>1795</v>
      </c>
      <c r="B514" s="13" t="s">
        <v>462</v>
      </c>
      <c r="C514" s="13" t="s">
        <v>1796</v>
      </c>
      <c r="D514" s="13">
        <v>3</v>
      </c>
      <c r="E514" s="13">
        <v>3</v>
      </c>
    </row>
    <row r="515" spans="1:5">
      <c r="A515" s="13" t="s">
        <v>1797</v>
      </c>
      <c r="B515" s="13" t="s">
        <v>499</v>
      </c>
      <c r="C515" s="13" t="s">
        <v>1798</v>
      </c>
      <c r="D515" s="13">
        <v>3</v>
      </c>
      <c r="E515" s="13">
        <v>3</v>
      </c>
    </row>
    <row r="516" spans="1:5">
      <c r="A516" s="13" t="s">
        <v>1808</v>
      </c>
      <c r="B516" s="13" t="s">
        <v>894</v>
      </c>
      <c r="C516" s="13" t="s">
        <v>1809</v>
      </c>
      <c r="D516" s="13">
        <v>3</v>
      </c>
      <c r="E516" s="13">
        <v>3</v>
      </c>
    </row>
    <row r="517" spans="1:5">
      <c r="A517" s="13" t="s">
        <v>1816</v>
      </c>
      <c r="B517" s="13" t="s">
        <v>499</v>
      </c>
      <c r="C517" s="13" t="s">
        <v>1817</v>
      </c>
      <c r="D517" s="13">
        <v>3</v>
      </c>
      <c r="E517" s="13">
        <v>3</v>
      </c>
    </row>
    <row r="518" spans="1:5">
      <c r="A518" s="13" t="s">
        <v>1820</v>
      </c>
      <c r="B518" s="13" t="s">
        <v>596</v>
      </c>
      <c r="C518" s="13" t="s">
        <v>1821</v>
      </c>
      <c r="D518" s="13">
        <v>3</v>
      </c>
      <c r="E518" s="13">
        <v>3</v>
      </c>
    </row>
    <row r="519" spans="1:5">
      <c r="A519" s="13" t="s">
        <v>1822</v>
      </c>
      <c r="B519" s="13" t="s">
        <v>677</v>
      </c>
      <c r="C519" s="13" t="s">
        <v>1823</v>
      </c>
      <c r="D519" s="13">
        <v>3</v>
      </c>
      <c r="E519" s="13">
        <v>3</v>
      </c>
    </row>
    <row r="520" spans="1:5">
      <c r="A520" s="13" t="s">
        <v>1824</v>
      </c>
      <c r="B520" s="13" t="s">
        <v>462</v>
      </c>
      <c r="C520" s="13" t="s">
        <v>1825</v>
      </c>
      <c r="D520" s="13">
        <v>3</v>
      </c>
      <c r="E520" s="13">
        <v>3</v>
      </c>
    </row>
    <row r="521" spans="1:5">
      <c r="A521" s="13" t="s">
        <v>1830</v>
      </c>
      <c r="B521" s="13" t="s">
        <v>677</v>
      </c>
      <c r="C521" s="13" t="s">
        <v>1831</v>
      </c>
      <c r="D521" s="13">
        <v>3</v>
      </c>
      <c r="E521" s="13">
        <v>3</v>
      </c>
    </row>
    <row r="522" spans="1:5">
      <c r="A522" s="13" t="s">
        <v>1832</v>
      </c>
      <c r="B522" s="13" t="s">
        <v>894</v>
      </c>
      <c r="C522" s="13" t="s">
        <v>1833</v>
      </c>
      <c r="D522" s="13">
        <v>3</v>
      </c>
      <c r="E522" s="13">
        <v>3</v>
      </c>
    </row>
    <row r="523" spans="1:5">
      <c r="A523" s="13" t="s">
        <v>1841</v>
      </c>
      <c r="B523" s="13" t="s">
        <v>499</v>
      </c>
      <c r="C523" s="13" t="s">
        <v>1276</v>
      </c>
      <c r="D523" s="13">
        <v>3</v>
      </c>
      <c r="E523" s="13">
        <v>4</v>
      </c>
    </row>
    <row r="524" spans="1:5">
      <c r="A524" s="13" t="s">
        <v>1848</v>
      </c>
      <c r="B524" s="13" t="s">
        <v>934</v>
      </c>
      <c r="C524" s="13" t="s">
        <v>1849</v>
      </c>
      <c r="D524" s="13">
        <v>3</v>
      </c>
      <c r="E524" s="13">
        <v>3</v>
      </c>
    </row>
    <row r="525" spans="1:5">
      <c r="A525" s="13" t="s">
        <v>1850</v>
      </c>
      <c r="B525" s="13" t="s">
        <v>499</v>
      </c>
      <c r="C525" s="13" t="s">
        <v>1851</v>
      </c>
      <c r="D525" s="13">
        <v>3</v>
      </c>
      <c r="E525" s="13">
        <v>3</v>
      </c>
    </row>
    <row r="526" spans="1:5">
      <c r="A526" s="13" t="s">
        <v>1852</v>
      </c>
      <c r="B526" s="13" t="s">
        <v>499</v>
      </c>
      <c r="C526" s="13" t="s">
        <v>1853</v>
      </c>
      <c r="D526" s="13">
        <v>3</v>
      </c>
      <c r="E526" s="13">
        <v>3</v>
      </c>
    </row>
    <row r="527" spans="1:5">
      <c r="A527" s="13" t="s">
        <v>1854</v>
      </c>
      <c r="B527" s="13" t="s">
        <v>462</v>
      </c>
      <c r="C527" s="13" t="s">
        <v>1855</v>
      </c>
      <c r="D527" s="13">
        <v>3</v>
      </c>
      <c r="E527" s="13">
        <v>3</v>
      </c>
    </row>
    <row r="528" spans="1:5">
      <c r="A528" s="13" t="s">
        <v>1856</v>
      </c>
      <c r="B528" s="13" t="s">
        <v>499</v>
      </c>
      <c r="C528" s="13" t="s">
        <v>1857</v>
      </c>
      <c r="D528" s="13">
        <v>3</v>
      </c>
      <c r="E528" s="13">
        <v>3</v>
      </c>
    </row>
    <row r="529" spans="1:5">
      <c r="A529" s="13" t="s">
        <v>1868</v>
      </c>
      <c r="B529" s="13" t="s">
        <v>677</v>
      </c>
      <c r="C529" s="13" t="s">
        <v>1869</v>
      </c>
      <c r="D529" s="13">
        <v>3</v>
      </c>
      <c r="E529" s="13">
        <v>3</v>
      </c>
    </row>
    <row r="530" spans="1:5">
      <c r="A530" s="13" t="s">
        <v>1870</v>
      </c>
      <c r="B530" s="13" t="s">
        <v>499</v>
      </c>
      <c r="C530" s="13" t="s">
        <v>1871</v>
      </c>
      <c r="D530" s="13">
        <v>3</v>
      </c>
      <c r="E530" s="13">
        <v>3</v>
      </c>
    </row>
    <row r="531" spans="1:5">
      <c r="A531" s="13" t="s">
        <v>1874</v>
      </c>
      <c r="B531" s="13" t="s">
        <v>436</v>
      </c>
      <c r="C531" s="13" t="s">
        <v>1875</v>
      </c>
      <c r="D531" s="13">
        <v>3</v>
      </c>
      <c r="E531" s="13">
        <v>3</v>
      </c>
    </row>
    <row r="532" spans="1:5">
      <c r="A532" s="13" t="s">
        <v>1876</v>
      </c>
      <c r="B532" s="13" t="s">
        <v>432</v>
      </c>
      <c r="C532" s="13" t="s">
        <v>1877</v>
      </c>
      <c r="D532" s="13">
        <v>3</v>
      </c>
      <c r="E532" s="13">
        <v>3</v>
      </c>
    </row>
    <row r="533" spans="1:5">
      <c r="A533" s="13" t="s">
        <v>1882</v>
      </c>
      <c r="B533" s="13" t="s">
        <v>499</v>
      </c>
      <c r="C533" s="13" t="s">
        <v>1883</v>
      </c>
      <c r="D533" s="13">
        <v>3</v>
      </c>
      <c r="E533" s="13">
        <v>3</v>
      </c>
    </row>
    <row r="534" spans="1:5">
      <c r="A534" s="13" t="s">
        <v>1885</v>
      </c>
      <c r="B534" s="13" t="s">
        <v>432</v>
      </c>
      <c r="C534" s="13" t="s">
        <v>1886</v>
      </c>
      <c r="D534" s="13">
        <v>3</v>
      </c>
      <c r="E534" s="13">
        <v>3</v>
      </c>
    </row>
    <row r="535" spans="1:5">
      <c r="A535" s="13" t="s">
        <v>1891</v>
      </c>
      <c r="B535" s="13" t="s">
        <v>432</v>
      </c>
      <c r="C535" s="13" t="s">
        <v>1892</v>
      </c>
      <c r="D535" s="13">
        <v>3</v>
      </c>
      <c r="E535" s="13">
        <v>3</v>
      </c>
    </row>
    <row r="536" spans="1:5">
      <c r="A536" s="13" t="s">
        <v>1895</v>
      </c>
      <c r="B536" s="13" t="s">
        <v>462</v>
      </c>
      <c r="C536" s="13" t="s">
        <v>1896</v>
      </c>
      <c r="D536" s="13">
        <v>3</v>
      </c>
      <c r="E536" s="13">
        <v>3</v>
      </c>
    </row>
    <row r="537" spans="1:5">
      <c r="A537" s="13" t="s">
        <v>1903</v>
      </c>
      <c r="B537" s="13" t="s">
        <v>499</v>
      </c>
      <c r="C537" s="13" t="s">
        <v>1904</v>
      </c>
      <c r="D537" s="13">
        <v>3</v>
      </c>
      <c r="E537" s="13">
        <v>3</v>
      </c>
    </row>
    <row r="538" spans="1:5">
      <c r="A538" s="13" t="s">
        <v>1905</v>
      </c>
      <c r="B538" s="13" t="s">
        <v>462</v>
      </c>
      <c r="C538" s="13" t="s">
        <v>1906</v>
      </c>
      <c r="D538" s="13">
        <v>3</v>
      </c>
      <c r="E538" s="13">
        <v>3</v>
      </c>
    </row>
    <row r="539" spans="1:5">
      <c r="A539" s="13" t="s">
        <v>1917</v>
      </c>
      <c r="B539" s="13" t="s">
        <v>432</v>
      </c>
      <c r="C539" s="13" t="s">
        <v>504</v>
      </c>
      <c r="D539" s="13">
        <v>3</v>
      </c>
      <c r="E539" s="13">
        <v>4</v>
      </c>
    </row>
    <row r="540" spans="1:5">
      <c r="A540" s="13" t="s">
        <v>1918</v>
      </c>
      <c r="B540" s="13" t="s">
        <v>474</v>
      </c>
      <c r="C540" s="13" t="s">
        <v>1919</v>
      </c>
      <c r="D540" s="13">
        <v>3</v>
      </c>
      <c r="E540" s="13">
        <v>3</v>
      </c>
    </row>
    <row r="541" spans="1:5">
      <c r="A541" s="13" t="s">
        <v>1920</v>
      </c>
      <c r="B541" s="13" t="s">
        <v>518</v>
      </c>
      <c r="C541" s="13" t="s">
        <v>1921</v>
      </c>
      <c r="D541" s="13">
        <v>3</v>
      </c>
      <c r="E541" s="13">
        <v>3</v>
      </c>
    </row>
    <row r="542" spans="1:5">
      <c r="A542" s="13" t="s">
        <v>1922</v>
      </c>
      <c r="B542" s="13" t="s">
        <v>677</v>
      </c>
      <c r="C542" s="13" t="s">
        <v>1923</v>
      </c>
      <c r="D542" s="13">
        <v>3</v>
      </c>
      <c r="E542" s="13">
        <v>3</v>
      </c>
    </row>
    <row r="543" spans="1:5">
      <c r="A543" s="13" t="s">
        <v>1924</v>
      </c>
      <c r="B543" s="13" t="s">
        <v>606</v>
      </c>
      <c r="C543" s="13" t="s">
        <v>1925</v>
      </c>
      <c r="D543" s="13">
        <v>3</v>
      </c>
      <c r="E543" s="13">
        <v>3</v>
      </c>
    </row>
    <row r="544" spans="1:5">
      <c r="A544" s="13" t="s">
        <v>1928</v>
      </c>
      <c r="B544" s="13" t="s">
        <v>944</v>
      </c>
      <c r="C544" s="13" t="s">
        <v>1929</v>
      </c>
      <c r="D544" s="13">
        <v>3</v>
      </c>
      <c r="E544" s="13">
        <v>3</v>
      </c>
    </row>
    <row r="545" spans="1:5">
      <c r="A545" s="13" t="s">
        <v>1932</v>
      </c>
      <c r="B545" s="13" t="s">
        <v>462</v>
      </c>
      <c r="C545" s="13" t="s">
        <v>1933</v>
      </c>
      <c r="D545" s="13">
        <v>3</v>
      </c>
      <c r="E545" s="13">
        <v>3</v>
      </c>
    </row>
    <row r="546" spans="1:5">
      <c r="A546" s="13" t="s">
        <v>1940</v>
      </c>
      <c r="B546" s="13" t="s">
        <v>481</v>
      </c>
      <c r="C546" s="13" t="s">
        <v>1941</v>
      </c>
      <c r="D546" s="13">
        <v>3</v>
      </c>
      <c r="E546" s="13">
        <v>3</v>
      </c>
    </row>
    <row r="547" spans="1:5">
      <c r="A547" s="13" t="s">
        <v>1944</v>
      </c>
      <c r="B547" s="13" t="s">
        <v>436</v>
      </c>
      <c r="C547" s="13" t="s">
        <v>1945</v>
      </c>
      <c r="D547" s="13">
        <v>3</v>
      </c>
      <c r="E547" s="13">
        <v>4</v>
      </c>
    </row>
    <row r="548" spans="1:5">
      <c r="A548" s="13" t="s">
        <v>1956</v>
      </c>
      <c r="B548" s="13" t="s">
        <v>568</v>
      </c>
      <c r="C548" s="13" t="s">
        <v>1957</v>
      </c>
      <c r="D548" s="13">
        <v>3</v>
      </c>
      <c r="E548" s="13">
        <v>3</v>
      </c>
    </row>
    <row r="549" spans="1:5">
      <c r="A549" s="13" t="s">
        <v>1961</v>
      </c>
      <c r="B549" s="13" t="s">
        <v>518</v>
      </c>
      <c r="C549" s="13" t="s">
        <v>1962</v>
      </c>
      <c r="D549" s="13">
        <v>3</v>
      </c>
      <c r="E549" s="13">
        <v>3</v>
      </c>
    </row>
    <row r="550" spans="1:5">
      <c r="A550" s="13" t="s">
        <v>1977</v>
      </c>
      <c r="B550" s="13" t="s">
        <v>606</v>
      </c>
      <c r="C550" s="13" t="s">
        <v>1498</v>
      </c>
      <c r="D550" s="13">
        <v>3</v>
      </c>
      <c r="E550" s="13">
        <v>3</v>
      </c>
    </row>
    <row r="551" spans="1:5">
      <c r="A551" s="13" t="s">
        <v>1978</v>
      </c>
      <c r="B551" s="13" t="s">
        <v>499</v>
      </c>
      <c r="C551" s="13" t="s">
        <v>1979</v>
      </c>
      <c r="D551" s="13">
        <v>3</v>
      </c>
      <c r="E551" s="13">
        <v>3</v>
      </c>
    </row>
    <row r="552" spans="1:5">
      <c r="A552" s="13" t="s">
        <v>1988</v>
      </c>
      <c r="B552" s="13" t="s">
        <v>518</v>
      </c>
      <c r="C552" s="13" t="s">
        <v>1989</v>
      </c>
      <c r="D552" s="13">
        <v>3</v>
      </c>
      <c r="E552" s="13">
        <v>3</v>
      </c>
    </row>
    <row r="553" spans="1:5">
      <c r="A553" s="13" t="s">
        <v>2010</v>
      </c>
      <c r="B553" s="13" t="s">
        <v>1352</v>
      </c>
      <c r="C553" s="13" t="s">
        <v>2011</v>
      </c>
      <c r="D553" s="13">
        <v>3</v>
      </c>
      <c r="E553" s="13">
        <v>3</v>
      </c>
    </row>
    <row r="554" spans="1:5">
      <c r="A554" s="13" t="s">
        <v>2014</v>
      </c>
      <c r="B554" s="13" t="s">
        <v>677</v>
      </c>
      <c r="C554" s="13" t="s">
        <v>2015</v>
      </c>
      <c r="D554" s="13">
        <v>3</v>
      </c>
      <c r="E554" s="13">
        <v>3</v>
      </c>
    </row>
    <row r="555" spans="1:5">
      <c r="A555" s="13" t="s">
        <v>2016</v>
      </c>
      <c r="B555" s="13" t="s">
        <v>432</v>
      </c>
      <c r="C555" s="13" t="s">
        <v>2017</v>
      </c>
      <c r="D555" s="13">
        <v>3</v>
      </c>
      <c r="E555" s="13">
        <v>3</v>
      </c>
    </row>
    <row r="556" spans="1:5">
      <c r="A556" s="13" t="s">
        <v>2018</v>
      </c>
      <c r="B556" s="13" t="s">
        <v>436</v>
      </c>
      <c r="C556" s="13" t="s">
        <v>2019</v>
      </c>
      <c r="D556" s="13">
        <v>3</v>
      </c>
      <c r="E556" s="13">
        <v>3</v>
      </c>
    </row>
    <row r="557" spans="1:5">
      <c r="A557" s="13" t="s">
        <v>2020</v>
      </c>
      <c r="B557" s="13" t="s">
        <v>499</v>
      </c>
      <c r="C557" s="13" t="s">
        <v>1234</v>
      </c>
      <c r="D557" s="13">
        <v>3</v>
      </c>
      <c r="E557" s="13">
        <v>3</v>
      </c>
    </row>
    <row r="558" spans="1:5">
      <c r="A558" s="13" t="s">
        <v>2021</v>
      </c>
      <c r="B558" s="13" t="s">
        <v>1715</v>
      </c>
      <c r="C558" s="13" t="s">
        <v>2022</v>
      </c>
      <c r="D558" s="13">
        <v>3</v>
      </c>
      <c r="E558" s="13">
        <v>3</v>
      </c>
    </row>
    <row r="559" spans="1:5">
      <c r="A559" s="13" t="s">
        <v>2033</v>
      </c>
      <c r="B559" s="13" t="s">
        <v>432</v>
      </c>
      <c r="C559" s="13" t="s">
        <v>1268</v>
      </c>
      <c r="D559" s="13">
        <v>3</v>
      </c>
      <c r="E559" s="13">
        <v>3</v>
      </c>
    </row>
    <row r="560" spans="1:5">
      <c r="A560" s="13" t="s">
        <v>2034</v>
      </c>
      <c r="B560" s="13" t="s">
        <v>677</v>
      </c>
      <c r="C560" s="13" t="s">
        <v>2035</v>
      </c>
      <c r="D560" s="13">
        <v>3</v>
      </c>
      <c r="E560" s="13">
        <v>3</v>
      </c>
    </row>
    <row r="561" spans="1:5">
      <c r="A561" s="13" t="s">
        <v>2040</v>
      </c>
      <c r="B561" s="13" t="s">
        <v>934</v>
      </c>
      <c r="C561" s="13" t="s">
        <v>2041</v>
      </c>
      <c r="D561" s="13">
        <v>3</v>
      </c>
      <c r="E561" s="13">
        <v>3</v>
      </c>
    </row>
    <row r="562" spans="1:5">
      <c r="A562" s="13" t="s">
        <v>2050</v>
      </c>
      <c r="B562" s="13" t="s">
        <v>499</v>
      </c>
      <c r="C562" s="13" t="s">
        <v>2051</v>
      </c>
      <c r="D562" s="13">
        <v>3</v>
      </c>
      <c r="E562" s="13">
        <v>3</v>
      </c>
    </row>
    <row r="563" spans="1:5">
      <c r="A563" s="13" t="s">
        <v>2052</v>
      </c>
      <c r="B563" s="13" t="s">
        <v>677</v>
      </c>
      <c r="C563" s="13" t="s">
        <v>2053</v>
      </c>
      <c r="D563" s="13">
        <v>3</v>
      </c>
      <c r="E563" s="13">
        <v>4</v>
      </c>
    </row>
    <row r="564" spans="1:5">
      <c r="A564" s="13" t="s">
        <v>2060</v>
      </c>
      <c r="B564" s="13" t="s">
        <v>677</v>
      </c>
      <c r="C564" s="13" t="s">
        <v>2061</v>
      </c>
      <c r="D564" s="13">
        <v>3</v>
      </c>
      <c r="E564" s="13">
        <v>3</v>
      </c>
    </row>
    <row r="565" spans="1:5">
      <c r="A565" s="13" t="s">
        <v>2070</v>
      </c>
      <c r="B565" s="13" t="s">
        <v>894</v>
      </c>
      <c r="C565" s="13" t="s">
        <v>2071</v>
      </c>
      <c r="D565" s="13">
        <v>3</v>
      </c>
      <c r="E565" s="13">
        <v>3</v>
      </c>
    </row>
    <row r="566" spans="1:5">
      <c r="A566" s="13" t="s">
        <v>2072</v>
      </c>
      <c r="B566" s="13" t="s">
        <v>677</v>
      </c>
      <c r="C566" s="13" t="s">
        <v>2073</v>
      </c>
      <c r="D566" s="13">
        <v>3</v>
      </c>
      <c r="E566" s="13">
        <v>3</v>
      </c>
    </row>
    <row r="567" spans="1:5">
      <c r="A567" s="13" t="s">
        <v>2080</v>
      </c>
      <c r="B567" s="13" t="s">
        <v>518</v>
      </c>
      <c r="C567" s="13" t="s">
        <v>2081</v>
      </c>
      <c r="D567" s="13">
        <v>3</v>
      </c>
      <c r="E567" s="13">
        <v>3</v>
      </c>
    </row>
    <row r="568" spans="1:5">
      <c r="A568" s="13" t="s">
        <v>2086</v>
      </c>
      <c r="B568" s="13" t="s">
        <v>518</v>
      </c>
      <c r="C568" s="13" t="s">
        <v>2087</v>
      </c>
      <c r="D568" s="13">
        <v>3</v>
      </c>
      <c r="E568" s="13">
        <v>3</v>
      </c>
    </row>
    <row r="569" spans="1:5">
      <c r="A569" s="13" t="s">
        <v>2097</v>
      </c>
      <c r="B569" s="13" t="s">
        <v>1352</v>
      </c>
      <c r="C569" s="13" t="s">
        <v>2098</v>
      </c>
      <c r="D569" s="13">
        <v>3</v>
      </c>
      <c r="E569" s="13">
        <v>3</v>
      </c>
    </row>
    <row r="570" spans="1:5">
      <c r="A570" s="13" t="s">
        <v>2101</v>
      </c>
      <c r="B570" s="13" t="s">
        <v>518</v>
      </c>
      <c r="C570" s="13" t="s">
        <v>2102</v>
      </c>
      <c r="D570" s="13">
        <v>3</v>
      </c>
      <c r="E570" s="13">
        <v>3</v>
      </c>
    </row>
    <row r="571" spans="1:5">
      <c r="A571" s="13" t="s">
        <v>2103</v>
      </c>
      <c r="B571" s="13" t="s">
        <v>432</v>
      </c>
      <c r="C571" s="13" t="s">
        <v>2104</v>
      </c>
      <c r="D571" s="13">
        <v>3</v>
      </c>
      <c r="E571" s="13">
        <v>3</v>
      </c>
    </row>
    <row r="572" spans="1:5">
      <c r="A572" s="13" t="s">
        <v>2109</v>
      </c>
      <c r="B572" s="13" t="s">
        <v>677</v>
      </c>
      <c r="C572" s="13" t="s">
        <v>2110</v>
      </c>
      <c r="D572" s="13">
        <v>3</v>
      </c>
      <c r="E572" s="13">
        <v>3</v>
      </c>
    </row>
    <row r="573" spans="1:5">
      <c r="A573" s="13" t="s">
        <v>2125</v>
      </c>
      <c r="B573" s="13" t="s">
        <v>558</v>
      </c>
      <c r="C573" s="13" t="s">
        <v>2126</v>
      </c>
      <c r="D573" s="13">
        <v>3</v>
      </c>
      <c r="E573" s="13">
        <v>4</v>
      </c>
    </row>
    <row r="574" spans="1:5">
      <c r="A574" s="13" t="s">
        <v>2155</v>
      </c>
      <c r="B574" s="13" t="s">
        <v>894</v>
      </c>
      <c r="C574" s="13" t="s">
        <v>2156</v>
      </c>
      <c r="D574" s="13">
        <v>3</v>
      </c>
      <c r="E574" s="13">
        <v>3</v>
      </c>
    </row>
    <row r="575" spans="1:5">
      <c r="A575" s="13" t="s">
        <v>2161</v>
      </c>
      <c r="B575" s="13" t="s">
        <v>1715</v>
      </c>
      <c r="C575" s="13" t="s">
        <v>2162</v>
      </c>
      <c r="D575" s="13">
        <v>3</v>
      </c>
      <c r="E575" s="13">
        <v>3</v>
      </c>
    </row>
    <row r="576" spans="1:5">
      <c r="A576" s="13" t="s">
        <v>2253</v>
      </c>
      <c r="B576" s="13" t="s">
        <v>1715</v>
      </c>
      <c r="C576" s="13" t="s">
        <v>2254</v>
      </c>
      <c r="D576" s="13">
        <v>3</v>
      </c>
      <c r="E576" s="13">
        <v>3</v>
      </c>
    </row>
    <row r="577" spans="1:5">
      <c r="A577" s="13" t="s">
        <v>2334</v>
      </c>
      <c r="B577" s="13" t="s">
        <v>432</v>
      </c>
      <c r="C577" s="13" t="s">
        <v>2335</v>
      </c>
      <c r="D577" s="13">
        <v>3</v>
      </c>
      <c r="E577" s="13">
        <v>3</v>
      </c>
    </row>
    <row r="578" spans="1:5">
      <c r="A578" s="13" t="s">
        <v>2410</v>
      </c>
      <c r="B578" s="13" t="s">
        <v>462</v>
      </c>
      <c r="C578" s="13" t="s">
        <v>2411</v>
      </c>
      <c r="D578" s="13">
        <v>3</v>
      </c>
      <c r="E578" s="13">
        <v>4</v>
      </c>
    </row>
    <row r="579" spans="1:5">
      <c r="A579" s="13" t="s">
        <v>717</v>
      </c>
      <c r="B579" s="13" t="s">
        <v>481</v>
      </c>
      <c r="C579" s="13" t="s">
        <v>718</v>
      </c>
      <c r="D579" s="13">
        <v>4</v>
      </c>
      <c r="E579" s="13">
        <v>4</v>
      </c>
    </row>
    <row r="580" spans="1:5">
      <c r="A580" s="13" t="s">
        <v>719</v>
      </c>
      <c r="B580" s="13" t="s">
        <v>481</v>
      </c>
      <c r="C580" s="13" t="s">
        <v>720</v>
      </c>
      <c r="D580" s="13">
        <v>4</v>
      </c>
      <c r="E580" s="13">
        <v>4</v>
      </c>
    </row>
    <row r="581" spans="1:5">
      <c r="A581" s="13" t="s">
        <v>790</v>
      </c>
      <c r="B581" s="13" t="s">
        <v>481</v>
      </c>
      <c r="C581" s="13" t="s">
        <v>791</v>
      </c>
      <c r="D581" s="13">
        <v>4</v>
      </c>
      <c r="E581" s="13">
        <v>4</v>
      </c>
    </row>
    <row r="582" spans="1:5">
      <c r="A582" s="13" t="s">
        <v>809</v>
      </c>
      <c r="B582" s="13" t="s">
        <v>568</v>
      </c>
      <c r="C582" s="13" t="s">
        <v>810</v>
      </c>
      <c r="D582" s="13">
        <v>4</v>
      </c>
      <c r="E582" s="13">
        <v>4</v>
      </c>
    </row>
    <row r="583" spans="1:5">
      <c r="A583" s="13" t="s">
        <v>869</v>
      </c>
      <c r="B583" s="13" t="s">
        <v>481</v>
      </c>
      <c r="C583" s="13" t="s">
        <v>870</v>
      </c>
      <c r="D583" s="13">
        <v>4</v>
      </c>
      <c r="E583" s="13">
        <v>4</v>
      </c>
    </row>
    <row r="584" spans="1:5">
      <c r="A584" s="13" t="s">
        <v>877</v>
      </c>
      <c r="B584" s="13" t="s">
        <v>436</v>
      </c>
      <c r="C584" s="13" t="s">
        <v>878</v>
      </c>
      <c r="D584" s="13">
        <v>4</v>
      </c>
      <c r="E584" s="13">
        <v>4</v>
      </c>
    </row>
    <row r="585" spans="1:5">
      <c r="A585" s="13" t="s">
        <v>910</v>
      </c>
      <c r="B585" s="13" t="s">
        <v>673</v>
      </c>
      <c r="C585" s="13" t="s">
        <v>911</v>
      </c>
      <c r="D585" s="13">
        <v>4</v>
      </c>
      <c r="E585" s="13">
        <v>3</v>
      </c>
    </row>
    <row r="586" spans="1:5">
      <c r="A586" s="13" t="s">
        <v>912</v>
      </c>
      <c r="B586" s="13" t="s">
        <v>481</v>
      </c>
      <c r="C586" s="13" t="s">
        <v>913</v>
      </c>
      <c r="D586" s="13">
        <v>4</v>
      </c>
      <c r="E586" s="13">
        <v>4</v>
      </c>
    </row>
    <row r="587" spans="1:5">
      <c r="A587" s="13" t="s">
        <v>926</v>
      </c>
      <c r="B587" s="13" t="s">
        <v>481</v>
      </c>
      <c r="C587" s="13" t="s">
        <v>927</v>
      </c>
      <c r="D587" s="13">
        <v>4</v>
      </c>
      <c r="E587" s="13">
        <v>4</v>
      </c>
    </row>
    <row r="588" spans="1:5">
      <c r="A588" s="13" t="s">
        <v>940</v>
      </c>
      <c r="B588" s="13" t="s">
        <v>558</v>
      </c>
      <c r="C588" s="13" t="s">
        <v>941</v>
      </c>
      <c r="D588" s="13">
        <v>4</v>
      </c>
      <c r="E588" s="13">
        <v>4</v>
      </c>
    </row>
    <row r="589" spans="1:5">
      <c r="A589" s="13" t="s">
        <v>942</v>
      </c>
      <c r="B589" s="13" t="s">
        <v>944</v>
      </c>
      <c r="C589" s="13" t="s">
        <v>945</v>
      </c>
      <c r="D589" s="13">
        <v>4</v>
      </c>
      <c r="E589" s="13">
        <v>3</v>
      </c>
    </row>
    <row r="590" spans="1:5">
      <c r="A590" s="13" t="s">
        <v>954</v>
      </c>
      <c r="B590" s="13" t="s">
        <v>495</v>
      </c>
      <c r="C590" s="13" t="s">
        <v>868</v>
      </c>
      <c r="D590" s="13">
        <v>4</v>
      </c>
      <c r="E590" s="13">
        <v>4</v>
      </c>
    </row>
    <row r="591" spans="1:5">
      <c r="A591" s="13" t="s">
        <v>956</v>
      </c>
      <c r="B591" s="13" t="s">
        <v>436</v>
      </c>
      <c r="C591" s="13" t="s">
        <v>957</v>
      </c>
      <c r="D591" s="13">
        <v>4</v>
      </c>
      <c r="E591" s="13">
        <v>4</v>
      </c>
    </row>
    <row r="592" spans="1:5">
      <c r="A592" s="13" t="s">
        <v>962</v>
      </c>
      <c r="B592" s="13" t="s">
        <v>495</v>
      </c>
      <c r="C592" s="13" t="s">
        <v>963</v>
      </c>
      <c r="D592" s="13">
        <v>4</v>
      </c>
      <c r="E592" s="13">
        <v>4</v>
      </c>
    </row>
    <row r="593" spans="1:5">
      <c r="A593" s="13" t="s">
        <v>978</v>
      </c>
      <c r="B593" s="13" t="s">
        <v>436</v>
      </c>
      <c r="C593" s="13" t="s">
        <v>979</v>
      </c>
      <c r="D593" s="13">
        <v>4</v>
      </c>
      <c r="E593" s="13">
        <v>3</v>
      </c>
    </row>
    <row r="594" spans="1:5">
      <c r="A594" s="13" t="s">
        <v>992</v>
      </c>
      <c r="B594" s="13" t="s">
        <v>495</v>
      </c>
      <c r="C594" s="13" t="s">
        <v>993</v>
      </c>
      <c r="D594" s="13">
        <v>4</v>
      </c>
      <c r="E594" s="13">
        <v>4</v>
      </c>
    </row>
    <row r="595" spans="1:5">
      <c r="A595" s="13" t="s">
        <v>994</v>
      </c>
      <c r="B595" s="13" t="s">
        <v>481</v>
      </c>
      <c r="C595" s="13" t="s">
        <v>995</v>
      </c>
      <c r="D595" s="13">
        <v>4</v>
      </c>
      <c r="E595" s="13">
        <v>3</v>
      </c>
    </row>
    <row r="596" spans="1:5">
      <c r="A596" s="13" t="s">
        <v>1000</v>
      </c>
      <c r="B596" s="13" t="s">
        <v>481</v>
      </c>
      <c r="C596" s="13" t="s">
        <v>1001</v>
      </c>
      <c r="D596" s="13">
        <v>4</v>
      </c>
      <c r="E596" s="13">
        <v>4</v>
      </c>
    </row>
    <row r="597" spans="1:5">
      <c r="A597" s="13" t="s">
        <v>1021</v>
      </c>
      <c r="B597" s="13" t="s">
        <v>495</v>
      </c>
      <c r="C597" s="13" t="s">
        <v>1022</v>
      </c>
      <c r="D597" s="13">
        <v>4</v>
      </c>
      <c r="E597" s="13">
        <v>3</v>
      </c>
    </row>
    <row r="598" spans="1:5">
      <c r="A598" s="13" t="s">
        <v>1027</v>
      </c>
      <c r="B598" s="13" t="s">
        <v>673</v>
      </c>
      <c r="C598" s="13" t="s">
        <v>1028</v>
      </c>
      <c r="D598" s="13">
        <v>4</v>
      </c>
      <c r="E598" s="13">
        <v>4</v>
      </c>
    </row>
    <row r="599" spans="1:5">
      <c r="A599" s="13" t="s">
        <v>1033</v>
      </c>
      <c r="B599" s="13" t="s">
        <v>499</v>
      </c>
      <c r="C599" s="13" t="s">
        <v>1034</v>
      </c>
      <c r="D599" s="13">
        <v>4</v>
      </c>
      <c r="E599" s="13">
        <v>3</v>
      </c>
    </row>
    <row r="600" spans="1:5">
      <c r="A600" s="13" t="s">
        <v>1063</v>
      </c>
      <c r="B600" s="13" t="s">
        <v>474</v>
      </c>
      <c r="C600" s="13" t="s">
        <v>1064</v>
      </c>
      <c r="D600" s="13">
        <v>4</v>
      </c>
      <c r="E600" s="13">
        <v>3</v>
      </c>
    </row>
    <row r="601" spans="1:5">
      <c r="A601" s="13" t="s">
        <v>1069</v>
      </c>
      <c r="B601" s="13" t="s">
        <v>495</v>
      </c>
      <c r="C601" s="13" t="s">
        <v>1070</v>
      </c>
      <c r="D601" s="13">
        <v>4</v>
      </c>
      <c r="E601" s="13">
        <v>4</v>
      </c>
    </row>
    <row r="602" spans="1:5">
      <c r="A602" s="13" t="s">
        <v>1071</v>
      </c>
      <c r="B602" s="13" t="s">
        <v>673</v>
      </c>
      <c r="C602" s="13" t="s">
        <v>1072</v>
      </c>
      <c r="D602" s="13">
        <v>4</v>
      </c>
      <c r="E602" s="13">
        <v>3</v>
      </c>
    </row>
    <row r="603" spans="1:5">
      <c r="A603" s="13" t="s">
        <v>1073</v>
      </c>
      <c r="B603" s="13" t="s">
        <v>443</v>
      </c>
      <c r="C603" s="13" t="s">
        <v>1074</v>
      </c>
      <c r="D603" s="13">
        <v>4</v>
      </c>
      <c r="E603" s="13">
        <v>4</v>
      </c>
    </row>
    <row r="604" spans="1:5">
      <c r="A604" s="13" t="s">
        <v>1083</v>
      </c>
      <c r="B604" s="13" t="s">
        <v>639</v>
      </c>
      <c r="C604" s="13" t="s">
        <v>1076</v>
      </c>
      <c r="D604" s="13">
        <v>4</v>
      </c>
      <c r="E604" s="13">
        <v>3</v>
      </c>
    </row>
    <row r="605" spans="1:5">
      <c r="A605" s="13" t="s">
        <v>1099</v>
      </c>
      <c r="B605" s="13" t="s">
        <v>558</v>
      </c>
      <c r="C605" s="13" t="s">
        <v>1100</v>
      </c>
      <c r="D605" s="13">
        <v>4</v>
      </c>
      <c r="E605" s="13">
        <v>4</v>
      </c>
    </row>
    <row r="606" spans="1:5">
      <c r="A606" s="13" t="s">
        <v>1111</v>
      </c>
      <c r="B606" s="13" t="s">
        <v>495</v>
      </c>
      <c r="C606" s="13" t="s">
        <v>1112</v>
      </c>
      <c r="D606" s="13">
        <v>4</v>
      </c>
      <c r="E606" s="13">
        <v>3</v>
      </c>
    </row>
    <row r="607" spans="1:5">
      <c r="A607" s="13" t="s">
        <v>1113</v>
      </c>
      <c r="B607" s="13" t="s">
        <v>596</v>
      </c>
      <c r="C607" s="13" t="s">
        <v>1114</v>
      </c>
      <c r="D607" s="13">
        <v>4</v>
      </c>
      <c r="E607" s="13">
        <v>4</v>
      </c>
    </row>
    <row r="608" spans="1:5">
      <c r="A608" s="13" t="s">
        <v>1115</v>
      </c>
      <c r="B608" s="13" t="s">
        <v>481</v>
      </c>
      <c r="C608" s="13" t="s">
        <v>1116</v>
      </c>
      <c r="D608" s="13">
        <v>4</v>
      </c>
      <c r="E608" s="13">
        <v>4</v>
      </c>
    </row>
    <row r="609" spans="1:5">
      <c r="A609" s="13" t="s">
        <v>1129</v>
      </c>
      <c r="B609" s="13" t="s">
        <v>495</v>
      </c>
      <c r="C609" s="13" t="s">
        <v>1130</v>
      </c>
      <c r="D609" s="13">
        <v>4</v>
      </c>
      <c r="E609" s="13">
        <v>4</v>
      </c>
    </row>
    <row r="610" spans="1:5">
      <c r="A610" s="13" t="s">
        <v>1145</v>
      </c>
      <c r="B610" s="13" t="s">
        <v>894</v>
      </c>
      <c r="C610" s="13" t="s">
        <v>1146</v>
      </c>
      <c r="D610" s="13">
        <v>4</v>
      </c>
      <c r="E610" s="13">
        <v>3</v>
      </c>
    </row>
    <row r="611" spans="1:5">
      <c r="A611" s="13" t="s">
        <v>1147</v>
      </c>
      <c r="B611" s="13" t="s">
        <v>436</v>
      </c>
      <c r="C611" s="13" t="s">
        <v>1148</v>
      </c>
      <c r="D611" s="13">
        <v>4</v>
      </c>
      <c r="E611" s="13">
        <v>4</v>
      </c>
    </row>
    <row r="612" spans="1:5">
      <c r="A612" s="13" t="s">
        <v>1151</v>
      </c>
      <c r="B612" s="13" t="s">
        <v>673</v>
      </c>
      <c r="C612" s="13" t="s">
        <v>1152</v>
      </c>
      <c r="D612" s="13">
        <v>4</v>
      </c>
      <c r="E612" s="13">
        <v>3</v>
      </c>
    </row>
    <row r="613" spans="1:5">
      <c r="A613" s="13" t="s">
        <v>1170</v>
      </c>
      <c r="B613" s="13" t="s">
        <v>568</v>
      </c>
      <c r="C613" s="13" t="s">
        <v>1171</v>
      </c>
      <c r="D613" s="13">
        <v>4</v>
      </c>
      <c r="E613" s="13">
        <v>4</v>
      </c>
    </row>
    <row r="614" spans="1:5">
      <c r="A614" s="13" t="s">
        <v>1190</v>
      </c>
      <c r="B614" s="13" t="s">
        <v>499</v>
      </c>
      <c r="C614" s="13" t="s">
        <v>1191</v>
      </c>
      <c r="D614" s="13">
        <v>4</v>
      </c>
      <c r="E614" s="13">
        <v>4</v>
      </c>
    </row>
    <row r="615" spans="1:5">
      <c r="A615" s="13" t="s">
        <v>1192</v>
      </c>
      <c r="B615" s="13" t="s">
        <v>894</v>
      </c>
      <c r="C615" s="13" t="s">
        <v>1193</v>
      </c>
      <c r="D615" s="13">
        <v>4</v>
      </c>
      <c r="E615" s="13">
        <v>4</v>
      </c>
    </row>
    <row r="616" spans="1:5">
      <c r="A616" s="13" t="s">
        <v>1198</v>
      </c>
      <c r="B616" s="13" t="s">
        <v>499</v>
      </c>
      <c r="C616" s="13" t="s">
        <v>1199</v>
      </c>
      <c r="D616" s="13">
        <v>4</v>
      </c>
      <c r="E616" s="13">
        <v>3</v>
      </c>
    </row>
    <row r="617" spans="1:5">
      <c r="A617" s="13" t="s">
        <v>1206</v>
      </c>
      <c r="B617" s="13" t="s">
        <v>481</v>
      </c>
      <c r="C617" s="13" t="s">
        <v>1207</v>
      </c>
      <c r="D617" s="13">
        <v>4</v>
      </c>
      <c r="E617" s="13">
        <v>4</v>
      </c>
    </row>
    <row r="618" spans="1:5">
      <c r="A618" s="13" t="s">
        <v>1216</v>
      </c>
      <c r="B618" s="13" t="s">
        <v>481</v>
      </c>
      <c r="C618" s="13" t="s">
        <v>1217</v>
      </c>
      <c r="D618" s="13">
        <v>4</v>
      </c>
      <c r="E618" s="13">
        <v>4</v>
      </c>
    </row>
    <row r="619" spans="1:5">
      <c r="A619" s="13" t="s">
        <v>1251</v>
      </c>
      <c r="B619" s="13" t="s">
        <v>495</v>
      </c>
      <c r="C619" s="13" t="s">
        <v>628</v>
      </c>
      <c r="D619" s="13">
        <v>4</v>
      </c>
      <c r="E619" s="13">
        <v>4</v>
      </c>
    </row>
    <row r="620" spans="1:5">
      <c r="A620" s="13" t="s">
        <v>1259</v>
      </c>
      <c r="B620" s="13" t="s">
        <v>436</v>
      </c>
      <c r="C620" s="13" t="s">
        <v>1260</v>
      </c>
      <c r="D620" s="13">
        <v>4</v>
      </c>
      <c r="E620" s="13">
        <v>4</v>
      </c>
    </row>
    <row r="621" spans="1:5">
      <c r="A621" s="13" t="s">
        <v>1265</v>
      </c>
      <c r="B621" s="13" t="s">
        <v>568</v>
      </c>
      <c r="C621" s="13" t="s">
        <v>1266</v>
      </c>
      <c r="D621" s="13">
        <v>4</v>
      </c>
      <c r="E621" s="13">
        <v>3</v>
      </c>
    </row>
    <row r="622" spans="1:5">
      <c r="A622" s="13" t="s">
        <v>1277</v>
      </c>
      <c r="B622" s="13" t="s">
        <v>639</v>
      </c>
      <c r="C622" s="13" t="s">
        <v>1278</v>
      </c>
      <c r="D622" s="13">
        <v>4</v>
      </c>
      <c r="E622" s="13">
        <v>4</v>
      </c>
    </row>
    <row r="623" spans="1:5">
      <c r="A623" s="13" t="s">
        <v>1279</v>
      </c>
      <c r="B623" s="13" t="s">
        <v>568</v>
      </c>
      <c r="C623" s="13" t="s">
        <v>1280</v>
      </c>
      <c r="D623" s="13">
        <v>4</v>
      </c>
      <c r="E623" s="13">
        <v>4</v>
      </c>
    </row>
    <row r="624" spans="1:5">
      <c r="A624" s="13" t="s">
        <v>1287</v>
      </c>
      <c r="B624" s="13" t="s">
        <v>499</v>
      </c>
      <c r="C624" s="13" t="s">
        <v>1288</v>
      </c>
      <c r="D624" s="13">
        <v>4</v>
      </c>
      <c r="E624" s="13">
        <v>3</v>
      </c>
    </row>
    <row r="625" spans="1:5">
      <c r="A625" s="13" t="s">
        <v>1289</v>
      </c>
      <c r="B625" s="13" t="s">
        <v>934</v>
      </c>
      <c r="C625" s="13" t="s">
        <v>1290</v>
      </c>
      <c r="D625" s="13">
        <v>4</v>
      </c>
      <c r="E625" s="13">
        <v>3</v>
      </c>
    </row>
    <row r="626" spans="1:5">
      <c r="A626" s="13" t="s">
        <v>1299</v>
      </c>
      <c r="B626" s="13" t="s">
        <v>944</v>
      </c>
      <c r="C626" s="13" t="s">
        <v>1040</v>
      </c>
      <c r="D626" s="13">
        <v>4</v>
      </c>
      <c r="E626" s="13">
        <v>3</v>
      </c>
    </row>
    <row r="627" spans="1:5">
      <c r="A627" s="13" t="s">
        <v>1304</v>
      </c>
      <c r="B627" s="13" t="s">
        <v>495</v>
      </c>
      <c r="C627" s="13" t="s">
        <v>1305</v>
      </c>
      <c r="D627" s="13">
        <v>4</v>
      </c>
      <c r="E627" s="13">
        <v>4</v>
      </c>
    </row>
    <row r="628" spans="1:5">
      <c r="A628" s="13" t="s">
        <v>1308</v>
      </c>
      <c r="B628" s="13" t="s">
        <v>481</v>
      </c>
      <c r="C628" s="13" t="s">
        <v>1309</v>
      </c>
      <c r="D628" s="13">
        <v>4</v>
      </c>
      <c r="E628" s="13">
        <v>4</v>
      </c>
    </row>
    <row r="629" spans="1:5">
      <c r="A629" s="13" t="s">
        <v>1316</v>
      </c>
      <c r="B629" s="13" t="s">
        <v>677</v>
      </c>
      <c r="C629" s="13" t="s">
        <v>1317</v>
      </c>
      <c r="D629" s="13">
        <v>4</v>
      </c>
      <c r="E629" s="13">
        <v>4</v>
      </c>
    </row>
    <row r="630" spans="1:5">
      <c r="A630" s="13" t="s">
        <v>1318</v>
      </c>
      <c r="B630" s="13" t="s">
        <v>568</v>
      </c>
      <c r="C630" s="13" t="s">
        <v>1319</v>
      </c>
      <c r="D630" s="13">
        <v>4</v>
      </c>
      <c r="E630" s="13">
        <v>4</v>
      </c>
    </row>
    <row r="631" spans="1:5">
      <c r="A631" s="13" t="s">
        <v>1320</v>
      </c>
      <c r="B631" s="13" t="s">
        <v>677</v>
      </c>
      <c r="C631" s="13" t="s">
        <v>1321</v>
      </c>
      <c r="D631" s="13">
        <v>4</v>
      </c>
      <c r="E631" s="13">
        <v>3</v>
      </c>
    </row>
    <row r="632" spans="1:5">
      <c r="A632" s="13" t="s">
        <v>1328</v>
      </c>
      <c r="B632" s="13" t="s">
        <v>495</v>
      </c>
      <c r="C632" s="13" t="s">
        <v>1329</v>
      </c>
      <c r="D632" s="13">
        <v>4</v>
      </c>
      <c r="E632" s="13">
        <v>4</v>
      </c>
    </row>
    <row r="633" spans="1:5">
      <c r="A633" s="13" t="s">
        <v>1334</v>
      </c>
      <c r="B633" s="13" t="s">
        <v>596</v>
      </c>
      <c r="C633" s="13" t="s">
        <v>1335</v>
      </c>
      <c r="D633" s="13">
        <v>4</v>
      </c>
      <c r="E633" s="13">
        <v>4</v>
      </c>
    </row>
    <row r="634" spans="1:5">
      <c r="A634" s="13" t="s">
        <v>1338</v>
      </c>
      <c r="B634" s="13" t="s">
        <v>436</v>
      </c>
      <c r="C634" s="13" t="s">
        <v>1339</v>
      </c>
      <c r="D634" s="13">
        <v>4</v>
      </c>
      <c r="E634" s="13">
        <v>4</v>
      </c>
    </row>
    <row r="635" spans="1:5">
      <c r="A635" s="13" t="s">
        <v>1340</v>
      </c>
      <c r="B635" s="13" t="s">
        <v>495</v>
      </c>
      <c r="C635" s="13" t="s">
        <v>1341</v>
      </c>
      <c r="D635" s="13">
        <v>4</v>
      </c>
      <c r="E635" s="13">
        <v>4</v>
      </c>
    </row>
    <row r="636" spans="1:5">
      <c r="A636" s="13" t="s">
        <v>1348</v>
      </c>
      <c r="B636" s="13" t="s">
        <v>481</v>
      </c>
      <c r="C636" s="13" t="s">
        <v>1349</v>
      </c>
      <c r="D636" s="13">
        <v>4</v>
      </c>
      <c r="E636" s="13">
        <v>4</v>
      </c>
    </row>
    <row r="637" spans="1:5">
      <c r="A637" s="13" t="s">
        <v>1364</v>
      </c>
      <c r="B637" s="13" t="s">
        <v>455</v>
      </c>
      <c r="C637" s="13" t="s">
        <v>1365</v>
      </c>
      <c r="D637" s="13">
        <v>4</v>
      </c>
      <c r="E637" s="13">
        <v>4</v>
      </c>
    </row>
    <row r="638" spans="1:5">
      <c r="A638" s="13" t="s">
        <v>1370</v>
      </c>
      <c r="B638" s="13" t="s">
        <v>462</v>
      </c>
      <c r="C638" s="13" t="s">
        <v>1371</v>
      </c>
      <c r="D638" s="13">
        <v>4</v>
      </c>
      <c r="E638" s="13">
        <v>3</v>
      </c>
    </row>
    <row r="639" spans="1:5">
      <c r="A639" s="13" t="s">
        <v>1372</v>
      </c>
      <c r="B639" s="13" t="s">
        <v>436</v>
      </c>
      <c r="C639" s="13" t="s">
        <v>475</v>
      </c>
      <c r="D639" s="13">
        <v>4</v>
      </c>
      <c r="E639" s="13">
        <v>4</v>
      </c>
    </row>
    <row r="640" spans="1:5">
      <c r="A640" s="13" t="s">
        <v>1384</v>
      </c>
      <c r="B640" s="13" t="s">
        <v>462</v>
      </c>
      <c r="C640" s="13" t="s">
        <v>673</v>
      </c>
      <c r="D640" s="13">
        <v>4</v>
      </c>
      <c r="E640" s="13">
        <v>3</v>
      </c>
    </row>
    <row r="641" spans="1:5">
      <c r="A641" s="13" t="s">
        <v>1392</v>
      </c>
      <c r="B641" s="13" t="s">
        <v>455</v>
      </c>
      <c r="C641" s="13" t="s">
        <v>1393</v>
      </c>
      <c r="D641" s="13">
        <v>4</v>
      </c>
      <c r="E641" s="13">
        <v>4</v>
      </c>
    </row>
    <row r="642" spans="1:5">
      <c r="A642" s="13" t="s">
        <v>1394</v>
      </c>
      <c r="B642" s="13" t="s">
        <v>673</v>
      </c>
      <c r="C642" s="13" t="s">
        <v>1395</v>
      </c>
      <c r="D642" s="13">
        <v>4</v>
      </c>
      <c r="E642" s="13">
        <v>4</v>
      </c>
    </row>
    <row r="643" spans="1:5">
      <c r="A643" s="13" t="s">
        <v>1396</v>
      </c>
      <c r="B643" s="13" t="s">
        <v>436</v>
      </c>
      <c r="C643" s="13" t="s">
        <v>1397</v>
      </c>
      <c r="D643" s="13">
        <v>4</v>
      </c>
      <c r="E643" s="13">
        <v>4</v>
      </c>
    </row>
    <row r="644" spans="1:5">
      <c r="A644" s="13" t="s">
        <v>1404</v>
      </c>
      <c r="B644" s="13" t="s">
        <v>432</v>
      </c>
      <c r="C644" s="13" t="s">
        <v>1405</v>
      </c>
      <c r="D644" s="13">
        <v>4</v>
      </c>
      <c r="E644" s="13">
        <v>3</v>
      </c>
    </row>
    <row r="645" spans="1:5">
      <c r="A645" s="13" t="s">
        <v>1428</v>
      </c>
      <c r="B645" s="13" t="s">
        <v>894</v>
      </c>
      <c r="C645" s="13" t="s">
        <v>1429</v>
      </c>
      <c r="D645" s="13">
        <v>4</v>
      </c>
      <c r="E645" s="13">
        <v>4</v>
      </c>
    </row>
    <row r="646" spans="1:5">
      <c r="A646" s="13" t="s">
        <v>1430</v>
      </c>
      <c r="B646" s="13" t="s">
        <v>499</v>
      </c>
      <c r="C646" s="13" t="s">
        <v>1431</v>
      </c>
      <c r="D646" s="13">
        <v>4</v>
      </c>
      <c r="E646" s="13">
        <v>3</v>
      </c>
    </row>
    <row r="647" spans="1:5">
      <c r="A647" s="13" t="s">
        <v>1440</v>
      </c>
      <c r="B647" s="13" t="s">
        <v>436</v>
      </c>
      <c r="C647" s="13" t="s">
        <v>1441</v>
      </c>
      <c r="D647" s="13">
        <v>4</v>
      </c>
      <c r="E647" s="13">
        <v>3</v>
      </c>
    </row>
    <row r="648" spans="1:5">
      <c r="A648" s="13" t="s">
        <v>1442</v>
      </c>
      <c r="B648" s="13" t="s">
        <v>436</v>
      </c>
      <c r="C648" s="13" t="s">
        <v>1443</v>
      </c>
      <c r="D648" s="13">
        <v>4</v>
      </c>
      <c r="E648" s="13">
        <v>4</v>
      </c>
    </row>
    <row r="649" spans="1:5">
      <c r="A649" s="13" t="s">
        <v>1467</v>
      </c>
      <c r="B649" s="13" t="s">
        <v>673</v>
      </c>
      <c r="C649" s="13" t="s">
        <v>1468</v>
      </c>
      <c r="D649" s="13">
        <v>4</v>
      </c>
      <c r="E649" s="13">
        <v>3</v>
      </c>
    </row>
    <row r="650" spans="1:5">
      <c r="A650" s="13" t="s">
        <v>1485</v>
      </c>
      <c r="B650" s="13" t="s">
        <v>436</v>
      </c>
      <c r="C650" s="13" t="s">
        <v>1486</v>
      </c>
      <c r="D650" s="13">
        <v>4</v>
      </c>
      <c r="E650" s="13">
        <v>3</v>
      </c>
    </row>
    <row r="651" spans="1:5">
      <c r="A651" s="13" t="s">
        <v>1487</v>
      </c>
      <c r="B651" s="13" t="s">
        <v>432</v>
      </c>
      <c r="C651" s="13" t="s">
        <v>1488</v>
      </c>
      <c r="D651" s="13">
        <v>4</v>
      </c>
      <c r="E651" s="13">
        <v>3</v>
      </c>
    </row>
    <row r="652" spans="1:5">
      <c r="A652" s="13" t="s">
        <v>1491</v>
      </c>
      <c r="B652" s="13" t="s">
        <v>499</v>
      </c>
      <c r="C652" s="13" t="s">
        <v>1492</v>
      </c>
      <c r="D652" s="13">
        <v>4</v>
      </c>
      <c r="E652" s="13">
        <v>3</v>
      </c>
    </row>
    <row r="653" spans="1:5">
      <c r="A653" s="13" t="s">
        <v>1493</v>
      </c>
      <c r="B653" s="13" t="s">
        <v>639</v>
      </c>
      <c r="C653" s="13" t="s">
        <v>1494</v>
      </c>
      <c r="D653" s="13">
        <v>4</v>
      </c>
      <c r="E653" s="13">
        <v>3</v>
      </c>
    </row>
    <row r="654" spans="1:5">
      <c r="A654" s="13" t="s">
        <v>1495</v>
      </c>
      <c r="B654" s="13" t="s">
        <v>432</v>
      </c>
      <c r="C654" s="13" t="s">
        <v>1496</v>
      </c>
      <c r="D654" s="13">
        <v>4</v>
      </c>
      <c r="E654" s="13">
        <v>4</v>
      </c>
    </row>
    <row r="655" spans="1:5">
      <c r="A655" s="13" t="s">
        <v>1501</v>
      </c>
      <c r="B655" s="13" t="s">
        <v>673</v>
      </c>
      <c r="C655" s="13" t="s">
        <v>1502</v>
      </c>
      <c r="D655" s="13">
        <v>4</v>
      </c>
      <c r="E655" s="13">
        <v>3</v>
      </c>
    </row>
    <row r="656" spans="1:5">
      <c r="A656" s="13" t="s">
        <v>1511</v>
      </c>
      <c r="B656" s="13" t="s">
        <v>639</v>
      </c>
      <c r="C656" s="13" t="s">
        <v>1512</v>
      </c>
      <c r="D656" s="13">
        <v>4</v>
      </c>
      <c r="E656" s="13">
        <v>4</v>
      </c>
    </row>
    <row r="657" spans="1:5">
      <c r="A657" s="13" t="s">
        <v>1513</v>
      </c>
      <c r="B657" s="13" t="s">
        <v>673</v>
      </c>
      <c r="C657" s="13" t="s">
        <v>1514</v>
      </c>
      <c r="D657" s="13">
        <v>4</v>
      </c>
      <c r="E657" s="13">
        <v>4</v>
      </c>
    </row>
    <row r="658" spans="1:5">
      <c r="A658" s="13" t="s">
        <v>1515</v>
      </c>
      <c r="B658" s="13" t="s">
        <v>499</v>
      </c>
      <c r="C658" s="13" t="s">
        <v>1516</v>
      </c>
      <c r="D658" s="13">
        <v>4</v>
      </c>
      <c r="E658" s="13">
        <v>3</v>
      </c>
    </row>
    <row r="659" spans="1:5">
      <c r="A659" s="13" t="s">
        <v>1517</v>
      </c>
      <c r="B659" s="13" t="s">
        <v>436</v>
      </c>
      <c r="C659" s="13" t="s">
        <v>1518</v>
      </c>
      <c r="D659" s="13">
        <v>4</v>
      </c>
      <c r="E659" s="13">
        <v>4</v>
      </c>
    </row>
    <row r="660" spans="1:5">
      <c r="A660" s="13" t="s">
        <v>1519</v>
      </c>
      <c r="B660" s="13" t="s">
        <v>436</v>
      </c>
      <c r="C660" s="13" t="s">
        <v>1520</v>
      </c>
      <c r="D660" s="13">
        <v>4</v>
      </c>
      <c r="E660" s="13">
        <v>4</v>
      </c>
    </row>
    <row r="661" spans="1:5">
      <c r="A661" s="13" t="s">
        <v>1521</v>
      </c>
      <c r="B661" s="13" t="s">
        <v>499</v>
      </c>
      <c r="C661" s="13" t="s">
        <v>1522</v>
      </c>
      <c r="D661" s="13">
        <v>4</v>
      </c>
      <c r="E661" s="13">
        <v>3</v>
      </c>
    </row>
    <row r="662" spans="1:5">
      <c r="A662" s="13" t="s">
        <v>1523</v>
      </c>
      <c r="B662" s="13" t="s">
        <v>499</v>
      </c>
      <c r="C662" s="13" t="s">
        <v>1524</v>
      </c>
      <c r="D662" s="13">
        <v>4</v>
      </c>
      <c r="E662" s="13">
        <v>4</v>
      </c>
    </row>
    <row r="663" spans="1:5">
      <c r="A663" s="13" t="s">
        <v>1525</v>
      </c>
      <c r="B663" s="13" t="s">
        <v>436</v>
      </c>
      <c r="C663" s="13" t="s">
        <v>1526</v>
      </c>
      <c r="D663" s="13">
        <v>4</v>
      </c>
      <c r="E663" s="13">
        <v>4</v>
      </c>
    </row>
    <row r="664" spans="1:5">
      <c r="A664" s="13" t="s">
        <v>1529</v>
      </c>
      <c r="B664" s="13" t="s">
        <v>462</v>
      </c>
      <c r="C664" s="13" t="s">
        <v>1530</v>
      </c>
      <c r="D664" s="13">
        <v>4</v>
      </c>
      <c r="E664" s="13">
        <v>4</v>
      </c>
    </row>
    <row r="665" spans="1:5">
      <c r="A665" s="13" t="s">
        <v>1533</v>
      </c>
      <c r="B665" s="13" t="s">
        <v>596</v>
      </c>
      <c r="C665" s="13" t="s">
        <v>1534</v>
      </c>
      <c r="D665" s="13">
        <v>4</v>
      </c>
      <c r="E665" s="13">
        <v>4</v>
      </c>
    </row>
    <row r="666" spans="1:5">
      <c r="A666" s="13" t="s">
        <v>1535</v>
      </c>
      <c r="B666" s="13" t="s">
        <v>432</v>
      </c>
      <c r="C666" s="13" t="s">
        <v>1536</v>
      </c>
      <c r="D666" s="13">
        <v>4</v>
      </c>
      <c r="E666" s="13">
        <v>4</v>
      </c>
    </row>
    <row r="667" spans="1:5">
      <c r="A667" s="13" t="s">
        <v>1537</v>
      </c>
      <c r="B667" s="13" t="s">
        <v>432</v>
      </c>
      <c r="C667" s="13" t="s">
        <v>1538</v>
      </c>
      <c r="D667" s="13">
        <v>4</v>
      </c>
      <c r="E667" s="13">
        <v>3</v>
      </c>
    </row>
    <row r="668" spans="1:5">
      <c r="A668" s="13" t="s">
        <v>1541</v>
      </c>
      <c r="B668" s="13" t="s">
        <v>677</v>
      </c>
      <c r="C668" s="13" t="s">
        <v>1542</v>
      </c>
      <c r="D668" s="13">
        <v>4</v>
      </c>
      <c r="E668" s="13">
        <v>3</v>
      </c>
    </row>
    <row r="669" spans="1:5">
      <c r="A669" s="13" t="s">
        <v>1543</v>
      </c>
      <c r="B669" s="13" t="s">
        <v>436</v>
      </c>
      <c r="C669" s="13" t="s">
        <v>1544</v>
      </c>
      <c r="D669" s="13">
        <v>4</v>
      </c>
      <c r="E669" s="13">
        <v>3</v>
      </c>
    </row>
    <row r="670" spans="1:5">
      <c r="A670" s="13" t="s">
        <v>1545</v>
      </c>
      <c r="B670" s="13" t="s">
        <v>677</v>
      </c>
      <c r="C670" s="13" t="s">
        <v>1546</v>
      </c>
      <c r="D670" s="13">
        <v>4</v>
      </c>
      <c r="E670" s="13">
        <v>4</v>
      </c>
    </row>
    <row r="671" spans="1:5">
      <c r="A671" s="13" t="s">
        <v>1549</v>
      </c>
      <c r="B671" s="13" t="s">
        <v>436</v>
      </c>
      <c r="C671" s="13" t="s">
        <v>1550</v>
      </c>
      <c r="D671" s="13">
        <v>4</v>
      </c>
      <c r="E671" s="13">
        <v>4</v>
      </c>
    </row>
    <row r="672" spans="1:5">
      <c r="A672" s="13" t="s">
        <v>1559</v>
      </c>
      <c r="B672" s="13" t="s">
        <v>462</v>
      </c>
      <c r="C672" s="13" t="s">
        <v>1560</v>
      </c>
      <c r="D672" s="13">
        <v>4</v>
      </c>
      <c r="E672" s="13">
        <v>3</v>
      </c>
    </row>
    <row r="673" spans="1:5">
      <c r="A673" s="13" t="s">
        <v>1563</v>
      </c>
      <c r="B673" s="13" t="s">
        <v>518</v>
      </c>
      <c r="C673" s="13" t="s">
        <v>1564</v>
      </c>
      <c r="D673" s="13">
        <v>4</v>
      </c>
      <c r="E673" s="13">
        <v>4</v>
      </c>
    </row>
    <row r="674" spans="1:5">
      <c r="A674" s="13" t="s">
        <v>1575</v>
      </c>
      <c r="B674" s="13" t="s">
        <v>436</v>
      </c>
      <c r="C674" s="13" t="s">
        <v>1576</v>
      </c>
      <c r="D674" s="13">
        <v>4</v>
      </c>
      <c r="E674" s="13">
        <v>4</v>
      </c>
    </row>
    <row r="675" spans="1:5">
      <c r="A675" s="13" t="s">
        <v>1577</v>
      </c>
      <c r="B675" s="13" t="s">
        <v>596</v>
      </c>
      <c r="C675" s="13" t="s">
        <v>1578</v>
      </c>
      <c r="D675" s="13">
        <v>4</v>
      </c>
      <c r="E675" s="13">
        <v>4</v>
      </c>
    </row>
    <row r="676" spans="1:5">
      <c r="A676" s="13" t="s">
        <v>1581</v>
      </c>
      <c r="B676" s="13" t="s">
        <v>639</v>
      </c>
      <c r="C676" s="13" t="s">
        <v>1582</v>
      </c>
      <c r="D676" s="13">
        <v>4</v>
      </c>
      <c r="E676" s="13">
        <v>4</v>
      </c>
    </row>
    <row r="677" spans="1:5">
      <c r="A677" s="13" t="s">
        <v>1589</v>
      </c>
      <c r="B677" s="13" t="s">
        <v>639</v>
      </c>
      <c r="C677" s="13" t="s">
        <v>1590</v>
      </c>
      <c r="D677" s="13">
        <v>4</v>
      </c>
      <c r="E677" s="13">
        <v>4</v>
      </c>
    </row>
    <row r="678" spans="1:5">
      <c r="A678" s="13" t="s">
        <v>1595</v>
      </c>
      <c r="B678" s="13" t="s">
        <v>894</v>
      </c>
      <c r="C678" s="13" t="s">
        <v>1596</v>
      </c>
      <c r="D678" s="13">
        <v>4</v>
      </c>
      <c r="E678" s="13">
        <v>3</v>
      </c>
    </row>
    <row r="679" spans="1:5">
      <c r="A679" s="13" t="s">
        <v>1597</v>
      </c>
      <c r="B679" s="13" t="s">
        <v>436</v>
      </c>
      <c r="C679" s="13" t="s">
        <v>1598</v>
      </c>
      <c r="D679" s="13">
        <v>4</v>
      </c>
      <c r="E679" s="13">
        <v>4</v>
      </c>
    </row>
    <row r="680" spans="1:5">
      <c r="A680" s="13" t="s">
        <v>1599</v>
      </c>
      <c r="B680" s="13" t="s">
        <v>499</v>
      </c>
      <c r="C680" s="13" t="s">
        <v>1600</v>
      </c>
      <c r="D680" s="13">
        <v>4</v>
      </c>
      <c r="E680" s="13">
        <v>3</v>
      </c>
    </row>
    <row r="681" spans="1:5">
      <c r="A681" s="13" t="s">
        <v>1605</v>
      </c>
      <c r="B681" s="13" t="s">
        <v>677</v>
      </c>
      <c r="C681" s="13" t="s">
        <v>1606</v>
      </c>
      <c r="D681" s="13">
        <v>4</v>
      </c>
      <c r="E681" s="13">
        <v>4</v>
      </c>
    </row>
    <row r="682" spans="1:5">
      <c r="A682" s="13" t="s">
        <v>1607</v>
      </c>
      <c r="B682" s="13" t="s">
        <v>499</v>
      </c>
      <c r="C682" s="13" t="s">
        <v>1608</v>
      </c>
      <c r="D682" s="13">
        <v>4</v>
      </c>
      <c r="E682" s="13">
        <v>3</v>
      </c>
    </row>
    <row r="683" spans="1:5">
      <c r="A683" s="13" t="s">
        <v>1611</v>
      </c>
      <c r="B683" s="13" t="s">
        <v>495</v>
      </c>
      <c r="C683" s="13" t="s">
        <v>1612</v>
      </c>
      <c r="D683" s="13">
        <v>4</v>
      </c>
      <c r="E683" s="13">
        <v>4</v>
      </c>
    </row>
    <row r="684" spans="1:5">
      <c r="A684" s="13" t="s">
        <v>1613</v>
      </c>
      <c r="B684" s="13" t="s">
        <v>558</v>
      </c>
      <c r="C684" s="13" t="s">
        <v>1614</v>
      </c>
      <c r="D684" s="13">
        <v>4</v>
      </c>
      <c r="E684" s="13">
        <v>3</v>
      </c>
    </row>
    <row r="685" spans="1:5">
      <c r="A685" s="13" t="s">
        <v>1615</v>
      </c>
      <c r="B685" s="13" t="s">
        <v>499</v>
      </c>
      <c r="C685" s="13" t="s">
        <v>1616</v>
      </c>
      <c r="D685" s="13">
        <v>4</v>
      </c>
      <c r="E685" s="13">
        <v>3</v>
      </c>
    </row>
    <row r="686" spans="1:5">
      <c r="A686" s="13" t="s">
        <v>1620</v>
      </c>
      <c r="B686" s="13" t="s">
        <v>499</v>
      </c>
      <c r="C686" s="13" t="s">
        <v>997</v>
      </c>
      <c r="D686" s="13">
        <v>4</v>
      </c>
      <c r="E686" s="13">
        <v>3</v>
      </c>
    </row>
    <row r="687" spans="1:5">
      <c r="A687" s="13" t="s">
        <v>1621</v>
      </c>
      <c r="B687" s="13" t="s">
        <v>673</v>
      </c>
      <c r="C687" s="13" t="s">
        <v>568</v>
      </c>
      <c r="D687" s="13">
        <v>4</v>
      </c>
      <c r="E687" s="13">
        <v>4</v>
      </c>
    </row>
    <row r="688" spans="1:5">
      <c r="A688" s="13" t="s">
        <v>1622</v>
      </c>
      <c r="B688" s="13" t="s">
        <v>499</v>
      </c>
      <c r="C688" s="13" t="s">
        <v>507</v>
      </c>
      <c r="D688" s="13">
        <v>4</v>
      </c>
      <c r="E688" s="13">
        <v>4</v>
      </c>
    </row>
    <row r="689" spans="1:5">
      <c r="A689" s="13" t="s">
        <v>1625</v>
      </c>
      <c r="B689" s="13" t="s">
        <v>499</v>
      </c>
      <c r="C689" s="13" t="s">
        <v>1626</v>
      </c>
      <c r="D689" s="13">
        <v>4</v>
      </c>
      <c r="E689" s="13">
        <v>4</v>
      </c>
    </row>
    <row r="690" spans="1:5">
      <c r="A690" s="13" t="s">
        <v>1629</v>
      </c>
      <c r="B690" s="13" t="s">
        <v>568</v>
      </c>
      <c r="C690" s="13" t="s">
        <v>1630</v>
      </c>
      <c r="D690" s="13">
        <v>4</v>
      </c>
      <c r="E690" s="13">
        <v>4</v>
      </c>
    </row>
    <row r="691" spans="1:5">
      <c r="A691" s="13" t="s">
        <v>1636</v>
      </c>
      <c r="B691" s="13" t="s">
        <v>518</v>
      </c>
      <c r="C691" s="13" t="s">
        <v>1637</v>
      </c>
      <c r="D691" s="13">
        <v>4</v>
      </c>
      <c r="E691" s="13">
        <v>4</v>
      </c>
    </row>
    <row r="692" spans="1:5">
      <c r="A692" s="13" t="s">
        <v>1639</v>
      </c>
      <c r="B692" s="13" t="s">
        <v>499</v>
      </c>
      <c r="C692" s="13" t="s">
        <v>1640</v>
      </c>
      <c r="D692" s="13">
        <v>4</v>
      </c>
      <c r="E692" s="13">
        <v>3</v>
      </c>
    </row>
    <row r="693" spans="1:5">
      <c r="A693" s="13" t="s">
        <v>1643</v>
      </c>
      <c r="B693" s="13" t="s">
        <v>558</v>
      </c>
      <c r="C693" s="13" t="s">
        <v>1301</v>
      </c>
      <c r="D693" s="13">
        <v>4</v>
      </c>
      <c r="E693" s="13">
        <v>4</v>
      </c>
    </row>
    <row r="694" spans="1:5">
      <c r="A694" s="13" t="s">
        <v>1645</v>
      </c>
      <c r="B694" s="13" t="s">
        <v>495</v>
      </c>
      <c r="C694" s="13" t="s">
        <v>1646</v>
      </c>
      <c r="D694" s="13">
        <v>4</v>
      </c>
      <c r="E694" s="13">
        <v>4</v>
      </c>
    </row>
    <row r="695" spans="1:5">
      <c r="A695" s="13" t="s">
        <v>1649</v>
      </c>
      <c r="B695" s="13" t="s">
        <v>499</v>
      </c>
      <c r="C695" s="13" t="s">
        <v>1650</v>
      </c>
      <c r="D695" s="13">
        <v>4</v>
      </c>
      <c r="E695" s="13">
        <v>4</v>
      </c>
    </row>
    <row r="696" spans="1:5">
      <c r="A696" s="13" t="s">
        <v>1651</v>
      </c>
      <c r="B696" s="13" t="s">
        <v>495</v>
      </c>
      <c r="C696" s="13" t="s">
        <v>1652</v>
      </c>
      <c r="D696" s="13">
        <v>4</v>
      </c>
      <c r="E696" s="13">
        <v>4</v>
      </c>
    </row>
    <row r="697" spans="1:5">
      <c r="A697" s="13" t="s">
        <v>1653</v>
      </c>
      <c r="B697" s="13" t="s">
        <v>639</v>
      </c>
      <c r="C697" s="13" t="s">
        <v>1654</v>
      </c>
      <c r="D697" s="13">
        <v>4</v>
      </c>
      <c r="E697" s="13">
        <v>4</v>
      </c>
    </row>
    <row r="698" spans="1:5">
      <c r="A698" s="13" t="s">
        <v>1657</v>
      </c>
      <c r="B698" s="13" t="s">
        <v>481</v>
      </c>
      <c r="C698" s="13" t="s">
        <v>1658</v>
      </c>
      <c r="D698" s="13">
        <v>4</v>
      </c>
      <c r="E698" s="13">
        <v>4</v>
      </c>
    </row>
    <row r="699" spans="1:5">
      <c r="A699" s="13" t="s">
        <v>1665</v>
      </c>
      <c r="B699" s="13" t="s">
        <v>436</v>
      </c>
      <c r="C699" s="13" t="s">
        <v>1666</v>
      </c>
      <c r="D699" s="13">
        <v>4</v>
      </c>
      <c r="E699" s="13">
        <v>3</v>
      </c>
    </row>
    <row r="700" spans="1:5">
      <c r="A700" s="13" t="s">
        <v>1669</v>
      </c>
      <c r="B700" s="13" t="s">
        <v>596</v>
      </c>
      <c r="C700" s="13" t="s">
        <v>1670</v>
      </c>
      <c r="D700" s="13">
        <v>4</v>
      </c>
      <c r="E700" s="13">
        <v>4</v>
      </c>
    </row>
    <row r="701" spans="1:5">
      <c r="A701" s="13" t="s">
        <v>1671</v>
      </c>
      <c r="B701" s="13" t="s">
        <v>673</v>
      </c>
      <c r="C701" s="13" t="s">
        <v>1672</v>
      </c>
      <c r="D701" s="13">
        <v>4</v>
      </c>
      <c r="E701" s="13">
        <v>4</v>
      </c>
    </row>
    <row r="702" spans="1:5">
      <c r="A702" s="13" t="s">
        <v>1677</v>
      </c>
      <c r="B702" s="13" t="s">
        <v>499</v>
      </c>
      <c r="C702" s="13" t="s">
        <v>1678</v>
      </c>
      <c r="D702" s="13">
        <v>4</v>
      </c>
      <c r="E702" s="13">
        <v>4</v>
      </c>
    </row>
    <row r="703" spans="1:5">
      <c r="A703" s="13" t="s">
        <v>1679</v>
      </c>
      <c r="B703" s="13" t="s">
        <v>673</v>
      </c>
      <c r="C703" s="13" t="s">
        <v>1680</v>
      </c>
      <c r="D703" s="13">
        <v>4</v>
      </c>
      <c r="E703" s="13">
        <v>4</v>
      </c>
    </row>
    <row r="704" spans="1:5">
      <c r="A704" s="13" t="s">
        <v>1685</v>
      </c>
      <c r="B704" s="13" t="s">
        <v>436</v>
      </c>
      <c r="C704" s="13" t="s">
        <v>1686</v>
      </c>
      <c r="D704" s="13">
        <v>4</v>
      </c>
      <c r="E704" s="13">
        <v>4</v>
      </c>
    </row>
    <row r="705" spans="1:5">
      <c r="A705" s="13" t="s">
        <v>1687</v>
      </c>
      <c r="B705" s="13" t="s">
        <v>894</v>
      </c>
      <c r="C705" s="13" t="s">
        <v>1688</v>
      </c>
      <c r="D705" s="13">
        <v>4</v>
      </c>
      <c r="E705" s="13">
        <v>3</v>
      </c>
    </row>
    <row r="706" spans="1:5">
      <c r="A706" s="13" t="s">
        <v>1689</v>
      </c>
      <c r="B706" s="13" t="s">
        <v>596</v>
      </c>
      <c r="C706" s="13" t="s">
        <v>1690</v>
      </c>
      <c r="D706" s="13">
        <v>4</v>
      </c>
      <c r="E706" s="13">
        <v>4</v>
      </c>
    </row>
    <row r="707" spans="1:5">
      <c r="A707" s="13" t="s">
        <v>1695</v>
      </c>
      <c r="B707" s="13" t="s">
        <v>558</v>
      </c>
      <c r="C707" s="13" t="s">
        <v>481</v>
      </c>
      <c r="D707" s="13">
        <v>4</v>
      </c>
      <c r="E707" s="13">
        <v>4</v>
      </c>
    </row>
    <row r="708" spans="1:5">
      <c r="A708" s="13" t="s">
        <v>1698</v>
      </c>
      <c r="B708" s="13" t="s">
        <v>436</v>
      </c>
      <c r="C708" s="13" t="s">
        <v>1699</v>
      </c>
      <c r="D708" s="13">
        <v>4</v>
      </c>
      <c r="E708" s="13">
        <v>3</v>
      </c>
    </row>
    <row r="709" spans="1:5">
      <c r="A709" s="13" t="s">
        <v>1702</v>
      </c>
      <c r="B709" s="13" t="s">
        <v>443</v>
      </c>
      <c r="C709" s="13" t="s">
        <v>1703</v>
      </c>
      <c r="D709" s="13">
        <v>4</v>
      </c>
      <c r="E709" s="13">
        <v>4</v>
      </c>
    </row>
    <row r="710" spans="1:5">
      <c r="A710" s="13" t="s">
        <v>1704</v>
      </c>
      <c r="B710" s="13" t="s">
        <v>558</v>
      </c>
      <c r="C710" s="13" t="s">
        <v>876</v>
      </c>
      <c r="D710" s="13">
        <v>4</v>
      </c>
      <c r="E710" s="13">
        <v>4</v>
      </c>
    </row>
    <row r="711" spans="1:5">
      <c r="A711" s="13" t="s">
        <v>1705</v>
      </c>
      <c r="B711" s="13" t="s">
        <v>436</v>
      </c>
      <c r="C711" s="13" t="s">
        <v>1706</v>
      </c>
      <c r="D711" s="13">
        <v>4</v>
      </c>
      <c r="E711" s="13">
        <v>4</v>
      </c>
    </row>
    <row r="712" spans="1:5">
      <c r="A712" s="13" t="s">
        <v>1707</v>
      </c>
      <c r="B712" s="13" t="s">
        <v>436</v>
      </c>
      <c r="C712" s="13" t="s">
        <v>1708</v>
      </c>
      <c r="D712" s="13">
        <v>4</v>
      </c>
      <c r="E712" s="13">
        <v>4</v>
      </c>
    </row>
    <row r="713" spans="1:5">
      <c r="A713" s="13" t="s">
        <v>1709</v>
      </c>
      <c r="B713" s="13" t="s">
        <v>432</v>
      </c>
      <c r="C713" s="13" t="s">
        <v>1710</v>
      </c>
      <c r="D713" s="13">
        <v>4</v>
      </c>
      <c r="E713" s="13">
        <v>4</v>
      </c>
    </row>
    <row r="714" spans="1:5">
      <c r="A714" s="13" t="s">
        <v>1711</v>
      </c>
      <c r="B714" s="13" t="s">
        <v>462</v>
      </c>
      <c r="C714" s="13" t="s">
        <v>1712</v>
      </c>
      <c r="D714" s="13">
        <v>4</v>
      </c>
      <c r="E714" s="13">
        <v>3</v>
      </c>
    </row>
    <row r="715" spans="1:5">
      <c r="A715" s="13" t="s">
        <v>1721</v>
      </c>
      <c r="B715" s="13" t="s">
        <v>462</v>
      </c>
      <c r="C715" s="13" t="s">
        <v>1722</v>
      </c>
      <c r="D715" s="13">
        <v>4</v>
      </c>
      <c r="E715" s="13">
        <v>3</v>
      </c>
    </row>
    <row r="716" spans="1:5">
      <c r="A716" s="13" t="s">
        <v>1723</v>
      </c>
      <c r="B716" s="13" t="s">
        <v>462</v>
      </c>
      <c r="C716" s="13" t="s">
        <v>1724</v>
      </c>
      <c r="D716" s="13">
        <v>4</v>
      </c>
      <c r="E716" s="13">
        <v>4</v>
      </c>
    </row>
    <row r="717" spans="1:5">
      <c r="A717" s="13" t="s">
        <v>1729</v>
      </c>
      <c r="B717" s="13" t="s">
        <v>432</v>
      </c>
      <c r="C717" s="13" t="s">
        <v>1730</v>
      </c>
      <c r="D717" s="13">
        <v>4</v>
      </c>
      <c r="E717" s="13">
        <v>3</v>
      </c>
    </row>
    <row r="718" spans="1:5">
      <c r="A718" s="13" t="s">
        <v>1733</v>
      </c>
      <c r="B718" s="13" t="s">
        <v>436</v>
      </c>
      <c r="C718" s="13" t="s">
        <v>1734</v>
      </c>
      <c r="D718" s="13">
        <v>4</v>
      </c>
      <c r="E718" s="13">
        <v>4</v>
      </c>
    </row>
    <row r="719" spans="1:5">
      <c r="A719" s="13" t="s">
        <v>1735</v>
      </c>
      <c r="B719" s="13" t="s">
        <v>499</v>
      </c>
      <c r="C719" s="13" t="s">
        <v>1736</v>
      </c>
      <c r="D719" s="13">
        <v>4</v>
      </c>
      <c r="E719" s="13">
        <v>3</v>
      </c>
    </row>
    <row r="720" spans="1:5">
      <c r="A720" s="13" t="s">
        <v>1737</v>
      </c>
      <c r="B720" s="13" t="s">
        <v>481</v>
      </c>
      <c r="C720" s="13" t="s">
        <v>1738</v>
      </c>
      <c r="D720" s="13">
        <v>4</v>
      </c>
      <c r="E720" s="13">
        <v>4</v>
      </c>
    </row>
    <row r="721" spans="1:5">
      <c r="A721" s="13" t="s">
        <v>1743</v>
      </c>
      <c r="B721" s="13" t="s">
        <v>499</v>
      </c>
      <c r="C721" s="13" t="s">
        <v>1744</v>
      </c>
      <c r="D721" s="13">
        <v>4</v>
      </c>
      <c r="E721" s="13">
        <v>3</v>
      </c>
    </row>
    <row r="722" spans="1:5">
      <c r="A722" s="13" t="s">
        <v>1751</v>
      </c>
      <c r="B722" s="13" t="s">
        <v>436</v>
      </c>
      <c r="C722" s="13" t="s">
        <v>1690</v>
      </c>
      <c r="D722" s="13">
        <v>4</v>
      </c>
      <c r="E722" s="13">
        <v>4</v>
      </c>
    </row>
    <row r="723" spans="1:5">
      <c r="A723" s="13" t="s">
        <v>1754</v>
      </c>
      <c r="B723" s="13" t="s">
        <v>944</v>
      </c>
      <c r="C723" s="13" t="s">
        <v>1755</v>
      </c>
      <c r="D723" s="13">
        <v>4</v>
      </c>
      <c r="E723" s="13">
        <v>4</v>
      </c>
    </row>
    <row r="724" spans="1:5">
      <c r="A724" s="13" t="s">
        <v>1756</v>
      </c>
      <c r="B724" s="13" t="s">
        <v>436</v>
      </c>
      <c r="C724" s="13" t="s">
        <v>634</v>
      </c>
      <c r="D724" s="13">
        <v>4</v>
      </c>
      <c r="E724" s="13">
        <v>4</v>
      </c>
    </row>
    <row r="725" spans="1:5">
      <c r="A725" s="13" t="s">
        <v>1759</v>
      </c>
      <c r="B725" s="13" t="s">
        <v>455</v>
      </c>
      <c r="C725" s="13" t="s">
        <v>1760</v>
      </c>
      <c r="D725" s="13">
        <v>4</v>
      </c>
      <c r="E725" s="13">
        <v>4</v>
      </c>
    </row>
    <row r="726" spans="1:5">
      <c r="A726" s="13" t="s">
        <v>1761</v>
      </c>
      <c r="B726" s="13" t="s">
        <v>436</v>
      </c>
      <c r="C726" s="13" t="s">
        <v>673</v>
      </c>
      <c r="D726" s="13">
        <v>4</v>
      </c>
      <c r="E726" s="13">
        <v>4</v>
      </c>
    </row>
    <row r="727" spans="1:5">
      <c r="A727" s="13" t="s">
        <v>1764</v>
      </c>
      <c r="B727" s="13" t="s">
        <v>673</v>
      </c>
      <c r="C727" s="13" t="s">
        <v>1765</v>
      </c>
      <c r="D727" s="13">
        <v>4</v>
      </c>
      <c r="E727" s="13">
        <v>4</v>
      </c>
    </row>
    <row r="728" spans="1:5">
      <c r="A728" s="13" t="s">
        <v>1766</v>
      </c>
      <c r="B728" s="13" t="s">
        <v>499</v>
      </c>
      <c r="C728" s="13" t="s">
        <v>1767</v>
      </c>
      <c r="D728" s="13">
        <v>4</v>
      </c>
      <c r="E728" s="13">
        <v>4</v>
      </c>
    </row>
    <row r="729" spans="1:5">
      <c r="A729" s="13" t="s">
        <v>1770</v>
      </c>
      <c r="B729" s="13" t="s">
        <v>596</v>
      </c>
      <c r="C729" s="13" t="s">
        <v>1771</v>
      </c>
      <c r="D729" s="13">
        <v>4</v>
      </c>
      <c r="E729" s="13">
        <v>4</v>
      </c>
    </row>
    <row r="730" spans="1:5">
      <c r="A730" s="13" t="s">
        <v>1772</v>
      </c>
      <c r="B730" s="13" t="s">
        <v>894</v>
      </c>
      <c r="C730" s="13" t="s">
        <v>1773</v>
      </c>
      <c r="D730" s="13">
        <v>4</v>
      </c>
      <c r="E730" s="13">
        <v>3</v>
      </c>
    </row>
    <row r="731" spans="1:5">
      <c r="A731" s="13" t="s">
        <v>1774</v>
      </c>
      <c r="B731" s="13" t="s">
        <v>894</v>
      </c>
      <c r="C731" s="13" t="s">
        <v>1775</v>
      </c>
      <c r="D731" s="13">
        <v>4</v>
      </c>
      <c r="E731" s="13">
        <v>4</v>
      </c>
    </row>
    <row r="732" spans="1:5">
      <c r="A732" s="13" t="s">
        <v>1776</v>
      </c>
      <c r="B732" s="13" t="s">
        <v>596</v>
      </c>
      <c r="C732" s="13" t="s">
        <v>1777</v>
      </c>
      <c r="D732" s="13">
        <v>4</v>
      </c>
      <c r="E732" s="13">
        <v>4</v>
      </c>
    </row>
    <row r="733" spans="1:5">
      <c r="A733" s="13" t="s">
        <v>1780</v>
      </c>
      <c r="B733" s="13" t="s">
        <v>596</v>
      </c>
      <c r="C733" s="13" t="s">
        <v>1781</v>
      </c>
      <c r="D733" s="13">
        <v>4</v>
      </c>
      <c r="E733" s="13">
        <v>4</v>
      </c>
    </row>
    <row r="734" spans="1:5">
      <c r="A734" s="13" t="s">
        <v>1782</v>
      </c>
      <c r="B734" s="13" t="s">
        <v>481</v>
      </c>
      <c r="C734" s="13" t="s">
        <v>568</v>
      </c>
      <c r="D734" s="13">
        <v>4</v>
      </c>
      <c r="E734" s="13">
        <v>4</v>
      </c>
    </row>
    <row r="735" spans="1:5">
      <c r="A735" s="13" t="s">
        <v>1783</v>
      </c>
      <c r="B735" s="13" t="s">
        <v>436</v>
      </c>
      <c r="C735" s="13" t="s">
        <v>1784</v>
      </c>
      <c r="D735" s="13">
        <v>4</v>
      </c>
      <c r="E735" s="13">
        <v>3</v>
      </c>
    </row>
    <row r="736" spans="1:5">
      <c r="A736" s="13" t="s">
        <v>1785</v>
      </c>
      <c r="B736" s="13" t="s">
        <v>596</v>
      </c>
      <c r="C736" s="13" t="s">
        <v>1786</v>
      </c>
      <c r="D736" s="13">
        <v>4</v>
      </c>
      <c r="E736" s="13">
        <v>4</v>
      </c>
    </row>
    <row r="737" spans="1:5">
      <c r="A737" s="13" t="s">
        <v>1787</v>
      </c>
      <c r="B737" s="13" t="s">
        <v>499</v>
      </c>
      <c r="C737" s="13" t="s">
        <v>1788</v>
      </c>
      <c r="D737" s="13">
        <v>4</v>
      </c>
      <c r="E737" s="13">
        <v>4</v>
      </c>
    </row>
    <row r="738" spans="1:5">
      <c r="A738" s="13" t="s">
        <v>1789</v>
      </c>
      <c r="B738" s="13" t="s">
        <v>455</v>
      </c>
      <c r="C738" s="13" t="s">
        <v>1790</v>
      </c>
      <c r="D738" s="13">
        <v>4</v>
      </c>
      <c r="E738" s="13">
        <v>4</v>
      </c>
    </row>
    <row r="739" spans="1:5">
      <c r="A739" s="13" t="s">
        <v>1793</v>
      </c>
      <c r="B739" s="13" t="s">
        <v>499</v>
      </c>
      <c r="C739" s="13" t="s">
        <v>1794</v>
      </c>
      <c r="D739" s="13">
        <v>4</v>
      </c>
      <c r="E739" s="13">
        <v>4</v>
      </c>
    </row>
    <row r="740" spans="1:5">
      <c r="A740" s="13" t="s">
        <v>1799</v>
      </c>
      <c r="B740" s="13" t="s">
        <v>436</v>
      </c>
      <c r="C740" s="13" t="s">
        <v>1236</v>
      </c>
      <c r="D740" s="13">
        <v>4</v>
      </c>
      <c r="E740" s="13">
        <v>4</v>
      </c>
    </row>
    <row r="741" spans="1:5">
      <c r="A741" s="13" t="s">
        <v>1800</v>
      </c>
      <c r="B741" s="13" t="s">
        <v>499</v>
      </c>
      <c r="C741" s="13" t="s">
        <v>1801</v>
      </c>
      <c r="D741" s="13">
        <v>4</v>
      </c>
      <c r="E741" s="13">
        <v>3</v>
      </c>
    </row>
    <row r="742" spans="1:5">
      <c r="A742" s="13" t="s">
        <v>1802</v>
      </c>
      <c r="B742" s="13" t="s">
        <v>432</v>
      </c>
      <c r="C742" s="13" t="s">
        <v>1803</v>
      </c>
      <c r="D742" s="13">
        <v>4</v>
      </c>
      <c r="E742" s="13">
        <v>4</v>
      </c>
    </row>
    <row r="743" spans="1:5">
      <c r="A743" s="13" t="s">
        <v>1804</v>
      </c>
      <c r="B743" s="13" t="s">
        <v>639</v>
      </c>
      <c r="C743" s="13" t="s">
        <v>1805</v>
      </c>
      <c r="D743" s="13">
        <v>4</v>
      </c>
      <c r="E743" s="13">
        <v>4</v>
      </c>
    </row>
    <row r="744" spans="1:5">
      <c r="A744" s="13" t="s">
        <v>1806</v>
      </c>
      <c r="B744" s="13" t="s">
        <v>673</v>
      </c>
      <c r="C744" s="13" t="s">
        <v>1807</v>
      </c>
      <c r="D744" s="13">
        <v>4</v>
      </c>
      <c r="E744" s="13">
        <v>4</v>
      </c>
    </row>
    <row r="745" spans="1:5">
      <c r="A745" s="13" t="s">
        <v>1812</v>
      </c>
      <c r="B745" s="13" t="s">
        <v>894</v>
      </c>
      <c r="C745" s="13" t="s">
        <v>1813</v>
      </c>
      <c r="D745" s="13">
        <v>4</v>
      </c>
      <c r="E745" s="13">
        <v>4</v>
      </c>
    </row>
    <row r="746" spans="1:5">
      <c r="A746" s="13" t="s">
        <v>1814</v>
      </c>
      <c r="B746" s="13" t="s">
        <v>596</v>
      </c>
      <c r="C746" s="13" t="s">
        <v>1815</v>
      </c>
      <c r="D746" s="13">
        <v>4</v>
      </c>
      <c r="E746" s="13">
        <v>4</v>
      </c>
    </row>
    <row r="747" spans="1:5">
      <c r="A747" s="13" t="s">
        <v>1818</v>
      </c>
      <c r="B747" s="13" t="s">
        <v>596</v>
      </c>
      <c r="C747" s="13" t="s">
        <v>1819</v>
      </c>
      <c r="D747" s="13">
        <v>4</v>
      </c>
      <c r="E747" s="13">
        <v>4</v>
      </c>
    </row>
    <row r="748" spans="1:5">
      <c r="A748" s="13" t="s">
        <v>1826</v>
      </c>
      <c r="B748" s="13" t="s">
        <v>606</v>
      </c>
      <c r="C748" s="13" t="s">
        <v>1827</v>
      </c>
      <c r="D748" s="13">
        <v>4</v>
      </c>
      <c r="E748" s="13">
        <v>3</v>
      </c>
    </row>
    <row r="749" spans="1:5">
      <c r="A749" s="13" t="s">
        <v>1828</v>
      </c>
      <c r="B749" s="13" t="s">
        <v>436</v>
      </c>
      <c r="C749" s="13" t="s">
        <v>1829</v>
      </c>
      <c r="D749" s="13">
        <v>4</v>
      </c>
      <c r="E749" s="13">
        <v>4</v>
      </c>
    </row>
    <row r="750" spans="1:5">
      <c r="A750" s="13" t="s">
        <v>1834</v>
      </c>
      <c r="B750" s="13" t="s">
        <v>499</v>
      </c>
      <c r="C750" s="13" t="s">
        <v>1835</v>
      </c>
      <c r="D750" s="13">
        <v>4</v>
      </c>
      <c r="E750" s="13">
        <v>4</v>
      </c>
    </row>
    <row r="751" spans="1:5">
      <c r="A751" s="13" t="s">
        <v>1836</v>
      </c>
      <c r="B751" s="13" t="s">
        <v>596</v>
      </c>
      <c r="C751" s="13" t="s">
        <v>1837</v>
      </c>
      <c r="D751" s="13">
        <v>4</v>
      </c>
      <c r="E751" s="13">
        <v>4</v>
      </c>
    </row>
    <row r="752" spans="1:5">
      <c r="A752" s="13" t="s">
        <v>1838</v>
      </c>
      <c r="B752" s="13" t="s">
        <v>455</v>
      </c>
      <c r="C752" s="13" t="s">
        <v>481</v>
      </c>
      <c r="D752" s="13">
        <v>4</v>
      </c>
      <c r="E752" s="13">
        <v>3</v>
      </c>
    </row>
    <row r="753" spans="1:5">
      <c r="A753" s="13" t="s">
        <v>1839</v>
      </c>
      <c r="B753" s="13" t="s">
        <v>462</v>
      </c>
      <c r="C753" s="13" t="s">
        <v>1840</v>
      </c>
      <c r="D753" s="13">
        <v>4</v>
      </c>
      <c r="E753" s="13">
        <v>4</v>
      </c>
    </row>
    <row r="754" spans="1:5">
      <c r="A754" s="13" t="s">
        <v>1842</v>
      </c>
      <c r="B754" s="13" t="s">
        <v>462</v>
      </c>
      <c r="C754" s="13" t="s">
        <v>1843</v>
      </c>
      <c r="D754" s="13">
        <v>4</v>
      </c>
      <c r="E754" s="13">
        <v>3</v>
      </c>
    </row>
    <row r="755" spans="1:5">
      <c r="A755" s="13" t="s">
        <v>1844</v>
      </c>
      <c r="B755" s="13" t="s">
        <v>518</v>
      </c>
      <c r="C755" s="13" t="s">
        <v>1845</v>
      </c>
      <c r="D755" s="13">
        <v>4</v>
      </c>
      <c r="E755" s="13">
        <v>3</v>
      </c>
    </row>
    <row r="756" spans="1:5">
      <c r="A756" s="13" t="s">
        <v>1846</v>
      </c>
      <c r="B756" s="13" t="s">
        <v>436</v>
      </c>
      <c r="C756" s="13" t="s">
        <v>1847</v>
      </c>
      <c r="D756" s="13">
        <v>4</v>
      </c>
      <c r="E756" s="13">
        <v>4</v>
      </c>
    </row>
    <row r="757" spans="1:5">
      <c r="A757" s="13" t="s">
        <v>1858</v>
      </c>
      <c r="B757" s="13" t="s">
        <v>432</v>
      </c>
      <c r="C757" s="13" t="s">
        <v>1755</v>
      </c>
      <c r="D757" s="13">
        <v>4</v>
      </c>
      <c r="E757" s="13">
        <v>4</v>
      </c>
    </row>
    <row r="758" spans="1:5">
      <c r="A758" s="13" t="s">
        <v>1859</v>
      </c>
      <c r="B758" s="13" t="s">
        <v>596</v>
      </c>
      <c r="C758" s="13" t="s">
        <v>1860</v>
      </c>
      <c r="D758" s="13">
        <v>4</v>
      </c>
      <c r="E758" s="13">
        <v>4</v>
      </c>
    </row>
    <row r="759" spans="1:5">
      <c r="A759" s="13" t="s">
        <v>1861</v>
      </c>
      <c r="B759" s="13" t="s">
        <v>894</v>
      </c>
      <c r="C759" s="13" t="s">
        <v>1862</v>
      </c>
      <c r="D759" s="13">
        <v>4</v>
      </c>
      <c r="E759" s="13">
        <v>4</v>
      </c>
    </row>
    <row r="760" spans="1:5">
      <c r="A760" s="13" t="s">
        <v>1863</v>
      </c>
      <c r="B760" s="13" t="s">
        <v>568</v>
      </c>
      <c r="C760" s="13" t="s">
        <v>1064</v>
      </c>
      <c r="D760" s="13">
        <v>4</v>
      </c>
      <c r="E760" s="13">
        <v>4</v>
      </c>
    </row>
    <row r="761" spans="1:5">
      <c r="A761" s="13" t="s">
        <v>1864</v>
      </c>
      <c r="B761" s="13" t="s">
        <v>436</v>
      </c>
      <c r="C761" s="13" t="s">
        <v>1865</v>
      </c>
      <c r="D761" s="13">
        <v>4</v>
      </c>
      <c r="E761" s="13">
        <v>3</v>
      </c>
    </row>
    <row r="762" spans="1:5">
      <c r="A762" s="13" t="s">
        <v>1866</v>
      </c>
      <c r="B762" s="13" t="s">
        <v>468</v>
      </c>
      <c r="C762" s="13" t="s">
        <v>1867</v>
      </c>
      <c r="D762" s="13">
        <v>4</v>
      </c>
      <c r="E762" s="13">
        <v>4</v>
      </c>
    </row>
    <row r="763" spans="1:5">
      <c r="A763" s="13" t="s">
        <v>1872</v>
      </c>
      <c r="B763" s="13" t="s">
        <v>518</v>
      </c>
      <c r="C763" s="13" t="s">
        <v>1873</v>
      </c>
      <c r="D763" s="13">
        <v>4</v>
      </c>
      <c r="E763" s="13">
        <v>4</v>
      </c>
    </row>
    <row r="764" spans="1:5">
      <c r="A764" s="13" t="s">
        <v>1878</v>
      </c>
      <c r="B764" s="13" t="s">
        <v>558</v>
      </c>
      <c r="C764" s="13" t="s">
        <v>1879</v>
      </c>
      <c r="D764" s="13">
        <v>4</v>
      </c>
      <c r="E764" s="13">
        <v>4</v>
      </c>
    </row>
    <row r="765" spans="1:5">
      <c r="A765" s="13" t="s">
        <v>1884</v>
      </c>
      <c r="B765" s="13" t="s">
        <v>432</v>
      </c>
      <c r="C765" s="13" t="s">
        <v>1323</v>
      </c>
      <c r="D765" s="13">
        <v>4</v>
      </c>
      <c r="E765" s="13">
        <v>3</v>
      </c>
    </row>
    <row r="766" spans="1:5">
      <c r="A766" s="13" t="s">
        <v>1887</v>
      </c>
      <c r="B766" s="13" t="s">
        <v>639</v>
      </c>
      <c r="C766" s="13" t="s">
        <v>1888</v>
      </c>
      <c r="D766" s="13">
        <v>4</v>
      </c>
      <c r="E766" s="13">
        <v>4</v>
      </c>
    </row>
    <row r="767" spans="1:5">
      <c r="A767" s="13" t="s">
        <v>1893</v>
      </c>
      <c r="B767" s="13" t="s">
        <v>677</v>
      </c>
      <c r="C767" s="13" t="s">
        <v>1894</v>
      </c>
      <c r="D767" s="13">
        <v>4</v>
      </c>
      <c r="E767" s="13">
        <v>4</v>
      </c>
    </row>
    <row r="768" spans="1:5">
      <c r="A768" s="13" t="s">
        <v>1897</v>
      </c>
      <c r="B768" s="13" t="s">
        <v>558</v>
      </c>
      <c r="C768" s="13" t="s">
        <v>1898</v>
      </c>
      <c r="D768" s="13">
        <v>4</v>
      </c>
      <c r="E768" s="13">
        <v>4</v>
      </c>
    </row>
    <row r="769" spans="1:5">
      <c r="A769" s="13" t="s">
        <v>1899</v>
      </c>
      <c r="B769" s="13" t="s">
        <v>481</v>
      </c>
      <c r="C769" s="13" t="s">
        <v>1900</v>
      </c>
      <c r="D769" s="13">
        <v>4</v>
      </c>
      <c r="E769" s="13">
        <v>4</v>
      </c>
    </row>
    <row r="770" spans="1:5">
      <c r="A770" s="13" t="s">
        <v>1901</v>
      </c>
      <c r="B770" s="13" t="s">
        <v>432</v>
      </c>
      <c r="C770" s="13" t="s">
        <v>1902</v>
      </c>
      <c r="D770" s="13">
        <v>4</v>
      </c>
      <c r="E770" s="13">
        <v>3</v>
      </c>
    </row>
    <row r="771" spans="1:5">
      <c r="A771" s="13" t="s">
        <v>1907</v>
      </c>
      <c r="B771" s="13" t="s">
        <v>499</v>
      </c>
      <c r="C771" s="13" t="s">
        <v>1908</v>
      </c>
      <c r="D771" s="13">
        <v>4</v>
      </c>
      <c r="E771" s="13">
        <v>3</v>
      </c>
    </row>
    <row r="772" spans="1:5">
      <c r="A772" s="13" t="s">
        <v>1909</v>
      </c>
      <c r="B772" s="13" t="s">
        <v>432</v>
      </c>
      <c r="C772" s="13" t="s">
        <v>1910</v>
      </c>
      <c r="D772" s="13">
        <v>4</v>
      </c>
      <c r="E772" s="13">
        <v>4</v>
      </c>
    </row>
    <row r="773" spans="1:5">
      <c r="A773" s="13" t="s">
        <v>1911</v>
      </c>
      <c r="B773" s="13" t="s">
        <v>481</v>
      </c>
      <c r="C773" s="13" t="s">
        <v>1912</v>
      </c>
      <c r="D773" s="13">
        <v>4</v>
      </c>
      <c r="E773" s="13">
        <v>3</v>
      </c>
    </row>
    <row r="774" spans="1:5">
      <c r="A774" s="13" t="s">
        <v>1913</v>
      </c>
      <c r="B774" s="13" t="s">
        <v>639</v>
      </c>
      <c r="C774" s="13" t="s">
        <v>1914</v>
      </c>
      <c r="D774" s="13">
        <v>4</v>
      </c>
      <c r="E774" s="13">
        <v>4</v>
      </c>
    </row>
    <row r="775" spans="1:5">
      <c r="A775" s="13" t="s">
        <v>1915</v>
      </c>
      <c r="B775" s="13" t="s">
        <v>436</v>
      </c>
      <c r="C775" s="13" t="s">
        <v>1916</v>
      </c>
      <c r="D775" s="13">
        <v>4</v>
      </c>
      <c r="E775" s="13">
        <v>3</v>
      </c>
    </row>
    <row r="776" spans="1:5">
      <c r="A776" s="13" t="s">
        <v>1926</v>
      </c>
      <c r="B776" s="13" t="s">
        <v>436</v>
      </c>
      <c r="C776" s="13" t="s">
        <v>1927</v>
      </c>
      <c r="D776" s="13">
        <v>4</v>
      </c>
      <c r="E776" s="13">
        <v>4</v>
      </c>
    </row>
    <row r="777" spans="1:5">
      <c r="A777" s="13" t="s">
        <v>1930</v>
      </c>
      <c r="B777" s="13" t="s">
        <v>639</v>
      </c>
      <c r="C777" s="13" t="s">
        <v>1931</v>
      </c>
      <c r="D777" s="13">
        <v>4</v>
      </c>
      <c r="E777" s="13">
        <v>4</v>
      </c>
    </row>
    <row r="778" spans="1:5">
      <c r="A778" s="13" t="s">
        <v>1934</v>
      </c>
      <c r="B778" s="13" t="s">
        <v>518</v>
      </c>
      <c r="C778" s="13" t="s">
        <v>1935</v>
      </c>
      <c r="D778" s="13">
        <v>4</v>
      </c>
      <c r="E778" s="13">
        <v>4</v>
      </c>
    </row>
    <row r="779" spans="1:5">
      <c r="A779" s="13" t="s">
        <v>1936</v>
      </c>
      <c r="B779" s="13" t="s">
        <v>462</v>
      </c>
      <c r="C779" s="13" t="s">
        <v>1937</v>
      </c>
      <c r="D779" s="13">
        <v>4</v>
      </c>
      <c r="E779" s="13">
        <v>4</v>
      </c>
    </row>
    <row r="780" spans="1:5">
      <c r="A780" s="13" t="s">
        <v>1938</v>
      </c>
      <c r="B780" s="13" t="s">
        <v>432</v>
      </c>
      <c r="C780" s="13" t="s">
        <v>1939</v>
      </c>
      <c r="D780" s="13">
        <v>4</v>
      </c>
      <c r="E780" s="13">
        <v>4</v>
      </c>
    </row>
    <row r="781" spans="1:5">
      <c r="A781" s="13" t="s">
        <v>1942</v>
      </c>
      <c r="B781" s="13" t="s">
        <v>894</v>
      </c>
      <c r="C781" s="13" t="s">
        <v>1943</v>
      </c>
      <c r="D781" s="13">
        <v>4</v>
      </c>
      <c r="E781" s="13">
        <v>4</v>
      </c>
    </row>
    <row r="782" spans="1:5">
      <c r="A782" s="13" t="s">
        <v>1946</v>
      </c>
      <c r="B782" s="13" t="s">
        <v>558</v>
      </c>
      <c r="C782" s="13" t="s">
        <v>1947</v>
      </c>
      <c r="D782" s="13">
        <v>4</v>
      </c>
      <c r="E782" s="13">
        <v>4</v>
      </c>
    </row>
    <row r="783" spans="1:5">
      <c r="A783" s="13" t="s">
        <v>1948</v>
      </c>
      <c r="B783" s="13" t="s">
        <v>934</v>
      </c>
      <c r="C783" s="13" t="s">
        <v>1949</v>
      </c>
      <c r="D783" s="13">
        <v>4</v>
      </c>
      <c r="E783" s="13">
        <v>4</v>
      </c>
    </row>
    <row r="784" spans="1:5">
      <c r="A784" s="13" t="s">
        <v>1950</v>
      </c>
      <c r="B784" s="13" t="s">
        <v>481</v>
      </c>
      <c r="C784" s="13" t="s">
        <v>1951</v>
      </c>
      <c r="D784" s="13">
        <v>4</v>
      </c>
      <c r="E784" s="13">
        <v>4</v>
      </c>
    </row>
    <row r="785" spans="1:5">
      <c r="A785" s="13" t="s">
        <v>1952</v>
      </c>
      <c r="B785" s="13" t="s">
        <v>894</v>
      </c>
      <c r="C785" s="13" t="s">
        <v>1953</v>
      </c>
      <c r="D785" s="13">
        <v>4</v>
      </c>
      <c r="E785" s="13">
        <v>3</v>
      </c>
    </row>
    <row r="786" spans="1:5">
      <c r="A786" s="13" t="s">
        <v>1954</v>
      </c>
      <c r="B786" s="13" t="s">
        <v>474</v>
      </c>
      <c r="C786" s="13" t="s">
        <v>1955</v>
      </c>
      <c r="D786" s="13">
        <v>4</v>
      </c>
      <c r="E786" s="13">
        <v>3</v>
      </c>
    </row>
    <row r="787" spans="1:5">
      <c r="A787" s="13" t="s">
        <v>1960</v>
      </c>
      <c r="B787" s="13" t="s">
        <v>436</v>
      </c>
      <c r="C787" s="13" t="s">
        <v>1171</v>
      </c>
      <c r="D787" s="13">
        <v>4</v>
      </c>
      <c r="E787" s="13">
        <v>4</v>
      </c>
    </row>
    <row r="788" spans="1:5">
      <c r="A788" s="13" t="s">
        <v>1965</v>
      </c>
      <c r="B788" s="13" t="s">
        <v>507</v>
      </c>
      <c r="C788" s="13" t="s">
        <v>1966</v>
      </c>
      <c r="D788" s="13">
        <v>4</v>
      </c>
      <c r="E788" s="13">
        <v>3</v>
      </c>
    </row>
    <row r="789" spans="1:5">
      <c r="A789" s="13" t="s">
        <v>1967</v>
      </c>
      <c r="B789" s="13" t="s">
        <v>432</v>
      </c>
      <c r="C789" s="13" t="s">
        <v>1968</v>
      </c>
      <c r="D789" s="13">
        <v>4</v>
      </c>
      <c r="E789" s="13">
        <v>4</v>
      </c>
    </row>
    <row r="790" spans="1:5">
      <c r="A790" s="13" t="s">
        <v>1969</v>
      </c>
      <c r="B790" s="13" t="s">
        <v>432</v>
      </c>
      <c r="C790" s="13" t="s">
        <v>1970</v>
      </c>
      <c r="D790" s="13">
        <v>4</v>
      </c>
      <c r="E790" s="13">
        <v>4</v>
      </c>
    </row>
    <row r="791" spans="1:5">
      <c r="A791" s="13" t="s">
        <v>1971</v>
      </c>
      <c r="B791" s="13" t="s">
        <v>596</v>
      </c>
      <c r="C791" s="13" t="s">
        <v>1972</v>
      </c>
      <c r="D791" s="13">
        <v>4</v>
      </c>
      <c r="E791" s="13">
        <v>3</v>
      </c>
    </row>
    <row r="792" spans="1:5">
      <c r="A792" s="13" t="s">
        <v>1973</v>
      </c>
      <c r="B792" s="13" t="s">
        <v>639</v>
      </c>
      <c r="C792" s="13" t="s">
        <v>1974</v>
      </c>
      <c r="D792" s="13">
        <v>4</v>
      </c>
      <c r="E792" s="13">
        <v>4</v>
      </c>
    </row>
    <row r="793" spans="1:5">
      <c r="A793" s="13" t="s">
        <v>1975</v>
      </c>
      <c r="B793" s="13" t="s">
        <v>499</v>
      </c>
      <c r="C793" s="13" t="s">
        <v>1976</v>
      </c>
      <c r="D793" s="13">
        <v>4</v>
      </c>
      <c r="E793" s="13">
        <v>4</v>
      </c>
    </row>
    <row r="794" spans="1:5">
      <c r="A794" s="13" t="s">
        <v>1980</v>
      </c>
      <c r="B794" s="13" t="s">
        <v>677</v>
      </c>
      <c r="C794" s="13" t="s">
        <v>1981</v>
      </c>
      <c r="D794" s="13">
        <v>4</v>
      </c>
      <c r="E794" s="13">
        <v>4</v>
      </c>
    </row>
    <row r="795" spans="1:5">
      <c r="A795" s="13" t="s">
        <v>1984</v>
      </c>
      <c r="B795" s="13" t="s">
        <v>432</v>
      </c>
      <c r="C795" s="13" t="s">
        <v>1985</v>
      </c>
      <c r="D795" s="13">
        <v>4</v>
      </c>
      <c r="E795" s="13">
        <v>4</v>
      </c>
    </row>
    <row r="796" spans="1:5">
      <c r="A796" s="13" t="s">
        <v>1986</v>
      </c>
      <c r="B796" s="13" t="s">
        <v>436</v>
      </c>
      <c r="C796" s="13" t="s">
        <v>1987</v>
      </c>
      <c r="D796" s="13">
        <v>4</v>
      </c>
      <c r="E796" s="13">
        <v>4</v>
      </c>
    </row>
    <row r="797" spans="1:5">
      <c r="A797" s="13" t="s">
        <v>1990</v>
      </c>
      <c r="B797" s="13" t="s">
        <v>596</v>
      </c>
      <c r="C797" s="13" t="s">
        <v>1087</v>
      </c>
      <c r="D797" s="13">
        <v>4</v>
      </c>
      <c r="E797" s="13">
        <v>4</v>
      </c>
    </row>
    <row r="798" spans="1:5">
      <c r="A798" s="13" t="s">
        <v>1991</v>
      </c>
      <c r="B798" s="13" t="s">
        <v>673</v>
      </c>
      <c r="C798" s="13" t="s">
        <v>1992</v>
      </c>
      <c r="D798" s="13">
        <v>4</v>
      </c>
      <c r="E798" s="13">
        <v>4</v>
      </c>
    </row>
    <row r="799" spans="1:5">
      <c r="A799" s="13" t="s">
        <v>1993</v>
      </c>
      <c r="B799" s="13" t="s">
        <v>568</v>
      </c>
      <c r="C799" s="13" t="s">
        <v>1994</v>
      </c>
      <c r="D799" s="13">
        <v>4</v>
      </c>
      <c r="E799" s="13">
        <v>4</v>
      </c>
    </row>
    <row r="800" spans="1:5">
      <c r="A800" s="13" t="s">
        <v>1995</v>
      </c>
      <c r="B800" s="13" t="s">
        <v>558</v>
      </c>
      <c r="C800" s="13" t="s">
        <v>1236</v>
      </c>
      <c r="D800" s="13">
        <v>4</v>
      </c>
      <c r="E800" s="13">
        <v>4</v>
      </c>
    </row>
    <row r="801" spans="1:5">
      <c r="A801" s="13" t="s">
        <v>1996</v>
      </c>
      <c r="B801" s="13" t="s">
        <v>432</v>
      </c>
      <c r="C801" s="13" t="s">
        <v>1997</v>
      </c>
      <c r="D801" s="13">
        <v>4</v>
      </c>
      <c r="E801" s="13">
        <v>4</v>
      </c>
    </row>
    <row r="802" spans="1:5">
      <c r="A802" s="13" t="s">
        <v>1998</v>
      </c>
      <c r="B802" s="13" t="s">
        <v>432</v>
      </c>
      <c r="C802" s="13" t="s">
        <v>1999</v>
      </c>
      <c r="D802" s="13">
        <v>4</v>
      </c>
      <c r="E802" s="13">
        <v>4</v>
      </c>
    </row>
    <row r="803" spans="1:5">
      <c r="A803" s="13" t="s">
        <v>2000</v>
      </c>
      <c r="B803" s="13" t="s">
        <v>432</v>
      </c>
      <c r="C803" s="13" t="s">
        <v>2001</v>
      </c>
      <c r="D803" s="13">
        <v>4</v>
      </c>
      <c r="E803" s="13">
        <v>4</v>
      </c>
    </row>
    <row r="804" spans="1:5">
      <c r="A804" s="13" t="s">
        <v>2002</v>
      </c>
      <c r="B804" s="13" t="s">
        <v>499</v>
      </c>
      <c r="C804" s="13" t="s">
        <v>2003</v>
      </c>
      <c r="D804" s="13">
        <v>4</v>
      </c>
      <c r="E804" s="13">
        <v>3</v>
      </c>
    </row>
    <row r="805" spans="1:5">
      <c r="A805" s="13" t="s">
        <v>2004</v>
      </c>
      <c r="B805" s="13" t="s">
        <v>432</v>
      </c>
      <c r="C805" s="13" t="s">
        <v>2005</v>
      </c>
      <c r="D805" s="13">
        <v>4</v>
      </c>
      <c r="E805" s="13">
        <v>4</v>
      </c>
    </row>
    <row r="806" spans="1:5">
      <c r="A806" s="13" t="s">
        <v>2006</v>
      </c>
      <c r="B806" s="13" t="s">
        <v>1715</v>
      </c>
      <c r="C806" s="13" t="s">
        <v>2007</v>
      </c>
      <c r="D806" s="13">
        <v>4</v>
      </c>
      <c r="E806" s="13">
        <v>4</v>
      </c>
    </row>
    <row r="807" spans="1:5">
      <c r="A807" s="13" t="s">
        <v>2008</v>
      </c>
      <c r="B807" s="13" t="s">
        <v>499</v>
      </c>
      <c r="C807" s="13" t="s">
        <v>2009</v>
      </c>
      <c r="D807" s="13">
        <v>4</v>
      </c>
      <c r="E807" s="13">
        <v>3</v>
      </c>
    </row>
    <row r="808" spans="1:5">
      <c r="A808" s="13" t="s">
        <v>2012</v>
      </c>
      <c r="B808" s="13" t="s">
        <v>499</v>
      </c>
      <c r="C808" s="13" t="s">
        <v>2013</v>
      </c>
      <c r="D808" s="13">
        <v>4</v>
      </c>
      <c r="E808" s="13">
        <v>4</v>
      </c>
    </row>
    <row r="809" spans="1:5">
      <c r="A809" s="13" t="s">
        <v>2023</v>
      </c>
      <c r="B809" s="13" t="s">
        <v>507</v>
      </c>
      <c r="C809" s="13" t="s">
        <v>2024</v>
      </c>
      <c r="D809" s="13">
        <v>4</v>
      </c>
      <c r="E809" s="13">
        <v>4</v>
      </c>
    </row>
    <row r="810" spans="1:5">
      <c r="A810" s="13" t="s">
        <v>2025</v>
      </c>
      <c r="B810" s="13" t="s">
        <v>568</v>
      </c>
      <c r="C810" s="13" t="s">
        <v>2026</v>
      </c>
      <c r="D810" s="13">
        <v>4</v>
      </c>
      <c r="E810" s="13">
        <v>4</v>
      </c>
    </row>
    <row r="811" spans="1:5">
      <c r="A811" s="13" t="s">
        <v>2029</v>
      </c>
      <c r="B811" s="13" t="s">
        <v>499</v>
      </c>
      <c r="C811" s="13" t="s">
        <v>2030</v>
      </c>
      <c r="D811" s="13">
        <v>4</v>
      </c>
      <c r="E811" s="13">
        <v>4</v>
      </c>
    </row>
    <row r="812" spans="1:5">
      <c r="A812" s="13" t="s">
        <v>2031</v>
      </c>
      <c r="B812" s="13" t="s">
        <v>596</v>
      </c>
      <c r="C812" s="13" t="s">
        <v>2032</v>
      </c>
      <c r="D812" s="13">
        <v>4</v>
      </c>
      <c r="E812" s="13">
        <v>4</v>
      </c>
    </row>
    <row r="813" spans="1:5">
      <c r="A813" s="13" t="s">
        <v>2036</v>
      </c>
      <c r="B813" s="13" t="s">
        <v>518</v>
      </c>
      <c r="C813" s="13" t="s">
        <v>2037</v>
      </c>
      <c r="D813" s="13">
        <v>4</v>
      </c>
      <c r="E813" s="13">
        <v>4</v>
      </c>
    </row>
    <row r="814" spans="1:5">
      <c r="A814" s="13" t="s">
        <v>2038</v>
      </c>
      <c r="B814" s="13" t="s">
        <v>673</v>
      </c>
      <c r="C814" s="13" t="s">
        <v>2039</v>
      </c>
      <c r="D814" s="13">
        <v>4</v>
      </c>
      <c r="E814" s="13">
        <v>3</v>
      </c>
    </row>
    <row r="815" spans="1:5">
      <c r="A815" s="13" t="s">
        <v>2042</v>
      </c>
      <c r="B815" s="13" t="s">
        <v>499</v>
      </c>
      <c r="C815" s="13" t="s">
        <v>2043</v>
      </c>
      <c r="D815" s="13">
        <v>4</v>
      </c>
      <c r="E815" s="13">
        <v>4</v>
      </c>
    </row>
    <row r="816" spans="1:5">
      <c r="A816" s="13" t="s">
        <v>2044</v>
      </c>
      <c r="B816" s="13" t="s">
        <v>596</v>
      </c>
      <c r="C816" s="13" t="s">
        <v>2045</v>
      </c>
      <c r="D816" s="13">
        <v>4</v>
      </c>
      <c r="E816" s="13">
        <v>4</v>
      </c>
    </row>
    <row r="817" spans="1:5">
      <c r="A817" s="13" t="s">
        <v>2046</v>
      </c>
      <c r="B817" s="13" t="s">
        <v>436</v>
      </c>
      <c r="C817" s="13" t="s">
        <v>2047</v>
      </c>
      <c r="D817" s="13">
        <v>4</v>
      </c>
      <c r="E817" s="13">
        <v>4</v>
      </c>
    </row>
    <row r="818" spans="1:5">
      <c r="A818" s="13" t="s">
        <v>2048</v>
      </c>
      <c r="B818" s="13" t="s">
        <v>596</v>
      </c>
      <c r="C818" s="13" t="s">
        <v>2049</v>
      </c>
      <c r="D818" s="13">
        <v>4</v>
      </c>
      <c r="E818" s="13">
        <v>4</v>
      </c>
    </row>
    <row r="819" spans="1:5">
      <c r="A819" s="13" t="s">
        <v>2054</v>
      </c>
      <c r="B819" s="13" t="s">
        <v>677</v>
      </c>
      <c r="C819" s="13" t="s">
        <v>2055</v>
      </c>
      <c r="D819" s="13">
        <v>4</v>
      </c>
      <c r="E819" s="13">
        <v>4</v>
      </c>
    </row>
    <row r="820" spans="1:5">
      <c r="A820" s="13" t="s">
        <v>2056</v>
      </c>
      <c r="B820" s="13" t="s">
        <v>499</v>
      </c>
      <c r="C820" s="13" t="s">
        <v>2057</v>
      </c>
      <c r="D820" s="13">
        <v>4</v>
      </c>
      <c r="E820" s="13">
        <v>4</v>
      </c>
    </row>
    <row r="821" spans="1:5">
      <c r="A821" s="13" t="s">
        <v>2062</v>
      </c>
      <c r="B821" s="13" t="s">
        <v>558</v>
      </c>
      <c r="C821" s="13" t="s">
        <v>2063</v>
      </c>
      <c r="D821" s="13">
        <v>4</v>
      </c>
      <c r="E821" s="13">
        <v>4</v>
      </c>
    </row>
    <row r="822" spans="1:5">
      <c r="A822" s="13" t="s">
        <v>2064</v>
      </c>
      <c r="B822" s="13" t="s">
        <v>639</v>
      </c>
      <c r="C822" s="13" t="s">
        <v>2065</v>
      </c>
      <c r="D822" s="13">
        <v>4</v>
      </c>
      <c r="E822" s="13">
        <v>4</v>
      </c>
    </row>
    <row r="823" spans="1:5">
      <c r="A823" s="13" t="s">
        <v>2066</v>
      </c>
      <c r="B823" s="13" t="s">
        <v>639</v>
      </c>
      <c r="C823" s="13" t="s">
        <v>2067</v>
      </c>
      <c r="D823" s="13">
        <v>4</v>
      </c>
      <c r="E823" s="13">
        <v>4</v>
      </c>
    </row>
    <row r="824" spans="1:5">
      <c r="A824" s="13" t="s">
        <v>2068</v>
      </c>
      <c r="B824" s="13" t="s">
        <v>462</v>
      </c>
      <c r="C824" s="13" t="s">
        <v>2069</v>
      </c>
      <c r="D824" s="13">
        <v>4</v>
      </c>
      <c r="E824" s="13">
        <v>4</v>
      </c>
    </row>
    <row r="825" spans="1:5">
      <c r="A825" s="13" t="s">
        <v>2074</v>
      </c>
      <c r="B825" s="13" t="s">
        <v>499</v>
      </c>
      <c r="C825" s="13" t="s">
        <v>2075</v>
      </c>
      <c r="D825" s="13">
        <v>4</v>
      </c>
      <c r="E825" s="13">
        <v>4</v>
      </c>
    </row>
    <row r="826" spans="1:5">
      <c r="A826" s="13" t="s">
        <v>2082</v>
      </c>
      <c r="B826" s="13" t="s">
        <v>596</v>
      </c>
      <c r="C826" s="13" t="s">
        <v>2083</v>
      </c>
      <c r="D826" s="13">
        <v>4</v>
      </c>
      <c r="E826" s="13">
        <v>4</v>
      </c>
    </row>
    <row r="827" spans="1:5">
      <c r="A827" s="13" t="s">
        <v>2084</v>
      </c>
      <c r="B827" s="13" t="s">
        <v>518</v>
      </c>
      <c r="C827" s="13" t="s">
        <v>2085</v>
      </c>
      <c r="D827" s="13">
        <v>4</v>
      </c>
      <c r="E827" s="13">
        <v>4</v>
      </c>
    </row>
    <row r="828" spans="1:5">
      <c r="A828" s="13" t="s">
        <v>2088</v>
      </c>
      <c r="B828" s="13" t="s">
        <v>518</v>
      </c>
      <c r="C828" s="13" t="s">
        <v>2089</v>
      </c>
      <c r="D828" s="13">
        <v>4</v>
      </c>
      <c r="E828" s="13">
        <v>4</v>
      </c>
    </row>
    <row r="829" spans="1:5">
      <c r="A829" s="13" t="s">
        <v>2090</v>
      </c>
      <c r="B829" s="13" t="s">
        <v>432</v>
      </c>
      <c r="C829" s="13" t="s">
        <v>2091</v>
      </c>
      <c r="D829" s="13">
        <v>4</v>
      </c>
      <c r="E829" s="13">
        <v>4</v>
      </c>
    </row>
    <row r="830" spans="1:5">
      <c r="A830" s="13" t="s">
        <v>2092</v>
      </c>
      <c r="B830" s="13" t="s">
        <v>436</v>
      </c>
      <c r="C830" s="13" t="s">
        <v>1794</v>
      </c>
      <c r="D830" s="13">
        <v>4</v>
      </c>
      <c r="E830" s="13">
        <v>4</v>
      </c>
    </row>
    <row r="831" spans="1:5">
      <c r="A831" s="13" t="s">
        <v>2093</v>
      </c>
      <c r="B831" s="13" t="s">
        <v>432</v>
      </c>
      <c r="C831" s="13" t="s">
        <v>2094</v>
      </c>
      <c r="D831" s="13">
        <v>4</v>
      </c>
      <c r="E831" s="13">
        <v>3</v>
      </c>
    </row>
    <row r="832" spans="1:5">
      <c r="A832" s="13" t="s">
        <v>2095</v>
      </c>
      <c r="B832" s="13" t="s">
        <v>462</v>
      </c>
      <c r="C832" s="13" t="s">
        <v>2096</v>
      </c>
      <c r="D832" s="13">
        <v>4</v>
      </c>
      <c r="E832" s="13">
        <v>3</v>
      </c>
    </row>
    <row r="833" spans="1:5">
      <c r="A833" s="13" t="s">
        <v>2099</v>
      </c>
      <c r="B833" s="13" t="s">
        <v>673</v>
      </c>
      <c r="C833" s="13" t="s">
        <v>2100</v>
      </c>
      <c r="D833" s="13">
        <v>4</v>
      </c>
      <c r="E833" s="13">
        <v>3</v>
      </c>
    </row>
    <row r="834" spans="1:5">
      <c r="A834" s="13" t="s">
        <v>2105</v>
      </c>
      <c r="B834" s="13" t="s">
        <v>673</v>
      </c>
      <c r="C834" s="13" t="s">
        <v>2106</v>
      </c>
      <c r="D834" s="13">
        <v>4</v>
      </c>
      <c r="E834" s="13">
        <v>4</v>
      </c>
    </row>
    <row r="835" spans="1:5">
      <c r="A835" s="13" t="s">
        <v>2107</v>
      </c>
      <c r="B835" s="13" t="s">
        <v>432</v>
      </c>
      <c r="C835" s="13" t="s">
        <v>2108</v>
      </c>
      <c r="D835" s="13">
        <v>4</v>
      </c>
      <c r="E835" s="13">
        <v>4</v>
      </c>
    </row>
    <row r="836" spans="1:5">
      <c r="A836" s="13" t="s">
        <v>2113</v>
      </c>
      <c r="B836" s="13" t="s">
        <v>518</v>
      </c>
      <c r="C836" s="13" t="s">
        <v>2114</v>
      </c>
      <c r="D836" s="13">
        <v>4</v>
      </c>
      <c r="E836" s="13">
        <v>4</v>
      </c>
    </row>
    <row r="837" spans="1:5">
      <c r="A837" s="13" t="s">
        <v>2115</v>
      </c>
      <c r="B837" s="13" t="s">
        <v>518</v>
      </c>
      <c r="C837" s="13" t="s">
        <v>2116</v>
      </c>
      <c r="D837" s="13">
        <v>4</v>
      </c>
      <c r="E837" s="13">
        <v>4</v>
      </c>
    </row>
    <row r="838" spans="1:5">
      <c r="A838" s="13" t="s">
        <v>2119</v>
      </c>
      <c r="B838" s="13" t="s">
        <v>518</v>
      </c>
      <c r="C838" s="13" t="s">
        <v>2120</v>
      </c>
      <c r="D838" s="13">
        <v>4</v>
      </c>
      <c r="E838" s="13">
        <v>4</v>
      </c>
    </row>
    <row r="839" spans="1:5">
      <c r="A839" s="13" t="s">
        <v>2121</v>
      </c>
      <c r="B839" s="13" t="s">
        <v>462</v>
      </c>
      <c r="C839" s="13" t="s">
        <v>2122</v>
      </c>
      <c r="D839" s="13">
        <v>4</v>
      </c>
      <c r="E839" s="13">
        <v>4</v>
      </c>
    </row>
    <row r="840" spans="1:5">
      <c r="A840" s="13" t="s">
        <v>2123</v>
      </c>
      <c r="B840" s="13" t="s">
        <v>673</v>
      </c>
      <c r="C840" s="13" t="s">
        <v>2124</v>
      </c>
      <c r="D840" s="13">
        <v>4</v>
      </c>
      <c r="E840" s="13">
        <v>4</v>
      </c>
    </row>
    <row r="841" spans="1:5">
      <c r="A841" s="13" t="s">
        <v>2127</v>
      </c>
      <c r="B841" s="13" t="s">
        <v>436</v>
      </c>
      <c r="C841" s="13" t="s">
        <v>2128</v>
      </c>
      <c r="D841" s="13">
        <v>4</v>
      </c>
      <c r="E841" s="13">
        <v>4</v>
      </c>
    </row>
    <row r="842" spans="1:5">
      <c r="A842" s="13" t="s">
        <v>2129</v>
      </c>
      <c r="B842" s="13" t="s">
        <v>518</v>
      </c>
      <c r="C842" s="13" t="s">
        <v>2130</v>
      </c>
      <c r="D842" s="13">
        <v>4</v>
      </c>
      <c r="E842" s="13">
        <v>4</v>
      </c>
    </row>
    <row r="843" spans="1:5">
      <c r="A843" s="13" t="s">
        <v>2131</v>
      </c>
      <c r="B843" s="13" t="s">
        <v>432</v>
      </c>
      <c r="C843" s="13" t="s">
        <v>2132</v>
      </c>
      <c r="D843" s="13">
        <v>4</v>
      </c>
      <c r="E843" s="13">
        <v>4</v>
      </c>
    </row>
    <row r="844" spans="1:5">
      <c r="A844" s="13" t="s">
        <v>2133</v>
      </c>
      <c r="B844" s="13" t="s">
        <v>568</v>
      </c>
      <c r="C844" s="13" t="s">
        <v>2134</v>
      </c>
      <c r="D844" s="13">
        <v>4</v>
      </c>
      <c r="E844" s="13">
        <v>4</v>
      </c>
    </row>
    <row r="845" spans="1:5">
      <c r="A845" s="13" t="s">
        <v>2137</v>
      </c>
      <c r="B845" s="13" t="s">
        <v>596</v>
      </c>
      <c r="C845" s="13" t="s">
        <v>2138</v>
      </c>
      <c r="D845" s="13">
        <v>4</v>
      </c>
      <c r="E845" s="13">
        <v>4</v>
      </c>
    </row>
    <row r="846" spans="1:5">
      <c r="A846" s="13" t="s">
        <v>2139</v>
      </c>
      <c r="B846" s="13" t="s">
        <v>436</v>
      </c>
      <c r="C846" s="13" t="s">
        <v>975</v>
      </c>
      <c r="D846" s="13">
        <v>4</v>
      </c>
      <c r="E846" s="13">
        <v>4</v>
      </c>
    </row>
    <row r="847" spans="1:5">
      <c r="A847" s="13" t="s">
        <v>2140</v>
      </c>
      <c r="B847" s="13" t="s">
        <v>499</v>
      </c>
      <c r="C847" s="13" t="s">
        <v>2141</v>
      </c>
      <c r="D847" s="13">
        <v>4</v>
      </c>
      <c r="E847" s="13">
        <v>4</v>
      </c>
    </row>
    <row r="848" spans="1:5">
      <c r="A848" s="13" t="s">
        <v>2142</v>
      </c>
      <c r="B848" s="13" t="s">
        <v>558</v>
      </c>
      <c r="C848" s="13" t="s">
        <v>2143</v>
      </c>
      <c r="D848" s="13">
        <v>4</v>
      </c>
      <c r="E848" s="13">
        <v>4</v>
      </c>
    </row>
    <row r="849" spans="1:5">
      <c r="A849" s="13" t="s">
        <v>2144</v>
      </c>
      <c r="B849" s="13" t="s">
        <v>436</v>
      </c>
      <c r="C849" s="13" t="s">
        <v>2145</v>
      </c>
      <c r="D849" s="13">
        <v>4</v>
      </c>
      <c r="E849" s="13">
        <v>4</v>
      </c>
    </row>
    <row r="850" spans="1:5">
      <c r="A850" s="13" t="s">
        <v>2146</v>
      </c>
      <c r="B850" s="13" t="s">
        <v>518</v>
      </c>
      <c r="C850" s="13" t="s">
        <v>2147</v>
      </c>
      <c r="D850" s="13">
        <v>4</v>
      </c>
      <c r="E850" s="13">
        <v>4</v>
      </c>
    </row>
    <row r="851" spans="1:5">
      <c r="A851" s="13" t="s">
        <v>2148</v>
      </c>
      <c r="B851" s="13" t="s">
        <v>558</v>
      </c>
      <c r="C851" s="13" t="s">
        <v>1558</v>
      </c>
      <c r="D851" s="13">
        <v>4</v>
      </c>
      <c r="E851" s="13">
        <v>4</v>
      </c>
    </row>
    <row r="852" spans="1:5">
      <c r="A852" s="13" t="s">
        <v>2151</v>
      </c>
      <c r="B852" s="13" t="s">
        <v>606</v>
      </c>
      <c r="C852" s="13" t="s">
        <v>2152</v>
      </c>
      <c r="D852" s="13">
        <v>4</v>
      </c>
      <c r="E852" s="13">
        <v>4</v>
      </c>
    </row>
    <row r="853" spans="1:5">
      <c r="A853" s="13" t="s">
        <v>2154</v>
      </c>
      <c r="B853" s="13" t="s">
        <v>481</v>
      </c>
      <c r="C853" s="13" t="s">
        <v>1722</v>
      </c>
      <c r="D853" s="13">
        <v>4</v>
      </c>
      <c r="E853" s="13">
        <v>4</v>
      </c>
    </row>
    <row r="854" spans="1:5">
      <c r="A854" s="13" t="s">
        <v>2157</v>
      </c>
      <c r="B854" s="13" t="s">
        <v>436</v>
      </c>
      <c r="C854" s="13" t="s">
        <v>2158</v>
      </c>
      <c r="D854" s="13">
        <v>4</v>
      </c>
      <c r="E854" s="13">
        <v>4</v>
      </c>
    </row>
    <row r="855" spans="1:5">
      <c r="A855" s="13" t="s">
        <v>2159</v>
      </c>
      <c r="B855" s="13" t="s">
        <v>596</v>
      </c>
      <c r="C855" s="13" t="s">
        <v>2160</v>
      </c>
      <c r="D855" s="13">
        <v>4</v>
      </c>
      <c r="E855" s="13">
        <v>4</v>
      </c>
    </row>
    <row r="856" spans="1:5">
      <c r="A856" s="13" t="s">
        <v>2163</v>
      </c>
      <c r="B856" s="13" t="s">
        <v>481</v>
      </c>
      <c r="C856" s="13" t="s">
        <v>2164</v>
      </c>
      <c r="D856" s="13">
        <v>4</v>
      </c>
      <c r="E856" s="13">
        <v>4</v>
      </c>
    </row>
    <row r="857" spans="1:5">
      <c r="A857" s="13" t="s">
        <v>2165</v>
      </c>
      <c r="B857" s="13" t="s">
        <v>673</v>
      </c>
      <c r="C857" s="13" t="s">
        <v>2166</v>
      </c>
      <c r="D857" s="13">
        <v>4</v>
      </c>
      <c r="E857" s="13">
        <v>4</v>
      </c>
    </row>
    <row r="858" spans="1:5">
      <c r="A858" s="13" t="s">
        <v>2167</v>
      </c>
      <c r="B858" s="13" t="s">
        <v>507</v>
      </c>
      <c r="C858" s="13" t="s">
        <v>2168</v>
      </c>
      <c r="D858" s="13">
        <v>4</v>
      </c>
      <c r="E858" s="13">
        <v>4</v>
      </c>
    </row>
    <row r="859" spans="1:5">
      <c r="A859" s="13" t="s">
        <v>2169</v>
      </c>
      <c r="B859" s="13" t="s">
        <v>462</v>
      </c>
      <c r="C859" s="13" t="s">
        <v>1470</v>
      </c>
      <c r="D859" s="13">
        <v>4</v>
      </c>
      <c r="E859" s="13">
        <v>3</v>
      </c>
    </row>
    <row r="860" spans="1:5">
      <c r="A860" s="13" t="s">
        <v>2170</v>
      </c>
      <c r="B860" s="13" t="s">
        <v>944</v>
      </c>
      <c r="C860" s="13" t="s">
        <v>2116</v>
      </c>
      <c r="D860" s="13">
        <v>4</v>
      </c>
      <c r="E860" s="13">
        <v>4</v>
      </c>
    </row>
    <row r="861" spans="1:5">
      <c r="A861" s="13" t="s">
        <v>2171</v>
      </c>
      <c r="B861" s="13" t="s">
        <v>518</v>
      </c>
      <c r="C861" s="13" t="s">
        <v>2172</v>
      </c>
      <c r="D861" s="13">
        <v>4</v>
      </c>
      <c r="E861" s="13">
        <v>4</v>
      </c>
    </row>
    <row r="862" spans="1:5">
      <c r="A862" s="13" t="s">
        <v>2173</v>
      </c>
      <c r="B862" s="13" t="s">
        <v>944</v>
      </c>
      <c r="C862" s="13" t="s">
        <v>2174</v>
      </c>
      <c r="D862" s="13">
        <v>4</v>
      </c>
      <c r="E862" s="13">
        <v>4</v>
      </c>
    </row>
    <row r="863" spans="1:5">
      <c r="A863" s="13" t="s">
        <v>2177</v>
      </c>
      <c r="B863" s="13" t="s">
        <v>499</v>
      </c>
      <c r="C863" s="13" t="s">
        <v>2178</v>
      </c>
      <c r="D863" s="13">
        <v>4</v>
      </c>
      <c r="E863" s="13">
        <v>4</v>
      </c>
    </row>
    <row r="864" spans="1:5">
      <c r="A864" s="13" t="s">
        <v>2179</v>
      </c>
      <c r="B864" s="13" t="s">
        <v>432</v>
      </c>
      <c r="C864" s="13" t="s">
        <v>2180</v>
      </c>
      <c r="D864" s="13">
        <v>4</v>
      </c>
      <c r="E864" s="13">
        <v>4</v>
      </c>
    </row>
    <row r="865" spans="1:5">
      <c r="A865" s="13" t="s">
        <v>2183</v>
      </c>
      <c r="B865" s="13" t="s">
        <v>499</v>
      </c>
      <c r="C865" s="13" t="s">
        <v>2184</v>
      </c>
      <c r="D865" s="13">
        <v>4</v>
      </c>
      <c r="E865" s="13">
        <v>4</v>
      </c>
    </row>
    <row r="866" spans="1:5">
      <c r="A866" s="13" t="s">
        <v>2185</v>
      </c>
      <c r="B866" s="13" t="s">
        <v>432</v>
      </c>
      <c r="C866" s="13" t="s">
        <v>2186</v>
      </c>
      <c r="D866" s="13">
        <v>4</v>
      </c>
      <c r="E866" s="13">
        <v>4</v>
      </c>
    </row>
    <row r="867" spans="1:5">
      <c r="A867" s="13" t="s">
        <v>2187</v>
      </c>
      <c r="B867" s="13" t="s">
        <v>518</v>
      </c>
      <c r="C867" s="13" t="s">
        <v>2188</v>
      </c>
      <c r="D867" s="13">
        <v>4</v>
      </c>
      <c r="E867" s="13">
        <v>4</v>
      </c>
    </row>
    <row r="868" spans="1:5">
      <c r="A868" s="13" t="s">
        <v>2189</v>
      </c>
      <c r="B868" s="13" t="s">
        <v>518</v>
      </c>
      <c r="C868" s="13" t="s">
        <v>2190</v>
      </c>
      <c r="D868" s="13">
        <v>4</v>
      </c>
      <c r="E868" s="13">
        <v>4</v>
      </c>
    </row>
    <row r="869" spans="1:5">
      <c r="A869" s="13" t="s">
        <v>2191</v>
      </c>
      <c r="B869" s="13" t="s">
        <v>432</v>
      </c>
      <c r="C869" s="13" t="s">
        <v>1862</v>
      </c>
      <c r="D869" s="13">
        <v>4</v>
      </c>
      <c r="E869" s="13">
        <v>4</v>
      </c>
    </row>
    <row r="870" spans="1:5">
      <c r="A870" s="13" t="s">
        <v>2192</v>
      </c>
      <c r="B870" s="13" t="s">
        <v>1715</v>
      </c>
      <c r="C870" s="13" t="s">
        <v>2193</v>
      </c>
      <c r="D870" s="13">
        <v>4</v>
      </c>
      <c r="E870" s="13">
        <v>4</v>
      </c>
    </row>
    <row r="871" spans="1:5">
      <c r="A871" s="13" t="s">
        <v>2194</v>
      </c>
      <c r="B871" s="13" t="s">
        <v>518</v>
      </c>
      <c r="C871" s="13" t="s">
        <v>2195</v>
      </c>
      <c r="D871" s="13">
        <v>4</v>
      </c>
      <c r="E871" s="13">
        <v>4</v>
      </c>
    </row>
    <row r="872" spans="1:5">
      <c r="A872" s="13" t="s">
        <v>2196</v>
      </c>
      <c r="B872" s="13" t="s">
        <v>499</v>
      </c>
      <c r="C872" s="13" t="s">
        <v>2197</v>
      </c>
      <c r="D872" s="13">
        <v>4</v>
      </c>
      <c r="E872" s="13">
        <v>4</v>
      </c>
    </row>
    <row r="873" spans="1:5">
      <c r="A873" s="13" t="s">
        <v>2198</v>
      </c>
      <c r="B873" s="13" t="s">
        <v>677</v>
      </c>
      <c r="C873" s="13" t="s">
        <v>2199</v>
      </c>
      <c r="D873" s="13">
        <v>4</v>
      </c>
      <c r="E873" s="13">
        <v>4</v>
      </c>
    </row>
    <row r="874" spans="1:5">
      <c r="A874" s="13" t="s">
        <v>2200</v>
      </c>
      <c r="B874" s="13" t="s">
        <v>432</v>
      </c>
      <c r="C874" s="13" t="s">
        <v>2201</v>
      </c>
      <c r="D874" s="13">
        <v>4</v>
      </c>
      <c r="E874" s="13">
        <v>3</v>
      </c>
    </row>
    <row r="875" spans="1:5">
      <c r="A875" s="13" t="s">
        <v>2202</v>
      </c>
      <c r="B875" s="13" t="s">
        <v>673</v>
      </c>
      <c r="C875" s="13" t="s">
        <v>2203</v>
      </c>
      <c r="D875" s="13">
        <v>4</v>
      </c>
      <c r="E875" s="13">
        <v>4</v>
      </c>
    </row>
    <row r="876" spans="1:5">
      <c r="A876" s="13" t="s">
        <v>2204</v>
      </c>
      <c r="B876" s="13" t="s">
        <v>432</v>
      </c>
      <c r="C876" s="13" t="s">
        <v>2205</v>
      </c>
      <c r="D876" s="13">
        <v>4</v>
      </c>
      <c r="E876" s="13">
        <v>4</v>
      </c>
    </row>
    <row r="877" spans="1:5">
      <c r="A877" s="13" t="s">
        <v>2206</v>
      </c>
      <c r="B877" s="13" t="s">
        <v>673</v>
      </c>
      <c r="C877" s="13" t="s">
        <v>2207</v>
      </c>
      <c r="D877" s="13">
        <v>4</v>
      </c>
      <c r="E877" s="13">
        <v>4</v>
      </c>
    </row>
    <row r="878" spans="1:5">
      <c r="A878" s="13" t="s">
        <v>2208</v>
      </c>
      <c r="B878" s="13" t="s">
        <v>436</v>
      </c>
      <c r="C878" s="13" t="s">
        <v>2209</v>
      </c>
      <c r="D878" s="13">
        <v>4</v>
      </c>
      <c r="E878" s="13">
        <v>4</v>
      </c>
    </row>
    <row r="879" spans="1:5">
      <c r="A879" s="13" t="s">
        <v>2210</v>
      </c>
      <c r="B879" s="13" t="s">
        <v>673</v>
      </c>
      <c r="C879" s="13" t="s">
        <v>2211</v>
      </c>
      <c r="D879" s="13">
        <v>4</v>
      </c>
      <c r="E879" s="13">
        <v>4</v>
      </c>
    </row>
    <row r="880" spans="1:5">
      <c r="A880" s="13" t="s">
        <v>2212</v>
      </c>
      <c r="B880" s="13" t="s">
        <v>499</v>
      </c>
      <c r="C880" s="13" t="s">
        <v>2213</v>
      </c>
      <c r="D880" s="13">
        <v>4</v>
      </c>
      <c r="E880" s="13">
        <v>4</v>
      </c>
    </row>
    <row r="881" spans="1:5">
      <c r="A881" s="13" t="s">
        <v>2216</v>
      </c>
      <c r="B881" s="13" t="s">
        <v>606</v>
      </c>
      <c r="C881" s="13" t="s">
        <v>2217</v>
      </c>
      <c r="D881" s="13">
        <v>4</v>
      </c>
      <c r="E881" s="13">
        <v>4</v>
      </c>
    </row>
    <row r="882" spans="1:5">
      <c r="A882" s="13" t="s">
        <v>2218</v>
      </c>
      <c r="B882" s="13" t="s">
        <v>432</v>
      </c>
      <c r="C882" s="13" t="s">
        <v>1728</v>
      </c>
      <c r="D882" s="13">
        <v>4</v>
      </c>
      <c r="E882" s="13">
        <v>4</v>
      </c>
    </row>
    <row r="883" spans="1:5">
      <c r="A883" s="13" t="s">
        <v>2219</v>
      </c>
      <c r="B883" s="13" t="s">
        <v>673</v>
      </c>
      <c r="C883" s="13" t="s">
        <v>2220</v>
      </c>
      <c r="D883" s="13">
        <v>4</v>
      </c>
      <c r="E883" s="13">
        <v>4</v>
      </c>
    </row>
    <row r="884" spans="1:5">
      <c r="A884" s="13" t="s">
        <v>2221</v>
      </c>
      <c r="B884" s="13" t="s">
        <v>673</v>
      </c>
      <c r="C884" s="13" t="s">
        <v>862</v>
      </c>
      <c r="D884" s="13">
        <v>4</v>
      </c>
      <c r="E884" s="13">
        <v>4</v>
      </c>
    </row>
    <row r="885" spans="1:5">
      <c r="A885" s="13" t="s">
        <v>2222</v>
      </c>
      <c r="B885" s="13" t="s">
        <v>436</v>
      </c>
      <c r="C885" s="13" t="s">
        <v>2223</v>
      </c>
      <c r="D885" s="13">
        <v>4</v>
      </c>
      <c r="E885" s="13">
        <v>4</v>
      </c>
    </row>
    <row r="886" spans="1:5">
      <c r="A886" s="13" t="s">
        <v>2224</v>
      </c>
      <c r="B886" s="13" t="s">
        <v>499</v>
      </c>
      <c r="C886" s="13" t="s">
        <v>2225</v>
      </c>
      <c r="D886" s="13">
        <v>4</v>
      </c>
      <c r="E886" s="13">
        <v>4</v>
      </c>
    </row>
    <row r="887" spans="1:5">
      <c r="A887" s="13" t="s">
        <v>2226</v>
      </c>
      <c r="B887" s="13" t="s">
        <v>1715</v>
      </c>
      <c r="C887" s="13" t="s">
        <v>2227</v>
      </c>
      <c r="D887" s="13">
        <v>4</v>
      </c>
      <c r="E887" s="13">
        <v>4</v>
      </c>
    </row>
    <row r="888" spans="1:5">
      <c r="A888" s="13" t="s">
        <v>2228</v>
      </c>
      <c r="B888" s="13" t="s">
        <v>499</v>
      </c>
      <c r="C888" s="13" t="s">
        <v>2229</v>
      </c>
      <c r="D888" s="13">
        <v>4</v>
      </c>
      <c r="E888" s="13">
        <v>4</v>
      </c>
    </row>
    <row r="889" spans="1:5">
      <c r="A889" s="13" t="s">
        <v>2232</v>
      </c>
      <c r="B889" s="13" t="s">
        <v>432</v>
      </c>
      <c r="C889" s="13" t="s">
        <v>1359</v>
      </c>
      <c r="D889" s="13">
        <v>4</v>
      </c>
      <c r="E889" s="13">
        <v>4</v>
      </c>
    </row>
    <row r="890" spans="1:5">
      <c r="A890" s="13" t="s">
        <v>2233</v>
      </c>
      <c r="B890" s="13" t="s">
        <v>432</v>
      </c>
      <c r="C890" s="13" t="s">
        <v>2234</v>
      </c>
      <c r="D890" s="13">
        <v>4</v>
      </c>
      <c r="E890" s="13">
        <v>4</v>
      </c>
    </row>
    <row r="891" spans="1:5">
      <c r="A891" s="13" t="s">
        <v>2235</v>
      </c>
      <c r="B891" s="13" t="s">
        <v>436</v>
      </c>
      <c r="C891" s="13" t="s">
        <v>2236</v>
      </c>
      <c r="D891" s="13">
        <v>4</v>
      </c>
      <c r="E891" s="13">
        <v>4</v>
      </c>
    </row>
    <row r="892" spans="1:5">
      <c r="A892" s="13" t="s">
        <v>2237</v>
      </c>
      <c r="B892" s="13" t="s">
        <v>462</v>
      </c>
      <c r="C892" s="13" t="s">
        <v>2238</v>
      </c>
      <c r="D892" s="13">
        <v>4</v>
      </c>
      <c r="E892" s="13">
        <v>4</v>
      </c>
    </row>
    <row r="893" spans="1:5">
      <c r="A893" s="13" t="s">
        <v>2239</v>
      </c>
      <c r="B893" s="13" t="s">
        <v>1715</v>
      </c>
      <c r="C893" s="13" t="s">
        <v>2240</v>
      </c>
      <c r="D893" s="13">
        <v>4</v>
      </c>
      <c r="E893" s="13">
        <v>4</v>
      </c>
    </row>
    <row r="894" spans="1:5">
      <c r="A894" s="13" t="s">
        <v>2241</v>
      </c>
      <c r="B894" s="13" t="s">
        <v>677</v>
      </c>
      <c r="C894" s="13" t="s">
        <v>2242</v>
      </c>
      <c r="D894" s="13">
        <v>4</v>
      </c>
      <c r="E894" s="13">
        <v>4</v>
      </c>
    </row>
    <row r="895" spans="1:5">
      <c r="A895" s="13" t="s">
        <v>2243</v>
      </c>
      <c r="B895" s="13" t="s">
        <v>673</v>
      </c>
      <c r="C895" s="13" t="s">
        <v>2244</v>
      </c>
      <c r="D895" s="13">
        <v>4</v>
      </c>
      <c r="E895" s="13">
        <v>4</v>
      </c>
    </row>
    <row r="896" spans="1:5">
      <c r="A896" s="13" t="s">
        <v>2245</v>
      </c>
      <c r="B896" s="13" t="s">
        <v>1715</v>
      </c>
      <c r="C896" s="13" t="s">
        <v>2246</v>
      </c>
      <c r="D896" s="13">
        <v>4</v>
      </c>
      <c r="E896" s="13">
        <v>4</v>
      </c>
    </row>
    <row r="897" spans="1:5">
      <c r="A897" s="13" t="s">
        <v>2247</v>
      </c>
      <c r="B897" s="13" t="s">
        <v>432</v>
      </c>
      <c r="C897" s="13" t="s">
        <v>2248</v>
      </c>
      <c r="D897" s="13">
        <v>4</v>
      </c>
      <c r="E897" s="13">
        <v>4</v>
      </c>
    </row>
    <row r="898" spans="1:5">
      <c r="A898" s="13" t="s">
        <v>2249</v>
      </c>
      <c r="B898" s="13" t="s">
        <v>499</v>
      </c>
      <c r="C898" s="13" t="s">
        <v>2250</v>
      </c>
      <c r="D898" s="13">
        <v>4</v>
      </c>
      <c r="E898" s="13">
        <v>4</v>
      </c>
    </row>
    <row r="899" spans="1:5">
      <c r="A899" s="13" t="s">
        <v>2251</v>
      </c>
      <c r="B899" s="13" t="s">
        <v>432</v>
      </c>
      <c r="C899" s="13" t="s">
        <v>2252</v>
      </c>
      <c r="D899" s="13">
        <v>4</v>
      </c>
      <c r="E899" s="13">
        <v>4</v>
      </c>
    </row>
    <row r="900" spans="1:5">
      <c r="A900" s="13" t="s">
        <v>2255</v>
      </c>
      <c r="B900" s="13" t="s">
        <v>1569</v>
      </c>
      <c r="C900" s="13" t="s">
        <v>2256</v>
      </c>
      <c r="D900" s="13">
        <v>4</v>
      </c>
      <c r="E900" s="13">
        <v>3</v>
      </c>
    </row>
    <row r="901" spans="1:5">
      <c r="A901" s="13" t="s">
        <v>2257</v>
      </c>
      <c r="B901" s="13" t="s">
        <v>639</v>
      </c>
      <c r="C901" s="13" t="s">
        <v>2258</v>
      </c>
      <c r="D901" s="13">
        <v>4</v>
      </c>
      <c r="E901" s="13">
        <v>4</v>
      </c>
    </row>
    <row r="902" spans="1:5">
      <c r="A902" s="13" t="s">
        <v>2259</v>
      </c>
      <c r="B902" s="13" t="s">
        <v>436</v>
      </c>
      <c r="C902" s="13" t="s">
        <v>2260</v>
      </c>
      <c r="D902" s="13">
        <v>4</v>
      </c>
      <c r="E902" s="13">
        <v>4</v>
      </c>
    </row>
    <row r="903" spans="1:5">
      <c r="A903" s="13" t="s">
        <v>2261</v>
      </c>
      <c r="B903" s="13" t="s">
        <v>1715</v>
      </c>
      <c r="C903" s="13" t="s">
        <v>2262</v>
      </c>
      <c r="D903" s="13">
        <v>4</v>
      </c>
      <c r="E903" s="13">
        <v>4</v>
      </c>
    </row>
    <row r="904" spans="1:5">
      <c r="A904" s="13" t="s">
        <v>2263</v>
      </c>
      <c r="B904" s="13" t="s">
        <v>944</v>
      </c>
      <c r="C904" s="13" t="s">
        <v>2264</v>
      </c>
      <c r="D904" s="13">
        <v>4</v>
      </c>
      <c r="E904" s="13">
        <v>4</v>
      </c>
    </row>
    <row r="905" spans="1:5">
      <c r="A905" s="13" t="s">
        <v>2267</v>
      </c>
      <c r="B905" s="13" t="s">
        <v>432</v>
      </c>
      <c r="C905" s="13" t="s">
        <v>495</v>
      </c>
      <c r="D905" s="13">
        <v>4</v>
      </c>
      <c r="E905" s="13">
        <v>4</v>
      </c>
    </row>
    <row r="906" spans="1:5">
      <c r="A906" s="13" t="s">
        <v>2268</v>
      </c>
      <c r="B906" s="13" t="s">
        <v>606</v>
      </c>
      <c r="C906" s="13" t="s">
        <v>2269</v>
      </c>
      <c r="D906" s="13">
        <v>4</v>
      </c>
      <c r="E906" s="13">
        <v>4</v>
      </c>
    </row>
    <row r="907" spans="1:5">
      <c r="A907" s="13" t="s">
        <v>2272</v>
      </c>
      <c r="B907" s="13" t="s">
        <v>432</v>
      </c>
      <c r="C907" s="13" t="s">
        <v>2273</v>
      </c>
      <c r="D907" s="13">
        <v>4</v>
      </c>
      <c r="E907" s="13">
        <v>4</v>
      </c>
    </row>
    <row r="908" spans="1:5">
      <c r="A908" s="13" t="s">
        <v>2274</v>
      </c>
      <c r="B908" s="13" t="s">
        <v>462</v>
      </c>
      <c r="C908" s="13" t="s">
        <v>2275</v>
      </c>
      <c r="D908" s="13">
        <v>4</v>
      </c>
      <c r="E908" s="13">
        <v>4</v>
      </c>
    </row>
    <row r="909" spans="1:5">
      <c r="A909" s="13" t="s">
        <v>2276</v>
      </c>
      <c r="B909" s="13" t="s">
        <v>481</v>
      </c>
      <c r="C909" s="13" t="s">
        <v>2277</v>
      </c>
      <c r="D909" s="13">
        <v>4</v>
      </c>
      <c r="E909" s="13">
        <v>4</v>
      </c>
    </row>
    <row r="910" spans="1:5">
      <c r="A910" s="13" t="s">
        <v>2278</v>
      </c>
      <c r="B910" s="13" t="s">
        <v>432</v>
      </c>
      <c r="C910" s="13" t="s">
        <v>2279</v>
      </c>
      <c r="D910" s="13">
        <v>4</v>
      </c>
      <c r="E910" s="13">
        <v>3</v>
      </c>
    </row>
    <row r="911" spans="1:5">
      <c r="A911" s="13" t="s">
        <v>2280</v>
      </c>
      <c r="B911" s="13" t="s">
        <v>462</v>
      </c>
      <c r="C911" s="13" t="s">
        <v>2281</v>
      </c>
      <c r="D911" s="13">
        <v>4</v>
      </c>
      <c r="E911" s="13">
        <v>4</v>
      </c>
    </row>
    <row r="912" spans="1:5">
      <c r="A912" s="13" t="s">
        <v>2282</v>
      </c>
      <c r="B912" s="13" t="s">
        <v>944</v>
      </c>
      <c r="C912" s="13" t="s">
        <v>2283</v>
      </c>
      <c r="D912" s="13">
        <v>4</v>
      </c>
      <c r="E912" s="13">
        <v>4</v>
      </c>
    </row>
    <row r="913" spans="1:5">
      <c r="A913" s="13" t="s">
        <v>2284</v>
      </c>
      <c r="B913" s="13" t="s">
        <v>436</v>
      </c>
      <c r="C913" s="13" t="s">
        <v>2285</v>
      </c>
      <c r="D913" s="13">
        <v>4</v>
      </c>
      <c r="E913" s="13">
        <v>4</v>
      </c>
    </row>
    <row r="914" spans="1:5">
      <c r="A914" s="13" t="s">
        <v>2286</v>
      </c>
      <c r="B914" s="13" t="s">
        <v>499</v>
      </c>
      <c r="C914" s="13" t="s">
        <v>2287</v>
      </c>
      <c r="D914" s="13">
        <v>4</v>
      </c>
      <c r="E914" s="13">
        <v>4</v>
      </c>
    </row>
    <row r="915" spans="1:5">
      <c r="A915" s="13" t="s">
        <v>2288</v>
      </c>
      <c r="B915" s="13" t="s">
        <v>1569</v>
      </c>
      <c r="C915" s="13" t="s">
        <v>2289</v>
      </c>
      <c r="D915" s="13">
        <v>4</v>
      </c>
      <c r="E915" s="13">
        <v>4</v>
      </c>
    </row>
    <row r="916" spans="1:5">
      <c r="A916" s="13" t="s">
        <v>2290</v>
      </c>
      <c r="B916" s="13" t="s">
        <v>596</v>
      </c>
      <c r="C916" s="13" t="s">
        <v>2291</v>
      </c>
      <c r="D916" s="13">
        <v>4</v>
      </c>
      <c r="E916" s="13">
        <v>5</v>
      </c>
    </row>
    <row r="917" spans="1:5">
      <c r="A917" s="13" t="s">
        <v>2293</v>
      </c>
      <c r="B917" s="13" t="s">
        <v>1464</v>
      </c>
      <c r="C917" s="13" t="s">
        <v>2294</v>
      </c>
      <c r="D917" s="13">
        <v>4</v>
      </c>
      <c r="E917" s="13">
        <v>4</v>
      </c>
    </row>
    <row r="918" spans="1:5">
      <c r="A918" s="13" t="s">
        <v>2295</v>
      </c>
      <c r="B918" s="13" t="s">
        <v>481</v>
      </c>
      <c r="C918" s="13" t="s">
        <v>1032</v>
      </c>
      <c r="D918" s="13">
        <v>4</v>
      </c>
      <c r="E918" s="13">
        <v>5</v>
      </c>
    </row>
    <row r="919" spans="1:5">
      <c r="A919" s="13" t="s">
        <v>2296</v>
      </c>
      <c r="B919" s="13" t="s">
        <v>499</v>
      </c>
      <c r="C919" s="13" t="s">
        <v>2297</v>
      </c>
      <c r="D919" s="13">
        <v>4</v>
      </c>
      <c r="E919" s="13">
        <v>4</v>
      </c>
    </row>
    <row r="920" spans="1:5">
      <c r="A920" s="13" t="s">
        <v>2298</v>
      </c>
      <c r="B920" s="13" t="s">
        <v>1464</v>
      </c>
      <c r="C920" s="13" t="s">
        <v>2299</v>
      </c>
      <c r="D920" s="13">
        <v>4</v>
      </c>
      <c r="E920" s="13">
        <v>4</v>
      </c>
    </row>
    <row r="921" spans="1:5">
      <c r="A921" s="13" t="s">
        <v>2302</v>
      </c>
      <c r="B921" s="13" t="s">
        <v>462</v>
      </c>
      <c r="C921" s="13" t="s">
        <v>1902</v>
      </c>
      <c r="D921" s="13">
        <v>4</v>
      </c>
      <c r="E921" s="13">
        <v>4</v>
      </c>
    </row>
    <row r="922" spans="1:5">
      <c r="A922" s="13" t="s">
        <v>2303</v>
      </c>
      <c r="B922" s="13" t="s">
        <v>1715</v>
      </c>
      <c r="C922" s="13" t="s">
        <v>2304</v>
      </c>
      <c r="D922" s="13">
        <v>4</v>
      </c>
      <c r="E922" s="13">
        <v>4</v>
      </c>
    </row>
    <row r="923" spans="1:5">
      <c r="A923" s="13" t="s">
        <v>2305</v>
      </c>
      <c r="B923" s="13" t="s">
        <v>432</v>
      </c>
      <c r="C923" s="13" t="s">
        <v>829</v>
      </c>
      <c r="D923" s="13">
        <v>4</v>
      </c>
      <c r="E923" s="13">
        <v>4</v>
      </c>
    </row>
    <row r="924" spans="1:5">
      <c r="A924" s="13" t="s">
        <v>2306</v>
      </c>
      <c r="B924" s="13" t="s">
        <v>462</v>
      </c>
      <c r="C924" s="13" t="s">
        <v>2307</v>
      </c>
      <c r="D924" s="13">
        <v>4</v>
      </c>
      <c r="E924" s="13">
        <v>4</v>
      </c>
    </row>
    <row r="925" spans="1:5">
      <c r="A925" s="13" t="s">
        <v>2308</v>
      </c>
      <c r="B925" s="13" t="s">
        <v>606</v>
      </c>
      <c r="C925" s="13" t="s">
        <v>2309</v>
      </c>
      <c r="D925" s="13">
        <v>4</v>
      </c>
      <c r="E925" s="13">
        <v>4</v>
      </c>
    </row>
    <row r="926" spans="1:5">
      <c r="A926" s="13" t="s">
        <v>2310</v>
      </c>
      <c r="B926" s="13" t="s">
        <v>436</v>
      </c>
      <c r="C926" s="13" t="s">
        <v>2311</v>
      </c>
      <c r="D926" s="13">
        <v>4</v>
      </c>
      <c r="E926" s="13">
        <v>4</v>
      </c>
    </row>
    <row r="927" spans="1:5">
      <c r="A927" s="13" t="s">
        <v>2314</v>
      </c>
      <c r="B927" s="13" t="s">
        <v>499</v>
      </c>
      <c r="C927" s="13" t="s">
        <v>2315</v>
      </c>
      <c r="D927" s="13">
        <v>4</v>
      </c>
      <c r="E927" s="13">
        <v>4</v>
      </c>
    </row>
    <row r="928" spans="1:5">
      <c r="A928" s="13" t="s">
        <v>2316</v>
      </c>
      <c r="B928" s="13" t="s">
        <v>436</v>
      </c>
      <c r="C928" s="13" t="s">
        <v>2317</v>
      </c>
      <c r="D928" s="13">
        <v>4</v>
      </c>
      <c r="E928" s="13">
        <v>4</v>
      </c>
    </row>
    <row r="929" spans="1:5">
      <c r="A929" s="13" t="s">
        <v>2318</v>
      </c>
      <c r="B929" s="13" t="s">
        <v>1352</v>
      </c>
      <c r="C929" s="13" t="s">
        <v>2319</v>
      </c>
      <c r="D929" s="13">
        <v>4</v>
      </c>
      <c r="E929" s="13">
        <v>4</v>
      </c>
    </row>
    <row r="930" spans="1:5">
      <c r="A930" s="13" t="s">
        <v>2320</v>
      </c>
      <c r="B930" s="13" t="s">
        <v>432</v>
      </c>
      <c r="C930" s="13" t="s">
        <v>1722</v>
      </c>
      <c r="D930" s="13">
        <v>4</v>
      </c>
      <c r="E930" s="13">
        <v>4</v>
      </c>
    </row>
    <row r="931" spans="1:5">
      <c r="A931" s="13" t="s">
        <v>2321</v>
      </c>
      <c r="B931" s="13" t="s">
        <v>1715</v>
      </c>
      <c r="C931" s="13" t="s">
        <v>2322</v>
      </c>
      <c r="D931" s="13">
        <v>4</v>
      </c>
      <c r="E931" s="13">
        <v>4</v>
      </c>
    </row>
    <row r="932" spans="1:5">
      <c r="A932" s="13" t="s">
        <v>2325</v>
      </c>
      <c r="B932" s="13" t="s">
        <v>1715</v>
      </c>
      <c r="C932" s="13" t="s">
        <v>2326</v>
      </c>
      <c r="D932" s="13">
        <v>4</v>
      </c>
      <c r="E932" s="13">
        <v>4</v>
      </c>
    </row>
    <row r="933" spans="1:5">
      <c r="A933" s="13" t="s">
        <v>2332</v>
      </c>
      <c r="B933" s="13" t="s">
        <v>499</v>
      </c>
      <c r="C933" s="13" t="s">
        <v>2333</v>
      </c>
      <c r="D933" s="13">
        <v>4</v>
      </c>
      <c r="E933" s="13">
        <v>4</v>
      </c>
    </row>
    <row r="934" spans="1:5">
      <c r="A934" s="13" t="s">
        <v>2339</v>
      </c>
      <c r="B934" s="13" t="s">
        <v>432</v>
      </c>
      <c r="C934" s="13" t="s">
        <v>2340</v>
      </c>
      <c r="D934" s="13">
        <v>4</v>
      </c>
      <c r="E934" s="13">
        <v>4</v>
      </c>
    </row>
    <row r="935" spans="1:5">
      <c r="A935" s="13" t="s">
        <v>2341</v>
      </c>
      <c r="B935" s="13" t="s">
        <v>606</v>
      </c>
      <c r="C935" s="13" t="s">
        <v>2342</v>
      </c>
      <c r="D935" s="13">
        <v>4</v>
      </c>
      <c r="E935" s="13">
        <v>4</v>
      </c>
    </row>
    <row r="936" spans="1:5">
      <c r="A936" s="13" t="s">
        <v>2343</v>
      </c>
      <c r="B936" s="13" t="s">
        <v>518</v>
      </c>
      <c r="C936" s="13" t="s">
        <v>2344</v>
      </c>
      <c r="D936" s="13">
        <v>4</v>
      </c>
      <c r="E936" s="13">
        <v>4</v>
      </c>
    </row>
    <row r="937" spans="1:5">
      <c r="A937" s="13" t="s">
        <v>2351</v>
      </c>
      <c r="B937" s="13" t="s">
        <v>1464</v>
      </c>
      <c r="C937" s="13" t="s">
        <v>2352</v>
      </c>
      <c r="D937" s="13">
        <v>4</v>
      </c>
      <c r="E937" s="13">
        <v>4</v>
      </c>
    </row>
    <row r="938" spans="1:5">
      <c r="A938" s="13" t="s">
        <v>2353</v>
      </c>
      <c r="B938" s="13" t="s">
        <v>481</v>
      </c>
      <c r="C938" s="13" t="s">
        <v>2354</v>
      </c>
      <c r="D938" s="13">
        <v>4</v>
      </c>
      <c r="E938" s="13">
        <v>4</v>
      </c>
    </row>
    <row r="939" spans="1:5">
      <c r="A939" s="13" t="s">
        <v>2355</v>
      </c>
      <c r="B939" s="13" t="s">
        <v>499</v>
      </c>
      <c r="C939" s="13" t="s">
        <v>2356</v>
      </c>
      <c r="D939" s="13">
        <v>4</v>
      </c>
      <c r="E939" s="13">
        <v>4</v>
      </c>
    </row>
    <row r="940" spans="1:5">
      <c r="A940" s="13" t="s">
        <v>2357</v>
      </c>
      <c r="B940" s="13" t="s">
        <v>673</v>
      </c>
      <c r="C940" s="13" t="s">
        <v>2358</v>
      </c>
      <c r="D940" s="13">
        <v>4</v>
      </c>
      <c r="E940" s="13">
        <v>4</v>
      </c>
    </row>
    <row r="941" spans="1:5">
      <c r="A941" s="13" t="s">
        <v>2359</v>
      </c>
      <c r="B941" s="13" t="s">
        <v>432</v>
      </c>
      <c r="C941" s="13" t="s">
        <v>481</v>
      </c>
      <c r="D941" s="13">
        <v>4</v>
      </c>
      <c r="E941" s="13">
        <v>4</v>
      </c>
    </row>
    <row r="942" spans="1:5">
      <c r="A942" s="13" t="s">
        <v>2360</v>
      </c>
      <c r="B942" s="13" t="s">
        <v>432</v>
      </c>
      <c r="C942" s="13" t="s">
        <v>2361</v>
      </c>
      <c r="D942" s="13">
        <v>4</v>
      </c>
      <c r="E942" s="13">
        <v>4</v>
      </c>
    </row>
    <row r="943" spans="1:5">
      <c r="A943" s="13" t="s">
        <v>2362</v>
      </c>
      <c r="B943" s="13" t="s">
        <v>518</v>
      </c>
      <c r="C943" s="13" t="s">
        <v>1666</v>
      </c>
      <c r="D943" s="13">
        <v>4</v>
      </c>
      <c r="E943" s="13">
        <v>4</v>
      </c>
    </row>
    <row r="944" spans="1:5">
      <c r="A944" s="13" t="s">
        <v>2363</v>
      </c>
      <c r="B944" s="13" t="s">
        <v>596</v>
      </c>
      <c r="C944" s="13" t="s">
        <v>2364</v>
      </c>
      <c r="D944" s="13">
        <v>4</v>
      </c>
      <c r="E944" s="13">
        <v>4</v>
      </c>
    </row>
    <row r="945" spans="1:5">
      <c r="A945" s="13" t="s">
        <v>2365</v>
      </c>
      <c r="B945" s="13" t="s">
        <v>462</v>
      </c>
      <c r="C945" s="13" t="s">
        <v>2366</v>
      </c>
      <c r="D945" s="13">
        <v>4</v>
      </c>
      <c r="E945" s="13">
        <v>4</v>
      </c>
    </row>
    <row r="946" spans="1:5">
      <c r="A946" s="13" t="s">
        <v>2369</v>
      </c>
      <c r="B946" s="13" t="s">
        <v>462</v>
      </c>
      <c r="C946" s="13" t="s">
        <v>2370</v>
      </c>
      <c r="D946" s="13">
        <v>4</v>
      </c>
      <c r="E946" s="13">
        <v>4</v>
      </c>
    </row>
    <row r="947" spans="1:5">
      <c r="A947" s="13" t="s">
        <v>2371</v>
      </c>
      <c r="B947" s="13" t="s">
        <v>518</v>
      </c>
      <c r="C947" s="13" t="s">
        <v>2372</v>
      </c>
      <c r="D947" s="13">
        <v>4</v>
      </c>
      <c r="E947" s="13">
        <v>4</v>
      </c>
    </row>
    <row r="948" spans="1:5">
      <c r="A948" s="13" t="s">
        <v>2373</v>
      </c>
      <c r="B948" s="13" t="s">
        <v>677</v>
      </c>
      <c r="C948" s="13" t="s">
        <v>2374</v>
      </c>
      <c r="D948" s="13">
        <v>4</v>
      </c>
      <c r="E948" s="13">
        <v>4</v>
      </c>
    </row>
    <row r="949" spans="1:5">
      <c r="A949" s="13" t="s">
        <v>2377</v>
      </c>
      <c r="B949" s="13" t="s">
        <v>499</v>
      </c>
      <c r="C949" s="13" t="s">
        <v>1894</v>
      </c>
      <c r="D949" s="13">
        <v>4</v>
      </c>
      <c r="E949" s="13">
        <v>4</v>
      </c>
    </row>
    <row r="950" spans="1:5">
      <c r="A950" s="13" t="s">
        <v>2378</v>
      </c>
      <c r="B950" s="13" t="s">
        <v>1569</v>
      </c>
      <c r="C950" s="13" t="s">
        <v>1569</v>
      </c>
      <c r="D950" s="13">
        <v>4</v>
      </c>
      <c r="E950" s="13">
        <v>4</v>
      </c>
    </row>
    <row r="951" spans="1:5">
      <c r="A951" s="13" t="s">
        <v>2381</v>
      </c>
      <c r="B951" s="13" t="s">
        <v>1715</v>
      </c>
      <c r="C951" s="13" t="s">
        <v>2382</v>
      </c>
      <c r="D951" s="13">
        <v>4</v>
      </c>
      <c r="E951" s="13">
        <v>4</v>
      </c>
    </row>
    <row r="952" spans="1:5">
      <c r="A952" s="13" t="s">
        <v>2383</v>
      </c>
      <c r="B952" s="13" t="s">
        <v>499</v>
      </c>
      <c r="C952" s="13" t="s">
        <v>2384</v>
      </c>
      <c r="D952" s="13">
        <v>4</v>
      </c>
      <c r="E952" s="13">
        <v>4</v>
      </c>
    </row>
    <row r="953" spans="1:5">
      <c r="A953" s="13" t="s">
        <v>2385</v>
      </c>
      <c r="B953" s="13" t="s">
        <v>596</v>
      </c>
      <c r="C953" s="13" t="s">
        <v>2386</v>
      </c>
      <c r="D953" s="13">
        <v>4</v>
      </c>
      <c r="E953" s="13">
        <v>4</v>
      </c>
    </row>
    <row r="954" spans="1:5">
      <c r="A954" s="13" t="s">
        <v>2387</v>
      </c>
      <c r="B954" s="13" t="s">
        <v>1715</v>
      </c>
      <c r="C954" s="13" t="s">
        <v>2388</v>
      </c>
      <c r="D954" s="13">
        <v>4</v>
      </c>
      <c r="E954" s="13">
        <v>4</v>
      </c>
    </row>
    <row r="955" spans="1:5">
      <c r="A955" s="13" t="s">
        <v>2389</v>
      </c>
      <c r="B955" s="13" t="s">
        <v>1352</v>
      </c>
      <c r="C955" s="13" t="s">
        <v>2390</v>
      </c>
      <c r="D955" s="13">
        <v>4</v>
      </c>
      <c r="E955" s="13">
        <v>4</v>
      </c>
    </row>
    <row r="956" spans="1:5">
      <c r="A956" s="13" t="s">
        <v>2391</v>
      </c>
      <c r="B956" s="13" t="s">
        <v>499</v>
      </c>
      <c r="C956" s="13" t="s">
        <v>2392</v>
      </c>
      <c r="D956" s="13">
        <v>4</v>
      </c>
      <c r="E956" s="13">
        <v>4</v>
      </c>
    </row>
    <row r="957" spans="1:5">
      <c r="A957" s="13" t="s">
        <v>2393</v>
      </c>
      <c r="B957" s="13" t="s">
        <v>1715</v>
      </c>
      <c r="C957" s="13" t="s">
        <v>2394</v>
      </c>
      <c r="D957" s="13">
        <v>4</v>
      </c>
      <c r="E957" s="13">
        <v>4</v>
      </c>
    </row>
    <row r="958" spans="1:5">
      <c r="A958" s="13" t="s">
        <v>2399</v>
      </c>
      <c r="B958" s="13" t="s">
        <v>481</v>
      </c>
      <c r="C958" s="13" t="s">
        <v>2400</v>
      </c>
      <c r="D958" s="13">
        <v>4</v>
      </c>
      <c r="E958" s="13">
        <v>4</v>
      </c>
    </row>
    <row r="959" spans="1:5">
      <c r="A959" s="13" t="s">
        <v>2401</v>
      </c>
      <c r="B959" s="13" t="s">
        <v>436</v>
      </c>
      <c r="C959" s="13" t="s">
        <v>2402</v>
      </c>
      <c r="D959" s="13">
        <v>4</v>
      </c>
      <c r="E959" s="13">
        <v>5</v>
      </c>
    </row>
    <row r="960" spans="1:5">
      <c r="A960" s="13" t="s">
        <v>2403</v>
      </c>
      <c r="B960" s="13" t="s">
        <v>1352</v>
      </c>
      <c r="C960" s="13" t="s">
        <v>634</v>
      </c>
      <c r="D960" s="13">
        <v>4</v>
      </c>
      <c r="E960" s="13">
        <v>4</v>
      </c>
    </row>
    <row r="961" spans="1:5">
      <c r="A961" s="13" t="s">
        <v>2408</v>
      </c>
      <c r="B961" s="13" t="s">
        <v>432</v>
      </c>
      <c r="C961" s="13" t="s">
        <v>2409</v>
      </c>
      <c r="D961" s="13">
        <v>4</v>
      </c>
      <c r="E961" s="13">
        <v>4</v>
      </c>
    </row>
    <row r="962" spans="1:5">
      <c r="A962" s="13" t="s">
        <v>2412</v>
      </c>
      <c r="B962" s="13" t="s">
        <v>1715</v>
      </c>
      <c r="C962" s="13" t="s">
        <v>2413</v>
      </c>
      <c r="D962" s="13">
        <v>4</v>
      </c>
      <c r="E962" s="13">
        <v>4</v>
      </c>
    </row>
    <row r="963" spans="1:5">
      <c r="A963" s="13" t="s">
        <v>2414</v>
      </c>
      <c r="B963" s="13" t="s">
        <v>1464</v>
      </c>
      <c r="C963" s="13" t="s">
        <v>1268</v>
      </c>
      <c r="D963" s="13">
        <v>4</v>
      </c>
      <c r="E963" s="13">
        <v>4</v>
      </c>
    </row>
    <row r="964" spans="1:5">
      <c r="A964" s="13" t="s">
        <v>2415</v>
      </c>
      <c r="B964" s="13" t="s">
        <v>499</v>
      </c>
      <c r="C964" s="13" t="s">
        <v>2063</v>
      </c>
      <c r="D964" s="13">
        <v>4</v>
      </c>
      <c r="E964" s="13">
        <v>4</v>
      </c>
    </row>
    <row r="965" spans="1:5">
      <c r="A965" s="13" t="s">
        <v>2416</v>
      </c>
      <c r="B965" s="13" t="s">
        <v>558</v>
      </c>
      <c r="C965" s="13" t="s">
        <v>2417</v>
      </c>
      <c r="D965" s="13">
        <v>4</v>
      </c>
      <c r="E965" s="13">
        <v>4</v>
      </c>
    </row>
    <row r="966" spans="1:5">
      <c r="A966" s="13" t="s">
        <v>2422</v>
      </c>
      <c r="B966" s="13" t="s">
        <v>673</v>
      </c>
      <c r="C966" s="13" t="s">
        <v>2423</v>
      </c>
      <c r="D966" s="13">
        <v>4</v>
      </c>
      <c r="E966" s="13">
        <v>4</v>
      </c>
    </row>
    <row r="967" spans="1:5">
      <c r="A967" s="13" t="s">
        <v>2424</v>
      </c>
      <c r="B967" s="13" t="s">
        <v>1464</v>
      </c>
      <c r="C967" s="13" t="s">
        <v>2425</v>
      </c>
      <c r="D967" s="13">
        <v>4</v>
      </c>
      <c r="E967" s="13">
        <v>4</v>
      </c>
    </row>
    <row r="968" spans="1:5">
      <c r="A968" s="13" t="s">
        <v>2426</v>
      </c>
      <c r="B968" s="13" t="s">
        <v>518</v>
      </c>
      <c r="C968" s="13" t="s">
        <v>2427</v>
      </c>
      <c r="D968" s="13">
        <v>4</v>
      </c>
      <c r="E968" s="13">
        <v>4</v>
      </c>
    </row>
    <row r="969" spans="1:5">
      <c r="A969" s="13" t="s">
        <v>2432</v>
      </c>
      <c r="B969" s="13" t="s">
        <v>1715</v>
      </c>
      <c r="C969" s="13" t="s">
        <v>2433</v>
      </c>
      <c r="D969" s="13">
        <v>4</v>
      </c>
      <c r="E969" s="13">
        <v>4</v>
      </c>
    </row>
    <row r="970" spans="1:5">
      <c r="A970" s="13" t="s">
        <v>2434</v>
      </c>
      <c r="B970" s="13" t="s">
        <v>1352</v>
      </c>
      <c r="C970" s="13" t="s">
        <v>2435</v>
      </c>
      <c r="D970" s="13">
        <v>4</v>
      </c>
      <c r="E970" s="13">
        <v>4</v>
      </c>
    </row>
    <row r="971" spans="1:5">
      <c r="A971" s="13" t="s">
        <v>2441</v>
      </c>
      <c r="B971" s="13" t="s">
        <v>1569</v>
      </c>
      <c r="C971" s="13" t="s">
        <v>2442</v>
      </c>
      <c r="D971" s="13">
        <v>4</v>
      </c>
      <c r="E971" s="13">
        <v>4</v>
      </c>
    </row>
    <row r="972" spans="1:5">
      <c r="A972" s="13" t="s">
        <v>2443</v>
      </c>
      <c r="B972" s="13" t="s">
        <v>606</v>
      </c>
      <c r="C972" s="13" t="s">
        <v>2444</v>
      </c>
      <c r="D972" s="13">
        <v>4</v>
      </c>
      <c r="E972" s="13">
        <v>4</v>
      </c>
    </row>
    <row r="973" spans="1:5">
      <c r="A973" s="13" t="s">
        <v>2445</v>
      </c>
      <c r="B973" s="13" t="s">
        <v>499</v>
      </c>
      <c r="C973" s="13" t="s">
        <v>2446</v>
      </c>
      <c r="D973" s="13">
        <v>4</v>
      </c>
      <c r="E973" s="13">
        <v>4</v>
      </c>
    </row>
    <row r="974" spans="1:5">
      <c r="A974" s="13" t="s">
        <v>2460</v>
      </c>
      <c r="B974" s="13" t="s">
        <v>1715</v>
      </c>
      <c r="C974" s="13" t="s">
        <v>2461</v>
      </c>
      <c r="D974" s="13">
        <v>4</v>
      </c>
      <c r="E974" s="13">
        <v>4</v>
      </c>
    </row>
    <row r="975" spans="1:5">
      <c r="A975" s="13" t="s">
        <v>2468</v>
      </c>
      <c r="B975" s="13" t="s">
        <v>432</v>
      </c>
      <c r="C975" s="13" t="s">
        <v>2469</v>
      </c>
      <c r="D975" s="13">
        <v>4</v>
      </c>
      <c r="E975" s="13">
        <v>4</v>
      </c>
    </row>
    <row r="976" spans="1:5">
      <c r="A976" s="13" t="s">
        <v>2474</v>
      </c>
      <c r="B976" s="13" t="s">
        <v>606</v>
      </c>
      <c r="C976" s="13" t="s">
        <v>2475</v>
      </c>
      <c r="D976" s="13">
        <v>4</v>
      </c>
      <c r="E976" s="13">
        <v>4</v>
      </c>
    </row>
    <row r="977" spans="1:5">
      <c r="A977" s="13" t="s">
        <v>2482</v>
      </c>
      <c r="B977" s="13" t="s">
        <v>1715</v>
      </c>
      <c r="C977" s="13" t="s">
        <v>2483</v>
      </c>
      <c r="D977" s="13">
        <v>4</v>
      </c>
      <c r="E977" s="13">
        <v>4</v>
      </c>
    </row>
    <row r="978" spans="1:5">
      <c r="A978" s="13" t="s">
        <v>2486</v>
      </c>
      <c r="B978" s="13" t="s">
        <v>1352</v>
      </c>
      <c r="C978" s="13" t="s">
        <v>2487</v>
      </c>
      <c r="D978" s="13">
        <v>4</v>
      </c>
      <c r="E978" s="13">
        <v>4</v>
      </c>
    </row>
    <row r="979" spans="1:5">
      <c r="A979" s="13" t="s">
        <v>2488</v>
      </c>
      <c r="B979" s="13" t="s">
        <v>499</v>
      </c>
      <c r="C979" s="13" t="s">
        <v>2489</v>
      </c>
      <c r="D979" s="13">
        <v>4</v>
      </c>
      <c r="E979" s="13">
        <v>4</v>
      </c>
    </row>
    <row r="980" spans="1:5">
      <c r="A980" s="13" t="s">
        <v>2503</v>
      </c>
      <c r="B980" s="13" t="s">
        <v>1715</v>
      </c>
      <c r="C980" s="13" t="s">
        <v>2504</v>
      </c>
      <c r="D980" s="13">
        <v>4</v>
      </c>
      <c r="E980" s="13">
        <v>4</v>
      </c>
    </row>
    <row r="981" spans="1:5">
      <c r="A981" s="13" t="s">
        <v>2509</v>
      </c>
      <c r="B981" s="13" t="s">
        <v>499</v>
      </c>
      <c r="C981" s="13" t="s">
        <v>2510</v>
      </c>
      <c r="D981" s="13">
        <v>4</v>
      </c>
      <c r="E981" s="13">
        <v>4</v>
      </c>
    </row>
    <row r="982" spans="1:5">
      <c r="A982" s="13" t="s">
        <v>2511</v>
      </c>
      <c r="B982" s="13" t="s">
        <v>606</v>
      </c>
      <c r="C982" s="13" t="s">
        <v>2512</v>
      </c>
      <c r="D982" s="13">
        <v>4</v>
      </c>
      <c r="E982" s="13">
        <v>4</v>
      </c>
    </row>
    <row r="983" spans="1:5">
      <c r="A983" s="13" t="s">
        <v>2513</v>
      </c>
      <c r="B983" s="13" t="s">
        <v>606</v>
      </c>
      <c r="C983" s="13" t="s">
        <v>2514</v>
      </c>
      <c r="D983" s="13">
        <v>4</v>
      </c>
      <c r="E983" s="13">
        <v>4</v>
      </c>
    </row>
    <row r="984" spans="1:5">
      <c r="A984" s="13" t="s">
        <v>2518</v>
      </c>
      <c r="B984" s="13" t="s">
        <v>1352</v>
      </c>
      <c r="C984" s="13" t="s">
        <v>2519</v>
      </c>
      <c r="D984" s="13">
        <v>4</v>
      </c>
      <c r="E984" s="13">
        <v>4</v>
      </c>
    </row>
    <row r="985" spans="1:5">
      <c r="A985" s="13" t="s">
        <v>2528</v>
      </c>
      <c r="B985" s="13" t="s">
        <v>558</v>
      </c>
      <c r="C985" s="13" t="s">
        <v>2529</v>
      </c>
      <c r="D985" s="13">
        <v>4</v>
      </c>
      <c r="E985" s="13">
        <v>4</v>
      </c>
    </row>
    <row r="986" spans="1:5">
      <c r="A986" s="13" t="s">
        <v>2600</v>
      </c>
      <c r="B986" s="13" t="s">
        <v>1715</v>
      </c>
      <c r="C986" s="13" t="s">
        <v>2601</v>
      </c>
      <c r="D986" s="13">
        <v>4</v>
      </c>
      <c r="E986" s="13" t="s">
        <v>380</v>
      </c>
    </row>
    <row r="987" spans="1:5">
      <c r="A987" s="13" t="s">
        <v>2602</v>
      </c>
      <c r="B987" s="13" t="s">
        <v>2604</v>
      </c>
      <c r="C987" s="13" t="s">
        <v>1028</v>
      </c>
      <c r="D987" s="13">
        <v>4</v>
      </c>
      <c r="E987" s="13">
        <v>3</v>
      </c>
    </row>
    <row r="988" spans="1:5">
      <c r="A988" s="13" t="s">
        <v>1263</v>
      </c>
      <c r="B988" s="13" t="s">
        <v>495</v>
      </c>
      <c r="C988" s="13" t="s">
        <v>1264</v>
      </c>
      <c r="D988" s="13">
        <v>5</v>
      </c>
      <c r="E988" s="13">
        <v>4</v>
      </c>
    </row>
    <row r="989" spans="1:5">
      <c r="A989" s="13" t="s">
        <v>1381</v>
      </c>
      <c r="B989" s="13" t="s">
        <v>639</v>
      </c>
      <c r="C989" s="13" t="s">
        <v>1382</v>
      </c>
      <c r="D989" s="13">
        <v>5</v>
      </c>
      <c r="E989" s="13">
        <v>4</v>
      </c>
    </row>
    <row r="990" spans="1:5">
      <c r="A990" s="13" t="s">
        <v>1497</v>
      </c>
      <c r="B990" s="13" t="s">
        <v>639</v>
      </c>
      <c r="C990" s="13" t="s">
        <v>1498</v>
      </c>
      <c r="D990" s="13">
        <v>5</v>
      </c>
      <c r="E990" s="13">
        <v>5</v>
      </c>
    </row>
    <row r="991" spans="1:5">
      <c r="A991" s="13" t="s">
        <v>1778</v>
      </c>
      <c r="B991" s="13" t="s">
        <v>436</v>
      </c>
      <c r="C991" s="13" t="s">
        <v>1779</v>
      </c>
      <c r="D991" s="13">
        <v>5</v>
      </c>
      <c r="E991" s="13">
        <v>4</v>
      </c>
    </row>
    <row r="992" spans="1:5">
      <c r="A992" s="13" t="s">
        <v>1810</v>
      </c>
      <c r="B992" s="13" t="s">
        <v>639</v>
      </c>
      <c r="C992" s="13" t="s">
        <v>1811</v>
      </c>
      <c r="D992" s="13">
        <v>5</v>
      </c>
      <c r="E992" s="13">
        <v>4</v>
      </c>
    </row>
    <row r="993" spans="1:5">
      <c r="A993" s="13" t="s">
        <v>1880</v>
      </c>
      <c r="B993" s="13" t="s">
        <v>639</v>
      </c>
      <c r="C993" s="13" t="s">
        <v>1881</v>
      </c>
      <c r="D993" s="13">
        <v>5</v>
      </c>
      <c r="E993" s="13">
        <v>5</v>
      </c>
    </row>
    <row r="994" spans="1:5">
      <c r="A994" s="13" t="s">
        <v>1889</v>
      </c>
      <c r="B994" s="13" t="s">
        <v>499</v>
      </c>
      <c r="C994" s="13" t="s">
        <v>1890</v>
      </c>
      <c r="D994" s="13">
        <v>5</v>
      </c>
      <c r="E994" s="13">
        <v>4</v>
      </c>
    </row>
    <row r="995" spans="1:5">
      <c r="A995" s="13" t="s">
        <v>1958</v>
      </c>
      <c r="B995" s="13" t="s">
        <v>639</v>
      </c>
      <c r="C995" s="13" t="s">
        <v>1959</v>
      </c>
      <c r="D995" s="13">
        <v>5</v>
      </c>
      <c r="E995" s="13">
        <v>5</v>
      </c>
    </row>
    <row r="996" spans="1:5">
      <c r="A996" s="13" t="s">
        <v>1963</v>
      </c>
      <c r="B996" s="13" t="s">
        <v>436</v>
      </c>
      <c r="C996" s="13" t="s">
        <v>1964</v>
      </c>
      <c r="D996" s="13">
        <v>5</v>
      </c>
      <c r="E996" s="13">
        <v>4</v>
      </c>
    </row>
    <row r="997" spans="1:5">
      <c r="A997" s="13" t="s">
        <v>1982</v>
      </c>
      <c r="B997" s="13" t="s">
        <v>436</v>
      </c>
      <c r="C997" s="13" t="s">
        <v>1983</v>
      </c>
      <c r="D997" s="13">
        <v>5</v>
      </c>
      <c r="E997" s="13">
        <v>4</v>
      </c>
    </row>
    <row r="998" spans="1:5">
      <c r="A998" s="13" t="s">
        <v>2027</v>
      </c>
      <c r="B998" s="13" t="s">
        <v>495</v>
      </c>
      <c r="C998" s="13" t="s">
        <v>2028</v>
      </c>
      <c r="D998" s="13">
        <v>5</v>
      </c>
      <c r="E998" s="13">
        <v>4</v>
      </c>
    </row>
    <row r="999" spans="1:5">
      <c r="A999" s="13" t="s">
        <v>2058</v>
      </c>
      <c r="B999" s="13" t="s">
        <v>481</v>
      </c>
      <c r="C999" s="13" t="s">
        <v>2059</v>
      </c>
      <c r="D999" s="13">
        <v>5</v>
      </c>
      <c r="E999" s="13">
        <v>5</v>
      </c>
    </row>
    <row r="1000" spans="1:5">
      <c r="A1000" s="13" t="s">
        <v>2076</v>
      </c>
      <c r="B1000" s="13" t="s">
        <v>481</v>
      </c>
      <c r="C1000" s="13" t="s">
        <v>2077</v>
      </c>
      <c r="D1000" s="13">
        <v>5</v>
      </c>
      <c r="E1000" s="13">
        <v>4</v>
      </c>
    </row>
    <row r="1001" spans="1:5">
      <c r="A1001" s="13" t="s">
        <v>2078</v>
      </c>
      <c r="B1001" s="13" t="s">
        <v>499</v>
      </c>
      <c r="C1001" s="13" t="s">
        <v>2079</v>
      </c>
      <c r="D1001" s="13">
        <v>5</v>
      </c>
      <c r="E1001" s="13">
        <v>4</v>
      </c>
    </row>
    <row r="1002" spans="1:5">
      <c r="A1002" s="13" t="s">
        <v>2111</v>
      </c>
      <c r="B1002" s="13" t="s">
        <v>596</v>
      </c>
      <c r="C1002" s="13" t="s">
        <v>2112</v>
      </c>
      <c r="D1002" s="13">
        <v>5</v>
      </c>
      <c r="E1002" s="13">
        <v>4</v>
      </c>
    </row>
    <row r="1003" spans="1:5">
      <c r="A1003" s="13" t="s">
        <v>2117</v>
      </c>
      <c r="B1003" s="13" t="s">
        <v>596</v>
      </c>
      <c r="C1003" s="13" t="s">
        <v>2118</v>
      </c>
      <c r="D1003" s="13">
        <v>5</v>
      </c>
      <c r="E1003" s="13">
        <v>5</v>
      </c>
    </row>
    <row r="1004" spans="1:5">
      <c r="A1004" s="13" t="s">
        <v>2135</v>
      </c>
      <c r="B1004" s="13" t="s">
        <v>481</v>
      </c>
      <c r="C1004" s="13" t="s">
        <v>2136</v>
      </c>
      <c r="D1004" s="13">
        <v>5</v>
      </c>
      <c r="E1004" s="13">
        <v>4</v>
      </c>
    </row>
    <row r="1005" spans="1:5">
      <c r="A1005" s="13" t="s">
        <v>2149</v>
      </c>
      <c r="B1005" s="13" t="s">
        <v>436</v>
      </c>
      <c r="C1005" s="13" t="s">
        <v>2150</v>
      </c>
      <c r="D1005" s="13">
        <v>5</v>
      </c>
      <c r="E1005" s="13">
        <v>4</v>
      </c>
    </row>
    <row r="1006" spans="1:5">
      <c r="A1006" s="13" t="s">
        <v>2153</v>
      </c>
      <c r="B1006" s="13" t="s">
        <v>495</v>
      </c>
      <c r="C1006" s="13" t="s">
        <v>495</v>
      </c>
      <c r="D1006" s="13">
        <v>5</v>
      </c>
      <c r="E1006" s="13">
        <v>5</v>
      </c>
    </row>
    <row r="1007" spans="1:5">
      <c r="A1007" s="13" t="s">
        <v>2175</v>
      </c>
      <c r="B1007" s="13" t="s">
        <v>462</v>
      </c>
      <c r="C1007" s="13" t="s">
        <v>2176</v>
      </c>
      <c r="D1007" s="13">
        <v>5</v>
      </c>
      <c r="E1007" s="13">
        <v>4</v>
      </c>
    </row>
    <row r="1008" spans="1:5">
      <c r="A1008" s="13" t="s">
        <v>2181</v>
      </c>
      <c r="B1008" s="13" t="s">
        <v>436</v>
      </c>
      <c r="C1008" s="13" t="s">
        <v>2182</v>
      </c>
      <c r="D1008" s="13">
        <v>5</v>
      </c>
      <c r="E1008" s="13">
        <v>4</v>
      </c>
    </row>
    <row r="1009" spans="1:5">
      <c r="A1009" s="13" t="s">
        <v>2214</v>
      </c>
      <c r="B1009" s="13" t="s">
        <v>481</v>
      </c>
      <c r="C1009" s="13" t="s">
        <v>2215</v>
      </c>
      <c r="D1009" s="13">
        <v>5</v>
      </c>
      <c r="E1009" s="13">
        <v>4</v>
      </c>
    </row>
    <row r="1010" spans="1:5">
      <c r="A1010" s="13" t="s">
        <v>2230</v>
      </c>
      <c r="B1010" s="13" t="s">
        <v>944</v>
      </c>
      <c r="C1010" s="13" t="s">
        <v>2231</v>
      </c>
      <c r="D1010" s="13">
        <v>5</v>
      </c>
      <c r="E1010" s="13">
        <v>4</v>
      </c>
    </row>
    <row r="1011" spans="1:5">
      <c r="A1011" s="13" t="s">
        <v>2265</v>
      </c>
      <c r="B1011" s="13" t="s">
        <v>499</v>
      </c>
      <c r="C1011" s="13" t="s">
        <v>2266</v>
      </c>
      <c r="D1011" s="13">
        <v>5</v>
      </c>
      <c r="E1011" s="13">
        <v>4</v>
      </c>
    </row>
    <row r="1012" spans="1:5">
      <c r="A1012" s="13" t="s">
        <v>2270</v>
      </c>
      <c r="B1012" s="13" t="s">
        <v>673</v>
      </c>
      <c r="C1012" s="13" t="s">
        <v>2271</v>
      </c>
      <c r="D1012" s="13">
        <v>5</v>
      </c>
      <c r="E1012" s="13">
        <v>4</v>
      </c>
    </row>
    <row r="1013" spans="1:5">
      <c r="A1013" s="13" t="s">
        <v>2292</v>
      </c>
      <c r="B1013" s="13" t="s">
        <v>481</v>
      </c>
      <c r="C1013" s="13" t="s">
        <v>1157</v>
      </c>
      <c r="D1013" s="13">
        <v>5</v>
      </c>
      <c r="E1013" s="13">
        <v>4</v>
      </c>
    </row>
    <row r="1014" spans="1:5">
      <c r="A1014" s="13" t="s">
        <v>2300</v>
      </c>
      <c r="B1014" s="13" t="s">
        <v>596</v>
      </c>
      <c r="C1014" s="13" t="s">
        <v>2301</v>
      </c>
      <c r="D1014" s="13">
        <v>5</v>
      </c>
      <c r="E1014" s="13">
        <v>4</v>
      </c>
    </row>
    <row r="1015" spans="1:5">
      <c r="A1015" s="13" t="s">
        <v>2312</v>
      </c>
      <c r="B1015" s="13" t="s">
        <v>436</v>
      </c>
      <c r="C1015" s="13" t="s">
        <v>2313</v>
      </c>
      <c r="D1015" s="13">
        <v>5</v>
      </c>
      <c r="E1015" s="13">
        <v>5</v>
      </c>
    </row>
    <row r="1016" spans="1:5">
      <c r="A1016" s="13" t="s">
        <v>2323</v>
      </c>
      <c r="B1016" s="13" t="s">
        <v>596</v>
      </c>
      <c r="C1016" s="13" t="s">
        <v>2324</v>
      </c>
      <c r="D1016" s="13">
        <v>5</v>
      </c>
      <c r="E1016" s="13">
        <v>5</v>
      </c>
    </row>
    <row r="1017" spans="1:5">
      <c r="A1017" s="13" t="s">
        <v>2327</v>
      </c>
      <c r="B1017" s="13" t="s">
        <v>432</v>
      </c>
      <c r="C1017" s="13" t="s">
        <v>2328</v>
      </c>
      <c r="D1017" s="13">
        <v>5</v>
      </c>
      <c r="E1017" s="13">
        <v>4</v>
      </c>
    </row>
    <row r="1018" spans="1:5">
      <c r="A1018" s="13" t="s">
        <v>2329</v>
      </c>
      <c r="B1018" s="13" t="s">
        <v>1715</v>
      </c>
      <c r="C1018" s="13" t="s">
        <v>2330</v>
      </c>
      <c r="D1018" s="13">
        <v>5</v>
      </c>
      <c r="E1018" s="13">
        <v>4</v>
      </c>
    </row>
    <row r="1019" spans="1:5">
      <c r="A1019" s="13" t="s">
        <v>2331</v>
      </c>
      <c r="B1019" s="13" t="s">
        <v>944</v>
      </c>
      <c r="C1019" s="13" t="s">
        <v>975</v>
      </c>
      <c r="D1019" s="13">
        <v>5</v>
      </c>
      <c r="E1019" s="13">
        <v>5</v>
      </c>
    </row>
    <row r="1020" spans="1:5">
      <c r="A1020" s="13" t="s">
        <v>2336</v>
      </c>
      <c r="B1020" s="13" t="s">
        <v>673</v>
      </c>
      <c r="C1020" s="13" t="s">
        <v>492</v>
      </c>
      <c r="D1020" s="13">
        <v>5</v>
      </c>
      <c r="E1020" s="13">
        <v>5</v>
      </c>
    </row>
    <row r="1021" spans="1:5">
      <c r="A1021" s="13" t="s">
        <v>2337</v>
      </c>
      <c r="B1021" s="13" t="s">
        <v>481</v>
      </c>
      <c r="C1021" s="13" t="s">
        <v>2338</v>
      </c>
      <c r="D1021" s="13">
        <v>5</v>
      </c>
      <c r="E1021" s="13">
        <v>5</v>
      </c>
    </row>
    <row r="1022" spans="1:5">
      <c r="A1022" s="13" t="s">
        <v>2345</v>
      </c>
      <c r="B1022" s="13" t="s">
        <v>1715</v>
      </c>
      <c r="C1022" s="13" t="s">
        <v>2346</v>
      </c>
      <c r="D1022" s="13">
        <v>5</v>
      </c>
      <c r="E1022" s="13">
        <v>4</v>
      </c>
    </row>
    <row r="1023" spans="1:5">
      <c r="A1023" s="13" t="s">
        <v>2347</v>
      </c>
      <c r="B1023" s="13" t="s">
        <v>481</v>
      </c>
      <c r="C1023" s="13" t="s">
        <v>2348</v>
      </c>
      <c r="D1023" s="13">
        <v>5</v>
      </c>
      <c r="E1023" s="13">
        <v>4</v>
      </c>
    </row>
    <row r="1024" spans="1:5">
      <c r="A1024" s="13" t="s">
        <v>2349</v>
      </c>
      <c r="B1024" s="13" t="s">
        <v>673</v>
      </c>
      <c r="C1024" s="13" t="s">
        <v>2350</v>
      </c>
      <c r="D1024" s="13">
        <v>5</v>
      </c>
      <c r="E1024" s="13">
        <v>4</v>
      </c>
    </row>
    <row r="1025" spans="1:5">
      <c r="A1025" s="13" t="s">
        <v>2367</v>
      </c>
      <c r="B1025" s="13" t="s">
        <v>499</v>
      </c>
      <c r="C1025" s="13" t="s">
        <v>2368</v>
      </c>
      <c r="D1025" s="13">
        <v>5</v>
      </c>
      <c r="E1025" s="13">
        <v>4</v>
      </c>
    </row>
    <row r="1026" spans="1:5">
      <c r="A1026" s="13" t="s">
        <v>2375</v>
      </c>
      <c r="B1026" s="13" t="s">
        <v>1715</v>
      </c>
      <c r="C1026" s="13" t="s">
        <v>2376</v>
      </c>
      <c r="D1026" s="13">
        <v>5</v>
      </c>
      <c r="E1026" s="13">
        <v>5</v>
      </c>
    </row>
    <row r="1027" spans="1:5">
      <c r="A1027" s="13" t="s">
        <v>2379</v>
      </c>
      <c r="B1027" s="13" t="s">
        <v>436</v>
      </c>
      <c r="C1027" s="13" t="s">
        <v>2380</v>
      </c>
      <c r="D1027" s="13">
        <v>5</v>
      </c>
      <c r="E1027" s="13">
        <v>5</v>
      </c>
    </row>
    <row r="1028" spans="1:5">
      <c r="A1028" s="13" t="s">
        <v>2395</v>
      </c>
      <c r="B1028" s="13" t="s">
        <v>596</v>
      </c>
      <c r="C1028" s="13" t="s">
        <v>2396</v>
      </c>
      <c r="D1028" s="13">
        <v>5</v>
      </c>
      <c r="E1028" s="13">
        <v>5</v>
      </c>
    </row>
    <row r="1029" spans="1:5">
      <c r="A1029" s="13" t="s">
        <v>2397</v>
      </c>
      <c r="B1029" s="13" t="s">
        <v>673</v>
      </c>
      <c r="C1029" s="13" t="s">
        <v>2398</v>
      </c>
      <c r="D1029" s="13">
        <v>5</v>
      </c>
      <c r="E1029" s="13">
        <v>4</v>
      </c>
    </row>
    <row r="1030" spans="1:5">
      <c r="A1030" s="13" t="s">
        <v>2404</v>
      </c>
      <c r="B1030" s="13" t="s">
        <v>1464</v>
      </c>
      <c r="C1030" s="13" t="s">
        <v>2405</v>
      </c>
      <c r="D1030" s="13">
        <v>5</v>
      </c>
      <c r="E1030" s="13">
        <v>5</v>
      </c>
    </row>
    <row r="1031" spans="1:5">
      <c r="A1031" s="13" t="s">
        <v>2406</v>
      </c>
      <c r="B1031" s="13" t="s">
        <v>499</v>
      </c>
      <c r="C1031" s="13" t="s">
        <v>2407</v>
      </c>
      <c r="D1031" s="13">
        <v>5</v>
      </c>
      <c r="E1031" s="13">
        <v>4</v>
      </c>
    </row>
    <row r="1032" spans="1:5">
      <c r="A1032" s="13" t="s">
        <v>2418</v>
      </c>
      <c r="B1032" s="13" t="s">
        <v>432</v>
      </c>
      <c r="C1032" s="13" t="s">
        <v>2419</v>
      </c>
      <c r="D1032" s="13">
        <v>5</v>
      </c>
      <c r="E1032" s="13">
        <v>5</v>
      </c>
    </row>
    <row r="1033" spans="1:5">
      <c r="A1033" s="13" t="s">
        <v>2420</v>
      </c>
      <c r="B1033" s="13" t="s">
        <v>432</v>
      </c>
      <c r="C1033" s="13" t="s">
        <v>2421</v>
      </c>
      <c r="D1033" s="13">
        <v>5</v>
      </c>
      <c r="E1033" s="13">
        <v>4</v>
      </c>
    </row>
    <row r="1034" spans="1:5">
      <c r="A1034" s="13" t="s">
        <v>2428</v>
      </c>
      <c r="B1034" s="13" t="s">
        <v>1464</v>
      </c>
      <c r="C1034" s="13" t="s">
        <v>2429</v>
      </c>
      <c r="D1034" s="13">
        <v>5</v>
      </c>
      <c r="E1034" s="13">
        <v>5</v>
      </c>
    </row>
    <row r="1035" spans="1:5">
      <c r="A1035" s="13" t="s">
        <v>2430</v>
      </c>
      <c r="B1035" s="13" t="s">
        <v>558</v>
      </c>
      <c r="C1035" s="13" t="s">
        <v>2431</v>
      </c>
      <c r="D1035" s="13">
        <v>5</v>
      </c>
      <c r="E1035" s="13">
        <v>4</v>
      </c>
    </row>
    <row r="1036" spans="1:5">
      <c r="A1036" s="13" t="s">
        <v>2436</v>
      </c>
      <c r="B1036" s="13" t="s">
        <v>673</v>
      </c>
      <c r="C1036" s="13" t="s">
        <v>829</v>
      </c>
      <c r="D1036" s="13">
        <v>5</v>
      </c>
      <c r="E1036" s="13">
        <v>5</v>
      </c>
    </row>
    <row r="1037" spans="1:5">
      <c r="A1037" s="13" t="s">
        <v>2437</v>
      </c>
      <c r="B1037" s="13" t="s">
        <v>462</v>
      </c>
      <c r="C1037" s="13" t="s">
        <v>2438</v>
      </c>
      <c r="D1037" s="13">
        <v>5</v>
      </c>
      <c r="E1037" s="13">
        <v>5</v>
      </c>
    </row>
    <row r="1038" spans="1:5">
      <c r="A1038" s="13" t="s">
        <v>2439</v>
      </c>
      <c r="B1038" s="13" t="s">
        <v>1464</v>
      </c>
      <c r="C1038" s="13" t="s">
        <v>2440</v>
      </c>
      <c r="D1038" s="13">
        <v>5</v>
      </c>
      <c r="E1038" s="13">
        <v>5</v>
      </c>
    </row>
    <row r="1039" spans="1:5">
      <c r="A1039" s="13" t="s">
        <v>2447</v>
      </c>
      <c r="B1039" s="13" t="s">
        <v>499</v>
      </c>
      <c r="C1039" s="13" t="s">
        <v>2448</v>
      </c>
      <c r="D1039" s="13">
        <v>5</v>
      </c>
      <c r="E1039" s="13">
        <v>5</v>
      </c>
    </row>
    <row r="1040" spans="1:5">
      <c r="A1040" s="13" t="s">
        <v>2449</v>
      </c>
      <c r="B1040" s="13" t="s">
        <v>1352</v>
      </c>
      <c r="C1040" s="13" t="s">
        <v>2450</v>
      </c>
      <c r="D1040" s="13">
        <v>5</v>
      </c>
      <c r="E1040" s="13">
        <v>5</v>
      </c>
    </row>
    <row r="1041" spans="1:5">
      <c r="A1041" s="13" t="s">
        <v>2451</v>
      </c>
      <c r="B1041" s="13" t="s">
        <v>432</v>
      </c>
      <c r="C1041" s="13" t="s">
        <v>2452</v>
      </c>
      <c r="D1041" s="13">
        <v>5</v>
      </c>
      <c r="E1041" s="13">
        <v>5</v>
      </c>
    </row>
    <row r="1042" spans="1:5">
      <c r="A1042" s="13" t="s">
        <v>2453</v>
      </c>
      <c r="B1042" s="13" t="s">
        <v>507</v>
      </c>
      <c r="C1042" s="13" t="s">
        <v>2454</v>
      </c>
      <c r="D1042" s="13">
        <v>5</v>
      </c>
      <c r="E1042" s="13">
        <v>5</v>
      </c>
    </row>
    <row r="1043" spans="1:5">
      <c r="A1043" s="13" t="s">
        <v>2455</v>
      </c>
      <c r="B1043" s="13" t="s">
        <v>596</v>
      </c>
      <c r="C1043" s="13" t="s">
        <v>2456</v>
      </c>
      <c r="D1043" s="13">
        <v>5</v>
      </c>
      <c r="E1043" s="13">
        <v>4</v>
      </c>
    </row>
    <row r="1044" spans="1:5">
      <c r="A1044" s="13" t="s">
        <v>2457</v>
      </c>
      <c r="B1044" s="13" t="s">
        <v>1464</v>
      </c>
      <c r="C1044" s="13" t="s">
        <v>2458</v>
      </c>
      <c r="D1044" s="13">
        <v>5</v>
      </c>
      <c r="E1044" s="13">
        <v>4</v>
      </c>
    </row>
    <row r="1045" spans="1:5">
      <c r="A1045" s="13" t="s">
        <v>2459</v>
      </c>
      <c r="B1045" s="13" t="s">
        <v>1715</v>
      </c>
      <c r="C1045" s="13" t="s">
        <v>855</v>
      </c>
      <c r="D1045" s="13">
        <v>5</v>
      </c>
      <c r="E1045" s="13">
        <v>5</v>
      </c>
    </row>
    <row r="1046" spans="1:5">
      <c r="A1046" s="13" t="s">
        <v>2462</v>
      </c>
      <c r="B1046" s="13" t="s">
        <v>558</v>
      </c>
      <c r="C1046" s="13" t="s">
        <v>2463</v>
      </c>
      <c r="D1046" s="13">
        <v>5</v>
      </c>
      <c r="E1046" s="13">
        <v>5</v>
      </c>
    </row>
    <row r="1047" spans="1:5">
      <c r="A1047" s="13" t="s">
        <v>2464</v>
      </c>
      <c r="B1047" s="13" t="s">
        <v>1352</v>
      </c>
      <c r="C1047" s="13" t="s">
        <v>2465</v>
      </c>
      <c r="D1047" s="13">
        <v>5</v>
      </c>
      <c r="E1047" s="13">
        <v>5</v>
      </c>
    </row>
    <row r="1048" spans="1:5">
      <c r="A1048" s="13" t="s">
        <v>2466</v>
      </c>
      <c r="B1048" s="13" t="s">
        <v>481</v>
      </c>
      <c r="C1048" s="13" t="s">
        <v>2467</v>
      </c>
      <c r="D1048" s="13">
        <v>5</v>
      </c>
      <c r="E1048" s="13">
        <v>5</v>
      </c>
    </row>
    <row r="1049" spans="1:5">
      <c r="A1049" s="13" t="s">
        <v>2470</v>
      </c>
      <c r="B1049" s="13" t="s">
        <v>944</v>
      </c>
      <c r="C1049" s="13" t="s">
        <v>2471</v>
      </c>
      <c r="D1049" s="13">
        <v>5</v>
      </c>
      <c r="E1049" s="13">
        <v>5</v>
      </c>
    </row>
    <row r="1050" spans="1:5">
      <c r="A1050" s="13" t="s">
        <v>2472</v>
      </c>
      <c r="B1050" s="13" t="s">
        <v>606</v>
      </c>
      <c r="C1050" s="13" t="s">
        <v>2473</v>
      </c>
      <c r="D1050" s="13">
        <v>5</v>
      </c>
      <c r="E1050" s="13">
        <v>4</v>
      </c>
    </row>
    <row r="1051" spans="1:5">
      <c r="A1051" s="13" t="s">
        <v>2476</v>
      </c>
      <c r="B1051" s="13" t="s">
        <v>606</v>
      </c>
      <c r="C1051" s="13" t="s">
        <v>2477</v>
      </c>
      <c r="D1051" s="13">
        <v>5</v>
      </c>
      <c r="E1051" s="13">
        <v>5</v>
      </c>
    </row>
    <row r="1052" spans="1:5">
      <c r="A1052" s="13" t="s">
        <v>2478</v>
      </c>
      <c r="B1052" s="13" t="s">
        <v>673</v>
      </c>
      <c r="C1052" s="13" t="s">
        <v>2479</v>
      </c>
      <c r="D1052" s="13">
        <v>5</v>
      </c>
      <c r="E1052" s="13">
        <v>5</v>
      </c>
    </row>
    <row r="1053" spans="1:5">
      <c r="A1053" s="13" t="s">
        <v>2480</v>
      </c>
      <c r="B1053" s="13" t="s">
        <v>673</v>
      </c>
      <c r="C1053" s="13" t="s">
        <v>2481</v>
      </c>
      <c r="D1053" s="13">
        <v>5</v>
      </c>
      <c r="E1053" s="13">
        <v>4</v>
      </c>
    </row>
    <row r="1054" spans="1:5">
      <c r="A1054" s="13" t="s">
        <v>2484</v>
      </c>
      <c r="B1054" s="13" t="s">
        <v>1464</v>
      </c>
      <c r="C1054" s="13" t="s">
        <v>2485</v>
      </c>
      <c r="D1054" s="13">
        <v>5</v>
      </c>
      <c r="E1054" s="13">
        <v>4</v>
      </c>
    </row>
    <row r="1055" spans="1:5">
      <c r="A1055" s="13" t="s">
        <v>2490</v>
      </c>
      <c r="B1055" s="13" t="s">
        <v>606</v>
      </c>
      <c r="C1055" s="13" t="s">
        <v>2491</v>
      </c>
      <c r="D1055" s="13">
        <v>5</v>
      </c>
      <c r="E1055" s="13">
        <v>5</v>
      </c>
    </row>
    <row r="1056" spans="1:5">
      <c r="A1056" s="13" t="s">
        <v>2492</v>
      </c>
      <c r="B1056" s="13" t="s">
        <v>1352</v>
      </c>
      <c r="C1056" s="13" t="s">
        <v>2493</v>
      </c>
      <c r="D1056" s="13">
        <v>5</v>
      </c>
      <c r="E1056" s="13">
        <v>4</v>
      </c>
    </row>
    <row r="1057" spans="1:5">
      <c r="A1057" s="13" t="s">
        <v>2494</v>
      </c>
      <c r="B1057" s="13" t="s">
        <v>606</v>
      </c>
      <c r="C1057" s="13" t="s">
        <v>2495</v>
      </c>
      <c r="D1057" s="13">
        <v>5</v>
      </c>
      <c r="E1057" s="13">
        <v>5</v>
      </c>
    </row>
    <row r="1058" spans="1:5">
      <c r="A1058" s="13" t="s">
        <v>2496</v>
      </c>
      <c r="B1058" s="13" t="s">
        <v>499</v>
      </c>
      <c r="C1058" s="13" t="s">
        <v>2497</v>
      </c>
      <c r="D1058" s="13">
        <v>5</v>
      </c>
      <c r="E1058" s="13">
        <v>5</v>
      </c>
    </row>
    <row r="1059" spans="1:5">
      <c r="A1059" s="13" t="s">
        <v>2498</v>
      </c>
      <c r="B1059" s="13" t="s">
        <v>436</v>
      </c>
      <c r="C1059" s="13" t="s">
        <v>2499</v>
      </c>
      <c r="D1059" s="13">
        <v>5</v>
      </c>
      <c r="E1059" s="13">
        <v>5</v>
      </c>
    </row>
    <row r="1060" spans="1:5">
      <c r="A1060" s="13" t="s">
        <v>2500</v>
      </c>
      <c r="B1060" s="13" t="s">
        <v>606</v>
      </c>
      <c r="C1060" s="13" t="s">
        <v>1833</v>
      </c>
      <c r="D1060" s="13">
        <v>5</v>
      </c>
      <c r="E1060" s="13">
        <v>5</v>
      </c>
    </row>
    <row r="1061" spans="1:5">
      <c r="A1061" s="13" t="s">
        <v>2501</v>
      </c>
      <c r="B1061" s="13" t="s">
        <v>1715</v>
      </c>
      <c r="C1061" s="13" t="s">
        <v>2502</v>
      </c>
      <c r="D1061" s="13">
        <v>5</v>
      </c>
      <c r="E1061" s="13">
        <v>5</v>
      </c>
    </row>
    <row r="1062" spans="1:5">
      <c r="A1062" s="13" t="s">
        <v>2505</v>
      </c>
      <c r="B1062" s="13" t="s">
        <v>1352</v>
      </c>
      <c r="C1062" s="13" t="s">
        <v>2506</v>
      </c>
      <c r="D1062" s="13">
        <v>5</v>
      </c>
      <c r="E1062" s="13">
        <v>5</v>
      </c>
    </row>
    <row r="1063" spans="1:5">
      <c r="A1063" s="13" t="s">
        <v>2507</v>
      </c>
      <c r="B1063" s="13" t="s">
        <v>1464</v>
      </c>
      <c r="C1063" s="13" t="s">
        <v>2508</v>
      </c>
      <c r="D1063" s="13">
        <v>5</v>
      </c>
      <c r="E1063" s="13">
        <v>5</v>
      </c>
    </row>
    <row r="1064" spans="1:5">
      <c r="A1064" s="13" t="s">
        <v>2515</v>
      </c>
      <c r="B1064" s="13" t="s">
        <v>677</v>
      </c>
      <c r="C1064" s="13" t="s">
        <v>2516</v>
      </c>
      <c r="D1064" s="13">
        <v>5</v>
      </c>
      <c r="E1064" s="13">
        <v>5</v>
      </c>
    </row>
    <row r="1065" spans="1:5">
      <c r="A1065" s="13" t="s">
        <v>2517</v>
      </c>
      <c r="B1065" s="13" t="s">
        <v>1464</v>
      </c>
      <c r="C1065" s="13" t="s">
        <v>1397</v>
      </c>
      <c r="D1065" s="13">
        <v>5</v>
      </c>
      <c r="E1065" s="13">
        <v>5</v>
      </c>
    </row>
    <row r="1066" spans="1:5">
      <c r="A1066" s="13" t="s">
        <v>2520</v>
      </c>
      <c r="B1066" s="13" t="s">
        <v>1715</v>
      </c>
      <c r="C1066" s="13" t="s">
        <v>2521</v>
      </c>
      <c r="D1066" s="13">
        <v>5</v>
      </c>
      <c r="E1066" s="13">
        <v>5</v>
      </c>
    </row>
    <row r="1067" spans="1:5">
      <c r="A1067" s="13" t="s">
        <v>2522</v>
      </c>
      <c r="B1067" s="13" t="s">
        <v>606</v>
      </c>
      <c r="C1067" s="13" t="s">
        <v>2523</v>
      </c>
      <c r="D1067" s="13">
        <v>5</v>
      </c>
      <c r="E1067" s="13">
        <v>5</v>
      </c>
    </row>
    <row r="1068" spans="1:5">
      <c r="A1068" s="13" t="s">
        <v>2524</v>
      </c>
      <c r="B1068" s="13" t="s">
        <v>499</v>
      </c>
      <c r="C1068" s="13" t="s">
        <v>2525</v>
      </c>
      <c r="D1068" s="13">
        <v>5</v>
      </c>
      <c r="E1068" s="13">
        <v>5</v>
      </c>
    </row>
    <row r="1069" spans="1:5">
      <c r="A1069" s="13" t="s">
        <v>2526</v>
      </c>
      <c r="B1069" s="13" t="s">
        <v>436</v>
      </c>
      <c r="C1069" s="13" t="s">
        <v>2527</v>
      </c>
      <c r="D1069" s="13">
        <v>5</v>
      </c>
      <c r="E1069" s="13">
        <v>5</v>
      </c>
    </row>
    <row r="1070" spans="1:5">
      <c r="A1070" s="13" t="s">
        <v>2530</v>
      </c>
      <c r="B1070" s="13" t="s">
        <v>1352</v>
      </c>
      <c r="C1070" s="13" t="s">
        <v>2531</v>
      </c>
      <c r="D1070" s="13">
        <v>5</v>
      </c>
      <c r="E1070" s="13">
        <v>4</v>
      </c>
    </row>
    <row r="1071" spans="1:5">
      <c r="A1071" s="13" t="s">
        <v>2532</v>
      </c>
      <c r="B1071" s="13" t="s">
        <v>606</v>
      </c>
      <c r="C1071" s="13" t="s">
        <v>2533</v>
      </c>
      <c r="D1071" s="13">
        <v>5</v>
      </c>
      <c r="E1071" s="13">
        <v>5</v>
      </c>
    </row>
    <row r="1072" spans="1:5">
      <c r="A1072" s="13" t="s">
        <v>2534</v>
      </c>
      <c r="B1072" s="13" t="s">
        <v>1715</v>
      </c>
      <c r="C1072" s="13" t="s">
        <v>2535</v>
      </c>
      <c r="D1072" s="13">
        <v>5</v>
      </c>
      <c r="E1072" s="13">
        <v>5</v>
      </c>
    </row>
    <row r="1073" spans="1:5">
      <c r="A1073" s="13" t="s">
        <v>2536</v>
      </c>
      <c r="B1073" s="13" t="s">
        <v>499</v>
      </c>
      <c r="C1073" s="13" t="s">
        <v>2537</v>
      </c>
      <c r="D1073" s="13">
        <v>5</v>
      </c>
      <c r="E1073" s="13">
        <v>5</v>
      </c>
    </row>
    <row r="1074" spans="1:5">
      <c r="A1074" s="13" t="s">
        <v>2538</v>
      </c>
      <c r="B1074" s="13" t="s">
        <v>606</v>
      </c>
      <c r="C1074" s="13" t="s">
        <v>2508</v>
      </c>
      <c r="D1074" s="13">
        <v>5</v>
      </c>
      <c r="E1074" s="13">
        <v>5</v>
      </c>
    </row>
    <row r="1075" spans="1:5">
      <c r="A1075" s="13" t="s">
        <v>2539</v>
      </c>
      <c r="B1075" s="13" t="s">
        <v>1352</v>
      </c>
      <c r="C1075" s="13" t="s">
        <v>2540</v>
      </c>
      <c r="D1075" s="13">
        <v>5</v>
      </c>
      <c r="E1075" s="13">
        <v>5</v>
      </c>
    </row>
    <row r="1076" spans="1:5">
      <c r="A1076" s="13" t="s">
        <v>2541</v>
      </c>
      <c r="B1076" s="13" t="s">
        <v>2543</v>
      </c>
      <c r="C1076" s="13" t="s">
        <v>2544</v>
      </c>
      <c r="D1076" s="13">
        <v>5</v>
      </c>
      <c r="E1076" s="13">
        <v>5</v>
      </c>
    </row>
    <row r="1077" spans="1:5">
      <c r="A1077" s="13" t="s">
        <v>2545</v>
      </c>
      <c r="B1077" s="13" t="s">
        <v>1464</v>
      </c>
      <c r="C1077" s="13" t="s">
        <v>2546</v>
      </c>
      <c r="D1077" s="13">
        <v>5</v>
      </c>
      <c r="E1077" s="13">
        <v>5</v>
      </c>
    </row>
    <row r="1078" spans="1:5">
      <c r="A1078" s="13" t="s">
        <v>2547</v>
      </c>
      <c r="B1078" s="13" t="s">
        <v>1715</v>
      </c>
      <c r="C1078" s="13" t="s">
        <v>2548</v>
      </c>
      <c r="D1078" s="13">
        <v>5</v>
      </c>
      <c r="E1078" s="13">
        <v>5</v>
      </c>
    </row>
    <row r="1079" spans="1:5">
      <c r="A1079" s="13" t="s">
        <v>2549</v>
      </c>
      <c r="B1079" s="13" t="s">
        <v>1352</v>
      </c>
      <c r="C1079" s="13" t="s">
        <v>2550</v>
      </c>
      <c r="D1079" s="13">
        <v>5</v>
      </c>
      <c r="E1079" s="13">
        <v>5</v>
      </c>
    </row>
    <row r="1080" spans="1:5">
      <c r="A1080" s="13" t="s">
        <v>2551</v>
      </c>
      <c r="B1080" s="13" t="s">
        <v>606</v>
      </c>
      <c r="C1080" s="13" t="s">
        <v>2552</v>
      </c>
      <c r="D1080" s="13">
        <v>5</v>
      </c>
      <c r="E1080" s="13">
        <v>5</v>
      </c>
    </row>
    <row r="1081" spans="1:5">
      <c r="A1081" s="13" t="s">
        <v>2553</v>
      </c>
      <c r="B1081" s="13" t="s">
        <v>1352</v>
      </c>
      <c r="C1081" s="13" t="s">
        <v>2554</v>
      </c>
      <c r="D1081" s="13">
        <v>5</v>
      </c>
      <c r="E1081" s="13">
        <v>5</v>
      </c>
    </row>
    <row r="1082" spans="1:5">
      <c r="A1082" s="13" t="s">
        <v>2555</v>
      </c>
      <c r="B1082" s="13" t="s">
        <v>1352</v>
      </c>
      <c r="C1082" s="13" t="s">
        <v>2556</v>
      </c>
      <c r="D1082" s="13">
        <v>5</v>
      </c>
      <c r="E1082" s="13">
        <v>5</v>
      </c>
    </row>
    <row r="1083" spans="1:5">
      <c r="A1083" s="13" t="s">
        <v>2557</v>
      </c>
      <c r="B1083" s="13" t="s">
        <v>944</v>
      </c>
      <c r="C1083" s="13" t="s">
        <v>2558</v>
      </c>
      <c r="D1083" s="13">
        <v>5</v>
      </c>
      <c r="E1083" s="13">
        <v>5</v>
      </c>
    </row>
    <row r="1084" spans="1:5">
      <c r="A1084" s="13" t="s">
        <v>2559</v>
      </c>
      <c r="B1084" s="13" t="s">
        <v>1464</v>
      </c>
      <c r="C1084" s="13" t="s">
        <v>2560</v>
      </c>
      <c r="D1084" s="13">
        <v>5</v>
      </c>
      <c r="E1084" s="13">
        <v>5</v>
      </c>
    </row>
    <row r="1085" spans="1:5">
      <c r="A1085" s="13" t="s">
        <v>2561</v>
      </c>
      <c r="B1085" s="13" t="s">
        <v>606</v>
      </c>
      <c r="C1085" s="13" t="s">
        <v>2562</v>
      </c>
      <c r="D1085" s="13">
        <v>5</v>
      </c>
      <c r="E1085" s="13">
        <v>5</v>
      </c>
    </row>
    <row r="1086" spans="1:5">
      <c r="A1086" s="13" t="s">
        <v>2563</v>
      </c>
      <c r="B1086" s="13" t="s">
        <v>1569</v>
      </c>
      <c r="C1086" s="13" t="s">
        <v>2564</v>
      </c>
      <c r="D1086" s="13">
        <v>5</v>
      </c>
      <c r="E1086" s="13">
        <v>5</v>
      </c>
    </row>
    <row r="1087" spans="1:5">
      <c r="A1087" s="13" t="s">
        <v>2565</v>
      </c>
      <c r="B1087" s="13" t="s">
        <v>606</v>
      </c>
      <c r="C1087" s="13" t="s">
        <v>2566</v>
      </c>
      <c r="D1087" s="13">
        <v>5</v>
      </c>
      <c r="E1087" s="13">
        <v>5</v>
      </c>
    </row>
    <row r="1088" spans="1:5">
      <c r="A1088" s="13" t="s">
        <v>2567</v>
      </c>
      <c r="B1088" s="13" t="s">
        <v>558</v>
      </c>
      <c r="C1088" s="13" t="s">
        <v>751</v>
      </c>
      <c r="D1088" s="13">
        <v>5</v>
      </c>
      <c r="E1088" s="13">
        <v>5</v>
      </c>
    </row>
    <row r="1089" spans="1:5">
      <c r="A1089" s="13" t="s">
        <v>2568</v>
      </c>
      <c r="B1089" s="13" t="s">
        <v>2570</v>
      </c>
      <c r="C1089" s="13" t="s">
        <v>2571</v>
      </c>
      <c r="D1089" s="13">
        <v>5</v>
      </c>
      <c r="E1089" s="13">
        <v>5</v>
      </c>
    </row>
    <row r="1090" spans="1:5">
      <c r="A1090" s="13" t="s">
        <v>2572</v>
      </c>
      <c r="B1090" s="13" t="s">
        <v>2543</v>
      </c>
      <c r="C1090" s="13" t="s">
        <v>2573</v>
      </c>
      <c r="D1090" s="13">
        <v>5</v>
      </c>
      <c r="E1090" s="13">
        <v>5</v>
      </c>
    </row>
    <row r="1091" spans="1:5">
      <c r="A1091" s="13" t="s">
        <v>2574</v>
      </c>
      <c r="B1091" s="13" t="s">
        <v>2576</v>
      </c>
      <c r="C1091" s="13" t="s">
        <v>2577</v>
      </c>
      <c r="D1091" s="13">
        <v>5</v>
      </c>
      <c r="E1091" s="13">
        <v>5</v>
      </c>
    </row>
    <row r="1092" spans="1:5">
      <c r="A1092" s="13" t="s">
        <v>2578</v>
      </c>
      <c r="B1092" s="13" t="s">
        <v>2576</v>
      </c>
      <c r="C1092" s="13" t="s">
        <v>2579</v>
      </c>
      <c r="D1092" s="13">
        <v>5</v>
      </c>
      <c r="E1092" s="13">
        <v>5</v>
      </c>
    </row>
    <row r="1093" spans="1:5">
      <c r="A1093" s="13" t="s">
        <v>2580</v>
      </c>
      <c r="B1093" s="13" t="s">
        <v>2576</v>
      </c>
      <c r="C1093" s="13" t="s">
        <v>2581</v>
      </c>
      <c r="D1093" s="13">
        <v>5</v>
      </c>
      <c r="E1093" s="13">
        <v>5</v>
      </c>
    </row>
    <row r="1094" spans="1:5">
      <c r="A1094" s="13" t="s">
        <v>2582</v>
      </c>
      <c r="B1094" s="13" t="s">
        <v>2543</v>
      </c>
      <c r="C1094" s="13" t="s">
        <v>927</v>
      </c>
      <c r="D1094" s="13">
        <v>5</v>
      </c>
      <c r="E1094" s="13">
        <v>5</v>
      </c>
    </row>
    <row r="1095" spans="1:5">
      <c r="A1095" s="13" t="s">
        <v>2583</v>
      </c>
      <c r="B1095" s="13" t="s">
        <v>1569</v>
      </c>
      <c r="C1095" s="13" t="s">
        <v>2584</v>
      </c>
      <c r="D1095" s="13">
        <v>5</v>
      </c>
      <c r="E1095" s="13">
        <v>5</v>
      </c>
    </row>
    <row r="1096" spans="1:5">
      <c r="A1096" s="13" t="s">
        <v>2585</v>
      </c>
      <c r="B1096" s="13" t="s">
        <v>2587</v>
      </c>
      <c r="C1096" s="13" t="s">
        <v>2588</v>
      </c>
      <c r="D1096" s="13">
        <v>5</v>
      </c>
      <c r="E1096" s="13">
        <v>5</v>
      </c>
    </row>
    <row r="1097" spans="1:5">
      <c r="A1097" s="13" t="s">
        <v>2589</v>
      </c>
      <c r="B1097" s="13" t="s">
        <v>606</v>
      </c>
      <c r="C1097" s="13" t="s">
        <v>2590</v>
      </c>
      <c r="D1097" s="13">
        <v>5</v>
      </c>
      <c r="E1097" s="13">
        <v>5</v>
      </c>
    </row>
    <row r="1098" spans="1:5">
      <c r="A1098" s="13" t="s">
        <v>2591</v>
      </c>
      <c r="B1098" s="13" t="s">
        <v>2543</v>
      </c>
      <c r="C1098" s="13" t="s">
        <v>1883</v>
      </c>
      <c r="D1098" s="13">
        <v>5</v>
      </c>
      <c r="E1098" s="13">
        <v>5</v>
      </c>
    </row>
    <row r="1099" spans="1:5">
      <c r="A1099" s="13" t="s">
        <v>2592</v>
      </c>
      <c r="B1099" s="13" t="s">
        <v>2576</v>
      </c>
      <c r="C1099" s="13" t="s">
        <v>2593</v>
      </c>
      <c r="D1099" s="13">
        <v>5</v>
      </c>
      <c r="E1099" s="13">
        <v>5</v>
      </c>
    </row>
    <row r="1100" spans="1:5">
      <c r="A1100" s="13" t="s">
        <v>2594</v>
      </c>
      <c r="B1100" s="13" t="s">
        <v>2570</v>
      </c>
      <c r="C1100" s="13" t="s">
        <v>2595</v>
      </c>
      <c r="D1100" s="13">
        <v>5</v>
      </c>
      <c r="E1100" s="13">
        <v>5</v>
      </c>
    </row>
    <row r="1101" spans="1:5">
      <c r="A1101" s="13" t="s">
        <v>2596</v>
      </c>
      <c r="B1101" s="13" t="s">
        <v>2570</v>
      </c>
      <c r="C1101" s="13" t="s">
        <v>2597</v>
      </c>
      <c r="D1101" s="13">
        <v>5</v>
      </c>
      <c r="E1101" s="13">
        <v>5</v>
      </c>
    </row>
    <row r="1102" spans="1:5">
      <c r="A1102" s="13" t="s">
        <v>2598</v>
      </c>
      <c r="B1102" s="13" t="s">
        <v>1464</v>
      </c>
      <c r="C1102" s="13" t="s">
        <v>2599</v>
      </c>
      <c r="D1102" s="13">
        <v>5</v>
      </c>
      <c r="E1102" s="13">
        <v>5</v>
      </c>
    </row>
    <row r="1103" spans="1:5">
      <c r="A1103" s="13" t="s">
        <v>2605</v>
      </c>
      <c r="B1103" s="13" t="s">
        <v>2607</v>
      </c>
      <c r="C1103" s="13" t="s">
        <v>2608</v>
      </c>
      <c r="D1103" s="13">
        <v>5</v>
      </c>
      <c r="E1103" s="13">
        <v>5</v>
      </c>
    </row>
    <row r="1104" spans="1:5">
      <c r="A1104" s="13" t="s">
        <v>2609</v>
      </c>
      <c r="B1104" s="13" t="s">
        <v>2607</v>
      </c>
      <c r="C1104" s="13" t="s">
        <v>2610</v>
      </c>
      <c r="D1104" s="13">
        <v>5</v>
      </c>
      <c r="E1104" s="13">
        <v>5</v>
      </c>
    </row>
    <row r="1105" spans="1:5">
      <c r="A1105" s="13" t="s">
        <v>2611</v>
      </c>
      <c r="B1105" s="13" t="s">
        <v>2587</v>
      </c>
      <c r="C1105" s="13" t="s">
        <v>2612</v>
      </c>
      <c r="D1105" s="13">
        <v>5</v>
      </c>
      <c r="E1105" s="13">
        <v>5</v>
      </c>
    </row>
    <row r="1108" spans="1:5">
      <c r="A1108" s="123" t="s">
        <v>3052</v>
      </c>
    </row>
    <row r="1109" spans="1:5">
      <c r="A1109" s="63" t="s">
        <v>3049</v>
      </c>
      <c r="B1109" s="63" t="s">
        <v>399</v>
      </c>
      <c r="C1109" s="63" t="s">
        <v>3048</v>
      </c>
      <c r="D1109" s="63" t="s">
        <v>3053</v>
      </c>
    </row>
    <row r="1110" spans="1:5">
      <c r="A1110" s="13" t="s">
        <v>435</v>
      </c>
      <c r="B1110" s="13" t="s">
        <v>2681</v>
      </c>
      <c r="C1110" s="13">
        <v>1</v>
      </c>
      <c r="D1110" s="13">
        <v>1</v>
      </c>
    </row>
    <row r="1111" spans="1:5">
      <c r="A1111" s="13" t="s">
        <v>442</v>
      </c>
      <c r="B1111" s="13" t="s">
        <v>2685</v>
      </c>
      <c r="C1111" s="13">
        <v>1</v>
      </c>
      <c r="D1111" s="13">
        <v>1</v>
      </c>
    </row>
    <row r="1112" spans="1:5">
      <c r="A1112" s="13" t="s">
        <v>506</v>
      </c>
      <c r="B1112" s="13" t="s">
        <v>2692</v>
      </c>
      <c r="C1112" s="13">
        <v>1</v>
      </c>
      <c r="D1112" s="13">
        <v>1</v>
      </c>
    </row>
    <row r="1113" spans="1:5">
      <c r="A1113" s="13" t="s">
        <v>461</v>
      </c>
      <c r="B1113" s="13" t="s">
        <v>2700</v>
      </c>
      <c r="C1113" s="13">
        <v>1</v>
      </c>
      <c r="D1113" s="13">
        <v>1</v>
      </c>
    </row>
    <row r="1114" spans="1:5">
      <c r="A1114" s="13" t="s">
        <v>473</v>
      </c>
      <c r="B1114" s="13" t="s">
        <v>2707</v>
      </c>
      <c r="C1114" s="13">
        <v>1</v>
      </c>
      <c r="D1114" s="13">
        <v>1</v>
      </c>
    </row>
    <row r="1115" spans="1:5">
      <c r="A1115" s="13" t="s">
        <v>467</v>
      </c>
      <c r="B1115" s="13" t="s">
        <v>2708</v>
      </c>
      <c r="C1115" s="13">
        <v>1</v>
      </c>
      <c r="D1115" s="13">
        <v>1</v>
      </c>
    </row>
    <row r="1116" spans="1:5">
      <c r="A1116" s="13" t="s">
        <v>494</v>
      </c>
      <c r="B1116" s="13" t="s">
        <v>2704</v>
      </c>
      <c r="C1116" s="13">
        <v>1</v>
      </c>
      <c r="D1116" s="13">
        <v>1</v>
      </c>
    </row>
    <row r="1117" spans="1:5">
      <c r="A1117" s="13" t="s">
        <v>454</v>
      </c>
      <c r="B1117" s="13" t="s">
        <v>2709</v>
      </c>
      <c r="C1117" s="13">
        <v>1</v>
      </c>
      <c r="D1117" s="13">
        <v>1</v>
      </c>
    </row>
    <row r="1118" spans="1:5">
      <c r="A1118" s="13" t="s">
        <v>480</v>
      </c>
      <c r="B1118" s="13" t="s">
        <v>2688</v>
      </c>
      <c r="C1118" s="13">
        <v>2</v>
      </c>
      <c r="D1118" s="13">
        <v>2</v>
      </c>
    </row>
    <row r="1119" spans="1:5">
      <c r="A1119" s="13" t="s">
        <v>498</v>
      </c>
      <c r="B1119" s="13" t="s">
        <v>2690</v>
      </c>
      <c r="C1119" s="13">
        <v>2</v>
      </c>
      <c r="D1119" s="13">
        <v>2</v>
      </c>
    </row>
    <row r="1120" spans="1:5">
      <c r="A1120" s="13" t="s">
        <v>557</v>
      </c>
      <c r="B1120" s="13" t="s">
        <v>2695</v>
      </c>
      <c r="C1120" s="13">
        <v>2</v>
      </c>
      <c r="D1120" s="13">
        <v>2</v>
      </c>
    </row>
    <row r="1121" spans="1:4">
      <c r="A1121" s="13" t="s">
        <v>893</v>
      </c>
      <c r="B1121" s="13" t="s">
        <v>2696</v>
      </c>
      <c r="C1121" s="13">
        <v>2</v>
      </c>
      <c r="D1121" s="13">
        <v>2</v>
      </c>
    </row>
    <row r="1122" spans="1:4">
      <c r="A1122" s="13" t="s">
        <v>567</v>
      </c>
      <c r="B1122" s="13" t="s">
        <v>2698</v>
      </c>
      <c r="C1122" s="13">
        <v>2</v>
      </c>
      <c r="D1122" s="13">
        <v>2</v>
      </c>
    </row>
    <row r="1123" spans="1:4">
      <c r="A1123" s="13" t="s">
        <v>676</v>
      </c>
      <c r="B1123" s="13" t="s">
        <v>2703</v>
      </c>
      <c r="C1123" s="13">
        <v>2</v>
      </c>
      <c r="D1123" s="13">
        <v>2</v>
      </c>
    </row>
    <row r="1124" spans="1:4">
      <c r="A1124" s="13" t="s">
        <v>933</v>
      </c>
      <c r="B1124" s="13" t="s">
        <v>2705</v>
      </c>
      <c r="C1124" s="13">
        <v>2</v>
      </c>
      <c r="D1124" s="13">
        <v>2</v>
      </c>
    </row>
    <row r="1125" spans="1:4">
      <c r="A1125" s="13" t="s">
        <v>638</v>
      </c>
      <c r="B1125" s="13" t="s">
        <v>2702</v>
      </c>
      <c r="C1125" s="13">
        <v>2</v>
      </c>
      <c r="D1125" s="13">
        <v>2</v>
      </c>
    </row>
    <row r="1126" spans="1:4">
      <c r="A1126" s="13" t="s">
        <v>605</v>
      </c>
      <c r="B1126" s="13" t="s">
        <v>2691</v>
      </c>
      <c r="C1126" s="13">
        <v>2</v>
      </c>
      <c r="D1126" s="13">
        <v>2</v>
      </c>
    </row>
    <row r="1127" spans="1:4">
      <c r="A1127" s="13" t="s">
        <v>672</v>
      </c>
      <c r="B1127" s="13" t="s">
        <v>2706</v>
      </c>
      <c r="C1127" s="13">
        <v>2</v>
      </c>
      <c r="D1127" s="13">
        <v>2</v>
      </c>
    </row>
    <row r="1128" spans="1:4">
      <c r="A1128" s="13" t="s">
        <v>517</v>
      </c>
      <c r="B1128" s="13" t="s">
        <v>2756</v>
      </c>
      <c r="C1128" s="13">
        <v>2</v>
      </c>
      <c r="D1128" s="13">
        <v>2</v>
      </c>
    </row>
    <row r="1129" spans="1:4">
      <c r="A1129" s="13" t="s">
        <v>431</v>
      </c>
      <c r="B1129" s="13" t="s">
        <v>2701</v>
      </c>
      <c r="C1129" s="13">
        <v>2</v>
      </c>
      <c r="D1129" s="13">
        <v>2</v>
      </c>
    </row>
    <row r="1130" spans="1:4">
      <c r="A1130" s="13" t="s">
        <v>595</v>
      </c>
      <c r="B1130" s="13" t="s">
        <v>2699</v>
      </c>
      <c r="C1130" s="13">
        <v>2</v>
      </c>
      <c r="D1130" s="13">
        <v>2</v>
      </c>
    </row>
    <row r="1131" spans="1:4">
      <c r="A1131" s="13" t="s">
        <v>1351</v>
      </c>
      <c r="B1131" s="13" t="s">
        <v>2689</v>
      </c>
      <c r="C1131" s="13">
        <v>2</v>
      </c>
      <c r="D1131" s="13">
        <v>2</v>
      </c>
    </row>
    <row r="1132" spans="1:4">
      <c r="A1132" s="13" t="s">
        <v>943</v>
      </c>
      <c r="B1132" s="13" t="s">
        <v>2697</v>
      </c>
      <c r="C1132" s="13">
        <v>2</v>
      </c>
      <c r="D1132" s="13">
        <v>2</v>
      </c>
    </row>
    <row r="1133" spans="1:4">
      <c r="A1133" s="13" t="s">
        <v>2603</v>
      </c>
      <c r="B1133" s="13" t="s">
        <v>2767</v>
      </c>
      <c r="C1133" s="13">
        <v>2</v>
      </c>
      <c r="D1133" s="13">
        <v>2</v>
      </c>
    </row>
    <row r="1134" spans="1:4">
      <c r="A1134" s="13" t="s">
        <v>1463</v>
      </c>
      <c r="B1134" s="13" t="s">
        <v>2693</v>
      </c>
      <c r="C1134" s="13">
        <v>3</v>
      </c>
      <c r="D1134" s="13">
        <v>3</v>
      </c>
    </row>
    <row r="1135" spans="1:4">
      <c r="A1135" s="13" t="s">
        <v>1714</v>
      </c>
      <c r="B1135" s="13" t="s">
        <v>2694</v>
      </c>
      <c r="C1135" s="13">
        <v>3</v>
      </c>
      <c r="D1135" s="13">
        <v>3</v>
      </c>
    </row>
    <row r="1136" spans="1:4">
      <c r="A1136" s="13" t="s">
        <v>1568</v>
      </c>
      <c r="B1136" s="13" t="s">
        <v>2683</v>
      </c>
      <c r="C1136" s="13">
        <v>3</v>
      </c>
      <c r="D1136" s="13">
        <v>3</v>
      </c>
    </row>
    <row r="1137" spans="1:4">
      <c r="A1137" s="13" t="s">
        <v>2606</v>
      </c>
      <c r="B1137" s="13" t="s">
        <v>2680</v>
      </c>
      <c r="C1137" s="13">
        <v>3</v>
      </c>
      <c r="D1137" s="13">
        <v>3</v>
      </c>
    </row>
    <row r="1138" spans="1:4">
      <c r="A1138" s="13" t="s">
        <v>2586</v>
      </c>
      <c r="B1138" s="13" t="s">
        <v>2682</v>
      </c>
      <c r="C1138" s="13">
        <v>3</v>
      </c>
      <c r="D1138" s="13">
        <v>3</v>
      </c>
    </row>
    <row r="1139" spans="1:4">
      <c r="A1139" s="13" t="s">
        <v>2542</v>
      </c>
      <c r="B1139" s="13" t="s">
        <v>2684</v>
      </c>
      <c r="C1139" s="13">
        <v>3</v>
      </c>
      <c r="D1139" s="13">
        <v>3</v>
      </c>
    </row>
    <row r="1140" spans="1:4">
      <c r="A1140" s="13" t="s">
        <v>2569</v>
      </c>
      <c r="B1140" s="13" t="s">
        <v>2686</v>
      </c>
      <c r="C1140" s="13">
        <v>3</v>
      </c>
      <c r="D1140" s="13">
        <v>3</v>
      </c>
    </row>
    <row r="1141" spans="1:4">
      <c r="A1141" s="13" t="s">
        <v>2575</v>
      </c>
      <c r="B1141" s="13" t="s">
        <v>2687</v>
      </c>
      <c r="C1141" s="13">
        <v>3</v>
      </c>
      <c r="D1141" s="13">
        <v>3</v>
      </c>
    </row>
  </sheetData>
  <sortState ref="A1110:D1141">
    <sortCondition ref="C1110:C1141"/>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615E3-E536-4EFE-B66C-6B317D7F7093}">
  <dimension ref="A1:G49"/>
  <sheetViews>
    <sheetView showGridLines="0" zoomScale="80" zoomScaleNormal="80" workbookViewId="0">
      <selection activeCell="L26" sqref="L26"/>
    </sheetView>
  </sheetViews>
  <sheetFormatPr baseColWidth="10" defaultColWidth="11.4140625" defaultRowHeight="14"/>
  <cols>
    <col min="1" max="1" width="26.58203125" customWidth="1"/>
    <col min="2" max="9" width="15.58203125" customWidth="1"/>
  </cols>
  <sheetData>
    <row r="1" spans="1:7">
      <c r="A1" s="72" t="s">
        <v>2789</v>
      </c>
    </row>
    <row r="3" spans="1:7">
      <c r="A3" s="96" t="s">
        <v>366</v>
      </c>
      <c r="B3" s="38"/>
    </row>
    <row r="5" spans="1:7">
      <c r="A5" s="86" t="s">
        <v>367</v>
      </c>
      <c r="B5" s="85" t="s">
        <v>368</v>
      </c>
      <c r="C5" s="85">
        <v>1</v>
      </c>
      <c r="D5" s="85">
        <v>2</v>
      </c>
      <c r="E5" s="85">
        <v>3</v>
      </c>
      <c r="F5" s="85">
        <v>4</v>
      </c>
      <c r="G5" s="85" t="s">
        <v>369</v>
      </c>
    </row>
    <row r="6" spans="1:7">
      <c r="A6" s="86">
        <v>1</v>
      </c>
      <c r="B6" s="84">
        <f>+COUNTIFS(Departamentos!$Y:$Y,Contrastes_Dptos1!$A6,Departamentos!$AW:$AW,Contrastes_Dptos1!B$5)</f>
        <v>3</v>
      </c>
      <c r="C6" s="84">
        <f>+COUNTIFS(Departamentos!$Y:$Y,Contrastes_Dptos1!$A6,Departamentos!$AW:$AW,Contrastes_Dptos1!C$5)</f>
        <v>1</v>
      </c>
      <c r="D6" s="84">
        <f>+COUNTIFS(Departamentos!$Y:$Y,Contrastes_Dptos1!$A6,Departamentos!$AW:$AW,Contrastes_Dptos1!D$5)</f>
        <v>2</v>
      </c>
      <c r="E6" s="84">
        <f>+COUNTIFS(Departamentos!$Y:$Y,Contrastes_Dptos1!$A6,Departamentos!$AW:$AW,Contrastes_Dptos1!E$5)</f>
        <v>2</v>
      </c>
      <c r="F6" s="84">
        <f>+COUNTIFS(Departamentos!$Y:$Y,Contrastes_Dptos1!$A6,Departamentos!$AW:$AW,Contrastes_Dptos1!F$5)</f>
        <v>0</v>
      </c>
      <c r="G6" s="93">
        <f>+SUM(B6:F6)</f>
        <v>8</v>
      </c>
    </row>
    <row r="7" spans="1:7">
      <c r="A7" s="87">
        <v>2</v>
      </c>
      <c r="B7" s="82">
        <f>+COUNTIFS(Departamentos!$Y:$Y,Contrastes_Dptos1!$A7,Departamentos!$AW:$AW,Contrastes_Dptos1!B$5)</f>
        <v>0</v>
      </c>
      <c r="C7" s="82">
        <f>+COUNTIFS(Departamentos!$Y:$Y,Contrastes_Dptos1!$A7,Departamentos!$AW:$AW,Contrastes_Dptos1!C$5)</f>
        <v>6</v>
      </c>
      <c r="D7" s="82">
        <f>+COUNTIFS(Departamentos!$Y:$Y,Contrastes_Dptos1!$A7,Departamentos!$AW:$AW,Contrastes_Dptos1!D$5)</f>
        <v>5</v>
      </c>
      <c r="E7" s="82">
        <f>+COUNTIFS(Departamentos!$Y:$Y,Contrastes_Dptos1!$A7,Departamentos!$AW:$AW,Contrastes_Dptos1!E$5)</f>
        <v>3</v>
      </c>
      <c r="F7" s="82">
        <f>+COUNTIFS(Departamentos!$Y:$Y,Contrastes_Dptos1!$A7,Departamentos!$AW:$AW,Contrastes_Dptos1!F$5)</f>
        <v>2</v>
      </c>
      <c r="G7" s="94">
        <f t="shared" ref="G7:G9" si="0">+SUM(B7:F7)</f>
        <v>16</v>
      </c>
    </row>
    <row r="8" spans="1:7">
      <c r="A8" s="88">
        <v>3</v>
      </c>
      <c r="B8" s="83">
        <f>+COUNTIFS(Departamentos!$Y:$Y,Contrastes_Dptos1!$A8,Departamentos!$AW:$AW,Contrastes_Dptos1!B$5)</f>
        <v>0</v>
      </c>
      <c r="C8" s="83">
        <f>+COUNTIFS(Departamentos!$Y:$Y,Contrastes_Dptos1!$A8,Departamentos!$AW:$AW,Contrastes_Dptos1!C$5)</f>
        <v>0</v>
      </c>
      <c r="D8" s="83">
        <f>+COUNTIFS(Departamentos!$Y:$Y,Contrastes_Dptos1!$A8,Departamentos!$AW:$AW,Contrastes_Dptos1!D$5)</f>
        <v>0</v>
      </c>
      <c r="E8" s="83">
        <f>+COUNTIFS(Departamentos!$Y:$Y,Contrastes_Dptos1!$A8,Departamentos!$AW:$AW,Contrastes_Dptos1!E$5)</f>
        <v>1</v>
      </c>
      <c r="F8" s="83">
        <f>+COUNTIFS(Departamentos!$Y:$Y,Contrastes_Dptos1!$A8,Departamentos!$AW:$AW,Contrastes_Dptos1!F$5)</f>
        <v>7</v>
      </c>
      <c r="G8" s="95">
        <f t="shared" si="0"/>
        <v>8</v>
      </c>
    </row>
    <row r="9" spans="1:7">
      <c r="A9" s="58" t="s">
        <v>372</v>
      </c>
      <c r="B9" s="89">
        <f>+SUM(B6:B8)</f>
        <v>3</v>
      </c>
      <c r="C9" s="89">
        <f>+SUM(C6:C8)</f>
        <v>7</v>
      </c>
      <c r="D9" s="89">
        <f>+SUM(D6:D8)</f>
        <v>7</v>
      </c>
      <c r="E9" s="89">
        <f>+SUM(E6:E8)</f>
        <v>6</v>
      </c>
      <c r="F9" s="89">
        <f>+SUM(F6:F8)</f>
        <v>9</v>
      </c>
      <c r="G9" s="89">
        <f t="shared" si="0"/>
        <v>32</v>
      </c>
    </row>
    <row r="11" spans="1:7">
      <c r="A11" s="96" t="s">
        <v>382</v>
      </c>
      <c r="B11" s="38"/>
    </row>
    <row r="13" spans="1:7">
      <c r="A13" s="86" t="s">
        <v>367</v>
      </c>
      <c r="B13" s="86" t="s">
        <v>376</v>
      </c>
      <c r="C13" s="86" t="s">
        <v>379</v>
      </c>
      <c r="D13" s="86" t="s">
        <v>383</v>
      </c>
      <c r="E13" s="86" t="s">
        <v>384</v>
      </c>
      <c r="F13" s="85" t="s">
        <v>369</v>
      </c>
    </row>
    <row r="14" spans="1:7">
      <c r="A14" s="86">
        <v>1</v>
      </c>
      <c r="B14" s="84">
        <f>+COUNTIFS(Departamentos!$Y:$Y,Contrastes_Dptos1!$A14,Departamentos!$BC:$BC,Contrastes_Dptos1!B$13)</f>
        <v>0</v>
      </c>
      <c r="C14" s="84">
        <f>+COUNTIFS(Departamentos!$Y:$Y,Contrastes_Dptos1!$A14,Departamentos!$BC:$BC,Contrastes_Dptos1!C$13)</f>
        <v>3</v>
      </c>
      <c r="D14" s="84">
        <f>+COUNTIFS(Departamentos!$Y:$Y,Contrastes_Dptos1!$A14,Departamentos!$BC:$BC,Contrastes_Dptos1!D$13)</f>
        <v>5</v>
      </c>
      <c r="E14" s="84">
        <f>+COUNTIFS(Departamentos!$Y:$Y,Contrastes_Dptos1!$A14,Departamentos!$BC:$BC,Contrastes_Dptos1!E$13)</f>
        <v>0</v>
      </c>
      <c r="F14" s="93">
        <f>+SUM(B14:E14)</f>
        <v>8</v>
      </c>
    </row>
    <row r="15" spans="1:7">
      <c r="A15" s="87">
        <v>2</v>
      </c>
      <c r="B15" s="82">
        <f>+COUNTIFS(Departamentos!$Y:$Y,Contrastes_Dptos1!$A15,Departamentos!$BC:$BC,Contrastes_Dptos1!B$13)</f>
        <v>5</v>
      </c>
      <c r="C15" s="82">
        <f>+COUNTIFS(Departamentos!$Y:$Y,Contrastes_Dptos1!$A15,Departamentos!$BC:$BC,Contrastes_Dptos1!C$13)</f>
        <v>2</v>
      </c>
      <c r="D15" s="82">
        <f>+COUNTIFS(Departamentos!$Y:$Y,Contrastes_Dptos1!$A15,Departamentos!$BC:$BC,Contrastes_Dptos1!D$13)</f>
        <v>9</v>
      </c>
      <c r="E15" s="82">
        <f>+COUNTIFS(Departamentos!$Y:$Y,Contrastes_Dptos1!$A15,Departamentos!$BC:$BC,Contrastes_Dptos1!E$13)</f>
        <v>0</v>
      </c>
      <c r="F15" s="94">
        <f>+SUM(B15:E15)</f>
        <v>16</v>
      </c>
    </row>
    <row r="16" spans="1:7">
      <c r="A16" s="88">
        <v>3</v>
      </c>
      <c r="B16" s="83">
        <f>+COUNTIFS(Departamentos!$Y:$Y,Contrastes_Dptos1!$A16,Departamentos!$BC:$BC,Contrastes_Dptos1!B$13)</f>
        <v>2</v>
      </c>
      <c r="C16" s="83">
        <f>+COUNTIFS(Departamentos!$Y:$Y,Contrastes_Dptos1!$A16,Departamentos!$BC:$BC,Contrastes_Dptos1!C$13)</f>
        <v>1</v>
      </c>
      <c r="D16" s="83">
        <f>+COUNTIFS(Departamentos!$Y:$Y,Contrastes_Dptos1!$A16,Departamentos!$BC:$BC,Contrastes_Dptos1!D$13)</f>
        <v>3</v>
      </c>
      <c r="E16" s="83">
        <f>+COUNTIFS(Departamentos!$Y:$Y,Contrastes_Dptos1!$A16,Departamentos!$BC:$BC,Contrastes_Dptos1!E$13)</f>
        <v>2</v>
      </c>
      <c r="F16" s="95">
        <f>+SUM(B16:E16)</f>
        <v>8</v>
      </c>
    </row>
    <row r="17" spans="1:7">
      <c r="A17" s="58" t="s">
        <v>372</v>
      </c>
      <c r="B17" s="89">
        <f>+SUM(B14:B16)</f>
        <v>7</v>
      </c>
      <c r="C17" s="89">
        <f>+SUM(C14:C16)</f>
        <v>6</v>
      </c>
      <c r="D17" s="89">
        <f>+SUM(D14:D16)</f>
        <v>17</v>
      </c>
      <c r="E17" s="89">
        <f>+SUM(E14:E16)</f>
        <v>2</v>
      </c>
      <c r="F17" s="89">
        <f>+SUM(F14:F16)</f>
        <v>32</v>
      </c>
    </row>
    <row r="19" spans="1:7">
      <c r="A19" s="96" t="s">
        <v>385</v>
      </c>
      <c r="B19" s="38"/>
    </row>
    <row r="21" spans="1:7">
      <c r="A21" s="86" t="s">
        <v>367</v>
      </c>
      <c r="B21" s="85" t="s">
        <v>2969</v>
      </c>
      <c r="C21" s="85" t="s">
        <v>2673</v>
      </c>
      <c r="D21" s="85" t="s">
        <v>2674</v>
      </c>
      <c r="E21" s="85" t="s">
        <v>369</v>
      </c>
    </row>
    <row r="22" spans="1:7">
      <c r="A22" s="86">
        <v>1</v>
      </c>
      <c r="B22" s="84">
        <f>+COUNTIFS(Departamentos!$Y:$Y,Contrastes_Dptos1!$A22,Departamentos!$BV:$BV,Contrastes_Dptos1!B$21)</f>
        <v>4</v>
      </c>
      <c r="C22" s="84">
        <f>+COUNTIFS(Departamentos!$Y:$Y,Contrastes_Dptos1!$A22,Departamentos!$BV:$BV,Contrastes_Dptos1!C$21)</f>
        <v>2</v>
      </c>
      <c r="D22" s="84">
        <f>+COUNTIFS(Departamentos!$Y:$Y,Contrastes_Dptos1!$A22,Departamentos!$BV:$BV,Contrastes_Dptos1!D$21)</f>
        <v>2</v>
      </c>
      <c r="E22" s="93">
        <f>+SUM(B22:D22)</f>
        <v>8</v>
      </c>
    </row>
    <row r="23" spans="1:7">
      <c r="A23" s="87">
        <v>2</v>
      </c>
      <c r="B23" s="82">
        <f>+COUNTIFS(Departamentos!$Y:$Y,Contrastes_Dptos1!$A23,Departamentos!$BV:$BV,Contrastes_Dptos1!B$21)</f>
        <v>7</v>
      </c>
      <c r="C23" s="82">
        <f>+COUNTIFS(Departamentos!$Y:$Y,Contrastes_Dptos1!$A23,Departamentos!$BV:$BV,Contrastes_Dptos1!C$21)</f>
        <v>9</v>
      </c>
      <c r="D23" s="82">
        <f>+COUNTIFS(Departamentos!$Y:$Y,Contrastes_Dptos1!$A23,Departamentos!$BV:$BV,Contrastes_Dptos1!D$21)</f>
        <v>0</v>
      </c>
      <c r="E23" s="94">
        <f>+SUM(B23:D23)</f>
        <v>16</v>
      </c>
    </row>
    <row r="24" spans="1:7">
      <c r="A24" s="88">
        <v>3</v>
      </c>
      <c r="B24" s="83">
        <f>+COUNTIFS(Departamentos!$Y:$Y,Contrastes_Dptos1!$A24,Departamentos!$BV:$BV,Contrastes_Dptos1!B$21)</f>
        <v>6</v>
      </c>
      <c r="C24" s="83">
        <f>+COUNTIFS(Departamentos!$Y:$Y,Contrastes_Dptos1!$A24,Departamentos!$BV:$BV,Contrastes_Dptos1!C$21)</f>
        <v>0</v>
      </c>
      <c r="D24" s="83">
        <f>+COUNTIFS(Departamentos!$Y:$Y,Contrastes_Dptos1!$A24,Departamentos!$BV:$BV,Contrastes_Dptos1!D$21)</f>
        <v>2</v>
      </c>
      <c r="E24" s="95">
        <f>+SUM(B24:D24)</f>
        <v>8</v>
      </c>
    </row>
    <row r="25" spans="1:7">
      <c r="A25" s="58" t="s">
        <v>372</v>
      </c>
      <c r="B25" s="89">
        <f>+SUM(B22:B24)</f>
        <v>17</v>
      </c>
      <c r="C25" s="89">
        <f>+SUM(C22:C24)</f>
        <v>11</v>
      </c>
      <c r="D25" s="89">
        <f>+SUM(D22:D24)</f>
        <v>4</v>
      </c>
      <c r="E25" s="89">
        <f>+SUM(E22:E24)</f>
        <v>32</v>
      </c>
    </row>
    <row r="27" spans="1:7">
      <c r="A27" s="96" t="s">
        <v>386</v>
      </c>
      <c r="B27" s="38"/>
    </row>
    <row r="29" spans="1:7">
      <c r="A29" s="86" t="s">
        <v>367</v>
      </c>
      <c r="B29" s="85" t="s">
        <v>2677</v>
      </c>
      <c r="C29" s="85" t="s">
        <v>2969</v>
      </c>
      <c r="D29" s="85" t="s">
        <v>2673</v>
      </c>
      <c r="E29" s="85" t="s">
        <v>2674</v>
      </c>
      <c r="F29" s="85" t="s">
        <v>2675</v>
      </c>
      <c r="G29" s="85" t="s">
        <v>369</v>
      </c>
    </row>
    <row r="30" spans="1:7">
      <c r="A30" s="86">
        <v>1</v>
      </c>
      <c r="B30" s="84">
        <f>+COUNTIFS(Departamentos!$Y:$Y,Contrastes_Dptos1!$A30,Departamentos!$BY:$BY,Contrastes_Dptos1!B$29)</f>
        <v>0</v>
      </c>
      <c r="C30" s="84">
        <f>+COUNTIFS(Departamentos!$Y:$Y,Contrastes_Dptos1!$A30,Departamentos!$BY:$BY,Contrastes_Dptos1!C$29)</f>
        <v>8</v>
      </c>
      <c r="D30" s="84">
        <f>+COUNTIFS(Departamentos!$Y:$Y,Contrastes_Dptos1!$A30,Departamentos!$BY:$BY,Contrastes_Dptos1!D$29)</f>
        <v>0</v>
      </c>
      <c r="E30" s="84">
        <f>+COUNTIFS(Departamentos!$Y:$Y,Contrastes_Dptos1!$A30,Departamentos!$BY:$BY,Contrastes_Dptos1!E$29)</f>
        <v>0</v>
      </c>
      <c r="F30" s="84">
        <f>+COUNTIFS(Departamentos!$Y:$Y,Contrastes_Dptos1!$A30,Departamentos!$BY:$BY,Contrastes_Dptos1!F$29)</f>
        <v>0</v>
      </c>
      <c r="G30" s="93">
        <f>+SUM(B30:F30)</f>
        <v>8</v>
      </c>
    </row>
    <row r="31" spans="1:7">
      <c r="A31" s="87">
        <v>2</v>
      </c>
      <c r="B31" s="82">
        <f>+COUNTIFS(Departamentos!$Y:$Y,Contrastes_Dptos1!$A31,Departamentos!$BY:$BY,Contrastes_Dptos1!B$29)</f>
        <v>2</v>
      </c>
      <c r="C31" s="82">
        <f>+COUNTIFS(Departamentos!$Y:$Y,Contrastes_Dptos1!$A31,Departamentos!$BY:$BY,Contrastes_Dptos1!C$29)</f>
        <v>11</v>
      </c>
      <c r="D31" s="82">
        <f>+COUNTIFS(Departamentos!$Y:$Y,Contrastes_Dptos1!$A31,Departamentos!$BY:$BY,Contrastes_Dptos1!D$29)</f>
        <v>1</v>
      </c>
      <c r="E31" s="82">
        <f>+COUNTIFS(Departamentos!$Y:$Y,Contrastes_Dptos1!$A31,Departamentos!$BY:$BY,Contrastes_Dptos1!E$29)</f>
        <v>2</v>
      </c>
      <c r="F31" s="82">
        <f>+COUNTIFS(Departamentos!$Y:$Y,Contrastes_Dptos1!$A31,Departamentos!$BY:$BY,Contrastes_Dptos1!F$29)</f>
        <v>0</v>
      </c>
      <c r="G31" s="94">
        <f t="shared" ref="G31:G33" si="1">+SUM(B31:F31)</f>
        <v>16</v>
      </c>
    </row>
    <row r="32" spans="1:7">
      <c r="A32" s="88">
        <v>3</v>
      </c>
      <c r="B32" s="83">
        <f>+COUNTIFS(Departamentos!$Y:$Y,Contrastes_Dptos1!$A32,Departamentos!$BY:$BY,Contrastes_Dptos1!B$29)</f>
        <v>0</v>
      </c>
      <c r="C32" s="83">
        <f>+COUNTIFS(Departamentos!$Y:$Y,Contrastes_Dptos1!$A32,Departamentos!$BY:$BY,Contrastes_Dptos1!C$29)</f>
        <v>2</v>
      </c>
      <c r="D32" s="83">
        <f>+COUNTIFS(Departamentos!$Y:$Y,Contrastes_Dptos1!$A32,Departamentos!$BY:$BY,Contrastes_Dptos1!D$29)</f>
        <v>2</v>
      </c>
      <c r="E32" s="83">
        <f>+COUNTIFS(Departamentos!$Y:$Y,Contrastes_Dptos1!$A32,Departamentos!$BY:$BY,Contrastes_Dptos1!E$29)</f>
        <v>0</v>
      </c>
      <c r="F32" s="83">
        <f>+COUNTIFS(Departamentos!$Y:$Y,Contrastes_Dptos1!$A32,Departamentos!$BY:$BY,Contrastes_Dptos1!F$29)</f>
        <v>4</v>
      </c>
      <c r="G32" s="95">
        <f t="shared" si="1"/>
        <v>8</v>
      </c>
    </row>
    <row r="33" spans="1:7">
      <c r="A33" s="58" t="s">
        <v>372</v>
      </c>
      <c r="B33" s="89">
        <f>+SUM(B30:B32)</f>
        <v>2</v>
      </c>
      <c r="C33" s="89">
        <f>+SUM(C30:C32)</f>
        <v>21</v>
      </c>
      <c r="D33" s="89">
        <f>+SUM(D30:D32)</f>
        <v>3</v>
      </c>
      <c r="E33" s="89">
        <f>+SUM(E30:E32)</f>
        <v>2</v>
      </c>
      <c r="F33" s="89">
        <f>+SUM(F30:F32)</f>
        <v>4</v>
      </c>
      <c r="G33" s="89">
        <f t="shared" si="1"/>
        <v>32</v>
      </c>
    </row>
    <row r="35" spans="1:7">
      <c r="A35" s="96" t="s">
        <v>3018</v>
      </c>
      <c r="B35" s="38"/>
    </row>
    <row r="37" spans="1:7">
      <c r="A37" s="86" t="s">
        <v>367</v>
      </c>
      <c r="B37" s="85" t="s">
        <v>2677</v>
      </c>
      <c r="C37" s="85" t="s">
        <v>2969</v>
      </c>
      <c r="D37" s="85" t="s">
        <v>2673</v>
      </c>
      <c r="E37" s="85" t="s">
        <v>2674</v>
      </c>
      <c r="F37" s="85" t="s">
        <v>2675</v>
      </c>
      <c r="G37" s="85" t="s">
        <v>369</v>
      </c>
    </row>
    <row r="38" spans="1:7">
      <c r="A38" s="86">
        <v>1</v>
      </c>
      <c r="B38" s="84">
        <f>+COUNTIFS(Departamentos!$Y:$Y,Contrastes_Dptos1!$A38,Departamentos!$CK:$CK,B$37)</f>
        <v>5</v>
      </c>
      <c r="C38" s="84">
        <f>+COUNTIFS(Departamentos!$Y:$Y,Contrastes_Dptos1!$A38,Departamentos!$CK:$CK,C$37)</f>
        <v>3</v>
      </c>
      <c r="D38" s="84">
        <f>+COUNTIFS(Departamentos!$Y:$Y,Contrastes_Dptos1!$A38,Departamentos!$CK:$CK,D$37)</f>
        <v>0</v>
      </c>
      <c r="E38" s="84">
        <f>+COUNTIFS(Departamentos!$Y:$Y,Contrastes_Dptos1!$A38,Departamentos!$CK:$CK,E$37)</f>
        <v>0</v>
      </c>
      <c r="F38" s="84">
        <f>+COUNTIFS(Departamentos!$Y:$Y,Contrastes_Dptos1!$A38,Departamentos!$CK:$CK,F$37)</f>
        <v>0</v>
      </c>
      <c r="G38" s="93">
        <f>+SUM(B38:F38)</f>
        <v>8</v>
      </c>
    </row>
    <row r="39" spans="1:7">
      <c r="A39" s="87">
        <v>2</v>
      </c>
      <c r="B39" s="84">
        <f>+COUNTIFS(Departamentos!$Y:$Y,Contrastes_Dptos1!$A39,Departamentos!$CK:$CK,B$37)</f>
        <v>5</v>
      </c>
      <c r="C39" s="84">
        <f>+COUNTIFS(Departamentos!$Y:$Y,Contrastes_Dptos1!$A39,Departamentos!$CK:$CK,C$37)</f>
        <v>11</v>
      </c>
      <c r="D39" s="84">
        <f>+COUNTIFS(Departamentos!$Y:$Y,Contrastes_Dptos1!$A39,Departamentos!$CK:$CK,D$37)</f>
        <v>0</v>
      </c>
      <c r="E39" s="84">
        <f>+COUNTIFS(Departamentos!$Y:$Y,Contrastes_Dptos1!$A39,Departamentos!$CK:$CK,E$37)</f>
        <v>0</v>
      </c>
      <c r="F39" s="84">
        <f>+COUNTIFS(Departamentos!$Y:$Y,Contrastes_Dptos1!$A39,Departamentos!$CK:$CK,F$37)</f>
        <v>0</v>
      </c>
      <c r="G39" s="94">
        <f t="shared" ref="G39:G41" si="2">+SUM(B39:F39)</f>
        <v>16</v>
      </c>
    </row>
    <row r="40" spans="1:7">
      <c r="A40" s="88">
        <v>3</v>
      </c>
      <c r="B40" s="84">
        <f>+COUNTIFS(Departamentos!$Y:$Y,Contrastes_Dptos1!$A40,Departamentos!$CK:$CK,B$37)</f>
        <v>6</v>
      </c>
      <c r="C40" s="84">
        <f>+COUNTIFS(Departamentos!$Y:$Y,Contrastes_Dptos1!$A40,Departamentos!$CK:$CK,C$37)</f>
        <v>2</v>
      </c>
      <c r="D40" s="84">
        <f>+COUNTIFS(Departamentos!$Y:$Y,Contrastes_Dptos1!$A40,Departamentos!$CK:$CK,D$37)</f>
        <v>0</v>
      </c>
      <c r="E40" s="84">
        <f>+COUNTIFS(Departamentos!$Y:$Y,Contrastes_Dptos1!$A40,Departamentos!$CK:$CK,E$37)</f>
        <v>0</v>
      </c>
      <c r="F40" s="84">
        <f>+COUNTIFS(Departamentos!$Y:$Y,Contrastes_Dptos1!$A40,Departamentos!$CK:$CK,F$37)</f>
        <v>0</v>
      </c>
      <c r="G40" s="95">
        <f t="shared" si="2"/>
        <v>8</v>
      </c>
    </row>
    <row r="41" spans="1:7">
      <c r="A41" s="58" t="s">
        <v>372</v>
      </c>
      <c r="B41" s="89">
        <f>+SUM(B38:B40)</f>
        <v>16</v>
      </c>
      <c r="C41" s="89">
        <f>+SUM(C38:C40)</f>
        <v>16</v>
      </c>
      <c r="D41" s="89">
        <f>+SUM(D38:D40)</f>
        <v>0</v>
      </c>
      <c r="E41" s="89">
        <f>+SUM(E38:E40)</f>
        <v>0</v>
      </c>
      <c r="F41" s="89">
        <f>+SUM(F38:F40)</f>
        <v>0</v>
      </c>
      <c r="G41" s="89">
        <f t="shared" si="2"/>
        <v>32</v>
      </c>
    </row>
    <row r="43" spans="1:7">
      <c r="A43" s="96" t="s">
        <v>2790</v>
      </c>
      <c r="B43" s="38"/>
    </row>
    <row r="45" spans="1:7">
      <c r="A45" s="86" t="s">
        <v>367</v>
      </c>
      <c r="B45" s="85">
        <v>0</v>
      </c>
      <c r="C45" s="85">
        <v>1</v>
      </c>
      <c r="D45" s="85" t="s">
        <v>369</v>
      </c>
    </row>
    <row r="46" spans="1:7">
      <c r="A46" s="86">
        <v>1</v>
      </c>
      <c r="B46" s="84">
        <f>+COUNTIFS(Departamentos!$Y:$Y,Contrastes_Dptos1!$A46,Departamentos!$BZ:$BZ,Contrastes_Dptos1!B$45)</f>
        <v>8</v>
      </c>
      <c r="C46" s="84">
        <f>+COUNTIFS(Departamentos!$Y:$Y,Contrastes_Dptos1!$A46,Departamentos!$BZ:$BZ,Contrastes_Dptos1!C$45)</f>
        <v>0</v>
      </c>
      <c r="D46" s="93">
        <f>+SUM(B46:C46)</f>
        <v>8</v>
      </c>
      <c r="E46" s="137">
        <f>+C46/$C$49</f>
        <v>0</v>
      </c>
    </row>
    <row r="47" spans="1:7">
      <c r="A47" s="87">
        <v>2</v>
      </c>
      <c r="B47" s="82">
        <f>+COUNTIFS(Departamentos!$Y:$Y,Contrastes_Dptos1!$A47,Departamentos!$BZ:$BZ,Contrastes_Dptos1!B$45)</f>
        <v>9</v>
      </c>
      <c r="C47" s="82">
        <f>+COUNTIFS(Departamentos!$Y:$Y,Contrastes_Dptos1!$A47,Departamentos!$BZ:$BZ,Contrastes_Dptos1!C$45)</f>
        <v>7</v>
      </c>
      <c r="D47" s="94">
        <f>+SUM(B47:C47)</f>
        <v>16</v>
      </c>
      <c r="E47" s="137">
        <f t="shared" ref="E47:E48" si="3">+C47/$C$49</f>
        <v>0.53846153846153844</v>
      </c>
    </row>
    <row r="48" spans="1:7">
      <c r="A48" s="88">
        <v>3</v>
      </c>
      <c r="B48" s="83">
        <f>+COUNTIFS(Departamentos!$Y:$Y,Contrastes_Dptos1!$A48,Departamentos!$BZ:$BZ,Contrastes_Dptos1!B$45)</f>
        <v>2</v>
      </c>
      <c r="C48" s="83">
        <f>+COUNTIFS(Departamentos!$Y:$Y,Contrastes_Dptos1!$A48,Departamentos!$BZ:$BZ,Contrastes_Dptos1!C$45)</f>
        <v>6</v>
      </c>
      <c r="D48" s="95">
        <f>+SUM(B48:C48)</f>
        <v>8</v>
      </c>
      <c r="E48" s="137">
        <f t="shared" si="3"/>
        <v>0.46153846153846156</v>
      </c>
    </row>
    <row r="49" spans="1:4">
      <c r="A49" s="58" t="s">
        <v>372</v>
      </c>
      <c r="B49" s="89">
        <f>+SUM(B46:B48)</f>
        <v>19</v>
      </c>
      <c r="C49" s="89">
        <f>+SUM(C46:C48)</f>
        <v>13</v>
      </c>
      <c r="D49" s="89">
        <f>+SUM(B49:C49)</f>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34A8133215EB44BB3B0AA355C5405D" ma:contentTypeVersion="18" ma:contentTypeDescription="Crear nuevo documento." ma:contentTypeScope="" ma:versionID="e9ff405ac64c7088045bf61fdc9d82b4">
  <xsd:schema xmlns:xsd="http://www.w3.org/2001/XMLSchema" xmlns:xs="http://www.w3.org/2001/XMLSchema" xmlns:p="http://schemas.microsoft.com/office/2006/metadata/properties" xmlns:ns2="4810f874-92c0-43fc-9a2f-e779e57e7429" xmlns:ns3="645737b4-3985-4523-8bc7-22d4ac159b46" targetNamespace="http://schemas.microsoft.com/office/2006/metadata/properties" ma:root="true" ma:fieldsID="09880e72151aea432a7975e3c454bb86" ns2:_="" ns3:_="">
    <xsd:import namespace="4810f874-92c0-43fc-9a2f-e779e57e7429"/>
    <xsd:import namespace="645737b4-3985-4523-8bc7-22d4ac159b4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10f874-92c0-43fc-9a2f-e779e57e74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b62b1f75-36e8-497c-b113-7998821e9fb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5737b4-3985-4523-8bc7-22d4ac159b46"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15486722-dbe3-4385-b6d7-cd0b4757c028}" ma:internalName="TaxCatchAll" ma:showField="CatchAllData" ma:web="645737b4-3985-4523-8bc7-22d4ac159b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45737b4-3985-4523-8bc7-22d4ac159b46" xsi:nil="true"/>
    <lcf76f155ced4ddcb4097134ff3c332f xmlns="4810f874-92c0-43fc-9a2f-e779e57e74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C2530E-6E16-422F-8A4E-BABBF82918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10f874-92c0-43fc-9a2f-e779e57e7429"/>
    <ds:schemaRef ds:uri="645737b4-3985-4523-8bc7-22d4ac159b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E482896-48F2-438E-BD23-DCB64C32B45D}">
  <ds:schemaRefs>
    <ds:schemaRef ds:uri="http://schemas.microsoft.com/sharepoint/v3/contenttype/forms"/>
  </ds:schemaRefs>
</ds:datastoreItem>
</file>

<file path=customXml/itemProps3.xml><?xml version="1.0" encoding="utf-8"?>
<ds:datastoreItem xmlns:ds="http://schemas.openxmlformats.org/officeDocument/2006/customXml" ds:itemID="{F64C17BC-0143-4DE0-A173-AEEDC0A5D2A7}">
  <ds:schemaRefs>
    <ds:schemaRef ds:uri="http://schemas.openxmlformats.org/package/2006/metadata/core-properties"/>
    <ds:schemaRef ds:uri="http://purl.org/dc/terms/"/>
    <ds:schemaRef ds:uri="http://schemas.microsoft.com/office/2006/documentManagement/types"/>
    <ds:schemaRef ds:uri="http://purl.org/dc/elements/1.1/"/>
    <ds:schemaRef ds:uri="http://www.w3.org/XML/1998/namespace"/>
    <ds:schemaRef ds:uri="http://schemas.microsoft.com/office/2006/metadata/properties"/>
    <ds:schemaRef ds:uri="http://purl.org/dc/dcmitype/"/>
    <ds:schemaRef ds:uri="4810f874-92c0-43fc-9a2f-e779e57e7429"/>
    <ds:schemaRef ds:uri="http://schemas.microsoft.com/office/infopath/2007/PartnerControls"/>
    <ds:schemaRef ds:uri="645737b4-3985-4523-8bc7-22d4ac159b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MDM vs IDF</vt:lpstr>
      <vt:lpstr>Paso a paso</vt:lpstr>
      <vt:lpstr>Diccionario2026</vt:lpstr>
      <vt:lpstr>Contrastes_Mun1</vt:lpstr>
      <vt:lpstr>Municipios</vt:lpstr>
      <vt:lpstr>Tablero_Dptos</vt:lpstr>
      <vt:lpstr>IC_mun</vt:lpstr>
      <vt:lpstr>Departamentos</vt:lpstr>
      <vt:lpstr>Comparativos_Mun</vt:lpstr>
      <vt:lpstr>Contrastes_Mun2</vt:lpstr>
      <vt:lpstr>Caja y bigotes</vt:lpstr>
      <vt:lpstr>Ponderador_Mun 2024 2025P</vt:lpstr>
      <vt:lpstr>Rangos amb etnico</vt:lpstr>
      <vt:lpstr>Cortes naturales</vt:lpstr>
      <vt:lpstr>Comparativos_Dptos</vt:lpstr>
      <vt:lpstr>Ponderador_Dptos 2024 vs 2025p</vt:lpstr>
      <vt:lpstr>Contrastes_Dptos2</vt:lpstr>
      <vt:lpstr>San Andrés</vt:lpstr>
      <vt:lpstr>EAT</vt:lpstr>
      <vt:lpstr>Resultados</vt:lpstr>
      <vt:lpstr>Contrastes_Dptos1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Munoz Bernal</dc:creator>
  <cp:keywords/>
  <dc:description/>
  <cp:lastModifiedBy>jhon javier castañeda alvarado</cp:lastModifiedBy>
  <cp:revision/>
  <dcterms:created xsi:type="dcterms:W3CDTF">2024-08-06T19:18:42Z</dcterms:created>
  <dcterms:modified xsi:type="dcterms:W3CDTF">2026-02-27T18:31:54Z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0x010100EF34A8133215EB44BB3B0AA355C5405D</vt:lpwstr>
  </property>
  <property fmtid="{D5CDD505-2E9C-101B-9397-08002B2CF9AE}" pid="3" name="MediaServiceImageTags">
    <vt:lpwstr/>
  </property>
</Properties>
</file>